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minimized="1"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decal">Masques!$AF$56:$AF$79</definedName>
    <definedName name="Azi_pv_sel">Masques!$N$3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 localSheetId="1">Masques!$E$8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pous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AI5" i="7" l="1"/>
  <c r="AH5" i="7"/>
  <c r="L8" i="19" l="1"/>
  <c r="K8" i="19"/>
  <c r="M7" i="19" l="1"/>
  <c r="F10" i="7" l="1"/>
  <c r="B71" i="18" l="1"/>
  <c r="M32" i="19" l="1"/>
  <c r="E2" i="19" l="1"/>
  <c r="H10" i="7" l="1"/>
  <c r="T10" i="7"/>
  <c r="B10" i="7"/>
  <c r="X9" i="7" l="1"/>
  <c r="Z10" i="7" l="1"/>
  <c r="AD9" i="7" s="1"/>
  <c r="AF10" i="7" s="1"/>
  <c r="X10" i="7"/>
  <c r="F9" i="7"/>
  <c r="AD10" i="7" l="1"/>
  <c r="L9" i="7" l="1"/>
  <c r="N10" i="7" s="1"/>
  <c r="AJ10" i="7"/>
  <c r="CF380" i="6"/>
  <c r="CE380" i="6"/>
  <c r="CD380" i="6"/>
  <c r="CB380" i="6"/>
  <c r="CA380" i="6"/>
  <c r="BZ380" i="6"/>
  <c r="BX380" i="6"/>
  <c r="BW380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AP10" i="7" l="1"/>
  <c r="E10" i="7"/>
  <c r="C10" i="7"/>
  <c r="D10" i="7"/>
  <c r="R9" i="7" l="1"/>
  <c r="L10" i="7"/>
  <c r="AV10" i="7"/>
  <c r="U10" i="7"/>
  <c r="R10" i="7" l="1"/>
  <c r="BB10" i="7"/>
  <c r="AJ9" i="7"/>
  <c r="AL10" i="7" s="1"/>
  <c r="B380" i="18"/>
  <c r="B274" i="18"/>
  <c r="BH10" i="7" l="1"/>
  <c r="BN10" i="7" s="1"/>
  <c r="BT10" i="7" s="1"/>
  <c r="BZ10" i="7" s="1"/>
  <c r="B20" i="18" l="1"/>
  <c r="D11" i="1" l="1"/>
  <c r="B44" i="19" l="1"/>
  <c r="B43" i="19"/>
  <c r="B42" i="19"/>
  <c r="B41" i="19"/>
  <c r="B40" i="19"/>
  <c r="B39" i="19"/>
  <c r="B38" i="19"/>
  <c r="B37" i="19"/>
  <c r="B36" i="19"/>
  <c r="B35" i="19"/>
  <c r="D71" i="18" l="1"/>
  <c r="D20" i="18"/>
  <c r="BN13" i="6" l="1"/>
  <c r="BN12" i="6"/>
  <c r="BO13" i="6"/>
  <c r="BO12" i="6"/>
  <c r="BP13" i="6" l="1"/>
  <c r="M79" i="27"/>
  <c r="L79" i="27"/>
  <c r="K79" i="27"/>
  <c r="J79" i="27"/>
  <c r="I79" i="27"/>
  <c r="H79" i="27"/>
  <c r="G79" i="27"/>
  <c r="F79" i="27"/>
  <c r="E79" i="27"/>
  <c r="D79" i="27"/>
  <c r="C79" i="27"/>
  <c r="M78" i="27"/>
  <c r="L78" i="27"/>
  <c r="K78" i="27"/>
  <c r="J78" i="27"/>
  <c r="I78" i="27"/>
  <c r="H78" i="27"/>
  <c r="G78" i="27"/>
  <c r="F78" i="27"/>
  <c r="E78" i="27"/>
  <c r="D78" i="27"/>
  <c r="C78" i="27"/>
  <c r="M77" i="27"/>
  <c r="L77" i="27"/>
  <c r="K77" i="27"/>
  <c r="J77" i="27"/>
  <c r="I77" i="27"/>
  <c r="H77" i="27"/>
  <c r="G77" i="27"/>
  <c r="F77" i="27"/>
  <c r="E77" i="27"/>
  <c r="D77" i="27"/>
  <c r="C77" i="27"/>
  <c r="M76" i="27"/>
  <c r="L76" i="27"/>
  <c r="K76" i="27"/>
  <c r="J76" i="27"/>
  <c r="I76" i="27"/>
  <c r="H76" i="27"/>
  <c r="G76" i="27"/>
  <c r="F76" i="27"/>
  <c r="E76" i="27"/>
  <c r="D76" i="27"/>
  <c r="C76" i="27"/>
  <c r="M75" i="27"/>
  <c r="L75" i="27"/>
  <c r="K75" i="27"/>
  <c r="J75" i="27"/>
  <c r="I75" i="27"/>
  <c r="H75" i="27"/>
  <c r="G75" i="27"/>
  <c r="F75" i="27"/>
  <c r="E75" i="27"/>
  <c r="D75" i="27"/>
  <c r="C75" i="27"/>
  <c r="M74" i="27"/>
  <c r="L74" i="27"/>
  <c r="K74" i="27"/>
  <c r="J74" i="27"/>
  <c r="I74" i="27"/>
  <c r="H74" i="27"/>
  <c r="G74" i="27"/>
  <c r="F74" i="27"/>
  <c r="E74" i="27"/>
  <c r="D74" i="27"/>
  <c r="C74" i="27"/>
  <c r="M73" i="27"/>
  <c r="L73" i="27"/>
  <c r="K73" i="27"/>
  <c r="J73" i="27"/>
  <c r="I73" i="27"/>
  <c r="H73" i="27"/>
  <c r="G73" i="27"/>
  <c r="F73" i="27"/>
  <c r="E73" i="27"/>
  <c r="D73" i="27"/>
  <c r="C73" i="27"/>
  <c r="M72" i="27"/>
  <c r="L72" i="27"/>
  <c r="K72" i="27"/>
  <c r="J72" i="27"/>
  <c r="I72" i="27"/>
  <c r="H72" i="27"/>
  <c r="G72" i="27"/>
  <c r="F72" i="27"/>
  <c r="E72" i="27"/>
  <c r="D72" i="27"/>
  <c r="C72" i="27"/>
  <c r="M71" i="27"/>
  <c r="L71" i="27"/>
  <c r="K71" i="27"/>
  <c r="J71" i="27"/>
  <c r="I71" i="27"/>
  <c r="H71" i="27"/>
  <c r="G71" i="27"/>
  <c r="F71" i="27"/>
  <c r="E71" i="27"/>
  <c r="D71" i="27"/>
  <c r="C71" i="27"/>
  <c r="M70" i="27"/>
  <c r="L70" i="27"/>
  <c r="K70" i="27"/>
  <c r="J70" i="27"/>
  <c r="I70" i="27"/>
  <c r="H70" i="27"/>
  <c r="G70" i="27"/>
  <c r="F70" i="27"/>
  <c r="E70" i="27"/>
  <c r="D70" i="27"/>
  <c r="C70" i="27"/>
  <c r="M69" i="27"/>
  <c r="L69" i="27"/>
  <c r="K69" i="27"/>
  <c r="J69" i="27"/>
  <c r="I69" i="27"/>
  <c r="H69" i="27"/>
  <c r="G69" i="27"/>
  <c r="F69" i="27"/>
  <c r="E69" i="27"/>
  <c r="D69" i="27"/>
  <c r="C69" i="27"/>
  <c r="M68" i="27"/>
  <c r="L68" i="27"/>
  <c r="K68" i="27"/>
  <c r="J68" i="27"/>
  <c r="I68" i="27"/>
  <c r="H68" i="27"/>
  <c r="G68" i="27"/>
  <c r="F68" i="27"/>
  <c r="E68" i="27"/>
  <c r="D68" i="27"/>
  <c r="C68" i="27"/>
  <c r="M67" i="27"/>
  <c r="L67" i="27"/>
  <c r="K67" i="27"/>
  <c r="J67" i="27"/>
  <c r="I67" i="27"/>
  <c r="H67" i="27"/>
  <c r="G67" i="27"/>
  <c r="F67" i="27"/>
  <c r="E67" i="27"/>
  <c r="D67" i="27"/>
  <c r="C67" i="27"/>
  <c r="M66" i="27"/>
  <c r="L66" i="27"/>
  <c r="K66" i="27"/>
  <c r="J66" i="27"/>
  <c r="I66" i="27"/>
  <c r="H66" i="27"/>
  <c r="G66" i="27"/>
  <c r="F66" i="27"/>
  <c r="E66" i="27"/>
  <c r="D66" i="27"/>
  <c r="C66" i="27"/>
  <c r="M65" i="27"/>
  <c r="L65" i="27"/>
  <c r="K65" i="27"/>
  <c r="J65" i="27"/>
  <c r="I65" i="27"/>
  <c r="H65" i="27"/>
  <c r="G65" i="27"/>
  <c r="F65" i="27"/>
  <c r="E65" i="27"/>
  <c r="D65" i="27"/>
  <c r="C65" i="27"/>
  <c r="M64" i="27"/>
  <c r="L64" i="27"/>
  <c r="K64" i="27"/>
  <c r="J64" i="27"/>
  <c r="I64" i="27"/>
  <c r="H64" i="27"/>
  <c r="G64" i="27"/>
  <c r="F64" i="27"/>
  <c r="E64" i="27"/>
  <c r="D64" i="27"/>
  <c r="C64" i="27"/>
  <c r="M63" i="27"/>
  <c r="L63" i="27"/>
  <c r="K63" i="27"/>
  <c r="J63" i="27"/>
  <c r="I63" i="27"/>
  <c r="H63" i="27"/>
  <c r="G63" i="27"/>
  <c r="F63" i="27"/>
  <c r="E63" i="27"/>
  <c r="D63" i="27"/>
  <c r="C63" i="27"/>
  <c r="M62" i="27"/>
  <c r="L62" i="27"/>
  <c r="K62" i="27"/>
  <c r="J62" i="27"/>
  <c r="I62" i="27"/>
  <c r="H62" i="27"/>
  <c r="G62" i="27"/>
  <c r="F62" i="27"/>
  <c r="E62" i="27"/>
  <c r="D62" i="27"/>
  <c r="C62" i="27"/>
  <c r="M61" i="27"/>
  <c r="L61" i="27"/>
  <c r="K61" i="27"/>
  <c r="J61" i="27"/>
  <c r="I61" i="27"/>
  <c r="H61" i="27"/>
  <c r="G61" i="27"/>
  <c r="F61" i="27"/>
  <c r="E61" i="27"/>
  <c r="D61" i="27"/>
  <c r="C61" i="27"/>
  <c r="M60" i="27"/>
  <c r="L60" i="27"/>
  <c r="K60" i="27"/>
  <c r="J60" i="27"/>
  <c r="I60" i="27"/>
  <c r="H60" i="27"/>
  <c r="G60" i="27"/>
  <c r="F60" i="27"/>
  <c r="E60" i="27"/>
  <c r="D60" i="27"/>
  <c r="C60" i="27"/>
  <c r="M59" i="27"/>
  <c r="L59" i="27"/>
  <c r="K59" i="27"/>
  <c r="J59" i="27"/>
  <c r="I59" i="27"/>
  <c r="H59" i="27"/>
  <c r="G59" i="27"/>
  <c r="F59" i="27"/>
  <c r="E59" i="27"/>
  <c r="D59" i="27"/>
  <c r="C59" i="27"/>
  <c r="M58" i="27"/>
  <c r="L58" i="27"/>
  <c r="K58" i="27"/>
  <c r="J58" i="27"/>
  <c r="I58" i="27"/>
  <c r="H58" i="27"/>
  <c r="G58" i="27"/>
  <c r="F58" i="27"/>
  <c r="E58" i="27"/>
  <c r="D58" i="27"/>
  <c r="C58" i="27"/>
  <c r="M57" i="27"/>
  <c r="L57" i="27"/>
  <c r="K57" i="27"/>
  <c r="J57" i="27"/>
  <c r="I57" i="27"/>
  <c r="H57" i="27"/>
  <c r="G57" i="27"/>
  <c r="F57" i="27"/>
  <c r="E57" i="27"/>
  <c r="D57" i="27"/>
  <c r="C57" i="27"/>
  <c r="M56" i="27"/>
  <c r="L56" i="27"/>
  <c r="K56" i="27"/>
  <c r="J56" i="27"/>
  <c r="I56" i="27"/>
  <c r="H56" i="27"/>
  <c r="G56" i="27"/>
  <c r="F56" i="27"/>
  <c r="E56" i="27"/>
  <c r="D56" i="27"/>
  <c r="C56" i="27"/>
  <c r="I35" i="27" l="1"/>
  <c r="N75" i="27"/>
  <c r="N74" i="27"/>
  <c r="N73" i="27"/>
  <c r="N72" i="27"/>
  <c r="N71" i="27"/>
  <c r="K19" i="27"/>
  <c r="J19" i="27"/>
  <c r="K18" i="27"/>
  <c r="K17" i="27"/>
  <c r="N79" i="27"/>
  <c r="N78" i="27"/>
  <c r="N77" i="27"/>
  <c r="N76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N39" i="27"/>
  <c r="O75" i="27"/>
  <c r="N38" i="27"/>
  <c r="O74" i="27"/>
  <c r="N33" i="27"/>
  <c r="O69" i="27"/>
  <c r="K33" i="27"/>
  <c r="N32" i="27"/>
  <c r="O68" i="27" s="1"/>
  <c r="K32" i="27"/>
  <c r="K31" i="27"/>
  <c r="K22" i="27"/>
  <c r="N22" i="27"/>
  <c r="O58" i="27"/>
  <c r="K23" i="27"/>
  <c r="N23" i="27"/>
  <c r="O59" i="27" s="1"/>
  <c r="K24" i="27"/>
  <c r="N24" i="27"/>
  <c r="O60" i="27"/>
  <c r="K25" i="27"/>
  <c r="N25" i="27"/>
  <c r="O61" i="27" s="1"/>
  <c r="K26" i="27"/>
  <c r="N26" i="27"/>
  <c r="O62" i="27"/>
  <c r="K27" i="27"/>
  <c r="N27" i="27"/>
  <c r="O63" i="27" s="1"/>
  <c r="K28" i="27"/>
  <c r="N28" i="27"/>
  <c r="O64" i="27"/>
  <c r="K29" i="27"/>
  <c r="N29" i="27"/>
  <c r="O65" i="27" s="1"/>
  <c r="K30" i="27"/>
  <c r="N30" i="27"/>
  <c r="O66" i="27"/>
  <c r="N31" i="27"/>
  <c r="O67" i="27"/>
  <c r="N14" i="27"/>
  <c r="K21" i="27"/>
  <c r="D11" i="27"/>
  <c r="F11" i="27" s="1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F68" i="27"/>
  <c r="A68" i="27"/>
  <c r="A67" i="27"/>
  <c r="A66" i="27"/>
  <c r="A65" i="27"/>
  <c r="A64" i="27"/>
  <c r="A63" i="27"/>
  <c r="AF62" i="27"/>
  <c r="A62" i="27"/>
  <c r="AF61" i="27"/>
  <c r="A61" i="27"/>
  <c r="AF60" i="27"/>
  <c r="P60" i="27" s="1"/>
  <c r="A60" i="27"/>
  <c r="A59" i="27"/>
  <c r="AF58" i="27"/>
  <c r="A58" i="27"/>
  <c r="AF57" i="27"/>
  <c r="A57" i="27"/>
  <c r="AF56" i="27"/>
  <c r="N56" i="27"/>
  <c r="A56" i="27"/>
  <c r="V55" i="27"/>
  <c r="I55" i="27"/>
  <c r="G55" i="27"/>
  <c r="AA54" i="27"/>
  <c r="O54" i="27"/>
  <c r="C54" i="27"/>
  <c r="A54" i="27"/>
  <c r="H53" i="27"/>
  <c r="N43" i="27"/>
  <c r="O79" i="27" s="1"/>
  <c r="N42" i="27"/>
  <c r="O78" i="27" s="1"/>
  <c r="N41" i="27"/>
  <c r="O77" i="27" s="1"/>
  <c r="N40" i="27"/>
  <c r="O76" i="27" s="1"/>
  <c r="N21" i="27"/>
  <c r="O57" i="27" s="1"/>
  <c r="N20" i="27"/>
  <c r="O56" i="27" s="1"/>
  <c r="N19" i="27"/>
  <c r="N18" i="27"/>
  <c r="N17" i="27"/>
  <c r="N16" i="27"/>
  <c r="K16" i="27"/>
  <c r="L12" i="27"/>
  <c r="H12" i="27"/>
  <c r="L11" i="27"/>
  <c r="H11" i="27"/>
  <c r="L10" i="27"/>
  <c r="H10" i="27"/>
  <c r="C6" i="27"/>
  <c r="B6" i="27"/>
  <c r="N3" i="27"/>
  <c r="H20" i="27" s="1"/>
  <c r="D5" i="27"/>
  <c r="F5" i="27" s="1"/>
  <c r="C6" i="19" s="1"/>
  <c r="J3" i="27"/>
  <c r="B1" i="27"/>
  <c r="A1" i="27"/>
  <c r="L32" i="19"/>
  <c r="K32" i="19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AC121" i="1" s="1"/>
  <c r="BF120" i="6"/>
  <c r="BF119" i="6"/>
  <c r="O119" i="1" s="1"/>
  <c r="C23" i="7" s="1"/>
  <c r="BF118" i="6"/>
  <c r="O118" i="1" s="1"/>
  <c r="BF117" i="6"/>
  <c r="AC117" i="1" s="1"/>
  <c r="BF116" i="6"/>
  <c r="O116" i="1" s="1"/>
  <c r="BF115" i="6"/>
  <c r="BF114" i="6"/>
  <c r="AC114" i="1" s="1"/>
  <c r="BF113" i="6"/>
  <c r="BF112" i="6"/>
  <c r="BF111" i="6"/>
  <c r="O111" i="1" s="1"/>
  <c r="BF110" i="6"/>
  <c r="O110" i="1" s="1"/>
  <c r="BF109" i="6"/>
  <c r="AC109" i="1" s="1"/>
  <c r="BF108" i="6"/>
  <c r="BF107" i="6"/>
  <c r="AC107" i="1" s="1"/>
  <c r="BF106" i="6"/>
  <c r="AC106" i="1" s="1"/>
  <c r="BF105" i="6"/>
  <c r="BF104" i="6"/>
  <c r="BF103" i="6"/>
  <c r="AC103" i="1" s="1"/>
  <c r="BF102" i="6"/>
  <c r="BF101" i="6"/>
  <c r="O101" i="1" s="1"/>
  <c r="BF100" i="6"/>
  <c r="BF99" i="6"/>
  <c r="O99" i="1" s="1"/>
  <c r="BF98" i="6"/>
  <c r="BF97" i="6"/>
  <c r="AC97" i="1" s="1"/>
  <c r="BF96" i="6"/>
  <c r="AC96" i="1" s="1"/>
  <c r="BF95" i="6"/>
  <c r="O95" i="1" s="1"/>
  <c r="BF94" i="6"/>
  <c r="AC94" i="1" s="1"/>
  <c r="BF93" i="6"/>
  <c r="AC93" i="1" s="1"/>
  <c r="BF92" i="6"/>
  <c r="BF91" i="6"/>
  <c r="O91" i="1" s="1"/>
  <c r="BF90" i="6"/>
  <c r="AC90" i="1" s="1"/>
  <c r="BF89" i="6"/>
  <c r="AC89" i="1" s="1"/>
  <c r="BF88" i="6"/>
  <c r="AC88" i="1" s="1"/>
  <c r="BF87" i="6"/>
  <c r="O87" i="1" s="1"/>
  <c r="BF86" i="6"/>
  <c r="BF85" i="6"/>
  <c r="BF84" i="6"/>
  <c r="O84" i="1" s="1"/>
  <c r="BF83" i="6"/>
  <c r="O83" i="1" s="1"/>
  <c r="BF82" i="6"/>
  <c r="AC82" i="1" s="1"/>
  <c r="BF81" i="6"/>
  <c r="BF80" i="6"/>
  <c r="AC80" i="1" s="1"/>
  <c r="BF79" i="6"/>
  <c r="AC79" i="1" s="1"/>
  <c r="BF78" i="6"/>
  <c r="AC78" i="1" s="1"/>
  <c r="BF77" i="6"/>
  <c r="AC77" i="1" s="1"/>
  <c r="BF76" i="6"/>
  <c r="BF75" i="6"/>
  <c r="O75" i="1" s="1"/>
  <c r="BF74" i="6"/>
  <c r="O74" i="1" s="1"/>
  <c r="BF73" i="6"/>
  <c r="AC73" i="1" s="1"/>
  <c r="BF72" i="6"/>
  <c r="AC72" i="1" s="1"/>
  <c r="BF71" i="6"/>
  <c r="O71" i="1" s="1"/>
  <c r="BF70" i="6"/>
  <c r="AC70" i="1" s="1"/>
  <c r="BF69" i="6"/>
  <c r="O69" i="1" s="1"/>
  <c r="BF68" i="6"/>
  <c r="O68" i="1" s="1"/>
  <c r="BF67" i="6"/>
  <c r="O67" i="1" s="1"/>
  <c r="BF66" i="6"/>
  <c r="AC66" i="1" s="1"/>
  <c r="BF65" i="6"/>
  <c r="AC65" i="1" s="1"/>
  <c r="BF64" i="6"/>
  <c r="O64" i="1" s="1"/>
  <c r="BF63" i="6"/>
  <c r="BF62" i="6"/>
  <c r="BF61" i="6"/>
  <c r="O61" i="1" s="1"/>
  <c r="BF60" i="6"/>
  <c r="O60" i="1" s="1"/>
  <c r="C21" i="7" s="1"/>
  <c r="BF59" i="6"/>
  <c r="BF58" i="6"/>
  <c r="AC58" i="1" s="1"/>
  <c r="BF57" i="6"/>
  <c r="BF56" i="6"/>
  <c r="BF55" i="6"/>
  <c r="O55" i="1" s="1"/>
  <c r="BF54" i="6"/>
  <c r="O54" i="1" s="1"/>
  <c r="BF53" i="6"/>
  <c r="BF52" i="6"/>
  <c r="BF51" i="6"/>
  <c r="BF50" i="6"/>
  <c r="BF49" i="6"/>
  <c r="O49" i="1" s="1"/>
  <c r="BF48" i="6"/>
  <c r="O48" i="1" s="1"/>
  <c r="BF47" i="6"/>
  <c r="O47" i="1" s="1"/>
  <c r="BF46" i="6"/>
  <c r="BF45" i="6"/>
  <c r="BF44" i="6"/>
  <c r="AC44" i="1" s="1"/>
  <c r="BF43" i="6"/>
  <c r="BF42" i="6"/>
  <c r="AC42" i="1" s="1"/>
  <c r="BF41" i="6"/>
  <c r="AC41" i="1" s="1"/>
  <c r="BF40" i="6"/>
  <c r="BF39" i="6"/>
  <c r="BF38" i="6"/>
  <c r="O38" i="1" s="1"/>
  <c r="BF37" i="6"/>
  <c r="O37" i="1" s="1"/>
  <c r="BF36" i="6"/>
  <c r="BF35" i="6"/>
  <c r="BF34" i="6"/>
  <c r="O34" i="1" s="1"/>
  <c r="BF33" i="6"/>
  <c r="O33" i="1" s="1"/>
  <c r="BF32" i="6"/>
  <c r="AC32" i="1" s="1"/>
  <c r="BF31" i="6"/>
  <c r="O31" i="1" s="1"/>
  <c r="BF30" i="6"/>
  <c r="BF29" i="6"/>
  <c r="O29" i="1" s="1"/>
  <c r="C20" i="7" s="1"/>
  <c r="BF28" i="6"/>
  <c r="O28" i="1" s="1"/>
  <c r="BF27" i="6"/>
  <c r="AC27" i="1" s="1"/>
  <c r="BF26" i="6"/>
  <c r="BF25" i="6"/>
  <c r="AC25" i="1" s="1"/>
  <c r="BF24" i="6"/>
  <c r="BF23" i="6"/>
  <c r="BF22" i="6"/>
  <c r="BF21" i="6"/>
  <c r="O21" i="1" s="1"/>
  <c r="BF20" i="6"/>
  <c r="BF19" i="6"/>
  <c r="O19" i="1" s="1"/>
  <c r="BF18" i="6"/>
  <c r="O18" i="1" s="1"/>
  <c r="BF17" i="6"/>
  <c r="O17" i="1" s="1"/>
  <c r="BF16" i="6"/>
  <c r="BF15" i="6"/>
  <c r="O15" i="1" s="1"/>
  <c r="BP4" i="6"/>
  <c r="AO12" i="6"/>
  <c r="AN19" i="6"/>
  <c r="AN12" i="6"/>
  <c r="AM12" i="6"/>
  <c r="AM17" i="6"/>
  <c r="AL12" i="6"/>
  <c r="AK12" i="6"/>
  <c r="AJ12" i="6"/>
  <c r="AJ17" i="6"/>
  <c r="AJ22" i="6"/>
  <c r="AI12" i="6"/>
  <c r="AH12" i="6"/>
  <c r="AG12" i="6"/>
  <c r="AF12" i="6"/>
  <c r="AE19" i="6"/>
  <c r="AE22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W15" i="6"/>
  <c r="W21" i="6"/>
  <c r="U12" i="6"/>
  <c r="T12" i="6"/>
  <c r="Q28" i="6"/>
  <c r="S12" i="6"/>
  <c r="R12" i="6"/>
  <c r="Q12" i="6"/>
  <c r="P12" i="6"/>
  <c r="O19" i="6"/>
  <c r="O22" i="6"/>
  <c r="O12" i="6"/>
  <c r="N12" i="6"/>
  <c r="N17" i="6"/>
  <c r="M12" i="6"/>
  <c r="L12" i="6"/>
  <c r="AM13" i="6"/>
  <c r="AM18" i="6" s="1"/>
  <c r="M3" i="6"/>
  <c r="AL13" i="6"/>
  <c r="L13" i="6" s="1"/>
  <c r="AK13" i="6"/>
  <c r="Y44" i="6" s="1"/>
  <c r="Z46" i="6" s="1"/>
  <c r="AJ13" i="6"/>
  <c r="L29" i="6" s="1"/>
  <c r="M31" i="6" s="1"/>
  <c r="AI13" i="6"/>
  <c r="AH20" i="6" s="1"/>
  <c r="AH13" i="6"/>
  <c r="X29" i="6" s="1"/>
  <c r="AG13" i="6"/>
  <c r="AF20" i="6" s="1"/>
  <c r="AF13" i="6"/>
  <c r="W29" i="6" s="1"/>
  <c r="AE13" i="6"/>
  <c r="V44" i="6" s="1"/>
  <c r="AD13" i="6"/>
  <c r="AE16" i="6" s="1"/>
  <c r="AC13" i="6"/>
  <c r="AC18" i="6" s="1"/>
  <c r="AB13" i="6"/>
  <c r="AA20" i="6" s="1"/>
  <c r="AA13" i="6"/>
  <c r="E204" i="6" s="1"/>
  <c r="Z13" i="6"/>
  <c r="AA16" i="6" s="1"/>
  <c r="Y13" i="6"/>
  <c r="S44" i="6" s="1"/>
  <c r="S48" i="6" s="1"/>
  <c r="X13" i="6"/>
  <c r="Y16" i="6" s="1"/>
  <c r="W13" i="6"/>
  <c r="W18" i="6" s="1"/>
  <c r="V13" i="6"/>
  <c r="V18" i="6" s="1"/>
  <c r="U13" i="6"/>
  <c r="E120" i="6" s="1"/>
  <c r="T13" i="6"/>
  <c r="E106" i="6" s="1"/>
  <c r="S13" i="6"/>
  <c r="R20" i="6" s="1"/>
  <c r="R13" i="6"/>
  <c r="E78" i="6" s="1"/>
  <c r="Q13" i="6"/>
  <c r="AB44" i="6" s="1"/>
  <c r="AA50" i="6" s="1"/>
  <c r="P13" i="6"/>
  <c r="E50" i="6" s="1"/>
  <c r="O13" i="6"/>
  <c r="N13" i="6"/>
  <c r="E22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C11" i="7"/>
  <c r="Q11" i="1" s="1"/>
  <c r="B9" i="7"/>
  <c r="L11" i="1"/>
  <c r="AE12" i="1"/>
  <c r="I380" i="1"/>
  <c r="H380" i="15"/>
  <c r="I380" i="15"/>
  <c r="H9" i="16"/>
  <c r="B13" i="19"/>
  <c r="E37" i="19" s="1"/>
  <c r="H9" i="15"/>
  <c r="B12" i="19"/>
  <c r="E36" i="19" s="1"/>
  <c r="H9" i="1"/>
  <c r="B11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/>
  <c r="T1" i="7"/>
  <c r="B381" i="1"/>
  <c r="B382" i="1"/>
  <c r="B383" i="1"/>
  <c r="J381" i="1"/>
  <c r="J382" i="1"/>
  <c r="J383" i="1"/>
  <c r="Q12" i="1"/>
  <c r="C15" i="7"/>
  <c r="H9" i="17"/>
  <c r="B14" i="19"/>
  <c r="E38" i="19" s="1"/>
  <c r="B383" i="17"/>
  <c r="B381" i="17"/>
  <c r="B382" i="17"/>
  <c r="I154" i="1"/>
  <c r="I147" i="1"/>
  <c r="I79" i="1"/>
  <c r="I24" i="1"/>
  <c r="I109" i="1"/>
  <c r="I159" i="1"/>
  <c r="I163" i="1"/>
  <c r="I51" i="1"/>
  <c r="I31" i="1"/>
  <c r="I69" i="1"/>
  <c r="I21" i="1"/>
  <c r="I124" i="1"/>
  <c r="I101" i="1"/>
  <c r="I108" i="1"/>
  <c r="I141" i="1"/>
  <c r="I148" i="1"/>
  <c r="I63" i="1"/>
  <c r="I74" i="1"/>
  <c r="I113" i="1"/>
  <c r="I168" i="1"/>
  <c r="I62" i="1"/>
  <c r="I77" i="1"/>
  <c r="I155" i="1"/>
  <c r="I19" i="1"/>
  <c r="I80" i="1"/>
  <c r="I84" i="1"/>
  <c r="I58" i="1"/>
  <c r="I130" i="1"/>
  <c r="I76" i="1"/>
  <c r="I57" i="1"/>
  <c r="I158" i="1"/>
  <c r="I107" i="1"/>
  <c r="I156" i="1"/>
  <c r="I123" i="1"/>
  <c r="I30" i="1"/>
  <c r="I86" i="1"/>
  <c r="I146" i="1"/>
  <c r="I96" i="1"/>
  <c r="I70" i="1"/>
  <c r="I164" i="1"/>
  <c r="I88" i="1"/>
  <c r="I105" i="1"/>
  <c r="I121" i="1"/>
  <c r="I151" i="1"/>
  <c r="I85" i="1"/>
  <c r="I71" i="1"/>
  <c r="I89" i="1"/>
  <c r="I72" i="1"/>
  <c r="I33" i="1"/>
  <c r="I61" i="1"/>
  <c r="I149" i="1"/>
  <c r="I132" i="1"/>
  <c r="I36" i="1"/>
  <c r="I35" i="1"/>
  <c r="I100" i="1"/>
  <c r="I78" i="1"/>
  <c r="I97" i="1"/>
  <c r="I26" i="1"/>
  <c r="I41" i="1"/>
  <c r="I111" i="1"/>
  <c r="I46" i="1"/>
  <c r="I52" i="1"/>
  <c r="I48" i="1"/>
  <c r="I23" i="1"/>
  <c r="I98" i="1"/>
  <c r="I59" i="1"/>
  <c r="I43" i="1"/>
  <c r="I49" i="1"/>
  <c r="I134" i="1"/>
  <c r="I25" i="1"/>
  <c r="I32" i="1"/>
  <c r="I135" i="1"/>
  <c r="I94" i="1"/>
  <c r="I128" i="1"/>
  <c r="I40" i="1"/>
  <c r="I91" i="1"/>
  <c r="I102" i="1"/>
  <c r="I50" i="1"/>
  <c r="I125" i="1"/>
  <c r="I104" i="1"/>
  <c r="I60" i="1"/>
  <c r="I68" i="1"/>
  <c r="I106" i="1"/>
  <c r="I44" i="1"/>
  <c r="I67" i="1"/>
  <c r="I126" i="1"/>
  <c r="I160" i="1"/>
  <c r="I37" i="1"/>
  <c r="I83" i="1"/>
  <c r="I55" i="1"/>
  <c r="I29" i="1"/>
  <c r="I34" i="1"/>
  <c r="I17" i="1"/>
  <c r="I165" i="1"/>
  <c r="I116" i="1"/>
  <c r="I81" i="1"/>
  <c r="I16" i="1"/>
  <c r="I75" i="1"/>
  <c r="I110" i="1"/>
  <c r="I93" i="1"/>
  <c r="I90" i="1"/>
  <c r="I82" i="1"/>
  <c r="I92" i="1"/>
  <c r="I142" i="1"/>
  <c r="I114" i="1"/>
  <c r="I56" i="1"/>
  <c r="I122" i="1"/>
  <c r="I133" i="1"/>
  <c r="I95" i="1"/>
  <c r="I120" i="1"/>
  <c r="I73" i="1"/>
  <c r="I127" i="1"/>
  <c r="I118" i="1"/>
  <c r="I161" i="1"/>
  <c r="I39" i="1"/>
  <c r="I119" i="1"/>
  <c r="I42" i="1"/>
  <c r="I87" i="1"/>
  <c r="I112" i="1"/>
  <c r="I162" i="1"/>
  <c r="I140" i="1"/>
  <c r="I22" i="1"/>
  <c r="I64" i="1"/>
  <c r="I157" i="1"/>
  <c r="I153" i="1"/>
  <c r="I38" i="1"/>
  <c r="I150" i="1"/>
  <c r="I143" i="1"/>
  <c r="I145" i="1"/>
  <c r="I20" i="1"/>
  <c r="I65" i="1"/>
  <c r="I152" i="1"/>
  <c r="I54" i="1"/>
  <c r="I47" i="1"/>
  <c r="I115" i="1"/>
  <c r="I138" i="1"/>
  <c r="I117" i="1"/>
  <c r="I27" i="1"/>
  <c r="I144" i="1"/>
  <c r="I103" i="1"/>
  <c r="I45" i="1"/>
  <c r="I137" i="1"/>
  <c r="I66" i="1"/>
  <c r="I129" i="1"/>
  <c r="I28" i="1"/>
  <c r="I53" i="1"/>
  <c r="I139" i="1"/>
  <c r="I99" i="1"/>
  <c r="I136" i="1"/>
  <c r="I166" i="1"/>
  <c r="I167" i="1"/>
  <c r="I18" i="1"/>
  <c r="I131" i="1"/>
  <c r="I15" i="1"/>
  <c r="V14" i="1"/>
  <c r="AK17" i="6"/>
  <c r="Y17" i="6"/>
  <c r="AJ19" i="6"/>
  <c r="Z43" i="6"/>
  <c r="Y49" i="6"/>
  <c r="P19" i="6"/>
  <c r="P43" i="6"/>
  <c r="O49" i="6"/>
  <c r="AB19" i="6"/>
  <c r="W43" i="6"/>
  <c r="V49" i="6"/>
  <c r="X43" i="6"/>
  <c r="Y45" i="6"/>
  <c r="AA43" i="6"/>
  <c r="Z49" i="6"/>
  <c r="M43" i="6"/>
  <c r="N15" i="6"/>
  <c r="M17" i="6"/>
  <c r="P15" i="6"/>
  <c r="Q17" i="6"/>
  <c r="T15" i="6"/>
  <c r="AJ15" i="6"/>
  <c r="AA47" i="6"/>
  <c r="AA52" i="6"/>
  <c r="AB43" i="6"/>
  <c r="AA49" i="6"/>
  <c r="X47" i="6"/>
  <c r="W49" i="6"/>
  <c r="S15" i="6"/>
  <c r="S21" i="6"/>
  <c r="V15" i="6"/>
  <c r="Q43" i="6"/>
  <c r="T19" i="6"/>
  <c r="U17" i="6"/>
  <c r="X15" i="6"/>
  <c r="W17" i="6"/>
  <c r="V19" i="6"/>
  <c r="X19" i="6"/>
  <c r="S43" i="6"/>
  <c r="Z15" i="6"/>
  <c r="AA17" i="6"/>
  <c r="Z19" i="6"/>
  <c r="AB15" i="6"/>
  <c r="T43" i="6"/>
  <c r="AC17" i="6"/>
  <c r="AD15" i="6"/>
  <c r="U43" i="6"/>
  <c r="AD19" i="6"/>
  <c r="AF15" i="6"/>
  <c r="AE17" i="6"/>
  <c r="V43" i="6"/>
  <c r="X28" i="6"/>
  <c r="AK19" i="6"/>
  <c r="Z28" i="6"/>
  <c r="AM15" i="6"/>
  <c r="AL17" i="6"/>
  <c r="AM19" i="6"/>
  <c r="AM22" i="6"/>
  <c r="AA28" i="6"/>
  <c r="AN17" i="6"/>
  <c r="AN22" i="6"/>
  <c r="R43" i="6"/>
  <c r="S45" i="6"/>
  <c r="R47" i="6"/>
  <c r="Q49" i="6"/>
  <c r="Q52" i="6"/>
  <c r="AA32" i="6"/>
  <c r="AB28" i="6"/>
  <c r="AA34" i="6"/>
  <c r="AA37" i="6"/>
  <c r="Z34" i="6"/>
  <c r="U45" i="6"/>
  <c r="S49" i="6"/>
  <c r="T47" i="6"/>
  <c r="Q47" i="6"/>
  <c r="R45" i="6"/>
  <c r="R51" i="6"/>
  <c r="P49" i="6"/>
  <c r="V47" i="6"/>
  <c r="T49" i="6"/>
  <c r="T52" i="6"/>
  <c r="S47" i="6"/>
  <c r="S52" i="6"/>
  <c r="AK22" i="6"/>
  <c r="N28" i="6"/>
  <c r="V17" i="6"/>
  <c r="V22" i="6"/>
  <c r="X17" i="6"/>
  <c r="X22" i="6"/>
  <c r="W19" i="6"/>
  <c r="W22" i="6"/>
  <c r="U28" i="6"/>
  <c r="AB17" i="6"/>
  <c r="AB21" i="6"/>
  <c r="AM21" i="6"/>
  <c r="Z47" i="6"/>
  <c r="Z52" i="6"/>
  <c r="AA45" i="6"/>
  <c r="AA51" i="6"/>
  <c r="O17" i="6"/>
  <c r="N19" i="6"/>
  <c r="N43" i="6"/>
  <c r="N47" i="6"/>
  <c r="R15" i="6"/>
  <c r="O43" i="6"/>
  <c r="N49" i="6"/>
  <c r="R19" i="6"/>
  <c r="S17" i="6"/>
  <c r="AH15" i="6"/>
  <c r="AG17" i="6"/>
  <c r="AF19" i="6"/>
  <c r="AH19" i="6"/>
  <c r="AI17" i="6"/>
  <c r="AL19" i="6"/>
  <c r="AN15" i="6"/>
  <c r="AN21" i="6"/>
  <c r="U32" i="6"/>
  <c r="P45" i="6"/>
  <c r="O47" i="6"/>
  <c r="X45" i="6"/>
  <c r="X51" i="6"/>
  <c r="W47" i="6"/>
  <c r="P47" i="6"/>
  <c r="Q45" i="6"/>
  <c r="Q51" i="6"/>
  <c r="BR4" i="6"/>
  <c r="BR5" i="6"/>
  <c r="M49" i="6"/>
  <c r="O45" i="6"/>
  <c r="AU378" i="6"/>
  <c r="AW378" i="6" s="1"/>
  <c r="AX378" i="6" s="1"/>
  <c r="AV380" i="6"/>
  <c r="AV373" i="6"/>
  <c r="AV376" i="6"/>
  <c r="AU377" i="6"/>
  <c r="AW377" i="6"/>
  <c r="AV378" i="6"/>
  <c r="AU376" i="6"/>
  <c r="AW376" i="6" s="1"/>
  <c r="AV374" i="6"/>
  <c r="AB22" i="6"/>
  <c r="F32" i="6"/>
  <c r="H32" i="6" s="1"/>
  <c r="G184" i="6"/>
  <c r="G32" i="6"/>
  <c r="G31" i="6"/>
  <c r="F28" i="6"/>
  <c r="H28" i="6"/>
  <c r="G177" i="6"/>
  <c r="F176" i="6"/>
  <c r="H176" i="6" s="1"/>
  <c r="F187" i="6"/>
  <c r="H187" i="6" s="1"/>
  <c r="F168" i="6"/>
  <c r="H168" i="6" s="1"/>
  <c r="G166" i="6"/>
  <c r="G182" i="6"/>
  <c r="F169" i="6"/>
  <c r="H169" i="6" s="1"/>
  <c r="G30" i="6"/>
  <c r="F188" i="6"/>
  <c r="H188" i="6"/>
  <c r="Z21" i="6"/>
  <c r="G335" i="6"/>
  <c r="G323" i="6"/>
  <c r="G337" i="6"/>
  <c r="G336" i="6"/>
  <c r="F328" i="6"/>
  <c r="H328" i="6" s="1"/>
  <c r="G324" i="6"/>
  <c r="F329" i="6"/>
  <c r="H329" i="6"/>
  <c r="F31" i="6"/>
  <c r="H31" i="6"/>
  <c r="I31" i="6" s="1"/>
  <c r="F150" i="6"/>
  <c r="H150" i="6"/>
  <c r="F135" i="6"/>
  <c r="H135" i="6"/>
  <c r="F16" i="6"/>
  <c r="H16" i="6"/>
  <c r="F17" i="6"/>
  <c r="H17" i="6"/>
  <c r="I17" i="6" s="1"/>
  <c r="G15" i="6"/>
  <c r="G165" i="6"/>
  <c r="F182" i="6"/>
  <c r="H182" i="6"/>
  <c r="I182" i="6" s="1"/>
  <c r="F152" i="6"/>
  <c r="H152" i="6" s="1"/>
  <c r="F145" i="6"/>
  <c r="H145" i="6" s="1"/>
  <c r="F172" i="6"/>
  <c r="H172" i="6" s="1"/>
  <c r="G139" i="6"/>
  <c r="G134" i="6"/>
  <c r="F26" i="6"/>
  <c r="H26" i="6" s="1"/>
  <c r="G162" i="6"/>
  <c r="G19" i="6"/>
  <c r="G179" i="6"/>
  <c r="G185" i="6"/>
  <c r="F321" i="6"/>
  <c r="H321" i="6"/>
  <c r="G333" i="6"/>
  <c r="G339" i="6"/>
  <c r="G34" i="6"/>
  <c r="F29" i="6"/>
  <c r="H29" i="6" s="1"/>
  <c r="G158" i="6"/>
  <c r="G170" i="6"/>
  <c r="G181" i="6"/>
  <c r="F184" i="6"/>
  <c r="H184" i="6"/>
  <c r="I184" i="6" s="1"/>
  <c r="F21" i="6"/>
  <c r="H21" i="6" s="1"/>
  <c r="G25" i="6"/>
  <c r="G17" i="6"/>
  <c r="F181" i="6"/>
  <c r="H181" i="6" s="1"/>
  <c r="I181" i="6"/>
  <c r="G27" i="6"/>
  <c r="F171" i="6"/>
  <c r="H171" i="6" s="1"/>
  <c r="F190" i="6"/>
  <c r="H190" i="6" s="1"/>
  <c r="F192" i="6"/>
  <c r="H192" i="6" s="1"/>
  <c r="I192" i="6" s="1"/>
  <c r="F199" i="6"/>
  <c r="H199" i="6" s="1"/>
  <c r="G200" i="6"/>
  <c r="I200" i="6" s="1"/>
  <c r="G203" i="6"/>
  <c r="F196" i="6"/>
  <c r="H196" i="6" s="1"/>
  <c r="I196" i="6" s="1"/>
  <c r="F195" i="6"/>
  <c r="H195" i="6"/>
  <c r="F375" i="6"/>
  <c r="H375" i="6"/>
  <c r="F379" i="6"/>
  <c r="H379" i="6"/>
  <c r="F361" i="6"/>
  <c r="H361" i="6"/>
  <c r="G192" i="6"/>
  <c r="F193" i="6"/>
  <c r="H193" i="6" s="1"/>
  <c r="G346" i="6"/>
  <c r="G378" i="6"/>
  <c r="F356" i="6"/>
  <c r="H356" i="6" s="1"/>
  <c r="I356" i="6" s="1"/>
  <c r="F370" i="6"/>
  <c r="H370" i="6" s="1"/>
  <c r="F364" i="6"/>
  <c r="H364" i="6" s="1"/>
  <c r="F367" i="6"/>
  <c r="H367" i="6" s="1"/>
  <c r="G355" i="6"/>
  <c r="F365" i="6"/>
  <c r="H365" i="6"/>
  <c r="I365" i="6" s="1"/>
  <c r="G345" i="6"/>
  <c r="F350" i="6"/>
  <c r="H350" i="6" s="1"/>
  <c r="F345" i="6"/>
  <c r="H345" i="6" s="1"/>
  <c r="I345" i="6"/>
  <c r="F371" i="6"/>
  <c r="H371" i="6"/>
  <c r="F360" i="6"/>
  <c r="H360" i="6"/>
  <c r="F353" i="6"/>
  <c r="H353" i="6"/>
  <c r="F34" i="6"/>
  <c r="H34" i="6"/>
  <c r="I34" i="6" s="1"/>
  <c r="F167" i="6"/>
  <c r="H167" i="6" s="1"/>
  <c r="F331" i="6"/>
  <c r="H331" i="6" s="1"/>
  <c r="G319" i="6"/>
  <c r="F343" i="6"/>
  <c r="H343" i="6"/>
  <c r="F325" i="6"/>
  <c r="H325" i="6"/>
  <c r="F336" i="6"/>
  <c r="H336" i="6"/>
  <c r="I336" i="6" s="1"/>
  <c r="G322" i="6"/>
  <c r="F340" i="6"/>
  <c r="H340" i="6"/>
  <c r="G320" i="6"/>
  <c r="F143" i="6"/>
  <c r="H143" i="6" s="1"/>
  <c r="I143" i="6" s="1"/>
  <c r="G183" i="6"/>
  <c r="F153" i="6"/>
  <c r="H153" i="6"/>
  <c r="F161" i="6"/>
  <c r="H161" i="6"/>
  <c r="G173" i="6"/>
  <c r="F160" i="6"/>
  <c r="H160" i="6" s="1"/>
  <c r="G189" i="6"/>
  <c r="G35" i="6"/>
  <c r="F25" i="6"/>
  <c r="H25" i="6" s="1"/>
  <c r="I25" i="6" s="1"/>
  <c r="G28" i="6"/>
  <c r="G174" i="6"/>
  <c r="F134" i="6"/>
  <c r="H134" i="6" s="1"/>
  <c r="I134" i="6"/>
  <c r="G167" i="6"/>
  <c r="F140" i="6"/>
  <c r="H140" i="6" s="1"/>
  <c r="F15" i="6"/>
  <c r="H15" i="6" s="1"/>
  <c r="F35" i="6"/>
  <c r="H35" i="6" s="1"/>
  <c r="G149" i="6"/>
  <c r="F136" i="6"/>
  <c r="H136" i="6"/>
  <c r="F27" i="6"/>
  <c r="G191" i="6"/>
  <c r="G199" i="6"/>
  <c r="F201" i="6"/>
  <c r="H201" i="6" s="1"/>
  <c r="Z22" i="6"/>
  <c r="F373" i="6"/>
  <c r="H373" i="6"/>
  <c r="G196" i="6"/>
  <c r="F366" i="6"/>
  <c r="H366" i="6" s="1"/>
  <c r="I366" i="6" s="1"/>
  <c r="F197" i="6"/>
  <c r="H197" i="6" s="1"/>
  <c r="F377" i="6"/>
  <c r="H377" i="6" s="1"/>
  <c r="G201" i="6"/>
  <c r="G369" i="6"/>
  <c r="G371" i="6"/>
  <c r="G356" i="6"/>
  <c r="G347" i="6"/>
  <c r="F355" i="6"/>
  <c r="H355" i="6"/>
  <c r="F368" i="6"/>
  <c r="H368" i="6" s="1"/>
  <c r="I368" i="6" s="1"/>
  <c r="F352" i="6"/>
  <c r="H352" i="6" s="1"/>
  <c r="G360" i="6"/>
  <c r="G354" i="6"/>
  <c r="G359" i="6"/>
  <c r="G370" i="6"/>
  <c r="F362" i="6"/>
  <c r="H362" i="6" s="1"/>
  <c r="G344" i="6"/>
  <c r="G367" i="6"/>
  <c r="G358" i="6"/>
  <c r="G349" i="6"/>
  <c r="G366" i="6"/>
  <c r="G362" i="6"/>
  <c r="F354" i="6"/>
  <c r="H354" i="6" s="1"/>
  <c r="I354" i="6"/>
  <c r="F344" i="6"/>
  <c r="H344" i="6"/>
  <c r="I344" i="6" s="1"/>
  <c r="G363" i="6"/>
  <c r="F363" i="6"/>
  <c r="H363" i="6"/>
  <c r="F358" i="6"/>
  <c r="H358" i="6"/>
  <c r="I358" i="6" s="1"/>
  <c r="G330" i="6"/>
  <c r="G321" i="6"/>
  <c r="I321" i="6"/>
  <c r="G334" i="6"/>
  <c r="F337" i="6"/>
  <c r="H337" i="6" s="1"/>
  <c r="I337" i="6" s="1"/>
  <c r="G325" i="6"/>
  <c r="F319" i="6"/>
  <c r="H319" i="6" s="1"/>
  <c r="I319" i="6"/>
  <c r="F324" i="6"/>
  <c r="H324" i="6"/>
  <c r="I324" i="6" s="1"/>
  <c r="F326" i="6"/>
  <c r="H326" i="6"/>
  <c r="F327" i="6"/>
  <c r="H327" i="6"/>
  <c r="G151" i="6"/>
  <c r="G156" i="6"/>
  <c r="G157" i="6"/>
  <c r="G136" i="6"/>
  <c r="I136" i="6" s="1"/>
  <c r="G153" i="6"/>
  <c r="F155" i="6"/>
  <c r="H155" i="6" s="1"/>
  <c r="F144" i="6"/>
  <c r="H144" i="6" s="1"/>
  <c r="F146" i="6"/>
  <c r="H146" i="6" s="1"/>
  <c r="F139" i="6"/>
  <c r="H139" i="6" s="1"/>
  <c r="I139" i="6"/>
  <c r="G147" i="6"/>
  <c r="G150" i="6"/>
  <c r="G160" i="6"/>
  <c r="G154" i="6"/>
  <c r="G146" i="6"/>
  <c r="F147" i="6"/>
  <c r="H147" i="6"/>
  <c r="I147" i="6" s="1"/>
  <c r="F137" i="6"/>
  <c r="H137" i="6" s="1"/>
  <c r="G143" i="6"/>
  <c r="F376" i="6"/>
  <c r="H376" i="6"/>
  <c r="F380" i="6"/>
  <c r="H380" i="6"/>
  <c r="I380" i="6" s="1"/>
  <c r="G376" i="6"/>
  <c r="I376" i="6" s="1"/>
  <c r="G380" i="6"/>
  <c r="G379" i="6"/>
  <c r="I379" i="6" s="1"/>
  <c r="F372" i="6"/>
  <c r="H372" i="6"/>
  <c r="F202" i="6"/>
  <c r="H202" i="6"/>
  <c r="I202" i="6" s="1"/>
  <c r="G202" i="6"/>
  <c r="G197" i="6"/>
  <c r="F191" i="6"/>
  <c r="H191" i="6"/>
  <c r="I191" i="6" s="1"/>
  <c r="G195" i="6"/>
  <c r="G194" i="6"/>
  <c r="G218" i="6"/>
  <c r="F212" i="6"/>
  <c r="H212" i="6"/>
  <c r="F221" i="6"/>
  <c r="H221" i="6"/>
  <c r="G227" i="6"/>
  <c r="G212" i="6"/>
  <c r="F207" i="6"/>
  <c r="H207" i="6"/>
  <c r="F226" i="6"/>
  <c r="H226" i="6"/>
  <c r="G215" i="6"/>
  <c r="G219" i="6"/>
  <c r="G208" i="6"/>
  <c r="G224" i="6"/>
  <c r="F228" i="6"/>
  <c r="H228" i="6"/>
  <c r="F222" i="6"/>
  <c r="H222" i="6"/>
  <c r="F200" i="6"/>
  <c r="H200" i="6"/>
  <c r="G226" i="6"/>
  <c r="G207" i="6"/>
  <c r="G211" i="6"/>
  <c r="F206" i="6"/>
  <c r="H206" i="6" s="1"/>
  <c r="G210" i="6"/>
  <c r="G217" i="6"/>
  <c r="F216" i="6"/>
  <c r="H216" i="6" s="1"/>
  <c r="G222" i="6"/>
  <c r="G231" i="6"/>
  <c r="F194" i="6"/>
  <c r="H194" i="6" s="1"/>
  <c r="I194" i="6"/>
  <c r="G225" i="6"/>
  <c r="G204" i="6"/>
  <c r="F209" i="6"/>
  <c r="H209" i="6"/>
  <c r="I209" i="6" s="1"/>
  <c r="F225" i="6"/>
  <c r="H225" i="6"/>
  <c r="I225" i="6" s="1"/>
  <c r="G353" i="6"/>
  <c r="F349" i="6"/>
  <c r="H349" i="6"/>
  <c r="I349" i="6" s="1"/>
  <c r="G357" i="6"/>
  <c r="G361" i="6"/>
  <c r="G348" i="6"/>
  <c r="G364" i="6"/>
  <c r="F346" i="6"/>
  <c r="H346" i="6" s="1"/>
  <c r="I346" i="6" s="1"/>
  <c r="F347" i="6"/>
  <c r="H347" i="6"/>
  <c r="I347" i="6" s="1"/>
  <c r="G350" i="6"/>
  <c r="G351" i="6"/>
  <c r="G352" i="6"/>
  <c r="F369" i="6"/>
  <c r="H369" i="6"/>
  <c r="I369" i="6" s="1"/>
  <c r="F357" i="6"/>
  <c r="H357" i="6"/>
  <c r="I357" i="6" s="1"/>
  <c r="F359" i="6"/>
  <c r="H359" i="6" s="1"/>
  <c r="I359" i="6"/>
  <c r="G368" i="6"/>
  <c r="G365" i="6"/>
  <c r="F351" i="6"/>
  <c r="H351" i="6"/>
  <c r="I351" i="6" s="1"/>
  <c r="F348" i="6"/>
  <c r="H348" i="6" s="1"/>
  <c r="I348" i="6"/>
  <c r="F322" i="6"/>
  <c r="H322" i="6"/>
  <c r="I322" i="6" s="1"/>
  <c r="F330" i="6"/>
  <c r="H330" i="6" s="1"/>
  <c r="G329" i="6"/>
  <c r="G317" i="6"/>
  <c r="G328" i="6"/>
  <c r="I328" i="6"/>
  <c r="G142" i="6"/>
  <c r="G138" i="6"/>
  <c r="G141" i="6"/>
  <c r="F158" i="6"/>
  <c r="H158" i="6" s="1"/>
  <c r="I158" i="6"/>
  <c r="F148" i="6"/>
  <c r="H148" i="6"/>
  <c r="F154" i="6"/>
  <c r="H154" i="6"/>
  <c r="I154" i="6" s="1"/>
  <c r="G152" i="6"/>
  <c r="G161" i="6"/>
  <c r="G135" i="6"/>
  <c r="F138" i="6"/>
  <c r="H138" i="6" s="1"/>
  <c r="I138" i="6" s="1"/>
  <c r="G159" i="6"/>
  <c r="G137" i="6"/>
  <c r="F159" i="6"/>
  <c r="H159" i="6"/>
  <c r="I159" i="6" s="1"/>
  <c r="F142" i="6"/>
  <c r="H142" i="6" s="1"/>
  <c r="F151" i="6"/>
  <c r="H151" i="6" s="1"/>
  <c r="I151" i="6"/>
  <c r="F374" i="6"/>
  <c r="H374" i="6"/>
  <c r="I374" i="6" s="1"/>
  <c r="G377" i="6"/>
  <c r="G373" i="6"/>
  <c r="F378" i="6"/>
  <c r="H378" i="6"/>
  <c r="I378" i="6" s="1"/>
  <c r="G374" i="6"/>
  <c r="G372" i="6"/>
  <c r="G375" i="6"/>
  <c r="G193" i="6"/>
  <c r="I193" i="6" s="1"/>
  <c r="F198" i="6"/>
  <c r="H198" i="6"/>
  <c r="F203" i="6"/>
  <c r="H203" i="6"/>
  <c r="I203" i="6" s="1"/>
  <c r="G198" i="6"/>
  <c r="G223" i="6"/>
  <c r="F204" i="6"/>
  <c r="H204" i="6"/>
  <c r="I204" i="6" s="1"/>
  <c r="F211" i="6"/>
  <c r="H211" i="6" s="1"/>
  <c r="F223" i="6"/>
  <c r="H223" i="6" s="1"/>
  <c r="I223" i="6" s="1"/>
  <c r="F217" i="6"/>
  <c r="H217" i="6"/>
  <c r="I217" i="6" s="1"/>
  <c r="G229" i="6"/>
  <c r="G206" i="6"/>
  <c r="F230" i="6"/>
  <c r="H230" i="6" s="1"/>
  <c r="I230" i="6" s="1"/>
  <c r="F227" i="6"/>
  <c r="H227" i="6"/>
  <c r="I227" i="6" s="1"/>
  <c r="F208" i="6"/>
  <c r="H208" i="6" s="1"/>
  <c r="I208" i="6" s="1"/>
  <c r="F214" i="6"/>
  <c r="H214" i="6"/>
  <c r="F220" i="6"/>
  <c r="H220" i="6"/>
  <c r="G213" i="6"/>
  <c r="F229" i="6"/>
  <c r="H229" i="6" s="1"/>
  <c r="I229" i="6"/>
  <c r="F218" i="6"/>
  <c r="H218" i="6"/>
  <c r="I218" i="6" s="1"/>
  <c r="F219" i="6"/>
  <c r="H219" i="6" s="1"/>
  <c r="I219" i="6"/>
  <c r="G220" i="6"/>
  <c r="G221" i="6"/>
  <c r="I221" i="6" s="1"/>
  <c r="G205" i="6"/>
  <c r="F231" i="6"/>
  <c r="H231" i="6" s="1"/>
  <c r="I231" i="6" s="1"/>
  <c r="G228" i="6"/>
  <c r="F224" i="6"/>
  <c r="H224" i="6" s="1"/>
  <c r="I224" i="6"/>
  <c r="G230" i="6"/>
  <c r="F213" i="6"/>
  <c r="H213" i="6" s="1"/>
  <c r="I213" i="6" s="1"/>
  <c r="G216" i="6"/>
  <c r="F205" i="6"/>
  <c r="H205" i="6" s="1"/>
  <c r="I205" i="6"/>
  <c r="G209" i="6"/>
  <c r="F210" i="6"/>
  <c r="H210" i="6" s="1"/>
  <c r="I210" i="6" s="1"/>
  <c r="F215" i="6"/>
  <c r="H215" i="6"/>
  <c r="I215" i="6" s="1"/>
  <c r="G214" i="6"/>
  <c r="I214" i="6" s="1"/>
  <c r="N32" i="6"/>
  <c r="O30" i="6"/>
  <c r="M34" i="6"/>
  <c r="N21" i="6"/>
  <c r="N22" i="6"/>
  <c r="P52" i="6"/>
  <c r="AV192" i="6"/>
  <c r="AV176" i="6"/>
  <c r="AV160" i="6"/>
  <c r="AV173" i="6"/>
  <c r="AU131" i="6"/>
  <c r="AW131" i="6"/>
  <c r="AU128" i="6"/>
  <c r="AW128" i="6"/>
  <c r="AX128" i="6" s="1"/>
  <c r="AU126" i="6"/>
  <c r="AW126" i="6" s="1"/>
  <c r="AU121" i="6"/>
  <c r="AW121" i="6" s="1"/>
  <c r="AX121" i="6" s="1"/>
  <c r="AU108" i="6"/>
  <c r="AW108" i="6" s="1"/>
  <c r="AU106" i="6"/>
  <c r="AW106" i="6" s="1"/>
  <c r="AU99" i="6"/>
  <c r="AW99" i="6" s="1"/>
  <c r="AU97" i="6"/>
  <c r="AW97" i="6" s="1"/>
  <c r="AU96" i="6"/>
  <c r="AW96" i="6" s="1"/>
  <c r="AU95" i="6"/>
  <c r="AW95" i="6" s="1"/>
  <c r="AX95" i="6" s="1"/>
  <c r="AV199" i="6"/>
  <c r="AU192" i="6"/>
  <c r="AW192" i="6"/>
  <c r="AX192" i="6" s="1"/>
  <c r="AV167" i="6"/>
  <c r="AU179" i="6"/>
  <c r="AW179" i="6"/>
  <c r="AU175" i="6"/>
  <c r="AW175" i="6"/>
  <c r="AV158" i="6"/>
  <c r="AV142" i="6"/>
  <c r="AV124" i="6"/>
  <c r="AV110" i="6"/>
  <c r="AU176" i="6"/>
  <c r="AW176" i="6" s="1"/>
  <c r="AX176" i="6"/>
  <c r="AV139" i="6"/>
  <c r="AV107" i="6"/>
  <c r="AV101" i="6"/>
  <c r="AV129" i="6"/>
  <c r="AV195" i="6"/>
  <c r="AV175" i="6"/>
  <c r="AU165" i="6"/>
  <c r="AW165" i="6"/>
  <c r="AV159" i="6"/>
  <c r="AU117" i="6"/>
  <c r="AW117" i="6" s="1"/>
  <c r="AU102" i="6"/>
  <c r="AW102" i="6" s="1"/>
  <c r="AV201" i="6"/>
  <c r="AU193" i="6"/>
  <c r="AW193" i="6" s="1"/>
  <c r="AV166" i="6"/>
  <c r="AU177" i="6"/>
  <c r="AW177" i="6"/>
  <c r="AV156" i="6"/>
  <c r="AV140" i="6"/>
  <c r="AV126" i="6"/>
  <c r="AV108" i="6"/>
  <c r="AV94" i="6"/>
  <c r="AV147" i="6"/>
  <c r="AV115" i="6"/>
  <c r="AV157" i="6"/>
  <c r="AV93" i="6"/>
  <c r="AV113" i="6"/>
  <c r="AV174" i="6"/>
  <c r="AU146" i="6"/>
  <c r="AW146" i="6" s="1"/>
  <c r="AU140" i="6"/>
  <c r="AW140" i="6" s="1"/>
  <c r="AX140" i="6" s="1"/>
  <c r="AU133" i="6"/>
  <c r="AW133" i="6"/>
  <c r="AU130" i="6"/>
  <c r="AW130" i="6"/>
  <c r="AU124" i="6"/>
  <c r="AW124" i="6"/>
  <c r="AX124" i="6" s="1"/>
  <c r="AU122" i="6"/>
  <c r="AW122" i="6" s="1"/>
  <c r="AX122" i="6" s="1"/>
  <c r="AU115" i="6"/>
  <c r="AW115" i="6" s="1"/>
  <c r="AX115" i="6"/>
  <c r="AU112" i="6"/>
  <c r="AW112" i="6"/>
  <c r="AX112" i="6" s="1"/>
  <c r="AU110" i="6"/>
  <c r="AW110" i="6"/>
  <c r="AU104" i="6"/>
  <c r="AW104" i="6"/>
  <c r="AX104" i="6" s="1"/>
  <c r="AV193" i="6"/>
  <c r="AU180" i="6"/>
  <c r="AW180" i="6" s="1"/>
  <c r="AU166" i="6"/>
  <c r="AW166" i="6" s="1"/>
  <c r="AX166" i="6"/>
  <c r="AV197" i="6"/>
  <c r="AV169" i="6"/>
  <c r="AV136" i="6"/>
  <c r="AV104" i="6"/>
  <c r="AV99" i="6"/>
  <c r="AV186" i="6"/>
  <c r="AU167" i="6"/>
  <c r="AW167" i="6"/>
  <c r="AX167" i="6" s="1"/>
  <c r="AU153" i="6"/>
  <c r="AW153" i="6"/>
  <c r="AX153" i="6" s="1"/>
  <c r="AU144" i="6"/>
  <c r="AW144" i="6"/>
  <c r="AX144" i="6" s="1"/>
  <c r="AU129" i="6"/>
  <c r="AW129" i="6" s="1"/>
  <c r="AX129" i="6"/>
  <c r="AU98" i="6"/>
  <c r="AW98" i="6"/>
  <c r="AV203" i="6"/>
  <c r="AV181" i="6"/>
  <c r="AV154" i="6"/>
  <c r="AV120" i="6"/>
  <c r="AV184" i="6"/>
  <c r="AV103" i="6"/>
  <c r="AV153" i="6"/>
  <c r="AV188" i="6"/>
  <c r="AV172" i="6"/>
  <c r="AV189" i="6"/>
  <c r="AU156" i="6"/>
  <c r="AW156" i="6" s="1"/>
  <c r="AX156" i="6"/>
  <c r="AU154" i="6"/>
  <c r="AW154" i="6"/>
  <c r="AX154" i="6" s="1"/>
  <c r="AU152" i="6"/>
  <c r="AW152" i="6"/>
  <c r="AX152" i="6" s="1"/>
  <c r="AU150" i="6"/>
  <c r="AW150" i="6"/>
  <c r="AU145" i="6"/>
  <c r="AW145" i="6"/>
  <c r="AU143" i="6"/>
  <c r="AW143" i="6"/>
  <c r="AX143" i="6" s="1"/>
  <c r="AU134" i="6"/>
  <c r="AW134" i="6"/>
  <c r="AU119" i="6"/>
  <c r="AW119" i="6" s="1"/>
  <c r="AU116" i="6"/>
  <c r="AW116" i="6"/>
  <c r="AX116" i="6" s="1"/>
  <c r="AU94" i="6"/>
  <c r="AW94" i="6" s="1"/>
  <c r="AX94" i="6"/>
  <c r="AV202" i="6"/>
  <c r="AU195" i="6"/>
  <c r="AW195" i="6" s="1"/>
  <c r="AV171" i="6"/>
  <c r="AU162" i="6"/>
  <c r="AW162" i="6"/>
  <c r="AV187" i="6"/>
  <c r="AV148" i="6"/>
  <c r="AV132" i="6"/>
  <c r="AV118" i="6"/>
  <c r="AV100" i="6"/>
  <c r="AV151" i="6"/>
  <c r="AV119" i="6"/>
  <c r="AX119" i="6" s="1"/>
  <c r="AU174" i="6"/>
  <c r="AW174" i="6"/>
  <c r="AX174" i="6" s="1"/>
  <c r="AV133" i="6"/>
  <c r="AV137" i="6"/>
  <c r="AU203" i="6"/>
  <c r="AW203" i="6" s="1"/>
  <c r="AU201" i="6"/>
  <c r="AW201" i="6" s="1"/>
  <c r="AX201" i="6" s="1"/>
  <c r="AU199" i="6"/>
  <c r="AW199" i="6"/>
  <c r="AU187" i="6"/>
  <c r="AW187" i="6"/>
  <c r="AU169" i="6"/>
  <c r="AW169" i="6" s="1"/>
  <c r="AX169" i="6" s="1"/>
  <c r="AU127" i="6"/>
  <c r="AW127" i="6"/>
  <c r="AU120" i="6"/>
  <c r="AW120" i="6"/>
  <c r="AU101" i="6"/>
  <c r="AW101" i="6"/>
  <c r="AV196" i="6"/>
  <c r="AU189" i="6"/>
  <c r="AW189" i="6" s="1"/>
  <c r="AV170" i="6"/>
  <c r="AU163" i="6"/>
  <c r="AW163" i="6"/>
  <c r="AU159" i="6"/>
  <c r="AW159" i="6" s="1"/>
  <c r="AV185" i="6"/>
  <c r="AV150" i="6"/>
  <c r="AV134" i="6"/>
  <c r="AV116" i="6"/>
  <c r="AV102" i="6"/>
  <c r="AX102" i="6" s="1"/>
  <c r="AV180" i="6"/>
  <c r="AV127" i="6"/>
  <c r="AV95" i="6"/>
  <c r="AV125" i="6"/>
  <c r="AV121" i="6"/>
  <c r="AV190" i="6"/>
  <c r="AU158" i="6"/>
  <c r="AW158" i="6"/>
  <c r="AX158" i="6" s="1"/>
  <c r="AU148" i="6"/>
  <c r="AW148" i="6" s="1"/>
  <c r="AU138" i="6"/>
  <c r="AW138" i="6" s="1"/>
  <c r="AU136" i="6"/>
  <c r="AW136" i="6" s="1"/>
  <c r="AX136" i="6"/>
  <c r="AU202" i="6"/>
  <c r="AW202" i="6"/>
  <c r="AX202" i="6" s="1"/>
  <c r="AU198" i="6"/>
  <c r="AW198" i="6" s="1"/>
  <c r="AU184" i="6"/>
  <c r="AW184" i="6" s="1"/>
  <c r="AX184" i="6" s="1"/>
  <c r="AU170" i="6"/>
  <c r="AW170" i="6"/>
  <c r="AV161" i="6"/>
  <c r="AU188" i="6"/>
  <c r="AW188" i="6"/>
  <c r="AX188" i="6" s="1"/>
  <c r="AV152" i="6"/>
  <c r="AV122" i="6"/>
  <c r="AV131" i="6"/>
  <c r="AX131" i="6"/>
  <c r="AV149" i="6"/>
  <c r="AU178" i="6"/>
  <c r="AW178" i="6" s="1"/>
  <c r="AU183" i="6"/>
  <c r="AW183" i="6" s="1"/>
  <c r="AX183" i="6"/>
  <c r="AV179" i="6"/>
  <c r="AX179" i="6"/>
  <c r="AU157" i="6"/>
  <c r="AW157" i="6"/>
  <c r="AX157" i="6" s="1"/>
  <c r="AU109" i="6"/>
  <c r="AW109" i="6" s="1"/>
  <c r="AX109" i="6"/>
  <c r="AU194" i="6"/>
  <c r="AW194" i="6"/>
  <c r="AV168" i="6"/>
  <c r="AU173" i="6"/>
  <c r="AW173" i="6" s="1"/>
  <c r="AX173" i="6" s="1"/>
  <c r="AV138" i="6"/>
  <c r="AV106" i="6"/>
  <c r="AV135" i="6"/>
  <c r="AV141" i="6"/>
  <c r="AV145" i="6"/>
  <c r="AV194" i="6"/>
  <c r="AU147" i="6"/>
  <c r="AW147" i="6"/>
  <c r="AX147" i="6" s="1"/>
  <c r="AU139" i="6"/>
  <c r="AW139" i="6" s="1"/>
  <c r="AX139" i="6" s="1"/>
  <c r="AU118" i="6"/>
  <c r="AW118" i="6"/>
  <c r="AU196" i="6"/>
  <c r="AW196" i="6"/>
  <c r="AV200" i="6"/>
  <c r="AV183" i="6"/>
  <c r="AV114" i="6"/>
  <c r="AV111" i="6"/>
  <c r="AU197" i="6"/>
  <c r="AW197" i="6"/>
  <c r="AX197" i="6" s="1"/>
  <c r="AU155" i="6"/>
  <c r="AW155" i="6" s="1"/>
  <c r="AX155" i="6" s="1"/>
  <c r="AU142" i="6"/>
  <c r="AW142" i="6"/>
  <c r="AV198" i="6"/>
  <c r="AX198" i="6"/>
  <c r="AV164" i="6"/>
  <c r="AV98" i="6"/>
  <c r="AV109" i="6"/>
  <c r="AV80" i="6"/>
  <c r="AV72" i="6"/>
  <c r="AV64" i="6"/>
  <c r="AV56" i="6"/>
  <c r="AV48" i="6"/>
  <c r="AV40" i="6"/>
  <c r="AU91" i="6"/>
  <c r="AW91" i="6" s="1"/>
  <c r="AX91" i="6"/>
  <c r="AU90" i="6"/>
  <c r="AW90" i="6"/>
  <c r="AX90" i="6" s="1"/>
  <c r="AU80" i="6"/>
  <c r="AW80" i="6"/>
  <c r="AX80" i="6" s="1"/>
  <c r="AU70" i="6"/>
  <c r="AW70" i="6" s="1"/>
  <c r="AU65" i="6"/>
  <c r="AW65" i="6" s="1"/>
  <c r="AX65" i="6" s="1"/>
  <c r="AU63" i="6"/>
  <c r="AW63" i="6" s="1"/>
  <c r="AU48" i="6"/>
  <c r="AW48" i="6" s="1"/>
  <c r="AU38" i="6"/>
  <c r="AW38" i="6" s="1"/>
  <c r="AV88" i="6"/>
  <c r="AV78" i="6"/>
  <c r="AV70" i="6"/>
  <c r="AX70" i="6" s="1"/>
  <c r="AV62" i="6"/>
  <c r="AV54" i="6"/>
  <c r="AV46" i="6"/>
  <c r="AV38" i="6"/>
  <c r="AV89" i="6"/>
  <c r="AU141" i="6"/>
  <c r="AW141" i="6" s="1"/>
  <c r="AX141" i="6" s="1"/>
  <c r="AU113" i="6"/>
  <c r="AW113" i="6"/>
  <c r="AV177" i="6"/>
  <c r="AU181" i="6"/>
  <c r="AW181" i="6" s="1"/>
  <c r="AU160" i="6"/>
  <c r="AW160" i="6" s="1"/>
  <c r="AX160" i="6" s="1"/>
  <c r="AV155" i="6"/>
  <c r="AU88" i="6"/>
  <c r="AW88" i="6" s="1"/>
  <c r="AX88" i="6"/>
  <c r="AU85" i="6"/>
  <c r="AW85" i="6"/>
  <c r="AX85" i="6" s="1"/>
  <c r="AU82" i="6"/>
  <c r="AW82" i="6"/>
  <c r="AX82" i="6" s="1"/>
  <c r="AU69" i="6"/>
  <c r="AW69" i="6"/>
  <c r="AU50" i="6"/>
  <c r="AW50" i="6"/>
  <c r="AX50" i="6" s="1"/>
  <c r="AU37" i="6"/>
  <c r="AW37" i="6"/>
  <c r="AX37" i="6" s="1"/>
  <c r="AV77" i="6"/>
  <c r="AV61" i="6"/>
  <c r="AV45" i="6"/>
  <c r="AU86" i="6"/>
  <c r="AW86" i="6" s="1"/>
  <c r="AX86" i="6" s="1"/>
  <c r="AU57" i="6"/>
  <c r="AW57" i="6" s="1"/>
  <c r="AX57" i="6" s="1"/>
  <c r="AV84" i="6"/>
  <c r="AV68" i="6"/>
  <c r="AV52" i="6"/>
  <c r="AV36" i="6"/>
  <c r="AU137" i="6"/>
  <c r="AW137" i="6" s="1"/>
  <c r="AX137" i="6" s="1"/>
  <c r="AU105" i="6"/>
  <c r="AW105" i="6"/>
  <c r="AU186" i="6"/>
  <c r="AW186" i="6"/>
  <c r="AX186" i="6" s="1"/>
  <c r="AU161" i="6"/>
  <c r="AW161" i="6" s="1"/>
  <c r="AX161" i="6" s="1"/>
  <c r="AV143" i="6"/>
  <c r="AV191" i="6"/>
  <c r="AU114" i="6"/>
  <c r="AW114" i="6"/>
  <c r="AX114" i="6" s="1"/>
  <c r="AV112" i="6"/>
  <c r="AU89" i="6"/>
  <c r="AW89" i="6"/>
  <c r="AX89" i="6" s="1"/>
  <c r="AU68" i="6"/>
  <c r="AW68" i="6"/>
  <c r="AU51" i="6"/>
  <c r="AW51" i="6"/>
  <c r="AX51" i="6" s="1"/>
  <c r="AV82" i="6"/>
  <c r="AV66" i="6"/>
  <c r="AV50" i="6"/>
  <c r="AV85" i="6"/>
  <c r="AU71" i="6"/>
  <c r="AW71" i="6"/>
  <c r="AU62" i="6"/>
  <c r="AW62" i="6"/>
  <c r="AX62" i="6" s="1"/>
  <c r="AU56" i="6"/>
  <c r="AW56" i="6" s="1"/>
  <c r="AX56" i="6" s="1"/>
  <c r="AU39" i="6"/>
  <c r="AW39" i="6"/>
  <c r="AX39" i="6" s="1"/>
  <c r="AV79" i="6"/>
  <c r="AV63" i="6"/>
  <c r="AX63" i="6" s="1"/>
  <c r="AV47" i="6"/>
  <c r="AV83" i="6"/>
  <c r="AV162" i="6"/>
  <c r="AU135" i="6"/>
  <c r="AW135" i="6" s="1"/>
  <c r="AX135" i="6" s="1"/>
  <c r="AU125" i="6"/>
  <c r="AW125" i="6" s="1"/>
  <c r="AX125" i="6" s="1"/>
  <c r="AU111" i="6"/>
  <c r="AW111" i="6"/>
  <c r="AX111" i="6" s="1"/>
  <c r="AU103" i="6"/>
  <c r="AW103" i="6" s="1"/>
  <c r="AU182" i="6"/>
  <c r="AW182" i="6" s="1"/>
  <c r="AX182" i="6" s="1"/>
  <c r="AU168" i="6"/>
  <c r="AW168" i="6"/>
  <c r="AX168" i="6" s="1"/>
  <c r="AU191" i="6"/>
  <c r="AW191" i="6" s="1"/>
  <c r="AX191" i="6" s="1"/>
  <c r="AV165" i="6"/>
  <c r="AV146" i="6"/>
  <c r="AU172" i="6"/>
  <c r="AW172" i="6"/>
  <c r="AX172" i="6" s="1"/>
  <c r="AV117" i="6"/>
  <c r="AU185" i="6"/>
  <c r="AW185" i="6"/>
  <c r="AU171" i="6"/>
  <c r="AW171" i="6"/>
  <c r="AX171" i="6" s="1"/>
  <c r="AU107" i="6"/>
  <c r="AW107" i="6" s="1"/>
  <c r="AX107" i="6" s="1"/>
  <c r="AU100" i="6"/>
  <c r="AW100" i="6"/>
  <c r="AX100" i="6" s="1"/>
  <c r="AU190" i="6"/>
  <c r="AW190" i="6" s="1"/>
  <c r="AX190" i="6" s="1"/>
  <c r="AV130" i="6"/>
  <c r="AV123" i="6"/>
  <c r="AV92" i="6"/>
  <c r="AU77" i="6"/>
  <c r="AW77" i="6"/>
  <c r="AX77" i="6" s="1"/>
  <c r="AU76" i="6"/>
  <c r="AW76" i="6"/>
  <c r="AX76" i="6" s="1"/>
  <c r="AU75" i="6"/>
  <c r="AW75" i="6" s="1"/>
  <c r="AU74" i="6"/>
  <c r="AW74" i="6" s="1"/>
  <c r="AX74" i="6" s="1"/>
  <c r="AU61" i="6"/>
  <c r="AW61" i="6" s="1"/>
  <c r="AX61" i="6" s="1"/>
  <c r="AU60" i="6"/>
  <c r="AW60" i="6"/>
  <c r="AU59" i="6"/>
  <c r="AW59" i="6"/>
  <c r="AX59" i="6" s="1"/>
  <c r="AU58" i="6"/>
  <c r="AW58" i="6"/>
  <c r="AX58" i="6" s="1"/>
  <c r="AU45" i="6"/>
  <c r="AW45" i="6"/>
  <c r="AX45" i="6" s="1"/>
  <c r="AU44" i="6"/>
  <c r="AW44" i="6" s="1"/>
  <c r="AX44" i="6" s="1"/>
  <c r="AU43" i="6"/>
  <c r="AW43" i="6" s="1"/>
  <c r="AU42" i="6"/>
  <c r="AW42" i="6" s="1"/>
  <c r="AV86" i="6"/>
  <c r="AV75" i="6"/>
  <c r="AV67" i="6"/>
  <c r="AV59" i="6"/>
  <c r="AV51" i="6"/>
  <c r="AV43" i="6"/>
  <c r="AV87" i="6"/>
  <c r="AU83" i="6"/>
  <c r="AW83" i="6"/>
  <c r="AX83" i="6" s="1"/>
  <c r="AU81" i="6"/>
  <c r="AW81" i="6" s="1"/>
  <c r="AX81" i="6" s="1"/>
  <c r="AU79" i="6"/>
  <c r="AW79" i="6"/>
  <c r="AX79" i="6" s="1"/>
  <c r="AU64" i="6"/>
  <c r="AW64" i="6" s="1"/>
  <c r="AU54" i="6"/>
  <c r="AW54" i="6" s="1"/>
  <c r="AX54" i="6" s="1"/>
  <c r="AU49" i="6"/>
  <c r="AW49" i="6"/>
  <c r="AX49" i="6" s="1"/>
  <c r="AU47" i="6"/>
  <c r="AW47" i="6" s="1"/>
  <c r="AX47" i="6" s="1"/>
  <c r="AV81" i="6"/>
  <c r="AV73" i="6"/>
  <c r="AV65" i="6"/>
  <c r="AV57" i="6"/>
  <c r="AV49" i="6"/>
  <c r="AV41" i="6"/>
  <c r="AV91" i="6"/>
  <c r="AV178" i="6"/>
  <c r="AU132" i="6"/>
  <c r="AW132" i="6"/>
  <c r="AX132" i="6" s="1"/>
  <c r="AU200" i="6"/>
  <c r="AW200" i="6" s="1"/>
  <c r="AX200" i="6" s="1"/>
  <c r="AV96" i="6"/>
  <c r="AV163" i="6"/>
  <c r="AV144" i="6"/>
  <c r="AV97" i="6"/>
  <c r="AU67" i="6"/>
  <c r="AW67" i="6"/>
  <c r="AX67" i="6" s="1"/>
  <c r="AU52" i="6"/>
  <c r="AW52" i="6" s="1"/>
  <c r="AX52" i="6" s="1"/>
  <c r="AV90" i="6"/>
  <c r="AV69" i="6"/>
  <c r="AV53" i="6"/>
  <c r="AV37" i="6"/>
  <c r="AU78" i="6"/>
  <c r="AW78" i="6"/>
  <c r="AX78" i="6" s="1"/>
  <c r="AU72" i="6"/>
  <c r="AW72" i="6" s="1"/>
  <c r="AX72" i="6" s="1"/>
  <c r="AU55" i="6"/>
  <c r="AW55" i="6"/>
  <c r="AX55" i="6" s="1"/>
  <c r="AU46" i="6"/>
  <c r="AW46" i="6" s="1"/>
  <c r="AX46" i="6" s="1"/>
  <c r="AU40" i="6"/>
  <c r="AW40" i="6"/>
  <c r="AX40" i="6" s="1"/>
  <c r="AV76" i="6"/>
  <c r="AV60" i="6"/>
  <c r="AV44" i="6"/>
  <c r="AU149" i="6"/>
  <c r="AW149" i="6" s="1"/>
  <c r="AX149" i="6" s="1"/>
  <c r="AU123" i="6"/>
  <c r="AW123" i="6"/>
  <c r="AX123" i="6" s="1"/>
  <c r="AU164" i="6"/>
  <c r="AW164" i="6" s="1"/>
  <c r="AX164" i="6" s="1"/>
  <c r="AV128" i="6"/>
  <c r="AV105" i="6"/>
  <c r="AU151" i="6"/>
  <c r="AW151" i="6"/>
  <c r="AX151" i="6" s="1"/>
  <c r="AU93" i="6"/>
  <c r="AW93" i="6"/>
  <c r="AX93" i="6" s="1"/>
  <c r="AV182" i="6"/>
  <c r="AU92" i="6"/>
  <c r="AW92" i="6"/>
  <c r="AX92" i="6" s="1"/>
  <c r="AU87" i="6"/>
  <c r="AW87" i="6" s="1"/>
  <c r="AX87" i="6" s="1"/>
  <c r="AU84" i="6"/>
  <c r="AW84" i="6"/>
  <c r="AU66" i="6"/>
  <c r="AW66" i="6"/>
  <c r="AX66" i="6" s="1"/>
  <c r="AU53" i="6"/>
  <c r="AW53" i="6"/>
  <c r="AU36" i="6"/>
  <c r="AW36" i="6"/>
  <c r="AV74" i="6"/>
  <c r="AV58" i="6"/>
  <c r="AV42" i="6"/>
  <c r="AU73" i="6"/>
  <c r="AW73" i="6" s="1"/>
  <c r="AU41" i="6"/>
  <c r="AW41" i="6" s="1"/>
  <c r="AX41" i="6" s="1"/>
  <c r="AV71" i="6"/>
  <c r="AV55" i="6"/>
  <c r="AV39" i="6"/>
  <c r="O52" i="6"/>
  <c r="O51" i="6"/>
  <c r="W52" i="6"/>
  <c r="AV314" i="6"/>
  <c r="AV298" i="6"/>
  <c r="AV282" i="6"/>
  <c r="AV266" i="6"/>
  <c r="AU260" i="6"/>
  <c r="AW260" i="6"/>
  <c r="AX260" i="6" s="1"/>
  <c r="AV310" i="6"/>
  <c r="AU303" i="6"/>
  <c r="AW303" i="6"/>
  <c r="AX303" i="6" s="1"/>
  <c r="AU300" i="6"/>
  <c r="AW300" i="6"/>
  <c r="AX300" i="6" s="1"/>
  <c r="AV279" i="6"/>
  <c r="AU271" i="6"/>
  <c r="AW271" i="6" s="1"/>
  <c r="AU268" i="6"/>
  <c r="AW268" i="6" s="1"/>
  <c r="AU267" i="6"/>
  <c r="AW267" i="6" s="1"/>
  <c r="AX267" i="6" s="1"/>
  <c r="AU311" i="6"/>
  <c r="AW311" i="6" s="1"/>
  <c r="AX311" i="6" s="1"/>
  <c r="AU310" i="6"/>
  <c r="AW310" i="6" s="1"/>
  <c r="AX310" i="6" s="1"/>
  <c r="AU306" i="6"/>
  <c r="AW306" i="6"/>
  <c r="AU305" i="6"/>
  <c r="AW305" i="6"/>
  <c r="AU304" i="6"/>
  <c r="AW304" i="6" s="1"/>
  <c r="AX304" i="6" s="1"/>
  <c r="AV303" i="6"/>
  <c r="AU295" i="6"/>
  <c r="AW295" i="6"/>
  <c r="AX295" i="6" s="1"/>
  <c r="AU294" i="6"/>
  <c r="AW294" i="6"/>
  <c r="AU293" i="6"/>
  <c r="AW293" i="6"/>
  <c r="AU290" i="6"/>
  <c r="AW290" i="6"/>
  <c r="AX290" i="6" s="1"/>
  <c r="AU289" i="6"/>
  <c r="AW289" i="6" s="1"/>
  <c r="AX289" i="6" s="1"/>
  <c r="AV283" i="6"/>
  <c r="AU274" i="6"/>
  <c r="AW274" i="6" s="1"/>
  <c r="AX274" i="6" s="1"/>
  <c r="AU273" i="6"/>
  <c r="AW273" i="6"/>
  <c r="AX273" i="6" s="1"/>
  <c r="AV267" i="6"/>
  <c r="AV306" i="6"/>
  <c r="AU298" i="6"/>
  <c r="AW298" i="6"/>
  <c r="AX298" i="6" s="1"/>
  <c r="AV274" i="6"/>
  <c r="AU266" i="6"/>
  <c r="AW266" i="6"/>
  <c r="AX266" i="6" s="1"/>
  <c r="AV289" i="6"/>
  <c r="AU287" i="6"/>
  <c r="AW287" i="6"/>
  <c r="AX287" i="6" s="1"/>
  <c r="AU286" i="6"/>
  <c r="AW286" i="6" s="1"/>
  <c r="AV263" i="6"/>
  <c r="AV290" i="6"/>
  <c r="AU280" i="6"/>
  <c r="AW280" i="6" s="1"/>
  <c r="AX280" i="6" s="1"/>
  <c r="AV302" i="6"/>
  <c r="AV286" i="6"/>
  <c r="AV270" i="6"/>
  <c r="AU263" i="6"/>
  <c r="AW263" i="6" s="1"/>
  <c r="AX263" i="6" s="1"/>
  <c r="AU262" i="6"/>
  <c r="AW262" i="6" s="1"/>
  <c r="AX262" i="6" s="1"/>
  <c r="AU261" i="6"/>
  <c r="AW261" i="6" s="1"/>
  <c r="AX261" i="6" s="1"/>
  <c r="AV307" i="6"/>
  <c r="AV275" i="6"/>
  <c r="AU264" i="6"/>
  <c r="AW264" i="6"/>
  <c r="AV315" i="6"/>
  <c r="AU309" i="6"/>
  <c r="AW309" i="6" s="1"/>
  <c r="AU308" i="6"/>
  <c r="AW308" i="6" s="1"/>
  <c r="AV299" i="6"/>
  <c r="AU292" i="6"/>
  <c r="AW292" i="6"/>
  <c r="AX292" i="6" s="1"/>
  <c r="AU291" i="6"/>
  <c r="AW291" i="6" s="1"/>
  <c r="AX291" i="6" s="1"/>
  <c r="AU288" i="6"/>
  <c r="AW288" i="6" s="1"/>
  <c r="AX288" i="6" s="1"/>
  <c r="AV287" i="6"/>
  <c r="AU279" i="6"/>
  <c r="AW279" i="6" s="1"/>
  <c r="AX279" i="6" s="1"/>
  <c r="AU272" i="6"/>
  <c r="AW272" i="6"/>
  <c r="AV271" i="6"/>
  <c r="AV311" i="6"/>
  <c r="AU302" i="6"/>
  <c r="AW302" i="6"/>
  <c r="AX302" i="6" s="1"/>
  <c r="AV278" i="6"/>
  <c r="AU270" i="6"/>
  <c r="AW270" i="6"/>
  <c r="AX270" i="6" s="1"/>
  <c r="AU314" i="6"/>
  <c r="AW314" i="6" s="1"/>
  <c r="AU281" i="6"/>
  <c r="AW281" i="6" s="1"/>
  <c r="AX281" i="6" s="1"/>
  <c r="AV260" i="6"/>
  <c r="AV262" i="6"/>
  <c r="AV288" i="6"/>
  <c r="AV291" i="6"/>
  <c r="AV261" i="6"/>
  <c r="AV296" i="6"/>
  <c r="AV265" i="6"/>
  <c r="AU296" i="6"/>
  <c r="AW296" i="6" s="1"/>
  <c r="AX296" i="6" s="1"/>
  <c r="AV313" i="6"/>
  <c r="AV285" i="6"/>
  <c r="AU275" i="6"/>
  <c r="AW275" i="6"/>
  <c r="AV304" i="6"/>
  <c r="AV272" i="6"/>
  <c r="AV293" i="6"/>
  <c r="AV294" i="6"/>
  <c r="AU312" i="6"/>
  <c r="AW312" i="6"/>
  <c r="AV284" i="6"/>
  <c r="AU299" i="6"/>
  <c r="AW299" i="6" s="1"/>
  <c r="AX299" i="6" s="1"/>
  <c r="AV297" i="6"/>
  <c r="AU297" i="6"/>
  <c r="AW297" i="6" s="1"/>
  <c r="AX297" i="6" s="1"/>
  <c r="AU265" i="6"/>
  <c r="AW265" i="6"/>
  <c r="AX265" i="6" s="1"/>
  <c r="AU282" i="6"/>
  <c r="AW282" i="6" s="1"/>
  <c r="AV300" i="6"/>
  <c r="AU307" i="6"/>
  <c r="AW307" i="6"/>
  <c r="AX307" i="6" s="1"/>
  <c r="AU276" i="6"/>
  <c r="AW276" i="6"/>
  <c r="AV309" i="6"/>
  <c r="AU315" i="6"/>
  <c r="AW315" i="6"/>
  <c r="AX315" i="6" s="1"/>
  <c r="AV312" i="6"/>
  <c r="AV280" i="6"/>
  <c r="AV305" i="6"/>
  <c r="AV277" i="6"/>
  <c r="AV301" i="6"/>
  <c r="AU277" i="6"/>
  <c r="AW277" i="6"/>
  <c r="AX277" i="6" s="1"/>
  <c r="AV264" i="6"/>
  <c r="AU301" i="6"/>
  <c r="AW301" i="6"/>
  <c r="AX301" i="6" s="1"/>
  <c r="AU269" i="6"/>
  <c r="AW269" i="6" s="1"/>
  <c r="AV295" i="6"/>
  <c r="AU284" i="6"/>
  <c r="AW284" i="6" s="1"/>
  <c r="AX284" i="6" s="1"/>
  <c r="AU313" i="6"/>
  <c r="AW313" i="6"/>
  <c r="AX313" i="6" s="1"/>
  <c r="AU283" i="6"/>
  <c r="AW283" i="6"/>
  <c r="AX283" i="6" s="1"/>
  <c r="AV308" i="6"/>
  <c r="AV273" i="6"/>
  <c r="AU278" i="6"/>
  <c r="AW278" i="6" s="1"/>
  <c r="AV268" i="6"/>
  <c r="AU285" i="6"/>
  <c r="AW285" i="6"/>
  <c r="AX285" i="6" s="1"/>
  <c r="AV269" i="6"/>
  <c r="AX269" i="6" s="1"/>
  <c r="AV281" i="6"/>
  <c r="AV276" i="6"/>
  <c r="AV292" i="6"/>
  <c r="P51" i="6"/>
  <c r="I198" i="6"/>
  <c r="I216" i="6"/>
  <c r="I228" i="6"/>
  <c r="I207" i="6"/>
  <c r="I212" i="6"/>
  <c r="I137" i="6"/>
  <c r="I363" i="6"/>
  <c r="I371" i="6"/>
  <c r="I367" i="6"/>
  <c r="I370" i="6"/>
  <c r="I28" i="6"/>
  <c r="AX376" i="6"/>
  <c r="N52" i="6"/>
  <c r="AX130" i="6"/>
  <c r="I222" i="6"/>
  <c r="I352" i="6"/>
  <c r="I373" i="6"/>
  <c r="I364" i="6"/>
  <c r="I375" i="6"/>
  <c r="I135" i="6"/>
  <c r="AX165" i="6"/>
  <c r="AX110" i="6"/>
  <c r="AX133" i="6"/>
  <c r="AX97" i="6"/>
  <c r="BE369" i="6"/>
  <c r="BE370" i="6"/>
  <c r="BE368" i="6"/>
  <c r="BE367" i="6"/>
  <c r="AE367" i="1" s="1"/>
  <c r="BE366" i="6"/>
  <c r="Q366" i="1" s="1"/>
  <c r="BE365" i="6"/>
  <c r="AE365" i="1" s="1"/>
  <c r="BE364" i="6"/>
  <c r="Q364" i="1" s="1"/>
  <c r="BE363" i="6"/>
  <c r="AE363" i="1" s="1"/>
  <c r="BE362" i="6"/>
  <c r="BE361" i="6"/>
  <c r="AE361" i="1" s="1"/>
  <c r="BE360" i="6"/>
  <c r="Q360" i="1" s="1"/>
  <c r="BE359" i="6"/>
  <c r="Q359" i="1" s="1"/>
  <c r="BE358" i="6"/>
  <c r="Q358" i="1" s="1"/>
  <c r="BE357" i="6"/>
  <c r="Q357" i="1" s="1"/>
  <c r="BE356" i="6"/>
  <c r="AE356" i="1" s="1"/>
  <c r="BE355" i="6"/>
  <c r="AE355" i="1" s="1"/>
  <c r="BE354" i="6"/>
  <c r="AE354" i="1" s="1"/>
  <c r="BE353" i="6"/>
  <c r="Q353" i="1" s="1"/>
  <c r="BE352" i="6"/>
  <c r="BE351" i="6"/>
  <c r="AE351" i="1" s="1"/>
  <c r="BE350" i="6"/>
  <c r="BE349" i="6"/>
  <c r="AE349" i="1" s="1"/>
  <c r="BE348" i="6"/>
  <c r="BE347" i="6"/>
  <c r="Q347" i="1" s="1"/>
  <c r="BE346" i="6"/>
  <c r="Q346" i="1" s="1"/>
  <c r="BE345" i="6"/>
  <c r="AE345" i="1" s="1"/>
  <c r="BE344" i="6"/>
  <c r="AE344" i="1" s="1"/>
  <c r="BE343" i="6"/>
  <c r="AE343" i="1" s="1"/>
  <c r="BE342" i="6"/>
  <c r="Q342" i="1" s="1"/>
  <c r="BE341" i="6"/>
  <c r="AE341" i="1" s="1"/>
  <c r="BE340" i="6"/>
  <c r="Q340" i="1" s="1"/>
  <c r="BE339" i="6"/>
  <c r="Q339" i="1" s="1"/>
  <c r="BE338" i="6"/>
  <c r="AE338" i="1" s="1"/>
  <c r="BE337" i="6"/>
  <c r="AE337" i="1" s="1"/>
  <c r="BE336" i="6"/>
  <c r="AE336" i="1" s="1"/>
  <c r="BE335" i="6"/>
  <c r="AE335" i="1" s="1"/>
  <c r="BE334" i="6"/>
  <c r="Q334" i="1" s="1"/>
  <c r="BE333" i="6"/>
  <c r="BE332" i="6"/>
  <c r="BE331" i="6"/>
  <c r="AE331" i="1" s="1"/>
  <c r="BE330" i="6"/>
  <c r="Q330" i="1" s="1"/>
  <c r="BE329" i="6"/>
  <c r="Q329" i="1" s="1"/>
  <c r="BE328" i="6"/>
  <c r="AE328" i="1" s="1"/>
  <c r="BE327" i="6"/>
  <c r="BE326" i="6"/>
  <c r="BE325" i="6"/>
  <c r="Q325" i="1" s="1"/>
  <c r="BE324" i="6"/>
  <c r="Q324" i="1" s="1"/>
  <c r="BE323" i="6"/>
  <c r="AE323" i="1" s="1"/>
  <c r="BE322" i="6"/>
  <c r="AE322" i="1" s="1"/>
  <c r="BE321" i="6"/>
  <c r="Q321" i="1" s="1"/>
  <c r="BE320" i="6"/>
  <c r="BE319" i="6"/>
  <c r="AE319" i="1" s="1"/>
  <c r="BE318" i="6"/>
  <c r="BE317" i="6"/>
  <c r="Q317" i="1" s="1"/>
  <c r="BE316" i="6"/>
  <c r="BE315" i="6"/>
  <c r="Q315" i="1" s="1"/>
  <c r="BE314" i="6"/>
  <c r="Q314" i="1" s="1"/>
  <c r="BE313" i="6"/>
  <c r="Q313" i="1" s="1"/>
  <c r="BE312" i="6"/>
  <c r="Q312" i="1" s="1"/>
  <c r="BE311" i="6"/>
  <c r="Q311" i="1" s="1"/>
  <c r="BE310" i="6"/>
  <c r="AE310" i="1" s="1"/>
  <c r="BE309" i="6"/>
  <c r="BE308" i="6"/>
  <c r="AE308" i="1" s="1"/>
  <c r="BE307" i="6"/>
  <c r="Q307" i="1" s="1"/>
  <c r="BE306" i="6"/>
  <c r="BE305" i="6"/>
  <c r="Q305" i="1" s="1"/>
  <c r="BE304" i="6"/>
  <c r="BE303" i="6"/>
  <c r="BE302" i="6"/>
  <c r="BE301" i="6"/>
  <c r="AE301" i="1" s="1"/>
  <c r="BE300" i="6"/>
  <c r="Q300" i="1" s="1"/>
  <c r="BE299" i="6"/>
  <c r="Q299" i="1" s="1"/>
  <c r="BE298" i="6"/>
  <c r="Q298" i="1" s="1"/>
  <c r="BE297" i="6"/>
  <c r="AE297" i="1" s="1"/>
  <c r="BE296" i="6"/>
  <c r="AE296" i="1" s="1"/>
  <c r="BE295" i="6"/>
  <c r="AE295" i="1" s="1"/>
  <c r="BE294" i="6"/>
  <c r="Q294" i="1" s="1"/>
  <c r="BE293" i="6"/>
  <c r="Q293" i="1" s="1"/>
  <c r="BE292" i="6"/>
  <c r="AE292" i="1" s="1"/>
  <c r="BE291" i="6"/>
  <c r="BE290" i="6"/>
  <c r="AE290" i="1" s="1"/>
  <c r="BE289" i="6"/>
  <c r="Q289" i="1" s="1"/>
  <c r="BE288" i="6"/>
  <c r="BE287" i="6"/>
  <c r="Q287" i="1" s="1"/>
  <c r="BE286" i="6"/>
  <c r="BE285" i="6"/>
  <c r="BE284" i="6"/>
  <c r="Q284" i="1" s="1"/>
  <c r="BE283" i="6"/>
  <c r="AE283" i="1" s="1"/>
  <c r="BE282" i="6"/>
  <c r="Q282" i="1" s="1"/>
  <c r="BE281" i="6"/>
  <c r="AE281" i="1" s="1"/>
  <c r="BE280" i="6"/>
  <c r="AE280" i="1" s="1"/>
  <c r="BE279" i="6"/>
  <c r="AE279" i="1" s="1"/>
  <c r="BE278" i="6"/>
  <c r="AE278" i="1" s="1"/>
  <c r="BE277" i="6"/>
  <c r="AE277" i="1" s="1"/>
  <c r="BE276" i="6"/>
  <c r="BE275" i="6"/>
  <c r="Q275" i="1" s="1"/>
  <c r="BE274" i="6"/>
  <c r="AE274" i="1" s="1"/>
  <c r="BE273" i="6"/>
  <c r="Q273" i="1" s="1"/>
  <c r="BE272" i="6"/>
  <c r="BE271" i="6"/>
  <c r="AE271" i="1" s="1"/>
  <c r="BE270" i="6"/>
  <c r="Q270" i="1" s="1"/>
  <c r="BE269" i="6"/>
  <c r="AE269" i="1" s="1"/>
  <c r="BE268" i="6"/>
  <c r="BE267" i="6"/>
  <c r="Q267" i="1" s="1"/>
  <c r="BE266" i="6"/>
  <c r="Q266" i="1" s="1"/>
  <c r="BE265" i="6"/>
  <c r="BE264" i="6"/>
  <c r="BE263" i="6"/>
  <c r="Q263" i="1" s="1"/>
  <c r="BE262" i="6"/>
  <c r="BE261" i="6"/>
  <c r="Q261" i="1" s="1"/>
  <c r="BE260" i="6"/>
  <c r="BE259" i="6"/>
  <c r="BE258" i="6"/>
  <c r="AE258" i="1" s="1"/>
  <c r="BE257" i="6"/>
  <c r="AE257" i="1" s="1"/>
  <c r="BE256" i="6"/>
  <c r="AE256" i="1" s="1"/>
  <c r="BE255" i="6"/>
  <c r="Q255" i="1" s="1"/>
  <c r="BE254" i="6"/>
  <c r="Q254" i="1" s="1"/>
  <c r="BE253" i="6"/>
  <c r="Q253" i="1" s="1"/>
  <c r="BE252" i="6"/>
  <c r="Q252" i="1" s="1"/>
  <c r="BE251" i="6"/>
  <c r="AE251" i="1" s="1"/>
  <c r="BE250" i="6"/>
  <c r="Q250" i="1" s="1"/>
  <c r="BE249" i="6"/>
  <c r="Q249" i="1" s="1"/>
  <c r="BE248" i="6"/>
  <c r="BE247" i="6"/>
  <c r="AE247" i="1" s="1"/>
  <c r="BE246" i="6"/>
  <c r="Q246" i="1" s="1"/>
  <c r="BE245" i="6"/>
  <c r="AE245" i="1" s="1"/>
  <c r="BE244" i="6"/>
  <c r="BE243" i="6"/>
  <c r="Q243" i="1" s="1"/>
  <c r="BE242" i="6"/>
  <c r="Q242" i="1" s="1"/>
  <c r="BE241" i="6"/>
  <c r="AE241" i="1" s="1"/>
  <c r="BE240" i="6"/>
  <c r="Q240" i="1" s="1"/>
  <c r="BE239" i="6"/>
  <c r="AE239" i="1" s="1"/>
  <c r="BE238" i="6"/>
  <c r="AE238" i="1" s="1"/>
  <c r="BE237" i="6"/>
  <c r="AE237" i="1" s="1"/>
  <c r="BE236" i="6"/>
  <c r="AE236" i="1" s="1"/>
  <c r="BE235" i="6"/>
  <c r="AE235" i="1" s="1"/>
  <c r="BE234" i="6"/>
  <c r="BE233" i="6"/>
  <c r="Q233" i="1" s="1"/>
  <c r="BE232" i="6"/>
  <c r="AE232" i="1" s="1"/>
  <c r="BE231" i="6"/>
  <c r="Q231" i="1" s="1"/>
  <c r="BE230" i="6"/>
  <c r="BE229" i="6"/>
  <c r="AE229" i="1" s="1"/>
  <c r="BE228" i="6"/>
  <c r="BE227" i="6"/>
  <c r="BE226" i="6"/>
  <c r="Q226" i="1" s="1"/>
  <c r="BE225" i="6"/>
  <c r="Q225" i="1" s="1"/>
  <c r="BE224" i="6"/>
  <c r="Q224" i="1" s="1"/>
  <c r="BE223" i="6"/>
  <c r="AE223" i="1" s="1"/>
  <c r="BE222" i="6"/>
  <c r="Q222" i="1" s="1"/>
  <c r="BE221" i="6"/>
  <c r="BE220" i="6"/>
  <c r="BE219" i="6"/>
  <c r="AE219" i="1" s="1"/>
  <c r="BE218" i="6"/>
  <c r="Q218" i="1" s="1"/>
  <c r="BE217" i="6"/>
  <c r="AE217" i="1" s="1"/>
  <c r="BE216" i="6"/>
  <c r="Q216" i="1" s="1"/>
  <c r="BE215" i="6"/>
  <c r="Q215" i="1" s="1"/>
  <c r="BE214" i="6"/>
  <c r="AE214" i="1" s="1"/>
  <c r="BE213" i="6"/>
  <c r="Q213" i="1" s="1"/>
  <c r="BE212" i="6"/>
  <c r="BE211" i="6"/>
  <c r="BE210" i="6"/>
  <c r="AE210" i="1" s="1"/>
  <c r="BE209" i="6"/>
  <c r="Q209" i="1" s="1"/>
  <c r="BE208" i="6"/>
  <c r="AE208" i="1" s="1"/>
  <c r="BE207" i="6"/>
  <c r="BE206" i="6"/>
  <c r="Q206" i="1" s="1"/>
  <c r="BE205" i="6"/>
  <c r="AE205" i="1" s="1"/>
  <c r="BE204" i="6"/>
  <c r="Q204" i="1" s="1"/>
  <c r="BE203" i="6"/>
  <c r="AE203" i="1" s="1"/>
  <c r="BE202" i="6"/>
  <c r="BE201" i="6"/>
  <c r="Q201" i="1" s="1"/>
  <c r="BE200" i="6"/>
  <c r="BE199" i="6"/>
  <c r="Q199" i="1" s="1"/>
  <c r="BE198" i="6"/>
  <c r="BE197" i="6"/>
  <c r="AE197" i="1" s="1"/>
  <c r="BE196" i="6"/>
  <c r="Q196" i="1" s="1"/>
  <c r="BE195" i="6"/>
  <c r="AE195" i="1" s="1"/>
  <c r="BE194" i="6"/>
  <c r="Q194" i="1" s="1"/>
  <c r="BE193" i="6"/>
  <c r="AE193" i="1" s="1"/>
  <c r="BE192" i="6"/>
  <c r="AE192" i="1" s="1"/>
  <c r="BE191" i="6"/>
  <c r="Q191" i="1" s="1"/>
  <c r="BE190" i="6"/>
  <c r="AE190" i="1" s="1"/>
  <c r="BE189" i="6"/>
  <c r="AE189" i="1" s="1"/>
  <c r="BE188" i="6"/>
  <c r="Q188" i="1" s="1"/>
  <c r="BE187" i="6"/>
  <c r="AE187" i="1" s="1"/>
  <c r="BE186" i="6"/>
  <c r="Q186" i="1" s="1"/>
  <c r="BE185" i="6"/>
  <c r="Q185" i="1" s="1"/>
  <c r="BE184" i="6"/>
  <c r="BE183" i="6"/>
  <c r="Q183" i="1" s="1"/>
  <c r="BE182" i="6"/>
  <c r="BE181" i="6"/>
  <c r="Q181" i="1" s="1"/>
  <c r="BE180" i="6"/>
  <c r="Q180" i="1" s="1"/>
  <c r="BE179" i="6"/>
  <c r="AE179" i="1" s="1"/>
  <c r="BE178" i="6"/>
  <c r="AE178" i="1" s="1"/>
  <c r="BE177" i="6"/>
  <c r="AE177" i="1" s="1"/>
  <c r="BE176" i="6"/>
  <c r="AE176" i="1" s="1"/>
  <c r="BE175" i="6"/>
  <c r="Q175" i="1" s="1"/>
  <c r="BE174" i="6"/>
  <c r="Q174" i="1" s="1"/>
  <c r="BE173" i="6"/>
  <c r="Q173" i="1" s="1"/>
  <c r="BE172" i="6"/>
  <c r="BE171" i="6"/>
  <c r="BE170" i="6"/>
  <c r="BE169" i="6"/>
  <c r="Q169" i="1" s="1"/>
  <c r="BE168" i="6"/>
  <c r="Q168" i="1" s="1"/>
  <c r="BE167" i="6"/>
  <c r="Q167" i="1" s="1"/>
  <c r="BE166" i="6"/>
  <c r="AE166" i="1" s="1"/>
  <c r="BE165" i="6"/>
  <c r="AE165" i="1" s="1"/>
  <c r="BE164" i="6"/>
  <c r="BE163" i="6"/>
  <c r="BE162" i="6"/>
  <c r="Q162" i="1" s="1"/>
  <c r="BE161" i="6"/>
  <c r="Q161" i="1" s="1"/>
  <c r="BE160" i="6"/>
  <c r="AE160" i="1" s="1"/>
  <c r="BE159" i="6"/>
  <c r="BE158" i="6"/>
  <c r="AE158" i="1" s="1"/>
  <c r="BE157" i="6"/>
  <c r="Q157" i="1" s="1"/>
  <c r="BE156" i="6"/>
  <c r="AE156" i="1" s="1"/>
  <c r="BE155" i="6"/>
  <c r="AE155" i="1" s="1"/>
  <c r="BE154" i="6"/>
  <c r="BE153" i="6"/>
  <c r="AE153" i="1" s="1"/>
  <c r="BE152" i="6"/>
  <c r="Q152" i="1" s="1"/>
  <c r="BE151" i="6"/>
  <c r="AE151" i="1" s="1"/>
  <c r="BE150" i="6"/>
  <c r="AE150" i="1" s="1"/>
  <c r="BE149" i="6"/>
  <c r="AE149" i="1" s="1"/>
  <c r="BE148" i="6"/>
  <c r="AE148" i="1" s="1"/>
  <c r="BE147" i="6"/>
  <c r="AE147" i="1" s="1"/>
  <c r="BE146" i="6"/>
  <c r="AE146" i="1" s="1"/>
  <c r="BE145" i="6"/>
  <c r="Q145" i="1" s="1"/>
  <c r="BE144" i="6"/>
  <c r="BE143" i="6"/>
  <c r="Q143" i="1" s="1"/>
  <c r="BE142" i="6"/>
  <c r="BE141" i="6"/>
  <c r="AE141" i="1" s="1"/>
  <c r="BE140" i="6"/>
  <c r="Q140" i="1" s="1"/>
  <c r="BE139" i="6"/>
  <c r="Q139" i="1" s="1"/>
  <c r="BE138" i="6"/>
  <c r="BE137" i="6"/>
  <c r="AE137" i="1" s="1"/>
  <c r="BE136" i="6"/>
  <c r="Q136" i="1" s="1"/>
  <c r="BE135" i="6"/>
  <c r="AE135" i="1" s="1"/>
  <c r="BE134" i="6"/>
  <c r="AE134" i="1" s="1"/>
  <c r="BE133" i="6"/>
  <c r="Q133" i="1" s="1"/>
  <c r="BE132" i="6"/>
  <c r="BE131" i="6"/>
  <c r="Q131" i="1" s="1"/>
  <c r="BE130" i="6"/>
  <c r="BE129" i="6"/>
  <c r="Q129" i="1" s="1"/>
  <c r="BE128" i="6"/>
  <c r="BE127" i="6"/>
  <c r="BE126" i="6"/>
  <c r="BE125" i="6"/>
  <c r="AE125" i="1" s="1"/>
  <c r="BE124" i="6"/>
  <c r="AE124" i="1" s="1"/>
  <c r="BE123" i="6"/>
  <c r="Q123" i="1" s="1"/>
  <c r="BE122" i="6"/>
  <c r="Q122" i="1" s="1"/>
  <c r="BE121" i="6"/>
  <c r="Q121" i="1" s="1"/>
  <c r="BE120" i="6"/>
  <c r="BE119" i="6"/>
  <c r="Q119" i="1" s="1"/>
  <c r="BE118" i="6"/>
  <c r="BE117" i="6"/>
  <c r="BE116" i="6"/>
  <c r="AE116" i="1" s="1"/>
  <c r="BE115" i="6"/>
  <c r="AE115" i="1" s="1"/>
  <c r="BE114" i="6"/>
  <c r="BE113" i="6"/>
  <c r="Q113" i="1" s="1"/>
  <c r="BE112" i="6"/>
  <c r="BE111" i="6"/>
  <c r="AE111" i="1" s="1"/>
  <c r="BE110" i="6"/>
  <c r="BE109" i="6"/>
  <c r="Q109" i="1" s="1"/>
  <c r="BE108" i="6"/>
  <c r="AE108" i="1" s="1"/>
  <c r="BE107" i="6"/>
  <c r="AE107" i="1" s="1"/>
  <c r="BE106" i="6"/>
  <c r="BE105" i="6"/>
  <c r="Q105" i="1" s="1"/>
  <c r="BE104" i="6"/>
  <c r="BE103" i="6"/>
  <c r="AE103" i="1" s="1"/>
  <c r="BE102" i="6"/>
  <c r="Q102" i="1" s="1"/>
  <c r="BE101" i="6"/>
  <c r="Q101" i="1" s="1"/>
  <c r="BE100" i="6"/>
  <c r="BE99" i="6"/>
  <c r="Q99" i="1" s="1"/>
  <c r="BE98" i="6"/>
  <c r="Q98" i="1" s="1"/>
  <c r="BE97" i="6"/>
  <c r="Q97" i="1" s="1"/>
  <c r="BE96" i="6"/>
  <c r="AE96" i="1" s="1"/>
  <c r="BE95" i="6"/>
  <c r="Q95" i="1" s="1"/>
  <c r="BE94" i="6"/>
  <c r="BE93" i="6"/>
  <c r="AE93" i="1" s="1"/>
  <c r="BE92" i="6"/>
  <c r="BE91" i="6"/>
  <c r="Q91" i="1" s="1"/>
  <c r="BE90" i="6"/>
  <c r="BE89" i="6"/>
  <c r="Q89" i="1" s="1"/>
  <c r="BE88" i="6"/>
  <c r="AE88" i="1" s="1"/>
  <c r="BE87" i="6"/>
  <c r="BE86" i="6"/>
  <c r="Q86" i="1" s="1"/>
  <c r="BE85" i="6"/>
  <c r="BE84" i="6"/>
  <c r="BE83" i="6"/>
  <c r="Q83" i="1" s="1"/>
  <c r="BE82" i="6"/>
  <c r="BE81" i="6"/>
  <c r="Q81" i="1" s="1"/>
  <c r="BE80" i="6"/>
  <c r="BE79" i="6"/>
  <c r="AE79" i="1" s="1"/>
  <c r="BE78" i="6"/>
  <c r="AE78" i="1" s="1"/>
  <c r="BE77" i="6"/>
  <c r="Q77" i="1" s="1"/>
  <c r="BE76" i="6"/>
  <c r="AE76" i="1" s="1"/>
  <c r="BE75" i="6"/>
  <c r="BE74" i="6"/>
  <c r="AE74" i="1" s="1"/>
  <c r="BE73" i="6"/>
  <c r="Q73" i="1" s="1"/>
  <c r="BE72" i="6"/>
  <c r="BE71" i="6"/>
  <c r="AE71" i="1" s="1"/>
  <c r="BE70" i="6"/>
  <c r="BE69" i="6"/>
  <c r="Q69" i="1" s="1"/>
  <c r="BE68" i="6"/>
  <c r="BE67" i="6"/>
  <c r="AE67" i="1" s="1"/>
  <c r="BE66" i="6"/>
  <c r="BE65" i="6"/>
  <c r="AE65" i="1" s="1"/>
  <c r="BE64" i="6"/>
  <c r="AE64" i="1" s="1"/>
  <c r="BE63" i="6"/>
  <c r="AE63" i="1" s="1"/>
  <c r="BE62" i="6"/>
  <c r="Q62" i="1" s="1"/>
  <c r="BE61" i="6"/>
  <c r="Q61" i="1" s="1"/>
  <c r="BE60" i="6"/>
  <c r="BE59" i="6"/>
  <c r="AE59" i="1" s="1"/>
  <c r="BE58" i="6"/>
  <c r="Q58" i="1" s="1"/>
  <c r="BE57" i="6"/>
  <c r="Q57" i="1" s="1"/>
  <c r="BE56" i="6"/>
  <c r="Q56" i="1" s="1"/>
  <c r="BE55" i="6"/>
  <c r="Q55" i="1" s="1"/>
  <c r="BE54" i="6"/>
  <c r="BE53" i="6"/>
  <c r="Q53" i="1" s="1"/>
  <c r="BE52" i="6"/>
  <c r="BE51" i="6"/>
  <c r="Q51" i="1" s="1"/>
  <c r="BE50" i="6"/>
  <c r="BE49" i="6"/>
  <c r="BE48" i="6"/>
  <c r="BE47" i="6"/>
  <c r="Q47" i="1" s="1"/>
  <c r="BE46" i="6"/>
  <c r="Q46" i="1" s="1"/>
  <c r="BE45" i="6"/>
  <c r="AE45" i="1" s="1"/>
  <c r="BE44" i="6"/>
  <c r="AE44" i="1" s="1"/>
  <c r="BE43" i="6"/>
  <c r="Q43" i="1" s="1"/>
  <c r="BE42" i="6"/>
  <c r="BE41" i="6"/>
  <c r="Q41" i="1" s="1"/>
  <c r="BE40" i="6"/>
  <c r="Q40" i="1" s="1"/>
  <c r="BE39" i="6"/>
  <c r="Q39" i="1" s="1"/>
  <c r="BE38" i="6"/>
  <c r="BE37" i="6"/>
  <c r="BE36" i="6"/>
  <c r="BE35" i="6"/>
  <c r="AE35" i="1" s="1"/>
  <c r="BE34" i="6"/>
  <c r="BE33" i="6"/>
  <c r="Q33" i="1" s="1"/>
  <c r="BE32" i="6"/>
  <c r="BE31" i="6"/>
  <c r="AE31" i="1" s="1"/>
  <c r="BE30" i="6"/>
  <c r="BE29" i="6"/>
  <c r="AE29" i="1" s="1"/>
  <c r="BE28" i="6"/>
  <c r="Q28" i="1" s="1"/>
  <c r="BE27" i="6"/>
  <c r="Q27" i="1" s="1"/>
  <c r="BE26" i="6"/>
  <c r="AE26" i="1" s="1"/>
  <c r="BE25" i="6"/>
  <c r="Q25" i="1" s="1"/>
  <c r="BE24" i="6"/>
  <c r="BE23" i="6"/>
  <c r="AE23" i="1" s="1"/>
  <c r="BE22" i="6"/>
  <c r="BE21" i="6"/>
  <c r="Q21" i="1" s="1"/>
  <c r="BE20" i="6"/>
  <c r="BE19" i="6"/>
  <c r="AE19" i="1" s="1"/>
  <c r="BE18" i="6"/>
  <c r="BE17" i="6"/>
  <c r="AE17" i="1" s="1"/>
  <c r="BE16" i="6"/>
  <c r="BE15" i="6"/>
  <c r="P12" i="1" s="1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Q372" i="1" s="1"/>
  <c r="BE373" i="6"/>
  <c r="Q373" i="1" s="1"/>
  <c r="BE374" i="6"/>
  <c r="Q374" i="1" s="1"/>
  <c r="BE375" i="6"/>
  <c r="Q375" i="1" s="1"/>
  <c r="BE376" i="6"/>
  <c r="BE377" i="6"/>
  <c r="BE378" i="6"/>
  <c r="Q378" i="1" s="1"/>
  <c r="BE379" i="6"/>
  <c r="AE379" i="1" s="1"/>
  <c r="AE12" i="15" s="1"/>
  <c r="BE380" i="6"/>
  <c r="Y14" i="1"/>
  <c r="F14" i="1"/>
  <c r="L1" i="1"/>
  <c r="A11" i="19"/>
  <c r="A35" i="19" s="1"/>
  <c r="J1" i="15"/>
  <c r="A61" i="19"/>
  <c r="A15" i="1"/>
  <c r="A6" i="6"/>
  <c r="A3" i="7"/>
  <c r="X1" i="1"/>
  <c r="C9" i="7"/>
  <c r="L12" i="1"/>
  <c r="B11" i="7"/>
  <c r="K15" i="1"/>
  <c r="A15" i="15"/>
  <c r="AB15" i="15"/>
  <c r="BK15" i="7"/>
  <c r="O9" i="1"/>
  <c r="A16" i="15"/>
  <c r="X15" i="15"/>
  <c r="B15" i="7"/>
  <c r="P11" i="1"/>
  <c r="AK15" i="1"/>
  <c r="L15" i="1"/>
  <c r="A12" i="19"/>
  <c r="A36" i="19" s="1"/>
  <c r="B6" i="6"/>
  <c r="A62" i="19"/>
  <c r="G3" i="7"/>
  <c r="L1" i="15"/>
  <c r="Y14" i="15"/>
  <c r="K16" i="15"/>
  <c r="A17" i="15"/>
  <c r="F8" i="1"/>
  <c r="K15" i="15"/>
  <c r="F14" i="15"/>
  <c r="V14" i="15"/>
  <c r="J380" i="15"/>
  <c r="J1" i="16"/>
  <c r="X1" i="15"/>
  <c r="AB15" i="1"/>
  <c r="A16" i="1"/>
  <c r="X15" i="1"/>
  <c r="H9" i="7"/>
  <c r="N9" i="7"/>
  <c r="L11" i="16"/>
  <c r="F7" i="1"/>
  <c r="AC9" i="1" s="1"/>
  <c r="A15" i="16"/>
  <c r="Y14" i="16"/>
  <c r="C6" i="6"/>
  <c r="A13" i="19"/>
  <c r="A37" i="19" s="1"/>
  <c r="F14" i="16"/>
  <c r="L1" i="16"/>
  <c r="A18" i="15"/>
  <c r="AB17" i="15"/>
  <c r="L11" i="15"/>
  <c r="AK16" i="1"/>
  <c r="AB16" i="1"/>
  <c r="A17" i="1"/>
  <c r="X16" i="1"/>
  <c r="AJ16" i="1"/>
  <c r="L16" i="1"/>
  <c r="K16" i="1"/>
  <c r="L11" i="19"/>
  <c r="AB15" i="16"/>
  <c r="K15" i="16"/>
  <c r="AJ17" i="1"/>
  <c r="A19" i="15"/>
  <c r="K19" i="15"/>
  <c r="AI11" i="1"/>
  <c r="AE11" i="1"/>
  <c r="T9" i="7"/>
  <c r="L11" i="17"/>
  <c r="P10" i="1"/>
  <c r="AC12" i="1"/>
  <c r="AK380" i="1"/>
  <c r="BP13" i="7"/>
  <c r="AX42" i="6"/>
  <c r="AX278" i="6"/>
  <c r="AX36" i="6"/>
  <c r="AX189" i="6"/>
  <c r="AX108" i="6"/>
  <c r="AX68" i="6"/>
  <c r="AX193" i="6"/>
  <c r="X17" i="1"/>
  <c r="AB17" i="1"/>
  <c r="K17" i="1"/>
  <c r="L17" i="1"/>
  <c r="A18" i="1"/>
  <c r="AK17" i="1"/>
  <c r="I9" i="7"/>
  <c r="L12" i="15"/>
  <c r="L17" i="15"/>
  <c r="D17" i="15" s="1"/>
  <c r="AX178" i="6"/>
  <c r="A20" i="15"/>
  <c r="AB19" i="15"/>
  <c r="X19" i="15"/>
  <c r="X18" i="15"/>
  <c r="AB18" i="15"/>
  <c r="K18" i="15"/>
  <c r="A16" i="16"/>
  <c r="X15" i="16"/>
  <c r="A63" i="19"/>
  <c r="J1" i="17"/>
  <c r="M3" i="7"/>
  <c r="V14" i="16"/>
  <c r="X1" i="16"/>
  <c r="X17" i="15"/>
  <c r="K17" i="15"/>
  <c r="AB16" i="15"/>
  <c r="X16" i="15"/>
  <c r="BV13" i="7"/>
  <c r="BJ13" i="7"/>
  <c r="AX275" i="6"/>
  <c r="AX53" i="6"/>
  <c r="H27" i="6"/>
  <c r="I27" i="6" s="1"/>
  <c r="I360" i="6"/>
  <c r="AX294" i="6"/>
  <c r="AX127" i="6"/>
  <c r="AX203" i="6"/>
  <c r="AX150" i="6"/>
  <c r="AX146" i="6"/>
  <c r="AX99" i="6"/>
  <c r="AX106" i="6"/>
  <c r="I197" i="6"/>
  <c r="I32" i="6"/>
  <c r="E8" i="1"/>
  <c r="K11" i="19" s="1"/>
  <c r="K35" i="19" s="1"/>
  <c r="O11" i="1"/>
  <c r="I330" i="6"/>
  <c r="I15" i="6"/>
  <c r="I153" i="6"/>
  <c r="Z9" i="7"/>
  <c r="L17" i="27"/>
  <c r="L18" i="27" s="1"/>
  <c r="L19" i="27" s="1"/>
  <c r="A14" i="19"/>
  <c r="A38" i="19" s="1"/>
  <c r="V14" i="17"/>
  <c r="D6" i="6"/>
  <c r="F14" i="17"/>
  <c r="A64" i="19"/>
  <c r="X1" i="17"/>
  <c r="S3" i="7"/>
  <c r="L1" i="17"/>
  <c r="J1" i="18"/>
  <c r="Y14" i="17"/>
  <c r="A15" i="17"/>
  <c r="X16" i="16"/>
  <c r="K16" i="16"/>
  <c r="A17" i="16"/>
  <c r="AB16" i="16"/>
  <c r="AK18" i="1"/>
  <c r="A19" i="1"/>
  <c r="AJ18" i="1"/>
  <c r="L18" i="1"/>
  <c r="K18" i="1"/>
  <c r="AB18" i="1"/>
  <c r="X18" i="1"/>
  <c r="O9" i="7"/>
  <c r="L12" i="16"/>
  <c r="K20" i="15"/>
  <c r="AB20" i="15"/>
  <c r="X20" i="15"/>
  <c r="A21" i="15"/>
  <c r="A22" i="15"/>
  <c r="AB21" i="15"/>
  <c r="K21" i="15"/>
  <c r="X21" i="15"/>
  <c r="AK19" i="1"/>
  <c r="AJ19" i="1"/>
  <c r="AB19" i="1"/>
  <c r="X19" i="1"/>
  <c r="K19" i="1"/>
  <c r="A20" i="1"/>
  <c r="L19" i="1"/>
  <c r="K17" i="16"/>
  <c r="X17" i="16"/>
  <c r="AB17" i="16"/>
  <c r="A18" i="16"/>
  <c r="X15" i="17"/>
  <c r="AB15" i="17"/>
  <c r="A16" i="17"/>
  <c r="K15" i="17"/>
  <c r="F14" i="18"/>
  <c r="A65" i="19"/>
  <c r="Y14" i="18"/>
  <c r="A15" i="19"/>
  <c r="A39" i="19" s="1"/>
  <c r="A15" i="18"/>
  <c r="E6" i="6"/>
  <c r="V14" i="18"/>
  <c r="L1" i="18"/>
  <c r="X1" i="18"/>
  <c r="J1" i="20"/>
  <c r="Y3" i="7"/>
  <c r="X15" i="18"/>
  <c r="K15" i="18"/>
  <c r="AB15" i="18"/>
  <c r="A16" i="18"/>
  <c r="L20" i="1"/>
  <c r="K20" i="1"/>
  <c r="AK20" i="1"/>
  <c r="AB20" i="1"/>
  <c r="X20" i="1"/>
  <c r="A21" i="1"/>
  <c r="AB22" i="15"/>
  <c r="X22" i="15"/>
  <c r="A23" i="15"/>
  <c r="K22" i="15"/>
  <c r="L1" i="20"/>
  <c r="F14" i="20"/>
  <c r="V14" i="20"/>
  <c r="A16" i="19"/>
  <c r="A40" i="19" s="1"/>
  <c r="Y14" i="20"/>
  <c r="AE3" i="7"/>
  <c r="A15" i="20"/>
  <c r="F6" i="6"/>
  <c r="J1" i="22"/>
  <c r="X1" i="20"/>
  <c r="A17" i="17"/>
  <c r="AB16" i="17"/>
  <c r="X16" i="17"/>
  <c r="K16" i="17"/>
  <c r="X18" i="16"/>
  <c r="AB18" i="16"/>
  <c r="A19" i="16"/>
  <c r="K18" i="16"/>
  <c r="X1" i="22"/>
  <c r="A17" i="19"/>
  <c r="A41" i="19" s="1"/>
  <c r="J1" i="23"/>
  <c r="F14" i="22"/>
  <c r="Y14" i="22"/>
  <c r="L1" i="22"/>
  <c r="AK3" i="7"/>
  <c r="A15" i="22"/>
  <c r="V14" i="22"/>
  <c r="G6" i="6"/>
  <c r="X15" i="20"/>
  <c r="K15" i="20"/>
  <c r="AB15" i="20"/>
  <c r="A16" i="20"/>
  <c r="X23" i="15"/>
  <c r="A24" i="15"/>
  <c r="L23" i="15"/>
  <c r="D23" i="15" s="1"/>
  <c r="K23" i="15"/>
  <c r="AB23" i="15"/>
  <c r="X16" i="18"/>
  <c r="AB16" i="18"/>
  <c r="K16" i="18"/>
  <c r="A17" i="18"/>
  <c r="A20" i="16"/>
  <c r="K19" i="16"/>
  <c r="X19" i="16"/>
  <c r="AB19" i="16"/>
  <c r="X17" i="17"/>
  <c r="A18" i="17"/>
  <c r="AB17" i="17"/>
  <c r="K17" i="17"/>
  <c r="AK21" i="1"/>
  <c r="L21" i="1"/>
  <c r="X21" i="1"/>
  <c r="K21" i="1"/>
  <c r="AB21" i="1"/>
  <c r="A22" i="1"/>
  <c r="AJ22" i="1"/>
  <c r="L22" i="1"/>
  <c r="A23" i="1"/>
  <c r="AK22" i="1"/>
  <c r="X22" i="1"/>
  <c r="AB22" i="1"/>
  <c r="K22" i="1"/>
  <c r="AB18" i="17"/>
  <c r="K18" i="17"/>
  <c r="A19" i="17"/>
  <c r="X18" i="17"/>
  <c r="X20" i="16"/>
  <c r="A21" i="16"/>
  <c r="K20" i="16"/>
  <c r="AB20" i="16"/>
  <c r="K16" i="20"/>
  <c r="A17" i="20"/>
  <c r="AB16" i="20"/>
  <c r="X16" i="20"/>
  <c r="K15" i="22"/>
  <c r="X15" i="22"/>
  <c r="AB15" i="22"/>
  <c r="A16" i="22"/>
  <c r="AB17" i="18"/>
  <c r="A18" i="18"/>
  <c r="X17" i="18"/>
  <c r="K17" i="18"/>
  <c r="AB24" i="15"/>
  <c r="K24" i="15"/>
  <c r="A25" i="15"/>
  <c r="X24" i="15"/>
  <c r="V14" i="23"/>
  <c r="A18" i="19"/>
  <c r="A42" i="19" s="1"/>
  <c r="Y14" i="23"/>
  <c r="J1" i="24"/>
  <c r="AQ3" i="7"/>
  <c r="X1" i="23"/>
  <c r="F14" i="23"/>
  <c r="H6" i="6"/>
  <c r="A15" i="23"/>
  <c r="L1" i="23"/>
  <c r="AB15" i="23"/>
  <c r="A16" i="23"/>
  <c r="X15" i="23"/>
  <c r="K15" i="23"/>
  <c r="K25" i="15"/>
  <c r="AB25" i="15"/>
  <c r="L25" i="15"/>
  <c r="A26" i="15"/>
  <c r="X25" i="15"/>
  <c r="K18" i="18"/>
  <c r="AB18" i="18"/>
  <c r="X18" i="18"/>
  <c r="A19" i="18"/>
  <c r="AB17" i="20"/>
  <c r="X17" i="20"/>
  <c r="A18" i="20"/>
  <c r="K17" i="20"/>
  <c r="AB19" i="17"/>
  <c r="A20" i="17"/>
  <c r="X19" i="17"/>
  <c r="K19" i="17"/>
  <c r="Y14" i="24"/>
  <c r="L1" i="24"/>
  <c r="A15" i="24"/>
  <c r="F14" i="24"/>
  <c r="AW3" i="7"/>
  <c r="V14" i="24"/>
  <c r="A19" i="19"/>
  <c r="A43" i="19" s="1"/>
  <c r="I6" i="6"/>
  <c r="X1" i="24"/>
  <c r="J1" i="25"/>
  <c r="K16" i="22"/>
  <c r="A17" i="22"/>
  <c r="AB16" i="22"/>
  <c r="X16" i="22"/>
  <c r="X21" i="16"/>
  <c r="AB21" i="16"/>
  <c r="A22" i="16"/>
  <c r="K21" i="16"/>
  <c r="AK23" i="1"/>
  <c r="X23" i="1"/>
  <c r="L23" i="1"/>
  <c r="AB23" i="1"/>
  <c r="A24" i="1"/>
  <c r="K23" i="1"/>
  <c r="AJ23" i="1"/>
  <c r="AB24" i="1"/>
  <c r="L24" i="1"/>
  <c r="X24" i="1"/>
  <c r="A25" i="1"/>
  <c r="AK24" i="1"/>
  <c r="K24" i="1"/>
  <c r="A16" i="24"/>
  <c r="X15" i="24"/>
  <c r="K15" i="24"/>
  <c r="AB15" i="24"/>
  <c r="A21" i="17"/>
  <c r="X20" i="17"/>
  <c r="AB20" i="17"/>
  <c r="K20" i="17"/>
  <c r="A20" i="18"/>
  <c r="K19" i="18"/>
  <c r="AB19" i="18"/>
  <c r="X19" i="18"/>
  <c r="K26" i="15"/>
  <c r="X26" i="15"/>
  <c r="AB26" i="15"/>
  <c r="A27" i="15"/>
  <c r="X22" i="16"/>
  <c r="A23" i="16"/>
  <c r="AB22" i="16"/>
  <c r="K22" i="16"/>
  <c r="X17" i="22"/>
  <c r="AB17" i="22"/>
  <c r="A18" i="22"/>
  <c r="K17" i="22"/>
  <c r="A15" i="25"/>
  <c r="J6" i="6"/>
  <c r="BC3" i="7"/>
  <c r="Y14" i="25"/>
  <c r="F14" i="25"/>
  <c r="L1" i="25"/>
  <c r="X1" i="25"/>
  <c r="A20" i="19"/>
  <c r="A44" i="19" s="1"/>
  <c r="V14" i="25"/>
  <c r="X18" i="20"/>
  <c r="K18" i="20"/>
  <c r="AB18" i="20"/>
  <c r="A19" i="20"/>
  <c r="D25" i="15"/>
  <c r="K16" i="23"/>
  <c r="X16" i="23"/>
  <c r="AB16" i="23"/>
  <c r="A17" i="23"/>
  <c r="AB17" i="23"/>
  <c r="K17" i="23"/>
  <c r="X17" i="23"/>
  <c r="A18" i="23"/>
  <c r="X19" i="20"/>
  <c r="A20" i="20"/>
  <c r="K19" i="20"/>
  <c r="AB19" i="20"/>
  <c r="A16" i="25"/>
  <c r="AB15" i="25"/>
  <c r="X15" i="25"/>
  <c r="K15" i="25"/>
  <c r="K18" i="22"/>
  <c r="X18" i="22"/>
  <c r="AB18" i="22"/>
  <c r="A19" i="22"/>
  <c r="AB23" i="16"/>
  <c r="A24" i="16"/>
  <c r="K23" i="16"/>
  <c r="X23" i="16"/>
  <c r="AK25" i="1"/>
  <c r="X25" i="1"/>
  <c r="AB25" i="1"/>
  <c r="K25" i="1"/>
  <c r="A26" i="1"/>
  <c r="L25" i="1"/>
  <c r="AJ25" i="1"/>
  <c r="A28" i="15"/>
  <c r="AB27" i="15"/>
  <c r="K27" i="15"/>
  <c r="X27" i="15"/>
  <c r="X20" i="18"/>
  <c r="A21" i="18"/>
  <c r="AB20" i="18"/>
  <c r="K20" i="18"/>
  <c r="K21" i="17"/>
  <c r="X21" i="17"/>
  <c r="A22" i="17"/>
  <c r="AB21" i="17"/>
  <c r="AB16" i="24"/>
  <c r="K16" i="24"/>
  <c r="A17" i="24"/>
  <c r="X16" i="24"/>
  <c r="A18" i="24"/>
  <c r="X17" i="24"/>
  <c r="AB17" i="24"/>
  <c r="K17" i="24"/>
  <c r="A23" i="17"/>
  <c r="X22" i="17"/>
  <c r="K22" i="17"/>
  <c r="AB22" i="17"/>
  <c r="AB28" i="15"/>
  <c r="A29" i="15"/>
  <c r="K28" i="15"/>
  <c r="X28" i="15"/>
  <c r="L28" i="15"/>
  <c r="D28" i="15" s="1"/>
  <c r="AJ26" i="1"/>
  <c r="X26" i="1"/>
  <c r="AB26" i="1"/>
  <c r="AK26" i="1"/>
  <c r="A27" i="1"/>
  <c r="L26" i="1"/>
  <c r="K26" i="1"/>
  <c r="X24" i="16"/>
  <c r="AB24" i="16"/>
  <c r="A25" i="16"/>
  <c r="K24" i="16"/>
  <c r="X19" i="22"/>
  <c r="AB19" i="22"/>
  <c r="K19" i="22"/>
  <c r="A20" i="22"/>
  <c r="X18" i="23"/>
  <c r="AB18" i="23"/>
  <c r="K18" i="23"/>
  <c r="A19" i="23"/>
  <c r="K21" i="18"/>
  <c r="A22" i="18"/>
  <c r="X21" i="18"/>
  <c r="AB21" i="18"/>
  <c r="A17" i="25"/>
  <c r="AB16" i="25"/>
  <c r="K16" i="25"/>
  <c r="X16" i="25"/>
  <c r="A21" i="20"/>
  <c r="X20" i="20"/>
  <c r="K20" i="20"/>
  <c r="AB20" i="20"/>
  <c r="A22" i="20"/>
  <c r="K21" i="20"/>
  <c r="X21" i="20"/>
  <c r="AB21" i="20"/>
  <c r="K19" i="23"/>
  <c r="AB19" i="23"/>
  <c r="A20" i="23"/>
  <c r="X19" i="23"/>
  <c r="A21" i="22"/>
  <c r="AB20" i="22"/>
  <c r="K20" i="22"/>
  <c r="X20" i="22"/>
  <c r="X27" i="1"/>
  <c r="A28" i="1"/>
  <c r="L27" i="1"/>
  <c r="AB27" i="1"/>
  <c r="AK27" i="1"/>
  <c r="K27" i="1"/>
  <c r="X29" i="15"/>
  <c r="A30" i="15"/>
  <c r="A32" i="7"/>
  <c r="AB29" i="15"/>
  <c r="K29" i="15"/>
  <c r="L29" i="15"/>
  <c r="AB23" i="17"/>
  <c r="K23" i="17"/>
  <c r="X23" i="17"/>
  <c r="A24" i="17"/>
  <c r="A19" i="24"/>
  <c r="AB18" i="24"/>
  <c r="X18" i="24"/>
  <c r="K18" i="24"/>
  <c r="K17" i="25"/>
  <c r="X17" i="25"/>
  <c r="AB17" i="25"/>
  <c r="A18" i="25"/>
  <c r="A23" i="18"/>
  <c r="AB22" i="18"/>
  <c r="X22" i="18"/>
  <c r="K22" i="18"/>
  <c r="AB25" i="16"/>
  <c r="K25" i="16"/>
  <c r="X25" i="16"/>
  <c r="A26" i="16"/>
  <c r="X26" i="16"/>
  <c r="A27" i="16"/>
  <c r="K26" i="16"/>
  <c r="AB26" i="16"/>
  <c r="AK28" i="1"/>
  <c r="K28" i="1"/>
  <c r="X28" i="1"/>
  <c r="AB28" i="1"/>
  <c r="AJ28" i="1"/>
  <c r="L28" i="1"/>
  <c r="A29" i="1"/>
  <c r="X21" i="22"/>
  <c r="A22" i="22"/>
  <c r="AB21" i="22"/>
  <c r="K21" i="22"/>
  <c r="X20" i="23"/>
  <c r="AB20" i="23"/>
  <c r="K20" i="23"/>
  <c r="A21" i="23"/>
  <c r="K22" i="20"/>
  <c r="X22" i="20"/>
  <c r="AB22" i="20"/>
  <c r="A23" i="20"/>
  <c r="K23" i="18"/>
  <c r="A24" i="18"/>
  <c r="X23" i="18"/>
  <c r="AB23" i="18"/>
  <c r="A19" i="25"/>
  <c r="K18" i="25"/>
  <c r="AB18" i="25"/>
  <c r="X18" i="25"/>
  <c r="X19" i="24"/>
  <c r="K19" i="24"/>
  <c r="AB19" i="24"/>
  <c r="A20" i="24"/>
  <c r="AB24" i="17"/>
  <c r="X24" i="17"/>
  <c r="A25" i="17"/>
  <c r="K24" i="17"/>
  <c r="A31" i="15"/>
  <c r="K30" i="15"/>
  <c r="AB30" i="15"/>
  <c r="X30" i="15"/>
  <c r="A25" i="18"/>
  <c r="X24" i="18"/>
  <c r="K24" i="18"/>
  <c r="AB24" i="18"/>
  <c r="K29" i="1"/>
  <c r="A20" i="7"/>
  <c r="L29" i="1"/>
  <c r="AK29" i="1"/>
  <c r="X29" i="1"/>
  <c r="A30" i="1"/>
  <c r="AB29" i="1"/>
  <c r="AB27" i="16"/>
  <c r="A28" i="16"/>
  <c r="K27" i="16"/>
  <c r="X27" i="16"/>
  <c r="A32" i="15"/>
  <c r="AB31" i="15"/>
  <c r="X31" i="15"/>
  <c r="K31" i="15"/>
  <c r="K25" i="17"/>
  <c r="X25" i="17"/>
  <c r="A26" i="17"/>
  <c r="AB25" i="17"/>
  <c r="X20" i="24"/>
  <c r="K20" i="24"/>
  <c r="AB20" i="24"/>
  <c r="A21" i="24"/>
  <c r="X19" i="25"/>
  <c r="K19" i="25"/>
  <c r="A20" i="25"/>
  <c r="AB19" i="25"/>
  <c r="A24" i="20"/>
  <c r="K23" i="20"/>
  <c r="AB23" i="20"/>
  <c r="X23" i="20"/>
  <c r="K21" i="23"/>
  <c r="A22" i="23"/>
  <c r="AB21" i="23"/>
  <c r="X21" i="23"/>
  <c r="AB22" i="22"/>
  <c r="K22" i="22"/>
  <c r="X22" i="22"/>
  <c r="A23" i="22"/>
  <c r="K32" i="15"/>
  <c r="AB32" i="15"/>
  <c r="X32" i="15"/>
  <c r="A33" i="15"/>
  <c r="A29" i="16"/>
  <c r="AB28" i="16"/>
  <c r="K28" i="16"/>
  <c r="X28" i="16"/>
  <c r="A31" i="1"/>
  <c r="L30" i="1"/>
  <c r="X30" i="1"/>
  <c r="K30" i="1"/>
  <c r="AK30" i="1"/>
  <c r="AB30" i="1"/>
  <c r="X23" i="22"/>
  <c r="K23" i="22"/>
  <c r="AB23" i="22"/>
  <c r="A24" i="22"/>
  <c r="K22" i="23"/>
  <c r="X22" i="23"/>
  <c r="A23" i="23"/>
  <c r="AB22" i="23"/>
  <c r="X24" i="20"/>
  <c r="AB24" i="20"/>
  <c r="A25" i="20"/>
  <c r="K24" i="20"/>
  <c r="X20" i="25"/>
  <c r="K20" i="25"/>
  <c r="AB20" i="25"/>
  <c r="A21" i="25"/>
  <c r="K21" i="24"/>
  <c r="AB21" i="24"/>
  <c r="A22" i="24"/>
  <c r="X21" i="24"/>
  <c r="AB26" i="17"/>
  <c r="X26" i="17"/>
  <c r="K26" i="17"/>
  <c r="A27" i="17"/>
  <c r="B20" i="7"/>
  <c r="K25" i="18"/>
  <c r="X25" i="18"/>
  <c r="A26" i="18"/>
  <c r="AB25" i="18"/>
  <c r="X27" i="17"/>
  <c r="A28" i="17"/>
  <c r="K27" i="17"/>
  <c r="AB27" i="17"/>
  <c r="X33" i="15"/>
  <c r="AB33" i="15"/>
  <c r="A34" i="15"/>
  <c r="K33" i="15"/>
  <c r="K26" i="18"/>
  <c r="AB26" i="18"/>
  <c r="X26" i="18"/>
  <c r="A27" i="18"/>
  <c r="A23" i="24"/>
  <c r="K22" i="24"/>
  <c r="X22" i="24"/>
  <c r="AB22" i="24"/>
  <c r="A22" i="25"/>
  <c r="K21" i="25"/>
  <c r="AB21" i="25"/>
  <c r="X21" i="25"/>
  <c r="K25" i="20"/>
  <c r="X25" i="20"/>
  <c r="A26" i="20"/>
  <c r="AB25" i="20"/>
  <c r="K23" i="23"/>
  <c r="AB23" i="23"/>
  <c r="A24" i="23"/>
  <c r="X23" i="23"/>
  <c r="A25" i="22"/>
  <c r="AB24" i="22"/>
  <c r="X24" i="22"/>
  <c r="K24" i="22"/>
  <c r="X31" i="1"/>
  <c r="L31" i="1"/>
  <c r="AB31" i="1"/>
  <c r="K31" i="1"/>
  <c r="A32" i="1"/>
  <c r="AK31" i="1"/>
  <c r="AB29" i="16"/>
  <c r="X29" i="16"/>
  <c r="A44" i="7"/>
  <c r="K29" i="16"/>
  <c r="A30" i="16"/>
  <c r="AB30" i="16"/>
  <c r="X30" i="16"/>
  <c r="A31" i="16"/>
  <c r="K30" i="16"/>
  <c r="K26" i="20"/>
  <c r="A27" i="20"/>
  <c r="AB26" i="20"/>
  <c r="X26" i="20"/>
  <c r="A23" i="25"/>
  <c r="AB22" i="25"/>
  <c r="X22" i="25"/>
  <c r="K22" i="25"/>
  <c r="A28" i="18"/>
  <c r="AB27" i="18"/>
  <c r="K27" i="18"/>
  <c r="X27" i="18"/>
  <c r="X28" i="17"/>
  <c r="A29" i="17"/>
  <c r="K28" i="17"/>
  <c r="AB28" i="17"/>
  <c r="AB32" i="1"/>
  <c r="A33" i="1"/>
  <c r="L32" i="1"/>
  <c r="X32" i="1"/>
  <c r="AK32" i="1"/>
  <c r="K32" i="1"/>
  <c r="K25" i="22"/>
  <c r="AB25" i="22"/>
  <c r="A26" i="22"/>
  <c r="X25" i="22"/>
  <c r="A25" i="23"/>
  <c r="X24" i="23"/>
  <c r="AB24" i="23"/>
  <c r="K24" i="23"/>
  <c r="X23" i="24"/>
  <c r="AB23" i="24"/>
  <c r="K23" i="24"/>
  <c r="A24" i="24"/>
  <c r="K34" i="15"/>
  <c r="AB34" i="15"/>
  <c r="X34" i="15"/>
  <c r="A35" i="15"/>
  <c r="AB24" i="24"/>
  <c r="K24" i="24"/>
  <c r="X24" i="24"/>
  <c r="A25" i="24"/>
  <c r="AB25" i="23"/>
  <c r="K25" i="23"/>
  <c r="A26" i="23"/>
  <c r="X25" i="23"/>
  <c r="A30" i="17"/>
  <c r="X29" i="17"/>
  <c r="K29" i="17"/>
  <c r="A56" i="7"/>
  <c r="AB29" i="17"/>
  <c r="A29" i="18"/>
  <c r="AB28" i="18"/>
  <c r="K28" i="18"/>
  <c r="X28" i="18"/>
  <c r="A28" i="20"/>
  <c r="AB27" i="20"/>
  <c r="K27" i="20"/>
  <c r="X27" i="20"/>
  <c r="X31" i="16"/>
  <c r="AB31" i="16"/>
  <c r="K31" i="16"/>
  <c r="A32" i="16"/>
  <c r="A36" i="15"/>
  <c r="AB35" i="15"/>
  <c r="K35" i="15"/>
  <c r="X35" i="15"/>
  <c r="AB26" i="22"/>
  <c r="A27" i="22"/>
  <c r="K26" i="22"/>
  <c r="X26" i="22"/>
  <c r="A34" i="1"/>
  <c r="L33" i="1"/>
  <c r="K33" i="1"/>
  <c r="X33" i="1"/>
  <c r="AK33" i="1"/>
  <c r="AB33" i="1"/>
  <c r="AB23" i="25"/>
  <c r="K23" i="25"/>
  <c r="A24" i="25"/>
  <c r="X23" i="25"/>
  <c r="AB24" i="25"/>
  <c r="A25" i="25"/>
  <c r="K24" i="25"/>
  <c r="X24" i="25"/>
  <c r="X27" i="22"/>
  <c r="AB27" i="22"/>
  <c r="K27" i="22"/>
  <c r="A28" i="22"/>
  <c r="K32" i="16"/>
  <c r="A33" i="16"/>
  <c r="AB32" i="16"/>
  <c r="X32" i="16"/>
  <c r="AB28" i="20"/>
  <c r="K28" i="20"/>
  <c r="A29" i="20"/>
  <c r="X28" i="20"/>
  <c r="AB29" i="18"/>
  <c r="A68" i="7"/>
  <c r="A30" i="18"/>
  <c r="X29" i="18"/>
  <c r="K29" i="18"/>
  <c r="K30" i="17"/>
  <c r="AB30" i="17"/>
  <c r="A31" i="17"/>
  <c r="X30" i="17"/>
  <c r="X26" i="23"/>
  <c r="A27" i="23"/>
  <c r="AB26" i="23"/>
  <c r="K26" i="23"/>
  <c r="AK34" i="1"/>
  <c r="L34" i="1"/>
  <c r="A35" i="1"/>
  <c r="AB34" i="1"/>
  <c r="X34" i="1"/>
  <c r="K34" i="1"/>
  <c r="A37" i="15"/>
  <c r="AB36" i="15"/>
  <c r="K36" i="15"/>
  <c r="X36" i="15"/>
  <c r="A26" i="24"/>
  <c r="AB25" i="24"/>
  <c r="K25" i="24"/>
  <c r="X25" i="24"/>
  <c r="K26" i="24"/>
  <c r="AB26" i="24"/>
  <c r="X26" i="24"/>
  <c r="A27" i="24"/>
  <c r="AK35" i="1"/>
  <c r="K35" i="1"/>
  <c r="L35" i="1"/>
  <c r="AB35" i="1"/>
  <c r="AJ35" i="1"/>
  <c r="X35" i="1"/>
  <c r="A36" i="1"/>
  <c r="A28" i="23"/>
  <c r="K27" i="23"/>
  <c r="X27" i="23"/>
  <c r="AB27" i="23"/>
  <c r="AB31" i="17"/>
  <c r="K31" i="17"/>
  <c r="X31" i="17"/>
  <c r="A32" i="17"/>
  <c r="X28" i="22"/>
  <c r="K28" i="22"/>
  <c r="AB28" i="22"/>
  <c r="A29" i="22"/>
  <c r="K37" i="15"/>
  <c r="X37" i="15"/>
  <c r="AB37" i="15"/>
  <c r="A38" i="15"/>
  <c r="A31" i="18"/>
  <c r="X30" i="18"/>
  <c r="AB30" i="18"/>
  <c r="K30" i="18"/>
  <c r="AB29" i="20"/>
  <c r="K29" i="20"/>
  <c r="A30" i="20"/>
  <c r="AE20" i="7"/>
  <c r="X29" i="20"/>
  <c r="AB33" i="16"/>
  <c r="A34" i="16"/>
  <c r="X33" i="16"/>
  <c r="K33" i="16"/>
  <c r="AB25" i="25"/>
  <c r="K25" i="25"/>
  <c r="X25" i="25"/>
  <c r="A26" i="25"/>
  <c r="X26" i="25"/>
  <c r="K26" i="25"/>
  <c r="AB26" i="25"/>
  <c r="A27" i="25"/>
  <c r="AB34" i="16"/>
  <c r="K34" i="16"/>
  <c r="X34" i="16"/>
  <c r="A35" i="16"/>
  <c r="AB32" i="17"/>
  <c r="A33" i="17"/>
  <c r="K32" i="17"/>
  <c r="X32" i="17"/>
  <c r="X28" i="23"/>
  <c r="K28" i="23"/>
  <c r="AB28" i="23"/>
  <c r="A29" i="23"/>
  <c r="AB27" i="24"/>
  <c r="K27" i="24"/>
  <c r="A28" i="24"/>
  <c r="X27" i="24"/>
  <c r="X30" i="20"/>
  <c r="K30" i="20"/>
  <c r="A31" i="20"/>
  <c r="AB30" i="20"/>
  <c r="K31" i="18"/>
  <c r="AB31" i="18"/>
  <c r="X31" i="18"/>
  <c r="A32" i="18"/>
  <c r="A39" i="15"/>
  <c r="K38" i="15"/>
  <c r="L38" i="15"/>
  <c r="D38" i="15" s="1"/>
  <c r="AB38" i="15"/>
  <c r="X38" i="15"/>
  <c r="A30" i="22"/>
  <c r="AE32" i="7"/>
  <c r="K29" i="22"/>
  <c r="X29" i="22"/>
  <c r="AB29" i="22"/>
  <c r="AJ36" i="1"/>
  <c r="K36" i="1"/>
  <c r="AB36" i="1"/>
  <c r="L36" i="1"/>
  <c r="A37" i="1"/>
  <c r="X36" i="1"/>
  <c r="AK36" i="1"/>
  <c r="K30" i="22"/>
  <c r="X30" i="22"/>
  <c r="AB30" i="22"/>
  <c r="A31" i="22"/>
  <c r="X28" i="24"/>
  <c r="K28" i="24"/>
  <c r="A29" i="24"/>
  <c r="AB28" i="24"/>
  <c r="A30" i="23"/>
  <c r="AB29" i="23"/>
  <c r="K29" i="23"/>
  <c r="AE44" i="7"/>
  <c r="X29" i="23"/>
  <c r="AB27" i="25"/>
  <c r="K27" i="25"/>
  <c r="X27" i="25"/>
  <c r="A28" i="25"/>
  <c r="AK37" i="1"/>
  <c r="K37" i="1"/>
  <c r="AB37" i="1"/>
  <c r="L37" i="1"/>
  <c r="AJ37" i="1"/>
  <c r="X37" i="1"/>
  <c r="A38" i="1"/>
  <c r="AB39" i="15"/>
  <c r="X39" i="15"/>
  <c r="K39" i="15"/>
  <c r="A40" i="15"/>
  <c r="AB32" i="18"/>
  <c r="K32" i="18"/>
  <c r="X32" i="18"/>
  <c r="A33" i="18"/>
  <c r="A32" i="20"/>
  <c r="AB31" i="20"/>
  <c r="X31" i="20"/>
  <c r="K31" i="20"/>
  <c r="X33" i="17"/>
  <c r="K33" i="17"/>
  <c r="A34" i="17"/>
  <c r="AB33" i="17"/>
  <c r="A36" i="16"/>
  <c r="K35" i="16"/>
  <c r="AB35" i="16"/>
  <c r="X35" i="16"/>
  <c r="X36" i="16"/>
  <c r="AB36" i="16"/>
  <c r="K36" i="16"/>
  <c r="L36" i="16"/>
  <c r="D36" i="16" s="1"/>
  <c r="A37" i="16"/>
  <c r="K28" i="25"/>
  <c r="A29" i="25"/>
  <c r="X28" i="25"/>
  <c r="AB28" i="25"/>
  <c r="K30" i="23"/>
  <c r="X30" i="23"/>
  <c r="AB30" i="23"/>
  <c r="A31" i="23"/>
  <c r="AB31" i="22"/>
  <c r="X31" i="22"/>
  <c r="A32" i="22"/>
  <c r="K31" i="22"/>
  <c r="AB34" i="17"/>
  <c r="X34" i="17"/>
  <c r="A35" i="17"/>
  <c r="K34" i="17"/>
  <c r="K32" i="20"/>
  <c r="AB32" i="20"/>
  <c r="A33" i="20"/>
  <c r="X32" i="20"/>
  <c r="A34" i="18"/>
  <c r="X33" i="18"/>
  <c r="K33" i="18"/>
  <c r="AB33" i="18"/>
  <c r="AB40" i="15"/>
  <c r="A41" i="15"/>
  <c r="L40" i="15"/>
  <c r="D40" i="15" s="1"/>
  <c r="X40" i="15"/>
  <c r="K40" i="15"/>
  <c r="AB38" i="1"/>
  <c r="L38" i="1"/>
  <c r="X38" i="1"/>
  <c r="K38" i="1"/>
  <c r="AK38" i="1"/>
  <c r="A39" i="1"/>
  <c r="K29" i="24"/>
  <c r="X29" i="24"/>
  <c r="AB29" i="24"/>
  <c r="A30" i="24"/>
  <c r="AE56" i="7"/>
  <c r="K30" i="24"/>
  <c r="X30" i="24"/>
  <c r="A31" i="24"/>
  <c r="AB30" i="24"/>
  <c r="X39" i="1"/>
  <c r="AB39" i="1"/>
  <c r="L39" i="1"/>
  <c r="K39" i="1"/>
  <c r="A40" i="1"/>
  <c r="AK39" i="1"/>
  <c r="AB41" i="15"/>
  <c r="X41" i="15"/>
  <c r="K41" i="15"/>
  <c r="A42" i="15"/>
  <c r="AB34" i="18"/>
  <c r="X34" i="18"/>
  <c r="K34" i="18"/>
  <c r="A35" i="18"/>
  <c r="X32" i="22"/>
  <c r="K32" i="22"/>
  <c r="AB32" i="22"/>
  <c r="A33" i="22"/>
  <c r="K33" i="20"/>
  <c r="X33" i="20"/>
  <c r="AB33" i="20"/>
  <c r="A34" i="20"/>
  <c r="AB35" i="17"/>
  <c r="X35" i="17"/>
  <c r="K35" i="17"/>
  <c r="A36" i="17"/>
  <c r="X31" i="23"/>
  <c r="AB31" i="23"/>
  <c r="K31" i="23"/>
  <c r="A32" i="23"/>
  <c r="X29" i="25"/>
  <c r="AE68" i="7"/>
  <c r="AB29" i="25"/>
  <c r="K29" i="25"/>
  <c r="A30" i="25"/>
  <c r="K37" i="16"/>
  <c r="X37" i="16"/>
  <c r="A38" i="16"/>
  <c r="AB37" i="16"/>
  <c r="X38" i="16"/>
  <c r="AB38" i="16"/>
  <c r="K38" i="16"/>
  <c r="A39" i="16"/>
  <c r="K32" i="23"/>
  <c r="X32" i="23"/>
  <c r="A33" i="23"/>
  <c r="AB32" i="23"/>
  <c r="A37" i="17"/>
  <c r="K36" i="17"/>
  <c r="AB36" i="17"/>
  <c r="X36" i="17"/>
  <c r="AB33" i="22"/>
  <c r="K33" i="22"/>
  <c r="X33" i="22"/>
  <c r="A34" i="22"/>
  <c r="X40" i="1"/>
  <c r="K40" i="1"/>
  <c r="AB40" i="1"/>
  <c r="L40" i="1"/>
  <c r="AK40" i="1"/>
  <c r="A41" i="1"/>
  <c r="A31" i="25"/>
  <c r="X30" i="25"/>
  <c r="AB30" i="25"/>
  <c r="K30" i="25"/>
  <c r="K34" i="20"/>
  <c r="A35" i="20"/>
  <c r="X34" i="20"/>
  <c r="AB34" i="20"/>
  <c r="AB35" i="18"/>
  <c r="K35" i="18"/>
  <c r="X35" i="18"/>
  <c r="A36" i="18"/>
  <c r="K42" i="15"/>
  <c r="X42" i="15"/>
  <c r="A43" i="15"/>
  <c r="AB42" i="15"/>
  <c r="K31" i="24"/>
  <c r="A32" i="24"/>
  <c r="X31" i="24"/>
  <c r="AB31" i="24"/>
  <c r="A33" i="24"/>
  <c r="K32" i="24"/>
  <c r="X32" i="24"/>
  <c r="AB32" i="24"/>
  <c r="K43" i="15"/>
  <c r="AB43" i="15"/>
  <c r="X43" i="15"/>
  <c r="A44" i="15"/>
  <c r="K36" i="18"/>
  <c r="AB36" i="18"/>
  <c r="X36" i="18"/>
  <c r="A37" i="18"/>
  <c r="AJ41" i="1"/>
  <c r="L41" i="1"/>
  <c r="K41" i="1"/>
  <c r="AK41" i="1"/>
  <c r="AB41" i="1"/>
  <c r="X41" i="1"/>
  <c r="A42" i="1"/>
  <c r="X34" i="22"/>
  <c r="A35" i="22"/>
  <c r="K34" i="22"/>
  <c r="AB34" i="22"/>
  <c r="X37" i="17"/>
  <c r="A38" i="17"/>
  <c r="K37" i="17"/>
  <c r="AB37" i="17"/>
  <c r="A40" i="16"/>
  <c r="K39" i="16"/>
  <c r="AB39" i="16"/>
  <c r="X39" i="16"/>
  <c r="A36" i="20"/>
  <c r="X35" i="20"/>
  <c r="K35" i="20"/>
  <c r="AB35" i="20"/>
  <c r="X31" i="25"/>
  <c r="K31" i="25"/>
  <c r="AB31" i="25"/>
  <c r="A32" i="25"/>
  <c r="X33" i="23"/>
  <c r="K33" i="23"/>
  <c r="AB33" i="23"/>
  <c r="A34" i="23"/>
  <c r="K34" i="23"/>
  <c r="AB34" i="23"/>
  <c r="X34" i="23"/>
  <c r="A35" i="23"/>
  <c r="A33" i="25"/>
  <c r="X32" i="25"/>
  <c r="AB32" i="25"/>
  <c r="K32" i="25"/>
  <c r="A37" i="20"/>
  <c r="AB36" i="20"/>
  <c r="K36" i="20"/>
  <c r="X36" i="20"/>
  <c r="AB38" i="17"/>
  <c r="X38" i="17"/>
  <c r="A39" i="17"/>
  <c r="K38" i="17"/>
  <c r="AK42" i="1"/>
  <c r="L42" i="1"/>
  <c r="AB42" i="1"/>
  <c r="A43" i="1"/>
  <c r="K42" i="1"/>
  <c r="X42" i="1"/>
  <c r="X44" i="15"/>
  <c r="A45" i="15"/>
  <c r="K44" i="15"/>
  <c r="AB44" i="15"/>
  <c r="K33" i="24"/>
  <c r="X33" i="24"/>
  <c r="AB33" i="24"/>
  <c r="A34" i="24"/>
  <c r="K40" i="16"/>
  <c r="X40" i="16"/>
  <c r="L40" i="16"/>
  <c r="D40" i="16" s="1"/>
  <c r="AB40" i="16"/>
  <c r="A41" i="16"/>
  <c r="K35" i="22"/>
  <c r="A36" i="22"/>
  <c r="AB35" i="22"/>
  <c r="X35" i="22"/>
  <c r="X37" i="18"/>
  <c r="A38" i="18"/>
  <c r="AB37" i="18"/>
  <c r="K37" i="18"/>
  <c r="X36" i="22"/>
  <c r="AB36" i="22"/>
  <c r="K36" i="22"/>
  <c r="A37" i="22"/>
  <c r="K43" i="1"/>
  <c r="AB43" i="1"/>
  <c r="X43" i="1"/>
  <c r="AK43" i="1"/>
  <c r="L43" i="1"/>
  <c r="AJ43" i="1"/>
  <c r="A44" i="1"/>
  <c r="K39" i="17"/>
  <c r="X39" i="17"/>
  <c r="A40" i="17"/>
  <c r="AB39" i="17"/>
  <c r="AB37" i="20"/>
  <c r="K37" i="20"/>
  <c r="A38" i="20"/>
  <c r="X37" i="20"/>
  <c r="A34" i="25"/>
  <c r="X33" i="25"/>
  <c r="K33" i="25"/>
  <c r="AB33" i="25"/>
  <c r="AB38" i="18"/>
  <c r="X38" i="18"/>
  <c r="K38" i="18"/>
  <c r="A39" i="18"/>
  <c r="K41" i="16"/>
  <c r="X41" i="16"/>
  <c r="A42" i="16"/>
  <c r="AB41" i="16"/>
  <c r="AB34" i="24"/>
  <c r="X34" i="24"/>
  <c r="K34" i="24"/>
  <c r="A35" i="24"/>
  <c r="K45" i="15"/>
  <c r="A46" i="15"/>
  <c r="AB45" i="15"/>
  <c r="X45" i="15"/>
  <c r="AB35" i="23"/>
  <c r="X35" i="23"/>
  <c r="A36" i="23"/>
  <c r="K35" i="23"/>
  <c r="AB36" i="23"/>
  <c r="A37" i="23"/>
  <c r="X36" i="23"/>
  <c r="K36" i="23"/>
  <c r="X46" i="15"/>
  <c r="AB46" i="15"/>
  <c r="A47" i="15"/>
  <c r="K46" i="15"/>
  <c r="X42" i="16"/>
  <c r="K42" i="16"/>
  <c r="A43" i="16"/>
  <c r="AB42" i="16"/>
  <c r="AB39" i="18"/>
  <c r="A40" i="18"/>
  <c r="K39" i="18"/>
  <c r="X39" i="18"/>
  <c r="AB38" i="20"/>
  <c r="A39" i="20"/>
  <c r="K38" i="20"/>
  <c r="X38" i="20"/>
  <c r="X37" i="22"/>
  <c r="AB37" i="22"/>
  <c r="A38" i="22"/>
  <c r="K37" i="22"/>
  <c r="K35" i="24"/>
  <c r="A36" i="24"/>
  <c r="X35" i="24"/>
  <c r="AB35" i="24"/>
  <c r="K34" i="25"/>
  <c r="A35" i="25"/>
  <c r="X34" i="25"/>
  <c r="AB34" i="25"/>
  <c r="A41" i="17"/>
  <c r="AB40" i="17"/>
  <c r="X40" i="17"/>
  <c r="K40" i="17"/>
  <c r="AJ44" i="1"/>
  <c r="AB44" i="1"/>
  <c r="K44" i="1"/>
  <c r="L44" i="1"/>
  <c r="A45" i="1"/>
  <c r="AK44" i="1"/>
  <c r="X44" i="1"/>
  <c r="A46" i="1"/>
  <c r="L45" i="1"/>
  <c r="AK45" i="1"/>
  <c r="X45" i="1"/>
  <c r="K45" i="1"/>
  <c r="AB45" i="1"/>
  <c r="K35" i="25"/>
  <c r="AB35" i="25"/>
  <c r="X35" i="25"/>
  <c r="A36" i="25"/>
  <c r="X40" i="18"/>
  <c r="AB40" i="18"/>
  <c r="K40" i="18"/>
  <c r="A41" i="18"/>
  <c r="AB43" i="16"/>
  <c r="A44" i="16"/>
  <c r="X43" i="16"/>
  <c r="K43" i="16"/>
  <c r="AB47" i="15"/>
  <c r="K47" i="15"/>
  <c r="X47" i="15"/>
  <c r="A48" i="15"/>
  <c r="K37" i="23"/>
  <c r="A38" i="23"/>
  <c r="AB37" i="23"/>
  <c r="X37" i="23"/>
  <c r="A42" i="17"/>
  <c r="X41" i="17"/>
  <c r="AB41" i="17"/>
  <c r="K41" i="17"/>
  <c r="X36" i="24"/>
  <c r="AB36" i="24"/>
  <c r="A37" i="24"/>
  <c r="K36" i="24"/>
  <c r="X38" i="22"/>
  <c r="AB38" i="22"/>
  <c r="K38" i="22"/>
  <c r="A39" i="22"/>
  <c r="X39" i="20"/>
  <c r="K39" i="20"/>
  <c r="A40" i="20"/>
  <c r="AB39" i="20"/>
  <c r="K39" i="22"/>
  <c r="X39" i="22"/>
  <c r="AB39" i="22"/>
  <c r="A40" i="22"/>
  <c r="A49" i="15"/>
  <c r="K48" i="15"/>
  <c r="AB48" i="15"/>
  <c r="X48" i="15"/>
  <c r="AB44" i="16"/>
  <c r="X44" i="16"/>
  <c r="A45" i="16"/>
  <c r="K44" i="16"/>
  <c r="X41" i="18"/>
  <c r="A42" i="18"/>
  <c r="K41" i="18"/>
  <c r="AB41" i="18"/>
  <c r="X36" i="25"/>
  <c r="K36" i="25"/>
  <c r="A37" i="25"/>
  <c r="AB36" i="25"/>
  <c r="X40" i="20"/>
  <c r="K40" i="20"/>
  <c r="AB40" i="20"/>
  <c r="A41" i="20"/>
  <c r="A38" i="24"/>
  <c r="X37" i="24"/>
  <c r="AB37" i="24"/>
  <c r="K37" i="24"/>
  <c r="K42" i="17"/>
  <c r="AB42" i="17"/>
  <c r="X42" i="17"/>
  <c r="A43" i="17"/>
  <c r="AB38" i="23"/>
  <c r="X38" i="23"/>
  <c r="A39" i="23"/>
  <c r="K38" i="23"/>
  <c r="AK46" i="1"/>
  <c r="AB46" i="1"/>
  <c r="K46" i="1"/>
  <c r="X46" i="1"/>
  <c r="AJ46" i="1"/>
  <c r="A47" i="1"/>
  <c r="L46" i="1"/>
  <c r="A42" i="20"/>
  <c r="X41" i="20"/>
  <c r="K41" i="20"/>
  <c r="AB41" i="20"/>
  <c r="A46" i="16"/>
  <c r="AB45" i="16"/>
  <c r="X45" i="16"/>
  <c r="K45" i="16"/>
  <c r="X39" i="23"/>
  <c r="A40" i="23"/>
  <c r="AB39" i="23"/>
  <c r="K39" i="23"/>
  <c r="K47" i="1"/>
  <c r="AB47" i="1"/>
  <c r="X47" i="1"/>
  <c r="A48" i="1"/>
  <c r="L47" i="1"/>
  <c r="AK47" i="1"/>
  <c r="K43" i="17"/>
  <c r="X43" i="17"/>
  <c r="A44" i="17"/>
  <c r="AB43" i="17"/>
  <c r="AB38" i="24"/>
  <c r="K38" i="24"/>
  <c r="X38" i="24"/>
  <c r="A39" i="24"/>
  <c r="A38" i="25"/>
  <c r="X37" i="25"/>
  <c r="K37" i="25"/>
  <c r="AB37" i="25"/>
  <c r="X42" i="18"/>
  <c r="AB42" i="18"/>
  <c r="K42" i="18"/>
  <c r="A43" i="18"/>
  <c r="X49" i="15"/>
  <c r="A50" i="15"/>
  <c r="L49" i="15"/>
  <c r="D49" i="15" s="1"/>
  <c r="K49" i="15"/>
  <c r="AB49" i="15"/>
  <c r="X40" i="22"/>
  <c r="A41" i="22"/>
  <c r="K40" i="22"/>
  <c r="AB40" i="22"/>
  <c r="K50" i="15"/>
  <c r="AB50" i="15"/>
  <c r="A51" i="15"/>
  <c r="X50" i="15"/>
  <c r="X41" i="22"/>
  <c r="A42" i="22"/>
  <c r="AB41" i="22"/>
  <c r="K41" i="22"/>
  <c r="X43" i="18"/>
  <c r="K43" i="18"/>
  <c r="A44" i="18"/>
  <c r="AB43" i="18"/>
  <c r="K38" i="25"/>
  <c r="A39" i="25"/>
  <c r="AB38" i="25"/>
  <c r="X38" i="25"/>
  <c r="AB39" i="24"/>
  <c r="X39" i="24"/>
  <c r="A40" i="24"/>
  <c r="K39" i="24"/>
  <c r="X44" i="17"/>
  <c r="K44" i="17"/>
  <c r="A45" i="17"/>
  <c r="AB44" i="17"/>
  <c r="AK48" i="1"/>
  <c r="AB48" i="1"/>
  <c r="L48" i="1"/>
  <c r="K48" i="1"/>
  <c r="A49" i="1"/>
  <c r="X48" i="1"/>
  <c r="K40" i="23"/>
  <c r="X40" i="23"/>
  <c r="A41" i="23"/>
  <c r="AB40" i="23"/>
  <c r="K46" i="16"/>
  <c r="X46" i="16"/>
  <c r="AB46" i="16"/>
  <c r="A47" i="16"/>
  <c r="X42" i="20"/>
  <c r="AB42" i="20"/>
  <c r="K42" i="20"/>
  <c r="A43" i="20"/>
  <c r="AB45" i="17"/>
  <c r="X45" i="17"/>
  <c r="K45" i="17"/>
  <c r="A46" i="17"/>
  <c r="X40" i="24"/>
  <c r="K40" i="24"/>
  <c r="AB40" i="24"/>
  <c r="A41" i="24"/>
  <c r="A40" i="25"/>
  <c r="K39" i="25"/>
  <c r="X39" i="25"/>
  <c r="AB39" i="25"/>
  <c r="A52" i="15"/>
  <c r="AB51" i="15"/>
  <c r="X51" i="15"/>
  <c r="K51" i="15"/>
  <c r="X43" i="20"/>
  <c r="K43" i="20"/>
  <c r="A44" i="20"/>
  <c r="AB43" i="20"/>
  <c r="A48" i="16"/>
  <c r="AB47" i="16"/>
  <c r="X47" i="16"/>
  <c r="K47" i="16"/>
  <c r="A42" i="23"/>
  <c r="X41" i="23"/>
  <c r="K41" i="23"/>
  <c r="AB41" i="23"/>
  <c r="AK49" i="1"/>
  <c r="X49" i="1"/>
  <c r="L49" i="1"/>
  <c r="K49" i="1"/>
  <c r="AB49" i="1"/>
  <c r="A50" i="1"/>
  <c r="AJ49" i="1"/>
  <c r="AB44" i="18"/>
  <c r="X44" i="18"/>
  <c r="A45" i="18"/>
  <c r="K44" i="18"/>
  <c r="AB42" i="22"/>
  <c r="X42" i="22"/>
  <c r="A43" i="22"/>
  <c r="K42" i="22"/>
  <c r="A44" i="22"/>
  <c r="AB43" i="22"/>
  <c r="X43" i="22"/>
  <c r="K43" i="22"/>
  <c r="X45" i="18"/>
  <c r="AB45" i="18"/>
  <c r="K45" i="18"/>
  <c r="A46" i="18"/>
  <c r="AB50" i="1"/>
  <c r="A51" i="1"/>
  <c r="AK50" i="1"/>
  <c r="X50" i="1"/>
  <c r="L50" i="1"/>
  <c r="K50" i="1"/>
  <c r="AB44" i="20"/>
  <c r="X44" i="20"/>
  <c r="A45" i="20"/>
  <c r="K44" i="20"/>
  <c r="AB46" i="17"/>
  <c r="X46" i="17"/>
  <c r="K46" i="17"/>
  <c r="A47" i="17"/>
  <c r="A43" i="23"/>
  <c r="X42" i="23"/>
  <c r="AB42" i="23"/>
  <c r="K42" i="23"/>
  <c r="A49" i="16"/>
  <c r="X48" i="16"/>
  <c r="K48" i="16"/>
  <c r="AB48" i="16"/>
  <c r="AB52" i="15"/>
  <c r="A53" i="15"/>
  <c r="K52" i="15"/>
  <c r="X52" i="15"/>
  <c r="AB40" i="25"/>
  <c r="A41" i="25"/>
  <c r="X40" i="25"/>
  <c r="K40" i="25"/>
  <c r="K41" i="24"/>
  <c r="A42" i="24"/>
  <c r="AB41" i="24"/>
  <c r="X41" i="24"/>
  <c r="K53" i="15"/>
  <c r="AB53" i="15"/>
  <c r="X53" i="15"/>
  <c r="A54" i="15"/>
  <c r="X43" i="23"/>
  <c r="AB43" i="23"/>
  <c r="K43" i="23"/>
  <c r="A44" i="23"/>
  <c r="X46" i="18"/>
  <c r="AB46" i="18"/>
  <c r="K46" i="18"/>
  <c r="A47" i="18"/>
  <c r="AB42" i="24"/>
  <c r="X42" i="24"/>
  <c r="A43" i="24"/>
  <c r="K42" i="24"/>
  <c r="X41" i="25"/>
  <c r="K41" i="25"/>
  <c r="A42" i="25"/>
  <c r="AB41" i="25"/>
  <c r="X49" i="16"/>
  <c r="K49" i="16"/>
  <c r="A50" i="16"/>
  <c r="AB49" i="16"/>
  <c r="AB47" i="17"/>
  <c r="K47" i="17"/>
  <c r="X47" i="17"/>
  <c r="A48" i="17"/>
  <c r="AB45" i="20"/>
  <c r="A46" i="20"/>
  <c r="X45" i="20"/>
  <c r="K45" i="20"/>
  <c r="AJ51" i="1"/>
  <c r="L51" i="1"/>
  <c r="X51" i="1"/>
  <c r="K51" i="1"/>
  <c r="AB51" i="1"/>
  <c r="A52" i="1"/>
  <c r="AK51" i="1"/>
  <c r="X44" i="22"/>
  <c r="AB44" i="22"/>
  <c r="K44" i="22"/>
  <c r="A45" i="22"/>
  <c r="K46" i="20"/>
  <c r="X46" i="20"/>
  <c r="A47" i="20"/>
  <c r="AB46" i="20"/>
  <c r="K45" i="22"/>
  <c r="A46" i="22"/>
  <c r="AB45" i="22"/>
  <c r="X45" i="22"/>
  <c r="AK52" i="1"/>
  <c r="AB52" i="1"/>
  <c r="K52" i="1"/>
  <c r="A53" i="1"/>
  <c r="L52" i="1"/>
  <c r="X52" i="1"/>
  <c r="A51" i="16"/>
  <c r="AB50" i="16"/>
  <c r="K50" i="16"/>
  <c r="X50" i="16"/>
  <c r="A43" i="25"/>
  <c r="AB42" i="25"/>
  <c r="K42" i="25"/>
  <c r="X42" i="25"/>
  <c r="A44" i="24"/>
  <c r="X43" i="24"/>
  <c r="K43" i="24"/>
  <c r="AB43" i="24"/>
  <c r="A48" i="18"/>
  <c r="AB47" i="18"/>
  <c r="X47" i="18"/>
  <c r="K47" i="18"/>
  <c r="K44" i="23"/>
  <c r="A45" i="23"/>
  <c r="X44" i="23"/>
  <c r="AB44" i="23"/>
  <c r="K54" i="15"/>
  <c r="AB54" i="15"/>
  <c r="A55" i="15"/>
  <c r="X54" i="15"/>
  <c r="X48" i="17"/>
  <c r="A49" i="17"/>
  <c r="K48" i="17"/>
  <c r="AB48" i="17"/>
  <c r="K48" i="18"/>
  <c r="A49" i="18"/>
  <c r="X48" i="18"/>
  <c r="AB48" i="18"/>
  <c r="X43" i="25"/>
  <c r="A44" i="25"/>
  <c r="K43" i="25"/>
  <c r="AB43" i="25"/>
  <c r="AB47" i="20"/>
  <c r="X47" i="20"/>
  <c r="A48" i="20"/>
  <c r="K47" i="20"/>
  <c r="K49" i="17"/>
  <c r="X49" i="17"/>
  <c r="AB49" i="17"/>
  <c r="A50" i="17"/>
  <c r="A56" i="15"/>
  <c r="X55" i="15"/>
  <c r="K55" i="15"/>
  <c r="AB55" i="15"/>
  <c r="A46" i="23"/>
  <c r="K45" i="23"/>
  <c r="AB45" i="23"/>
  <c r="X45" i="23"/>
  <c r="A45" i="24"/>
  <c r="K44" i="24"/>
  <c r="X44" i="24"/>
  <c r="AB44" i="24"/>
  <c r="AB51" i="16"/>
  <c r="K51" i="16"/>
  <c r="X51" i="16"/>
  <c r="A52" i="16"/>
  <c r="AJ53" i="1"/>
  <c r="K53" i="1"/>
  <c r="AB53" i="1"/>
  <c r="AK53" i="1"/>
  <c r="X53" i="1"/>
  <c r="L53" i="1"/>
  <c r="A54" i="1"/>
  <c r="K46" i="22"/>
  <c r="X46" i="22"/>
  <c r="AB46" i="22"/>
  <c r="A47" i="22"/>
  <c r="X56" i="15"/>
  <c r="A57" i="15"/>
  <c r="K56" i="15"/>
  <c r="AB56" i="15"/>
  <c r="A50" i="18"/>
  <c r="AB49" i="18"/>
  <c r="X49" i="18"/>
  <c r="K49" i="18"/>
  <c r="AB47" i="22"/>
  <c r="K47" i="22"/>
  <c r="X47" i="22"/>
  <c r="A48" i="22"/>
  <c r="K54" i="1"/>
  <c r="L54" i="1"/>
  <c r="AK54" i="1"/>
  <c r="X54" i="1"/>
  <c r="A55" i="1"/>
  <c r="AB54" i="1"/>
  <c r="X52" i="16"/>
  <c r="A53" i="16"/>
  <c r="AB52" i="16"/>
  <c r="K52" i="16"/>
  <c r="A46" i="24"/>
  <c r="K45" i="24"/>
  <c r="AB45" i="24"/>
  <c r="X45" i="24"/>
  <c r="K46" i="23"/>
  <c r="AB46" i="23"/>
  <c r="X46" i="23"/>
  <c r="A47" i="23"/>
  <c r="A51" i="17"/>
  <c r="X50" i="17"/>
  <c r="K50" i="17"/>
  <c r="AB50" i="17"/>
  <c r="AB48" i="20"/>
  <c r="X48" i="20"/>
  <c r="A49" i="20"/>
  <c r="K48" i="20"/>
  <c r="AB44" i="25"/>
  <c r="A45" i="25"/>
  <c r="X44" i="25"/>
  <c r="K44" i="25"/>
  <c r="X51" i="17"/>
  <c r="A52" i="17"/>
  <c r="AB51" i="17"/>
  <c r="K51" i="17"/>
  <c r="K48" i="22"/>
  <c r="AB48" i="22"/>
  <c r="X48" i="22"/>
  <c r="A49" i="22"/>
  <c r="A51" i="18"/>
  <c r="AB50" i="18"/>
  <c r="X50" i="18"/>
  <c r="K50" i="18"/>
  <c r="K45" i="25"/>
  <c r="AB45" i="25"/>
  <c r="X45" i="25"/>
  <c r="A46" i="25"/>
  <c r="X49" i="20"/>
  <c r="K49" i="20"/>
  <c r="A50" i="20"/>
  <c r="AB49" i="20"/>
  <c r="K47" i="23"/>
  <c r="A48" i="23"/>
  <c r="AB47" i="23"/>
  <c r="X47" i="23"/>
  <c r="X46" i="24"/>
  <c r="AB46" i="24"/>
  <c r="A47" i="24"/>
  <c r="K46" i="24"/>
  <c r="X53" i="16"/>
  <c r="A54" i="16"/>
  <c r="AB53" i="16"/>
  <c r="K53" i="16"/>
  <c r="AK55" i="1"/>
  <c r="L55" i="1"/>
  <c r="AB55" i="1"/>
  <c r="K55" i="1"/>
  <c r="A56" i="1"/>
  <c r="X55" i="1"/>
  <c r="A58" i="15"/>
  <c r="AB57" i="15"/>
  <c r="X57" i="15"/>
  <c r="K57" i="15"/>
  <c r="A49" i="23"/>
  <c r="X48" i="23"/>
  <c r="AB48" i="23"/>
  <c r="K48" i="23"/>
  <c r="K50" i="20"/>
  <c r="A51" i="20"/>
  <c r="X50" i="20"/>
  <c r="AB50" i="20"/>
  <c r="AB46" i="25"/>
  <c r="X46" i="25"/>
  <c r="A47" i="25"/>
  <c r="K46" i="25"/>
  <c r="K58" i="15"/>
  <c r="A59" i="15"/>
  <c r="X58" i="15"/>
  <c r="AB58" i="15"/>
  <c r="X54" i="16"/>
  <c r="AB54" i="16"/>
  <c r="A55" i="16"/>
  <c r="K54" i="16"/>
  <c r="A52" i="18"/>
  <c r="K51" i="18"/>
  <c r="AB51" i="18"/>
  <c r="X51" i="18"/>
  <c r="AB49" i="22"/>
  <c r="A50" i="22"/>
  <c r="X49" i="22"/>
  <c r="K49" i="22"/>
  <c r="AK56" i="1"/>
  <c r="X56" i="1"/>
  <c r="A57" i="1"/>
  <c r="L56" i="1"/>
  <c r="AB56" i="1"/>
  <c r="K56" i="1"/>
  <c r="A48" i="24"/>
  <c r="AB47" i="24"/>
  <c r="K47" i="24"/>
  <c r="X47" i="24"/>
  <c r="AB52" i="17"/>
  <c r="A53" i="17"/>
  <c r="K52" i="17"/>
  <c r="X52" i="17"/>
  <c r="AB48" i="24"/>
  <c r="K48" i="24"/>
  <c r="X48" i="24"/>
  <c r="A49" i="24"/>
  <c r="K55" i="16"/>
  <c r="A56" i="16"/>
  <c r="X55" i="16"/>
  <c r="AB55" i="16"/>
  <c r="AB51" i="20"/>
  <c r="X51" i="20"/>
  <c r="K51" i="20"/>
  <c r="A52" i="20"/>
  <c r="A50" i="23"/>
  <c r="K49" i="23"/>
  <c r="AB49" i="23"/>
  <c r="X49" i="23"/>
  <c r="K53" i="17"/>
  <c r="AB53" i="17"/>
  <c r="A54" i="17"/>
  <c r="X53" i="17"/>
  <c r="AK57" i="1"/>
  <c r="A58" i="1"/>
  <c r="L57" i="1"/>
  <c r="X57" i="1"/>
  <c r="AB57" i="1"/>
  <c r="K57" i="1"/>
  <c r="AJ57" i="1"/>
  <c r="K50" i="22"/>
  <c r="A51" i="22"/>
  <c r="X50" i="22"/>
  <c r="AB50" i="22"/>
  <c r="X52" i="18"/>
  <c r="A53" i="18"/>
  <c r="K52" i="18"/>
  <c r="AB52" i="18"/>
  <c r="AB59" i="15"/>
  <c r="K59" i="15"/>
  <c r="A60" i="15"/>
  <c r="X59" i="15"/>
  <c r="A48" i="25"/>
  <c r="X47" i="25"/>
  <c r="AB47" i="25"/>
  <c r="K47" i="25"/>
  <c r="A49" i="25"/>
  <c r="AB48" i="25"/>
  <c r="K48" i="25"/>
  <c r="X48" i="25"/>
  <c r="X60" i="15"/>
  <c r="K60" i="15"/>
  <c r="A61" i="15"/>
  <c r="A33" i="7"/>
  <c r="AB60" i="15"/>
  <c r="AB53" i="18"/>
  <c r="X53" i="18"/>
  <c r="K53" i="18"/>
  <c r="A54" i="18"/>
  <c r="AB51" i="22"/>
  <c r="K51" i="22"/>
  <c r="X51" i="22"/>
  <c r="A52" i="22"/>
  <c r="AJ58" i="1"/>
  <c r="K58" i="1"/>
  <c r="X58" i="1"/>
  <c r="L58" i="1"/>
  <c r="A59" i="1"/>
  <c r="AK58" i="1"/>
  <c r="AB58" i="1"/>
  <c r="A55" i="17"/>
  <c r="X54" i="17"/>
  <c r="K54" i="17"/>
  <c r="AB54" i="17"/>
  <c r="X50" i="23"/>
  <c r="K50" i="23"/>
  <c r="A51" i="23"/>
  <c r="AB50" i="23"/>
  <c r="K52" i="20"/>
  <c r="X52" i="20"/>
  <c r="AB52" i="20"/>
  <c r="A53" i="20"/>
  <c r="A50" i="24"/>
  <c r="AB49" i="24"/>
  <c r="K49" i="24"/>
  <c r="X49" i="24"/>
  <c r="X56" i="16"/>
  <c r="K56" i="16"/>
  <c r="L56" i="16"/>
  <c r="D56" i="16" s="1"/>
  <c r="AB56" i="16"/>
  <c r="A57" i="16"/>
  <c r="K59" i="1"/>
  <c r="AB59" i="1"/>
  <c r="A60" i="1"/>
  <c r="AK59" i="1"/>
  <c r="L59" i="1"/>
  <c r="X59" i="1"/>
  <c r="A53" i="22"/>
  <c r="K52" i="22"/>
  <c r="X52" i="22"/>
  <c r="AB52" i="22"/>
  <c r="X54" i="18"/>
  <c r="AB54" i="18"/>
  <c r="A55" i="18"/>
  <c r="K54" i="18"/>
  <c r="AB61" i="15"/>
  <c r="A62" i="15"/>
  <c r="K61" i="15"/>
  <c r="X61" i="15"/>
  <c r="X49" i="25"/>
  <c r="A50" i="25"/>
  <c r="AB49" i="25"/>
  <c r="K49" i="25"/>
  <c r="A58" i="16"/>
  <c r="X57" i="16"/>
  <c r="K57" i="16"/>
  <c r="AB57" i="16"/>
  <c r="X50" i="24"/>
  <c r="AB50" i="24"/>
  <c r="A51" i="24"/>
  <c r="K50" i="24"/>
  <c r="K53" i="20"/>
  <c r="AB53" i="20"/>
  <c r="A54" i="20"/>
  <c r="X53" i="20"/>
  <c r="A52" i="23"/>
  <c r="AB51" i="23"/>
  <c r="K51" i="23"/>
  <c r="X51" i="23"/>
  <c r="AB55" i="17"/>
  <c r="X55" i="17"/>
  <c r="K55" i="17"/>
  <c r="A56" i="17"/>
  <c r="K51" i="24"/>
  <c r="AB51" i="24"/>
  <c r="A52" i="24"/>
  <c r="X51" i="24"/>
  <c r="AB58" i="16"/>
  <c r="X58" i="16"/>
  <c r="A59" i="16"/>
  <c r="K58" i="16"/>
  <c r="K50" i="25"/>
  <c r="X50" i="25"/>
  <c r="AB50" i="25"/>
  <c r="A51" i="25"/>
  <c r="K62" i="15"/>
  <c r="A63" i="15"/>
  <c r="X62" i="15"/>
  <c r="AB62" i="15"/>
  <c r="X55" i="18"/>
  <c r="A56" i="18"/>
  <c r="AB55" i="18"/>
  <c r="K55" i="18"/>
  <c r="K56" i="17"/>
  <c r="A57" i="17"/>
  <c r="X56" i="17"/>
  <c r="AB56" i="17"/>
  <c r="A53" i="23"/>
  <c r="K52" i="23"/>
  <c r="AB52" i="23"/>
  <c r="X52" i="23"/>
  <c r="X54" i="20"/>
  <c r="A55" i="20"/>
  <c r="K54" i="20"/>
  <c r="AB54" i="20"/>
  <c r="AB53" i="22"/>
  <c r="K53" i="22"/>
  <c r="A54" i="22"/>
  <c r="X53" i="22"/>
  <c r="K60" i="1"/>
  <c r="A21" i="7"/>
  <c r="A61" i="1"/>
  <c r="X60" i="1"/>
  <c r="L60" i="1"/>
  <c r="B21" i="7" s="1"/>
  <c r="AB60" i="1"/>
  <c r="AK60" i="1"/>
  <c r="X54" i="22"/>
  <c r="K54" i="22"/>
  <c r="AB54" i="22"/>
  <c r="A55" i="22"/>
  <c r="AB53" i="23"/>
  <c r="X53" i="23"/>
  <c r="A54" i="23"/>
  <c r="K53" i="23"/>
  <c r="AB56" i="18"/>
  <c r="K56" i="18"/>
  <c r="X56" i="18"/>
  <c r="A57" i="18"/>
  <c r="K52" i="24"/>
  <c r="A53" i="24"/>
  <c r="AB52" i="24"/>
  <c r="X52" i="24"/>
  <c r="AK61" i="1"/>
  <c r="A62" i="1"/>
  <c r="K61" i="1"/>
  <c r="L61" i="1"/>
  <c r="AB61" i="1"/>
  <c r="X61" i="1"/>
  <c r="A56" i="20"/>
  <c r="AB55" i="20"/>
  <c r="X55" i="20"/>
  <c r="K55" i="20"/>
  <c r="A58" i="17"/>
  <c r="K57" i="17"/>
  <c r="X57" i="17"/>
  <c r="AB57" i="17"/>
  <c r="X63" i="15"/>
  <c r="A64" i="15"/>
  <c r="K63" i="15"/>
  <c r="AB63" i="15"/>
  <c r="AB51" i="25"/>
  <c r="K51" i="25"/>
  <c r="A52" i="25"/>
  <c r="X51" i="25"/>
  <c r="AB59" i="16"/>
  <c r="X59" i="16"/>
  <c r="A60" i="16"/>
  <c r="K59" i="16"/>
  <c r="A61" i="16"/>
  <c r="K60" i="16"/>
  <c r="A45" i="7"/>
  <c r="AB60" i="16"/>
  <c r="X60" i="16"/>
  <c r="L60" i="16"/>
  <c r="AB52" i="25"/>
  <c r="A53" i="25"/>
  <c r="K52" i="25"/>
  <c r="X52" i="25"/>
  <c r="K58" i="17"/>
  <c r="A59" i="17"/>
  <c r="X58" i="17"/>
  <c r="AB58" i="17"/>
  <c r="A57" i="20"/>
  <c r="AB56" i="20"/>
  <c r="K56" i="20"/>
  <c r="X56" i="20"/>
  <c r="K64" i="15"/>
  <c r="X64" i="15"/>
  <c r="AB64" i="15"/>
  <c r="A65" i="15"/>
  <c r="AJ62" i="1"/>
  <c r="X62" i="1"/>
  <c r="AB62" i="1"/>
  <c r="AK62" i="1"/>
  <c r="L62" i="1"/>
  <c r="K62" i="1"/>
  <c r="A63" i="1"/>
  <c r="AB53" i="24"/>
  <c r="K53" i="24"/>
  <c r="A54" i="24"/>
  <c r="X53" i="24"/>
  <c r="AB57" i="18"/>
  <c r="X57" i="18"/>
  <c r="A58" i="18"/>
  <c r="K57" i="18"/>
  <c r="K54" i="23"/>
  <c r="AB54" i="23"/>
  <c r="A55" i="23"/>
  <c r="X54" i="23"/>
  <c r="K55" i="22"/>
  <c r="X55" i="22"/>
  <c r="AB55" i="22"/>
  <c r="A56" i="22"/>
  <c r="K55" i="23"/>
  <c r="AB55" i="23"/>
  <c r="X55" i="23"/>
  <c r="A56" i="23"/>
  <c r="AK63" i="1"/>
  <c r="AJ63" i="1"/>
  <c r="AB63" i="1"/>
  <c r="K63" i="1"/>
  <c r="X63" i="1"/>
  <c r="A64" i="1"/>
  <c r="L63" i="1"/>
  <c r="K53" i="25"/>
  <c r="AB53" i="25"/>
  <c r="X53" i="25"/>
  <c r="A54" i="25"/>
  <c r="A57" i="22"/>
  <c r="AB56" i="22"/>
  <c r="X56" i="22"/>
  <c r="K56" i="22"/>
  <c r="AB58" i="18"/>
  <c r="K58" i="18"/>
  <c r="X58" i="18"/>
  <c r="A59" i="18"/>
  <c r="K54" i="24"/>
  <c r="A55" i="24"/>
  <c r="AB54" i="24"/>
  <c r="X54" i="24"/>
  <c r="X65" i="15"/>
  <c r="K65" i="15"/>
  <c r="A66" i="15"/>
  <c r="AB65" i="15"/>
  <c r="K57" i="20"/>
  <c r="A58" i="20"/>
  <c r="X57" i="20"/>
  <c r="AB57" i="20"/>
  <c r="K59" i="17"/>
  <c r="AB59" i="17"/>
  <c r="X59" i="17"/>
  <c r="A60" i="17"/>
  <c r="A62" i="16"/>
  <c r="X61" i="16"/>
  <c r="AB61" i="16"/>
  <c r="K61" i="16"/>
  <c r="L61" i="16"/>
  <c r="D61" i="16" s="1"/>
  <c r="K55" i="24"/>
  <c r="A56" i="24"/>
  <c r="AB55" i="24"/>
  <c r="X55" i="24"/>
  <c r="A58" i="22"/>
  <c r="X57" i="22"/>
  <c r="K57" i="22"/>
  <c r="AB57" i="22"/>
  <c r="AB64" i="1"/>
  <c r="X64" i="1"/>
  <c r="K64" i="1"/>
  <c r="L64" i="1"/>
  <c r="A65" i="1"/>
  <c r="AK64" i="1"/>
  <c r="AB56" i="23"/>
  <c r="K56" i="23"/>
  <c r="A57" i="23"/>
  <c r="X56" i="23"/>
  <c r="AB60" i="17"/>
  <c r="X60" i="17"/>
  <c r="K60" i="17"/>
  <c r="A61" i="17"/>
  <c r="A57" i="7"/>
  <c r="K62" i="16"/>
  <c r="X62" i="16"/>
  <c r="AB62" i="16"/>
  <c r="A63" i="16"/>
  <c r="X58" i="20"/>
  <c r="AB58" i="20"/>
  <c r="K58" i="20"/>
  <c r="A59" i="20"/>
  <c r="A67" i="15"/>
  <c r="K66" i="15"/>
  <c r="L66" i="15"/>
  <c r="X66" i="15"/>
  <c r="AB66" i="15"/>
  <c r="AB59" i="18"/>
  <c r="X59" i="18"/>
  <c r="K59" i="18"/>
  <c r="A60" i="18"/>
  <c r="X54" i="25"/>
  <c r="AB54" i="25"/>
  <c r="K54" i="25"/>
  <c r="A55" i="25"/>
  <c r="X55" i="25"/>
  <c r="A56" i="25"/>
  <c r="K55" i="25"/>
  <c r="AB55" i="25"/>
  <c r="A69" i="7"/>
  <c r="AB60" i="18"/>
  <c r="A61" i="18"/>
  <c r="X60" i="18"/>
  <c r="K60" i="18"/>
  <c r="D66" i="15"/>
  <c r="A68" i="15"/>
  <c r="L67" i="15"/>
  <c r="AB67" i="15"/>
  <c r="X67" i="15"/>
  <c r="K67" i="15"/>
  <c r="X58" i="22"/>
  <c r="AB58" i="22"/>
  <c r="K58" i="22"/>
  <c r="A59" i="22"/>
  <c r="A60" i="20"/>
  <c r="AB59" i="20"/>
  <c r="X59" i="20"/>
  <c r="K59" i="20"/>
  <c r="A64" i="16"/>
  <c r="X63" i="16"/>
  <c r="AB63" i="16"/>
  <c r="L63" i="16"/>
  <c r="D63" i="16" s="1"/>
  <c r="K63" i="16"/>
  <c r="A62" i="17"/>
  <c r="X61" i="17"/>
  <c r="AB61" i="17"/>
  <c r="K61" i="17"/>
  <c r="A58" i="23"/>
  <c r="X57" i="23"/>
  <c r="K57" i="23"/>
  <c r="AB57" i="23"/>
  <c r="AJ65" i="1"/>
  <c r="K65" i="1"/>
  <c r="A66" i="1"/>
  <c r="AK65" i="1"/>
  <c r="L65" i="1"/>
  <c r="X65" i="1"/>
  <c r="AB65" i="1"/>
  <c r="A57" i="24"/>
  <c r="K56" i="24"/>
  <c r="X56" i="24"/>
  <c r="AB56" i="24"/>
  <c r="AB66" i="1"/>
  <c r="L66" i="1"/>
  <c r="K66" i="1"/>
  <c r="A67" i="1"/>
  <c r="AK66" i="1"/>
  <c r="X66" i="1"/>
  <c r="AB62" i="17"/>
  <c r="X62" i="17"/>
  <c r="A63" i="17"/>
  <c r="K62" i="17"/>
  <c r="AB60" i="20"/>
  <c r="AE21" i="7"/>
  <c r="K60" i="20"/>
  <c r="A61" i="20"/>
  <c r="X60" i="20"/>
  <c r="D67" i="15"/>
  <c r="X61" i="18"/>
  <c r="A62" i="18"/>
  <c r="K61" i="18"/>
  <c r="AB61" i="18"/>
  <c r="AB56" i="25"/>
  <c r="A57" i="25"/>
  <c r="X56" i="25"/>
  <c r="K56" i="25"/>
  <c r="K57" i="24"/>
  <c r="AB57" i="24"/>
  <c r="A58" i="24"/>
  <c r="X57" i="24"/>
  <c r="K58" i="23"/>
  <c r="AB58" i="23"/>
  <c r="A59" i="23"/>
  <c r="X58" i="23"/>
  <c r="X64" i="16"/>
  <c r="L64" i="16"/>
  <c r="D64" i="16" s="1"/>
  <c r="A65" i="16"/>
  <c r="K64" i="16"/>
  <c r="AB64" i="16"/>
  <c r="A60" i="22"/>
  <c r="K59" i="22"/>
  <c r="AB59" i="22"/>
  <c r="X59" i="22"/>
  <c r="AB68" i="15"/>
  <c r="A69" i="15"/>
  <c r="L68" i="15"/>
  <c r="D68" i="15" s="1"/>
  <c r="K68" i="15"/>
  <c r="X68" i="15"/>
  <c r="AB59" i="23"/>
  <c r="K59" i="23"/>
  <c r="A60" i="23"/>
  <c r="X59" i="23"/>
  <c r="AB57" i="25"/>
  <c r="K57" i="25"/>
  <c r="A58" i="25"/>
  <c r="X57" i="25"/>
  <c r="AB62" i="18"/>
  <c r="A63" i="18"/>
  <c r="X62" i="18"/>
  <c r="K62" i="18"/>
  <c r="X61" i="20"/>
  <c r="AB61" i="20"/>
  <c r="K61" i="20"/>
  <c r="A62" i="20"/>
  <c r="AK67" i="1"/>
  <c r="L67" i="1"/>
  <c r="AB67" i="1"/>
  <c r="K67" i="1"/>
  <c r="X67" i="1"/>
  <c r="A68" i="1"/>
  <c r="K69" i="15"/>
  <c r="X69" i="15"/>
  <c r="AB69" i="15"/>
  <c r="A70" i="15"/>
  <c r="L69" i="15"/>
  <c r="AB60" i="22"/>
  <c r="K60" i="22"/>
  <c r="A61" i="22"/>
  <c r="X60" i="22"/>
  <c r="AE33" i="7"/>
  <c r="AB65" i="16"/>
  <c r="K65" i="16"/>
  <c r="L65" i="16"/>
  <c r="D65" i="16" s="1"/>
  <c r="A66" i="16"/>
  <c r="X65" i="16"/>
  <c r="K58" i="24"/>
  <c r="A59" i="24"/>
  <c r="X58" i="24"/>
  <c r="AB58" i="24"/>
  <c r="AB63" i="17"/>
  <c r="X63" i="17"/>
  <c r="A64" i="17"/>
  <c r="K63" i="17"/>
  <c r="K64" i="17"/>
  <c r="AB64" i="17"/>
  <c r="X64" i="17"/>
  <c r="A65" i="17"/>
  <c r="X66" i="16"/>
  <c r="L66" i="16"/>
  <c r="D66" i="16" s="1"/>
  <c r="AB66" i="16"/>
  <c r="K66" i="16"/>
  <c r="A67" i="16"/>
  <c r="X61" i="22"/>
  <c r="AB61" i="22"/>
  <c r="K61" i="22"/>
  <c r="A62" i="22"/>
  <c r="X70" i="15"/>
  <c r="K70" i="15"/>
  <c r="A71" i="15"/>
  <c r="AB70" i="15"/>
  <c r="X68" i="1"/>
  <c r="K68" i="1"/>
  <c r="L68" i="1"/>
  <c r="A69" i="1"/>
  <c r="AB68" i="1"/>
  <c r="AK68" i="1"/>
  <c r="K62" i="20"/>
  <c r="AB62" i="20"/>
  <c r="X62" i="20"/>
  <c r="A63" i="20"/>
  <c r="AB63" i="18"/>
  <c r="X63" i="18"/>
  <c r="K63" i="18"/>
  <c r="A64" i="18"/>
  <c r="AB58" i="25"/>
  <c r="K58" i="25"/>
  <c r="X58" i="25"/>
  <c r="A59" i="25"/>
  <c r="AE45" i="7"/>
  <c r="X60" i="23"/>
  <c r="AB60" i="23"/>
  <c r="A61" i="23"/>
  <c r="K60" i="23"/>
  <c r="K59" i="24"/>
  <c r="A60" i="24"/>
  <c r="AB59" i="24"/>
  <c r="X59" i="24"/>
  <c r="D69" i="15"/>
  <c r="K61" i="23"/>
  <c r="A62" i="23"/>
  <c r="AB61" i="23"/>
  <c r="X61" i="23"/>
  <c r="X59" i="25"/>
  <c r="AB59" i="25"/>
  <c r="A60" i="25"/>
  <c r="K59" i="25"/>
  <c r="K63" i="20"/>
  <c r="X63" i="20"/>
  <c r="AB63" i="20"/>
  <c r="A64" i="20"/>
  <c r="AJ69" i="1"/>
  <c r="AB69" i="1"/>
  <c r="L69" i="1"/>
  <c r="AK69" i="1"/>
  <c r="X69" i="1"/>
  <c r="A70" i="1"/>
  <c r="K69" i="1"/>
  <c r="A68" i="16"/>
  <c r="AB67" i="16"/>
  <c r="X67" i="16"/>
  <c r="K67" i="16"/>
  <c r="K65" i="17"/>
  <c r="A66" i="17"/>
  <c r="X65" i="17"/>
  <c r="AB65" i="17"/>
  <c r="X60" i="24"/>
  <c r="AB60" i="24"/>
  <c r="A61" i="24"/>
  <c r="AE57" i="7"/>
  <c r="K60" i="24"/>
  <c r="X64" i="18"/>
  <c r="K64" i="18"/>
  <c r="AB64" i="18"/>
  <c r="A65" i="18"/>
  <c r="X71" i="15"/>
  <c r="L71" i="15"/>
  <c r="D71" i="15" s="1"/>
  <c r="AB71" i="15"/>
  <c r="A72" i="15"/>
  <c r="K71" i="15"/>
  <c r="AB62" i="22"/>
  <c r="A63" i="22"/>
  <c r="X62" i="22"/>
  <c r="K62" i="22"/>
  <c r="AB63" i="22"/>
  <c r="X63" i="22"/>
  <c r="A64" i="22"/>
  <c r="K63" i="22"/>
  <c r="A73" i="15"/>
  <c r="K72" i="15"/>
  <c r="L72" i="15"/>
  <c r="D72" i="15" s="1"/>
  <c r="AB72" i="15"/>
  <c r="X72" i="15"/>
  <c r="K66" i="17"/>
  <c r="A67" i="17"/>
  <c r="X66" i="17"/>
  <c r="AB66" i="17"/>
  <c r="AJ70" i="1"/>
  <c r="X70" i="1"/>
  <c r="AB70" i="1"/>
  <c r="AK70" i="1"/>
  <c r="A71" i="1"/>
  <c r="L70" i="1"/>
  <c r="K70" i="1"/>
  <c r="K64" i="20"/>
  <c r="AB64" i="20"/>
  <c r="X64" i="20"/>
  <c r="A65" i="20"/>
  <c r="K62" i="23"/>
  <c r="X62" i="23"/>
  <c r="A63" i="23"/>
  <c r="AB62" i="23"/>
  <c r="K65" i="18"/>
  <c r="A66" i="18"/>
  <c r="AB65" i="18"/>
  <c r="X65" i="18"/>
  <c r="AB61" i="24"/>
  <c r="A62" i="24"/>
  <c r="X61" i="24"/>
  <c r="K61" i="24"/>
  <c r="X68" i="16"/>
  <c r="K68" i="16"/>
  <c r="A69" i="16"/>
  <c r="AB68" i="16"/>
  <c r="AE69" i="7"/>
  <c r="K60" i="25"/>
  <c r="A61" i="25"/>
  <c r="X60" i="25"/>
  <c r="AB60" i="25"/>
  <c r="A67" i="18"/>
  <c r="X66" i="18"/>
  <c r="AB66" i="18"/>
  <c r="K66" i="18"/>
  <c r="AB67" i="17"/>
  <c r="K67" i="17"/>
  <c r="X67" i="17"/>
  <c r="A68" i="17"/>
  <c r="K73" i="15"/>
  <c r="X73" i="15"/>
  <c r="L73" i="15"/>
  <c r="D73" i="15" s="1"/>
  <c r="A74" i="15"/>
  <c r="AB73" i="15"/>
  <c r="AB61" i="25"/>
  <c r="K61" i="25"/>
  <c r="X61" i="25"/>
  <c r="A62" i="25"/>
  <c r="A70" i="16"/>
  <c r="AB69" i="16"/>
  <c r="X69" i="16"/>
  <c r="L69" i="16"/>
  <c r="D69" i="16" s="1"/>
  <c r="K69" i="16"/>
  <c r="AB62" i="24"/>
  <c r="K62" i="24"/>
  <c r="X62" i="24"/>
  <c r="A63" i="24"/>
  <c r="X63" i="23"/>
  <c r="AB63" i="23"/>
  <c r="K63" i="23"/>
  <c r="A64" i="23"/>
  <c r="A66" i="20"/>
  <c r="K65" i="20"/>
  <c r="AB65" i="20"/>
  <c r="X65" i="20"/>
  <c r="AJ71" i="1"/>
  <c r="L71" i="1"/>
  <c r="AB71" i="1"/>
  <c r="AK71" i="1"/>
  <c r="A72" i="1"/>
  <c r="X71" i="1"/>
  <c r="K71" i="1"/>
  <c r="X64" i="22"/>
  <c r="AB64" i="22"/>
  <c r="A65" i="22"/>
  <c r="K64" i="22"/>
  <c r="K66" i="20"/>
  <c r="AB66" i="20"/>
  <c r="A67" i="20"/>
  <c r="X66" i="20"/>
  <c r="A64" i="24"/>
  <c r="X63" i="24"/>
  <c r="K63" i="24"/>
  <c r="AB63" i="24"/>
  <c r="X67" i="18"/>
  <c r="AB67" i="18"/>
  <c r="K67" i="18"/>
  <c r="A68" i="18"/>
  <c r="A66" i="22"/>
  <c r="K65" i="22"/>
  <c r="AB65" i="22"/>
  <c r="X65" i="22"/>
  <c r="A73" i="1"/>
  <c r="K72" i="1"/>
  <c r="X72" i="1"/>
  <c r="L72" i="1"/>
  <c r="AK72" i="1"/>
  <c r="AB72" i="1"/>
  <c r="K64" i="23"/>
  <c r="A65" i="23"/>
  <c r="AB64" i="23"/>
  <c r="X64" i="23"/>
  <c r="A71" i="16"/>
  <c r="AB70" i="16"/>
  <c r="X70" i="16"/>
  <c r="K70" i="16"/>
  <c r="X62" i="25"/>
  <c r="A63" i="25"/>
  <c r="AB62" i="25"/>
  <c r="K62" i="25"/>
  <c r="A75" i="15"/>
  <c r="X74" i="15"/>
  <c r="AB74" i="15"/>
  <c r="K74" i="15"/>
  <c r="L74" i="15"/>
  <c r="A69" i="17"/>
  <c r="K68" i="17"/>
  <c r="X68" i="17"/>
  <c r="AB68" i="17"/>
  <c r="A76" i="15"/>
  <c r="K75" i="15"/>
  <c r="AB75" i="15"/>
  <c r="X75" i="15"/>
  <c r="X63" i="25"/>
  <c r="AB63" i="25"/>
  <c r="A64" i="25"/>
  <c r="K63" i="25"/>
  <c r="K71" i="16"/>
  <c r="A72" i="16"/>
  <c r="AB71" i="16"/>
  <c r="X71" i="16"/>
  <c r="AK73" i="1"/>
  <c r="X73" i="1"/>
  <c r="L73" i="1"/>
  <c r="AB73" i="1"/>
  <c r="A74" i="1"/>
  <c r="K73" i="1"/>
  <c r="A65" i="24"/>
  <c r="AB64" i="24"/>
  <c r="K64" i="24"/>
  <c r="X64" i="24"/>
  <c r="A68" i="20"/>
  <c r="K67" i="20"/>
  <c r="X67" i="20"/>
  <c r="AB67" i="20"/>
  <c r="AB69" i="17"/>
  <c r="X69" i="17"/>
  <c r="K69" i="17"/>
  <c r="A70" i="17"/>
  <c r="D74" i="15"/>
  <c r="A66" i="23"/>
  <c r="AB65" i="23"/>
  <c r="X65" i="23"/>
  <c r="K65" i="23"/>
  <c r="A67" i="22"/>
  <c r="X66" i="22"/>
  <c r="K66" i="22"/>
  <c r="AB66" i="22"/>
  <c r="X68" i="18"/>
  <c r="A69" i="18"/>
  <c r="AB68" i="18"/>
  <c r="K68" i="18"/>
  <c r="K69" i="18"/>
  <c r="AB69" i="18"/>
  <c r="A70" i="18"/>
  <c r="X69" i="18"/>
  <c r="X67" i="22"/>
  <c r="K67" i="22"/>
  <c r="A68" i="22"/>
  <c r="AB67" i="22"/>
  <c r="K70" i="17"/>
  <c r="X70" i="17"/>
  <c r="AB70" i="17"/>
  <c r="A71" i="17"/>
  <c r="AK74" i="1"/>
  <c r="A75" i="1"/>
  <c r="X74" i="1"/>
  <c r="L74" i="1"/>
  <c r="K74" i="1"/>
  <c r="AB74" i="1"/>
  <c r="A67" i="23"/>
  <c r="K66" i="23"/>
  <c r="X66" i="23"/>
  <c r="AB66" i="23"/>
  <c r="AB68" i="20"/>
  <c r="K68" i="20"/>
  <c r="A69" i="20"/>
  <c r="X68" i="20"/>
  <c r="X65" i="24"/>
  <c r="AB65" i="24"/>
  <c r="K65" i="24"/>
  <c r="A66" i="24"/>
  <c r="X72" i="16"/>
  <c r="AB72" i="16"/>
  <c r="K72" i="16"/>
  <c r="A73" i="16"/>
  <c r="AB64" i="25"/>
  <c r="K64" i="25"/>
  <c r="A65" i="25"/>
  <c r="X64" i="25"/>
  <c r="K76" i="15"/>
  <c r="AB76" i="15"/>
  <c r="X76" i="15"/>
  <c r="A77" i="15"/>
  <c r="A78" i="15"/>
  <c r="X77" i="15"/>
  <c r="L77" i="15"/>
  <c r="D77" i="15" s="1"/>
  <c r="K77" i="15"/>
  <c r="AB77" i="15"/>
  <c r="AB65" i="25"/>
  <c r="K65" i="25"/>
  <c r="X65" i="25"/>
  <c r="A66" i="25"/>
  <c r="K73" i="16"/>
  <c r="AB73" i="16"/>
  <c r="A74" i="16"/>
  <c r="X73" i="16"/>
  <c r="K66" i="24"/>
  <c r="A67" i="24"/>
  <c r="X66" i="24"/>
  <c r="AB66" i="24"/>
  <c r="AK75" i="1"/>
  <c r="A76" i="1"/>
  <c r="AB75" i="1"/>
  <c r="L75" i="1"/>
  <c r="K75" i="1"/>
  <c r="AJ75" i="1"/>
  <c r="X75" i="1"/>
  <c r="X71" i="17"/>
  <c r="K71" i="17"/>
  <c r="A72" i="17"/>
  <c r="AB71" i="17"/>
  <c r="A70" i="20"/>
  <c r="K69" i="20"/>
  <c r="AB69" i="20"/>
  <c r="X69" i="20"/>
  <c r="AB67" i="23"/>
  <c r="A68" i="23"/>
  <c r="K67" i="23"/>
  <c r="X67" i="23"/>
  <c r="A69" i="22"/>
  <c r="K68" i="22"/>
  <c r="X68" i="22"/>
  <c r="AB68" i="22"/>
  <c r="AB70" i="18"/>
  <c r="X70" i="18"/>
  <c r="A71" i="18"/>
  <c r="K70" i="18"/>
  <c r="AB69" i="22"/>
  <c r="A70" i="22"/>
  <c r="X69" i="22"/>
  <c r="K69" i="22"/>
  <c r="AJ76" i="1"/>
  <c r="L76" i="1"/>
  <c r="AB76" i="1"/>
  <c r="K76" i="1"/>
  <c r="X76" i="1"/>
  <c r="AK76" i="1"/>
  <c r="A77" i="1"/>
  <c r="X74" i="16"/>
  <c r="K74" i="16"/>
  <c r="AB74" i="16"/>
  <c r="A75" i="16"/>
  <c r="K66" i="25"/>
  <c r="A67" i="25"/>
  <c r="X66" i="25"/>
  <c r="AB66" i="25"/>
  <c r="AB71" i="18"/>
  <c r="K71" i="18"/>
  <c r="A72" i="18"/>
  <c r="X71" i="18"/>
  <c r="X68" i="23"/>
  <c r="K68" i="23"/>
  <c r="A69" i="23"/>
  <c r="AB68" i="23"/>
  <c r="K70" i="20"/>
  <c r="X70" i="20"/>
  <c r="A71" i="20"/>
  <c r="AB70" i="20"/>
  <c r="A73" i="17"/>
  <c r="AB72" i="17"/>
  <c r="K72" i="17"/>
  <c r="X72" i="17"/>
  <c r="X67" i="24"/>
  <c r="AB67" i="24"/>
  <c r="A68" i="24"/>
  <c r="K67" i="24"/>
  <c r="K78" i="15"/>
  <c r="A79" i="15"/>
  <c r="X78" i="15"/>
  <c r="L78" i="15"/>
  <c r="D78" i="15" s="1"/>
  <c r="AB78" i="15"/>
  <c r="K68" i="24"/>
  <c r="AB68" i="24"/>
  <c r="A69" i="24"/>
  <c r="X68" i="24"/>
  <c r="K73" i="17"/>
  <c r="AB73" i="17"/>
  <c r="X73" i="17"/>
  <c r="A74" i="17"/>
  <c r="AJ77" i="1"/>
  <c r="K77" i="1"/>
  <c r="X77" i="1"/>
  <c r="A78" i="1"/>
  <c r="AB77" i="1"/>
  <c r="L77" i="1"/>
  <c r="AK77" i="1"/>
  <c r="X70" i="22"/>
  <c r="A71" i="22"/>
  <c r="AB70" i="22"/>
  <c r="K70" i="22"/>
  <c r="K79" i="15"/>
  <c r="A80" i="15"/>
  <c r="L79" i="15"/>
  <c r="D79" i="15" s="1"/>
  <c r="AB79" i="15"/>
  <c r="X79" i="15"/>
  <c r="AB71" i="20"/>
  <c r="K71" i="20"/>
  <c r="A72" i="20"/>
  <c r="X71" i="20"/>
  <c r="AB69" i="23"/>
  <c r="A70" i="23"/>
  <c r="X69" i="23"/>
  <c r="K69" i="23"/>
  <c r="A73" i="18"/>
  <c r="X72" i="18"/>
  <c r="AB72" i="18"/>
  <c r="K72" i="18"/>
  <c r="K67" i="25"/>
  <c r="X67" i="25"/>
  <c r="A68" i="25"/>
  <c r="AB67" i="25"/>
  <c r="K75" i="16"/>
  <c r="X75" i="16"/>
  <c r="AB75" i="16"/>
  <c r="A76" i="16"/>
  <c r="A69" i="25"/>
  <c r="X68" i="25"/>
  <c r="AB68" i="25"/>
  <c r="K68" i="25"/>
  <c r="A81" i="15"/>
  <c r="X80" i="15"/>
  <c r="K80" i="15"/>
  <c r="AB80" i="15"/>
  <c r="AB71" i="22"/>
  <c r="K71" i="22"/>
  <c r="X71" i="22"/>
  <c r="A72" i="22"/>
  <c r="AK78" i="1"/>
  <c r="A79" i="1"/>
  <c r="K78" i="1"/>
  <c r="L78" i="1"/>
  <c r="X78" i="1"/>
  <c r="AB78" i="1"/>
  <c r="A77" i="16"/>
  <c r="K76" i="16"/>
  <c r="X76" i="16"/>
  <c r="L76" i="16"/>
  <c r="AB76" i="16"/>
  <c r="AB73" i="18"/>
  <c r="K73" i="18"/>
  <c r="A74" i="18"/>
  <c r="X73" i="18"/>
  <c r="A71" i="23"/>
  <c r="AB70" i="23"/>
  <c r="X70" i="23"/>
  <c r="K70" i="23"/>
  <c r="K72" i="20"/>
  <c r="X72" i="20"/>
  <c r="AB72" i="20"/>
  <c r="A73" i="20"/>
  <c r="K74" i="17"/>
  <c r="A75" i="17"/>
  <c r="X74" i="17"/>
  <c r="AB74" i="17"/>
  <c r="A70" i="24"/>
  <c r="K69" i="24"/>
  <c r="X69" i="24"/>
  <c r="AB69" i="24"/>
  <c r="X70" i="24"/>
  <c r="K70" i="24"/>
  <c r="AB70" i="24"/>
  <c r="A71" i="24"/>
  <c r="K75" i="17"/>
  <c r="X75" i="17"/>
  <c r="A76" i="17"/>
  <c r="AB75" i="17"/>
  <c r="A74" i="20"/>
  <c r="X73" i="20"/>
  <c r="AB73" i="20"/>
  <c r="K73" i="20"/>
  <c r="K77" i="16"/>
  <c r="X77" i="16"/>
  <c r="AB77" i="16"/>
  <c r="L77" i="16"/>
  <c r="D77" i="16" s="1"/>
  <c r="A78" i="16"/>
  <c r="L79" i="1"/>
  <c r="AB79" i="1"/>
  <c r="AK79" i="1"/>
  <c r="X79" i="1"/>
  <c r="A80" i="1"/>
  <c r="K79" i="1"/>
  <c r="X81" i="15"/>
  <c r="L81" i="15"/>
  <c r="D81" i="15" s="1"/>
  <c r="K81" i="15"/>
  <c r="AB81" i="15"/>
  <c r="A82" i="15"/>
  <c r="K71" i="23"/>
  <c r="A72" i="23"/>
  <c r="X71" i="23"/>
  <c r="AB71" i="23"/>
  <c r="AB74" i="18"/>
  <c r="A75" i="18"/>
  <c r="X74" i="18"/>
  <c r="K74" i="18"/>
  <c r="D76" i="16"/>
  <c r="X72" i="22"/>
  <c r="A73" i="22"/>
  <c r="AB72" i="22"/>
  <c r="K72" i="22"/>
  <c r="AB69" i="25"/>
  <c r="X69" i="25"/>
  <c r="K69" i="25"/>
  <c r="A70" i="25"/>
  <c r="K70" i="25"/>
  <c r="X70" i="25"/>
  <c r="A71" i="25"/>
  <c r="AB70" i="25"/>
  <c r="K73" i="22"/>
  <c r="A74" i="22"/>
  <c r="X73" i="22"/>
  <c r="AB73" i="22"/>
  <c r="AB75" i="18"/>
  <c r="A76" i="18"/>
  <c r="X75" i="18"/>
  <c r="K75" i="18"/>
  <c r="AJ80" i="1"/>
  <c r="X80" i="1"/>
  <c r="L80" i="1"/>
  <c r="AK80" i="1"/>
  <c r="A81" i="1"/>
  <c r="K80" i="1"/>
  <c r="AB80" i="1"/>
  <c r="AB76" i="17"/>
  <c r="K76" i="17"/>
  <c r="X76" i="17"/>
  <c r="A77" i="17"/>
  <c r="AB72" i="23"/>
  <c r="A73" i="23"/>
  <c r="K72" i="23"/>
  <c r="X72" i="23"/>
  <c r="AB82" i="15"/>
  <c r="A83" i="15"/>
  <c r="X82" i="15"/>
  <c r="K82" i="15"/>
  <c r="X78" i="16"/>
  <c r="AB78" i="16"/>
  <c r="K78" i="16"/>
  <c r="L78" i="16"/>
  <c r="D78" i="16" s="1"/>
  <c r="A79" i="16"/>
  <c r="A75" i="20"/>
  <c r="AB74" i="20"/>
  <c r="X74" i="20"/>
  <c r="K74" i="20"/>
  <c r="AB71" i="24"/>
  <c r="K71" i="24"/>
  <c r="X71" i="24"/>
  <c r="A72" i="24"/>
  <c r="AB75" i="20"/>
  <c r="K75" i="20"/>
  <c r="X75" i="20"/>
  <c r="A76" i="20"/>
  <c r="X73" i="23"/>
  <c r="AB73" i="23"/>
  <c r="K73" i="23"/>
  <c r="A74" i="23"/>
  <c r="AK81" i="1"/>
  <c r="AB81" i="1"/>
  <c r="X81" i="1"/>
  <c r="L81" i="1"/>
  <c r="AJ81" i="1"/>
  <c r="A82" i="1"/>
  <c r="K81" i="1"/>
  <c r="AB76" i="18"/>
  <c r="A77" i="18"/>
  <c r="X76" i="18"/>
  <c r="K76" i="18"/>
  <c r="A73" i="24"/>
  <c r="AB72" i="24"/>
  <c r="K72" i="24"/>
  <c r="X72" i="24"/>
  <c r="K79" i="16"/>
  <c r="A80" i="16"/>
  <c r="X79" i="16"/>
  <c r="AB79" i="16"/>
  <c r="X83" i="15"/>
  <c r="A84" i="15"/>
  <c r="K83" i="15"/>
  <c r="AB83" i="15"/>
  <c r="L83" i="15"/>
  <c r="D83" i="15" s="1"/>
  <c r="A78" i="17"/>
  <c r="X77" i="17"/>
  <c r="K77" i="17"/>
  <c r="AB77" i="17"/>
  <c r="K74" i="22"/>
  <c r="X74" i="22"/>
  <c r="AB74" i="22"/>
  <c r="A75" i="22"/>
  <c r="AB71" i="25"/>
  <c r="X71" i="25"/>
  <c r="A72" i="25"/>
  <c r="K71" i="25"/>
  <c r="X75" i="22"/>
  <c r="AB75" i="22"/>
  <c r="A76" i="22"/>
  <c r="K75" i="22"/>
  <c r="A79" i="17"/>
  <c r="X78" i="17"/>
  <c r="K78" i="17"/>
  <c r="AB78" i="17"/>
  <c r="K84" i="15"/>
  <c r="A85" i="15"/>
  <c r="AB84" i="15"/>
  <c r="X84" i="15"/>
  <c r="AB77" i="18"/>
  <c r="K77" i="18"/>
  <c r="A78" i="18"/>
  <c r="X77" i="18"/>
  <c r="AJ82" i="1"/>
  <c r="AB82" i="1"/>
  <c r="A83" i="1"/>
  <c r="K82" i="1"/>
  <c r="X82" i="1"/>
  <c r="AK82" i="1"/>
  <c r="L82" i="1"/>
  <c r="AB74" i="23"/>
  <c r="K74" i="23"/>
  <c r="X74" i="23"/>
  <c r="A75" i="23"/>
  <c r="A73" i="25"/>
  <c r="X72" i="25"/>
  <c r="AB72" i="25"/>
  <c r="K72" i="25"/>
  <c r="X80" i="16"/>
  <c r="A81" i="16"/>
  <c r="K80" i="16"/>
  <c r="AB80" i="16"/>
  <c r="K73" i="24"/>
  <c r="X73" i="24"/>
  <c r="AB73" i="24"/>
  <c r="A74" i="24"/>
  <c r="X76" i="20"/>
  <c r="A77" i="20"/>
  <c r="K76" i="20"/>
  <c r="AB76" i="20"/>
  <c r="X77" i="20"/>
  <c r="AB77" i="20"/>
  <c r="A78" i="20"/>
  <c r="K77" i="20"/>
  <c r="A75" i="24"/>
  <c r="AB74" i="24"/>
  <c r="X74" i="24"/>
  <c r="K74" i="24"/>
  <c r="A82" i="16"/>
  <c r="K81" i="16"/>
  <c r="L81" i="16"/>
  <c r="D81" i="16" s="1"/>
  <c r="AB81" i="16"/>
  <c r="X81" i="16"/>
  <c r="A74" i="25"/>
  <c r="AB73" i="25"/>
  <c r="X73" i="25"/>
  <c r="K73" i="25"/>
  <c r="AJ83" i="1"/>
  <c r="L83" i="1"/>
  <c r="AB83" i="1"/>
  <c r="X83" i="1"/>
  <c r="A84" i="1"/>
  <c r="K83" i="1"/>
  <c r="AK83" i="1"/>
  <c r="AB85" i="15"/>
  <c r="K85" i="15"/>
  <c r="X85" i="15"/>
  <c r="A86" i="15"/>
  <c r="K75" i="23"/>
  <c r="X75" i="23"/>
  <c r="A76" i="23"/>
  <c r="AB75" i="23"/>
  <c r="AB78" i="18"/>
  <c r="A79" i="18"/>
  <c r="K78" i="18"/>
  <c r="X78" i="18"/>
  <c r="X79" i="17"/>
  <c r="A80" i="17"/>
  <c r="AB79" i="17"/>
  <c r="K79" i="17"/>
  <c r="AB76" i="22"/>
  <c r="A77" i="22"/>
  <c r="X76" i="22"/>
  <c r="K76" i="22"/>
  <c r="A81" i="17"/>
  <c r="K80" i="17"/>
  <c r="X80" i="17"/>
  <c r="AB80" i="17"/>
  <c r="X79" i="18"/>
  <c r="AB79" i="18"/>
  <c r="K79" i="18"/>
  <c r="A80" i="18"/>
  <c r="AB76" i="23"/>
  <c r="K76" i="23"/>
  <c r="A77" i="23"/>
  <c r="X76" i="23"/>
  <c r="AB86" i="15"/>
  <c r="A87" i="15"/>
  <c r="L86" i="15"/>
  <c r="D86" i="15" s="1"/>
  <c r="K86" i="15"/>
  <c r="X86" i="15"/>
  <c r="AK84" i="1"/>
  <c r="L84" i="1"/>
  <c r="K84" i="1"/>
  <c r="A85" i="1"/>
  <c r="AB84" i="1"/>
  <c r="X84" i="1"/>
  <c r="A76" i="24"/>
  <c r="X75" i="24"/>
  <c r="K75" i="24"/>
  <c r="AB75" i="24"/>
  <c r="AB78" i="20"/>
  <c r="A79" i="20"/>
  <c r="X78" i="20"/>
  <c r="K78" i="20"/>
  <c r="K77" i="22"/>
  <c r="A78" i="22"/>
  <c r="AB77" i="22"/>
  <c r="X77" i="22"/>
  <c r="K74" i="25"/>
  <c r="X74" i="25"/>
  <c r="AB74" i="25"/>
  <c r="A75" i="25"/>
  <c r="AB82" i="16"/>
  <c r="L82" i="16"/>
  <c r="D82" i="16" s="1"/>
  <c r="K82" i="16"/>
  <c r="X82" i="16"/>
  <c r="A83" i="16"/>
  <c r="AB83" i="16"/>
  <c r="L83" i="16"/>
  <c r="D83" i="16" s="1"/>
  <c r="K83" i="16"/>
  <c r="A84" i="16"/>
  <c r="X83" i="16"/>
  <c r="AB75" i="25"/>
  <c r="A76" i="25"/>
  <c r="X75" i="25"/>
  <c r="K75" i="25"/>
  <c r="A79" i="22"/>
  <c r="X78" i="22"/>
  <c r="AB78" i="22"/>
  <c r="K78" i="22"/>
  <c r="A77" i="24"/>
  <c r="AB76" i="24"/>
  <c r="X76" i="24"/>
  <c r="K76" i="24"/>
  <c r="K87" i="15"/>
  <c r="L87" i="15"/>
  <c r="D87" i="15" s="1"/>
  <c r="A88" i="15"/>
  <c r="AB87" i="15"/>
  <c r="X87" i="15"/>
  <c r="K79" i="20"/>
  <c r="X79" i="20"/>
  <c r="A80" i="20"/>
  <c r="AB79" i="20"/>
  <c r="AJ85" i="1"/>
  <c r="L85" i="1"/>
  <c r="K85" i="1"/>
  <c r="X85" i="1"/>
  <c r="AB85" i="1"/>
  <c r="A86" i="1"/>
  <c r="AK85" i="1"/>
  <c r="A78" i="23"/>
  <c r="X77" i="23"/>
  <c r="K77" i="23"/>
  <c r="AB77" i="23"/>
  <c r="A81" i="18"/>
  <c r="X80" i="18"/>
  <c r="K80" i="18"/>
  <c r="AB80" i="18"/>
  <c r="X81" i="17"/>
  <c r="A82" i="17"/>
  <c r="AB81" i="17"/>
  <c r="K81" i="17"/>
  <c r="K88" i="15"/>
  <c r="X88" i="15"/>
  <c r="L88" i="15"/>
  <c r="AB88" i="15"/>
  <c r="A34" i="7"/>
  <c r="A89" i="15"/>
  <c r="X76" i="25"/>
  <c r="AB76" i="25"/>
  <c r="A77" i="25"/>
  <c r="K76" i="25"/>
  <c r="X84" i="16"/>
  <c r="K84" i="16"/>
  <c r="A85" i="16"/>
  <c r="AB84" i="16"/>
  <c r="L84" i="16"/>
  <c r="D84" i="16" s="1"/>
  <c r="AK86" i="1"/>
  <c r="AB86" i="1"/>
  <c r="X86" i="1"/>
  <c r="L86" i="1"/>
  <c r="K86" i="1"/>
  <c r="A87" i="1"/>
  <c r="K82" i="17"/>
  <c r="A83" i="17"/>
  <c r="AB82" i="17"/>
  <c r="X82" i="17"/>
  <c r="A82" i="18"/>
  <c r="AB81" i="18"/>
  <c r="K81" i="18"/>
  <c r="X81" i="18"/>
  <c r="K78" i="23"/>
  <c r="AB78" i="23"/>
  <c r="X78" i="23"/>
  <c r="A79" i="23"/>
  <c r="A81" i="20"/>
  <c r="X80" i="20"/>
  <c r="K80" i="20"/>
  <c r="AB80" i="20"/>
  <c r="X77" i="24"/>
  <c r="AB77" i="24"/>
  <c r="K77" i="24"/>
  <c r="A78" i="24"/>
  <c r="AB79" i="22"/>
  <c r="K79" i="22"/>
  <c r="A80" i="22"/>
  <c r="X79" i="22"/>
  <c r="AB80" i="22"/>
  <c r="K80" i="22"/>
  <c r="X80" i="22"/>
  <c r="A81" i="22"/>
  <c r="X78" i="24"/>
  <c r="A79" i="24"/>
  <c r="K78" i="24"/>
  <c r="AB78" i="24"/>
  <c r="X81" i="20"/>
  <c r="K81" i="20"/>
  <c r="A82" i="20"/>
  <c r="AB81" i="20"/>
  <c r="K83" i="17"/>
  <c r="X83" i="17"/>
  <c r="A84" i="17"/>
  <c r="AB83" i="17"/>
  <c r="AB85" i="16"/>
  <c r="X85" i="16"/>
  <c r="A86" i="16"/>
  <c r="K85" i="16"/>
  <c r="K89" i="15"/>
  <c r="X89" i="15"/>
  <c r="AB89" i="15"/>
  <c r="A90" i="15"/>
  <c r="X79" i="23"/>
  <c r="A80" i="23"/>
  <c r="AB79" i="23"/>
  <c r="K79" i="23"/>
  <c r="A83" i="18"/>
  <c r="AB82" i="18"/>
  <c r="K82" i="18"/>
  <c r="X82" i="18"/>
  <c r="X87" i="1"/>
  <c r="A88" i="1"/>
  <c r="L87" i="1"/>
  <c r="K87" i="1"/>
  <c r="AB87" i="1"/>
  <c r="AK87" i="1"/>
  <c r="K77" i="25"/>
  <c r="A78" i="25"/>
  <c r="AB77" i="25"/>
  <c r="X77" i="25"/>
  <c r="A79" i="25"/>
  <c r="X78" i="25"/>
  <c r="K78" i="25"/>
  <c r="AB78" i="25"/>
  <c r="X83" i="18"/>
  <c r="K83" i="18"/>
  <c r="A84" i="18"/>
  <c r="AB83" i="18"/>
  <c r="AB86" i="16"/>
  <c r="A87" i="16"/>
  <c r="K86" i="16"/>
  <c r="X86" i="16"/>
  <c r="A83" i="20"/>
  <c r="X82" i="20"/>
  <c r="K82" i="20"/>
  <c r="AB82" i="20"/>
  <c r="A80" i="24"/>
  <c r="X79" i="24"/>
  <c r="K79" i="24"/>
  <c r="AB79" i="24"/>
  <c r="K81" i="22"/>
  <c r="A82" i="22"/>
  <c r="AB81" i="22"/>
  <c r="X81" i="22"/>
  <c r="AJ88" i="1"/>
  <c r="A89" i="1"/>
  <c r="AB88" i="1"/>
  <c r="X88" i="1"/>
  <c r="AK88" i="1"/>
  <c r="L88" i="1"/>
  <c r="B22" i="7" s="1"/>
  <c r="K88" i="1"/>
  <c r="A22" i="7"/>
  <c r="A81" i="23"/>
  <c r="AB80" i="23"/>
  <c r="K80" i="23"/>
  <c r="X80" i="23"/>
  <c r="K90" i="15"/>
  <c r="X90" i="15"/>
  <c r="AB90" i="15"/>
  <c r="A91" i="15"/>
  <c r="K84" i="17"/>
  <c r="AB84" i="17"/>
  <c r="X84" i="17"/>
  <c r="A85" i="17"/>
  <c r="AB82" i="22"/>
  <c r="K82" i="22"/>
  <c r="X82" i="22"/>
  <c r="A83" i="22"/>
  <c r="K80" i="24"/>
  <c r="A81" i="24"/>
  <c r="X80" i="24"/>
  <c r="AB80" i="24"/>
  <c r="K87" i="16"/>
  <c r="A88" i="16"/>
  <c r="AB87" i="16"/>
  <c r="L87" i="16"/>
  <c r="D87" i="16" s="1"/>
  <c r="X87" i="16"/>
  <c r="AB84" i="18"/>
  <c r="K84" i="18"/>
  <c r="A85" i="18"/>
  <c r="X84" i="18"/>
  <c r="AB79" i="25"/>
  <c r="A80" i="25"/>
  <c r="K79" i="25"/>
  <c r="X79" i="25"/>
  <c r="AB85" i="17"/>
  <c r="A86" i="17"/>
  <c r="X85" i="17"/>
  <c r="K85" i="17"/>
  <c r="K91" i="15"/>
  <c r="L91" i="15"/>
  <c r="D91" i="15" s="1"/>
  <c r="A92" i="15"/>
  <c r="AB91" i="15"/>
  <c r="X91" i="15"/>
  <c r="A82" i="23"/>
  <c r="AB81" i="23"/>
  <c r="X81" i="23"/>
  <c r="K81" i="23"/>
  <c r="AK89" i="1"/>
  <c r="K89" i="1"/>
  <c r="L89" i="1"/>
  <c r="AB89" i="1"/>
  <c r="X89" i="1"/>
  <c r="A90" i="1"/>
  <c r="AJ89" i="1"/>
  <c r="K83" i="20"/>
  <c r="A84" i="20"/>
  <c r="AB83" i="20"/>
  <c r="X83" i="20"/>
  <c r="AB84" i="20"/>
  <c r="K84" i="20"/>
  <c r="X84" i="20"/>
  <c r="A85" i="20"/>
  <c r="AK90" i="1"/>
  <c r="X90" i="1"/>
  <c r="AB90" i="1"/>
  <c r="A91" i="1"/>
  <c r="K90" i="1"/>
  <c r="AJ90" i="1"/>
  <c r="L90" i="1"/>
  <c r="A93" i="15"/>
  <c r="L92" i="15"/>
  <c r="D92" i="15" s="1"/>
  <c r="AB92" i="15"/>
  <c r="X92" i="15"/>
  <c r="K92" i="15"/>
  <c r="K86" i="17"/>
  <c r="X86" i="17"/>
  <c r="AB86" i="17"/>
  <c r="A87" i="17"/>
  <c r="A81" i="25"/>
  <c r="K80" i="25"/>
  <c r="X80" i="25"/>
  <c r="AB80" i="25"/>
  <c r="K85" i="18"/>
  <c r="A86" i="18"/>
  <c r="AB85" i="18"/>
  <c r="X85" i="18"/>
  <c r="X88" i="16"/>
  <c r="K88" i="16"/>
  <c r="A46" i="7"/>
  <c r="AB88" i="16"/>
  <c r="A89" i="16"/>
  <c r="X81" i="24"/>
  <c r="K81" i="24"/>
  <c r="A82" i="24"/>
  <c r="AB81" i="24"/>
  <c r="A83" i="23"/>
  <c r="AB82" i="23"/>
  <c r="X82" i="23"/>
  <c r="K82" i="23"/>
  <c r="AB83" i="22"/>
  <c r="K83" i="22"/>
  <c r="X83" i="22"/>
  <c r="A84" i="22"/>
  <c r="A85" i="22"/>
  <c r="K84" i="22"/>
  <c r="X84" i="22"/>
  <c r="AB84" i="22"/>
  <c r="AB83" i="23"/>
  <c r="A84" i="23"/>
  <c r="K83" i="23"/>
  <c r="X83" i="23"/>
  <c r="K89" i="16"/>
  <c r="A90" i="16"/>
  <c r="L89" i="16"/>
  <c r="D89" i="16" s="1"/>
  <c r="AB89" i="16"/>
  <c r="X89" i="16"/>
  <c r="X86" i="18"/>
  <c r="AB86" i="18"/>
  <c r="A87" i="18"/>
  <c r="K86" i="18"/>
  <c r="A82" i="25"/>
  <c r="AB81" i="25"/>
  <c r="X81" i="25"/>
  <c r="K81" i="25"/>
  <c r="AB82" i="24"/>
  <c r="K82" i="24"/>
  <c r="X82" i="24"/>
  <c r="A83" i="24"/>
  <c r="AB87" i="17"/>
  <c r="A88" i="17"/>
  <c r="X87" i="17"/>
  <c r="K87" i="17"/>
  <c r="AB93" i="15"/>
  <c r="K93" i="15"/>
  <c r="L93" i="15"/>
  <c r="D93" i="15" s="1"/>
  <c r="X93" i="15"/>
  <c r="A94" i="15"/>
  <c r="AK91" i="1"/>
  <c r="AB91" i="1"/>
  <c r="A92" i="1"/>
  <c r="K91" i="1"/>
  <c r="X91" i="1"/>
  <c r="L91" i="1"/>
  <c r="A86" i="20"/>
  <c r="AB85" i="20"/>
  <c r="K85" i="20"/>
  <c r="X85" i="20"/>
  <c r="K86" i="20"/>
  <c r="X86" i="20"/>
  <c r="AB86" i="20"/>
  <c r="A87" i="20"/>
  <c r="X94" i="15"/>
  <c r="A95" i="15"/>
  <c r="K94" i="15"/>
  <c r="AB94" i="15"/>
  <c r="L94" i="15"/>
  <c r="D94" i="15" s="1"/>
  <c r="AB88" i="17"/>
  <c r="X88" i="17"/>
  <c r="K88" i="17"/>
  <c r="A89" i="17"/>
  <c r="A58" i="7"/>
  <c r="K87" i="18"/>
  <c r="AB87" i="18"/>
  <c r="A88" i="18"/>
  <c r="X87" i="18"/>
  <c r="A85" i="23"/>
  <c r="X84" i="23"/>
  <c r="K84" i="23"/>
  <c r="AB84" i="23"/>
  <c r="AK92" i="1"/>
  <c r="K92" i="1"/>
  <c r="A93" i="1"/>
  <c r="AJ92" i="1"/>
  <c r="L92" i="1"/>
  <c r="AB92" i="1"/>
  <c r="X92" i="1"/>
  <c r="AB83" i="24"/>
  <c r="K83" i="24"/>
  <c r="A84" i="24"/>
  <c r="X83" i="24"/>
  <c r="X82" i="25"/>
  <c r="A83" i="25"/>
  <c r="AB82" i="25"/>
  <c r="K82" i="25"/>
  <c r="X90" i="16"/>
  <c r="K90" i="16"/>
  <c r="L90" i="16"/>
  <c r="D90" i="16" s="1"/>
  <c r="A91" i="16"/>
  <c r="AB90" i="16"/>
  <c r="X85" i="22"/>
  <c r="A86" i="22"/>
  <c r="AB85" i="22"/>
  <c r="K85" i="22"/>
  <c r="K86" i="22"/>
  <c r="A87" i="22"/>
  <c r="AB86" i="22"/>
  <c r="X86" i="22"/>
  <c r="X91" i="16"/>
  <c r="A92" i="16"/>
  <c r="K91" i="16"/>
  <c r="L91" i="16"/>
  <c r="D91" i="16" s="1"/>
  <c r="AB91" i="16"/>
  <c r="A85" i="24"/>
  <c r="K84" i="24"/>
  <c r="X84" i="24"/>
  <c r="AB84" i="24"/>
  <c r="AK93" i="1"/>
  <c r="X93" i="1"/>
  <c r="K93" i="1"/>
  <c r="AB93" i="1"/>
  <c r="A94" i="1"/>
  <c r="L93" i="1"/>
  <c r="AJ93" i="1"/>
  <c r="A70" i="7"/>
  <c r="X88" i="18"/>
  <c r="A89" i="18"/>
  <c r="AB88" i="18"/>
  <c r="K88" i="18"/>
  <c r="AB89" i="17"/>
  <c r="A90" i="17"/>
  <c r="K89" i="17"/>
  <c r="X89" i="17"/>
  <c r="X87" i="20"/>
  <c r="K87" i="20"/>
  <c r="A88" i="20"/>
  <c r="AB87" i="20"/>
  <c r="A84" i="25"/>
  <c r="X83" i="25"/>
  <c r="K83" i="25"/>
  <c r="AB83" i="25"/>
  <c r="AB85" i="23"/>
  <c r="X85" i="23"/>
  <c r="K85" i="23"/>
  <c r="A86" i="23"/>
  <c r="A96" i="15"/>
  <c r="L95" i="15"/>
  <c r="D95" i="15" s="1"/>
  <c r="AB95" i="15"/>
  <c r="K95" i="15"/>
  <c r="X95" i="15"/>
  <c r="K96" i="15"/>
  <c r="X96" i="15"/>
  <c r="L96" i="15"/>
  <c r="D96" i="15" s="1"/>
  <c r="A97" i="15"/>
  <c r="AB96" i="15"/>
  <c r="AB90" i="17"/>
  <c r="A91" i="17"/>
  <c r="K90" i="17"/>
  <c r="X90" i="17"/>
  <c r="K86" i="23"/>
  <c r="A87" i="23"/>
  <c r="X86" i="23"/>
  <c r="AB86" i="23"/>
  <c r="AB84" i="25"/>
  <c r="X84" i="25"/>
  <c r="K84" i="25"/>
  <c r="A85" i="25"/>
  <c r="A89" i="20"/>
  <c r="AB88" i="20"/>
  <c r="AE22" i="7"/>
  <c r="K88" i="20"/>
  <c r="X88" i="20"/>
  <c r="X89" i="18"/>
  <c r="A90" i="18"/>
  <c r="K89" i="18"/>
  <c r="AB89" i="18"/>
  <c r="AK94" i="1"/>
  <c r="K94" i="1"/>
  <c r="A95" i="1"/>
  <c r="L94" i="1"/>
  <c r="X94" i="1"/>
  <c r="AJ94" i="1"/>
  <c r="AB94" i="1"/>
  <c r="A86" i="24"/>
  <c r="AB85" i="24"/>
  <c r="K85" i="24"/>
  <c r="X85" i="24"/>
  <c r="A93" i="16"/>
  <c r="AB92" i="16"/>
  <c r="L92" i="16"/>
  <c r="D92" i="16" s="1"/>
  <c r="K92" i="16"/>
  <c r="X92" i="16"/>
  <c r="X87" i="22"/>
  <c r="K87" i="22"/>
  <c r="A88" i="22"/>
  <c r="AB87" i="22"/>
  <c r="K86" i="24"/>
  <c r="A87" i="24"/>
  <c r="AB86" i="24"/>
  <c r="X86" i="24"/>
  <c r="AK95" i="1"/>
  <c r="K95" i="1"/>
  <c r="X95" i="1"/>
  <c r="A96" i="1"/>
  <c r="L95" i="1"/>
  <c r="AB95" i="1"/>
  <c r="A91" i="18"/>
  <c r="K90" i="18"/>
  <c r="X90" i="18"/>
  <c r="AB90" i="18"/>
  <c r="AB89" i="20"/>
  <c r="K89" i="20"/>
  <c r="A90" i="20"/>
  <c r="X89" i="20"/>
  <c r="A92" i="17"/>
  <c r="AB91" i="17"/>
  <c r="K91" i="17"/>
  <c r="X91" i="17"/>
  <c r="AB88" i="22"/>
  <c r="A89" i="22"/>
  <c r="X88" i="22"/>
  <c r="K88" i="22"/>
  <c r="AE34" i="7"/>
  <c r="AB93" i="16"/>
  <c r="L93" i="16"/>
  <c r="D93" i="16" s="1"/>
  <c r="A94" i="16"/>
  <c r="K93" i="16"/>
  <c r="X93" i="16"/>
  <c r="AB85" i="25"/>
  <c r="K85" i="25"/>
  <c r="A86" i="25"/>
  <c r="X85" i="25"/>
  <c r="A88" i="23"/>
  <c r="K87" i="23"/>
  <c r="X87" i="23"/>
  <c r="AB87" i="23"/>
  <c r="A98" i="15"/>
  <c r="K97" i="15"/>
  <c r="L97" i="15"/>
  <c r="D97" i="15" s="1"/>
  <c r="X97" i="15"/>
  <c r="AB97" i="15"/>
  <c r="L98" i="15"/>
  <c r="K98" i="15"/>
  <c r="A99" i="15"/>
  <c r="X98" i="15"/>
  <c r="AB98" i="15"/>
  <c r="A87" i="25"/>
  <c r="X86" i="25"/>
  <c r="AB86" i="25"/>
  <c r="K86" i="25"/>
  <c r="A89" i="23"/>
  <c r="K88" i="23"/>
  <c r="X88" i="23"/>
  <c r="AE46" i="7"/>
  <c r="AB88" i="23"/>
  <c r="K94" i="16"/>
  <c r="AB94" i="16"/>
  <c r="X94" i="16"/>
  <c r="A95" i="16"/>
  <c r="K89" i="22"/>
  <c r="X89" i="22"/>
  <c r="A90" i="22"/>
  <c r="AB89" i="22"/>
  <c r="AB92" i="17"/>
  <c r="X92" i="17"/>
  <c r="K92" i="17"/>
  <c r="A93" i="17"/>
  <c r="K90" i="20"/>
  <c r="A91" i="20"/>
  <c r="X90" i="20"/>
  <c r="AB90" i="20"/>
  <c r="AB91" i="18"/>
  <c r="X91" i="18"/>
  <c r="A92" i="18"/>
  <c r="K91" i="18"/>
  <c r="AK96" i="1"/>
  <c r="A97" i="1"/>
  <c r="AB96" i="1"/>
  <c r="AJ96" i="1"/>
  <c r="K96" i="1"/>
  <c r="L96" i="1"/>
  <c r="X96" i="1"/>
  <c r="X87" i="24"/>
  <c r="K87" i="24"/>
  <c r="A88" i="24"/>
  <c r="AB87" i="24"/>
  <c r="A89" i="24"/>
  <c r="X88" i="24"/>
  <c r="K88" i="24"/>
  <c r="AE58" i="7"/>
  <c r="AB88" i="24"/>
  <c r="AK97" i="1"/>
  <c r="L97" i="1"/>
  <c r="X97" i="1"/>
  <c r="K97" i="1"/>
  <c r="AB97" i="1"/>
  <c r="A98" i="1"/>
  <c r="X91" i="20"/>
  <c r="A92" i="20"/>
  <c r="K91" i="20"/>
  <c r="AB91" i="20"/>
  <c r="K93" i="17"/>
  <c r="AB93" i="17"/>
  <c r="A94" i="17"/>
  <c r="X93" i="17"/>
  <c r="A96" i="16"/>
  <c r="AB95" i="16"/>
  <c r="X95" i="16"/>
  <c r="L95" i="16"/>
  <c r="D95" i="16" s="1"/>
  <c r="K95" i="16"/>
  <c r="AB89" i="23"/>
  <c r="K89" i="23"/>
  <c r="A90" i="23"/>
  <c r="X89" i="23"/>
  <c r="X87" i="25"/>
  <c r="AB87" i="25"/>
  <c r="A88" i="25"/>
  <c r="K87" i="25"/>
  <c r="AB92" i="18"/>
  <c r="A93" i="18"/>
  <c r="X92" i="18"/>
  <c r="K92" i="18"/>
  <c r="A91" i="22"/>
  <c r="K90" i="22"/>
  <c r="AB90" i="22"/>
  <c r="X90" i="22"/>
  <c r="AB99" i="15"/>
  <c r="A100" i="15"/>
  <c r="K99" i="15"/>
  <c r="L99" i="15"/>
  <c r="D99" i="15" s="1"/>
  <c r="X99" i="15"/>
  <c r="D98" i="15"/>
  <c r="K100" i="15"/>
  <c r="X100" i="15"/>
  <c r="L100" i="15"/>
  <c r="AB100" i="15"/>
  <c r="A101" i="15"/>
  <c r="A92" i="22"/>
  <c r="X91" i="22"/>
  <c r="K91" i="22"/>
  <c r="AB91" i="22"/>
  <c r="K94" i="17"/>
  <c r="A95" i="17"/>
  <c r="X94" i="17"/>
  <c r="AB94" i="17"/>
  <c r="A93" i="20"/>
  <c r="AB92" i="20"/>
  <c r="K92" i="20"/>
  <c r="X92" i="20"/>
  <c r="K89" i="24"/>
  <c r="AB89" i="24"/>
  <c r="A90" i="24"/>
  <c r="X89" i="24"/>
  <c r="AB93" i="18"/>
  <c r="K93" i="18"/>
  <c r="A94" i="18"/>
  <c r="X93" i="18"/>
  <c r="K88" i="25"/>
  <c r="AE70" i="7"/>
  <c r="AB88" i="25"/>
  <c r="A89" i="25"/>
  <c r="X88" i="25"/>
  <c r="K90" i="23"/>
  <c r="X90" i="23"/>
  <c r="A91" i="23"/>
  <c r="AB90" i="23"/>
  <c r="K96" i="16"/>
  <c r="AB96" i="16"/>
  <c r="A97" i="16"/>
  <c r="X96" i="16"/>
  <c r="L96" i="16"/>
  <c r="D96" i="16" s="1"/>
  <c r="AK98" i="1"/>
  <c r="X98" i="1"/>
  <c r="A99" i="1"/>
  <c r="K98" i="1"/>
  <c r="AB98" i="1"/>
  <c r="L98" i="1"/>
  <c r="K91" i="23"/>
  <c r="AB91" i="23"/>
  <c r="A92" i="23"/>
  <c r="X91" i="23"/>
  <c r="AB89" i="25"/>
  <c r="X89" i="25"/>
  <c r="K89" i="25"/>
  <c r="A90" i="25"/>
  <c r="K94" i="18"/>
  <c r="AB94" i="18"/>
  <c r="X94" i="18"/>
  <c r="A95" i="18"/>
  <c r="K90" i="24"/>
  <c r="X90" i="24"/>
  <c r="A91" i="24"/>
  <c r="AB90" i="24"/>
  <c r="X93" i="20"/>
  <c r="A94" i="20"/>
  <c r="AB93" i="20"/>
  <c r="K93" i="20"/>
  <c r="D100" i="15"/>
  <c r="X97" i="16"/>
  <c r="A98" i="16"/>
  <c r="K97" i="16"/>
  <c r="AB97" i="16"/>
  <c r="AK99" i="1"/>
  <c r="L99" i="1"/>
  <c r="K99" i="1"/>
  <c r="X99" i="1"/>
  <c r="AB99" i="1"/>
  <c r="A100" i="1"/>
  <c r="A96" i="17"/>
  <c r="X95" i="17"/>
  <c r="AB95" i="17"/>
  <c r="K95" i="17"/>
  <c r="K92" i="22"/>
  <c r="AB92" i="22"/>
  <c r="A93" i="22"/>
  <c r="X92" i="22"/>
  <c r="X101" i="15"/>
  <c r="K101" i="15"/>
  <c r="AB101" i="15"/>
  <c r="A102" i="15"/>
  <c r="AB102" i="15"/>
  <c r="L102" i="15"/>
  <c r="X102" i="15"/>
  <c r="K102" i="15"/>
  <c r="A103" i="15"/>
  <c r="X98" i="16"/>
  <c r="AB98" i="16"/>
  <c r="K98" i="16"/>
  <c r="A99" i="16"/>
  <c r="A92" i="24"/>
  <c r="AB91" i="24"/>
  <c r="X91" i="24"/>
  <c r="K91" i="24"/>
  <c r="AB92" i="23"/>
  <c r="A93" i="23"/>
  <c r="X92" i="23"/>
  <c r="K92" i="23"/>
  <c r="AB93" i="22"/>
  <c r="A94" i="22"/>
  <c r="K93" i="22"/>
  <c r="X93" i="22"/>
  <c r="X96" i="17"/>
  <c r="AB96" i="17"/>
  <c r="K96" i="17"/>
  <c r="A97" i="17"/>
  <c r="AK100" i="1"/>
  <c r="AB100" i="1"/>
  <c r="L100" i="1"/>
  <c r="X100" i="1"/>
  <c r="K100" i="1"/>
  <c r="A101" i="1"/>
  <c r="AB94" i="20"/>
  <c r="K94" i="20"/>
  <c r="X94" i="20"/>
  <c r="A95" i="20"/>
  <c r="AB95" i="18"/>
  <c r="K95" i="18"/>
  <c r="X95" i="18"/>
  <c r="A96" i="18"/>
  <c r="A91" i="25"/>
  <c r="AB90" i="25"/>
  <c r="K90" i="25"/>
  <c r="X90" i="25"/>
  <c r="X91" i="25"/>
  <c r="AB91" i="25"/>
  <c r="K91" i="25"/>
  <c r="A92" i="25"/>
  <c r="K96" i="18"/>
  <c r="AB96" i="18"/>
  <c r="A97" i="18"/>
  <c r="X96" i="18"/>
  <c r="A96" i="20"/>
  <c r="K95" i="20"/>
  <c r="AB95" i="20"/>
  <c r="X95" i="20"/>
  <c r="A98" i="17"/>
  <c r="AB97" i="17"/>
  <c r="X97" i="17"/>
  <c r="K97" i="17"/>
  <c r="A94" i="23"/>
  <c r="K93" i="23"/>
  <c r="AB93" i="23"/>
  <c r="X93" i="23"/>
  <c r="A104" i="15"/>
  <c r="AB103" i="15"/>
  <c r="K103" i="15"/>
  <c r="L103" i="15"/>
  <c r="D103" i="15" s="1"/>
  <c r="X103" i="15"/>
  <c r="D102" i="15"/>
  <c r="AK101" i="1"/>
  <c r="A102" i="1"/>
  <c r="K101" i="1"/>
  <c r="AB101" i="1"/>
  <c r="X101" i="1"/>
  <c r="AJ101" i="1"/>
  <c r="L101" i="1"/>
  <c r="X94" i="22"/>
  <c r="AB94" i="22"/>
  <c r="K94" i="22"/>
  <c r="A95" i="22"/>
  <c r="AB92" i="24"/>
  <c r="K92" i="24"/>
  <c r="A93" i="24"/>
  <c r="X92" i="24"/>
  <c r="AB99" i="16"/>
  <c r="A100" i="16"/>
  <c r="X99" i="16"/>
  <c r="K99" i="16"/>
  <c r="A105" i="15"/>
  <c r="AB104" i="15"/>
  <c r="X104" i="15"/>
  <c r="K104" i="15"/>
  <c r="L104" i="15"/>
  <c r="D104" i="15" s="1"/>
  <c r="A95" i="23"/>
  <c r="K94" i="23"/>
  <c r="X94" i="23"/>
  <c r="AB94" i="23"/>
  <c r="AB97" i="18"/>
  <c r="X97" i="18"/>
  <c r="A98" i="18"/>
  <c r="K97" i="18"/>
  <c r="A101" i="16"/>
  <c r="X100" i="16"/>
  <c r="K100" i="16"/>
  <c r="AB100" i="16"/>
  <c r="AB93" i="24"/>
  <c r="X93" i="24"/>
  <c r="K93" i="24"/>
  <c r="A94" i="24"/>
  <c r="AB95" i="22"/>
  <c r="X95" i="22"/>
  <c r="K95" i="22"/>
  <c r="A96" i="22"/>
  <c r="X102" i="1"/>
  <c r="L102" i="1"/>
  <c r="AB102" i="1"/>
  <c r="AK102" i="1"/>
  <c r="A103" i="1"/>
  <c r="K102" i="1"/>
  <c r="AB98" i="17"/>
  <c r="A99" i="17"/>
  <c r="K98" i="17"/>
  <c r="X98" i="17"/>
  <c r="AB96" i="20"/>
  <c r="A97" i="20"/>
  <c r="K96" i="20"/>
  <c r="X96" i="20"/>
  <c r="A93" i="25"/>
  <c r="AB92" i="25"/>
  <c r="K92" i="25"/>
  <c r="X92" i="25"/>
  <c r="X97" i="20"/>
  <c r="AB97" i="20"/>
  <c r="K97" i="20"/>
  <c r="A98" i="20"/>
  <c r="X96" i="22"/>
  <c r="AB96" i="22"/>
  <c r="A97" i="22"/>
  <c r="K96" i="22"/>
  <c r="K101" i="16"/>
  <c r="AB101" i="16"/>
  <c r="A102" i="16"/>
  <c r="L101" i="16"/>
  <c r="D101" i="16" s="1"/>
  <c r="X101" i="16"/>
  <c r="K98" i="18"/>
  <c r="X98" i="18"/>
  <c r="AB98" i="18"/>
  <c r="A99" i="18"/>
  <c r="AB105" i="15"/>
  <c r="K105" i="15"/>
  <c r="A106" i="15"/>
  <c r="L105" i="15"/>
  <c r="X105" i="15"/>
  <c r="X93" i="25"/>
  <c r="K93" i="25"/>
  <c r="A94" i="25"/>
  <c r="AB93" i="25"/>
  <c r="K99" i="17"/>
  <c r="X99" i="17"/>
  <c r="AB99" i="17"/>
  <c r="A100" i="17"/>
  <c r="AJ103" i="1"/>
  <c r="A104" i="1"/>
  <c r="K103" i="1"/>
  <c r="AB103" i="1"/>
  <c r="L103" i="1"/>
  <c r="X103" i="1"/>
  <c r="AK103" i="1"/>
  <c r="A95" i="24"/>
  <c r="AB94" i="24"/>
  <c r="K94" i="24"/>
  <c r="X94" i="24"/>
  <c r="K95" i="23"/>
  <c r="A96" i="23"/>
  <c r="AB95" i="23"/>
  <c r="X95" i="23"/>
  <c r="AB104" i="1"/>
  <c r="K104" i="1"/>
  <c r="A105" i="1"/>
  <c r="AK104" i="1"/>
  <c r="L104" i="1"/>
  <c r="X104" i="1"/>
  <c r="K100" i="17"/>
  <c r="AB100" i="17"/>
  <c r="X100" i="17"/>
  <c r="A101" i="17"/>
  <c r="K94" i="25"/>
  <c r="X94" i="25"/>
  <c r="A95" i="25"/>
  <c r="AB94" i="25"/>
  <c r="D105" i="15"/>
  <c r="X99" i="18"/>
  <c r="AB99" i="18"/>
  <c r="A100" i="18"/>
  <c r="K99" i="18"/>
  <c r="A103" i="16"/>
  <c r="K102" i="16"/>
  <c r="AB102" i="16"/>
  <c r="L102" i="16"/>
  <c r="D102" i="16" s="1"/>
  <c r="X102" i="16"/>
  <c r="K96" i="23"/>
  <c r="AB96" i="23"/>
  <c r="A97" i="23"/>
  <c r="X96" i="23"/>
  <c r="AB95" i="24"/>
  <c r="X95" i="24"/>
  <c r="A96" i="24"/>
  <c r="K95" i="24"/>
  <c r="AB106" i="15"/>
  <c r="A107" i="15"/>
  <c r="K106" i="15"/>
  <c r="X106" i="15"/>
  <c r="L106" i="15"/>
  <c r="D106" i="15" s="1"/>
  <c r="K97" i="22"/>
  <c r="X97" i="22"/>
  <c r="A98" i="22"/>
  <c r="AB97" i="22"/>
  <c r="X98" i="20"/>
  <c r="A99" i="20"/>
  <c r="K98" i="20"/>
  <c r="AB98" i="20"/>
  <c r="X99" i="20"/>
  <c r="A100" i="20"/>
  <c r="AB99" i="20"/>
  <c r="K99" i="20"/>
  <c r="X98" i="22"/>
  <c r="K98" i="22"/>
  <c r="A99" i="22"/>
  <c r="AB98" i="22"/>
  <c r="A98" i="23"/>
  <c r="X97" i="23"/>
  <c r="K97" i="23"/>
  <c r="AB97" i="23"/>
  <c r="A96" i="25"/>
  <c r="AB95" i="25"/>
  <c r="X95" i="25"/>
  <c r="K95" i="25"/>
  <c r="AK105" i="1"/>
  <c r="L105" i="1"/>
  <c r="AB105" i="1"/>
  <c r="AJ105" i="1"/>
  <c r="K105" i="1"/>
  <c r="X105" i="1"/>
  <c r="A106" i="1"/>
  <c r="A108" i="15"/>
  <c r="L107" i="15"/>
  <c r="K107" i="15"/>
  <c r="AB107" i="15"/>
  <c r="X107" i="15"/>
  <c r="X96" i="24"/>
  <c r="K96" i="24"/>
  <c r="A97" i="24"/>
  <c r="AB96" i="24"/>
  <c r="A104" i="16"/>
  <c r="X103" i="16"/>
  <c r="K103" i="16"/>
  <c r="AB103" i="16"/>
  <c r="L103" i="16"/>
  <c r="D103" i="16" s="1"/>
  <c r="X100" i="18"/>
  <c r="AB100" i="18"/>
  <c r="A101" i="18"/>
  <c r="K100" i="18"/>
  <c r="AB101" i="17"/>
  <c r="X101" i="17"/>
  <c r="A102" i="17"/>
  <c r="K101" i="17"/>
  <c r="AB104" i="16"/>
  <c r="X104" i="16"/>
  <c r="K104" i="16"/>
  <c r="A105" i="16"/>
  <c r="K97" i="24"/>
  <c r="A98" i="24"/>
  <c r="AB97" i="24"/>
  <c r="X97" i="24"/>
  <c r="K108" i="15"/>
  <c r="AB108" i="15"/>
  <c r="A109" i="15"/>
  <c r="X108" i="15"/>
  <c r="AK106" i="1"/>
  <c r="X106" i="1"/>
  <c r="L106" i="1"/>
  <c r="A107" i="1"/>
  <c r="AB106" i="1"/>
  <c r="K106" i="1"/>
  <c r="AJ106" i="1"/>
  <c r="X96" i="25"/>
  <c r="K96" i="25"/>
  <c r="AB96" i="25"/>
  <c r="A97" i="25"/>
  <c r="K98" i="23"/>
  <c r="A99" i="23"/>
  <c r="X98" i="23"/>
  <c r="AB98" i="23"/>
  <c r="A101" i="20"/>
  <c r="X100" i="20"/>
  <c r="AB100" i="20"/>
  <c r="K100" i="20"/>
  <c r="K102" i="17"/>
  <c r="X102" i="17"/>
  <c r="AB102" i="17"/>
  <c r="A103" i="17"/>
  <c r="K101" i="18"/>
  <c r="X101" i="18"/>
  <c r="A102" i="18"/>
  <c r="AB101" i="18"/>
  <c r="D107" i="15"/>
  <c r="AB99" i="22"/>
  <c r="K99" i="22"/>
  <c r="X99" i="22"/>
  <c r="A100" i="22"/>
  <c r="K100" i="22"/>
  <c r="AB100" i="22"/>
  <c r="X100" i="22"/>
  <c r="A101" i="22"/>
  <c r="A103" i="18"/>
  <c r="K102" i="18"/>
  <c r="X102" i="18"/>
  <c r="AB102" i="18"/>
  <c r="K103" i="17"/>
  <c r="X103" i="17"/>
  <c r="A104" i="17"/>
  <c r="AB103" i="17"/>
  <c r="A102" i="20"/>
  <c r="AB101" i="20"/>
  <c r="K101" i="20"/>
  <c r="X101" i="20"/>
  <c r="K97" i="25"/>
  <c r="AB97" i="25"/>
  <c r="A98" i="25"/>
  <c r="X97" i="25"/>
  <c r="AJ107" i="1"/>
  <c r="K107" i="1"/>
  <c r="A108" i="1"/>
  <c r="X107" i="1"/>
  <c r="AB107" i="1"/>
  <c r="L107" i="1"/>
  <c r="AK107" i="1"/>
  <c r="A100" i="23"/>
  <c r="X99" i="23"/>
  <c r="K99" i="23"/>
  <c r="AB99" i="23"/>
  <c r="A110" i="15"/>
  <c r="L109" i="15"/>
  <c r="D109" i="15" s="1"/>
  <c r="K109" i="15"/>
  <c r="X109" i="15"/>
  <c r="AB109" i="15"/>
  <c r="X98" i="24"/>
  <c r="AB98" i="24"/>
  <c r="A99" i="24"/>
  <c r="K98" i="24"/>
  <c r="AB105" i="16"/>
  <c r="K105" i="16"/>
  <c r="X105" i="16"/>
  <c r="A106" i="16"/>
  <c r="A107" i="16"/>
  <c r="X106" i="16"/>
  <c r="L106" i="16"/>
  <c r="D106" i="16" s="1"/>
  <c r="AB106" i="16"/>
  <c r="K106" i="16"/>
  <c r="X99" i="24"/>
  <c r="AB99" i="24"/>
  <c r="K99" i="24"/>
  <c r="A100" i="24"/>
  <c r="A101" i="23"/>
  <c r="AB100" i="23"/>
  <c r="K100" i="23"/>
  <c r="X100" i="23"/>
  <c r="AK108" i="1"/>
  <c r="A109" i="1"/>
  <c r="K108" i="1"/>
  <c r="X108" i="1"/>
  <c r="AB108" i="1"/>
  <c r="AJ108" i="1"/>
  <c r="L108" i="1"/>
  <c r="X98" i="25"/>
  <c r="A99" i="25"/>
  <c r="K98" i="25"/>
  <c r="AB98" i="25"/>
  <c r="X102" i="20"/>
  <c r="AB102" i="20"/>
  <c r="K102" i="20"/>
  <c r="A103" i="20"/>
  <c r="AB104" i="17"/>
  <c r="X104" i="17"/>
  <c r="A105" i="17"/>
  <c r="K104" i="17"/>
  <c r="K101" i="22"/>
  <c r="X101" i="22"/>
  <c r="A102" i="22"/>
  <c r="AB101" i="22"/>
  <c r="X110" i="15"/>
  <c r="K110" i="15"/>
  <c r="A111" i="15"/>
  <c r="AB110" i="15"/>
  <c r="L110" i="15"/>
  <c r="D110" i="15" s="1"/>
  <c r="K103" i="18"/>
  <c r="X103" i="18"/>
  <c r="AB103" i="18"/>
  <c r="A104" i="18"/>
  <c r="K104" i="18"/>
  <c r="X104" i="18"/>
  <c r="AB104" i="18"/>
  <c r="A105" i="18"/>
  <c r="A103" i="22"/>
  <c r="K102" i="22"/>
  <c r="AB102" i="22"/>
  <c r="X102" i="22"/>
  <c r="X105" i="17"/>
  <c r="K105" i="17"/>
  <c r="AB105" i="17"/>
  <c r="A106" i="17"/>
  <c r="AB99" i="25"/>
  <c r="K99" i="25"/>
  <c r="A100" i="25"/>
  <c r="X99" i="25"/>
  <c r="AK109" i="1"/>
  <c r="L109" i="1"/>
  <c r="K109" i="1"/>
  <c r="AB109" i="1"/>
  <c r="X109" i="1"/>
  <c r="A110" i="1"/>
  <c r="AB101" i="23"/>
  <c r="X101" i="23"/>
  <c r="A102" i="23"/>
  <c r="K101" i="23"/>
  <c r="K100" i="24"/>
  <c r="AB100" i="24"/>
  <c r="A101" i="24"/>
  <c r="X100" i="24"/>
  <c r="AB107" i="16"/>
  <c r="A108" i="16"/>
  <c r="X107" i="16"/>
  <c r="K107" i="16"/>
  <c r="AB111" i="15"/>
  <c r="X111" i="15"/>
  <c r="K111" i="15"/>
  <c r="A112" i="15"/>
  <c r="K103" i="20"/>
  <c r="AB103" i="20"/>
  <c r="A104" i="20"/>
  <c r="X103" i="20"/>
  <c r="K104" i="20"/>
  <c r="A105" i="20"/>
  <c r="AB104" i="20"/>
  <c r="X104" i="20"/>
  <c r="K112" i="15"/>
  <c r="X112" i="15"/>
  <c r="A113" i="15"/>
  <c r="AB112" i="15"/>
  <c r="X108" i="16"/>
  <c r="K108" i="16"/>
  <c r="L108" i="16"/>
  <c r="D108" i="16" s="1"/>
  <c r="A109" i="16"/>
  <c r="AB108" i="16"/>
  <c r="K101" i="24"/>
  <c r="X101" i="24"/>
  <c r="AB101" i="24"/>
  <c r="A102" i="24"/>
  <c r="K102" i="23"/>
  <c r="X102" i="23"/>
  <c r="A103" i="23"/>
  <c r="AB102" i="23"/>
  <c r="AB103" i="22"/>
  <c r="X103" i="22"/>
  <c r="K103" i="22"/>
  <c r="A104" i="22"/>
  <c r="A111" i="1"/>
  <c r="AB110" i="1"/>
  <c r="X110" i="1"/>
  <c r="K110" i="1"/>
  <c r="AK110" i="1"/>
  <c r="L110" i="1"/>
  <c r="K100" i="25"/>
  <c r="A101" i="25"/>
  <c r="AB100" i="25"/>
  <c r="X100" i="25"/>
  <c r="X106" i="17"/>
  <c r="A107" i="17"/>
  <c r="AB106" i="17"/>
  <c r="K106" i="17"/>
  <c r="K105" i="18"/>
  <c r="X105" i="18"/>
  <c r="AB105" i="18"/>
  <c r="A106" i="18"/>
  <c r="K107" i="17"/>
  <c r="X107" i="17"/>
  <c r="A108" i="17"/>
  <c r="AB107" i="17"/>
  <c r="AK111" i="1"/>
  <c r="A112" i="1"/>
  <c r="X111" i="1"/>
  <c r="K111" i="1"/>
  <c r="AB111" i="1"/>
  <c r="L111" i="1"/>
  <c r="AJ111" i="1"/>
  <c r="K113" i="15"/>
  <c r="AB113" i="15"/>
  <c r="A114" i="15"/>
  <c r="X113" i="15"/>
  <c r="A106" i="20"/>
  <c r="X105" i="20"/>
  <c r="K105" i="20"/>
  <c r="AB105" i="20"/>
  <c r="AB106" i="18"/>
  <c r="A107" i="18"/>
  <c r="X106" i="18"/>
  <c r="K106" i="18"/>
  <c r="AB101" i="25"/>
  <c r="K101" i="25"/>
  <c r="A102" i="25"/>
  <c r="X101" i="25"/>
  <c r="AB104" i="22"/>
  <c r="A105" i="22"/>
  <c r="X104" i="22"/>
  <c r="K104" i="22"/>
  <c r="K103" i="23"/>
  <c r="A104" i="23"/>
  <c r="AB103" i="23"/>
  <c r="X103" i="23"/>
  <c r="A103" i="24"/>
  <c r="X102" i="24"/>
  <c r="K102" i="24"/>
  <c r="AB102" i="24"/>
  <c r="X109" i="16"/>
  <c r="AB109" i="16"/>
  <c r="K109" i="16"/>
  <c r="A110" i="16"/>
  <c r="K110" i="16"/>
  <c r="X110" i="16"/>
  <c r="L110" i="16"/>
  <c r="AB110" i="16"/>
  <c r="A111" i="16"/>
  <c r="A104" i="24"/>
  <c r="AB103" i="24"/>
  <c r="X103" i="24"/>
  <c r="K103" i="24"/>
  <c r="X104" i="23"/>
  <c r="A105" i="23"/>
  <c r="AB104" i="23"/>
  <c r="K104" i="23"/>
  <c r="A107" i="20"/>
  <c r="K106" i="20"/>
  <c r="X106" i="20"/>
  <c r="AB106" i="20"/>
  <c r="K114" i="15"/>
  <c r="AB114" i="15"/>
  <c r="A115" i="15"/>
  <c r="X114" i="15"/>
  <c r="AJ112" i="1"/>
  <c r="AB112" i="1"/>
  <c r="X112" i="1"/>
  <c r="A113" i="1"/>
  <c r="L112" i="1"/>
  <c r="AK112" i="1"/>
  <c r="K112" i="1"/>
  <c r="AB108" i="17"/>
  <c r="K108" i="17"/>
  <c r="X108" i="17"/>
  <c r="A109" i="17"/>
  <c r="AB105" i="22"/>
  <c r="K105" i="22"/>
  <c r="X105" i="22"/>
  <c r="A106" i="22"/>
  <c r="X102" i="25"/>
  <c r="AB102" i="25"/>
  <c r="A103" i="25"/>
  <c r="K102" i="25"/>
  <c r="AB107" i="18"/>
  <c r="X107" i="18"/>
  <c r="K107" i="18"/>
  <c r="A108" i="18"/>
  <c r="A104" i="25"/>
  <c r="AB103" i="25"/>
  <c r="K103" i="25"/>
  <c r="X103" i="25"/>
  <c r="A110" i="17"/>
  <c r="AB109" i="17"/>
  <c r="K109" i="17"/>
  <c r="X109" i="17"/>
  <c r="A114" i="1"/>
  <c r="AB113" i="1"/>
  <c r="AK113" i="1"/>
  <c r="L113" i="1"/>
  <c r="X113" i="1"/>
  <c r="K113" i="1"/>
  <c r="A116" i="15"/>
  <c r="K115" i="15"/>
  <c r="AB115" i="15"/>
  <c r="X115" i="15"/>
  <c r="X107" i="20"/>
  <c r="AB107" i="20"/>
  <c r="A108" i="20"/>
  <c r="K107" i="20"/>
  <c r="K105" i="23"/>
  <c r="A106" i="23"/>
  <c r="X105" i="23"/>
  <c r="AB105" i="23"/>
  <c r="AB111" i="16"/>
  <c r="K111" i="16"/>
  <c r="L111" i="16"/>
  <c r="D111" i="16" s="1"/>
  <c r="X111" i="16"/>
  <c r="A112" i="16"/>
  <c r="X108" i="18"/>
  <c r="K108" i="18"/>
  <c r="A109" i="18"/>
  <c r="AB108" i="18"/>
  <c r="AB106" i="22"/>
  <c r="A107" i="22"/>
  <c r="X106" i="22"/>
  <c r="K106" i="22"/>
  <c r="A105" i="24"/>
  <c r="X104" i="24"/>
  <c r="AB104" i="24"/>
  <c r="K104" i="24"/>
  <c r="D110" i="16"/>
  <c r="X107" i="22"/>
  <c r="AB107" i="22"/>
  <c r="K107" i="22"/>
  <c r="A108" i="22"/>
  <c r="X109" i="18"/>
  <c r="K109" i="18"/>
  <c r="AB109" i="18"/>
  <c r="A110" i="18"/>
  <c r="K112" i="16"/>
  <c r="A113" i="16"/>
  <c r="X112" i="16"/>
  <c r="AB112" i="16"/>
  <c r="A117" i="15"/>
  <c r="X116" i="15"/>
  <c r="L116" i="15"/>
  <c r="D116" i="15" s="1"/>
  <c r="K116" i="15"/>
  <c r="AB116" i="15"/>
  <c r="K110" i="17"/>
  <c r="A111" i="17"/>
  <c r="AB110" i="17"/>
  <c r="X110" i="17"/>
  <c r="AB105" i="24"/>
  <c r="X105" i="24"/>
  <c r="A106" i="24"/>
  <c r="K105" i="24"/>
  <c r="X106" i="23"/>
  <c r="K106" i="23"/>
  <c r="AB106" i="23"/>
  <c r="A107" i="23"/>
  <c r="X108" i="20"/>
  <c r="K108" i="20"/>
  <c r="A109" i="20"/>
  <c r="AB108" i="20"/>
  <c r="X114" i="1"/>
  <c r="K114" i="1"/>
  <c r="AB114" i="1"/>
  <c r="AK114" i="1"/>
  <c r="L114" i="1"/>
  <c r="A115" i="1"/>
  <c r="AB104" i="25"/>
  <c r="X104" i="25"/>
  <c r="K104" i="25"/>
  <c r="A105" i="25"/>
  <c r="AK115" i="1"/>
  <c r="K115" i="1"/>
  <c r="A116" i="1"/>
  <c r="AB115" i="1"/>
  <c r="AJ115" i="1"/>
  <c r="L115" i="1"/>
  <c r="X115" i="1"/>
  <c r="X107" i="23"/>
  <c r="AB107" i="23"/>
  <c r="A108" i="23"/>
  <c r="K107" i="23"/>
  <c r="X106" i="24"/>
  <c r="K106" i="24"/>
  <c r="AB106" i="24"/>
  <c r="A107" i="24"/>
  <c r="AB108" i="22"/>
  <c r="X108" i="22"/>
  <c r="K108" i="22"/>
  <c r="A109" i="22"/>
  <c r="K105" i="25"/>
  <c r="X105" i="25"/>
  <c r="AB105" i="25"/>
  <c r="A106" i="25"/>
  <c r="X109" i="20"/>
  <c r="K109" i="20"/>
  <c r="A110" i="20"/>
  <c r="AB109" i="20"/>
  <c r="AB111" i="17"/>
  <c r="A112" i="17"/>
  <c r="X111" i="17"/>
  <c r="K111" i="17"/>
  <c r="X117" i="15"/>
  <c r="A118" i="15"/>
  <c r="L117" i="15"/>
  <c r="D117" i="15" s="1"/>
  <c r="K117" i="15"/>
  <c r="AB117" i="15"/>
  <c r="K113" i="16"/>
  <c r="A114" i="16"/>
  <c r="X113" i="16"/>
  <c r="L113" i="16"/>
  <c r="D113" i="16" s="1"/>
  <c r="AB113" i="16"/>
  <c r="A111" i="18"/>
  <c r="K110" i="18"/>
  <c r="X110" i="18"/>
  <c r="AB110" i="18"/>
  <c r="K111" i="18"/>
  <c r="X111" i="18"/>
  <c r="A112" i="18"/>
  <c r="AB111" i="18"/>
  <c r="X107" i="24"/>
  <c r="K107" i="24"/>
  <c r="A108" i="24"/>
  <c r="AB107" i="24"/>
  <c r="A115" i="16"/>
  <c r="X114" i="16"/>
  <c r="K114" i="16"/>
  <c r="AB114" i="16"/>
  <c r="L114" i="16"/>
  <c r="D114" i="16" s="1"/>
  <c r="K118" i="15"/>
  <c r="AB118" i="15"/>
  <c r="X118" i="15"/>
  <c r="A119" i="15"/>
  <c r="X112" i="17"/>
  <c r="A113" i="17"/>
  <c r="K112" i="17"/>
  <c r="AB112" i="17"/>
  <c r="AB110" i="20"/>
  <c r="A111" i="20"/>
  <c r="X110" i="20"/>
  <c r="K110" i="20"/>
  <c r="A107" i="25"/>
  <c r="X106" i="25"/>
  <c r="K106" i="25"/>
  <c r="AB106" i="25"/>
  <c r="K109" i="22"/>
  <c r="AB109" i="22"/>
  <c r="X109" i="22"/>
  <c r="A110" i="22"/>
  <c r="K108" i="23"/>
  <c r="X108" i="23"/>
  <c r="A109" i="23"/>
  <c r="AB108" i="23"/>
  <c r="AK116" i="1"/>
  <c r="L116" i="1"/>
  <c r="K116" i="1"/>
  <c r="X116" i="1"/>
  <c r="A117" i="1"/>
  <c r="AB116" i="1"/>
  <c r="AK117" i="1"/>
  <c r="A118" i="1"/>
  <c r="K117" i="1"/>
  <c r="X117" i="1"/>
  <c r="L117" i="1"/>
  <c r="AJ117" i="1"/>
  <c r="AB117" i="1"/>
  <c r="K107" i="25"/>
  <c r="A108" i="25"/>
  <c r="AB107" i="25"/>
  <c r="X107" i="25"/>
  <c r="A113" i="18"/>
  <c r="K112" i="18"/>
  <c r="AB112" i="18"/>
  <c r="X112" i="18"/>
  <c r="K109" i="23"/>
  <c r="AB109" i="23"/>
  <c r="X109" i="23"/>
  <c r="A110" i="23"/>
  <c r="K110" i="22"/>
  <c r="AB110" i="22"/>
  <c r="A111" i="22"/>
  <c r="X110" i="22"/>
  <c r="X111" i="20"/>
  <c r="A112" i="20"/>
  <c r="AB111" i="20"/>
  <c r="K111" i="20"/>
  <c r="A114" i="17"/>
  <c r="K113" i="17"/>
  <c r="AB113" i="17"/>
  <c r="X113" i="17"/>
  <c r="A120" i="15"/>
  <c r="A35" i="7"/>
  <c r="AB119" i="15"/>
  <c r="K119" i="15"/>
  <c r="X119" i="15"/>
  <c r="A116" i="16"/>
  <c r="X115" i="16"/>
  <c r="AB115" i="16"/>
  <c r="K115" i="16"/>
  <c r="K108" i="24"/>
  <c r="X108" i="24"/>
  <c r="AB108" i="24"/>
  <c r="A109" i="24"/>
  <c r="A110" i="24"/>
  <c r="K109" i="24"/>
  <c r="X109" i="24"/>
  <c r="AB109" i="24"/>
  <c r="AB116" i="16"/>
  <c r="A117" i="16"/>
  <c r="L116" i="16"/>
  <c r="X116" i="16"/>
  <c r="K116" i="16"/>
  <c r="X120" i="15"/>
  <c r="AB120" i="15"/>
  <c r="A121" i="15"/>
  <c r="L120" i="15"/>
  <c r="D120" i="15" s="1"/>
  <c r="K120" i="15"/>
  <c r="AB114" i="17"/>
  <c r="K114" i="17"/>
  <c r="X114" i="17"/>
  <c r="A115" i="17"/>
  <c r="X111" i="22"/>
  <c r="K111" i="22"/>
  <c r="A112" i="22"/>
  <c r="AB111" i="22"/>
  <c r="AB108" i="25"/>
  <c r="A109" i="25"/>
  <c r="K108" i="25"/>
  <c r="X108" i="25"/>
  <c r="AK118" i="1"/>
  <c r="L118" i="1"/>
  <c r="A119" i="1"/>
  <c r="AJ118" i="1"/>
  <c r="AB118" i="1"/>
  <c r="K118" i="1"/>
  <c r="X118" i="1"/>
  <c r="K112" i="20"/>
  <c r="X112" i="20"/>
  <c r="A113" i="20"/>
  <c r="AB112" i="20"/>
  <c r="K110" i="23"/>
  <c r="X110" i="23"/>
  <c r="A111" i="23"/>
  <c r="AB110" i="23"/>
  <c r="A114" i="18"/>
  <c r="AB113" i="18"/>
  <c r="K113" i="18"/>
  <c r="X113" i="18"/>
  <c r="X114" i="18"/>
  <c r="A115" i="18"/>
  <c r="AB114" i="18"/>
  <c r="K114" i="18"/>
  <c r="A110" i="25"/>
  <c r="X109" i="25"/>
  <c r="K109" i="25"/>
  <c r="AB109" i="25"/>
  <c r="AB112" i="22"/>
  <c r="A113" i="22"/>
  <c r="X112" i="22"/>
  <c r="K112" i="22"/>
  <c r="A116" i="17"/>
  <c r="K115" i="17"/>
  <c r="AB115" i="17"/>
  <c r="X115" i="17"/>
  <c r="A122" i="15"/>
  <c r="L121" i="15"/>
  <c r="X121" i="15"/>
  <c r="K121" i="15"/>
  <c r="AB121" i="15"/>
  <c r="AB117" i="16"/>
  <c r="A118" i="16"/>
  <c r="K117" i="16"/>
  <c r="X117" i="16"/>
  <c r="A112" i="23"/>
  <c r="AB111" i="23"/>
  <c r="X111" i="23"/>
  <c r="K111" i="23"/>
  <c r="A114" i="20"/>
  <c r="K113" i="20"/>
  <c r="X113" i="20"/>
  <c r="AB113" i="20"/>
  <c r="AK119" i="1"/>
  <c r="L119" i="1"/>
  <c r="B23" i="7" s="1"/>
  <c r="A23" i="7"/>
  <c r="AB119" i="1"/>
  <c r="X119" i="1"/>
  <c r="A120" i="1"/>
  <c r="K119" i="1"/>
  <c r="D116" i="16"/>
  <c r="K110" i="24"/>
  <c r="AB110" i="24"/>
  <c r="A111" i="24"/>
  <c r="X110" i="24"/>
  <c r="A112" i="24"/>
  <c r="K111" i="24"/>
  <c r="AB111" i="24"/>
  <c r="X111" i="24"/>
  <c r="A113" i="23"/>
  <c r="AB112" i="23"/>
  <c r="K112" i="23"/>
  <c r="X112" i="23"/>
  <c r="X118" i="16"/>
  <c r="L118" i="16"/>
  <c r="D118" i="16" s="1"/>
  <c r="A119" i="16"/>
  <c r="K118" i="16"/>
  <c r="AB118" i="16"/>
  <c r="D121" i="15"/>
  <c r="X116" i="17"/>
  <c r="A117" i="17"/>
  <c r="K116" i="17"/>
  <c r="AB116" i="17"/>
  <c r="K110" i="25"/>
  <c r="X110" i="25"/>
  <c r="AB110" i="25"/>
  <c r="A111" i="25"/>
  <c r="A116" i="18"/>
  <c r="X115" i="18"/>
  <c r="K115" i="18"/>
  <c r="AB115" i="18"/>
  <c r="AK120" i="1"/>
  <c r="K120" i="1"/>
  <c r="AB120" i="1"/>
  <c r="X120" i="1"/>
  <c r="A121" i="1"/>
  <c r="L120" i="1"/>
  <c r="AB114" i="20"/>
  <c r="X114" i="20"/>
  <c r="A115" i="20"/>
  <c r="K114" i="20"/>
  <c r="X122" i="15"/>
  <c r="AB122" i="15"/>
  <c r="L122" i="15"/>
  <c r="D122" i="15" s="1"/>
  <c r="K122" i="15"/>
  <c r="A123" i="15"/>
  <c r="K113" i="22"/>
  <c r="AB113" i="22"/>
  <c r="X113" i="22"/>
  <c r="A114" i="22"/>
  <c r="X114" i="22"/>
  <c r="AB114" i="22"/>
  <c r="A115" i="22"/>
  <c r="K114" i="22"/>
  <c r="X123" i="15"/>
  <c r="A124" i="15"/>
  <c r="AB123" i="15"/>
  <c r="K123" i="15"/>
  <c r="A116" i="20"/>
  <c r="K115" i="20"/>
  <c r="AB115" i="20"/>
  <c r="X115" i="20"/>
  <c r="A117" i="18"/>
  <c r="AB116" i="18"/>
  <c r="X116" i="18"/>
  <c r="K116" i="18"/>
  <c r="X113" i="23"/>
  <c r="A114" i="23"/>
  <c r="AB113" i="23"/>
  <c r="K113" i="23"/>
  <c r="AK121" i="1"/>
  <c r="L121" i="1"/>
  <c r="AB121" i="1"/>
  <c r="A122" i="1"/>
  <c r="X121" i="1"/>
  <c r="K121" i="1"/>
  <c r="AJ121" i="1"/>
  <c r="K111" i="25"/>
  <c r="AB111" i="25"/>
  <c r="A112" i="25"/>
  <c r="X111" i="25"/>
  <c r="A118" i="17"/>
  <c r="K117" i="17"/>
  <c r="X117" i="17"/>
  <c r="AB117" i="17"/>
  <c r="X119" i="16"/>
  <c r="A47" i="7"/>
  <c r="A120" i="16"/>
  <c r="K119" i="16"/>
  <c r="AB119" i="16"/>
  <c r="X112" i="24"/>
  <c r="AB112" i="24"/>
  <c r="K112" i="24"/>
  <c r="A113" i="24"/>
  <c r="A114" i="24"/>
  <c r="AB113" i="24"/>
  <c r="X113" i="24"/>
  <c r="K113" i="24"/>
  <c r="AB112" i="25"/>
  <c r="A113" i="25"/>
  <c r="X112" i="25"/>
  <c r="K112" i="25"/>
  <c r="A118" i="18"/>
  <c r="K117" i="18"/>
  <c r="AB117" i="18"/>
  <c r="X117" i="18"/>
  <c r="AB116" i="20"/>
  <c r="A117" i="20"/>
  <c r="X116" i="20"/>
  <c r="K116" i="20"/>
  <c r="K124" i="15"/>
  <c r="AB124" i="15"/>
  <c r="L124" i="15"/>
  <c r="D124" i="15" s="1"/>
  <c r="X124" i="15"/>
  <c r="A125" i="15"/>
  <c r="A116" i="22"/>
  <c r="X115" i="22"/>
  <c r="AB115" i="22"/>
  <c r="K115" i="22"/>
  <c r="K120" i="16"/>
  <c r="X120" i="16"/>
  <c r="A121" i="16"/>
  <c r="AB120" i="16"/>
  <c r="A119" i="17"/>
  <c r="X118" i="17"/>
  <c r="K118" i="17"/>
  <c r="AB118" i="17"/>
  <c r="L122" i="1"/>
  <c r="X122" i="1"/>
  <c r="AB122" i="1"/>
  <c r="K122" i="1"/>
  <c r="A123" i="1"/>
  <c r="AK122" i="1"/>
  <c r="X114" i="23"/>
  <c r="AB114" i="23"/>
  <c r="A115" i="23"/>
  <c r="K114" i="23"/>
  <c r="AB115" i="23"/>
  <c r="A116" i="23"/>
  <c r="X115" i="23"/>
  <c r="K115" i="23"/>
  <c r="AK123" i="1"/>
  <c r="X123" i="1"/>
  <c r="AB123" i="1"/>
  <c r="A124" i="1"/>
  <c r="K123" i="1"/>
  <c r="A59" i="7"/>
  <c r="X119" i="17"/>
  <c r="A120" i="17"/>
  <c r="AB119" i="17"/>
  <c r="K119" i="17"/>
  <c r="X125" i="15"/>
  <c r="K125" i="15"/>
  <c r="A126" i="15"/>
  <c r="AB125" i="15"/>
  <c r="K117" i="20"/>
  <c r="X117" i="20"/>
  <c r="AB117" i="20"/>
  <c r="A118" i="20"/>
  <c r="AB118" i="18"/>
  <c r="A119" i="18"/>
  <c r="K118" i="18"/>
  <c r="X118" i="18"/>
  <c r="AB121" i="16"/>
  <c r="X121" i="16"/>
  <c r="K121" i="16"/>
  <c r="A122" i="16"/>
  <c r="L121" i="16"/>
  <c r="AB116" i="22"/>
  <c r="K116" i="22"/>
  <c r="A117" i="22"/>
  <c r="X116" i="22"/>
  <c r="X113" i="25"/>
  <c r="K113" i="25"/>
  <c r="A114" i="25"/>
  <c r="AB113" i="25"/>
  <c r="A115" i="24"/>
  <c r="AB114" i="24"/>
  <c r="X114" i="24"/>
  <c r="K114" i="24"/>
  <c r="AB126" i="15"/>
  <c r="A127" i="15"/>
  <c r="K126" i="15"/>
  <c r="X126" i="15"/>
  <c r="K120" i="17"/>
  <c r="X120" i="17"/>
  <c r="AB120" i="17"/>
  <c r="A121" i="17"/>
  <c r="AJ124" i="1"/>
  <c r="K124" i="1"/>
  <c r="A125" i="1"/>
  <c r="L124" i="1"/>
  <c r="AK124" i="1"/>
  <c r="X124" i="1"/>
  <c r="AB124" i="1"/>
  <c r="A115" i="25"/>
  <c r="X114" i="25"/>
  <c r="K114" i="25"/>
  <c r="AB114" i="25"/>
  <c r="A116" i="24"/>
  <c r="X115" i="24"/>
  <c r="AB115" i="24"/>
  <c r="K115" i="24"/>
  <c r="AB117" i="22"/>
  <c r="K117" i="22"/>
  <c r="X117" i="22"/>
  <c r="A118" i="22"/>
  <c r="D121" i="16"/>
  <c r="X122" i="16"/>
  <c r="AB122" i="16"/>
  <c r="A123" i="16"/>
  <c r="K122" i="16"/>
  <c r="AB119" i="18"/>
  <c r="X119" i="18"/>
  <c r="A71" i="7"/>
  <c r="A120" i="18"/>
  <c r="K119" i="18"/>
  <c r="AB118" i="20"/>
  <c r="A119" i="20"/>
  <c r="X118" i="20"/>
  <c r="K118" i="20"/>
  <c r="K116" i="23"/>
  <c r="AB116" i="23"/>
  <c r="X116" i="23"/>
  <c r="A117" i="23"/>
  <c r="X117" i="23"/>
  <c r="AB117" i="23"/>
  <c r="A118" i="23"/>
  <c r="K117" i="23"/>
  <c r="X119" i="20"/>
  <c r="A120" i="20"/>
  <c r="AE23" i="7"/>
  <c r="K119" i="20"/>
  <c r="AB119" i="20"/>
  <c r="X121" i="17"/>
  <c r="K121" i="17"/>
  <c r="A122" i="17"/>
  <c r="AB121" i="17"/>
  <c r="X127" i="15"/>
  <c r="L127" i="15"/>
  <c r="D127" i="15" s="1"/>
  <c r="K127" i="15"/>
  <c r="A128" i="15"/>
  <c r="AB127" i="15"/>
  <c r="AB120" i="18"/>
  <c r="X120" i="18"/>
  <c r="A121" i="18"/>
  <c r="K120" i="18"/>
  <c r="A124" i="16"/>
  <c r="K123" i="16"/>
  <c r="AB123" i="16"/>
  <c r="X123" i="16"/>
  <c r="L123" i="16"/>
  <c r="D123" i="16" s="1"/>
  <c r="AB118" i="22"/>
  <c r="K118" i="22"/>
  <c r="A119" i="22"/>
  <c r="X118" i="22"/>
  <c r="X116" i="24"/>
  <c r="A117" i="24"/>
  <c r="K116" i="24"/>
  <c r="AB116" i="24"/>
  <c r="AB115" i="25"/>
  <c r="K115" i="25"/>
  <c r="A116" i="25"/>
  <c r="X115" i="25"/>
  <c r="AK125" i="1"/>
  <c r="A126" i="1"/>
  <c r="AB125" i="1"/>
  <c r="K125" i="1"/>
  <c r="L125" i="1"/>
  <c r="X125" i="1"/>
  <c r="A117" i="25"/>
  <c r="K116" i="25"/>
  <c r="AB116" i="25"/>
  <c r="X116" i="25"/>
  <c r="A120" i="22"/>
  <c r="K119" i="22"/>
  <c r="AB119" i="22"/>
  <c r="X119" i="22"/>
  <c r="AE35" i="7"/>
  <c r="X122" i="17"/>
  <c r="K122" i="17"/>
  <c r="AB122" i="17"/>
  <c r="A123" i="17"/>
  <c r="X120" i="20"/>
  <c r="A121" i="20"/>
  <c r="AB120" i="20"/>
  <c r="K120" i="20"/>
  <c r="AK126" i="1"/>
  <c r="X126" i="1"/>
  <c r="K126" i="1"/>
  <c r="AB126" i="1"/>
  <c r="A127" i="1"/>
  <c r="A118" i="24"/>
  <c r="K117" i="24"/>
  <c r="AB117" i="24"/>
  <c r="X117" i="24"/>
  <c r="X124" i="16"/>
  <c r="K124" i="16"/>
  <c r="AB124" i="16"/>
  <c r="A125" i="16"/>
  <c r="AB121" i="18"/>
  <c r="K121" i="18"/>
  <c r="X121" i="18"/>
  <c r="A122" i="18"/>
  <c r="A129" i="15"/>
  <c r="X128" i="15"/>
  <c r="K128" i="15"/>
  <c r="L128" i="15"/>
  <c r="D128" i="15" s="1"/>
  <c r="AB128" i="15"/>
  <c r="K118" i="23"/>
  <c r="A119" i="23"/>
  <c r="AB118" i="23"/>
  <c r="X118" i="23"/>
  <c r="A123" i="18"/>
  <c r="X122" i="18"/>
  <c r="AB122" i="18"/>
  <c r="K122" i="18"/>
  <c r="X119" i="23"/>
  <c r="AE47" i="7"/>
  <c r="K119" i="23"/>
  <c r="A120" i="23"/>
  <c r="AB119" i="23"/>
  <c r="A130" i="15"/>
  <c r="X129" i="15"/>
  <c r="AB129" i="15"/>
  <c r="K129" i="15"/>
  <c r="L129" i="15"/>
  <c r="D129" i="15" s="1"/>
  <c r="K125" i="16"/>
  <c r="X125" i="16"/>
  <c r="A126" i="16"/>
  <c r="L125" i="16"/>
  <c r="D125" i="16" s="1"/>
  <c r="AB125" i="16"/>
  <c r="K118" i="24"/>
  <c r="X118" i="24"/>
  <c r="AB118" i="24"/>
  <c r="A119" i="24"/>
  <c r="AK127" i="1"/>
  <c r="AB127" i="1"/>
  <c r="K127" i="1"/>
  <c r="X127" i="1"/>
  <c r="L127" i="1"/>
  <c r="A128" i="1"/>
  <c r="A122" i="20"/>
  <c r="AB121" i="20"/>
  <c r="K121" i="20"/>
  <c r="X121" i="20"/>
  <c r="K123" i="17"/>
  <c r="AB123" i="17"/>
  <c r="X123" i="17"/>
  <c r="A124" i="17"/>
  <c r="AB120" i="22"/>
  <c r="A121" i="22"/>
  <c r="X120" i="22"/>
  <c r="K120" i="22"/>
  <c r="A118" i="25"/>
  <c r="K117" i="25"/>
  <c r="AB117" i="25"/>
  <c r="X117" i="25"/>
  <c r="AB118" i="25"/>
  <c r="K118" i="25"/>
  <c r="A119" i="25"/>
  <c r="X118" i="25"/>
  <c r="X121" i="22"/>
  <c r="AB121" i="22"/>
  <c r="A122" i="22"/>
  <c r="K121" i="22"/>
  <c r="A125" i="17"/>
  <c r="X124" i="17"/>
  <c r="K124" i="17"/>
  <c r="AB124" i="17"/>
  <c r="K128" i="1"/>
  <c r="A129" i="1"/>
  <c r="AK128" i="1"/>
  <c r="AB128" i="1"/>
  <c r="X128" i="1"/>
  <c r="K126" i="16"/>
  <c r="L126" i="16"/>
  <c r="X126" i="16"/>
  <c r="A127" i="16"/>
  <c r="AB126" i="16"/>
  <c r="K123" i="18"/>
  <c r="AB123" i="18"/>
  <c r="X123" i="18"/>
  <c r="A124" i="18"/>
  <c r="A123" i="20"/>
  <c r="AB122" i="20"/>
  <c r="K122" i="20"/>
  <c r="X122" i="20"/>
  <c r="AB119" i="24"/>
  <c r="K119" i="24"/>
  <c r="X119" i="24"/>
  <c r="AE59" i="7"/>
  <c r="A120" i="24"/>
  <c r="A131" i="15"/>
  <c r="X130" i="15"/>
  <c r="K130" i="15"/>
  <c r="AB130" i="15"/>
  <c r="L130" i="15"/>
  <c r="D130" i="15" s="1"/>
  <c r="X120" i="23"/>
  <c r="A121" i="23"/>
  <c r="AB120" i="23"/>
  <c r="K120" i="23"/>
  <c r="K121" i="23"/>
  <c r="AB121" i="23"/>
  <c r="X121" i="23"/>
  <c r="A122" i="23"/>
  <c r="X120" i="24"/>
  <c r="K120" i="24"/>
  <c r="AB120" i="24"/>
  <c r="A121" i="24"/>
  <c r="D126" i="16"/>
  <c r="AB122" i="22"/>
  <c r="X122" i="22"/>
  <c r="K122" i="22"/>
  <c r="A123" i="22"/>
  <c r="AB131" i="15"/>
  <c r="K131" i="15"/>
  <c r="A132" i="15"/>
  <c r="X131" i="15"/>
  <c r="AB123" i="20"/>
  <c r="X123" i="20"/>
  <c r="A124" i="20"/>
  <c r="K123" i="20"/>
  <c r="A125" i="18"/>
  <c r="X124" i="18"/>
  <c r="K124" i="18"/>
  <c r="AB124" i="18"/>
  <c r="A128" i="16"/>
  <c r="K127" i="16"/>
  <c r="L127" i="16"/>
  <c r="D127" i="16" s="1"/>
  <c r="AB127" i="16"/>
  <c r="X127" i="16"/>
  <c r="AJ129" i="1"/>
  <c r="K129" i="1"/>
  <c r="X129" i="1"/>
  <c r="AB129" i="1"/>
  <c r="A130" i="1"/>
  <c r="AK129" i="1"/>
  <c r="A126" i="17"/>
  <c r="K125" i="17"/>
  <c r="X125" i="17"/>
  <c r="AB125" i="17"/>
  <c r="AB119" i="25"/>
  <c r="AE71" i="7"/>
  <c r="A120" i="25"/>
  <c r="X119" i="25"/>
  <c r="K119" i="25"/>
  <c r="AB120" i="25"/>
  <c r="K120" i="25"/>
  <c r="X120" i="25"/>
  <c r="A121" i="25"/>
  <c r="A129" i="16"/>
  <c r="AB128" i="16"/>
  <c r="K128" i="16"/>
  <c r="X128" i="16"/>
  <c r="L128" i="16"/>
  <c r="A126" i="18"/>
  <c r="K125" i="18"/>
  <c r="X125" i="18"/>
  <c r="AB125" i="18"/>
  <c r="X124" i="20"/>
  <c r="AB124" i="20"/>
  <c r="A125" i="20"/>
  <c r="K124" i="20"/>
  <c r="K132" i="15"/>
  <c r="L132" i="15"/>
  <c r="D132" i="15" s="1"/>
  <c r="AB132" i="15"/>
  <c r="X132" i="15"/>
  <c r="A133" i="15"/>
  <c r="A123" i="23"/>
  <c r="X122" i="23"/>
  <c r="AB122" i="23"/>
  <c r="K122" i="23"/>
  <c r="K126" i="17"/>
  <c r="A127" i="17"/>
  <c r="AB126" i="17"/>
  <c r="X126" i="17"/>
  <c r="AK130" i="1"/>
  <c r="A131" i="1"/>
  <c r="K130" i="1"/>
  <c r="AB130" i="1"/>
  <c r="X130" i="1"/>
  <c r="AB123" i="22"/>
  <c r="A124" i="22"/>
  <c r="X123" i="22"/>
  <c r="K123" i="22"/>
  <c r="X121" i="24"/>
  <c r="A122" i="24"/>
  <c r="K121" i="24"/>
  <c r="AB121" i="24"/>
  <c r="A123" i="24"/>
  <c r="AB122" i="24"/>
  <c r="X122" i="24"/>
  <c r="K122" i="24"/>
  <c r="K124" i="22"/>
  <c r="X124" i="22"/>
  <c r="AB124" i="22"/>
  <c r="A125" i="22"/>
  <c r="K131" i="1"/>
  <c r="A132" i="1"/>
  <c r="X131" i="1"/>
  <c r="AB131" i="1"/>
  <c r="AK131" i="1"/>
  <c r="A128" i="17"/>
  <c r="K127" i="17"/>
  <c r="AB127" i="17"/>
  <c r="X127" i="17"/>
  <c r="X123" i="23"/>
  <c r="A124" i="23"/>
  <c r="K123" i="23"/>
  <c r="AB123" i="23"/>
  <c r="AB125" i="20"/>
  <c r="X125" i="20"/>
  <c r="K125" i="20"/>
  <c r="A126" i="20"/>
  <c r="D128" i="16"/>
  <c r="A122" i="25"/>
  <c r="X121" i="25"/>
  <c r="AB121" i="25"/>
  <c r="K121" i="25"/>
  <c r="K133" i="15"/>
  <c r="X133" i="15"/>
  <c r="A134" i="15"/>
  <c r="AB133" i="15"/>
  <c r="K126" i="18"/>
  <c r="AB126" i="18"/>
  <c r="A127" i="18"/>
  <c r="X126" i="18"/>
  <c r="K129" i="16"/>
  <c r="X129" i="16"/>
  <c r="A130" i="16"/>
  <c r="AB129" i="16"/>
  <c r="A135" i="15"/>
  <c r="K134" i="15"/>
  <c r="X134" i="15"/>
  <c r="L134" i="15"/>
  <c r="D134" i="15" s="1"/>
  <c r="AB134" i="15"/>
  <c r="A123" i="25"/>
  <c r="K122" i="25"/>
  <c r="AB122" i="25"/>
  <c r="X122" i="25"/>
  <c r="A125" i="23"/>
  <c r="K124" i="23"/>
  <c r="AB124" i="23"/>
  <c r="X124" i="23"/>
  <c r="AB128" i="17"/>
  <c r="A129" i="17"/>
  <c r="K128" i="17"/>
  <c r="X128" i="17"/>
  <c r="X125" i="22"/>
  <c r="K125" i="22"/>
  <c r="AB125" i="22"/>
  <c r="A126" i="22"/>
  <c r="X130" i="16"/>
  <c r="AB130" i="16"/>
  <c r="K130" i="16"/>
  <c r="A131" i="16"/>
  <c r="L130" i="16"/>
  <c r="D130" i="16" s="1"/>
  <c r="X127" i="18"/>
  <c r="AB127" i="18"/>
  <c r="K127" i="18"/>
  <c r="A128" i="18"/>
  <c r="X126" i="20"/>
  <c r="A127" i="20"/>
  <c r="K126" i="20"/>
  <c r="AB126" i="20"/>
  <c r="AK132" i="1"/>
  <c r="A133" i="1"/>
  <c r="AB132" i="1"/>
  <c r="L132" i="1"/>
  <c r="AJ132" i="1"/>
  <c r="X132" i="1"/>
  <c r="K132" i="1"/>
  <c r="A124" i="24"/>
  <c r="X123" i="24"/>
  <c r="K123" i="24"/>
  <c r="AB123" i="24"/>
  <c r="X124" i="24"/>
  <c r="AB124" i="24"/>
  <c r="A125" i="24"/>
  <c r="K124" i="24"/>
  <c r="A134" i="1"/>
  <c r="L133" i="1"/>
  <c r="K133" i="1"/>
  <c r="AB133" i="1"/>
  <c r="X133" i="1"/>
  <c r="AK133" i="1"/>
  <c r="X127" i="20"/>
  <c r="A128" i="20"/>
  <c r="K127" i="20"/>
  <c r="AB127" i="20"/>
  <c r="K128" i="18"/>
  <c r="A129" i="18"/>
  <c r="X128" i="18"/>
  <c r="AB128" i="18"/>
  <c r="A132" i="16"/>
  <c r="L131" i="16"/>
  <c r="D131" i="16" s="1"/>
  <c r="AB131" i="16"/>
  <c r="X131" i="16"/>
  <c r="K131" i="16"/>
  <c r="A126" i="23"/>
  <c r="AB125" i="23"/>
  <c r="K125" i="23"/>
  <c r="X125" i="23"/>
  <c r="AB126" i="22"/>
  <c r="K126" i="22"/>
  <c r="A127" i="22"/>
  <c r="X126" i="22"/>
  <c r="A130" i="17"/>
  <c r="X129" i="17"/>
  <c r="K129" i="17"/>
  <c r="AB129" i="17"/>
  <c r="A124" i="25"/>
  <c r="AB123" i="25"/>
  <c r="K123" i="25"/>
  <c r="X123" i="25"/>
  <c r="AB135" i="15"/>
  <c r="K135" i="15"/>
  <c r="X135" i="15"/>
  <c r="L135" i="15"/>
  <c r="A136" i="15"/>
  <c r="AB124" i="25"/>
  <c r="A125" i="25"/>
  <c r="X124" i="25"/>
  <c r="K124" i="25"/>
  <c r="K127" i="22"/>
  <c r="X127" i="22"/>
  <c r="AB127" i="22"/>
  <c r="A128" i="22"/>
  <c r="A130" i="18"/>
  <c r="X129" i="18"/>
  <c r="K129" i="18"/>
  <c r="AB129" i="18"/>
  <c r="AK134" i="1"/>
  <c r="A135" i="1"/>
  <c r="X134" i="1"/>
  <c r="AB134" i="1"/>
  <c r="AJ134" i="1"/>
  <c r="L134" i="1"/>
  <c r="K134" i="1"/>
  <c r="X136" i="15"/>
  <c r="A137" i="15"/>
  <c r="AB136" i="15"/>
  <c r="L136" i="15"/>
  <c r="D136" i="15" s="1"/>
  <c r="K136" i="15"/>
  <c r="D135" i="15"/>
  <c r="K130" i="17"/>
  <c r="A131" i="17"/>
  <c r="AB130" i="17"/>
  <c r="X130" i="17"/>
  <c r="X126" i="23"/>
  <c r="AB126" i="23"/>
  <c r="K126" i="23"/>
  <c r="A127" i="23"/>
  <c r="X132" i="16"/>
  <c r="L132" i="16"/>
  <c r="D132" i="16" s="1"/>
  <c r="AB132" i="16"/>
  <c r="K132" i="16"/>
  <c r="A133" i="16"/>
  <c r="A129" i="20"/>
  <c r="K128" i="20"/>
  <c r="AB128" i="20"/>
  <c r="X128" i="20"/>
  <c r="X125" i="24"/>
  <c r="A126" i="24"/>
  <c r="K125" i="24"/>
  <c r="AB125" i="24"/>
  <c r="AB126" i="24"/>
  <c r="X126" i="24"/>
  <c r="K126" i="24"/>
  <c r="A127" i="24"/>
  <c r="X127" i="23"/>
  <c r="K127" i="23"/>
  <c r="A128" i="23"/>
  <c r="AB127" i="23"/>
  <c r="AB131" i="17"/>
  <c r="A132" i="17"/>
  <c r="K131" i="17"/>
  <c r="X131" i="17"/>
  <c r="X130" i="18"/>
  <c r="K130" i="18"/>
  <c r="A131" i="18"/>
  <c r="AB130" i="18"/>
  <c r="K125" i="25"/>
  <c r="AB125" i="25"/>
  <c r="X125" i="25"/>
  <c r="A126" i="25"/>
  <c r="X129" i="20"/>
  <c r="AB129" i="20"/>
  <c r="A130" i="20"/>
  <c r="K129" i="20"/>
  <c r="AB133" i="16"/>
  <c r="X133" i="16"/>
  <c r="L133" i="16"/>
  <c r="D133" i="16" s="1"/>
  <c r="A134" i="16"/>
  <c r="K133" i="16"/>
  <c r="A138" i="15"/>
  <c r="K137" i="15"/>
  <c r="L137" i="15"/>
  <c r="X137" i="15"/>
  <c r="AB137" i="15"/>
  <c r="AK135" i="1"/>
  <c r="K135" i="1"/>
  <c r="AB135" i="1"/>
  <c r="A136" i="1"/>
  <c r="L135" i="1"/>
  <c r="X135" i="1"/>
  <c r="A129" i="22"/>
  <c r="K128" i="22"/>
  <c r="X128" i="22"/>
  <c r="AB128" i="22"/>
  <c r="D137" i="15"/>
  <c r="A139" i="15"/>
  <c r="AB138" i="15"/>
  <c r="L138" i="15"/>
  <c r="D138" i="15" s="1"/>
  <c r="X138" i="15"/>
  <c r="K138" i="15"/>
  <c r="X134" i="16"/>
  <c r="AB134" i="16"/>
  <c r="A135" i="16"/>
  <c r="K134" i="16"/>
  <c r="L134" i="16"/>
  <c r="D134" i="16" s="1"/>
  <c r="A127" i="25"/>
  <c r="K126" i="25"/>
  <c r="X126" i="25"/>
  <c r="AB126" i="25"/>
  <c r="X131" i="18"/>
  <c r="K131" i="18"/>
  <c r="AB131" i="18"/>
  <c r="A132" i="18"/>
  <c r="X132" i="17"/>
  <c r="AB132" i="17"/>
  <c r="A133" i="17"/>
  <c r="K132" i="17"/>
  <c r="AB128" i="23"/>
  <c r="K128" i="23"/>
  <c r="A129" i="23"/>
  <c r="X128" i="23"/>
  <c r="A130" i="22"/>
  <c r="K129" i="22"/>
  <c r="AB129" i="22"/>
  <c r="X129" i="22"/>
  <c r="AK136" i="1"/>
  <c r="AB136" i="1"/>
  <c r="X136" i="1"/>
  <c r="K136" i="1"/>
  <c r="L136" i="1"/>
  <c r="A137" i="1"/>
  <c r="A131" i="20"/>
  <c r="AB130" i="20"/>
  <c r="K130" i="20"/>
  <c r="X130" i="20"/>
  <c r="X127" i="24"/>
  <c r="A128" i="24"/>
  <c r="AB127" i="24"/>
  <c r="K127" i="24"/>
  <c r="AB128" i="24"/>
  <c r="X128" i="24"/>
  <c r="A129" i="24"/>
  <c r="K128" i="24"/>
  <c r="AB129" i="23"/>
  <c r="X129" i="23"/>
  <c r="K129" i="23"/>
  <c r="A130" i="23"/>
  <c r="X133" i="17"/>
  <c r="AB133" i="17"/>
  <c r="K133" i="17"/>
  <c r="A134" i="17"/>
  <c r="A128" i="25"/>
  <c r="X127" i="25"/>
  <c r="K127" i="25"/>
  <c r="AB127" i="25"/>
  <c r="A140" i="15"/>
  <c r="L139" i="15"/>
  <c r="D139" i="15" s="1"/>
  <c r="K139" i="15"/>
  <c r="X139" i="15"/>
  <c r="AB139" i="15"/>
  <c r="K131" i="20"/>
  <c r="A132" i="20"/>
  <c r="X131" i="20"/>
  <c r="AB131" i="20"/>
  <c r="AK137" i="1"/>
  <c r="A138" i="1"/>
  <c r="K137" i="1"/>
  <c r="L137" i="1"/>
  <c r="AB137" i="1"/>
  <c r="X137" i="1"/>
  <c r="AJ137" i="1"/>
  <c r="K130" i="22"/>
  <c r="AB130" i="22"/>
  <c r="A131" i="22"/>
  <c r="X130" i="22"/>
  <c r="AB132" i="18"/>
  <c r="K132" i="18"/>
  <c r="X132" i="18"/>
  <c r="A133" i="18"/>
  <c r="X135" i="16"/>
  <c r="AB135" i="16"/>
  <c r="L135" i="16"/>
  <c r="D135" i="16" s="1"/>
  <c r="A136" i="16"/>
  <c r="K135" i="16"/>
  <c r="X132" i="20"/>
  <c r="AB132" i="20"/>
  <c r="K132" i="20"/>
  <c r="A133" i="20"/>
  <c r="A141" i="15"/>
  <c r="X140" i="15"/>
  <c r="L140" i="15"/>
  <c r="D140" i="15" s="1"/>
  <c r="K140" i="15"/>
  <c r="AB140" i="15"/>
  <c r="K134" i="17"/>
  <c r="AB134" i="17"/>
  <c r="X134" i="17"/>
  <c r="A135" i="17"/>
  <c r="AB129" i="24"/>
  <c r="K129" i="24"/>
  <c r="A130" i="24"/>
  <c r="X129" i="24"/>
  <c r="K136" i="16"/>
  <c r="L136" i="16"/>
  <c r="D136" i="16" s="1"/>
  <c r="A137" i="16"/>
  <c r="X136" i="16"/>
  <c r="AB136" i="16"/>
  <c r="X133" i="18"/>
  <c r="AB133" i="18"/>
  <c r="A134" i="18"/>
  <c r="K133" i="18"/>
  <c r="X131" i="22"/>
  <c r="K131" i="22"/>
  <c r="AB131" i="22"/>
  <c r="A132" i="22"/>
  <c r="AK138" i="1"/>
  <c r="X138" i="1"/>
  <c r="AB138" i="1"/>
  <c r="K138" i="1"/>
  <c r="L138" i="1"/>
  <c r="A139" i="1"/>
  <c r="K128" i="25"/>
  <c r="AB128" i="25"/>
  <c r="X128" i="25"/>
  <c r="A129" i="25"/>
  <c r="K130" i="23"/>
  <c r="X130" i="23"/>
  <c r="AB130" i="23"/>
  <c r="A131" i="23"/>
  <c r="AB129" i="25"/>
  <c r="X129" i="25"/>
  <c r="A130" i="25"/>
  <c r="K129" i="25"/>
  <c r="A140" i="1"/>
  <c r="AB139" i="1"/>
  <c r="K139" i="1"/>
  <c r="L139" i="1"/>
  <c r="X139" i="1"/>
  <c r="AK139" i="1"/>
  <c r="A133" i="22"/>
  <c r="K132" i="22"/>
  <c r="AB132" i="22"/>
  <c r="X132" i="22"/>
  <c r="K135" i="17"/>
  <c r="A136" i="17"/>
  <c r="AB135" i="17"/>
  <c r="X135" i="17"/>
  <c r="A132" i="23"/>
  <c r="X131" i="23"/>
  <c r="AB131" i="23"/>
  <c r="K131" i="23"/>
  <c r="AB134" i="18"/>
  <c r="A135" i="18"/>
  <c r="K134" i="18"/>
  <c r="X134" i="18"/>
  <c r="A138" i="16"/>
  <c r="AB137" i="16"/>
  <c r="L137" i="16"/>
  <c r="D137" i="16" s="1"/>
  <c r="X137" i="16"/>
  <c r="K137" i="16"/>
  <c r="AB130" i="24"/>
  <c r="K130" i="24"/>
  <c r="A131" i="24"/>
  <c r="X130" i="24"/>
  <c r="K141" i="15"/>
  <c r="X141" i="15"/>
  <c r="L141" i="15"/>
  <c r="AB141" i="15"/>
  <c r="A142" i="15"/>
  <c r="X133" i="20"/>
  <c r="K133" i="20"/>
  <c r="A134" i="20"/>
  <c r="AB133" i="20"/>
  <c r="AB142" i="15"/>
  <c r="K142" i="15"/>
  <c r="X142" i="15"/>
  <c r="A143" i="15"/>
  <c r="L142" i="15"/>
  <c r="D142" i="15" s="1"/>
  <c r="D141" i="15"/>
  <c r="A132" i="24"/>
  <c r="K131" i="24"/>
  <c r="AB131" i="24"/>
  <c r="X131" i="24"/>
  <c r="A136" i="18"/>
  <c r="K135" i="18"/>
  <c r="X135" i="18"/>
  <c r="AB135" i="18"/>
  <c r="X133" i="22"/>
  <c r="AB133" i="22"/>
  <c r="K133" i="22"/>
  <c r="A134" i="22"/>
  <c r="AJ140" i="1"/>
  <c r="A141" i="1"/>
  <c r="X140" i="1"/>
  <c r="L140" i="1"/>
  <c r="K140" i="1"/>
  <c r="AK140" i="1"/>
  <c r="AB140" i="1"/>
  <c r="AB130" i="25"/>
  <c r="K130" i="25"/>
  <c r="X130" i="25"/>
  <c r="A131" i="25"/>
  <c r="K134" i="20"/>
  <c r="A135" i="20"/>
  <c r="AB134" i="20"/>
  <c r="X134" i="20"/>
  <c r="X138" i="16"/>
  <c r="L138" i="16"/>
  <c r="D138" i="16" s="1"/>
  <c r="K138" i="16"/>
  <c r="A139" i="16"/>
  <c r="AB138" i="16"/>
  <c r="K132" i="23"/>
  <c r="AB132" i="23"/>
  <c r="A133" i="23"/>
  <c r="X132" i="23"/>
  <c r="A137" i="17"/>
  <c r="AB136" i="17"/>
  <c r="K136" i="17"/>
  <c r="X136" i="17"/>
  <c r="AB133" i="23"/>
  <c r="A134" i="23"/>
  <c r="K133" i="23"/>
  <c r="X133" i="23"/>
  <c r="AB139" i="16"/>
  <c r="K139" i="16"/>
  <c r="A140" i="16"/>
  <c r="X139" i="16"/>
  <c r="L139" i="16"/>
  <c r="D139" i="16" s="1"/>
  <c r="AB135" i="20"/>
  <c r="K135" i="20"/>
  <c r="X135" i="20"/>
  <c r="A136" i="20"/>
  <c r="A132" i="25"/>
  <c r="AB131" i="25"/>
  <c r="K131" i="25"/>
  <c r="X131" i="25"/>
  <c r="AB141" i="1"/>
  <c r="X141" i="1"/>
  <c r="L141" i="1"/>
  <c r="K141" i="1"/>
  <c r="AK141" i="1"/>
  <c r="A142" i="1"/>
  <c r="A144" i="15"/>
  <c r="K143" i="15"/>
  <c r="L143" i="15"/>
  <c r="D143" i="15" s="1"/>
  <c r="X143" i="15"/>
  <c r="AB143" i="15"/>
  <c r="A138" i="17"/>
  <c r="X137" i="17"/>
  <c r="AB137" i="17"/>
  <c r="K137" i="17"/>
  <c r="A135" i="22"/>
  <c r="K134" i="22"/>
  <c r="AB134" i="22"/>
  <c r="X134" i="22"/>
  <c r="AB136" i="18"/>
  <c r="X136" i="18"/>
  <c r="A137" i="18"/>
  <c r="K136" i="18"/>
  <c r="AB132" i="24"/>
  <c r="K132" i="24"/>
  <c r="A133" i="24"/>
  <c r="X132" i="24"/>
  <c r="X133" i="24"/>
  <c r="A134" i="24"/>
  <c r="K133" i="24"/>
  <c r="AB133" i="24"/>
  <c r="A138" i="18"/>
  <c r="X137" i="18"/>
  <c r="AB137" i="18"/>
  <c r="K137" i="18"/>
  <c r="K144" i="15"/>
  <c r="AB144" i="15"/>
  <c r="X144" i="15"/>
  <c r="L144" i="15"/>
  <c r="D144" i="15" s="1"/>
  <c r="A145" i="15"/>
  <c r="A135" i="23"/>
  <c r="X134" i="23"/>
  <c r="AB134" i="23"/>
  <c r="K134" i="23"/>
  <c r="AB135" i="22"/>
  <c r="K135" i="22"/>
  <c r="A136" i="22"/>
  <c r="X135" i="22"/>
  <c r="A139" i="17"/>
  <c r="X138" i="17"/>
  <c r="K138" i="17"/>
  <c r="AB138" i="17"/>
  <c r="AK142" i="1"/>
  <c r="K142" i="1"/>
  <c r="X142" i="1"/>
  <c r="AB142" i="1"/>
  <c r="AJ142" i="1"/>
  <c r="L142" i="1"/>
  <c r="A143" i="1"/>
  <c r="X132" i="25"/>
  <c r="A133" i="25"/>
  <c r="AB132" i="25"/>
  <c r="K132" i="25"/>
  <c r="K136" i="20"/>
  <c r="A137" i="20"/>
  <c r="X136" i="20"/>
  <c r="AB136" i="20"/>
  <c r="K140" i="16"/>
  <c r="A141" i="16"/>
  <c r="AB140" i="16"/>
  <c r="X140" i="16"/>
  <c r="L140" i="16"/>
  <c r="D140" i="16" s="1"/>
  <c r="A136" i="23"/>
  <c r="K135" i="23"/>
  <c r="X135" i="23"/>
  <c r="AB135" i="23"/>
  <c r="AB145" i="15"/>
  <c r="A146" i="15"/>
  <c r="L145" i="15"/>
  <c r="D145" i="15" s="1"/>
  <c r="K145" i="15"/>
  <c r="X145" i="15"/>
  <c r="X138" i="18"/>
  <c r="K138" i="18"/>
  <c r="A139" i="18"/>
  <c r="AB138" i="18"/>
  <c r="AB134" i="24"/>
  <c r="K134" i="24"/>
  <c r="A135" i="24"/>
  <c r="X134" i="24"/>
  <c r="K141" i="16"/>
  <c r="X141" i="16"/>
  <c r="A142" i="16"/>
  <c r="L141" i="16"/>
  <c r="D141" i="16" s="1"/>
  <c r="AB141" i="16"/>
  <c r="AB137" i="20"/>
  <c r="A138" i="20"/>
  <c r="K137" i="20"/>
  <c r="X137" i="20"/>
  <c r="AK143" i="1"/>
  <c r="K143" i="1"/>
  <c r="X143" i="1"/>
  <c r="A144" i="1"/>
  <c r="L143" i="1"/>
  <c r="AB143" i="1"/>
  <c r="AB133" i="25"/>
  <c r="A134" i="25"/>
  <c r="K133" i="25"/>
  <c r="X133" i="25"/>
  <c r="K139" i="17"/>
  <c r="X139" i="17"/>
  <c r="A140" i="17"/>
  <c r="AB139" i="17"/>
  <c r="AB136" i="22"/>
  <c r="A137" i="22"/>
  <c r="X136" i="22"/>
  <c r="K136" i="22"/>
  <c r="A136" i="24"/>
  <c r="K135" i="24"/>
  <c r="X135" i="24"/>
  <c r="AB135" i="24"/>
  <c r="K146" i="15"/>
  <c r="L146" i="15"/>
  <c r="D146" i="15" s="1"/>
  <c r="AB146" i="15"/>
  <c r="A147" i="15"/>
  <c r="X146" i="15"/>
  <c r="X136" i="23"/>
  <c r="K136" i="23"/>
  <c r="AB136" i="23"/>
  <c r="A137" i="23"/>
  <c r="X137" i="22"/>
  <c r="K137" i="22"/>
  <c r="AB137" i="22"/>
  <c r="A138" i="22"/>
  <c r="K140" i="17"/>
  <c r="A141" i="17"/>
  <c r="AB140" i="17"/>
  <c r="X140" i="17"/>
  <c r="K134" i="25"/>
  <c r="X134" i="25"/>
  <c r="A135" i="25"/>
  <c r="AB134" i="25"/>
  <c r="AJ144" i="1"/>
  <c r="L144" i="1"/>
  <c r="K144" i="1"/>
  <c r="AB144" i="1"/>
  <c r="AK144" i="1"/>
  <c r="A145" i="1"/>
  <c r="X144" i="1"/>
  <c r="A139" i="20"/>
  <c r="X138" i="20"/>
  <c r="AB138" i="20"/>
  <c r="K138" i="20"/>
  <c r="X142" i="16"/>
  <c r="AB142" i="16"/>
  <c r="K142" i="16"/>
  <c r="L142" i="16"/>
  <c r="A143" i="16"/>
  <c r="X139" i="18"/>
  <c r="A140" i="18"/>
  <c r="AB139" i="18"/>
  <c r="K139" i="18"/>
  <c r="A141" i="18"/>
  <c r="K140" i="18"/>
  <c r="AB140" i="18"/>
  <c r="X140" i="18"/>
  <c r="X143" i="16"/>
  <c r="K143" i="16"/>
  <c r="AB143" i="16"/>
  <c r="A144" i="16"/>
  <c r="L143" i="16"/>
  <c r="D142" i="16"/>
  <c r="A140" i="20"/>
  <c r="X139" i="20"/>
  <c r="K139" i="20"/>
  <c r="AB139" i="20"/>
  <c r="AK145" i="1"/>
  <c r="X145" i="1"/>
  <c r="AB145" i="1"/>
  <c r="A146" i="1"/>
  <c r="L145" i="1"/>
  <c r="K145" i="1"/>
  <c r="AJ145" i="1"/>
  <c r="A142" i="17"/>
  <c r="AB141" i="17"/>
  <c r="X141" i="17"/>
  <c r="K141" i="17"/>
  <c r="AB138" i="22"/>
  <c r="K138" i="22"/>
  <c r="A139" i="22"/>
  <c r="X138" i="22"/>
  <c r="K137" i="23"/>
  <c r="AB137" i="23"/>
  <c r="A138" i="23"/>
  <c r="X137" i="23"/>
  <c r="K135" i="25"/>
  <c r="X135" i="25"/>
  <c r="AB135" i="25"/>
  <c r="A136" i="25"/>
  <c r="A148" i="15"/>
  <c r="L147" i="15"/>
  <c r="X147" i="15"/>
  <c r="AB147" i="15"/>
  <c r="K147" i="15"/>
  <c r="AB136" i="24"/>
  <c r="X136" i="24"/>
  <c r="K136" i="24"/>
  <c r="A137" i="24"/>
  <c r="X137" i="24"/>
  <c r="A138" i="24"/>
  <c r="K137" i="24"/>
  <c r="AB137" i="24"/>
  <c r="D147" i="15"/>
  <c r="A137" i="25"/>
  <c r="K136" i="25"/>
  <c r="X136" i="25"/>
  <c r="AB136" i="25"/>
  <c r="K138" i="23"/>
  <c r="AB138" i="23"/>
  <c r="A139" i="23"/>
  <c r="X138" i="23"/>
  <c r="AB139" i="22"/>
  <c r="A140" i="22"/>
  <c r="K139" i="22"/>
  <c r="X139" i="22"/>
  <c r="AB142" i="17"/>
  <c r="A143" i="17"/>
  <c r="X142" i="17"/>
  <c r="K142" i="17"/>
  <c r="AK146" i="1"/>
  <c r="AB146" i="1"/>
  <c r="A147" i="1"/>
  <c r="X146" i="1"/>
  <c r="L146" i="1"/>
  <c r="K146" i="1"/>
  <c r="X140" i="20"/>
  <c r="A141" i="20"/>
  <c r="K140" i="20"/>
  <c r="AB140" i="20"/>
  <c r="D143" i="16"/>
  <c r="X144" i="16"/>
  <c r="AB144" i="16"/>
  <c r="K144" i="16"/>
  <c r="L144" i="16"/>
  <c r="D144" i="16" s="1"/>
  <c r="A145" i="16"/>
  <c r="X148" i="15"/>
  <c r="A149" i="15"/>
  <c r="AB148" i="15"/>
  <c r="L148" i="15"/>
  <c r="K148" i="15"/>
  <c r="X141" i="18"/>
  <c r="AB141" i="18"/>
  <c r="A142" i="18"/>
  <c r="K141" i="18"/>
  <c r="AB142" i="18"/>
  <c r="A143" i="18"/>
  <c r="X142" i="18"/>
  <c r="K142" i="18"/>
  <c r="D148" i="15"/>
  <c r="A142" i="20"/>
  <c r="AB141" i="20"/>
  <c r="K141" i="20"/>
  <c r="X141" i="20"/>
  <c r="AJ147" i="1"/>
  <c r="A148" i="1"/>
  <c r="X147" i="1"/>
  <c r="L147" i="1"/>
  <c r="K147" i="1"/>
  <c r="AB147" i="1"/>
  <c r="AK147" i="1"/>
  <c r="AB143" i="17"/>
  <c r="A144" i="17"/>
  <c r="K143" i="17"/>
  <c r="X143" i="17"/>
  <c r="AB140" i="22"/>
  <c r="X140" i="22"/>
  <c r="A141" i="22"/>
  <c r="K140" i="22"/>
  <c r="AB139" i="23"/>
  <c r="X139" i="23"/>
  <c r="A140" i="23"/>
  <c r="K139" i="23"/>
  <c r="AB137" i="25"/>
  <c r="A138" i="25"/>
  <c r="K137" i="25"/>
  <c r="X137" i="25"/>
  <c r="K149" i="15"/>
  <c r="AB149" i="15"/>
  <c r="A36" i="7"/>
  <c r="X149" i="15"/>
  <c r="A150" i="15"/>
  <c r="L149" i="15"/>
  <c r="X145" i="16"/>
  <c r="AB145" i="16"/>
  <c r="L145" i="16"/>
  <c r="D145" i="16" s="1"/>
  <c r="K145" i="16"/>
  <c r="A146" i="16"/>
  <c r="A139" i="24"/>
  <c r="AB138" i="24"/>
  <c r="K138" i="24"/>
  <c r="X138" i="24"/>
  <c r="K139" i="24"/>
  <c r="X139" i="24"/>
  <c r="AB139" i="24"/>
  <c r="A140" i="24"/>
  <c r="X150" i="15"/>
  <c r="AB150" i="15"/>
  <c r="K150" i="15"/>
  <c r="A151" i="15"/>
  <c r="L150" i="15"/>
  <c r="D150" i="15" s="1"/>
  <c r="K141" i="22"/>
  <c r="X141" i="22"/>
  <c r="AB141" i="22"/>
  <c r="A142" i="22"/>
  <c r="A149" i="1"/>
  <c r="K148" i="1"/>
  <c r="L148" i="1"/>
  <c r="AB148" i="1"/>
  <c r="AK148" i="1"/>
  <c r="X148" i="1"/>
  <c r="K142" i="20"/>
  <c r="X142" i="20"/>
  <c r="AB142" i="20"/>
  <c r="A143" i="20"/>
  <c r="X143" i="18"/>
  <c r="A144" i="18"/>
  <c r="K143" i="18"/>
  <c r="AB143" i="18"/>
  <c r="K146" i="16"/>
  <c r="X146" i="16"/>
  <c r="L146" i="16"/>
  <c r="D146" i="16" s="1"/>
  <c r="AB146" i="16"/>
  <c r="A147" i="16"/>
  <c r="D149" i="15"/>
  <c r="B36" i="7"/>
  <c r="K138" i="25"/>
  <c r="AB138" i="25"/>
  <c r="X138" i="25"/>
  <c r="A139" i="25"/>
  <c r="K140" i="23"/>
  <c r="AB140" i="23"/>
  <c r="A141" i="23"/>
  <c r="X140" i="23"/>
  <c r="AB144" i="17"/>
  <c r="K144" i="17"/>
  <c r="A145" i="17"/>
  <c r="X144" i="17"/>
  <c r="AB145" i="17"/>
  <c r="K145" i="17"/>
  <c r="X145" i="17"/>
  <c r="A146" i="17"/>
  <c r="AB141" i="23"/>
  <c r="X141" i="23"/>
  <c r="A142" i="23"/>
  <c r="K141" i="23"/>
  <c r="A143" i="22"/>
  <c r="K142" i="22"/>
  <c r="X142" i="22"/>
  <c r="AB142" i="22"/>
  <c r="A152" i="15"/>
  <c r="X151" i="15"/>
  <c r="K151" i="15"/>
  <c r="AB151" i="15"/>
  <c r="L151" i="15"/>
  <c r="D151" i="15" s="1"/>
  <c r="X139" i="25"/>
  <c r="A140" i="25"/>
  <c r="AB139" i="25"/>
  <c r="K139" i="25"/>
  <c r="X147" i="16"/>
  <c r="A148" i="16"/>
  <c r="L147" i="16"/>
  <c r="D147" i="16" s="1"/>
  <c r="AB147" i="16"/>
  <c r="K147" i="16"/>
  <c r="A145" i="18"/>
  <c r="X144" i="18"/>
  <c r="K144" i="18"/>
  <c r="AB144" i="18"/>
  <c r="X143" i="20"/>
  <c r="K143" i="20"/>
  <c r="A144" i="20"/>
  <c r="AB143" i="20"/>
  <c r="X149" i="1"/>
  <c r="A24" i="7"/>
  <c r="AB149" i="1"/>
  <c r="AK149" i="1"/>
  <c r="K149" i="1"/>
  <c r="L149" i="1"/>
  <c r="A150" i="1"/>
  <c r="A141" i="24"/>
  <c r="AB140" i="24"/>
  <c r="K140" i="24"/>
  <c r="X140" i="24"/>
  <c r="X141" i="24"/>
  <c r="AB141" i="24"/>
  <c r="A142" i="24"/>
  <c r="K141" i="24"/>
  <c r="B24" i="7"/>
  <c r="K145" i="18"/>
  <c r="AB145" i="18"/>
  <c r="A146" i="18"/>
  <c r="X145" i="18"/>
  <c r="AB143" i="22"/>
  <c r="X143" i="22"/>
  <c r="A144" i="22"/>
  <c r="K143" i="22"/>
  <c r="AB146" i="17"/>
  <c r="X146" i="17"/>
  <c r="K146" i="17"/>
  <c r="A147" i="17"/>
  <c r="AJ150" i="1"/>
  <c r="X150" i="1"/>
  <c r="AB150" i="1"/>
  <c r="L150" i="1"/>
  <c r="AK150" i="1"/>
  <c r="K150" i="1"/>
  <c r="A151" i="1"/>
  <c r="K144" i="20"/>
  <c r="A145" i="20"/>
  <c r="X144" i="20"/>
  <c r="AB144" i="20"/>
  <c r="K148" i="16"/>
  <c r="A149" i="16"/>
  <c r="X148" i="16"/>
  <c r="L148" i="16"/>
  <c r="D148" i="16" s="1"/>
  <c r="AB148" i="16"/>
  <c r="A141" i="25"/>
  <c r="X140" i="25"/>
  <c r="AB140" i="25"/>
  <c r="K140" i="25"/>
  <c r="AB152" i="15"/>
  <c r="K152" i="15"/>
  <c r="L152" i="15"/>
  <c r="X152" i="15"/>
  <c r="A153" i="15"/>
  <c r="AB142" i="23"/>
  <c r="K142" i="23"/>
  <c r="A143" i="23"/>
  <c r="X142" i="23"/>
  <c r="A154" i="15"/>
  <c r="K153" i="15"/>
  <c r="X153" i="15"/>
  <c r="AB153" i="15"/>
  <c r="L153" i="15"/>
  <c r="A142" i="25"/>
  <c r="AB141" i="25"/>
  <c r="X141" i="25"/>
  <c r="K141" i="25"/>
  <c r="A146" i="20"/>
  <c r="K145" i="20"/>
  <c r="X145" i="20"/>
  <c r="AB145" i="20"/>
  <c r="A148" i="17"/>
  <c r="K147" i="17"/>
  <c r="AB147" i="17"/>
  <c r="X147" i="17"/>
  <c r="D152" i="15"/>
  <c r="A144" i="23"/>
  <c r="AB143" i="23"/>
  <c r="X143" i="23"/>
  <c r="K143" i="23"/>
  <c r="K149" i="16"/>
  <c r="A48" i="7"/>
  <c r="AB149" i="16"/>
  <c r="L149" i="16"/>
  <c r="D149" i="16" s="1"/>
  <c r="A150" i="16"/>
  <c r="X149" i="16"/>
  <c r="X151" i="1"/>
  <c r="L151" i="1"/>
  <c r="K151" i="1"/>
  <c r="AB151" i="1"/>
  <c r="A152" i="1"/>
  <c r="AK151" i="1"/>
  <c r="A145" i="22"/>
  <c r="K144" i="22"/>
  <c r="AB144" i="22"/>
  <c r="X144" i="22"/>
  <c r="X146" i="18"/>
  <c r="A147" i="18"/>
  <c r="AB146" i="18"/>
  <c r="K146" i="18"/>
  <c r="K142" i="24"/>
  <c r="X142" i="24"/>
  <c r="AB142" i="24"/>
  <c r="A143" i="24"/>
  <c r="AB143" i="24"/>
  <c r="X143" i="24"/>
  <c r="A144" i="24"/>
  <c r="K143" i="24"/>
  <c r="K150" i="16"/>
  <c r="X150" i="16"/>
  <c r="L150" i="16"/>
  <c r="A151" i="16"/>
  <c r="AB150" i="16"/>
  <c r="K148" i="17"/>
  <c r="X148" i="17"/>
  <c r="AB148" i="17"/>
  <c r="A149" i="17"/>
  <c r="A147" i="20"/>
  <c r="K146" i="20"/>
  <c r="AB146" i="20"/>
  <c r="X146" i="20"/>
  <c r="X142" i="25"/>
  <c r="A143" i="25"/>
  <c r="AB142" i="25"/>
  <c r="K142" i="25"/>
  <c r="A155" i="15"/>
  <c r="X154" i="15"/>
  <c r="K154" i="15"/>
  <c r="L154" i="15"/>
  <c r="D154" i="15" s="1"/>
  <c r="AB154" i="15"/>
  <c r="K147" i="18"/>
  <c r="X147" i="18"/>
  <c r="AB147" i="18"/>
  <c r="A148" i="18"/>
  <c r="AB145" i="22"/>
  <c r="K145" i="22"/>
  <c r="X145" i="22"/>
  <c r="A146" i="22"/>
  <c r="AK152" i="1"/>
  <c r="X152" i="1"/>
  <c r="AB152" i="1"/>
  <c r="K152" i="1"/>
  <c r="AJ152" i="1"/>
  <c r="L152" i="1"/>
  <c r="A153" i="1"/>
  <c r="X144" i="23"/>
  <c r="A145" i="23"/>
  <c r="AB144" i="23"/>
  <c r="K144" i="23"/>
  <c r="D153" i="15"/>
  <c r="AJ153" i="1"/>
  <c r="X153" i="1"/>
  <c r="AB153" i="1"/>
  <c r="L153" i="1"/>
  <c r="AK153" i="1"/>
  <c r="K153" i="1"/>
  <c r="A154" i="1"/>
  <c r="AB149" i="17"/>
  <c r="A150" i="17"/>
  <c r="K149" i="17"/>
  <c r="X149" i="17"/>
  <c r="A60" i="7"/>
  <c r="A152" i="16"/>
  <c r="K151" i="16"/>
  <c r="X151" i="16"/>
  <c r="AB151" i="16"/>
  <c r="L151" i="16"/>
  <c r="D151" i="16"/>
  <c r="K144" i="24"/>
  <c r="A145" i="24"/>
  <c r="X144" i="24"/>
  <c r="AB144" i="24"/>
  <c r="X145" i="23"/>
  <c r="K145" i="23"/>
  <c r="AB145" i="23"/>
  <c r="A146" i="23"/>
  <c r="A147" i="22"/>
  <c r="AB146" i="22"/>
  <c r="X146" i="22"/>
  <c r="K146" i="22"/>
  <c r="K148" i="18"/>
  <c r="X148" i="18"/>
  <c r="A149" i="18"/>
  <c r="AB148" i="18"/>
  <c r="K155" i="15"/>
  <c r="L155" i="15"/>
  <c r="D155" i="15" s="1"/>
  <c r="A156" i="15"/>
  <c r="X155" i="15"/>
  <c r="AB155" i="15"/>
  <c r="AB143" i="25"/>
  <c r="A144" i="25"/>
  <c r="X143" i="25"/>
  <c r="K143" i="25"/>
  <c r="A148" i="20"/>
  <c r="K147" i="20"/>
  <c r="X147" i="20"/>
  <c r="AB147" i="20"/>
  <c r="D150" i="16"/>
  <c r="X146" i="23"/>
  <c r="A147" i="23"/>
  <c r="K146" i="23"/>
  <c r="AB146" i="23"/>
  <c r="A146" i="24"/>
  <c r="K145" i="24"/>
  <c r="AB145" i="24"/>
  <c r="X145" i="24"/>
  <c r="AK154" i="1"/>
  <c r="L154" i="1"/>
  <c r="K154" i="1"/>
  <c r="A155" i="1"/>
  <c r="X154" i="1"/>
  <c r="AB154" i="1"/>
  <c r="A149" i="20"/>
  <c r="K148" i="20"/>
  <c r="X148" i="20"/>
  <c r="AB148" i="20"/>
  <c r="A145" i="25"/>
  <c r="X144" i="25"/>
  <c r="K144" i="25"/>
  <c r="AB144" i="25"/>
  <c r="K156" i="15"/>
  <c r="X156" i="15"/>
  <c r="AB156" i="15"/>
  <c r="A157" i="15"/>
  <c r="L156" i="15"/>
  <c r="D156" i="15" s="1"/>
  <c r="AB149" i="18"/>
  <c r="K149" i="18"/>
  <c r="X149" i="18"/>
  <c r="A150" i="18"/>
  <c r="A72" i="7"/>
  <c r="X147" i="22"/>
  <c r="A148" i="22"/>
  <c r="K147" i="22"/>
  <c r="AB147" i="22"/>
  <c r="X152" i="16"/>
  <c r="AB152" i="16"/>
  <c r="A153" i="16"/>
  <c r="L152" i="16"/>
  <c r="D152" i="16" s="1"/>
  <c r="K152" i="16"/>
  <c r="X150" i="17"/>
  <c r="A151" i="17"/>
  <c r="AB150" i="17"/>
  <c r="K150" i="17"/>
  <c r="AB150" i="18"/>
  <c r="K150" i="18"/>
  <c r="X150" i="18"/>
  <c r="A151" i="18"/>
  <c r="A158" i="15"/>
  <c r="K157" i="15"/>
  <c r="X157" i="15"/>
  <c r="L157" i="15"/>
  <c r="AB157" i="15"/>
  <c r="X149" i="20"/>
  <c r="K149" i="20"/>
  <c r="A150" i="20"/>
  <c r="AB149" i="20"/>
  <c r="AE24" i="7"/>
  <c r="AJ155" i="1"/>
  <c r="L155" i="1"/>
  <c r="X155" i="1"/>
  <c r="AB155" i="1"/>
  <c r="K155" i="1"/>
  <c r="AK155" i="1"/>
  <c r="A156" i="1"/>
  <c r="K147" i="23"/>
  <c r="X147" i="23"/>
  <c r="AB147" i="23"/>
  <c r="A148" i="23"/>
  <c r="AB151" i="17"/>
  <c r="X151" i="17"/>
  <c r="A152" i="17"/>
  <c r="K151" i="17"/>
  <c r="X153" i="16"/>
  <c r="L153" i="16"/>
  <c r="AB153" i="16"/>
  <c r="K153" i="16"/>
  <c r="A154" i="16"/>
  <c r="K148" i="22"/>
  <c r="A149" i="22"/>
  <c r="X148" i="22"/>
  <c r="AB148" i="22"/>
  <c r="X145" i="25"/>
  <c r="A146" i="25"/>
  <c r="K145" i="25"/>
  <c r="AB145" i="25"/>
  <c r="AB146" i="24"/>
  <c r="A147" i="24"/>
  <c r="K146" i="24"/>
  <c r="X146" i="24"/>
  <c r="D153" i="16"/>
  <c r="X152" i="17"/>
  <c r="A153" i="17"/>
  <c r="AB152" i="17"/>
  <c r="K152" i="17"/>
  <c r="AB148" i="23"/>
  <c r="A149" i="23"/>
  <c r="X148" i="23"/>
  <c r="K148" i="23"/>
  <c r="D157" i="15"/>
  <c r="A152" i="18"/>
  <c r="K151" i="18"/>
  <c r="X151" i="18"/>
  <c r="AB151" i="18"/>
  <c r="X147" i="24"/>
  <c r="A148" i="24"/>
  <c r="K147" i="24"/>
  <c r="AB147" i="24"/>
  <c r="X146" i="25"/>
  <c r="K146" i="25"/>
  <c r="A147" i="25"/>
  <c r="AB146" i="25"/>
  <c r="X149" i="22"/>
  <c r="AB149" i="22"/>
  <c r="AE36" i="7"/>
  <c r="K149" i="22"/>
  <c r="A150" i="22"/>
  <c r="K154" i="16"/>
  <c r="L154" i="16"/>
  <c r="X154" i="16"/>
  <c r="AB154" i="16"/>
  <c r="A155" i="16"/>
  <c r="AJ156" i="1"/>
  <c r="X156" i="1"/>
  <c r="K156" i="1"/>
  <c r="A157" i="1"/>
  <c r="AB156" i="1"/>
  <c r="AK156" i="1"/>
  <c r="L156" i="1"/>
  <c r="K150" i="20"/>
  <c r="X150" i="20"/>
  <c r="AB150" i="20"/>
  <c r="A151" i="20"/>
  <c r="X158" i="15"/>
  <c r="A159" i="15"/>
  <c r="L158" i="15"/>
  <c r="K158" i="15"/>
  <c r="AB158" i="15"/>
  <c r="X159" i="15"/>
  <c r="K159" i="15"/>
  <c r="L159" i="15"/>
  <c r="AB159" i="15"/>
  <c r="A160" i="15"/>
  <c r="AK157" i="1"/>
  <c r="AB157" i="1"/>
  <c r="X157" i="1"/>
  <c r="A158" i="1"/>
  <c r="K157" i="1"/>
  <c r="AJ157" i="1"/>
  <c r="L157" i="1"/>
  <c r="A150" i="23"/>
  <c r="K149" i="23"/>
  <c r="AE48" i="7"/>
  <c r="X149" i="23"/>
  <c r="AB149" i="23"/>
  <c r="AB153" i="17"/>
  <c r="A154" i="17"/>
  <c r="X153" i="17"/>
  <c r="K153" i="17"/>
  <c r="D158" i="15"/>
  <c r="X151" i="20"/>
  <c r="AB151" i="20"/>
  <c r="A152" i="20"/>
  <c r="K151" i="20"/>
  <c r="A156" i="16"/>
  <c r="L155" i="16"/>
  <c r="D155" i="16" s="1"/>
  <c r="AB155" i="16"/>
  <c r="X155" i="16"/>
  <c r="K155" i="16"/>
  <c r="D154" i="16"/>
  <c r="A151" i="22"/>
  <c r="K150" i="22"/>
  <c r="X150" i="22"/>
  <c r="AB150" i="22"/>
  <c r="X147" i="25"/>
  <c r="K147" i="25"/>
  <c r="A148" i="25"/>
  <c r="AB147" i="25"/>
  <c r="A149" i="24"/>
  <c r="X148" i="24"/>
  <c r="AB148" i="24"/>
  <c r="K148" i="24"/>
  <c r="K152" i="18"/>
  <c r="AB152" i="18"/>
  <c r="A153" i="18"/>
  <c r="X152" i="18"/>
  <c r="A153" i="20"/>
  <c r="K152" i="20"/>
  <c r="X152" i="20"/>
  <c r="AB152" i="20"/>
  <c r="AB154" i="17"/>
  <c r="K154" i="17"/>
  <c r="A155" i="17"/>
  <c r="X154" i="17"/>
  <c r="K150" i="23"/>
  <c r="X150" i="23"/>
  <c r="A151" i="23"/>
  <c r="AB150" i="23"/>
  <c r="AB160" i="15"/>
  <c r="X160" i="15"/>
  <c r="L160" i="15"/>
  <c r="D160" i="15" s="1"/>
  <c r="A161" i="15"/>
  <c r="K160" i="15"/>
  <c r="X153" i="18"/>
  <c r="A154" i="18"/>
  <c r="K153" i="18"/>
  <c r="AB153" i="18"/>
  <c r="K149" i="24"/>
  <c r="X149" i="24"/>
  <c r="A150" i="24"/>
  <c r="AE60" i="7"/>
  <c r="AB149" i="24"/>
  <c r="K148" i="25"/>
  <c r="AB148" i="25"/>
  <c r="X148" i="25"/>
  <c r="A149" i="25"/>
  <c r="AB151" i="22"/>
  <c r="X151" i="22"/>
  <c r="K151" i="22"/>
  <c r="A152" i="22"/>
  <c r="A157" i="16"/>
  <c r="K156" i="16"/>
  <c r="L156" i="16"/>
  <c r="D156" i="16" s="1"/>
  <c r="X156" i="16"/>
  <c r="AB156" i="16"/>
  <c r="AK158" i="1"/>
  <c r="AB158" i="1"/>
  <c r="K158" i="1"/>
  <c r="X158" i="1"/>
  <c r="L158" i="1"/>
  <c r="AJ158" i="1"/>
  <c r="A159" i="1"/>
  <c r="D159" i="15"/>
  <c r="K157" i="16"/>
  <c r="L157" i="16"/>
  <c r="D157" i="16" s="1"/>
  <c r="A158" i="16"/>
  <c r="X157" i="16"/>
  <c r="AB157" i="16"/>
  <c r="AB150" i="24"/>
  <c r="K150" i="24"/>
  <c r="X150" i="24"/>
  <c r="A151" i="24"/>
  <c r="X151" i="23"/>
  <c r="AB151" i="23"/>
  <c r="K151" i="23"/>
  <c r="A152" i="23"/>
  <c r="K155" i="17"/>
  <c r="A156" i="17"/>
  <c r="AB155" i="17"/>
  <c r="X155" i="17"/>
  <c r="A154" i="20"/>
  <c r="K153" i="20"/>
  <c r="X153" i="20"/>
  <c r="AB153" i="20"/>
  <c r="AK159" i="1"/>
  <c r="AB159" i="1"/>
  <c r="K159" i="1"/>
  <c r="X159" i="1"/>
  <c r="L159" i="1"/>
  <c r="A160" i="1"/>
  <c r="AB152" i="22"/>
  <c r="X152" i="22"/>
  <c r="K152" i="22"/>
  <c r="A153" i="22"/>
  <c r="K149" i="25"/>
  <c r="A150" i="25"/>
  <c r="AB149" i="25"/>
  <c r="AE72" i="7"/>
  <c r="X149" i="25"/>
  <c r="K154" i="18"/>
  <c r="AB154" i="18"/>
  <c r="X154" i="18"/>
  <c r="A155" i="18"/>
  <c r="L161" i="15"/>
  <c r="A162" i="15"/>
  <c r="AB161" i="15"/>
  <c r="X161" i="15"/>
  <c r="K161" i="15"/>
  <c r="A163" i="15"/>
  <c r="K162" i="15"/>
  <c r="AB162" i="15"/>
  <c r="X162" i="15"/>
  <c r="L162" i="15"/>
  <c r="D162" i="15" s="1"/>
  <c r="K155" i="18"/>
  <c r="A156" i="18"/>
  <c r="X155" i="18"/>
  <c r="AB155" i="18"/>
  <c r="A151" i="25"/>
  <c r="AB150" i="25"/>
  <c r="K150" i="25"/>
  <c r="X150" i="25"/>
  <c r="A154" i="22"/>
  <c r="K153" i="22"/>
  <c r="X153" i="22"/>
  <c r="AB153" i="22"/>
  <c r="AJ160" i="1"/>
  <c r="AB160" i="1"/>
  <c r="X160" i="1"/>
  <c r="AK160" i="1"/>
  <c r="A161" i="1"/>
  <c r="L160" i="1"/>
  <c r="K160" i="1"/>
  <c r="A155" i="20"/>
  <c r="AB154" i="20"/>
  <c r="K154" i="20"/>
  <c r="X154" i="20"/>
  <c r="AB156" i="17"/>
  <c r="A157" i="17"/>
  <c r="X156" i="17"/>
  <c r="K156" i="17"/>
  <c r="AB151" i="24"/>
  <c r="A152" i="24"/>
  <c r="X151" i="24"/>
  <c r="K151" i="24"/>
  <c r="K158" i="16"/>
  <c r="A159" i="16"/>
  <c r="X158" i="16"/>
  <c r="AB158" i="16"/>
  <c r="L158" i="16"/>
  <c r="D158" i="16" s="1"/>
  <c r="D161" i="15"/>
  <c r="X152" i="23"/>
  <c r="K152" i="23"/>
  <c r="AB152" i="23"/>
  <c r="A153" i="23"/>
  <c r="AB153" i="23"/>
  <c r="A154" i="23"/>
  <c r="X153" i="23"/>
  <c r="K153" i="23"/>
  <c r="K157" i="17"/>
  <c r="X157" i="17"/>
  <c r="A158" i="17"/>
  <c r="AB157" i="17"/>
  <c r="AB155" i="20"/>
  <c r="K155" i="20"/>
  <c r="A156" i="20"/>
  <c r="X155" i="20"/>
  <c r="AK161" i="1"/>
  <c r="X161" i="1"/>
  <c r="A162" i="1"/>
  <c r="AB161" i="1"/>
  <c r="K161" i="1"/>
  <c r="L161" i="1"/>
  <c r="K154" i="22"/>
  <c r="X154" i="22"/>
  <c r="AB154" i="22"/>
  <c r="A155" i="22"/>
  <c r="X156" i="18"/>
  <c r="AB156" i="18"/>
  <c r="K156" i="18"/>
  <c r="A157" i="18"/>
  <c r="X159" i="16"/>
  <c r="L159" i="16"/>
  <c r="D159" i="16" s="1"/>
  <c r="K159" i="16"/>
  <c r="AB159" i="16"/>
  <c r="A160" i="16"/>
  <c r="K152" i="24"/>
  <c r="X152" i="24"/>
  <c r="AB152" i="24"/>
  <c r="A153" i="24"/>
  <c r="K151" i="25"/>
  <c r="A152" i="25"/>
  <c r="X151" i="25"/>
  <c r="AB151" i="25"/>
  <c r="A164" i="15"/>
  <c r="L163" i="15"/>
  <c r="X163" i="15"/>
  <c r="K163" i="15"/>
  <c r="AB163" i="15"/>
  <c r="AB164" i="15"/>
  <c r="L164" i="15"/>
  <c r="D164" i="15" s="1"/>
  <c r="K164" i="15"/>
  <c r="A165" i="15"/>
  <c r="X164" i="15"/>
  <c r="X152" i="25"/>
  <c r="K152" i="25"/>
  <c r="AB152" i="25"/>
  <c r="A153" i="25"/>
  <c r="AB157" i="18"/>
  <c r="K157" i="18"/>
  <c r="A158" i="18"/>
  <c r="X157" i="18"/>
  <c r="K162" i="1"/>
  <c r="X162" i="1"/>
  <c r="L162" i="1"/>
  <c r="AB162" i="1"/>
  <c r="AK162" i="1"/>
  <c r="A163" i="1"/>
  <c r="K158" i="17"/>
  <c r="AB158" i="17"/>
  <c r="X158" i="17"/>
  <c r="A159" i="17"/>
  <c r="AB154" i="23"/>
  <c r="A155" i="23"/>
  <c r="K154" i="23"/>
  <c r="X154" i="23"/>
  <c r="D163" i="15"/>
  <c r="X153" i="24"/>
  <c r="K153" i="24"/>
  <c r="AB153" i="24"/>
  <c r="A154" i="24"/>
  <c r="AB160" i="16"/>
  <c r="A161" i="16"/>
  <c r="K160" i="16"/>
  <c r="L160" i="16"/>
  <c r="D160" i="16" s="1"/>
  <c r="X160" i="16"/>
  <c r="AB155" i="22"/>
  <c r="K155" i="22"/>
  <c r="A156" i="22"/>
  <c r="X155" i="22"/>
  <c r="X156" i="20"/>
  <c r="A157" i="20"/>
  <c r="AB156" i="20"/>
  <c r="K156" i="20"/>
  <c r="K161" i="16"/>
  <c r="AB161" i="16"/>
  <c r="X161" i="16"/>
  <c r="L161" i="16"/>
  <c r="A162" i="16"/>
  <c r="A154" i="25"/>
  <c r="X153" i="25"/>
  <c r="AB153" i="25"/>
  <c r="K153" i="25"/>
  <c r="A166" i="15"/>
  <c r="K165" i="15"/>
  <c r="L165" i="15"/>
  <c r="AB165" i="15"/>
  <c r="X165" i="15"/>
  <c r="X157" i="20"/>
  <c r="K157" i="20"/>
  <c r="AB157" i="20"/>
  <c r="A158" i="20"/>
  <c r="AB156" i="22"/>
  <c r="A157" i="22"/>
  <c r="K156" i="22"/>
  <c r="X156" i="22"/>
  <c r="X154" i="24"/>
  <c r="AB154" i="24"/>
  <c r="K154" i="24"/>
  <c r="A155" i="24"/>
  <c r="AB155" i="23"/>
  <c r="A156" i="23"/>
  <c r="X155" i="23"/>
  <c r="K155" i="23"/>
  <c r="A160" i="17"/>
  <c r="K159" i="17"/>
  <c r="X159" i="17"/>
  <c r="AB159" i="17"/>
  <c r="AK163" i="1"/>
  <c r="X163" i="1"/>
  <c r="K163" i="1"/>
  <c r="A164" i="1"/>
  <c r="AB163" i="1"/>
  <c r="L163" i="1"/>
  <c r="A159" i="18"/>
  <c r="AB158" i="18"/>
  <c r="X158" i="18"/>
  <c r="K158" i="18"/>
  <c r="A161" i="17"/>
  <c r="AB160" i="17"/>
  <c r="K160" i="17"/>
  <c r="X160" i="17"/>
  <c r="K155" i="24"/>
  <c r="X155" i="24"/>
  <c r="A156" i="24"/>
  <c r="AB155" i="24"/>
  <c r="K154" i="25"/>
  <c r="AB154" i="25"/>
  <c r="X154" i="25"/>
  <c r="A155" i="25"/>
  <c r="D161" i="16"/>
  <c r="A160" i="18"/>
  <c r="X159" i="18"/>
  <c r="K159" i="18"/>
  <c r="AB159" i="18"/>
  <c r="AK164" i="1"/>
  <c r="K164" i="1"/>
  <c r="A165" i="1"/>
  <c r="X164" i="1"/>
  <c r="L164" i="1"/>
  <c r="AB164" i="1"/>
  <c r="K156" i="23"/>
  <c r="X156" i="23"/>
  <c r="AB156" i="23"/>
  <c r="A157" i="23"/>
  <c r="A158" i="22"/>
  <c r="AB157" i="22"/>
  <c r="X157" i="22"/>
  <c r="K157" i="22"/>
  <c r="A159" i="20"/>
  <c r="X158" i="20"/>
  <c r="K158" i="20"/>
  <c r="AB158" i="20"/>
  <c r="D165" i="15"/>
  <c r="X166" i="15"/>
  <c r="A167" i="15"/>
  <c r="AB166" i="15"/>
  <c r="K166" i="15"/>
  <c r="L166" i="15"/>
  <c r="D166" i="15" s="1"/>
  <c r="K162" i="16"/>
  <c r="AB162" i="16"/>
  <c r="A163" i="16"/>
  <c r="L162" i="16"/>
  <c r="X162" i="16"/>
  <c r="D162" i="16"/>
  <c r="K159" i="20"/>
  <c r="A160" i="20"/>
  <c r="X159" i="20"/>
  <c r="AB159" i="20"/>
  <c r="X158" i="22"/>
  <c r="K158" i="22"/>
  <c r="A159" i="22"/>
  <c r="AB158" i="22"/>
  <c r="AB157" i="23"/>
  <c r="K157" i="23"/>
  <c r="A158" i="23"/>
  <c r="X157" i="23"/>
  <c r="AK165" i="1"/>
  <c r="AB165" i="1"/>
  <c r="X165" i="1"/>
  <c r="K165" i="1"/>
  <c r="A166" i="1"/>
  <c r="AJ165" i="1"/>
  <c r="L165" i="1"/>
  <c r="AB160" i="18"/>
  <c r="K160" i="18"/>
  <c r="A161" i="18"/>
  <c r="X160" i="18"/>
  <c r="K156" i="24"/>
  <c r="AB156" i="24"/>
  <c r="X156" i="24"/>
  <c r="A157" i="24"/>
  <c r="A162" i="17"/>
  <c r="K161" i="17"/>
  <c r="X161" i="17"/>
  <c r="AB161" i="17"/>
  <c r="K163" i="16"/>
  <c r="X163" i="16"/>
  <c r="L163" i="16"/>
  <c r="D163" i="16" s="1"/>
  <c r="AB163" i="16"/>
  <c r="A164" i="16"/>
  <c r="K167" i="15"/>
  <c r="L167" i="15"/>
  <c r="D167" i="15" s="1"/>
  <c r="A168" i="15"/>
  <c r="X167" i="15"/>
  <c r="AB167" i="15"/>
  <c r="AB155" i="25"/>
  <c r="X155" i="25"/>
  <c r="A156" i="25"/>
  <c r="K155" i="25"/>
  <c r="X168" i="15"/>
  <c r="K168" i="15"/>
  <c r="L168" i="15"/>
  <c r="D168" i="15" s="1"/>
  <c r="A169" i="15"/>
  <c r="AB168" i="15"/>
  <c r="X156" i="25"/>
  <c r="A157" i="25"/>
  <c r="AB156" i="25"/>
  <c r="K156" i="25"/>
  <c r="X164" i="16"/>
  <c r="A165" i="16"/>
  <c r="K164" i="16"/>
  <c r="L164" i="16"/>
  <c r="D164" i="16" s="1"/>
  <c r="AB164" i="16"/>
  <c r="A159" i="23"/>
  <c r="AB158" i="23"/>
  <c r="X158" i="23"/>
  <c r="K158" i="23"/>
  <c r="K159" i="22"/>
  <c r="X159" i="22"/>
  <c r="A160" i="22"/>
  <c r="AB159" i="22"/>
  <c r="X162" i="17"/>
  <c r="A163" i="17"/>
  <c r="AB162" i="17"/>
  <c r="K162" i="17"/>
  <c r="K157" i="24"/>
  <c r="X157" i="24"/>
  <c r="A158" i="24"/>
  <c r="AB157" i="24"/>
  <c r="K161" i="18"/>
  <c r="AB161" i="18"/>
  <c r="A162" i="18"/>
  <c r="X161" i="18"/>
  <c r="AK166" i="1"/>
  <c r="K166" i="1"/>
  <c r="X166" i="1"/>
  <c r="A167" i="1"/>
  <c r="L166" i="1"/>
  <c r="AB166" i="1"/>
  <c r="AB160" i="20"/>
  <c r="A161" i="20"/>
  <c r="K160" i="20"/>
  <c r="X160" i="20"/>
  <c r="A163" i="18"/>
  <c r="AB162" i="18"/>
  <c r="X162" i="18"/>
  <c r="K162" i="18"/>
  <c r="X163" i="17"/>
  <c r="K163" i="17"/>
  <c r="AB163" i="17"/>
  <c r="A164" i="17"/>
  <c r="AB159" i="23"/>
  <c r="A160" i="23"/>
  <c r="X159" i="23"/>
  <c r="K159" i="23"/>
  <c r="AB161" i="20"/>
  <c r="X161" i="20"/>
  <c r="K161" i="20"/>
  <c r="A162" i="20"/>
  <c r="A168" i="1"/>
  <c r="K167" i="1"/>
  <c r="L167" i="1"/>
  <c r="AK167" i="1"/>
  <c r="X167" i="1"/>
  <c r="AB167" i="1"/>
  <c r="A159" i="24"/>
  <c r="X158" i="24"/>
  <c r="K158" i="24"/>
  <c r="AB158" i="24"/>
  <c r="AB160" i="22"/>
  <c r="K160" i="22"/>
  <c r="A161" i="22"/>
  <c r="X160" i="22"/>
  <c r="AB165" i="16"/>
  <c r="X165" i="16"/>
  <c r="A166" i="16"/>
  <c r="L165" i="16"/>
  <c r="K165" i="16"/>
  <c r="X157" i="25"/>
  <c r="K157" i="25"/>
  <c r="A158" i="25"/>
  <c r="AB157" i="25"/>
  <c r="A170" i="15"/>
  <c r="L169" i="15"/>
  <c r="X169" i="15"/>
  <c r="K169" i="15"/>
  <c r="AB169" i="15"/>
  <c r="AB170" i="15"/>
  <c r="L170" i="15"/>
  <c r="X170" i="15"/>
  <c r="A171" i="15"/>
  <c r="K170" i="15"/>
  <c r="K158" i="25"/>
  <c r="X158" i="25"/>
  <c r="A159" i="25"/>
  <c r="AB158" i="25"/>
  <c r="A167" i="16"/>
  <c r="L166" i="16"/>
  <c r="K166" i="16"/>
  <c r="AB166" i="16"/>
  <c r="X166" i="16"/>
  <c r="A160" i="24"/>
  <c r="AB159" i="24"/>
  <c r="K159" i="24"/>
  <c r="X159" i="24"/>
  <c r="D169" i="15"/>
  <c r="D165" i="16"/>
  <c r="K161" i="22"/>
  <c r="AB161" i="22"/>
  <c r="X161" i="22"/>
  <c r="A162" i="22"/>
  <c r="AK168" i="1"/>
  <c r="X168" i="1"/>
  <c r="A169" i="1"/>
  <c r="K168" i="1"/>
  <c r="L168" i="1"/>
  <c r="AB168" i="1"/>
  <c r="AJ168" i="1"/>
  <c r="A163" i="20"/>
  <c r="K162" i="20"/>
  <c r="X162" i="20"/>
  <c r="AB162" i="20"/>
  <c r="A161" i="23"/>
  <c r="AB160" i="23"/>
  <c r="X160" i="23"/>
  <c r="K160" i="23"/>
  <c r="X164" i="17"/>
  <c r="K164" i="17"/>
  <c r="A165" i="17"/>
  <c r="AB164" i="17"/>
  <c r="X163" i="18"/>
  <c r="K163" i="18"/>
  <c r="A164" i="18"/>
  <c r="AB163" i="18"/>
  <c r="K164" i="18"/>
  <c r="AB164" i="18"/>
  <c r="X164" i="18"/>
  <c r="A165" i="18"/>
  <c r="AB163" i="20"/>
  <c r="A164" i="20"/>
  <c r="X163" i="20"/>
  <c r="K163" i="20"/>
  <c r="X162" i="22"/>
  <c r="K162" i="22"/>
  <c r="AB162" i="22"/>
  <c r="A163" i="22"/>
  <c r="X160" i="24"/>
  <c r="K160" i="24"/>
  <c r="A161" i="24"/>
  <c r="AB160" i="24"/>
  <c r="AB167" i="16"/>
  <c r="K167" i="16"/>
  <c r="A168" i="16"/>
  <c r="L167" i="16"/>
  <c r="D167" i="16" s="1"/>
  <c r="X167" i="16"/>
  <c r="K159" i="25"/>
  <c r="X159" i="25"/>
  <c r="AB159" i="25"/>
  <c r="A160" i="25"/>
  <c r="AB171" i="15"/>
  <c r="K171" i="15"/>
  <c r="L171" i="15"/>
  <c r="A172" i="15"/>
  <c r="X171" i="15"/>
  <c r="D170" i="15"/>
  <c r="X165" i="17"/>
  <c r="A166" i="17"/>
  <c r="AB165" i="17"/>
  <c r="K165" i="17"/>
  <c r="AB161" i="23"/>
  <c r="A162" i="23"/>
  <c r="K161" i="23"/>
  <c r="X161" i="23"/>
  <c r="AJ169" i="1"/>
  <c r="K169" i="1"/>
  <c r="AB169" i="1"/>
  <c r="L169" i="1"/>
  <c r="AK169" i="1"/>
  <c r="X169" i="1"/>
  <c r="A170" i="1"/>
  <c r="D166" i="16"/>
  <c r="AJ170" i="1"/>
  <c r="A171" i="1"/>
  <c r="X170" i="1"/>
  <c r="K170" i="1"/>
  <c r="AK170" i="1"/>
  <c r="AB170" i="1"/>
  <c r="L170" i="1"/>
  <c r="D169" i="1"/>
  <c r="AB172" i="15"/>
  <c r="A173" i="15"/>
  <c r="K172" i="15"/>
  <c r="L172" i="15"/>
  <c r="D172" i="15" s="1"/>
  <c r="X172" i="15"/>
  <c r="D171" i="15"/>
  <c r="AB160" i="25"/>
  <c r="X160" i="25"/>
  <c r="A161" i="25"/>
  <c r="K160" i="25"/>
  <c r="AB168" i="16"/>
  <c r="L168" i="16"/>
  <c r="D168" i="16" s="1"/>
  <c r="A169" i="16"/>
  <c r="X168" i="16"/>
  <c r="K168" i="16"/>
  <c r="X161" i="24"/>
  <c r="K161" i="24"/>
  <c r="AB161" i="24"/>
  <c r="A162" i="24"/>
  <c r="K163" i="22"/>
  <c r="A164" i="22"/>
  <c r="AB163" i="22"/>
  <c r="X163" i="22"/>
  <c r="X164" i="20"/>
  <c r="AB164" i="20"/>
  <c r="A165" i="20"/>
  <c r="K164" i="20"/>
  <c r="A163" i="23"/>
  <c r="K162" i="23"/>
  <c r="AB162" i="23"/>
  <c r="X162" i="23"/>
  <c r="X166" i="17"/>
  <c r="AB166" i="17"/>
  <c r="A167" i="17"/>
  <c r="K166" i="17"/>
  <c r="AB165" i="18"/>
  <c r="K165" i="18"/>
  <c r="X165" i="18"/>
  <c r="A166" i="18"/>
  <c r="A168" i="17"/>
  <c r="AB167" i="17"/>
  <c r="K167" i="17"/>
  <c r="X167" i="17"/>
  <c r="K163" i="23"/>
  <c r="A164" i="23"/>
  <c r="X163" i="23"/>
  <c r="AB163" i="23"/>
  <c r="X165" i="20"/>
  <c r="K165" i="20"/>
  <c r="A166" i="20"/>
  <c r="AB165" i="20"/>
  <c r="AB169" i="16"/>
  <c r="A170" i="16"/>
  <c r="X169" i="16"/>
  <c r="K169" i="16"/>
  <c r="L169" i="16"/>
  <c r="D169" i="16" s="1"/>
  <c r="A174" i="15"/>
  <c r="K173" i="15"/>
  <c r="L173" i="15"/>
  <c r="AB173" i="15"/>
  <c r="X173" i="15"/>
  <c r="D170" i="1"/>
  <c r="AK171" i="1"/>
  <c r="K171" i="1"/>
  <c r="A172" i="1"/>
  <c r="L171" i="1"/>
  <c r="D171" i="1" s="1"/>
  <c r="AJ171" i="1"/>
  <c r="AB171" i="1"/>
  <c r="X171" i="1"/>
  <c r="K166" i="18"/>
  <c r="AB166" i="18"/>
  <c r="X166" i="18"/>
  <c r="A167" i="18"/>
  <c r="K164" i="22"/>
  <c r="X164" i="22"/>
  <c r="AB164" i="22"/>
  <c r="A165" i="22"/>
  <c r="K162" i="24"/>
  <c r="A163" i="24"/>
  <c r="AB162" i="24"/>
  <c r="X162" i="24"/>
  <c r="K161" i="25"/>
  <c r="X161" i="25"/>
  <c r="AB161" i="25"/>
  <c r="A162" i="25"/>
  <c r="X162" i="25"/>
  <c r="K162" i="25"/>
  <c r="A163" i="25"/>
  <c r="AB162" i="25"/>
  <c r="AB163" i="24"/>
  <c r="K163" i="24"/>
  <c r="A164" i="24"/>
  <c r="X163" i="24"/>
  <c r="A167" i="20"/>
  <c r="AB166" i="20"/>
  <c r="X166" i="20"/>
  <c r="K166" i="20"/>
  <c r="A166" i="22"/>
  <c r="AB165" i="22"/>
  <c r="K165" i="22"/>
  <c r="X165" i="22"/>
  <c r="AB167" i="18"/>
  <c r="X167" i="18"/>
  <c r="K167" i="18"/>
  <c r="A168" i="18"/>
  <c r="AK172" i="1"/>
  <c r="X172" i="1"/>
  <c r="AB172" i="1"/>
  <c r="AJ172" i="1"/>
  <c r="K172" i="1"/>
  <c r="L172" i="1"/>
  <c r="A173" i="1"/>
  <c r="D173" i="15"/>
  <c r="X174" i="15"/>
  <c r="A175" i="15"/>
  <c r="L174" i="15"/>
  <c r="D174" i="15" s="1"/>
  <c r="AB174" i="15"/>
  <c r="K174" i="15"/>
  <c r="A171" i="16"/>
  <c r="AB170" i="16"/>
  <c r="L170" i="16"/>
  <c r="K170" i="16"/>
  <c r="X170" i="16"/>
  <c r="AB164" i="23"/>
  <c r="A165" i="23"/>
  <c r="K164" i="23"/>
  <c r="X164" i="23"/>
  <c r="K168" i="17"/>
  <c r="X168" i="17"/>
  <c r="A169" i="17"/>
  <c r="AB168" i="17"/>
  <c r="K169" i="17"/>
  <c r="X169" i="17"/>
  <c r="AB169" i="17"/>
  <c r="A170" i="17"/>
  <c r="D170" i="16"/>
  <c r="AB171" i="16"/>
  <c r="L171" i="16"/>
  <c r="D171" i="16" s="1"/>
  <c r="A172" i="16"/>
  <c r="K171" i="16"/>
  <c r="X171" i="16"/>
  <c r="D172" i="1"/>
  <c r="X167" i="20"/>
  <c r="AB167" i="20"/>
  <c r="A168" i="20"/>
  <c r="K167" i="20"/>
  <c r="K164" i="24"/>
  <c r="AB164" i="24"/>
  <c r="X164" i="24"/>
  <c r="A165" i="24"/>
  <c r="A166" i="23"/>
  <c r="K165" i="23"/>
  <c r="X165" i="23"/>
  <c r="AB165" i="23"/>
  <c r="K175" i="15"/>
  <c r="AB175" i="15"/>
  <c r="A176" i="15"/>
  <c r="X175" i="15"/>
  <c r="L175" i="15"/>
  <c r="AK173" i="1"/>
  <c r="AB173" i="1"/>
  <c r="X173" i="1"/>
  <c r="AJ173" i="1"/>
  <c r="K173" i="1"/>
  <c r="A174" i="1"/>
  <c r="L173" i="1"/>
  <c r="D173" i="1" s="1"/>
  <c r="A169" i="18"/>
  <c r="X168" i="18"/>
  <c r="AB168" i="18"/>
  <c r="K168" i="18"/>
  <c r="A167" i="22"/>
  <c r="K166" i="22"/>
  <c r="X166" i="22"/>
  <c r="AB166" i="22"/>
  <c r="K163" i="25"/>
  <c r="AB163" i="25"/>
  <c r="X163" i="25"/>
  <c r="A164" i="25"/>
  <c r="AB164" i="25"/>
  <c r="X164" i="25"/>
  <c r="A165" i="25"/>
  <c r="K164" i="25"/>
  <c r="K167" i="22"/>
  <c r="AB167" i="22"/>
  <c r="A168" i="22"/>
  <c r="X167" i="22"/>
  <c r="D175" i="15"/>
  <c r="AB172" i="16"/>
  <c r="X172" i="16"/>
  <c r="L172" i="16"/>
  <c r="D172" i="16" s="1"/>
  <c r="K172" i="16"/>
  <c r="A173" i="16"/>
  <c r="AB170" i="17"/>
  <c r="A171" i="17"/>
  <c r="K170" i="17"/>
  <c r="X170" i="17"/>
  <c r="K169" i="18"/>
  <c r="A170" i="18"/>
  <c r="X169" i="18"/>
  <c r="AB169" i="18"/>
  <c r="AJ174" i="1"/>
  <c r="X174" i="1"/>
  <c r="AB174" i="1"/>
  <c r="L174" i="1"/>
  <c r="D174" i="1" s="1"/>
  <c r="AK174" i="1"/>
  <c r="A175" i="1"/>
  <c r="K174" i="1"/>
  <c r="K176" i="15"/>
  <c r="A177" i="15"/>
  <c r="L176" i="15"/>
  <c r="D176" i="15" s="1"/>
  <c r="AB176" i="15"/>
  <c r="X176" i="15"/>
  <c r="X166" i="23"/>
  <c r="A167" i="23"/>
  <c r="K166" i="23"/>
  <c r="AB166" i="23"/>
  <c r="A166" i="24"/>
  <c r="AB165" i="24"/>
  <c r="X165" i="24"/>
  <c r="K165" i="24"/>
  <c r="K168" i="20"/>
  <c r="AB168" i="20"/>
  <c r="A169" i="20"/>
  <c r="X168" i="20"/>
  <c r="X177" i="15"/>
  <c r="L177" i="15"/>
  <c r="D177" i="15" s="1"/>
  <c r="K177" i="15"/>
  <c r="A178" i="15"/>
  <c r="AB177" i="15"/>
  <c r="A176" i="1"/>
  <c r="L175" i="1"/>
  <c r="D175" i="1" s="1"/>
  <c r="X175" i="1"/>
  <c r="AB175" i="1"/>
  <c r="AK175" i="1"/>
  <c r="K175" i="1"/>
  <c r="A171" i="18"/>
  <c r="AB170" i="18"/>
  <c r="K170" i="18"/>
  <c r="X170" i="18"/>
  <c r="X171" i="17"/>
  <c r="A172" i="17"/>
  <c r="AB171" i="17"/>
  <c r="K171" i="17"/>
  <c r="AB168" i="22"/>
  <c r="K168" i="22"/>
  <c r="X168" i="22"/>
  <c r="A169" i="22"/>
  <c r="X169" i="20"/>
  <c r="AB169" i="20"/>
  <c r="A170" i="20"/>
  <c r="K169" i="20"/>
  <c r="A167" i="24"/>
  <c r="K166" i="24"/>
  <c r="X166" i="24"/>
  <c r="AB166" i="24"/>
  <c r="A168" i="23"/>
  <c r="X167" i="23"/>
  <c r="K167" i="23"/>
  <c r="AB167" i="23"/>
  <c r="AB173" i="16"/>
  <c r="L173" i="16"/>
  <c r="D173" i="16" s="1"/>
  <c r="K173" i="16"/>
  <c r="X173" i="16"/>
  <c r="A174" i="16"/>
  <c r="X165" i="25"/>
  <c r="AB165" i="25"/>
  <c r="K165" i="25"/>
  <c r="A166" i="25"/>
  <c r="A167" i="25"/>
  <c r="X166" i="25"/>
  <c r="AB166" i="25"/>
  <c r="K166" i="25"/>
  <c r="K174" i="16"/>
  <c r="X174" i="16"/>
  <c r="L174" i="16"/>
  <c r="D174" i="16" s="1"/>
  <c r="AB174" i="16"/>
  <c r="A175" i="16"/>
  <c r="X168" i="23"/>
  <c r="K168" i="23"/>
  <c r="A169" i="23"/>
  <c r="AB168" i="23"/>
  <c r="K167" i="24"/>
  <c r="A168" i="24"/>
  <c r="X167" i="24"/>
  <c r="AB167" i="24"/>
  <c r="X170" i="20"/>
  <c r="K170" i="20"/>
  <c r="A171" i="20"/>
  <c r="AB170" i="20"/>
  <c r="A172" i="18"/>
  <c r="X171" i="18"/>
  <c r="AB171" i="18"/>
  <c r="K171" i="18"/>
  <c r="K178" i="15"/>
  <c r="AB178" i="15"/>
  <c r="L178" i="15"/>
  <c r="A179" i="15"/>
  <c r="X178" i="15"/>
  <c r="X169" i="22"/>
  <c r="K169" i="22"/>
  <c r="A170" i="22"/>
  <c r="AB169" i="22"/>
  <c r="A173" i="17"/>
  <c r="AB172" i="17"/>
  <c r="K172" i="17"/>
  <c r="X172" i="17"/>
  <c r="K176" i="1"/>
  <c r="L176" i="1"/>
  <c r="D176" i="1" s="1"/>
  <c r="A177" i="1"/>
  <c r="AK176" i="1"/>
  <c r="AB176" i="1"/>
  <c r="X176" i="1"/>
  <c r="AJ177" i="1"/>
  <c r="AB177" i="1"/>
  <c r="X177" i="1"/>
  <c r="L177" i="1"/>
  <c r="D177" i="1" s="1"/>
  <c r="AK177" i="1"/>
  <c r="A178" i="1"/>
  <c r="K177" i="1"/>
  <c r="K173" i="17"/>
  <c r="X173" i="17"/>
  <c r="AB173" i="17"/>
  <c r="A174" i="17"/>
  <c r="AB170" i="22"/>
  <c r="K170" i="22"/>
  <c r="X170" i="22"/>
  <c r="A171" i="22"/>
  <c r="D178" i="15"/>
  <c r="K167" i="25"/>
  <c r="AB167" i="25"/>
  <c r="X167" i="25"/>
  <c r="A168" i="25"/>
  <c r="K179" i="15"/>
  <c r="L179" i="15"/>
  <c r="X179" i="15"/>
  <c r="AB179" i="15"/>
  <c r="A180" i="15"/>
  <c r="K172" i="18"/>
  <c r="A173" i="18"/>
  <c r="AB172" i="18"/>
  <c r="X172" i="18"/>
  <c r="X171" i="20"/>
  <c r="K171" i="20"/>
  <c r="A172" i="20"/>
  <c r="AB171" i="20"/>
  <c r="AB168" i="24"/>
  <c r="A169" i="24"/>
  <c r="X168" i="24"/>
  <c r="K168" i="24"/>
  <c r="A170" i="23"/>
  <c r="X169" i="23"/>
  <c r="AB169" i="23"/>
  <c r="K169" i="23"/>
  <c r="A176" i="16"/>
  <c r="X175" i="16"/>
  <c r="K175" i="16"/>
  <c r="L175" i="16"/>
  <c r="AB175" i="16"/>
  <c r="D175" i="16"/>
  <c r="A170" i="24"/>
  <c r="K169" i="24"/>
  <c r="AB169" i="24"/>
  <c r="X169" i="24"/>
  <c r="AB172" i="20"/>
  <c r="A173" i="20"/>
  <c r="K172" i="20"/>
  <c r="X172" i="20"/>
  <c r="AB173" i="18"/>
  <c r="A174" i="18"/>
  <c r="X173" i="18"/>
  <c r="K173" i="18"/>
  <c r="AB180" i="15"/>
  <c r="A37" i="7"/>
  <c r="A181" i="15"/>
  <c r="L180" i="15"/>
  <c r="D180" i="15" s="1"/>
  <c r="X180" i="15"/>
  <c r="K180" i="15"/>
  <c r="D179" i="15"/>
  <c r="A169" i="25"/>
  <c r="X168" i="25"/>
  <c r="K168" i="25"/>
  <c r="AB168" i="25"/>
  <c r="A175" i="17"/>
  <c r="K174" i="17"/>
  <c r="X174" i="17"/>
  <c r="AB174" i="17"/>
  <c r="AK178" i="1"/>
  <c r="K178" i="1"/>
  <c r="A179" i="1"/>
  <c r="X178" i="1"/>
  <c r="AB178" i="1"/>
  <c r="L178" i="1"/>
  <c r="D178" i="1" s="1"/>
  <c r="X176" i="16"/>
  <c r="K176" i="16"/>
  <c r="AB176" i="16"/>
  <c r="L176" i="16"/>
  <c r="A177" i="16"/>
  <c r="K170" i="23"/>
  <c r="AB170" i="23"/>
  <c r="A171" i="23"/>
  <c r="X170" i="23"/>
  <c r="A172" i="22"/>
  <c r="X171" i="22"/>
  <c r="K171" i="22"/>
  <c r="AB171" i="22"/>
  <c r="AB172" i="22"/>
  <c r="A173" i="22"/>
  <c r="K172" i="22"/>
  <c r="X172" i="22"/>
  <c r="D176" i="16"/>
  <c r="K171" i="23"/>
  <c r="A172" i="23"/>
  <c r="AB171" i="23"/>
  <c r="X171" i="23"/>
  <c r="K177" i="16"/>
  <c r="AB177" i="16"/>
  <c r="X177" i="16"/>
  <c r="A178" i="16"/>
  <c r="L177" i="16"/>
  <c r="D177" i="16" s="1"/>
  <c r="AK179" i="1"/>
  <c r="A180" i="1"/>
  <c r="K179" i="1"/>
  <c r="X179" i="1"/>
  <c r="L179" i="1"/>
  <c r="D179" i="1" s="1"/>
  <c r="AB179" i="1"/>
  <c r="A176" i="17"/>
  <c r="X175" i="17"/>
  <c r="K175" i="17"/>
  <c r="AB175" i="17"/>
  <c r="A170" i="25"/>
  <c r="K169" i="25"/>
  <c r="AB169" i="25"/>
  <c r="X169" i="25"/>
  <c r="A182" i="15"/>
  <c r="X181" i="15"/>
  <c r="AB181" i="15"/>
  <c r="K181" i="15"/>
  <c r="L181" i="15"/>
  <c r="D181" i="15" s="1"/>
  <c r="AB174" i="18"/>
  <c r="K174" i="18"/>
  <c r="X174" i="18"/>
  <c r="A175" i="18"/>
  <c r="A174" i="20"/>
  <c r="K173" i="20"/>
  <c r="X173" i="20"/>
  <c r="AB173" i="20"/>
  <c r="A171" i="24"/>
  <c r="X170" i="24"/>
  <c r="K170" i="24"/>
  <c r="AB170" i="24"/>
  <c r="K171" i="24"/>
  <c r="X171" i="24"/>
  <c r="A172" i="24"/>
  <c r="AB171" i="24"/>
  <c r="A177" i="17"/>
  <c r="X176" i="17"/>
  <c r="AB176" i="17"/>
  <c r="K176" i="17"/>
  <c r="AK180" i="1"/>
  <c r="A25" i="7"/>
  <c r="K180" i="1"/>
  <c r="L180" i="1"/>
  <c r="D180" i="1" s="1"/>
  <c r="AJ180" i="1"/>
  <c r="AB180" i="1"/>
  <c r="X180" i="1"/>
  <c r="A181" i="1"/>
  <c r="AB173" i="22"/>
  <c r="A174" i="22"/>
  <c r="X173" i="22"/>
  <c r="K173" i="22"/>
  <c r="X174" i="20"/>
  <c r="A175" i="20"/>
  <c r="AB174" i="20"/>
  <c r="K174" i="20"/>
  <c r="AB175" i="18"/>
  <c r="K175" i="18"/>
  <c r="X175" i="18"/>
  <c r="A176" i="18"/>
  <c r="A183" i="15"/>
  <c r="L182" i="15"/>
  <c r="AB182" i="15"/>
  <c r="K182" i="15"/>
  <c r="X182" i="15"/>
  <c r="X170" i="25"/>
  <c r="AB170" i="25"/>
  <c r="K170" i="25"/>
  <c r="A171" i="25"/>
  <c r="X178" i="16"/>
  <c r="L178" i="16"/>
  <c r="A179" i="16"/>
  <c r="K178" i="16"/>
  <c r="AB178" i="16"/>
  <c r="A173" i="23"/>
  <c r="X172" i="23"/>
  <c r="AB172" i="23"/>
  <c r="K172" i="23"/>
  <c r="K173" i="23"/>
  <c r="X173" i="23"/>
  <c r="AB173" i="23"/>
  <c r="A174" i="23"/>
  <c r="K179" i="16"/>
  <c r="X179" i="16"/>
  <c r="AB179" i="16"/>
  <c r="A180" i="16"/>
  <c r="L179" i="16"/>
  <c r="D179" i="16" s="1"/>
  <c r="K171" i="25"/>
  <c r="A172" i="25"/>
  <c r="AB171" i="25"/>
  <c r="X171" i="25"/>
  <c r="D182" i="15"/>
  <c r="X176" i="18"/>
  <c r="AB176" i="18"/>
  <c r="K176" i="18"/>
  <c r="A177" i="18"/>
  <c r="X175" i="20"/>
  <c r="AB175" i="20"/>
  <c r="A176" i="20"/>
  <c r="K175" i="20"/>
  <c r="A175" i="22"/>
  <c r="K174" i="22"/>
  <c r="X174" i="22"/>
  <c r="AB174" i="22"/>
  <c r="D178" i="16"/>
  <c r="A184" i="15"/>
  <c r="K183" i="15"/>
  <c r="L183" i="15"/>
  <c r="D183" i="15" s="1"/>
  <c r="X183" i="15"/>
  <c r="AB183" i="15"/>
  <c r="AJ181" i="1"/>
  <c r="K181" i="1"/>
  <c r="X181" i="1"/>
  <c r="L181" i="1"/>
  <c r="D181" i="1" s="1"/>
  <c r="A182" i="1"/>
  <c r="AK181" i="1"/>
  <c r="AB181" i="1"/>
  <c r="B25" i="7"/>
  <c r="K177" i="17"/>
  <c r="A178" i="17"/>
  <c r="X177" i="17"/>
  <c r="AB177" i="17"/>
  <c r="K172" i="24"/>
  <c r="A173" i="24"/>
  <c r="AB172" i="24"/>
  <c r="X172" i="24"/>
  <c r="AB173" i="24"/>
  <c r="X173" i="24"/>
  <c r="A174" i="24"/>
  <c r="K173" i="24"/>
  <c r="AJ182" i="1"/>
  <c r="K182" i="1"/>
  <c r="A183" i="1"/>
  <c r="L182" i="1"/>
  <c r="D182" i="1" s="1"/>
  <c r="X182" i="1"/>
  <c r="AK182" i="1"/>
  <c r="AB182" i="1"/>
  <c r="X177" i="18"/>
  <c r="K177" i="18"/>
  <c r="AB177" i="18"/>
  <c r="A178" i="18"/>
  <c r="K178" i="17"/>
  <c r="A179" i="17"/>
  <c r="X178" i="17"/>
  <c r="AB178" i="17"/>
  <c r="K184" i="15"/>
  <c r="AB184" i="15"/>
  <c r="A185" i="15"/>
  <c r="X184" i="15"/>
  <c r="L184" i="15"/>
  <c r="D184" i="15" s="1"/>
  <c r="AB175" i="22"/>
  <c r="A176" i="22"/>
  <c r="X175" i="22"/>
  <c r="K175" i="22"/>
  <c r="K176" i="20"/>
  <c r="A177" i="20"/>
  <c r="X176" i="20"/>
  <c r="AB176" i="20"/>
  <c r="K172" i="25"/>
  <c r="A173" i="25"/>
  <c r="AB172" i="25"/>
  <c r="X172" i="25"/>
  <c r="A49" i="7"/>
  <c r="K180" i="16"/>
  <c r="L180" i="16"/>
  <c r="B49" i="7" s="1"/>
  <c r="AB180" i="16"/>
  <c r="X180" i="16"/>
  <c r="A181" i="16"/>
  <c r="K174" i="23"/>
  <c r="X174" i="23"/>
  <c r="AB174" i="23"/>
  <c r="A175" i="23"/>
  <c r="A176" i="23"/>
  <c r="AB175" i="23"/>
  <c r="K175" i="23"/>
  <c r="X175" i="23"/>
  <c r="AB181" i="16"/>
  <c r="A182" i="16"/>
  <c r="X181" i="16"/>
  <c r="L181" i="16"/>
  <c r="D181" i="16" s="1"/>
  <c r="K181" i="16"/>
  <c r="D180" i="16"/>
  <c r="AB173" i="25"/>
  <c r="K173" i="25"/>
  <c r="X173" i="25"/>
  <c r="A174" i="25"/>
  <c r="K185" i="15"/>
  <c r="A186" i="15"/>
  <c r="AB185" i="15"/>
  <c r="L185" i="15"/>
  <c r="D185" i="15" s="1"/>
  <c r="X185" i="15"/>
  <c r="AB178" i="18"/>
  <c r="K178" i="18"/>
  <c r="X178" i="18"/>
  <c r="A179" i="18"/>
  <c r="AK183" i="1"/>
  <c r="A184" i="1"/>
  <c r="K183" i="1"/>
  <c r="X183" i="1"/>
  <c r="AJ183" i="1"/>
  <c r="L183" i="1"/>
  <c r="D183" i="1" s="1"/>
  <c r="AB183" i="1"/>
  <c r="K177" i="20"/>
  <c r="A178" i="20"/>
  <c r="AB177" i="20"/>
  <c r="X177" i="20"/>
  <c r="K176" i="22"/>
  <c r="X176" i="22"/>
  <c r="AB176" i="22"/>
  <c r="A177" i="22"/>
  <c r="X179" i="17"/>
  <c r="A180" i="17"/>
  <c r="AB179" i="17"/>
  <c r="K179" i="17"/>
  <c r="X174" i="24"/>
  <c r="K174" i="24"/>
  <c r="A175" i="24"/>
  <c r="AB174" i="24"/>
  <c r="AB180" i="17"/>
  <c r="A61" i="7"/>
  <c r="K180" i="17"/>
  <c r="A181" i="17"/>
  <c r="X180" i="17"/>
  <c r="AK184" i="1"/>
  <c r="AB184" i="1"/>
  <c r="L184" i="1"/>
  <c r="AJ184" i="1"/>
  <c r="A185" i="1"/>
  <c r="X184" i="1"/>
  <c r="K184" i="1"/>
  <c r="X186" i="15"/>
  <c r="L186" i="15"/>
  <c r="A187" i="15"/>
  <c r="AB186" i="15"/>
  <c r="K186" i="15"/>
  <c r="X174" i="25"/>
  <c r="AB174" i="25"/>
  <c r="A175" i="25"/>
  <c r="K174" i="25"/>
  <c r="A183" i="16"/>
  <c r="L182" i="16"/>
  <c r="D182" i="16" s="1"/>
  <c r="X182" i="16"/>
  <c r="K182" i="16"/>
  <c r="AB182" i="16"/>
  <c r="X176" i="23"/>
  <c r="A177" i="23"/>
  <c r="AB176" i="23"/>
  <c r="K176" i="23"/>
  <c r="X175" i="24"/>
  <c r="A176" i="24"/>
  <c r="AB175" i="24"/>
  <c r="K175" i="24"/>
  <c r="A178" i="22"/>
  <c r="AB177" i="22"/>
  <c r="K177" i="22"/>
  <c r="X177" i="22"/>
  <c r="K178" i="20"/>
  <c r="A179" i="20"/>
  <c r="AB178" i="20"/>
  <c r="X178" i="20"/>
  <c r="K179" i="18"/>
  <c r="AB179" i="18"/>
  <c r="X179" i="18"/>
  <c r="A180" i="18"/>
  <c r="AB179" i="20"/>
  <c r="K179" i="20"/>
  <c r="X179" i="20"/>
  <c r="A180" i="20"/>
  <c r="A179" i="22"/>
  <c r="X178" i="22"/>
  <c r="K178" i="22"/>
  <c r="AB178" i="22"/>
  <c r="AB176" i="24"/>
  <c r="K176" i="24"/>
  <c r="A177" i="24"/>
  <c r="X176" i="24"/>
  <c r="X177" i="23"/>
  <c r="A178" i="23"/>
  <c r="K177" i="23"/>
  <c r="AB177" i="23"/>
  <c r="X183" i="16"/>
  <c r="A184" i="16"/>
  <c r="K183" i="16"/>
  <c r="L183" i="16"/>
  <c r="D183" i="16" s="1"/>
  <c r="AB183" i="16"/>
  <c r="D186" i="15"/>
  <c r="AK185" i="1"/>
  <c r="AB185" i="1"/>
  <c r="X185" i="1"/>
  <c r="L185" i="1"/>
  <c r="D185" i="1" s="1"/>
  <c r="K185" i="1"/>
  <c r="AJ185" i="1"/>
  <c r="A186" i="1"/>
  <c r="X181" i="17"/>
  <c r="AB181" i="17"/>
  <c r="A182" i="17"/>
  <c r="K181" i="17"/>
  <c r="X180" i="18"/>
  <c r="AB180" i="18"/>
  <c r="K180" i="18"/>
  <c r="A73" i="7"/>
  <c r="A181" i="18"/>
  <c r="X175" i="25"/>
  <c r="K175" i="25"/>
  <c r="A176" i="25"/>
  <c r="AB175" i="25"/>
  <c r="AB187" i="15"/>
  <c r="K187" i="15"/>
  <c r="L187" i="15"/>
  <c r="D187" i="15" s="1"/>
  <c r="X187" i="15"/>
  <c r="A188" i="15"/>
  <c r="D184" i="1"/>
  <c r="K176" i="25"/>
  <c r="X176" i="25"/>
  <c r="A177" i="25"/>
  <c r="AB176" i="25"/>
  <c r="AB181" i="18"/>
  <c r="K181" i="18"/>
  <c r="A182" i="18"/>
  <c r="X181" i="18"/>
  <c r="A183" i="17"/>
  <c r="AB182" i="17"/>
  <c r="K182" i="17"/>
  <c r="X182" i="17"/>
  <c r="A185" i="16"/>
  <c r="L184" i="16"/>
  <c r="D184" i="16" s="1"/>
  <c r="K184" i="16"/>
  <c r="AB184" i="16"/>
  <c r="X184" i="16"/>
  <c r="AB178" i="23"/>
  <c r="K178" i="23"/>
  <c r="X178" i="23"/>
  <c r="A179" i="23"/>
  <c r="X177" i="24"/>
  <c r="A178" i="24"/>
  <c r="AB177" i="24"/>
  <c r="K177" i="24"/>
  <c r="X179" i="22"/>
  <c r="AB179" i="22"/>
  <c r="A180" i="22"/>
  <c r="K179" i="22"/>
  <c r="A181" i="20"/>
  <c r="AB180" i="20"/>
  <c r="AE25" i="7"/>
  <c r="X180" i="20"/>
  <c r="K180" i="20"/>
  <c r="K188" i="15"/>
  <c r="A189" i="15"/>
  <c r="L188" i="15"/>
  <c r="D188" i="15" s="1"/>
  <c r="X188" i="15"/>
  <c r="AB188" i="15"/>
  <c r="AK186" i="1"/>
  <c r="A187" i="1"/>
  <c r="X186" i="1"/>
  <c r="AJ186" i="1"/>
  <c r="AB186" i="1"/>
  <c r="L186" i="1"/>
  <c r="K186" i="1"/>
  <c r="AB189" i="15"/>
  <c r="L189" i="15"/>
  <c r="D189" i="15" s="1"/>
  <c r="K189" i="15"/>
  <c r="X189" i="15"/>
  <c r="A190" i="15"/>
  <c r="AB181" i="20"/>
  <c r="X181" i="20"/>
  <c r="K181" i="20"/>
  <c r="A182" i="20"/>
  <c r="A179" i="24"/>
  <c r="K178" i="24"/>
  <c r="AB178" i="24"/>
  <c r="X178" i="24"/>
  <c r="A180" i="23"/>
  <c r="X179" i="23"/>
  <c r="K179" i="23"/>
  <c r="AB179" i="23"/>
  <c r="A186" i="16"/>
  <c r="AB185" i="16"/>
  <c r="X185" i="16"/>
  <c r="L185" i="16"/>
  <c r="D185" i="16" s="1"/>
  <c r="K185" i="16"/>
  <c r="X183" i="17"/>
  <c r="AB183" i="17"/>
  <c r="K183" i="17"/>
  <c r="A184" i="17"/>
  <c r="A178" i="25"/>
  <c r="K177" i="25"/>
  <c r="AB177" i="25"/>
  <c r="X177" i="25"/>
  <c r="D186" i="1"/>
  <c r="AJ187" i="1"/>
  <c r="AB187" i="1"/>
  <c r="X187" i="1"/>
  <c r="L187" i="1"/>
  <c r="K187" i="1"/>
  <c r="AK187" i="1"/>
  <c r="A188" i="1"/>
  <c r="AE37" i="7"/>
  <c r="A181" i="22"/>
  <c r="K180" i="22"/>
  <c r="AB180" i="22"/>
  <c r="X180" i="22"/>
  <c r="AB182" i="18"/>
  <c r="A183" i="18"/>
  <c r="K182" i="18"/>
  <c r="X182" i="18"/>
  <c r="A184" i="18"/>
  <c r="X183" i="18"/>
  <c r="K183" i="18"/>
  <c r="AB183" i="18"/>
  <c r="X181" i="22"/>
  <c r="K181" i="22"/>
  <c r="AB181" i="22"/>
  <c r="A182" i="22"/>
  <c r="AK188" i="1"/>
  <c r="AB188" i="1"/>
  <c r="A189" i="1"/>
  <c r="AJ188" i="1"/>
  <c r="X188" i="1"/>
  <c r="L188" i="1"/>
  <c r="D188" i="1" s="1"/>
  <c r="K188" i="1"/>
  <c r="K186" i="16"/>
  <c r="A187" i="16"/>
  <c r="L186" i="16"/>
  <c r="D186" i="16" s="1"/>
  <c r="X186" i="16"/>
  <c r="AB186" i="16"/>
  <c r="X180" i="23"/>
  <c r="AB180" i="23"/>
  <c r="A181" i="23"/>
  <c r="K180" i="23"/>
  <c r="AE49" i="7"/>
  <c r="X182" i="20"/>
  <c r="A183" i="20"/>
  <c r="AB182" i="20"/>
  <c r="K182" i="20"/>
  <c r="D187" i="1"/>
  <c r="A179" i="25"/>
  <c r="AB178" i="25"/>
  <c r="X178" i="25"/>
  <c r="K178" i="25"/>
  <c r="K184" i="17"/>
  <c r="AB184" i="17"/>
  <c r="A185" i="17"/>
  <c r="X184" i="17"/>
  <c r="K179" i="24"/>
  <c r="X179" i="24"/>
  <c r="AB179" i="24"/>
  <c r="A180" i="24"/>
  <c r="A191" i="15"/>
  <c r="X190" i="15"/>
  <c r="AB190" i="15"/>
  <c r="K190" i="15"/>
  <c r="L190" i="15"/>
  <c r="D190" i="15" s="1"/>
  <c r="AB179" i="25"/>
  <c r="A180" i="25"/>
  <c r="K179" i="25"/>
  <c r="X179" i="25"/>
  <c r="X183" i="20"/>
  <c r="AB183" i="20"/>
  <c r="K183" i="20"/>
  <c r="A184" i="20"/>
  <c r="K187" i="16"/>
  <c r="A188" i="16"/>
  <c r="X187" i="16"/>
  <c r="L187" i="16"/>
  <c r="D187" i="16" s="1"/>
  <c r="AB187" i="16"/>
  <c r="A185" i="18"/>
  <c r="K184" i="18"/>
  <c r="AB184" i="18"/>
  <c r="X184" i="18"/>
  <c r="L191" i="15"/>
  <c r="A192" i="15"/>
  <c r="K191" i="15"/>
  <c r="AB191" i="15"/>
  <c r="X191" i="15"/>
  <c r="X180" i="24"/>
  <c r="AE61" i="7"/>
  <c r="AB180" i="24"/>
  <c r="A181" i="24"/>
  <c r="K180" i="24"/>
  <c r="A186" i="17"/>
  <c r="X185" i="17"/>
  <c r="K185" i="17"/>
  <c r="AB185" i="17"/>
  <c r="X181" i="23"/>
  <c r="AB181" i="23"/>
  <c r="A182" i="23"/>
  <c r="K181" i="23"/>
  <c r="AK189" i="1"/>
  <c r="X189" i="1"/>
  <c r="K189" i="1"/>
  <c r="AB189" i="1"/>
  <c r="A190" i="1"/>
  <c r="AJ189" i="1"/>
  <c r="L189" i="1"/>
  <c r="D189" i="1" s="1"/>
  <c r="X182" i="22"/>
  <c r="AB182" i="22"/>
  <c r="K182" i="22"/>
  <c r="A183" i="22"/>
  <c r="AJ190" i="1"/>
  <c r="AB190" i="1"/>
  <c r="X190" i="1"/>
  <c r="L190" i="1"/>
  <c r="D190" i="1" s="1"/>
  <c r="AK190" i="1"/>
  <c r="K190" i="1"/>
  <c r="A191" i="1"/>
  <c r="A182" i="24"/>
  <c r="K181" i="24"/>
  <c r="X181" i="24"/>
  <c r="AB181" i="24"/>
  <c r="D191" i="15"/>
  <c r="AB185" i="18"/>
  <c r="A186" i="18"/>
  <c r="X185" i="18"/>
  <c r="K185" i="18"/>
  <c r="K188" i="16"/>
  <c r="AB188" i="16"/>
  <c r="A189" i="16"/>
  <c r="L188" i="16"/>
  <c r="D188" i="16" s="1"/>
  <c r="X188" i="16"/>
  <c r="X183" i="22"/>
  <c r="K183" i="22"/>
  <c r="AB183" i="22"/>
  <c r="A184" i="22"/>
  <c r="X182" i="23"/>
  <c r="A183" i="23"/>
  <c r="K182" i="23"/>
  <c r="AB182" i="23"/>
  <c r="AB186" i="17"/>
  <c r="K186" i="17"/>
  <c r="X186" i="17"/>
  <c r="A187" i="17"/>
  <c r="X192" i="15"/>
  <c r="K192" i="15"/>
  <c r="AB192" i="15"/>
  <c r="L192" i="15"/>
  <c r="D192" i="15" s="1"/>
  <c r="A193" i="15"/>
  <c r="X184" i="20"/>
  <c r="AB184" i="20"/>
  <c r="K184" i="20"/>
  <c r="A185" i="20"/>
  <c r="K180" i="25"/>
  <c r="AE73" i="7"/>
  <c r="A181" i="25"/>
  <c r="AB180" i="25"/>
  <c r="X180" i="25"/>
  <c r="A182" i="25"/>
  <c r="X181" i="25"/>
  <c r="AB181" i="25"/>
  <c r="K181" i="25"/>
  <c r="A186" i="20"/>
  <c r="K185" i="20"/>
  <c r="X185" i="20"/>
  <c r="AB185" i="20"/>
  <c r="K187" i="17"/>
  <c r="A188" i="17"/>
  <c r="X187" i="17"/>
  <c r="AB187" i="17"/>
  <c r="A190" i="16"/>
  <c r="X189" i="16"/>
  <c r="L189" i="16"/>
  <c r="AB189" i="16"/>
  <c r="K189" i="16"/>
  <c r="A187" i="18"/>
  <c r="X186" i="18"/>
  <c r="K186" i="18"/>
  <c r="AB186" i="18"/>
  <c r="X193" i="15"/>
  <c r="AB193" i="15"/>
  <c r="L193" i="15"/>
  <c r="D193" i="15" s="1"/>
  <c r="K193" i="15"/>
  <c r="A194" i="15"/>
  <c r="K183" i="23"/>
  <c r="A184" i="23"/>
  <c r="X183" i="23"/>
  <c r="AB183" i="23"/>
  <c r="A185" i="22"/>
  <c r="AB184" i="22"/>
  <c r="X184" i="22"/>
  <c r="K184" i="22"/>
  <c r="A183" i="24"/>
  <c r="K182" i="24"/>
  <c r="X182" i="24"/>
  <c r="AB182" i="24"/>
  <c r="AJ191" i="1"/>
  <c r="AB191" i="1"/>
  <c r="A192" i="1"/>
  <c r="L191" i="1"/>
  <c r="K191" i="1"/>
  <c r="X191" i="1"/>
  <c r="AK191" i="1"/>
  <c r="A186" i="22"/>
  <c r="K185" i="22"/>
  <c r="X185" i="22"/>
  <c r="AB185" i="22"/>
  <c r="AB186" i="20"/>
  <c r="A187" i="20"/>
  <c r="X186" i="20"/>
  <c r="K186" i="20"/>
  <c r="D191" i="1"/>
  <c r="AJ192" i="1"/>
  <c r="K192" i="1"/>
  <c r="A193" i="1"/>
  <c r="L192" i="1"/>
  <c r="D192" i="1" s="1"/>
  <c r="AB192" i="1"/>
  <c r="X192" i="1"/>
  <c r="AK192" i="1"/>
  <c r="K183" i="24"/>
  <c r="AB183" i="24"/>
  <c r="X183" i="24"/>
  <c r="A184" i="24"/>
  <c r="A185" i="23"/>
  <c r="K184" i="23"/>
  <c r="AB184" i="23"/>
  <c r="X184" i="23"/>
  <c r="X194" i="15"/>
  <c r="A195" i="15"/>
  <c r="K194" i="15"/>
  <c r="AB194" i="15"/>
  <c r="L194" i="15"/>
  <c r="X187" i="18"/>
  <c r="K187" i="18"/>
  <c r="AB187" i="18"/>
  <c r="A188" i="18"/>
  <c r="D189" i="16"/>
  <c r="A191" i="16"/>
  <c r="K190" i="16"/>
  <c r="AB190" i="16"/>
  <c r="L190" i="16"/>
  <c r="D190" i="16" s="1"/>
  <c r="X190" i="16"/>
  <c r="K188" i="17"/>
  <c r="X188" i="17"/>
  <c r="AB188" i="17"/>
  <c r="A189" i="17"/>
  <c r="AB182" i="25"/>
  <c r="A183" i="25"/>
  <c r="X182" i="25"/>
  <c r="K182" i="25"/>
  <c r="AB189" i="17"/>
  <c r="A190" i="17"/>
  <c r="X189" i="17"/>
  <c r="K189" i="17"/>
  <c r="AB191" i="16"/>
  <c r="A192" i="16"/>
  <c r="X191" i="16"/>
  <c r="L191" i="16"/>
  <c r="D191" i="16" s="1"/>
  <c r="K191" i="16"/>
  <c r="X183" i="25"/>
  <c r="AB183" i="25"/>
  <c r="K183" i="25"/>
  <c r="A184" i="25"/>
  <c r="X188" i="18"/>
  <c r="A189" i="18"/>
  <c r="K188" i="18"/>
  <c r="AB188" i="18"/>
  <c r="D194" i="15"/>
  <c r="X184" i="24"/>
  <c r="AB184" i="24"/>
  <c r="K184" i="24"/>
  <c r="A185" i="24"/>
  <c r="AK193" i="1"/>
  <c r="AB193" i="1"/>
  <c r="A194" i="1"/>
  <c r="AJ193" i="1"/>
  <c r="X193" i="1"/>
  <c r="L193" i="1"/>
  <c r="K193" i="1"/>
  <c r="AB195" i="15"/>
  <c r="K195" i="15"/>
  <c r="L195" i="15"/>
  <c r="A196" i="15"/>
  <c r="X195" i="15"/>
  <c r="A186" i="23"/>
  <c r="K185" i="23"/>
  <c r="X185" i="23"/>
  <c r="AB185" i="23"/>
  <c r="X187" i="20"/>
  <c r="K187" i="20"/>
  <c r="A188" i="20"/>
  <c r="AB187" i="20"/>
  <c r="A187" i="22"/>
  <c r="X186" i="22"/>
  <c r="K186" i="22"/>
  <c r="AB186" i="22"/>
  <c r="K187" i="22"/>
  <c r="AB187" i="22"/>
  <c r="X187" i="22"/>
  <c r="A188" i="22"/>
  <c r="AJ194" i="1"/>
  <c r="K194" i="1"/>
  <c r="X194" i="1"/>
  <c r="L194" i="1"/>
  <c r="A195" i="1"/>
  <c r="AK194" i="1"/>
  <c r="AB194" i="1"/>
  <c r="AB189" i="18"/>
  <c r="X189" i="18"/>
  <c r="K189" i="18"/>
  <c r="A190" i="18"/>
  <c r="X192" i="16"/>
  <c r="AB192" i="16"/>
  <c r="L192" i="16"/>
  <c r="D192" i="16" s="1"/>
  <c r="K192" i="16"/>
  <c r="A193" i="16"/>
  <c r="A189" i="20"/>
  <c r="X188" i="20"/>
  <c r="AB188" i="20"/>
  <c r="K188" i="20"/>
  <c r="A187" i="23"/>
  <c r="X186" i="23"/>
  <c r="K186" i="23"/>
  <c r="AB186" i="23"/>
  <c r="X196" i="15"/>
  <c r="AB196" i="15"/>
  <c r="K196" i="15"/>
  <c r="L196" i="15"/>
  <c r="A197" i="15"/>
  <c r="D195" i="15"/>
  <c r="D193" i="1"/>
  <c r="X185" i="24"/>
  <c r="A186" i="24"/>
  <c r="K185" i="24"/>
  <c r="AB185" i="24"/>
  <c r="A185" i="25"/>
  <c r="X184" i="25"/>
  <c r="AB184" i="25"/>
  <c r="K184" i="25"/>
  <c r="K190" i="17"/>
  <c r="X190" i="17"/>
  <c r="AB190" i="17"/>
  <c r="A191" i="17"/>
  <c r="A187" i="24"/>
  <c r="K186" i="24"/>
  <c r="X186" i="24"/>
  <c r="AB186" i="24"/>
  <c r="D196" i="15"/>
  <c r="AB189" i="20"/>
  <c r="K189" i="20"/>
  <c r="A190" i="20"/>
  <c r="X189" i="20"/>
  <c r="D194" i="1"/>
  <c r="X191" i="17"/>
  <c r="A192" i="17"/>
  <c r="K191" i="17"/>
  <c r="AB191" i="17"/>
  <c r="X185" i="25"/>
  <c r="A186" i="25"/>
  <c r="AB185" i="25"/>
  <c r="K185" i="25"/>
  <c r="L197" i="15"/>
  <c r="A198" i="15"/>
  <c r="AB197" i="15"/>
  <c r="K197" i="15"/>
  <c r="X197" i="15"/>
  <c r="X187" i="23"/>
  <c r="A188" i="23"/>
  <c r="K187" i="23"/>
  <c r="AB187" i="23"/>
  <c r="K193" i="16"/>
  <c r="AB193" i="16"/>
  <c r="A194" i="16"/>
  <c r="X193" i="16"/>
  <c r="L193" i="16"/>
  <c r="D193" i="16" s="1"/>
  <c r="AB190" i="18"/>
  <c r="X190" i="18"/>
  <c r="A191" i="18"/>
  <c r="K190" i="18"/>
  <c r="AK195" i="1"/>
  <c r="X195" i="1"/>
  <c r="K195" i="1"/>
  <c r="L195" i="1"/>
  <c r="A196" i="1"/>
  <c r="AB195" i="1"/>
  <c r="AJ195" i="1"/>
  <c r="AB188" i="22"/>
  <c r="K188" i="22"/>
  <c r="X188" i="22"/>
  <c r="A189" i="22"/>
  <c r="D195" i="1"/>
  <c r="AB189" i="22"/>
  <c r="K189" i="22"/>
  <c r="X189" i="22"/>
  <c r="A190" i="22"/>
  <c r="AK196" i="1"/>
  <c r="A197" i="1"/>
  <c r="X196" i="1"/>
  <c r="L196" i="1"/>
  <c r="D196" i="1" s="1"/>
  <c r="AJ196" i="1"/>
  <c r="K196" i="1"/>
  <c r="AB196" i="1"/>
  <c r="AB191" i="18"/>
  <c r="A192" i="18"/>
  <c r="K191" i="18"/>
  <c r="X191" i="18"/>
  <c r="A189" i="23"/>
  <c r="AB188" i="23"/>
  <c r="X188" i="23"/>
  <c r="K188" i="23"/>
  <c r="D197" i="15"/>
  <c r="A193" i="17"/>
  <c r="X192" i="17"/>
  <c r="K192" i="17"/>
  <c r="AB192" i="17"/>
  <c r="K190" i="20"/>
  <c r="X190" i="20"/>
  <c r="A191" i="20"/>
  <c r="AB190" i="20"/>
  <c r="AB187" i="24"/>
  <c r="X187" i="24"/>
  <c r="A188" i="24"/>
  <c r="K187" i="24"/>
  <c r="AB194" i="16"/>
  <c r="L194" i="16"/>
  <c r="D194" i="16" s="1"/>
  <c r="X194" i="16"/>
  <c r="K194" i="16"/>
  <c r="A195" i="16"/>
  <c r="A199" i="15"/>
  <c r="X198" i="15"/>
  <c r="AB198" i="15"/>
  <c r="K198" i="15"/>
  <c r="L198" i="15"/>
  <c r="D198" i="15" s="1"/>
  <c r="K186" i="25"/>
  <c r="AB186" i="25"/>
  <c r="X186" i="25"/>
  <c r="A187" i="25"/>
  <c r="A200" i="15"/>
  <c r="K199" i="15"/>
  <c r="X199" i="15"/>
  <c r="AB199" i="15"/>
  <c r="L199" i="15"/>
  <c r="D199" i="15" s="1"/>
  <c r="X195" i="16"/>
  <c r="L195" i="16"/>
  <c r="D195" i="16" s="1"/>
  <c r="K195" i="16"/>
  <c r="A196" i="16"/>
  <c r="AB195" i="16"/>
  <c r="AB188" i="24"/>
  <c r="K188" i="24"/>
  <c r="X188" i="24"/>
  <c r="A189" i="24"/>
  <c r="A190" i="23"/>
  <c r="X189" i="23"/>
  <c r="AB189" i="23"/>
  <c r="K189" i="23"/>
  <c r="X192" i="18"/>
  <c r="A193" i="18"/>
  <c r="K192" i="18"/>
  <c r="AB192" i="18"/>
  <c r="A191" i="22"/>
  <c r="K190" i="22"/>
  <c r="X190" i="22"/>
  <c r="AB190" i="22"/>
  <c r="AB187" i="25"/>
  <c r="A188" i="25"/>
  <c r="X187" i="25"/>
  <c r="K187" i="25"/>
  <c r="K191" i="20"/>
  <c r="AB191" i="20"/>
  <c r="A192" i="20"/>
  <c r="X191" i="20"/>
  <c r="K193" i="17"/>
  <c r="A194" i="17"/>
  <c r="X193" i="17"/>
  <c r="AB193" i="17"/>
  <c r="AJ197" i="1"/>
  <c r="X197" i="1"/>
  <c r="L197" i="1"/>
  <c r="D197" i="1" s="1"/>
  <c r="AB197" i="1"/>
  <c r="A198" i="1"/>
  <c r="AK197" i="1"/>
  <c r="K197" i="1"/>
  <c r="A195" i="17"/>
  <c r="K194" i="17"/>
  <c r="AB194" i="17"/>
  <c r="X194" i="17"/>
  <c r="A189" i="25"/>
  <c r="X188" i="25"/>
  <c r="AB188" i="25"/>
  <c r="K188" i="25"/>
  <c r="X191" i="22"/>
  <c r="AB191" i="22"/>
  <c r="A192" i="22"/>
  <c r="K191" i="22"/>
  <c r="AB193" i="18"/>
  <c r="K193" i="18"/>
  <c r="X193" i="18"/>
  <c r="A194" i="18"/>
  <c r="A190" i="24"/>
  <c r="AB189" i="24"/>
  <c r="X189" i="24"/>
  <c r="K189" i="24"/>
  <c r="K196" i="16"/>
  <c r="L196" i="16"/>
  <c r="D196" i="16" s="1"/>
  <c r="X196" i="16"/>
  <c r="AB196" i="16"/>
  <c r="A197" i="16"/>
  <c r="A201" i="15"/>
  <c r="X200" i="15"/>
  <c r="K200" i="15"/>
  <c r="L200" i="15"/>
  <c r="AB200" i="15"/>
  <c r="AJ198" i="1"/>
  <c r="K198" i="1"/>
  <c r="A199" i="1"/>
  <c r="AK198" i="1"/>
  <c r="AB198" i="1"/>
  <c r="L198" i="1"/>
  <c r="X198" i="1"/>
  <c r="AB192" i="20"/>
  <c r="X192" i="20"/>
  <c r="K192" i="20"/>
  <c r="A193" i="20"/>
  <c r="A191" i="23"/>
  <c r="X190" i="23"/>
  <c r="K190" i="23"/>
  <c r="AB190" i="23"/>
  <c r="AJ199" i="1"/>
  <c r="K199" i="1"/>
  <c r="AB199" i="1"/>
  <c r="L199" i="1"/>
  <c r="D199" i="1" s="1"/>
  <c r="AK199" i="1"/>
  <c r="A200" i="1"/>
  <c r="X199" i="1"/>
  <c r="D200" i="15"/>
  <c r="K190" i="24"/>
  <c r="AB190" i="24"/>
  <c r="X190" i="24"/>
  <c r="A191" i="24"/>
  <c r="X192" i="22"/>
  <c r="AB192" i="22"/>
  <c r="K192" i="22"/>
  <c r="A193" i="22"/>
  <c r="AB195" i="17"/>
  <c r="X195" i="17"/>
  <c r="K195" i="17"/>
  <c r="A196" i="17"/>
  <c r="A192" i="23"/>
  <c r="K191" i="23"/>
  <c r="X191" i="23"/>
  <c r="AB191" i="23"/>
  <c r="AB193" i="20"/>
  <c r="K193" i="20"/>
  <c r="X193" i="20"/>
  <c r="A194" i="20"/>
  <c r="D198" i="1"/>
  <c r="X201" i="15"/>
  <c r="A202" i="15"/>
  <c r="K201" i="15"/>
  <c r="L201" i="15"/>
  <c r="AB201" i="15"/>
  <c r="X197" i="16"/>
  <c r="AB197" i="16"/>
  <c r="A198" i="16"/>
  <c r="K197" i="16"/>
  <c r="L197" i="16"/>
  <c r="D197" i="16" s="1"/>
  <c r="A195" i="18"/>
  <c r="K194" i="18"/>
  <c r="X194" i="18"/>
  <c r="AB194" i="18"/>
  <c r="A190" i="25"/>
  <c r="AB189" i="25"/>
  <c r="K189" i="25"/>
  <c r="X189" i="25"/>
  <c r="X190" i="25"/>
  <c r="AB190" i="25"/>
  <c r="K190" i="25"/>
  <c r="A191" i="25"/>
  <c r="AB195" i="18"/>
  <c r="K195" i="18"/>
  <c r="X195" i="18"/>
  <c r="A196" i="18"/>
  <c r="AB198" i="16"/>
  <c r="K198" i="16"/>
  <c r="X198" i="16"/>
  <c r="L198" i="16"/>
  <c r="D198" i="16" s="1"/>
  <c r="A199" i="16"/>
  <c r="D201" i="15"/>
  <c r="AB202" i="15"/>
  <c r="K202" i="15"/>
  <c r="A203" i="15"/>
  <c r="L202" i="15"/>
  <c r="X202" i="15"/>
  <c r="K194" i="20"/>
  <c r="AB194" i="20"/>
  <c r="X194" i="20"/>
  <c r="A195" i="20"/>
  <c r="X192" i="23"/>
  <c r="A193" i="23"/>
  <c r="AB192" i="23"/>
  <c r="K192" i="23"/>
  <c r="K196" i="17"/>
  <c r="A197" i="17"/>
  <c r="AB196" i="17"/>
  <c r="X196" i="17"/>
  <c r="A194" i="22"/>
  <c r="AB193" i="22"/>
  <c r="X193" i="22"/>
  <c r="K193" i="22"/>
  <c r="X191" i="24"/>
  <c r="A192" i="24"/>
  <c r="AB191" i="24"/>
  <c r="K191" i="24"/>
  <c r="AK200" i="1"/>
  <c r="X200" i="1"/>
  <c r="K200" i="1"/>
  <c r="AJ200" i="1"/>
  <c r="L200" i="1"/>
  <c r="D200" i="1" s="1"/>
  <c r="A201" i="1"/>
  <c r="AB200" i="1"/>
  <c r="X192" i="24"/>
  <c r="AB192" i="24"/>
  <c r="A193" i="24"/>
  <c r="K192" i="24"/>
  <c r="K194" i="22"/>
  <c r="X194" i="22"/>
  <c r="A195" i="22"/>
  <c r="AB194" i="22"/>
  <c r="AB197" i="17"/>
  <c r="K197" i="17"/>
  <c r="X197" i="17"/>
  <c r="A198" i="17"/>
  <c r="X193" i="23"/>
  <c r="A194" i="23"/>
  <c r="AB193" i="23"/>
  <c r="K193" i="23"/>
  <c r="X196" i="18"/>
  <c r="K196" i="18"/>
  <c r="AB196" i="18"/>
  <c r="A197" i="18"/>
  <c r="K191" i="25"/>
  <c r="AB191" i="25"/>
  <c r="X191" i="25"/>
  <c r="A192" i="25"/>
  <c r="AK201" i="1"/>
  <c r="K201" i="1"/>
  <c r="X201" i="1"/>
  <c r="AJ201" i="1"/>
  <c r="A202" i="1"/>
  <c r="L201" i="1"/>
  <c r="D201" i="1" s="1"/>
  <c r="AB201" i="1"/>
  <c r="X195" i="20"/>
  <c r="AB195" i="20"/>
  <c r="K195" i="20"/>
  <c r="A196" i="20"/>
  <c r="D202" i="15"/>
  <c r="L203" i="15"/>
  <c r="D203" i="15" s="1"/>
  <c r="AB203" i="15"/>
  <c r="K203" i="15"/>
  <c r="A204" i="15"/>
  <c r="X203" i="15"/>
  <c r="AB199" i="16"/>
  <c r="K199" i="16"/>
  <c r="A200" i="16"/>
  <c r="L199" i="16"/>
  <c r="D199" i="16" s="1"/>
  <c r="X199" i="16"/>
  <c r="AB204" i="15"/>
  <c r="L204" i="15"/>
  <c r="D204" i="15" s="1"/>
  <c r="K204" i="15"/>
  <c r="X204" i="15"/>
  <c r="A205" i="15"/>
  <c r="K196" i="20"/>
  <c r="AB196" i="20"/>
  <c r="X196" i="20"/>
  <c r="A197" i="20"/>
  <c r="X198" i="17"/>
  <c r="K198" i="17"/>
  <c r="AB198" i="17"/>
  <c r="A199" i="17"/>
  <c r="A196" i="22"/>
  <c r="X195" i="22"/>
  <c r="AB195" i="22"/>
  <c r="K195" i="22"/>
  <c r="AB193" i="24"/>
  <c r="K193" i="24"/>
  <c r="X193" i="24"/>
  <c r="A194" i="24"/>
  <c r="AB200" i="16"/>
  <c r="L200" i="16"/>
  <c r="A201" i="16"/>
  <c r="X200" i="16"/>
  <c r="K200" i="16"/>
  <c r="AJ202" i="1"/>
  <c r="A203" i="1"/>
  <c r="X202" i="1"/>
  <c r="L202" i="1"/>
  <c r="D202" i="1" s="1"/>
  <c r="AK202" i="1"/>
  <c r="K202" i="1"/>
  <c r="AB202" i="1"/>
  <c r="AB192" i="25"/>
  <c r="K192" i="25"/>
  <c r="A193" i="25"/>
  <c r="X192" i="25"/>
  <c r="X197" i="18"/>
  <c r="AB197" i="18"/>
  <c r="K197" i="18"/>
  <c r="A198" i="18"/>
  <c r="AB194" i="23"/>
  <c r="A195" i="23"/>
  <c r="X194" i="23"/>
  <c r="K194" i="23"/>
  <c r="X198" i="18"/>
  <c r="K198" i="18"/>
  <c r="A199" i="18"/>
  <c r="AB198" i="18"/>
  <c r="AJ203" i="1"/>
  <c r="X203" i="1"/>
  <c r="K203" i="1"/>
  <c r="L203" i="1"/>
  <c r="AB203" i="1"/>
  <c r="AK203" i="1"/>
  <c r="A204" i="1"/>
  <c r="D200" i="16"/>
  <c r="X205" i="15"/>
  <c r="AB205" i="15"/>
  <c r="K205" i="15"/>
  <c r="A206" i="15"/>
  <c r="L205" i="15"/>
  <c r="D205" i="15" s="1"/>
  <c r="X195" i="23"/>
  <c r="AB195" i="23"/>
  <c r="K195" i="23"/>
  <c r="A196" i="23"/>
  <c r="A194" i="25"/>
  <c r="AB193" i="25"/>
  <c r="X193" i="25"/>
  <c r="K193" i="25"/>
  <c r="K201" i="16"/>
  <c r="AB201" i="16"/>
  <c r="A202" i="16"/>
  <c r="X201" i="16"/>
  <c r="L201" i="16"/>
  <c r="D201" i="16" s="1"/>
  <c r="K194" i="24"/>
  <c r="AB194" i="24"/>
  <c r="A195" i="24"/>
  <c r="X194" i="24"/>
  <c r="AB196" i="22"/>
  <c r="A197" i="22"/>
  <c r="X196" i="22"/>
  <c r="K196" i="22"/>
  <c r="K199" i="17"/>
  <c r="AB199" i="17"/>
  <c r="X199" i="17"/>
  <c r="A200" i="17"/>
  <c r="X197" i="20"/>
  <c r="AB197" i="20"/>
  <c r="K197" i="20"/>
  <c r="A198" i="20"/>
  <c r="A199" i="20"/>
  <c r="AB198" i="20"/>
  <c r="K198" i="20"/>
  <c r="X198" i="20"/>
  <c r="K200" i="17"/>
  <c r="X200" i="17"/>
  <c r="AB200" i="17"/>
  <c r="A201" i="17"/>
  <c r="X195" i="24"/>
  <c r="A196" i="24"/>
  <c r="K195" i="24"/>
  <c r="AB195" i="24"/>
  <c r="A195" i="25"/>
  <c r="X194" i="25"/>
  <c r="K194" i="25"/>
  <c r="AB194" i="25"/>
  <c r="AJ204" i="1"/>
  <c r="K204" i="1"/>
  <c r="X204" i="1"/>
  <c r="AK204" i="1"/>
  <c r="A205" i="1"/>
  <c r="AB204" i="1"/>
  <c r="L204" i="1"/>
  <c r="D203" i="1"/>
  <c r="K199" i="18"/>
  <c r="X199" i="18"/>
  <c r="A200" i="18"/>
  <c r="AB199" i="18"/>
  <c r="AB197" i="22"/>
  <c r="A198" i="22"/>
  <c r="K197" i="22"/>
  <c r="X197" i="22"/>
  <c r="X202" i="16"/>
  <c r="A203" i="16"/>
  <c r="AB202" i="16"/>
  <c r="K202" i="16"/>
  <c r="L202" i="16"/>
  <c r="D202" i="16" s="1"/>
  <c r="A197" i="23"/>
  <c r="K196" i="23"/>
  <c r="AB196" i="23"/>
  <c r="X196" i="23"/>
  <c r="X206" i="15"/>
  <c r="A207" i="15"/>
  <c r="L206" i="15"/>
  <c r="D206" i="15" s="1"/>
  <c r="K206" i="15"/>
  <c r="AB206" i="15"/>
  <c r="A204" i="16"/>
  <c r="L203" i="16"/>
  <c r="D203" i="16" s="1"/>
  <c r="X203" i="16"/>
  <c r="AB203" i="16"/>
  <c r="K203" i="16"/>
  <c r="K198" i="22"/>
  <c r="A199" i="22"/>
  <c r="AB198" i="22"/>
  <c r="X198" i="22"/>
  <c r="AB200" i="18"/>
  <c r="X200" i="18"/>
  <c r="K200" i="18"/>
  <c r="A201" i="18"/>
  <c r="AJ205" i="1"/>
  <c r="A206" i="1"/>
  <c r="AB205" i="1"/>
  <c r="L205" i="1"/>
  <c r="K205" i="1"/>
  <c r="X205" i="1"/>
  <c r="AK205" i="1"/>
  <c r="AB195" i="25"/>
  <c r="X195" i="25"/>
  <c r="K195" i="25"/>
  <c r="A196" i="25"/>
  <c r="K207" i="15"/>
  <c r="AB207" i="15"/>
  <c r="X207" i="15"/>
  <c r="A208" i="15"/>
  <c r="L207" i="15"/>
  <c r="K197" i="23"/>
  <c r="AB197" i="23"/>
  <c r="X197" i="23"/>
  <c r="A198" i="23"/>
  <c r="D204" i="1"/>
  <c r="A197" i="24"/>
  <c r="X196" i="24"/>
  <c r="AB196" i="24"/>
  <c r="K196" i="24"/>
  <c r="X201" i="17"/>
  <c r="K201" i="17"/>
  <c r="AB201" i="17"/>
  <c r="A202" i="17"/>
  <c r="A200" i="20"/>
  <c r="X199" i="20"/>
  <c r="K199" i="20"/>
  <c r="AB199" i="20"/>
  <c r="K202" i="17"/>
  <c r="X202" i="17"/>
  <c r="AB202" i="17"/>
  <c r="A203" i="17"/>
  <c r="AB198" i="23"/>
  <c r="X198" i="23"/>
  <c r="K198" i="23"/>
  <c r="A199" i="23"/>
  <c r="D207" i="15"/>
  <c r="AB196" i="25"/>
  <c r="X196" i="25"/>
  <c r="K196" i="25"/>
  <c r="A197" i="25"/>
  <c r="AK206" i="1"/>
  <c r="X206" i="1"/>
  <c r="AB206" i="1"/>
  <c r="AJ206" i="1"/>
  <c r="K206" i="1"/>
  <c r="L206" i="1"/>
  <c r="A207" i="1"/>
  <c r="A200" i="22"/>
  <c r="X199" i="22"/>
  <c r="K199" i="22"/>
  <c r="AB199" i="22"/>
  <c r="AB200" i="20"/>
  <c r="X200" i="20"/>
  <c r="K200" i="20"/>
  <c r="A201" i="20"/>
  <c r="AB197" i="24"/>
  <c r="A198" i="24"/>
  <c r="X197" i="24"/>
  <c r="K197" i="24"/>
  <c r="K208" i="15"/>
  <c r="L208" i="15"/>
  <c r="D208" i="15" s="1"/>
  <c r="A209" i="15"/>
  <c r="AB208" i="15"/>
  <c r="X208" i="15"/>
  <c r="D205" i="1"/>
  <c r="A202" i="18"/>
  <c r="K201" i="18"/>
  <c r="X201" i="18"/>
  <c r="AB201" i="18"/>
  <c r="AB204" i="16"/>
  <c r="L204" i="16"/>
  <c r="D204" i="16" s="1"/>
  <c r="K204" i="16"/>
  <c r="A205" i="16"/>
  <c r="X204" i="16"/>
  <c r="A206" i="16"/>
  <c r="L205" i="16"/>
  <c r="D205" i="16" s="1"/>
  <c r="K205" i="16"/>
  <c r="AB205" i="16"/>
  <c r="X205" i="16"/>
  <c r="X209" i="15"/>
  <c r="A210" i="15"/>
  <c r="K209" i="15"/>
  <c r="L209" i="15"/>
  <c r="D209" i="15" s="1"/>
  <c r="AB209" i="15"/>
  <c r="K198" i="24"/>
  <c r="X198" i="24"/>
  <c r="AB198" i="24"/>
  <c r="A199" i="24"/>
  <c r="AB201" i="20"/>
  <c r="A202" i="20"/>
  <c r="K201" i="20"/>
  <c r="X201" i="20"/>
  <c r="AK207" i="1"/>
  <c r="X207" i="1"/>
  <c r="A208" i="1"/>
  <c r="L207" i="1"/>
  <c r="AB207" i="1"/>
  <c r="K207" i="1"/>
  <c r="AJ207" i="1"/>
  <c r="A200" i="23"/>
  <c r="AB199" i="23"/>
  <c r="K199" i="23"/>
  <c r="X199" i="23"/>
  <c r="AB203" i="17"/>
  <c r="K203" i="17"/>
  <c r="X203" i="17"/>
  <c r="A204" i="17"/>
  <c r="K202" i="18"/>
  <c r="A203" i="18"/>
  <c r="AB202" i="18"/>
  <c r="X202" i="18"/>
  <c r="A201" i="22"/>
  <c r="AB200" i="22"/>
  <c r="X200" i="22"/>
  <c r="K200" i="22"/>
  <c r="D206" i="1"/>
  <c r="AB197" i="25"/>
  <c r="A198" i="25"/>
  <c r="X197" i="25"/>
  <c r="K197" i="25"/>
  <c r="K201" i="22"/>
  <c r="X201" i="22"/>
  <c r="AB201" i="22"/>
  <c r="A202" i="22"/>
  <c r="A204" i="18"/>
  <c r="AB203" i="18"/>
  <c r="K203" i="18"/>
  <c r="X203" i="18"/>
  <c r="D207" i="1"/>
  <c r="A203" i="20"/>
  <c r="AB202" i="20"/>
  <c r="X202" i="20"/>
  <c r="K202" i="20"/>
  <c r="AB199" i="24"/>
  <c r="K199" i="24"/>
  <c r="X199" i="24"/>
  <c r="A200" i="24"/>
  <c r="X198" i="25"/>
  <c r="AB198" i="25"/>
  <c r="K198" i="25"/>
  <c r="A199" i="25"/>
  <c r="A205" i="17"/>
  <c r="K204" i="17"/>
  <c r="AB204" i="17"/>
  <c r="X204" i="17"/>
  <c r="A201" i="23"/>
  <c r="X200" i="23"/>
  <c r="K200" i="23"/>
  <c r="AB200" i="23"/>
  <c r="AK208" i="1"/>
  <c r="A209" i="1"/>
  <c r="AB208" i="1"/>
  <c r="AJ208" i="1"/>
  <c r="X208" i="1"/>
  <c r="L208" i="1"/>
  <c r="K208" i="1"/>
  <c r="K210" i="15"/>
  <c r="A211" i="15"/>
  <c r="A38" i="7"/>
  <c r="AB210" i="15"/>
  <c r="L210" i="15"/>
  <c r="D210" i="15" s="1"/>
  <c r="X210" i="15"/>
  <c r="X206" i="16"/>
  <c r="AB206" i="16"/>
  <c r="A207" i="16"/>
  <c r="L206" i="16"/>
  <c r="K206" i="16"/>
  <c r="X207" i="16"/>
  <c r="K207" i="16"/>
  <c r="AB207" i="16"/>
  <c r="L207" i="16"/>
  <c r="A208" i="16"/>
  <c r="D208" i="1"/>
  <c r="D206" i="16"/>
  <c r="B38" i="7"/>
  <c r="AB211" i="15"/>
  <c r="L211" i="15"/>
  <c r="K211" i="15"/>
  <c r="X211" i="15"/>
  <c r="A212" i="15"/>
  <c r="AK209" i="1"/>
  <c r="AB209" i="1"/>
  <c r="X209" i="1"/>
  <c r="AJ209" i="1"/>
  <c r="A210" i="1"/>
  <c r="L209" i="1"/>
  <c r="D209" i="1" s="1"/>
  <c r="K209" i="1"/>
  <c r="AB201" i="23"/>
  <c r="A202" i="23"/>
  <c r="K201" i="23"/>
  <c r="X201" i="23"/>
  <c r="K205" i="17"/>
  <c r="X205" i="17"/>
  <c r="A206" i="17"/>
  <c r="AB205" i="17"/>
  <c r="K199" i="25"/>
  <c r="AB199" i="25"/>
  <c r="A200" i="25"/>
  <c r="X199" i="25"/>
  <c r="X200" i="24"/>
  <c r="K200" i="24"/>
  <c r="A201" i="24"/>
  <c r="AB200" i="24"/>
  <c r="K203" i="20"/>
  <c r="AB203" i="20"/>
  <c r="X203" i="20"/>
  <c r="A204" i="20"/>
  <c r="K204" i="18"/>
  <c r="X204" i="18"/>
  <c r="AB204" i="18"/>
  <c r="A205" i="18"/>
  <c r="X202" i="22"/>
  <c r="K202" i="22"/>
  <c r="A203" i="22"/>
  <c r="AB202" i="22"/>
  <c r="AB205" i="18"/>
  <c r="A206" i="18"/>
  <c r="X205" i="18"/>
  <c r="K205" i="18"/>
  <c r="AJ210" i="1"/>
  <c r="K210" i="1"/>
  <c r="A26" i="7"/>
  <c r="L210" i="1"/>
  <c r="D210" i="1" s="1"/>
  <c r="AK210" i="1"/>
  <c r="AB210" i="1"/>
  <c r="X210" i="1"/>
  <c r="A211" i="1"/>
  <c r="L212" i="15"/>
  <c r="AB212" i="15"/>
  <c r="X212" i="15"/>
  <c r="K212" i="15"/>
  <c r="A213" i="15"/>
  <c r="X203" i="22"/>
  <c r="AB203" i="22"/>
  <c r="A204" i="22"/>
  <c r="K203" i="22"/>
  <c r="A205" i="20"/>
  <c r="AB204" i="20"/>
  <c r="K204" i="20"/>
  <c r="X204" i="20"/>
  <c r="X201" i="24"/>
  <c r="A202" i="24"/>
  <c r="K201" i="24"/>
  <c r="AB201" i="24"/>
  <c r="K200" i="25"/>
  <c r="AB200" i="25"/>
  <c r="A201" i="25"/>
  <c r="X200" i="25"/>
  <c r="A207" i="17"/>
  <c r="X206" i="17"/>
  <c r="AB206" i="17"/>
  <c r="K206" i="17"/>
  <c r="A203" i="23"/>
  <c r="AB202" i="23"/>
  <c r="K202" i="23"/>
  <c r="X202" i="23"/>
  <c r="D211" i="15"/>
  <c r="AB208" i="16"/>
  <c r="K208" i="16"/>
  <c r="X208" i="16"/>
  <c r="A209" i="16"/>
  <c r="L208" i="16"/>
  <c r="D207" i="16"/>
  <c r="A210" i="16"/>
  <c r="AB209" i="16"/>
  <c r="K209" i="16"/>
  <c r="L209" i="16"/>
  <c r="D209" i="16" s="1"/>
  <c r="X209" i="16"/>
  <c r="AB207" i="17"/>
  <c r="K207" i="17"/>
  <c r="X207" i="17"/>
  <c r="A208" i="17"/>
  <c r="A202" i="25"/>
  <c r="AB201" i="25"/>
  <c r="X201" i="25"/>
  <c r="K201" i="25"/>
  <c r="A203" i="24"/>
  <c r="K202" i="24"/>
  <c r="X202" i="24"/>
  <c r="AB202" i="24"/>
  <c r="A205" i="22"/>
  <c r="AB204" i="22"/>
  <c r="K204" i="22"/>
  <c r="X204" i="22"/>
  <c r="B26" i="7"/>
  <c r="D208" i="16"/>
  <c r="AB203" i="23"/>
  <c r="X203" i="23"/>
  <c r="K203" i="23"/>
  <c r="A204" i="23"/>
  <c r="K205" i="20"/>
  <c r="A206" i="20"/>
  <c r="AB205" i="20"/>
  <c r="X205" i="20"/>
  <c r="A214" i="15"/>
  <c r="AB213" i="15"/>
  <c r="L213" i="15"/>
  <c r="D213" i="15" s="1"/>
  <c r="K213" i="15"/>
  <c r="X213" i="15"/>
  <c r="D212" i="15"/>
  <c r="AJ211" i="1"/>
  <c r="K211" i="1"/>
  <c r="A212" i="1"/>
  <c r="L211" i="1"/>
  <c r="X211" i="1"/>
  <c r="AB211" i="1"/>
  <c r="AK211" i="1"/>
  <c r="K206" i="18"/>
  <c r="X206" i="18"/>
  <c r="AB206" i="18"/>
  <c r="A207" i="18"/>
  <c r="X214" i="15"/>
  <c r="L214" i="15"/>
  <c r="D214" i="15" s="1"/>
  <c r="A215" i="15"/>
  <c r="K214" i="15"/>
  <c r="AB214" i="15"/>
  <c r="X206" i="20"/>
  <c r="AB206" i="20"/>
  <c r="A207" i="20"/>
  <c r="K206" i="20"/>
  <c r="A205" i="23"/>
  <c r="X204" i="23"/>
  <c r="K204" i="23"/>
  <c r="AB204" i="23"/>
  <c r="AB205" i="22"/>
  <c r="A206" i="22"/>
  <c r="K205" i="22"/>
  <c r="X205" i="22"/>
  <c r="K203" i="24"/>
  <c r="A204" i="24"/>
  <c r="AB203" i="24"/>
  <c r="X203" i="24"/>
  <c r="AB202" i="25"/>
  <c r="A203" i="25"/>
  <c r="K202" i="25"/>
  <c r="X202" i="25"/>
  <c r="AB208" i="17"/>
  <c r="K208" i="17"/>
  <c r="X208" i="17"/>
  <c r="A209" i="17"/>
  <c r="A208" i="18"/>
  <c r="AB207" i="18"/>
  <c r="K207" i="18"/>
  <c r="X207" i="18"/>
  <c r="D211" i="1"/>
  <c r="AK212" i="1"/>
  <c r="X212" i="1"/>
  <c r="K212" i="1"/>
  <c r="AJ212" i="1"/>
  <c r="A213" i="1"/>
  <c r="L212" i="1"/>
  <c r="D212" i="1" s="1"/>
  <c r="AB212" i="1"/>
  <c r="A50" i="7"/>
  <c r="X210" i="16"/>
  <c r="K210" i="16"/>
  <c r="A211" i="16"/>
  <c r="AB210" i="16"/>
  <c r="L210" i="16"/>
  <c r="AJ213" i="1"/>
  <c r="X213" i="1"/>
  <c r="K213" i="1"/>
  <c r="A214" i="1"/>
  <c r="AB213" i="1"/>
  <c r="L213" i="1"/>
  <c r="D213" i="1" s="1"/>
  <c r="AK213" i="1"/>
  <c r="K203" i="25"/>
  <c r="X203" i="25"/>
  <c r="AB203" i="25"/>
  <c r="A204" i="25"/>
  <c r="X204" i="24"/>
  <c r="AB204" i="24"/>
  <c r="K204" i="24"/>
  <c r="A205" i="24"/>
  <c r="K205" i="23"/>
  <c r="AB205" i="23"/>
  <c r="A206" i="23"/>
  <c r="X205" i="23"/>
  <c r="X211" i="16"/>
  <c r="L211" i="16"/>
  <c r="D211" i="16" s="1"/>
  <c r="K211" i="16"/>
  <c r="AB211" i="16"/>
  <c r="A212" i="16"/>
  <c r="K208" i="18"/>
  <c r="AB208" i="18"/>
  <c r="A209" i="18"/>
  <c r="X208" i="18"/>
  <c r="A210" i="17"/>
  <c r="K209" i="17"/>
  <c r="X209" i="17"/>
  <c r="AB209" i="17"/>
  <c r="X206" i="22"/>
  <c r="A207" i="22"/>
  <c r="K206" i="22"/>
  <c r="AB206" i="22"/>
  <c r="A208" i="20"/>
  <c r="AB207" i="20"/>
  <c r="K207" i="20"/>
  <c r="X207" i="20"/>
  <c r="K215" i="15"/>
  <c r="X215" i="15"/>
  <c r="A216" i="15"/>
  <c r="L215" i="15"/>
  <c r="AB215" i="15"/>
  <c r="D215" i="15"/>
  <c r="AB208" i="20"/>
  <c r="X208" i="20"/>
  <c r="A209" i="20"/>
  <c r="K208" i="20"/>
  <c r="X209" i="18"/>
  <c r="K209" i="18"/>
  <c r="AB209" i="18"/>
  <c r="A210" i="18"/>
  <c r="A206" i="24"/>
  <c r="K205" i="24"/>
  <c r="AB205" i="24"/>
  <c r="X205" i="24"/>
  <c r="X204" i="25"/>
  <c r="K204" i="25"/>
  <c r="A205" i="25"/>
  <c r="AB204" i="25"/>
  <c r="K216" i="15"/>
  <c r="L216" i="15"/>
  <c r="D216" i="15" s="1"/>
  <c r="A217" i="15"/>
  <c r="AB216" i="15"/>
  <c r="X216" i="15"/>
  <c r="X207" i="22"/>
  <c r="A208" i="22"/>
  <c r="K207" i="22"/>
  <c r="AB207" i="22"/>
  <c r="K210" i="17"/>
  <c r="AB210" i="17"/>
  <c r="A211" i="17"/>
  <c r="X210" i="17"/>
  <c r="A62" i="7"/>
  <c r="X212" i="16"/>
  <c r="L212" i="16"/>
  <c r="D212" i="16" s="1"/>
  <c r="AB212" i="16"/>
  <c r="A213" i="16"/>
  <c r="K212" i="16"/>
  <c r="A207" i="23"/>
  <c r="X206" i="23"/>
  <c r="K206" i="23"/>
  <c r="AB206" i="23"/>
  <c r="AJ214" i="1"/>
  <c r="AB214" i="1"/>
  <c r="K214" i="1"/>
  <c r="L214" i="1"/>
  <c r="A215" i="1"/>
  <c r="X214" i="1"/>
  <c r="AK214" i="1"/>
  <c r="AK215" i="1"/>
  <c r="A216" i="1"/>
  <c r="K215" i="1"/>
  <c r="L215" i="1"/>
  <c r="D215" i="1" s="1"/>
  <c r="AJ215" i="1"/>
  <c r="AB215" i="1"/>
  <c r="X215" i="1"/>
  <c r="X207" i="23"/>
  <c r="A208" i="23"/>
  <c r="AB207" i="23"/>
  <c r="K207" i="23"/>
  <c r="AB210" i="18"/>
  <c r="X210" i="18"/>
  <c r="A211" i="18"/>
  <c r="K210" i="18"/>
  <c r="A74" i="7"/>
  <c r="D214" i="1"/>
  <c r="A214" i="16"/>
  <c r="K213" i="16"/>
  <c r="X213" i="16"/>
  <c r="L213" i="16"/>
  <c r="D213" i="16" s="1"/>
  <c r="AB213" i="16"/>
  <c r="A212" i="17"/>
  <c r="X211" i="17"/>
  <c r="AB211" i="17"/>
  <c r="K211" i="17"/>
  <c r="A209" i="22"/>
  <c r="K208" i="22"/>
  <c r="X208" i="22"/>
  <c r="AB208" i="22"/>
  <c r="K217" i="15"/>
  <c r="L217" i="15"/>
  <c r="D217" i="15" s="1"/>
  <c r="AB217" i="15"/>
  <c r="A218" i="15"/>
  <c r="X217" i="15"/>
  <c r="K205" i="25"/>
  <c r="X205" i="25"/>
  <c r="A206" i="25"/>
  <c r="AB205" i="25"/>
  <c r="X206" i="24"/>
  <c r="K206" i="24"/>
  <c r="AB206" i="24"/>
  <c r="A207" i="24"/>
  <c r="K209" i="20"/>
  <c r="A210" i="20"/>
  <c r="AB209" i="20"/>
  <c r="X209" i="20"/>
  <c r="X208" i="23"/>
  <c r="AB208" i="23"/>
  <c r="A209" i="23"/>
  <c r="K208" i="23"/>
  <c r="AK216" i="1"/>
  <c r="K216" i="1"/>
  <c r="AB216" i="1"/>
  <c r="L216" i="1"/>
  <c r="D216" i="1" s="1"/>
  <c r="X216" i="1"/>
  <c r="AJ216" i="1"/>
  <c r="A217" i="1"/>
  <c r="A211" i="20"/>
  <c r="AB210" i="20"/>
  <c r="K210" i="20"/>
  <c r="X210" i="20"/>
  <c r="AE26" i="7"/>
  <c r="A208" i="24"/>
  <c r="K207" i="24"/>
  <c r="AB207" i="24"/>
  <c r="X207" i="24"/>
  <c r="K206" i="25"/>
  <c r="A207" i="25"/>
  <c r="X206" i="25"/>
  <c r="AB206" i="25"/>
  <c r="L218" i="15"/>
  <c r="D218" i="15" s="1"/>
  <c r="X218" i="15"/>
  <c r="A219" i="15"/>
  <c r="AB218" i="15"/>
  <c r="K218" i="15"/>
  <c r="AB209" i="22"/>
  <c r="X209" i="22"/>
  <c r="A210" i="22"/>
  <c r="K209" i="22"/>
  <c r="X212" i="17"/>
  <c r="AB212" i="17"/>
  <c r="K212" i="17"/>
  <c r="A213" i="17"/>
  <c r="A215" i="16"/>
  <c r="X214" i="16"/>
  <c r="K214" i="16"/>
  <c r="L214" i="16"/>
  <c r="D214" i="16" s="1"/>
  <c r="AB214" i="16"/>
  <c r="AB211" i="18"/>
  <c r="A212" i="18"/>
  <c r="X211" i="18"/>
  <c r="K211" i="18"/>
  <c r="AB212" i="18"/>
  <c r="A213" i="18"/>
  <c r="X212" i="18"/>
  <c r="K212" i="18"/>
  <c r="K215" i="16"/>
  <c r="X215" i="16"/>
  <c r="A216" i="16"/>
  <c r="AB215" i="16"/>
  <c r="L215" i="16"/>
  <c r="D215" i="16" s="1"/>
  <c r="A220" i="15"/>
  <c r="K219" i="15"/>
  <c r="AB219" i="15"/>
  <c r="L219" i="15"/>
  <c r="D219" i="15" s="1"/>
  <c r="X219" i="15"/>
  <c r="AB207" i="25"/>
  <c r="X207" i="25"/>
  <c r="A208" i="25"/>
  <c r="K207" i="25"/>
  <c r="AK217" i="1"/>
  <c r="A218" i="1"/>
  <c r="L217" i="1"/>
  <c r="D217" i="1" s="1"/>
  <c r="AJ217" i="1"/>
  <c r="AB217" i="1"/>
  <c r="K217" i="1"/>
  <c r="X217" i="1"/>
  <c r="X209" i="23"/>
  <c r="K209" i="23"/>
  <c r="AB209" i="23"/>
  <c r="A210" i="23"/>
  <c r="K213" i="17"/>
  <c r="AB213" i="17"/>
  <c r="A214" i="17"/>
  <c r="X213" i="17"/>
  <c r="X210" i="22"/>
  <c r="AB210" i="22"/>
  <c r="AE38" i="7"/>
  <c r="K210" i="22"/>
  <c r="A211" i="22"/>
  <c r="A209" i="24"/>
  <c r="K208" i="24"/>
  <c r="AB208" i="24"/>
  <c r="X208" i="24"/>
  <c r="X211" i="20"/>
  <c r="AB211" i="20"/>
  <c r="K211" i="20"/>
  <c r="A212" i="20"/>
  <c r="AB211" i="22"/>
  <c r="A212" i="22"/>
  <c r="K211" i="22"/>
  <c r="X211" i="22"/>
  <c r="X210" i="23"/>
  <c r="AB210" i="23"/>
  <c r="K210" i="23"/>
  <c r="A211" i="23"/>
  <c r="AE50" i="7"/>
  <c r="AB208" i="25"/>
  <c r="K208" i="25"/>
  <c r="A209" i="25"/>
  <c r="X208" i="25"/>
  <c r="K220" i="15"/>
  <c r="X220" i="15"/>
  <c r="L220" i="15"/>
  <c r="D220" i="15" s="1"/>
  <c r="AB220" i="15"/>
  <c r="A221" i="15"/>
  <c r="K213" i="18"/>
  <c r="AB213" i="18"/>
  <c r="A214" i="18"/>
  <c r="X213" i="18"/>
  <c r="K209" i="24"/>
  <c r="A210" i="24"/>
  <c r="X209" i="24"/>
  <c r="AB209" i="24"/>
  <c r="K212" i="20"/>
  <c r="AB212" i="20"/>
  <c r="A213" i="20"/>
  <c r="X212" i="20"/>
  <c r="K214" i="17"/>
  <c r="X214" i="17"/>
  <c r="AB214" i="17"/>
  <c r="A215" i="17"/>
  <c r="AK218" i="1"/>
  <c r="L218" i="1"/>
  <c r="D218" i="1" s="1"/>
  <c r="AB218" i="1"/>
  <c r="AJ218" i="1"/>
  <c r="K218" i="1"/>
  <c r="X218" i="1"/>
  <c r="A219" i="1"/>
  <c r="AB216" i="16"/>
  <c r="K216" i="16"/>
  <c r="A217" i="16"/>
  <c r="X216" i="16"/>
  <c r="L216" i="16"/>
  <c r="D216" i="16" s="1"/>
  <c r="X215" i="17"/>
  <c r="A216" i="17"/>
  <c r="AB215" i="17"/>
  <c r="K215" i="17"/>
  <c r="AB213" i="20"/>
  <c r="A214" i="20"/>
  <c r="K213" i="20"/>
  <c r="X213" i="20"/>
  <c r="A215" i="18"/>
  <c r="X214" i="18"/>
  <c r="AB214" i="18"/>
  <c r="K214" i="18"/>
  <c r="A210" i="25"/>
  <c r="X209" i="25"/>
  <c r="K209" i="25"/>
  <c r="AB209" i="25"/>
  <c r="A212" i="23"/>
  <c r="X211" i="23"/>
  <c r="AB211" i="23"/>
  <c r="K211" i="23"/>
  <c r="X217" i="16"/>
  <c r="AB217" i="16"/>
  <c r="K217" i="16"/>
  <c r="A218" i="16"/>
  <c r="L217" i="16"/>
  <c r="D217" i="16" s="1"/>
  <c r="AK219" i="1"/>
  <c r="X219" i="1"/>
  <c r="K219" i="1"/>
  <c r="AJ219" i="1"/>
  <c r="L219" i="1"/>
  <c r="D219" i="1" s="1"/>
  <c r="AB219" i="1"/>
  <c r="A220" i="1"/>
  <c r="K210" i="24"/>
  <c r="AB210" i="24"/>
  <c r="AE62" i="7"/>
  <c r="A211" i="24"/>
  <c r="X210" i="24"/>
  <c r="AB221" i="15"/>
  <c r="L221" i="15"/>
  <c r="A222" i="15"/>
  <c r="X221" i="15"/>
  <c r="K221" i="15"/>
  <c r="A213" i="22"/>
  <c r="K212" i="22"/>
  <c r="X212" i="22"/>
  <c r="AB212" i="22"/>
  <c r="D221" i="15"/>
  <c r="AJ220" i="1"/>
  <c r="X220" i="1"/>
  <c r="A221" i="1"/>
  <c r="AB220" i="1"/>
  <c r="L220" i="1"/>
  <c r="D220" i="1" s="1"/>
  <c r="K220" i="1"/>
  <c r="AK220" i="1"/>
  <c r="X215" i="18"/>
  <c r="A216" i="18"/>
  <c r="AB215" i="18"/>
  <c r="K215" i="18"/>
  <c r="X216" i="17"/>
  <c r="A217" i="17"/>
  <c r="AB216" i="17"/>
  <c r="K216" i="17"/>
  <c r="AB213" i="22"/>
  <c r="X213" i="22"/>
  <c r="K213" i="22"/>
  <c r="A214" i="22"/>
  <c r="AB222" i="15"/>
  <c r="K222" i="15"/>
  <c r="L222" i="15"/>
  <c r="D222" i="15" s="1"/>
  <c r="X222" i="15"/>
  <c r="A223" i="15"/>
  <c r="X211" i="24"/>
  <c r="A212" i="24"/>
  <c r="K211" i="24"/>
  <c r="AB211" i="24"/>
  <c r="K218" i="16"/>
  <c r="L218" i="16"/>
  <c r="D218" i="16" s="1"/>
  <c r="AB218" i="16"/>
  <c r="A219" i="16"/>
  <c r="X218" i="16"/>
  <c r="A213" i="23"/>
  <c r="K212" i="23"/>
  <c r="X212" i="23"/>
  <c r="AB212" i="23"/>
  <c r="AE74" i="7"/>
  <c r="A211" i="25"/>
  <c r="K210" i="25"/>
  <c r="X210" i="25"/>
  <c r="AB210" i="25"/>
  <c r="X214" i="20"/>
  <c r="A215" i="20"/>
  <c r="AB214" i="20"/>
  <c r="K214" i="20"/>
  <c r="X211" i="25"/>
  <c r="AB211" i="25"/>
  <c r="A212" i="25"/>
  <c r="K211" i="25"/>
  <c r="A213" i="24"/>
  <c r="X212" i="24"/>
  <c r="AB212" i="24"/>
  <c r="K212" i="24"/>
  <c r="A215" i="22"/>
  <c r="AB214" i="22"/>
  <c r="X214" i="22"/>
  <c r="K214" i="22"/>
  <c r="K216" i="18"/>
  <c r="A217" i="18"/>
  <c r="X216" i="18"/>
  <c r="AB216" i="18"/>
  <c r="AK221" i="1"/>
  <c r="A222" i="1"/>
  <c r="K221" i="1"/>
  <c r="AB221" i="1"/>
  <c r="X221" i="1"/>
  <c r="AJ221" i="1"/>
  <c r="L221" i="1"/>
  <c r="D221" i="1" s="1"/>
  <c r="X215" i="20"/>
  <c r="AB215" i="20"/>
  <c r="K215" i="20"/>
  <c r="A216" i="20"/>
  <c r="K213" i="23"/>
  <c r="A214" i="23"/>
  <c r="AB213" i="23"/>
  <c r="X213" i="23"/>
  <c r="A220" i="16"/>
  <c r="L219" i="16"/>
  <c r="D219" i="16" s="1"/>
  <c r="K219" i="16"/>
  <c r="AB219" i="16"/>
  <c r="X219" i="16"/>
  <c r="K223" i="15"/>
  <c r="X223" i="15"/>
  <c r="L223" i="15"/>
  <c r="D223" i="15" s="1"/>
  <c r="A224" i="15"/>
  <c r="AB223" i="15"/>
  <c r="AB217" i="17"/>
  <c r="A218" i="17"/>
  <c r="K217" i="17"/>
  <c r="X217" i="17"/>
  <c r="K214" i="23"/>
  <c r="X214" i="23"/>
  <c r="AB214" i="23"/>
  <c r="A215" i="23"/>
  <c r="A217" i="20"/>
  <c r="X216" i="20"/>
  <c r="AB216" i="20"/>
  <c r="K216" i="20"/>
  <c r="AB215" i="22"/>
  <c r="A216" i="22"/>
  <c r="K215" i="22"/>
  <c r="X215" i="22"/>
  <c r="A219" i="17"/>
  <c r="K218" i="17"/>
  <c r="X218" i="17"/>
  <c r="AB218" i="17"/>
  <c r="A225" i="15"/>
  <c r="X224" i="15"/>
  <c r="L224" i="15"/>
  <c r="D224" i="15" s="1"/>
  <c r="AB224" i="15"/>
  <c r="K224" i="15"/>
  <c r="K220" i="16"/>
  <c r="L220" i="16"/>
  <c r="D220" i="16" s="1"/>
  <c r="A221" i="16"/>
  <c r="X220" i="16"/>
  <c r="AB220" i="16"/>
  <c r="AK222" i="1"/>
  <c r="AB222" i="1"/>
  <c r="K222" i="1"/>
  <c r="AJ222" i="1"/>
  <c r="A223" i="1"/>
  <c r="L222" i="1"/>
  <c r="X222" i="1"/>
  <c r="A218" i="18"/>
  <c r="K217" i="18"/>
  <c r="AB217" i="18"/>
  <c r="X217" i="18"/>
  <c r="K213" i="24"/>
  <c r="X213" i="24"/>
  <c r="A214" i="24"/>
  <c r="AB213" i="24"/>
  <c r="X212" i="25"/>
  <c r="A213" i="25"/>
  <c r="K212" i="25"/>
  <c r="AB212" i="25"/>
  <c r="X218" i="18"/>
  <c r="K218" i="18"/>
  <c r="AB218" i="18"/>
  <c r="A219" i="18"/>
  <c r="D222" i="1"/>
  <c r="AB221" i="16"/>
  <c r="L221" i="16"/>
  <c r="A222" i="16"/>
  <c r="K221" i="16"/>
  <c r="X221" i="16"/>
  <c r="X225" i="15"/>
  <c r="A226" i="15"/>
  <c r="AB225" i="15"/>
  <c r="L225" i="15"/>
  <c r="D225" i="15" s="1"/>
  <c r="K225" i="15"/>
  <c r="X219" i="17"/>
  <c r="K219" i="17"/>
  <c r="A220" i="17"/>
  <c r="AB219" i="17"/>
  <c r="K217" i="20"/>
  <c r="AB217" i="20"/>
  <c r="A218" i="20"/>
  <c r="X217" i="20"/>
  <c r="X213" i="25"/>
  <c r="A214" i="25"/>
  <c r="AB213" i="25"/>
  <c r="K213" i="25"/>
  <c r="AB214" i="24"/>
  <c r="X214" i="24"/>
  <c r="K214" i="24"/>
  <c r="A215" i="24"/>
  <c r="AK223" i="1"/>
  <c r="A224" i="1"/>
  <c r="AB223" i="1"/>
  <c r="AJ223" i="1"/>
  <c r="L223" i="1"/>
  <c r="D223" i="1" s="1"/>
  <c r="X223" i="1"/>
  <c r="K223" i="1"/>
  <c r="X216" i="22"/>
  <c r="A217" i="22"/>
  <c r="K216" i="22"/>
  <c r="AB216" i="22"/>
  <c r="A216" i="23"/>
  <c r="X215" i="23"/>
  <c r="K215" i="23"/>
  <c r="AB215" i="23"/>
  <c r="X216" i="23"/>
  <c r="K216" i="23"/>
  <c r="AB216" i="23"/>
  <c r="A217" i="23"/>
  <c r="A218" i="22"/>
  <c r="AB217" i="22"/>
  <c r="X217" i="22"/>
  <c r="K217" i="22"/>
  <c r="AK224" i="1"/>
  <c r="X224" i="1"/>
  <c r="AB224" i="1"/>
  <c r="K224" i="1"/>
  <c r="A225" i="1"/>
  <c r="AJ224" i="1"/>
  <c r="L224" i="1"/>
  <c r="D224" i="1" s="1"/>
  <c r="A219" i="20"/>
  <c r="K218" i="20"/>
  <c r="X218" i="20"/>
  <c r="AB218" i="20"/>
  <c r="K220" i="17"/>
  <c r="X220" i="17"/>
  <c r="A221" i="17"/>
  <c r="AB220" i="17"/>
  <c r="D221" i="16"/>
  <c r="X215" i="24"/>
  <c r="A216" i="24"/>
  <c r="AB215" i="24"/>
  <c r="K215" i="24"/>
  <c r="A215" i="25"/>
  <c r="AB214" i="25"/>
  <c r="X214" i="25"/>
  <c r="K214" i="25"/>
  <c r="AB226" i="15"/>
  <c r="X226" i="15"/>
  <c r="L226" i="15"/>
  <c r="K226" i="15"/>
  <c r="A227" i="15"/>
  <c r="X222" i="16"/>
  <c r="L222" i="16"/>
  <c r="AB222" i="16"/>
  <c r="A223" i="16"/>
  <c r="K222" i="16"/>
  <c r="AB219" i="18"/>
  <c r="A220" i="18"/>
  <c r="X219" i="18"/>
  <c r="K219" i="18"/>
  <c r="X220" i="18"/>
  <c r="A221" i="18"/>
  <c r="K220" i="18"/>
  <c r="AB220" i="18"/>
  <c r="X223" i="16"/>
  <c r="L223" i="16"/>
  <c r="D223" i="16" s="1"/>
  <c r="K223" i="16"/>
  <c r="AB223" i="16"/>
  <c r="A224" i="16"/>
  <c r="X215" i="25"/>
  <c r="K215" i="25"/>
  <c r="A216" i="25"/>
  <c r="AB215" i="25"/>
  <c r="AB219" i="20"/>
  <c r="X219" i="20"/>
  <c r="K219" i="20"/>
  <c r="A220" i="20"/>
  <c r="AJ225" i="1"/>
  <c r="X225" i="1"/>
  <c r="A226" i="1"/>
  <c r="K225" i="1"/>
  <c r="L225" i="1"/>
  <c r="AK225" i="1"/>
  <c r="AB225" i="1"/>
  <c r="X218" i="22"/>
  <c r="A219" i="22"/>
  <c r="K218" i="22"/>
  <c r="AB218" i="22"/>
  <c r="D222" i="16"/>
  <c r="A228" i="15"/>
  <c r="L227" i="15"/>
  <c r="X227" i="15"/>
  <c r="AB227" i="15"/>
  <c r="K227" i="15"/>
  <c r="D226" i="15"/>
  <c r="AB216" i="24"/>
  <c r="K216" i="24"/>
  <c r="X216" i="24"/>
  <c r="A217" i="24"/>
  <c r="K221" i="17"/>
  <c r="A222" i="17"/>
  <c r="X221" i="17"/>
  <c r="AB221" i="17"/>
  <c r="AB217" i="23"/>
  <c r="X217" i="23"/>
  <c r="A218" i="23"/>
  <c r="K217" i="23"/>
  <c r="A229" i="15"/>
  <c r="K228" i="15"/>
  <c r="L228" i="15"/>
  <c r="D228" i="15" s="1"/>
  <c r="X228" i="15"/>
  <c r="AB228" i="15"/>
  <c r="AK226" i="1"/>
  <c r="X226" i="1"/>
  <c r="K226" i="1"/>
  <c r="AB226" i="1"/>
  <c r="AJ226" i="1"/>
  <c r="L226" i="1"/>
  <c r="D226" i="1" s="1"/>
  <c r="A227" i="1"/>
  <c r="X216" i="25"/>
  <c r="K216" i="25"/>
  <c r="AB216" i="25"/>
  <c r="A217" i="25"/>
  <c r="X224" i="16"/>
  <c r="L224" i="16"/>
  <c r="A225" i="16"/>
  <c r="AB224" i="16"/>
  <c r="K224" i="16"/>
  <c r="AB218" i="23"/>
  <c r="X218" i="23"/>
  <c r="K218" i="23"/>
  <c r="A219" i="23"/>
  <c r="X222" i="17"/>
  <c r="K222" i="17"/>
  <c r="A223" i="17"/>
  <c r="AB222" i="17"/>
  <c r="A218" i="24"/>
  <c r="K217" i="24"/>
  <c r="AB217" i="24"/>
  <c r="X217" i="24"/>
  <c r="D227" i="15"/>
  <c r="K219" i="22"/>
  <c r="A220" i="22"/>
  <c r="AB219" i="22"/>
  <c r="X219" i="22"/>
  <c r="D225" i="1"/>
  <c r="AB220" i="20"/>
  <c r="A221" i="20"/>
  <c r="X220" i="20"/>
  <c r="K220" i="20"/>
  <c r="K221" i="18"/>
  <c r="X221" i="18"/>
  <c r="A222" i="18"/>
  <c r="AB221" i="18"/>
  <c r="K222" i="18"/>
  <c r="A223" i="18"/>
  <c r="X222" i="18"/>
  <c r="AB222" i="18"/>
  <c r="X223" i="17"/>
  <c r="K223" i="17"/>
  <c r="AB223" i="17"/>
  <c r="A224" i="17"/>
  <c r="K219" i="23"/>
  <c r="AB219" i="23"/>
  <c r="A220" i="23"/>
  <c r="X219" i="23"/>
  <c r="D224" i="16"/>
  <c r="AJ227" i="1"/>
  <c r="X227" i="1"/>
  <c r="A228" i="1"/>
  <c r="K227" i="1"/>
  <c r="L227" i="1"/>
  <c r="D227" i="1" s="1"/>
  <c r="AK227" i="1"/>
  <c r="AB227" i="1"/>
  <c r="K221" i="20"/>
  <c r="X221" i="20"/>
  <c r="AB221" i="20"/>
  <c r="A222" i="20"/>
  <c r="K220" i="22"/>
  <c r="X220" i="22"/>
  <c r="AB220" i="22"/>
  <c r="A221" i="22"/>
  <c r="A219" i="24"/>
  <c r="K218" i="24"/>
  <c r="X218" i="24"/>
  <c r="AB218" i="24"/>
  <c r="X225" i="16"/>
  <c r="AB225" i="16"/>
  <c r="K225" i="16"/>
  <c r="A226" i="16"/>
  <c r="L225" i="16"/>
  <c r="D225" i="16" s="1"/>
  <c r="X217" i="25"/>
  <c r="K217" i="25"/>
  <c r="A218" i="25"/>
  <c r="AB217" i="25"/>
  <c r="AB229" i="15"/>
  <c r="A230" i="15"/>
  <c r="K229" i="15"/>
  <c r="L229" i="15"/>
  <c r="X229" i="15"/>
  <c r="D229" i="15"/>
  <c r="AB230" i="15"/>
  <c r="X230" i="15"/>
  <c r="K230" i="15"/>
  <c r="A231" i="15"/>
  <c r="L230" i="15"/>
  <c r="D230" i="15" s="1"/>
  <c r="X218" i="25"/>
  <c r="A219" i="25"/>
  <c r="AB218" i="25"/>
  <c r="K218" i="25"/>
  <c r="K219" i="24"/>
  <c r="AB219" i="24"/>
  <c r="A220" i="24"/>
  <c r="X219" i="24"/>
  <c r="K222" i="20"/>
  <c r="AB222" i="20"/>
  <c r="X222" i="20"/>
  <c r="A223" i="20"/>
  <c r="AK228" i="1"/>
  <c r="K228" i="1"/>
  <c r="X228" i="1"/>
  <c r="AB228" i="1"/>
  <c r="AJ228" i="1"/>
  <c r="L228" i="1"/>
  <c r="D228" i="1" s="1"/>
  <c r="A229" i="1"/>
  <c r="X220" i="23"/>
  <c r="AB220" i="23"/>
  <c r="K220" i="23"/>
  <c r="A221" i="23"/>
  <c r="K224" i="17"/>
  <c r="AB224" i="17"/>
  <c r="A225" i="17"/>
  <c r="X224" i="17"/>
  <c r="K223" i="18"/>
  <c r="A224" i="18"/>
  <c r="X223" i="18"/>
  <c r="AB223" i="18"/>
  <c r="X226" i="16"/>
  <c r="AB226" i="16"/>
  <c r="L226" i="16"/>
  <c r="D226" i="16" s="1"/>
  <c r="A227" i="16"/>
  <c r="K226" i="16"/>
  <c r="X221" i="22"/>
  <c r="A222" i="22"/>
  <c r="AB221" i="22"/>
  <c r="K221" i="22"/>
  <c r="A228" i="16"/>
  <c r="L227" i="16"/>
  <c r="D227" i="16" s="1"/>
  <c r="K227" i="16"/>
  <c r="X227" i="16"/>
  <c r="AB227" i="16"/>
  <c r="A225" i="18"/>
  <c r="X224" i="18"/>
  <c r="K224" i="18"/>
  <c r="AB224" i="18"/>
  <c r="AJ229" i="1"/>
  <c r="K229" i="1"/>
  <c r="X229" i="1"/>
  <c r="A230" i="1"/>
  <c r="L229" i="1"/>
  <c r="D229" i="1" s="1"/>
  <c r="AK229" i="1"/>
  <c r="AB229" i="1"/>
  <c r="A224" i="20"/>
  <c r="X223" i="20"/>
  <c r="AB223" i="20"/>
  <c r="K223" i="20"/>
  <c r="X220" i="24"/>
  <c r="K220" i="24"/>
  <c r="A221" i="24"/>
  <c r="AB220" i="24"/>
  <c r="K231" i="15"/>
  <c r="A232" i="15"/>
  <c r="L231" i="15"/>
  <c r="X231" i="15"/>
  <c r="AB231" i="15"/>
  <c r="K222" i="22"/>
  <c r="X222" i="22"/>
  <c r="AB222" i="22"/>
  <c r="A223" i="22"/>
  <c r="K225" i="17"/>
  <c r="X225" i="17"/>
  <c r="AB225" i="17"/>
  <c r="A226" i="17"/>
  <c r="X221" i="23"/>
  <c r="K221" i="23"/>
  <c r="AB221" i="23"/>
  <c r="A222" i="23"/>
  <c r="K219" i="25"/>
  <c r="AB219" i="25"/>
  <c r="X219" i="25"/>
  <c r="A220" i="25"/>
  <c r="D231" i="15"/>
  <c r="AK230" i="1"/>
  <c r="AB230" i="1"/>
  <c r="K230" i="1"/>
  <c r="AJ230" i="1"/>
  <c r="L230" i="1"/>
  <c r="D230" i="1" s="1"/>
  <c r="X230" i="1"/>
  <c r="A231" i="1"/>
  <c r="AB225" i="18"/>
  <c r="K225" i="18"/>
  <c r="X225" i="18"/>
  <c r="A226" i="18"/>
  <c r="A221" i="25"/>
  <c r="X220" i="25"/>
  <c r="K220" i="25"/>
  <c r="AB220" i="25"/>
  <c r="X222" i="23"/>
  <c r="K222" i="23"/>
  <c r="A223" i="23"/>
  <c r="AB222" i="23"/>
  <c r="A227" i="17"/>
  <c r="AB226" i="17"/>
  <c r="K226" i="17"/>
  <c r="X226" i="17"/>
  <c r="A224" i="22"/>
  <c r="X223" i="22"/>
  <c r="AB223" i="22"/>
  <c r="K223" i="22"/>
  <c r="A233" i="15"/>
  <c r="X232" i="15"/>
  <c r="L232" i="15"/>
  <c r="D232" i="15" s="1"/>
  <c r="AB232" i="15"/>
  <c r="K232" i="15"/>
  <c r="X221" i="24"/>
  <c r="AB221" i="24"/>
  <c r="A222" i="24"/>
  <c r="K221" i="24"/>
  <c r="X224" i="20"/>
  <c r="AB224" i="20"/>
  <c r="K224" i="20"/>
  <c r="A225" i="20"/>
  <c r="AB228" i="16"/>
  <c r="X228" i="16"/>
  <c r="K228" i="16"/>
  <c r="L228" i="16"/>
  <c r="D228" i="16" s="1"/>
  <c r="A229" i="16"/>
  <c r="A230" i="16"/>
  <c r="L229" i="16"/>
  <c r="D229" i="16" s="1"/>
  <c r="X229" i="16"/>
  <c r="AB229" i="16"/>
  <c r="K229" i="16"/>
  <c r="K233" i="15"/>
  <c r="A234" i="15"/>
  <c r="AB233" i="15"/>
  <c r="L233" i="15"/>
  <c r="D233" i="15" s="1"/>
  <c r="X233" i="15"/>
  <c r="AB227" i="17"/>
  <c r="A228" i="17"/>
  <c r="X227" i="17"/>
  <c r="K227" i="17"/>
  <c r="K223" i="23"/>
  <c r="A224" i="23"/>
  <c r="X223" i="23"/>
  <c r="AB223" i="23"/>
  <c r="A222" i="25"/>
  <c r="X221" i="25"/>
  <c r="K221" i="25"/>
  <c r="AB221" i="25"/>
  <c r="AB226" i="18"/>
  <c r="A227" i="18"/>
  <c r="X226" i="18"/>
  <c r="K226" i="18"/>
  <c r="A226" i="20"/>
  <c r="K225" i="20"/>
  <c r="X225" i="20"/>
  <c r="AB225" i="20"/>
  <c r="X222" i="24"/>
  <c r="A223" i="24"/>
  <c r="AB222" i="24"/>
  <c r="K222" i="24"/>
  <c r="X224" i="22"/>
  <c r="A225" i="22"/>
  <c r="AB224" i="22"/>
  <c r="K224" i="22"/>
  <c r="AK231" i="1"/>
  <c r="X231" i="1"/>
  <c r="K231" i="1"/>
  <c r="AB231" i="1"/>
  <c r="A232" i="1"/>
  <c r="L231" i="1"/>
  <c r="D231" i="1" s="1"/>
  <c r="AJ231" i="1"/>
  <c r="AK232" i="1"/>
  <c r="AB232" i="1"/>
  <c r="K232" i="1"/>
  <c r="A233" i="1"/>
  <c r="AJ232" i="1"/>
  <c r="L232" i="1"/>
  <c r="D232" i="1" s="1"/>
  <c r="X232" i="1"/>
  <c r="K227" i="18"/>
  <c r="AB227" i="18"/>
  <c r="X227" i="18"/>
  <c r="A228" i="18"/>
  <c r="K222" i="25"/>
  <c r="X222" i="25"/>
  <c r="A223" i="25"/>
  <c r="AB222" i="25"/>
  <c r="X230" i="16"/>
  <c r="L230" i="16"/>
  <c r="D230" i="16" s="1"/>
  <c r="AB230" i="16"/>
  <c r="A231" i="16"/>
  <c r="K230" i="16"/>
  <c r="A226" i="22"/>
  <c r="X225" i="22"/>
  <c r="AB225" i="22"/>
  <c r="K225" i="22"/>
  <c r="K223" i="24"/>
  <c r="X223" i="24"/>
  <c r="A224" i="24"/>
  <c r="AB223" i="24"/>
  <c r="X226" i="20"/>
  <c r="K226" i="20"/>
  <c r="A227" i="20"/>
  <c r="AB226" i="20"/>
  <c r="A225" i="23"/>
  <c r="AB224" i="23"/>
  <c r="K224" i="23"/>
  <c r="X224" i="23"/>
  <c r="A229" i="17"/>
  <c r="K228" i="17"/>
  <c r="X228" i="17"/>
  <c r="AB228" i="17"/>
  <c r="A235" i="15"/>
  <c r="X234" i="15"/>
  <c r="AB234" i="15"/>
  <c r="K234" i="15"/>
  <c r="L234" i="15"/>
  <c r="AB229" i="17"/>
  <c r="A230" i="17"/>
  <c r="X229" i="17"/>
  <c r="K229" i="17"/>
  <c r="AB225" i="23"/>
  <c r="X225" i="23"/>
  <c r="K225" i="23"/>
  <c r="A226" i="23"/>
  <c r="X226" i="22"/>
  <c r="A227" i="22"/>
  <c r="K226" i="22"/>
  <c r="AB226" i="22"/>
  <c r="AB223" i="25"/>
  <c r="X223" i="25"/>
  <c r="K223" i="25"/>
  <c r="A224" i="25"/>
  <c r="X228" i="18"/>
  <c r="K228" i="18"/>
  <c r="AB228" i="18"/>
  <c r="A229" i="18"/>
  <c r="D234" i="15"/>
  <c r="A236" i="15"/>
  <c r="K235" i="15"/>
  <c r="L235" i="15"/>
  <c r="D235" i="15" s="1"/>
  <c r="AB235" i="15"/>
  <c r="X235" i="15"/>
  <c r="K227" i="20"/>
  <c r="A228" i="20"/>
  <c r="AB227" i="20"/>
  <c r="X227" i="20"/>
  <c r="K224" i="24"/>
  <c r="X224" i="24"/>
  <c r="A225" i="24"/>
  <c r="AB224" i="24"/>
  <c r="K231" i="16"/>
  <c r="X231" i="16"/>
  <c r="AB231" i="16"/>
  <c r="A232" i="16"/>
  <c r="L231" i="16"/>
  <c r="AK233" i="1"/>
  <c r="K233" i="1"/>
  <c r="L233" i="1"/>
  <c r="D233" i="1" s="1"/>
  <c r="X233" i="1"/>
  <c r="A234" i="1"/>
  <c r="AB233" i="1"/>
  <c r="AJ233" i="1"/>
  <c r="D231" i="16"/>
  <c r="K236" i="15"/>
  <c r="L236" i="15"/>
  <c r="D236" i="15" s="1"/>
  <c r="A237" i="15"/>
  <c r="AB236" i="15"/>
  <c r="X236" i="15"/>
  <c r="AB229" i="18"/>
  <c r="K229" i="18"/>
  <c r="X229" i="18"/>
  <c r="A230" i="18"/>
  <c r="X224" i="25"/>
  <c r="A225" i="25"/>
  <c r="AB224" i="25"/>
  <c r="K224" i="25"/>
  <c r="A228" i="22"/>
  <c r="X227" i="22"/>
  <c r="AB227" i="22"/>
  <c r="K227" i="22"/>
  <c r="K226" i="23"/>
  <c r="X226" i="23"/>
  <c r="AB226" i="23"/>
  <c r="A227" i="23"/>
  <c r="AK234" i="1"/>
  <c r="A235" i="1"/>
  <c r="AB234" i="1"/>
  <c r="K234" i="1"/>
  <c r="AJ234" i="1"/>
  <c r="L234" i="1"/>
  <c r="D234" i="1" s="1"/>
  <c r="X234" i="1"/>
  <c r="A233" i="16"/>
  <c r="L232" i="16"/>
  <c r="AB232" i="16"/>
  <c r="X232" i="16"/>
  <c r="K232" i="16"/>
  <c r="AB225" i="24"/>
  <c r="A226" i="24"/>
  <c r="K225" i="24"/>
  <c r="X225" i="24"/>
  <c r="X228" i="20"/>
  <c r="K228" i="20"/>
  <c r="AB228" i="20"/>
  <c r="A229" i="20"/>
  <c r="K230" i="17"/>
  <c r="A231" i="17"/>
  <c r="X230" i="17"/>
  <c r="AB230" i="17"/>
  <c r="K231" i="17"/>
  <c r="AB231" i="17"/>
  <c r="A232" i="17"/>
  <c r="X231" i="17"/>
  <c r="D232" i="16"/>
  <c r="A228" i="23"/>
  <c r="X227" i="23"/>
  <c r="K227" i="23"/>
  <c r="AB227" i="23"/>
  <c r="X228" i="22"/>
  <c r="AB228" i="22"/>
  <c r="K228" i="22"/>
  <c r="A229" i="22"/>
  <c r="AB225" i="25"/>
  <c r="X225" i="25"/>
  <c r="K225" i="25"/>
  <c r="A226" i="25"/>
  <c r="K229" i="20"/>
  <c r="AB229" i="20"/>
  <c r="A230" i="20"/>
  <c r="X229" i="20"/>
  <c r="X226" i="24"/>
  <c r="AB226" i="24"/>
  <c r="A227" i="24"/>
  <c r="K226" i="24"/>
  <c r="AB233" i="16"/>
  <c r="X233" i="16"/>
  <c r="A234" i="16"/>
  <c r="K233" i="16"/>
  <c r="L233" i="16"/>
  <c r="D233" i="16" s="1"/>
  <c r="AJ235" i="1"/>
  <c r="X235" i="1"/>
  <c r="A236" i="1"/>
  <c r="L235" i="1"/>
  <c r="D235" i="1" s="1"/>
  <c r="AK235" i="1"/>
  <c r="AB235" i="1"/>
  <c r="K235" i="1"/>
  <c r="K230" i="18"/>
  <c r="AB230" i="18"/>
  <c r="A231" i="18"/>
  <c r="X230" i="18"/>
  <c r="AB237" i="15"/>
  <c r="K237" i="15"/>
  <c r="L237" i="15"/>
  <c r="D237" i="15" s="1"/>
  <c r="X237" i="15"/>
  <c r="A238" i="15"/>
  <c r="AB231" i="18"/>
  <c r="X231" i="18"/>
  <c r="K231" i="18"/>
  <c r="A232" i="18"/>
  <c r="AK236" i="1"/>
  <c r="L236" i="1"/>
  <c r="AB236" i="1"/>
  <c r="AJ236" i="1"/>
  <c r="A237" i="1"/>
  <c r="X236" i="1"/>
  <c r="K236" i="1"/>
  <c r="AB234" i="16"/>
  <c r="K234" i="16"/>
  <c r="L234" i="16"/>
  <c r="D234" i="16" s="1"/>
  <c r="X234" i="16"/>
  <c r="A235" i="16"/>
  <c r="K227" i="24"/>
  <c r="X227" i="24"/>
  <c r="AB227" i="24"/>
  <c r="A228" i="24"/>
  <c r="AB230" i="20"/>
  <c r="A231" i="20"/>
  <c r="X230" i="20"/>
  <c r="K230" i="20"/>
  <c r="A227" i="25"/>
  <c r="X226" i="25"/>
  <c r="K226" i="25"/>
  <c r="AB226" i="25"/>
  <c r="A230" i="22"/>
  <c r="K229" i="22"/>
  <c r="AB229" i="22"/>
  <c r="X229" i="22"/>
  <c r="K228" i="23"/>
  <c r="A229" i="23"/>
  <c r="X228" i="23"/>
  <c r="AB228" i="23"/>
  <c r="X238" i="15"/>
  <c r="K238" i="15"/>
  <c r="AB238" i="15"/>
  <c r="L238" i="15"/>
  <c r="A239" i="15"/>
  <c r="X232" i="17"/>
  <c r="AB232" i="17"/>
  <c r="A233" i="17"/>
  <c r="K232" i="17"/>
  <c r="AB239" i="15"/>
  <c r="A240" i="15"/>
  <c r="L239" i="15"/>
  <c r="X239" i="15"/>
  <c r="K239" i="15"/>
  <c r="D238" i="15"/>
  <c r="K228" i="24"/>
  <c r="X228" i="24"/>
  <c r="AB228" i="24"/>
  <c r="A229" i="24"/>
  <c r="AJ237" i="1"/>
  <c r="A238" i="1"/>
  <c r="K237" i="1"/>
  <c r="X237" i="1"/>
  <c r="L237" i="1"/>
  <c r="AB237" i="1"/>
  <c r="AK237" i="1"/>
  <c r="D236" i="1"/>
  <c r="K232" i="18"/>
  <c r="X232" i="18"/>
  <c r="A233" i="18"/>
  <c r="AB232" i="18"/>
  <c r="X233" i="17"/>
  <c r="AB233" i="17"/>
  <c r="K233" i="17"/>
  <c r="A234" i="17"/>
  <c r="X229" i="23"/>
  <c r="K229" i="23"/>
  <c r="A230" i="23"/>
  <c r="AB229" i="23"/>
  <c r="X230" i="22"/>
  <c r="AB230" i="22"/>
  <c r="A231" i="22"/>
  <c r="K230" i="22"/>
  <c r="K227" i="25"/>
  <c r="AB227" i="25"/>
  <c r="A228" i="25"/>
  <c r="X227" i="25"/>
  <c r="A232" i="20"/>
  <c r="X231" i="20"/>
  <c r="K231" i="20"/>
  <c r="AB231" i="20"/>
  <c r="A236" i="16"/>
  <c r="AB235" i="16"/>
  <c r="X235" i="16"/>
  <c r="K235" i="16"/>
  <c r="L235" i="16"/>
  <c r="D235" i="16" s="1"/>
  <c r="K232" i="20"/>
  <c r="A233" i="20"/>
  <c r="AB232" i="20"/>
  <c r="X232" i="20"/>
  <c r="X228" i="25"/>
  <c r="A229" i="25"/>
  <c r="AB228" i="25"/>
  <c r="K228" i="25"/>
  <c r="X231" i="22"/>
  <c r="AB231" i="22"/>
  <c r="A232" i="22"/>
  <c r="K231" i="22"/>
  <c r="A234" i="18"/>
  <c r="X233" i="18"/>
  <c r="K233" i="18"/>
  <c r="AB233" i="18"/>
  <c r="AK238" i="1"/>
  <c r="K238" i="1"/>
  <c r="X238" i="1"/>
  <c r="AB238" i="1"/>
  <c r="A239" i="1"/>
  <c r="AJ238" i="1"/>
  <c r="L238" i="1"/>
  <c r="AB229" i="24"/>
  <c r="X229" i="24"/>
  <c r="A230" i="24"/>
  <c r="K229" i="24"/>
  <c r="K240" i="15"/>
  <c r="A241" i="15"/>
  <c r="AB240" i="15"/>
  <c r="X240" i="15"/>
  <c r="L240" i="15"/>
  <c r="D240" i="15" s="1"/>
  <c r="A237" i="16"/>
  <c r="K236" i="16"/>
  <c r="AB236" i="16"/>
  <c r="X236" i="16"/>
  <c r="L236" i="16"/>
  <c r="D236" i="16" s="1"/>
  <c r="A231" i="23"/>
  <c r="AB230" i="23"/>
  <c r="X230" i="23"/>
  <c r="K230" i="23"/>
  <c r="X234" i="17"/>
  <c r="K234" i="17"/>
  <c r="A235" i="17"/>
  <c r="AB234" i="17"/>
  <c r="D237" i="1"/>
  <c r="D239" i="15"/>
  <c r="A236" i="17"/>
  <c r="AB235" i="17"/>
  <c r="X235" i="17"/>
  <c r="K235" i="17"/>
  <c r="A238" i="16"/>
  <c r="X237" i="16"/>
  <c r="K237" i="16"/>
  <c r="L237" i="16"/>
  <c r="D237" i="16" s="1"/>
  <c r="AB237" i="16"/>
  <c r="X241" i="15"/>
  <c r="AB241" i="15"/>
  <c r="L241" i="15"/>
  <c r="D241" i="15" s="1"/>
  <c r="K241" i="15"/>
  <c r="A242" i="15"/>
  <c r="A39" i="7"/>
  <c r="AB230" i="24"/>
  <c r="A231" i="24"/>
  <c r="K230" i="24"/>
  <c r="X230" i="24"/>
  <c r="X234" i="18"/>
  <c r="AB234" i="18"/>
  <c r="A235" i="18"/>
  <c r="K234" i="18"/>
  <c r="K232" i="22"/>
  <c r="X232" i="22"/>
  <c r="A233" i="22"/>
  <c r="AB232" i="22"/>
  <c r="A232" i="23"/>
  <c r="K231" i="23"/>
  <c r="AB231" i="23"/>
  <c r="X231" i="23"/>
  <c r="D238" i="1"/>
  <c r="AK239" i="1"/>
  <c r="AB239" i="1"/>
  <c r="K239" i="1"/>
  <c r="AJ239" i="1"/>
  <c r="A240" i="1"/>
  <c r="X239" i="1"/>
  <c r="L239" i="1"/>
  <c r="D239" i="1" s="1"/>
  <c r="X229" i="25"/>
  <c r="A230" i="25"/>
  <c r="K229" i="25"/>
  <c r="AB229" i="25"/>
  <c r="AB233" i="20"/>
  <c r="A234" i="20"/>
  <c r="X233" i="20"/>
  <c r="K233" i="20"/>
  <c r="K234" i="20"/>
  <c r="X234" i="20"/>
  <c r="A235" i="20"/>
  <c r="AB234" i="20"/>
  <c r="X232" i="23"/>
  <c r="A233" i="23"/>
  <c r="AB232" i="23"/>
  <c r="K232" i="23"/>
  <c r="X233" i="22"/>
  <c r="AB233" i="22"/>
  <c r="K233" i="22"/>
  <c r="A234" i="22"/>
  <c r="A236" i="18"/>
  <c r="AB235" i="18"/>
  <c r="K235" i="18"/>
  <c r="X235" i="18"/>
  <c r="AB242" i="15"/>
  <c r="L242" i="15"/>
  <c r="A243" i="15"/>
  <c r="X242" i="15"/>
  <c r="K242" i="15"/>
  <c r="X236" i="17"/>
  <c r="A237" i="17"/>
  <c r="K236" i="17"/>
  <c r="AB236" i="17"/>
  <c r="K230" i="25"/>
  <c r="A231" i="25"/>
  <c r="AB230" i="25"/>
  <c r="X230" i="25"/>
  <c r="AK240" i="1"/>
  <c r="L240" i="1"/>
  <c r="D240" i="1" s="1"/>
  <c r="A241" i="1"/>
  <c r="AJ240" i="1"/>
  <c r="K240" i="1"/>
  <c r="X240" i="1"/>
  <c r="AB240" i="1"/>
  <c r="K231" i="24"/>
  <c r="A232" i="24"/>
  <c r="X231" i="24"/>
  <c r="AB231" i="24"/>
  <c r="B39" i="7"/>
  <c r="A239" i="16"/>
  <c r="K238" i="16"/>
  <c r="X238" i="16"/>
  <c r="L238" i="16"/>
  <c r="AB238" i="16"/>
  <c r="D238" i="16"/>
  <c r="A240" i="16"/>
  <c r="L239" i="16"/>
  <c r="D239" i="16" s="1"/>
  <c r="X239" i="16"/>
  <c r="K239" i="16"/>
  <c r="AB239" i="16"/>
  <c r="AJ241" i="1"/>
  <c r="K241" i="1"/>
  <c r="AB241" i="1"/>
  <c r="A27" i="7"/>
  <c r="A242" i="1"/>
  <c r="L241" i="1"/>
  <c r="D241" i="1" s="1"/>
  <c r="AK241" i="1"/>
  <c r="X241" i="1"/>
  <c r="A238" i="17"/>
  <c r="AB237" i="17"/>
  <c r="X237" i="17"/>
  <c r="K237" i="17"/>
  <c r="D242" i="15"/>
  <c r="K236" i="18"/>
  <c r="X236" i="18"/>
  <c r="A237" i="18"/>
  <c r="AB236" i="18"/>
  <c r="AB234" i="22"/>
  <c r="K234" i="22"/>
  <c r="A235" i="22"/>
  <c r="X234" i="22"/>
  <c r="AB232" i="24"/>
  <c r="X232" i="24"/>
  <c r="A233" i="24"/>
  <c r="K232" i="24"/>
  <c r="A232" i="25"/>
  <c r="AB231" i="25"/>
  <c r="K231" i="25"/>
  <c r="X231" i="25"/>
  <c r="X243" i="15"/>
  <c r="A244" i="15"/>
  <c r="K243" i="15"/>
  <c r="AB243" i="15"/>
  <c r="L243" i="15"/>
  <c r="D243" i="15" s="1"/>
  <c r="AB233" i="23"/>
  <c r="A234" i="23"/>
  <c r="K233" i="23"/>
  <c r="X233" i="23"/>
  <c r="X235" i="20"/>
  <c r="K235" i="20"/>
  <c r="AB235" i="20"/>
  <c r="A236" i="20"/>
  <c r="X234" i="23"/>
  <c r="K234" i="23"/>
  <c r="A235" i="23"/>
  <c r="AB234" i="23"/>
  <c r="L244" i="15"/>
  <c r="D244" i="15" s="1"/>
  <c r="K244" i="15"/>
  <c r="AB244" i="15"/>
  <c r="A245" i="15"/>
  <c r="X244" i="15"/>
  <c r="AB232" i="25"/>
  <c r="K232" i="25"/>
  <c r="X232" i="25"/>
  <c r="A233" i="25"/>
  <c r="X238" i="17"/>
  <c r="A239" i="17"/>
  <c r="AB238" i="17"/>
  <c r="K238" i="17"/>
  <c r="B27" i="7"/>
  <c r="X236" i="20"/>
  <c r="A237" i="20"/>
  <c r="K236" i="20"/>
  <c r="AB236" i="20"/>
  <c r="A234" i="24"/>
  <c r="X233" i="24"/>
  <c r="K233" i="24"/>
  <c r="AB233" i="24"/>
  <c r="AB235" i="22"/>
  <c r="A236" i="22"/>
  <c r="X235" i="22"/>
  <c r="K235" i="22"/>
  <c r="AB237" i="18"/>
  <c r="K237" i="18"/>
  <c r="X237" i="18"/>
  <c r="A238" i="18"/>
  <c r="AK242" i="1"/>
  <c r="AB242" i="1"/>
  <c r="K242" i="1"/>
  <c r="L242" i="1"/>
  <c r="D242" i="1" s="1"/>
  <c r="A243" i="1"/>
  <c r="AJ242" i="1"/>
  <c r="X242" i="1"/>
  <c r="A241" i="16"/>
  <c r="X240" i="16"/>
  <c r="L240" i="16"/>
  <c r="D240" i="16" s="1"/>
  <c r="K240" i="16"/>
  <c r="AB240" i="16"/>
  <c r="K238" i="18"/>
  <c r="X238" i="18"/>
  <c r="A239" i="18"/>
  <c r="AB238" i="18"/>
  <c r="AB236" i="22"/>
  <c r="X236" i="22"/>
  <c r="A237" i="22"/>
  <c r="K236" i="22"/>
  <c r="X234" i="24"/>
  <c r="A235" i="24"/>
  <c r="AB234" i="24"/>
  <c r="K234" i="24"/>
  <c r="X245" i="15"/>
  <c r="AB245" i="15"/>
  <c r="K245" i="15"/>
  <c r="A246" i="15"/>
  <c r="L245" i="15"/>
  <c r="D245" i="15" s="1"/>
  <c r="AB235" i="23"/>
  <c r="X235" i="23"/>
  <c r="A236" i="23"/>
  <c r="K235" i="23"/>
  <c r="A51" i="7"/>
  <c r="X241" i="16"/>
  <c r="AB241" i="16"/>
  <c r="K241" i="16"/>
  <c r="L241" i="16"/>
  <c r="D241" i="16" s="1"/>
  <c r="A242" i="16"/>
  <c r="AJ243" i="1"/>
  <c r="A244" i="1"/>
  <c r="AB243" i="1"/>
  <c r="K243" i="1"/>
  <c r="AK243" i="1"/>
  <c r="X243" i="1"/>
  <c r="L243" i="1"/>
  <c r="D243" i="1" s="1"/>
  <c r="A238" i="20"/>
  <c r="X237" i="20"/>
  <c r="K237" i="20"/>
  <c r="AB237" i="20"/>
  <c r="AB239" i="17"/>
  <c r="K239" i="17"/>
  <c r="X239" i="17"/>
  <c r="A240" i="17"/>
  <c r="X233" i="25"/>
  <c r="AB233" i="25"/>
  <c r="K233" i="25"/>
  <c r="A234" i="25"/>
  <c r="AB242" i="16"/>
  <c r="X242" i="16"/>
  <c r="L242" i="16"/>
  <c r="D242" i="16" s="1"/>
  <c r="A243" i="16"/>
  <c r="K242" i="16"/>
  <c r="B51" i="7"/>
  <c r="AB246" i="15"/>
  <c r="L246" i="15"/>
  <c r="D246" i="15" s="1"/>
  <c r="K246" i="15"/>
  <c r="X246" i="15"/>
  <c r="A247" i="15"/>
  <c r="A236" i="24"/>
  <c r="K235" i="24"/>
  <c r="AB235" i="24"/>
  <c r="X235" i="24"/>
  <c r="A240" i="18"/>
  <c r="AB239" i="18"/>
  <c r="K239" i="18"/>
  <c r="X239" i="18"/>
  <c r="AB234" i="25"/>
  <c r="K234" i="25"/>
  <c r="A235" i="25"/>
  <c r="X234" i="25"/>
  <c r="X240" i="17"/>
  <c r="K240" i="17"/>
  <c r="AB240" i="17"/>
  <c r="A241" i="17"/>
  <c r="AB238" i="20"/>
  <c r="X238" i="20"/>
  <c r="K238" i="20"/>
  <c r="A239" i="20"/>
  <c r="AK244" i="1"/>
  <c r="X244" i="1"/>
  <c r="AB244" i="1"/>
  <c r="K244" i="1"/>
  <c r="AJ244" i="1"/>
  <c r="L244" i="1"/>
  <c r="D244" i="1" s="1"/>
  <c r="A245" i="1"/>
  <c r="K236" i="23"/>
  <c r="A237" i="23"/>
  <c r="X236" i="23"/>
  <c r="AB236" i="23"/>
  <c r="K237" i="22"/>
  <c r="AB237" i="22"/>
  <c r="X237" i="22"/>
  <c r="A238" i="22"/>
  <c r="X237" i="23"/>
  <c r="A238" i="23"/>
  <c r="K237" i="23"/>
  <c r="AB237" i="23"/>
  <c r="AB241" i="17"/>
  <c r="X241" i="17"/>
  <c r="A63" i="7"/>
  <c r="K241" i="17"/>
  <c r="A242" i="17"/>
  <c r="AB243" i="16"/>
  <c r="X243" i="16"/>
  <c r="A244" i="16"/>
  <c r="K243" i="16"/>
  <c r="L243" i="16"/>
  <c r="D243" i="16" s="1"/>
  <c r="A239" i="22"/>
  <c r="K238" i="22"/>
  <c r="X238" i="22"/>
  <c r="AB238" i="22"/>
  <c r="AJ245" i="1"/>
  <c r="A246" i="1"/>
  <c r="L245" i="1"/>
  <c r="D245" i="1" s="1"/>
  <c r="X245" i="1"/>
  <c r="AB245" i="1"/>
  <c r="AK245" i="1"/>
  <c r="K245" i="1"/>
  <c r="AB239" i="20"/>
  <c r="A240" i="20"/>
  <c r="X239" i="20"/>
  <c r="K239" i="20"/>
  <c r="AB235" i="25"/>
  <c r="A236" i="25"/>
  <c r="K235" i="25"/>
  <c r="X235" i="25"/>
  <c r="AB240" i="18"/>
  <c r="X240" i="18"/>
  <c r="K240" i="18"/>
  <c r="A241" i="18"/>
  <c r="K236" i="24"/>
  <c r="A237" i="24"/>
  <c r="AB236" i="24"/>
  <c r="X236" i="24"/>
  <c r="X247" i="15"/>
  <c r="K247" i="15"/>
  <c r="L247" i="15"/>
  <c r="D247" i="15" s="1"/>
  <c r="AB247" i="15"/>
  <c r="A248" i="15"/>
  <c r="AB237" i="24"/>
  <c r="A238" i="24"/>
  <c r="K237" i="24"/>
  <c r="X237" i="24"/>
  <c r="A75" i="7"/>
  <c r="A242" i="18"/>
  <c r="X241" i="18"/>
  <c r="AB241" i="18"/>
  <c r="K241" i="18"/>
  <c r="AB236" i="25"/>
  <c r="A237" i="25"/>
  <c r="X236" i="25"/>
  <c r="K236" i="25"/>
  <c r="X240" i="20"/>
  <c r="AB240" i="20"/>
  <c r="A241" i="20"/>
  <c r="K240" i="20"/>
  <c r="AK246" i="1"/>
  <c r="A247" i="1"/>
  <c r="X246" i="1"/>
  <c r="AJ246" i="1"/>
  <c r="K246" i="1"/>
  <c r="L246" i="1"/>
  <c r="D246" i="1" s="1"/>
  <c r="AB246" i="1"/>
  <c r="A239" i="23"/>
  <c r="AB238" i="23"/>
  <c r="X238" i="23"/>
  <c r="K238" i="23"/>
  <c r="L248" i="15"/>
  <c r="D248" i="15" s="1"/>
  <c r="X248" i="15"/>
  <c r="K248" i="15"/>
  <c r="AB248" i="15"/>
  <c r="A249" i="15"/>
  <c r="K239" i="22"/>
  <c r="X239" i="22"/>
  <c r="AB239" i="22"/>
  <c r="A240" i="22"/>
  <c r="AB244" i="16"/>
  <c r="L244" i="16"/>
  <c r="D244" i="16" s="1"/>
  <c r="X244" i="16"/>
  <c r="A245" i="16"/>
  <c r="K244" i="16"/>
  <c r="AB242" i="17"/>
  <c r="K242" i="17"/>
  <c r="X242" i="17"/>
  <c r="A243" i="17"/>
  <c r="A244" i="17"/>
  <c r="AB243" i="17"/>
  <c r="K243" i="17"/>
  <c r="X243" i="17"/>
  <c r="X245" i="16"/>
  <c r="L245" i="16"/>
  <c r="D245" i="16" s="1"/>
  <c r="AB245" i="16"/>
  <c r="A246" i="16"/>
  <c r="K245" i="16"/>
  <c r="AK247" i="1"/>
  <c r="K247" i="1"/>
  <c r="AB247" i="1"/>
  <c r="L247" i="1"/>
  <c r="A248" i="1"/>
  <c r="X247" i="1"/>
  <c r="AJ247" i="1"/>
  <c r="A243" i="18"/>
  <c r="K242" i="18"/>
  <c r="AB242" i="18"/>
  <c r="X242" i="18"/>
  <c r="A241" i="22"/>
  <c r="X240" i="22"/>
  <c r="K240" i="22"/>
  <c r="AB240" i="22"/>
  <c r="AB249" i="15"/>
  <c r="K249" i="15"/>
  <c r="L249" i="15"/>
  <c r="A250" i="15"/>
  <c r="X249" i="15"/>
  <c r="A240" i="23"/>
  <c r="AB239" i="23"/>
  <c r="X239" i="23"/>
  <c r="K239" i="23"/>
  <c r="AB241" i="20"/>
  <c r="A242" i="20"/>
  <c r="AE27" i="7"/>
  <c r="K241" i="20"/>
  <c r="X241" i="20"/>
  <c r="K237" i="25"/>
  <c r="AB237" i="25"/>
  <c r="A238" i="25"/>
  <c r="X237" i="25"/>
  <c r="AB238" i="24"/>
  <c r="A239" i="24"/>
  <c r="X238" i="24"/>
  <c r="K238" i="24"/>
  <c r="K239" i="24"/>
  <c r="A240" i="24"/>
  <c r="AB239" i="24"/>
  <c r="X239" i="24"/>
  <c r="D249" i="15"/>
  <c r="X241" i="22"/>
  <c r="AE39" i="7"/>
  <c r="AB241" i="22"/>
  <c r="A242" i="22"/>
  <c r="K241" i="22"/>
  <c r="K243" i="18"/>
  <c r="X243" i="18"/>
  <c r="A244" i="18"/>
  <c r="AB243" i="18"/>
  <c r="AK248" i="1"/>
  <c r="X248" i="1"/>
  <c r="A249" i="1"/>
  <c r="AB248" i="1"/>
  <c r="L248" i="1"/>
  <c r="D248" i="1" s="1"/>
  <c r="AJ248" i="1"/>
  <c r="K248" i="1"/>
  <c r="K244" i="17"/>
  <c r="A245" i="17"/>
  <c r="AB244" i="17"/>
  <c r="X244" i="17"/>
  <c r="AB238" i="25"/>
  <c r="K238" i="25"/>
  <c r="X238" i="25"/>
  <c r="A239" i="25"/>
  <c r="AB242" i="20"/>
  <c r="K242" i="20"/>
  <c r="X242" i="20"/>
  <c r="A243" i="20"/>
  <c r="X240" i="23"/>
  <c r="A241" i="23"/>
  <c r="AB240" i="23"/>
  <c r="K240" i="23"/>
  <c r="X250" i="15"/>
  <c r="A251" i="15"/>
  <c r="K250" i="15"/>
  <c r="AB250" i="15"/>
  <c r="L250" i="15"/>
  <c r="D247" i="1"/>
  <c r="A247" i="16"/>
  <c r="K246" i="16"/>
  <c r="X246" i="16"/>
  <c r="AB246" i="16"/>
  <c r="L246" i="16"/>
  <c r="D246" i="16" s="1"/>
  <c r="K247" i="16"/>
  <c r="X247" i="16"/>
  <c r="A248" i="16"/>
  <c r="AB247" i="16"/>
  <c r="L247" i="16"/>
  <c r="D250" i="15"/>
  <c r="AB241" i="23"/>
  <c r="K241" i="23"/>
  <c r="AE51" i="7"/>
  <c r="X241" i="23"/>
  <c r="A242" i="23"/>
  <c r="K239" i="25"/>
  <c r="AB239" i="25"/>
  <c r="X239" i="25"/>
  <c r="A240" i="25"/>
  <c r="AJ249" i="1"/>
  <c r="AB249" i="1"/>
  <c r="L249" i="1"/>
  <c r="D249" i="1" s="1"/>
  <c r="A250" i="1"/>
  <c r="K249" i="1"/>
  <c r="AK249" i="1"/>
  <c r="X249" i="1"/>
  <c r="X240" i="24"/>
  <c r="K240" i="24"/>
  <c r="AB240" i="24"/>
  <c r="A241" i="24"/>
  <c r="AB251" i="15"/>
  <c r="X251" i="15"/>
  <c r="K251" i="15"/>
  <c r="A252" i="15"/>
  <c r="L251" i="15"/>
  <c r="D251" i="15" s="1"/>
  <c r="A244" i="20"/>
  <c r="AB243" i="20"/>
  <c r="K243" i="20"/>
  <c r="X243" i="20"/>
  <c r="K245" i="17"/>
  <c r="A246" i="17"/>
  <c r="AB245" i="17"/>
  <c r="X245" i="17"/>
  <c r="AB244" i="18"/>
  <c r="X244" i="18"/>
  <c r="A245" i="18"/>
  <c r="K244" i="18"/>
  <c r="AB242" i="22"/>
  <c r="A243" i="22"/>
  <c r="X242" i="22"/>
  <c r="K242" i="22"/>
  <c r="AB245" i="18"/>
  <c r="X245" i="18"/>
  <c r="A246" i="18"/>
  <c r="K245" i="18"/>
  <c r="X244" i="20"/>
  <c r="A245" i="20"/>
  <c r="AB244" i="20"/>
  <c r="K244" i="20"/>
  <c r="D247" i="16"/>
  <c r="A249" i="16"/>
  <c r="L248" i="16"/>
  <c r="D248" i="16" s="1"/>
  <c r="K248" i="16"/>
  <c r="AB248" i="16"/>
  <c r="X248" i="16"/>
  <c r="K243" i="22"/>
  <c r="A244" i="22"/>
  <c r="AB243" i="22"/>
  <c r="X243" i="22"/>
  <c r="K246" i="17"/>
  <c r="A247" i="17"/>
  <c r="AB246" i="17"/>
  <c r="X246" i="17"/>
  <c r="L252" i="15"/>
  <c r="D252" i="15" s="1"/>
  <c r="AB252" i="15"/>
  <c r="K252" i="15"/>
  <c r="A253" i="15"/>
  <c r="X252" i="15"/>
  <c r="K241" i="24"/>
  <c r="AE63" i="7"/>
  <c r="X241" i="24"/>
  <c r="AB241" i="24"/>
  <c r="A242" i="24"/>
  <c r="AJ250" i="1"/>
  <c r="K250" i="1"/>
  <c r="L250" i="1"/>
  <c r="D250" i="1" s="1"/>
  <c r="AB250" i="1"/>
  <c r="X250" i="1"/>
  <c r="A251" i="1"/>
  <c r="AK250" i="1"/>
  <c r="X240" i="25"/>
  <c r="AB240" i="25"/>
  <c r="K240" i="25"/>
  <c r="A241" i="25"/>
  <c r="X242" i="23"/>
  <c r="K242" i="23"/>
  <c r="AB242" i="23"/>
  <c r="A243" i="23"/>
  <c r="X247" i="17"/>
  <c r="A248" i="17"/>
  <c r="AB247" i="17"/>
  <c r="K247" i="17"/>
  <c r="K249" i="16"/>
  <c r="AB249" i="16"/>
  <c r="X249" i="16"/>
  <c r="A250" i="16"/>
  <c r="L249" i="16"/>
  <c r="AB245" i="20"/>
  <c r="K245" i="20"/>
  <c r="X245" i="20"/>
  <c r="A246" i="20"/>
  <c r="A247" i="18"/>
  <c r="K246" i="18"/>
  <c r="AB246" i="18"/>
  <c r="X246" i="18"/>
  <c r="X243" i="23"/>
  <c r="AB243" i="23"/>
  <c r="K243" i="23"/>
  <c r="A244" i="23"/>
  <c r="X241" i="25"/>
  <c r="A242" i="25"/>
  <c r="AE75" i="7"/>
  <c r="K241" i="25"/>
  <c r="AB241" i="25"/>
  <c r="AJ251" i="1"/>
  <c r="AB251" i="1"/>
  <c r="A252" i="1"/>
  <c r="L251" i="1"/>
  <c r="D251" i="1" s="1"/>
  <c r="AK251" i="1"/>
  <c r="K251" i="1"/>
  <c r="X251" i="1"/>
  <c r="X242" i="24"/>
  <c r="K242" i="24"/>
  <c r="AB242" i="24"/>
  <c r="A243" i="24"/>
  <c r="X253" i="15"/>
  <c r="AB253" i="15"/>
  <c r="L253" i="15"/>
  <c r="D253" i="15" s="1"/>
  <c r="K253" i="15"/>
  <c r="A254" i="15"/>
  <c r="K244" i="22"/>
  <c r="A245" i="22"/>
  <c r="AB244" i="22"/>
  <c r="X244" i="22"/>
  <c r="X243" i="24"/>
  <c r="A244" i="24"/>
  <c r="K243" i="24"/>
  <c r="AB243" i="24"/>
  <c r="AJ252" i="1"/>
  <c r="X252" i="1"/>
  <c r="A253" i="1"/>
  <c r="AB252" i="1"/>
  <c r="AK252" i="1"/>
  <c r="K252" i="1"/>
  <c r="L252" i="1"/>
  <c r="D252" i="1" s="1"/>
  <c r="AB247" i="18"/>
  <c r="K247" i="18"/>
  <c r="A248" i="18"/>
  <c r="X247" i="18"/>
  <c r="AB248" i="17"/>
  <c r="K248" i="17"/>
  <c r="A249" i="17"/>
  <c r="X248" i="17"/>
  <c r="A246" i="22"/>
  <c r="AB245" i="22"/>
  <c r="K245" i="22"/>
  <c r="X245" i="22"/>
  <c r="K254" i="15"/>
  <c r="X254" i="15"/>
  <c r="A255" i="15"/>
  <c r="L254" i="15"/>
  <c r="D254" i="15" s="1"/>
  <c r="AB254" i="15"/>
  <c r="K242" i="25"/>
  <c r="A243" i="25"/>
  <c r="X242" i="25"/>
  <c r="AB242" i="25"/>
  <c r="A245" i="23"/>
  <c r="AB244" i="23"/>
  <c r="K244" i="23"/>
  <c r="X244" i="23"/>
  <c r="A247" i="20"/>
  <c r="X246" i="20"/>
  <c r="AB246" i="20"/>
  <c r="K246" i="20"/>
  <c r="D249" i="16"/>
  <c r="X250" i="16"/>
  <c r="L250" i="16"/>
  <c r="D250" i="16" s="1"/>
  <c r="A251" i="16"/>
  <c r="K250" i="16"/>
  <c r="AB250" i="16"/>
  <c r="K251" i="16"/>
  <c r="X251" i="16"/>
  <c r="AB251" i="16"/>
  <c r="A252" i="16"/>
  <c r="L251" i="16"/>
  <c r="D251" i="16" s="1"/>
  <c r="AB247" i="20"/>
  <c r="A248" i="20"/>
  <c r="X247" i="20"/>
  <c r="K247" i="20"/>
  <c r="X243" i="25"/>
  <c r="K243" i="25"/>
  <c r="A244" i="25"/>
  <c r="AB243" i="25"/>
  <c r="K255" i="15"/>
  <c r="A256" i="15"/>
  <c r="AB255" i="15"/>
  <c r="X255" i="15"/>
  <c r="L255" i="15"/>
  <c r="D255" i="15" s="1"/>
  <c r="A247" i="22"/>
  <c r="X246" i="22"/>
  <c r="AB246" i="22"/>
  <c r="K246" i="22"/>
  <c r="A250" i="17"/>
  <c r="AB249" i="17"/>
  <c r="K249" i="17"/>
  <c r="X249" i="17"/>
  <c r="AB244" i="24"/>
  <c r="X244" i="24"/>
  <c r="A245" i="24"/>
  <c r="K244" i="24"/>
  <c r="X245" i="23"/>
  <c r="AB245" i="23"/>
  <c r="A246" i="23"/>
  <c r="K245" i="23"/>
  <c r="A249" i="18"/>
  <c r="K248" i="18"/>
  <c r="X248" i="18"/>
  <c r="AB248" i="18"/>
  <c r="AJ253" i="1"/>
  <c r="X253" i="1"/>
  <c r="K253" i="1"/>
  <c r="AB253" i="1"/>
  <c r="L253" i="1"/>
  <c r="A254" i="1"/>
  <c r="AK253" i="1"/>
  <c r="AK254" i="1"/>
  <c r="L254" i="1"/>
  <c r="D254" i="1" s="1"/>
  <c r="AB254" i="1"/>
  <c r="A255" i="1"/>
  <c r="K254" i="1"/>
  <c r="AJ254" i="1"/>
  <c r="X254" i="1"/>
  <c r="D253" i="1"/>
  <c r="AB249" i="18"/>
  <c r="K249" i="18"/>
  <c r="X249" i="18"/>
  <c r="A250" i="18"/>
  <c r="AB247" i="22"/>
  <c r="A248" i="22"/>
  <c r="K247" i="22"/>
  <c r="X247" i="22"/>
  <c r="AB256" i="15"/>
  <c r="A257" i="15"/>
  <c r="X256" i="15"/>
  <c r="L256" i="15"/>
  <c r="D256" i="15" s="1"/>
  <c r="K256" i="15"/>
  <c r="A245" i="25"/>
  <c r="K244" i="25"/>
  <c r="AB244" i="25"/>
  <c r="X244" i="25"/>
  <c r="AB248" i="20"/>
  <c r="A249" i="20"/>
  <c r="K248" i="20"/>
  <c r="X248" i="20"/>
  <c r="AB252" i="16"/>
  <c r="X252" i="16"/>
  <c r="K252" i="16"/>
  <c r="L252" i="16"/>
  <c r="D252" i="16" s="1"/>
  <c r="A253" i="16"/>
  <c r="AB246" i="23"/>
  <c r="X246" i="23"/>
  <c r="K246" i="23"/>
  <c r="A247" i="23"/>
  <c r="X245" i="24"/>
  <c r="AB245" i="24"/>
  <c r="A246" i="24"/>
  <c r="K245" i="24"/>
  <c r="X250" i="17"/>
  <c r="AB250" i="17"/>
  <c r="A251" i="17"/>
  <c r="K250" i="17"/>
  <c r="K247" i="23"/>
  <c r="AB247" i="23"/>
  <c r="A248" i="23"/>
  <c r="X247" i="23"/>
  <c r="A254" i="16"/>
  <c r="AB253" i="16"/>
  <c r="L253" i="16"/>
  <c r="D253" i="16" s="1"/>
  <c r="K253" i="16"/>
  <c r="X253" i="16"/>
  <c r="AB245" i="25"/>
  <c r="X245" i="25"/>
  <c r="K245" i="25"/>
  <c r="A246" i="25"/>
  <c r="X257" i="15"/>
  <c r="AB257" i="15"/>
  <c r="L257" i="15"/>
  <c r="D257" i="15" s="1"/>
  <c r="K257" i="15"/>
  <c r="A258" i="15"/>
  <c r="X251" i="17"/>
  <c r="A252" i="17"/>
  <c r="AB251" i="17"/>
  <c r="K251" i="17"/>
  <c r="AB246" i="24"/>
  <c r="X246" i="24"/>
  <c r="K246" i="24"/>
  <c r="A247" i="24"/>
  <c r="X249" i="20"/>
  <c r="AB249" i="20"/>
  <c r="A250" i="20"/>
  <c r="K249" i="20"/>
  <c r="A249" i="22"/>
  <c r="X248" i="22"/>
  <c r="AB248" i="22"/>
  <c r="K248" i="22"/>
  <c r="K250" i="18"/>
  <c r="X250" i="18"/>
  <c r="AB250" i="18"/>
  <c r="A251" i="18"/>
  <c r="AK255" i="1"/>
  <c r="AB255" i="1"/>
  <c r="X255" i="1"/>
  <c r="AJ255" i="1"/>
  <c r="A256" i="1"/>
  <c r="L255" i="1"/>
  <c r="K255" i="1"/>
  <c r="AJ256" i="1"/>
  <c r="A257" i="1"/>
  <c r="X256" i="1"/>
  <c r="K256" i="1"/>
  <c r="AB256" i="1"/>
  <c r="AK256" i="1"/>
  <c r="L256" i="1"/>
  <c r="D256" i="1" s="1"/>
  <c r="A250" i="22"/>
  <c r="K249" i="22"/>
  <c r="AB249" i="22"/>
  <c r="X249" i="22"/>
  <c r="X247" i="24"/>
  <c r="K247" i="24"/>
  <c r="A248" i="24"/>
  <c r="AB247" i="24"/>
  <c r="AB246" i="25"/>
  <c r="X246" i="25"/>
  <c r="A247" i="25"/>
  <c r="K246" i="25"/>
  <c r="X254" i="16"/>
  <c r="AB254" i="16"/>
  <c r="A255" i="16"/>
  <c r="L254" i="16"/>
  <c r="D254" i="16" s="1"/>
  <c r="K254" i="16"/>
  <c r="X248" i="23"/>
  <c r="A249" i="23"/>
  <c r="AB248" i="23"/>
  <c r="K248" i="23"/>
  <c r="D255" i="1"/>
  <c r="AB251" i="18"/>
  <c r="K251" i="18"/>
  <c r="X251" i="18"/>
  <c r="A252" i="18"/>
  <c r="K250" i="20"/>
  <c r="AB250" i="20"/>
  <c r="A251" i="20"/>
  <c r="X250" i="20"/>
  <c r="AB252" i="17"/>
  <c r="X252" i="17"/>
  <c r="K252" i="17"/>
  <c r="A253" i="17"/>
  <c r="A259" i="15"/>
  <c r="L258" i="15"/>
  <c r="D258" i="15" s="1"/>
  <c r="AB258" i="15"/>
  <c r="X258" i="15"/>
  <c r="K258" i="15"/>
  <c r="X259" i="15"/>
  <c r="AB259" i="15"/>
  <c r="A260" i="15"/>
  <c r="L259" i="15"/>
  <c r="D259" i="15" s="1"/>
  <c r="K259" i="15"/>
  <c r="A253" i="18"/>
  <c r="AB252" i="18"/>
  <c r="K252" i="18"/>
  <c r="X252" i="18"/>
  <c r="X250" i="22"/>
  <c r="K250" i="22"/>
  <c r="AB250" i="22"/>
  <c r="A251" i="22"/>
  <c r="K253" i="17"/>
  <c r="A254" i="17"/>
  <c r="X253" i="17"/>
  <c r="AB253" i="17"/>
  <c r="K251" i="20"/>
  <c r="AB251" i="20"/>
  <c r="X251" i="20"/>
  <c r="A252" i="20"/>
  <c r="X249" i="23"/>
  <c r="AB249" i="23"/>
  <c r="K249" i="23"/>
  <c r="A250" i="23"/>
  <c r="X255" i="16"/>
  <c r="L255" i="16"/>
  <c r="D255" i="16" s="1"/>
  <c r="K255" i="16"/>
  <c r="A256" i="16"/>
  <c r="AB255" i="16"/>
  <c r="X247" i="25"/>
  <c r="K247" i="25"/>
  <c r="A248" i="25"/>
  <c r="AB247" i="25"/>
  <c r="AB248" i="24"/>
  <c r="K248" i="24"/>
  <c r="X248" i="24"/>
  <c r="A249" i="24"/>
  <c r="AJ257" i="1"/>
  <c r="K257" i="1"/>
  <c r="L257" i="1"/>
  <c r="D257" i="1" s="1"/>
  <c r="AB257" i="1"/>
  <c r="AK257" i="1"/>
  <c r="X257" i="1"/>
  <c r="A258" i="1"/>
  <c r="K249" i="24"/>
  <c r="AB249" i="24"/>
  <c r="X249" i="24"/>
  <c r="A250" i="24"/>
  <c r="A249" i="25"/>
  <c r="X248" i="25"/>
  <c r="AB248" i="25"/>
  <c r="K248" i="25"/>
  <c r="K250" i="23"/>
  <c r="A251" i="23"/>
  <c r="X250" i="23"/>
  <c r="AB250" i="23"/>
  <c r="X252" i="20"/>
  <c r="A253" i="20"/>
  <c r="AB252" i="20"/>
  <c r="K252" i="20"/>
  <c r="A255" i="17"/>
  <c r="K254" i="17"/>
  <c r="X254" i="17"/>
  <c r="AB254" i="17"/>
  <c r="AB251" i="22"/>
  <c r="K251" i="22"/>
  <c r="A252" i="22"/>
  <c r="X251" i="22"/>
  <c r="X253" i="18"/>
  <c r="A254" i="18"/>
  <c r="AB253" i="18"/>
  <c r="K253" i="18"/>
  <c r="AJ258" i="1"/>
  <c r="K258" i="1"/>
  <c r="X258" i="1"/>
  <c r="AB258" i="1"/>
  <c r="AK258" i="1"/>
  <c r="L258" i="1"/>
  <c r="D258" i="1" s="1"/>
  <c r="A259" i="1"/>
  <c r="A257" i="16"/>
  <c r="L256" i="16"/>
  <c r="D256" i="16" s="1"/>
  <c r="X256" i="16"/>
  <c r="AB256" i="16"/>
  <c r="K256" i="16"/>
  <c r="A261" i="15"/>
  <c r="L260" i="15"/>
  <c r="K260" i="15"/>
  <c r="AB260" i="15"/>
  <c r="X260" i="15"/>
  <c r="D260" i="15"/>
  <c r="AJ259" i="1"/>
  <c r="X259" i="1"/>
  <c r="K259" i="1"/>
  <c r="A260" i="1"/>
  <c r="L259" i="1"/>
  <c r="D259" i="1" s="1"/>
  <c r="AB259" i="1"/>
  <c r="AK259" i="1"/>
  <c r="K252" i="22"/>
  <c r="X252" i="22"/>
  <c r="AB252" i="22"/>
  <c r="A253" i="22"/>
  <c r="AB250" i="24"/>
  <c r="X250" i="24"/>
  <c r="A251" i="24"/>
  <c r="K250" i="24"/>
  <c r="A262" i="15"/>
  <c r="AB261" i="15"/>
  <c r="K261" i="15"/>
  <c r="L261" i="15"/>
  <c r="D261" i="15" s="1"/>
  <c r="X261" i="15"/>
  <c r="K257" i="16"/>
  <c r="A258" i="16"/>
  <c r="AB257" i="16"/>
  <c r="X257" i="16"/>
  <c r="L257" i="16"/>
  <c r="D257" i="16" s="1"/>
  <c r="AB254" i="18"/>
  <c r="A255" i="18"/>
  <c r="X254" i="18"/>
  <c r="K254" i="18"/>
  <c r="X255" i="17"/>
  <c r="K255" i="17"/>
  <c r="AB255" i="17"/>
  <c r="A256" i="17"/>
  <c r="X253" i="20"/>
  <c r="A254" i="20"/>
  <c r="K253" i="20"/>
  <c r="AB253" i="20"/>
  <c r="X251" i="23"/>
  <c r="K251" i="23"/>
  <c r="AB251" i="23"/>
  <c r="A252" i="23"/>
  <c r="X249" i="25"/>
  <c r="K249" i="25"/>
  <c r="AB249" i="25"/>
  <c r="A250" i="25"/>
  <c r="K250" i="25"/>
  <c r="A251" i="25"/>
  <c r="AB250" i="25"/>
  <c r="X250" i="25"/>
  <c r="AB254" i="20"/>
  <c r="K254" i="20"/>
  <c r="X254" i="20"/>
  <c r="A255" i="20"/>
  <c r="X253" i="22"/>
  <c r="K253" i="22"/>
  <c r="A254" i="22"/>
  <c r="AB253" i="22"/>
  <c r="AJ260" i="1"/>
  <c r="AB260" i="1"/>
  <c r="X260" i="1"/>
  <c r="L260" i="1"/>
  <c r="D260" i="1" s="1"/>
  <c r="AK260" i="1"/>
  <c r="K260" i="1"/>
  <c r="A261" i="1"/>
  <c r="A253" i="23"/>
  <c r="AB252" i="23"/>
  <c r="K252" i="23"/>
  <c r="X252" i="23"/>
  <c r="K256" i="17"/>
  <c r="A257" i="17"/>
  <c r="X256" i="17"/>
  <c r="AB256" i="17"/>
  <c r="K255" i="18"/>
  <c r="AB255" i="18"/>
  <c r="A256" i="18"/>
  <c r="X255" i="18"/>
  <c r="AB258" i="16"/>
  <c r="A259" i="16"/>
  <c r="K258" i="16"/>
  <c r="X258" i="16"/>
  <c r="L258" i="16"/>
  <c r="D258" i="16" s="1"/>
  <c r="L262" i="15"/>
  <c r="D262" i="15" s="1"/>
  <c r="A263" i="15"/>
  <c r="AB262" i="15"/>
  <c r="K262" i="15"/>
  <c r="X262" i="15"/>
  <c r="X251" i="24"/>
  <c r="K251" i="24"/>
  <c r="A252" i="24"/>
  <c r="AB251" i="24"/>
  <c r="A253" i="24"/>
  <c r="K252" i="24"/>
  <c r="X252" i="24"/>
  <c r="AB252" i="24"/>
  <c r="L263" i="15"/>
  <c r="D263" i="15" s="1"/>
  <c r="AB263" i="15"/>
  <c r="X263" i="15"/>
  <c r="A264" i="15"/>
  <c r="K263" i="15"/>
  <c r="X256" i="18"/>
  <c r="K256" i="18"/>
  <c r="A257" i="18"/>
  <c r="AB256" i="18"/>
  <c r="X253" i="23"/>
  <c r="K253" i="23"/>
  <c r="A254" i="23"/>
  <c r="AB253" i="23"/>
  <c r="A255" i="22"/>
  <c r="K254" i="22"/>
  <c r="AB254" i="22"/>
  <c r="X254" i="22"/>
  <c r="AB255" i="20"/>
  <c r="X255" i="20"/>
  <c r="A256" i="20"/>
  <c r="K255" i="20"/>
  <c r="K259" i="16"/>
  <c r="L259" i="16"/>
  <c r="D259" i="16" s="1"/>
  <c r="X259" i="16"/>
  <c r="AB259" i="16"/>
  <c r="A260" i="16"/>
  <c r="K257" i="17"/>
  <c r="AB257" i="17"/>
  <c r="X257" i="17"/>
  <c r="A258" i="17"/>
  <c r="AK261" i="1"/>
  <c r="K261" i="1"/>
  <c r="AB261" i="1"/>
  <c r="AJ261" i="1"/>
  <c r="L261" i="1"/>
  <c r="D261" i="1" s="1"/>
  <c r="A262" i="1"/>
  <c r="X261" i="1"/>
  <c r="X251" i="25"/>
  <c r="K251" i="25"/>
  <c r="AB251" i="25"/>
  <c r="A252" i="25"/>
  <c r="AJ262" i="1"/>
  <c r="AB262" i="1"/>
  <c r="K262" i="1"/>
  <c r="L262" i="1"/>
  <c r="D262" i="1" s="1"/>
  <c r="X262" i="1"/>
  <c r="AK262" i="1"/>
  <c r="A263" i="1"/>
  <c r="A256" i="22"/>
  <c r="X255" i="22"/>
  <c r="K255" i="22"/>
  <c r="AB255" i="22"/>
  <c r="K252" i="25"/>
  <c r="AB252" i="25"/>
  <c r="X252" i="25"/>
  <c r="A253" i="25"/>
  <c r="A259" i="17"/>
  <c r="X258" i="17"/>
  <c r="K258" i="17"/>
  <c r="AB258" i="17"/>
  <c r="AB260" i="16"/>
  <c r="K260" i="16"/>
  <c r="A261" i="16"/>
  <c r="X260" i="16"/>
  <c r="L260" i="16"/>
  <c r="D260" i="16" s="1"/>
  <c r="K256" i="20"/>
  <c r="AB256" i="20"/>
  <c r="X256" i="20"/>
  <c r="A257" i="20"/>
  <c r="K254" i="23"/>
  <c r="AB254" i="23"/>
  <c r="A255" i="23"/>
  <c r="X254" i="23"/>
  <c r="A258" i="18"/>
  <c r="X257" i="18"/>
  <c r="AB257" i="18"/>
  <c r="K257" i="18"/>
  <c r="L264" i="15"/>
  <c r="D264" i="15" s="1"/>
  <c r="K264" i="15"/>
  <c r="A265" i="15"/>
  <c r="AB264" i="15"/>
  <c r="X264" i="15"/>
  <c r="AB253" i="24"/>
  <c r="A254" i="24"/>
  <c r="K253" i="24"/>
  <c r="X253" i="24"/>
  <c r="A256" i="23"/>
  <c r="K255" i="23"/>
  <c r="X255" i="23"/>
  <c r="AB255" i="23"/>
  <c r="K257" i="20"/>
  <c r="AB257" i="20"/>
  <c r="A258" i="20"/>
  <c r="X257" i="20"/>
  <c r="AB261" i="16"/>
  <c r="K261" i="16"/>
  <c r="L261" i="16"/>
  <c r="D261" i="16" s="1"/>
  <c r="A262" i="16"/>
  <c r="X261" i="16"/>
  <c r="K259" i="17"/>
  <c r="A260" i="17"/>
  <c r="X259" i="17"/>
  <c r="AB259" i="17"/>
  <c r="AK263" i="1"/>
  <c r="A264" i="1"/>
  <c r="L263" i="1"/>
  <c r="K263" i="1"/>
  <c r="AB263" i="1"/>
  <c r="X263" i="1"/>
  <c r="AJ263" i="1"/>
  <c r="X265" i="15"/>
  <c r="L265" i="15"/>
  <c r="D265" i="15" s="1"/>
  <c r="A266" i="15"/>
  <c r="K265" i="15"/>
  <c r="AB265" i="15"/>
  <c r="X254" i="24"/>
  <c r="A255" i="24"/>
  <c r="K254" i="24"/>
  <c r="AB254" i="24"/>
  <c r="K258" i="18"/>
  <c r="X258" i="18"/>
  <c r="AB258" i="18"/>
  <c r="A259" i="18"/>
  <c r="X253" i="25"/>
  <c r="K253" i="25"/>
  <c r="AB253" i="25"/>
  <c r="A254" i="25"/>
  <c r="AB256" i="22"/>
  <c r="K256" i="22"/>
  <c r="X256" i="22"/>
  <c r="A257" i="22"/>
  <c r="K257" i="22"/>
  <c r="A258" i="22"/>
  <c r="X257" i="22"/>
  <c r="AB257" i="22"/>
  <c r="X259" i="18"/>
  <c r="AB259" i="18"/>
  <c r="K259" i="18"/>
  <c r="A260" i="18"/>
  <c r="D263" i="1"/>
  <c r="AB260" i="17"/>
  <c r="X260" i="17"/>
  <c r="K260" i="17"/>
  <c r="A261" i="17"/>
  <c r="A257" i="23"/>
  <c r="X256" i="23"/>
  <c r="AB256" i="23"/>
  <c r="K256" i="23"/>
  <c r="AB254" i="25"/>
  <c r="A255" i="25"/>
  <c r="X254" i="25"/>
  <c r="K254" i="25"/>
  <c r="X255" i="24"/>
  <c r="K255" i="24"/>
  <c r="A256" i="24"/>
  <c r="AB255" i="24"/>
  <c r="K266" i="15"/>
  <c r="L266" i="15"/>
  <c r="A267" i="15"/>
  <c r="AB266" i="15"/>
  <c r="X266" i="15"/>
  <c r="AJ264" i="1"/>
  <c r="AB264" i="1"/>
  <c r="K264" i="1"/>
  <c r="L264" i="1"/>
  <c r="AK264" i="1"/>
  <c r="A265" i="1"/>
  <c r="X264" i="1"/>
  <c r="AB262" i="16"/>
  <c r="L262" i="16"/>
  <c r="A263" i="16"/>
  <c r="K262" i="16"/>
  <c r="X262" i="16"/>
  <c r="AB258" i="20"/>
  <c r="X258" i="20"/>
  <c r="K258" i="20"/>
  <c r="A259" i="20"/>
  <c r="AB259" i="20"/>
  <c r="X259" i="20"/>
  <c r="A260" i="20"/>
  <c r="K259" i="20"/>
  <c r="AJ265" i="1"/>
  <c r="X265" i="1"/>
  <c r="A266" i="1"/>
  <c r="AB265" i="1"/>
  <c r="AK265" i="1"/>
  <c r="K265" i="1"/>
  <c r="L265" i="1"/>
  <c r="D265" i="1" s="1"/>
  <c r="D264" i="1"/>
  <c r="D266" i="15"/>
  <c r="A257" i="24"/>
  <c r="AB256" i="24"/>
  <c r="X256" i="24"/>
  <c r="K256" i="24"/>
  <c r="X255" i="25"/>
  <c r="A256" i="25"/>
  <c r="AB255" i="25"/>
  <c r="K255" i="25"/>
  <c r="AB263" i="16"/>
  <c r="L263" i="16"/>
  <c r="D263" i="16" s="1"/>
  <c r="X263" i="16"/>
  <c r="K263" i="16"/>
  <c r="A264" i="16"/>
  <c r="D262" i="16"/>
  <c r="L267" i="15"/>
  <c r="AB267" i="15"/>
  <c r="A268" i="15"/>
  <c r="K267" i="15"/>
  <c r="X267" i="15"/>
  <c r="A258" i="23"/>
  <c r="K257" i="23"/>
  <c r="X257" i="23"/>
  <c r="AB257" i="23"/>
  <c r="K261" i="17"/>
  <c r="A262" i="17"/>
  <c r="AB261" i="17"/>
  <c r="X261" i="17"/>
  <c r="AB260" i="18"/>
  <c r="A261" i="18"/>
  <c r="X260" i="18"/>
  <c r="K260" i="18"/>
  <c r="A259" i="22"/>
  <c r="X258" i="22"/>
  <c r="K258" i="22"/>
  <c r="AB258" i="22"/>
  <c r="A262" i="18"/>
  <c r="X261" i="18"/>
  <c r="AB261" i="18"/>
  <c r="K261" i="18"/>
  <c r="AB262" i="17"/>
  <c r="X262" i="17"/>
  <c r="A263" i="17"/>
  <c r="K262" i="17"/>
  <c r="AB258" i="23"/>
  <c r="X258" i="23"/>
  <c r="K258" i="23"/>
  <c r="A259" i="23"/>
  <c r="AB268" i="15"/>
  <c r="L268" i="15"/>
  <c r="X268" i="15"/>
  <c r="K268" i="15"/>
  <c r="A269" i="15"/>
  <c r="D267" i="15"/>
  <c r="A265" i="16"/>
  <c r="L264" i="16"/>
  <c r="AB264" i="16"/>
  <c r="X264" i="16"/>
  <c r="K264" i="16"/>
  <c r="X256" i="25"/>
  <c r="AB256" i="25"/>
  <c r="A257" i="25"/>
  <c r="K256" i="25"/>
  <c r="K257" i="24"/>
  <c r="A258" i="24"/>
  <c r="AB257" i="24"/>
  <c r="X257" i="24"/>
  <c r="AJ266" i="1"/>
  <c r="A267" i="1"/>
  <c r="K266" i="1"/>
  <c r="L266" i="1"/>
  <c r="AK266" i="1"/>
  <c r="AB266" i="1"/>
  <c r="X266" i="1"/>
  <c r="A260" i="22"/>
  <c r="X259" i="22"/>
  <c r="K259" i="22"/>
  <c r="AB259" i="22"/>
  <c r="X260" i="20"/>
  <c r="A261" i="20"/>
  <c r="AB260" i="20"/>
  <c r="K260" i="20"/>
  <c r="A261" i="22"/>
  <c r="X260" i="22"/>
  <c r="AB260" i="22"/>
  <c r="K260" i="22"/>
  <c r="AJ267" i="1"/>
  <c r="K267" i="1"/>
  <c r="X267" i="1"/>
  <c r="L267" i="1"/>
  <c r="D267" i="1" s="1"/>
  <c r="AK267" i="1"/>
  <c r="A268" i="1"/>
  <c r="AB267" i="1"/>
  <c r="D264" i="16"/>
  <c r="AB259" i="23"/>
  <c r="K259" i="23"/>
  <c r="A260" i="23"/>
  <c r="X259" i="23"/>
  <c r="A262" i="20"/>
  <c r="K261" i="20"/>
  <c r="AB261" i="20"/>
  <c r="X261" i="20"/>
  <c r="D266" i="1"/>
  <c r="X258" i="24"/>
  <c r="A259" i="24"/>
  <c r="AB258" i="24"/>
  <c r="K258" i="24"/>
  <c r="AB257" i="25"/>
  <c r="K257" i="25"/>
  <c r="A258" i="25"/>
  <c r="X257" i="25"/>
  <c r="X265" i="16"/>
  <c r="A266" i="16"/>
  <c r="L265" i="16"/>
  <c r="D265" i="16" s="1"/>
  <c r="AB265" i="16"/>
  <c r="K265" i="16"/>
  <c r="AB269" i="15"/>
  <c r="X269" i="15"/>
  <c r="K269" i="15"/>
  <c r="A270" i="15"/>
  <c r="L269" i="15"/>
  <c r="D269" i="15" s="1"/>
  <c r="D268" i="15"/>
  <c r="AB263" i="17"/>
  <c r="K263" i="17"/>
  <c r="X263" i="17"/>
  <c r="A264" i="17"/>
  <c r="A263" i="18"/>
  <c r="X262" i="18"/>
  <c r="AB262" i="18"/>
  <c r="K262" i="18"/>
  <c r="A267" i="16"/>
  <c r="L266" i="16"/>
  <c r="D266" i="16" s="1"/>
  <c r="AB266" i="16"/>
  <c r="K266" i="16"/>
  <c r="X266" i="16"/>
  <c r="AB258" i="25"/>
  <c r="A259" i="25"/>
  <c r="X258" i="25"/>
  <c r="K258" i="25"/>
  <c r="AB259" i="24"/>
  <c r="A260" i="24"/>
  <c r="X259" i="24"/>
  <c r="K259" i="24"/>
  <c r="AK268" i="1"/>
  <c r="X268" i="1"/>
  <c r="AB268" i="1"/>
  <c r="AJ268" i="1"/>
  <c r="K268" i="1"/>
  <c r="A269" i="1"/>
  <c r="L268" i="1"/>
  <c r="D268" i="1" s="1"/>
  <c r="A264" i="18"/>
  <c r="AB263" i="18"/>
  <c r="K263" i="18"/>
  <c r="X263" i="18"/>
  <c r="A265" i="17"/>
  <c r="AB264" i="17"/>
  <c r="X264" i="17"/>
  <c r="K264" i="17"/>
  <c r="AB270" i="15"/>
  <c r="A271" i="15"/>
  <c r="X270" i="15"/>
  <c r="L270" i="15"/>
  <c r="D270" i="15" s="1"/>
  <c r="K270" i="15"/>
  <c r="X262" i="20"/>
  <c r="AB262" i="20"/>
  <c r="A263" i="20"/>
  <c r="K262" i="20"/>
  <c r="X260" i="23"/>
  <c r="AB260" i="23"/>
  <c r="A261" i="23"/>
  <c r="K260" i="23"/>
  <c r="X261" i="22"/>
  <c r="K261" i="22"/>
  <c r="AB261" i="22"/>
  <c r="A262" i="22"/>
  <c r="K262" i="22"/>
  <c r="A263" i="22"/>
  <c r="X262" i="22"/>
  <c r="AB262" i="22"/>
  <c r="K261" i="23"/>
  <c r="X261" i="23"/>
  <c r="AB261" i="23"/>
  <c r="A262" i="23"/>
  <c r="AB271" i="15"/>
  <c r="X271" i="15"/>
  <c r="L271" i="15"/>
  <c r="D271" i="15" s="1"/>
  <c r="A272" i="15"/>
  <c r="K271" i="15"/>
  <c r="A265" i="18"/>
  <c r="K264" i="18"/>
  <c r="AB264" i="18"/>
  <c r="X264" i="18"/>
  <c r="AJ269" i="1"/>
  <c r="X269" i="1"/>
  <c r="K269" i="1"/>
  <c r="L269" i="1"/>
  <c r="D269" i="1" s="1"/>
  <c r="AK269" i="1"/>
  <c r="AB269" i="1"/>
  <c r="A270" i="1"/>
  <c r="A261" i="24"/>
  <c r="K260" i="24"/>
  <c r="X260" i="24"/>
  <c r="AB260" i="24"/>
  <c r="AB267" i="16"/>
  <c r="L267" i="16"/>
  <c r="D267" i="16" s="1"/>
  <c r="A268" i="16"/>
  <c r="X267" i="16"/>
  <c r="K267" i="16"/>
  <c r="X263" i="20"/>
  <c r="K263" i="20"/>
  <c r="AB263" i="20"/>
  <c r="A264" i="20"/>
  <c r="K265" i="17"/>
  <c r="AB265" i="17"/>
  <c r="X265" i="17"/>
  <c r="A266" i="17"/>
  <c r="K259" i="25"/>
  <c r="AB259" i="25"/>
  <c r="X259" i="25"/>
  <c r="A260" i="25"/>
  <c r="K260" i="25"/>
  <c r="A261" i="25"/>
  <c r="X260" i="25"/>
  <c r="AB260" i="25"/>
  <c r="A267" i="17"/>
  <c r="AB266" i="17"/>
  <c r="K266" i="17"/>
  <c r="X266" i="17"/>
  <c r="A269" i="16"/>
  <c r="K268" i="16"/>
  <c r="L268" i="16"/>
  <c r="D268" i="16" s="1"/>
  <c r="AB268" i="16"/>
  <c r="X268" i="16"/>
  <c r="X261" i="24"/>
  <c r="AB261" i="24"/>
  <c r="K261" i="24"/>
  <c r="A262" i="24"/>
  <c r="AK270" i="1"/>
  <c r="L270" i="1"/>
  <c r="D270" i="1" s="1"/>
  <c r="X270" i="1"/>
  <c r="K270" i="1"/>
  <c r="AB270" i="1"/>
  <c r="A271" i="1"/>
  <c r="AJ270" i="1"/>
  <c r="X265" i="18"/>
  <c r="A266" i="18"/>
  <c r="K265" i="18"/>
  <c r="AB265" i="18"/>
  <c r="A273" i="15"/>
  <c r="X272" i="15"/>
  <c r="L272" i="15"/>
  <c r="K272" i="15"/>
  <c r="A40" i="7"/>
  <c r="AB272" i="15"/>
  <c r="AB262" i="23"/>
  <c r="X262" i="23"/>
  <c r="K262" i="23"/>
  <c r="A263" i="23"/>
  <c r="AB264" i="20"/>
  <c r="K264" i="20"/>
  <c r="X264" i="20"/>
  <c r="A265" i="20"/>
  <c r="A264" i="22"/>
  <c r="AB263" i="22"/>
  <c r="K263" i="22"/>
  <c r="X263" i="22"/>
  <c r="X265" i="20"/>
  <c r="K265" i="20"/>
  <c r="AB265" i="20"/>
  <c r="A266" i="20"/>
  <c r="L273" i="15"/>
  <c r="D273" i="15" s="1"/>
  <c r="A274" i="15"/>
  <c r="AB273" i="15"/>
  <c r="X273" i="15"/>
  <c r="K273" i="15"/>
  <c r="A267" i="18"/>
  <c r="AB266" i="18"/>
  <c r="X266" i="18"/>
  <c r="K266" i="18"/>
  <c r="K269" i="16"/>
  <c r="X269" i="16"/>
  <c r="A270" i="16"/>
  <c r="AB269" i="16"/>
  <c r="L269" i="16"/>
  <c r="AB261" i="25"/>
  <c r="K261" i="25"/>
  <c r="X261" i="25"/>
  <c r="A262" i="25"/>
  <c r="A265" i="22"/>
  <c r="AB264" i="22"/>
  <c r="X264" i="22"/>
  <c r="K264" i="22"/>
  <c r="K263" i="23"/>
  <c r="X263" i="23"/>
  <c r="A264" i="23"/>
  <c r="AB263" i="23"/>
  <c r="AK271" i="1"/>
  <c r="AB271" i="1"/>
  <c r="K271" i="1"/>
  <c r="AJ271" i="1"/>
  <c r="L271" i="1"/>
  <c r="D271" i="1" s="1"/>
  <c r="A272" i="1"/>
  <c r="X271" i="1"/>
  <c r="A263" i="24"/>
  <c r="AB262" i="24"/>
  <c r="X262" i="24"/>
  <c r="K262" i="24"/>
  <c r="K267" i="17"/>
  <c r="AB267" i="17"/>
  <c r="A268" i="17"/>
  <c r="X267" i="17"/>
  <c r="A265" i="23"/>
  <c r="K264" i="23"/>
  <c r="X264" i="23"/>
  <c r="AB264" i="23"/>
  <c r="X265" i="22"/>
  <c r="AB265" i="22"/>
  <c r="A266" i="22"/>
  <c r="K265" i="22"/>
  <c r="K262" i="25"/>
  <c r="A263" i="25"/>
  <c r="AB262" i="25"/>
  <c r="X262" i="25"/>
  <c r="D269" i="16"/>
  <c r="AB267" i="18"/>
  <c r="A268" i="18"/>
  <c r="X267" i="18"/>
  <c r="K267" i="18"/>
  <c r="A275" i="15"/>
  <c r="L274" i="15"/>
  <c r="D274" i="15" s="1"/>
  <c r="K274" i="15"/>
  <c r="AB274" i="15"/>
  <c r="X274" i="15"/>
  <c r="A269" i="17"/>
  <c r="K268" i="17"/>
  <c r="AB268" i="17"/>
  <c r="X268" i="17"/>
  <c r="AB263" i="24"/>
  <c r="A264" i="24"/>
  <c r="K263" i="24"/>
  <c r="X263" i="24"/>
  <c r="AJ272" i="1"/>
  <c r="K272" i="1"/>
  <c r="A28" i="7"/>
  <c r="X272" i="1"/>
  <c r="AB272" i="1"/>
  <c r="A273" i="1"/>
  <c r="L272" i="1"/>
  <c r="D272" i="1" s="1"/>
  <c r="AK272" i="1"/>
  <c r="K270" i="16"/>
  <c r="A271" i="16"/>
  <c r="L270" i="16"/>
  <c r="D270" i="16" s="1"/>
  <c r="AB270" i="16"/>
  <c r="X270" i="16"/>
  <c r="K266" i="20"/>
  <c r="A267" i="20"/>
  <c r="AB266" i="20"/>
  <c r="X266" i="20"/>
  <c r="AJ273" i="1"/>
  <c r="A274" i="1"/>
  <c r="L273" i="1"/>
  <c r="K273" i="1"/>
  <c r="AK273" i="1"/>
  <c r="AB273" i="1"/>
  <c r="X273" i="1"/>
  <c r="A276" i="15"/>
  <c r="X275" i="15"/>
  <c r="K275" i="15"/>
  <c r="AB275" i="15"/>
  <c r="L275" i="15"/>
  <c r="D275" i="15" s="1"/>
  <c r="A269" i="18"/>
  <c r="X268" i="18"/>
  <c r="AB268" i="18"/>
  <c r="K268" i="18"/>
  <c r="A264" i="25"/>
  <c r="K263" i="25"/>
  <c r="X263" i="25"/>
  <c r="AB263" i="25"/>
  <c r="X266" i="22"/>
  <c r="AB266" i="22"/>
  <c r="K266" i="22"/>
  <c r="A267" i="22"/>
  <c r="A266" i="23"/>
  <c r="AB265" i="23"/>
  <c r="K265" i="23"/>
  <c r="X265" i="23"/>
  <c r="K267" i="20"/>
  <c r="A268" i="20"/>
  <c r="X267" i="20"/>
  <c r="AB267" i="20"/>
  <c r="K271" i="16"/>
  <c r="AB271" i="16"/>
  <c r="L271" i="16"/>
  <c r="D271" i="16" s="1"/>
  <c r="A272" i="16"/>
  <c r="X271" i="16"/>
  <c r="B28" i="7"/>
  <c r="AB264" i="24"/>
  <c r="A265" i="24"/>
  <c r="K264" i="24"/>
  <c r="X264" i="24"/>
  <c r="AB269" i="17"/>
  <c r="A270" i="17"/>
  <c r="K269" i="17"/>
  <c r="X269" i="17"/>
  <c r="D273" i="1"/>
  <c r="A271" i="17"/>
  <c r="AB270" i="17"/>
  <c r="K270" i="17"/>
  <c r="X270" i="17"/>
  <c r="A266" i="24"/>
  <c r="X265" i="24"/>
  <c r="K265" i="24"/>
  <c r="AB265" i="24"/>
  <c r="A273" i="16"/>
  <c r="AB272" i="16"/>
  <c r="A52" i="7"/>
  <c r="X272" i="16"/>
  <c r="L272" i="16"/>
  <c r="K272" i="16"/>
  <c r="K268" i="20"/>
  <c r="AB268" i="20"/>
  <c r="X268" i="20"/>
  <c r="A269" i="20"/>
  <c r="K266" i="23"/>
  <c r="X266" i="23"/>
  <c r="A267" i="23"/>
  <c r="AB266" i="23"/>
  <c r="X267" i="22"/>
  <c r="A268" i="22"/>
  <c r="AB267" i="22"/>
  <c r="K267" i="22"/>
  <c r="X264" i="25"/>
  <c r="AB264" i="25"/>
  <c r="A265" i="25"/>
  <c r="K264" i="25"/>
  <c r="K269" i="18"/>
  <c r="A270" i="18"/>
  <c r="AB269" i="18"/>
  <c r="X269" i="18"/>
  <c r="X276" i="15"/>
  <c r="L276" i="15"/>
  <c r="K276" i="15"/>
  <c r="AB276" i="15"/>
  <c r="A277" i="15"/>
  <c r="AJ274" i="1"/>
  <c r="X274" i="1"/>
  <c r="AB274" i="1"/>
  <c r="L274" i="1"/>
  <c r="D274" i="1" s="1"/>
  <c r="AK274" i="1"/>
  <c r="A275" i="1"/>
  <c r="K274" i="1"/>
  <c r="K277" i="15"/>
  <c r="A278" i="15"/>
  <c r="L277" i="15"/>
  <c r="AB277" i="15"/>
  <c r="X277" i="15"/>
  <c r="AB270" i="18"/>
  <c r="A271" i="18"/>
  <c r="K270" i="18"/>
  <c r="X270" i="18"/>
  <c r="X265" i="25"/>
  <c r="A266" i="25"/>
  <c r="AB265" i="25"/>
  <c r="K265" i="25"/>
  <c r="AB268" i="22"/>
  <c r="K268" i="22"/>
  <c r="X268" i="22"/>
  <c r="A269" i="22"/>
  <c r="X269" i="20"/>
  <c r="AB269" i="20"/>
  <c r="K269" i="20"/>
  <c r="A270" i="20"/>
  <c r="K266" i="24"/>
  <c r="AB266" i="24"/>
  <c r="X266" i="24"/>
  <c r="A267" i="24"/>
  <c r="D276" i="15"/>
  <c r="AK275" i="1"/>
  <c r="K275" i="1"/>
  <c r="AB275" i="1"/>
  <c r="AJ275" i="1"/>
  <c r="X275" i="1"/>
  <c r="L275" i="1"/>
  <c r="A276" i="1"/>
  <c r="AB267" i="23"/>
  <c r="A268" i="23"/>
  <c r="X267" i="23"/>
  <c r="K267" i="23"/>
  <c r="X273" i="16"/>
  <c r="K273" i="16"/>
  <c r="A274" i="16"/>
  <c r="AB273" i="16"/>
  <c r="L273" i="16"/>
  <c r="D273" i="16" s="1"/>
  <c r="K271" i="17"/>
  <c r="AB271" i="17"/>
  <c r="A272" i="17"/>
  <c r="X271" i="17"/>
  <c r="A269" i="23"/>
  <c r="AB268" i="23"/>
  <c r="K268" i="23"/>
  <c r="X268" i="23"/>
  <c r="AK276" i="1"/>
  <c r="AB276" i="1"/>
  <c r="L276" i="1"/>
  <c r="X276" i="1"/>
  <c r="K276" i="1"/>
  <c r="AJ276" i="1"/>
  <c r="A277" i="1"/>
  <c r="D275" i="1"/>
  <c r="A268" i="24"/>
  <c r="AB267" i="24"/>
  <c r="X267" i="24"/>
  <c r="K267" i="24"/>
  <c r="X270" i="20"/>
  <c r="AB270" i="20"/>
  <c r="A271" i="20"/>
  <c r="K270" i="20"/>
  <c r="A267" i="25"/>
  <c r="K266" i="25"/>
  <c r="AB266" i="25"/>
  <c r="X266" i="25"/>
  <c r="X271" i="18"/>
  <c r="AB271" i="18"/>
  <c r="K271" i="18"/>
  <c r="A272" i="18"/>
  <c r="D277" i="15"/>
  <c r="L278" i="15"/>
  <c r="D278" i="15" s="1"/>
  <c r="A279" i="15"/>
  <c r="X278" i="15"/>
  <c r="K278" i="15"/>
  <c r="AB278" i="15"/>
  <c r="A64" i="7"/>
  <c r="X272" i="17"/>
  <c r="A273" i="17"/>
  <c r="AB272" i="17"/>
  <c r="K272" i="17"/>
  <c r="K274" i="16"/>
  <c r="X274" i="16"/>
  <c r="AB274" i="16"/>
  <c r="L274" i="16"/>
  <c r="D274" i="16" s="1"/>
  <c r="A275" i="16"/>
  <c r="K269" i="22"/>
  <c r="A270" i="22"/>
  <c r="X269" i="22"/>
  <c r="AB269" i="22"/>
  <c r="A274" i="17"/>
  <c r="K273" i="17"/>
  <c r="X273" i="17"/>
  <c r="AB273" i="17"/>
  <c r="A272" i="20"/>
  <c r="X271" i="20"/>
  <c r="K271" i="20"/>
  <c r="AB271" i="20"/>
  <c r="K268" i="24"/>
  <c r="AB268" i="24"/>
  <c r="A269" i="24"/>
  <c r="X268" i="24"/>
  <c r="D276" i="1"/>
  <c r="K270" i="22"/>
  <c r="X270" i="22"/>
  <c r="A271" i="22"/>
  <c r="AB270" i="22"/>
  <c r="K275" i="16"/>
  <c r="L275" i="16"/>
  <c r="D275" i="16" s="1"/>
  <c r="A276" i="16"/>
  <c r="AB275" i="16"/>
  <c r="X275" i="16"/>
  <c r="AB279" i="15"/>
  <c r="L279" i="15"/>
  <c r="D279" i="15" s="1"/>
  <c r="X279" i="15"/>
  <c r="A280" i="15"/>
  <c r="K279" i="15"/>
  <c r="AB272" i="18"/>
  <c r="A273" i="18"/>
  <c r="K272" i="18"/>
  <c r="X272" i="18"/>
  <c r="A76" i="7"/>
  <c r="X267" i="25"/>
  <c r="A268" i="25"/>
  <c r="K267" i="25"/>
  <c r="AB267" i="25"/>
  <c r="AK277" i="1"/>
  <c r="A278" i="1"/>
  <c r="AB277" i="1"/>
  <c r="X277" i="1"/>
  <c r="K277" i="1"/>
  <c r="AJ277" i="1"/>
  <c r="L277" i="1"/>
  <c r="D277" i="1" s="1"/>
  <c r="X269" i="23"/>
  <c r="K269" i="23"/>
  <c r="A270" i="23"/>
  <c r="AB269" i="23"/>
  <c r="AB268" i="25"/>
  <c r="K268" i="25"/>
  <c r="A269" i="25"/>
  <c r="X268" i="25"/>
  <c r="AB280" i="15"/>
  <c r="K280" i="15"/>
  <c r="L280" i="15"/>
  <c r="D280" i="15" s="1"/>
  <c r="X280" i="15"/>
  <c r="A281" i="15"/>
  <c r="K276" i="16"/>
  <c r="X276" i="16"/>
  <c r="A277" i="16"/>
  <c r="L276" i="16"/>
  <c r="D276" i="16" s="1"/>
  <c r="AB276" i="16"/>
  <c r="X271" i="22"/>
  <c r="A272" i="22"/>
  <c r="K271" i="22"/>
  <c r="AB271" i="22"/>
  <c r="X272" i="20"/>
  <c r="AB272" i="20"/>
  <c r="AE28" i="7"/>
  <c r="K272" i="20"/>
  <c r="A273" i="20"/>
  <c r="AB270" i="23"/>
  <c r="A271" i="23"/>
  <c r="X270" i="23"/>
  <c r="K270" i="23"/>
  <c r="AK278" i="1"/>
  <c r="L278" i="1"/>
  <c r="D278" i="1" s="1"/>
  <c r="X278" i="1"/>
  <c r="K278" i="1"/>
  <c r="AB278" i="1"/>
  <c r="AJ278" i="1"/>
  <c r="A279" i="1"/>
  <c r="AB273" i="18"/>
  <c r="A274" i="18"/>
  <c r="K273" i="18"/>
  <c r="X273" i="18"/>
  <c r="K269" i="24"/>
  <c r="X269" i="24"/>
  <c r="AB269" i="24"/>
  <c r="A270" i="24"/>
  <c r="K274" i="17"/>
  <c r="A275" i="17"/>
  <c r="AB274" i="17"/>
  <c r="X274" i="17"/>
  <c r="A276" i="17"/>
  <c r="AB275" i="17"/>
  <c r="X275" i="17"/>
  <c r="K275" i="17"/>
  <c r="A271" i="24"/>
  <c r="AB270" i="24"/>
  <c r="K270" i="24"/>
  <c r="X270" i="24"/>
  <c r="X274" i="18"/>
  <c r="K274" i="18"/>
  <c r="A275" i="18"/>
  <c r="AB274" i="18"/>
  <c r="AK279" i="1"/>
  <c r="A280" i="1"/>
  <c r="X279" i="1"/>
  <c r="L279" i="1"/>
  <c r="D279" i="1" s="1"/>
  <c r="K279" i="1"/>
  <c r="AB279" i="1"/>
  <c r="AJ279" i="1"/>
  <c r="A272" i="23"/>
  <c r="X271" i="23"/>
  <c r="AB271" i="23"/>
  <c r="K271" i="23"/>
  <c r="AE40" i="7"/>
  <c r="X272" i="22"/>
  <c r="K272" i="22"/>
  <c r="AB272" i="22"/>
  <c r="A273" i="22"/>
  <c r="A278" i="16"/>
  <c r="X277" i="16"/>
  <c r="K277" i="16"/>
  <c r="L277" i="16"/>
  <c r="D277" i="16" s="1"/>
  <c r="AB277" i="16"/>
  <c r="K281" i="15"/>
  <c r="AB281" i="15"/>
  <c r="X281" i="15"/>
  <c r="L281" i="15"/>
  <c r="D281" i="15" s="1"/>
  <c r="A282" i="15"/>
  <c r="A270" i="25"/>
  <c r="AB269" i="25"/>
  <c r="K269" i="25"/>
  <c r="X269" i="25"/>
  <c r="K273" i="20"/>
  <c r="A274" i="20"/>
  <c r="X273" i="20"/>
  <c r="AB273" i="20"/>
  <c r="X274" i="20"/>
  <c r="AB274" i="20"/>
  <c r="A275" i="20"/>
  <c r="K274" i="20"/>
  <c r="K270" i="25"/>
  <c r="AB270" i="25"/>
  <c r="A271" i="25"/>
  <c r="X270" i="25"/>
  <c r="K282" i="15"/>
  <c r="A283" i="15"/>
  <c r="X282" i="15"/>
  <c r="AB282" i="15"/>
  <c r="L282" i="15"/>
  <c r="D282" i="15" s="1"/>
  <c r="X273" i="22"/>
  <c r="AB273" i="22"/>
  <c r="A274" i="22"/>
  <c r="K273" i="22"/>
  <c r="K276" i="17"/>
  <c r="A277" i="17"/>
  <c r="AB276" i="17"/>
  <c r="X276" i="17"/>
  <c r="AB278" i="16"/>
  <c r="A279" i="16"/>
  <c r="K278" i="16"/>
  <c r="L278" i="16"/>
  <c r="X278" i="16"/>
  <c r="A273" i="23"/>
  <c r="K272" i="23"/>
  <c r="AB272" i="23"/>
  <c r="AE52" i="7"/>
  <c r="X272" i="23"/>
  <c r="AK280" i="1"/>
  <c r="K280" i="1"/>
  <c r="L280" i="1"/>
  <c r="X280" i="1"/>
  <c r="AB280" i="1"/>
  <c r="A281" i="1"/>
  <c r="AJ280" i="1"/>
  <c r="X275" i="18"/>
  <c r="K275" i="18"/>
  <c r="A276" i="18"/>
  <c r="AB275" i="18"/>
  <c r="AB271" i="24"/>
  <c r="K271" i="24"/>
  <c r="X271" i="24"/>
  <c r="A272" i="24"/>
  <c r="X272" i="24"/>
  <c r="AB272" i="24"/>
  <c r="A273" i="24"/>
  <c r="AE64" i="7"/>
  <c r="K272" i="24"/>
  <c r="D280" i="1"/>
  <c r="D278" i="16"/>
  <c r="X283" i="15"/>
  <c r="AB283" i="15"/>
  <c r="L283" i="15"/>
  <c r="D283" i="15" s="1"/>
  <c r="K283" i="15"/>
  <c r="A284" i="15"/>
  <c r="A272" i="25"/>
  <c r="K271" i="25"/>
  <c r="X271" i="25"/>
  <c r="AB271" i="25"/>
  <c r="A276" i="20"/>
  <c r="X275" i="20"/>
  <c r="K275" i="20"/>
  <c r="AB275" i="20"/>
  <c r="A277" i="18"/>
  <c r="AB276" i="18"/>
  <c r="K276" i="18"/>
  <c r="X276" i="18"/>
  <c r="AK281" i="1"/>
  <c r="A282" i="1"/>
  <c r="L281" i="1"/>
  <c r="D281" i="1" s="1"/>
  <c r="AB281" i="1"/>
  <c r="K281" i="1"/>
  <c r="X281" i="1"/>
  <c r="AJ281" i="1"/>
  <c r="K273" i="23"/>
  <c r="X273" i="23"/>
  <c r="A274" i="23"/>
  <c r="AB273" i="23"/>
  <c r="AB279" i="16"/>
  <c r="X279" i="16"/>
  <c r="L279" i="16"/>
  <c r="D279" i="16" s="1"/>
  <c r="A280" i="16"/>
  <c r="K279" i="16"/>
  <c r="K277" i="17"/>
  <c r="A278" i="17"/>
  <c r="X277" i="17"/>
  <c r="AB277" i="17"/>
  <c r="AB274" i="22"/>
  <c r="A275" i="22"/>
  <c r="X274" i="22"/>
  <c r="K274" i="22"/>
  <c r="X278" i="17"/>
  <c r="A279" i="17"/>
  <c r="AB278" i="17"/>
  <c r="K278" i="17"/>
  <c r="AB273" i="24"/>
  <c r="K273" i="24"/>
  <c r="A274" i="24"/>
  <c r="X273" i="24"/>
  <c r="AB275" i="22"/>
  <c r="X275" i="22"/>
  <c r="A276" i="22"/>
  <c r="K275" i="22"/>
  <c r="A281" i="16"/>
  <c r="L280" i="16"/>
  <c r="AB280" i="16"/>
  <c r="X280" i="16"/>
  <c r="K280" i="16"/>
  <c r="AB274" i="23"/>
  <c r="A275" i="23"/>
  <c r="X274" i="23"/>
  <c r="K274" i="23"/>
  <c r="AK282" i="1"/>
  <c r="K282" i="1"/>
  <c r="X282" i="1"/>
  <c r="AJ282" i="1"/>
  <c r="AB282" i="1"/>
  <c r="L282" i="1"/>
  <c r="D282" i="1" s="1"/>
  <c r="A283" i="1"/>
  <c r="X277" i="18"/>
  <c r="AB277" i="18"/>
  <c r="K277" i="18"/>
  <c r="A278" i="18"/>
  <c r="X276" i="20"/>
  <c r="K276" i="20"/>
  <c r="AB276" i="20"/>
  <c r="A277" i="20"/>
  <c r="K272" i="25"/>
  <c r="AE76" i="7"/>
  <c r="X272" i="25"/>
  <c r="AB272" i="25"/>
  <c r="A273" i="25"/>
  <c r="K284" i="15"/>
  <c r="X284" i="15"/>
  <c r="A285" i="15"/>
  <c r="AB284" i="15"/>
  <c r="L284" i="15"/>
  <c r="D284" i="15" s="1"/>
  <c r="A286" i="15"/>
  <c r="X285" i="15"/>
  <c r="L285" i="15"/>
  <c r="K285" i="15"/>
  <c r="AB285" i="15"/>
  <c r="K277" i="20"/>
  <c r="AB277" i="20"/>
  <c r="X277" i="20"/>
  <c r="A278" i="20"/>
  <c r="AB275" i="23"/>
  <c r="A276" i="23"/>
  <c r="X275" i="23"/>
  <c r="K275" i="23"/>
  <c r="D280" i="16"/>
  <c r="K276" i="22"/>
  <c r="A277" i="22"/>
  <c r="AB276" i="22"/>
  <c r="X276" i="22"/>
  <c r="AB273" i="25"/>
  <c r="A274" i="25"/>
  <c r="K273" i="25"/>
  <c r="X273" i="25"/>
  <c r="X278" i="18"/>
  <c r="K278" i="18"/>
  <c r="AB278" i="18"/>
  <c r="A279" i="18"/>
  <c r="AJ283" i="1"/>
  <c r="AB283" i="1"/>
  <c r="X283" i="1"/>
  <c r="K283" i="1"/>
  <c r="AK283" i="1"/>
  <c r="L283" i="1"/>
  <c r="D283" i="1" s="1"/>
  <c r="A284" i="1"/>
  <c r="A282" i="16"/>
  <c r="K281" i="16"/>
  <c r="AB281" i="16"/>
  <c r="X281" i="16"/>
  <c r="L281" i="16"/>
  <c r="D281" i="16" s="1"/>
  <c r="A275" i="24"/>
  <c r="AB274" i="24"/>
  <c r="K274" i="24"/>
  <c r="X274" i="24"/>
  <c r="AB279" i="17"/>
  <c r="X279" i="17"/>
  <c r="A280" i="17"/>
  <c r="K279" i="17"/>
  <c r="X280" i="17"/>
  <c r="K280" i="17"/>
  <c r="AB280" i="17"/>
  <c r="A281" i="17"/>
  <c r="X275" i="24"/>
  <c r="AB275" i="24"/>
  <c r="K275" i="24"/>
  <c r="A276" i="24"/>
  <c r="A278" i="22"/>
  <c r="AB277" i="22"/>
  <c r="K277" i="22"/>
  <c r="X277" i="22"/>
  <c r="AB278" i="20"/>
  <c r="K278" i="20"/>
  <c r="X278" i="20"/>
  <c r="A279" i="20"/>
  <c r="D285" i="15"/>
  <c r="AB286" i="15"/>
  <c r="L286" i="15"/>
  <c r="D286" i="15" s="1"/>
  <c r="K286" i="15"/>
  <c r="A287" i="15"/>
  <c r="X286" i="15"/>
  <c r="X282" i="16"/>
  <c r="K282" i="16"/>
  <c r="L282" i="16"/>
  <c r="D282" i="16" s="1"/>
  <c r="A283" i="16"/>
  <c r="AB282" i="16"/>
  <c r="AJ284" i="1"/>
  <c r="A285" i="1"/>
  <c r="AB284" i="1"/>
  <c r="L284" i="1"/>
  <c r="AK284" i="1"/>
  <c r="X284" i="1"/>
  <c r="K284" i="1"/>
  <c r="A280" i="18"/>
  <c r="K279" i="18"/>
  <c r="AB279" i="18"/>
  <c r="X279" i="18"/>
  <c r="K274" i="25"/>
  <c r="X274" i="25"/>
  <c r="AB274" i="25"/>
  <c r="A275" i="25"/>
  <c r="A277" i="23"/>
  <c r="X276" i="23"/>
  <c r="AB276" i="23"/>
  <c r="K276" i="23"/>
  <c r="AB277" i="23"/>
  <c r="K277" i="23"/>
  <c r="X277" i="23"/>
  <c r="A278" i="23"/>
  <c r="D284" i="1"/>
  <c r="X287" i="15"/>
  <c r="A288" i="15"/>
  <c r="K287" i="15"/>
  <c r="L287" i="15"/>
  <c r="D287" i="15" s="1"/>
  <c r="AB287" i="15"/>
  <c r="A276" i="25"/>
  <c r="X275" i="25"/>
  <c r="K275" i="25"/>
  <c r="AB275" i="25"/>
  <c r="A281" i="18"/>
  <c r="X280" i="18"/>
  <c r="AB280" i="18"/>
  <c r="K280" i="18"/>
  <c r="AK285" i="1"/>
  <c r="A286" i="1"/>
  <c r="L285" i="1"/>
  <c r="X285" i="1"/>
  <c r="AB285" i="1"/>
  <c r="AJ285" i="1"/>
  <c r="K285" i="1"/>
  <c r="X283" i="16"/>
  <c r="AB283" i="16"/>
  <c r="L283" i="16"/>
  <c r="D283" i="16" s="1"/>
  <c r="K283" i="16"/>
  <c r="A284" i="16"/>
  <c r="AB279" i="20"/>
  <c r="A280" i="20"/>
  <c r="X279" i="20"/>
  <c r="K279" i="20"/>
  <c r="A279" i="22"/>
  <c r="X278" i="22"/>
  <c r="K278" i="22"/>
  <c r="AB278" i="22"/>
  <c r="X276" i="24"/>
  <c r="K276" i="24"/>
  <c r="AB276" i="24"/>
  <c r="A277" i="24"/>
  <c r="K281" i="17"/>
  <c r="A282" i="17"/>
  <c r="AB281" i="17"/>
  <c r="X281" i="17"/>
  <c r="AB282" i="17"/>
  <c r="A283" i="17"/>
  <c r="X282" i="17"/>
  <c r="K282" i="17"/>
  <c r="AB277" i="24"/>
  <c r="K277" i="24"/>
  <c r="A278" i="24"/>
  <c r="X277" i="24"/>
  <c r="X279" i="22"/>
  <c r="AB279" i="22"/>
  <c r="A280" i="22"/>
  <c r="K279" i="22"/>
  <c r="X280" i="20"/>
  <c r="K280" i="20"/>
  <c r="A281" i="20"/>
  <c r="AB280" i="20"/>
  <c r="D285" i="1"/>
  <c r="K276" i="25"/>
  <c r="A277" i="25"/>
  <c r="AB276" i="25"/>
  <c r="X276" i="25"/>
  <c r="K278" i="23"/>
  <c r="X278" i="23"/>
  <c r="AB278" i="23"/>
  <c r="A279" i="23"/>
  <c r="K284" i="16"/>
  <c r="AB284" i="16"/>
  <c r="L284" i="16"/>
  <c r="D284" i="16" s="1"/>
  <c r="X284" i="16"/>
  <c r="A285" i="16"/>
  <c r="AK286" i="1"/>
  <c r="L286" i="1"/>
  <c r="D286" i="1" s="1"/>
  <c r="X286" i="1"/>
  <c r="A287" i="1"/>
  <c r="AB286" i="1"/>
  <c r="K286" i="1"/>
  <c r="AJ286" i="1"/>
  <c r="X281" i="18"/>
  <c r="K281" i="18"/>
  <c r="A282" i="18"/>
  <c r="AB281" i="18"/>
  <c r="A289" i="15"/>
  <c r="AB288" i="15"/>
  <c r="L288" i="15"/>
  <c r="D288" i="15" s="1"/>
  <c r="K288" i="15"/>
  <c r="X288" i="15"/>
  <c r="AB289" i="15"/>
  <c r="X289" i="15"/>
  <c r="A290" i="15"/>
  <c r="K289" i="15"/>
  <c r="L289" i="15"/>
  <c r="AK287" i="1"/>
  <c r="L287" i="1"/>
  <c r="D287" i="1" s="1"/>
  <c r="A288" i="1"/>
  <c r="K287" i="1"/>
  <c r="X287" i="1"/>
  <c r="AB287" i="1"/>
  <c r="AJ287" i="1"/>
  <c r="A280" i="23"/>
  <c r="K279" i="23"/>
  <c r="AB279" i="23"/>
  <c r="X279" i="23"/>
  <c r="AB280" i="22"/>
  <c r="A281" i="22"/>
  <c r="K280" i="22"/>
  <c r="X280" i="22"/>
  <c r="X278" i="24"/>
  <c r="A279" i="24"/>
  <c r="AB278" i="24"/>
  <c r="K278" i="24"/>
  <c r="X283" i="17"/>
  <c r="AB283" i="17"/>
  <c r="A284" i="17"/>
  <c r="K283" i="17"/>
  <c r="X282" i="18"/>
  <c r="A283" i="18"/>
  <c r="K282" i="18"/>
  <c r="AB282" i="18"/>
  <c r="K285" i="16"/>
  <c r="A286" i="16"/>
  <c r="AB285" i="16"/>
  <c r="X285" i="16"/>
  <c r="L285" i="16"/>
  <c r="D285" i="16" s="1"/>
  <c r="X277" i="25"/>
  <c r="AB277" i="25"/>
  <c r="K277" i="25"/>
  <c r="A278" i="25"/>
  <c r="K281" i="20"/>
  <c r="AB281" i="20"/>
  <c r="A282" i="20"/>
  <c r="X281" i="20"/>
  <c r="K282" i="20"/>
  <c r="A283" i="20"/>
  <c r="AB282" i="20"/>
  <c r="X282" i="20"/>
  <c r="A279" i="25"/>
  <c r="K278" i="25"/>
  <c r="AB278" i="25"/>
  <c r="X278" i="25"/>
  <c r="X283" i="18"/>
  <c r="AB283" i="18"/>
  <c r="K283" i="18"/>
  <c r="A284" i="18"/>
  <c r="X284" i="17"/>
  <c r="A285" i="17"/>
  <c r="AB284" i="17"/>
  <c r="K284" i="17"/>
  <c r="AB280" i="23"/>
  <c r="X280" i="23"/>
  <c r="K280" i="23"/>
  <c r="A281" i="23"/>
  <c r="AJ288" i="1"/>
  <c r="K288" i="1"/>
  <c r="A289" i="1"/>
  <c r="X288" i="1"/>
  <c r="AK288" i="1"/>
  <c r="AB288" i="1"/>
  <c r="L288" i="1"/>
  <c r="X290" i="15"/>
  <c r="K290" i="15"/>
  <c r="A291" i="15"/>
  <c r="L290" i="15"/>
  <c r="AB290" i="15"/>
  <c r="K286" i="16"/>
  <c r="L286" i="16"/>
  <c r="D286" i="16" s="1"/>
  <c r="A287" i="16"/>
  <c r="X286" i="16"/>
  <c r="AB286" i="16"/>
  <c r="AB279" i="24"/>
  <c r="K279" i="24"/>
  <c r="A280" i="24"/>
  <c r="X279" i="24"/>
  <c r="X281" i="22"/>
  <c r="K281" i="22"/>
  <c r="A282" i="22"/>
  <c r="AB281" i="22"/>
  <c r="D289" i="15"/>
  <c r="AK289" i="1"/>
  <c r="X289" i="1"/>
  <c r="K289" i="1"/>
  <c r="AB289" i="1"/>
  <c r="A290" i="1"/>
  <c r="L289" i="1"/>
  <c r="D289" i="1" s="1"/>
  <c r="AJ289" i="1"/>
  <c r="AB281" i="23"/>
  <c r="K281" i="23"/>
  <c r="X281" i="23"/>
  <c r="A282" i="23"/>
  <c r="K285" i="17"/>
  <c r="X285" i="17"/>
  <c r="AB285" i="17"/>
  <c r="A286" i="17"/>
  <c r="A280" i="25"/>
  <c r="AB279" i="25"/>
  <c r="X279" i="25"/>
  <c r="K279" i="25"/>
  <c r="X283" i="20"/>
  <c r="A284" i="20"/>
  <c r="K283" i="20"/>
  <c r="AB283" i="20"/>
  <c r="X282" i="22"/>
  <c r="AB282" i="22"/>
  <c r="A283" i="22"/>
  <c r="K282" i="22"/>
  <c r="K280" i="24"/>
  <c r="AB280" i="24"/>
  <c r="A281" i="24"/>
  <c r="X280" i="24"/>
  <c r="X287" i="16"/>
  <c r="AB287" i="16"/>
  <c r="L287" i="16"/>
  <c r="D287" i="16" s="1"/>
  <c r="A288" i="16"/>
  <c r="K287" i="16"/>
  <c r="D290" i="15"/>
  <c r="AB291" i="15"/>
  <c r="L291" i="15"/>
  <c r="X291" i="15"/>
  <c r="K291" i="15"/>
  <c r="A292" i="15"/>
  <c r="D288" i="1"/>
  <c r="X284" i="18"/>
  <c r="A285" i="18"/>
  <c r="AB284" i="18"/>
  <c r="K284" i="18"/>
  <c r="X292" i="15"/>
  <c r="K292" i="15"/>
  <c r="L292" i="15"/>
  <c r="D292" i="15" s="1"/>
  <c r="A293" i="15"/>
  <c r="AB292" i="15"/>
  <c r="D291" i="15"/>
  <c r="X288" i="16"/>
  <c r="L288" i="16"/>
  <c r="D288" i="16" s="1"/>
  <c r="AB288" i="16"/>
  <c r="K288" i="16"/>
  <c r="A289" i="16"/>
  <c r="K281" i="24"/>
  <c r="A282" i="24"/>
  <c r="X281" i="24"/>
  <c r="AB281" i="24"/>
  <c r="AB283" i="22"/>
  <c r="A284" i="22"/>
  <c r="X283" i="22"/>
  <c r="K283" i="22"/>
  <c r="AB286" i="17"/>
  <c r="X286" i="17"/>
  <c r="A287" i="17"/>
  <c r="K286" i="17"/>
  <c r="X282" i="23"/>
  <c r="A283" i="23"/>
  <c r="AB282" i="23"/>
  <c r="K282" i="23"/>
  <c r="A286" i="18"/>
  <c r="K285" i="18"/>
  <c r="AB285" i="18"/>
  <c r="X285" i="18"/>
  <c r="A285" i="20"/>
  <c r="AB284" i="20"/>
  <c r="K284" i="20"/>
  <c r="X284" i="20"/>
  <c r="K280" i="25"/>
  <c r="X280" i="25"/>
  <c r="AB280" i="25"/>
  <c r="A281" i="25"/>
  <c r="AJ290" i="1"/>
  <c r="A291" i="1"/>
  <c r="L290" i="1"/>
  <c r="D290" i="1" s="1"/>
  <c r="K290" i="1"/>
  <c r="AB290" i="1"/>
  <c r="AK290" i="1"/>
  <c r="X290" i="1"/>
  <c r="AK291" i="1"/>
  <c r="K291" i="1"/>
  <c r="AB291" i="1"/>
  <c r="X291" i="1"/>
  <c r="AJ291" i="1"/>
  <c r="L291" i="1"/>
  <c r="D291" i="1" s="1"/>
  <c r="A292" i="1"/>
  <c r="X285" i="20"/>
  <c r="A286" i="20"/>
  <c r="K285" i="20"/>
  <c r="AB285" i="20"/>
  <c r="X283" i="23"/>
  <c r="AB283" i="23"/>
  <c r="K283" i="23"/>
  <c r="A284" i="23"/>
  <c r="K287" i="17"/>
  <c r="A288" i="17"/>
  <c r="AB287" i="17"/>
  <c r="X287" i="17"/>
  <c r="K284" i="22"/>
  <c r="AB284" i="22"/>
  <c r="A285" i="22"/>
  <c r="X284" i="22"/>
  <c r="X289" i="16"/>
  <c r="L289" i="16"/>
  <c r="AB289" i="16"/>
  <c r="A290" i="16"/>
  <c r="K289" i="16"/>
  <c r="X293" i="15"/>
  <c r="A294" i="15"/>
  <c r="K293" i="15"/>
  <c r="AB293" i="15"/>
  <c r="L293" i="15"/>
  <c r="D293" i="15" s="1"/>
  <c r="AB281" i="25"/>
  <c r="A282" i="25"/>
  <c r="X281" i="25"/>
  <c r="K281" i="25"/>
  <c r="K286" i="18"/>
  <c r="AB286" i="18"/>
  <c r="X286" i="18"/>
  <c r="A287" i="18"/>
  <c r="AB282" i="24"/>
  <c r="X282" i="24"/>
  <c r="A283" i="24"/>
  <c r="K282" i="24"/>
  <c r="AB282" i="25"/>
  <c r="X282" i="25"/>
  <c r="K282" i="25"/>
  <c r="A283" i="25"/>
  <c r="AB294" i="15"/>
  <c r="A295" i="15"/>
  <c r="X294" i="15"/>
  <c r="K294" i="15"/>
  <c r="L294" i="15"/>
  <c r="D294" i="15" s="1"/>
  <c r="AB285" i="22"/>
  <c r="X285" i="22"/>
  <c r="A286" i="22"/>
  <c r="K285" i="22"/>
  <c r="AB288" i="17"/>
  <c r="K288" i="17"/>
  <c r="X288" i="17"/>
  <c r="A289" i="17"/>
  <c r="AJ292" i="1"/>
  <c r="K292" i="1"/>
  <c r="A293" i="1"/>
  <c r="AB292" i="1"/>
  <c r="AK292" i="1"/>
  <c r="X292" i="1"/>
  <c r="L292" i="1"/>
  <c r="K283" i="24"/>
  <c r="X283" i="24"/>
  <c r="AB283" i="24"/>
  <c r="A284" i="24"/>
  <c r="AB287" i="18"/>
  <c r="K287" i="18"/>
  <c r="A288" i="18"/>
  <c r="X287" i="18"/>
  <c r="X290" i="16"/>
  <c r="L290" i="16"/>
  <c r="D290" i="16" s="1"/>
  <c r="K290" i="16"/>
  <c r="A291" i="16"/>
  <c r="AB290" i="16"/>
  <c r="D289" i="16"/>
  <c r="A285" i="23"/>
  <c r="X284" i="23"/>
  <c r="K284" i="23"/>
  <c r="AB284" i="23"/>
  <c r="AB286" i="20"/>
  <c r="A287" i="20"/>
  <c r="X286" i="20"/>
  <c r="K286" i="20"/>
  <c r="X287" i="20"/>
  <c r="A288" i="20"/>
  <c r="K287" i="20"/>
  <c r="AB287" i="20"/>
  <c r="X291" i="16"/>
  <c r="A292" i="16"/>
  <c r="AB291" i="16"/>
  <c r="K291" i="16"/>
  <c r="L291" i="16"/>
  <c r="D292" i="1"/>
  <c r="A290" i="17"/>
  <c r="K289" i="17"/>
  <c r="X289" i="17"/>
  <c r="AB289" i="17"/>
  <c r="X283" i="25"/>
  <c r="A284" i="25"/>
  <c r="AB283" i="25"/>
  <c r="K283" i="25"/>
  <c r="A286" i="23"/>
  <c r="X285" i="23"/>
  <c r="K285" i="23"/>
  <c r="AB285" i="23"/>
  <c r="A289" i="18"/>
  <c r="X288" i="18"/>
  <c r="K288" i="18"/>
  <c r="AB288" i="18"/>
  <c r="K284" i="24"/>
  <c r="AB284" i="24"/>
  <c r="A285" i="24"/>
  <c r="X284" i="24"/>
  <c r="AJ293" i="1"/>
  <c r="A294" i="1"/>
  <c r="K293" i="1"/>
  <c r="L293" i="1"/>
  <c r="D293" i="1" s="1"/>
  <c r="X293" i="1"/>
  <c r="AK293" i="1"/>
  <c r="AB293" i="1"/>
  <c r="A287" i="22"/>
  <c r="X286" i="22"/>
  <c r="K286" i="22"/>
  <c r="AB286" i="22"/>
  <c r="AB295" i="15"/>
  <c r="A296" i="15"/>
  <c r="L295" i="15"/>
  <c r="D295" i="15" s="1"/>
  <c r="K295" i="15"/>
  <c r="X295" i="15"/>
  <c r="A288" i="22"/>
  <c r="AB287" i="22"/>
  <c r="X287" i="22"/>
  <c r="K287" i="22"/>
  <c r="K285" i="24"/>
  <c r="A286" i="24"/>
  <c r="X285" i="24"/>
  <c r="AB285" i="24"/>
  <c r="AB289" i="18"/>
  <c r="A290" i="18"/>
  <c r="K289" i="18"/>
  <c r="X289" i="18"/>
  <c r="K286" i="23"/>
  <c r="A287" i="23"/>
  <c r="X286" i="23"/>
  <c r="AB286" i="23"/>
  <c r="AB284" i="25"/>
  <c r="K284" i="25"/>
  <c r="X284" i="25"/>
  <c r="A285" i="25"/>
  <c r="D291" i="16"/>
  <c r="A297" i="15"/>
  <c r="AB296" i="15"/>
  <c r="K296" i="15"/>
  <c r="L296" i="15"/>
  <c r="D296" i="15" s="1"/>
  <c r="X296" i="15"/>
  <c r="AK294" i="1"/>
  <c r="AB294" i="1"/>
  <c r="A295" i="1"/>
  <c r="AJ294" i="1"/>
  <c r="L294" i="1"/>
  <c r="D294" i="1" s="1"/>
  <c r="X294" i="1"/>
  <c r="K294" i="1"/>
  <c r="X290" i="17"/>
  <c r="K290" i="17"/>
  <c r="AB290" i="17"/>
  <c r="A291" i="17"/>
  <c r="K292" i="16"/>
  <c r="A293" i="16"/>
  <c r="X292" i="16"/>
  <c r="L292" i="16"/>
  <c r="AB292" i="16"/>
  <c r="AB288" i="20"/>
  <c r="X288" i="20"/>
  <c r="A289" i="20"/>
  <c r="K288" i="20"/>
  <c r="D292" i="16"/>
  <c r="AJ295" i="1"/>
  <c r="A296" i="1"/>
  <c r="L295" i="1"/>
  <c r="D295" i="1" s="1"/>
  <c r="K295" i="1"/>
  <c r="AK295" i="1"/>
  <c r="AB295" i="1"/>
  <c r="X295" i="1"/>
  <c r="X285" i="25"/>
  <c r="AB285" i="25"/>
  <c r="K285" i="25"/>
  <c r="A286" i="25"/>
  <c r="AB290" i="18"/>
  <c r="K290" i="18"/>
  <c r="X290" i="18"/>
  <c r="A291" i="18"/>
  <c r="K286" i="24"/>
  <c r="AB286" i="24"/>
  <c r="A287" i="24"/>
  <c r="X286" i="24"/>
  <c r="K289" i="20"/>
  <c r="AB289" i="20"/>
  <c r="A290" i="20"/>
  <c r="X289" i="20"/>
  <c r="A294" i="16"/>
  <c r="L293" i="16"/>
  <c r="D293" i="16" s="1"/>
  <c r="K293" i="16"/>
  <c r="AB293" i="16"/>
  <c r="X293" i="16"/>
  <c r="A292" i="17"/>
  <c r="AB291" i="17"/>
  <c r="X291" i="17"/>
  <c r="K291" i="17"/>
  <c r="AB297" i="15"/>
  <c r="A298" i="15"/>
  <c r="L297" i="15"/>
  <c r="D297" i="15" s="1"/>
  <c r="K297" i="15"/>
  <c r="X297" i="15"/>
  <c r="X287" i="23"/>
  <c r="K287" i="23"/>
  <c r="A288" i="23"/>
  <c r="AB287" i="23"/>
  <c r="A289" i="22"/>
  <c r="K288" i="22"/>
  <c r="X288" i="22"/>
  <c r="AB288" i="22"/>
  <c r="A290" i="22"/>
  <c r="X289" i="22"/>
  <c r="K289" i="22"/>
  <c r="AB289" i="22"/>
  <c r="K292" i="17"/>
  <c r="A293" i="17"/>
  <c r="AB292" i="17"/>
  <c r="X292" i="17"/>
  <c r="A287" i="25"/>
  <c r="X286" i="25"/>
  <c r="K286" i="25"/>
  <c r="AB286" i="25"/>
  <c r="AJ296" i="1"/>
  <c r="X296" i="1"/>
  <c r="AB296" i="1"/>
  <c r="L296" i="1"/>
  <c r="D296" i="1" s="1"/>
  <c r="K296" i="1"/>
  <c r="A297" i="1"/>
  <c r="AK296" i="1"/>
  <c r="X288" i="23"/>
  <c r="K288" i="23"/>
  <c r="A289" i="23"/>
  <c r="AB288" i="23"/>
  <c r="AB298" i="15"/>
  <c r="L298" i="15"/>
  <c r="D298" i="15" s="1"/>
  <c r="A299" i="15"/>
  <c r="K298" i="15"/>
  <c r="X298" i="15"/>
  <c r="X294" i="16"/>
  <c r="L294" i="16"/>
  <c r="D294" i="16" s="1"/>
  <c r="A295" i="16"/>
  <c r="K294" i="16"/>
  <c r="AB294" i="16"/>
  <c r="AB290" i="20"/>
  <c r="K290" i="20"/>
  <c r="X290" i="20"/>
  <c r="A291" i="20"/>
  <c r="A288" i="24"/>
  <c r="X287" i="24"/>
  <c r="AB287" i="24"/>
  <c r="K287" i="24"/>
  <c r="K291" i="18"/>
  <c r="A292" i="18"/>
  <c r="X291" i="18"/>
  <c r="AB291" i="18"/>
  <c r="X292" i="18"/>
  <c r="A293" i="18"/>
  <c r="AB292" i="18"/>
  <c r="K292" i="18"/>
  <c r="X291" i="20"/>
  <c r="AB291" i="20"/>
  <c r="A292" i="20"/>
  <c r="K291" i="20"/>
  <c r="K289" i="23"/>
  <c r="X289" i="23"/>
  <c r="AB289" i="23"/>
  <c r="A290" i="23"/>
  <c r="AB293" i="17"/>
  <c r="K293" i="17"/>
  <c r="A294" i="17"/>
  <c r="X293" i="17"/>
  <c r="K288" i="24"/>
  <c r="X288" i="24"/>
  <c r="A289" i="24"/>
  <c r="AB288" i="24"/>
  <c r="X295" i="16"/>
  <c r="L295" i="16"/>
  <c r="D295" i="16" s="1"/>
  <c r="AB295" i="16"/>
  <c r="K295" i="16"/>
  <c r="A296" i="16"/>
  <c r="A300" i="15"/>
  <c r="X299" i="15"/>
  <c r="L299" i="15"/>
  <c r="D299" i="15" s="1"/>
  <c r="K299" i="15"/>
  <c r="AB299" i="15"/>
  <c r="AJ297" i="1"/>
  <c r="A298" i="1"/>
  <c r="K297" i="1"/>
  <c r="AK297" i="1"/>
  <c r="AB297" i="1"/>
  <c r="X297" i="1"/>
  <c r="L297" i="1"/>
  <c r="D297" i="1" s="1"/>
  <c r="X287" i="25"/>
  <c r="A288" i="25"/>
  <c r="AB287" i="25"/>
  <c r="K287" i="25"/>
  <c r="X290" i="22"/>
  <c r="K290" i="22"/>
  <c r="AB290" i="22"/>
  <c r="A291" i="22"/>
  <c r="A292" i="22"/>
  <c r="AB291" i="22"/>
  <c r="K291" i="22"/>
  <c r="X291" i="22"/>
  <c r="AJ298" i="1"/>
  <c r="A299" i="1"/>
  <c r="AB298" i="1"/>
  <c r="X298" i="1"/>
  <c r="K298" i="1"/>
  <c r="L298" i="1"/>
  <c r="AK298" i="1"/>
  <c r="A290" i="24"/>
  <c r="K289" i="24"/>
  <c r="X289" i="24"/>
  <c r="AB289" i="24"/>
  <c r="A295" i="17"/>
  <c r="AB294" i="17"/>
  <c r="X294" i="17"/>
  <c r="K294" i="17"/>
  <c r="AB292" i="20"/>
  <c r="A293" i="20"/>
  <c r="X292" i="20"/>
  <c r="K292" i="20"/>
  <c r="K293" i="18"/>
  <c r="AB293" i="18"/>
  <c r="A294" i="18"/>
  <c r="X293" i="18"/>
  <c r="A289" i="25"/>
  <c r="K288" i="25"/>
  <c r="X288" i="25"/>
  <c r="AB288" i="25"/>
  <c r="AB300" i="15"/>
  <c r="K300" i="15"/>
  <c r="L300" i="15"/>
  <c r="D300" i="15" s="1"/>
  <c r="X300" i="15"/>
  <c r="A301" i="15"/>
  <c r="A297" i="16"/>
  <c r="K296" i="16"/>
  <c r="L296" i="16"/>
  <c r="D296" i="16" s="1"/>
  <c r="X296" i="16"/>
  <c r="AB296" i="16"/>
  <c r="AB290" i="23"/>
  <c r="X290" i="23"/>
  <c r="A291" i="23"/>
  <c r="K290" i="23"/>
  <c r="K291" i="23"/>
  <c r="A292" i="23"/>
  <c r="X291" i="23"/>
  <c r="AB291" i="23"/>
  <c r="A302" i="15"/>
  <c r="X301" i="15"/>
  <c r="L301" i="15"/>
  <c r="D301" i="15" s="1"/>
  <c r="K301" i="15"/>
  <c r="AB301" i="15"/>
  <c r="AB295" i="17"/>
  <c r="X295" i="17"/>
  <c r="K295" i="17"/>
  <c r="A296" i="17"/>
  <c r="D298" i="1"/>
  <c r="AJ299" i="1"/>
  <c r="X299" i="1"/>
  <c r="K299" i="1"/>
  <c r="AK299" i="1"/>
  <c r="A300" i="1"/>
  <c r="L299" i="1"/>
  <c r="D299" i="1" s="1"/>
  <c r="AB299" i="1"/>
  <c r="A293" i="22"/>
  <c r="K292" i="22"/>
  <c r="AB292" i="22"/>
  <c r="X292" i="22"/>
  <c r="X297" i="16"/>
  <c r="L297" i="16"/>
  <c r="D297" i="16" s="1"/>
  <c r="AB297" i="16"/>
  <c r="A298" i="16"/>
  <c r="K297" i="16"/>
  <c r="X289" i="25"/>
  <c r="K289" i="25"/>
  <c r="A290" i="25"/>
  <c r="AB289" i="25"/>
  <c r="K294" i="18"/>
  <c r="A295" i="18"/>
  <c r="X294" i="18"/>
  <c r="AB294" i="18"/>
  <c r="AB293" i="20"/>
  <c r="K293" i="20"/>
  <c r="A294" i="20"/>
  <c r="X293" i="20"/>
  <c r="X290" i="24"/>
  <c r="A291" i="24"/>
  <c r="K290" i="24"/>
  <c r="AB290" i="24"/>
  <c r="AB291" i="24"/>
  <c r="K291" i="24"/>
  <c r="A292" i="24"/>
  <c r="X291" i="24"/>
  <c r="X298" i="16"/>
  <c r="AB298" i="16"/>
  <c r="A299" i="16"/>
  <c r="K298" i="16"/>
  <c r="L298" i="16"/>
  <c r="D298" i="16" s="1"/>
  <c r="X293" i="22"/>
  <c r="A294" i="22"/>
  <c r="K293" i="22"/>
  <c r="AB293" i="22"/>
  <c r="AJ300" i="1"/>
  <c r="L300" i="1"/>
  <c r="D300" i="1" s="1"/>
  <c r="A301" i="1"/>
  <c r="AK300" i="1"/>
  <c r="K300" i="1"/>
  <c r="X300" i="1"/>
  <c r="AB300" i="1"/>
  <c r="AB296" i="17"/>
  <c r="X296" i="17"/>
  <c r="K296" i="17"/>
  <c r="A297" i="17"/>
  <c r="AB294" i="20"/>
  <c r="X294" i="20"/>
  <c r="K294" i="20"/>
  <c r="A295" i="20"/>
  <c r="X295" i="18"/>
  <c r="A296" i="18"/>
  <c r="AB295" i="18"/>
  <c r="K295" i="18"/>
  <c r="X290" i="25"/>
  <c r="K290" i="25"/>
  <c r="A291" i="25"/>
  <c r="AB290" i="25"/>
  <c r="A41" i="7"/>
  <c r="A303" i="15"/>
  <c r="L302" i="15"/>
  <c r="D302" i="15" s="1"/>
  <c r="K302" i="15"/>
  <c r="X302" i="15"/>
  <c r="AB302" i="15"/>
  <c r="AB292" i="23"/>
  <c r="X292" i="23"/>
  <c r="K292" i="23"/>
  <c r="A293" i="23"/>
  <c r="K293" i="23"/>
  <c r="AB293" i="23"/>
  <c r="X293" i="23"/>
  <c r="A294" i="23"/>
  <c r="B41" i="7"/>
  <c r="X295" i="20"/>
  <c r="AB295" i="20"/>
  <c r="A296" i="20"/>
  <c r="K295" i="20"/>
  <c r="AB297" i="17"/>
  <c r="X297" i="17"/>
  <c r="K297" i="17"/>
  <c r="A298" i="17"/>
  <c r="AJ301" i="1"/>
  <c r="K301" i="1"/>
  <c r="X301" i="1"/>
  <c r="L301" i="1"/>
  <c r="D301" i="1" s="1"/>
  <c r="AK301" i="1"/>
  <c r="AB301" i="1"/>
  <c r="A302" i="1"/>
  <c r="AB294" i="22"/>
  <c r="A295" i="22"/>
  <c r="X294" i="22"/>
  <c r="K294" i="22"/>
  <c r="A293" i="24"/>
  <c r="K292" i="24"/>
  <c r="AB292" i="24"/>
  <c r="X292" i="24"/>
  <c r="A304" i="15"/>
  <c r="K303" i="15"/>
  <c r="AB303" i="15"/>
  <c r="X303" i="15"/>
  <c r="L303" i="15"/>
  <c r="D303" i="15" s="1"/>
  <c r="K291" i="25"/>
  <c r="A292" i="25"/>
  <c r="X291" i="25"/>
  <c r="AB291" i="25"/>
  <c r="A297" i="18"/>
  <c r="AB296" i="18"/>
  <c r="K296" i="18"/>
  <c r="X296" i="18"/>
  <c r="A300" i="16"/>
  <c r="AB299" i="16"/>
  <c r="L299" i="16"/>
  <c r="X299" i="16"/>
  <c r="K299" i="16"/>
  <c r="X300" i="16"/>
  <c r="AB300" i="16"/>
  <c r="L300" i="16"/>
  <c r="D300" i="16" s="1"/>
  <c r="K300" i="16"/>
  <c r="A301" i="16"/>
  <c r="D299" i="16"/>
  <c r="A298" i="18"/>
  <c r="AB297" i="18"/>
  <c r="K297" i="18"/>
  <c r="X297" i="18"/>
  <c r="AB292" i="25"/>
  <c r="X292" i="25"/>
  <c r="A293" i="25"/>
  <c r="K292" i="25"/>
  <c r="K304" i="15"/>
  <c r="AB304" i="15"/>
  <c r="L304" i="15"/>
  <c r="X304" i="15"/>
  <c r="A305" i="15"/>
  <c r="AB298" i="17"/>
  <c r="K298" i="17"/>
  <c r="X298" i="17"/>
  <c r="A299" i="17"/>
  <c r="K296" i="20"/>
  <c r="A297" i="20"/>
  <c r="AB296" i="20"/>
  <c r="X296" i="20"/>
  <c r="X293" i="24"/>
  <c r="A294" i="24"/>
  <c r="AB293" i="24"/>
  <c r="K293" i="24"/>
  <c r="AB295" i="22"/>
  <c r="X295" i="22"/>
  <c r="A296" i="22"/>
  <c r="K295" i="22"/>
  <c r="AJ302" i="1"/>
  <c r="X302" i="1"/>
  <c r="K302" i="1"/>
  <c r="A29" i="7"/>
  <c r="L302" i="1"/>
  <c r="D302" i="1" s="1"/>
  <c r="AK302" i="1"/>
  <c r="AB302" i="1"/>
  <c r="A303" i="1"/>
  <c r="K294" i="23"/>
  <c r="A295" i="23"/>
  <c r="X294" i="23"/>
  <c r="AB294" i="23"/>
  <c r="X295" i="23"/>
  <c r="K295" i="23"/>
  <c r="AB295" i="23"/>
  <c r="A296" i="23"/>
  <c r="X299" i="17"/>
  <c r="A300" i="17"/>
  <c r="K299" i="17"/>
  <c r="AB299" i="17"/>
  <c r="D304" i="15"/>
  <c r="A294" i="25"/>
  <c r="X293" i="25"/>
  <c r="K293" i="25"/>
  <c r="AB293" i="25"/>
  <c r="X298" i="18"/>
  <c r="AB298" i="18"/>
  <c r="A299" i="18"/>
  <c r="K298" i="18"/>
  <c r="AB301" i="16"/>
  <c r="K301" i="16"/>
  <c r="L301" i="16"/>
  <c r="D301" i="16" s="1"/>
  <c r="X301" i="16"/>
  <c r="A302" i="16"/>
  <c r="AJ303" i="1"/>
  <c r="X303" i="1"/>
  <c r="A304" i="1"/>
  <c r="AB303" i="1"/>
  <c r="K303" i="1"/>
  <c r="L303" i="1"/>
  <c r="D303" i="1" s="1"/>
  <c r="AK303" i="1"/>
  <c r="K296" i="22"/>
  <c r="AB296" i="22"/>
  <c r="A297" i="22"/>
  <c r="X296" i="22"/>
  <c r="AB294" i="24"/>
  <c r="A295" i="24"/>
  <c r="X294" i="24"/>
  <c r="K294" i="24"/>
  <c r="A298" i="20"/>
  <c r="AB297" i="20"/>
  <c r="X297" i="20"/>
  <c r="K297" i="20"/>
  <c r="L305" i="15"/>
  <c r="D305" i="15" s="1"/>
  <c r="A306" i="15"/>
  <c r="AB305" i="15"/>
  <c r="X305" i="15"/>
  <c r="K305" i="15"/>
  <c r="A299" i="20"/>
  <c r="X298" i="20"/>
  <c r="AB298" i="20"/>
  <c r="K298" i="20"/>
  <c r="K295" i="24"/>
  <c r="A296" i="24"/>
  <c r="X295" i="24"/>
  <c r="AB295" i="24"/>
  <c r="A295" i="25"/>
  <c r="K294" i="25"/>
  <c r="AB294" i="25"/>
  <c r="X294" i="25"/>
  <c r="A301" i="17"/>
  <c r="K300" i="17"/>
  <c r="X300" i="17"/>
  <c r="AB300" i="17"/>
  <c r="X306" i="15"/>
  <c r="K306" i="15"/>
  <c r="L306" i="15"/>
  <c r="D306" i="15" s="1"/>
  <c r="AB306" i="15"/>
  <c r="A307" i="15"/>
  <c r="AB297" i="22"/>
  <c r="A298" i="22"/>
  <c r="X297" i="22"/>
  <c r="K297" i="22"/>
  <c r="AK304" i="1"/>
  <c r="K304" i="1"/>
  <c r="X304" i="1"/>
  <c r="A305" i="1"/>
  <c r="L304" i="1"/>
  <c r="D304" i="1" s="1"/>
  <c r="AB304" i="1"/>
  <c r="AJ304" i="1"/>
  <c r="K302" i="16"/>
  <c r="A53" i="7"/>
  <c r="X302" i="16"/>
  <c r="A303" i="16"/>
  <c r="AB302" i="16"/>
  <c r="L302" i="16"/>
  <c r="A300" i="18"/>
  <c r="K299" i="18"/>
  <c r="X299" i="18"/>
  <c r="AB299" i="18"/>
  <c r="X296" i="23"/>
  <c r="K296" i="23"/>
  <c r="AB296" i="23"/>
  <c r="A297" i="23"/>
  <c r="AB297" i="23"/>
  <c r="A298" i="23"/>
  <c r="X297" i="23"/>
  <c r="K297" i="23"/>
  <c r="K298" i="22"/>
  <c r="X298" i="22"/>
  <c r="A299" i="22"/>
  <c r="AB298" i="22"/>
  <c r="A297" i="24"/>
  <c r="X296" i="24"/>
  <c r="K296" i="24"/>
  <c r="AB296" i="24"/>
  <c r="K299" i="20"/>
  <c r="AB299" i="20"/>
  <c r="X299" i="20"/>
  <c r="A300" i="20"/>
  <c r="AB300" i="18"/>
  <c r="K300" i="18"/>
  <c r="X300" i="18"/>
  <c r="A301" i="18"/>
  <c r="AB303" i="16"/>
  <c r="L303" i="16"/>
  <c r="X303" i="16"/>
  <c r="K303" i="16"/>
  <c r="A304" i="16"/>
  <c r="AK305" i="1"/>
  <c r="AB305" i="1"/>
  <c r="X305" i="1"/>
  <c r="A306" i="1"/>
  <c r="L305" i="1"/>
  <c r="D305" i="1" s="1"/>
  <c r="AJ305" i="1"/>
  <c r="K305" i="1"/>
  <c r="X307" i="15"/>
  <c r="L307" i="15"/>
  <c r="D307" i="15" s="1"/>
  <c r="K307" i="15"/>
  <c r="A308" i="15"/>
  <c r="AB307" i="15"/>
  <c r="K301" i="17"/>
  <c r="A302" i="17"/>
  <c r="X301" i="17"/>
  <c r="AB301" i="17"/>
  <c r="A296" i="25"/>
  <c r="X295" i="25"/>
  <c r="K295" i="25"/>
  <c r="AB295" i="25"/>
  <c r="X296" i="25"/>
  <c r="A297" i="25"/>
  <c r="AB296" i="25"/>
  <c r="K296" i="25"/>
  <c r="D303" i="16"/>
  <c r="A302" i="18"/>
  <c r="K301" i="18"/>
  <c r="X301" i="18"/>
  <c r="AB301" i="18"/>
  <c r="A301" i="20"/>
  <c r="AB300" i="20"/>
  <c r="K300" i="20"/>
  <c r="X300" i="20"/>
  <c r="A298" i="24"/>
  <c r="AB297" i="24"/>
  <c r="X297" i="24"/>
  <c r="K297" i="24"/>
  <c r="X298" i="23"/>
  <c r="AB298" i="23"/>
  <c r="K298" i="23"/>
  <c r="A299" i="23"/>
  <c r="A303" i="17"/>
  <c r="A65" i="7"/>
  <c r="X302" i="17"/>
  <c r="AB302" i="17"/>
  <c r="K302" i="17"/>
  <c r="A309" i="15"/>
  <c r="L308" i="15"/>
  <c r="K308" i="15"/>
  <c r="AB308" i="15"/>
  <c r="X308" i="15"/>
  <c r="AJ306" i="1"/>
  <c r="X306" i="1"/>
  <c r="AB306" i="1"/>
  <c r="AK306" i="1"/>
  <c r="K306" i="1"/>
  <c r="A307" i="1"/>
  <c r="L306" i="1"/>
  <c r="X304" i="16"/>
  <c r="AB304" i="16"/>
  <c r="A305" i="16"/>
  <c r="L304" i="16"/>
  <c r="K304" i="16"/>
  <c r="X299" i="22"/>
  <c r="AB299" i="22"/>
  <c r="K299" i="22"/>
  <c r="A300" i="22"/>
  <c r="D304" i="16"/>
  <c r="K305" i="16"/>
  <c r="A306" i="16"/>
  <c r="X305" i="16"/>
  <c r="L305" i="16"/>
  <c r="AB305" i="16"/>
  <c r="D306" i="1"/>
  <c r="AJ307" i="1"/>
  <c r="A308" i="1"/>
  <c r="K307" i="1"/>
  <c r="AK307" i="1"/>
  <c r="AB307" i="1"/>
  <c r="L307" i="1"/>
  <c r="D307" i="1" s="1"/>
  <c r="X307" i="1"/>
  <c r="L309" i="15"/>
  <c r="D309" i="15" s="1"/>
  <c r="X309" i="15"/>
  <c r="A310" i="15"/>
  <c r="AB309" i="15"/>
  <c r="K309" i="15"/>
  <c r="AB303" i="17"/>
  <c r="X303" i="17"/>
  <c r="A304" i="17"/>
  <c r="K303" i="17"/>
  <c r="X301" i="20"/>
  <c r="AB301" i="20"/>
  <c r="K301" i="20"/>
  <c r="A302" i="20"/>
  <c r="X302" i="18"/>
  <c r="A77" i="7"/>
  <c r="A303" i="18"/>
  <c r="K302" i="18"/>
  <c r="AB302" i="18"/>
  <c r="X297" i="25"/>
  <c r="A298" i="25"/>
  <c r="AB297" i="25"/>
  <c r="K297" i="25"/>
  <c r="A301" i="22"/>
  <c r="AB300" i="22"/>
  <c r="X300" i="22"/>
  <c r="K300" i="22"/>
  <c r="D308" i="15"/>
  <c r="AB299" i="23"/>
  <c r="X299" i="23"/>
  <c r="K299" i="23"/>
  <c r="A300" i="23"/>
  <c r="AB298" i="24"/>
  <c r="X298" i="24"/>
  <c r="K298" i="24"/>
  <c r="A299" i="24"/>
  <c r="A301" i="23"/>
  <c r="X300" i="23"/>
  <c r="K300" i="23"/>
  <c r="AB300" i="23"/>
  <c r="K298" i="25"/>
  <c r="AB298" i="25"/>
  <c r="X298" i="25"/>
  <c r="A299" i="25"/>
  <c r="AB304" i="17"/>
  <c r="A305" i="17"/>
  <c r="X304" i="17"/>
  <c r="K304" i="17"/>
  <c r="AB310" i="15"/>
  <c r="A311" i="15"/>
  <c r="K310" i="15"/>
  <c r="X310" i="15"/>
  <c r="L310" i="15"/>
  <c r="D310" i="15" s="1"/>
  <c r="D305" i="16"/>
  <c r="A307" i="16"/>
  <c r="L306" i="16"/>
  <c r="D306" i="16" s="1"/>
  <c r="X306" i="16"/>
  <c r="K306" i="16"/>
  <c r="AB306" i="16"/>
  <c r="K299" i="24"/>
  <c r="X299" i="24"/>
  <c r="AB299" i="24"/>
  <c r="A300" i="24"/>
  <c r="X301" i="22"/>
  <c r="AB301" i="22"/>
  <c r="A302" i="22"/>
  <c r="K301" i="22"/>
  <c r="A304" i="18"/>
  <c r="AB303" i="18"/>
  <c r="K303" i="18"/>
  <c r="X303" i="18"/>
  <c r="X302" i="20"/>
  <c r="AE29" i="7"/>
  <c r="AB302" i="20"/>
  <c r="A303" i="20"/>
  <c r="K302" i="20"/>
  <c r="AJ308" i="1"/>
  <c r="AB308" i="1"/>
  <c r="A309" i="1"/>
  <c r="AK308" i="1"/>
  <c r="L308" i="1"/>
  <c r="D308" i="1" s="1"/>
  <c r="X308" i="1"/>
  <c r="K308" i="1"/>
  <c r="AJ309" i="1"/>
  <c r="X309" i="1"/>
  <c r="K309" i="1"/>
  <c r="L309" i="1"/>
  <c r="AB309" i="1"/>
  <c r="A310" i="1"/>
  <c r="AK309" i="1"/>
  <c r="X303" i="20"/>
  <c r="K303" i="20"/>
  <c r="A304" i="20"/>
  <c r="AB303" i="20"/>
  <c r="A305" i="18"/>
  <c r="X304" i="18"/>
  <c r="K304" i="18"/>
  <c r="AB304" i="18"/>
  <c r="A301" i="24"/>
  <c r="AB300" i="24"/>
  <c r="K300" i="24"/>
  <c r="X300" i="24"/>
  <c r="AB307" i="16"/>
  <c r="L307" i="16"/>
  <c r="D307" i="16" s="1"/>
  <c r="A308" i="16"/>
  <c r="X307" i="16"/>
  <c r="K307" i="16"/>
  <c r="AB305" i="17"/>
  <c r="K305" i="17"/>
  <c r="A306" i="17"/>
  <c r="X305" i="17"/>
  <c r="K301" i="23"/>
  <c r="AB301" i="23"/>
  <c r="A302" i="23"/>
  <c r="X301" i="23"/>
  <c r="K302" i="22"/>
  <c r="AE41" i="7"/>
  <c r="A303" i="22"/>
  <c r="X302" i="22"/>
  <c r="AB302" i="22"/>
  <c r="A312" i="15"/>
  <c r="K311" i="15"/>
  <c r="L311" i="15"/>
  <c r="X311" i="15"/>
  <c r="AB311" i="15"/>
  <c r="A300" i="25"/>
  <c r="X299" i="25"/>
  <c r="AB299" i="25"/>
  <c r="K299" i="25"/>
  <c r="AB303" i="22"/>
  <c r="X303" i="22"/>
  <c r="A304" i="22"/>
  <c r="K303" i="22"/>
  <c r="A307" i="17"/>
  <c r="X306" i="17"/>
  <c r="K306" i="17"/>
  <c r="AB306" i="17"/>
  <c r="A309" i="16"/>
  <c r="AB308" i="16"/>
  <c r="L308" i="16"/>
  <c r="D308" i="16" s="1"/>
  <c r="X308" i="16"/>
  <c r="K308" i="16"/>
  <c r="AB301" i="24"/>
  <c r="X301" i="24"/>
  <c r="K301" i="24"/>
  <c r="A302" i="24"/>
  <c r="X305" i="18"/>
  <c r="K305" i="18"/>
  <c r="A306" i="18"/>
  <c r="AB305" i="18"/>
  <c r="A305" i="20"/>
  <c r="X304" i="20"/>
  <c r="AB304" i="20"/>
  <c r="K304" i="20"/>
  <c r="D311" i="15"/>
  <c r="K300" i="25"/>
  <c r="AB300" i="25"/>
  <c r="A301" i="25"/>
  <c r="X300" i="25"/>
  <c r="K312" i="15"/>
  <c r="AB312" i="15"/>
  <c r="L312" i="15"/>
  <c r="A313" i="15"/>
  <c r="X312" i="15"/>
  <c r="X302" i="23"/>
  <c r="AB302" i="23"/>
  <c r="A303" i="23"/>
  <c r="K302" i="23"/>
  <c r="AE53" i="7"/>
  <c r="AK310" i="1"/>
  <c r="K310" i="1"/>
  <c r="A311" i="1"/>
  <c r="L310" i="1"/>
  <c r="AB310" i="1"/>
  <c r="AJ310" i="1"/>
  <c r="X310" i="1"/>
  <c r="D309" i="1"/>
  <c r="AJ311" i="1"/>
  <c r="AB311" i="1"/>
  <c r="X311" i="1"/>
  <c r="AK311" i="1"/>
  <c r="A312" i="1"/>
  <c r="L311" i="1"/>
  <c r="D311" i="1" s="1"/>
  <c r="K311" i="1"/>
  <c r="X313" i="15"/>
  <c r="L313" i="15"/>
  <c r="D313" i="15" s="1"/>
  <c r="AB313" i="15"/>
  <c r="K313" i="15"/>
  <c r="A314" i="15"/>
  <c r="D312" i="15"/>
  <c r="AB301" i="25"/>
  <c r="K301" i="25"/>
  <c r="X301" i="25"/>
  <c r="A302" i="25"/>
  <c r="A307" i="18"/>
  <c r="AB306" i="18"/>
  <c r="K306" i="18"/>
  <c r="X306" i="18"/>
  <c r="A308" i="17"/>
  <c r="AB307" i="17"/>
  <c r="K307" i="17"/>
  <c r="X307" i="17"/>
  <c r="D310" i="1"/>
  <c r="X303" i="23"/>
  <c r="AB303" i="23"/>
  <c r="K303" i="23"/>
  <c r="A304" i="23"/>
  <c r="K305" i="20"/>
  <c r="X305" i="20"/>
  <c r="AB305" i="20"/>
  <c r="A306" i="20"/>
  <c r="K302" i="24"/>
  <c r="AE65" i="7"/>
  <c r="A303" i="24"/>
  <c r="AB302" i="24"/>
  <c r="X302" i="24"/>
  <c r="X309" i="16"/>
  <c r="A310" i="16"/>
  <c r="L309" i="16"/>
  <c r="D309" i="16" s="1"/>
  <c r="AB309" i="16"/>
  <c r="K309" i="16"/>
  <c r="K304" i="22"/>
  <c r="A305" i="22"/>
  <c r="X304" i="22"/>
  <c r="AB304" i="22"/>
  <c r="A311" i="16"/>
  <c r="L310" i="16"/>
  <c r="D310" i="16" s="1"/>
  <c r="K310" i="16"/>
  <c r="X310" i="16"/>
  <c r="AB310" i="16"/>
  <c r="K306" i="20"/>
  <c r="X306" i="20"/>
  <c r="AB306" i="20"/>
  <c r="A307" i="20"/>
  <c r="AB304" i="23"/>
  <c r="K304" i="23"/>
  <c r="A305" i="23"/>
  <c r="X304" i="23"/>
  <c r="AB308" i="17"/>
  <c r="A309" i="17"/>
  <c r="X308" i="17"/>
  <c r="K308" i="17"/>
  <c r="A303" i="25"/>
  <c r="X302" i="25"/>
  <c r="K302" i="25"/>
  <c r="AE77" i="7"/>
  <c r="AB302" i="25"/>
  <c r="X305" i="22"/>
  <c r="AB305" i="22"/>
  <c r="A306" i="22"/>
  <c r="K305" i="22"/>
  <c r="AB303" i="24"/>
  <c r="A304" i="24"/>
  <c r="X303" i="24"/>
  <c r="K303" i="24"/>
  <c r="AB307" i="18"/>
  <c r="A308" i="18"/>
  <c r="X307" i="18"/>
  <c r="K307" i="18"/>
  <c r="K314" i="15"/>
  <c r="L314" i="15"/>
  <c r="D314" i="15" s="1"/>
  <c r="AB314" i="15"/>
  <c r="X314" i="15"/>
  <c r="A315" i="15"/>
  <c r="AJ312" i="1"/>
  <c r="X312" i="1"/>
  <c r="A313" i="1"/>
  <c r="L312" i="1"/>
  <c r="D312" i="1" s="1"/>
  <c r="AB312" i="1"/>
  <c r="K312" i="1"/>
  <c r="AK312" i="1"/>
  <c r="A316" i="15"/>
  <c r="X315" i="15"/>
  <c r="AB315" i="15"/>
  <c r="K315" i="15"/>
  <c r="L315" i="15"/>
  <c r="D315" i="15" s="1"/>
  <c r="X304" i="24"/>
  <c r="K304" i="24"/>
  <c r="A305" i="24"/>
  <c r="AB304" i="24"/>
  <c r="K306" i="22"/>
  <c r="A307" i="22"/>
  <c r="X306" i="22"/>
  <c r="AB306" i="22"/>
  <c r="AB305" i="23"/>
  <c r="A306" i="23"/>
  <c r="X305" i="23"/>
  <c r="K305" i="23"/>
  <c r="X307" i="20"/>
  <c r="A308" i="20"/>
  <c r="AB307" i="20"/>
  <c r="K307" i="20"/>
  <c r="AK313" i="1"/>
  <c r="K313" i="1"/>
  <c r="AB313" i="1"/>
  <c r="A314" i="1"/>
  <c r="L313" i="1"/>
  <c r="D313" i="1" s="1"/>
  <c r="X313" i="1"/>
  <c r="AJ313" i="1"/>
  <c r="K308" i="18"/>
  <c r="A309" i="18"/>
  <c r="X308" i="18"/>
  <c r="AB308" i="18"/>
  <c r="A304" i="25"/>
  <c r="AB303" i="25"/>
  <c r="X303" i="25"/>
  <c r="K303" i="25"/>
  <c r="X309" i="17"/>
  <c r="K309" i="17"/>
  <c r="AB309" i="17"/>
  <c r="A310" i="17"/>
  <c r="A312" i="16"/>
  <c r="L311" i="16"/>
  <c r="K311" i="16"/>
  <c r="AB311" i="16"/>
  <c r="X311" i="16"/>
  <c r="A305" i="25"/>
  <c r="AB304" i="25"/>
  <c r="K304" i="25"/>
  <c r="X304" i="25"/>
  <c r="AK314" i="1"/>
  <c r="AB314" i="1"/>
  <c r="L314" i="1"/>
  <c r="D314" i="1" s="1"/>
  <c r="A315" i="1"/>
  <c r="X314" i="1"/>
  <c r="K314" i="1"/>
  <c r="AJ314" i="1"/>
  <c r="A309" i="20"/>
  <c r="K308" i="20"/>
  <c r="AB308" i="20"/>
  <c r="X308" i="20"/>
  <c r="X306" i="23"/>
  <c r="A307" i="23"/>
  <c r="AB306" i="23"/>
  <c r="K306" i="23"/>
  <c r="AB307" i="22"/>
  <c r="X307" i="22"/>
  <c r="K307" i="22"/>
  <c r="A308" i="22"/>
  <c r="AB316" i="15"/>
  <c r="A317" i="15"/>
  <c r="X316" i="15"/>
  <c r="K316" i="15"/>
  <c r="L316" i="15"/>
  <c r="D316" i="15" s="1"/>
  <c r="D311" i="16"/>
  <c r="A313" i="16"/>
  <c r="AB312" i="16"/>
  <c r="K312" i="16"/>
  <c r="L312" i="16"/>
  <c r="D312" i="16" s="1"/>
  <c r="X312" i="16"/>
  <c r="K310" i="17"/>
  <c r="AB310" i="17"/>
  <c r="A311" i="17"/>
  <c r="X310" i="17"/>
  <c r="K309" i="18"/>
  <c r="A310" i="18"/>
  <c r="AB309" i="18"/>
  <c r="X309" i="18"/>
  <c r="A306" i="24"/>
  <c r="AB305" i="24"/>
  <c r="K305" i="24"/>
  <c r="X305" i="24"/>
  <c r="X313" i="16"/>
  <c r="L313" i="16"/>
  <c r="D313" i="16" s="1"/>
  <c r="AB313" i="16"/>
  <c r="A314" i="16"/>
  <c r="K313" i="16"/>
  <c r="A308" i="23"/>
  <c r="AB307" i="23"/>
  <c r="K307" i="23"/>
  <c r="X307" i="23"/>
  <c r="K309" i="20"/>
  <c r="AB309" i="20"/>
  <c r="X309" i="20"/>
  <c r="A310" i="20"/>
  <c r="K305" i="25"/>
  <c r="X305" i="25"/>
  <c r="AB305" i="25"/>
  <c r="A306" i="25"/>
  <c r="K306" i="24"/>
  <c r="AB306" i="24"/>
  <c r="A307" i="24"/>
  <c r="X306" i="24"/>
  <c r="X310" i="18"/>
  <c r="A311" i="18"/>
  <c r="K310" i="18"/>
  <c r="AB310" i="18"/>
  <c r="AB311" i="17"/>
  <c r="A312" i="17"/>
  <c r="K311" i="17"/>
  <c r="X311" i="17"/>
  <c r="X317" i="15"/>
  <c r="L317" i="15"/>
  <c r="K317" i="15"/>
  <c r="A318" i="15"/>
  <c r="AB317" i="15"/>
  <c r="AB308" i="22"/>
  <c r="K308" i="22"/>
  <c r="A309" i="22"/>
  <c r="X308" i="22"/>
  <c r="AK315" i="1"/>
  <c r="X315" i="1"/>
  <c r="K315" i="1"/>
  <c r="L315" i="1"/>
  <c r="D315" i="1" s="1"/>
  <c r="AB315" i="1"/>
  <c r="AJ315" i="1"/>
  <c r="A316" i="1"/>
  <c r="D317" i="15"/>
  <c r="X306" i="25"/>
  <c r="A307" i="25"/>
  <c r="AB306" i="25"/>
  <c r="K306" i="25"/>
  <c r="K310" i="20"/>
  <c r="X310" i="20"/>
  <c r="A311" i="20"/>
  <c r="AB310" i="20"/>
  <c r="X308" i="23"/>
  <c r="K308" i="23"/>
  <c r="A309" i="23"/>
  <c r="AB308" i="23"/>
  <c r="K314" i="16"/>
  <c r="L314" i="16"/>
  <c r="D314" i="16" s="1"/>
  <c r="AB314" i="16"/>
  <c r="X314" i="16"/>
  <c r="A315" i="16"/>
  <c r="AJ316" i="1"/>
  <c r="X316" i="1"/>
  <c r="AB316" i="1"/>
  <c r="AK316" i="1"/>
  <c r="L316" i="1"/>
  <c r="D316" i="1" s="1"/>
  <c r="A317" i="1"/>
  <c r="K316" i="1"/>
  <c r="AB309" i="22"/>
  <c r="K309" i="22"/>
  <c r="A310" i="22"/>
  <c r="X309" i="22"/>
  <c r="AB318" i="15"/>
  <c r="K318" i="15"/>
  <c r="L318" i="15"/>
  <c r="A319" i="15"/>
  <c r="X318" i="15"/>
  <c r="K312" i="17"/>
  <c r="X312" i="17"/>
  <c r="A313" i="17"/>
  <c r="AB312" i="17"/>
  <c r="X311" i="18"/>
  <c r="A312" i="18"/>
  <c r="AB311" i="18"/>
  <c r="K311" i="18"/>
  <c r="X307" i="24"/>
  <c r="AB307" i="24"/>
  <c r="A308" i="24"/>
  <c r="K307" i="24"/>
  <c r="X308" i="24"/>
  <c r="K308" i="24"/>
  <c r="AB308" i="24"/>
  <c r="A309" i="24"/>
  <c r="A313" i="18"/>
  <c r="AB312" i="18"/>
  <c r="X312" i="18"/>
  <c r="K312" i="18"/>
  <c r="A320" i="15"/>
  <c r="L319" i="15"/>
  <c r="D319" i="15" s="1"/>
  <c r="K319" i="15"/>
  <c r="X319" i="15"/>
  <c r="AB319" i="15"/>
  <c r="X310" i="22"/>
  <c r="K310" i="22"/>
  <c r="AB310" i="22"/>
  <c r="A311" i="22"/>
  <c r="K311" i="20"/>
  <c r="AB311" i="20"/>
  <c r="X311" i="20"/>
  <c r="A312" i="20"/>
  <c r="A308" i="25"/>
  <c r="K307" i="25"/>
  <c r="X307" i="25"/>
  <c r="AB307" i="25"/>
  <c r="K313" i="17"/>
  <c r="A314" i="17"/>
  <c r="X313" i="17"/>
  <c r="AB313" i="17"/>
  <c r="D318" i="15"/>
  <c r="AK317" i="1"/>
  <c r="K317" i="1"/>
  <c r="X317" i="1"/>
  <c r="L317" i="1"/>
  <c r="AB317" i="1"/>
  <c r="AJ317" i="1"/>
  <c r="A318" i="1"/>
  <c r="A316" i="16"/>
  <c r="AB315" i="16"/>
  <c r="L315" i="16"/>
  <c r="D315" i="16" s="1"/>
  <c r="K315" i="16"/>
  <c r="X315" i="16"/>
  <c r="K309" i="23"/>
  <c r="X309" i="23"/>
  <c r="AB309" i="23"/>
  <c r="A310" i="23"/>
  <c r="X310" i="23"/>
  <c r="A311" i="23"/>
  <c r="AB310" i="23"/>
  <c r="K310" i="23"/>
  <c r="A315" i="17"/>
  <c r="K314" i="17"/>
  <c r="AB314" i="17"/>
  <c r="X314" i="17"/>
  <c r="X308" i="25"/>
  <c r="AB308" i="25"/>
  <c r="A309" i="25"/>
  <c r="K308" i="25"/>
  <c r="K311" i="22"/>
  <c r="A312" i="22"/>
  <c r="AB311" i="22"/>
  <c r="X311" i="22"/>
  <c r="A314" i="18"/>
  <c r="K313" i="18"/>
  <c r="AB313" i="18"/>
  <c r="X313" i="18"/>
  <c r="AB316" i="16"/>
  <c r="L316" i="16"/>
  <c r="D316" i="16" s="1"/>
  <c r="K316" i="16"/>
  <c r="A317" i="16"/>
  <c r="X316" i="16"/>
  <c r="AK318" i="1"/>
  <c r="K318" i="1"/>
  <c r="X318" i="1"/>
  <c r="L318" i="1"/>
  <c r="AJ318" i="1"/>
  <c r="A319" i="1"/>
  <c r="AB318" i="1"/>
  <c r="D317" i="1"/>
  <c r="AB312" i="20"/>
  <c r="K312" i="20"/>
  <c r="A313" i="20"/>
  <c r="X312" i="20"/>
  <c r="AB320" i="15"/>
  <c r="A321" i="15"/>
  <c r="K320" i="15"/>
  <c r="X320" i="15"/>
  <c r="L320" i="15"/>
  <c r="D320" i="15" s="1"/>
  <c r="X309" i="24"/>
  <c r="A310" i="24"/>
  <c r="AB309" i="24"/>
  <c r="K309" i="24"/>
  <c r="A311" i="24"/>
  <c r="AB310" i="24"/>
  <c r="X310" i="24"/>
  <c r="K310" i="24"/>
  <c r="X321" i="15"/>
  <c r="AB321" i="15"/>
  <c r="L321" i="15"/>
  <c r="D321" i="15" s="1"/>
  <c r="A322" i="15"/>
  <c r="K321" i="15"/>
  <c r="A314" i="20"/>
  <c r="K313" i="20"/>
  <c r="AB313" i="20"/>
  <c r="X313" i="20"/>
  <c r="AK319" i="1"/>
  <c r="X319" i="1"/>
  <c r="L319" i="1"/>
  <c r="D319" i="1" s="1"/>
  <c r="A320" i="1"/>
  <c r="AB319" i="1"/>
  <c r="K319" i="1"/>
  <c r="AJ319" i="1"/>
  <c r="D318" i="1"/>
  <c r="X314" i="18"/>
  <c r="K314" i="18"/>
  <c r="A315" i="18"/>
  <c r="AB314" i="18"/>
  <c r="A313" i="22"/>
  <c r="AB312" i="22"/>
  <c r="K312" i="22"/>
  <c r="X312" i="22"/>
  <c r="AB315" i="17"/>
  <c r="K315" i="17"/>
  <c r="A316" i="17"/>
  <c r="X315" i="17"/>
  <c r="K317" i="16"/>
  <c r="L317" i="16"/>
  <c r="D317" i="16" s="1"/>
  <c r="AB317" i="16"/>
  <c r="X317" i="16"/>
  <c r="A318" i="16"/>
  <c r="X309" i="25"/>
  <c r="K309" i="25"/>
  <c r="A310" i="25"/>
  <c r="AB309" i="25"/>
  <c r="A312" i="23"/>
  <c r="X311" i="23"/>
  <c r="AB311" i="23"/>
  <c r="K311" i="23"/>
  <c r="A317" i="17"/>
  <c r="K316" i="17"/>
  <c r="X316" i="17"/>
  <c r="AB316" i="17"/>
  <c r="X322" i="15"/>
  <c r="A323" i="15"/>
  <c r="K322" i="15"/>
  <c r="L322" i="15"/>
  <c r="D322" i="15" s="1"/>
  <c r="AB322" i="15"/>
  <c r="AB312" i="23"/>
  <c r="A313" i="23"/>
  <c r="K312" i="23"/>
  <c r="X312" i="23"/>
  <c r="A311" i="25"/>
  <c r="AB310" i="25"/>
  <c r="K310" i="25"/>
  <c r="X310" i="25"/>
  <c r="X318" i="16"/>
  <c r="A319" i="16"/>
  <c r="L318" i="16"/>
  <c r="D318" i="16" s="1"/>
  <c r="K318" i="16"/>
  <c r="AB318" i="16"/>
  <c r="X313" i="22"/>
  <c r="A314" i="22"/>
  <c r="K313" i="22"/>
  <c r="AB313" i="22"/>
  <c r="K315" i="18"/>
  <c r="A316" i="18"/>
  <c r="X315" i="18"/>
  <c r="AB315" i="18"/>
  <c r="AJ320" i="1"/>
  <c r="K320" i="1"/>
  <c r="AB320" i="1"/>
  <c r="AK320" i="1"/>
  <c r="L320" i="1"/>
  <c r="D320" i="1" s="1"/>
  <c r="A321" i="1"/>
  <c r="X320" i="1"/>
  <c r="X314" i="20"/>
  <c r="AB314" i="20"/>
  <c r="A315" i="20"/>
  <c r="K314" i="20"/>
  <c r="A312" i="24"/>
  <c r="X311" i="24"/>
  <c r="K311" i="24"/>
  <c r="AB311" i="24"/>
  <c r="K315" i="20"/>
  <c r="AB315" i="20"/>
  <c r="A316" i="20"/>
  <c r="X315" i="20"/>
  <c r="X316" i="18"/>
  <c r="K316" i="18"/>
  <c r="A317" i="18"/>
  <c r="AB316" i="18"/>
  <c r="K314" i="22"/>
  <c r="X314" i="22"/>
  <c r="AB314" i="22"/>
  <c r="A315" i="22"/>
  <c r="A324" i="15"/>
  <c r="AB323" i="15"/>
  <c r="K323" i="15"/>
  <c r="L323" i="15"/>
  <c r="D323" i="15" s="1"/>
  <c r="X323" i="15"/>
  <c r="A313" i="24"/>
  <c r="K312" i="24"/>
  <c r="AB312" i="24"/>
  <c r="X312" i="24"/>
  <c r="AK321" i="1"/>
  <c r="AB321" i="1"/>
  <c r="A322" i="1"/>
  <c r="X321" i="1"/>
  <c r="K321" i="1"/>
  <c r="AJ321" i="1"/>
  <c r="L321" i="1"/>
  <c r="D321" i="1" s="1"/>
  <c r="A320" i="16"/>
  <c r="L319" i="16"/>
  <c r="D319" i="16" s="1"/>
  <c r="X319" i="16"/>
  <c r="AB319" i="16"/>
  <c r="K319" i="16"/>
  <c r="A312" i="25"/>
  <c r="AB311" i="25"/>
  <c r="X311" i="25"/>
  <c r="K311" i="25"/>
  <c r="K313" i="23"/>
  <c r="AB313" i="23"/>
  <c r="A314" i="23"/>
  <c r="X313" i="23"/>
  <c r="AB317" i="17"/>
  <c r="A318" i="17"/>
  <c r="X317" i="17"/>
  <c r="K317" i="17"/>
  <c r="K318" i="17"/>
  <c r="X318" i="17"/>
  <c r="A319" i="17"/>
  <c r="AB318" i="17"/>
  <c r="K312" i="25"/>
  <c r="AB312" i="25"/>
  <c r="X312" i="25"/>
  <c r="A313" i="25"/>
  <c r="AK322" i="1"/>
  <c r="L322" i="1"/>
  <c r="D322" i="1" s="1"/>
  <c r="X322" i="1"/>
  <c r="A323" i="1"/>
  <c r="AB322" i="1"/>
  <c r="K322" i="1"/>
  <c r="AJ322" i="1"/>
  <c r="K313" i="24"/>
  <c r="A314" i="24"/>
  <c r="AB313" i="24"/>
  <c r="X313" i="24"/>
  <c r="A325" i="15"/>
  <c r="AB324" i="15"/>
  <c r="L324" i="15"/>
  <c r="D324" i="15" s="1"/>
  <c r="X324" i="15"/>
  <c r="K324" i="15"/>
  <c r="K315" i="22"/>
  <c r="A316" i="22"/>
  <c r="AB315" i="22"/>
  <c r="X315" i="22"/>
  <c r="A318" i="18"/>
  <c r="X317" i="18"/>
  <c r="AB317" i="18"/>
  <c r="K317" i="18"/>
  <c r="X314" i="23"/>
  <c r="AB314" i="23"/>
  <c r="A315" i="23"/>
  <c r="K314" i="23"/>
  <c r="K320" i="16"/>
  <c r="L320" i="16"/>
  <c r="D320" i="16" s="1"/>
  <c r="A321" i="16"/>
  <c r="X320" i="16"/>
  <c r="AB320" i="16"/>
  <c r="A317" i="20"/>
  <c r="X316" i="20"/>
  <c r="AB316" i="20"/>
  <c r="K316" i="20"/>
  <c r="X315" i="23"/>
  <c r="AB315" i="23"/>
  <c r="A316" i="23"/>
  <c r="K315" i="23"/>
  <c r="X316" i="22"/>
  <c r="K316" i="22"/>
  <c r="AB316" i="22"/>
  <c r="A317" i="22"/>
  <c r="X325" i="15"/>
  <c r="AB325" i="15"/>
  <c r="K325" i="15"/>
  <c r="L325" i="15"/>
  <c r="A326" i="15"/>
  <c r="AJ323" i="1"/>
  <c r="AB323" i="1"/>
  <c r="K323" i="1"/>
  <c r="A324" i="1"/>
  <c r="X323" i="1"/>
  <c r="L323" i="1"/>
  <c r="AK323" i="1"/>
  <c r="AB319" i="17"/>
  <c r="K319" i="17"/>
  <c r="X319" i="17"/>
  <c r="A320" i="17"/>
  <c r="A318" i="20"/>
  <c r="AB317" i="20"/>
  <c r="K317" i="20"/>
  <c r="X317" i="20"/>
  <c r="AB321" i="16"/>
  <c r="A322" i="16"/>
  <c r="K321" i="16"/>
  <c r="X321" i="16"/>
  <c r="L321" i="16"/>
  <c r="D321" i="16" s="1"/>
  <c r="K318" i="18"/>
  <c r="AB318" i="18"/>
  <c r="X318" i="18"/>
  <c r="A319" i="18"/>
  <c r="X314" i="24"/>
  <c r="K314" i="24"/>
  <c r="A315" i="24"/>
  <c r="AB314" i="24"/>
  <c r="AB313" i="25"/>
  <c r="A314" i="25"/>
  <c r="K313" i="25"/>
  <c r="X313" i="25"/>
  <c r="K314" i="25"/>
  <c r="X314" i="25"/>
  <c r="AB314" i="25"/>
  <c r="A315" i="25"/>
  <c r="A316" i="24"/>
  <c r="X315" i="24"/>
  <c r="AB315" i="24"/>
  <c r="K315" i="24"/>
  <c r="X319" i="18"/>
  <c r="K319" i="18"/>
  <c r="AB319" i="18"/>
  <c r="A320" i="18"/>
  <c r="A323" i="16"/>
  <c r="L322" i="16"/>
  <c r="AB322" i="16"/>
  <c r="K322" i="16"/>
  <c r="X322" i="16"/>
  <c r="A319" i="20"/>
  <c r="K318" i="20"/>
  <c r="X318" i="20"/>
  <c r="AB318" i="20"/>
  <c r="D323" i="1"/>
  <c r="AK324" i="1"/>
  <c r="A325" i="1"/>
  <c r="K324" i="1"/>
  <c r="L324" i="1"/>
  <c r="AJ324" i="1"/>
  <c r="AB324" i="1"/>
  <c r="X324" i="1"/>
  <c r="A327" i="15"/>
  <c r="K326" i="15"/>
  <c r="L326" i="15"/>
  <c r="D326" i="15" s="1"/>
  <c r="X326" i="15"/>
  <c r="AB326" i="15"/>
  <c r="D325" i="15"/>
  <c r="X317" i="22"/>
  <c r="A318" i="22"/>
  <c r="K317" i="22"/>
  <c r="AB317" i="22"/>
  <c r="AB320" i="17"/>
  <c r="A321" i="17"/>
  <c r="K320" i="17"/>
  <c r="X320" i="17"/>
  <c r="X316" i="23"/>
  <c r="A317" i="23"/>
  <c r="K316" i="23"/>
  <c r="AB316" i="23"/>
  <c r="AB317" i="23"/>
  <c r="X317" i="23"/>
  <c r="A318" i="23"/>
  <c r="K317" i="23"/>
  <c r="L327" i="15"/>
  <c r="D327" i="15" s="1"/>
  <c r="X327" i="15"/>
  <c r="AB327" i="15"/>
  <c r="A328" i="15"/>
  <c r="K327" i="15"/>
  <c r="AK325" i="1"/>
  <c r="K325" i="1"/>
  <c r="AB325" i="1"/>
  <c r="X325" i="1"/>
  <c r="A326" i="1"/>
  <c r="L325" i="1"/>
  <c r="D325" i="1" s="1"/>
  <c r="AJ325" i="1"/>
  <c r="AB319" i="20"/>
  <c r="X319" i="20"/>
  <c r="K319" i="20"/>
  <c r="A320" i="20"/>
  <c r="D322" i="16"/>
  <c r="AB320" i="18"/>
  <c r="X320" i="18"/>
  <c r="K320" i="18"/>
  <c r="A321" i="18"/>
  <c r="K315" i="25"/>
  <c r="AB315" i="25"/>
  <c r="A316" i="25"/>
  <c r="X315" i="25"/>
  <c r="K321" i="17"/>
  <c r="A322" i="17"/>
  <c r="AB321" i="17"/>
  <c r="X321" i="17"/>
  <c r="AB318" i="22"/>
  <c r="K318" i="22"/>
  <c r="X318" i="22"/>
  <c r="A319" i="22"/>
  <c r="D324" i="1"/>
  <c r="A324" i="16"/>
  <c r="L323" i="16"/>
  <c r="D323" i="16" s="1"/>
  <c r="AB323" i="16"/>
  <c r="X323" i="16"/>
  <c r="K323" i="16"/>
  <c r="AB316" i="24"/>
  <c r="K316" i="24"/>
  <c r="X316" i="24"/>
  <c r="A317" i="24"/>
  <c r="A320" i="22"/>
  <c r="X319" i="22"/>
  <c r="AB319" i="22"/>
  <c r="K319" i="22"/>
  <c r="K322" i="17"/>
  <c r="AB322" i="17"/>
  <c r="A323" i="17"/>
  <c r="X322" i="17"/>
  <c r="AB316" i="25"/>
  <c r="A317" i="25"/>
  <c r="X316" i="25"/>
  <c r="K316" i="25"/>
  <c r="K321" i="18"/>
  <c r="X321" i="18"/>
  <c r="AB321" i="18"/>
  <c r="A322" i="18"/>
  <c r="AB320" i="20"/>
  <c r="X320" i="20"/>
  <c r="K320" i="20"/>
  <c r="A321" i="20"/>
  <c r="A329" i="15"/>
  <c r="L328" i="15"/>
  <c r="D328" i="15" s="1"/>
  <c r="X328" i="15"/>
  <c r="K328" i="15"/>
  <c r="AB328" i="15"/>
  <c r="AB318" i="23"/>
  <c r="X318" i="23"/>
  <c r="A319" i="23"/>
  <c r="K318" i="23"/>
  <c r="AB317" i="24"/>
  <c r="K317" i="24"/>
  <c r="A318" i="24"/>
  <c r="X317" i="24"/>
  <c r="X324" i="16"/>
  <c r="L324" i="16"/>
  <c r="D324" i="16" s="1"/>
  <c r="AB324" i="16"/>
  <c r="K324" i="16"/>
  <c r="A325" i="16"/>
  <c r="AJ326" i="1"/>
  <c r="X326" i="1"/>
  <c r="AB326" i="1"/>
  <c r="K326" i="1"/>
  <c r="A327" i="1"/>
  <c r="AK326" i="1"/>
  <c r="L326" i="1"/>
  <c r="D326" i="1" s="1"/>
  <c r="AK327" i="1"/>
  <c r="A328" i="1"/>
  <c r="L327" i="1"/>
  <c r="D327" i="1" s="1"/>
  <c r="AJ327" i="1"/>
  <c r="X327" i="1"/>
  <c r="K327" i="1"/>
  <c r="AB327" i="1"/>
  <c r="A319" i="24"/>
  <c r="AB318" i="24"/>
  <c r="K318" i="24"/>
  <c r="X318" i="24"/>
  <c r="K319" i="23"/>
  <c r="AB319" i="23"/>
  <c r="X319" i="23"/>
  <c r="A320" i="23"/>
  <c r="K321" i="20"/>
  <c r="X321" i="20"/>
  <c r="A322" i="20"/>
  <c r="AB321" i="20"/>
  <c r="A318" i="25"/>
  <c r="X317" i="25"/>
  <c r="K317" i="25"/>
  <c r="AB317" i="25"/>
  <c r="X320" i="22"/>
  <c r="AB320" i="22"/>
  <c r="A321" i="22"/>
  <c r="K320" i="22"/>
  <c r="A326" i="16"/>
  <c r="L325" i="16"/>
  <c r="D325" i="16" s="1"/>
  <c r="X325" i="16"/>
  <c r="K325" i="16"/>
  <c r="AB325" i="16"/>
  <c r="X329" i="15"/>
  <c r="AB329" i="15"/>
  <c r="K329" i="15"/>
  <c r="A330" i="15"/>
  <c r="L329" i="15"/>
  <c r="D329" i="15" s="1"/>
  <c r="AB322" i="18"/>
  <c r="A323" i="18"/>
  <c r="X322" i="18"/>
  <c r="K322" i="18"/>
  <c r="A324" i="17"/>
  <c r="K323" i="17"/>
  <c r="X323" i="17"/>
  <c r="AB323" i="17"/>
  <c r="A324" i="18"/>
  <c r="AB323" i="18"/>
  <c r="K323" i="18"/>
  <c r="X323" i="18"/>
  <c r="AB324" i="17"/>
  <c r="A325" i="17"/>
  <c r="X324" i="17"/>
  <c r="K324" i="17"/>
  <c r="X318" i="25"/>
  <c r="AB318" i="25"/>
  <c r="A319" i="25"/>
  <c r="K318" i="25"/>
  <c r="A331" i="15"/>
  <c r="AB330" i="15"/>
  <c r="K330" i="15"/>
  <c r="X330" i="15"/>
  <c r="L330" i="15"/>
  <c r="D330" i="15" s="1"/>
  <c r="K326" i="16"/>
  <c r="L326" i="16"/>
  <c r="D326" i="16" s="1"/>
  <c r="A327" i="16"/>
  <c r="X326" i="16"/>
  <c r="AB326" i="16"/>
  <c r="A322" i="22"/>
  <c r="X321" i="22"/>
  <c r="AB321" i="22"/>
  <c r="K321" i="22"/>
  <c r="A323" i="20"/>
  <c r="K322" i="20"/>
  <c r="X322" i="20"/>
  <c r="AB322" i="20"/>
  <c r="AB320" i="23"/>
  <c r="K320" i="23"/>
  <c r="A321" i="23"/>
  <c r="X320" i="23"/>
  <c r="A320" i="24"/>
  <c r="K319" i="24"/>
  <c r="AB319" i="24"/>
  <c r="X319" i="24"/>
  <c r="AK328" i="1"/>
  <c r="X328" i="1"/>
  <c r="L328" i="1"/>
  <c r="D328" i="1" s="1"/>
  <c r="AB328" i="1"/>
  <c r="AJ328" i="1"/>
  <c r="A329" i="1"/>
  <c r="K328" i="1"/>
  <c r="AB321" i="23"/>
  <c r="K321" i="23"/>
  <c r="A322" i="23"/>
  <c r="X321" i="23"/>
  <c r="K322" i="22"/>
  <c r="AB322" i="22"/>
  <c r="X322" i="22"/>
  <c r="A323" i="22"/>
  <c r="X331" i="15"/>
  <c r="L331" i="15"/>
  <c r="D331" i="15" s="1"/>
  <c r="K331" i="15"/>
  <c r="AB331" i="15"/>
  <c r="A332" i="15"/>
  <c r="AB324" i="18"/>
  <c r="K324" i="18"/>
  <c r="X324" i="18"/>
  <c r="A325" i="18"/>
  <c r="AK329" i="1"/>
  <c r="AB329" i="1"/>
  <c r="A330" i="1"/>
  <c r="K329" i="1"/>
  <c r="L329" i="1"/>
  <c r="D329" i="1" s="1"/>
  <c r="X329" i="1"/>
  <c r="AJ329" i="1"/>
  <c r="X320" i="24"/>
  <c r="A321" i="24"/>
  <c r="AB320" i="24"/>
  <c r="K320" i="24"/>
  <c r="AB323" i="20"/>
  <c r="X323" i="20"/>
  <c r="K323" i="20"/>
  <c r="A324" i="20"/>
  <c r="X327" i="16"/>
  <c r="L327" i="16"/>
  <c r="K327" i="16"/>
  <c r="AB327" i="16"/>
  <c r="A328" i="16"/>
  <c r="A320" i="25"/>
  <c r="AB319" i="25"/>
  <c r="K319" i="25"/>
  <c r="X319" i="25"/>
  <c r="X325" i="17"/>
  <c r="AB325" i="17"/>
  <c r="K325" i="17"/>
  <c r="A326" i="17"/>
  <c r="A321" i="25"/>
  <c r="AB320" i="25"/>
  <c r="X320" i="25"/>
  <c r="K320" i="25"/>
  <c r="AB328" i="16"/>
  <c r="A329" i="16"/>
  <c r="K328" i="16"/>
  <c r="L328" i="16"/>
  <c r="D328" i="16" s="1"/>
  <c r="X328" i="16"/>
  <c r="D327" i="16"/>
  <c r="X324" i="20"/>
  <c r="A325" i="20"/>
  <c r="AB324" i="20"/>
  <c r="K324" i="20"/>
  <c r="X332" i="15"/>
  <c r="L332" i="15"/>
  <c r="A333" i="15"/>
  <c r="K332" i="15"/>
  <c r="AB332" i="15"/>
  <c r="K323" i="22"/>
  <c r="AB323" i="22"/>
  <c r="X323" i="22"/>
  <c r="A324" i="22"/>
  <c r="AB326" i="17"/>
  <c r="X326" i="17"/>
  <c r="K326" i="17"/>
  <c r="A327" i="17"/>
  <c r="K321" i="24"/>
  <c r="AB321" i="24"/>
  <c r="X321" i="24"/>
  <c r="A322" i="24"/>
  <c r="AK330" i="1"/>
  <c r="K330" i="1"/>
  <c r="A331" i="1"/>
  <c r="X330" i="1"/>
  <c r="AJ330" i="1"/>
  <c r="AB330" i="1"/>
  <c r="L330" i="1"/>
  <c r="D330" i="1" s="1"/>
  <c r="K325" i="18"/>
  <c r="X325" i="18"/>
  <c r="A326" i="18"/>
  <c r="AB325" i="18"/>
  <c r="AB322" i="23"/>
  <c r="K322" i="23"/>
  <c r="A323" i="23"/>
  <c r="X322" i="23"/>
  <c r="X326" i="18"/>
  <c r="A327" i="18"/>
  <c r="K326" i="18"/>
  <c r="AB326" i="18"/>
  <c r="AJ331" i="1"/>
  <c r="X331" i="1"/>
  <c r="A332" i="1"/>
  <c r="AK331" i="1"/>
  <c r="L331" i="1"/>
  <c r="D331" i="1" s="1"/>
  <c r="AB331" i="1"/>
  <c r="K331" i="1"/>
  <c r="A323" i="24"/>
  <c r="AB322" i="24"/>
  <c r="K322" i="24"/>
  <c r="X322" i="24"/>
  <c r="AB327" i="17"/>
  <c r="K327" i="17"/>
  <c r="X327" i="17"/>
  <c r="A328" i="17"/>
  <c r="D332" i="15"/>
  <c r="X321" i="25"/>
  <c r="AB321" i="25"/>
  <c r="A322" i="25"/>
  <c r="K321" i="25"/>
  <c r="K323" i="23"/>
  <c r="X323" i="23"/>
  <c r="A324" i="23"/>
  <c r="AB323" i="23"/>
  <c r="X324" i="22"/>
  <c r="A325" i="22"/>
  <c r="AB324" i="22"/>
  <c r="K324" i="22"/>
  <c r="AB333" i="15"/>
  <c r="L333" i="15"/>
  <c r="D333" i="15" s="1"/>
  <c r="K333" i="15"/>
  <c r="X333" i="15"/>
  <c r="A334" i="15"/>
  <c r="A42" i="7"/>
  <c r="X325" i="20"/>
  <c r="A326" i="20"/>
  <c r="AB325" i="20"/>
  <c r="K325" i="20"/>
  <c r="AB329" i="16"/>
  <c r="K329" i="16"/>
  <c r="L329" i="16"/>
  <c r="D329" i="16" s="1"/>
  <c r="X329" i="16"/>
  <c r="A330" i="16"/>
  <c r="X334" i="15"/>
  <c r="A335" i="15"/>
  <c r="AB334" i="15"/>
  <c r="L334" i="15"/>
  <c r="D334" i="15" s="1"/>
  <c r="K334" i="15"/>
  <c r="B42" i="7"/>
  <c r="A325" i="23"/>
  <c r="K324" i="23"/>
  <c r="AB324" i="23"/>
  <c r="X324" i="23"/>
  <c r="K328" i="17"/>
  <c r="AB328" i="17"/>
  <c r="A329" i="17"/>
  <c r="X328" i="17"/>
  <c r="AK332" i="1"/>
  <c r="X332" i="1"/>
  <c r="L332" i="1"/>
  <c r="AB332" i="1"/>
  <c r="AJ332" i="1"/>
  <c r="A333" i="1"/>
  <c r="K332" i="1"/>
  <c r="AB327" i="18"/>
  <c r="X327" i="18"/>
  <c r="K327" i="18"/>
  <c r="A328" i="18"/>
  <c r="AB330" i="16"/>
  <c r="L330" i="16"/>
  <c r="A331" i="16"/>
  <c r="X330" i="16"/>
  <c r="K330" i="16"/>
  <c r="A327" i="20"/>
  <c r="K326" i="20"/>
  <c r="AB326" i="20"/>
  <c r="X326" i="20"/>
  <c r="AB325" i="22"/>
  <c r="K325" i="22"/>
  <c r="X325" i="22"/>
  <c r="A326" i="22"/>
  <c r="K322" i="25"/>
  <c r="X322" i="25"/>
  <c r="AB322" i="25"/>
  <c r="A323" i="25"/>
  <c r="K323" i="24"/>
  <c r="X323" i="24"/>
  <c r="AB323" i="24"/>
  <c r="A324" i="24"/>
  <c r="X323" i="25"/>
  <c r="AB323" i="25"/>
  <c r="K323" i="25"/>
  <c r="A324" i="25"/>
  <c r="A325" i="24"/>
  <c r="K324" i="24"/>
  <c r="AB324" i="24"/>
  <c r="X324" i="24"/>
  <c r="AB327" i="20"/>
  <c r="K327" i="20"/>
  <c r="A328" i="20"/>
  <c r="X327" i="20"/>
  <c r="D330" i="16"/>
  <c r="AB328" i="18"/>
  <c r="X328" i="18"/>
  <c r="A329" i="18"/>
  <c r="K328" i="18"/>
  <c r="K329" i="17"/>
  <c r="A330" i="17"/>
  <c r="X329" i="17"/>
  <c r="AB329" i="17"/>
  <c r="X325" i="23"/>
  <c r="AB325" i="23"/>
  <c r="A326" i="23"/>
  <c r="K325" i="23"/>
  <c r="K326" i="22"/>
  <c r="A327" i="22"/>
  <c r="X326" i="22"/>
  <c r="AB326" i="22"/>
  <c r="X331" i="16"/>
  <c r="K331" i="16"/>
  <c r="A332" i="16"/>
  <c r="AB331" i="16"/>
  <c r="L331" i="16"/>
  <c r="D331" i="16" s="1"/>
  <c r="AK333" i="1"/>
  <c r="A30" i="7"/>
  <c r="AB333" i="1"/>
  <c r="K333" i="1"/>
  <c r="A334" i="1"/>
  <c r="L333" i="1"/>
  <c r="D333" i="1" s="1"/>
  <c r="X333" i="1"/>
  <c r="AJ333" i="1"/>
  <c r="D332" i="1"/>
  <c r="AB335" i="15"/>
  <c r="X335" i="15"/>
  <c r="L335" i="15"/>
  <c r="K335" i="15"/>
  <c r="A336" i="15"/>
  <c r="AB336" i="15"/>
  <c r="K336" i="15"/>
  <c r="A337" i="15"/>
  <c r="L336" i="15"/>
  <c r="D336" i="15" s="1"/>
  <c r="X336" i="15"/>
  <c r="D335" i="15"/>
  <c r="X332" i="16"/>
  <c r="K332" i="16"/>
  <c r="A333" i="16"/>
  <c r="L332" i="16"/>
  <c r="D332" i="16" s="1"/>
  <c r="AB332" i="16"/>
  <c r="A328" i="22"/>
  <c r="X327" i="22"/>
  <c r="AB327" i="22"/>
  <c r="K327" i="22"/>
  <c r="K330" i="17"/>
  <c r="A331" i="17"/>
  <c r="AB330" i="17"/>
  <c r="X330" i="17"/>
  <c r="K325" i="24"/>
  <c r="A326" i="24"/>
  <c r="X325" i="24"/>
  <c r="AB325" i="24"/>
  <c r="A325" i="25"/>
  <c r="K324" i="25"/>
  <c r="AB324" i="25"/>
  <c r="X324" i="25"/>
  <c r="AJ334" i="1"/>
  <c r="X334" i="1"/>
  <c r="A335" i="1"/>
  <c r="AK334" i="1"/>
  <c r="AB334" i="1"/>
  <c r="L334" i="1"/>
  <c r="K334" i="1"/>
  <c r="K326" i="23"/>
  <c r="A327" i="23"/>
  <c r="AB326" i="23"/>
  <c r="X326" i="23"/>
  <c r="A330" i="18"/>
  <c r="K329" i="18"/>
  <c r="AB329" i="18"/>
  <c r="X329" i="18"/>
  <c r="AB328" i="20"/>
  <c r="K328" i="20"/>
  <c r="X328" i="20"/>
  <c r="A329" i="20"/>
  <c r="D334" i="1"/>
  <c r="AK335" i="1"/>
  <c r="AB335" i="1"/>
  <c r="A336" i="1"/>
  <c r="X335" i="1"/>
  <c r="L335" i="1"/>
  <c r="D335" i="1" s="1"/>
  <c r="AJ335" i="1"/>
  <c r="K335" i="1"/>
  <c r="AB326" i="24"/>
  <c r="X326" i="24"/>
  <c r="A327" i="24"/>
  <c r="K326" i="24"/>
  <c r="AB331" i="17"/>
  <c r="X331" i="17"/>
  <c r="K331" i="17"/>
  <c r="A332" i="17"/>
  <c r="X328" i="22"/>
  <c r="AB328" i="22"/>
  <c r="A329" i="22"/>
  <c r="K328" i="22"/>
  <c r="X337" i="15"/>
  <c r="K337" i="15"/>
  <c r="L337" i="15"/>
  <c r="D337" i="15" s="1"/>
  <c r="AB337" i="15"/>
  <c r="A338" i="15"/>
  <c r="X329" i="20"/>
  <c r="AB329" i="20"/>
  <c r="K329" i="20"/>
  <c r="A330" i="20"/>
  <c r="X330" i="18"/>
  <c r="K330" i="18"/>
  <c r="A331" i="18"/>
  <c r="AB330" i="18"/>
  <c r="X327" i="23"/>
  <c r="AB327" i="23"/>
  <c r="A328" i="23"/>
  <c r="K327" i="23"/>
  <c r="A326" i="25"/>
  <c r="X325" i="25"/>
  <c r="AB325" i="25"/>
  <c r="K325" i="25"/>
  <c r="X333" i="16"/>
  <c r="AB333" i="16"/>
  <c r="K333" i="16"/>
  <c r="A54" i="7"/>
  <c r="A334" i="16"/>
  <c r="L333" i="16"/>
  <c r="AB328" i="23"/>
  <c r="A329" i="23"/>
  <c r="X328" i="23"/>
  <c r="K328" i="23"/>
  <c r="AB330" i="20"/>
  <c r="K330" i="20"/>
  <c r="X330" i="20"/>
  <c r="A331" i="20"/>
  <c r="K338" i="15"/>
  <c r="A339" i="15"/>
  <c r="X338" i="15"/>
  <c r="L338" i="15"/>
  <c r="D338" i="15" s="1"/>
  <c r="AB338" i="15"/>
  <c r="K329" i="22"/>
  <c r="X329" i="22"/>
  <c r="A330" i="22"/>
  <c r="AB329" i="22"/>
  <c r="X332" i="17"/>
  <c r="A333" i="17"/>
  <c r="K332" i="17"/>
  <c r="AB332" i="17"/>
  <c r="X334" i="16"/>
  <c r="AB334" i="16"/>
  <c r="K334" i="16"/>
  <c r="L334" i="16"/>
  <c r="D334" i="16" s="1"/>
  <c r="A335" i="16"/>
  <c r="A327" i="25"/>
  <c r="X326" i="25"/>
  <c r="K326" i="25"/>
  <c r="AB326" i="25"/>
  <c r="AB331" i="18"/>
  <c r="K331" i="18"/>
  <c r="A332" i="18"/>
  <c r="X331" i="18"/>
  <c r="K327" i="24"/>
  <c r="A328" i="24"/>
  <c r="X327" i="24"/>
  <c r="AB327" i="24"/>
  <c r="AJ336" i="1"/>
  <c r="X336" i="1"/>
  <c r="L336" i="1"/>
  <c r="D336" i="1" s="1"/>
  <c r="AK336" i="1"/>
  <c r="K336" i="1"/>
  <c r="A337" i="1"/>
  <c r="AB336" i="1"/>
  <c r="AB328" i="24"/>
  <c r="K328" i="24"/>
  <c r="A329" i="24"/>
  <c r="X328" i="24"/>
  <c r="K335" i="16"/>
  <c r="L335" i="16"/>
  <c r="D335" i="16" s="1"/>
  <c r="AB335" i="16"/>
  <c r="A336" i="16"/>
  <c r="X335" i="16"/>
  <c r="X339" i="15"/>
  <c r="K339" i="15"/>
  <c r="A340" i="15"/>
  <c r="AB339" i="15"/>
  <c r="L339" i="15"/>
  <c r="D339" i="15" s="1"/>
  <c r="AB331" i="20"/>
  <c r="A332" i="20"/>
  <c r="K331" i="20"/>
  <c r="X331" i="20"/>
  <c r="K329" i="23"/>
  <c r="A330" i="23"/>
  <c r="AB329" i="23"/>
  <c r="X329" i="23"/>
  <c r="AJ337" i="1"/>
  <c r="L337" i="1"/>
  <c r="D337" i="1" s="1"/>
  <c r="AB337" i="1"/>
  <c r="K337" i="1"/>
  <c r="A338" i="1"/>
  <c r="AK337" i="1"/>
  <c r="X337" i="1"/>
  <c r="K332" i="18"/>
  <c r="A333" i="18"/>
  <c r="X332" i="18"/>
  <c r="AB332" i="18"/>
  <c r="AB327" i="25"/>
  <c r="A328" i="25"/>
  <c r="X327" i="25"/>
  <c r="K327" i="25"/>
  <c r="X333" i="17"/>
  <c r="A66" i="7"/>
  <c r="K333" i="17"/>
  <c r="AB333" i="17"/>
  <c r="A334" i="17"/>
  <c r="X330" i="22"/>
  <c r="A331" i="22"/>
  <c r="K330" i="22"/>
  <c r="AB330" i="22"/>
  <c r="X328" i="25"/>
  <c r="AB328" i="25"/>
  <c r="K328" i="25"/>
  <c r="A329" i="25"/>
  <c r="AK338" i="1"/>
  <c r="A339" i="1"/>
  <c r="X338" i="1"/>
  <c r="L338" i="1"/>
  <c r="AJ338" i="1"/>
  <c r="AB338" i="1"/>
  <c r="K338" i="1"/>
  <c r="AB330" i="23"/>
  <c r="A331" i="23"/>
  <c r="X330" i="23"/>
  <c r="K330" i="23"/>
  <c r="K340" i="15"/>
  <c r="AB340" i="15"/>
  <c r="A341" i="15"/>
  <c r="L340" i="15"/>
  <c r="X340" i="15"/>
  <c r="X336" i="16"/>
  <c r="L336" i="16"/>
  <c r="D336" i="16" s="1"/>
  <c r="A337" i="16"/>
  <c r="K336" i="16"/>
  <c r="AB336" i="16"/>
  <c r="A332" i="22"/>
  <c r="X331" i="22"/>
  <c r="K331" i="22"/>
  <c r="AB331" i="22"/>
  <c r="K334" i="17"/>
  <c r="X334" i="17"/>
  <c r="A335" i="17"/>
  <c r="AB334" i="17"/>
  <c r="X333" i="18"/>
  <c r="AB333" i="18"/>
  <c r="K333" i="18"/>
  <c r="A334" i="18"/>
  <c r="A78" i="7"/>
  <c r="A333" i="20"/>
  <c r="X332" i="20"/>
  <c r="K332" i="20"/>
  <c r="AB332" i="20"/>
  <c r="X329" i="24"/>
  <c r="AB329" i="24"/>
  <c r="A330" i="24"/>
  <c r="K329" i="24"/>
  <c r="A333" i="22"/>
  <c r="X332" i="22"/>
  <c r="K332" i="22"/>
  <c r="AB332" i="22"/>
  <c r="X337" i="16"/>
  <c r="L337" i="16"/>
  <c r="D337" i="16" s="1"/>
  <c r="AB337" i="16"/>
  <c r="K337" i="16"/>
  <c r="A338" i="16"/>
  <c r="D340" i="15"/>
  <c r="AB331" i="23"/>
  <c r="K331" i="23"/>
  <c r="A332" i="23"/>
  <c r="X331" i="23"/>
  <c r="D338" i="1"/>
  <c r="AB330" i="24"/>
  <c r="A331" i="24"/>
  <c r="X330" i="24"/>
  <c r="K330" i="24"/>
  <c r="X333" i="20"/>
  <c r="AB333" i="20"/>
  <c r="K333" i="20"/>
  <c r="AE30" i="7"/>
  <c r="A334" i="20"/>
  <c r="X334" i="18"/>
  <c r="AB334" i="18"/>
  <c r="K334" i="18"/>
  <c r="A335" i="18"/>
  <c r="K335" i="17"/>
  <c r="A336" i="17"/>
  <c r="AB335" i="17"/>
  <c r="X335" i="17"/>
  <c r="A342" i="15"/>
  <c r="AB341" i="15"/>
  <c r="X341" i="15"/>
  <c r="L341" i="15"/>
  <c r="D341" i="15" s="1"/>
  <c r="K341" i="15"/>
  <c r="AJ339" i="1"/>
  <c r="AB339" i="1"/>
  <c r="X339" i="1"/>
  <c r="L339" i="1"/>
  <c r="D339" i="1" s="1"/>
  <c r="A340" i="1"/>
  <c r="AK339" i="1"/>
  <c r="K339" i="1"/>
  <c r="AB329" i="25"/>
  <c r="K329" i="25"/>
  <c r="A330" i="25"/>
  <c r="X329" i="25"/>
  <c r="AB330" i="25"/>
  <c r="K330" i="25"/>
  <c r="A331" i="25"/>
  <c r="X330" i="25"/>
  <c r="X336" i="17"/>
  <c r="A337" i="17"/>
  <c r="AB336" i="17"/>
  <c r="K336" i="17"/>
  <c r="A336" i="18"/>
  <c r="AB335" i="18"/>
  <c r="X335" i="18"/>
  <c r="K335" i="18"/>
  <c r="AB331" i="24"/>
  <c r="X331" i="24"/>
  <c r="A332" i="24"/>
  <c r="K331" i="24"/>
  <c r="A333" i="23"/>
  <c r="AB332" i="23"/>
  <c r="X332" i="23"/>
  <c r="K332" i="23"/>
  <c r="AB338" i="16"/>
  <c r="L338" i="16"/>
  <c r="D338" i="16" s="1"/>
  <c r="K338" i="16"/>
  <c r="A339" i="16"/>
  <c r="X338" i="16"/>
  <c r="AJ340" i="1"/>
  <c r="A341" i="1"/>
  <c r="X340" i="1"/>
  <c r="K340" i="1"/>
  <c r="AB340" i="1"/>
  <c r="L340" i="1"/>
  <c r="D340" i="1" s="1"/>
  <c r="AK340" i="1"/>
  <c r="L342" i="15"/>
  <c r="D342" i="15" s="1"/>
  <c r="A343" i="15"/>
  <c r="AB342" i="15"/>
  <c r="X342" i="15"/>
  <c r="K342" i="15"/>
  <c r="AB334" i="20"/>
  <c r="K334" i="20"/>
  <c r="A335" i="20"/>
  <c r="X334" i="20"/>
  <c r="AB333" i="22"/>
  <c r="A334" i="22"/>
  <c r="K333" i="22"/>
  <c r="AE42" i="7"/>
  <c r="X333" i="22"/>
  <c r="K334" i="22"/>
  <c r="AB334" i="22"/>
  <c r="A335" i="22"/>
  <c r="X334" i="22"/>
  <c r="K343" i="15"/>
  <c r="L343" i="15"/>
  <c r="D343" i="15" s="1"/>
  <c r="X343" i="15"/>
  <c r="AB343" i="15"/>
  <c r="A344" i="15"/>
  <c r="X339" i="16"/>
  <c r="A340" i="16"/>
  <c r="L339" i="16"/>
  <c r="D339" i="16" s="1"/>
  <c r="AB339" i="16"/>
  <c r="K339" i="16"/>
  <c r="X333" i="23"/>
  <c r="K333" i="23"/>
  <c r="A334" i="23"/>
  <c r="AB333" i="23"/>
  <c r="AE54" i="7"/>
  <c r="X335" i="20"/>
  <c r="AB335" i="20"/>
  <c r="K335" i="20"/>
  <c r="A336" i="20"/>
  <c r="AK341" i="1"/>
  <c r="AB341" i="1"/>
  <c r="L341" i="1"/>
  <c r="D341" i="1" s="1"/>
  <c r="AJ341" i="1"/>
  <c r="X341" i="1"/>
  <c r="A342" i="1"/>
  <c r="K341" i="1"/>
  <c r="X332" i="24"/>
  <c r="A333" i="24"/>
  <c r="AB332" i="24"/>
  <c r="K332" i="24"/>
  <c r="K336" i="18"/>
  <c r="X336" i="18"/>
  <c r="A337" i="18"/>
  <c r="AB336" i="18"/>
  <c r="X337" i="17"/>
  <c r="A338" i="17"/>
  <c r="K337" i="17"/>
  <c r="AB337" i="17"/>
  <c r="AB331" i="25"/>
  <c r="K331" i="25"/>
  <c r="X331" i="25"/>
  <c r="A332" i="25"/>
  <c r="AB340" i="16"/>
  <c r="A341" i="16"/>
  <c r="X340" i="16"/>
  <c r="K340" i="16"/>
  <c r="L340" i="16"/>
  <c r="D340" i="16" s="1"/>
  <c r="X332" i="25"/>
  <c r="K332" i="25"/>
  <c r="A333" i="25"/>
  <c r="AB332" i="25"/>
  <c r="A339" i="17"/>
  <c r="K338" i="17"/>
  <c r="AB338" i="17"/>
  <c r="X338" i="17"/>
  <c r="A338" i="18"/>
  <c r="AB337" i="18"/>
  <c r="X337" i="18"/>
  <c r="K337" i="18"/>
  <c r="AB333" i="24"/>
  <c r="A334" i="24"/>
  <c r="AE66" i="7"/>
  <c r="X333" i="24"/>
  <c r="K333" i="24"/>
  <c r="AK342" i="1"/>
  <c r="A343" i="1"/>
  <c r="AB342" i="1"/>
  <c r="X342" i="1"/>
  <c r="L342" i="1"/>
  <c r="K342" i="1"/>
  <c r="AJ342" i="1"/>
  <c r="K336" i="20"/>
  <c r="X336" i="20"/>
  <c r="A337" i="20"/>
  <c r="AB336" i="20"/>
  <c r="K334" i="23"/>
  <c r="AB334" i="23"/>
  <c r="A335" i="23"/>
  <c r="X334" i="23"/>
  <c r="A345" i="15"/>
  <c r="L344" i="15"/>
  <c r="D344" i="15" s="1"/>
  <c r="K344" i="15"/>
  <c r="X344" i="15"/>
  <c r="AB344" i="15"/>
  <c r="K335" i="22"/>
  <c r="A336" i="22"/>
  <c r="AB335" i="22"/>
  <c r="X335" i="22"/>
  <c r="K336" i="22"/>
  <c r="A337" i="22"/>
  <c r="X336" i="22"/>
  <c r="AB336" i="22"/>
  <c r="X337" i="20"/>
  <c r="AB337" i="20"/>
  <c r="K337" i="20"/>
  <c r="A338" i="20"/>
  <c r="D342" i="1"/>
  <c r="AJ343" i="1"/>
  <c r="L343" i="1"/>
  <c r="X343" i="1"/>
  <c r="AK343" i="1"/>
  <c r="K343" i="1"/>
  <c r="AB343" i="1"/>
  <c r="A344" i="1"/>
  <c r="X334" i="24"/>
  <c r="AB334" i="24"/>
  <c r="K334" i="24"/>
  <c r="A335" i="24"/>
  <c r="AE78" i="7"/>
  <c r="K333" i="25"/>
  <c r="AB333" i="25"/>
  <c r="X333" i="25"/>
  <c r="A334" i="25"/>
  <c r="A342" i="16"/>
  <c r="AB341" i="16"/>
  <c r="X341" i="16"/>
  <c r="K341" i="16"/>
  <c r="L341" i="16"/>
  <c r="D341" i="16" s="1"/>
  <c r="A346" i="15"/>
  <c r="K345" i="15"/>
  <c r="L345" i="15"/>
  <c r="D345" i="15" s="1"/>
  <c r="AB345" i="15"/>
  <c r="X345" i="15"/>
  <c r="K335" i="23"/>
  <c r="A336" i="23"/>
  <c r="X335" i="23"/>
  <c r="AB335" i="23"/>
  <c r="A339" i="18"/>
  <c r="AB338" i="18"/>
  <c r="K338" i="18"/>
  <c r="X338" i="18"/>
  <c r="X339" i="17"/>
  <c r="AB339" i="17"/>
  <c r="A340" i="17"/>
  <c r="K339" i="17"/>
  <c r="AB336" i="23"/>
  <c r="X336" i="23"/>
  <c r="A337" i="23"/>
  <c r="K336" i="23"/>
  <c r="X346" i="15"/>
  <c r="AB346" i="15"/>
  <c r="L346" i="15"/>
  <c r="D346" i="15" s="1"/>
  <c r="K346" i="15"/>
  <c r="A347" i="15"/>
  <c r="AB342" i="16"/>
  <c r="A343" i="16"/>
  <c r="L342" i="16"/>
  <c r="X342" i="16"/>
  <c r="K342" i="16"/>
  <c r="X338" i="20"/>
  <c r="A339" i="20"/>
  <c r="AB338" i="20"/>
  <c r="K338" i="20"/>
  <c r="K340" i="17"/>
  <c r="X340" i="17"/>
  <c r="A341" i="17"/>
  <c r="AB340" i="17"/>
  <c r="X339" i="18"/>
  <c r="AB339" i="18"/>
  <c r="K339" i="18"/>
  <c r="A340" i="18"/>
  <c r="A335" i="25"/>
  <c r="X334" i="25"/>
  <c r="AB334" i="25"/>
  <c r="K334" i="25"/>
  <c r="K335" i="24"/>
  <c r="X335" i="24"/>
  <c r="A336" i="24"/>
  <c r="AB335" i="24"/>
  <c r="AK344" i="1"/>
  <c r="K344" i="1"/>
  <c r="AB344" i="1"/>
  <c r="A345" i="1"/>
  <c r="L344" i="1"/>
  <c r="AJ344" i="1"/>
  <c r="X344" i="1"/>
  <c r="D343" i="1"/>
  <c r="A338" i="22"/>
  <c r="AB337" i="22"/>
  <c r="K337" i="22"/>
  <c r="X337" i="22"/>
  <c r="AJ345" i="1"/>
  <c r="K345" i="1"/>
  <c r="A346" i="1"/>
  <c r="AK345" i="1"/>
  <c r="AB345" i="1"/>
  <c r="L345" i="1"/>
  <c r="D345" i="1" s="1"/>
  <c r="X345" i="1"/>
  <c r="X335" i="25"/>
  <c r="K335" i="25"/>
  <c r="A336" i="25"/>
  <c r="AB335" i="25"/>
  <c r="K340" i="18"/>
  <c r="A341" i="18"/>
  <c r="AB340" i="18"/>
  <c r="X340" i="18"/>
  <c r="D342" i="16"/>
  <c r="A344" i="16"/>
  <c r="L343" i="16"/>
  <c r="D343" i="16" s="1"/>
  <c r="AB343" i="16"/>
  <c r="K343" i="16"/>
  <c r="X343" i="16"/>
  <c r="K347" i="15"/>
  <c r="X347" i="15"/>
  <c r="AB347" i="15"/>
  <c r="L347" i="15"/>
  <c r="D347" i="15" s="1"/>
  <c r="A348" i="15"/>
  <c r="K337" i="23"/>
  <c r="X337" i="23"/>
  <c r="A338" i="23"/>
  <c r="AB337" i="23"/>
  <c r="X338" i="22"/>
  <c r="AB338" i="22"/>
  <c r="K338" i="22"/>
  <c r="A339" i="22"/>
  <c r="D344" i="1"/>
  <c r="K336" i="24"/>
  <c r="AB336" i="24"/>
  <c r="X336" i="24"/>
  <c r="A337" i="24"/>
  <c r="A342" i="17"/>
  <c r="K341" i="17"/>
  <c r="X341" i="17"/>
  <c r="AB341" i="17"/>
  <c r="AB339" i="20"/>
  <c r="A340" i="20"/>
  <c r="X339" i="20"/>
  <c r="K339" i="20"/>
  <c r="K340" i="20"/>
  <c r="X340" i="20"/>
  <c r="AB340" i="20"/>
  <c r="A341" i="20"/>
  <c r="A343" i="17"/>
  <c r="AB342" i="17"/>
  <c r="K342" i="17"/>
  <c r="X342" i="17"/>
  <c r="K338" i="23"/>
  <c r="A339" i="23"/>
  <c r="AB338" i="23"/>
  <c r="X338" i="23"/>
  <c r="X344" i="16"/>
  <c r="K344" i="16"/>
  <c r="L344" i="16"/>
  <c r="D344" i="16" s="1"/>
  <c r="AB344" i="16"/>
  <c r="A345" i="16"/>
  <c r="AB341" i="18"/>
  <c r="X341" i="18"/>
  <c r="K341" i="18"/>
  <c r="A342" i="18"/>
  <c r="AB336" i="25"/>
  <c r="K336" i="25"/>
  <c r="A337" i="25"/>
  <c r="X336" i="25"/>
  <c r="A338" i="24"/>
  <c r="AB337" i="24"/>
  <c r="K337" i="24"/>
  <c r="X337" i="24"/>
  <c r="A340" i="22"/>
  <c r="X339" i="22"/>
  <c r="AB339" i="22"/>
  <c r="K339" i="22"/>
  <c r="AB348" i="15"/>
  <c r="A349" i="15"/>
  <c r="X348" i="15"/>
  <c r="L348" i="15"/>
  <c r="K348" i="15"/>
  <c r="AJ346" i="1"/>
  <c r="A347" i="1"/>
  <c r="K346" i="1"/>
  <c r="X346" i="1"/>
  <c r="AB346" i="1"/>
  <c r="AK346" i="1"/>
  <c r="L346" i="1"/>
  <c r="D346" i="1" s="1"/>
  <c r="AJ347" i="1"/>
  <c r="K347" i="1"/>
  <c r="X347" i="1"/>
  <c r="L347" i="1"/>
  <c r="A348" i="1"/>
  <c r="AK347" i="1"/>
  <c r="AB347" i="1"/>
  <c r="D348" i="15"/>
  <c r="AB342" i="18"/>
  <c r="A343" i="18"/>
  <c r="X342" i="18"/>
  <c r="K342" i="18"/>
  <c r="K339" i="23"/>
  <c r="X339" i="23"/>
  <c r="A340" i="23"/>
  <c r="AB339" i="23"/>
  <c r="AB341" i="20"/>
  <c r="A342" i="20"/>
  <c r="K341" i="20"/>
  <c r="X341" i="20"/>
  <c r="AB349" i="15"/>
  <c r="X349" i="15"/>
  <c r="L349" i="15"/>
  <c r="D349" i="15" s="1"/>
  <c r="K349" i="15"/>
  <c r="A350" i="15"/>
  <c r="X340" i="22"/>
  <c r="K340" i="22"/>
  <c r="AB340" i="22"/>
  <c r="A341" i="22"/>
  <c r="AB338" i="24"/>
  <c r="X338" i="24"/>
  <c r="K338" i="24"/>
  <c r="A339" i="24"/>
  <c r="A338" i="25"/>
  <c r="K337" i="25"/>
  <c r="AB337" i="25"/>
  <c r="X337" i="25"/>
  <c r="X345" i="16"/>
  <c r="L345" i="16"/>
  <c r="D345" i="16" s="1"/>
  <c r="K345" i="16"/>
  <c r="AB345" i="16"/>
  <c r="A346" i="16"/>
  <c r="K343" i="17"/>
  <c r="A344" i="17"/>
  <c r="AB343" i="17"/>
  <c r="X343" i="17"/>
  <c r="AB346" i="16"/>
  <c r="K346" i="16"/>
  <c r="X346" i="16"/>
  <c r="A347" i="16"/>
  <c r="L346" i="16"/>
  <c r="D346" i="16" s="1"/>
  <c r="AB344" i="17"/>
  <c r="X344" i="17"/>
  <c r="A345" i="17"/>
  <c r="K344" i="17"/>
  <c r="K339" i="24"/>
  <c r="AB339" i="24"/>
  <c r="A340" i="24"/>
  <c r="X339" i="24"/>
  <c r="X341" i="22"/>
  <c r="AB341" i="22"/>
  <c r="A342" i="22"/>
  <c r="K341" i="22"/>
  <c r="A343" i="20"/>
  <c r="AB342" i="20"/>
  <c r="X342" i="20"/>
  <c r="K342" i="20"/>
  <c r="A344" i="18"/>
  <c r="AB343" i="18"/>
  <c r="X343" i="18"/>
  <c r="K343" i="18"/>
  <c r="AK348" i="1"/>
  <c r="AB348" i="1"/>
  <c r="K348" i="1"/>
  <c r="L348" i="1"/>
  <c r="D348" i="1" s="1"/>
  <c r="AJ348" i="1"/>
  <c r="X348" i="1"/>
  <c r="A349" i="1"/>
  <c r="X338" i="25"/>
  <c r="AB338" i="25"/>
  <c r="K338" i="25"/>
  <c r="A339" i="25"/>
  <c r="K350" i="15"/>
  <c r="AB350" i="15"/>
  <c r="L350" i="15"/>
  <c r="D350" i="15" s="1"/>
  <c r="A351" i="15"/>
  <c r="X350" i="15"/>
  <c r="X340" i="23"/>
  <c r="K340" i="23"/>
  <c r="A341" i="23"/>
  <c r="AB340" i="23"/>
  <c r="D347" i="1"/>
  <c r="K351" i="15"/>
  <c r="L351" i="15"/>
  <c r="D351" i="15" s="1"/>
  <c r="A352" i="15"/>
  <c r="X351" i="15"/>
  <c r="AB351" i="15"/>
  <c r="K343" i="20"/>
  <c r="AB343" i="20"/>
  <c r="X343" i="20"/>
  <c r="A344" i="20"/>
  <c r="A343" i="22"/>
  <c r="K342" i="22"/>
  <c r="X342" i="22"/>
  <c r="AB342" i="22"/>
  <c r="X340" i="24"/>
  <c r="A341" i="24"/>
  <c r="K340" i="24"/>
  <c r="AB340" i="24"/>
  <c r="X347" i="16"/>
  <c r="AB347" i="16"/>
  <c r="L347" i="16"/>
  <c r="D347" i="16" s="1"/>
  <c r="K347" i="16"/>
  <c r="A348" i="16"/>
  <c r="X341" i="23"/>
  <c r="K341" i="23"/>
  <c r="A342" i="23"/>
  <c r="AB341" i="23"/>
  <c r="A340" i="25"/>
  <c r="K339" i="25"/>
  <c r="X339" i="25"/>
  <c r="AB339" i="25"/>
  <c r="AJ349" i="1"/>
  <c r="AB349" i="1"/>
  <c r="K349" i="1"/>
  <c r="A350" i="1"/>
  <c r="AK349" i="1"/>
  <c r="L349" i="1"/>
  <c r="D349" i="1" s="1"/>
  <c r="X349" i="1"/>
  <c r="AB344" i="18"/>
  <c r="K344" i="18"/>
  <c r="A345" i="18"/>
  <c r="X344" i="18"/>
  <c r="AB345" i="17"/>
  <c r="A346" i="17"/>
  <c r="K345" i="17"/>
  <c r="X345" i="17"/>
  <c r="A346" i="18"/>
  <c r="K345" i="18"/>
  <c r="AB345" i="18"/>
  <c r="X345" i="18"/>
  <c r="A341" i="25"/>
  <c r="AB340" i="25"/>
  <c r="X340" i="25"/>
  <c r="K340" i="25"/>
  <c r="AB348" i="16"/>
  <c r="L348" i="16"/>
  <c r="D348" i="16" s="1"/>
  <c r="K348" i="16"/>
  <c r="A349" i="16"/>
  <c r="X348" i="16"/>
  <c r="AB344" i="20"/>
  <c r="A345" i="20"/>
  <c r="K344" i="20"/>
  <c r="X344" i="20"/>
  <c r="X346" i="17"/>
  <c r="A347" i="17"/>
  <c r="AB346" i="17"/>
  <c r="K346" i="17"/>
  <c r="AK350" i="1"/>
  <c r="L350" i="1"/>
  <c r="X350" i="1"/>
  <c r="AB350" i="1"/>
  <c r="AJ350" i="1"/>
  <c r="A351" i="1"/>
  <c r="K350" i="1"/>
  <c r="A343" i="23"/>
  <c r="X342" i="23"/>
  <c r="AB342" i="23"/>
  <c r="K342" i="23"/>
  <c r="X341" i="24"/>
  <c r="AB341" i="24"/>
  <c r="K341" i="24"/>
  <c r="A342" i="24"/>
  <c r="A344" i="22"/>
  <c r="AB343" i="22"/>
  <c r="X343" i="22"/>
  <c r="K343" i="22"/>
  <c r="A353" i="15"/>
  <c r="K352" i="15"/>
  <c r="X352" i="15"/>
  <c r="AB352" i="15"/>
  <c r="L352" i="15"/>
  <c r="D352" i="15" s="1"/>
  <c r="K353" i="15"/>
  <c r="A354" i="15"/>
  <c r="X353" i="15"/>
  <c r="AB353" i="15"/>
  <c r="L353" i="15"/>
  <c r="D353" i="15" s="1"/>
  <c r="A345" i="22"/>
  <c r="AB344" i="22"/>
  <c r="X344" i="22"/>
  <c r="K344" i="22"/>
  <c r="AB343" i="23"/>
  <c r="X343" i="23"/>
  <c r="A344" i="23"/>
  <c r="K343" i="23"/>
  <c r="D350" i="1"/>
  <c r="X349" i="16"/>
  <c r="K349" i="16"/>
  <c r="A350" i="16"/>
  <c r="AB349" i="16"/>
  <c r="L349" i="16"/>
  <c r="D349" i="16" s="1"/>
  <c r="AB341" i="25"/>
  <c r="A342" i="25"/>
  <c r="X341" i="25"/>
  <c r="K341" i="25"/>
  <c r="AB342" i="24"/>
  <c r="K342" i="24"/>
  <c r="A343" i="24"/>
  <c r="X342" i="24"/>
  <c r="AK351" i="1"/>
  <c r="L351" i="1"/>
  <c r="D351" i="1" s="1"/>
  <c r="X351" i="1"/>
  <c r="A352" i="1"/>
  <c r="K351" i="1"/>
  <c r="AB351" i="1"/>
  <c r="AJ351" i="1"/>
  <c r="A348" i="17"/>
  <c r="K347" i="17"/>
  <c r="X347" i="17"/>
  <c r="AB347" i="17"/>
  <c r="X345" i="20"/>
  <c r="A346" i="20"/>
  <c r="K345" i="20"/>
  <c r="AB345" i="20"/>
  <c r="K346" i="18"/>
  <c r="A347" i="18"/>
  <c r="AB346" i="18"/>
  <c r="X346" i="18"/>
  <c r="AB347" i="18"/>
  <c r="K347" i="18"/>
  <c r="X347" i="18"/>
  <c r="A348" i="18"/>
  <c r="X343" i="24"/>
  <c r="K343" i="24"/>
  <c r="A344" i="24"/>
  <c r="AB343" i="24"/>
  <c r="AB345" i="22"/>
  <c r="X345" i="22"/>
  <c r="K345" i="22"/>
  <c r="A346" i="22"/>
  <c r="X346" i="20"/>
  <c r="AB346" i="20"/>
  <c r="K346" i="20"/>
  <c r="A347" i="20"/>
  <c r="K348" i="17"/>
  <c r="A349" i="17"/>
  <c r="AB348" i="17"/>
  <c r="X348" i="17"/>
  <c r="AJ352" i="1"/>
  <c r="X352" i="1"/>
  <c r="L352" i="1"/>
  <c r="D352" i="1" s="1"/>
  <c r="A353" i="1"/>
  <c r="AK352" i="1"/>
  <c r="AB352" i="1"/>
  <c r="K352" i="1"/>
  <c r="AB342" i="25"/>
  <c r="X342" i="25"/>
  <c r="A343" i="25"/>
  <c r="K342" i="25"/>
  <c r="A351" i="16"/>
  <c r="L350" i="16"/>
  <c r="AB350" i="16"/>
  <c r="K350" i="16"/>
  <c r="X350" i="16"/>
  <c r="A345" i="23"/>
  <c r="AB344" i="23"/>
  <c r="K344" i="23"/>
  <c r="X344" i="23"/>
  <c r="AB354" i="15"/>
  <c r="X354" i="15"/>
  <c r="K354" i="15"/>
  <c r="L354" i="15"/>
  <c r="D354" i="15" s="1"/>
  <c r="A355" i="15"/>
  <c r="AB355" i="15"/>
  <c r="A356" i="15"/>
  <c r="L355" i="15"/>
  <c r="D355" i="15" s="1"/>
  <c r="X355" i="15"/>
  <c r="K355" i="15"/>
  <c r="D350" i="16"/>
  <c r="AB343" i="25"/>
  <c r="K343" i="25"/>
  <c r="X343" i="25"/>
  <c r="A344" i="25"/>
  <c r="AJ353" i="1"/>
  <c r="A354" i="1"/>
  <c r="AB353" i="1"/>
  <c r="K353" i="1"/>
  <c r="X353" i="1"/>
  <c r="AK353" i="1"/>
  <c r="L353" i="1"/>
  <c r="D353" i="1" s="1"/>
  <c r="X346" i="22"/>
  <c r="K346" i="22"/>
  <c r="A347" i="22"/>
  <c r="AB346" i="22"/>
  <c r="AB348" i="18"/>
  <c r="X348" i="18"/>
  <c r="A349" i="18"/>
  <c r="K348" i="18"/>
  <c r="AB345" i="23"/>
  <c r="X345" i="23"/>
  <c r="K345" i="23"/>
  <c r="A346" i="23"/>
  <c r="K351" i="16"/>
  <c r="L351" i="16"/>
  <c r="D351" i="16" s="1"/>
  <c r="AB351" i="16"/>
  <c r="A352" i="16"/>
  <c r="X351" i="16"/>
  <c r="X349" i="17"/>
  <c r="AB349" i="17"/>
  <c r="A350" i="17"/>
  <c r="K349" i="17"/>
  <c r="X347" i="20"/>
  <c r="K347" i="20"/>
  <c r="AB347" i="20"/>
  <c r="A348" i="20"/>
  <c r="K344" i="24"/>
  <c r="AB344" i="24"/>
  <c r="A345" i="24"/>
  <c r="X344" i="24"/>
  <c r="A346" i="24"/>
  <c r="AB345" i="24"/>
  <c r="X345" i="24"/>
  <c r="K345" i="24"/>
  <c r="AB348" i="20"/>
  <c r="K348" i="20"/>
  <c r="X348" i="20"/>
  <c r="A349" i="20"/>
  <c r="A350" i="18"/>
  <c r="AB349" i="18"/>
  <c r="X349" i="18"/>
  <c r="K349" i="18"/>
  <c r="A348" i="22"/>
  <c r="AB347" i="22"/>
  <c r="K347" i="22"/>
  <c r="X347" i="22"/>
  <c r="AK354" i="1"/>
  <c r="L354" i="1"/>
  <c r="D354" i="1" s="1"/>
  <c r="AB354" i="1"/>
  <c r="K354" i="1"/>
  <c r="AJ354" i="1"/>
  <c r="X354" i="1"/>
  <c r="A355" i="1"/>
  <c r="AB356" i="15"/>
  <c r="X356" i="15"/>
  <c r="A357" i="15"/>
  <c r="K356" i="15"/>
  <c r="L356" i="15"/>
  <c r="D356" i="15" s="1"/>
  <c r="X350" i="17"/>
  <c r="AB350" i="17"/>
  <c r="K350" i="17"/>
  <c r="A351" i="17"/>
  <c r="AB352" i="16"/>
  <c r="L352" i="16"/>
  <c r="D352" i="16" s="1"/>
  <c r="A353" i="16"/>
  <c r="X352" i="16"/>
  <c r="K352" i="16"/>
  <c r="K346" i="23"/>
  <c r="A347" i="23"/>
  <c r="X346" i="23"/>
  <c r="AB346" i="23"/>
  <c r="X344" i="25"/>
  <c r="K344" i="25"/>
  <c r="AB344" i="25"/>
  <c r="A345" i="25"/>
  <c r="X347" i="23"/>
  <c r="AB347" i="23"/>
  <c r="K347" i="23"/>
  <c r="A348" i="23"/>
  <c r="A354" i="16"/>
  <c r="AB353" i="16"/>
  <c r="K353" i="16"/>
  <c r="X353" i="16"/>
  <c r="L353" i="16"/>
  <c r="D353" i="16" s="1"/>
  <c r="A352" i="17"/>
  <c r="AB351" i="17"/>
  <c r="K351" i="17"/>
  <c r="X351" i="17"/>
  <c r="A358" i="15"/>
  <c r="AB357" i="15"/>
  <c r="K357" i="15"/>
  <c r="L357" i="15"/>
  <c r="D357" i="15" s="1"/>
  <c r="X357" i="15"/>
  <c r="AJ355" i="1"/>
  <c r="AB355" i="1"/>
  <c r="L355" i="1"/>
  <c r="D355" i="1" s="1"/>
  <c r="X355" i="1"/>
  <c r="A356" i="1"/>
  <c r="K355" i="1"/>
  <c r="AK355" i="1"/>
  <c r="X348" i="22"/>
  <c r="A349" i="22"/>
  <c r="AB348" i="22"/>
  <c r="K348" i="22"/>
  <c r="AB349" i="20"/>
  <c r="X349" i="20"/>
  <c r="K349" i="20"/>
  <c r="A350" i="20"/>
  <c r="K346" i="24"/>
  <c r="X346" i="24"/>
  <c r="A347" i="24"/>
  <c r="AB346" i="24"/>
  <c r="A346" i="25"/>
  <c r="AB345" i="25"/>
  <c r="K345" i="25"/>
  <c r="X345" i="25"/>
  <c r="K350" i="18"/>
  <c r="AB350" i="18"/>
  <c r="A351" i="18"/>
  <c r="X350" i="18"/>
  <c r="A352" i="18"/>
  <c r="AB351" i="18"/>
  <c r="K351" i="18"/>
  <c r="X351" i="18"/>
  <c r="K349" i="22"/>
  <c r="A350" i="22"/>
  <c r="X349" i="22"/>
  <c r="AB349" i="22"/>
  <c r="AJ356" i="1"/>
  <c r="L356" i="1"/>
  <c r="K356" i="1"/>
  <c r="AK356" i="1"/>
  <c r="A357" i="1"/>
  <c r="X356" i="1"/>
  <c r="AB356" i="1"/>
  <c r="K358" i="15"/>
  <c r="AB358" i="15"/>
  <c r="L358" i="15"/>
  <c r="D358" i="15" s="1"/>
  <c r="X358" i="15"/>
  <c r="A359" i="15"/>
  <c r="K346" i="25"/>
  <c r="A347" i="25"/>
  <c r="AB346" i="25"/>
  <c r="X346" i="25"/>
  <c r="A348" i="24"/>
  <c r="X347" i="24"/>
  <c r="AB347" i="24"/>
  <c r="K347" i="24"/>
  <c r="AB350" i="20"/>
  <c r="K350" i="20"/>
  <c r="X350" i="20"/>
  <c r="A351" i="20"/>
  <c r="K352" i="17"/>
  <c r="AB352" i="17"/>
  <c r="A353" i="17"/>
  <c r="X352" i="17"/>
  <c r="A355" i="16"/>
  <c r="L354" i="16"/>
  <c r="K354" i="16"/>
  <c r="AB354" i="16"/>
  <c r="X354" i="16"/>
  <c r="A349" i="23"/>
  <c r="K348" i="23"/>
  <c r="X348" i="23"/>
  <c r="AB348" i="23"/>
  <c r="X355" i="16"/>
  <c r="L355" i="16"/>
  <c r="D355" i="16" s="1"/>
  <c r="AB355" i="16"/>
  <c r="A356" i="16"/>
  <c r="K355" i="16"/>
  <c r="AB351" i="20"/>
  <c r="A352" i="20"/>
  <c r="X351" i="20"/>
  <c r="K351" i="20"/>
  <c r="AB348" i="24"/>
  <c r="X348" i="24"/>
  <c r="K348" i="24"/>
  <c r="A349" i="24"/>
  <c r="A348" i="25"/>
  <c r="K347" i="25"/>
  <c r="AB347" i="25"/>
  <c r="X347" i="25"/>
  <c r="A360" i="15"/>
  <c r="X359" i="15"/>
  <c r="AB359" i="15"/>
  <c r="L359" i="15"/>
  <c r="D359" i="15" s="1"/>
  <c r="K359" i="15"/>
  <c r="AJ357" i="1"/>
  <c r="X357" i="1"/>
  <c r="AB357" i="1"/>
  <c r="AK357" i="1"/>
  <c r="K357" i="1"/>
  <c r="L357" i="1"/>
  <c r="D357" i="1" s="1"/>
  <c r="A358" i="1"/>
  <c r="D356" i="1"/>
  <c r="A353" i="18"/>
  <c r="X352" i="18"/>
  <c r="K352" i="18"/>
  <c r="AB352" i="18"/>
  <c r="A350" i="23"/>
  <c r="AB349" i="23"/>
  <c r="X349" i="23"/>
  <c r="K349" i="23"/>
  <c r="D354" i="16"/>
  <c r="A354" i="17"/>
  <c r="K353" i="17"/>
  <c r="AB353" i="17"/>
  <c r="X353" i="17"/>
  <c r="AB350" i="22"/>
  <c r="K350" i="22"/>
  <c r="A351" i="22"/>
  <c r="X350" i="22"/>
  <c r="X353" i="18"/>
  <c r="AB353" i="18"/>
  <c r="K353" i="18"/>
  <c r="A354" i="18"/>
  <c r="AK358" i="1"/>
  <c r="K358" i="1"/>
  <c r="X358" i="1"/>
  <c r="L358" i="1"/>
  <c r="AB358" i="1"/>
  <c r="A359" i="1"/>
  <c r="AJ358" i="1"/>
  <c r="A353" i="20"/>
  <c r="AB352" i="20"/>
  <c r="X352" i="20"/>
  <c r="K352" i="20"/>
  <c r="X356" i="16"/>
  <c r="A357" i="16"/>
  <c r="L356" i="16"/>
  <c r="D356" i="16" s="1"/>
  <c r="K356" i="16"/>
  <c r="AB356" i="16"/>
  <c r="A352" i="22"/>
  <c r="K351" i="22"/>
  <c r="AB351" i="22"/>
  <c r="X351" i="22"/>
  <c r="A355" i="17"/>
  <c r="K354" i="17"/>
  <c r="AB354" i="17"/>
  <c r="X354" i="17"/>
  <c r="A351" i="23"/>
  <c r="X350" i="23"/>
  <c r="AB350" i="23"/>
  <c r="K350" i="23"/>
  <c r="AB360" i="15"/>
  <c r="X360" i="15"/>
  <c r="A361" i="15"/>
  <c r="K360" i="15"/>
  <c r="L360" i="15"/>
  <c r="D360" i="15" s="1"/>
  <c r="K348" i="25"/>
  <c r="A349" i="25"/>
  <c r="X348" i="25"/>
  <c r="AB348" i="25"/>
  <c r="K349" i="24"/>
  <c r="X349" i="24"/>
  <c r="AB349" i="24"/>
  <c r="A350" i="24"/>
  <c r="K349" i="25"/>
  <c r="X349" i="25"/>
  <c r="A350" i="25"/>
  <c r="AB349" i="25"/>
  <c r="K351" i="23"/>
  <c r="X351" i="23"/>
  <c r="A352" i="23"/>
  <c r="AB351" i="23"/>
  <c r="K352" i="22"/>
  <c r="A353" i="22"/>
  <c r="X352" i="22"/>
  <c r="AB352" i="22"/>
  <c r="K357" i="16"/>
  <c r="X357" i="16"/>
  <c r="AB357" i="16"/>
  <c r="A358" i="16"/>
  <c r="L357" i="16"/>
  <c r="D357" i="16" s="1"/>
  <c r="X353" i="20"/>
  <c r="AB353" i="20"/>
  <c r="K353" i="20"/>
  <c r="A354" i="20"/>
  <c r="D358" i="1"/>
  <c r="K350" i="24"/>
  <c r="X350" i="24"/>
  <c r="AB350" i="24"/>
  <c r="A351" i="24"/>
  <c r="K361" i="15"/>
  <c r="X361" i="15"/>
  <c r="AB361" i="15"/>
  <c r="L361" i="15"/>
  <c r="A362" i="15"/>
  <c r="A356" i="17"/>
  <c r="X355" i="17"/>
  <c r="AB355" i="17"/>
  <c r="K355" i="17"/>
  <c r="AK359" i="1"/>
  <c r="L359" i="1"/>
  <c r="D359" i="1" s="1"/>
  <c r="K359" i="1"/>
  <c r="X359" i="1"/>
  <c r="AJ359" i="1"/>
  <c r="AB359" i="1"/>
  <c r="A360" i="1"/>
  <c r="AB354" i="18"/>
  <c r="A355" i="18"/>
  <c r="K354" i="18"/>
  <c r="X354" i="18"/>
  <c r="A357" i="17"/>
  <c r="AB356" i="17"/>
  <c r="K356" i="17"/>
  <c r="X356" i="17"/>
  <c r="X362" i="15"/>
  <c r="L362" i="15"/>
  <c r="D362" i="15" s="1"/>
  <c r="AB362" i="15"/>
  <c r="A363" i="15"/>
  <c r="K362" i="15"/>
  <c r="D361" i="15"/>
  <c r="K351" i="24"/>
  <c r="AB351" i="24"/>
  <c r="X351" i="24"/>
  <c r="A352" i="24"/>
  <c r="A359" i="16"/>
  <c r="X358" i="16"/>
  <c r="K358" i="16"/>
  <c r="AB358" i="16"/>
  <c r="L358" i="16"/>
  <c r="D358" i="16" s="1"/>
  <c r="AB353" i="22"/>
  <c r="K353" i="22"/>
  <c r="A354" i="22"/>
  <c r="X353" i="22"/>
  <c r="X355" i="18"/>
  <c r="K355" i="18"/>
  <c r="A356" i="18"/>
  <c r="AB355" i="18"/>
  <c r="AK360" i="1"/>
  <c r="AB360" i="1"/>
  <c r="L360" i="1"/>
  <c r="D360" i="1" s="1"/>
  <c r="K360" i="1"/>
  <c r="A361" i="1"/>
  <c r="AJ360" i="1"/>
  <c r="X360" i="1"/>
  <c r="K354" i="20"/>
  <c r="AB354" i="20"/>
  <c r="A355" i="20"/>
  <c r="X354" i="20"/>
  <c r="AB352" i="23"/>
  <c r="X352" i="23"/>
  <c r="K352" i="23"/>
  <c r="A353" i="23"/>
  <c r="K350" i="25"/>
  <c r="X350" i="25"/>
  <c r="AB350" i="25"/>
  <c r="A351" i="25"/>
  <c r="A356" i="20"/>
  <c r="AB355" i="20"/>
  <c r="K355" i="20"/>
  <c r="X355" i="20"/>
  <c r="A357" i="18"/>
  <c r="X356" i="18"/>
  <c r="K356" i="18"/>
  <c r="AB356" i="18"/>
  <c r="AB359" i="16"/>
  <c r="L359" i="16"/>
  <c r="D359" i="16" s="1"/>
  <c r="K359" i="16"/>
  <c r="X359" i="16"/>
  <c r="A360" i="16"/>
  <c r="K352" i="24"/>
  <c r="X352" i="24"/>
  <c r="A353" i="24"/>
  <c r="AB352" i="24"/>
  <c r="A364" i="15"/>
  <c r="A43" i="7"/>
  <c r="K363" i="15"/>
  <c r="L363" i="15"/>
  <c r="D363" i="15" s="1"/>
  <c r="AB363" i="15"/>
  <c r="X363" i="15"/>
  <c r="X357" i="17"/>
  <c r="A358" i="17"/>
  <c r="K357" i="17"/>
  <c r="AB357" i="17"/>
  <c r="AB351" i="25"/>
  <c r="K351" i="25"/>
  <c r="A352" i="25"/>
  <c r="X351" i="25"/>
  <c r="X353" i="23"/>
  <c r="AB353" i="23"/>
  <c r="K353" i="23"/>
  <c r="A354" i="23"/>
  <c r="AJ361" i="1"/>
  <c r="AB361" i="1"/>
  <c r="X361" i="1"/>
  <c r="AK361" i="1"/>
  <c r="A362" i="1"/>
  <c r="L361" i="1"/>
  <c r="D361" i="1" s="1"/>
  <c r="K361" i="1"/>
  <c r="AB354" i="22"/>
  <c r="K354" i="22"/>
  <c r="X354" i="22"/>
  <c r="A355" i="22"/>
  <c r="A359" i="17"/>
  <c r="AB358" i="17"/>
  <c r="X358" i="17"/>
  <c r="K358" i="17"/>
  <c r="B43" i="7"/>
  <c r="K364" i="15"/>
  <c r="L364" i="15"/>
  <c r="D364" i="15" s="1"/>
  <c r="X364" i="15"/>
  <c r="AB364" i="15"/>
  <c r="A365" i="15"/>
  <c r="AB356" i="20"/>
  <c r="K356" i="20"/>
  <c r="X356" i="20"/>
  <c r="A357" i="20"/>
  <c r="AJ362" i="1"/>
  <c r="AB362" i="1"/>
  <c r="A363" i="1"/>
  <c r="X362" i="1"/>
  <c r="K362" i="1"/>
  <c r="AK362" i="1"/>
  <c r="L362" i="1"/>
  <c r="D362" i="1" s="1"/>
  <c r="A356" i="22"/>
  <c r="AB355" i="22"/>
  <c r="X355" i="22"/>
  <c r="K355" i="22"/>
  <c r="X354" i="23"/>
  <c r="AB354" i="23"/>
  <c r="K354" i="23"/>
  <c r="A355" i="23"/>
  <c r="X352" i="25"/>
  <c r="AB352" i="25"/>
  <c r="A353" i="25"/>
  <c r="K352" i="25"/>
  <c r="X353" i="24"/>
  <c r="A354" i="24"/>
  <c r="AB353" i="24"/>
  <c r="K353" i="24"/>
  <c r="AB360" i="16"/>
  <c r="K360" i="16"/>
  <c r="X360" i="16"/>
  <c r="A361" i="16"/>
  <c r="L360" i="16"/>
  <c r="D360" i="16" s="1"/>
  <c r="X357" i="18"/>
  <c r="A358" i="18"/>
  <c r="AB357" i="18"/>
  <c r="K357" i="18"/>
  <c r="A359" i="18"/>
  <c r="X358" i="18"/>
  <c r="AB358" i="18"/>
  <c r="K358" i="18"/>
  <c r="AB355" i="23"/>
  <c r="X355" i="23"/>
  <c r="K355" i="23"/>
  <c r="A356" i="23"/>
  <c r="X356" i="22"/>
  <c r="K356" i="22"/>
  <c r="AB356" i="22"/>
  <c r="A357" i="22"/>
  <c r="A358" i="20"/>
  <c r="K357" i="20"/>
  <c r="X357" i="20"/>
  <c r="AB357" i="20"/>
  <c r="A366" i="15"/>
  <c r="AB365" i="15"/>
  <c r="X365" i="15"/>
  <c r="L365" i="15"/>
  <c r="K365" i="15"/>
  <c r="K359" i="17"/>
  <c r="X359" i="17"/>
  <c r="A360" i="17"/>
  <c r="AB359" i="17"/>
  <c r="A362" i="16"/>
  <c r="AB361" i="16"/>
  <c r="K361" i="16"/>
  <c r="X361" i="16"/>
  <c r="L361" i="16"/>
  <c r="D361" i="16" s="1"/>
  <c r="A355" i="24"/>
  <c r="X354" i="24"/>
  <c r="K354" i="24"/>
  <c r="AB354" i="24"/>
  <c r="X353" i="25"/>
  <c r="AB353" i="25"/>
  <c r="A354" i="25"/>
  <c r="K353" i="25"/>
  <c r="AJ363" i="1"/>
  <c r="AB363" i="1"/>
  <c r="A364" i="1"/>
  <c r="AK363" i="1"/>
  <c r="L363" i="1"/>
  <c r="D363" i="1" s="1"/>
  <c r="K363" i="1"/>
  <c r="X363" i="1"/>
  <c r="A31" i="7"/>
  <c r="AJ364" i="1"/>
  <c r="A365" i="1"/>
  <c r="K364" i="1"/>
  <c r="AB364" i="1"/>
  <c r="X364" i="1"/>
  <c r="L364" i="1"/>
  <c r="D364" i="1" s="1"/>
  <c r="AK364" i="1"/>
  <c r="AB355" i="24"/>
  <c r="A356" i="24"/>
  <c r="X355" i="24"/>
  <c r="K355" i="24"/>
  <c r="AB360" i="17"/>
  <c r="K360" i="17"/>
  <c r="X360" i="17"/>
  <c r="A361" i="17"/>
  <c r="D365" i="15"/>
  <c r="X366" i="15"/>
  <c r="L366" i="15"/>
  <c r="AB366" i="15"/>
  <c r="K366" i="15"/>
  <c r="A367" i="15"/>
  <c r="A359" i="20"/>
  <c r="X358" i="20"/>
  <c r="AB358" i="20"/>
  <c r="K358" i="20"/>
  <c r="X357" i="22"/>
  <c r="K357" i="22"/>
  <c r="A358" i="22"/>
  <c r="AB357" i="22"/>
  <c r="AB354" i="25"/>
  <c r="K354" i="25"/>
  <c r="A355" i="25"/>
  <c r="X354" i="25"/>
  <c r="K362" i="16"/>
  <c r="L362" i="16"/>
  <c r="AB362" i="16"/>
  <c r="A363" i="16"/>
  <c r="X362" i="16"/>
  <c r="X356" i="23"/>
  <c r="A357" i="23"/>
  <c r="AB356" i="23"/>
  <c r="K356" i="23"/>
  <c r="K359" i="18"/>
  <c r="AB359" i="18"/>
  <c r="X359" i="18"/>
  <c r="A360" i="18"/>
  <c r="AB357" i="23"/>
  <c r="X357" i="23"/>
  <c r="A358" i="23"/>
  <c r="K357" i="23"/>
  <c r="K363" i="16"/>
  <c r="X363" i="16"/>
  <c r="AB363" i="16"/>
  <c r="A55" i="7"/>
  <c r="A364" i="16"/>
  <c r="L363" i="16"/>
  <c r="D363" i="16" s="1"/>
  <c r="D362" i="16"/>
  <c r="K355" i="25"/>
  <c r="A356" i="25"/>
  <c r="AB355" i="25"/>
  <c r="X355" i="25"/>
  <c r="A359" i="22"/>
  <c r="K358" i="22"/>
  <c r="AB358" i="22"/>
  <c r="X358" i="22"/>
  <c r="D366" i="15"/>
  <c r="AB361" i="17"/>
  <c r="X361" i="17"/>
  <c r="K361" i="17"/>
  <c r="A362" i="17"/>
  <c r="AB356" i="24"/>
  <c r="A357" i="24"/>
  <c r="X356" i="24"/>
  <c r="K356" i="24"/>
  <c r="AK365" i="1"/>
  <c r="K365" i="1"/>
  <c r="L365" i="1"/>
  <c r="D365" i="1" s="1"/>
  <c r="X365" i="1"/>
  <c r="AJ365" i="1"/>
  <c r="AB365" i="1"/>
  <c r="A366" i="1"/>
  <c r="AB360" i="18"/>
  <c r="X360" i="18"/>
  <c r="A361" i="18"/>
  <c r="K360" i="18"/>
  <c r="A360" i="20"/>
  <c r="X359" i="20"/>
  <c r="AB359" i="20"/>
  <c r="K359" i="20"/>
  <c r="X367" i="15"/>
  <c r="L367" i="15"/>
  <c r="AB367" i="15"/>
  <c r="A368" i="15"/>
  <c r="K367" i="15"/>
  <c r="D367" i="15"/>
  <c r="X360" i="20"/>
  <c r="K360" i="20"/>
  <c r="A361" i="20"/>
  <c r="AB360" i="20"/>
  <c r="AB359" i="22"/>
  <c r="A360" i="22"/>
  <c r="X359" i="22"/>
  <c r="K359" i="22"/>
  <c r="X356" i="25"/>
  <c r="A357" i="25"/>
  <c r="AB356" i="25"/>
  <c r="K356" i="25"/>
  <c r="A365" i="16"/>
  <c r="AB364" i="16"/>
  <c r="X364" i="16"/>
  <c r="K364" i="16"/>
  <c r="L364" i="16"/>
  <c r="D364" i="16" s="1"/>
  <c r="L368" i="15"/>
  <c r="K368" i="15"/>
  <c r="A369" i="15"/>
  <c r="AB368" i="15"/>
  <c r="X368" i="15"/>
  <c r="AB361" i="18"/>
  <c r="X361" i="18"/>
  <c r="K361" i="18"/>
  <c r="A362" i="18"/>
  <c r="AJ366" i="1"/>
  <c r="K366" i="1"/>
  <c r="AB366" i="1"/>
  <c r="AK366" i="1"/>
  <c r="A367" i="1"/>
  <c r="X366" i="1"/>
  <c r="L366" i="1"/>
  <c r="D366" i="1" s="1"/>
  <c r="X357" i="24"/>
  <c r="K357" i="24"/>
  <c r="A358" i="24"/>
  <c r="AB357" i="24"/>
  <c r="A363" i="17"/>
  <c r="AB362" i="17"/>
  <c r="K362" i="17"/>
  <c r="X362" i="17"/>
  <c r="X358" i="23"/>
  <c r="AB358" i="23"/>
  <c r="K358" i="23"/>
  <c r="A359" i="23"/>
  <c r="X359" i="23"/>
  <c r="K359" i="23"/>
  <c r="AB359" i="23"/>
  <c r="A360" i="23"/>
  <c r="X358" i="24"/>
  <c r="K358" i="24"/>
  <c r="AB358" i="24"/>
  <c r="A359" i="24"/>
  <c r="K365" i="16"/>
  <c r="X365" i="16"/>
  <c r="A366" i="16"/>
  <c r="L365" i="16"/>
  <c r="D365" i="16" s="1"/>
  <c r="AB365" i="16"/>
  <c r="K357" i="25"/>
  <c r="A358" i="25"/>
  <c r="X357" i="25"/>
  <c r="AB357" i="25"/>
  <c r="K361" i="20"/>
  <c r="A362" i="20"/>
  <c r="AB361" i="20"/>
  <c r="X361" i="20"/>
  <c r="A364" i="17"/>
  <c r="K363" i="17"/>
  <c r="AB363" i="17"/>
  <c r="X363" i="17"/>
  <c r="A67" i="7"/>
  <c r="AJ367" i="1"/>
  <c r="A368" i="1"/>
  <c r="L367" i="1"/>
  <c r="AK367" i="1"/>
  <c r="AB367" i="1"/>
  <c r="K367" i="1"/>
  <c r="X367" i="1"/>
  <c r="A363" i="18"/>
  <c r="K362" i="18"/>
  <c r="X362" i="18"/>
  <c r="AB362" i="18"/>
  <c r="K369" i="15"/>
  <c r="L369" i="15"/>
  <c r="D369" i="15" s="1"/>
  <c r="X369" i="15"/>
  <c r="AB369" i="15"/>
  <c r="A370" i="15"/>
  <c r="D368" i="15"/>
  <c r="A361" i="22"/>
  <c r="X360" i="22"/>
  <c r="AB360" i="22"/>
  <c r="K360" i="22"/>
  <c r="X370" i="15"/>
  <c r="A371" i="15"/>
  <c r="K370" i="15"/>
  <c r="L370" i="15"/>
  <c r="D370" i="15" s="1"/>
  <c r="AB370" i="15"/>
  <c r="D367" i="1"/>
  <c r="A365" i="17"/>
  <c r="AB364" i="17"/>
  <c r="X364" i="17"/>
  <c r="K364" i="17"/>
  <c r="K358" i="25"/>
  <c r="X358" i="25"/>
  <c r="A359" i="25"/>
  <c r="AB358" i="25"/>
  <c r="A367" i="16"/>
  <c r="K366" i="16"/>
  <c r="AB366" i="16"/>
  <c r="L366" i="16"/>
  <c r="D366" i="16" s="1"/>
  <c r="X366" i="16"/>
  <c r="A360" i="24"/>
  <c r="K359" i="24"/>
  <c r="AB359" i="24"/>
  <c r="X359" i="24"/>
  <c r="A362" i="22"/>
  <c r="X361" i="22"/>
  <c r="AB361" i="22"/>
  <c r="K361" i="22"/>
  <c r="X363" i="18"/>
  <c r="A79" i="7"/>
  <c r="AB363" i="18"/>
  <c r="A364" i="18"/>
  <c r="K363" i="18"/>
  <c r="AK368" i="1"/>
  <c r="L368" i="1"/>
  <c r="D368" i="1" s="1"/>
  <c r="K368" i="1"/>
  <c r="X368" i="1"/>
  <c r="A369" i="1"/>
  <c r="AB368" i="1"/>
  <c r="AJ368" i="1"/>
  <c r="X362" i="20"/>
  <c r="K362" i="20"/>
  <c r="A363" i="20"/>
  <c r="AB362" i="20"/>
  <c r="K360" i="23"/>
  <c r="AB360" i="23"/>
  <c r="A361" i="23"/>
  <c r="X360" i="23"/>
  <c r="X361" i="23"/>
  <c r="K361" i="23"/>
  <c r="A362" i="23"/>
  <c r="AB361" i="23"/>
  <c r="AE31" i="7"/>
  <c r="A364" i="20"/>
  <c r="X363" i="20"/>
  <c r="AB363" i="20"/>
  <c r="K363" i="20"/>
  <c r="A363" i="22"/>
  <c r="AB362" i="22"/>
  <c r="X362" i="22"/>
  <c r="K362" i="22"/>
  <c r="X367" i="16"/>
  <c r="K367" i="16"/>
  <c r="A368" i="16"/>
  <c r="L367" i="16"/>
  <c r="D367" i="16" s="1"/>
  <c r="AB367" i="16"/>
  <c r="K359" i="25"/>
  <c r="AB359" i="25"/>
  <c r="A360" i="25"/>
  <c r="X359" i="25"/>
  <c r="AK369" i="1"/>
  <c r="L369" i="1"/>
  <c r="AB369" i="1"/>
  <c r="X369" i="1"/>
  <c r="AJ369" i="1"/>
  <c r="K369" i="1"/>
  <c r="A370" i="1"/>
  <c r="X364" i="18"/>
  <c r="AB364" i="18"/>
  <c r="A365" i="18"/>
  <c r="K364" i="18"/>
  <c r="X360" i="24"/>
  <c r="A361" i="24"/>
  <c r="AB360" i="24"/>
  <c r="K360" i="24"/>
  <c r="AB365" i="17"/>
  <c r="A366" i="17"/>
  <c r="X365" i="17"/>
  <c r="K365" i="17"/>
  <c r="K371" i="15"/>
  <c r="A372" i="15"/>
  <c r="AB371" i="15"/>
  <c r="L371" i="15"/>
  <c r="D371" i="15" s="1"/>
  <c r="X371" i="15"/>
  <c r="AB372" i="15"/>
  <c r="K372" i="15"/>
  <c r="L372" i="15"/>
  <c r="D372" i="15" s="1"/>
  <c r="X372" i="15"/>
  <c r="A373" i="15"/>
  <c r="K361" i="24"/>
  <c r="AB361" i="24"/>
  <c r="X361" i="24"/>
  <c r="A362" i="24"/>
  <c r="AJ370" i="1"/>
  <c r="AB370" i="1"/>
  <c r="L370" i="1"/>
  <c r="D370" i="1" s="1"/>
  <c r="AK370" i="1"/>
  <c r="A371" i="1"/>
  <c r="X370" i="1"/>
  <c r="K370" i="1"/>
  <c r="A361" i="25"/>
  <c r="AB360" i="25"/>
  <c r="X360" i="25"/>
  <c r="K360" i="25"/>
  <c r="A369" i="16"/>
  <c r="L368" i="16"/>
  <c r="D368" i="16" s="1"/>
  <c r="K368" i="16"/>
  <c r="X368" i="16"/>
  <c r="AB368" i="16"/>
  <c r="A365" i="20"/>
  <c r="AB364" i="20"/>
  <c r="K364" i="20"/>
  <c r="X364" i="20"/>
  <c r="AB366" i="17"/>
  <c r="X366" i="17"/>
  <c r="A367" i="17"/>
  <c r="K366" i="17"/>
  <c r="X365" i="18"/>
  <c r="A366" i="18"/>
  <c r="AB365" i="18"/>
  <c r="K365" i="18"/>
  <c r="D369" i="1"/>
  <c r="AB363" i="22"/>
  <c r="K363" i="22"/>
  <c r="A364" i="22"/>
  <c r="X363" i="22"/>
  <c r="AE43" i="7"/>
  <c r="A363" i="23"/>
  <c r="AB362" i="23"/>
  <c r="X362" i="23"/>
  <c r="K362" i="23"/>
  <c r="K364" i="22"/>
  <c r="A365" i="22"/>
  <c r="X364" i="22"/>
  <c r="AB364" i="22"/>
  <c r="K366" i="18"/>
  <c r="AB366" i="18"/>
  <c r="A367" i="18"/>
  <c r="X366" i="18"/>
  <c r="AB367" i="17"/>
  <c r="A368" i="17"/>
  <c r="K367" i="17"/>
  <c r="X367" i="17"/>
  <c r="A366" i="20"/>
  <c r="K365" i="20"/>
  <c r="X365" i="20"/>
  <c r="AB365" i="20"/>
  <c r="AK371" i="1"/>
  <c r="L371" i="1"/>
  <c r="D371" i="1" s="1"/>
  <c r="AB371" i="1"/>
  <c r="K371" i="1"/>
  <c r="AJ371" i="1"/>
  <c r="A372" i="1"/>
  <c r="X371" i="1"/>
  <c r="A363" i="24"/>
  <c r="X362" i="24"/>
  <c r="AB362" i="24"/>
  <c r="K362" i="24"/>
  <c r="A374" i="15"/>
  <c r="X373" i="15"/>
  <c r="L373" i="15"/>
  <c r="K373" i="15"/>
  <c r="AB373" i="15"/>
  <c r="AB363" i="23"/>
  <c r="K363" i="23"/>
  <c r="X363" i="23"/>
  <c r="AE55" i="7"/>
  <c r="A364" i="23"/>
  <c r="AB369" i="16"/>
  <c r="L369" i="16"/>
  <c r="D369" i="16" s="1"/>
  <c r="X369" i="16"/>
  <c r="K369" i="16"/>
  <c r="A370" i="16"/>
  <c r="K361" i="25"/>
  <c r="AB361" i="25"/>
  <c r="A362" i="25"/>
  <c r="X361" i="25"/>
  <c r="AB362" i="25"/>
  <c r="K362" i="25"/>
  <c r="X362" i="25"/>
  <c r="A363" i="25"/>
  <c r="A371" i="16"/>
  <c r="K370" i="16"/>
  <c r="AB370" i="16"/>
  <c r="X370" i="16"/>
  <c r="L370" i="16"/>
  <c r="D370" i="16" s="1"/>
  <c r="A365" i="23"/>
  <c r="AB364" i="23"/>
  <c r="X364" i="23"/>
  <c r="K364" i="23"/>
  <c r="AK372" i="1"/>
  <c r="AB372" i="1"/>
  <c r="X372" i="1"/>
  <c r="K372" i="1"/>
  <c r="L372" i="1"/>
  <c r="D372" i="1" s="1"/>
  <c r="AJ372" i="1"/>
  <c r="A373" i="1"/>
  <c r="K368" i="17"/>
  <c r="A369" i="17"/>
  <c r="AB368" i="17"/>
  <c r="X368" i="17"/>
  <c r="K365" i="22"/>
  <c r="A366" i="22"/>
  <c r="X365" i="22"/>
  <c r="AB365" i="22"/>
  <c r="D373" i="15"/>
  <c r="K374" i="15"/>
  <c r="A375" i="15"/>
  <c r="X374" i="15"/>
  <c r="L374" i="15"/>
  <c r="D374" i="15" s="1"/>
  <c r="AB374" i="15"/>
  <c r="A364" i="24"/>
  <c r="K363" i="24"/>
  <c r="AE67" i="7"/>
  <c r="X363" i="24"/>
  <c r="AB363" i="24"/>
  <c r="X366" i="20"/>
  <c r="K366" i="20"/>
  <c r="AB366" i="20"/>
  <c r="A367" i="20"/>
  <c r="X367" i="18"/>
  <c r="K367" i="18"/>
  <c r="A368" i="18"/>
  <c r="AB367" i="18"/>
  <c r="A367" i="22"/>
  <c r="K366" i="22"/>
  <c r="X366" i="22"/>
  <c r="AB366" i="22"/>
  <c r="AE79" i="7"/>
  <c r="X363" i="25"/>
  <c r="AB363" i="25"/>
  <c r="K363" i="25"/>
  <c r="A364" i="25"/>
  <c r="A369" i="18"/>
  <c r="X368" i="18"/>
  <c r="AB368" i="18"/>
  <c r="K368" i="18"/>
  <c r="K367" i="20"/>
  <c r="A368" i="20"/>
  <c r="AB367" i="20"/>
  <c r="X367" i="20"/>
  <c r="A365" i="24"/>
  <c r="AB364" i="24"/>
  <c r="K364" i="24"/>
  <c r="X364" i="24"/>
  <c r="X375" i="15"/>
  <c r="K375" i="15"/>
  <c r="L375" i="15"/>
  <c r="D375" i="15" s="1"/>
  <c r="AB375" i="15"/>
  <c r="A376" i="15"/>
  <c r="A370" i="17"/>
  <c r="AB369" i="17"/>
  <c r="K369" i="17"/>
  <c r="X369" i="17"/>
  <c r="AJ373" i="1"/>
  <c r="L373" i="1"/>
  <c r="D373" i="1" s="1"/>
  <c r="K373" i="1"/>
  <c r="AB373" i="1"/>
  <c r="A374" i="1"/>
  <c r="AK373" i="1"/>
  <c r="X373" i="1"/>
  <c r="X365" i="23"/>
  <c r="AB365" i="23"/>
  <c r="K365" i="23"/>
  <c r="A366" i="23"/>
  <c r="A372" i="16"/>
  <c r="AB371" i="16"/>
  <c r="K371" i="16"/>
  <c r="X371" i="16"/>
  <c r="L371" i="16"/>
  <c r="D371" i="16" s="1"/>
  <c r="AB372" i="16"/>
  <c r="L372" i="16"/>
  <c r="A373" i="16"/>
  <c r="K372" i="16"/>
  <c r="X372" i="16"/>
  <c r="K366" i="23"/>
  <c r="AB366" i="23"/>
  <c r="X366" i="23"/>
  <c r="A367" i="23"/>
  <c r="L376" i="15"/>
  <c r="D376" i="15" s="1"/>
  <c r="K376" i="15"/>
  <c r="A377" i="15"/>
  <c r="AB376" i="15"/>
  <c r="X376" i="15"/>
  <c r="AB365" i="24"/>
  <c r="K365" i="24"/>
  <c r="A366" i="24"/>
  <c r="X365" i="24"/>
  <c r="AB368" i="20"/>
  <c r="K368" i="20"/>
  <c r="X368" i="20"/>
  <c r="A369" i="20"/>
  <c r="K364" i="25"/>
  <c r="AB364" i="25"/>
  <c r="A365" i="25"/>
  <c r="X364" i="25"/>
  <c r="AK374" i="1"/>
  <c r="K374" i="1"/>
  <c r="AB374" i="1"/>
  <c r="L374" i="1"/>
  <c r="D374" i="1" s="1"/>
  <c r="X374" i="1"/>
  <c r="A375" i="1"/>
  <c r="AJ374" i="1"/>
  <c r="K370" i="17"/>
  <c r="A371" i="17"/>
  <c r="X370" i="17"/>
  <c r="AB370" i="17"/>
  <c r="A370" i="18"/>
  <c r="AB369" i="18"/>
  <c r="X369" i="18"/>
  <c r="K369" i="18"/>
  <c r="X367" i="22"/>
  <c r="A368" i="22"/>
  <c r="AB367" i="22"/>
  <c r="K367" i="22"/>
  <c r="X370" i="18"/>
  <c r="AB370" i="18"/>
  <c r="A371" i="18"/>
  <c r="K370" i="18"/>
  <c r="AB371" i="17"/>
  <c r="K371" i="17"/>
  <c r="X371" i="17"/>
  <c r="A372" i="17"/>
  <c r="AK375" i="1"/>
  <c r="AB375" i="1"/>
  <c r="K375" i="1"/>
  <c r="X375" i="1"/>
  <c r="L375" i="1"/>
  <c r="D375" i="1" s="1"/>
  <c r="A376" i="1"/>
  <c r="AJ375" i="1"/>
  <c r="K365" i="25"/>
  <c r="AB365" i="25"/>
  <c r="X365" i="25"/>
  <c r="A366" i="25"/>
  <c r="K369" i="20"/>
  <c r="A370" i="20"/>
  <c r="X369" i="20"/>
  <c r="AB369" i="20"/>
  <c r="K366" i="24"/>
  <c r="AB366" i="24"/>
  <c r="X366" i="24"/>
  <c r="A367" i="24"/>
  <c r="X377" i="15"/>
  <c r="A378" i="15"/>
  <c r="L377" i="15"/>
  <c r="D377" i="15" s="1"/>
  <c r="K377" i="15"/>
  <c r="AB377" i="15"/>
  <c r="K367" i="23"/>
  <c r="AB367" i="23"/>
  <c r="X367" i="23"/>
  <c r="A368" i="23"/>
  <c r="D372" i="16"/>
  <c r="AB368" i="22"/>
  <c r="X368" i="22"/>
  <c r="A369" i="22"/>
  <c r="K368" i="22"/>
  <c r="X373" i="16"/>
  <c r="L373" i="16"/>
  <c r="D373" i="16" s="1"/>
  <c r="K373" i="16"/>
  <c r="A374" i="16"/>
  <c r="AB373" i="16"/>
  <c r="X374" i="16"/>
  <c r="K374" i="16"/>
  <c r="L374" i="16"/>
  <c r="D374" i="16" s="1"/>
  <c r="AB374" i="16"/>
  <c r="A375" i="16"/>
  <c r="AB369" i="22"/>
  <c r="X369" i="22"/>
  <c r="K369" i="22"/>
  <c r="A370" i="22"/>
  <c r="AB368" i="23"/>
  <c r="K368" i="23"/>
  <c r="X368" i="23"/>
  <c r="A369" i="23"/>
  <c r="A379" i="15"/>
  <c r="K378" i="15"/>
  <c r="X378" i="15"/>
  <c r="L378" i="15"/>
  <c r="D378" i="15" s="1"/>
  <c r="AB378" i="15"/>
  <c r="X370" i="20"/>
  <c r="AB370" i="20"/>
  <c r="A371" i="20"/>
  <c r="K370" i="20"/>
  <c r="K366" i="25"/>
  <c r="X366" i="25"/>
  <c r="A367" i="25"/>
  <c r="AB366" i="25"/>
  <c r="AK376" i="1"/>
  <c r="X376" i="1"/>
  <c r="L376" i="1"/>
  <c r="D376" i="1" s="1"/>
  <c r="AB376" i="1"/>
  <c r="AJ376" i="1"/>
  <c r="A377" i="1"/>
  <c r="K376" i="1"/>
  <c r="X372" i="17"/>
  <c r="K372" i="17"/>
  <c r="A373" i="17"/>
  <c r="AB372" i="17"/>
  <c r="AB371" i="18"/>
  <c r="A372" i="18"/>
  <c r="X371" i="18"/>
  <c r="K371" i="18"/>
  <c r="X367" i="24"/>
  <c r="AB367" i="24"/>
  <c r="A368" i="24"/>
  <c r="K367" i="24"/>
  <c r="AB373" i="17"/>
  <c r="K373" i="17"/>
  <c r="A374" i="17"/>
  <c r="X373" i="17"/>
  <c r="AK377" i="1"/>
  <c r="AB377" i="1"/>
  <c r="L377" i="1"/>
  <c r="X377" i="1"/>
  <c r="AJ377" i="1"/>
  <c r="K377" i="1"/>
  <c r="A378" i="1"/>
  <c r="K379" i="15"/>
  <c r="AB379" i="15"/>
  <c r="L379" i="15"/>
  <c r="D379" i="15" s="1"/>
  <c r="X379" i="15"/>
  <c r="X369" i="23"/>
  <c r="A370" i="23"/>
  <c r="K369" i="23"/>
  <c r="AB369" i="23"/>
  <c r="X375" i="16"/>
  <c r="L375" i="16"/>
  <c r="D375" i="16" s="1"/>
  <c r="K375" i="16"/>
  <c r="A376" i="16"/>
  <c r="AB375" i="16"/>
  <c r="A369" i="24"/>
  <c r="X368" i="24"/>
  <c r="K368" i="24"/>
  <c r="AB368" i="24"/>
  <c r="K372" i="18"/>
  <c r="AB372" i="18"/>
  <c r="X372" i="18"/>
  <c r="A373" i="18"/>
  <c r="A368" i="25"/>
  <c r="AB367" i="25"/>
  <c r="X367" i="25"/>
  <c r="K367" i="25"/>
  <c r="K371" i="20"/>
  <c r="A372" i="20"/>
  <c r="AB371" i="20"/>
  <c r="X371" i="20"/>
  <c r="A371" i="22"/>
  <c r="X370" i="22"/>
  <c r="K370" i="22"/>
  <c r="AB370" i="22"/>
  <c r="AB372" i="20"/>
  <c r="K372" i="20"/>
  <c r="A373" i="20"/>
  <c r="X372" i="20"/>
  <c r="AB368" i="25"/>
  <c r="X368" i="25"/>
  <c r="K368" i="25"/>
  <c r="A369" i="25"/>
  <c r="AB373" i="18"/>
  <c r="X373" i="18"/>
  <c r="A374" i="18"/>
  <c r="K373" i="18"/>
  <c r="A370" i="24"/>
  <c r="X369" i="24"/>
  <c r="K369" i="24"/>
  <c r="AB369" i="24"/>
  <c r="AB376" i="16"/>
  <c r="A377" i="16"/>
  <c r="L376" i="16"/>
  <c r="D376" i="16" s="1"/>
  <c r="K376" i="16"/>
  <c r="X376" i="16"/>
  <c r="AB374" i="17"/>
  <c r="A375" i="17"/>
  <c r="K374" i="17"/>
  <c r="X374" i="17"/>
  <c r="X371" i="22"/>
  <c r="A372" i="22"/>
  <c r="K371" i="22"/>
  <c r="AB371" i="22"/>
  <c r="AB370" i="23"/>
  <c r="K370" i="23"/>
  <c r="A371" i="23"/>
  <c r="X370" i="23"/>
  <c r="AJ378" i="1"/>
  <c r="X378" i="1"/>
  <c r="L378" i="1"/>
  <c r="D378" i="1" s="1"/>
  <c r="AB378" i="1"/>
  <c r="K378" i="1"/>
  <c r="A379" i="1"/>
  <c r="AK378" i="1"/>
  <c r="D377" i="1"/>
  <c r="AB375" i="17"/>
  <c r="K375" i="17"/>
  <c r="X375" i="17"/>
  <c r="A376" i="17"/>
  <c r="X373" i="20"/>
  <c r="A374" i="20"/>
  <c r="K373" i="20"/>
  <c r="AB373" i="20"/>
  <c r="AJ379" i="1"/>
  <c r="L379" i="1"/>
  <c r="AK379" i="1"/>
  <c r="AB379" i="1"/>
  <c r="X379" i="1"/>
  <c r="K379" i="1"/>
  <c r="X371" i="23"/>
  <c r="A372" i="23"/>
  <c r="K371" i="23"/>
  <c r="AB371" i="23"/>
  <c r="X372" i="22"/>
  <c r="AB372" i="22"/>
  <c r="K372" i="22"/>
  <c r="A373" i="22"/>
  <c r="AB377" i="16"/>
  <c r="L377" i="16"/>
  <c r="D377" i="16" s="1"/>
  <c r="A378" i="16"/>
  <c r="K377" i="16"/>
  <c r="X377" i="16"/>
  <c r="K370" i="24"/>
  <c r="X370" i="24"/>
  <c r="AB370" i="24"/>
  <c r="A371" i="24"/>
  <c r="A375" i="18"/>
  <c r="K374" i="18"/>
  <c r="X374" i="18"/>
  <c r="AB374" i="18"/>
  <c r="K369" i="25"/>
  <c r="A370" i="25"/>
  <c r="X369" i="25"/>
  <c r="AB369" i="25"/>
  <c r="X370" i="25"/>
  <c r="AB370" i="25"/>
  <c r="A371" i="25"/>
  <c r="K370" i="25"/>
  <c r="A372" i="24"/>
  <c r="X371" i="24"/>
  <c r="AB371" i="24"/>
  <c r="K371" i="24"/>
  <c r="A379" i="16"/>
  <c r="L378" i="16"/>
  <c r="D378" i="16" s="1"/>
  <c r="K378" i="16"/>
  <c r="AB378" i="16"/>
  <c r="X378" i="16"/>
  <c r="A373" i="23"/>
  <c r="AB372" i="23"/>
  <c r="K372" i="23"/>
  <c r="X372" i="23"/>
  <c r="AM5" i="1"/>
  <c r="AK6" i="1"/>
  <c r="AK7" i="1"/>
  <c r="AK11" i="1" s="1"/>
  <c r="AK9" i="1"/>
  <c r="AK5" i="1"/>
  <c r="AM9" i="1"/>
  <c r="AM7" i="1"/>
  <c r="AM11" i="1" s="1"/>
  <c r="AB374" i="20"/>
  <c r="A375" i="20"/>
  <c r="X374" i="20"/>
  <c r="K374" i="20"/>
  <c r="X376" i="17"/>
  <c r="A377" i="17"/>
  <c r="AB376" i="17"/>
  <c r="K376" i="17"/>
  <c r="X375" i="18"/>
  <c r="K375" i="18"/>
  <c r="A376" i="18"/>
  <c r="AB375" i="18"/>
  <c r="X373" i="22"/>
  <c r="K373" i="22"/>
  <c r="A374" i="22"/>
  <c r="AB373" i="22"/>
  <c r="D379" i="1"/>
  <c r="X374" i="22"/>
  <c r="A375" i="22"/>
  <c r="K374" i="22"/>
  <c r="AB374" i="22"/>
  <c r="X376" i="18"/>
  <c r="K376" i="18"/>
  <c r="AB376" i="18"/>
  <c r="A377" i="18"/>
  <c r="A378" i="17"/>
  <c r="AB377" i="17"/>
  <c r="X377" i="17"/>
  <c r="K377" i="17"/>
  <c r="AB373" i="23"/>
  <c r="X373" i="23"/>
  <c r="K373" i="23"/>
  <c r="A374" i="23"/>
  <c r="AB372" i="24"/>
  <c r="K372" i="24"/>
  <c r="A373" i="24"/>
  <c r="X372" i="24"/>
  <c r="AB375" i="20"/>
  <c r="K375" i="20"/>
  <c r="A376" i="20"/>
  <c r="X375" i="20"/>
  <c r="A380" i="16"/>
  <c r="L379" i="16"/>
  <c r="D379" i="16" s="1"/>
  <c r="K379" i="16"/>
  <c r="X379" i="16"/>
  <c r="AB379" i="16"/>
  <c r="X371" i="25"/>
  <c r="AB371" i="25"/>
  <c r="A372" i="25"/>
  <c r="K371" i="25"/>
  <c r="A373" i="25"/>
  <c r="K372" i="25"/>
  <c r="AB372" i="25"/>
  <c r="X372" i="25"/>
  <c r="L380" i="16"/>
  <c r="D380" i="16" s="1"/>
  <c r="X380" i="16"/>
  <c r="AB380" i="16"/>
  <c r="K380" i="16"/>
  <c r="K373" i="24"/>
  <c r="A374" i="24"/>
  <c r="AB373" i="24"/>
  <c r="X373" i="24"/>
  <c r="AB374" i="23"/>
  <c r="K374" i="23"/>
  <c r="A375" i="23"/>
  <c r="X374" i="23"/>
  <c r="X377" i="18"/>
  <c r="A378" i="18"/>
  <c r="K377" i="18"/>
  <c r="AB377" i="18"/>
  <c r="X376" i="20"/>
  <c r="A377" i="20"/>
  <c r="K376" i="20"/>
  <c r="AB376" i="20"/>
  <c r="K378" i="17"/>
  <c r="A379" i="17"/>
  <c r="AB378" i="17"/>
  <c r="X378" i="17"/>
  <c r="A376" i="22"/>
  <c r="AB375" i="22"/>
  <c r="K375" i="22"/>
  <c r="X375" i="22"/>
  <c r="X374" i="24"/>
  <c r="AB374" i="24"/>
  <c r="K374" i="24"/>
  <c r="A375" i="24"/>
  <c r="X376" i="22"/>
  <c r="AB376" i="22"/>
  <c r="A377" i="22"/>
  <c r="K376" i="22"/>
  <c r="AB379" i="17"/>
  <c r="K379" i="17"/>
  <c r="X379" i="17"/>
  <c r="AB377" i="20"/>
  <c r="K377" i="20"/>
  <c r="A378" i="20"/>
  <c r="X377" i="20"/>
  <c r="A379" i="18"/>
  <c r="AB378" i="18"/>
  <c r="X378" i="18"/>
  <c r="K378" i="18"/>
  <c r="AB375" i="23"/>
  <c r="X375" i="23"/>
  <c r="K375" i="23"/>
  <c r="A376" i="23"/>
  <c r="X373" i="25"/>
  <c r="A374" i="25"/>
  <c r="K373" i="25"/>
  <c r="AB373" i="25"/>
  <c r="X379" i="18"/>
  <c r="AB379" i="18"/>
  <c r="K379" i="18"/>
  <c r="K378" i="20"/>
  <c r="AB378" i="20"/>
  <c r="A379" i="20"/>
  <c r="X378" i="20"/>
  <c r="K375" i="24"/>
  <c r="X375" i="24"/>
  <c r="AB375" i="24"/>
  <c r="A376" i="24"/>
  <c r="A375" i="25"/>
  <c r="X374" i="25"/>
  <c r="AB374" i="25"/>
  <c r="K374" i="25"/>
  <c r="K376" i="23"/>
  <c r="AB376" i="23"/>
  <c r="X376" i="23"/>
  <c r="A377" i="23"/>
  <c r="X377" i="22"/>
  <c r="K377" i="22"/>
  <c r="AB377" i="22"/>
  <c r="A378" i="22"/>
  <c r="AB378" i="22"/>
  <c r="X378" i="22"/>
  <c r="A379" i="22"/>
  <c r="K378" i="22"/>
  <c r="K376" i="24"/>
  <c r="AB376" i="24"/>
  <c r="A377" i="24"/>
  <c r="X376" i="24"/>
  <c r="AB379" i="20"/>
  <c r="K379" i="20"/>
  <c r="X379" i="20"/>
  <c r="AB377" i="23"/>
  <c r="A378" i="23"/>
  <c r="K377" i="23"/>
  <c r="X377" i="23"/>
  <c r="A376" i="25"/>
  <c r="AB375" i="25"/>
  <c r="X375" i="25"/>
  <c r="K375" i="25"/>
  <c r="AB376" i="25"/>
  <c r="X376" i="25"/>
  <c r="K376" i="25"/>
  <c r="A377" i="25"/>
  <c r="A379" i="23"/>
  <c r="X378" i="23"/>
  <c r="AB378" i="23"/>
  <c r="K378" i="23"/>
  <c r="X377" i="24"/>
  <c r="AB377" i="24"/>
  <c r="A378" i="24"/>
  <c r="K377" i="24"/>
  <c r="AB379" i="22"/>
  <c r="X379" i="22"/>
  <c r="A380" i="22"/>
  <c r="K379" i="22"/>
  <c r="X379" i="23"/>
  <c r="AB379" i="23"/>
  <c r="K379" i="23"/>
  <c r="A378" i="25"/>
  <c r="AB377" i="25"/>
  <c r="X377" i="25"/>
  <c r="K377" i="25"/>
  <c r="K380" i="22"/>
  <c r="AB380" i="22"/>
  <c r="X380" i="22"/>
  <c r="A379" i="24"/>
  <c r="K378" i="24"/>
  <c r="X378" i="24"/>
  <c r="AB378" i="24"/>
  <c r="AB379" i="24"/>
  <c r="X379" i="24"/>
  <c r="K379" i="24"/>
  <c r="X378" i="25"/>
  <c r="K378" i="25"/>
  <c r="A379" i="25"/>
  <c r="AB378" i="25"/>
  <c r="K379" i="25"/>
  <c r="AB379" i="25"/>
  <c r="X379" i="25"/>
  <c r="AF59" i="27"/>
  <c r="AX271" i="6"/>
  <c r="AX43" i="6"/>
  <c r="AX105" i="6"/>
  <c r="AX138" i="6"/>
  <c r="AX145" i="6"/>
  <c r="AX98" i="6"/>
  <c r="AX282" i="6"/>
  <c r="AX272" i="6"/>
  <c r="AX314" i="6"/>
  <c r="AX264" i="6"/>
  <c r="AX84" i="6"/>
  <c r="AX60" i="6"/>
  <c r="AX103" i="6"/>
  <c r="AX71" i="6"/>
  <c r="AX48" i="6"/>
  <c r="AX118" i="6"/>
  <c r="AX148" i="6"/>
  <c r="AX120" i="6"/>
  <c r="AX177" i="6"/>
  <c r="AX96" i="6"/>
  <c r="I220" i="6"/>
  <c r="I211" i="6"/>
  <c r="I142" i="6"/>
  <c r="I206" i="6"/>
  <c r="I372" i="6"/>
  <c r="I146" i="6"/>
  <c r="I201" i="6"/>
  <c r="I35" i="6"/>
  <c r="I325" i="6"/>
  <c r="I167" i="6"/>
  <c r="I199" i="6"/>
  <c r="BR7" i="6"/>
  <c r="BR10" i="6"/>
  <c r="BR8" i="6"/>
  <c r="AX286" i="6"/>
  <c r="AX293" i="6"/>
  <c r="AX306" i="6"/>
  <c r="AX268" i="6"/>
  <c r="AX73" i="6"/>
  <c r="AX64" i="6"/>
  <c r="AX75" i="6"/>
  <c r="AX185" i="6"/>
  <c r="AX69" i="6"/>
  <c r="AX181" i="6"/>
  <c r="AX113" i="6"/>
  <c r="AX38" i="6"/>
  <c r="AX142" i="6"/>
  <c r="AX196" i="6"/>
  <c r="AX194" i="6"/>
  <c r="AX159" i="6"/>
  <c r="AX101" i="6"/>
  <c r="AX199" i="6"/>
  <c r="AX195" i="6"/>
  <c r="AX180" i="6"/>
  <c r="AX117" i="6"/>
  <c r="I226" i="6"/>
  <c r="I362" i="6"/>
  <c r="AX126" i="6"/>
  <c r="I350" i="6"/>
  <c r="I195" i="6"/>
  <c r="I377" i="6"/>
  <c r="I160" i="6"/>
  <c r="I161" i="6"/>
  <c r="I353" i="6"/>
  <c r="I361" i="6"/>
  <c r="R30" i="6"/>
  <c r="P34" i="6"/>
  <c r="Q32" i="6"/>
  <c r="G18" i="6"/>
  <c r="G178" i="6"/>
  <c r="G24" i="6"/>
  <c r="F30" i="6"/>
  <c r="H30" i="6" s="1"/>
  <c r="I30" i="6" s="1"/>
  <c r="F24" i="6"/>
  <c r="H24" i="6"/>
  <c r="I24" i="6" s="1"/>
  <c r="F22" i="6"/>
  <c r="H22" i="6" s="1"/>
  <c r="I22" i="6" s="1"/>
  <c r="F33" i="6"/>
  <c r="H33" i="6" s="1"/>
  <c r="I33" i="6" s="1"/>
  <c r="F23" i="6"/>
  <c r="H23" i="6" s="1"/>
  <c r="F170" i="6"/>
  <c r="H170" i="6" s="1"/>
  <c r="I170" i="6"/>
  <c r="G29" i="6"/>
  <c r="I29" i="6"/>
  <c r="G21" i="6"/>
  <c r="I21" i="6"/>
  <c r="F19" i="6"/>
  <c r="H19" i="6"/>
  <c r="I19" i="6" s="1"/>
  <c r="F180" i="6"/>
  <c r="H180" i="6" s="1"/>
  <c r="F162" i="6"/>
  <c r="H162" i="6" s="1"/>
  <c r="I162" i="6" s="1"/>
  <c r="F189" i="6"/>
  <c r="H189" i="6"/>
  <c r="I189" i="6" s="1"/>
  <c r="F186" i="6"/>
  <c r="H186" i="6" s="1"/>
  <c r="I186" i="6" s="1"/>
  <c r="F183" i="6"/>
  <c r="H183" i="6" s="1"/>
  <c r="I183" i="6"/>
  <c r="F165" i="6"/>
  <c r="H165" i="6"/>
  <c r="I165" i="6" s="1"/>
  <c r="G164" i="6"/>
  <c r="G23" i="6"/>
  <c r="G20" i="6"/>
  <c r="G16" i="6"/>
  <c r="F163" i="6"/>
  <c r="H163" i="6" s="1"/>
  <c r="I163" i="6" s="1"/>
  <c r="F174" i="6"/>
  <c r="H174" i="6" s="1"/>
  <c r="I174" i="6" s="1"/>
  <c r="G176" i="6"/>
  <c r="I176" i="6"/>
  <c r="F179" i="6"/>
  <c r="H179" i="6"/>
  <c r="I179" i="6" s="1"/>
  <c r="G187" i="6"/>
  <c r="F175" i="6"/>
  <c r="H175" i="6" s="1"/>
  <c r="G331" i="6"/>
  <c r="F185" i="6"/>
  <c r="H185" i="6" s="1"/>
  <c r="I185" i="6"/>
  <c r="G163" i="6"/>
  <c r="G168" i="6"/>
  <c r="I168" i="6" s="1"/>
  <c r="F342" i="6"/>
  <c r="H342" i="6" s="1"/>
  <c r="G332" i="6"/>
  <c r="G342" i="6"/>
  <c r="F320" i="6"/>
  <c r="H320" i="6" s="1"/>
  <c r="I320" i="6" s="1"/>
  <c r="F334" i="6"/>
  <c r="H334" i="6"/>
  <c r="I334" i="6" s="1"/>
  <c r="F338" i="6"/>
  <c r="H338" i="6" s="1"/>
  <c r="I338" i="6" s="1"/>
  <c r="F339" i="6"/>
  <c r="H339" i="6" s="1"/>
  <c r="I339" i="6"/>
  <c r="F335" i="6"/>
  <c r="H335" i="6"/>
  <c r="I335" i="6" s="1"/>
  <c r="G341" i="6"/>
  <c r="G338" i="6"/>
  <c r="G326" i="6"/>
  <c r="F317" i="6"/>
  <c r="H317" i="6" s="1"/>
  <c r="I317" i="6" s="1"/>
  <c r="F318" i="6"/>
  <c r="H318" i="6"/>
  <c r="G318" i="6"/>
  <c r="F341" i="6"/>
  <c r="H341" i="6" s="1"/>
  <c r="F333" i="6"/>
  <c r="H333" i="6" s="1"/>
  <c r="I333" i="6" s="1"/>
  <c r="F323" i="6"/>
  <c r="H323" i="6"/>
  <c r="I323" i="6" s="1"/>
  <c r="G340" i="6"/>
  <c r="G343" i="6"/>
  <c r="I343" i="6" s="1"/>
  <c r="F166" i="6"/>
  <c r="H166" i="6" s="1"/>
  <c r="I166" i="6" s="1"/>
  <c r="G145" i="6"/>
  <c r="I145" i="6"/>
  <c r="G33" i="6"/>
  <c r="F149" i="6"/>
  <c r="H149" i="6" s="1"/>
  <c r="I149" i="6"/>
  <c r="G140" i="6"/>
  <c r="I140" i="6"/>
  <c r="F20" i="6"/>
  <c r="H20" i="6"/>
  <c r="I20" i="6" s="1"/>
  <c r="G172" i="6"/>
  <c r="I172" i="6" s="1"/>
  <c r="F141" i="6"/>
  <c r="H141" i="6" s="1"/>
  <c r="I141" i="6" s="1"/>
  <c r="G186" i="6"/>
  <c r="F156" i="6"/>
  <c r="H156" i="6" s="1"/>
  <c r="I156" i="6"/>
  <c r="G180" i="6"/>
  <c r="F177" i="6"/>
  <c r="H177" i="6" s="1"/>
  <c r="I177" i="6" s="1"/>
  <c r="F178" i="6"/>
  <c r="H178" i="6"/>
  <c r="G169" i="6"/>
  <c r="F173" i="6"/>
  <c r="H173" i="6" s="1"/>
  <c r="I173" i="6"/>
  <c r="G316" i="6"/>
  <c r="F316" i="6"/>
  <c r="H316" i="6" s="1"/>
  <c r="F332" i="6"/>
  <c r="H332" i="6" s="1"/>
  <c r="I332" i="6"/>
  <c r="G327" i="6"/>
  <c r="I327" i="6"/>
  <c r="F157" i="6"/>
  <c r="H157" i="6"/>
  <c r="I157" i="6" s="1"/>
  <c r="G148" i="6"/>
  <c r="G26" i="6"/>
  <c r="G13" i="6" s="1"/>
  <c r="G155" i="6"/>
  <c r="F164" i="6"/>
  <c r="H164" i="6" s="1"/>
  <c r="I164" i="6" s="1"/>
  <c r="G175" i="6"/>
  <c r="G171" i="6"/>
  <c r="F18" i="6"/>
  <c r="H18" i="6" s="1"/>
  <c r="G144" i="6"/>
  <c r="I144" i="6"/>
  <c r="G22" i="6"/>
  <c r="G188" i="6"/>
  <c r="I188" i="6" s="1"/>
  <c r="G190" i="6"/>
  <c r="I190" i="6" s="1"/>
  <c r="AU380" i="6"/>
  <c r="AW380" i="6" s="1"/>
  <c r="AX380" i="6" s="1"/>
  <c r="AU373" i="6"/>
  <c r="AW373" i="6"/>
  <c r="AX373" i="6" s="1"/>
  <c r="AV372" i="6"/>
  <c r="AV375" i="6"/>
  <c r="AU375" i="6"/>
  <c r="AW375" i="6" s="1"/>
  <c r="AX375" i="6" s="1"/>
  <c r="AU372" i="6"/>
  <c r="AW372" i="6"/>
  <c r="AV377" i="6"/>
  <c r="AX377" i="6"/>
  <c r="AU374" i="6"/>
  <c r="AW374" i="6"/>
  <c r="AX374" i="6" s="1"/>
  <c r="AU379" i="6"/>
  <c r="AW379" i="6" s="1"/>
  <c r="AX379" i="6" s="1"/>
  <c r="AV379" i="6"/>
  <c r="V21" i="6"/>
  <c r="AF17" i="6"/>
  <c r="AC15" i="6"/>
  <c r="AC21" i="6"/>
  <c r="Y15" i="6"/>
  <c r="Y21" i="6"/>
  <c r="S19" i="6"/>
  <c r="S22" i="6"/>
  <c r="S51" i="6"/>
  <c r="V52" i="6"/>
  <c r="AL22" i="6"/>
  <c r="AA30" i="6"/>
  <c r="AA36" i="6"/>
  <c r="Y34" i="6"/>
  <c r="Z32" i="6"/>
  <c r="Z37" i="6"/>
  <c r="U49" i="6"/>
  <c r="W45" i="6"/>
  <c r="W51" i="6"/>
  <c r="V45" i="6"/>
  <c r="V51" i="6"/>
  <c r="U47" i="6"/>
  <c r="AU258" i="6"/>
  <c r="AW258" i="6" s="1"/>
  <c r="AA22" i="6"/>
  <c r="R49" i="6"/>
  <c r="R52" i="6"/>
  <c r="T45" i="6"/>
  <c r="T51" i="6"/>
  <c r="X21" i="6"/>
  <c r="T34" i="6"/>
  <c r="V30" i="6"/>
  <c r="W34" i="6"/>
  <c r="Y30" i="6"/>
  <c r="X32" i="6"/>
  <c r="L43" i="6"/>
  <c r="M45" i="6"/>
  <c r="N45" i="6"/>
  <c r="N51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R34" i="6"/>
  <c r="S32" i="6"/>
  <c r="AA15" i="6"/>
  <c r="AA21" i="6"/>
  <c r="T28" i="6"/>
  <c r="Y19" i="6"/>
  <c r="Y22" i="6"/>
  <c r="V28" i="6"/>
  <c r="AD17" i="6"/>
  <c r="AE15" i="6"/>
  <c r="AE21" i="6"/>
  <c r="AC19" i="6"/>
  <c r="AC22" i="6"/>
  <c r="W28" i="6"/>
  <c r="AG15" i="6"/>
  <c r="AG21" i="6"/>
  <c r="AI15" i="6"/>
  <c r="AI21" i="6"/>
  <c r="AH17" i="6"/>
  <c r="F289" i="6"/>
  <c r="H289" i="6"/>
  <c r="I289" i="6" s="1"/>
  <c r="AG19" i="6"/>
  <c r="AG22" i="6"/>
  <c r="AI19" i="6"/>
  <c r="AI22" i="6"/>
  <c r="Y28" i="6"/>
  <c r="AK15" i="6"/>
  <c r="AK21" i="6"/>
  <c r="AJ21" i="6"/>
  <c r="Y43" i="6"/>
  <c r="AL15" i="6"/>
  <c r="AL21" i="6"/>
  <c r="I316" i="6"/>
  <c r="Y32" i="6"/>
  <c r="Y37" i="6"/>
  <c r="X34" i="6"/>
  <c r="Z30" i="6"/>
  <c r="Z36" i="6"/>
  <c r="W32" i="6"/>
  <c r="W37" i="6"/>
  <c r="X30" i="6"/>
  <c r="X36" i="6"/>
  <c r="V34" i="6"/>
  <c r="W30" i="6"/>
  <c r="W36" i="6"/>
  <c r="V32" i="6"/>
  <c r="V37" i="6"/>
  <c r="U34" i="6"/>
  <c r="U37" i="6"/>
  <c r="U30" i="6"/>
  <c r="U36" i="6"/>
  <c r="S34" i="6"/>
  <c r="T32" i="6"/>
  <c r="S37" i="6"/>
  <c r="T36" i="6"/>
  <c r="T22" i="6"/>
  <c r="T21" i="6"/>
  <c r="F99" i="6"/>
  <c r="H99" i="6"/>
  <c r="G105" i="6"/>
  <c r="F93" i="6"/>
  <c r="H93" i="6" s="1"/>
  <c r="G92" i="6"/>
  <c r="F109" i="6"/>
  <c r="H109" i="6"/>
  <c r="F94" i="6"/>
  <c r="H94" i="6"/>
  <c r="F124" i="6"/>
  <c r="H124" i="6"/>
  <c r="G118" i="6"/>
  <c r="G99" i="6"/>
  <c r="F114" i="6"/>
  <c r="H114" i="6"/>
  <c r="G96" i="6"/>
  <c r="G128" i="6"/>
  <c r="G95" i="6"/>
  <c r="F104" i="6"/>
  <c r="H104" i="6" s="1"/>
  <c r="G127" i="6"/>
  <c r="G97" i="6"/>
  <c r="G102" i="6"/>
  <c r="F105" i="6"/>
  <c r="H105" i="6"/>
  <c r="I105" i="6" s="1"/>
  <c r="G114" i="6"/>
  <c r="G120" i="6"/>
  <c r="F131" i="6"/>
  <c r="H131" i="6" s="1"/>
  <c r="G121" i="6"/>
  <c r="F128" i="6"/>
  <c r="H128" i="6"/>
  <c r="F96" i="6"/>
  <c r="H96" i="6"/>
  <c r="I96" i="6" s="1"/>
  <c r="G103" i="6"/>
  <c r="G109" i="6"/>
  <c r="I109" i="6" s="1"/>
  <c r="F113" i="6"/>
  <c r="H113" i="6"/>
  <c r="F115" i="6"/>
  <c r="H115" i="6"/>
  <c r="F122" i="6"/>
  <c r="H122" i="6"/>
  <c r="F123" i="6"/>
  <c r="H123" i="6"/>
  <c r="I123" i="6" s="1"/>
  <c r="G112" i="6"/>
  <c r="F108" i="6"/>
  <c r="H108" i="6" s="1"/>
  <c r="F120" i="6"/>
  <c r="H120" i="6" s="1"/>
  <c r="G117" i="6"/>
  <c r="G133" i="6"/>
  <c r="F125" i="6"/>
  <c r="H125" i="6" s="1"/>
  <c r="I125" i="6" s="1"/>
  <c r="F119" i="6"/>
  <c r="H119" i="6" s="1"/>
  <c r="G115" i="6"/>
  <c r="F106" i="6"/>
  <c r="H106" i="6"/>
  <c r="F116" i="6"/>
  <c r="H116" i="6"/>
  <c r="G126" i="6"/>
  <c r="F117" i="6"/>
  <c r="H117" i="6" s="1"/>
  <c r="I117" i="6" s="1"/>
  <c r="F111" i="6"/>
  <c r="H111" i="6"/>
  <c r="G108" i="6"/>
  <c r="G130" i="6"/>
  <c r="F118" i="6"/>
  <c r="H118" i="6"/>
  <c r="I118" i="6" s="1"/>
  <c r="G111" i="6"/>
  <c r="F132" i="6"/>
  <c r="H132" i="6"/>
  <c r="I132" i="6" s="1"/>
  <c r="G110" i="6"/>
  <c r="F133" i="6"/>
  <c r="H133" i="6" s="1"/>
  <c r="G106" i="6"/>
  <c r="F110" i="6"/>
  <c r="H110" i="6"/>
  <c r="G113" i="6"/>
  <c r="G107" i="6"/>
  <c r="G122" i="6"/>
  <c r="G124" i="6"/>
  <c r="G132" i="6"/>
  <c r="F107" i="6"/>
  <c r="H107" i="6" s="1"/>
  <c r="I107" i="6"/>
  <c r="R21" i="6"/>
  <c r="R22" i="6"/>
  <c r="G74" i="6"/>
  <c r="G90" i="6"/>
  <c r="F87" i="6"/>
  <c r="H87" i="6"/>
  <c r="G64" i="6"/>
  <c r="G84" i="6"/>
  <c r="G78" i="6"/>
  <c r="G79" i="6"/>
  <c r="F78" i="6"/>
  <c r="H78" i="6"/>
  <c r="I78" i="6" s="1"/>
  <c r="F65" i="6"/>
  <c r="H65" i="6" s="1"/>
  <c r="G86" i="6"/>
  <c r="F67" i="6"/>
  <c r="H67" i="6"/>
  <c r="G76" i="6"/>
  <c r="G82" i="6"/>
  <c r="G68" i="6"/>
  <c r="F69" i="6"/>
  <c r="H69" i="6" s="1"/>
  <c r="F82" i="6"/>
  <c r="H82" i="6" s="1"/>
  <c r="F75" i="6"/>
  <c r="H75" i="6" s="1"/>
  <c r="G66" i="6"/>
  <c r="G80" i="6"/>
  <c r="F77" i="6"/>
  <c r="H77" i="6" s="1"/>
  <c r="G72" i="6"/>
  <c r="F79" i="6"/>
  <c r="H79" i="6"/>
  <c r="F83" i="6"/>
  <c r="H83" i="6"/>
  <c r="F89" i="6"/>
  <c r="H89" i="6"/>
  <c r="I89" i="6" s="1"/>
  <c r="G67" i="6"/>
  <c r="F90" i="6"/>
  <c r="H90" i="6" s="1"/>
  <c r="I90" i="6" s="1"/>
  <c r="G75" i="6"/>
  <c r="F72" i="6"/>
  <c r="H72" i="6" s="1"/>
  <c r="F66" i="6"/>
  <c r="H66" i="6" s="1"/>
  <c r="G91" i="6"/>
  <c r="G70" i="6"/>
  <c r="F64" i="6"/>
  <c r="H64" i="6" s="1"/>
  <c r="I64" i="6"/>
  <c r="F71" i="6"/>
  <c r="H71" i="6"/>
  <c r="G77" i="6"/>
  <c r="F68" i="6"/>
  <c r="H68" i="6" s="1"/>
  <c r="I68" i="6" s="1"/>
  <c r="F91" i="6"/>
  <c r="H91" i="6" s="1"/>
  <c r="I91" i="6"/>
  <c r="F76" i="6"/>
  <c r="H76" i="6"/>
  <c r="F80" i="6"/>
  <c r="H80" i="6"/>
  <c r="I80" i="6" s="1"/>
  <c r="G85" i="6"/>
  <c r="F86" i="6"/>
  <c r="H86" i="6"/>
  <c r="G71" i="6"/>
  <c r="G83" i="6"/>
  <c r="F70" i="6"/>
  <c r="H70" i="6" s="1"/>
  <c r="I70" i="6" s="1"/>
  <c r="G87" i="6"/>
  <c r="G65" i="6"/>
  <c r="G69" i="6"/>
  <c r="F74" i="6"/>
  <c r="H74" i="6" s="1"/>
  <c r="I74" i="6"/>
  <c r="P22" i="6"/>
  <c r="P21" i="6"/>
  <c r="F37" i="6"/>
  <c r="H37" i="6"/>
  <c r="I37" i="6" s="1"/>
  <c r="F44" i="6"/>
  <c r="H44" i="6"/>
  <c r="G43" i="6"/>
  <c r="G55" i="6"/>
  <c r="G59" i="6"/>
  <c r="F61" i="6"/>
  <c r="H61" i="6" s="1"/>
  <c r="I61" i="6" s="1"/>
  <c r="F60" i="6"/>
  <c r="H60" i="6" s="1"/>
  <c r="F50" i="6"/>
  <c r="H50" i="6" s="1"/>
  <c r="G61" i="6"/>
  <c r="G62" i="6"/>
  <c r="G51" i="6"/>
  <c r="F45" i="6"/>
  <c r="H45" i="6"/>
  <c r="G37" i="6"/>
  <c r="G47" i="6"/>
  <c r="G48" i="6"/>
  <c r="F55" i="6"/>
  <c r="H55" i="6" s="1"/>
  <c r="I55" i="6"/>
  <c r="F48" i="6"/>
  <c r="H48" i="6"/>
  <c r="I48" i="6" s="1"/>
  <c r="F56" i="6"/>
  <c r="H56" i="6" s="1"/>
  <c r="G57" i="6"/>
  <c r="G40" i="6"/>
  <c r="G49" i="6"/>
  <c r="G58" i="6"/>
  <c r="F54" i="6"/>
  <c r="H54" i="6" s="1"/>
  <c r="I54" i="6" s="1"/>
  <c r="F47" i="6"/>
  <c r="H47" i="6" s="1"/>
  <c r="I47" i="6"/>
  <c r="F41" i="6"/>
  <c r="H41" i="6"/>
  <c r="F53" i="6"/>
  <c r="H53" i="6"/>
  <c r="F46" i="6"/>
  <c r="H46" i="6"/>
  <c r="I46" i="6" s="1"/>
  <c r="F36" i="6"/>
  <c r="H36" i="6"/>
  <c r="I36" i="6" s="1"/>
  <c r="F58" i="6"/>
  <c r="H58" i="6"/>
  <c r="F38" i="6"/>
  <c r="H38" i="6"/>
  <c r="G36" i="6"/>
  <c r="G44" i="6"/>
  <c r="G45" i="6"/>
  <c r="F62" i="6"/>
  <c r="H62" i="6" s="1"/>
  <c r="I62" i="6" s="1"/>
  <c r="F52" i="6"/>
  <c r="H52" i="6"/>
  <c r="G63" i="6"/>
  <c r="F42" i="6"/>
  <c r="H42" i="6" s="1"/>
  <c r="G60" i="6"/>
  <c r="G50" i="6"/>
  <c r="G42" i="6"/>
  <c r="F51" i="6"/>
  <c r="H51" i="6"/>
  <c r="I51" i="6" s="1"/>
  <c r="F59" i="6"/>
  <c r="H59" i="6" s="1"/>
  <c r="G54" i="6"/>
  <c r="N34" i="6"/>
  <c r="N37" i="6"/>
  <c r="P30" i="6"/>
  <c r="O32" i="6"/>
  <c r="X37" i="6"/>
  <c r="AU254" i="6"/>
  <c r="AW254" i="6" s="1"/>
  <c r="AX254" i="6" s="1"/>
  <c r="AU255" i="6"/>
  <c r="AW255" i="6" s="1"/>
  <c r="AU212" i="6"/>
  <c r="AW212" i="6" s="1"/>
  <c r="AU222" i="6"/>
  <c r="AW222" i="6" s="1"/>
  <c r="AV220" i="6"/>
  <c r="AV222" i="6"/>
  <c r="AU230" i="6"/>
  <c r="AW230" i="6" s="1"/>
  <c r="AV225" i="6"/>
  <c r="AU242" i="6"/>
  <c r="AW242" i="6"/>
  <c r="AU238" i="6"/>
  <c r="AW238" i="6"/>
  <c r="AV214" i="6"/>
  <c r="AU259" i="6"/>
  <c r="AW259" i="6" s="1"/>
  <c r="AV210" i="6"/>
  <c r="AV213" i="6"/>
  <c r="AU207" i="6"/>
  <c r="AW207" i="6" s="1"/>
  <c r="AU226" i="6"/>
  <c r="AW226" i="6" s="1"/>
  <c r="AV251" i="6"/>
  <c r="AV242" i="6"/>
  <c r="AU211" i="6"/>
  <c r="AW211" i="6" s="1"/>
  <c r="AV236" i="6"/>
  <c r="AV253" i="6"/>
  <c r="AU250" i="6"/>
  <c r="AW250" i="6" s="1"/>
  <c r="AV237" i="6"/>
  <c r="AV254" i="6"/>
  <c r="AV247" i="6"/>
  <c r="AU225" i="6"/>
  <c r="AW225" i="6"/>
  <c r="AX225" i="6" s="1"/>
  <c r="AV208" i="6"/>
  <c r="AU240" i="6"/>
  <c r="AW240" i="6"/>
  <c r="AV215" i="6"/>
  <c r="AU218" i="6"/>
  <c r="AW218" i="6" s="1"/>
  <c r="AU234" i="6"/>
  <c r="AW234" i="6" s="1"/>
  <c r="AV243" i="6"/>
  <c r="AF22" i="6"/>
  <c r="AF21" i="6"/>
  <c r="G275" i="6"/>
  <c r="F260" i="6"/>
  <c r="H260" i="6" s="1"/>
  <c r="F264" i="6"/>
  <c r="H264" i="6"/>
  <c r="G280" i="6"/>
  <c r="F286" i="6"/>
  <c r="H286" i="6" s="1"/>
  <c r="I286" i="6" s="1"/>
  <c r="F285" i="6"/>
  <c r="H285" i="6" s="1"/>
  <c r="I285" i="6"/>
  <c r="G284" i="6"/>
  <c r="F279" i="6"/>
  <c r="H279" i="6" s="1"/>
  <c r="I279" i="6" s="1"/>
  <c r="F276" i="6"/>
  <c r="H276" i="6"/>
  <c r="F287" i="6"/>
  <c r="H287" i="6"/>
  <c r="I287" i="6" s="1"/>
  <c r="F263" i="6"/>
  <c r="H263" i="6" s="1"/>
  <c r="I263" i="6" s="1"/>
  <c r="G270" i="6"/>
  <c r="F281" i="6"/>
  <c r="H281" i="6"/>
  <c r="F280" i="6"/>
  <c r="H280" i="6"/>
  <c r="I280" i="6" s="1"/>
  <c r="F272" i="6"/>
  <c r="H272" i="6" s="1"/>
  <c r="I272" i="6" s="1"/>
  <c r="F261" i="6"/>
  <c r="H261" i="6" s="1"/>
  <c r="I261" i="6"/>
  <c r="G285" i="6"/>
  <c r="F265" i="6"/>
  <c r="H265" i="6" s="1"/>
  <c r="I265" i="6" s="1"/>
  <c r="G261" i="6"/>
  <c r="G263" i="6"/>
  <c r="G287" i="6"/>
  <c r="F271" i="6"/>
  <c r="H271" i="6" s="1"/>
  <c r="G260" i="6"/>
  <c r="I260" i="6" s="1"/>
  <c r="G282" i="6"/>
  <c r="G269" i="6"/>
  <c r="G277" i="6"/>
  <c r="F278" i="6"/>
  <c r="H278" i="6" s="1"/>
  <c r="F270" i="6"/>
  <c r="H270" i="6" s="1"/>
  <c r="I270" i="6"/>
  <c r="F277" i="6"/>
  <c r="H277" i="6"/>
  <c r="I277" i="6" s="1"/>
  <c r="F266" i="6"/>
  <c r="H266" i="6"/>
  <c r="G264" i="6"/>
  <c r="G268" i="6"/>
  <c r="F273" i="6"/>
  <c r="H273" i="6"/>
  <c r="F262" i="6"/>
  <c r="H262" i="6"/>
  <c r="F284" i="6"/>
  <c r="H284" i="6"/>
  <c r="I284" i="6" s="1"/>
  <c r="G267" i="6"/>
  <c r="G279" i="6"/>
  <c r="F268" i="6"/>
  <c r="H268" i="6" s="1"/>
  <c r="I268" i="6"/>
  <c r="G283" i="6"/>
  <c r="F274" i="6"/>
  <c r="H274" i="6" s="1"/>
  <c r="I274" i="6" s="1"/>
  <c r="G265" i="6"/>
  <c r="G262" i="6"/>
  <c r="F283" i="6"/>
  <c r="H283" i="6"/>
  <c r="I283" i="6" s="1"/>
  <c r="G271" i="6"/>
  <c r="G274" i="6"/>
  <c r="F269" i="6"/>
  <c r="H269" i="6" s="1"/>
  <c r="I269" i="6" s="1"/>
  <c r="G276" i="6"/>
  <c r="G266" i="6"/>
  <c r="F282" i="6"/>
  <c r="H282" i="6"/>
  <c r="G278" i="6"/>
  <c r="F267" i="6"/>
  <c r="H267" i="6" s="1"/>
  <c r="G286" i="6"/>
  <c r="G272" i="6"/>
  <c r="F275" i="6"/>
  <c r="H275" i="6" s="1"/>
  <c r="I275" i="6" s="1"/>
  <c r="G281" i="6"/>
  <c r="G273" i="6"/>
  <c r="F95" i="6"/>
  <c r="H95" i="6"/>
  <c r="I95" i="6" s="1"/>
  <c r="G89" i="6"/>
  <c r="F85" i="6"/>
  <c r="H85" i="6"/>
  <c r="I85" i="6" s="1"/>
  <c r="G116" i="6"/>
  <c r="G73" i="6"/>
  <c r="G41" i="6"/>
  <c r="G88" i="6"/>
  <c r="G292" i="6"/>
  <c r="F112" i="6"/>
  <c r="H112" i="6"/>
  <c r="I112" i="6" s="1"/>
  <c r="F103" i="6"/>
  <c r="H103" i="6" s="1"/>
  <c r="I103" i="6" s="1"/>
  <c r="G125" i="6"/>
  <c r="G119" i="6"/>
  <c r="F126" i="6"/>
  <c r="H126" i="6"/>
  <c r="I126" i="6" s="1"/>
  <c r="F127" i="6"/>
  <c r="H127" i="6" s="1"/>
  <c r="I127" i="6" s="1"/>
  <c r="F84" i="6"/>
  <c r="H84" i="6"/>
  <c r="F63" i="6"/>
  <c r="H63" i="6" s="1"/>
  <c r="I63" i="6" s="1"/>
  <c r="F40" i="6"/>
  <c r="H40" i="6"/>
  <c r="I40" i="6" s="1"/>
  <c r="G53" i="6"/>
  <c r="F130" i="6"/>
  <c r="H130" i="6"/>
  <c r="I130" i="6" s="1"/>
  <c r="I341" i="6"/>
  <c r="I342" i="6"/>
  <c r="G101" i="6"/>
  <c r="F92" i="6"/>
  <c r="H92" i="6" s="1"/>
  <c r="I92" i="6" s="1"/>
  <c r="F101" i="6"/>
  <c r="H101" i="6"/>
  <c r="I101" i="6" s="1"/>
  <c r="F97" i="6"/>
  <c r="H97" i="6" s="1"/>
  <c r="I97" i="6" s="1"/>
  <c r="I180" i="6"/>
  <c r="G94" i="6"/>
  <c r="Y47" i="6"/>
  <c r="X49" i="6"/>
  <c r="X52" i="6"/>
  <c r="Z45" i="6"/>
  <c r="Z51" i="6"/>
  <c r="AH22" i="6"/>
  <c r="AH21" i="6"/>
  <c r="F302" i="6"/>
  <c r="H302" i="6"/>
  <c r="G290" i="6"/>
  <c r="F298" i="6"/>
  <c r="H298" i="6" s="1"/>
  <c r="I298" i="6" s="1"/>
  <c r="F300" i="6"/>
  <c r="H300" i="6" s="1"/>
  <c r="G305" i="6"/>
  <c r="G304" i="6"/>
  <c r="G294" i="6"/>
  <c r="G315" i="6"/>
  <c r="G299" i="6"/>
  <c r="F304" i="6"/>
  <c r="H304" i="6"/>
  <c r="I304" i="6" s="1"/>
  <c r="F292" i="6"/>
  <c r="H292" i="6" s="1"/>
  <c r="I292" i="6" s="1"/>
  <c r="F312" i="6"/>
  <c r="H312" i="6"/>
  <c r="G307" i="6"/>
  <c r="G308" i="6"/>
  <c r="F293" i="6"/>
  <c r="H293" i="6"/>
  <c r="I293" i="6" s="1"/>
  <c r="G291" i="6"/>
  <c r="G289" i="6"/>
  <c r="F314" i="6"/>
  <c r="H314" i="6" s="1"/>
  <c r="G297" i="6"/>
  <c r="F301" i="6"/>
  <c r="H301" i="6"/>
  <c r="F309" i="6"/>
  <c r="H309" i="6"/>
  <c r="G310" i="6"/>
  <c r="F296" i="6"/>
  <c r="H296" i="6" s="1"/>
  <c r="I296" i="6" s="1"/>
  <c r="F291" i="6"/>
  <c r="H291" i="6" s="1"/>
  <c r="I291" i="6" s="1"/>
  <c r="F313" i="6"/>
  <c r="H313" i="6"/>
  <c r="G298" i="6"/>
  <c r="G314" i="6"/>
  <c r="G309" i="6"/>
  <c r="F315" i="6"/>
  <c r="H315" i="6" s="1"/>
  <c r="I315" i="6" s="1"/>
  <c r="F310" i="6"/>
  <c r="H310" i="6" s="1"/>
  <c r="I310" i="6" s="1"/>
  <c r="G301" i="6"/>
  <c r="G311" i="6"/>
  <c r="G302" i="6"/>
  <c r="F297" i="6"/>
  <c r="H297" i="6" s="1"/>
  <c r="F288" i="6"/>
  <c r="H288" i="6" s="1"/>
  <c r="I288" i="6" s="1"/>
  <c r="F307" i="6"/>
  <c r="H307" i="6" s="1"/>
  <c r="I307" i="6" s="1"/>
  <c r="G293" i="6"/>
  <c r="G288" i="6"/>
  <c r="G313" i="6"/>
  <c r="F299" i="6"/>
  <c r="H299" i="6"/>
  <c r="F303" i="6"/>
  <c r="H303" i="6"/>
  <c r="I303" i="6" s="1"/>
  <c r="G295" i="6"/>
  <c r="F295" i="6"/>
  <c r="H295" i="6" s="1"/>
  <c r="I295" i="6" s="1"/>
  <c r="G296" i="6"/>
  <c r="G312" i="6"/>
  <c r="F311" i="6"/>
  <c r="H311" i="6" s="1"/>
  <c r="I311" i="6" s="1"/>
  <c r="F308" i="6"/>
  <c r="H308" i="6"/>
  <c r="I308" i="6" s="1"/>
  <c r="G300" i="6"/>
  <c r="AD21" i="6"/>
  <c r="AD22" i="6"/>
  <c r="F258" i="6"/>
  <c r="H258" i="6" s="1"/>
  <c r="I258" i="6" s="1"/>
  <c r="G235" i="6"/>
  <c r="F237" i="6"/>
  <c r="H237" i="6"/>
  <c r="F234" i="6"/>
  <c r="H234" i="6"/>
  <c r="I234" i="6" s="1"/>
  <c r="G258" i="6"/>
  <c r="F249" i="6"/>
  <c r="H249" i="6"/>
  <c r="F235" i="6"/>
  <c r="H235" i="6"/>
  <c r="G256" i="6"/>
  <c r="G236" i="6"/>
  <c r="G241" i="6"/>
  <c r="G253" i="6"/>
  <c r="F247" i="6"/>
  <c r="H247" i="6"/>
  <c r="I247" i="6" s="1"/>
  <c r="F242" i="6"/>
  <c r="H242" i="6" s="1"/>
  <c r="F246" i="6"/>
  <c r="H246" i="6" s="1"/>
  <c r="I246" i="6" s="1"/>
  <c r="F254" i="6"/>
  <c r="H254" i="6" s="1"/>
  <c r="I254" i="6" s="1"/>
  <c r="F236" i="6"/>
  <c r="H236" i="6" s="1"/>
  <c r="I236" i="6" s="1"/>
  <c r="F253" i="6"/>
  <c r="H253" i="6"/>
  <c r="I253" i="6" s="1"/>
  <c r="F256" i="6"/>
  <c r="H256" i="6" s="1"/>
  <c r="I256" i="6" s="1"/>
  <c r="G244" i="6"/>
  <c r="G251" i="6"/>
  <c r="F238" i="6"/>
  <c r="H238" i="6"/>
  <c r="G246" i="6"/>
  <c r="G243" i="6"/>
  <c r="G238" i="6"/>
  <c r="G259" i="6"/>
  <c r="F259" i="6"/>
  <c r="H259" i="6"/>
  <c r="I259" i="6" s="1"/>
  <c r="G233" i="6"/>
  <c r="G237" i="6"/>
  <c r="F251" i="6"/>
  <c r="H251" i="6" s="1"/>
  <c r="I251" i="6" s="1"/>
  <c r="G250" i="6"/>
  <c r="F248" i="6"/>
  <c r="H248" i="6"/>
  <c r="G249" i="6"/>
  <c r="G247" i="6"/>
  <c r="F240" i="6"/>
  <c r="H240" i="6"/>
  <c r="I240" i="6" s="1"/>
  <c r="F257" i="6"/>
  <c r="H257" i="6" s="1"/>
  <c r="I257" i="6" s="1"/>
  <c r="G242" i="6"/>
  <c r="G240" i="6"/>
  <c r="G248" i="6"/>
  <c r="F252" i="6"/>
  <c r="H252" i="6"/>
  <c r="F250" i="6"/>
  <c r="H250" i="6"/>
  <c r="I250" i="6" s="1"/>
  <c r="G257" i="6"/>
  <c r="F245" i="6"/>
  <c r="H245" i="6"/>
  <c r="F241" i="6"/>
  <c r="H241" i="6"/>
  <c r="F243" i="6"/>
  <c r="H243" i="6"/>
  <c r="I243" i="6" s="1"/>
  <c r="G239" i="6"/>
  <c r="F244" i="6"/>
  <c r="H244" i="6"/>
  <c r="I244" i="6" s="1"/>
  <c r="G234" i="6"/>
  <c r="G245" i="6"/>
  <c r="G232" i="6"/>
  <c r="G255" i="6"/>
  <c r="F255" i="6"/>
  <c r="H255" i="6" s="1"/>
  <c r="I255" i="6" s="1"/>
  <c r="F232" i="6"/>
  <c r="H232" i="6" s="1"/>
  <c r="I232" i="6" s="1"/>
  <c r="G252" i="6"/>
  <c r="F233" i="6"/>
  <c r="H233" i="6" s="1"/>
  <c r="I233" i="6" s="1"/>
  <c r="F239" i="6"/>
  <c r="H239" i="6"/>
  <c r="I239" i="6" s="1"/>
  <c r="S30" i="6"/>
  <c r="S36" i="6"/>
  <c r="Q34" i="6"/>
  <c r="Q37" i="6"/>
  <c r="R32" i="6"/>
  <c r="R37" i="6"/>
  <c r="Q30" i="6"/>
  <c r="Q36" i="6"/>
  <c r="P32" i="6"/>
  <c r="P37" i="6"/>
  <c r="O34" i="6"/>
  <c r="N30" i="6"/>
  <c r="N36" i="6"/>
  <c r="M32" i="6"/>
  <c r="M37" i="6"/>
  <c r="L28" i="6"/>
  <c r="M30" i="6"/>
  <c r="M52" i="6"/>
  <c r="AU34" i="6"/>
  <c r="AW34" i="6" s="1"/>
  <c r="AX34" i="6" s="1"/>
  <c r="AV32" i="6"/>
  <c r="AU15" i="6"/>
  <c r="AV28" i="6"/>
  <c r="AU20" i="6"/>
  <c r="AW20" i="6"/>
  <c r="AU18" i="6"/>
  <c r="AW18" i="6"/>
  <c r="AX18" i="6" s="1"/>
  <c r="AV35" i="6"/>
  <c r="AV19" i="6"/>
  <c r="AV23" i="6"/>
  <c r="AU33" i="6"/>
  <c r="AW33" i="6" s="1"/>
  <c r="AX33" i="6" s="1"/>
  <c r="AU22" i="6"/>
  <c r="AW22" i="6"/>
  <c r="AU16" i="6"/>
  <c r="AW16" i="6"/>
  <c r="AX16" i="6" s="1"/>
  <c r="AV22" i="6"/>
  <c r="AU32" i="6"/>
  <c r="AW32" i="6"/>
  <c r="AX32" i="6" s="1"/>
  <c r="AV34" i="6"/>
  <c r="AV17" i="6"/>
  <c r="AV21" i="6"/>
  <c r="AV15" i="6"/>
  <c r="AV26" i="6"/>
  <c r="AV25" i="6"/>
  <c r="AV33" i="6"/>
  <c r="AU35" i="6"/>
  <c r="AW35" i="6"/>
  <c r="AX35" i="6" s="1"/>
  <c r="AU29" i="6"/>
  <c r="AW29" i="6" s="1"/>
  <c r="AX29" i="6" s="1"/>
  <c r="AU28" i="6"/>
  <c r="AW28" i="6" s="1"/>
  <c r="AX28" i="6" s="1"/>
  <c r="AU27" i="6"/>
  <c r="AW27" i="6"/>
  <c r="AU26" i="6"/>
  <c r="AW26" i="6"/>
  <c r="AX26" i="6" s="1"/>
  <c r="AV24" i="6"/>
  <c r="AU25" i="6"/>
  <c r="AW25" i="6"/>
  <c r="AX25" i="6" s="1"/>
  <c r="AU24" i="6"/>
  <c r="AW24" i="6" s="1"/>
  <c r="AX24" i="6" s="1"/>
  <c r="AV20" i="6"/>
  <c r="AU21" i="6"/>
  <c r="AW21" i="6" s="1"/>
  <c r="AX21" i="6" s="1"/>
  <c r="AU19" i="6"/>
  <c r="AW19" i="6"/>
  <c r="AX19" i="6" s="1"/>
  <c r="AV27" i="6"/>
  <c r="AU31" i="6"/>
  <c r="AW31" i="6"/>
  <c r="AU30" i="6"/>
  <c r="AW30" i="6"/>
  <c r="AV31" i="6"/>
  <c r="AV16" i="6"/>
  <c r="AV29" i="6"/>
  <c r="AU23" i="6"/>
  <c r="AW23" i="6" s="1"/>
  <c r="AX23" i="6" s="1"/>
  <c r="AV30" i="6"/>
  <c r="AU17" i="6"/>
  <c r="AW17" i="6" s="1"/>
  <c r="AX17" i="6" s="1"/>
  <c r="AV18" i="6"/>
  <c r="M51" i="6"/>
  <c r="Y36" i="6"/>
  <c r="V36" i="6"/>
  <c r="AU204" i="6"/>
  <c r="AW204" i="6" s="1"/>
  <c r="AU244" i="6"/>
  <c r="AW244" i="6" s="1"/>
  <c r="AX244" i="6" s="1"/>
  <c r="AU215" i="6"/>
  <c r="AW215" i="6" s="1"/>
  <c r="AX215" i="6" s="1"/>
  <c r="AV244" i="6"/>
  <c r="AV224" i="6"/>
  <c r="AU243" i="6"/>
  <c r="AW243" i="6"/>
  <c r="AX243" i="6" s="1"/>
  <c r="AV205" i="6"/>
  <c r="AU249" i="6"/>
  <c r="AW249" i="6"/>
  <c r="AU236" i="6"/>
  <c r="AW236" i="6"/>
  <c r="AX236" i="6" s="1"/>
  <c r="AV216" i="6"/>
  <c r="AU209" i="6"/>
  <c r="AW209" i="6"/>
  <c r="AU221" i="6"/>
  <c r="AW221" i="6"/>
  <c r="AX221" i="6" s="1"/>
  <c r="AU213" i="6"/>
  <c r="AW213" i="6"/>
  <c r="AX213" i="6" s="1"/>
  <c r="AV238" i="6"/>
  <c r="AV228" i="6"/>
  <c r="AU257" i="6"/>
  <c r="AW257" i="6" s="1"/>
  <c r="AX257" i="6" s="1"/>
  <c r="AV258" i="6"/>
  <c r="AX258" i="6" s="1"/>
  <c r="AV206" i="6"/>
  <c r="AV240" i="6"/>
  <c r="AV249" i="6"/>
  <c r="AV235" i="6"/>
  <c r="AU248" i="6"/>
  <c r="AW248" i="6" s="1"/>
  <c r="AX248" i="6" s="1"/>
  <c r="AV246" i="6"/>
  <c r="U51" i="6"/>
  <c r="U52" i="6"/>
  <c r="AU239" i="6"/>
  <c r="AW239" i="6"/>
  <c r="AX239" i="6" s="1"/>
  <c r="AV231" i="6"/>
  <c r="AV204" i="6"/>
  <c r="AU246" i="6"/>
  <c r="AW246" i="6"/>
  <c r="AX246" i="6" s="1"/>
  <c r="AU224" i="6"/>
  <c r="AW224" i="6" s="1"/>
  <c r="AX224" i="6" s="1"/>
  <c r="AV239" i="6"/>
  <c r="AU245" i="6"/>
  <c r="AW245" i="6"/>
  <c r="AX245" i="6" s="1"/>
  <c r="AV257" i="6"/>
  <c r="AU206" i="6"/>
  <c r="AW206" i="6" s="1"/>
  <c r="AX206" i="6" s="1"/>
  <c r="AV241" i="6"/>
  <c r="AU219" i="6"/>
  <c r="AW219" i="6" s="1"/>
  <c r="AX219" i="6" s="1"/>
  <c r="AV252" i="6"/>
  <c r="AU241" i="6"/>
  <c r="AW241" i="6"/>
  <c r="AX241" i="6" s="1"/>
  <c r="AU228" i="6"/>
  <c r="AW228" i="6"/>
  <c r="AX228" i="6" s="1"/>
  <c r="AV255" i="6"/>
  <c r="AV211" i="6"/>
  <c r="AU220" i="6"/>
  <c r="AW220" i="6" s="1"/>
  <c r="AX220" i="6" s="1"/>
  <c r="AU205" i="6"/>
  <c r="AW205" i="6"/>
  <c r="AX205" i="6" s="1"/>
  <c r="AU247" i="6"/>
  <c r="AW247" i="6" s="1"/>
  <c r="AX247" i="6" s="1"/>
  <c r="AV232" i="6"/>
  <c r="AV245" i="6"/>
  <c r="AV217" i="6"/>
  <c r="AU208" i="6"/>
  <c r="AW208" i="6" s="1"/>
  <c r="AX208" i="6" s="1"/>
  <c r="AU233" i="6"/>
  <c r="AW233" i="6"/>
  <c r="AU232" i="6"/>
  <c r="AW232" i="6"/>
  <c r="AU229" i="6"/>
  <c r="AW229" i="6"/>
  <c r="AV248" i="6"/>
  <c r="AU210" i="6"/>
  <c r="AW210" i="6" s="1"/>
  <c r="AX210" i="6" s="1"/>
  <c r="AV212" i="6"/>
  <c r="AU217" i="6"/>
  <c r="AW217" i="6" s="1"/>
  <c r="AX217" i="6" s="1"/>
  <c r="AU214" i="6"/>
  <c r="AW214" i="6"/>
  <c r="AX214" i="6" s="1"/>
  <c r="AU253" i="6"/>
  <c r="AW253" i="6" s="1"/>
  <c r="AX253" i="6" s="1"/>
  <c r="AV230" i="6"/>
  <c r="AV209" i="6"/>
  <c r="AU252" i="6"/>
  <c r="AW252" i="6"/>
  <c r="AX252" i="6" s="1"/>
  <c r="AU231" i="6"/>
  <c r="AW231" i="6"/>
  <c r="AX231" i="6" s="1"/>
  <c r="AV221" i="6"/>
  <c r="AV229" i="6"/>
  <c r="AV233" i="6"/>
  <c r="AV207" i="6"/>
  <c r="AV226" i="6"/>
  <c r="AU251" i="6"/>
  <c r="AW251" i="6"/>
  <c r="AX251" i="6" s="1"/>
  <c r="AV259" i="6"/>
  <c r="AX259" i="6" s="1"/>
  <c r="AV218" i="6"/>
  <c r="AU237" i="6"/>
  <c r="AW237" i="6" s="1"/>
  <c r="AX237" i="6" s="1"/>
  <c r="AU256" i="6"/>
  <c r="AW256" i="6"/>
  <c r="AV223" i="6"/>
  <c r="AU223" i="6"/>
  <c r="AW223" i="6" s="1"/>
  <c r="AX223" i="6" s="1"/>
  <c r="AU227" i="6"/>
  <c r="AW227" i="6" s="1"/>
  <c r="AX227" i="6" s="1"/>
  <c r="AV234" i="6"/>
  <c r="AV219" i="6"/>
  <c r="AV250" i="6"/>
  <c r="AX250" i="6" s="1"/>
  <c r="AU216" i="6"/>
  <c r="AW216" i="6"/>
  <c r="AX216" i="6" s="1"/>
  <c r="AV227" i="6"/>
  <c r="AU235" i="6"/>
  <c r="AW235" i="6"/>
  <c r="AX235" i="6" s="1"/>
  <c r="AV256" i="6"/>
  <c r="AX372" i="6"/>
  <c r="G254" i="6"/>
  <c r="G52" i="6"/>
  <c r="I52" i="6" s="1"/>
  <c r="F73" i="6"/>
  <c r="H73" i="6"/>
  <c r="I73" i="6" s="1"/>
  <c r="G81" i="6"/>
  <c r="F81" i="6"/>
  <c r="H81" i="6"/>
  <c r="F39" i="6"/>
  <c r="H39" i="6"/>
  <c r="I39" i="6" s="1"/>
  <c r="F57" i="6"/>
  <c r="H57" i="6" s="1"/>
  <c r="I57" i="6" s="1"/>
  <c r="G306" i="6"/>
  <c r="F290" i="6"/>
  <c r="H290" i="6" s="1"/>
  <c r="I290" i="6" s="1"/>
  <c r="G303" i="6"/>
  <c r="F306" i="6"/>
  <c r="H306" i="6"/>
  <c r="I306" i="6" s="1"/>
  <c r="F294" i="6"/>
  <c r="H294" i="6"/>
  <c r="I294" i="6" s="1"/>
  <c r="G98" i="6"/>
  <c r="G129" i="6"/>
  <c r="F129" i="6"/>
  <c r="H129" i="6" s="1"/>
  <c r="I129" i="6" s="1"/>
  <c r="F98" i="6"/>
  <c r="H98" i="6" s="1"/>
  <c r="I98" i="6" s="1"/>
  <c r="G100" i="6"/>
  <c r="F88" i="6"/>
  <c r="H88" i="6" s="1"/>
  <c r="I88" i="6" s="1"/>
  <c r="F49" i="6"/>
  <c r="H49" i="6"/>
  <c r="I49" i="6" s="1"/>
  <c r="G39" i="6"/>
  <c r="G56" i="6"/>
  <c r="G131" i="6"/>
  <c r="F121" i="6"/>
  <c r="H121" i="6" s="1"/>
  <c r="I121" i="6" s="1"/>
  <c r="G104" i="6"/>
  <c r="G38" i="6"/>
  <c r="F43" i="6"/>
  <c r="H43" i="6"/>
  <c r="I43" i="6" s="1"/>
  <c r="G46" i="6"/>
  <c r="I318" i="6"/>
  <c r="F305" i="6"/>
  <c r="H305" i="6" s="1"/>
  <c r="I305" i="6" s="1"/>
  <c r="F100" i="6"/>
  <c r="H100" i="6"/>
  <c r="I100" i="6" s="1"/>
  <c r="G123" i="6"/>
  <c r="G93" i="6"/>
  <c r="F102" i="6"/>
  <c r="H102" i="6" s="1"/>
  <c r="I102" i="6" s="1"/>
  <c r="I175" i="6"/>
  <c r="I16" i="6"/>
  <c r="I23" i="6"/>
  <c r="G12" i="6"/>
  <c r="AX232" i="6"/>
  <c r="I309" i="6"/>
  <c r="AX242" i="6"/>
  <c r="I59" i="6"/>
  <c r="I45" i="6"/>
  <c r="I76" i="6"/>
  <c r="I66" i="6"/>
  <c r="I120" i="6"/>
  <c r="I128" i="6"/>
  <c r="F12" i="6"/>
  <c r="AX249" i="6"/>
  <c r="AX31" i="6"/>
  <c r="I245" i="6"/>
  <c r="I249" i="6"/>
  <c r="I313" i="6"/>
  <c r="I302" i="6"/>
  <c r="R36" i="6"/>
  <c r="I267" i="6"/>
  <c r="I282" i="6"/>
  <c r="I273" i="6"/>
  <c r="I278" i="6"/>
  <c r="I281" i="6"/>
  <c r="I276" i="6"/>
  <c r="I264" i="6"/>
  <c r="AX218" i="6"/>
  <c r="AX240" i="6"/>
  <c r="AX226" i="6"/>
  <c r="AX238" i="6"/>
  <c r="AX222" i="6"/>
  <c r="AX255" i="6"/>
  <c r="P36" i="6"/>
  <c r="I42" i="6"/>
  <c r="I58" i="6"/>
  <c r="I41" i="6"/>
  <c r="I60" i="6"/>
  <c r="I72" i="6"/>
  <c r="I79" i="6"/>
  <c r="I77" i="6"/>
  <c r="I82" i="6"/>
  <c r="I110" i="6"/>
  <c r="I133" i="6"/>
  <c r="I116" i="6"/>
  <c r="I108" i="6"/>
  <c r="I115" i="6"/>
  <c r="I104" i="6"/>
  <c r="I114" i="6"/>
  <c r="I94" i="6"/>
  <c r="T37" i="6"/>
  <c r="AP181" i="6"/>
  <c r="AR181" i="6" s="1"/>
  <c r="AS181" i="6" s="1"/>
  <c r="AQ179" i="6"/>
  <c r="AP187" i="6"/>
  <c r="AR187" i="6"/>
  <c r="AP171" i="6"/>
  <c r="AR171" i="6"/>
  <c r="AP162" i="6"/>
  <c r="AR162" i="6"/>
  <c r="AQ125" i="6"/>
  <c r="AP94" i="6"/>
  <c r="AR94" i="6" s="1"/>
  <c r="AP82" i="6"/>
  <c r="AR82" i="6" s="1"/>
  <c r="AP68" i="6"/>
  <c r="AR68" i="6" s="1"/>
  <c r="AP64" i="6"/>
  <c r="AR64" i="6" s="1"/>
  <c r="AS64" i="6" s="1"/>
  <c r="AP60" i="6"/>
  <c r="AR60" i="6" s="1"/>
  <c r="AP54" i="6"/>
  <c r="AR54" i="6" s="1"/>
  <c r="AP50" i="6"/>
  <c r="AR50" i="6" s="1"/>
  <c r="AQ81" i="6"/>
  <c r="AQ74" i="6"/>
  <c r="AQ176" i="6"/>
  <c r="AQ158" i="6"/>
  <c r="AP159" i="6"/>
  <c r="AR159" i="6"/>
  <c r="AP155" i="6"/>
  <c r="AR155" i="6"/>
  <c r="AP148" i="6"/>
  <c r="AR148" i="6"/>
  <c r="AQ96" i="6"/>
  <c r="AP43" i="6"/>
  <c r="AR43" i="6" s="1"/>
  <c r="AQ120" i="6"/>
  <c r="AP22" i="6"/>
  <c r="AR22" i="6"/>
  <c r="AP121" i="6"/>
  <c r="AR121" i="6"/>
  <c r="AS121" i="6" s="1"/>
  <c r="AP33" i="6"/>
  <c r="AR33" i="6"/>
  <c r="AS33" i="6" s="1"/>
  <c r="AQ100" i="6"/>
  <c r="AQ33" i="6"/>
  <c r="AQ103" i="6"/>
  <c r="AP127" i="6"/>
  <c r="AR127" i="6" s="1"/>
  <c r="AQ156" i="6"/>
  <c r="AP188" i="6"/>
  <c r="AR188" i="6"/>
  <c r="AQ50" i="6"/>
  <c r="AQ187" i="6"/>
  <c r="AP189" i="6"/>
  <c r="AR189" i="6"/>
  <c r="AP110" i="6"/>
  <c r="AR110" i="6"/>
  <c r="AP80" i="6"/>
  <c r="AR80" i="6"/>
  <c r="AQ95" i="6"/>
  <c r="AQ186" i="6"/>
  <c r="AP141" i="6"/>
  <c r="AR141" i="6"/>
  <c r="AP119" i="6"/>
  <c r="AR119" i="6"/>
  <c r="AQ122" i="6"/>
  <c r="AQ133" i="6"/>
  <c r="AQ159" i="6"/>
  <c r="AQ34" i="6"/>
  <c r="AP74" i="6"/>
  <c r="AR74" i="6"/>
  <c r="AS74" i="6" s="1"/>
  <c r="AP52" i="6"/>
  <c r="AR52" i="6" s="1"/>
  <c r="AS52" i="6" s="1"/>
  <c r="AP30" i="6"/>
  <c r="AR30" i="6" s="1"/>
  <c r="AP167" i="6"/>
  <c r="AR167" i="6" s="1"/>
  <c r="AQ163" i="6"/>
  <c r="AP138" i="6"/>
  <c r="AR138" i="6"/>
  <c r="AP70" i="6"/>
  <c r="AR70" i="6"/>
  <c r="AQ153" i="6"/>
  <c r="AP117" i="6"/>
  <c r="AR117" i="6" s="1"/>
  <c r="AP101" i="6"/>
  <c r="AR101" i="6" s="1"/>
  <c r="AP53" i="6"/>
  <c r="AR53" i="6" s="1"/>
  <c r="AQ45" i="6"/>
  <c r="AQ83" i="6"/>
  <c r="AQ170" i="6"/>
  <c r="AQ35" i="6"/>
  <c r="AQ87" i="6"/>
  <c r="AQ69" i="6"/>
  <c r="AQ98" i="6"/>
  <c r="AQ76" i="6"/>
  <c r="AP169" i="6"/>
  <c r="AR169" i="6" s="1"/>
  <c r="AS169" i="6" s="1"/>
  <c r="AQ188" i="6"/>
  <c r="AQ178" i="6"/>
  <c r="AP183" i="6"/>
  <c r="AR183" i="6" s="1"/>
  <c r="AP165" i="6"/>
  <c r="AR165" i="6" s="1"/>
  <c r="AQ28" i="6"/>
  <c r="AP86" i="6"/>
  <c r="AR86" i="6"/>
  <c r="AP72" i="6"/>
  <c r="AR72" i="6"/>
  <c r="AP58" i="6"/>
  <c r="AR58" i="6"/>
  <c r="AQ105" i="6"/>
  <c r="AP109" i="6"/>
  <c r="AR109" i="6" s="1"/>
  <c r="AP61" i="6"/>
  <c r="AR61" i="6" s="1"/>
  <c r="AQ68" i="6"/>
  <c r="AQ22" i="6"/>
  <c r="AQ148" i="6"/>
  <c r="AQ128" i="6"/>
  <c r="AP100" i="6"/>
  <c r="AR100" i="6" s="1"/>
  <c r="AS100" i="6"/>
  <c r="AQ146" i="6"/>
  <c r="AP143" i="6"/>
  <c r="AR143" i="6" s="1"/>
  <c r="AP75" i="6"/>
  <c r="AR75" i="6" s="1"/>
  <c r="AP173" i="6"/>
  <c r="AR173" i="6" s="1"/>
  <c r="AS173" i="6" s="1"/>
  <c r="AQ140" i="6"/>
  <c r="AP158" i="6"/>
  <c r="AR158" i="6"/>
  <c r="AS158" i="6" s="1"/>
  <c r="AQ77" i="6"/>
  <c r="AP46" i="6"/>
  <c r="AR46" i="6"/>
  <c r="AP186" i="6"/>
  <c r="AR186" i="6"/>
  <c r="AS186" i="6" s="1"/>
  <c r="AQ41" i="6"/>
  <c r="AQ42" i="6"/>
  <c r="AP93" i="6"/>
  <c r="AR93" i="6" s="1"/>
  <c r="AP77" i="6"/>
  <c r="AR77" i="6" s="1"/>
  <c r="AS77" i="6" s="1"/>
  <c r="AQ31" i="6"/>
  <c r="AP139" i="6"/>
  <c r="AR139" i="6" s="1"/>
  <c r="AQ23" i="6"/>
  <c r="AQ94" i="6"/>
  <c r="AQ110" i="6"/>
  <c r="AQ134" i="6"/>
  <c r="AQ92" i="6"/>
  <c r="AQ30" i="6"/>
  <c r="AP106" i="6"/>
  <c r="AR106" i="6" s="1"/>
  <c r="AP88" i="6"/>
  <c r="AR88" i="6" s="1"/>
  <c r="AP66" i="6"/>
  <c r="AR66" i="6" s="1"/>
  <c r="AS66" i="6" s="1"/>
  <c r="AP62" i="6"/>
  <c r="AR62" i="6" s="1"/>
  <c r="AP56" i="6"/>
  <c r="AR56" i="6" s="1"/>
  <c r="AQ113" i="6"/>
  <c r="AQ124" i="6"/>
  <c r="AQ24" i="6"/>
  <c r="AP84" i="6"/>
  <c r="AR84" i="6"/>
  <c r="AQ73" i="6"/>
  <c r="AQ184" i="6"/>
  <c r="AQ164" i="6"/>
  <c r="AP31" i="6"/>
  <c r="AR31" i="6" s="1"/>
  <c r="AS31" i="6"/>
  <c r="AQ166" i="6"/>
  <c r="AP92" i="6"/>
  <c r="AR92" i="6" s="1"/>
  <c r="AS92" i="6" s="1"/>
  <c r="AP116" i="6"/>
  <c r="AR116" i="6"/>
  <c r="AP123" i="6"/>
  <c r="AR123" i="6"/>
  <c r="AP59" i="6"/>
  <c r="AR59" i="6"/>
  <c r="AQ112" i="6"/>
  <c r="AQ52" i="6"/>
  <c r="AP39" i="6"/>
  <c r="AR39" i="6"/>
  <c r="AP37" i="6"/>
  <c r="AR37" i="6"/>
  <c r="AP177" i="6"/>
  <c r="AR177" i="6"/>
  <c r="AP132" i="6"/>
  <c r="AR132" i="6"/>
  <c r="AQ47" i="6"/>
  <c r="AP96" i="6"/>
  <c r="AR96" i="6" s="1"/>
  <c r="AS96" i="6"/>
  <c r="AP179" i="6"/>
  <c r="AR179" i="6"/>
  <c r="AS179" i="6" s="1"/>
  <c r="AP79" i="6"/>
  <c r="AR79" i="6" s="1"/>
  <c r="AQ172" i="6"/>
  <c r="AP161" i="6"/>
  <c r="AR161" i="6"/>
  <c r="AP85" i="6"/>
  <c r="AR85" i="6"/>
  <c r="AS85" i="6" s="1"/>
  <c r="AP29" i="6"/>
  <c r="AR29" i="6"/>
  <c r="AS29" i="6" s="1"/>
  <c r="AQ131" i="6"/>
  <c r="AQ67" i="6"/>
  <c r="AS67" i="6" s="1"/>
  <c r="AP128" i="6"/>
  <c r="AR128" i="6"/>
  <c r="AS128" i="6" s="1"/>
  <c r="AP95" i="6"/>
  <c r="AR95" i="6" s="1"/>
  <c r="AS95" i="6"/>
  <c r="AQ71" i="6"/>
  <c r="AQ85" i="6"/>
  <c r="AQ177" i="6"/>
  <c r="AP35" i="6"/>
  <c r="AR35" i="6" s="1"/>
  <c r="AS35" i="6" s="1"/>
  <c r="AP154" i="6"/>
  <c r="AR154" i="6"/>
  <c r="AP99" i="6"/>
  <c r="AR99" i="6"/>
  <c r="AP67" i="6"/>
  <c r="AR67" i="6"/>
  <c r="AQ171" i="6"/>
  <c r="AP170" i="6"/>
  <c r="AR170" i="6" s="1"/>
  <c r="AS170" i="6"/>
  <c r="AQ107" i="6"/>
  <c r="AP175" i="6"/>
  <c r="AR175" i="6" s="1"/>
  <c r="AP160" i="6"/>
  <c r="AR160" i="6" s="1"/>
  <c r="AQ97" i="6"/>
  <c r="AP174" i="6"/>
  <c r="AR174" i="6"/>
  <c r="AP137" i="6"/>
  <c r="AR137" i="6"/>
  <c r="AS137" i="6" s="1"/>
  <c r="AQ66" i="6"/>
  <c r="AQ40" i="6"/>
  <c r="AQ132" i="6"/>
  <c r="AP57" i="6"/>
  <c r="AR57" i="6" s="1"/>
  <c r="AQ150" i="6"/>
  <c r="AQ88" i="6"/>
  <c r="AP81" i="6"/>
  <c r="AR81" i="6" s="1"/>
  <c r="AS81" i="6"/>
  <c r="AQ75" i="6"/>
  <c r="AQ189" i="6"/>
  <c r="AQ111" i="6"/>
  <c r="AQ180" i="6"/>
  <c r="AQ119" i="6"/>
  <c r="AP34" i="6"/>
  <c r="AR34" i="6" s="1"/>
  <c r="AS34" i="6" s="1"/>
  <c r="AQ167" i="6"/>
  <c r="AQ93" i="6"/>
  <c r="AQ15" i="6"/>
  <c r="AP17" i="6"/>
  <c r="AR17" i="6" s="1"/>
  <c r="AQ90" i="6"/>
  <c r="AP151" i="6"/>
  <c r="AR151" i="6"/>
  <c r="AP131" i="6"/>
  <c r="AR131" i="6"/>
  <c r="AS131" i="6" s="1"/>
  <c r="AP32" i="6"/>
  <c r="AR32" i="6" s="1"/>
  <c r="AQ157" i="6"/>
  <c r="AQ106" i="6"/>
  <c r="AP142" i="6"/>
  <c r="AR142" i="6" s="1"/>
  <c r="AS142" i="6" s="1"/>
  <c r="AQ78" i="6"/>
  <c r="AP20" i="6"/>
  <c r="AR20" i="6"/>
  <c r="AQ160" i="6"/>
  <c r="AQ173" i="6"/>
  <c r="AP25" i="6"/>
  <c r="AR25" i="6"/>
  <c r="AQ165" i="6"/>
  <c r="AP105" i="6"/>
  <c r="AR105" i="6" s="1"/>
  <c r="AS105" i="6"/>
  <c r="AP76" i="6"/>
  <c r="AR76" i="6"/>
  <c r="AS76" i="6" s="1"/>
  <c r="AP178" i="6"/>
  <c r="AR178" i="6" s="1"/>
  <c r="AS178" i="6"/>
  <c r="AP114" i="6"/>
  <c r="AR114" i="6"/>
  <c r="AS114" i="6" s="1"/>
  <c r="AQ16" i="6"/>
  <c r="AP311" i="6"/>
  <c r="AR311" i="6" s="1"/>
  <c r="AQ304" i="6"/>
  <c r="AP338" i="6"/>
  <c r="AR338" i="6"/>
  <c r="AQ337" i="6"/>
  <c r="AQ342" i="6"/>
  <c r="AP352" i="6"/>
  <c r="AR352" i="6"/>
  <c r="AQ373" i="6"/>
  <c r="AQ340" i="6"/>
  <c r="AQ374" i="6"/>
  <c r="AP372" i="6"/>
  <c r="AR372" i="6" s="1"/>
  <c r="AQ318" i="6"/>
  <c r="AQ308" i="6"/>
  <c r="AP326" i="6"/>
  <c r="AR326" i="6" s="1"/>
  <c r="AQ305" i="6"/>
  <c r="AP349" i="6"/>
  <c r="AR349" i="6"/>
  <c r="AP353" i="6"/>
  <c r="AR353" i="6"/>
  <c r="AQ379" i="6"/>
  <c r="AQ320" i="6"/>
  <c r="AP369" i="6"/>
  <c r="AR369" i="6"/>
  <c r="AQ327" i="6"/>
  <c r="AQ380" i="6"/>
  <c r="AP330" i="6"/>
  <c r="AR330" i="6"/>
  <c r="AQ365" i="6"/>
  <c r="AQ336" i="6"/>
  <c r="AQ376" i="6"/>
  <c r="AP308" i="6"/>
  <c r="AR308" i="6" s="1"/>
  <c r="AS308" i="6"/>
  <c r="AP321" i="6"/>
  <c r="AR321" i="6"/>
  <c r="AS321" i="6" s="1"/>
  <c r="AQ378" i="6"/>
  <c r="AP358" i="6"/>
  <c r="AR358" i="6" s="1"/>
  <c r="AP343" i="6"/>
  <c r="AR343" i="6" s="1"/>
  <c r="AQ321" i="6"/>
  <c r="AQ356" i="6"/>
  <c r="AP379" i="6"/>
  <c r="AR379" i="6" s="1"/>
  <c r="AS379" i="6" s="1"/>
  <c r="AQ352" i="6"/>
  <c r="AP347" i="6"/>
  <c r="AR347" i="6" s="1"/>
  <c r="AQ351" i="6"/>
  <c r="AQ312" i="6"/>
  <c r="AP374" i="6"/>
  <c r="AR374" i="6" s="1"/>
  <c r="AS374" i="6" s="1"/>
  <c r="AQ37" i="6"/>
  <c r="AQ123" i="6"/>
  <c r="AQ48" i="6"/>
  <c r="AQ72" i="6"/>
  <c r="AP112" i="6"/>
  <c r="AR112" i="6"/>
  <c r="AS112" i="6" s="1"/>
  <c r="AP36" i="6"/>
  <c r="AR36" i="6" s="1"/>
  <c r="AP140" i="6"/>
  <c r="AR140" i="6" s="1"/>
  <c r="AS140" i="6"/>
  <c r="AP51" i="6"/>
  <c r="AR51" i="6"/>
  <c r="AS51" i="6" s="1"/>
  <c r="AP111" i="6"/>
  <c r="AR111" i="6"/>
  <c r="AS111" i="6" s="1"/>
  <c r="AP164" i="6"/>
  <c r="AR164" i="6" s="1"/>
  <c r="AS164" i="6"/>
  <c r="AQ152" i="6"/>
  <c r="AQ60" i="6"/>
  <c r="AP27" i="6"/>
  <c r="AR27" i="6"/>
  <c r="AQ86" i="6"/>
  <c r="AP182" i="6"/>
  <c r="AR182" i="6" s="1"/>
  <c r="AS182" i="6" s="1"/>
  <c r="AQ135" i="6"/>
  <c r="AQ101" i="6"/>
  <c r="AQ114" i="6"/>
  <c r="AQ27" i="6"/>
  <c r="AQ162" i="6"/>
  <c r="AQ70" i="6"/>
  <c r="AQ130" i="6"/>
  <c r="AP28" i="6"/>
  <c r="AR28" i="6"/>
  <c r="AS28" i="6" s="1"/>
  <c r="AQ99" i="6"/>
  <c r="AP63" i="6"/>
  <c r="AR63" i="6"/>
  <c r="AQ108" i="6"/>
  <c r="AQ155" i="6"/>
  <c r="AQ151" i="6"/>
  <c r="AP115" i="6"/>
  <c r="AR115" i="6" s="1"/>
  <c r="AS115" i="6" s="1"/>
  <c r="AQ21" i="6"/>
  <c r="AP41" i="6"/>
  <c r="AR41" i="6"/>
  <c r="AS41" i="6" s="1"/>
  <c r="AP42" i="6"/>
  <c r="AR42" i="6" s="1"/>
  <c r="AS42" i="6" s="1"/>
  <c r="AP65" i="6"/>
  <c r="AR65" i="6"/>
  <c r="AP83" i="6"/>
  <c r="AR83" i="6"/>
  <c r="AS83" i="6" s="1"/>
  <c r="AQ43" i="6"/>
  <c r="AS43" i="6" s="1"/>
  <c r="AQ36" i="6"/>
  <c r="AQ65" i="6"/>
  <c r="AP163" i="6"/>
  <c r="AR163" i="6"/>
  <c r="AS163" i="6" s="1"/>
  <c r="AQ49" i="6"/>
  <c r="AQ127" i="6"/>
  <c r="AP152" i="6"/>
  <c r="AR152" i="6" s="1"/>
  <c r="AS152" i="6"/>
  <c r="AP134" i="6"/>
  <c r="AR134" i="6"/>
  <c r="AS134" i="6" s="1"/>
  <c r="AQ53" i="6"/>
  <c r="AQ141" i="6"/>
  <c r="AP47" i="6"/>
  <c r="AR47" i="6" s="1"/>
  <c r="AS47" i="6"/>
  <c r="AQ18" i="6"/>
  <c r="AQ344" i="6"/>
  <c r="AP361" i="6"/>
  <c r="AR361" i="6"/>
  <c r="AP307" i="6"/>
  <c r="AR307" i="6"/>
  <c r="AS307" i="6" s="1"/>
  <c r="AP376" i="6"/>
  <c r="AR376" i="6"/>
  <c r="AS376" i="6" s="1"/>
  <c r="AP350" i="6"/>
  <c r="AR350" i="6" s="1"/>
  <c r="AQ324" i="6"/>
  <c r="AP333" i="6"/>
  <c r="AR333" i="6"/>
  <c r="AS333" i="6" s="1"/>
  <c r="AQ335" i="6"/>
  <c r="AP314" i="6"/>
  <c r="AR314" i="6" s="1"/>
  <c r="AQ339" i="6"/>
  <c r="AP339" i="6"/>
  <c r="AR339" i="6"/>
  <c r="AQ329" i="6"/>
  <c r="AP363" i="6"/>
  <c r="AR363" i="6" s="1"/>
  <c r="AQ349" i="6"/>
  <c r="AS349" i="6" s="1"/>
  <c r="AQ311" i="6"/>
  <c r="AP360" i="6"/>
  <c r="AR360" i="6" s="1"/>
  <c r="AS360" i="6" s="1"/>
  <c r="AP334" i="6"/>
  <c r="AR334" i="6" s="1"/>
  <c r="AQ307" i="6"/>
  <c r="AP310" i="6"/>
  <c r="AR310" i="6"/>
  <c r="AQ334" i="6"/>
  <c r="AP316" i="6"/>
  <c r="AR316" i="6" s="1"/>
  <c r="AS316" i="6" s="1"/>
  <c r="AQ315" i="6"/>
  <c r="AP320" i="6"/>
  <c r="AR320" i="6"/>
  <c r="AS320" i="6" s="1"/>
  <c r="AP303" i="6"/>
  <c r="AR303" i="6" s="1"/>
  <c r="AQ333" i="6"/>
  <c r="AP327" i="6"/>
  <c r="AR327" i="6"/>
  <c r="AS327" i="6" s="1"/>
  <c r="AQ357" i="6"/>
  <c r="AQ364" i="6"/>
  <c r="AP317" i="6"/>
  <c r="AR317" i="6" s="1"/>
  <c r="AP302" i="6"/>
  <c r="AR302" i="6" s="1"/>
  <c r="AQ362" i="6"/>
  <c r="AQ359" i="6"/>
  <c r="AQ372" i="6"/>
  <c r="AP380" i="6"/>
  <c r="AR380" i="6"/>
  <c r="AS380" i="6" s="1"/>
  <c r="AQ331" i="6"/>
  <c r="AP370" i="6"/>
  <c r="AR370" i="6"/>
  <c r="AQ355" i="6"/>
  <c r="AQ313" i="6"/>
  <c r="AP324" i="6"/>
  <c r="AR324" i="6"/>
  <c r="AQ174" i="6"/>
  <c r="AQ144" i="6"/>
  <c r="AQ61" i="6"/>
  <c r="AP126" i="6"/>
  <c r="AR126" i="6" s="1"/>
  <c r="AQ149" i="6"/>
  <c r="AP150" i="6"/>
  <c r="AR150" i="6"/>
  <c r="AS150" i="6" s="1"/>
  <c r="AQ54" i="6"/>
  <c r="AP135" i="6"/>
  <c r="AR135" i="6"/>
  <c r="AS135" i="6" s="1"/>
  <c r="AQ84" i="6"/>
  <c r="AS84" i="6" s="1"/>
  <c r="AQ56" i="6"/>
  <c r="AP168" i="6"/>
  <c r="AR168" i="6" s="1"/>
  <c r="AS168" i="6" s="1"/>
  <c r="AP24" i="6"/>
  <c r="AR24" i="6" s="1"/>
  <c r="AS24" i="6"/>
  <c r="AP73" i="6"/>
  <c r="AR73" i="6"/>
  <c r="AS73" i="6" s="1"/>
  <c r="AP107" i="6"/>
  <c r="AR107" i="6" s="1"/>
  <c r="AS107" i="6"/>
  <c r="AP26" i="6"/>
  <c r="AR26" i="6"/>
  <c r="AP118" i="6"/>
  <c r="AR118" i="6"/>
  <c r="AQ79" i="6"/>
  <c r="AP103" i="6"/>
  <c r="AR103" i="6" s="1"/>
  <c r="AS103" i="6" s="1"/>
  <c r="AQ109" i="6"/>
  <c r="AQ181" i="6"/>
  <c r="AP44" i="6"/>
  <c r="AR44" i="6"/>
  <c r="AQ38" i="6"/>
  <c r="AQ182" i="6"/>
  <c r="AP147" i="6"/>
  <c r="AR147" i="6"/>
  <c r="AQ143" i="6"/>
  <c r="AP98" i="6"/>
  <c r="AR98" i="6" s="1"/>
  <c r="AS98" i="6"/>
  <c r="AQ115" i="6"/>
  <c r="AQ63" i="6"/>
  <c r="AQ154" i="6"/>
  <c r="AQ91" i="6"/>
  <c r="AQ82" i="6"/>
  <c r="AQ129" i="6"/>
  <c r="AQ139" i="6"/>
  <c r="AP130" i="6"/>
  <c r="AR130" i="6" s="1"/>
  <c r="AS130" i="6" s="1"/>
  <c r="AP48" i="6"/>
  <c r="AR48" i="6"/>
  <c r="AS48" i="6" s="1"/>
  <c r="AQ29" i="6"/>
  <c r="AP122" i="6"/>
  <c r="AR122" i="6"/>
  <c r="AS122" i="6" s="1"/>
  <c r="AQ117" i="6"/>
  <c r="AP149" i="6"/>
  <c r="AR149" i="6"/>
  <c r="AQ175" i="6"/>
  <c r="AP120" i="6"/>
  <c r="AR120" i="6"/>
  <c r="AS120" i="6" s="1"/>
  <c r="AP18" i="6"/>
  <c r="AR18" i="6" s="1"/>
  <c r="AS18" i="6"/>
  <c r="AP19" i="6"/>
  <c r="AR19" i="6"/>
  <c r="AQ17" i="6"/>
  <c r="AQ19" i="6"/>
  <c r="AQ13" i="6" s="1"/>
  <c r="AQ138" i="6"/>
  <c r="AQ142" i="6"/>
  <c r="AP69" i="6"/>
  <c r="AR69" i="6"/>
  <c r="AS69" i="6" s="1"/>
  <c r="AP184" i="6"/>
  <c r="AR184" i="6" s="1"/>
  <c r="AS184" i="6"/>
  <c r="AP71" i="6"/>
  <c r="AR71" i="6"/>
  <c r="AS71" i="6" s="1"/>
  <c r="AQ59" i="6"/>
  <c r="AP49" i="6"/>
  <c r="AR49" i="6"/>
  <c r="AS49" i="6" s="1"/>
  <c r="AQ39" i="6"/>
  <c r="AS39" i="6" s="1"/>
  <c r="AQ20" i="6"/>
  <c r="AQ183" i="6"/>
  <c r="AP38" i="6"/>
  <c r="AR38" i="6"/>
  <c r="AS38" i="6" s="1"/>
  <c r="AP133" i="6"/>
  <c r="AR133" i="6" s="1"/>
  <c r="AS133" i="6"/>
  <c r="AP146" i="6"/>
  <c r="AR146" i="6"/>
  <c r="AS146" i="6" s="1"/>
  <c r="AP78" i="6"/>
  <c r="AR78" i="6" s="1"/>
  <c r="AS78" i="6"/>
  <c r="AP55" i="6"/>
  <c r="AR55" i="6"/>
  <c r="AP45" i="6"/>
  <c r="AR45" i="6"/>
  <c r="AS45" i="6" s="1"/>
  <c r="AP23" i="6"/>
  <c r="AR23" i="6" s="1"/>
  <c r="AS23" i="6"/>
  <c r="AQ44" i="6"/>
  <c r="AP40" i="6"/>
  <c r="AR40" i="6" s="1"/>
  <c r="AS40" i="6" s="1"/>
  <c r="AQ319" i="6"/>
  <c r="AP329" i="6"/>
  <c r="AR329" i="6" s="1"/>
  <c r="AS329" i="6"/>
  <c r="AQ348" i="6"/>
  <c r="AP368" i="6"/>
  <c r="AR368" i="6" s="1"/>
  <c r="AS368" i="6" s="1"/>
  <c r="AP331" i="6"/>
  <c r="AR331" i="6" s="1"/>
  <c r="AS331" i="6"/>
  <c r="AQ346" i="6"/>
  <c r="AQ363" i="6"/>
  <c r="AQ328" i="6"/>
  <c r="AP328" i="6"/>
  <c r="AR328" i="6" s="1"/>
  <c r="AS328" i="6" s="1"/>
  <c r="AP325" i="6"/>
  <c r="AR325" i="6"/>
  <c r="AP306" i="6"/>
  <c r="AR306" i="6"/>
  <c r="AQ302" i="6"/>
  <c r="AQ360" i="6"/>
  <c r="AP313" i="6"/>
  <c r="AR313" i="6"/>
  <c r="AS313" i="6" s="1"/>
  <c r="AQ326" i="6"/>
  <c r="AQ347" i="6"/>
  <c r="AP340" i="6"/>
  <c r="AR340" i="6" s="1"/>
  <c r="AS340" i="6" s="1"/>
  <c r="AP377" i="6"/>
  <c r="AR377" i="6"/>
  <c r="AP359" i="6"/>
  <c r="AR359" i="6"/>
  <c r="AS359" i="6" s="1"/>
  <c r="AP323" i="6"/>
  <c r="AR323" i="6" s="1"/>
  <c r="AP335" i="6"/>
  <c r="AR335" i="6" s="1"/>
  <c r="AS335" i="6"/>
  <c r="AQ322" i="6"/>
  <c r="AQ367" i="6"/>
  <c r="AP336" i="6"/>
  <c r="AR336" i="6"/>
  <c r="AS336" i="6" s="1"/>
  <c r="AQ310" i="6"/>
  <c r="AP346" i="6"/>
  <c r="AR346" i="6"/>
  <c r="AS346" i="6" s="1"/>
  <c r="AQ338" i="6"/>
  <c r="AS338" i="6" s="1"/>
  <c r="AP365" i="6"/>
  <c r="AR365" i="6"/>
  <c r="AS365" i="6" s="1"/>
  <c r="AQ332" i="6"/>
  <c r="AP315" i="6"/>
  <c r="AR315" i="6"/>
  <c r="AS315" i="6" s="1"/>
  <c r="AP354" i="6"/>
  <c r="AR354" i="6" s="1"/>
  <c r="AP348" i="6"/>
  <c r="AR348" i="6" s="1"/>
  <c r="AS348" i="6"/>
  <c r="AP342" i="6"/>
  <c r="AR342" i="6"/>
  <c r="AS342" i="6" s="1"/>
  <c r="AQ330" i="6"/>
  <c r="AQ314" i="6"/>
  <c r="AP344" i="6"/>
  <c r="AR344" i="6" s="1"/>
  <c r="AS344" i="6"/>
  <c r="AP355" i="6"/>
  <c r="AR355" i="6"/>
  <c r="AS355" i="6" s="1"/>
  <c r="AP305" i="6"/>
  <c r="AR305" i="6" s="1"/>
  <c r="AS305" i="6"/>
  <c r="AQ361" i="6"/>
  <c r="AP367" i="6"/>
  <c r="AR367" i="6" s="1"/>
  <c r="AS367" i="6" s="1"/>
  <c r="AQ368" i="6"/>
  <c r="AP332" i="6"/>
  <c r="AR332" i="6"/>
  <c r="AP108" i="6"/>
  <c r="AR108" i="6"/>
  <c r="AS108" i="6" s="1"/>
  <c r="AP91" i="6"/>
  <c r="AR91" i="6" s="1"/>
  <c r="AS91" i="6" s="1"/>
  <c r="AQ62" i="6"/>
  <c r="AP113" i="6"/>
  <c r="AR113" i="6" s="1"/>
  <c r="AS113" i="6"/>
  <c r="AP136" i="6"/>
  <c r="AR136" i="6"/>
  <c r="AS136" i="6" s="1"/>
  <c r="AQ104" i="6"/>
  <c r="AP153" i="6"/>
  <c r="AR153" i="6" s="1"/>
  <c r="AS153" i="6" s="1"/>
  <c r="AQ46" i="6"/>
  <c r="AP180" i="6"/>
  <c r="AR180" i="6" s="1"/>
  <c r="AS180" i="6"/>
  <c r="AQ32" i="6"/>
  <c r="AQ89" i="6"/>
  <c r="AQ136" i="6"/>
  <c r="AQ26" i="6"/>
  <c r="AP176" i="6"/>
  <c r="AR176" i="6"/>
  <c r="AS176" i="6" s="1"/>
  <c r="AQ169" i="6"/>
  <c r="AP87" i="6"/>
  <c r="AR87" i="6"/>
  <c r="AQ55" i="6"/>
  <c r="AQ80" i="6"/>
  <c r="AQ57" i="6"/>
  <c r="AQ161" i="6"/>
  <c r="AQ64" i="6"/>
  <c r="AQ25" i="6"/>
  <c r="AP89" i="6"/>
  <c r="AR89" i="6" s="1"/>
  <c r="AS89" i="6" s="1"/>
  <c r="AP104" i="6"/>
  <c r="AR104" i="6"/>
  <c r="AS104" i="6" s="1"/>
  <c r="AQ168" i="6"/>
  <c r="AP97" i="6"/>
  <c r="AR97" i="6"/>
  <c r="AS97" i="6" s="1"/>
  <c r="AP157" i="6"/>
  <c r="AR157" i="6" s="1"/>
  <c r="AS157" i="6"/>
  <c r="AP16" i="6"/>
  <c r="AR16" i="6"/>
  <c r="AS16" i="6" s="1"/>
  <c r="AP185" i="6"/>
  <c r="AR185" i="6" s="1"/>
  <c r="AP156" i="6"/>
  <c r="AR156" i="6" s="1"/>
  <c r="AS156" i="6" s="1"/>
  <c r="AQ137" i="6"/>
  <c r="AP145" i="6"/>
  <c r="AR145" i="6" s="1"/>
  <c r="AP102" i="6"/>
  <c r="AR102" i="6" s="1"/>
  <c r="AS102" i="6" s="1"/>
  <c r="AQ121" i="6"/>
  <c r="AQ116" i="6"/>
  <c r="AQ145" i="6"/>
  <c r="AQ126" i="6"/>
  <c r="AQ185" i="6"/>
  <c r="AQ118" i="6"/>
  <c r="AP166" i="6"/>
  <c r="AR166" i="6" s="1"/>
  <c r="AS166" i="6"/>
  <c r="AP124" i="6"/>
  <c r="AR124" i="6"/>
  <c r="AS124" i="6" s="1"/>
  <c r="AP90" i="6"/>
  <c r="AR90" i="6" s="1"/>
  <c r="AS90" i="6"/>
  <c r="AP15" i="6"/>
  <c r="AQ58" i="6"/>
  <c r="AP144" i="6"/>
  <c r="AR144" i="6"/>
  <c r="AS144" i="6" s="1"/>
  <c r="AQ51" i="6"/>
  <c r="AP125" i="6"/>
  <c r="AR125" i="6"/>
  <c r="AS125" i="6" s="1"/>
  <c r="AP172" i="6"/>
  <c r="AR172" i="6" s="1"/>
  <c r="AS172" i="6" s="1"/>
  <c r="AQ102" i="6"/>
  <c r="AP129" i="6"/>
  <c r="AR129" i="6" s="1"/>
  <c r="AS129" i="6"/>
  <c r="AQ147" i="6"/>
  <c r="AP21" i="6"/>
  <c r="AR21" i="6" s="1"/>
  <c r="AS21" i="6" s="1"/>
  <c r="AP318" i="6"/>
  <c r="AR318" i="6"/>
  <c r="AQ345" i="6"/>
  <c r="AP341" i="6"/>
  <c r="AR341" i="6"/>
  <c r="AS341" i="6" s="1"/>
  <c r="AP366" i="6"/>
  <c r="AR366" i="6"/>
  <c r="AS366" i="6" s="1"/>
  <c r="AP362" i="6"/>
  <c r="AR362" i="6"/>
  <c r="AS362" i="6" s="1"/>
  <c r="AQ309" i="6"/>
  <c r="AQ306" i="6"/>
  <c r="AP351" i="6"/>
  <c r="AR351" i="6" s="1"/>
  <c r="AS351" i="6"/>
  <c r="AP373" i="6"/>
  <c r="AR373" i="6"/>
  <c r="AS373" i="6" s="1"/>
  <c r="AQ325" i="6"/>
  <c r="AQ371" i="6"/>
  <c r="AQ317" i="6"/>
  <c r="AQ354" i="6"/>
  <c r="AQ377" i="6"/>
  <c r="AP357" i="6"/>
  <c r="AR357" i="6"/>
  <c r="AQ369" i="6"/>
  <c r="AQ366" i="6"/>
  <c r="AP319" i="6"/>
  <c r="AR319" i="6" s="1"/>
  <c r="AS319" i="6" s="1"/>
  <c r="AP337" i="6"/>
  <c r="AR337" i="6"/>
  <c r="AS337" i="6" s="1"/>
  <c r="AP378" i="6"/>
  <c r="AR378" i="6" s="1"/>
  <c r="AS378" i="6" s="1"/>
  <c r="AP309" i="6"/>
  <c r="AR309" i="6"/>
  <c r="AP312" i="6"/>
  <c r="AR312" i="6"/>
  <c r="AS312" i="6" s="1"/>
  <c r="AQ358" i="6"/>
  <c r="AQ370" i="6"/>
  <c r="AQ343" i="6"/>
  <c r="AS343" i="6" s="1"/>
  <c r="AP304" i="6"/>
  <c r="AR304" i="6"/>
  <c r="AS304" i="6" s="1"/>
  <c r="AQ350" i="6"/>
  <c r="AQ375" i="6"/>
  <c r="AQ303" i="6"/>
  <c r="AQ316" i="6"/>
  <c r="AQ323" i="6"/>
  <c r="AP364" i="6"/>
  <c r="AR364" i="6"/>
  <c r="AS364" i="6" s="1"/>
  <c r="AP322" i="6"/>
  <c r="AR322" i="6" s="1"/>
  <c r="AS322" i="6" s="1"/>
  <c r="AQ353" i="6"/>
  <c r="AP371" i="6"/>
  <c r="AR371" i="6" s="1"/>
  <c r="AS371" i="6"/>
  <c r="AP345" i="6"/>
  <c r="AR345" i="6"/>
  <c r="AS345" i="6" s="1"/>
  <c r="AP356" i="6"/>
  <c r="AR356" i="6" s="1"/>
  <c r="AS356" i="6"/>
  <c r="AP375" i="6"/>
  <c r="AR375" i="6"/>
  <c r="AS375" i="6" s="1"/>
  <c r="AQ341" i="6"/>
  <c r="AQ190" i="6"/>
  <c r="AP190" i="6"/>
  <c r="AR190" i="6" s="1"/>
  <c r="AQ198" i="6"/>
  <c r="AQ245" i="6"/>
  <c r="AP225" i="6"/>
  <c r="AR225" i="6" s="1"/>
  <c r="AQ199" i="6"/>
  <c r="AP230" i="6"/>
  <c r="AR230" i="6"/>
  <c r="AQ192" i="6"/>
  <c r="AQ222" i="6"/>
  <c r="AP204" i="6"/>
  <c r="AR204" i="6"/>
  <c r="AQ227" i="6"/>
  <c r="AP233" i="6"/>
  <c r="AR233" i="6" s="1"/>
  <c r="AP226" i="6"/>
  <c r="AR226" i="6" s="1"/>
  <c r="AP191" i="6"/>
  <c r="AR191" i="6" s="1"/>
  <c r="AQ210" i="6"/>
  <c r="AQ206" i="6"/>
  <c r="AP221" i="6"/>
  <c r="AR221" i="6" s="1"/>
  <c r="AS221" i="6" s="1"/>
  <c r="AP219" i="6"/>
  <c r="AR219" i="6" s="1"/>
  <c r="AQ234" i="6"/>
  <c r="AQ237" i="6"/>
  <c r="AQ194" i="6"/>
  <c r="AQ236" i="6"/>
  <c r="AQ201" i="6"/>
  <c r="AQ191" i="6"/>
  <c r="AP223" i="6"/>
  <c r="AR223" i="6" s="1"/>
  <c r="AP205" i="6"/>
  <c r="AR205" i="6" s="1"/>
  <c r="AP231" i="6"/>
  <c r="AR231" i="6" s="1"/>
  <c r="AS231" i="6" s="1"/>
  <c r="AP217" i="6"/>
  <c r="AR217" i="6" s="1"/>
  <c r="AP229" i="6"/>
  <c r="AR229" i="6" s="1"/>
  <c r="AP198" i="6"/>
  <c r="AR198" i="6" s="1"/>
  <c r="AQ203" i="6"/>
  <c r="AQ216" i="6"/>
  <c r="AP209" i="6"/>
  <c r="AR209" i="6" s="1"/>
  <c r="AS209" i="6" s="1"/>
  <c r="AQ244" i="6"/>
  <c r="AP216" i="6"/>
  <c r="AR216" i="6"/>
  <c r="AQ197" i="6"/>
  <c r="AQ218" i="6"/>
  <c r="AP228" i="6"/>
  <c r="AR228" i="6"/>
  <c r="AP236" i="6"/>
  <c r="AR236" i="6"/>
  <c r="AP244" i="6"/>
  <c r="AR244" i="6"/>
  <c r="AS244" i="6" s="1"/>
  <c r="AP192" i="6"/>
  <c r="AR192" i="6" s="1"/>
  <c r="AS192" i="6" s="1"/>
  <c r="AQ213" i="6"/>
  <c r="AQ224" i="6"/>
  <c r="AP232" i="6"/>
  <c r="AR232" i="6"/>
  <c r="AQ231" i="6"/>
  <c r="AP197" i="6"/>
  <c r="AR197" i="6" s="1"/>
  <c r="AS197" i="6"/>
  <c r="AP195" i="6"/>
  <c r="AR195" i="6"/>
  <c r="AP245" i="6"/>
  <c r="AR245" i="6"/>
  <c r="AS245" i="6" s="1"/>
  <c r="AQ205" i="6"/>
  <c r="AP201" i="6"/>
  <c r="AR201" i="6"/>
  <c r="AQ243" i="6"/>
  <c r="AQ240" i="6"/>
  <c r="AQ208" i="6"/>
  <c r="AQ204" i="6"/>
  <c r="AQ238" i="6"/>
  <c r="AP297" i="6"/>
  <c r="AR297" i="6"/>
  <c r="AS297" i="6" s="1"/>
  <c r="AQ288" i="6"/>
  <c r="AP282" i="6"/>
  <c r="AR282" i="6" s="1"/>
  <c r="AP284" i="6"/>
  <c r="AR284" i="6" s="1"/>
  <c r="AP251" i="6"/>
  <c r="AR251" i="6" s="1"/>
  <c r="AS251" i="6" s="1"/>
  <c r="AP275" i="6"/>
  <c r="AR275" i="6" s="1"/>
  <c r="AP246" i="6"/>
  <c r="AR246" i="6" s="1"/>
  <c r="AQ282" i="6"/>
  <c r="AP270" i="6"/>
  <c r="AR270" i="6"/>
  <c r="AQ279" i="6"/>
  <c r="AP300" i="6"/>
  <c r="AR300" i="6" s="1"/>
  <c r="AQ297" i="6"/>
  <c r="AQ260" i="6"/>
  <c r="AQ299" i="6"/>
  <c r="AP271" i="6"/>
  <c r="AR271" i="6"/>
  <c r="AS271" i="6" s="1"/>
  <c r="AQ263" i="6"/>
  <c r="AQ266" i="6"/>
  <c r="AQ270" i="6"/>
  <c r="AQ251" i="6"/>
  <c r="AP260" i="6"/>
  <c r="AR260" i="6"/>
  <c r="AP294" i="6"/>
  <c r="AR294" i="6"/>
  <c r="AP256" i="6"/>
  <c r="AR256" i="6"/>
  <c r="AS256" i="6" s="1"/>
  <c r="AQ292" i="6"/>
  <c r="AP272" i="6"/>
  <c r="AR272" i="6" s="1"/>
  <c r="AP253" i="6"/>
  <c r="AR253" i="6" s="1"/>
  <c r="AP301" i="6"/>
  <c r="AR301" i="6" s="1"/>
  <c r="AS301" i="6" s="1"/>
  <c r="AQ252" i="6"/>
  <c r="AP296" i="6"/>
  <c r="AR296" i="6"/>
  <c r="AQ246" i="6"/>
  <c r="AQ272" i="6"/>
  <c r="AQ276" i="6"/>
  <c r="AQ283" i="6"/>
  <c r="AQ296" i="6"/>
  <c r="AP298" i="6"/>
  <c r="AR298" i="6" s="1"/>
  <c r="AP274" i="6"/>
  <c r="AR274" i="6" s="1"/>
  <c r="AQ248" i="6"/>
  <c r="AP283" i="6"/>
  <c r="AR283" i="6"/>
  <c r="AQ271" i="6"/>
  <c r="AQ254" i="6"/>
  <c r="AQ249" i="6"/>
  <c r="AP248" i="6"/>
  <c r="AR248" i="6" s="1"/>
  <c r="AP286" i="6"/>
  <c r="AR286" i="6" s="1"/>
  <c r="AS286" i="6" s="1"/>
  <c r="AP290" i="6"/>
  <c r="AR290" i="6" s="1"/>
  <c r="AP293" i="6"/>
  <c r="AR293" i="6" s="1"/>
  <c r="AP295" i="6"/>
  <c r="AR295" i="6" s="1"/>
  <c r="AP273" i="6"/>
  <c r="AR273" i="6" s="1"/>
  <c r="AS273" i="6" s="1"/>
  <c r="AP285" i="6"/>
  <c r="AR285" i="6" s="1"/>
  <c r="AQ300" i="6"/>
  <c r="AP278" i="6"/>
  <c r="AR278" i="6"/>
  <c r="AP261" i="6"/>
  <c r="AR261" i="6"/>
  <c r="AP265" i="6"/>
  <c r="AR265" i="6"/>
  <c r="AS265" i="6" s="1"/>
  <c r="AQ291" i="6"/>
  <c r="AP250" i="6"/>
  <c r="AR250" i="6" s="1"/>
  <c r="AP281" i="6"/>
  <c r="AR281" i="6" s="1"/>
  <c r="AQ247" i="6"/>
  <c r="AQ226" i="6"/>
  <c r="AP242" i="6"/>
  <c r="AR242" i="6" s="1"/>
  <c r="AS242" i="6" s="1"/>
  <c r="AP202" i="6"/>
  <c r="AR202" i="6" s="1"/>
  <c r="AP206" i="6"/>
  <c r="AR206" i="6" s="1"/>
  <c r="AS206" i="6" s="1"/>
  <c r="AP238" i="6"/>
  <c r="AR238" i="6"/>
  <c r="AQ200" i="6"/>
  <c r="AQ241" i="6"/>
  <c r="AP196" i="6"/>
  <c r="AR196" i="6" s="1"/>
  <c r="AQ233" i="6"/>
  <c r="AQ214" i="6"/>
  <c r="AQ195" i="6"/>
  <c r="AQ239" i="6"/>
  <c r="AQ217" i="6"/>
  <c r="AQ202" i="6"/>
  <c r="AP227" i="6"/>
  <c r="AR227" i="6" s="1"/>
  <c r="AS227" i="6"/>
  <c r="AQ212" i="6"/>
  <c r="AQ207" i="6"/>
  <c r="AQ235" i="6"/>
  <c r="AQ209" i="6"/>
  <c r="AQ211" i="6"/>
  <c r="AP224" i="6"/>
  <c r="AR224" i="6" s="1"/>
  <c r="AS224" i="6" s="1"/>
  <c r="AP222" i="6"/>
  <c r="AR222" i="6"/>
  <c r="AS222" i="6" s="1"/>
  <c r="AQ229" i="6"/>
  <c r="AQ215" i="6"/>
  <c r="AP240" i="6"/>
  <c r="AR240" i="6" s="1"/>
  <c r="AS240" i="6" s="1"/>
  <c r="AQ230" i="6"/>
  <c r="AP215" i="6"/>
  <c r="AR215" i="6" s="1"/>
  <c r="AQ223" i="6"/>
  <c r="AP218" i="6"/>
  <c r="AR218" i="6"/>
  <c r="AS218" i="6" s="1"/>
  <c r="AP194" i="6"/>
  <c r="AR194" i="6" s="1"/>
  <c r="AS194" i="6"/>
  <c r="AP234" i="6"/>
  <c r="AR234" i="6"/>
  <c r="AS234" i="6" s="1"/>
  <c r="AQ232" i="6"/>
  <c r="AP208" i="6"/>
  <c r="AR208" i="6"/>
  <c r="AP207" i="6"/>
  <c r="AR207" i="6" s="1"/>
  <c r="AS207" i="6" s="1"/>
  <c r="AP211" i="6"/>
  <c r="AR211" i="6" s="1"/>
  <c r="AQ221" i="6"/>
  <c r="AP214" i="6"/>
  <c r="AR214" i="6"/>
  <c r="AS214" i="6" s="1"/>
  <c r="AQ193" i="6"/>
  <c r="AP203" i="6"/>
  <c r="AR203" i="6" s="1"/>
  <c r="AS203" i="6" s="1"/>
  <c r="AP213" i="6"/>
  <c r="AR213" i="6"/>
  <c r="AS213" i="6" s="1"/>
  <c r="AQ242" i="6"/>
  <c r="AP243" i="6"/>
  <c r="AR243" i="6"/>
  <c r="AS243" i="6" s="1"/>
  <c r="AP241" i="6"/>
  <c r="AR241" i="6" s="1"/>
  <c r="AS241" i="6"/>
  <c r="AQ225" i="6"/>
  <c r="AP239" i="6"/>
  <c r="AR239" i="6" s="1"/>
  <c r="AS239" i="6" s="1"/>
  <c r="AP193" i="6"/>
  <c r="AR193" i="6"/>
  <c r="AS193" i="6" s="1"/>
  <c r="AP212" i="6"/>
  <c r="AR212" i="6" s="1"/>
  <c r="AS212" i="6" s="1"/>
  <c r="AQ220" i="6"/>
  <c r="AQ196" i="6"/>
  <c r="AP237" i="6"/>
  <c r="AR237" i="6"/>
  <c r="AS237" i="6" s="1"/>
  <c r="AQ228" i="6"/>
  <c r="AS228" i="6" s="1"/>
  <c r="AP220" i="6"/>
  <c r="AR220" i="6"/>
  <c r="AS220" i="6" s="1"/>
  <c r="AP235" i="6"/>
  <c r="AR235" i="6" s="1"/>
  <c r="AS235" i="6"/>
  <c r="AQ219" i="6"/>
  <c r="AP210" i="6"/>
  <c r="AR210" i="6" s="1"/>
  <c r="AS210" i="6" s="1"/>
  <c r="AP200" i="6"/>
  <c r="AR200" i="6"/>
  <c r="AP199" i="6"/>
  <c r="AR199" i="6" s="1"/>
  <c r="AS199" i="6" s="1"/>
  <c r="AP269" i="6"/>
  <c r="AR269" i="6"/>
  <c r="AP258" i="6"/>
  <c r="AR258" i="6"/>
  <c r="AQ287" i="6"/>
  <c r="AQ259" i="6"/>
  <c r="AP252" i="6"/>
  <c r="AR252" i="6"/>
  <c r="AS252" i="6" s="1"/>
  <c r="AQ269" i="6"/>
  <c r="AQ298" i="6"/>
  <c r="AP277" i="6"/>
  <c r="AR277" i="6" s="1"/>
  <c r="AQ265" i="6"/>
  <c r="AQ257" i="6"/>
  <c r="AP262" i="6"/>
  <c r="AR262" i="6" s="1"/>
  <c r="AQ293" i="6"/>
  <c r="AP254" i="6"/>
  <c r="AR254" i="6"/>
  <c r="AS254" i="6" s="1"/>
  <c r="AQ290" i="6"/>
  <c r="AQ273" i="6"/>
  <c r="AQ289" i="6"/>
  <c r="AP266" i="6"/>
  <c r="AR266" i="6"/>
  <c r="AQ294" i="6"/>
  <c r="AP268" i="6"/>
  <c r="AR268" i="6"/>
  <c r="AP247" i="6"/>
  <c r="AR247" i="6"/>
  <c r="AS247" i="6" s="1"/>
  <c r="AQ268" i="6"/>
  <c r="AQ275" i="6"/>
  <c r="AQ281" i="6"/>
  <c r="AQ264" i="6"/>
  <c r="AQ278" i="6"/>
  <c r="AQ267" i="6"/>
  <c r="AQ277" i="6"/>
  <c r="AP255" i="6"/>
  <c r="AR255" i="6"/>
  <c r="AP292" i="6"/>
  <c r="AR292" i="6"/>
  <c r="AS292" i="6" s="1"/>
  <c r="AQ262" i="6"/>
  <c r="AS262" i="6" s="1"/>
  <c r="AQ301" i="6"/>
  <c r="AP263" i="6"/>
  <c r="AR263" i="6" s="1"/>
  <c r="AS263" i="6" s="1"/>
  <c r="AQ285" i="6"/>
  <c r="AP264" i="6"/>
  <c r="AR264" i="6" s="1"/>
  <c r="AS264" i="6"/>
  <c r="AQ286" i="6"/>
  <c r="AQ253" i="6"/>
  <c r="AS253" i="6" s="1"/>
  <c r="AP287" i="6"/>
  <c r="AR287" i="6"/>
  <c r="AS287" i="6" s="1"/>
  <c r="AQ280" i="6"/>
  <c r="AP276" i="6"/>
  <c r="AR276" i="6"/>
  <c r="AS276" i="6" s="1"/>
  <c r="AP280" i="6"/>
  <c r="AR280" i="6" s="1"/>
  <c r="AS280" i="6" s="1"/>
  <c r="AQ284" i="6"/>
  <c r="AQ255" i="6"/>
  <c r="AP267" i="6"/>
  <c r="AR267" i="6"/>
  <c r="AQ261" i="6"/>
  <c r="AQ295" i="6"/>
  <c r="AP291" i="6"/>
  <c r="AR291" i="6"/>
  <c r="AS291" i="6" s="1"/>
  <c r="AP257" i="6"/>
  <c r="AR257" i="6" s="1"/>
  <c r="AP259" i="6"/>
  <c r="AR259" i="6" s="1"/>
  <c r="AS259" i="6"/>
  <c r="AP299" i="6"/>
  <c r="AR299" i="6"/>
  <c r="AS299" i="6" s="1"/>
  <c r="AP288" i="6"/>
  <c r="AR288" i="6" s="1"/>
  <c r="AS288" i="6"/>
  <c r="AQ250" i="6"/>
  <c r="AP279" i="6"/>
  <c r="AR279" i="6" s="1"/>
  <c r="AS279" i="6" s="1"/>
  <c r="AQ274" i="6"/>
  <c r="AQ256" i="6"/>
  <c r="AP289" i="6"/>
  <c r="AR289" i="6"/>
  <c r="AQ258" i="6"/>
  <c r="AP249" i="6"/>
  <c r="AR249" i="6" s="1"/>
  <c r="AS249" i="6"/>
  <c r="F13" i="6"/>
  <c r="H12" i="6"/>
  <c r="I81" i="6"/>
  <c r="AX256" i="6"/>
  <c r="AX229" i="6"/>
  <c r="AX233" i="6"/>
  <c r="AX209" i="6"/>
  <c r="AX204" i="6"/>
  <c r="AX30" i="6"/>
  <c r="AX27" i="6"/>
  <c r="AX22" i="6"/>
  <c r="AX20" i="6"/>
  <c r="AW15" i="6"/>
  <c r="M36" i="6"/>
  <c r="I241" i="6"/>
  <c r="I252" i="6"/>
  <c r="I248" i="6"/>
  <c r="I238" i="6"/>
  <c r="I242" i="6"/>
  <c r="I235" i="6"/>
  <c r="I237" i="6"/>
  <c r="I299" i="6"/>
  <c r="I297" i="6"/>
  <c r="I301" i="6"/>
  <c r="I314" i="6"/>
  <c r="I312" i="6"/>
  <c r="I300" i="6"/>
  <c r="Y51" i="6"/>
  <c r="AU371" i="6"/>
  <c r="AW371" i="6" s="1"/>
  <c r="AX371" i="6" s="1"/>
  <c r="AV351" i="6"/>
  <c r="AV326" i="6"/>
  <c r="AU331" i="6"/>
  <c r="AW331" i="6" s="1"/>
  <c r="AU319" i="6"/>
  <c r="AW319" i="6" s="1"/>
  <c r="AU370" i="6"/>
  <c r="AW370" i="6" s="1"/>
  <c r="AV362" i="6"/>
  <c r="AV333" i="6"/>
  <c r="AU348" i="6"/>
  <c r="AW348" i="6" s="1"/>
  <c r="AX348" i="6" s="1"/>
  <c r="AU324" i="6"/>
  <c r="AW324" i="6" s="1"/>
  <c r="AU323" i="6"/>
  <c r="AW323" i="6" s="1"/>
  <c r="AU322" i="6"/>
  <c r="AW322" i="6" s="1"/>
  <c r="AV339" i="6"/>
  <c r="AV323" i="6"/>
  <c r="AU367" i="6"/>
  <c r="AW367" i="6" s="1"/>
  <c r="AX367" i="6" s="1"/>
  <c r="AV365" i="6"/>
  <c r="AU352" i="6"/>
  <c r="AW352" i="6"/>
  <c r="AV355" i="6"/>
  <c r="AU345" i="6"/>
  <c r="AW345" i="6" s="1"/>
  <c r="AV330" i="6"/>
  <c r="AV336" i="6"/>
  <c r="AV318" i="6"/>
  <c r="AU353" i="6"/>
  <c r="AW353" i="6"/>
  <c r="AV348" i="6"/>
  <c r="AU340" i="6"/>
  <c r="AW340" i="6" s="1"/>
  <c r="AX340" i="6" s="1"/>
  <c r="AV331" i="6"/>
  <c r="AV337" i="6"/>
  <c r="AU332" i="6"/>
  <c r="AW332" i="6" s="1"/>
  <c r="AV317" i="6"/>
  <c r="AU318" i="6"/>
  <c r="AW318" i="6"/>
  <c r="AX318" i="6" s="1"/>
  <c r="AU338" i="6"/>
  <c r="AW338" i="6" s="1"/>
  <c r="AU359" i="6"/>
  <c r="AW359" i="6" s="1"/>
  <c r="AV370" i="6"/>
  <c r="AU333" i="6"/>
  <c r="AW333" i="6"/>
  <c r="AX333" i="6" s="1"/>
  <c r="AU365" i="6"/>
  <c r="AW365" i="6" s="1"/>
  <c r="AX365" i="6" s="1"/>
  <c r="AU351" i="6"/>
  <c r="AW351" i="6" s="1"/>
  <c r="AX351" i="6"/>
  <c r="AV328" i="6"/>
  <c r="AV343" i="6"/>
  <c r="AV352" i="6"/>
  <c r="AV368" i="6"/>
  <c r="AU334" i="6"/>
  <c r="AW334" i="6"/>
  <c r="AU361" i="6"/>
  <c r="AW361" i="6"/>
  <c r="AX361" i="6" s="1"/>
  <c r="AU366" i="6"/>
  <c r="AW366" i="6"/>
  <c r="AX366" i="6" s="1"/>
  <c r="AV369" i="6"/>
  <c r="AV363" i="6"/>
  <c r="AV371" i="6"/>
  <c r="AV322" i="6"/>
  <c r="AV359" i="6"/>
  <c r="AU364" i="6"/>
  <c r="AW364" i="6" s="1"/>
  <c r="AV346" i="6"/>
  <c r="AV341" i="6"/>
  <c r="AV334" i="6"/>
  <c r="AU336" i="6"/>
  <c r="AW336" i="6"/>
  <c r="AX336" i="6" s="1"/>
  <c r="AV324" i="6"/>
  <c r="AX324" i="6" s="1"/>
  <c r="Y52" i="6"/>
  <c r="AV361" i="6"/>
  <c r="AV342" i="6"/>
  <c r="AV340" i="6"/>
  <c r="AU327" i="6"/>
  <c r="AW327" i="6"/>
  <c r="AX327" i="6" s="1"/>
  <c r="AV366" i="6"/>
  <c r="AV354" i="6"/>
  <c r="AU368" i="6"/>
  <c r="AW368" i="6"/>
  <c r="AX368" i="6" s="1"/>
  <c r="AV360" i="6"/>
  <c r="AU330" i="6"/>
  <c r="AW330" i="6"/>
  <c r="AU342" i="6"/>
  <c r="AW342" i="6" s="1"/>
  <c r="AX342" i="6" s="1"/>
  <c r="AU369" i="6"/>
  <c r="AW369" i="6"/>
  <c r="AX369" i="6" s="1"/>
  <c r="AU357" i="6"/>
  <c r="AW357" i="6" s="1"/>
  <c r="AX357" i="6" s="1"/>
  <c r="AU354" i="6"/>
  <c r="AW354" i="6" s="1"/>
  <c r="AX354" i="6" s="1"/>
  <c r="AV347" i="6"/>
  <c r="AU346" i="6"/>
  <c r="AW346" i="6"/>
  <c r="AX346" i="6" s="1"/>
  <c r="AV367" i="6"/>
  <c r="AU320" i="6"/>
  <c r="AW320" i="6"/>
  <c r="AU344" i="6"/>
  <c r="AW344" i="6"/>
  <c r="AX344" i="6" s="1"/>
  <c r="AU316" i="6"/>
  <c r="AW316" i="6"/>
  <c r="AX316" i="6" s="1"/>
  <c r="AU362" i="6"/>
  <c r="AW362" i="6"/>
  <c r="AX362" i="6" s="1"/>
  <c r="AU356" i="6"/>
  <c r="AW356" i="6" s="1"/>
  <c r="AX356" i="6" s="1"/>
  <c r="AU347" i="6"/>
  <c r="AW347" i="6" s="1"/>
  <c r="AX347" i="6" s="1"/>
  <c r="AU325" i="6"/>
  <c r="AW325" i="6"/>
  <c r="AU350" i="6"/>
  <c r="AW350" i="6"/>
  <c r="AV356" i="6"/>
  <c r="AU363" i="6"/>
  <c r="AW363" i="6" s="1"/>
  <c r="AX363" i="6" s="1"/>
  <c r="AV319" i="6"/>
  <c r="AU358" i="6"/>
  <c r="AW358" i="6" s="1"/>
  <c r="AX358" i="6" s="1"/>
  <c r="AU321" i="6"/>
  <c r="AW321" i="6" s="1"/>
  <c r="AX321" i="6" s="1"/>
  <c r="AU343" i="6"/>
  <c r="AW343" i="6" s="1"/>
  <c r="AX343" i="6" s="1"/>
  <c r="AV349" i="6"/>
  <c r="AV332" i="6"/>
  <c r="AV338" i="6"/>
  <c r="AU355" i="6"/>
  <c r="AW355" i="6"/>
  <c r="AX355" i="6" s="1"/>
  <c r="AU335" i="6"/>
  <c r="AW335" i="6"/>
  <c r="AX335" i="6" s="1"/>
  <c r="AU329" i="6"/>
  <c r="AW329" i="6"/>
  <c r="AV321" i="6"/>
  <c r="AU349" i="6"/>
  <c r="AW349" i="6" s="1"/>
  <c r="AX349" i="6" s="1"/>
  <c r="AV358" i="6"/>
  <c r="AV364" i="6"/>
  <c r="AU328" i="6"/>
  <c r="AW328" i="6" s="1"/>
  <c r="AX328" i="6" s="1"/>
  <c r="AU360" i="6"/>
  <c r="AW360" i="6" s="1"/>
  <c r="AX360" i="6" s="1"/>
  <c r="AV345" i="6"/>
  <c r="AV316" i="6"/>
  <c r="AV350" i="6"/>
  <c r="AU317" i="6"/>
  <c r="AW317" i="6" s="1"/>
  <c r="AV353" i="6"/>
  <c r="AV325" i="6"/>
  <c r="AU339" i="6"/>
  <c r="AW339" i="6"/>
  <c r="AX339" i="6" s="1"/>
  <c r="AV327" i="6"/>
  <c r="AV335" i="6"/>
  <c r="AV344" i="6"/>
  <c r="AV329" i="6"/>
  <c r="AU337" i="6"/>
  <c r="AW337" i="6" s="1"/>
  <c r="AX337" i="6" s="1"/>
  <c r="AU326" i="6"/>
  <c r="AW326" i="6"/>
  <c r="AX326" i="6" s="1"/>
  <c r="AV357" i="6"/>
  <c r="AV320" i="6"/>
  <c r="AU341" i="6"/>
  <c r="AW341" i="6" s="1"/>
  <c r="AX341" i="6" s="1"/>
  <c r="I262" i="6"/>
  <c r="I266" i="6"/>
  <c r="I271" i="6"/>
  <c r="AX234" i="6"/>
  <c r="AX211" i="6"/>
  <c r="AX207" i="6"/>
  <c r="AX230" i="6"/>
  <c r="AX212" i="6"/>
  <c r="O37" i="6"/>
  <c r="O36" i="6"/>
  <c r="I38" i="6"/>
  <c r="I53" i="6"/>
  <c r="I56" i="6"/>
  <c r="I50" i="6"/>
  <c r="I44" i="6"/>
  <c r="I71" i="6"/>
  <c r="I83" i="6"/>
  <c r="I75" i="6"/>
  <c r="I69" i="6"/>
  <c r="I67" i="6"/>
  <c r="I65" i="6"/>
  <c r="I87" i="6"/>
  <c r="I111" i="6"/>
  <c r="I106" i="6"/>
  <c r="I119" i="6"/>
  <c r="I122" i="6"/>
  <c r="I113" i="6"/>
  <c r="I131" i="6"/>
  <c r="I124" i="6"/>
  <c r="I93" i="6"/>
  <c r="I99" i="6"/>
  <c r="AV12" i="6"/>
  <c r="AX325" i="6"/>
  <c r="AX332" i="6"/>
  <c r="AX322" i="6"/>
  <c r="AX370" i="6"/>
  <c r="AS277" i="6"/>
  <c r="AS211" i="6"/>
  <c r="AS215" i="6"/>
  <c r="AS202" i="6"/>
  <c r="AS296" i="6"/>
  <c r="AS260" i="6"/>
  <c r="AS236" i="6"/>
  <c r="AS216" i="6"/>
  <c r="AS332" i="6"/>
  <c r="AS324" i="6"/>
  <c r="AX320" i="6"/>
  <c r="AX359" i="6"/>
  <c r="AX331" i="6"/>
  <c r="AX15" i="6"/>
  <c r="AS255" i="6"/>
  <c r="AS258" i="6"/>
  <c r="AS281" i="6"/>
  <c r="AS261" i="6"/>
  <c r="AS293" i="6"/>
  <c r="AS298" i="6"/>
  <c r="AS272" i="6"/>
  <c r="AS275" i="6"/>
  <c r="AS284" i="6"/>
  <c r="AS195" i="6"/>
  <c r="AS229" i="6"/>
  <c r="AS223" i="6"/>
  <c r="AS226" i="6"/>
  <c r="AS230" i="6"/>
  <c r="AS225" i="6"/>
  <c r="AS145" i="6"/>
  <c r="AS323" i="6"/>
  <c r="AS377" i="6"/>
  <c r="AS325" i="6"/>
  <c r="AS55" i="6"/>
  <c r="AS147" i="6"/>
  <c r="AS118" i="6"/>
  <c r="AS126" i="6"/>
  <c r="AS317" i="6"/>
  <c r="AS310" i="6"/>
  <c r="AS334" i="6"/>
  <c r="AS363" i="6"/>
  <c r="AS339" i="6"/>
  <c r="AS314" i="6"/>
  <c r="AS350" i="6"/>
  <c r="AS65" i="6"/>
  <c r="AS63" i="6"/>
  <c r="AS27" i="6"/>
  <c r="AS347" i="6"/>
  <c r="AS358" i="6"/>
  <c r="AS369" i="6"/>
  <c r="AS326" i="6"/>
  <c r="AS311" i="6"/>
  <c r="AS20" i="6"/>
  <c r="AQ12" i="6"/>
  <c r="AS57" i="6"/>
  <c r="AS175" i="6"/>
  <c r="AS154" i="6"/>
  <c r="AS177" i="6"/>
  <c r="AS123" i="6"/>
  <c r="AS56" i="6"/>
  <c r="AS106" i="6"/>
  <c r="AS93" i="6"/>
  <c r="AS46" i="6"/>
  <c r="AS143" i="6"/>
  <c r="AS109" i="6"/>
  <c r="AS58" i="6"/>
  <c r="AS86" i="6"/>
  <c r="AS165" i="6"/>
  <c r="AS101" i="6"/>
  <c r="AS138" i="6"/>
  <c r="AS167" i="6"/>
  <c r="AS119" i="6"/>
  <c r="AS80" i="6"/>
  <c r="AS189" i="6"/>
  <c r="AS155" i="6"/>
  <c r="AS50" i="6"/>
  <c r="AS60" i="6"/>
  <c r="AS68" i="6"/>
  <c r="AS94" i="6"/>
  <c r="AS162" i="6"/>
  <c r="AS187" i="6"/>
  <c r="AV13" i="6"/>
  <c r="AX329" i="6"/>
  <c r="AX350" i="6"/>
  <c r="AX364" i="6"/>
  <c r="AX334" i="6"/>
  <c r="AX338" i="6"/>
  <c r="AX353" i="6"/>
  <c r="AX345" i="6"/>
  <c r="AX352" i="6"/>
  <c r="AX323" i="6"/>
  <c r="AX319" i="6"/>
  <c r="AU13" i="6"/>
  <c r="AS289" i="6"/>
  <c r="AS257" i="6"/>
  <c r="AS267" i="6"/>
  <c r="AS268" i="6"/>
  <c r="AS269" i="6"/>
  <c r="AS196" i="6"/>
  <c r="AS250" i="6"/>
  <c r="AS278" i="6"/>
  <c r="AS285" i="6"/>
  <c r="AS295" i="6"/>
  <c r="AS290" i="6"/>
  <c r="AS248" i="6"/>
  <c r="AS283" i="6"/>
  <c r="AS274" i="6"/>
  <c r="AS294" i="6"/>
  <c r="AS300" i="6"/>
  <c r="AS270" i="6"/>
  <c r="AS246" i="6"/>
  <c r="AS282" i="6"/>
  <c r="AS232" i="6"/>
  <c r="AS198" i="6"/>
  <c r="AS217" i="6"/>
  <c r="AS205" i="6"/>
  <c r="AS219" i="6"/>
  <c r="AS191" i="6"/>
  <c r="AS233" i="6"/>
  <c r="AS204" i="6"/>
  <c r="AS190" i="6"/>
  <c r="AS309" i="6"/>
  <c r="AR15" i="6"/>
  <c r="AR12" i="6" s="1"/>
  <c r="AP12" i="6"/>
  <c r="AS185" i="6"/>
  <c r="AS354" i="6"/>
  <c r="AS306" i="6"/>
  <c r="AS19" i="6"/>
  <c r="AS44" i="6"/>
  <c r="AS26" i="6"/>
  <c r="AS370" i="6"/>
  <c r="AS302" i="6"/>
  <c r="AS303" i="6"/>
  <c r="AS361" i="6"/>
  <c r="AS36" i="6"/>
  <c r="AS330" i="6"/>
  <c r="AS353" i="6"/>
  <c r="AS372" i="6"/>
  <c r="AS352" i="6"/>
  <c r="AS25" i="6"/>
  <c r="AS32" i="6"/>
  <c r="AS151" i="6"/>
  <c r="AS17" i="6"/>
  <c r="AS174" i="6"/>
  <c r="AS160" i="6"/>
  <c r="AS99" i="6"/>
  <c r="AS161" i="6"/>
  <c r="AS79" i="6"/>
  <c r="AS132" i="6"/>
  <c r="AS37" i="6"/>
  <c r="AS59" i="6"/>
  <c r="AS116" i="6"/>
  <c r="AS62" i="6"/>
  <c r="AS88" i="6"/>
  <c r="AS139" i="6"/>
  <c r="AS75" i="6"/>
  <c r="AS61" i="6"/>
  <c r="AS72" i="6"/>
  <c r="AS183" i="6"/>
  <c r="AS53" i="6"/>
  <c r="AS117" i="6"/>
  <c r="AS70" i="6"/>
  <c r="AS30" i="6"/>
  <c r="AS141" i="6"/>
  <c r="AS110" i="6"/>
  <c r="AS188" i="6"/>
  <c r="AS127" i="6"/>
  <c r="AS22" i="6"/>
  <c r="AS148" i="6"/>
  <c r="AS159" i="6"/>
  <c r="AS54" i="6"/>
  <c r="AS82" i="6"/>
  <c r="AS171" i="6"/>
  <c r="AS15" i="6"/>
  <c r="AR13" i="6"/>
  <c r="AC31" i="1"/>
  <c r="W55" i="27"/>
  <c r="BN14" i="6"/>
  <c r="F10" i="27"/>
  <c r="G10" i="27"/>
  <c r="Q54" i="27"/>
  <c r="U55" i="27"/>
  <c r="AF9" i="7"/>
  <c r="L11" i="18"/>
  <c r="U9" i="7"/>
  <c r="L12" i="17"/>
  <c r="L35" i="16"/>
  <c r="L37" i="16"/>
  <c r="D37" i="16" s="1"/>
  <c r="L42" i="16"/>
  <c r="D42" i="16" s="1"/>
  <c r="L43" i="16"/>
  <c r="D43" i="16" s="1"/>
  <c r="L44" i="16"/>
  <c r="D44" i="16" s="1"/>
  <c r="L45" i="16"/>
  <c r="D45" i="16" s="1"/>
  <c r="L48" i="16"/>
  <c r="D48" i="16" s="1"/>
  <c r="L51" i="16"/>
  <c r="D51" i="16" s="1"/>
  <c r="L52" i="16"/>
  <c r="D52" i="16" s="1"/>
  <c r="L58" i="16"/>
  <c r="D58" i="16" s="1"/>
  <c r="L15" i="17"/>
  <c r="D15" i="17" s="1"/>
  <c r="L17" i="17"/>
  <c r="D17" i="17" s="1"/>
  <c r="L22" i="17"/>
  <c r="D22" i="17" s="1"/>
  <c r="L23" i="17"/>
  <c r="D23" i="17" s="1"/>
  <c r="L24" i="17"/>
  <c r="D24" i="17" s="1"/>
  <c r="L25" i="17"/>
  <c r="D25" i="17" s="1"/>
  <c r="L27" i="17"/>
  <c r="D27" i="17" s="1"/>
  <c r="L30" i="17"/>
  <c r="D30" i="17" s="1"/>
  <c r="L31" i="17"/>
  <c r="D31" i="17" s="1"/>
  <c r="L16" i="17"/>
  <c r="D16" i="17" s="1"/>
  <c r="L18" i="17"/>
  <c r="D18" i="17" s="1"/>
  <c r="L19" i="17"/>
  <c r="D19" i="17" s="1"/>
  <c r="L20" i="17"/>
  <c r="D20" i="17" s="1"/>
  <c r="L21" i="17"/>
  <c r="D21" i="17" s="1"/>
  <c r="L26" i="17"/>
  <c r="D26" i="17" s="1"/>
  <c r="L28" i="17"/>
  <c r="D28" i="17" s="1"/>
  <c r="L29" i="17"/>
  <c r="L32" i="17"/>
  <c r="D32" i="17" s="1"/>
  <c r="L34" i="17"/>
  <c r="D34" i="17" s="1"/>
  <c r="L15" i="16"/>
  <c r="D15" i="16" s="1"/>
  <c r="L16" i="16"/>
  <c r="D16" i="16" s="1"/>
  <c r="L18" i="16"/>
  <c r="D18" i="16" s="1"/>
  <c r="L21" i="16"/>
  <c r="D21" i="16" s="1"/>
  <c r="L22" i="16"/>
  <c r="D22" i="16" s="1"/>
  <c r="L25" i="16"/>
  <c r="D25" i="16" s="1"/>
  <c r="L26" i="16"/>
  <c r="D26" i="16" s="1"/>
  <c r="L27" i="16"/>
  <c r="D27" i="16" s="1"/>
  <c r="L28" i="16"/>
  <c r="L32" i="16"/>
  <c r="D32" i="16" s="1"/>
  <c r="L33" i="16"/>
  <c r="D33" i="16" s="1"/>
  <c r="L34" i="16"/>
  <c r="D34" i="16" s="1"/>
  <c r="L17" i="16"/>
  <c r="D17" i="16" s="1"/>
  <c r="L19" i="16"/>
  <c r="D19" i="16" s="1"/>
  <c r="L20" i="16"/>
  <c r="D20" i="16" s="1"/>
  <c r="L23" i="16"/>
  <c r="D23" i="16" s="1"/>
  <c r="L24" i="16"/>
  <c r="D24" i="16" s="1"/>
  <c r="L29" i="16"/>
  <c r="L30" i="16"/>
  <c r="D30" i="16" s="1"/>
  <c r="L31" i="16"/>
  <c r="D31" i="16" s="1"/>
  <c r="L56" i="17"/>
  <c r="D56" i="17" s="1"/>
  <c r="L63" i="17"/>
  <c r="D63" i="17" s="1"/>
  <c r="L71" i="17"/>
  <c r="D71" i="17" s="1"/>
  <c r="L79" i="17"/>
  <c r="D79" i="17" s="1"/>
  <c r="L97" i="17"/>
  <c r="L99" i="17"/>
  <c r="D99" i="17" s="1"/>
  <c r="L100" i="17"/>
  <c r="D100" i="17" s="1"/>
  <c r="L109" i="17"/>
  <c r="D109" i="17" s="1"/>
  <c r="L110" i="17"/>
  <c r="L122" i="17"/>
  <c r="D122" i="17" s="1"/>
  <c r="L126" i="17"/>
  <c r="L127" i="17"/>
  <c r="D127" i="17" s="1"/>
  <c r="L132" i="17"/>
  <c r="D132" i="17" s="1"/>
  <c r="L135" i="17"/>
  <c r="D135" i="17" s="1"/>
  <c r="L137" i="17"/>
  <c r="D137" i="17" s="1"/>
  <c r="L43" i="17"/>
  <c r="D43" i="17" s="1"/>
  <c r="L49" i="17"/>
  <c r="D49" i="17" s="1"/>
  <c r="L60" i="17"/>
  <c r="L62" i="17"/>
  <c r="D62" i="17" s="1"/>
  <c r="L75" i="17"/>
  <c r="D75" i="17" s="1"/>
  <c r="L95" i="17"/>
  <c r="D95" i="17" s="1"/>
  <c r="L107" i="17"/>
  <c r="D107" i="17" s="1"/>
  <c r="L108" i="17"/>
  <c r="D108" i="17" s="1"/>
  <c r="L112" i="17"/>
  <c r="D112" i="17" s="1"/>
  <c r="L114" i="17"/>
  <c r="D114" i="17" s="1"/>
  <c r="L116" i="17"/>
  <c r="D116" i="17" s="1"/>
  <c r="L120" i="17"/>
  <c r="D120" i="17" s="1"/>
  <c r="L124" i="17"/>
  <c r="L125" i="17"/>
  <c r="D125" i="17" s="1"/>
  <c r="L130" i="17"/>
  <c r="D130" i="17" s="1"/>
  <c r="L131" i="17"/>
  <c r="D131" i="17" s="1"/>
  <c r="L139" i="17"/>
  <c r="D139" i="17" s="1"/>
  <c r="L140" i="17"/>
  <c r="L143" i="17"/>
  <c r="D143" i="17" s="1"/>
  <c r="L144" i="17"/>
  <c r="L145" i="17"/>
  <c r="D145" i="17" s="1"/>
  <c r="L146" i="17"/>
  <c r="D146" i="17" s="1"/>
  <c r="L162" i="17"/>
  <c r="D162" i="17" s="1"/>
  <c r="L177" i="17"/>
  <c r="D177" i="17" s="1"/>
  <c r="L181" i="17"/>
  <c r="D181" i="17" s="1"/>
  <c r="L188" i="17"/>
  <c r="D188" i="17" s="1"/>
  <c r="L190" i="17"/>
  <c r="D190" i="17" s="1"/>
  <c r="L191" i="17"/>
  <c r="D191" i="17"/>
  <c r="L196" i="17"/>
  <c r="L201" i="17"/>
  <c r="D201" i="17" s="1"/>
  <c r="L205" i="17"/>
  <c r="D205" i="17" s="1"/>
  <c r="L209" i="17"/>
  <c r="D209" i="17" s="1"/>
  <c r="L210" i="17"/>
  <c r="B62" i="7" s="1"/>
  <c r="L211" i="17"/>
  <c r="D211" i="17" s="1"/>
  <c r="L212" i="17"/>
  <c r="L213" i="17"/>
  <c r="D213" i="17" s="1"/>
  <c r="L218" i="17"/>
  <c r="D218" i="17" s="1"/>
  <c r="L220" i="17"/>
  <c r="D220" i="17" s="1"/>
  <c r="L221" i="17"/>
  <c r="L225" i="17"/>
  <c r="D225" i="17" s="1"/>
  <c r="L227" i="17"/>
  <c r="L230" i="17"/>
  <c r="D230" i="17" s="1"/>
  <c r="L233" i="17"/>
  <c r="D233" i="17" s="1"/>
  <c r="L237" i="17"/>
  <c r="D237" i="17" s="1"/>
  <c r="L149" i="17"/>
  <c r="B60" i="7" s="1"/>
  <c r="L150" i="17"/>
  <c r="D150" i="17" s="1"/>
  <c r="L153" i="17"/>
  <c r="D153" i="17" s="1"/>
  <c r="L155" i="17"/>
  <c r="D155" i="17" s="1"/>
  <c r="L156" i="17"/>
  <c r="D156" i="17" s="1"/>
  <c r="L160" i="17"/>
  <c r="D160" i="17" s="1"/>
  <c r="L161" i="17"/>
  <c r="D161" i="17" s="1"/>
  <c r="L166" i="17"/>
  <c r="L170" i="17"/>
  <c r="D170" i="17" s="1"/>
  <c r="L176" i="17"/>
  <c r="D176" i="17" s="1"/>
  <c r="L182" i="17"/>
  <c r="D182" i="17" s="1"/>
  <c r="L183" i="17"/>
  <c r="D183" i="17" s="1"/>
  <c r="L184" i="17"/>
  <c r="D184" i="17" s="1"/>
  <c r="L185" i="17"/>
  <c r="D185" i="17" s="1"/>
  <c r="L186" i="17"/>
  <c r="D186" i="17" s="1"/>
  <c r="L194" i="17"/>
  <c r="D194" i="17" s="1"/>
  <c r="L195" i="17"/>
  <c r="D195" i="17" s="1"/>
  <c r="L197" i="17"/>
  <c r="D197" i="17" s="1"/>
  <c r="L199" i="17"/>
  <c r="D199" i="17" s="1"/>
  <c r="L200" i="17"/>
  <c r="D200" i="17" s="1"/>
  <c r="L204" i="17"/>
  <c r="D204" i="17" s="1"/>
  <c r="L206" i="17"/>
  <c r="D206" i="17" s="1"/>
  <c r="L207" i="17"/>
  <c r="D207" i="17" s="1"/>
  <c r="L208" i="17"/>
  <c r="D208" i="17" s="1"/>
  <c r="L214" i="17"/>
  <c r="D214" i="17" s="1"/>
  <c r="L215" i="17"/>
  <c r="D215" i="17" s="1"/>
  <c r="L216" i="17"/>
  <c r="L217" i="17"/>
  <c r="D217" i="17" s="1"/>
  <c r="L219" i="17"/>
  <c r="L222" i="17"/>
  <c r="D222" i="17" s="1"/>
  <c r="L223" i="17"/>
  <c r="D223" i="17" s="1"/>
  <c r="L224" i="17"/>
  <c r="D224" i="17" s="1"/>
  <c r="L226" i="17"/>
  <c r="D226" i="17" s="1"/>
  <c r="L228" i="17"/>
  <c r="L229" i="17"/>
  <c r="D229" i="17" s="1"/>
  <c r="L231" i="17"/>
  <c r="D231" i="17" s="1"/>
  <c r="L232" i="17"/>
  <c r="D232" i="17" s="1"/>
  <c r="L234" i="17"/>
  <c r="D234" i="17" s="1"/>
  <c r="L235" i="17"/>
  <c r="D235" i="17" s="1"/>
  <c r="L236" i="17"/>
  <c r="D236" i="17" s="1"/>
  <c r="L238" i="17"/>
  <c r="L240" i="17"/>
  <c r="D240" i="17" s="1"/>
  <c r="L242" i="17"/>
  <c r="D242" i="17" s="1"/>
  <c r="L244" i="17"/>
  <c r="D244" i="17" s="1"/>
  <c r="L245" i="17"/>
  <c r="D245" i="17" s="1"/>
  <c r="L247" i="17"/>
  <c r="D247" i="17" s="1"/>
  <c r="L249" i="17"/>
  <c r="D249" i="17" s="1"/>
  <c r="L251" i="17"/>
  <c r="D251" i="17" s="1"/>
  <c r="L253" i="17"/>
  <c r="D253" i="17" s="1"/>
  <c r="L254" i="17"/>
  <c r="D254" i="17" s="1"/>
  <c r="L257" i="17"/>
  <c r="D257" i="17" s="1"/>
  <c r="L258" i="17"/>
  <c r="D258" i="17" s="1"/>
  <c r="L259" i="17"/>
  <c r="L260" i="17"/>
  <c r="L264" i="17"/>
  <c r="D264" i="17" s="1"/>
  <c r="L266" i="17"/>
  <c r="D266" i="17" s="1"/>
  <c r="L267" i="17"/>
  <c r="D267" i="17" s="1"/>
  <c r="L269" i="17"/>
  <c r="D269" i="17" s="1"/>
  <c r="L270" i="17"/>
  <c r="L271" i="17"/>
  <c r="D271" i="17" s="1"/>
  <c r="L272" i="17"/>
  <c r="B64" i="7" s="1"/>
  <c r="L275" i="17"/>
  <c r="D275" i="17" s="1"/>
  <c r="L276" i="17"/>
  <c r="L277" i="17"/>
  <c r="D277" i="17" s="1"/>
  <c r="L278" i="17"/>
  <c r="L279" i="17"/>
  <c r="D279" i="17" s="1"/>
  <c r="L280" i="17"/>
  <c r="L281" i="17"/>
  <c r="D281" i="17" s="1"/>
  <c r="L283" i="17"/>
  <c r="D283" i="17" s="1"/>
  <c r="L284" i="17"/>
  <c r="D284" i="17" s="1"/>
  <c r="L285" i="17"/>
  <c r="L287" i="17"/>
  <c r="D287" i="17" s="1"/>
  <c r="L288" i="17"/>
  <c r="L289" i="17"/>
  <c r="D289" i="17" s="1"/>
  <c r="L291" i="17"/>
  <c r="D291" i="17" s="1"/>
  <c r="L292" i="17"/>
  <c r="D292" i="17" s="1"/>
  <c r="L294" i="17"/>
  <c r="D294" i="17" s="1"/>
  <c r="L295" i="17"/>
  <c r="D295" i="17" s="1"/>
  <c r="L296" i="17"/>
  <c r="L297" i="17"/>
  <c r="D297" i="17" s="1"/>
  <c r="L299" i="17"/>
  <c r="L302" i="17"/>
  <c r="D302" i="17" s="1"/>
  <c r="L306" i="17"/>
  <c r="D306" i="17" s="1"/>
  <c r="L307" i="17"/>
  <c r="D307" i="17" s="1"/>
  <c r="L308" i="17"/>
  <c r="D308" i="17" s="1"/>
  <c r="L309" i="17"/>
  <c r="D309" i="17" s="1"/>
  <c r="L310" i="17"/>
  <c r="D310" i="17" s="1"/>
  <c r="L311" i="17"/>
  <c r="D311" i="17" s="1"/>
  <c r="L313" i="17"/>
  <c r="D313" i="17" s="1"/>
  <c r="L314" i="17"/>
  <c r="D314" i="17" s="1"/>
  <c r="L315" i="17"/>
  <c r="D315" i="17" s="1"/>
  <c r="L316" i="17"/>
  <c r="D316" i="17" s="1"/>
  <c r="L317" i="17"/>
  <c r="L319" i="17"/>
  <c r="D319" i="17" s="1"/>
  <c r="L321" i="17"/>
  <c r="D321" i="17" s="1"/>
  <c r="L322" i="17"/>
  <c r="L323" i="17"/>
  <c r="D323" i="17" s="1"/>
  <c r="L325" i="17"/>
  <c r="D325" i="17" s="1"/>
  <c r="L327" i="17"/>
  <c r="D327" i="17" s="1"/>
  <c r="L329" i="17"/>
  <c r="D329" i="17" s="1"/>
  <c r="L330" i="17"/>
  <c r="D330" i="17" s="1"/>
  <c r="L331" i="17"/>
  <c r="D331" i="17" s="1"/>
  <c r="L332" i="17"/>
  <c r="D332" i="17" s="1"/>
  <c r="L333" i="17"/>
  <c r="L334" i="17"/>
  <c r="L335" i="17"/>
  <c r="D335" i="17" s="1"/>
  <c r="L336" i="17"/>
  <c r="D336" i="17" s="1"/>
  <c r="L337" i="17"/>
  <c r="L338" i="17"/>
  <c r="D338" i="17" s="1"/>
  <c r="L340" i="17"/>
  <c r="D340" i="17" s="1"/>
  <c r="L341" i="17"/>
  <c r="D341" i="17" s="1"/>
  <c r="L344" i="17"/>
  <c r="D344" i="17" s="1"/>
  <c r="L346" i="17"/>
  <c r="D346" i="17" s="1"/>
  <c r="L350" i="17"/>
  <c r="D350" i="17" s="1"/>
  <c r="L353" i="17"/>
  <c r="D353" i="17" s="1"/>
  <c r="L354" i="17"/>
  <c r="D354" i="17" s="1"/>
  <c r="L356" i="17"/>
  <c r="D356" i="17" s="1"/>
  <c r="L362" i="17"/>
  <c r="D362" i="17" s="1"/>
  <c r="L363" i="17"/>
  <c r="B67" i="7" s="1"/>
  <c r="L365" i="17"/>
  <c r="D365" i="17" s="1"/>
  <c r="L367" i="17"/>
  <c r="L368" i="17"/>
  <c r="D368" i="17" s="1"/>
  <c r="L372" i="17"/>
  <c r="D372" i="17" s="1"/>
  <c r="L373" i="17"/>
  <c r="D373" i="17" s="1"/>
  <c r="L374" i="17"/>
  <c r="L375" i="17"/>
  <c r="D375" i="17" s="1"/>
  <c r="L377" i="17"/>
  <c r="D377" i="17" s="1"/>
  <c r="L379" i="17"/>
  <c r="D379" i="17" s="1"/>
  <c r="L239" i="17"/>
  <c r="D239" i="17" s="1"/>
  <c r="L241" i="17"/>
  <c r="D241" i="17" s="1"/>
  <c r="L243" i="17"/>
  <c r="L246" i="17"/>
  <c r="D246" i="17" s="1"/>
  <c r="L248" i="17"/>
  <c r="D248" i="17" s="1"/>
  <c r="L250" i="17"/>
  <c r="D250" i="17" s="1"/>
  <c r="L252" i="17"/>
  <c r="D252" i="17" s="1"/>
  <c r="L255" i="17"/>
  <c r="D255" i="17" s="1"/>
  <c r="L256" i="17"/>
  <c r="L261" i="17"/>
  <c r="D261" i="17" s="1"/>
  <c r="L262" i="17"/>
  <c r="D262" i="17" s="1"/>
  <c r="L263" i="17"/>
  <c r="D263" i="17" s="1"/>
  <c r="L265" i="17"/>
  <c r="D265" i="17" s="1"/>
  <c r="L268" i="17"/>
  <c r="D268" i="17" s="1"/>
  <c r="L273" i="17"/>
  <c r="D273" i="17" s="1"/>
  <c r="L274" i="17"/>
  <c r="D274" i="17" s="1"/>
  <c r="L282" i="17"/>
  <c r="L286" i="17"/>
  <c r="D286" i="17" s="1"/>
  <c r="L290" i="17"/>
  <c r="D290" i="17" s="1"/>
  <c r="L293" i="17"/>
  <c r="D293" i="17" s="1"/>
  <c r="L298" i="17"/>
  <c r="L300" i="17"/>
  <c r="D300" i="17" s="1"/>
  <c r="L301" i="17"/>
  <c r="D301" i="17" s="1"/>
  <c r="L303" i="17"/>
  <c r="D303" i="17" s="1"/>
  <c r="L304" i="17"/>
  <c r="D304" i="17" s="1"/>
  <c r="L305" i="17"/>
  <c r="D305" i="17" s="1"/>
  <c r="L312" i="17"/>
  <c r="D312" i="17" s="1"/>
  <c r="L318" i="17"/>
  <c r="D318" i="17" s="1"/>
  <c r="L320" i="17"/>
  <c r="L324" i="17"/>
  <c r="D324" i="17" s="1"/>
  <c r="L326" i="17"/>
  <c r="L328" i="17"/>
  <c r="D328" i="17" s="1"/>
  <c r="L339" i="17"/>
  <c r="D339" i="17" s="1"/>
  <c r="L342" i="17"/>
  <c r="D342" i="17" s="1"/>
  <c r="L343" i="17"/>
  <c r="D343" i="17" s="1"/>
  <c r="L345" i="17"/>
  <c r="D345" i="17" s="1"/>
  <c r="L347" i="17"/>
  <c r="L348" i="17"/>
  <c r="D348" i="17" s="1"/>
  <c r="L349" i="17"/>
  <c r="D349" i="17" s="1"/>
  <c r="L351" i="17"/>
  <c r="L352" i="17"/>
  <c r="D352" i="17" s="1"/>
  <c r="L355" i="17"/>
  <c r="D355" i="17" s="1"/>
  <c r="L357" i="17"/>
  <c r="D357" i="17" s="1"/>
  <c r="L358" i="17"/>
  <c r="D358" i="17" s="1"/>
  <c r="L359" i="17"/>
  <c r="L360" i="17"/>
  <c r="D360" i="17" s="1"/>
  <c r="L361" i="17"/>
  <c r="D361" i="17" s="1"/>
  <c r="L364" i="17"/>
  <c r="D364" i="17" s="1"/>
  <c r="L366" i="17"/>
  <c r="D366" i="17" s="1"/>
  <c r="L369" i="17"/>
  <c r="D369" i="17" s="1"/>
  <c r="L370" i="17"/>
  <c r="D370" i="17" s="1"/>
  <c r="L371" i="17"/>
  <c r="D371" i="17" s="1"/>
  <c r="L376" i="17"/>
  <c r="D376" i="17" s="1"/>
  <c r="L378" i="17"/>
  <c r="L202" i="17"/>
  <c r="D202" i="17" s="1"/>
  <c r="L193" i="17"/>
  <c r="D193" i="17" s="1"/>
  <c r="L189" i="17"/>
  <c r="D189" i="17" s="1"/>
  <c r="L180" i="17"/>
  <c r="D180" i="17" s="1"/>
  <c r="L178" i="17"/>
  <c r="D178" i="17" s="1"/>
  <c r="L174" i="17"/>
  <c r="D174" i="17" s="1"/>
  <c r="L172" i="17"/>
  <c r="D172" i="17" s="1"/>
  <c r="L169" i="17"/>
  <c r="D169" i="17" s="1"/>
  <c r="L167" i="17"/>
  <c r="L164" i="17"/>
  <c r="D164" i="17" s="1"/>
  <c r="L159" i="17"/>
  <c r="D159" i="17" s="1"/>
  <c r="L157" i="17"/>
  <c r="D157" i="17" s="1"/>
  <c r="L152" i="17"/>
  <c r="D152" i="17" s="1"/>
  <c r="L148" i="17"/>
  <c r="D148" i="17" s="1"/>
  <c r="L142" i="17"/>
  <c r="L138" i="17"/>
  <c r="D138" i="17" s="1"/>
  <c r="L134" i="17"/>
  <c r="D134" i="17" s="1"/>
  <c r="L129" i="17"/>
  <c r="D129" i="17" s="1"/>
  <c r="L123" i="17"/>
  <c r="D123" i="17" s="1"/>
  <c r="L119" i="17"/>
  <c r="B59" i="7" s="1"/>
  <c r="L117" i="17"/>
  <c r="L113" i="17"/>
  <c r="D113" i="17" s="1"/>
  <c r="L106" i="17"/>
  <c r="D106" i="17" s="1"/>
  <c r="L104" i="17"/>
  <c r="D104" i="17" s="1"/>
  <c r="L102" i="17"/>
  <c r="L93" i="17"/>
  <c r="D93" i="17" s="1"/>
  <c r="L90" i="17"/>
  <c r="L86" i="17"/>
  <c r="D86" i="17" s="1"/>
  <c r="L81" i="17"/>
  <c r="D81" i="17" s="1"/>
  <c r="L74" i="17"/>
  <c r="D74" i="17" s="1"/>
  <c r="L68" i="17"/>
  <c r="D68" i="17" s="1"/>
  <c r="L65" i="17"/>
  <c r="D65" i="17" s="1"/>
  <c r="L53" i="17"/>
  <c r="D53" i="17" s="1"/>
  <c r="L45" i="17"/>
  <c r="D45" i="17" s="1"/>
  <c r="L38" i="17"/>
  <c r="D38" i="17" s="1"/>
  <c r="L35" i="17"/>
  <c r="D35" i="17" s="1"/>
  <c r="L96" i="17"/>
  <c r="D96" i="17" s="1"/>
  <c r="L92" i="17"/>
  <c r="D92" i="17" s="1"/>
  <c r="L87" i="17"/>
  <c r="D87" i="17" s="1"/>
  <c r="L84" i="17"/>
  <c r="D84" i="17" s="1"/>
  <c r="L80" i="17"/>
  <c r="D80" i="17" s="1"/>
  <c r="L76" i="17"/>
  <c r="D76" i="17" s="1"/>
  <c r="L72" i="17"/>
  <c r="D72" i="17" s="1"/>
  <c r="L66" i="17"/>
  <c r="D66" i="17" s="1"/>
  <c r="L59" i="17"/>
  <c r="D59" i="17" s="1"/>
  <c r="L57" i="17"/>
  <c r="D57" i="17" s="1"/>
  <c r="L52" i="17"/>
  <c r="D52" i="17" s="1"/>
  <c r="L44" i="17"/>
  <c r="D44" i="17" s="1"/>
  <c r="L40" i="17"/>
  <c r="D40" i="17" s="1"/>
  <c r="L51" i="17"/>
  <c r="D51" i="17" s="1"/>
  <c r="L46" i="17"/>
  <c r="D46" i="17" s="1"/>
  <c r="L36" i="17"/>
  <c r="D36" i="17" s="1"/>
  <c r="L11" i="20"/>
  <c r="AL9" i="7"/>
  <c r="D35" i="16"/>
  <c r="L203" i="17"/>
  <c r="D203" i="17" s="1"/>
  <c r="L198" i="17"/>
  <c r="D198" i="17" s="1"/>
  <c r="L192" i="17"/>
  <c r="D192" i="17" s="1"/>
  <c r="L187" i="17"/>
  <c r="L179" i="17"/>
  <c r="D179" i="17" s="1"/>
  <c r="L175" i="17"/>
  <c r="D175" i="17" s="1"/>
  <c r="L173" i="17"/>
  <c r="D173" i="17" s="1"/>
  <c r="L171" i="17"/>
  <c r="D171" i="17" s="1"/>
  <c r="L168" i="17"/>
  <c r="D168" i="17" s="1"/>
  <c r="L165" i="17"/>
  <c r="D165" i="17" s="1"/>
  <c r="L163" i="17"/>
  <c r="D163" i="17" s="1"/>
  <c r="L158" i="17"/>
  <c r="D158" i="17" s="1"/>
  <c r="L154" i="17"/>
  <c r="D154" i="17" s="1"/>
  <c r="L151" i="17"/>
  <c r="D151" i="17" s="1"/>
  <c r="L147" i="17"/>
  <c r="D147" i="17" s="1"/>
  <c r="L141" i="17"/>
  <c r="D141" i="17" s="1"/>
  <c r="L136" i="17"/>
  <c r="D136" i="17" s="1"/>
  <c r="L133" i="17"/>
  <c r="D133" i="17" s="1"/>
  <c r="L128" i="17"/>
  <c r="D128" i="17" s="1"/>
  <c r="L121" i="17"/>
  <c r="D121" i="17" s="1"/>
  <c r="L118" i="17"/>
  <c r="D118" i="17" s="1"/>
  <c r="L115" i="17"/>
  <c r="D115" i="17" s="1"/>
  <c r="L111" i="17"/>
  <c r="D111" i="17" s="1"/>
  <c r="L105" i="17"/>
  <c r="D105" i="17" s="1"/>
  <c r="L103" i="17"/>
  <c r="D103" i="17" s="1"/>
  <c r="L98" i="17"/>
  <c r="D98" i="17" s="1"/>
  <c r="L91" i="17"/>
  <c r="D91" i="17" s="1"/>
  <c r="L89" i="17"/>
  <c r="L82" i="17"/>
  <c r="D82" i="17" s="1"/>
  <c r="L77" i="17"/>
  <c r="D77" i="17" s="1"/>
  <c r="L70" i="17"/>
  <c r="D70" i="17" s="1"/>
  <c r="L67" i="17"/>
  <c r="D67" i="17" s="1"/>
  <c r="L61" i="17"/>
  <c r="D61" i="17" s="1"/>
  <c r="L48" i="17"/>
  <c r="D48" i="17" s="1"/>
  <c r="L39" i="17"/>
  <c r="D39" i="17" s="1"/>
  <c r="L37" i="17"/>
  <c r="D37" i="17" s="1"/>
  <c r="L101" i="17"/>
  <c r="D101" i="17" s="1"/>
  <c r="L94" i="17"/>
  <c r="D94" i="17" s="1"/>
  <c r="L88" i="17"/>
  <c r="L85" i="17"/>
  <c r="D85" i="17" s="1"/>
  <c r="L83" i="17"/>
  <c r="D83" i="17" s="1"/>
  <c r="L78" i="17"/>
  <c r="D78" i="17" s="1"/>
  <c r="L73" i="17"/>
  <c r="D73" i="17" s="1"/>
  <c r="L69" i="17"/>
  <c r="D69" i="17" s="1"/>
  <c r="L64" i="17"/>
  <c r="D64" i="17" s="1"/>
  <c r="L58" i="17"/>
  <c r="D58" i="17" s="1"/>
  <c r="L54" i="17"/>
  <c r="D54" i="17" s="1"/>
  <c r="L50" i="17"/>
  <c r="D50" i="17" s="1"/>
  <c r="L42" i="17"/>
  <c r="D42" i="17" s="1"/>
  <c r="L55" i="17"/>
  <c r="D55" i="17" s="1"/>
  <c r="L47" i="17"/>
  <c r="D47" i="17" s="1"/>
  <c r="L41" i="17"/>
  <c r="D41" i="17" s="1"/>
  <c r="L33" i="17"/>
  <c r="D33" i="17" s="1"/>
  <c r="AA9" i="7"/>
  <c r="L12" i="18"/>
  <c r="D28" i="16"/>
  <c r="L15" i="18"/>
  <c r="L17" i="18"/>
  <c r="L22" i="18"/>
  <c r="L25" i="18"/>
  <c r="L30" i="18"/>
  <c r="L20" i="18"/>
  <c r="L24" i="18"/>
  <c r="L28" i="18"/>
  <c r="L31" i="18"/>
  <c r="L34" i="18"/>
  <c r="L16" i="18"/>
  <c r="L18" i="18"/>
  <c r="L23" i="18"/>
  <c r="L26" i="18"/>
  <c r="L19" i="18"/>
  <c r="L21" i="18"/>
  <c r="L27" i="18"/>
  <c r="L29" i="18"/>
  <c r="B68" i="7" s="1"/>
  <c r="D89" i="17"/>
  <c r="D187" i="17"/>
  <c r="AG9" i="7"/>
  <c r="L378" i="18"/>
  <c r="L376" i="18"/>
  <c r="L368" i="18"/>
  <c r="L364" i="18"/>
  <c r="L362" i="18"/>
  <c r="L359" i="18"/>
  <c r="L357" i="18"/>
  <c r="L352" i="18"/>
  <c r="L347" i="18"/>
  <c r="L342" i="18"/>
  <c r="L340" i="18"/>
  <c r="L338" i="18"/>
  <c r="L334" i="18"/>
  <c r="L332" i="18"/>
  <c r="L329" i="18"/>
  <c r="L326" i="18"/>
  <c r="L324" i="18"/>
  <c r="L318" i="18"/>
  <c r="L316" i="18"/>
  <c r="L310" i="18"/>
  <c r="L304" i="18"/>
  <c r="L299" i="18"/>
  <c r="L296" i="18"/>
  <c r="L291" i="18"/>
  <c r="L289" i="18"/>
  <c r="L287" i="18"/>
  <c r="L285" i="18"/>
  <c r="L281" i="18"/>
  <c r="L279" i="18"/>
  <c r="L277" i="18"/>
  <c r="L274" i="18"/>
  <c r="L270" i="18"/>
  <c r="L266" i="18"/>
  <c r="L255" i="18"/>
  <c r="L251" i="18"/>
  <c r="L247" i="18"/>
  <c r="L244" i="18"/>
  <c r="L237" i="18"/>
  <c r="L375" i="18"/>
  <c r="L373" i="18"/>
  <c r="L371" i="18"/>
  <c r="L367" i="18"/>
  <c r="L360" i="18"/>
  <c r="L354" i="18"/>
  <c r="L350" i="18"/>
  <c r="L348" i="18"/>
  <c r="L344" i="18"/>
  <c r="L337" i="18"/>
  <c r="L331" i="18"/>
  <c r="L323" i="18"/>
  <c r="L320" i="18"/>
  <c r="L315" i="18"/>
  <c r="L313" i="18"/>
  <c r="L309" i="18"/>
  <c r="L306" i="18"/>
  <c r="L303" i="18"/>
  <c r="L301" i="18"/>
  <c r="L295" i="18"/>
  <c r="L292" i="18"/>
  <c r="L282" i="18"/>
  <c r="L273" i="18"/>
  <c r="L268" i="18"/>
  <c r="L265" i="18"/>
  <c r="L263" i="18"/>
  <c r="L260" i="18"/>
  <c r="L258" i="18"/>
  <c r="L256" i="18"/>
  <c r="L252" i="18"/>
  <c r="L249" i="18"/>
  <c r="L243" i="18"/>
  <c r="L241" i="18"/>
  <c r="B75" i="7" s="1"/>
  <c r="L238" i="18"/>
  <c r="L235" i="18"/>
  <c r="L232" i="18"/>
  <c r="L229" i="18"/>
  <c r="L227" i="18"/>
  <c r="L225" i="18"/>
  <c r="L218" i="18"/>
  <c r="L212" i="18"/>
  <c r="L208" i="18"/>
  <c r="L204" i="18"/>
  <c r="L195" i="18"/>
  <c r="L184" i="18"/>
  <c r="L174" i="18"/>
  <c r="L172" i="18"/>
  <c r="L169" i="18"/>
  <c r="L159" i="18"/>
  <c r="L151" i="18"/>
  <c r="L230" i="18"/>
  <c r="L223" i="18"/>
  <c r="L221" i="18"/>
  <c r="L217" i="18"/>
  <c r="L215" i="18"/>
  <c r="L211" i="18"/>
  <c r="L207" i="18"/>
  <c r="L203" i="18"/>
  <c r="L198" i="18"/>
  <c r="L181" i="18"/>
  <c r="L178" i="18"/>
  <c r="L167" i="18"/>
  <c r="L164" i="18"/>
  <c r="L162" i="18"/>
  <c r="L156" i="18"/>
  <c r="L152" i="18"/>
  <c r="L145" i="18"/>
  <c r="L143" i="18"/>
  <c r="L127" i="18"/>
  <c r="L120" i="18"/>
  <c r="L117" i="18"/>
  <c r="L114" i="18"/>
  <c r="L107" i="18"/>
  <c r="L105" i="18"/>
  <c r="L92" i="18"/>
  <c r="L60" i="18"/>
  <c r="B69" i="7" s="1"/>
  <c r="L41" i="18"/>
  <c r="L137" i="18"/>
  <c r="L125" i="18"/>
  <c r="L98" i="18"/>
  <c r="L84" i="18"/>
  <c r="L73" i="18"/>
  <c r="L70" i="18"/>
  <c r="L63" i="18"/>
  <c r="L54" i="18"/>
  <c r="L200" i="18"/>
  <c r="L196" i="18"/>
  <c r="L193" i="18"/>
  <c r="L191" i="18"/>
  <c r="L189" i="18"/>
  <c r="L185" i="18"/>
  <c r="L182" i="18"/>
  <c r="L176" i="18"/>
  <c r="L166" i="18"/>
  <c r="L158" i="18"/>
  <c r="L153" i="18"/>
  <c r="L149" i="18"/>
  <c r="B72" i="7" s="1"/>
  <c r="L146" i="18"/>
  <c r="L141" i="18"/>
  <c r="L138" i="18"/>
  <c r="L135" i="18"/>
  <c r="L132" i="18"/>
  <c r="L129" i="18"/>
  <c r="L126" i="18"/>
  <c r="L122" i="18"/>
  <c r="L119" i="18"/>
  <c r="B71" i="7" s="1"/>
  <c r="L113" i="18"/>
  <c r="L110" i="18"/>
  <c r="L103" i="18"/>
  <c r="L100" i="18"/>
  <c r="L93" i="18"/>
  <c r="L85" i="18"/>
  <c r="L74" i="18"/>
  <c r="L68" i="18"/>
  <c r="L66" i="18"/>
  <c r="L61" i="18"/>
  <c r="L43" i="18"/>
  <c r="L37" i="18"/>
  <c r="L99" i="18"/>
  <c r="L95" i="18"/>
  <c r="L91" i="18"/>
  <c r="L88" i="18"/>
  <c r="B70" i="7" s="1"/>
  <c r="L83" i="18"/>
  <c r="L80" i="18"/>
  <c r="L77" i="18"/>
  <c r="L71" i="18"/>
  <c r="L56" i="18"/>
  <c r="L50" i="18"/>
  <c r="L45" i="18"/>
  <c r="L55" i="18"/>
  <c r="L51" i="18"/>
  <c r="L47" i="18"/>
  <c r="L44" i="18"/>
  <c r="L40" i="18"/>
  <c r="L35" i="18"/>
  <c r="L32" i="18"/>
  <c r="D90" i="17"/>
  <c r="D102" i="17"/>
  <c r="D117" i="17"/>
  <c r="D142" i="17"/>
  <c r="D167" i="17"/>
  <c r="D359" i="17"/>
  <c r="D347" i="17"/>
  <c r="D326" i="17"/>
  <c r="D320" i="17"/>
  <c r="D298" i="17"/>
  <c r="D282" i="17"/>
  <c r="D256" i="17"/>
  <c r="D243" i="17"/>
  <c r="D374" i="17"/>
  <c r="D367" i="17"/>
  <c r="D363" i="17"/>
  <c r="D334" i="17"/>
  <c r="D317" i="17"/>
  <c r="D299" i="17"/>
  <c r="D296" i="17"/>
  <c r="D288" i="17"/>
  <c r="D285" i="17"/>
  <c r="D280" i="17"/>
  <c r="D278" i="17"/>
  <c r="D276" i="17"/>
  <c r="D270" i="17"/>
  <c r="D259" i="17"/>
  <c r="D238" i="17"/>
  <c r="D219" i="17"/>
  <c r="D216" i="17"/>
  <c r="D149" i="17"/>
  <c r="D227" i="17"/>
  <c r="D221" i="17"/>
  <c r="D212" i="17"/>
  <c r="D210" i="17"/>
  <c r="D196" i="17"/>
  <c r="D124" i="17"/>
  <c r="AR9" i="7"/>
  <c r="L11" i="22"/>
  <c r="L377" i="18"/>
  <c r="L369" i="18"/>
  <c r="L365" i="18"/>
  <c r="L363" i="18"/>
  <c r="B79" i="7" s="1"/>
  <c r="L361" i="18"/>
  <c r="L358" i="18"/>
  <c r="L355" i="18"/>
  <c r="L351" i="18"/>
  <c r="L345" i="18"/>
  <c r="L341" i="18"/>
  <c r="L339" i="18"/>
  <c r="L335" i="18"/>
  <c r="L333" i="18"/>
  <c r="B78" i="7" s="1"/>
  <c r="L330" i="18"/>
  <c r="L327" i="18"/>
  <c r="L325" i="18"/>
  <c r="L322" i="18"/>
  <c r="L317" i="18"/>
  <c r="L311" i="18"/>
  <c r="L307" i="18"/>
  <c r="L300" i="18"/>
  <c r="L298" i="18"/>
  <c r="L294" i="18"/>
  <c r="L290" i="18"/>
  <c r="L288" i="18"/>
  <c r="L286" i="18"/>
  <c r="L283" i="18"/>
  <c r="L280" i="18"/>
  <c r="L278" i="18"/>
  <c r="L275" i="18"/>
  <c r="L272" i="18"/>
  <c r="B76" i="7" s="1"/>
  <c r="L269" i="18"/>
  <c r="L261" i="18"/>
  <c r="L254" i="18"/>
  <c r="L248" i="18"/>
  <c r="L245" i="18"/>
  <c r="L240" i="18"/>
  <c r="L379" i="18"/>
  <c r="L374" i="18"/>
  <c r="L372" i="18"/>
  <c r="L370" i="18"/>
  <c r="L366" i="18"/>
  <c r="L356" i="18"/>
  <c r="L353" i="18"/>
  <c r="L349" i="18"/>
  <c r="L346" i="18"/>
  <c r="L343" i="18"/>
  <c r="L336" i="18"/>
  <c r="L328" i="18"/>
  <c r="L321" i="18"/>
  <c r="L319" i="18"/>
  <c r="L314" i="18"/>
  <c r="L312" i="18"/>
  <c r="L308" i="18"/>
  <c r="L305" i="18"/>
  <c r="L302" i="18"/>
  <c r="B77" i="7" s="1"/>
  <c r="L297" i="18"/>
  <c r="L293" i="18"/>
  <c r="L284" i="18"/>
  <c r="L276" i="18"/>
  <c r="L271" i="18"/>
  <c r="L267" i="18"/>
  <c r="L264" i="18"/>
  <c r="L262" i="18"/>
  <c r="L259" i="18"/>
  <c r="L257" i="18"/>
  <c r="L253" i="18"/>
  <c r="L250" i="18"/>
  <c r="L246" i="18"/>
  <c r="L242" i="18"/>
  <c r="L239" i="18"/>
  <c r="L236" i="18"/>
  <c r="L233" i="18"/>
  <c r="L231" i="18"/>
  <c r="L228" i="18"/>
  <c r="L226" i="18"/>
  <c r="L219" i="18"/>
  <c r="L214" i="18"/>
  <c r="L209" i="18"/>
  <c r="L205" i="18"/>
  <c r="L197" i="18"/>
  <c r="L186" i="18"/>
  <c r="L177" i="18"/>
  <c r="L173" i="18"/>
  <c r="L171" i="18"/>
  <c r="L168" i="18"/>
  <c r="L157" i="18"/>
  <c r="L234" i="18"/>
  <c r="L224" i="18"/>
  <c r="L222" i="18"/>
  <c r="L220" i="18"/>
  <c r="L216" i="18"/>
  <c r="L213" i="18"/>
  <c r="L210" i="18"/>
  <c r="B74" i="7" s="1"/>
  <c r="L206" i="18"/>
  <c r="L202" i="18"/>
  <c r="L188" i="18"/>
  <c r="L180" i="18"/>
  <c r="B73" i="7" s="1"/>
  <c r="L170" i="18"/>
  <c r="L165" i="18"/>
  <c r="L163" i="18"/>
  <c r="L161" i="18"/>
  <c r="L154" i="18"/>
  <c r="L147" i="18"/>
  <c r="L144" i="18"/>
  <c r="L133" i="18"/>
  <c r="L123" i="18"/>
  <c r="L118" i="18"/>
  <c r="L115" i="18"/>
  <c r="L112" i="18"/>
  <c r="L106" i="18"/>
  <c r="L104" i="18"/>
  <c r="L76" i="18"/>
  <c r="L59" i="18"/>
  <c r="L140" i="18"/>
  <c r="L131" i="18"/>
  <c r="L108" i="18"/>
  <c r="L86" i="18"/>
  <c r="L79" i="18"/>
  <c r="L72" i="18"/>
  <c r="L65" i="18"/>
  <c r="L62" i="18"/>
  <c r="L201" i="18"/>
  <c r="L199" i="18"/>
  <c r="L194" i="18"/>
  <c r="L192" i="18"/>
  <c r="L190" i="18"/>
  <c r="L187" i="18"/>
  <c r="L183" i="18"/>
  <c r="L179" i="18"/>
  <c r="L175" i="18"/>
  <c r="L160" i="18"/>
  <c r="L155" i="18"/>
  <c r="L150" i="18"/>
  <c r="L148" i="18"/>
  <c r="L142" i="18"/>
  <c r="L139" i="18"/>
  <c r="L136" i="18"/>
  <c r="L134" i="18"/>
  <c r="L130" i="18"/>
  <c r="L128" i="18"/>
  <c r="L124" i="18"/>
  <c r="L121" i="18"/>
  <c r="L116" i="18"/>
  <c r="L111" i="18"/>
  <c r="L109" i="18"/>
  <c r="L101" i="18"/>
  <c r="L97" i="18"/>
  <c r="L89" i="18"/>
  <c r="L82" i="18"/>
  <c r="L69" i="18"/>
  <c r="L67" i="18"/>
  <c r="L64" i="18"/>
  <c r="L58" i="18"/>
  <c r="L38" i="18"/>
  <c r="L102" i="18"/>
  <c r="L96" i="18"/>
  <c r="L94" i="18"/>
  <c r="L90" i="18"/>
  <c r="L87" i="18"/>
  <c r="L81" i="18"/>
  <c r="L78" i="18"/>
  <c r="L75" i="18"/>
  <c r="L57" i="18"/>
  <c r="L53" i="18"/>
  <c r="L49" i="18"/>
  <c r="L36" i="18"/>
  <c r="L52" i="18"/>
  <c r="L48" i="18"/>
  <c r="L46" i="18"/>
  <c r="L42" i="18"/>
  <c r="L39" i="18"/>
  <c r="L33" i="18"/>
  <c r="D378" i="17"/>
  <c r="D351" i="17"/>
  <c r="B63" i="7"/>
  <c r="D337" i="17"/>
  <c r="D322" i="17"/>
  <c r="D260" i="17"/>
  <c r="D228" i="17"/>
  <c r="D166" i="17"/>
  <c r="D144" i="17"/>
  <c r="D140" i="17"/>
  <c r="D126" i="17"/>
  <c r="D110" i="17"/>
  <c r="D97" i="17"/>
  <c r="AM9" i="7"/>
  <c r="L12" i="20"/>
  <c r="AX9" i="7"/>
  <c r="L11" i="23"/>
  <c r="L32" i="20"/>
  <c r="L42" i="20"/>
  <c r="L45" i="20"/>
  <c r="L48" i="20"/>
  <c r="L51" i="20"/>
  <c r="L31" i="20"/>
  <c r="L44" i="20"/>
  <c r="L50" i="20"/>
  <c r="L55" i="20"/>
  <c r="L60" i="20"/>
  <c r="AF21" i="7" s="1"/>
  <c r="L63" i="20"/>
  <c r="L67" i="20"/>
  <c r="L73" i="20"/>
  <c r="L80" i="20"/>
  <c r="L84" i="20"/>
  <c r="L86" i="20"/>
  <c r="L89" i="20"/>
  <c r="L94" i="20"/>
  <c r="L97" i="20"/>
  <c r="L99" i="20"/>
  <c r="L101" i="20"/>
  <c r="L33" i="20"/>
  <c r="L37" i="20"/>
  <c r="L59" i="20"/>
  <c r="L76" i="20"/>
  <c r="L82" i="20"/>
  <c r="L90" i="20"/>
  <c r="L95" i="20"/>
  <c r="L108" i="20"/>
  <c r="L111" i="20"/>
  <c r="L114" i="20"/>
  <c r="L117" i="20"/>
  <c r="L120" i="20"/>
  <c r="L126" i="20"/>
  <c r="L130" i="20"/>
  <c r="L137" i="20"/>
  <c r="L140" i="20"/>
  <c r="L147" i="20"/>
  <c r="L152" i="20"/>
  <c r="L156" i="20"/>
  <c r="L158" i="20"/>
  <c r="L162" i="20"/>
  <c r="L165" i="20"/>
  <c r="L168" i="20"/>
  <c r="L174" i="20"/>
  <c r="L178" i="20"/>
  <c r="L180" i="20"/>
  <c r="AF25" i="7" s="1"/>
  <c r="L184" i="20"/>
  <c r="L193" i="20"/>
  <c r="L197" i="20"/>
  <c r="L200" i="20"/>
  <c r="L53" i="20"/>
  <c r="L64" i="20"/>
  <c r="L69" i="20"/>
  <c r="L71" i="20"/>
  <c r="L104" i="20"/>
  <c r="L112" i="20"/>
  <c r="L121" i="20"/>
  <c r="L125" i="20"/>
  <c r="L131" i="20"/>
  <c r="L134" i="20"/>
  <c r="L141" i="20"/>
  <c r="L39" i="20"/>
  <c r="L58" i="20"/>
  <c r="L75" i="20"/>
  <c r="L81" i="20"/>
  <c r="L105" i="20"/>
  <c r="L116" i="20"/>
  <c r="L128" i="20"/>
  <c r="L136" i="20"/>
  <c r="L143" i="20"/>
  <c r="L148" i="20"/>
  <c r="L155" i="20"/>
  <c r="L164" i="20"/>
  <c r="L169" i="20"/>
  <c r="L176" i="20"/>
  <c r="L187" i="20"/>
  <c r="L189" i="20"/>
  <c r="L199" i="20"/>
  <c r="L204" i="20"/>
  <c r="L209" i="20"/>
  <c r="L211" i="20"/>
  <c r="L222" i="20"/>
  <c r="L234" i="20"/>
  <c r="L145" i="20"/>
  <c r="L151" i="20"/>
  <c r="L171" i="20"/>
  <c r="L173" i="20"/>
  <c r="L183" i="20"/>
  <c r="L190" i="20"/>
  <c r="L194" i="20"/>
  <c r="L203" i="20"/>
  <c r="L207" i="20"/>
  <c r="L213" i="20"/>
  <c r="L215" i="20"/>
  <c r="L217" i="20"/>
  <c r="L219" i="20"/>
  <c r="L221" i="20"/>
  <c r="L225" i="20"/>
  <c r="L227" i="20"/>
  <c r="L229" i="20"/>
  <c r="L231" i="20"/>
  <c r="L233" i="20"/>
  <c r="L237" i="20"/>
  <c r="L240" i="20"/>
  <c r="L242" i="20"/>
  <c r="L245" i="20"/>
  <c r="L249" i="20"/>
  <c r="L253" i="20"/>
  <c r="L256" i="20"/>
  <c r="L260" i="20"/>
  <c r="L262" i="20"/>
  <c r="L269" i="20"/>
  <c r="L272" i="20"/>
  <c r="AF28" i="7" s="1"/>
  <c r="L276" i="20"/>
  <c r="L280" i="20"/>
  <c r="L284" i="20"/>
  <c r="L287" i="20"/>
  <c r="L293" i="20"/>
  <c r="L298" i="20"/>
  <c r="L300" i="20"/>
  <c r="L304" i="20"/>
  <c r="L307" i="20"/>
  <c r="L312" i="20"/>
  <c r="L315" i="20"/>
  <c r="L317" i="20"/>
  <c r="L319" i="20"/>
  <c r="L326" i="20"/>
  <c r="L328" i="20"/>
  <c r="L332" i="20"/>
  <c r="L337" i="20"/>
  <c r="L346" i="20"/>
  <c r="L349" i="20"/>
  <c r="L352" i="20"/>
  <c r="L358" i="20"/>
  <c r="L363" i="20"/>
  <c r="AF31" i="7" s="1"/>
  <c r="L365" i="20"/>
  <c r="L371" i="20"/>
  <c r="L374" i="20"/>
  <c r="L239" i="20"/>
  <c r="L246" i="20"/>
  <c r="L250" i="20"/>
  <c r="L255" i="20"/>
  <c r="L258" i="20"/>
  <c r="L264" i="20"/>
  <c r="L267" i="20"/>
  <c r="L270" i="20"/>
  <c r="L275" i="20"/>
  <c r="L279" i="20"/>
  <c r="L283" i="20"/>
  <c r="L288" i="20"/>
  <c r="L291" i="20"/>
  <c r="L294" i="20"/>
  <c r="L297" i="20"/>
  <c r="L303" i="20"/>
  <c r="L308" i="20"/>
  <c r="L310" i="20"/>
  <c r="L320" i="20"/>
  <c r="L323" i="20"/>
  <c r="L325" i="20"/>
  <c r="L331" i="20"/>
  <c r="L334" i="20"/>
  <c r="L338" i="20"/>
  <c r="L341" i="20"/>
  <c r="L343" i="20"/>
  <c r="L345" i="20"/>
  <c r="L351" i="20"/>
  <c r="L355" i="20"/>
  <c r="L357" i="20"/>
  <c r="L361" i="20"/>
  <c r="L366" i="20"/>
  <c r="L368" i="20"/>
  <c r="L373" i="20"/>
  <c r="L377" i="20"/>
  <c r="L379" i="20"/>
  <c r="L22" i="20"/>
  <c r="L15" i="20"/>
  <c r="L24" i="20"/>
  <c r="L29" i="20"/>
  <c r="AF20" i="7" s="1"/>
  <c r="L21" i="20"/>
  <c r="L30" i="20"/>
  <c r="L20" i="20"/>
  <c r="L28" i="20"/>
  <c r="L36" i="20"/>
  <c r="L43" i="20"/>
  <c r="L47" i="20"/>
  <c r="L49" i="20"/>
  <c r="L54" i="20"/>
  <c r="L41" i="20"/>
  <c r="L46" i="20"/>
  <c r="L52" i="20"/>
  <c r="L56" i="20"/>
  <c r="L61" i="20"/>
  <c r="L65" i="20"/>
  <c r="L72" i="20"/>
  <c r="L78" i="20"/>
  <c r="L83" i="20"/>
  <c r="L85" i="20"/>
  <c r="L87" i="20"/>
  <c r="L91" i="20"/>
  <c r="L96" i="20"/>
  <c r="L98" i="20"/>
  <c r="L100" i="20"/>
  <c r="L102" i="20"/>
  <c r="L35" i="20"/>
  <c r="L57" i="20"/>
  <c r="L66" i="20"/>
  <c r="L77" i="20"/>
  <c r="L88" i="20"/>
  <c r="AF22" i="7" s="1"/>
  <c r="L92" i="20"/>
  <c r="L106" i="20"/>
  <c r="L109" i="20"/>
  <c r="L113" i="20"/>
  <c r="L115" i="20"/>
  <c r="L119" i="20"/>
  <c r="AF23" i="7" s="1"/>
  <c r="L123" i="20"/>
  <c r="L129" i="20"/>
  <c r="L135" i="20"/>
  <c r="L138" i="20"/>
  <c r="L144" i="20"/>
  <c r="L150" i="20"/>
  <c r="L154" i="20"/>
  <c r="L157" i="20"/>
  <c r="L161" i="20"/>
  <c r="L163" i="20"/>
  <c r="L166" i="20"/>
  <c r="L170" i="20"/>
  <c r="L177" i="20"/>
  <c r="L179" i="20"/>
  <c r="L181" i="20"/>
  <c r="L191" i="20"/>
  <c r="L196" i="20"/>
  <c r="L198" i="20"/>
  <c r="L34" i="20"/>
  <c r="L62" i="20"/>
  <c r="L68" i="20"/>
  <c r="L70" i="20"/>
  <c r="L103" i="20"/>
  <c r="L107" i="20"/>
  <c r="L118" i="20"/>
  <c r="L124" i="20"/>
  <c r="L127" i="20"/>
  <c r="L132" i="20"/>
  <c r="L139" i="20"/>
  <c r="L38" i="20"/>
  <c r="L40" i="20"/>
  <c r="L74" i="20"/>
  <c r="L79" i="20"/>
  <c r="L93" i="20"/>
  <c r="L110" i="20"/>
  <c r="L122" i="20"/>
  <c r="L133" i="20"/>
  <c r="L142" i="20"/>
  <c r="L146" i="20"/>
  <c r="L153" i="20"/>
  <c r="L160" i="20"/>
  <c r="L167" i="20"/>
  <c r="L175" i="20"/>
  <c r="L185" i="20"/>
  <c r="L188" i="20"/>
  <c r="L195" i="20"/>
  <c r="L202" i="20"/>
  <c r="L206" i="20"/>
  <c r="L210" i="20"/>
  <c r="AF26" i="7" s="1"/>
  <c r="L212" i="20"/>
  <c r="L223" i="20"/>
  <c r="L236" i="20"/>
  <c r="L149" i="20"/>
  <c r="AF24" i="7" s="1"/>
  <c r="L159" i="20"/>
  <c r="L172" i="20"/>
  <c r="L182" i="20"/>
  <c r="L186" i="20"/>
  <c r="L192" i="20"/>
  <c r="L201" i="20"/>
  <c r="L205" i="20"/>
  <c r="L208" i="20"/>
  <c r="L214" i="20"/>
  <c r="L216" i="20"/>
  <c r="L218" i="20"/>
  <c r="L220" i="20"/>
  <c r="L224" i="20"/>
  <c r="L226" i="20"/>
  <c r="L228" i="20"/>
  <c r="L230" i="20"/>
  <c r="L232" i="20"/>
  <c r="L235" i="20"/>
  <c r="L238" i="20"/>
  <c r="L241" i="20"/>
  <c r="AF27" i="7" s="1"/>
  <c r="L243" i="20"/>
  <c r="L248" i="20"/>
  <c r="L252" i="20"/>
  <c r="L254" i="20"/>
  <c r="L259" i="20"/>
  <c r="L261" i="20"/>
  <c r="L266" i="20"/>
  <c r="L271" i="20"/>
  <c r="L273" i="20"/>
  <c r="L278" i="20"/>
  <c r="L282" i="20"/>
  <c r="L286" i="20"/>
  <c r="L290" i="20"/>
  <c r="L295" i="20"/>
  <c r="L299" i="20"/>
  <c r="L302" i="20"/>
  <c r="AF29" i="7" s="1"/>
  <c r="L306" i="20"/>
  <c r="L311" i="20"/>
  <c r="L314" i="20"/>
  <c r="L316" i="20"/>
  <c r="L318" i="20"/>
  <c r="L322" i="20"/>
  <c r="L327" i="20"/>
  <c r="L329" i="20"/>
  <c r="L336" i="20"/>
  <c r="L339" i="20"/>
  <c r="L347" i="20"/>
  <c r="L350" i="20"/>
  <c r="L353" i="20"/>
  <c r="L360" i="20"/>
  <c r="L364" i="20"/>
  <c r="L369" i="20"/>
  <c r="L372" i="20"/>
  <c r="L376" i="20"/>
  <c r="L244" i="20"/>
  <c r="L247" i="20"/>
  <c r="L251" i="20"/>
  <c r="L257" i="20"/>
  <c r="L263" i="20"/>
  <c r="L265" i="20"/>
  <c r="L268" i="20"/>
  <c r="L274" i="20"/>
  <c r="L277" i="20"/>
  <c r="L281" i="20"/>
  <c r="L285" i="20"/>
  <c r="L289" i="20"/>
  <c r="L292" i="20"/>
  <c r="L296" i="20"/>
  <c r="L301" i="20"/>
  <c r="L305" i="20"/>
  <c r="L309" i="20"/>
  <c r="L313" i="20"/>
  <c r="L321" i="20"/>
  <c r="L324" i="20"/>
  <c r="L330" i="20"/>
  <c r="L333" i="20"/>
  <c r="AF30" i="7" s="1"/>
  <c r="L335" i="20"/>
  <c r="L340" i="20"/>
  <c r="L342" i="20"/>
  <c r="L344" i="20"/>
  <c r="L348" i="20"/>
  <c r="L354" i="20"/>
  <c r="L356" i="20"/>
  <c r="L359" i="20"/>
  <c r="L362" i="20"/>
  <c r="L367" i="20"/>
  <c r="L370" i="20"/>
  <c r="L375" i="20"/>
  <c r="L378" i="20"/>
  <c r="L18" i="20"/>
  <c r="L27" i="20"/>
  <c r="L19" i="20"/>
  <c r="L26" i="20"/>
  <c r="L16" i="20"/>
  <c r="L23" i="20"/>
  <c r="L17" i="20"/>
  <c r="L25" i="20"/>
  <c r="L11" i="24"/>
  <c r="BD9" i="7"/>
  <c r="L12" i="22"/>
  <c r="AS9" i="7"/>
  <c r="L20" i="22"/>
  <c r="L25" i="22"/>
  <c r="L30" i="22"/>
  <c r="L34" i="22"/>
  <c r="L43" i="22"/>
  <c r="L53" i="22"/>
  <c r="L22" i="22"/>
  <c r="L24" i="22"/>
  <c r="L29" i="22"/>
  <c r="AF32" i="7" s="1"/>
  <c r="L40" i="22"/>
  <c r="L45" i="22"/>
  <c r="L48" i="22"/>
  <c r="L57" i="22"/>
  <c r="L59" i="22"/>
  <c r="L61" i="22"/>
  <c r="L64" i="22"/>
  <c r="L70" i="22"/>
  <c r="L73" i="22"/>
  <c r="L76" i="22"/>
  <c r="L79" i="22"/>
  <c r="L85" i="22"/>
  <c r="L87" i="22"/>
  <c r="L89" i="22"/>
  <c r="L92" i="22"/>
  <c r="L98" i="22"/>
  <c r="L18" i="22"/>
  <c r="L32" i="22"/>
  <c r="L36" i="22"/>
  <c r="L50" i="22"/>
  <c r="L65" i="22"/>
  <c r="L67" i="22"/>
  <c r="L78" i="22"/>
  <c r="L83" i="22"/>
  <c r="L95" i="22"/>
  <c r="L101" i="22"/>
  <c r="L103" i="22"/>
  <c r="L106" i="22"/>
  <c r="L108" i="22"/>
  <c r="L112" i="22"/>
  <c r="L114" i="22"/>
  <c r="L116" i="22"/>
  <c r="L120" i="22"/>
  <c r="L122" i="22"/>
  <c r="L124" i="22"/>
  <c r="L126" i="22"/>
  <c r="L131" i="22"/>
  <c r="L139" i="22"/>
  <c r="L142" i="22"/>
  <c r="L148" i="22"/>
  <c r="L151" i="22"/>
  <c r="L156" i="22"/>
  <c r="L159" i="22"/>
  <c r="L165" i="22"/>
  <c r="L167" i="22"/>
  <c r="L170" i="22"/>
  <c r="L172" i="22"/>
  <c r="L177" i="22"/>
  <c r="L180" i="22"/>
  <c r="AF37" i="7" s="1"/>
  <c r="L184" i="22"/>
  <c r="L186" i="22"/>
  <c r="L192" i="22"/>
  <c r="L195" i="22"/>
  <c r="L17" i="22"/>
  <c r="L49" i="22"/>
  <c r="L55" i="22"/>
  <c r="L69" i="22"/>
  <c r="L82" i="22"/>
  <c r="L119" i="22"/>
  <c r="AF35" i="7" s="1"/>
  <c r="L130" i="22"/>
  <c r="L133" i="22"/>
  <c r="L37" i="22"/>
  <c r="L39" i="22"/>
  <c r="L90" i="22"/>
  <c r="L105" i="22"/>
  <c r="L111" i="22"/>
  <c r="L127" i="22"/>
  <c r="L137" i="22"/>
  <c r="L140" i="22"/>
  <c r="L152" i="22"/>
  <c r="L155" i="22"/>
  <c r="L160" i="22"/>
  <c r="L163" i="22"/>
  <c r="L175" i="22"/>
  <c r="L198" i="22"/>
  <c r="L204" i="22"/>
  <c r="L206" i="22"/>
  <c r="L209" i="22"/>
  <c r="L213" i="22"/>
  <c r="L217" i="22"/>
  <c r="L219" i="22"/>
  <c r="L222" i="22"/>
  <c r="L226" i="22"/>
  <c r="L232" i="22"/>
  <c r="L144" i="22"/>
  <c r="L147" i="22"/>
  <c r="L162" i="22"/>
  <c r="L176" i="22"/>
  <c r="L183" i="22"/>
  <c r="L188" i="22"/>
  <c r="L190" i="22"/>
  <c r="L196" i="22"/>
  <c r="L199" i="22"/>
  <c r="L202" i="22"/>
  <c r="L207" i="22"/>
  <c r="L212" i="22"/>
  <c r="L216" i="22"/>
  <c r="L223" i="22"/>
  <c r="L227" i="22"/>
  <c r="L230" i="22"/>
  <c r="L234" i="22"/>
  <c r="L237" i="22"/>
  <c r="L243" i="22"/>
  <c r="L246" i="22"/>
  <c r="L250" i="22"/>
  <c r="L252" i="22"/>
  <c r="L255" i="22"/>
  <c r="L258" i="22"/>
  <c r="L260" i="22"/>
  <c r="L265" i="22"/>
  <c r="L269" i="22"/>
  <c r="L275" i="22"/>
  <c r="L277" i="22"/>
  <c r="L280" i="22"/>
  <c r="L284" i="22"/>
  <c r="L289" i="22"/>
  <c r="L294" i="22"/>
  <c r="L297" i="22"/>
  <c r="L302" i="22"/>
  <c r="AF41" i="7" s="1"/>
  <c r="L307" i="22"/>
  <c r="L312" i="22"/>
  <c r="L314" i="22"/>
  <c r="L319" i="22"/>
  <c r="L323" i="22"/>
  <c r="L330" i="22"/>
  <c r="L337" i="22"/>
  <c r="L341" i="22"/>
  <c r="L349" i="22"/>
  <c r="L351" i="22"/>
  <c r="L356" i="22"/>
  <c r="L361" i="22"/>
  <c r="L364" i="22"/>
  <c r="L370" i="22"/>
  <c r="L372" i="22"/>
  <c r="L379" i="22"/>
  <c r="L236" i="22"/>
  <c r="L239" i="22"/>
  <c r="L241" i="22"/>
  <c r="AF39" i="7" s="1"/>
  <c r="L247" i="22"/>
  <c r="L254" i="22"/>
  <c r="L261" i="22"/>
  <c r="L264" i="22"/>
  <c r="L268" i="22"/>
  <c r="L272" i="22"/>
  <c r="AF40" i="7" s="1"/>
  <c r="L274" i="22"/>
  <c r="L282" i="22"/>
  <c r="L285" i="22"/>
  <c r="L288" i="22"/>
  <c r="L292" i="22"/>
  <c r="L295" i="22"/>
  <c r="L300" i="22"/>
  <c r="L303" i="22"/>
  <c r="L305" i="22"/>
  <c r="L310" i="22"/>
  <c r="L315" i="22"/>
  <c r="L318" i="22"/>
  <c r="L322" i="22"/>
  <c r="L325" i="22"/>
  <c r="L327" i="22"/>
  <c r="L332" i="22"/>
  <c r="L334" i="22"/>
  <c r="L336" i="22"/>
  <c r="L339" i="22"/>
  <c r="L343" i="22"/>
  <c r="L346" i="22"/>
  <c r="L348" i="22"/>
  <c r="L354" i="22"/>
  <c r="L357" i="22"/>
  <c r="L360" i="22"/>
  <c r="L366" i="22"/>
  <c r="L368" i="22"/>
  <c r="L373" i="22"/>
  <c r="L376" i="22"/>
  <c r="L378" i="22"/>
  <c r="L15" i="22"/>
  <c r="L21" i="22"/>
  <c r="L27" i="22"/>
  <c r="L31" i="22"/>
  <c r="L41" i="22"/>
  <c r="L46" i="22"/>
  <c r="L54" i="22"/>
  <c r="L23" i="22"/>
  <c r="L28" i="22"/>
  <c r="L33" i="22"/>
  <c r="L44" i="22"/>
  <c r="L47" i="22"/>
  <c r="L51" i="22"/>
  <c r="L58" i="22"/>
  <c r="L60" i="22"/>
  <c r="AF33" i="7" s="1"/>
  <c r="L62" i="22"/>
  <c r="L68" i="22"/>
  <c r="L71" i="22"/>
  <c r="L74" i="22"/>
  <c r="L77" i="22"/>
  <c r="L84" i="22"/>
  <c r="L86" i="22"/>
  <c r="L88" i="22"/>
  <c r="AF34" i="7" s="1"/>
  <c r="L91" i="22"/>
  <c r="L94" i="22"/>
  <c r="L99" i="22"/>
  <c r="L19" i="22"/>
  <c r="L35" i="22"/>
  <c r="L42" i="22"/>
  <c r="L56" i="22"/>
  <c r="L66" i="22"/>
  <c r="L72" i="22"/>
  <c r="L81" i="22"/>
  <c r="L93" i="22"/>
  <c r="L96" i="22"/>
  <c r="L102" i="22"/>
  <c r="L104" i="22"/>
  <c r="L107" i="22"/>
  <c r="L109" i="22"/>
  <c r="L113" i="22"/>
  <c r="L115" i="22"/>
  <c r="L118" i="22"/>
  <c r="L121" i="22"/>
  <c r="L123" i="22"/>
  <c r="L125" i="22"/>
  <c r="L128" i="22"/>
  <c r="L134" i="22"/>
  <c r="L141" i="22"/>
  <c r="L145" i="22"/>
  <c r="L150" i="22"/>
  <c r="L153" i="22"/>
  <c r="L158" i="22"/>
  <c r="L164" i="22"/>
  <c r="L166" i="22"/>
  <c r="L168" i="22"/>
  <c r="L171" i="22"/>
  <c r="L173" i="22"/>
  <c r="L178" i="22"/>
  <c r="L182" i="22"/>
  <c r="L185" i="22"/>
  <c r="L191" i="22"/>
  <c r="L193" i="22"/>
  <c r="L16" i="22"/>
  <c r="L26" i="22"/>
  <c r="L52" i="22"/>
  <c r="L63" i="22"/>
  <c r="L75" i="22"/>
  <c r="L97" i="22"/>
  <c r="L129" i="22"/>
  <c r="L132" i="22"/>
  <c r="L135" i="22"/>
  <c r="L38" i="22"/>
  <c r="L80" i="22"/>
  <c r="L100" i="22"/>
  <c r="L110" i="22"/>
  <c r="L117" i="22"/>
  <c r="L136" i="22"/>
  <c r="L138" i="22"/>
  <c r="L143" i="22"/>
  <c r="L154" i="22"/>
  <c r="L157" i="22"/>
  <c r="L161" i="22"/>
  <c r="L174" i="22"/>
  <c r="L181" i="22"/>
  <c r="L200" i="22"/>
  <c r="L205" i="22"/>
  <c r="L208" i="22"/>
  <c r="L210" i="22"/>
  <c r="AF38" i="7" s="1"/>
  <c r="L214" i="22"/>
  <c r="L218" i="22"/>
  <c r="L221" i="22"/>
  <c r="L224" i="22"/>
  <c r="L228" i="22"/>
  <c r="L233" i="22"/>
  <c r="L146" i="22"/>
  <c r="L149" i="22"/>
  <c r="AF36" i="7" s="1"/>
  <c r="L169" i="22"/>
  <c r="L179" i="22"/>
  <c r="L187" i="22"/>
  <c r="L189" i="22"/>
  <c r="L194" i="22"/>
  <c r="L197" i="22"/>
  <c r="L201" i="22"/>
  <c r="L203" i="22"/>
  <c r="L211" i="22"/>
  <c r="L215" i="22"/>
  <c r="L220" i="22"/>
  <c r="L225" i="22"/>
  <c r="L229" i="22"/>
  <c r="L231" i="22"/>
  <c r="L235" i="22"/>
  <c r="L242" i="22"/>
  <c r="L245" i="22"/>
  <c r="L248" i="22"/>
  <c r="L251" i="22"/>
  <c r="L253" i="22"/>
  <c r="L257" i="22"/>
  <c r="L259" i="22"/>
  <c r="L263" i="22"/>
  <c r="L267" i="22"/>
  <c r="L270" i="22"/>
  <c r="L276" i="22"/>
  <c r="L279" i="22"/>
  <c r="L281" i="22"/>
  <c r="L286" i="22"/>
  <c r="L290" i="22"/>
  <c r="L296" i="22"/>
  <c r="L299" i="22"/>
  <c r="L306" i="22"/>
  <c r="L309" i="22"/>
  <c r="L313" i="22"/>
  <c r="L316" i="22"/>
  <c r="L320" i="22"/>
  <c r="L329" i="22"/>
  <c r="L331" i="22"/>
  <c r="L340" i="22"/>
  <c r="L344" i="22"/>
  <c r="L350" i="22"/>
  <c r="L352" i="22"/>
  <c r="L358" i="22"/>
  <c r="L362" i="22"/>
  <c r="L365" i="22"/>
  <c r="L371" i="22"/>
  <c r="L375" i="22"/>
  <c r="L380" i="22"/>
  <c r="L238" i="22"/>
  <c r="L240" i="22"/>
  <c r="L244" i="22"/>
  <c r="L249" i="22"/>
  <c r="L256" i="22"/>
  <c r="L262" i="22"/>
  <c r="L266" i="22"/>
  <c r="L271" i="22"/>
  <c r="L273" i="22"/>
  <c r="L278" i="22"/>
  <c r="L283" i="22"/>
  <c r="L287" i="22"/>
  <c r="L291" i="22"/>
  <c r="L293" i="22"/>
  <c r="L298" i="22"/>
  <c r="L301" i="22"/>
  <c r="L304" i="22"/>
  <c r="L308" i="22"/>
  <c r="L311" i="22"/>
  <c r="L317" i="22"/>
  <c r="L321" i="22"/>
  <c r="L324" i="22"/>
  <c r="L326" i="22"/>
  <c r="L328" i="22"/>
  <c r="L333" i="22"/>
  <c r="AF42" i="7" s="1"/>
  <c r="L335" i="22"/>
  <c r="L338" i="22"/>
  <c r="L342" i="22"/>
  <c r="L345" i="22"/>
  <c r="L347" i="22"/>
  <c r="L353" i="22"/>
  <c r="L355" i="22"/>
  <c r="L359" i="22"/>
  <c r="L363" i="22"/>
  <c r="AF43" i="7" s="1"/>
  <c r="L367" i="22"/>
  <c r="L369" i="22"/>
  <c r="L374" i="22"/>
  <c r="L377" i="22"/>
  <c r="AY9" i="7"/>
  <c r="L12" i="23"/>
  <c r="BJ9" i="7"/>
  <c r="BP9" i="7"/>
  <c r="BV9" i="7"/>
  <c r="L11" i="25"/>
  <c r="BE9" i="7"/>
  <c r="L12" i="24"/>
  <c r="L381" i="22"/>
  <c r="L22" i="23"/>
  <c r="L21" i="23"/>
  <c r="L26" i="23"/>
  <c r="L31" i="23"/>
  <c r="L41" i="23"/>
  <c r="L49" i="23"/>
  <c r="L55" i="23"/>
  <c r="L64" i="23"/>
  <c r="L69" i="23"/>
  <c r="L36" i="23"/>
  <c r="L42" i="23"/>
  <c r="L50" i="23"/>
  <c r="L59" i="23"/>
  <c r="L70" i="23"/>
  <c r="L77" i="23"/>
  <c r="L89" i="23"/>
  <c r="L95" i="23"/>
  <c r="L102" i="23"/>
  <c r="L114" i="23"/>
  <c r="L120" i="23"/>
  <c r="L128" i="23"/>
  <c r="L134" i="23"/>
  <c r="L141" i="23"/>
  <c r="L74" i="23"/>
  <c r="L81" i="23"/>
  <c r="L96" i="23"/>
  <c r="L140" i="23"/>
  <c r="L152" i="23"/>
  <c r="L158" i="23"/>
  <c r="L168" i="23"/>
  <c r="L172" i="23"/>
  <c r="L183" i="23"/>
  <c r="L188" i="23"/>
  <c r="L198" i="23"/>
  <c r="L82" i="23"/>
  <c r="L130" i="23"/>
  <c r="L153" i="23"/>
  <c r="L187" i="23"/>
  <c r="L201" i="23"/>
  <c r="L211" i="23"/>
  <c r="L216" i="23"/>
  <c r="L221" i="23"/>
  <c r="L227" i="23"/>
  <c r="L237" i="23"/>
  <c r="L241" i="23"/>
  <c r="AF51" i="7" s="1"/>
  <c r="L252" i="23"/>
  <c r="L270" i="23"/>
  <c r="L279" i="23"/>
  <c r="L287" i="23"/>
  <c r="L296" i="23"/>
  <c r="L307" i="23"/>
  <c r="L316" i="23"/>
  <c r="L326" i="23"/>
  <c r="L85" i="23"/>
  <c r="L113" i="23"/>
  <c r="L125" i="23"/>
  <c r="L146" i="23"/>
  <c r="L178" i="23"/>
  <c r="L203" i="23"/>
  <c r="L223" i="23"/>
  <c r="L243" i="23"/>
  <c r="L256" i="23"/>
  <c r="L268" i="23"/>
  <c r="L280" i="23"/>
  <c r="L289" i="23"/>
  <c r="L299" i="23"/>
  <c r="L313" i="23"/>
  <c r="L329" i="23"/>
  <c r="L338" i="23"/>
  <c r="L344" i="23"/>
  <c r="L352" i="23"/>
  <c r="L362" i="23"/>
  <c r="L369" i="23"/>
  <c r="L376" i="23"/>
  <c r="L103" i="23"/>
  <c r="L163" i="23"/>
  <c r="L181" i="23"/>
  <c r="L208" i="23"/>
  <c r="L234" i="23"/>
  <c r="L247" i="23"/>
  <c r="L260" i="23"/>
  <c r="L267" i="23"/>
  <c r="L294" i="23"/>
  <c r="L308" i="23"/>
  <c r="L321" i="23"/>
  <c r="L336" i="23"/>
  <c r="L345" i="23"/>
  <c r="L355" i="23"/>
  <c r="L360" i="23"/>
  <c r="L368" i="23"/>
  <c r="L377" i="23"/>
  <c r="L20" i="23"/>
  <c r="L19" i="23"/>
  <c r="L25" i="23"/>
  <c r="L30" i="23"/>
  <c r="L37" i="23"/>
  <c r="L48" i="23"/>
  <c r="L53" i="23"/>
  <c r="L63" i="23"/>
  <c r="L67" i="23"/>
  <c r="L35" i="23"/>
  <c r="L40" i="23"/>
  <c r="L47" i="23"/>
  <c r="L57" i="23"/>
  <c r="L68" i="23"/>
  <c r="L76" i="23"/>
  <c r="L87" i="23"/>
  <c r="L94" i="23"/>
  <c r="L101" i="23"/>
  <c r="L109" i="23"/>
  <c r="L118" i="23"/>
  <c r="L127" i="23"/>
  <c r="L132" i="23"/>
  <c r="L138" i="23"/>
  <c r="L71" i="23"/>
  <c r="L80" i="23"/>
  <c r="L92" i="23"/>
  <c r="L124" i="23"/>
  <c r="L150" i="23"/>
  <c r="L157" i="23"/>
  <c r="L165" i="23"/>
  <c r="L171" i="23"/>
  <c r="L179" i="23"/>
  <c r="L186" i="23"/>
  <c r="L192" i="23"/>
  <c r="L73" i="23"/>
  <c r="L115" i="23"/>
  <c r="L151" i="23"/>
  <c r="L182" i="23"/>
  <c r="L197" i="23"/>
  <c r="L210" i="23"/>
  <c r="AF50" i="7" s="1"/>
  <c r="L215" i="23"/>
  <c r="L220" i="23"/>
  <c r="L226" i="23"/>
  <c r="L236" i="23"/>
  <c r="L240" i="23"/>
  <c r="L251" i="23"/>
  <c r="L269" i="23"/>
  <c r="L274" i="23"/>
  <c r="L286" i="23"/>
  <c r="L295" i="23"/>
  <c r="L303" i="23"/>
  <c r="L315" i="23"/>
  <c r="L325" i="23"/>
  <c r="L332" i="23"/>
  <c r="L111" i="23"/>
  <c r="L123" i="23"/>
  <c r="L144" i="23"/>
  <c r="L176" i="23"/>
  <c r="L196" i="23"/>
  <c r="L218" i="23"/>
  <c r="L242" i="23"/>
  <c r="L255" i="23"/>
  <c r="L266" i="23"/>
  <c r="L277" i="23"/>
  <c r="L285" i="23"/>
  <c r="L297" i="23"/>
  <c r="L310" i="23"/>
  <c r="L328" i="23"/>
  <c r="L335" i="23"/>
  <c r="L343" i="23"/>
  <c r="L351" i="23"/>
  <c r="L359" i="23"/>
  <c r="L366" i="23"/>
  <c r="L374" i="23"/>
  <c r="L100" i="23"/>
  <c r="L162" i="23"/>
  <c r="L180" i="23"/>
  <c r="AF49" i="7" s="1"/>
  <c r="L207" i="23"/>
  <c r="L232" i="23"/>
  <c r="L246" i="23"/>
  <c r="L259" i="23"/>
  <c r="L265" i="23"/>
  <c r="L293" i="23"/>
  <c r="L306" i="23"/>
  <c r="L318" i="23"/>
  <c r="L333" i="23"/>
  <c r="AF54" i="7" s="1"/>
  <c r="L340" i="23"/>
  <c r="L348" i="23"/>
  <c r="L358" i="23"/>
  <c r="L367" i="23"/>
  <c r="L375" i="23"/>
  <c r="L17" i="23"/>
  <c r="L18" i="23"/>
  <c r="L24" i="23"/>
  <c r="L28" i="23"/>
  <c r="L33" i="23"/>
  <c r="L46" i="23"/>
  <c r="L52" i="23"/>
  <c r="L61" i="23"/>
  <c r="L66" i="23"/>
  <c r="L34" i="23"/>
  <c r="L39" i="23"/>
  <c r="L45" i="23"/>
  <c r="L56" i="23"/>
  <c r="L62" i="23"/>
  <c r="L75" i="23"/>
  <c r="L84" i="23"/>
  <c r="L93" i="23"/>
  <c r="L98" i="23"/>
  <c r="L106" i="23"/>
  <c r="L117" i="23"/>
  <c r="L126" i="23"/>
  <c r="L131" i="23"/>
  <c r="L137" i="23"/>
  <c r="L149" i="23"/>
  <c r="AF48" i="7" s="1"/>
  <c r="L79" i="23"/>
  <c r="L91" i="23"/>
  <c r="L112" i="23"/>
  <c r="L145" i="23"/>
  <c r="L156" i="23"/>
  <c r="L160" i="23"/>
  <c r="L170" i="23"/>
  <c r="L177" i="23"/>
  <c r="L185" i="23"/>
  <c r="L190" i="23"/>
  <c r="L200" i="23"/>
  <c r="L108" i="23"/>
  <c r="L143" i="23"/>
  <c r="L174" i="23"/>
  <c r="L193" i="23"/>
  <c r="L205" i="23"/>
  <c r="L213" i="23"/>
  <c r="L219" i="23"/>
  <c r="L225" i="23"/>
  <c r="L233" i="23"/>
  <c r="L239" i="23"/>
  <c r="L250" i="23"/>
  <c r="L258" i="23"/>
  <c r="L273" i="23"/>
  <c r="L282" i="23"/>
  <c r="L292" i="23"/>
  <c r="L301" i="23"/>
  <c r="L311" i="23"/>
  <c r="L323" i="23"/>
  <c r="L330" i="23"/>
  <c r="L110" i="23"/>
  <c r="L121" i="23"/>
  <c r="L139" i="23"/>
  <c r="L166" i="23"/>
  <c r="L195" i="23"/>
  <c r="L214" i="23"/>
  <c r="L231" i="23"/>
  <c r="L253" i="23"/>
  <c r="L264" i="23"/>
  <c r="L276" i="23"/>
  <c r="L284" i="23"/>
  <c r="L291" i="23"/>
  <c r="L304" i="23"/>
  <c r="L320" i="23"/>
  <c r="L334" i="23"/>
  <c r="L342" i="23"/>
  <c r="L350" i="23"/>
  <c r="L354" i="23"/>
  <c r="L365" i="23"/>
  <c r="L373" i="23"/>
  <c r="L99" i="23"/>
  <c r="L161" i="23"/>
  <c r="L173" i="23"/>
  <c r="L206" i="23"/>
  <c r="L228" i="23"/>
  <c r="L244" i="23"/>
  <c r="L254" i="23"/>
  <c r="L262" i="23"/>
  <c r="L278" i="23"/>
  <c r="L305" i="23"/>
  <c r="L314" i="23"/>
  <c r="L324" i="23"/>
  <c r="L339" i="23"/>
  <c r="L347" i="23"/>
  <c r="L357" i="23"/>
  <c r="L364" i="23"/>
  <c r="L371" i="23"/>
  <c r="L16" i="23"/>
  <c r="L15" i="23"/>
  <c r="L23" i="23"/>
  <c r="L27" i="23"/>
  <c r="L32" i="23"/>
  <c r="L43" i="23"/>
  <c r="L51" i="23"/>
  <c r="L58" i="23"/>
  <c r="L65" i="23"/>
  <c r="L29" i="23"/>
  <c r="AF44" i="7" s="1"/>
  <c r="L38" i="23"/>
  <c r="L44" i="23"/>
  <c r="L54" i="23"/>
  <c r="L60" i="23"/>
  <c r="AF45" i="7" s="1"/>
  <c r="L72" i="23"/>
  <c r="L83" i="23"/>
  <c r="L90" i="23"/>
  <c r="L97" i="23"/>
  <c r="L104" i="23"/>
  <c r="L116" i="23"/>
  <c r="L122" i="23"/>
  <c r="L129" i="23"/>
  <c r="L135" i="23"/>
  <c r="L148" i="23"/>
  <c r="L78" i="23"/>
  <c r="L88" i="23"/>
  <c r="AF46" i="7"/>
  <c r="L105" i="23"/>
  <c r="L142" i="23"/>
  <c r="L155" i="23"/>
  <c r="L159" i="23"/>
  <c r="L169" i="23"/>
  <c r="L175" i="23"/>
  <c r="L184" i="23"/>
  <c r="L189" i="23"/>
  <c r="L199" i="23"/>
  <c r="L107" i="23"/>
  <c r="L133" i="23"/>
  <c r="L164" i="23"/>
  <c r="L191" i="23"/>
  <c r="L204" i="23"/>
  <c r="L212" i="23"/>
  <c r="L217" i="23"/>
  <c r="L224" i="23"/>
  <c r="L230" i="23"/>
  <c r="L238" i="23"/>
  <c r="L249" i="23"/>
  <c r="L257" i="23"/>
  <c r="L271" i="23"/>
  <c r="L281" i="23"/>
  <c r="L288" i="23"/>
  <c r="L300" i="23"/>
  <c r="L309" i="23"/>
  <c r="L319" i="23"/>
  <c r="L327" i="23"/>
  <c r="L86" i="23"/>
  <c r="L119" i="23"/>
  <c r="AF47" i="7" s="1"/>
  <c r="L136" i="23"/>
  <c r="L147" i="23"/>
  <c r="L194" i="23"/>
  <c r="L209" i="23"/>
  <c r="L229" i="23"/>
  <c r="L245" i="23"/>
  <c r="L263" i="23"/>
  <c r="L275" i="23"/>
  <c r="L283" i="23"/>
  <c r="L290" i="23"/>
  <c r="L302" i="23"/>
  <c r="AF53" i="7" s="1"/>
  <c r="L317" i="23"/>
  <c r="L331" i="23"/>
  <c r="L341" i="23"/>
  <c r="L349" i="23"/>
  <c r="L353" i="23"/>
  <c r="L363" i="23"/>
  <c r="AF55" i="7"/>
  <c r="L372" i="23"/>
  <c r="L378" i="23"/>
  <c r="L154" i="23"/>
  <c r="L167" i="23"/>
  <c r="L202" i="23"/>
  <c r="L222" i="23"/>
  <c r="L235" i="23"/>
  <c r="L248" i="23"/>
  <c r="L261" i="23"/>
  <c r="L272" i="23"/>
  <c r="AF52" i="7" s="1"/>
  <c r="L298" i="23"/>
  <c r="L312" i="23"/>
  <c r="L322" i="23"/>
  <c r="L337" i="23"/>
  <c r="L346" i="23"/>
  <c r="L356" i="23"/>
  <c r="L361" i="23"/>
  <c r="L370" i="23"/>
  <c r="L379" i="23"/>
  <c r="L382" i="23"/>
  <c r="L15" i="24"/>
  <c r="L21" i="24"/>
  <c r="L25" i="24"/>
  <c r="L27" i="24"/>
  <c r="L35" i="24"/>
  <c r="L39" i="24"/>
  <c r="L46" i="24"/>
  <c r="L53" i="24"/>
  <c r="L63" i="24"/>
  <c r="L30" i="24"/>
  <c r="L43" i="24"/>
  <c r="L52" i="24"/>
  <c r="L59" i="24"/>
  <c r="L67" i="24"/>
  <c r="L83" i="24"/>
  <c r="L89" i="24"/>
  <c r="L94" i="24"/>
  <c r="L109" i="24"/>
  <c r="L114" i="24"/>
  <c r="L125" i="24"/>
  <c r="L129" i="24"/>
  <c r="L137" i="24"/>
  <c r="L146" i="24"/>
  <c r="L79" i="24"/>
  <c r="L96" i="24"/>
  <c r="L111" i="24"/>
  <c r="L139" i="24"/>
  <c r="L144" i="24"/>
  <c r="L159" i="24"/>
  <c r="L166" i="24"/>
  <c r="L173" i="24"/>
  <c r="L180" i="24"/>
  <c r="AF61" i="7" s="1"/>
  <c r="L187" i="24"/>
  <c r="L194" i="24"/>
  <c r="L69" i="24"/>
  <c r="L74" i="24"/>
  <c r="L82" i="24"/>
  <c r="L116" i="24"/>
  <c r="L133" i="24"/>
  <c r="L155" i="24"/>
  <c r="L171" i="24"/>
  <c r="L196" i="24"/>
  <c r="L204" i="24"/>
  <c r="L214" i="24"/>
  <c r="L221" i="24"/>
  <c r="L229" i="24"/>
  <c r="L237" i="24"/>
  <c r="L252" i="24"/>
  <c r="L261" i="24"/>
  <c r="L269" i="24"/>
  <c r="L280" i="24"/>
  <c r="L288" i="24"/>
  <c r="L294" i="24"/>
  <c r="L300" i="24"/>
  <c r="L307" i="24"/>
  <c r="L316" i="24"/>
  <c r="L325" i="24"/>
  <c r="L331" i="24"/>
  <c r="L119" i="24"/>
  <c r="AF59" i="7" s="1"/>
  <c r="L175" i="24"/>
  <c r="L185" i="24"/>
  <c r="L206" i="24"/>
  <c r="L218" i="24"/>
  <c r="L228" i="24"/>
  <c r="L241" i="24"/>
  <c r="AF63" i="7" s="1"/>
  <c r="L247" i="24"/>
  <c r="L256" i="24"/>
  <c r="L272" i="24"/>
  <c r="AF64" i="7" s="1"/>
  <c r="L282" i="24"/>
  <c r="L296" i="24"/>
  <c r="L318" i="24"/>
  <c r="L337" i="24"/>
  <c r="L343" i="24"/>
  <c r="L350" i="24"/>
  <c r="L359" i="24"/>
  <c r="L364" i="24"/>
  <c r="L371" i="24"/>
  <c r="L98" i="24"/>
  <c r="L163" i="24"/>
  <c r="L216" i="24"/>
  <c r="L239" i="24"/>
  <c r="L258" i="24"/>
  <c r="L271" i="24"/>
  <c r="L286" i="24"/>
  <c r="L311" i="24"/>
  <c r="L322" i="24"/>
  <c r="L334" i="24"/>
  <c r="L344" i="24"/>
  <c r="L353" i="24"/>
  <c r="L361" i="24"/>
  <c r="L373" i="24"/>
  <c r="L379" i="24"/>
  <c r="L19" i="24"/>
  <c r="L24" i="24"/>
  <c r="L26" i="24"/>
  <c r="L33" i="24"/>
  <c r="L38" i="24"/>
  <c r="L45" i="24"/>
  <c r="L50" i="24"/>
  <c r="L62" i="24"/>
  <c r="L29" i="24"/>
  <c r="AF56" i="7" s="1"/>
  <c r="L40" i="24"/>
  <c r="L51" i="24"/>
  <c r="L58" i="24"/>
  <c r="L64" i="24"/>
  <c r="L80" i="24"/>
  <c r="L88" i="24"/>
  <c r="AF58" i="7" s="1"/>
  <c r="L93" i="24"/>
  <c r="L102" i="24"/>
  <c r="L113" i="24"/>
  <c r="L124" i="24"/>
  <c r="L128" i="24"/>
  <c r="L135" i="24"/>
  <c r="L145" i="24"/>
  <c r="L70" i="24"/>
  <c r="L95" i="24"/>
  <c r="L105" i="24"/>
  <c r="L136" i="24"/>
  <c r="L143" i="24"/>
  <c r="L157" i="24"/>
  <c r="L164" i="24"/>
  <c r="L170" i="24"/>
  <c r="L179" i="24"/>
  <c r="L186" i="24"/>
  <c r="L193" i="24"/>
  <c r="L201" i="24"/>
  <c r="L73" i="24"/>
  <c r="L81" i="24"/>
  <c r="L108" i="24"/>
  <c r="L132" i="24"/>
  <c r="L152" i="24"/>
  <c r="L167" i="24"/>
  <c r="L190" i="24"/>
  <c r="L203" i="24"/>
  <c r="L213" i="24"/>
  <c r="L220" i="24"/>
  <c r="L225" i="24"/>
  <c r="L234" i="24"/>
  <c r="L251" i="24"/>
  <c r="L259" i="24"/>
  <c r="L268" i="24"/>
  <c r="L278" i="24"/>
  <c r="L287" i="24"/>
  <c r="L293" i="24"/>
  <c r="L299" i="24"/>
  <c r="L305" i="24"/>
  <c r="L315" i="24"/>
  <c r="L323" i="24"/>
  <c r="L330" i="24"/>
  <c r="L118" i="24"/>
  <c r="L165" i="24"/>
  <c r="L183" i="24"/>
  <c r="L205" i="24"/>
  <c r="L211" i="24"/>
  <c r="L227" i="24"/>
  <c r="L236" i="24"/>
  <c r="L246" i="24"/>
  <c r="L255" i="24"/>
  <c r="L267" i="24"/>
  <c r="L281" i="24"/>
  <c r="L295" i="24"/>
  <c r="L308" i="24"/>
  <c r="L335" i="24"/>
  <c r="L342" i="24"/>
  <c r="L349" i="24"/>
  <c r="L356" i="24"/>
  <c r="L363" i="24"/>
  <c r="AF67" i="7" s="1"/>
  <c r="L369" i="24"/>
  <c r="L376" i="24"/>
  <c r="L153" i="24"/>
  <c r="L208" i="24"/>
  <c r="L238" i="24"/>
  <c r="L254" i="24"/>
  <c r="L270" i="24"/>
  <c r="L285" i="24"/>
  <c r="L310" i="24"/>
  <c r="L321" i="24"/>
  <c r="L333" i="24"/>
  <c r="AF66" i="7" s="1"/>
  <c r="L340" i="24"/>
  <c r="L352" i="24"/>
  <c r="L358" i="24"/>
  <c r="L370" i="24"/>
  <c r="L378" i="24"/>
  <c r="L18" i="24"/>
  <c r="L23" i="24"/>
  <c r="L20" i="24"/>
  <c r="L32" i="24"/>
  <c r="L37" i="24"/>
  <c r="L42" i="24"/>
  <c r="L49" i="24"/>
  <c r="L57" i="24"/>
  <c r="L66" i="24"/>
  <c r="L34" i="24"/>
  <c r="L48" i="24"/>
  <c r="L56" i="24"/>
  <c r="L61" i="24"/>
  <c r="L77" i="24"/>
  <c r="L87" i="24"/>
  <c r="L92" i="24"/>
  <c r="L101" i="24"/>
  <c r="L112" i="24"/>
  <c r="L121" i="24"/>
  <c r="L127" i="24"/>
  <c r="L134" i="24"/>
  <c r="L142" i="24"/>
  <c r="L149" i="24"/>
  <c r="AF60" i="7" s="1"/>
  <c r="L91" i="24"/>
  <c r="L104" i="24"/>
  <c r="L123" i="24"/>
  <c r="L141" i="24"/>
  <c r="L156" i="24"/>
  <c r="L161" i="24"/>
  <c r="L169" i="24"/>
  <c r="L176" i="24"/>
  <c r="L182" i="24"/>
  <c r="L192" i="24"/>
  <c r="L199" i="24"/>
  <c r="L72" i="24"/>
  <c r="L76" i="24"/>
  <c r="L107" i="24"/>
  <c r="L130" i="24"/>
  <c r="L151" i="24"/>
  <c r="L162" i="24"/>
  <c r="L184" i="24"/>
  <c r="L200" i="24"/>
  <c r="L212" i="24"/>
  <c r="L217" i="24"/>
  <c r="L223" i="24"/>
  <c r="L232" i="24"/>
  <c r="L243" i="24"/>
  <c r="L257" i="24"/>
  <c r="L265" i="24"/>
  <c r="L277" i="24"/>
  <c r="L284" i="24"/>
  <c r="L292" i="24"/>
  <c r="L298" i="24"/>
  <c r="L303" i="24"/>
  <c r="L314" i="24"/>
  <c r="L319" i="24"/>
  <c r="L329" i="24"/>
  <c r="L86" i="24"/>
  <c r="L147" i="24"/>
  <c r="L178" i="24"/>
  <c r="L202" i="24"/>
  <c r="L210" i="24"/>
  <c r="AF62" i="7" s="1"/>
  <c r="L226" i="24"/>
  <c r="L233" i="24"/>
  <c r="L244" i="24"/>
  <c r="L249" i="24"/>
  <c r="L266" i="24"/>
  <c r="L279" i="24"/>
  <c r="L291" i="24"/>
  <c r="L304" i="24"/>
  <c r="L328" i="24"/>
  <c r="L341" i="24"/>
  <c r="L347" i="24"/>
  <c r="L354" i="24"/>
  <c r="L362" i="24"/>
  <c r="L368" i="24"/>
  <c r="L375" i="24"/>
  <c r="L103" i="24"/>
  <c r="L189" i="24"/>
  <c r="L235" i="24"/>
  <c r="L250" i="24"/>
  <c r="L264" i="24"/>
  <c r="L276" i="24"/>
  <c r="L309" i="24"/>
  <c r="L320" i="24"/>
  <c r="L332" i="24"/>
  <c r="L339" i="24"/>
  <c r="L348" i="24"/>
  <c r="L357" i="24"/>
  <c r="L366" i="24"/>
  <c r="L377" i="24"/>
  <c r="L16" i="24"/>
  <c r="L22" i="24"/>
  <c r="L17" i="24"/>
  <c r="L28" i="24"/>
  <c r="L36" i="24"/>
  <c r="L41" i="24"/>
  <c r="L47" i="24"/>
  <c r="L55" i="24"/>
  <c r="L65" i="24"/>
  <c r="L31" i="24"/>
  <c r="L44" i="24"/>
  <c r="L54" i="24"/>
  <c r="L60" i="24"/>
  <c r="AF57" i="7" s="1"/>
  <c r="L68" i="24"/>
  <c r="L85" i="24"/>
  <c r="L90" i="24"/>
  <c r="L97" i="24"/>
  <c r="L110" i="24"/>
  <c r="L120" i="24"/>
  <c r="L126" i="24"/>
  <c r="L131" i="24"/>
  <c r="L138" i="24"/>
  <c r="L148" i="24"/>
  <c r="L84" i="24"/>
  <c r="L100" i="24"/>
  <c r="L115" i="24"/>
  <c r="L140" i="24"/>
  <c r="L154" i="24"/>
  <c r="L160" i="24"/>
  <c r="L168" i="24"/>
  <c r="L174" i="24"/>
  <c r="L181" i="24"/>
  <c r="L191" i="24"/>
  <c r="L198" i="24"/>
  <c r="L71" i="24"/>
  <c r="L75" i="24"/>
  <c r="L106" i="24"/>
  <c r="L117" i="24"/>
  <c r="L150" i="24"/>
  <c r="L158" i="24"/>
  <c r="L172" i="24"/>
  <c r="L197" i="24"/>
  <c r="L207" i="24"/>
  <c r="L215" i="24"/>
  <c r="L222" i="24"/>
  <c r="L230" i="24"/>
  <c r="L240" i="24"/>
  <c r="L253" i="24"/>
  <c r="L263" i="24"/>
  <c r="L274" i="24"/>
  <c r="L283" i="24"/>
  <c r="L290" i="24"/>
  <c r="L297" i="24"/>
  <c r="L301" i="24"/>
  <c r="L313" i="24"/>
  <c r="L317" i="24"/>
  <c r="L326" i="24"/>
  <c r="L78" i="24"/>
  <c r="L122" i="24"/>
  <c r="L177" i="24"/>
  <c r="L195" i="24"/>
  <c r="L209" i="24"/>
  <c r="L224" i="24"/>
  <c r="L231" i="24"/>
  <c r="L242" i="24"/>
  <c r="L248" i="24"/>
  <c r="L262" i="24"/>
  <c r="L275" i="24"/>
  <c r="L289" i="24"/>
  <c r="L302" i="24"/>
  <c r="AF65" i="7" s="1"/>
  <c r="L327" i="24"/>
  <c r="L338" i="24"/>
  <c r="L346" i="24"/>
  <c r="L351" i="24"/>
  <c r="L360" i="24"/>
  <c r="L367" i="24"/>
  <c r="L372" i="24"/>
  <c r="L99" i="24"/>
  <c r="L188" i="24"/>
  <c r="L219" i="24"/>
  <c r="L245" i="24"/>
  <c r="L260" i="24"/>
  <c r="L273" i="24"/>
  <c r="L306" i="24"/>
  <c r="L312" i="24"/>
  <c r="L324" i="24"/>
  <c r="L336" i="24"/>
  <c r="L345" i="24"/>
  <c r="L355" i="24"/>
  <c r="L365" i="24"/>
  <c r="L374" i="24"/>
  <c r="L12" i="25"/>
  <c r="BK9" i="7"/>
  <c r="BQ9" i="7"/>
  <c r="BW9" i="7"/>
  <c r="L383" i="24"/>
  <c r="L17" i="25"/>
  <c r="L23" i="25"/>
  <c r="L18" i="25"/>
  <c r="L28" i="25"/>
  <c r="L36" i="25"/>
  <c r="L44" i="25"/>
  <c r="L54" i="25"/>
  <c r="L58" i="25"/>
  <c r="L63" i="25"/>
  <c r="L29" i="25"/>
  <c r="AF68" i="7" s="1"/>
  <c r="L37" i="25"/>
  <c r="L46" i="25"/>
  <c r="L51" i="25"/>
  <c r="L67" i="25"/>
  <c r="L74" i="25"/>
  <c r="L79" i="25"/>
  <c r="L84" i="25"/>
  <c r="L92" i="25"/>
  <c r="L97" i="25"/>
  <c r="L103" i="25"/>
  <c r="L111" i="25"/>
  <c r="L118" i="25"/>
  <c r="L125" i="25"/>
  <c r="L130" i="25"/>
  <c r="L138" i="25"/>
  <c r="L147" i="25"/>
  <c r="L77" i="25"/>
  <c r="L100" i="25"/>
  <c r="L119" i="25"/>
  <c r="AF71" i="7" s="1"/>
  <c r="L153" i="25"/>
  <c r="L160" i="25"/>
  <c r="L167" i="25"/>
  <c r="L173" i="25"/>
  <c r="L183" i="25"/>
  <c r="L190" i="25"/>
  <c r="L196" i="25"/>
  <c r="L80" i="25"/>
  <c r="L131" i="25"/>
  <c r="L156" i="25"/>
  <c r="L170" i="25"/>
  <c r="L181" i="25"/>
  <c r="L201" i="25"/>
  <c r="L210" i="25"/>
  <c r="AF74" i="7" s="1"/>
  <c r="L215" i="25"/>
  <c r="L222" i="25"/>
  <c r="L229" i="25"/>
  <c r="L238" i="25"/>
  <c r="L253" i="25"/>
  <c r="L259" i="25"/>
  <c r="L268" i="25"/>
  <c r="L276" i="25"/>
  <c r="L284" i="25"/>
  <c r="L289" i="25"/>
  <c r="L298" i="25"/>
  <c r="L311" i="25"/>
  <c r="L316" i="25"/>
  <c r="L321" i="25"/>
  <c r="L329" i="25"/>
  <c r="L109" i="25"/>
  <c r="L136" i="25"/>
  <c r="L145" i="25"/>
  <c r="L192" i="25"/>
  <c r="L209" i="25"/>
  <c r="L225" i="25"/>
  <c r="L241" i="25"/>
  <c r="AF75" i="7" s="1"/>
  <c r="L250" i="25"/>
  <c r="L262" i="25"/>
  <c r="L271" i="25"/>
  <c r="L281" i="25"/>
  <c r="L292" i="25"/>
  <c r="L302" i="25"/>
  <c r="AF77" i="7"/>
  <c r="L325" i="25"/>
  <c r="L339" i="25"/>
  <c r="L349" i="25"/>
  <c r="L356" i="25"/>
  <c r="L364" i="25"/>
  <c r="L376" i="25"/>
  <c r="L159" i="25"/>
  <c r="L203" i="25"/>
  <c r="L228" i="25"/>
  <c r="L237" i="25"/>
  <c r="L256" i="25"/>
  <c r="L303" i="25"/>
  <c r="L310" i="25"/>
  <c r="L328" i="25"/>
  <c r="L338" i="25"/>
  <c r="L343" i="25"/>
  <c r="L352" i="25"/>
  <c r="L362" i="25"/>
  <c r="L367" i="25"/>
  <c r="L374" i="25"/>
  <c r="L15" i="25"/>
  <c r="L21" i="25"/>
  <c r="L16" i="25"/>
  <c r="L27" i="25"/>
  <c r="L33" i="25"/>
  <c r="L43" i="25"/>
  <c r="L52" i="25"/>
  <c r="L57" i="25"/>
  <c r="L62" i="25"/>
  <c r="L68" i="25"/>
  <c r="L35" i="25"/>
  <c r="L41" i="25"/>
  <c r="L50" i="25"/>
  <c r="L65" i="25"/>
  <c r="L73" i="25"/>
  <c r="L78" i="25"/>
  <c r="L83" i="25"/>
  <c r="L89" i="25"/>
  <c r="L95" i="25"/>
  <c r="L101" i="25"/>
  <c r="L110" i="25"/>
  <c r="L117" i="25"/>
  <c r="L124" i="25"/>
  <c r="L129" i="25"/>
  <c r="L135" i="25"/>
  <c r="L146" i="25"/>
  <c r="L71" i="25"/>
  <c r="L91" i="25"/>
  <c r="L113" i="25"/>
  <c r="L152" i="25"/>
  <c r="L158" i="25"/>
  <c r="L166" i="25"/>
  <c r="L172" i="25"/>
  <c r="L179" i="25"/>
  <c r="L188" i="25"/>
  <c r="L195" i="25"/>
  <c r="L70" i="25"/>
  <c r="L115" i="25"/>
  <c r="L151" i="25"/>
  <c r="L165" i="25"/>
  <c r="L180" i="25"/>
  <c r="AF73" i="7" s="1"/>
  <c r="L199" i="25"/>
  <c r="L207" i="25"/>
  <c r="L213" i="25"/>
  <c r="L219" i="25"/>
  <c r="L227" i="25"/>
  <c r="L234" i="25"/>
  <c r="L252" i="25"/>
  <c r="L258" i="25"/>
  <c r="L267" i="25"/>
  <c r="L275" i="25"/>
  <c r="L282" i="25"/>
  <c r="L288" i="25"/>
  <c r="L294" i="25"/>
  <c r="L309" i="25"/>
  <c r="L315" i="25"/>
  <c r="L320" i="25"/>
  <c r="L327" i="25"/>
  <c r="L88" i="25"/>
  <c r="AF70" i="7" s="1"/>
  <c r="L126" i="25"/>
  <c r="L144" i="25"/>
  <c r="L184" i="25"/>
  <c r="L204" i="25"/>
  <c r="L223" i="25"/>
  <c r="L240" i="25"/>
  <c r="L249" i="25"/>
  <c r="L260" i="25"/>
  <c r="L269" i="25"/>
  <c r="L280" i="25"/>
  <c r="L290" i="25"/>
  <c r="L299" i="25"/>
  <c r="L314" i="25"/>
  <c r="L335" i="25"/>
  <c r="L348" i="25"/>
  <c r="L355" i="25"/>
  <c r="L360" i="25"/>
  <c r="L372" i="25"/>
  <c r="L102" i="25"/>
  <c r="L202" i="25"/>
  <c r="L220" i="25"/>
  <c r="L236" i="25"/>
  <c r="L246" i="25"/>
  <c r="L297" i="25"/>
  <c r="L306" i="25"/>
  <c r="L324" i="25"/>
  <c r="L337" i="25"/>
  <c r="L342" i="25"/>
  <c r="L351" i="25"/>
  <c r="L361" i="25"/>
  <c r="L366" i="25"/>
  <c r="L373" i="25"/>
  <c r="L378" i="25"/>
  <c r="L20" i="25"/>
  <c r="L25" i="25"/>
  <c r="L26" i="25"/>
  <c r="L32" i="25"/>
  <c r="L42" i="25"/>
  <c r="L47" i="25"/>
  <c r="L56" i="25"/>
  <c r="L60" i="25"/>
  <c r="AF69" i="7" s="1"/>
  <c r="L66" i="25"/>
  <c r="L34" i="25"/>
  <c r="L40" i="25"/>
  <c r="L49" i="25"/>
  <c r="L61" i="25"/>
  <c r="L72" i="25"/>
  <c r="L76" i="25"/>
  <c r="L82" i="25"/>
  <c r="L87" i="25"/>
  <c r="L94" i="25"/>
  <c r="L99" i="25"/>
  <c r="L106" i="25"/>
  <c r="L116" i="25"/>
  <c r="L123" i="25"/>
  <c r="L128" i="25"/>
  <c r="L134" i="25"/>
  <c r="L143" i="25"/>
  <c r="L149" i="25"/>
  <c r="AF72" i="7" s="1"/>
  <c r="L90" i="25"/>
  <c r="L112" i="25"/>
  <c r="L140" i="25"/>
  <c r="L155" i="25"/>
  <c r="L163" i="25"/>
  <c r="L171" i="25"/>
  <c r="L175" i="25"/>
  <c r="L187" i="25"/>
  <c r="L193" i="25"/>
  <c r="L200" i="25"/>
  <c r="L107" i="25"/>
  <c r="L150" i="25"/>
  <c r="L161" i="25"/>
  <c r="L178" i="25"/>
  <c r="L189" i="25"/>
  <c r="L206" i="25"/>
  <c r="L212" i="25"/>
  <c r="L218" i="25"/>
  <c r="L226" i="25"/>
  <c r="L233" i="25"/>
  <c r="L247" i="25"/>
  <c r="L257" i="25"/>
  <c r="L266" i="25"/>
  <c r="L273" i="25"/>
  <c r="L279" i="25"/>
  <c r="L287" i="25"/>
  <c r="L293" i="25"/>
  <c r="L301" i="25"/>
  <c r="L313" i="25"/>
  <c r="L319" i="25"/>
  <c r="L326" i="25"/>
  <c r="L332" i="25"/>
  <c r="L121" i="25"/>
  <c r="L139" i="25"/>
  <c r="L176" i="25"/>
  <c r="L198" i="25"/>
  <c r="L221" i="25"/>
  <c r="L239" i="25"/>
  <c r="L248" i="25"/>
  <c r="L254" i="25"/>
  <c r="L265" i="25"/>
  <c r="L274" i="25"/>
  <c r="L286" i="25"/>
  <c r="L296" i="25"/>
  <c r="L308" i="25"/>
  <c r="L333" i="25"/>
  <c r="AF78" i="7" s="1"/>
  <c r="L346" i="25"/>
  <c r="L353" i="25"/>
  <c r="L358" i="25"/>
  <c r="L371" i="25"/>
  <c r="L96" i="25"/>
  <c r="L186" i="25"/>
  <c r="L214" i="25"/>
  <c r="L232" i="25"/>
  <c r="L244" i="25"/>
  <c r="L278" i="25"/>
  <c r="L305" i="25"/>
  <c r="L323" i="25"/>
  <c r="L336" i="25"/>
  <c r="L341" i="25"/>
  <c r="L347" i="25"/>
  <c r="L359" i="25"/>
  <c r="L365" i="25"/>
  <c r="L370" i="25"/>
  <c r="L377" i="25"/>
  <c r="L19" i="25"/>
  <c r="L24" i="25"/>
  <c r="L22" i="25"/>
  <c r="L30" i="25"/>
  <c r="L38" i="25"/>
  <c r="L45" i="25"/>
  <c r="L55" i="25"/>
  <c r="L59" i="25"/>
  <c r="L64" i="25"/>
  <c r="L31" i="25"/>
  <c r="L39" i="25"/>
  <c r="L48" i="25"/>
  <c r="L53" i="25"/>
  <c r="L69" i="25"/>
  <c r="L75" i="25"/>
  <c r="L81" i="25"/>
  <c r="L85" i="25"/>
  <c r="L93" i="25"/>
  <c r="L98" i="25"/>
  <c r="L105" i="25"/>
  <c r="L114" i="25"/>
  <c r="L122" i="25"/>
  <c r="L127" i="25"/>
  <c r="L132" i="25"/>
  <c r="L142" i="25"/>
  <c r="L148" i="25"/>
  <c r="L86" i="25"/>
  <c r="L108" i="25"/>
  <c r="L133" i="25"/>
  <c r="L154" i="25"/>
  <c r="L162" i="25"/>
  <c r="L169" i="25"/>
  <c r="L174" i="25"/>
  <c r="L185" i="25"/>
  <c r="L191" i="25"/>
  <c r="L197" i="25"/>
  <c r="L104" i="25"/>
  <c r="L141" i="25"/>
  <c r="L157" i="25"/>
  <c r="L177" i="25"/>
  <c r="L182" i="25"/>
  <c r="L205" i="25"/>
  <c r="L211" i="25"/>
  <c r="L216" i="25"/>
  <c r="L224" i="25"/>
  <c r="L230" i="25"/>
  <c r="L245" i="25"/>
  <c r="L255" i="25"/>
  <c r="L261" i="25"/>
  <c r="L270" i="25"/>
  <c r="L277" i="25"/>
  <c r="L285" i="25"/>
  <c r="L291" i="25"/>
  <c r="L300" i="25"/>
  <c r="L312" i="25"/>
  <c r="L318" i="25"/>
  <c r="L322" i="25"/>
  <c r="L331" i="25"/>
  <c r="L120" i="25"/>
  <c r="L137" i="25"/>
  <c r="L164" i="25"/>
  <c r="L194" i="25"/>
  <c r="L217" i="25"/>
  <c r="L235" i="25"/>
  <c r="L243" i="25"/>
  <c r="L251" i="25"/>
  <c r="L264" i="25"/>
  <c r="L272" i="25"/>
  <c r="AF76" i="7" s="1"/>
  <c r="L283" i="25"/>
  <c r="L295" i="25"/>
  <c r="L307" i="25"/>
  <c r="L330" i="25"/>
  <c r="L345" i="25"/>
  <c r="L350" i="25"/>
  <c r="L357" i="25"/>
  <c r="L369" i="25"/>
  <c r="L379" i="25"/>
  <c r="L168" i="25"/>
  <c r="L208" i="25"/>
  <c r="L231" i="25"/>
  <c r="L242" i="25"/>
  <c r="L263" i="25"/>
  <c r="L304" i="25"/>
  <c r="L317" i="25"/>
  <c r="L334" i="25"/>
  <c r="L340" i="25"/>
  <c r="L344" i="25"/>
  <c r="L354" i="25"/>
  <c r="L363" i="25"/>
  <c r="AF79" i="7" s="1"/>
  <c r="L368" i="25"/>
  <c r="L375" i="25"/>
  <c r="M33" i="27"/>
  <c r="M31" i="27"/>
  <c r="N67" i="27"/>
  <c r="H25" i="27"/>
  <c r="H31" i="27"/>
  <c r="M27" i="27"/>
  <c r="N63" i="27" s="1"/>
  <c r="M21" i="27"/>
  <c r="H32" i="27"/>
  <c r="AE67" i="27"/>
  <c r="M26" i="27"/>
  <c r="M28" i="27"/>
  <c r="N64" i="27" s="1"/>
  <c r="H33" i="27"/>
  <c r="AE68" i="27" s="1"/>
  <c r="H28" i="27"/>
  <c r="M25" i="27"/>
  <c r="O55" i="27"/>
  <c r="N70" i="27"/>
  <c r="M23" i="27"/>
  <c r="N59" i="27" s="1"/>
  <c r="H23" i="27"/>
  <c r="P59" i="27" s="1"/>
  <c r="H27" i="27"/>
  <c r="I10" i="27"/>
  <c r="J30" i="27"/>
  <c r="N5" i="27"/>
  <c r="G11" i="27"/>
  <c r="G12" i="27"/>
  <c r="I12" i="27" s="1"/>
  <c r="F12" i="27"/>
  <c r="BP14" i="6"/>
  <c r="J55" i="27"/>
  <c r="X55" i="27"/>
  <c r="BQ14" i="6"/>
  <c r="AF63" i="27"/>
  <c r="P63" i="27" s="1"/>
  <c r="AF70" i="27"/>
  <c r="P70" i="27" s="1"/>
  <c r="AF65" i="27"/>
  <c r="P65" i="27" s="1"/>
  <c r="BW15" i="7"/>
  <c r="BQ15" i="7"/>
  <c r="Q10" i="1"/>
  <c r="H35" i="27"/>
  <c r="H36" i="27"/>
  <c r="P72" i="27" s="1"/>
  <c r="P71" i="27"/>
  <c r="L30" i="27"/>
  <c r="W66" i="27" s="1"/>
  <c r="AE63" i="27"/>
  <c r="N62" i="27"/>
  <c r="N57" i="27"/>
  <c r="N69" i="27"/>
  <c r="H21" i="27"/>
  <c r="P57" i="27" s="1"/>
  <c r="H30" i="27"/>
  <c r="H26" i="27"/>
  <c r="M24" i="27"/>
  <c r="N60" i="27" s="1"/>
  <c r="H22" i="27"/>
  <c r="AE58" i="27" s="1"/>
  <c r="H24" i="27"/>
  <c r="AE59" i="27" s="1"/>
  <c r="H29" i="27"/>
  <c r="AE65" i="27" s="1"/>
  <c r="M29" i="27"/>
  <c r="M32" i="27"/>
  <c r="N68" i="27" s="1"/>
  <c r="M30" i="27"/>
  <c r="M22" i="27"/>
  <c r="N58" i="27"/>
  <c r="L14" i="27"/>
  <c r="N61" i="27"/>
  <c r="H37" i="27"/>
  <c r="P54" i="27"/>
  <c r="P56" i="27"/>
  <c r="P58" i="27"/>
  <c r="G22" i="27" s="1"/>
  <c r="P68" i="27"/>
  <c r="N65" i="27"/>
  <c r="AE60" i="27"/>
  <c r="AE57" i="27"/>
  <c r="AE56" i="27"/>
  <c r="AE69" i="27"/>
  <c r="U66" i="27"/>
  <c r="AE347" i="1"/>
  <c r="AE167" i="1"/>
  <c r="AE81" i="1"/>
  <c r="AE73" i="1"/>
  <c r="AE313" i="1"/>
  <c r="AE175" i="1"/>
  <c r="AE91" i="1"/>
  <c r="BM15" i="7"/>
  <c r="AE243" i="1"/>
  <c r="AE370" i="1"/>
  <c r="AE325" i="1"/>
  <c r="AE51" i="1"/>
  <c r="AE157" i="1"/>
  <c r="AE43" i="1"/>
  <c r="AE353" i="1"/>
  <c r="AE249" i="1"/>
  <c r="AE207" i="1"/>
  <c r="AE139" i="1"/>
  <c r="AE293" i="1"/>
  <c r="AE213" i="1"/>
  <c r="AE181" i="1"/>
  <c r="AE83" i="1"/>
  <c r="AE263" i="1"/>
  <c r="AE105" i="1"/>
  <c r="Q49" i="1"/>
  <c r="Q67" i="1"/>
  <c r="Q75" i="1"/>
  <c r="Q85" i="1"/>
  <c r="Q103" i="1"/>
  <c r="Q117" i="1"/>
  <c r="Q127" i="1"/>
  <c r="Q149" i="1"/>
  <c r="Q159" i="1"/>
  <c r="Q177" i="1"/>
  <c r="Q193" i="1"/>
  <c r="Q211" i="1"/>
  <c r="Q221" i="1"/>
  <c r="Q227" i="1"/>
  <c r="Q235" i="1"/>
  <c r="Q241" i="1"/>
  <c r="Q247" i="1"/>
  <c r="Q257" i="1"/>
  <c r="Q271" i="1"/>
  <c r="Q291" i="1"/>
  <c r="Q309" i="1"/>
  <c r="AE211" i="1"/>
  <c r="E15" i="7"/>
  <c r="AE291" i="1"/>
  <c r="BY15" i="7"/>
  <c r="AE41" i="1"/>
  <c r="AE75" i="1"/>
  <c r="AE131" i="1"/>
  <c r="AE209" i="1"/>
  <c r="AE307" i="1"/>
  <c r="AE85" i="1"/>
  <c r="Q23" i="1"/>
  <c r="Q59" i="1"/>
  <c r="Q87" i="1"/>
  <c r="Q115" i="1"/>
  <c r="Q135" i="1"/>
  <c r="Q141" i="1"/>
  <c r="Q148" i="1"/>
  <c r="Q163" i="1"/>
  <c r="Q171" i="1"/>
  <c r="Q197" i="1"/>
  <c r="Q207" i="1"/>
  <c r="Q239" i="1"/>
  <c r="Q259" i="1"/>
  <c r="Q265" i="1"/>
  <c r="Q276" i="1"/>
  <c r="Q277" i="1"/>
  <c r="Q285" i="1"/>
  <c r="Q297" i="1"/>
  <c r="Q303" i="1"/>
  <c r="Q319" i="1"/>
  <c r="Q327" i="1"/>
  <c r="Q345" i="1"/>
  <c r="Q376" i="1"/>
  <c r="Q26" i="1"/>
  <c r="Q333" i="1"/>
  <c r="Q341" i="1"/>
  <c r="Q351" i="1"/>
  <c r="Q362" i="1"/>
  <c r="Q370" i="1"/>
  <c r="Q379" i="1"/>
  <c r="BL15" i="7" s="1"/>
  <c r="AE48" i="1"/>
  <c r="AE100" i="1"/>
  <c r="AE152" i="1"/>
  <c r="AE180" i="1"/>
  <c r="AE218" i="1"/>
  <c r="AE266" i="1"/>
  <c r="AE298" i="1"/>
  <c r="AE330" i="1"/>
  <c r="AE364" i="1"/>
  <c r="Q17" i="1"/>
  <c r="Q37" i="1"/>
  <c r="Q48" i="1"/>
  <c r="Q100" i="1"/>
  <c r="Q146" i="1"/>
  <c r="Q176" i="1"/>
  <c r="Q210" i="1"/>
  <c r="Q256" i="1"/>
  <c r="Q290" i="1"/>
  <c r="Q322" i="1"/>
  <c r="Q354" i="1"/>
  <c r="Q44" i="1"/>
  <c r="Q76" i="1"/>
  <c r="Q96" i="1"/>
  <c r="AE122" i="1"/>
  <c r="Q150" i="1"/>
  <c r="Q178" i="1"/>
  <c r="Q214" i="1"/>
  <c r="Q258" i="1"/>
  <c r="Q292" i="1"/>
  <c r="Q328" i="1"/>
  <c r="Q356" i="1"/>
  <c r="AE60" i="1"/>
  <c r="AE37" i="1"/>
  <c r="AE373" i="1"/>
  <c r="AE171" i="1"/>
  <c r="Q278" i="1"/>
  <c r="AE329" i="1"/>
  <c r="AE358" i="1"/>
  <c r="AE252" i="1"/>
  <c r="AE174" i="1"/>
  <c r="AE57" i="1"/>
  <c r="AE21" i="1"/>
  <c r="AE222" i="1"/>
  <c r="AE309" i="1"/>
  <c r="AE300" i="1"/>
  <c r="AE282" i="1"/>
  <c r="AE129" i="1"/>
  <c r="AE102" i="1"/>
  <c r="AE70" i="27"/>
  <c r="H38" i="27"/>
  <c r="H39" i="27" s="1"/>
  <c r="P73" i="27"/>
  <c r="AE61" i="27"/>
  <c r="N66" i="27"/>
  <c r="AE66" i="27"/>
  <c r="Z71" i="27"/>
  <c r="W71" i="27"/>
  <c r="U71" i="27"/>
  <c r="V71" i="27"/>
  <c r="S71" i="27"/>
  <c r="Q71" i="27"/>
  <c r="R71" i="27"/>
  <c r="Y71" i="27"/>
  <c r="AA71" i="27"/>
  <c r="T71" i="27"/>
  <c r="X71" i="27"/>
  <c r="AF64" i="27"/>
  <c r="P64" i="27" s="1"/>
  <c r="AF67" i="27"/>
  <c r="P67" i="27" s="1"/>
  <c r="G31" i="27" s="1"/>
  <c r="Q377" i="1" l="1"/>
  <c r="AE377" i="1"/>
  <c r="AE18" i="1"/>
  <c r="Q18" i="1"/>
  <c r="Q20" i="1"/>
  <c r="AE20" i="1"/>
  <c r="AE34" i="1"/>
  <c r="Q34" i="1"/>
  <c r="Q36" i="1"/>
  <c r="AE36" i="1"/>
  <c r="Q50" i="1"/>
  <c r="AE50" i="1"/>
  <c r="Q52" i="1"/>
  <c r="AE52" i="1"/>
  <c r="AE66" i="1"/>
  <c r="Q66" i="1"/>
  <c r="AE68" i="1"/>
  <c r="Q68" i="1"/>
  <c r="AE72" i="1"/>
  <c r="Q72" i="1"/>
  <c r="AE80" i="1"/>
  <c r="Q80" i="1"/>
  <c r="AE90" i="1"/>
  <c r="Q90" i="1"/>
  <c r="AE92" i="1"/>
  <c r="Q92" i="1"/>
  <c r="AE104" i="1"/>
  <c r="Q104" i="1"/>
  <c r="AE110" i="1"/>
  <c r="Q110" i="1"/>
  <c r="Q114" i="1"/>
  <c r="AE114" i="1"/>
  <c r="AE126" i="1"/>
  <c r="Q126" i="1"/>
  <c r="AE128" i="1"/>
  <c r="Q128" i="1"/>
  <c r="AE132" i="1"/>
  <c r="Q132" i="1"/>
  <c r="AE138" i="1"/>
  <c r="Q138" i="1"/>
  <c r="AE142" i="1"/>
  <c r="Q142" i="1"/>
  <c r="AE154" i="1"/>
  <c r="Q154" i="1"/>
  <c r="Q170" i="1"/>
  <c r="AE170" i="1"/>
  <c r="AE182" i="1"/>
  <c r="Q182" i="1"/>
  <c r="Q198" i="1"/>
  <c r="AE198" i="1"/>
  <c r="AE202" i="1"/>
  <c r="Q202" i="1"/>
  <c r="Q220" i="1"/>
  <c r="AE220" i="1"/>
  <c r="AE228" i="1"/>
  <c r="Q228" i="1"/>
  <c r="AE234" i="1"/>
  <c r="Q234" i="1"/>
  <c r="AE244" i="1"/>
  <c r="Q244" i="1"/>
  <c r="AE248" i="1"/>
  <c r="Q248" i="1"/>
  <c r="AE260" i="1"/>
  <c r="Q260" i="1"/>
  <c r="Q264" i="1"/>
  <c r="AE264" i="1"/>
  <c r="Q268" i="1"/>
  <c r="AE268" i="1"/>
  <c r="AE272" i="1"/>
  <c r="Q272" i="1"/>
  <c r="AE286" i="1"/>
  <c r="Q286" i="1"/>
  <c r="AE288" i="1"/>
  <c r="Q288" i="1"/>
  <c r="AE304" i="1"/>
  <c r="Q304" i="1"/>
  <c r="AE316" i="1"/>
  <c r="Q316" i="1"/>
  <c r="Q320" i="1"/>
  <c r="AE320" i="1"/>
  <c r="AE332" i="1"/>
  <c r="Q332" i="1"/>
  <c r="Q348" i="1"/>
  <c r="AE348" i="1"/>
  <c r="Q350" i="1"/>
  <c r="AE350" i="1"/>
  <c r="AE352" i="1"/>
  <c r="Q352" i="1"/>
  <c r="AE369" i="1"/>
  <c r="Q369" i="1"/>
  <c r="AC51" i="1"/>
  <c r="O51" i="1"/>
  <c r="O115" i="1"/>
  <c r="AC115" i="1"/>
  <c r="BR15" i="7"/>
  <c r="AE86" i="1"/>
  <c r="AE294" i="1"/>
  <c r="AE226" i="1"/>
  <c r="AE40" i="1"/>
  <c r="AE162" i="1"/>
  <c r="AE188" i="1"/>
  <c r="AE340" i="1"/>
  <c r="AE216" i="1"/>
  <c r="Q74" i="1"/>
  <c r="Q344" i="1"/>
  <c r="Q310" i="1"/>
  <c r="Q280" i="1"/>
  <c r="Q236" i="1"/>
  <c r="Q192" i="1"/>
  <c r="Q166" i="1"/>
  <c r="Q134" i="1"/>
  <c r="Q108" i="1"/>
  <c r="Q88" i="1"/>
  <c r="Q64" i="1"/>
  <c r="AE58" i="1"/>
  <c r="Q336" i="1"/>
  <c r="Q308" i="1"/>
  <c r="Q274" i="1"/>
  <c r="Q232" i="1"/>
  <c r="Q190" i="1"/>
  <c r="Q160" i="1"/>
  <c r="Q124" i="1"/>
  <c r="Q78" i="1"/>
  <c r="AE346" i="1"/>
  <c r="AE314" i="1"/>
  <c r="AE284" i="1"/>
  <c r="AE242" i="1"/>
  <c r="AE194" i="1"/>
  <c r="AE168" i="1"/>
  <c r="AE28" i="1"/>
  <c r="Q338" i="1"/>
  <c r="AE250" i="1"/>
  <c r="AE254" i="1"/>
  <c r="AC87" i="1"/>
  <c r="AE33" i="1"/>
  <c r="Q31" i="1"/>
  <c r="Q363" i="1"/>
  <c r="Q361" i="1"/>
  <c r="Q355" i="1"/>
  <c r="Q349" i="1"/>
  <c r="Q337" i="1"/>
  <c r="Q365" i="1"/>
  <c r="Q323" i="1"/>
  <c r="Q301" i="1"/>
  <c r="Q281" i="1"/>
  <c r="Q217" i="1"/>
  <c r="Q205" i="1"/>
  <c r="Q179" i="1"/>
  <c r="Q147" i="1"/>
  <c r="Q137" i="1"/>
  <c r="Q125" i="1"/>
  <c r="Q107" i="1"/>
  <c r="Q79" i="1"/>
  <c r="Q19" i="1"/>
  <c r="AE357" i="1"/>
  <c r="AE225" i="1"/>
  <c r="Q269" i="1"/>
  <c r="Q251" i="1"/>
  <c r="Q223" i="1"/>
  <c r="Q189" i="1"/>
  <c r="Q165" i="1"/>
  <c r="Q153" i="1"/>
  <c r="Q111" i="1"/>
  <c r="Q71" i="1"/>
  <c r="Q45" i="1"/>
  <c r="AE97" i="1"/>
  <c r="AE255" i="1"/>
  <c r="AE199" i="1"/>
  <c r="AE161" i="1"/>
  <c r="AE61" i="1"/>
  <c r="AE267" i="1"/>
  <c r="AE133" i="1"/>
  <c r="AE15" i="1"/>
  <c r="AE317" i="1"/>
  <c r="AE372" i="1"/>
  <c r="AE89" i="1"/>
  <c r="AE371" i="1"/>
  <c r="Q371" i="1"/>
  <c r="AE16" i="1"/>
  <c r="Q16" i="1"/>
  <c r="AE22" i="1"/>
  <c r="Q22" i="1"/>
  <c r="AE24" i="1"/>
  <c r="Q24" i="1"/>
  <c r="AE30" i="1"/>
  <c r="Q30" i="1"/>
  <c r="Q32" i="1"/>
  <c r="AE32" i="1"/>
  <c r="AE38" i="1"/>
  <c r="Q38" i="1"/>
  <c r="AE42" i="1"/>
  <c r="Q42" i="1"/>
  <c r="AE54" i="1"/>
  <c r="Q54" i="1"/>
  <c r="AE70" i="1"/>
  <c r="Q70" i="1"/>
  <c r="AE82" i="1"/>
  <c r="Q82" i="1"/>
  <c r="Q84" i="1"/>
  <c r="AE84" i="1"/>
  <c r="AE94" i="1"/>
  <c r="Q94" i="1"/>
  <c r="AE106" i="1"/>
  <c r="Q106" i="1"/>
  <c r="Q112" i="1"/>
  <c r="AE112" i="1"/>
  <c r="Q118" i="1"/>
  <c r="AE118" i="1"/>
  <c r="AE120" i="1"/>
  <c r="Q120" i="1"/>
  <c r="AE130" i="1"/>
  <c r="Q130" i="1"/>
  <c r="Q144" i="1"/>
  <c r="AE144" i="1"/>
  <c r="AE172" i="1"/>
  <c r="Q172" i="1"/>
  <c r="AE200" i="1"/>
  <c r="Q200" i="1"/>
  <c r="AE212" i="1"/>
  <c r="Q212" i="1"/>
  <c r="Q230" i="1"/>
  <c r="AE230" i="1"/>
  <c r="AE368" i="1"/>
  <c r="Q368" i="1"/>
  <c r="AC39" i="1"/>
  <c r="O39" i="1"/>
  <c r="AC81" i="1"/>
  <c r="O81" i="1"/>
  <c r="AC105" i="1"/>
  <c r="O105" i="1"/>
  <c r="E35" i="19"/>
  <c r="AJ15" i="1"/>
  <c r="B13" i="7"/>
  <c r="AJ380" i="1"/>
  <c r="AJ20" i="1"/>
  <c r="AJ21" i="1"/>
  <c r="AJ24" i="1"/>
  <c r="AJ27" i="1"/>
  <c r="AJ29" i="1"/>
  <c r="AJ30" i="1"/>
  <c r="AJ31" i="1"/>
  <c r="AJ32" i="1"/>
  <c r="AJ33" i="1"/>
  <c r="AJ34" i="1"/>
  <c r="AJ38" i="1"/>
  <c r="AJ39" i="1"/>
  <c r="AJ40" i="1"/>
  <c r="AJ42" i="1"/>
  <c r="AJ45" i="1"/>
  <c r="AJ47" i="1"/>
  <c r="AJ48" i="1"/>
  <c r="AJ50" i="1"/>
  <c r="AJ52" i="1"/>
  <c r="AJ54" i="1"/>
  <c r="AJ55" i="1"/>
  <c r="AJ56" i="1"/>
  <c r="AJ59" i="1"/>
  <c r="AJ60" i="1"/>
  <c r="AJ61" i="1"/>
  <c r="AJ64" i="1"/>
  <c r="AJ66" i="1"/>
  <c r="AJ67" i="1"/>
  <c r="AJ68" i="1"/>
  <c r="AJ72" i="1"/>
  <c r="AJ73" i="1"/>
  <c r="AJ74" i="1"/>
  <c r="AJ78" i="1"/>
  <c r="AJ79" i="1"/>
  <c r="AJ84" i="1"/>
  <c r="AJ86" i="1"/>
  <c r="AJ87" i="1"/>
  <c r="AJ91" i="1"/>
  <c r="AJ95" i="1"/>
  <c r="AJ97" i="1"/>
  <c r="AJ98" i="1"/>
  <c r="AJ99" i="1"/>
  <c r="AJ100" i="1"/>
  <c r="AJ102" i="1"/>
  <c r="AJ104" i="1"/>
  <c r="AJ109" i="1"/>
  <c r="AJ110" i="1"/>
  <c r="AJ113" i="1"/>
  <c r="AJ114" i="1"/>
  <c r="AJ116" i="1"/>
  <c r="AJ119" i="1"/>
  <c r="AJ120" i="1"/>
  <c r="AJ122" i="1"/>
  <c r="AJ123" i="1"/>
  <c r="AJ125" i="1"/>
  <c r="AJ126" i="1"/>
  <c r="AJ127" i="1"/>
  <c r="AJ128" i="1"/>
  <c r="AJ130" i="1"/>
  <c r="AJ131" i="1"/>
  <c r="AJ133" i="1"/>
  <c r="AJ135" i="1"/>
  <c r="AJ136" i="1"/>
  <c r="AJ138" i="1"/>
  <c r="AJ139" i="1"/>
  <c r="AJ141" i="1"/>
  <c r="AJ143" i="1"/>
  <c r="AJ146" i="1"/>
  <c r="AJ148" i="1"/>
  <c r="AJ149" i="1"/>
  <c r="AJ151" i="1"/>
  <c r="AJ154" i="1"/>
  <c r="AJ159" i="1"/>
  <c r="AJ161" i="1"/>
  <c r="AJ162" i="1"/>
  <c r="AJ163" i="1"/>
  <c r="AJ164" i="1"/>
  <c r="AJ166" i="1"/>
  <c r="AJ167" i="1"/>
  <c r="AJ175" i="1"/>
  <c r="AJ176" i="1"/>
  <c r="AJ178" i="1"/>
  <c r="AJ179" i="1"/>
  <c r="AC33" i="1"/>
  <c r="H11" i="7"/>
  <c r="N11" i="7" s="1"/>
  <c r="T11" i="7" s="1"/>
  <c r="Z11" i="7" s="1"/>
  <c r="AF11" i="7" s="1"/>
  <c r="W20" i="6"/>
  <c r="AX317" i="6"/>
  <c r="AW13" i="6"/>
  <c r="AP13" i="6"/>
  <c r="AW12" i="6"/>
  <c r="AU12" i="6"/>
  <c r="AX330" i="6"/>
  <c r="AS266" i="6"/>
  <c r="AS200" i="6"/>
  <c r="AS208" i="6"/>
  <c r="AS238" i="6"/>
  <c r="AS201" i="6"/>
  <c r="AS357" i="6"/>
  <c r="AS318" i="6"/>
  <c r="AS87" i="6"/>
  <c r="AS13" i="6" s="1"/>
  <c r="AS149" i="6"/>
  <c r="I18" i="6"/>
  <c r="H13" i="6"/>
  <c r="AX276" i="6"/>
  <c r="AX312" i="6"/>
  <c r="AX308" i="6"/>
  <c r="AX305" i="6"/>
  <c r="I155" i="6"/>
  <c r="I326" i="6"/>
  <c r="I171" i="6"/>
  <c r="I26" i="6"/>
  <c r="I169" i="6"/>
  <c r="I187" i="6"/>
  <c r="I84" i="6"/>
  <c r="I86" i="6"/>
  <c r="I178" i="6"/>
  <c r="AX309" i="6"/>
  <c r="I148" i="6"/>
  <c r="I340" i="6"/>
  <c r="I331" i="6"/>
  <c r="AX163" i="6"/>
  <c r="AX134" i="6"/>
  <c r="AX12" i="6" s="1"/>
  <c r="AX175" i="6"/>
  <c r="I150" i="6"/>
  <c r="I329" i="6"/>
  <c r="AX170" i="6"/>
  <c r="AX187" i="6"/>
  <c r="AX162" i="6"/>
  <c r="I355" i="6"/>
  <c r="I152" i="6"/>
  <c r="BR11" i="6"/>
  <c r="BR6" i="6"/>
  <c r="BR9" i="6"/>
  <c r="AJ18" i="6"/>
  <c r="S29" i="6"/>
  <c r="R35" i="6" s="1"/>
  <c r="AK16" i="6"/>
  <c r="Z18" i="6"/>
  <c r="X18" i="6"/>
  <c r="AG16" i="6"/>
  <c r="AI16" i="6"/>
  <c r="E148" i="6"/>
  <c r="E302" i="6"/>
  <c r="AB18" i="6"/>
  <c r="AC16" i="6"/>
  <c r="T29" i="6"/>
  <c r="S35" i="6" s="1"/>
  <c r="P44" i="6"/>
  <c r="Q46" i="6" s="1"/>
  <c r="V16" i="6"/>
  <c r="E92" i="6"/>
  <c r="V20" i="6"/>
  <c r="V24" i="6" s="1"/>
  <c r="V23" i="6" s="1"/>
  <c r="V25" i="6" s="1"/>
  <c r="T20" i="6"/>
  <c r="S33" i="6"/>
  <c r="E218" i="6"/>
  <c r="U29" i="6"/>
  <c r="U33" i="6" s="1"/>
  <c r="Q44" i="6"/>
  <c r="S18" i="6"/>
  <c r="X16" i="6"/>
  <c r="R44" i="6"/>
  <c r="S46" i="6" s="1"/>
  <c r="E162" i="6"/>
  <c r="R16" i="6"/>
  <c r="AG20" i="6"/>
  <c r="AH18" i="6"/>
  <c r="E190" i="6"/>
  <c r="Y20" i="6"/>
  <c r="U18" i="6"/>
  <c r="T16" i="6"/>
  <c r="AC23" i="1"/>
  <c r="O23" i="1"/>
  <c r="AJ9" i="1"/>
  <c r="AJ6" i="1"/>
  <c r="E7" i="1"/>
  <c r="P50" i="6"/>
  <c r="T35" i="6"/>
  <c r="AB29" i="6"/>
  <c r="AA35" i="6" s="1"/>
  <c r="T31" i="6"/>
  <c r="E316" i="6"/>
  <c r="AC64" i="1"/>
  <c r="Q50" i="6"/>
  <c r="N29" i="6"/>
  <c r="M35" i="6" s="1"/>
  <c r="E260" i="6"/>
  <c r="Q16" i="6"/>
  <c r="E232" i="6"/>
  <c r="O20" i="6"/>
  <c r="E64" i="6"/>
  <c r="P18" i="6"/>
  <c r="O29" i="6"/>
  <c r="O33" i="6" s="1"/>
  <c r="P20" i="6"/>
  <c r="Q18" i="6"/>
  <c r="O44" i="6"/>
  <c r="P46" i="6" s="1"/>
  <c r="O121" i="1"/>
  <c r="O109" i="1"/>
  <c r="AC99" i="1"/>
  <c r="AC83" i="1"/>
  <c r="AC69" i="1"/>
  <c r="O41" i="1"/>
  <c r="AC37" i="1"/>
  <c r="O25" i="1"/>
  <c r="AC29" i="1"/>
  <c r="O117" i="1"/>
  <c r="AC111" i="1"/>
  <c r="O107" i="1"/>
  <c r="AC101" i="1"/>
  <c r="O73" i="1"/>
  <c r="O65" i="1"/>
  <c r="AC47" i="1"/>
  <c r="AC17" i="1"/>
  <c r="AC21" i="1"/>
  <c r="O79" i="1"/>
  <c r="O114" i="1"/>
  <c r="O96" i="1"/>
  <c r="AE164" i="1"/>
  <c r="Q164" i="1"/>
  <c r="AE184" i="1"/>
  <c r="Q184" i="1"/>
  <c r="AE262" i="1"/>
  <c r="Q262" i="1"/>
  <c r="AE302" i="1"/>
  <c r="Q302" i="1"/>
  <c r="Q306" i="1"/>
  <c r="AE306" i="1"/>
  <c r="AE318" i="1"/>
  <c r="Q318" i="1"/>
  <c r="O46" i="1"/>
  <c r="AC46" i="1"/>
  <c r="O76" i="1"/>
  <c r="AC76" i="1"/>
  <c r="O108" i="1"/>
  <c r="AC108" i="1"/>
  <c r="B61" i="7"/>
  <c r="L383" i="17"/>
  <c r="B58" i="7"/>
  <c r="D88" i="17"/>
  <c r="D333" i="17"/>
  <c r="B66" i="7"/>
  <c r="D60" i="17"/>
  <c r="B57" i="7"/>
  <c r="B44" i="7"/>
  <c r="D29" i="16"/>
  <c r="B56" i="7"/>
  <c r="D29" i="17"/>
  <c r="B31" i="7"/>
  <c r="B29" i="7"/>
  <c r="AE18" i="6"/>
  <c r="AH16" i="6"/>
  <c r="L381" i="20"/>
  <c r="B30" i="7"/>
  <c r="L382" i="25"/>
  <c r="L381" i="23"/>
  <c r="BR13" i="7"/>
  <c r="L381" i="18"/>
  <c r="L382" i="18"/>
  <c r="B52" i="7"/>
  <c r="D272" i="16"/>
  <c r="L382" i="22"/>
  <c r="L381" i="25"/>
  <c r="L382" i="24"/>
  <c r="L383" i="23"/>
  <c r="L383" i="22"/>
  <c r="L383" i="20"/>
  <c r="B65" i="7"/>
  <c r="D119" i="17"/>
  <c r="D272" i="17"/>
  <c r="D382" i="17" s="1"/>
  <c r="D302" i="16"/>
  <c r="B53" i="7"/>
  <c r="B40" i="7"/>
  <c r="D272" i="15"/>
  <c r="B34" i="7"/>
  <c r="D88" i="15"/>
  <c r="L383" i="25"/>
  <c r="L381" i="24"/>
  <c r="L382" i="20"/>
  <c r="L383" i="18"/>
  <c r="L381" i="17"/>
  <c r="B48" i="7"/>
  <c r="B55" i="7"/>
  <c r="B37" i="7"/>
  <c r="AC110" i="1"/>
  <c r="O70" i="1"/>
  <c r="AC48" i="1"/>
  <c r="D13" i="7"/>
  <c r="D9" i="17"/>
  <c r="D11" i="17" s="1"/>
  <c r="D381" i="1"/>
  <c r="D382" i="1"/>
  <c r="D333" i="16"/>
  <c r="B54" i="7"/>
  <c r="D9" i="1"/>
  <c r="D383" i="1"/>
  <c r="AJ8" i="1"/>
  <c r="L382" i="17"/>
  <c r="B50" i="7"/>
  <c r="D210" i="16"/>
  <c r="B45" i="7"/>
  <c r="D60" i="16"/>
  <c r="D29" i="15"/>
  <c r="B32" i="7"/>
  <c r="L19" i="15"/>
  <c r="D19" i="15" s="1"/>
  <c r="L20" i="15"/>
  <c r="D20" i="15" s="1"/>
  <c r="L16" i="15"/>
  <c r="D16" i="15" s="1"/>
  <c r="L18" i="15"/>
  <c r="D18" i="15" s="1"/>
  <c r="L15" i="15"/>
  <c r="L21" i="15"/>
  <c r="D21" i="15" s="1"/>
  <c r="L22" i="15"/>
  <c r="D22" i="15" s="1"/>
  <c r="L24" i="15"/>
  <c r="D24" i="15" s="1"/>
  <c r="L26" i="15"/>
  <c r="D26" i="15" s="1"/>
  <c r="L27" i="15"/>
  <c r="D27" i="15" s="1"/>
  <c r="L30" i="15"/>
  <c r="D30" i="15" s="1"/>
  <c r="L32" i="15"/>
  <c r="D32" i="15" s="1"/>
  <c r="L33" i="15"/>
  <c r="D33" i="15" s="1"/>
  <c r="L34" i="15"/>
  <c r="D34" i="15" s="1"/>
  <c r="L35" i="15"/>
  <c r="D35" i="15" s="1"/>
  <c r="L36" i="15"/>
  <c r="D36" i="15" s="1"/>
  <c r="L37" i="15"/>
  <c r="D37" i="15" s="1"/>
  <c r="L39" i="15"/>
  <c r="D39" i="15" s="1"/>
  <c r="L41" i="15"/>
  <c r="D41" i="15" s="1"/>
  <c r="L38" i="16"/>
  <c r="L42" i="15"/>
  <c r="D42" i="15" s="1"/>
  <c r="L43" i="15"/>
  <c r="D43" i="15" s="1"/>
  <c r="L39" i="16"/>
  <c r="D39" i="16" s="1"/>
  <c r="L47" i="15"/>
  <c r="D47" i="15" s="1"/>
  <c r="L48" i="15"/>
  <c r="D48" i="15" s="1"/>
  <c r="L50" i="15"/>
  <c r="D50" i="15" s="1"/>
  <c r="L46" i="16"/>
  <c r="D46" i="16" s="1"/>
  <c r="L51" i="15"/>
  <c r="D51" i="15" s="1"/>
  <c r="L47" i="16"/>
  <c r="D47" i="16" s="1"/>
  <c r="L52" i="15"/>
  <c r="D52" i="15" s="1"/>
  <c r="L49" i="16"/>
  <c r="D49" i="16" s="1"/>
  <c r="L50" i="16"/>
  <c r="D50" i="16" s="1"/>
  <c r="L54" i="15"/>
  <c r="D54" i="15" s="1"/>
  <c r="L55" i="15"/>
  <c r="D55" i="15" s="1"/>
  <c r="L56" i="15"/>
  <c r="D56" i="15" s="1"/>
  <c r="L53" i="16"/>
  <c r="D53" i="16" s="1"/>
  <c r="L57" i="15"/>
  <c r="D57" i="15" s="1"/>
  <c r="L58" i="15"/>
  <c r="D58" i="15" s="1"/>
  <c r="L54" i="16"/>
  <c r="D54" i="16" s="1"/>
  <c r="L55" i="16"/>
  <c r="D55" i="16" s="1"/>
  <c r="L60" i="15"/>
  <c r="L57" i="16"/>
  <c r="D57" i="16" s="1"/>
  <c r="L63" i="15"/>
  <c r="D63" i="15" s="1"/>
  <c r="L31" i="15"/>
  <c r="D31" i="15" s="1"/>
  <c r="L44" i="15"/>
  <c r="D44" i="15" s="1"/>
  <c r="L41" i="16"/>
  <c r="D41" i="16" s="1"/>
  <c r="L45" i="15"/>
  <c r="D45" i="15" s="1"/>
  <c r="L46" i="15"/>
  <c r="D46" i="15" s="1"/>
  <c r="L53" i="15"/>
  <c r="D53" i="15" s="1"/>
  <c r="L59" i="15"/>
  <c r="D59" i="15" s="1"/>
  <c r="L61" i="15"/>
  <c r="D61" i="15" s="1"/>
  <c r="L62" i="15"/>
  <c r="D62" i="15" s="1"/>
  <c r="L59" i="16"/>
  <c r="D59" i="16" s="1"/>
  <c r="L64" i="15"/>
  <c r="D64" i="15" s="1"/>
  <c r="L65" i="15"/>
  <c r="D65" i="15" s="1"/>
  <c r="L62" i="16"/>
  <c r="D62" i="16" s="1"/>
  <c r="L70" i="15"/>
  <c r="D70" i="15" s="1"/>
  <c r="L67" i="16"/>
  <c r="D67" i="16" s="1"/>
  <c r="L68" i="16"/>
  <c r="D68" i="16" s="1"/>
  <c r="L70" i="16"/>
  <c r="D70" i="16" s="1"/>
  <c r="L75" i="15"/>
  <c r="D75" i="15" s="1"/>
  <c r="L71" i="16"/>
  <c r="D71" i="16" s="1"/>
  <c r="L72" i="16"/>
  <c r="D72" i="16" s="1"/>
  <c r="L76" i="15"/>
  <c r="D76" i="15" s="1"/>
  <c r="L73" i="16"/>
  <c r="D73" i="16" s="1"/>
  <c r="L74" i="16"/>
  <c r="D74" i="16" s="1"/>
  <c r="L75" i="16"/>
  <c r="D75" i="16" s="1"/>
  <c r="L80" i="15"/>
  <c r="D80" i="15" s="1"/>
  <c r="L82" i="15"/>
  <c r="D82" i="15" s="1"/>
  <c r="L79" i="16"/>
  <c r="D79" i="16" s="1"/>
  <c r="L84" i="15"/>
  <c r="D84" i="15" s="1"/>
  <c r="L80" i="16"/>
  <c r="D80" i="16" s="1"/>
  <c r="L85" i="15"/>
  <c r="D85" i="15" s="1"/>
  <c r="L85" i="16"/>
  <c r="D85" i="16" s="1"/>
  <c r="L89" i="15"/>
  <c r="D89" i="15" s="1"/>
  <c r="L86" i="16"/>
  <c r="D86" i="16" s="1"/>
  <c r="L90" i="15"/>
  <c r="D90" i="15" s="1"/>
  <c r="L88" i="16"/>
  <c r="L94" i="16"/>
  <c r="D94" i="16" s="1"/>
  <c r="L97" i="16"/>
  <c r="D97" i="16" s="1"/>
  <c r="L101" i="15"/>
  <c r="D101" i="15" s="1"/>
  <c r="L98" i="16"/>
  <c r="D98" i="16" s="1"/>
  <c r="L99" i="16"/>
  <c r="D99" i="16" s="1"/>
  <c r="L100" i="16"/>
  <c r="D100" i="16" s="1"/>
  <c r="L104" i="16"/>
  <c r="D104" i="16" s="1"/>
  <c r="L108" i="15"/>
  <c r="D108" i="15" s="1"/>
  <c r="L105" i="16"/>
  <c r="D105" i="16" s="1"/>
  <c r="L107" i="16"/>
  <c r="D107" i="16" s="1"/>
  <c r="L111" i="15"/>
  <c r="D111" i="15" s="1"/>
  <c r="L112" i="15"/>
  <c r="D112" i="15" s="1"/>
  <c r="L113" i="15"/>
  <c r="D113" i="15" s="1"/>
  <c r="L109" i="16"/>
  <c r="D109" i="16" s="1"/>
  <c r="L114" i="15"/>
  <c r="D114" i="15" s="1"/>
  <c r="L115" i="15"/>
  <c r="D115" i="15" s="1"/>
  <c r="L112" i="16"/>
  <c r="D112" i="16" s="1"/>
  <c r="L118" i="15"/>
  <c r="D118" i="15" s="1"/>
  <c r="L119" i="15"/>
  <c r="L115" i="16"/>
  <c r="D115" i="16" s="1"/>
  <c r="L117" i="16"/>
  <c r="D117" i="16" s="1"/>
  <c r="L123" i="15"/>
  <c r="D123" i="15" s="1"/>
  <c r="L119" i="16"/>
  <c r="L120" i="16"/>
  <c r="D120" i="16" s="1"/>
  <c r="L123" i="1"/>
  <c r="L125" i="15"/>
  <c r="D125" i="15" s="1"/>
  <c r="L126" i="15"/>
  <c r="D126" i="15" s="1"/>
  <c r="L122" i="16"/>
  <c r="D122" i="16" s="1"/>
  <c r="L126" i="1"/>
  <c r="L124" i="16"/>
  <c r="D124" i="16" s="1"/>
  <c r="L128" i="1"/>
  <c r="L131" i="15"/>
  <c r="D131" i="15" s="1"/>
  <c r="L129" i="1"/>
  <c r="L130" i="1"/>
  <c r="L131" i="1"/>
  <c r="L133" i="15"/>
  <c r="D133" i="15" s="1"/>
  <c r="L129" i="16"/>
  <c r="D129" i="16" s="1"/>
  <c r="O94" i="1"/>
  <c r="O90" i="1"/>
  <c r="O88" i="1"/>
  <c r="C22" i="7" s="1"/>
  <c r="O82" i="1"/>
  <c r="O80" i="1"/>
  <c r="AC68" i="1"/>
  <c r="O66" i="1"/>
  <c r="AC28" i="1"/>
  <c r="AC18" i="1"/>
  <c r="BH9" i="6"/>
  <c r="U12" i="1" s="1"/>
  <c r="AC119" i="1"/>
  <c r="O78" i="1"/>
  <c r="AC74" i="1"/>
  <c r="O72" i="1"/>
  <c r="AC60" i="1"/>
  <c r="AC54" i="1"/>
  <c r="AE315" i="1"/>
  <c r="AE378" i="1"/>
  <c r="AE25" i="1"/>
  <c r="Q367" i="1"/>
  <c r="Q343" i="1"/>
  <c r="Q335" i="1"/>
  <c r="Q331" i="1"/>
  <c r="Q295" i="1"/>
  <c r="Q283" i="1"/>
  <c r="Q279" i="1"/>
  <c r="Q237" i="1"/>
  <c r="Q219" i="1"/>
  <c r="Q203" i="1"/>
  <c r="Q195" i="1"/>
  <c r="Q187" i="1"/>
  <c r="Q63" i="1"/>
  <c r="AE311" i="1"/>
  <c r="AE121" i="1"/>
  <c r="AE261" i="1"/>
  <c r="Q245" i="1"/>
  <c r="Q229" i="1"/>
  <c r="Q155" i="1"/>
  <c r="Q151" i="1"/>
  <c r="Q93" i="1"/>
  <c r="Q65" i="1"/>
  <c r="O77" i="1"/>
  <c r="AC71" i="1"/>
  <c r="AC67" i="1"/>
  <c r="O27" i="1"/>
  <c r="AC19" i="1"/>
  <c r="O103" i="1"/>
  <c r="O97" i="1"/>
  <c r="AC61" i="1"/>
  <c r="AC55" i="1"/>
  <c r="O44" i="1"/>
  <c r="O42" i="1"/>
  <c r="AC38" i="1"/>
  <c r="O32" i="1"/>
  <c r="BX15" i="7"/>
  <c r="O9" i="17"/>
  <c r="AJ304" i="17" s="1"/>
  <c r="O43" i="1"/>
  <c r="AC43" i="1"/>
  <c r="AC45" i="1"/>
  <c r="O45" i="1"/>
  <c r="O53" i="1"/>
  <c r="AC53" i="1"/>
  <c r="O100" i="1"/>
  <c r="AC100" i="1"/>
  <c r="O102" i="1"/>
  <c r="AC102" i="1"/>
  <c r="O104" i="1"/>
  <c r="AC104" i="1"/>
  <c r="O112" i="1"/>
  <c r="AC112" i="1"/>
  <c r="O120" i="1"/>
  <c r="AC120" i="1"/>
  <c r="AC122" i="1"/>
  <c r="O122" i="1"/>
  <c r="AC91" i="1"/>
  <c r="AC49" i="1"/>
  <c r="AC118" i="1"/>
  <c r="AC116" i="1"/>
  <c r="O106" i="1"/>
  <c r="O93" i="1"/>
  <c r="O89" i="1"/>
  <c r="O58" i="1"/>
  <c r="O36" i="1"/>
  <c r="AC36" i="1"/>
  <c r="O40" i="1"/>
  <c r="AC40" i="1"/>
  <c r="AC59" i="1"/>
  <c r="O59" i="1"/>
  <c r="AC63" i="1"/>
  <c r="O63" i="1"/>
  <c r="AC86" i="1"/>
  <c r="O86" i="1"/>
  <c r="O9" i="15"/>
  <c r="E372" i="6"/>
  <c r="M16" i="6"/>
  <c r="M29" i="6"/>
  <c r="AI18" i="6"/>
  <c r="AE173" i="1"/>
  <c r="Q12" i="15"/>
  <c r="D15" i="7"/>
  <c r="AE98" i="1"/>
  <c r="AE77" i="1"/>
  <c r="AE101" i="1"/>
  <c r="AE163" i="1"/>
  <c r="AE191" i="1"/>
  <c r="AE240" i="1"/>
  <c r="AE287" i="1"/>
  <c r="AE334" i="1"/>
  <c r="AE39" i="1"/>
  <c r="AE324" i="1"/>
  <c r="AE270" i="1"/>
  <c r="AE221" i="1"/>
  <c r="AE183" i="1"/>
  <c r="Q156" i="1"/>
  <c r="AE95" i="1"/>
  <c r="Q60" i="1"/>
  <c r="Q15" i="1"/>
  <c r="Q158" i="1"/>
  <c r="Q326" i="1"/>
  <c r="AE265" i="1"/>
  <c r="AE186" i="1"/>
  <c r="AE27" i="1"/>
  <c r="AE333" i="1"/>
  <c r="Q296" i="1"/>
  <c r="Q116" i="1"/>
  <c r="AE366" i="1"/>
  <c r="AE327" i="1"/>
  <c r="AE312" i="1"/>
  <c r="AE276" i="1"/>
  <c r="AE253" i="1"/>
  <c r="Q238" i="1"/>
  <c r="AE206" i="1"/>
  <c r="AE185" i="1"/>
  <c r="AE169" i="1"/>
  <c r="AE159" i="1"/>
  <c r="AE136" i="1"/>
  <c r="AE99" i="1"/>
  <c r="AE87" i="1"/>
  <c r="AE62" i="1"/>
  <c r="Q35" i="1"/>
  <c r="AE53" i="1"/>
  <c r="AE140" i="1"/>
  <c r="AE246" i="1"/>
  <c r="AE342" i="1"/>
  <c r="AE196" i="1"/>
  <c r="AE46" i="1"/>
  <c r="AE224" i="1"/>
  <c r="AE303" i="1"/>
  <c r="AE127" i="1"/>
  <c r="AE362" i="1"/>
  <c r="AE360" i="1"/>
  <c r="AE204" i="1"/>
  <c r="Q29" i="1"/>
  <c r="AE201" i="1"/>
  <c r="AE376" i="1"/>
  <c r="AE299" i="1"/>
  <c r="AE273" i="1"/>
  <c r="AE49" i="1"/>
  <c r="AE215" i="1"/>
  <c r="AE69" i="1"/>
  <c r="AE275" i="1"/>
  <c r="AE289" i="1"/>
  <c r="AE55" i="1"/>
  <c r="AE321" i="1"/>
  <c r="AE375" i="1"/>
  <c r="AE47" i="1"/>
  <c r="AE227" i="1"/>
  <c r="BS15" i="7"/>
  <c r="AE259" i="1"/>
  <c r="AE231" i="1"/>
  <c r="AE359" i="1"/>
  <c r="AE374" i="1"/>
  <c r="AE109" i="1"/>
  <c r="AE113" i="1"/>
  <c r="AE117" i="1"/>
  <c r="AE119" i="1"/>
  <c r="AE339" i="1"/>
  <c r="AE123" i="1"/>
  <c r="AE305" i="1"/>
  <c r="AE233" i="1"/>
  <c r="AE143" i="1"/>
  <c r="AE285" i="1"/>
  <c r="AE326" i="1"/>
  <c r="Q208" i="1"/>
  <c r="AE145" i="1"/>
  <c r="AE56" i="1"/>
  <c r="BX13" i="7"/>
  <c r="BL13" i="7"/>
  <c r="BM13" i="7"/>
  <c r="E13" i="7"/>
  <c r="BY13" i="7"/>
  <c r="BS13" i="7"/>
  <c r="W46" i="6"/>
  <c r="V48" i="6"/>
  <c r="U50" i="6"/>
  <c r="Q20" i="6"/>
  <c r="AD20" i="6"/>
  <c r="AF16" i="6"/>
  <c r="S20" i="6"/>
  <c r="X44" i="6"/>
  <c r="W44" i="6"/>
  <c r="AG18" i="6"/>
  <c r="E288" i="6"/>
  <c r="AJ16" i="6"/>
  <c r="R50" i="6"/>
  <c r="T46" i="6"/>
  <c r="X31" i="6"/>
  <c r="V35" i="6"/>
  <c r="W33" i="6"/>
  <c r="Y48" i="6"/>
  <c r="X50" i="6"/>
  <c r="T33" i="6"/>
  <c r="P16" i="6"/>
  <c r="N20" i="6"/>
  <c r="N44" i="6"/>
  <c r="E36" i="6"/>
  <c r="O18" i="6"/>
  <c r="AO13" i="6"/>
  <c r="R18" i="6"/>
  <c r="S16" i="6"/>
  <c r="P29" i="6"/>
  <c r="Q29" i="6"/>
  <c r="Q33" i="6" s="1"/>
  <c r="U16" i="6"/>
  <c r="T18" i="6"/>
  <c r="R29" i="6"/>
  <c r="W16" i="6"/>
  <c r="E134" i="6"/>
  <c r="U20" i="6"/>
  <c r="E176" i="6"/>
  <c r="X20" i="6"/>
  <c r="Y18" i="6"/>
  <c r="Z16" i="6"/>
  <c r="Z20" i="6"/>
  <c r="AB16" i="6"/>
  <c r="T44" i="6"/>
  <c r="AA18" i="6"/>
  <c r="AA24" i="6" s="1"/>
  <c r="AA23" i="6" s="1"/>
  <c r="AD16" i="6"/>
  <c r="AB20" i="6"/>
  <c r="AB24" i="6" s="1"/>
  <c r="AB23" i="6" s="1"/>
  <c r="AB25" i="6" s="1"/>
  <c r="U44" i="6"/>
  <c r="AL16" i="6"/>
  <c r="E344" i="6"/>
  <c r="AK18" i="6"/>
  <c r="L44" i="6"/>
  <c r="M46" i="6" s="1"/>
  <c r="AJ20" i="6"/>
  <c r="P48" i="6"/>
  <c r="AN13" i="6"/>
  <c r="M20" i="6"/>
  <c r="N18" i="6"/>
  <c r="O16" i="6"/>
  <c r="E246" i="6"/>
  <c r="AC20" i="6"/>
  <c r="AC24" i="6" s="1"/>
  <c r="AC23" i="6" s="1"/>
  <c r="AD18" i="6"/>
  <c r="V29" i="6"/>
  <c r="AE20" i="6"/>
  <c r="E274" i="6"/>
  <c r="AF18" i="6"/>
  <c r="AI20" i="6"/>
  <c r="E330" i="6"/>
  <c r="Y29" i="6"/>
  <c r="AL18" i="6"/>
  <c r="E358" i="6"/>
  <c r="Z29" i="6"/>
  <c r="AM16" i="6"/>
  <c r="AK20" i="6"/>
  <c r="AL20" i="6"/>
  <c r="M13" i="6"/>
  <c r="Z44" i="6"/>
  <c r="AN16" i="6"/>
  <c r="W35" i="6"/>
  <c r="Y31" i="6"/>
  <c r="X33" i="6"/>
  <c r="AE72" i="27"/>
  <c r="P62" i="27"/>
  <c r="G26" i="27" s="1"/>
  <c r="P74" i="27"/>
  <c r="I30" i="27"/>
  <c r="V66" i="27"/>
  <c r="X66" i="27"/>
  <c r="AE71" i="27"/>
  <c r="AE74" i="27"/>
  <c r="P75" i="27"/>
  <c r="H40" i="27"/>
  <c r="AE73" i="27"/>
  <c r="G23" i="27"/>
  <c r="G20" i="27"/>
  <c r="G35" i="27"/>
  <c r="K55" i="27"/>
  <c r="G21" i="27"/>
  <c r="AE62" i="27"/>
  <c r="AE64" i="27"/>
  <c r="G34" i="27"/>
  <c r="BR14" i="6"/>
  <c r="Y55" i="27"/>
  <c r="J28" i="27"/>
  <c r="L28" i="27" s="1"/>
  <c r="J17" i="27"/>
  <c r="J29" i="27"/>
  <c r="L29" i="27" s="1"/>
  <c r="J18" i="27"/>
  <c r="J16" i="27"/>
  <c r="F55" i="27"/>
  <c r="S56" i="27"/>
  <c r="Y56" i="27"/>
  <c r="T56" i="27"/>
  <c r="I11" i="27"/>
  <c r="I36" i="27"/>
  <c r="I37" i="27"/>
  <c r="I20" i="27"/>
  <c r="S72" i="27"/>
  <c r="P61" i="27"/>
  <c r="G27" i="27"/>
  <c r="G28" i="27"/>
  <c r="W72" i="27"/>
  <c r="V72" i="27"/>
  <c r="T72" i="27"/>
  <c r="X72" i="27"/>
  <c r="U72" i="27"/>
  <c r="J5" i="27"/>
  <c r="O3" i="27" s="1"/>
  <c r="J24" i="27"/>
  <c r="L24" i="27" s="1"/>
  <c r="AK3" i="1"/>
  <c r="Q11" i="19" s="1"/>
  <c r="O30" i="1"/>
  <c r="AC30" i="1"/>
  <c r="O56" i="1"/>
  <c r="AC56" i="1"/>
  <c r="AC98" i="1"/>
  <c r="O98" i="1"/>
  <c r="AC95" i="1"/>
  <c r="AC84" i="1"/>
  <c r="AC75" i="1"/>
  <c r="AC34" i="1"/>
  <c r="AC15" i="1"/>
  <c r="O16" i="1"/>
  <c r="AC16" i="1"/>
  <c r="O20" i="1"/>
  <c r="AC20" i="1"/>
  <c r="AC22" i="1"/>
  <c r="O22" i="1"/>
  <c r="AC24" i="1"/>
  <c r="O24" i="1"/>
  <c r="AC26" i="1"/>
  <c r="O26" i="1"/>
  <c r="AC35" i="1"/>
  <c r="O35" i="1"/>
  <c r="AC50" i="1"/>
  <c r="O50" i="1"/>
  <c r="O52" i="1"/>
  <c r="AC52" i="1"/>
  <c r="AC57" i="1"/>
  <c r="O57" i="1"/>
  <c r="AC62" i="1"/>
  <c r="O62" i="1"/>
  <c r="AC85" i="1"/>
  <c r="O85" i="1"/>
  <c r="O92" i="1"/>
  <c r="AC92" i="1"/>
  <c r="O113" i="1"/>
  <c r="AC113" i="1"/>
  <c r="AJ7" i="1" l="1"/>
  <c r="AJ11" i="1" s="1"/>
  <c r="AJ5" i="1"/>
  <c r="AP9" i="7"/>
  <c r="AR10" i="7" s="1"/>
  <c r="I11" i="7"/>
  <c r="Q11" i="15" s="1"/>
  <c r="AL11" i="7"/>
  <c r="AR11" i="7" s="1"/>
  <c r="AX11" i="7" s="1"/>
  <c r="BD11" i="7" s="1"/>
  <c r="BJ11" i="7" s="1"/>
  <c r="BP11" i="7" s="1"/>
  <c r="BV11" i="7" s="1"/>
  <c r="J10" i="7"/>
  <c r="K10" i="7"/>
  <c r="I12" i="6"/>
  <c r="I13" i="6"/>
  <c r="AX13" i="6"/>
  <c r="D11" i="7"/>
  <c r="U10" i="1" s="1"/>
  <c r="AS12" i="6"/>
  <c r="Y24" i="6"/>
  <c r="Y23" i="6" s="1"/>
  <c r="R24" i="6"/>
  <c r="R23" i="6" s="1"/>
  <c r="R25" i="6" s="1"/>
  <c r="U31" i="6"/>
  <c r="O50" i="6"/>
  <c r="AG24" i="6"/>
  <c r="AG23" i="6" s="1"/>
  <c r="AH24" i="6"/>
  <c r="AH23" i="6" s="1"/>
  <c r="AH25" i="6" s="1"/>
  <c r="R48" i="6"/>
  <c r="O31" i="6"/>
  <c r="V31" i="6"/>
  <c r="T24" i="6"/>
  <c r="T23" i="6" s="1"/>
  <c r="T25" i="6" s="1"/>
  <c r="AG25" i="6"/>
  <c r="R46" i="6"/>
  <c r="Q48" i="6"/>
  <c r="AC10" i="1"/>
  <c r="O10" i="1"/>
  <c r="AJ30" i="17"/>
  <c r="P11" i="15"/>
  <c r="H15" i="7"/>
  <c r="AI24" i="6"/>
  <c r="AI23" i="6" s="1"/>
  <c r="T39" i="6"/>
  <c r="T38" i="6" s="1"/>
  <c r="T40" i="6" s="1"/>
  <c r="N33" i="6"/>
  <c r="P35" i="6"/>
  <c r="Q24" i="6"/>
  <c r="Q23" i="6" s="1"/>
  <c r="Q25" i="6" s="1"/>
  <c r="J73" i="6" s="1"/>
  <c r="P31" i="6"/>
  <c r="N35" i="6"/>
  <c r="N50" i="6"/>
  <c r="O48" i="6"/>
  <c r="AJ50" i="17"/>
  <c r="BH10" i="6"/>
  <c r="BH11" i="6" s="1"/>
  <c r="BH12" i="6" s="1"/>
  <c r="AI12" i="1"/>
  <c r="AJ207" i="17"/>
  <c r="AJ254" i="17"/>
  <c r="AJ46" i="17"/>
  <c r="AJ115" i="17"/>
  <c r="AJ40" i="17"/>
  <c r="AJ144" i="17"/>
  <c r="AJ257" i="17"/>
  <c r="AJ374" i="17"/>
  <c r="AJ88" i="17"/>
  <c r="AJ290" i="17"/>
  <c r="AJ16" i="17"/>
  <c r="AJ31" i="17"/>
  <c r="AJ118" i="17"/>
  <c r="AJ152" i="17"/>
  <c r="AJ203" i="17"/>
  <c r="AJ314" i="17"/>
  <c r="AJ326" i="17"/>
  <c r="AJ294" i="17"/>
  <c r="AJ127" i="17"/>
  <c r="AJ28" i="17"/>
  <c r="AJ240" i="17"/>
  <c r="AJ217" i="17"/>
  <c r="D381" i="17"/>
  <c r="AL24" i="6"/>
  <c r="AL23" i="6" s="1"/>
  <c r="AE24" i="6"/>
  <c r="AE23" i="6" s="1"/>
  <c r="AE25" i="6" s="1"/>
  <c r="AD24" i="6"/>
  <c r="AD23" i="6" s="1"/>
  <c r="AD25" i="6" s="1"/>
  <c r="AJ24" i="6"/>
  <c r="AJ23" i="6" s="1"/>
  <c r="AJ25" i="6" s="1"/>
  <c r="AJ316" i="17"/>
  <c r="AJ33" i="17"/>
  <c r="AJ53" i="17"/>
  <c r="AJ62" i="17"/>
  <c r="AJ81" i="17"/>
  <c r="AJ108" i="17"/>
  <c r="AJ124" i="17"/>
  <c r="AJ179" i="17"/>
  <c r="AJ243" i="17"/>
  <c r="AJ228" i="17"/>
  <c r="AJ289" i="17"/>
  <c r="AJ342" i="17"/>
  <c r="AJ366" i="17"/>
  <c r="AJ286" i="17"/>
  <c r="AJ346" i="17"/>
  <c r="AJ238" i="17"/>
  <c r="AJ186" i="17"/>
  <c r="AJ113" i="17"/>
  <c r="AJ56" i="17"/>
  <c r="AJ65" i="17"/>
  <c r="AJ188" i="17"/>
  <c r="AJ348" i="17"/>
  <c r="AJ368" i="17"/>
  <c r="AJ350" i="17"/>
  <c r="AJ153" i="17"/>
  <c r="D383" i="17"/>
  <c r="L381" i="1"/>
  <c r="B47" i="7"/>
  <c r="D119" i="16"/>
  <c r="D119" i="15"/>
  <c r="B35" i="7"/>
  <c r="D60" i="15"/>
  <c r="B33" i="7"/>
  <c r="D15" i="15"/>
  <c r="L382" i="15"/>
  <c r="L381" i="15"/>
  <c r="L383" i="15"/>
  <c r="L383" i="1"/>
  <c r="D88" i="16"/>
  <c r="B46" i="7"/>
  <c r="D38" i="16"/>
  <c r="L383" i="16"/>
  <c r="L381" i="16"/>
  <c r="L382" i="16"/>
  <c r="L382" i="1"/>
  <c r="AE382" i="1"/>
  <c r="E8" i="17"/>
  <c r="K14" i="19" s="1"/>
  <c r="K38" i="19" s="1"/>
  <c r="AJ21" i="17"/>
  <c r="AJ27" i="17"/>
  <c r="AJ49" i="17"/>
  <c r="AJ60" i="17"/>
  <c r="AJ38" i="17"/>
  <c r="AJ70" i="17"/>
  <c r="AJ79" i="17"/>
  <c r="AJ98" i="17"/>
  <c r="AJ94" i="17"/>
  <c r="AJ128" i="17"/>
  <c r="AJ162" i="17"/>
  <c r="AJ138" i="17"/>
  <c r="AJ165" i="17"/>
  <c r="AJ194" i="17"/>
  <c r="AJ229" i="17"/>
  <c r="AJ183" i="17"/>
  <c r="AJ215" i="17"/>
  <c r="AJ245" i="17"/>
  <c r="AJ273" i="17"/>
  <c r="AJ303" i="17"/>
  <c r="AJ330" i="17"/>
  <c r="AJ351" i="17"/>
  <c r="AJ306" i="17"/>
  <c r="AJ272" i="17"/>
  <c r="AJ363" i="17"/>
  <c r="AJ319" i="17"/>
  <c r="AJ261" i="17"/>
  <c r="AJ208" i="17"/>
  <c r="AJ216" i="17"/>
  <c r="AJ157" i="17"/>
  <c r="AJ151" i="17"/>
  <c r="AJ121" i="17"/>
  <c r="AJ64" i="17"/>
  <c r="AJ52" i="17"/>
  <c r="AJ34" i="17"/>
  <c r="AJ91" i="17"/>
  <c r="AJ131" i="17"/>
  <c r="AJ260" i="17"/>
  <c r="AJ297" i="17"/>
  <c r="AJ375" i="17"/>
  <c r="AJ328" i="17"/>
  <c r="AJ95" i="17"/>
  <c r="AJ279" i="17"/>
  <c r="AJ271" i="17"/>
  <c r="AJ204" i="17"/>
  <c r="AJ119" i="17"/>
  <c r="AJ180" i="17"/>
  <c r="AJ100" i="17"/>
  <c r="AJ189" i="17"/>
  <c r="AJ263" i="17"/>
  <c r="AJ352" i="17"/>
  <c r="AJ73" i="17"/>
  <c r="AJ22" i="17"/>
  <c r="AJ44" i="17"/>
  <c r="AJ82" i="17"/>
  <c r="AJ109" i="17"/>
  <c r="AJ125" i="17"/>
  <c r="AJ181" i="17"/>
  <c r="AJ248" i="17"/>
  <c r="AJ235" i="17"/>
  <c r="AJ292" i="17"/>
  <c r="AJ343" i="17"/>
  <c r="AJ373" i="17"/>
  <c r="AJ285" i="17"/>
  <c r="AJ325" i="17"/>
  <c r="AJ364" i="17"/>
  <c r="AJ317" i="17"/>
  <c r="AJ369" i="17"/>
  <c r="AJ274" i="17"/>
  <c r="AJ230" i="17"/>
  <c r="AJ166" i="17"/>
  <c r="AJ83" i="17"/>
  <c r="AJ380" i="17"/>
  <c r="AJ360" i="17"/>
  <c r="AJ341" i="17"/>
  <c r="AJ323" i="17"/>
  <c r="AJ301" i="17"/>
  <c r="AJ282" i="17"/>
  <c r="AJ268" i="17"/>
  <c r="AJ371" i="17"/>
  <c r="AJ357" i="17"/>
  <c r="AJ338" i="17"/>
  <c r="AJ310" i="17"/>
  <c r="AJ284" i="17"/>
  <c r="AJ251" i="17"/>
  <c r="AJ225" i="17"/>
  <c r="AJ198" i="17"/>
  <c r="AJ234" i="17"/>
  <c r="AJ201" i="17"/>
  <c r="AJ176" i="17"/>
  <c r="AJ148" i="17"/>
  <c r="AJ173" i="17"/>
  <c r="AJ137" i="17"/>
  <c r="AJ103" i="17"/>
  <c r="AJ110" i="17"/>
  <c r="AJ76" i="17"/>
  <c r="AJ29" i="17"/>
  <c r="AJ32" i="17"/>
  <c r="AJ43" i="17"/>
  <c r="AJ17" i="17"/>
  <c r="AJ15" i="17"/>
  <c r="AJ23" i="17"/>
  <c r="AJ47" i="17"/>
  <c r="AJ58" i="17"/>
  <c r="AJ36" i="17"/>
  <c r="AJ69" i="17"/>
  <c r="AJ42" i="17"/>
  <c r="AJ78" i="17"/>
  <c r="AJ80" i="17"/>
  <c r="AJ97" i="17"/>
  <c r="AJ117" i="17"/>
  <c r="AJ92" i="17"/>
  <c r="AJ107" i="17"/>
  <c r="AJ122" i="17"/>
  <c r="AJ141" i="17"/>
  <c r="AJ161" i="17"/>
  <c r="AJ123" i="17"/>
  <c r="AJ135" i="17"/>
  <c r="AJ150" i="17"/>
  <c r="AJ164" i="17"/>
  <c r="AJ178" i="17"/>
  <c r="AJ193" i="17"/>
  <c r="AJ205" i="17"/>
  <c r="AJ224" i="17"/>
  <c r="AJ241" i="17"/>
  <c r="AJ182" i="17"/>
  <c r="AJ200" i="17"/>
  <c r="AJ214" i="17"/>
  <c r="AJ227" i="17"/>
  <c r="AJ244" i="17"/>
  <c r="AJ255" i="17"/>
  <c r="AJ270" i="17"/>
  <c r="AJ288" i="17"/>
  <c r="AJ300" i="17"/>
  <c r="AJ313" i="17"/>
  <c r="AJ329" i="17"/>
  <c r="AJ340" i="17"/>
  <c r="AJ349" i="17"/>
  <c r="AJ359" i="17"/>
  <c r="AJ367" i="17"/>
  <c r="AJ372" i="17"/>
  <c r="AJ377" i="17"/>
  <c r="AJ269" i="17"/>
  <c r="AJ278" i="17"/>
  <c r="AJ283" i="17"/>
  <c r="AJ291" i="17"/>
  <c r="AJ302" i="17"/>
  <c r="AJ315" i="17"/>
  <c r="AJ324" i="17"/>
  <c r="AJ331" i="17"/>
  <c r="AJ345" i="17"/>
  <c r="AJ355" i="17"/>
  <c r="AJ361" i="17"/>
  <c r="AJ376" i="17"/>
  <c r="AJ344" i="17"/>
  <c r="AJ339" i="17"/>
  <c r="AJ334" i="17"/>
  <c r="AJ327" i="17"/>
  <c r="AJ318" i="17"/>
  <c r="AJ311" i="17"/>
  <c r="AJ307" i="17"/>
  <c r="AJ299" i="17"/>
  <c r="AJ293" i="17"/>
  <c r="AJ287" i="17"/>
  <c r="AJ275" i="17"/>
  <c r="AJ266" i="17"/>
  <c r="AJ259" i="17"/>
  <c r="AJ253" i="17"/>
  <c r="AJ247" i="17"/>
  <c r="AJ242" i="17"/>
  <c r="AJ236" i="17"/>
  <c r="AJ226" i="17"/>
  <c r="AJ218" i="17"/>
  <c r="AJ213" i="17"/>
  <c r="AJ206" i="17"/>
  <c r="AJ199" i="17"/>
  <c r="AJ195" i="17"/>
  <c r="AJ262" i="17"/>
  <c r="AJ252" i="17"/>
  <c r="AJ237" i="17"/>
  <c r="AJ231" i="17"/>
  <c r="AJ223" i="17"/>
  <c r="AJ211" i="17"/>
  <c r="AJ202" i="17"/>
  <c r="AJ184" i="17"/>
  <c r="AJ191" i="17"/>
  <c r="AJ185" i="17"/>
  <c r="AJ177" i="17"/>
  <c r="AJ170" i="17"/>
  <c r="AJ163" i="17"/>
  <c r="AJ155" i="17"/>
  <c r="AJ149" i="17"/>
  <c r="AJ142" i="17"/>
  <c r="AJ134" i="17"/>
  <c r="AJ126" i="17"/>
  <c r="AJ174" i="17"/>
  <c r="AJ168" i="17"/>
  <c r="AJ158" i="17"/>
  <c r="AJ147" i="17"/>
  <c r="AJ140" i="17"/>
  <c r="AJ132" i="17"/>
  <c r="AJ116" i="17"/>
  <c r="AJ112" i="17"/>
  <c r="AJ104" i="17"/>
  <c r="AJ96" i="17"/>
  <c r="AJ90" i="17"/>
  <c r="AJ120" i="17"/>
  <c r="AJ111" i="17"/>
  <c r="AJ101" i="17"/>
  <c r="AJ93" i="17"/>
  <c r="AJ85" i="17"/>
  <c r="AJ77" i="17"/>
  <c r="AJ84" i="17"/>
  <c r="AJ71" i="17"/>
  <c r="AJ59" i="17"/>
  <c r="AJ41" i="17"/>
  <c r="AJ74" i="17"/>
  <c r="E7" i="17"/>
  <c r="AJ19" i="17"/>
  <c r="AJ26" i="17"/>
  <c r="F7" i="17"/>
  <c r="AJ37" i="17"/>
  <c r="AJ45" i="17"/>
  <c r="AJ51" i="17"/>
  <c r="AJ57" i="17"/>
  <c r="AJ20" i="17"/>
  <c r="AJ35" i="17"/>
  <c r="AJ55" i="17"/>
  <c r="AJ68" i="17"/>
  <c r="AJ25" i="17"/>
  <c r="AJ66" i="17"/>
  <c r="AJ72" i="17"/>
  <c r="AJ89" i="17"/>
  <c r="AJ106" i="17"/>
  <c r="AJ86" i="17"/>
  <c r="AJ102" i="17"/>
  <c r="AJ114" i="17"/>
  <c r="AJ136" i="17"/>
  <c r="AJ154" i="17"/>
  <c r="AJ172" i="17"/>
  <c r="AJ129" i="17"/>
  <c r="AJ145" i="17"/>
  <c r="AJ159" i="17"/>
  <c r="AJ175" i="17"/>
  <c r="AJ187" i="17"/>
  <c r="AJ192" i="17"/>
  <c r="AJ220" i="17"/>
  <c r="AJ233" i="17"/>
  <c r="AJ256" i="17"/>
  <c r="AJ197" i="17"/>
  <c r="AJ209" i="17"/>
  <c r="AJ221" i="17"/>
  <c r="AJ239" i="17"/>
  <c r="AJ250" i="17"/>
  <c r="AJ264" i="17"/>
  <c r="AJ281" i="17"/>
  <c r="AJ296" i="17"/>
  <c r="AJ309" i="17"/>
  <c r="AJ320" i="17"/>
  <c r="AJ337" i="17"/>
  <c r="AJ347" i="17"/>
  <c r="AJ379" i="17"/>
  <c r="AJ358" i="17"/>
  <c r="AJ336" i="17"/>
  <c r="AJ321" i="17"/>
  <c r="AJ298" i="17"/>
  <c r="AJ280" i="17"/>
  <c r="AJ267" i="17"/>
  <c r="AJ370" i="17"/>
  <c r="AJ353" i="17"/>
  <c r="AJ335" i="17"/>
  <c r="AJ308" i="17"/>
  <c r="AJ276" i="17"/>
  <c r="AJ249" i="17"/>
  <c r="AJ219" i="17"/>
  <c r="AJ196" i="17"/>
  <c r="AJ232" i="17"/>
  <c r="AJ190" i="17"/>
  <c r="AJ171" i="17"/>
  <c r="AJ143" i="17"/>
  <c r="AJ169" i="17"/>
  <c r="AJ133" i="17"/>
  <c r="AJ99" i="17"/>
  <c r="AJ105" i="17"/>
  <c r="AJ63" i="17"/>
  <c r="AJ75" i="17"/>
  <c r="AJ24" i="17"/>
  <c r="AJ39" i="17"/>
  <c r="T13" i="7"/>
  <c r="AJ54" i="17"/>
  <c r="AJ67" i="17"/>
  <c r="AJ87" i="17"/>
  <c r="AJ156" i="17"/>
  <c r="AJ160" i="17"/>
  <c r="AJ222" i="17"/>
  <c r="AJ212" i="17"/>
  <c r="AJ265" i="17"/>
  <c r="AJ322" i="17"/>
  <c r="AJ365" i="17"/>
  <c r="AJ277" i="17"/>
  <c r="AJ312" i="17"/>
  <c r="AJ354" i="17"/>
  <c r="AJ61" i="17"/>
  <c r="AJ167" i="17"/>
  <c r="AJ332" i="17"/>
  <c r="AJ356" i="17"/>
  <c r="AJ305" i="17"/>
  <c r="AJ362" i="17"/>
  <c r="AJ258" i="17"/>
  <c r="AJ210" i="17"/>
  <c r="AJ146" i="17"/>
  <c r="AJ48" i="17"/>
  <c r="AJ18" i="17"/>
  <c r="AJ378" i="17"/>
  <c r="AJ333" i="17"/>
  <c r="AJ139" i="17"/>
  <c r="AT2" i="7"/>
  <c r="Q381" i="1"/>
  <c r="AE383" i="1"/>
  <c r="AJ246" i="17"/>
  <c r="AJ130" i="17"/>
  <c r="AJ295" i="17"/>
  <c r="N15" i="7"/>
  <c r="O9" i="18"/>
  <c r="AJ84" i="15"/>
  <c r="AJ94" i="15"/>
  <c r="AJ106" i="15"/>
  <c r="AJ119" i="15"/>
  <c r="AJ128" i="15"/>
  <c r="AJ141" i="15"/>
  <c r="AJ144" i="15"/>
  <c r="AJ148" i="15"/>
  <c r="AJ150" i="15"/>
  <c r="AJ154" i="15"/>
  <c r="AJ160" i="15"/>
  <c r="AJ162" i="15"/>
  <c r="AJ165" i="15"/>
  <c r="AJ168" i="15"/>
  <c r="AJ175" i="15"/>
  <c r="AJ179" i="15"/>
  <c r="AJ182" i="15"/>
  <c r="AJ184" i="15"/>
  <c r="AJ187" i="15"/>
  <c r="AJ190" i="15"/>
  <c r="AJ196" i="15"/>
  <c r="AJ200" i="15"/>
  <c r="AJ204" i="15"/>
  <c r="AJ207" i="15"/>
  <c r="AJ212" i="15"/>
  <c r="AJ218" i="15"/>
  <c r="AJ226" i="15"/>
  <c r="AJ229" i="15"/>
  <c r="AJ233" i="15"/>
  <c r="AJ236" i="15"/>
  <c r="AJ246" i="15"/>
  <c r="AJ250" i="15"/>
  <c r="AJ256" i="15"/>
  <c r="AJ260" i="15"/>
  <c r="AJ71" i="15"/>
  <c r="AJ77" i="15"/>
  <c r="AJ82" i="15"/>
  <c r="AJ87" i="15"/>
  <c r="AJ96" i="15"/>
  <c r="AJ112" i="15"/>
  <c r="AJ117" i="15"/>
  <c r="AJ123" i="15"/>
  <c r="AJ135" i="15"/>
  <c r="AJ145" i="15"/>
  <c r="AJ151" i="15"/>
  <c r="AJ155" i="15"/>
  <c r="AJ157" i="15"/>
  <c r="AJ163" i="15"/>
  <c r="AJ169" i="15"/>
  <c r="AJ172" i="15"/>
  <c r="AJ174" i="15"/>
  <c r="AJ178" i="15"/>
  <c r="AJ185" i="15"/>
  <c r="AJ191" i="15"/>
  <c r="AJ193" i="15"/>
  <c r="AJ197" i="15"/>
  <c r="AJ202" i="15"/>
  <c r="AJ206" i="15"/>
  <c r="AJ210" i="15"/>
  <c r="AJ213" i="15"/>
  <c r="AJ215" i="15"/>
  <c r="AJ219" i="15"/>
  <c r="AJ221" i="15"/>
  <c r="AJ224" i="15"/>
  <c r="AJ228" i="15"/>
  <c r="AJ231" i="15"/>
  <c r="AJ238" i="15"/>
  <c r="AJ240" i="15"/>
  <c r="AJ242" i="15"/>
  <c r="AJ244" i="15"/>
  <c r="AJ247" i="15"/>
  <c r="AJ251" i="15"/>
  <c r="AJ254" i="15"/>
  <c r="AJ257" i="15"/>
  <c r="AJ261" i="15"/>
  <c r="AJ264" i="15"/>
  <c r="AJ268" i="15"/>
  <c r="AJ272" i="15"/>
  <c r="AJ278" i="15"/>
  <c r="AJ282" i="15"/>
  <c r="AJ285" i="15"/>
  <c r="AJ287" i="15"/>
  <c r="AJ290" i="15"/>
  <c r="AJ293" i="15"/>
  <c r="AJ300" i="15"/>
  <c r="AJ304" i="15"/>
  <c r="AJ309" i="15"/>
  <c r="AJ322" i="15"/>
  <c r="AJ325" i="15"/>
  <c r="AJ327" i="15"/>
  <c r="AJ334" i="15"/>
  <c r="AJ337" i="15"/>
  <c r="AJ341" i="15"/>
  <c r="AJ345" i="15"/>
  <c r="AJ348" i="15"/>
  <c r="AJ354" i="15"/>
  <c r="AJ359" i="15"/>
  <c r="AJ364" i="15"/>
  <c r="AJ266" i="15"/>
  <c r="AJ269" i="15"/>
  <c r="AJ273" i="15"/>
  <c r="AJ275" i="15"/>
  <c r="AJ279" i="15"/>
  <c r="AJ283" i="15"/>
  <c r="AJ292" i="15"/>
  <c r="AJ295" i="15"/>
  <c r="AJ297" i="15"/>
  <c r="AJ301" i="15"/>
  <c r="AJ305" i="15"/>
  <c r="AJ307" i="15"/>
  <c r="AJ311" i="15"/>
  <c r="AJ314" i="15"/>
  <c r="AJ316" i="15"/>
  <c r="AJ318" i="15"/>
  <c r="AJ320" i="15"/>
  <c r="AJ324" i="15"/>
  <c r="AJ329" i="15"/>
  <c r="AJ332" i="15"/>
  <c r="AJ335" i="15"/>
  <c r="AJ340" i="15"/>
  <c r="AJ344" i="15"/>
  <c r="AJ349" i="15"/>
  <c r="AJ351" i="15"/>
  <c r="AJ356" i="15"/>
  <c r="AJ358" i="15"/>
  <c r="AJ362" i="15"/>
  <c r="AJ366" i="15"/>
  <c r="AJ368" i="15"/>
  <c r="AJ371" i="15"/>
  <c r="AJ375" i="15"/>
  <c r="AJ377" i="15"/>
  <c r="AJ17" i="15"/>
  <c r="AJ23" i="15"/>
  <c r="AJ21" i="15"/>
  <c r="AJ20" i="15"/>
  <c r="AJ28" i="15"/>
  <c r="AJ35" i="15"/>
  <c r="AJ41" i="15"/>
  <c r="AJ36" i="15"/>
  <c r="AJ50" i="15"/>
  <c r="AJ56" i="15"/>
  <c r="AJ61" i="15"/>
  <c r="AJ72" i="15"/>
  <c r="AJ63" i="15"/>
  <c r="AJ48" i="15"/>
  <c r="AJ370" i="15"/>
  <c r="AJ379" i="15"/>
  <c r="AJ18" i="15"/>
  <c r="AJ16" i="15"/>
  <c r="AJ39" i="15"/>
  <c r="AJ49" i="15"/>
  <c r="AJ60" i="15"/>
  <c r="AJ53" i="15"/>
  <c r="AJ372" i="15"/>
  <c r="AJ22" i="15"/>
  <c r="AJ25" i="15"/>
  <c r="AJ64" i="15"/>
  <c r="AJ44" i="15"/>
  <c r="AJ27" i="15"/>
  <c r="AJ42" i="15"/>
  <c r="AJ62" i="15"/>
  <c r="AJ45" i="15"/>
  <c r="AJ73" i="15"/>
  <c r="AJ81" i="15"/>
  <c r="AJ89" i="15"/>
  <c r="AJ97" i="15"/>
  <c r="AJ101" i="15"/>
  <c r="AJ107" i="15"/>
  <c r="AJ115" i="15"/>
  <c r="AJ122" i="15"/>
  <c r="AJ130" i="15"/>
  <c r="AJ134" i="15"/>
  <c r="AJ142" i="15"/>
  <c r="AJ40" i="15"/>
  <c r="AJ68" i="15"/>
  <c r="AJ79" i="15"/>
  <c r="AJ88" i="15"/>
  <c r="AJ95" i="15"/>
  <c r="AJ100" i="15"/>
  <c r="AJ104" i="15"/>
  <c r="AJ113" i="15"/>
  <c r="AJ121" i="15"/>
  <c r="AJ127" i="15"/>
  <c r="AJ133" i="15"/>
  <c r="AJ138" i="15"/>
  <c r="AJ93" i="15"/>
  <c r="AJ109" i="15"/>
  <c r="AJ140" i="15"/>
  <c r="AJ147" i="15"/>
  <c r="AJ153" i="15"/>
  <c r="AJ161" i="15"/>
  <c r="AJ167" i="15"/>
  <c r="AJ176" i="15"/>
  <c r="AJ183" i="15"/>
  <c r="AJ188" i="15"/>
  <c r="AJ199" i="15"/>
  <c r="AJ205" i="15"/>
  <c r="AJ217" i="15"/>
  <c r="AJ227" i="15"/>
  <c r="AJ235" i="15"/>
  <c r="AJ248" i="15"/>
  <c r="AJ258" i="15"/>
  <c r="AJ75" i="15"/>
  <c r="AJ83" i="15"/>
  <c r="AJ110" i="15"/>
  <c r="AJ118" i="15"/>
  <c r="AJ139" i="15"/>
  <c r="AJ152" i="15"/>
  <c r="AJ158" i="15"/>
  <c r="AJ171" i="15"/>
  <c r="AJ177" i="15"/>
  <c r="AJ189" i="15"/>
  <c r="AJ194" i="15"/>
  <c r="AJ203" i="15"/>
  <c r="AJ211" i="15"/>
  <c r="AJ216" i="15"/>
  <c r="AJ223" i="15"/>
  <c r="AJ230" i="15"/>
  <c r="AJ239" i="15"/>
  <c r="AJ243" i="15"/>
  <c r="AJ249" i="15"/>
  <c r="AJ255" i="15"/>
  <c r="AJ263" i="15"/>
  <c r="AJ270" i="15"/>
  <c r="AJ280" i="15"/>
  <c r="AJ286" i="15"/>
  <c r="AJ291" i="15"/>
  <c r="AJ303" i="15"/>
  <c r="AJ313" i="15"/>
  <c r="AJ326" i="15"/>
  <c r="AJ336" i="15"/>
  <c r="AJ343" i="15"/>
  <c r="AJ353" i="15"/>
  <c r="AJ361" i="15"/>
  <c r="AJ267" i="15"/>
  <c r="AJ274" i="15"/>
  <c r="AJ281" i="15"/>
  <c r="AJ294" i="15"/>
  <c r="AJ298" i="15"/>
  <c r="AJ306" i="15"/>
  <c r="AJ312" i="15"/>
  <c r="AJ317" i="15"/>
  <c r="AJ321" i="15"/>
  <c r="AJ331" i="15"/>
  <c r="AJ338" i="15"/>
  <c r="AJ347" i="15"/>
  <c r="AJ352" i="15"/>
  <c r="AJ360" i="15"/>
  <c r="AJ367" i="15"/>
  <c r="AJ373" i="15"/>
  <c r="AJ378" i="15"/>
  <c r="AJ380" i="15"/>
  <c r="AJ29" i="15"/>
  <c r="AJ38" i="15"/>
  <c r="AJ47" i="15"/>
  <c r="AJ58" i="15"/>
  <c r="AJ69" i="15"/>
  <c r="AJ43" i="15"/>
  <c r="AJ19" i="15"/>
  <c r="AJ33" i="15"/>
  <c r="AJ54" i="15"/>
  <c r="AJ26" i="15"/>
  <c r="AJ31" i="15"/>
  <c r="AJ70" i="15"/>
  <c r="AJ37" i="15"/>
  <c r="AJ46" i="15"/>
  <c r="AJ78" i="15"/>
  <c r="AJ92" i="15"/>
  <c r="AJ103" i="15"/>
  <c r="AJ120" i="15"/>
  <c r="AJ132" i="15"/>
  <c r="AJ24" i="15"/>
  <c r="AJ76" i="15"/>
  <c r="AJ90" i="15"/>
  <c r="AJ102" i="15"/>
  <c r="AJ116" i="15"/>
  <c r="AJ131" i="15"/>
  <c r="AJ74" i="15"/>
  <c r="AJ105" i="15"/>
  <c r="AJ126" i="15"/>
  <c r="AJ143" i="15"/>
  <c r="AJ149" i="15"/>
  <c r="AJ159" i="15"/>
  <c r="AJ164" i="15"/>
  <c r="AJ170" i="15"/>
  <c r="AJ180" i="15"/>
  <c r="AJ186" i="15"/>
  <c r="AJ195" i="15"/>
  <c r="AJ201" i="15"/>
  <c r="AJ208" i="15"/>
  <c r="AJ222" i="15"/>
  <c r="AJ232" i="15"/>
  <c r="AJ237" i="15"/>
  <c r="AJ252" i="15"/>
  <c r="AJ262" i="15"/>
  <c r="AJ80" i="15"/>
  <c r="AJ91" i="15"/>
  <c r="AJ114" i="15"/>
  <c r="AJ129" i="15"/>
  <c r="AJ146" i="15"/>
  <c r="AJ156" i="15"/>
  <c r="AJ166" i="15"/>
  <c r="AJ173" i="15"/>
  <c r="AJ181" i="15"/>
  <c r="AJ192" i="15"/>
  <c r="AJ198" i="15"/>
  <c r="AJ209" i="15"/>
  <c r="AJ214" i="15"/>
  <c r="AJ220" i="15"/>
  <c r="AJ225" i="15"/>
  <c r="AJ234" i="15"/>
  <c r="AJ241" i="15"/>
  <c r="AJ245" i="15"/>
  <c r="AJ253" i="15"/>
  <c r="AJ259" i="15"/>
  <c r="AJ265" i="15"/>
  <c r="AJ277" i="15"/>
  <c r="AJ284" i="15"/>
  <c r="AJ289" i="15"/>
  <c r="AJ299" i="15"/>
  <c r="AJ308" i="15"/>
  <c r="AJ323" i="15"/>
  <c r="AJ330" i="15"/>
  <c r="AJ339" i="15"/>
  <c r="AJ346" i="15"/>
  <c r="AJ355" i="15"/>
  <c r="AJ365" i="15"/>
  <c r="AJ271" i="15"/>
  <c r="AJ276" i="15"/>
  <c r="AJ288" i="15"/>
  <c r="AJ296" i="15"/>
  <c r="AJ302" i="15"/>
  <c r="AJ310" i="15"/>
  <c r="AJ315" i="15"/>
  <c r="AJ319" i="15"/>
  <c r="AJ328" i="15"/>
  <c r="AJ333" i="15"/>
  <c r="AJ342" i="15"/>
  <c r="AJ350" i="15"/>
  <c r="AJ357" i="15"/>
  <c r="AJ363" i="15"/>
  <c r="AJ369" i="15"/>
  <c r="AJ376" i="15"/>
  <c r="F7" i="15"/>
  <c r="AJ32" i="15"/>
  <c r="AJ30" i="15"/>
  <c r="AJ52" i="15"/>
  <c r="AJ65" i="15"/>
  <c r="AJ59" i="15"/>
  <c r="AJ374" i="15"/>
  <c r="H13" i="7"/>
  <c r="AJ34" i="15"/>
  <c r="AJ67" i="15"/>
  <c r="AJ15" i="15"/>
  <c r="AJ51" i="15"/>
  <c r="AJ57" i="15"/>
  <c r="AJ66" i="15"/>
  <c r="AJ86" i="15"/>
  <c r="AJ99" i="15"/>
  <c r="AJ111" i="15"/>
  <c r="AJ125" i="15"/>
  <c r="AJ137" i="15"/>
  <c r="AJ55" i="15"/>
  <c r="AJ85" i="15"/>
  <c r="AJ98" i="15"/>
  <c r="AJ108" i="15"/>
  <c r="AJ124" i="15"/>
  <c r="AJ136" i="15"/>
  <c r="N31" i="6"/>
  <c r="M33" i="6"/>
  <c r="M39" i="6" s="1"/>
  <c r="M38" i="6" s="1"/>
  <c r="R31" i="6"/>
  <c r="Z24" i="6"/>
  <c r="Z23" i="6" s="1"/>
  <c r="Z25" i="6" s="1"/>
  <c r="U24" i="6"/>
  <c r="U23" i="6" s="1"/>
  <c r="U25" i="6" s="1"/>
  <c r="J121" i="6" s="1"/>
  <c r="I15" i="7"/>
  <c r="Q383" i="1"/>
  <c r="Q382" i="1"/>
  <c r="AE381" i="1"/>
  <c r="W48" i="6"/>
  <c r="X46" i="6"/>
  <c r="V50" i="6"/>
  <c r="O24" i="6"/>
  <c r="O23" i="6" s="1"/>
  <c r="O25" i="6" s="1"/>
  <c r="AL25" i="6"/>
  <c r="E12" i="6"/>
  <c r="X48" i="6"/>
  <c r="Y46" i="6"/>
  <c r="W50" i="6"/>
  <c r="M18" i="6"/>
  <c r="N16" i="6"/>
  <c r="N24" i="6" s="1"/>
  <c r="N23" i="6" s="1"/>
  <c r="N25" i="6" s="1"/>
  <c r="M44" i="6"/>
  <c r="Y35" i="6"/>
  <c r="AA31" i="6"/>
  <c r="Z33" i="6"/>
  <c r="AN18" i="6"/>
  <c r="AA29" i="6"/>
  <c r="AM20" i="6"/>
  <c r="AM24" i="6" s="1"/>
  <c r="AM23" i="6" s="1"/>
  <c r="AK24" i="6"/>
  <c r="AK23" i="6" s="1"/>
  <c r="X24" i="6"/>
  <c r="X23" i="6" s="1"/>
  <c r="X25" i="6" s="1"/>
  <c r="W24" i="6"/>
  <c r="W23" i="6" s="1"/>
  <c r="W25" i="6" s="1"/>
  <c r="AA44" i="6"/>
  <c r="AN20" i="6"/>
  <c r="AC25" i="6"/>
  <c r="J227" i="6" s="1"/>
  <c r="E13" i="6"/>
  <c r="AF24" i="6"/>
  <c r="AF23" i="6" s="1"/>
  <c r="Y50" i="6"/>
  <c r="Z48" i="6"/>
  <c r="AA46" i="6"/>
  <c r="AM25" i="6"/>
  <c r="X35" i="6"/>
  <c r="X39" i="6" s="1"/>
  <c r="X38" i="6" s="1"/>
  <c r="X40" i="6" s="1"/>
  <c r="Y33" i="6"/>
  <c r="Z31" i="6"/>
  <c r="AI25" i="6"/>
  <c r="J329" i="6" s="1"/>
  <c r="U35" i="6"/>
  <c r="U39" i="6" s="1"/>
  <c r="U38" i="6" s="1"/>
  <c r="V33" i="6"/>
  <c r="W31" i="6"/>
  <c r="W39" i="6" s="1"/>
  <c r="W38" i="6" s="1"/>
  <c r="P54" i="6"/>
  <c r="P53" i="6" s="1"/>
  <c r="P55" i="6" s="1"/>
  <c r="T50" i="6"/>
  <c r="U48" i="6"/>
  <c r="V46" i="6"/>
  <c r="U46" i="6"/>
  <c r="T48" i="6"/>
  <c r="T54" i="6" s="1"/>
  <c r="S50" i="6"/>
  <c r="Y25" i="6"/>
  <c r="R33" i="6"/>
  <c r="S31" i="6"/>
  <c r="S39" i="6" s="1"/>
  <c r="S38" i="6" s="1"/>
  <c r="Q35" i="6"/>
  <c r="O35" i="6"/>
  <c r="Q31" i="6"/>
  <c r="P33" i="6"/>
  <c r="O46" i="6"/>
  <c r="N48" i="6"/>
  <c r="M50" i="6"/>
  <c r="P24" i="6"/>
  <c r="P23" i="6" s="1"/>
  <c r="S24" i="6"/>
  <c r="S23" i="6" s="1"/>
  <c r="AA25" i="6"/>
  <c r="L55" i="27"/>
  <c r="Z55" i="27" s="1"/>
  <c r="Y66" i="27"/>
  <c r="H41" i="27"/>
  <c r="P76" i="27"/>
  <c r="AE75" i="27"/>
  <c r="G24" i="27"/>
  <c r="G25" i="27"/>
  <c r="U73" i="27"/>
  <c r="V73" i="27"/>
  <c r="X73" i="27"/>
  <c r="S73" i="27"/>
  <c r="T73" i="27"/>
  <c r="W73" i="27"/>
  <c r="R73" i="27"/>
  <c r="Y73" i="27"/>
  <c r="I38" i="27"/>
  <c r="Q73" i="27"/>
  <c r="Z73" i="27"/>
  <c r="AA73" i="27"/>
  <c r="BM14" i="6"/>
  <c r="T55" i="27"/>
  <c r="E55" i="27"/>
  <c r="T66" i="27"/>
  <c r="Q56" i="27"/>
  <c r="Z56" i="27"/>
  <c r="R56" i="27"/>
  <c r="X56" i="27"/>
  <c r="V56" i="27"/>
  <c r="R72" i="27"/>
  <c r="Y72" i="27"/>
  <c r="Q72" i="27"/>
  <c r="AA72" i="27"/>
  <c r="Z72" i="27"/>
  <c r="J31" i="27"/>
  <c r="L31" i="27" s="1"/>
  <c r="J22" i="27"/>
  <c r="L22" i="27" s="1"/>
  <c r="J27" i="27"/>
  <c r="L27" i="27" s="1"/>
  <c r="J25" i="27"/>
  <c r="L25" i="27" s="1"/>
  <c r="J23" i="27"/>
  <c r="L23" i="27" s="1"/>
  <c r="J21" i="27"/>
  <c r="L21" i="27" s="1"/>
  <c r="J32" i="27"/>
  <c r="L32" i="27" s="1"/>
  <c r="J26" i="27"/>
  <c r="L26" i="27" s="1"/>
  <c r="J33" i="27"/>
  <c r="L33" i="27" s="1"/>
  <c r="U56" i="27"/>
  <c r="W56" i="27"/>
  <c r="AA56" i="27"/>
  <c r="T65" i="27"/>
  <c r="V65" i="27"/>
  <c r="W65" i="27"/>
  <c r="X65" i="27"/>
  <c r="U65" i="27"/>
  <c r="S65" i="27"/>
  <c r="Y65" i="27"/>
  <c r="I29" i="27"/>
  <c r="Z64" i="27"/>
  <c r="U64" i="27"/>
  <c r="T64" i="27"/>
  <c r="S64" i="27"/>
  <c r="V64" i="27"/>
  <c r="Y64" i="27"/>
  <c r="W64" i="27"/>
  <c r="X64" i="27"/>
  <c r="I28" i="27"/>
  <c r="U11" i="1"/>
  <c r="Y60" i="27"/>
  <c r="S60" i="27"/>
  <c r="U60" i="27"/>
  <c r="V60" i="27"/>
  <c r="X60" i="27"/>
  <c r="T60" i="27"/>
  <c r="W60" i="27"/>
  <c r="I24" i="27"/>
  <c r="BK16" i="7"/>
  <c r="C16" i="7"/>
  <c r="BW16" i="7"/>
  <c r="BQ16" i="7"/>
  <c r="O11" i="7" l="1"/>
  <c r="Q11" i="16" s="1"/>
  <c r="U363" i="1"/>
  <c r="AI184" i="1"/>
  <c r="U153" i="1"/>
  <c r="U271" i="1"/>
  <c r="AI146" i="1"/>
  <c r="U376" i="1"/>
  <c r="U178" i="1"/>
  <c r="AI345" i="1"/>
  <c r="AI206" i="1"/>
  <c r="U148" i="1"/>
  <c r="U354" i="1"/>
  <c r="U219" i="1"/>
  <c r="U147" i="1"/>
  <c r="AI275" i="1"/>
  <c r="U365" i="1"/>
  <c r="T365" i="1" s="1"/>
  <c r="S365" i="1" s="1"/>
  <c r="R365" i="1" s="1"/>
  <c r="U53" i="1"/>
  <c r="AI269" i="1"/>
  <c r="AH269" i="1" s="1"/>
  <c r="AG269" i="1" s="1"/>
  <c r="AF269" i="1" s="1"/>
  <c r="AI326" i="1"/>
  <c r="AI127" i="1"/>
  <c r="AI295" i="1"/>
  <c r="AI56" i="1"/>
  <c r="AI95" i="1"/>
  <c r="AI234" i="1"/>
  <c r="AI65" i="1"/>
  <c r="AI244" i="1"/>
  <c r="U295" i="1"/>
  <c r="U179" i="1"/>
  <c r="U107" i="1"/>
  <c r="U127" i="1"/>
  <c r="AI333" i="1"/>
  <c r="U145" i="1"/>
  <c r="U104" i="1"/>
  <c r="U253" i="1"/>
  <c r="U333" i="1"/>
  <c r="U325" i="1"/>
  <c r="U45" i="1"/>
  <c r="AI373" i="1"/>
  <c r="U220" i="1"/>
  <c r="AI357" i="1"/>
  <c r="AI15" i="1"/>
  <c r="AI60" i="1"/>
  <c r="AI87" i="1"/>
  <c r="AI350" i="1"/>
  <c r="AI103" i="1"/>
  <c r="AI82" i="1"/>
  <c r="AI55" i="1"/>
  <c r="AI238" i="1"/>
  <c r="U212" i="1"/>
  <c r="AI180" i="1"/>
  <c r="AI83" i="1"/>
  <c r="U130" i="1"/>
  <c r="T130" i="1" s="1"/>
  <c r="S130" i="1" s="1"/>
  <c r="R130" i="1" s="1"/>
  <c r="P10" i="7"/>
  <c r="V10" i="7" s="1"/>
  <c r="AB10" i="7" s="1"/>
  <c r="AH10" i="7" s="1"/>
  <c r="AN10" i="7" s="1"/>
  <c r="AT10" i="7" s="1"/>
  <c r="AZ10" i="7" s="1"/>
  <c r="BF10" i="7" s="1"/>
  <c r="BL10" i="7" s="1"/>
  <c r="BR10" i="7" s="1"/>
  <c r="BX10" i="7" s="1"/>
  <c r="O9" i="16"/>
  <c r="O11" i="17"/>
  <c r="Q10" i="7"/>
  <c r="W10" i="7" s="1"/>
  <c r="AC10" i="7" s="1"/>
  <c r="AI10" i="7" s="1"/>
  <c r="AO10" i="7" s="1"/>
  <c r="AU10" i="7" s="1"/>
  <c r="BA10" i="7" s="1"/>
  <c r="BG10" i="7" s="1"/>
  <c r="BM10" i="7" s="1"/>
  <c r="BS10" i="7" s="1"/>
  <c r="BY10" i="7" s="1"/>
  <c r="AI191" i="1"/>
  <c r="U160" i="1"/>
  <c r="AI288" i="1"/>
  <c r="U187" i="1"/>
  <c r="U374" i="1"/>
  <c r="U192" i="1"/>
  <c r="U29" i="1"/>
  <c r="AI210" i="1"/>
  <c r="U260" i="1"/>
  <c r="AI52" i="1"/>
  <c r="AI367" i="1"/>
  <c r="AI279" i="1"/>
  <c r="AI175" i="1"/>
  <c r="U348" i="1"/>
  <c r="AI96" i="1"/>
  <c r="AI159" i="1"/>
  <c r="U50" i="1"/>
  <c r="AI233" i="1"/>
  <c r="AI124" i="1"/>
  <c r="U281" i="1"/>
  <c r="AI329" i="1"/>
  <c r="AI100" i="1"/>
  <c r="U15" i="1"/>
  <c r="U251" i="1"/>
  <c r="U24" i="1"/>
  <c r="U68" i="1"/>
  <c r="AI85" i="1"/>
  <c r="AI200" i="1"/>
  <c r="U73" i="1"/>
  <c r="AI37" i="1"/>
  <c r="U41" i="1"/>
  <c r="U117" i="1"/>
  <c r="AI149" i="1"/>
  <c r="U336" i="1"/>
  <c r="AI257" i="1"/>
  <c r="AI303" i="1"/>
  <c r="AI270" i="1"/>
  <c r="AH270" i="1" s="1"/>
  <c r="U165" i="1"/>
  <c r="U36" i="1"/>
  <c r="U42" i="1"/>
  <c r="AI308" i="1"/>
  <c r="U300" i="1"/>
  <c r="U110" i="1"/>
  <c r="AI349" i="1"/>
  <c r="AI227" i="1"/>
  <c r="AI262" i="1"/>
  <c r="U102" i="1"/>
  <c r="AI128" i="1"/>
  <c r="U373" i="1"/>
  <c r="U277" i="1"/>
  <c r="AI265" i="1"/>
  <c r="AI126" i="1"/>
  <c r="AI252" i="1"/>
  <c r="AI247" i="1"/>
  <c r="J295" i="6"/>
  <c r="O39" i="6"/>
  <c r="O38" i="6" s="1"/>
  <c r="J300" i="6"/>
  <c r="R54" i="6"/>
  <c r="R53" i="6" s="1"/>
  <c r="R55" i="6" s="1"/>
  <c r="Q54" i="6"/>
  <c r="Q53" i="6" s="1"/>
  <c r="Q55" i="6" s="1"/>
  <c r="J312" i="6"/>
  <c r="X54" i="6"/>
  <c r="X53" i="6" s="1"/>
  <c r="X55" i="6" s="1"/>
  <c r="J297" i="6"/>
  <c r="J291" i="6"/>
  <c r="J289" i="6"/>
  <c r="J298" i="6"/>
  <c r="J294" i="6"/>
  <c r="J296" i="6"/>
  <c r="J301" i="6"/>
  <c r="J288" i="6"/>
  <c r="J290" i="6"/>
  <c r="J292" i="6"/>
  <c r="J299" i="6"/>
  <c r="J293" i="6"/>
  <c r="J326" i="6"/>
  <c r="J315" i="6"/>
  <c r="J177" i="6"/>
  <c r="U125" i="1"/>
  <c r="P11" i="16"/>
  <c r="AK16" i="16" s="1"/>
  <c r="AC349" i="1"/>
  <c r="AC303" i="1"/>
  <c r="AC357" i="1"/>
  <c r="AC174" i="1"/>
  <c r="AC129" i="1"/>
  <c r="AC315" i="1"/>
  <c r="AC127" i="1"/>
  <c r="AC155" i="1"/>
  <c r="AC145" i="1"/>
  <c r="AC347" i="1"/>
  <c r="AC123" i="1"/>
  <c r="AC166" i="1"/>
  <c r="AC353" i="1"/>
  <c r="AC257" i="1"/>
  <c r="AC354" i="1"/>
  <c r="AC329" i="1"/>
  <c r="AC255" i="1"/>
  <c r="AC141" i="1"/>
  <c r="AC182" i="1"/>
  <c r="AC156" i="1"/>
  <c r="AC132" i="1"/>
  <c r="AC327" i="1"/>
  <c r="AC134" i="1"/>
  <c r="AC164" i="1"/>
  <c r="AC172" i="1"/>
  <c r="AC180" i="1"/>
  <c r="AC348" i="1"/>
  <c r="AC362" i="1"/>
  <c r="AC366" i="1"/>
  <c r="AC131" i="1"/>
  <c r="AC135" i="1"/>
  <c r="AC143" i="1"/>
  <c r="AC151" i="1"/>
  <c r="AC159" i="1"/>
  <c r="AC165" i="1"/>
  <c r="AC169" i="1"/>
  <c r="AC179" i="1"/>
  <c r="AC183" i="1"/>
  <c r="AC323" i="1"/>
  <c r="AC275" i="1"/>
  <c r="AC379" i="1"/>
  <c r="AC139" i="1"/>
  <c r="AC148" i="1"/>
  <c r="AC229" i="1"/>
  <c r="AC124" i="1"/>
  <c r="AC189" i="1"/>
  <c r="AC188" i="1"/>
  <c r="AC136" i="1"/>
  <c r="AC271" i="1"/>
  <c r="AC167" i="1"/>
  <c r="AC373" i="1"/>
  <c r="AC299" i="1"/>
  <c r="AC279" i="1"/>
  <c r="AC170" i="1"/>
  <c r="AC142" i="1"/>
  <c r="AC343" i="1"/>
  <c r="AC321" i="1"/>
  <c r="AC291" i="1"/>
  <c r="AC375" i="1"/>
  <c r="AC367" i="1"/>
  <c r="AC130" i="1"/>
  <c r="AC140" i="1"/>
  <c r="AC152" i="1"/>
  <c r="AC168" i="1"/>
  <c r="AC186" i="1"/>
  <c r="AC372" i="1"/>
  <c r="AC378" i="1"/>
  <c r="AC125" i="1"/>
  <c r="AC133" i="1"/>
  <c r="AC137" i="1"/>
  <c r="AC153" i="1"/>
  <c r="AC157" i="1"/>
  <c r="AC161" i="1"/>
  <c r="AC181" i="1"/>
  <c r="AC185" i="1"/>
  <c r="AC191" i="1"/>
  <c r="AC227" i="1"/>
  <c r="AC233" i="1"/>
  <c r="AC237" i="1"/>
  <c r="AC243" i="1"/>
  <c r="AC259" i="1"/>
  <c r="AC263" i="1"/>
  <c r="AC281" i="1"/>
  <c r="AC287" i="1"/>
  <c r="AC311" i="1"/>
  <c r="AC319" i="1"/>
  <c r="AC333" i="1"/>
  <c r="AC339" i="1"/>
  <c r="AC345" i="1"/>
  <c r="AC351" i="1"/>
  <c r="AC355" i="1"/>
  <c r="AC361" i="1"/>
  <c r="AC365" i="1"/>
  <c r="AC369" i="1"/>
  <c r="AC371" i="1"/>
  <c r="AC352" i="1"/>
  <c r="AC376" i="1"/>
  <c r="AC154" i="1"/>
  <c r="AC370" i="1"/>
  <c r="AC364" i="1"/>
  <c r="AC358" i="1"/>
  <c r="AC350" i="1"/>
  <c r="AC251" i="1"/>
  <c r="AC262" i="1"/>
  <c r="AC267" i="1"/>
  <c r="AC268" i="1"/>
  <c r="AC290" i="1"/>
  <c r="AC294" i="1"/>
  <c r="AC296" i="1"/>
  <c r="AC300" i="1"/>
  <c r="AC304" i="1"/>
  <c r="AC316" i="1"/>
  <c r="AC324" i="1"/>
  <c r="AC331" i="1"/>
  <c r="AC336" i="1"/>
  <c r="AC340" i="1"/>
  <c r="AC346" i="1"/>
  <c r="AC249" i="1"/>
  <c r="AC252" i="1"/>
  <c r="AC260" i="1"/>
  <c r="AC265" i="1"/>
  <c r="AC270" i="1"/>
  <c r="AC276" i="1"/>
  <c r="AC280" i="1"/>
  <c r="AC282" i="1"/>
  <c r="AC211" i="1"/>
  <c r="AC223" i="1"/>
  <c r="AC231" i="1"/>
  <c r="AC235" i="1"/>
  <c r="AC239" i="1"/>
  <c r="AC245" i="1"/>
  <c r="AC261" i="1"/>
  <c r="AC269" i="1"/>
  <c r="AC273" i="1"/>
  <c r="AC277" i="1"/>
  <c r="AC285" i="1"/>
  <c r="AC309" i="1"/>
  <c r="AC317" i="1"/>
  <c r="AC359" i="1"/>
  <c r="AC363" i="1"/>
  <c r="AC158" i="1"/>
  <c r="AC144" i="1"/>
  <c r="AC374" i="1"/>
  <c r="AC368" i="1"/>
  <c r="AC360" i="1"/>
  <c r="AC356" i="1"/>
  <c r="AC254" i="1"/>
  <c r="AC256" i="1"/>
  <c r="AC258" i="1"/>
  <c r="AC266" i="1"/>
  <c r="AC272" i="1"/>
  <c r="AC274" i="1"/>
  <c r="AC278" i="1"/>
  <c r="AC283" i="1"/>
  <c r="AC284" i="1"/>
  <c r="AC314" i="1"/>
  <c r="AC322" i="1"/>
  <c r="AC325" i="1"/>
  <c r="AC328" i="1"/>
  <c r="AC330" i="1"/>
  <c r="AC335" i="1"/>
  <c r="AC338" i="1"/>
  <c r="AC341" i="1"/>
  <c r="AC250" i="1"/>
  <c r="AC253" i="1"/>
  <c r="AC264" i="1"/>
  <c r="AC286" i="1"/>
  <c r="AC288" i="1"/>
  <c r="AC295" i="1"/>
  <c r="AC298" i="1"/>
  <c r="AC302" i="1"/>
  <c r="AC305" i="1"/>
  <c r="AC306" i="1"/>
  <c r="AC308" i="1"/>
  <c r="AC310" i="1"/>
  <c r="AC313" i="1"/>
  <c r="AC326" i="1"/>
  <c r="AC332" i="1"/>
  <c r="AC342" i="1"/>
  <c r="AC128" i="1"/>
  <c r="AC138" i="1"/>
  <c r="AC162" i="1"/>
  <c r="AC184" i="1"/>
  <c r="AC187" i="1"/>
  <c r="AC199" i="1"/>
  <c r="AC201" i="1"/>
  <c r="AC203" i="1"/>
  <c r="AC208" i="1"/>
  <c r="AC212" i="1"/>
  <c r="AC219" i="1"/>
  <c r="AC230" i="1"/>
  <c r="AC240" i="1"/>
  <c r="AC242" i="1"/>
  <c r="AC247" i="1"/>
  <c r="AC149" i="1"/>
  <c r="AC160" i="1"/>
  <c r="AC176" i="1"/>
  <c r="AC190" i="1"/>
  <c r="AC194" i="1"/>
  <c r="AC196" i="1"/>
  <c r="AC198" i="1"/>
  <c r="AC200" i="1"/>
  <c r="AC206" i="1"/>
  <c r="AC214" i="1"/>
  <c r="AC220" i="1"/>
  <c r="AC225" i="1"/>
  <c r="AC236" i="1"/>
  <c r="AC238" i="1"/>
  <c r="AC248" i="1"/>
  <c r="AC147" i="1"/>
  <c r="AC173" i="1"/>
  <c r="AC177" i="1"/>
  <c r="AC195" i="1"/>
  <c r="AC209" i="1"/>
  <c r="AC217" i="1"/>
  <c r="AC289" i="1"/>
  <c r="AC292" i="1"/>
  <c r="AC293" i="1"/>
  <c r="AC297" i="1"/>
  <c r="AC301" i="1"/>
  <c r="AC307" i="1"/>
  <c r="AC312" i="1"/>
  <c r="AC318" i="1"/>
  <c r="AC320" i="1"/>
  <c r="AC334" i="1"/>
  <c r="AC337" i="1"/>
  <c r="AC344" i="1"/>
  <c r="AC377" i="1"/>
  <c r="AC150" i="1"/>
  <c r="AC210" i="1"/>
  <c r="AC215" i="1"/>
  <c r="AC216" i="1"/>
  <c r="AC218" i="1"/>
  <c r="AC221" i="1"/>
  <c r="AC224" i="1"/>
  <c r="AC226" i="1"/>
  <c r="AC228" i="1"/>
  <c r="AC232" i="1"/>
  <c r="AC234" i="1"/>
  <c r="AC241" i="1"/>
  <c r="AC246" i="1"/>
  <c r="AC126" i="1"/>
  <c r="AC146" i="1"/>
  <c r="AC178" i="1"/>
  <c r="AC192" i="1"/>
  <c r="AC202" i="1"/>
  <c r="AC204" i="1"/>
  <c r="AC207" i="1"/>
  <c r="AC222" i="1"/>
  <c r="AC244" i="1"/>
  <c r="AC171" i="1"/>
  <c r="AC175" i="1"/>
  <c r="AC193" i="1"/>
  <c r="AC197" i="1"/>
  <c r="AC213" i="1"/>
  <c r="AC163" i="1"/>
  <c r="AC205" i="1"/>
  <c r="C13" i="7"/>
  <c r="I10" i="7" s="1"/>
  <c r="O241" i="1"/>
  <c r="O173" i="1"/>
  <c r="E173" i="1" s="1"/>
  <c r="O160" i="1"/>
  <c r="O239" i="1"/>
  <c r="E239" i="1" s="1"/>
  <c r="O179" i="1"/>
  <c r="E179" i="1" s="1"/>
  <c r="O373" i="1"/>
  <c r="E373" i="1" s="1"/>
  <c r="O142" i="1"/>
  <c r="O362" i="1"/>
  <c r="E362" i="1" s="1"/>
  <c r="O161" i="1"/>
  <c r="O124" i="1"/>
  <c r="O363" i="1"/>
  <c r="O317" i="1"/>
  <c r="E317" i="1" s="1"/>
  <c r="O261" i="1"/>
  <c r="E261" i="1" s="1"/>
  <c r="O183" i="1"/>
  <c r="E183" i="1" s="1"/>
  <c r="O249" i="1"/>
  <c r="E249" i="1" s="1"/>
  <c r="O177" i="1"/>
  <c r="E177" i="1" s="1"/>
  <c r="O357" i="1"/>
  <c r="E357" i="1" s="1"/>
  <c r="O175" i="1"/>
  <c r="E175" i="1" s="1"/>
  <c r="O165" i="1"/>
  <c r="O138" i="1"/>
  <c r="O221" i="1"/>
  <c r="E221" i="1" s="1"/>
  <c r="O351" i="1"/>
  <c r="E351" i="1" s="1"/>
  <c r="O309" i="1"/>
  <c r="E309" i="1" s="1"/>
  <c r="O277" i="1"/>
  <c r="E277" i="1" s="1"/>
  <c r="O269" i="1"/>
  <c r="E269" i="1" s="1"/>
  <c r="O245" i="1"/>
  <c r="E245" i="1" s="1"/>
  <c r="O227" i="1"/>
  <c r="E227" i="1" s="1"/>
  <c r="O181" i="1"/>
  <c r="E181" i="1" s="1"/>
  <c r="O159" i="1"/>
  <c r="O143" i="1"/>
  <c r="O131" i="1"/>
  <c r="O372" i="1"/>
  <c r="E372" i="1" s="1"/>
  <c r="O366" i="1"/>
  <c r="E366" i="1" s="1"/>
  <c r="O144" i="1"/>
  <c r="O154" i="1"/>
  <c r="O354" i="1"/>
  <c r="E354" i="1" s="1"/>
  <c r="O358" i="1"/>
  <c r="E358" i="1" s="1"/>
  <c r="O370" i="1"/>
  <c r="E370" i="1" s="1"/>
  <c r="O374" i="1"/>
  <c r="E374" i="1" s="1"/>
  <c r="O123" i="1"/>
  <c r="O127" i="1"/>
  <c r="O139" i="1"/>
  <c r="O147" i="1"/>
  <c r="O155" i="1"/>
  <c r="O187" i="1"/>
  <c r="E187" i="1" s="1"/>
  <c r="O195" i="1"/>
  <c r="E195" i="1" s="1"/>
  <c r="O369" i="1"/>
  <c r="E369" i="1" s="1"/>
  <c r="O331" i="1"/>
  <c r="E331" i="1" s="1"/>
  <c r="BK13" i="7"/>
  <c r="O211" i="1"/>
  <c r="E211" i="1" s="1"/>
  <c r="O133" i="1"/>
  <c r="O359" i="1"/>
  <c r="E359" i="1" s="1"/>
  <c r="O176" i="1"/>
  <c r="E176" i="1" s="1"/>
  <c r="O283" i="1"/>
  <c r="E283" i="1" s="1"/>
  <c r="O265" i="1"/>
  <c r="E265" i="1" s="1"/>
  <c r="O307" i="1"/>
  <c r="E307" i="1" s="1"/>
  <c r="O295" i="1"/>
  <c r="E295" i="1" s="1"/>
  <c r="O333" i="1"/>
  <c r="O285" i="1"/>
  <c r="E285" i="1" s="1"/>
  <c r="O231" i="1"/>
  <c r="E231" i="1" s="1"/>
  <c r="O289" i="1"/>
  <c r="E289" i="1" s="1"/>
  <c r="O207" i="1"/>
  <c r="E207" i="1" s="1"/>
  <c r="O153" i="1"/>
  <c r="O197" i="1"/>
  <c r="E197" i="1" s="1"/>
  <c r="O180" i="1"/>
  <c r="O157" i="1"/>
  <c r="BW13" i="7"/>
  <c r="O361" i="1"/>
  <c r="E361" i="1" s="1"/>
  <c r="O273" i="1"/>
  <c r="E273" i="1" s="1"/>
  <c r="O259" i="1"/>
  <c r="E259" i="1" s="1"/>
  <c r="O237" i="1"/>
  <c r="E237" i="1" s="1"/>
  <c r="O185" i="1"/>
  <c r="E185" i="1" s="1"/>
  <c r="O169" i="1"/>
  <c r="E169" i="1" s="1"/>
  <c r="O151" i="1"/>
  <c r="O135" i="1"/>
  <c r="O158" i="1"/>
  <c r="O178" i="1"/>
  <c r="E178" i="1" s="1"/>
  <c r="O350" i="1"/>
  <c r="E350" i="1" s="1"/>
  <c r="O356" i="1"/>
  <c r="E356" i="1" s="1"/>
  <c r="O360" i="1"/>
  <c r="E360" i="1" s="1"/>
  <c r="O364" i="1"/>
  <c r="E364" i="1" s="1"/>
  <c r="O368" i="1"/>
  <c r="E368" i="1" s="1"/>
  <c r="O129" i="1"/>
  <c r="O141" i="1"/>
  <c r="O145" i="1"/>
  <c r="O149" i="1"/>
  <c r="C24" i="7" s="1"/>
  <c r="O167" i="1"/>
  <c r="O171" i="1"/>
  <c r="E171" i="1" s="1"/>
  <c r="O201" i="1"/>
  <c r="E201" i="1" s="1"/>
  <c r="O213" i="1"/>
  <c r="E213" i="1" s="1"/>
  <c r="O253" i="1"/>
  <c r="E253" i="1" s="1"/>
  <c r="O271" i="1"/>
  <c r="E271" i="1" s="1"/>
  <c r="O275" i="1"/>
  <c r="E275" i="1" s="1"/>
  <c r="O297" i="1"/>
  <c r="E297" i="1" s="1"/>
  <c r="O305" i="1"/>
  <c r="E305" i="1" s="1"/>
  <c r="O323" i="1"/>
  <c r="E323" i="1" s="1"/>
  <c r="O375" i="1"/>
  <c r="E375" i="1" s="1"/>
  <c r="O379" i="1"/>
  <c r="O355" i="1"/>
  <c r="E355" i="1" s="1"/>
  <c r="O378" i="1"/>
  <c r="E378" i="1" s="1"/>
  <c r="O252" i="1"/>
  <c r="E252" i="1" s="1"/>
  <c r="O255" i="1"/>
  <c r="E255" i="1" s="1"/>
  <c r="O258" i="1"/>
  <c r="E258" i="1" s="1"/>
  <c r="O260" i="1"/>
  <c r="E260" i="1" s="1"/>
  <c r="O264" i="1"/>
  <c r="E264" i="1" s="1"/>
  <c r="O272" i="1"/>
  <c r="O274" i="1"/>
  <c r="E274" i="1" s="1"/>
  <c r="O276" i="1"/>
  <c r="E276" i="1" s="1"/>
  <c r="O278" i="1"/>
  <c r="E278" i="1" s="1"/>
  <c r="O282" i="1"/>
  <c r="E282" i="1" s="1"/>
  <c r="O284" i="1"/>
  <c r="E284" i="1" s="1"/>
  <c r="O286" i="1"/>
  <c r="E286" i="1" s="1"/>
  <c r="O311" i="1"/>
  <c r="E311" i="1" s="1"/>
  <c r="O313" i="1"/>
  <c r="E313" i="1" s="1"/>
  <c r="O318" i="1"/>
  <c r="E318" i="1" s="1"/>
  <c r="O322" i="1"/>
  <c r="E322" i="1" s="1"/>
  <c r="O326" i="1"/>
  <c r="E326" i="1" s="1"/>
  <c r="O330" i="1"/>
  <c r="E330" i="1" s="1"/>
  <c r="O342" i="1"/>
  <c r="E342" i="1" s="1"/>
  <c r="O254" i="1"/>
  <c r="E254" i="1" s="1"/>
  <c r="O257" i="1"/>
  <c r="E257" i="1" s="1"/>
  <c r="O291" i="1"/>
  <c r="E291" i="1" s="1"/>
  <c r="O303" i="1"/>
  <c r="E303" i="1" s="1"/>
  <c r="O321" i="1"/>
  <c r="E321" i="1" s="1"/>
  <c r="O327" i="1"/>
  <c r="E327" i="1" s="1"/>
  <c r="O337" i="1"/>
  <c r="E337" i="1" s="1"/>
  <c r="O343" i="1"/>
  <c r="E343" i="1" s="1"/>
  <c r="O349" i="1"/>
  <c r="E349" i="1" s="1"/>
  <c r="O353" i="1"/>
  <c r="E353" i="1" s="1"/>
  <c r="O367" i="1"/>
  <c r="E367" i="1" s="1"/>
  <c r="O371" i="1"/>
  <c r="E371" i="1" s="1"/>
  <c r="O377" i="1"/>
  <c r="E377" i="1" s="1"/>
  <c r="O365" i="1"/>
  <c r="E365" i="1" s="1"/>
  <c r="O352" i="1"/>
  <c r="E352" i="1" s="1"/>
  <c r="O376" i="1"/>
  <c r="E376" i="1" s="1"/>
  <c r="O348" i="1"/>
  <c r="E348" i="1" s="1"/>
  <c r="O250" i="1"/>
  <c r="E250" i="1" s="1"/>
  <c r="O251" i="1"/>
  <c r="E251" i="1" s="1"/>
  <c r="O262" i="1"/>
  <c r="E262" i="1" s="1"/>
  <c r="O263" i="1"/>
  <c r="E263" i="1" s="1"/>
  <c r="O267" i="1"/>
  <c r="E267" i="1" s="1"/>
  <c r="O268" i="1"/>
  <c r="E268" i="1" s="1"/>
  <c r="O280" i="1"/>
  <c r="E280" i="1" s="1"/>
  <c r="O288" i="1"/>
  <c r="E288" i="1" s="1"/>
  <c r="O290" i="1"/>
  <c r="E290" i="1" s="1"/>
  <c r="O294" i="1"/>
  <c r="E294" i="1" s="1"/>
  <c r="O296" i="1"/>
  <c r="E296" i="1" s="1"/>
  <c r="O302" i="1"/>
  <c r="O308" i="1"/>
  <c r="E308" i="1" s="1"/>
  <c r="O312" i="1"/>
  <c r="E312" i="1" s="1"/>
  <c r="O316" i="1"/>
  <c r="E316" i="1" s="1"/>
  <c r="O320" i="1"/>
  <c r="E320" i="1" s="1"/>
  <c r="O344" i="1"/>
  <c r="E344" i="1" s="1"/>
  <c r="O347" i="1"/>
  <c r="E347" i="1" s="1"/>
  <c r="O256" i="1"/>
  <c r="E256" i="1" s="1"/>
  <c r="O266" i="1"/>
  <c r="E266" i="1" s="1"/>
  <c r="O270" i="1"/>
  <c r="E270" i="1" s="1"/>
  <c r="O279" i="1"/>
  <c r="E279" i="1" s="1"/>
  <c r="O281" i="1"/>
  <c r="E281" i="1" s="1"/>
  <c r="O292" i="1"/>
  <c r="E292" i="1" s="1"/>
  <c r="O293" i="1"/>
  <c r="E293" i="1" s="1"/>
  <c r="O299" i="1"/>
  <c r="E299" i="1" s="1"/>
  <c r="O301" i="1"/>
  <c r="E301" i="1" s="1"/>
  <c r="O315" i="1"/>
  <c r="E315" i="1" s="1"/>
  <c r="O319" i="1"/>
  <c r="E319" i="1" s="1"/>
  <c r="O324" i="1"/>
  <c r="E324" i="1" s="1"/>
  <c r="O329" i="1"/>
  <c r="E329" i="1" s="1"/>
  <c r="O334" i="1"/>
  <c r="E334" i="1" s="1"/>
  <c r="O336" i="1"/>
  <c r="E336" i="1" s="1"/>
  <c r="O338" i="1"/>
  <c r="E338" i="1" s="1"/>
  <c r="O340" i="1"/>
  <c r="E340" i="1" s="1"/>
  <c r="O345" i="1"/>
  <c r="E345" i="1" s="1"/>
  <c r="BQ13" i="7"/>
  <c r="O132" i="1"/>
  <c r="O150" i="1"/>
  <c r="O156" i="1"/>
  <c r="O170" i="1"/>
  <c r="E170" i="1" s="1"/>
  <c r="O189" i="1"/>
  <c r="E189" i="1" s="1"/>
  <c r="O193" i="1"/>
  <c r="E193" i="1" s="1"/>
  <c r="O210" i="1"/>
  <c r="O215" i="1"/>
  <c r="E215" i="1" s="1"/>
  <c r="O218" i="1"/>
  <c r="E218" i="1" s="1"/>
  <c r="O220" i="1"/>
  <c r="E220" i="1" s="1"/>
  <c r="O222" i="1"/>
  <c r="E222" i="1" s="1"/>
  <c r="O225" i="1"/>
  <c r="E225" i="1" s="1"/>
  <c r="O226" i="1"/>
  <c r="E226" i="1" s="1"/>
  <c r="O229" i="1"/>
  <c r="E229" i="1" s="1"/>
  <c r="O233" i="1"/>
  <c r="E233" i="1" s="1"/>
  <c r="O235" i="1"/>
  <c r="E235" i="1" s="1"/>
  <c r="O244" i="1"/>
  <c r="E244" i="1" s="1"/>
  <c r="O246" i="1"/>
  <c r="E246" i="1" s="1"/>
  <c r="O126" i="1"/>
  <c r="O130" i="1"/>
  <c r="O136" i="1"/>
  <c r="O146" i="1"/>
  <c r="O168" i="1"/>
  <c r="O182" i="1"/>
  <c r="E182" i="1" s="1"/>
  <c r="O192" i="1"/>
  <c r="E192" i="1" s="1"/>
  <c r="O204" i="1"/>
  <c r="E204" i="1" s="1"/>
  <c r="O212" i="1"/>
  <c r="E212" i="1" s="1"/>
  <c r="O223" i="1"/>
  <c r="E223" i="1" s="1"/>
  <c r="O232" i="1"/>
  <c r="E232" i="1" s="1"/>
  <c r="O242" i="1"/>
  <c r="E242" i="1" s="1"/>
  <c r="O203" i="1"/>
  <c r="E203" i="1" s="1"/>
  <c r="O163" i="1"/>
  <c r="O205" i="1"/>
  <c r="E205" i="1" s="1"/>
  <c r="O287" i="1"/>
  <c r="E287" i="1" s="1"/>
  <c r="O298" i="1"/>
  <c r="E298" i="1" s="1"/>
  <c r="O300" i="1"/>
  <c r="E300" i="1" s="1"/>
  <c r="O304" i="1"/>
  <c r="E304" i="1" s="1"/>
  <c r="O306" i="1"/>
  <c r="E306" i="1" s="1"/>
  <c r="O310" i="1"/>
  <c r="E310" i="1" s="1"/>
  <c r="O314" i="1"/>
  <c r="E314" i="1" s="1"/>
  <c r="O325" i="1"/>
  <c r="E325" i="1" s="1"/>
  <c r="O328" i="1"/>
  <c r="E328" i="1" s="1"/>
  <c r="O332" i="1"/>
  <c r="E332" i="1" s="1"/>
  <c r="O335" i="1"/>
  <c r="E335" i="1" s="1"/>
  <c r="O339" i="1"/>
  <c r="E339" i="1" s="1"/>
  <c r="O341" i="1"/>
  <c r="E341" i="1" s="1"/>
  <c r="O346" i="1"/>
  <c r="E346" i="1" s="1"/>
  <c r="O128" i="1"/>
  <c r="O137" i="1"/>
  <c r="O148" i="1"/>
  <c r="O162" i="1"/>
  <c r="O166" i="1"/>
  <c r="O174" i="1"/>
  <c r="E174" i="1" s="1"/>
  <c r="O184" i="1"/>
  <c r="E184" i="1" s="1"/>
  <c r="O188" i="1"/>
  <c r="E188" i="1" s="1"/>
  <c r="O190" i="1"/>
  <c r="E190" i="1" s="1"/>
  <c r="O196" i="1"/>
  <c r="E196" i="1" s="1"/>
  <c r="O199" i="1"/>
  <c r="E199" i="1" s="1"/>
  <c r="O202" i="1"/>
  <c r="E202" i="1" s="1"/>
  <c r="O206" i="1"/>
  <c r="E206" i="1" s="1"/>
  <c r="O208" i="1"/>
  <c r="E208" i="1" s="1"/>
  <c r="O219" i="1"/>
  <c r="E219" i="1" s="1"/>
  <c r="O230" i="1"/>
  <c r="E230" i="1" s="1"/>
  <c r="O236" i="1"/>
  <c r="E236" i="1" s="1"/>
  <c r="O243" i="1"/>
  <c r="E243" i="1" s="1"/>
  <c r="O247" i="1"/>
  <c r="E247" i="1" s="1"/>
  <c r="O248" i="1"/>
  <c r="E248" i="1" s="1"/>
  <c r="O134" i="1"/>
  <c r="O140" i="1"/>
  <c r="O152" i="1"/>
  <c r="O164" i="1"/>
  <c r="O172" i="1"/>
  <c r="E172" i="1" s="1"/>
  <c r="O186" i="1"/>
  <c r="E186" i="1" s="1"/>
  <c r="O191" i="1"/>
  <c r="E191" i="1" s="1"/>
  <c r="O194" i="1"/>
  <c r="E194" i="1" s="1"/>
  <c r="O198" i="1"/>
  <c r="E198" i="1" s="1"/>
  <c r="O200" i="1"/>
  <c r="E200" i="1" s="1"/>
  <c r="O214" i="1"/>
  <c r="E214" i="1" s="1"/>
  <c r="O216" i="1"/>
  <c r="E216" i="1" s="1"/>
  <c r="O224" i="1"/>
  <c r="E224" i="1" s="1"/>
  <c r="O228" i="1"/>
  <c r="E228" i="1" s="1"/>
  <c r="O234" i="1"/>
  <c r="E234" i="1" s="1"/>
  <c r="O238" i="1"/>
  <c r="E238" i="1" s="1"/>
  <c r="O240" i="1"/>
  <c r="E240" i="1" s="1"/>
  <c r="O125" i="1"/>
  <c r="O209" i="1"/>
  <c r="E209" i="1" s="1"/>
  <c r="O217" i="1"/>
  <c r="E217" i="1" s="1"/>
  <c r="AI28" i="1"/>
  <c r="AI185" i="1"/>
  <c r="AI354" i="1"/>
  <c r="AI129" i="1"/>
  <c r="AH129" i="1" s="1"/>
  <c r="AG129" i="1" s="1"/>
  <c r="AF129" i="1" s="1"/>
  <c r="U38" i="1"/>
  <c r="U355" i="1"/>
  <c r="U17" i="1"/>
  <c r="AK72" i="15"/>
  <c r="AK47" i="15"/>
  <c r="AK210" i="15"/>
  <c r="AK338" i="15"/>
  <c r="AK299" i="15"/>
  <c r="AK362" i="15"/>
  <c r="AK222" i="15"/>
  <c r="AK308" i="15"/>
  <c r="AK346" i="15"/>
  <c r="AK33" i="15"/>
  <c r="AK45" i="15"/>
  <c r="AK60" i="15"/>
  <c r="AK92" i="15"/>
  <c r="AK117" i="15"/>
  <c r="AK146" i="15"/>
  <c r="AK132" i="15"/>
  <c r="AK178" i="15"/>
  <c r="AK215" i="15"/>
  <c r="AK24" i="15"/>
  <c r="AK90" i="15"/>
  <c r="AK151" i="15"/>
  <c r="AK180" i="15"/>
  <c r="AK203" i="15"/>
  <c r="AK232" i="15"/>
  <c r="AK269" i="15"/>
  <c r="AK300" i="15"/>
  <c r="AK331" i="15"/>
  <c r="AK368" i="15"/>
  <c r="AK80" i="15"/>
  <c r="AK245" i="15"/>
  <c r="AK315" i="15"/>
  <c r="AK128" i="15"/>
  <c r="AK31" i="15"/>
  <c r="AK40" i="15"/>
  <c r="AK52" i="15"/>
  <c r="AK84" i="15"/>
  <c r="AK111" i="15"/>
  <c r="AK140" i="15"/>
  <c r="AK116" i="15"/>
  <c r="AK172" i="15"/>
  <c r="AK209" i="15"/>
  <c r="AK240" i="15"/>
  <c r="AK78" i="15"/>
  <c r="AK144" i="15"/>
  <c r="AK169" i="15"/>
  <c r="AK198" i="15"/>
  <c r="AK227" i="15"/>
  <c r="AK262" i="15"/>
  <c r="AK289" i="15"/>
  <c r="AK325" i="15"/>
  <c r="AK356" i="15"/>
  <c r="AK258" i="15"/>
  <c r="AK23" i="15"/>
  <c r="AK145" i="15"/>
  <c r="AK177" i="15"/>
  <c r="AK214" i="15"/>
  <c r="AK243" i="15"/>
  <c r="AK86" i="15"/>
  <c r="AK150" i="15"/>
  <c r="AK176" i="15"/>
  <c r="AK202" i="15"/>
  <c r="AK231" i="15"/>
  <c r="AK267" i="15"/>
  <c r="AK294" i="15"/>
  <c r="AK330" i="15"/>
  <c r="AK365" i="15"/>
  <c r="AK260" i="15"/>
  <c r="AK281" i="15"/>
  <c r="AK297" i="15"/>
  <c r="AK311" i="15"/>
  <c r="AK327" i="15"/>
  <c r="AK341" i="15"/>
  <c r="AK360" i="15"/>
  <c r="AK371" i="15"/>
  <c r="AK15" i="15"/>
  <c r="AK110" i="15"/>
  <c r="AK82" i="15"/>
  <c r="AK44" i="15"/>
  <c r="AK38" i="15"/>
  <c r="AK16" i="15"/>
  <c r="AK359" i="15"/>
  <c r="AK345" i="15"/>
  <c r="AK329" i="15"/>
  <c r="AK155" i="15"/>
  <c r="AK266" i="15"/>
  <c r="AK22" i="15"/>
  <c r="AK286" i="15"/>
  <c r="AK32" i="15"/>
  <c r="AK75" i="15"/>
  <c r="AK131" i="15"/>
  <c r="AK164" i="15"/>
  <c r="AK236" i="15"/>
  <c r="AK122" i="15"/>
  <c r="AK194" i="15"/>
  <c r="AK253" i="15"/>
  <c r="AK316" i="15"/>
  <c r="AK251" i="15"/>
  <c r="AK378" i="15"/>
  <c r="AK74" i="15"/>
  <c r="AK18" i="15"/>
  <c r="AK99" i="15"/>
  <c r="AK65" i="15"/>
  <c r="AK186" i="15"/>
  <c r="AK51" i="15"/>
  <c r="AK157" i="15"/>
  <c r="AK212" i="15"/>
  <c r="AK274" i="15"/>
  <c r="AK343" i="15"/>
  <c r="AK41" i="15"/>
  <c r="AK130" i="15"/>
  <c r="AK235" i="15"/>
  <c r="AK120" i="15"/>
  <c r="AK192" i="15"/>
  <c r="AK249" i="15"/>
  <c r="AK314" i="15"/>
  <c r="AK250" i="15"/>
  <c r="AK291" i="15"/>
  <c r="AK321" i="15"/>
  <c r="AK349" i="15"/>
  <c r="AK376" i="15"/>
  <c r="AK96" i="15"/>
  <c r="AK50" i="15"/>
  <c r="AK373" i="15"/>
  <c r="AK336" i="15"/>
  <c r="AK313" i="15"/>
  <c r="AK293" i="15"/>
  <c r="AK277" i="15"/>
  <c r="AK265" i="15"/>
  <c r="AK248" i="15"/>
  <c r="AK230" i="15"/>
  <c r="AK218" i="15"/>
  <c r="AK200" i="15"/>
  <c r="AK191" i="15"/>
  <c r="AK174" i="15"/>
  <c r="AK160" i="15"/>
  <c r="AK149" i="15"/>
  <c r="AK113" i="15"/>
  <c r="AK83" i="15"/>
  <c r="AK56" i="15"/>
  <c r="AK242" i="15"/>
  <c r="AK233" i="15"/>
  <c r="AK213" i="15"/>
  <c r="AK190" i="15"/>
  <c r="AK175" i="15"/>
  <c r="AK156" i="15"/>
  <c r="AK129" i="15"/>
  <c r="AK77" i="15"/>
  <c r="AK143" i="15"/>
  <c r="AK127" i="15"/>
  <c r="AK114" i="15"/>
  <c r="AK103" i="15"/>
  <c r="AK87" i="15"/>
  <c r="AK73" i="15"/>
  <c r="AK57" i="15"/>
  <c r="AK28" i="15"/>
  <c r="AK42" i="15"/>
  <c r="AK30" i="15"/>
  <c r="AK58" i="15"/>
  <c r="AK115" i="15"/>
  <c r="AK367" i="15"/>
  <c r="AK339" i="15"/>
  <c r="AK306" i="15"/>
  <c r="AK278" i="15"/>
  <c r="AK355" i="15"/>
  <c r="AK287" i="15"/>
  <c r="AK226" i="15"/>
  <c r="AK168" i="15"/>
  <c r="AK68" i="15"/>
  <c r="AK183" i="15"/>
  <c r="AK332" i="15"/>
  <c r="AK105" i="15"/>
  <c r="AK106" i="15"/>
  <c r="AK201" i="15"/>
  <c r="AK162" i="15"/>
  <c r="AK282" i="15"/>
  <c r="AK102" i="15"/>
  <c r="AK380" i="15"/>
  <c r="AK123" i="15"/>
  <c r="AK225" i="15"/>
  <c r="AK187" i="15"/>
  <c r="AK309" i="15"/>
  <c r="AK100" i="15"/>
  <c r="AK59" i="15"/>
  <c r="AK220" i="15"/>
  <c r="AK348" i="15"/>
  <c r="AK303" i="15"/>
  <c r="AK364" i="15"/>
  <c r="AK69" i="15"/>
  <c r="AK354" i="15"/>
  <c r="AK304" i="15"/>
  <c r="AK271" i="15"/>
  <c r="AK244" i="15"/>
  <c r="AK208" i="15"/>
  <c r="AK184" i="15"/>
  <c r="AK154" i="15"/>
  <c r="AK98" i="15"/>
  <c r="AK46" i="15"/>
  <c r="AK219" i="15"/>
  <c r="AK182" i="15"/>
  <c r="AK137" i="15"/>
  <c r="AK55" i="15"/>
  <c r="AK119" i="15"/>
  <c r="AK95" i="15"/>
  <c r="AK62" i="15"/>
  <c r="AK49" i="15"/>
  <c r="AK43" i="15"/>
  <c r="AK379" i="15"/>
  <c r="AK323" i="15"/>
  <c r="AK255" i="15"/>
  <c r="AK261" i="15"/>
  <c r="AK139" i="15"/>
  <c r="AK207" i="15"/>
  <c r="AK125" i="15"/>
  <c r="AK20" i="15"/>
  <c r="AK375" i="15"/>
  <c r="AK369" i="15"/>
  <c r="AK363" i="15"/>
  <c r="AK357" i="15"/>
  <c r="AK347" i="15"/>
  <c r="AK340" i="15"/>
  <c r="AK334" i="15"/>
  <c r="AK324" i="15"/>
  <c r="AK317" i="15"/>
  <c r="AK307" i="15"/>
  <c r="AK302" i="15"/>
  <c r="AK296" i="15"/>
  <c r="AK288" i="15"/>
  <c r="AK280" i="15"/>
  <c r="AK268" i="15"/>
  <c r="AK259" i="15"/>
  <c r="P12" i="15"/>
  <c r="AK358" i="15"/>
  <c r="AK344" i="15"/>
  <c r="AK326" i="15"/>
  <c r="AK310" i="15"/>
  <c r="AK290" i="15"/>
  <c r="AK276" i="15"/>
  <c r="AK263" i="15"/>
  <c r="AK247" i="15"/>
  <c r="AK228" i="15"/>
  <c r="AK216" i="15"/>
  <c r="AK199" i="15"/>
  <c r="AK189" i="15"/>
  <c r="AK170" i="15"/>
  <c r="AK159" i="15"/>
  <c r="AK148" i="15"/>
  <c r="AK108" i="15"/>
  <c r="AK81" i="15"/>
  <c r="AK54" i="15"/>
  <c r="AK241" i="15"/>
  <c r="AK229" i="15"/>
  <c r="AK211" i="15"/>
  <c r="AK188" i="15"/>
  <c r="AK171" i="15"/>
  <c r="AK101" i="15"/>
  <c r="AK138" i="15"/>
  <c r="AK85" i="15"/>
  <c r="AK17" i="15"/>
  <c r="AK48" i="15"/>
  <c r="AK61" i="15"/>
  <c r="AK94" i="15"/>
  <c r="AK118" i="15"/>
  <c r="AK141" i="15"/>
  <c r="AK70" i="15"/>
  <c r="AK126" i="15"/>
  <c r="AK153" i="15"/>
  <c r="AK173" i="15"/>
  <c r="AK273" i="15"/>
  <c r="AK185" i="15"/>
  <c r="AK34" i="15"/>
  <c r="AK88" i="15"/>
  <c r="AK63" i="15"/>
  <c r="AK221" i="15"/>
  <c r="AK351" i="15"/>
  <c r="AK374" i="15"/>
  <c r="AK71" i="15"/>
  <c r="AK147" i="15"/>
  <c r="AK104" i="15"/>
  <c r="AK246" i="15"/>
  <c r="AK21" i="15"/>
  <c r="AK193" i="15"/>
  <c r="AK161" i="15"/>
  <c r="AK279" i="15"/>
  <c r="AK272" i="15"/>
  <c r="AK335" i="15"/>
  <c r="AK121" i="15"/>
  <c r="AK26" i="15"/>
  <c r="AK254" i="15"/>
  <c r="AK319" i="15"/>
  <c r="AK284" i="15"/>
  <c r="AK257" i="15"/>
  <c r="AK224" i="15"/>
  <c r="AK196" i="15"/>
  <c r="AK167" i="15"/>
  <c r="AK133" i="15"/>
  <c r="AK67" i="15"/>
  <c r="AK238" i="15"/>
  <c r="AK206" i="15"/>
  <c r="AK166" i="15"/>
  <c r="AK97" i="15"/>
  <c r="AK136" i="15"/>
  <c r="AK109" i="15"/>
  <c r="AK79" i="15"/>
  <c r="AK39" i="15"/>
  <c r="AK37" i="15"/>
  <c r="AK91" i="15"/>
  <c r="AK352" i="15"/>
  <c r="AK295" i="15"/>
  <c r="AK320" i="15"/>
  <c r="AK197" i="15"/>
  <c r="AK239" i="15"/>
  <c r="AK158" i="15"/>
  <c r="AK27" i="15"/>
  <c r="AK19" i="15"/>
  <c r="AK377" i="15"/>
  <c r="AK372" i="15"/>
  <c r="AK366" i="15"/>
  <c r="AK361" i="15"/>
  <c r="AK350" i="15"/>
  <c r="AK342" i="15"/>
  <c r="AK337" i="15"/>
  <c r="AK328" i="15"/>
  <c r="AK322" i="15"/>
  <c r="AK312" i="15"/>
  <c r="AK305" i="15"/>
  <c r="AK298" i="15"/>
  <c r="AK292" i="15"/>
  <c r="AK285" i="15"/>
  <c r="AK275" i="15"/>
  <c r="AK264" i="15"/>
  <c r="AK252" i="15"/>
  <c r="AK370" i="15"/>
  <c r="AK353" i="15"/>
  <c r="AK333" i="15"/>
  <c r="AK318" i="15"/>
  <c r="AK301" i="15"/>
  <c r="AK283" i="15"/>
  <c r="AK270" i="15"/>
  <c r="AK234" i="15"/>
  <c r="AK204" i="15"/>
  <c r="AK181" i="15"/>
  <c r="AK152" i="15"/>
  <c r="AK93" i="15"/>
  <c r="AK29" i="15"/>
  <c r="AK217" i="15"/>
  <c r="AK179" i="15"/>
  <c r="AK64" i="15"/>
  <c r="AK53" i="15"/>
  <c r="AK25" i="15"/>
  <c r="AK35" i="15"/>
  <c r="AK107" i="15"/>
  <c r="F8" i="15"/>
  <c r="AK134" i="15"/>
  <c r="AK256" i="15"/>
  <c r="AK223" i="15"/>
  <c r="AK195" i="15"/>
  <c r="AK163" i="15"/>
  <c r="AK124" i="15"/>
  <c r="AK66" i="15"/>
  <c r="AK237" i="15"/>
  <c r="AK205" i="15"/>
  <c r="AK142" i="15"/>
  <c r="AK112" i="15"/>
  <c r="AK36" i="15"/>
  <c r="AK76" i="15"/>
  <c r="AK135" i="15"/>
  <c r="AK89" i="15"/>
  <c r="AK165" i="15"/>
  <c r="J309" i="6"/>
  <c r="J203" i="6"/>
  <c r="P39" i="6"/>
  <c r="P38" i="6" s="1"/>
  <c r="P40" i="6" s="1"/>
  <c r="J184" i="6"/>
  <c r="J328" i="6"/>
  <c r="AI319" i="1"/>
  <c r="U105" i="1"/>
  <c r="AI132" i="1"/>
  <c r="U129" i="1"/>
  <c r="AI115" i="1"/>
  <c r="AI113" i="1"/>
  <c r="U291" i="1"/>
  <c r="AI221" i="1"/>
  <c r="AI267" i="1"/>
  <c r="U85" i="1"/>
  <c r="U143" i="1"/>
  <c r="AI236" i="1"/>
  <c r="AI364" i="1"/>
  <c r="U332" i="1"/>
  <c r="U259" i="1"/>
  <c r="AI291" i="1"/>
  <c r="AI285" i="1"/>
  <c r="AI154" i="1"/>
  <c r="AI88" i="1"/>
  <c r="AI317" i="1"/>
  <c r="AI17" i="1"/>
  <c r="AI78" i="1"/>
  <c r="AI26" i="1"/>
  <c r="AI222" i="1"/>
  <c r="AI278" i="1"/>
  <c r="AI168" i="1"/>
  <c r="AI338" i="1"/>
  <c r="U326" i="1"/>
  <c r="U114" i="1"/>
  <c r="U201" i="1"/>
  <c r="U124" i="1"/>
  <c r="U322" i="1"/>
  <c r="U244" i="1"/>
  <c r="AI166" i="1"/>
  <c r="AI242" i="1"/>
  <c r="U92" i="1"/>
  <c r="U350" i="1"/>
  <c r="U149" i="1"/>
  <c r="AI16" i="1"/>
  <c r="AI379" i="1"/>
  <c r="AI12" i="15" s="1"/>
  <c r="AI347" i="1"/>
  <c r="AI167" i="1"/>
  <c r="AI351" i="1"/>
  <c r="AI362" i="1"/>
  <c r="AI203" i="1"/>
  <c r="AI64" i="1"/>
  <c r="U347" i="1"/>
  <c r="U304" i="1"/>
  <c r="U243" i="1"/>
  <c r="AI27" i="1"/>
  <c r="AI136" i="1"/>
  <c r="AI360" i="1"/>
  <c r="AI253" i="1"/>
  <c r="U330" i="1"/>
  <c r="U370" i="1"/>
  <c r="AI325" i="1"/>
  <c r="U256" i="1"/>
  <c r="AI71" i="1"/>
  <c r="U225" i="1"/>
  <c r="T225" i="1" s="1"/>
  <c r="S225" i="1" s="1"/>
  <c r="R225" i="1" s="1"/>
  <c r="U96" i="1"/>
  <c r="AI223" i="1"/>
  <c r="AI284" i="1"/>
  <c r="AI109" i="1"/>
  <c r="AI31" i="1"/>
  <c r="AI97" i="1"/>
  <c r="U138" i="1"/>
  <c r="U64" i="1"/>
  <c r="AI342" i="1"/>
  <c r="AI39" i="1"/>
  <c r="U210" i="1"/>
  <c r="U331" i="1"/>
  <c r="U18" i="1"/>
  <c r="T18" i="1" s="1"/>
  <c r="U317" i="1"/>
  <c r="U303" i="1"/>
  <c r="U293" i="1"/>
  <c r="U139" i="1"/>
  <c r="AI201" i="1"/>
  <c r="AI368" i="1"/>
  <c r="AI219" i="1"/>
  <c r="AI49" i="1"/>
  <c r="AI287" i="1"/>
  <c r="U230" i="1"/>
  <c r="AI322" i="1"/>
  <c r="U239" i="1"/>
  <c r="U168" i="1"/>
  <c r="AI314" i="1"/>
  <c r="U34" i="1"/>
  <c r="AI33" i="1"/>
  <c r="AI377" i="1"/>
  <c r="U357" i="1"/>
  <c r="U83" i="1"/>
  <c r="AI40" i="1"/>
  <c r="AI144" i="1"/>
  <c r="AI156" i="1"/>
  <c r="AI172" i="1"/>
  <c r="AI321" i="1"/>
  <c r="AI114" i="1"/>
  <c r="AI112" i="1"/>
  <c r="U116" i="1"/>
  <c r="T116" i="1" s="1"/>
  <c r="S116" i="1" s="1"/>
  <c r="R116" i="1" s="1"/>
  <c r="U141" i="1"/>
  <c r="U171" i="1"/>
  <c r="U191" i="1"/>
  <c r="AI211" i="1"/>
  <c r="AI74" i="1"/>
  <c r="AI61" i="1"/>
  <c r="U22" i="1"/>
  <c r="U196" i="1"/>
  <c r="AI181" i="1"/>
  <c r="AI372" i="1"/>
  <c r="AI135" i="1"/>
  <c r="AI331" i="1"/>
  <c r="AI58" i="1"/>
  <c r="AI73" i="1"/>
  <c r="AI216" i="1"/>
  <c r="U128" i="1"/>
  <c r="U366" i="1"/>
  <c r="AI328" i="1"/>
  <c r="AI177" i="1"/>
  <c r="AI93" i="1"/>
  <c r="U232" i="1"/>
  <c r="U87" i="1"/>
  <c r="AI76" i="1"/>
  <c r="AI179" i="1"/>
  <c r="U265" i="1"/>
  <c r="U159" i="1"/>
  <c r="U287" i="1"/>
  <c r="U270" i="1"/>
  <c r="U80" i="1"/>
  <c r="AI94" i="1"/>
  <c r="U222" i="1"/>
  <c r="AI34" i="1"/>
  <c r="AI63" i="1"/>
  <c r="AI141" i="1"/>
  <c r="U242" i="1"/>
  <c r="AI263" i="1"/>
  <c r="U103" i="1"/>
  <c r="U338" i="1"/>
  <c r="U301" i="1"/>
  <c r="AI110" i="1"/>
  <c r="AI207" i="1"/>
  <c r="U84" i="1"/>
  <c r="U335" i="1"/>
  <c r="AI137" i="1"/>
  <c r="U120" i="1"/>
  <c r="AI318" i="1"/>
  <c r="U309" i="1"/>
  <c r="U269" i="1"/>
  <c r="U266" i="1"/>
  <c r="U188" i="1"/>
  <c r="U27" i="1"/>
  <c r="U209" i="1"/>
  <c r="U282" i="1"/>
  <c r="AI339" i="1"/>
  <c r="AI70" i="1"/>
  <c r="AI197" i="1"/>
  <c r="U288" i="1"/>
  <c r="AI170" i="1"/>
  <c r="AI29" i="1"/>
  <c r="U199" i="1"/>
  <c r="U167" i="1"/>
  <c r="AI162" i="1"/>
  <c r="AI249" i="1"/>
  <c r="AI305" i="1"/>
  <c r="U55" i="1"/>
  <c r="U352" i="1"/>
  <c r="AI243" i="1"/>
  <c r="U193" i="1"/>
  <c r="U345" i="1"/>
  <c r="AI239" i="1"/>
  <c r="U235" i="1"/>
  <c r="AI153" i="1"/>
  <c r="AI142" i="1"/>
  <c r="AI213" i="1"/>
  <c r="U307" i="1"/>
  <c r="AI107" i="1"/>
  <c r="U66" i="1"/>
  <c r="U313" i="1"/>
  <c r="U342" i="1"/>
  <c r="U49" i="1"/>
  <c r="U184" i="1"/>
  <c r="AI229" i="1"/>
  <c r="U77" i="1"/>
  <c r="U133" i="1"/>
  <c r="AI84" i="1"/>
  <c r="AI334" i="1"/>
  <c r="U351" i="1"/>
  <c r="U140" i="1"/>
  <c r="U164" i="1"/>
  <c r="AI99" i="1"/>
  <c r="U249" i="1"/>
  <c r="U320" i="1"/>
  <c r="AI214" i="1"/>
  <c r="AI62" i="1"/>
  <c r="U100" i="1"/>
  <c r="U359" i="1"/>
  <c r="AI19" i="1"/>
  <c r="U131" i="1"/>
  <c r="U216" i="1"/>
  <c r="AI111" i="1"/>
  <c r="AI18" i="1"/>
  <c r="AI81" i="1"/>
  <c r="AI68" i="1"/>
  <c r="U275" i="1"/>
  <c r="AI217" i="1"/>
  <c r="AI369" i="1"/>
  <c r="AI361" i="1"/>
  <c r="U206" i="1"/>
  <c r="U106" i="1"/>
  <c r="U280" i="1"/>
  <c r="AI22" i="1"/>
  <c r="AI311" i="1"/>
  <c r="U203" i="1"/>
  <c r="AI151" i="1"/>
  <c r="U247" i="1"/>
  <c r="AI313" i="1"/>
  <c r="AI302" i="1"/>
  <c r="AI66" i="1"/>
  <c r="U360" i="1"/>
  <c r="U173" i="1"/>
  <c r="U81" i="1"/>
  <c r="AI340" i="1"/>
  <c r="AI157" i="1"/>
  <c r="U109" i="1"/>
  <c r="AI310" i="1"/>
  <c r="U245" i="1"/>
  <c r="AI54" i="1"/>
  <c r="U218" i="1"/>
  <c r="AI150" i="1"/>
  <c r="U329" i="1"/>
  <c r="AI42" i="1"/>
  <c r="AI323" i="1"/>
  <c r="AH323" i="1" s="1"/>
  <c r="U170" i="1"/>
  <c r="AI215" i="1"/>
  <c r="AI125" i="1"/>
  <c r="AI119" i="1"/>
  <c r="AI300" i="1"/>
  <c r="AI123" i="1"/>
  <c r="AI274" i="1"/>
  <c r="AI299" i="1"/>
  <c r="U115" i="1"/>
  <c r="U372" i="1"/>
  <c r="AI231" i="1"/>
  <c r="AI196" i="1"/>
  <c r="AI248" i="1"/>
  <c r="U182" i="1"/>
  <c r="U155" i="1"/>
  <c r="U86" i="1"/>
  <c r="U154" i="1"/>
  <c r="U223" i="1"/>
  <c r="U25" i="1"/>
  <c r="AI365" i="1"/>
  <c r="AI241" i="1"/>
  <c r="AI378" i="1"/>
  <c r="AI225" i="1"/>
  <c r="AI80" i="1"/>
  <c r="U324" i="1"/>
  <c r="AI251" i="1"/>
  <c r="U213" i="1"/>
  <c r="U255" i="1"/>
  <c r="T255" i="1" s="1"/>
  <c r="U111" i="1"/>
  <c r="AI315" i="1"/>
  <c r="AI286" i="1"/>
  <c r="AI102" i="1"/>
  <c r="U252" i="1"/>
  <c r="U172" i="1"/>
  <c r="U205" i="1"/>
  <c r="U186" i="1"/>
  <c r="U69" i="1"/>
  <c r="AI105" i="1"/>
  <c r="AI301" i="1"/>
  <c r="U19" i="1"/>
  <c r="T19" i="1" s="1"/>
  <c r="AI195" i="1"/>
  <c r="AI188" i="1"/>
  <c r="AI230" i="1"/>
  <c r="U108" i="1"/>
  <c r="U190" i="1"/>
  <c r="U46" i="1"/>
  <c r="U200" i="1"/>
  <c r="AI283" i="1"/>
  <c r="AI254" i="1"/>
  <c r="U82" i="1"/>
  <c r="U217" i="1"/>
  <c r="J185" i="6"/>
  <c r="R39" i="6"/>
  <c r="R38" i="6" s="1"/>
  <c r="R40" i="6" s="1"/>
  <c r="J304" i="6"/>
  <c r="J311" i="6"/>
  <c r="J308" i="6"/>
  <c r="J302" i="6"/>
  <c r="J327" i="6"/>
  <c r="Y54" i="6"/>
  <c r="Y53" i="6" s="1"/>
  <c r="Y55" i="6" s="1"/>
  <c r="J222" i="6"/>
  <c r="J183" i="6"/>
  <c r="J176" i="6"/>
  <c r="J220" i="6"/>
  <c r="J107" i="6"/>
  <c r="J179" i="6"/>
  <c r="J180" i="6"/>
  <c r="J178" i="6"/>
  <c r="J256" i="6"/>
  <c r="J243" i="6"/>
  <c r="J123" i="6"/>
  <c r="U264" i="1"/>
  <c r="U33" i="1"/>
  <c r="U61" i="1"/>
  <c r="AI24" i="1"/>
  <c r="AI104" i="1"/>
  <c r="U233" i="1"/>
  <c r="U44" i="1"/>
  <c r="U305" i="1"/>
  <c r="U369" i="1"/>
  <c r="T369" i="1" s="1"/>
  <c r="S369" i="1" s="1"/>
  <c r="R369" i="1" s="1"/>
  <c r="AI336" i="1"/>
  <c r="AI298" i="1"/>
  <c r="AI98" i="1"/>
  <c r="U371" i="1"/>
  <c r="U279" i="1"/>
  <c r="U377" i="1"/>
  <c r="U241" i="1"/>
  <c r="U60" i="1"/>
  <c r="AI198" i="1"/>
  <c r="AI193" i="1"/>
  <c r="AI237" i="1"/>
  <c r="AI183" i="1"/>
  <c r="AI246" i="1"/>
  <c r="AI122" i="1"/>
  <c r="AI143" i="1"/>
  <c r="AI21" i="1"/>
  <c r="U161" i="1"/>
  <c r="U274" i="1"/>
  <c r="U43" i="1"/>
  <c r="U319" i="1"/>
  <c r="U177" i="1"/>
  <c r="AI121" i="1"/>
  <c r="U156" i="1"/>
  <c r="AI346" i="1"/>
  <c r="AI212" i="1"/>
  <c r="AI190" i="1"/>
  <c r="U183" i="1"/>
  <c r="U20" i="1"/>
  <c r="U215" i="1"/>
  <c r="U185" i="1"/>
  <c r="U99" i="1"/>
  <c r="U70" i="1"/>
  <c r="U51" i="1"/>
  <c r="U21" i="1"/>
  <c r="AI272" i="1"/>
  <c r="U254" i="1"/>
  <c r="U278" i="1"/>
  <c r="U343" i="1"/>
  <c r="U112" i="1"/>
  <c r="AI36" i="1"/>
  <c r="AI356" i="1"/>
  <c r="AI140" i="1"/>
  <c r="AI35" i="1"/>
  <c r="AI187" i="1"/>
  <c r="U378" i="1"/>
  <c r="U137" i="1"/>
  <c r="U379" i="1"/>
  <c r="BX16" i="7" s="1"/>
  <c r="U267" i="1"/>
  <c r="U71" i="1"/>
  <c r="U364" i="1"/>
  <c r="U289" i="1"/>
  <c r="U236" i="1"/>
  <c r="U198" i="1"/>
  <c r="U67" i="1"/>
  <c r="U23" i="1"/>
  <c r="AI320" i="1"/>
  <c r="AI245" i="1"/>
  <c r="AI289" i="1"/>
  <c r="AI352" i="1"/>
  <c r="AI343" i="1"/>
  <c r="U375" i="1"/>
  <c r="U334" i="1"/>
  <c r="U52" i="1"/>
  <c r="AI324" i="1"/>
  <c r="U59" i="1"/>
  <c r="AI250" i="1"/>
  <c r="U346" i="1"/>
  <c r="U318" i="1"/>
  <c r="AI53" i="1"/>
  <c r="AI134" i="1"/>
  <c r="AI57" i="1"/>
  <c r="AI337" i="1"/>
  <c r="AI47" i="1"/>
  <c r="U31" i="1"/>
  <c r="U208" i="1"/>
  <c r="U76" i="1"/>
  <c r="U294" i="1"/>
  <c r="U194" i="1"/>
  <c r="AI226" i="1"/>
  <c r="U276" i="1"/>
  <c r="U144" i="1"/>
  <c r="U56" i="1"/>
  <c r="AI120" i="1"/>
  <c r="U312" i="1"/>
  <c r="U136" i="1"/>
  <c r="AI117" i="1"/>
  <c r="AI89" i="1"/>
  <c r="U231" i="1"/>
  <c r="U283" i="1"/>
  <c r="U146" i="1"/>
  <c r="U327" i="1"/>
  <c r="U207" i="1"/>
  <c r="U47" i="1"/>
  <c r="AI312" i="1"/>
  <c r="AI41" i="1"/>
  <c r="AH41" i="1" s="1"/>
  <c r="AI292" i="1"/>
  <c r="AI161" i="1"/>
  <c r="AI306" i="1"/>
  <c r="AI77" i="1"/>
  <c r="AI218" i="1"/>
  <c r="AH218" i="1" s="1"/>
  <c r="AG218" i="1" s="1"/>
  <c r="AF218" i="1" s="1"/>
  <c r="AI139" i="1"/>
  <c r="AI174" i="1"/>
  <c r="AI152" i="1"/>
  <c r="AI271" i="1"/>
  <c r="AI224" i="1"/>
  <c r="AI209" i="1"/>
  <c r="AI130" i="1"/>
  <c r="AH130" i="1" s="1"/>
  <c r="AG130" i="1" s="1"/>
  <c r="AF130" i="1" s="1"/>
  <c r="AI48" i="1"/>
  <c r="AI202" i="1"/>
  <c r="AI189" i="1"/>
  <c r="AI371" i="1"/>
  <c r="AI307" i="1"/>
  <c r="AI67" i="1"/>
  <c r="AI266" i="1"/>
  <c r="AI20" i="1"/>
  <c r="AI176" i="1"/>
  <c r="U298" i="1"/>
  <c r="U337" i="1"/>
  <c r="AI205" i="1"/>
  <c r="U37" i="1"/>
  <c r="U292" i="1"/>
  <c r="AI228" i="1"/>
  <c r="AH228" i="1" s="1"/>
  <c r="U356" i="1"/>
  <c r="AI25" i="1"/>
  <c r="U339" i="1"/>
  <c r="U238" i="1"/>
  <c r="U97" i="1"/>
  <c r="AI148" i="1"/>
  <c r="AI280" i="1"/>
  <c r="U16" i="1"/>
  <c r="AI309" i="1"/>
  <c r="AH309" i="1" s="1"/>
  <c r="U121" i="1"/>
  <c r="U122" i="1"/>
  <c r="U40" i="1"/>
  <c r="U63" i="1"/>
  <c r="U306" i="1"/>
  <c r="U175" i="1"/>
  <c r="U132" i="1"/>
  <c r="U28" i="1"/>
  <c r="T28" i="1" s="1"/>
  <c r="AI375" i="1"/>
  <c r="AI69" i="1"/>
  <c r="AI220" i="1"/>
  <c r="AI51" i="1"/>
  <c r="AI293" i="1"/>
  <c r="AI194" i="1"/>
  <c r="AI348" i="1"/>
  <c r="AI169" i="1"/>
  <c r="AI240" i="1"/>
  <c r="AI44" i="1"/>
  <c r="AI163" i="1"/>
  <c r="AI255" i="1"/>
  <c r="U151" i="1"/>
  <c r="U126" i="1"/>
  <c r="AI138" i="1"/>
  <c r="U150" i="1"/>
  <c r="U311" i="1"/>
  <c r="U166" i="1"/>
  <c r="AI296" i="1"/>
  <c r="U195" i="1"/>
  <c r="U263" i="1"/>
  <c r="U113" i="1"/>
  <c r="AI147" i="1"/>
  <c r="AI355" i="1"/>
  <c r="AI106" i="1"/>
  <c r="AI208" i="1"/>
  <c r="AI204" i="1"/>
  <c r="AI145" i="1"/>
  <c r="U362" i="1"/>
  <c r="U310" i="1"/>
  <c r="U221" i="1"/>
  <c r="AI294" i="1"/>
  <c r="U89" i="1"/>
  <c r="AI353" i="1"/>
  <c r="AI75" i="1"/>
  <c r="U224" i="1"/>
  <c r="U118" i="1"/>
  <c r="AI32" i="1"/>
  <c r="AI268" i="1"/>
  <c r="U268" i="1"/>
  <c r="AI46" i="1"/>
  <c r="U262" i="1"/>
  <c r="AI164" i="1"/>
  <c r="AI131" i="1"/>
  <c r="AI182" i="1"/>
  <c r="AI376" i="1"/>
  <c r="AI264" i="1"/>
  <c r="AI327" i="1"/>
  <c r="AH327" i="1" s="1"/>
  <c r="AI335" i="1"/>
  <c r="AI116" i="1"/>
  <c r="AI316" i="1"/>
  <c r="AI290" i="1"/>
  <c r="AI358" i="1"/>
  <c r="U74" i="1"/>
  <c r="AI199" i="1"/>
  <c r="AI133" i="1"/>
  <c r="U57" i="1"/>
  <c r="AI332" i="1"/>
  <c r="U290" i="1"/>
  <c r="AI173" i="1"/>
  <c r="U240" i="1"/>
  <c r="U302" i="1"/>
  <c r="U123" i="1"/>
  <c r="T123" i="1" s="1"/>
  <c r="S123" i="1" s="1"/>
  <c r="R123" i="1" s="1"/>
  <c r="U152" i="1"/>
  <c r="U181" i="1"/>
  <c r="AI50" i="1"/>
  <c r="AI90" i="1"/>
  <c r="U296" i="1"/>
  <c r="U308" i="1"/>
  <c r="U58" i="1"/>
  <c r="U226" i="1"/>
  <c r="U344" i="1"/>
  <c r="U202" i="1"/>
  <c r="U163" i="1"/>
  <c r="U54" i="1"/>
  <c r="AI92" i="1"/>
  <c r="AI359" i="1"/>
  <c r="AI259" i="1"/>
  <c r="AI374" i="1"/>
  <c r="AI45" i="1"/>
  <c r="AI186" i="1"/>
  <c r="AI261" i="1"/>
  <c r="AH261" i="1" s="1"/>
  <c r="AI30" i="1"/>
  <c r="AI330" i="1"/>
  <c r="N39" i="6"/>
  <c r="N38" i="6" s="1"/>
  <c r="N40" i="6" s="1"/>
  <c r="J77" i="6"/>
  <c r="J68" i="6"/>
  <c r="J66" i="6"/>
  <c r="J320" i="6"/>
  <c r="J316" i="6"/>
  <c r="J317" i="6"/>
  <c r="J319" i="6"/>
  <c r="J74" i="6"/>
  <c r="J64" i="6"/>
  <c r="J65" i="6"/>
  <c r="J70" i="6"/>
  <c r="J111" i="6"/>
  <c r="D383" i="15"/>
  <c r="D381" i="15"/>
  <c r="D9" i="15"/>
  <c r="D11" i="15" s="1"/>
  <c r="D382" i="15"/>
  <c r="D382" i="16"/>
  <c r="D9" i="16"/>
  <c r="D11" i="16" s="1"/>
  <c r="D381" i="16"/>
  <c r="D383" i="16"/>
  <c r="U11" i="7"/>
  <c r="P11" i="17"/>
  <c r="AK151" i="17" s="1"/>
  <c r="AJ5" i="17"/>
  <c r="U101" i="1"/>
  <c r="U119" i="1"/>
  <c r="T119" i="1" s="1"/>
  <c r="U261" i="1"/>
  <c r="U174" i="1"/>
  <c r="AI232" i="1"/>
  <c r="U315" i="1"/>
  <c r="U39" i="1"/>
  <c r="U91" i="1"/>
  <c r="AI91" i="1"/>
  <c r="U48" i="1"/>
  <c r="U368" i="1"/>
  <c r="U180" i="1"/>
  <c r="U78" i="1"/>
  <c r="U26" i="1"/>
  <c r="AC12" i="17"/>
  <c r="AJ6" i="17"/>
  <c r="AC9" i="17"/>
  <c r="AJ7" i="17"/>
  <c r="O12" i="17"/>
  <c r="AJ8" i="17"/>
  <c r="O10" i="17"/>
  <c r="V13" i="7"/>
  <c r="T15" i="7"/>
  <c r="AJ19" i="18"/>
  <c r="AJ56" i="18"/>
  <c r="AJ78" i="18"/>
  <c r="AJ98" i="18"/>
  <c r="AJ161" i="18"/>
  <c r="AJ176" i="18"/>
  <c r="AJ227" i="18"/>
  <c r="AJ219" i="18"/>
  <c r="AJ282" i="18"/>
  <c r="AJ348" i="18"/>
  <c r="AJ288" i="18"/>
  <c r="AJ47" i="18"/>
  <c r="AJ62" i="18"/>
  <c r="AJ120" i="18"/>
  <c r="AJ148" i="18"/>
  <c r="AJ168" i="18"/>
  <c r="AJ211" i="18"/>
  <c r="AJ201" i="18"/>
  <c r="AJ272" i="18"/>
  <c r="AJ331" i="18"/>
  <c r="AJ268" i="18"/>
  <c r="AJ341" i="18"/>
  <c r="AJ316" i="18"/>
  <c r="AJ33" i="18"/>
  <c r="AJ70" i="18"/>
  <c r="AJ94" i="18"/>
  <c r="AJ122" i="18"/>
  <c r="AJ137" i="18"/>
  <c r="AJ195" i="18"/>
  <c r="AJ235" i="18"/>
  <c r="AJ193" i="18"/>
  <c r="AJ231" i="18"/>
  <c r="AJ267" i="18"/>
  <c r="AJ297" i="18"/>
  <c r="AJ326" i="18"/>
  <c r="AJ359" i="18"/>
  <c r="AJ264" i="18"/>
  <c r="AJ17" i="18"/>
  <c r="AJ27" i="18"/>
  <c r="AJ54" i="18"/>
  <c r="AJ41" i="18"/>
  <c r="AJ76" i="18"/>
  <c r="AJ107" i="18"/>
  <c r="AJ97" i="18"/>
  <c r="AJ128" i="18"/>
  <c r="AJ160" i="18"/>
  <c r="AJ145" i="18"/>
  <c r="AJ175" i="18"/>
  <c r="AJ194" i="18"/>
  <c r="AJ226" i="18"/>
  <c r="AJ253" i="18"/>
  <c r="AJ216" i="18"/>
  <c r="AJ249" i="18"/>
  <c r="AJ281" i="18"/>
  <c r="AJ317" i="18"/>
  <c r="AJ342" i="18"/>
  <c r="AJ374" i="18"/>
  <c r="AJ286" i="18"/>
  <c r="AJ314" i="18"/>
  <c r="AJ351" i="18"/>
  <c r="AJ298" i="18"/>
  <c r="AJ335" i="18"/>
  <c r="AJ364" i="18"/>
  <c r="AJ29" i="18"/>
  <c r="AJ42" i="18"/>
  <c r="AJ108" i="18"/>
  <c r="AJ130" i="18"/>
  <c r="AJ149" i="18"/>
  <c r="AJ196" i="18"/>
  <c r="AJ255" i="18"/>
  <c r="AJ252" i="18"/>
  <c r="AJ318" i="18"/>
  <c r="AJ376" i="18"/>
  <c r="AJ31" i="18"/>
  <c r="AJ69" i="18"/>
  <c r="AJ93" i="18"/>
  <c r="AJ121" i="18"/>
  <c r="AJ133" i="18"/>
  <c r="AJ192" i="18"/>
  <c r="AJ239" i="18"/>
  <c r="AJ240" i="18"/>
  <c r="AJ304" i="18"/>
  <c r="AJ365" i="18"/>
  <c r="AJ303" i="18"/>
  <c r="AJ373" i="18"/>
  <c r="AJ353" i="18"/>
  <c r="AJ48" i="18"/>
  <c r="AJ66" i="18"/>
  <c r="AJ85" i="18"/>
  <c r="AJ150" i="18"/>
  <c r="AJ169" i="18"/>
  <c r="AJ213" i="18"/>
  <c r="AJ251" i="18"/>
  <c r="AJ214" i="18"/>
  <c r="AJ248" i="18"/>
  <c r="AJ280" i="18"/>
  <c r="AJ315" i="18"/>
  <c r="AJ338" i="18"/>
  <c r="AJ371" i="18"/>
  <c r="AJ285" i="18"/>
  <c r="AJ26" i="18"/>
  <c r="AJ44" i="18"/>
  <c r="AJ55" i="18"/>
  <c r="AJ83" i="18"/>
  <c r="AJ90" i="18"/>
  <c r="AJ118" i="18"/>
  <c r="AJ111" i="18"/>
  <c r="AJ146" i="18"/>
  <c r="AJ131" i="18"/>
  <c r="AJ166" i="18"/>
  <c r="AJ187" i="18"/>
  <c r="AJ207" i="18"/>
  <c r="AJ237" i="18"/>
  <c r="AJ197" i="18"/>
  <c r="AJ234" i="18"/>
  <c r="AJ269" i="18"/>
  <c r="AJ299" i="18"/>
  <c r="AJ329" i="18"/>
  <c r="AJ362" i="18"/>
  <c r="AJ265" i="18"/>
  <c r="AJ301" i="18"/>
  <c r="AJ339" i="18"/>
  <c r="AJ369" i="18"/>
  <c r="AJ312" i="18"/>
  <c r="AJ347" i="18"/>
  <c r="AJ18" i="18"/>
  <c r="AJ38" i="18"/>
  <c r="AJ43" i="18"/>
  <c r="AJ74" i="18"/>
  <c r="AJ84" i="18"/>
  <c r="AJ115" i="18"/>
  <c r="AJ103" i="18"/>
  <c r="AJ142" i="18"/>
  <c r="AJ172" i="18"/>
  <c r="AJ158" i="18"/>
  <c r="AJ181" i="18"/>
  <c r="AJ203" i="18"/>
  <c r="AJ232" i="18"/>
  <c r="AJ185" i="18"/>
  <c r="AJ223" i="18"/>
  <c r="AJ258" i="18"/>
  <c r="AJ292" i="18"/>
  <c r="AJ323" i="18"/>
  <c r="AJ354" i="18"/>
  <c r="AJ262" i="18"/>
  <c r="Z13" i="7"/>
  <c r="AJ23" i="18"/>
  <c r="AJ52" i="18"/>
  <c r="AJ28" i="18"/>
  <c r="AJ73" i="18"/>
  <c r="AJ104" i="18"/>
  <c r="AJ91" i="18"/>
  <c r="AJ126" i="18"/>
  <c r="AJ153" i="18"/>
  <c r="AJ140" i="18"/>
  <c r="AJ173" i="18"/>
  <c r="AJ190" i="18"/>
  <c r="AJ218" i="18"/>
  <c r="AJ250" i="18"/>
  <c r="AJ212" i="18"/>
  <c r="AJ247" i="18"/>
  <c r="AJ279" i="18"/>
  <c r="AJ313" i="18"/>
  <c r="AJ337" i="18"/>
  <c r="AJ370" i="18"/>
  <c r="AJ277" i="18"/>
  <c r="AJ311" i="18"/>
  <c r="AJ346" i="18"/>
  <c r="AJ294" i="18"/>
  <c r="AJ328" i="18"/>
  <c r="AJ360" i="18"/>
  <c r="AJ24" i="18"/>
  <c r="AJ40" i="18"/>
  <c r="AJ49" i="18"/>
  <c r="AJ81" i="18"/>
  <c r="AJ89" i="18"/>
  <c r="AJ117" i="18"/>
  <c r="AJ109" i="18"/>
  <c r="AJ144" i="18"/>
  <c r="AJ129" i="18"/>
  <c r="AJ164" i="18"/>
  <c r="AJ184" i="18"/>
  <c r="AJ206" i="18"/>
  <c r="AJ357" i="18"/>
  <c r="AJ325" i="18"/>
  <c r="AJ291" i="18"/>
  <c r="AJ344" i="18"/>
  <c r="AJ308" i="18"/>
  <c r="AJ274" i="18"/>
  <c r="AJ367" i="18"/>
  <c r="AJ334" i="18"/>
  <c r="AJ306" i="18"/>
  <c r="AJ276" i="18"/>
  <c r="AJ244" i="18"/>
  <c r="AJ208" i="18"/>
  <c r="AJ242" i="18"/>
  <c r="AJ215" i="18"/>
  <c r="AJ178" i="18"/>
  <c r="AJ170" i="18"/>
  <c r="AJ138" i="18"/>
  <c r="AJ151" i="18"/>
  <c r="AJ123" i="18"/>
  <c r="AJ87" i="18"/>
  <c r="AJ95" i="18"/>
  <c r="AJ67" i="18"/>
  <c r="AJ71" i="18"/>
  <c r="AJ50" i="18"/>
  <c r="AJ34" i="18"/>
  <c r="AJ290" i="18"/>
  <c r="AJ378" i="18"/>
  <c r="AJ350" i="18"/>
  <c r="AJ321" i="18"/>
  <c r="AJ284" i="18"/>
  <c r="AJ256" i="18"/>
  <c r="AJ221" i="18"/>
  <c r="AJ261" i="18"/>
  <c r="AJ229" i="18"/>
  <c r="AJ179" i="18"/>
  <c r="AJ163" i="18"/>
  <c r="AJ100" i="18"/>
  <c r="AJ80" i="18"/>
  <c r="AJ60" i="18"/>
  <c r="AJ16" i="18"/>
  <c r="AJ340" i="18"/>
  <c r="AJ355" i="18"/>
  <c r="AJ289" i="18"/>
  <c r="AJ349" i="18"/>
  <c r="AJ283" i="18"/>
  <c r="AJ220" i="18"/>
  <c r="AJ228" i="18"/>
  <c r="AJ177" i="18"/>
  <c r="AJ162" i="18"/>
  <c r="AJ99" i="18"/>
  <c r="AJ79" i="18"/>
  <c r="AJ57" i="18"/>
  <c r="AJ22" i="18"/>
  <c r="AJ363" i="18"/>
  <c r="AJ300" i="18"/>
  <c r="AJ236" i="18"/>
  <c r="AJ238" i="18"/>
  <c r="AJ188" i="18"/>
  <c r="AJ132" i="18"/>
  <c r="AJ113" i="18"/>
  <c r="AJ92" i="18"/>
  <c r="AJ65" i="18"/>
  <c r="AJ30" i="18"/>
  <c r="AJ380" i="18"/>
  <c r="AJ20" i="18"/>
  <c r="AJ51" i="18"/>
  <c r="AJ72" i="18"/>
  <c r="AJ68" i="18"/>
  <c r="AJ101" i="18"/>
  <c r="AJ88" i="18"/>
  <c r="AJ124" i="18"/>
  <c r="AJ152" i="18"/>
  <c r="AJ139" i="18"/>
  <c r="AJ171" i="18"/>
  <c r="AJ189" i="18"/>
  <c r="AJ217" i="18"/>
  <c r="AJ245" i="18"/>
  <c r="AJ209" i="18"/>
  <c r="AJ246" i="18"/>
  <c r="AJ278" i="18"/>
  <c r="AJ310" i="18"/>
  <c r="AJ336" i="18"/>
  <c r="AJ368" i="18"/>
  <c r="AJ275" i="18"/>
  <c r="AJ21" i="18"/>
  <c r="AJ39" i="18"/>
  <c r="AJ45" i="18"/>
  <c r="AJ77" i="18"/>
  <c r="AJ86" i="18"/>
  <c r="AJ116" i="18"/>
  <c r="AJ105" i="18"/>
  <c r="AJ143" i="18"/>
  <c r="AJ125" i="18"/>
  <c r="AJ159" i="18"/>
  <c r="AJ182" i="18"/>
  <c r="AJ205" i="18"/>
  <c r="AJ233" i="18"/>
  <c r="AJ186" i="18"/>
  <c r="AJ225" i="18"/>
  <c r="AJ259" i="18"/>
  <c r="AJ296" i="18"/>
  <c r="AJ324" i="18"/>
  <c r="AJ356" i="18"/>
  <c r="AJ263" i="18"/>
  <c r="AJ295" i="18"/>
  <c r="AJ333" i="18"/>
  <c r="AJ361" i="18"/>
  <c r="AJ309" i="18"/>
  <c r="AJ345" i="18"/>
  <c r="AJ15" i="18"/>
  <c r="AJ25" i="18"/>
  <c r="AJ53" i="18"/>
  <c r="AJ37" i="18"/>
  <c r="AJ75" i="18"/>
  <c r="AJ106" i="18"/>
  <c r="AJ96" i="18"/>
  <c r="AJ127" i="18"/>
  <c r="AJ156" i="18"/>
  <c r="AJ141" i="18"/>
  <c r="AJ174" i="18"/>
  <c r="AJ191" i="18"/>
  <c r="AJ224" i="18"/>
  <c r="AJ375" i="18"/>
  <c r="AJ343" i="18"/>
  <c r="AJ307" i="18"/>
  <c r="AJ358" i="18"/>
  <c r="AJ327" i="18"/>
  <c r="AJ293" i="18"/>
  <c r="AJ379" i="18"/>
  <c r="AJ352" i="18"/>
  <c r="AJ322" i="18"/>
  <c r="AJ287" i="18"/>
  <c r="AJ257" i="18"/>
  <c r="AJ222" i="18"/>
  <c r="AJ183" i="18"/>
  <c r="AJ230" i="18"/>
  <c r="AJ202" i="18"/>
  <c r="AJ180" i="18"/>
  <c r="AJ157" i="18"/>
  <c r="AJ165" i="18"/>
  <c r="AJ136" i="18"/>
  <c r="AJ102" i="18"/>
  <c r="AJ114" i="18"/>
  <c r="AJ82" i="18"/>
  <c r="AJ64" i="18"/>
  <c r="AJ61" i="18"/>
  <c r="AJ36" i="18"/>
  <c r="F7" i="18"/>
  <c r="AJ270" i="18"/>
  <c r="AJ366" i="18"/>
  <c r="AJ332" i="18"/>
  <c r="AJ305" i="18"/>
  <c r="AJ273" i="18"/>
  <c r="AJ243" i="18"/>
  <c r="AJ204" i="18"/>
  <c r="AJ241" i="18"/>
  <c r="AJ200" i="18"/>
  <c r="AJ155" i="18"/>
  <c r="AJ135" i="18"/>
  <c r="AJ112" i="18"/>
  <c r="AJ63" i="18"/>
  <c r="AJ35" i="18"/>
  <c r="AJ372" i="18"/>
  <c r="AJ302" i="18"/>
  <c r="AJ319" i="18"/>
  <c r="AJ377" i="18"/>
  <c r="AJ320" i="18"/>
  <c r="AJ254" i="18"/>
  <c r="AJ260" i="18"/>
  <c r="AJ199" i="18"/>
  <c r="AJ154" i="18"/>
  <c r="AJ134" i="18"/>
  <c r="AJ110" i="18"/>
  <c r="AJ59" i="18"/>
  <c r="AJ32" i="18"/>
  <c r="AJ266" i="18"/>
  <c r="AJ330" i="18"/>
  <c r="AJ271" i="18"/>
  <c r="AJ198" i="18"/>
  <c r="AJ210" i="18"/>
  <c r="AJ167" i="18"/>
  <c r="AJ147" i="18"/>
  <c r="AJ119" i="18"/>
  <c r="AJ58" i="18"/>
  <c r="AJ46" i="18"/>
  <c r="O9" i="20"/>
  <c r="O11" i="15"/>
  <c r="O12" i="15"/>
  <c r="AC12" i="15"/>
  <c r="AC9" i="15"/>
  <c r="AJ7" i="15"/>
  <c r="AJ11" i="15" s="1"/>
  <c r="AJ8" i="15"/>
  <c r="AJ6" i="15"/>
  <c r="AL9" i="15"/>
  <c r="AJ5" i="15"/>
  <c r="AL7" i="15"/>
  <c r="AL11" i="15" s="1"/>
  <c r="AJ9" i="15"/>
  <c r="AL5" i="15"/>
  <c r="J368" i="6"/>
  <c r="J359" i="6"/>
  <c r="J367" i="6"/>
  <c r="J361" i="6"/>
  <c r="M40" i="6"/>
  <c r="AT19" i="6" s="1"/>
  <c r="J305" i="6"/>
  <c r="J314" i="6"/>
  <c r="J313" i="6"/>
  <c r="J310" i="6"/>
  <c r="J306" i="6"/>
  <c r="J307" i="6"/>
  <c r="J303" i="6"/>
  <c r="J189" i="6"/>
  <c r="J188" i="6"/>
  <c r="J182" i="6"/>
  <c r="J186" i="6"/>
  <c r="J181" i="6"/>
  <c r="J187" i="6"/>
  <c r="J370" i="6"/>
  <c r="J371" i="6"/>
  <c r="J364" i="6"/>
  <c r="T53" i="6"/>
  <c r="T55" i="6" s="1"/>
  <c r="J322" i="6"/>
  <c r="J325" i="6"/>
  <c r="J323" i="6"/>
  <c r="J321" i="6"/>
  <c r="J318" i="6"/>
  <c r="J324" i="6"/>
  <c r="J242" i="6"/>
  <c r="J237" i="6"/>
  <c r="J218" i="6"/>
  <c r="J233" i="6"/>
  <c r="J67" i="6"/>
  <c r="J76" i="6"/>
  <c r="J75" i="6"/>
  <c r="J72" i="6"/>
  <c r="J69" i="6"/>
  <c r="J71" i="6"/>
  <c r="J128" i="6"/>
  <c r="J124" i="6"/>
  <c r="J131" i="6"/>
  <c r="J108" i="6"/>
  <c r="AT18" i="6"/>
  <c r="J363" i="6"/>
  <c r="W54" i="6"/>
  <c r="W53" i="6" s="1"/>
  <c r="W55" i="6" s="1"/>
  <c r="J173" i="6"/>
  <c r="J175" i="6"/>
  <c r="J164" i="6"/>
  <c r="J163" i="6"/>
  <c r="J169" i="6"/>
  <c r="J362" i="6"/>
  <c r="J360" i="6"/>
  <c r="J366" i="6"/>
  <c r="J365" i="6"/>
  <c r="J358" i="6"/>
  <c r="J369" i="6"/>
  <c r="Q39" i="6"/>
  <c r="Q38" i="6" s="1"/>
  <c r="Q40" i="6" s="1"/>
  <c r="J168" i="6"/>
  <c r="J172" i="6"/>
  <c r="J162" i="6"/>
  <c r="J241" i="6"/>
  <c r="J219" i="6"/>
  <c r="J230" i="6"/>
  <c r="J231" i="6"/>
  <c r="J232" i="6"/>
  <c r="J239" i="6"/>
  <c r="J221" i="6"/>
  <c r="J125" i="6"/>
  <c r="J110" i="6"/>
  <c r="J118" i="6"/>
  <c r="J112" i="6"/>
  <c r="J106" i="6"/>
  <c r="J130" i="6"/>
  <c r="J133" i="6"/>
  <c r="Y39" i="6"/>
  <c r="Y38" i="6" s="1"/>
  <c r="Y40" i="6" s="1"/>
  <c r="AT328" i="6" s="1"/>
  <c r="S25" i="6"/>
  <c r="J95" i="6" s="1"/>
  <c r="P25" i="6"/>
  <c r="J44" i="6" s="1"/>
  <c r="U40" i="6"/>
  <c r="AT192" i="6" s="1"/>
  <c r="S54" i="6"/>
  <c r="S53" i="6" s="1"/>
  <c r="U54" i="6"/>
  <c r="U53" i="6" s="1"/>
  <c r="AA48" i="6"/>
  <c r="AA54" i="6" s="1"/>
  <c r="AA53" i="6" s="1"/>
  <c r="Z50" i="6"/>
  <c r="Z54" i="6" s="1"/>
  <c r="Z53" i="6" s="1"/>
  <c r="Z55" i="6" s="1"/>
  <c r="J151" i="6"/>
  <c r="J157" i="6"/>
  <c r="J149" i="6"/>
  <c r="J155" i="6"/>
  <c r="J140" i="6"/>
  <c r="J141" i="6"/>
  <c r="J138" i="6"/>
  <c r="J145" i="6"/>
  <c r="J156" i="6"/>
  <c r="J152" i="6"/>
  <c r="J153" i="6"/>
  <c r="J158" i="6"/>
  <c r="J160" i="6"/>
  <c r="J159" i="6"/>
  <c r="J154" i="6"/>
  <c r="J135" i="6"/>
  <c r="J148" i="6"/>
  <c r="J143" i="6"/>
  <c r="J137" i="6"/>
  <c r="J150" i="6"/>
  <c r="J147" i="6"/>
  <c r="J139" i="6"/>
  <c r="J136" i="6"/>
  <c r="J142" i="6"/>
  <c r="J134" i="6"/>
  <c r="J161" i="6"/>
  <c r="J144" i="6"/>
  <c r="J146" i="6"/>
  <c r="O54" i="6"/>
  <c r="O53" i="6" s="1"/>
  <c r="AA33" i="6"/>
  <c r="AA39" i="6" s="1"/>
  <c r="AA38" i="6" s="1"/>
  <c r="Z35" i="6"/>
  <c r="Z39" i="6" s="1"/>
  <c r="Z38" i="6" s="1"/>
  <c r="J28" i="6"/>
  <c r="J35" i="6"/>
  <c r="J24" i="6"/>
  <c r="J31" i="6"/>
  <c r="J22" i="6"/>
  <c r="J26" i="6"/>
  <c r="S40" i="6"/>
  <c r="AT166" i="6" s="1"/>
  <c r="J167" i="6"/>
  <c r="J170" i="6"/>
  <c r="J171" i="6"/>
  <c r="J166" i="6"/>
  <c r="J174" i="6"/>
  <c r="J165" i="6"/>
  <c r="V54" i="6"/>
  <c r="V53" i="6" s="1"/>
  <c r="V39" i="6"/>
  <c r="V38" i="6" s="1"/>
  <c r="O40" i="6"/>
  <c r="J236" i="6"/>
  <c r="J226" i="6"/>
  <c r="J225" i="6"/>
  <c r="J234" i="6"/>
  <c r="J244" i="6"/>
  <c r="J245" i="6"/>
  <c r="J229" i="6"/>
  <c r="J228" i="6"/>
  <c r="J235" i="6"/>
  <c r="J224" i="6"/>
  <c r="J238" i="6"/>
  <c r="J223" i="6"/>
  <c r="J240" i="6"/>
  <c r="AK25" i="6"/>
  <c r="J332" i="6" s="1"/>
  <c r="J113" i="6"/>
  <c r="J109" i="6"/>
  <c r="J129" i="6"/>
  <c r="J114" i="6"/>
  <c r="J119" i="6"/>
  <c r="J120" i="6"/>
  <c r="J132" i="6"/>
  <c r="J117" i="6"/>
  <c r="J126" i="6"/>
  <c r="J127" i="6"/>
  <c r="J122" i="6"/>
  <c r="J115" i="6"/>
  <c r="J116" i="6"/>
  <c r="AN24" i="6"/>
  <c r="AN23" i="6" s="1"/>
  <c r="AN25" i="6" s="1"/>
  <c r="AF25" i="6"/>
  <c r="J281" i="6" s="1"/>
  <c r="M48" i="6"/>
  <c r="N46" i="6"/>
  <c r="N54" i="6" s="1"/>
  <c r="N53" i="6" s="1"/>
  <c r="N55" i="6" s="1"/>
  <c r="M24" i="6"/>
  <c r="M23" i="6" s="1"/>
  <c r="J23" i="6"/>
  <c r="J27" i="6"/>
  <c r="J33" i="6"/>
  <c r="J32" i="6"/>
  <c r="J34" i="6"/>
  <c r="J30" i="6"/>
  <c r="J25" i="6"/>
  <c r="J29" i="6"/>
  <c r="J258" i="6"/>
  <c r="J251" i="6"/>
  <c r="J248" i="6"/>
  <c r="J253" i="6"/>
  <c r="J255" i="6"/>
  <c r="J257" i="6"/>
  <c r="J250" i="6"/>
  <c r="J216" i="6"/>
  <c r="J204" i="6"/>
  <c r="J209" i="6"/>
  <c r="J199" i="6"/>
  <c r="J208" i="6"/>
  <c r="J214" i="6"/>
  <c r="J210" i="6"/>
  <c r="J200" i="6"/>
  <c r="J190" i="6"/>
  <c r="J198" i="6"/>
  <c r="J215" i="6"/>
  <c r="J196" i="6"/>
  <c r="J192" i="6"/>
  <c r="J197" i="6"/>
  <c r="J252" i="6"/>
  <c r="J247" i="6"/>
  <c r="J254" i="6"/>
  <c r="J249" i="6"/>
  <c r="J259" i="6"/>
  <c r="J246" i="6"/>
  <c r="W40" i="6"/>
  <c r="AT288" i="6" s="1"/>
  <c r="J193" i="6"/>
  <c r="J206" i="6"/>
  <c r="J211" i="6"/>
  <c r="J205" i="6"/>
  <c r="J207" i="6"/>
  <c r="J191" i="6"/>
  <c r="J202" i="6"/>
  <c r="J195" i="6"/>
  <c r="J212" i="6"/>
  <c r="J194" i="6"/>
  <c r="J201" i="6"/>
  <c r="J217" i="6"/>
  <c r="J213" i="6"/>
  <c r="U176" i="1"/>
  <c r="U340" i="1"/>
  <c r="U341" i="1"/>
  <c r="U229" i="1"/>
  <c r="U65" i="1"/>
  <c r="U353" i="1"/>
  <c r="AI235" i="1"/>
  <c r="U349" i="1"/>
  <c r="U134" i="1"/>
  <c r="AI101" i="1"/>
  <c r="U214" i="1"/>
  <c r="U227" i="1"/>
  <c r="U316" i="1"/>
  <c r="U94" i="1"/>
  <c r="T94" i="1" s="1"/>
  <c r="AI178" i="1"/>
  <c r="U90" i="1"/>
  <c r="U79" i="1"/>
  <c r="U72" i="1"/>
  <c r="AI86" i="1"/>
  <c r="AI363" i="1"/>
  <c r="U286" i="1"/>
  <c r="U299" i="1"/>
  <c r="U250" i="1"/>
  <c r="T250" i="1" s="1"/>
  <c r="U204" i="1"/>
  <c r="U135" i="1"/>
  <c r="U93" i="1"/>
  <c r="U62" i="1"/>
  <c r="U30" i="1"/>
  <c r="AI160" i="1"/>
  <c r="AI43" i="1"/>
  <c r="U158" i="1"/>
  <c r="U142" i="1"/>
  <c r="U234" i="1"/>
  <c r="T234" i="1" s="1"/>
  <c r="AI258" i="1"/>
  <c r="AI370" i="1"/>
  <c r="AI366" i="1"/>
  <c r="AI277" i="1"/>
  <c r="AI72" i="1"/>
  <c r="U157" i="1"/>
  <c r="U323" i="1"/>
  <c r="T323" i="1" s="1"/>
  <c r="U246" i="1"/>
  <c r="U321" i="1"/>
  <c r="U189" i="1"/>
  <c r="U32" i="1"/>
  <c r="U358" i="1"/>
  <c r="U273" i="1"/>
  <c r="U228" i="1"/>
  <c r="U95" i="1"/>
  <c r="U35" i="1"/>
  <c r="AI260" i="1"/>
  <c r="AI304" i="1"/>
  <c r="AI23" i="1"/>
  <c r="AI276" i="1"/>
  <c r="AI282" i="1"/>
  <c r="AI192" i="1"/>
  <c r="AI273" i="1"/>
  <c r="AI344" i="1"/>
  <c r="AI79" i="1"/>
  <c r="AI118" i="1"/>
  <c r="AI256" i="1"/>
  <c r="AI38" i="1"/>
  <c r="AI59" i="1"/>
  <c r="AH59" i="1" s="1"/>
  <c r="AI165" i="1"/>
  <c r="AI171" i="1"/>
  <c r="AI297" i="1"/>
  <c r="U272" i="1"/>
  <c r="U88" i="1"/>
  <c r="U328" i="1"/>
  <c r="U248" i="1"/>
  <c r="U75" i="1"/>
  <c r="U361" i="1"/>
  <c r="T361" i="1" s="1"/>
  <c r="AI341" i="1"/>
  <c r="U297" i="1"/>
  <c r="U285" i="1"/>
  <c r="AI108" i="1"/>
  <c r="U98" i="1"/>
  <c r="U237" i="1"/>
  <c r="U162" i="1"/>
  <c r="U258" i="1"/>
  <c r="AI155" i="1"/>
  <c r="U257" i="1"/>
  <c r="U169" i="1"/>
  <c r="U197" i="1"/>
  <c r="AI281" i="1"/>
  <c r="AI158" i="1"/>
  <c r="U314" i="1"/>
  <c r="Z60" i="27"/>
  <c r="Z65" i="27"/>
  <c r="BS14" i="6"/>
  <c r="Z66" i="27"/>
  <c r="M55" i="27"/>
  <c r="AE76" i="27"/>
  <c r="P77" i="27"/>
  <c r="H42" i="27"/>
  <c r="Z62" i="27"/>
  <c r="AA62" i="27"/>
  <c r="W62" i="27"/>
  <c r="U62" i="27"/>
  <c r="T62" i="27"/>
  <c r="Y62" i="27"/>
  <c r="V62" i="27"/>
  <c r="X62" i="27"/>
  <c r="S62" i="27"/>
  <c r="I26" i="27"/>
  <c r="W57" i="27"/>
  <c r="T57" i="27"/>
  <c r="Z57" i="27"/>
  <c r="S57" i="27"/>
  <c r="V57" i="27"/>
  <c r="AA57" i="27"/>
  <c r="AB56" i="27" s="1"/>
  <c r="X57" i="27"/>
  <c r="Y57" i="27"/>
  <c r="I21" i="27"/>
  <c r="U57" i="27"/>
  <c r="W61" i="27"/>
  <c r="T61" i="27"/>
  <c r="S61" i="27"/>
  <c r="Y61" i="27"/>
  <c r="V61" i="27"/>
  <c r="U61" i="27"/>
  <c r="X61" i="27"/>
  <c r="I25" i="27"/>
  <c r="Z61" i="27"/>
  <c r="AA61" i="27"/>
  <c r="X58" i="27"/>
  <c r="Z58" i="27"/>
  <c r="S58" i="27"/>
  <c r="W58" i="27"/>
  <c r="V58" i="27"/>
  <c r="T58" i="27"/>
  <c r="Y58" i="27"/>
  <c r="I22" i="27"/>
  <c r="AA58" i="27"/>
  <c r="U58" i="27"/>
  <c r="I39" i="27"/>
  <c r="U74" i="27"/>
  <c r="W74" i="27"/>
  <c r="R74" i="27"/>
  <c r="Y74" i="27"/>
  <c r="Q74" i="27"/>
  <c r="Z74" i="27"/>
  <c r="AA74" i="27"/>
  <c r="AB73" i="27" s="1"/>
  <c r="T74" i="27"/>
  <c r="S74" i="27"/>
  <c r="V74" i="27"/>
  <c r="X74" i="27"/>
  <c r="U284" i="1"/>
  <c r="U367" i="1"/>
  <c r="U211" i="1"/>
  <c r="AD56" i="27"/>
  <c r="AC56" i="27" s="1"/>
  <c r="U69" i="27"/>
  <c r="Z69" i="27"/>
  <c r="W69" i="27"/>
  <c r="I33" i="27"/>
  <c r="I34" i="27" s="1"/>
  <c r="V69" i="27"/>
  <c r="X69" i="27"/>
  <c r="Y69" i="27"/>
  <c r="T69" i="27"/>
  <c r="S69" i="27"/>
  <c r="AA69" i="27"/>
  <c r="W68" i="27"/>
  <c r="S68" i="27"/>
  <c r="U68" i="27"/>
  <c r="Y68" i="27"/>
  <c r="Z68" i="27"/>
  <c r="I32" i="27"/>
  <c r="X68" i="27"/>
  <c r="T68" i="27"/>
  <c r="V68" i="27"/>
  <c r="AA68" i="27"/>
  <c r="Y59" i="27"/>
  <c r="V59" i="27"/>
  <c r="U59" i="27"/>
  <c r="X59" i="27"/>
  <c r="Z59" i="27"/>
  <c r="W59" i="27"/>
  <c r="I23" i="27"/>
  <c r="AA59" i="27"/>
  <c r="S59" i="27"/>
  <c r="T59" i="27"/>
  <c r="W63" i="27"/>
  <c r="U63" i="27"/>
  <c r="T63" i="27"/>
  <c r="S63" i="27"/>
  <c r="X63" i="27"/>
  <c r="Y63" i="27"/>
  <c r="V63" i="27"/>
  <c r="Z63" i="27"/>
  <c r="AA63" i="27"/>
  <c r="I27" i="27"/>
  <c r="AA67" i="27"/>
  <c r="V67" i="27"/>
  <c r="Z67" i="27"/>
  <c r="U67" i="27"/>
  <c r="X67" i="27"/>
  <c r="I31" i="27"/>
  <c r="W67" i="27"/>
  <c r="Y67" i="27"/>
  <c r="S67" i="27"/>
  <c r="T67" i="27"/>
  <c r="AB72" i="27"/>
  <c r="AD72" i="27"/>
  <c r="AC72" i="27" s="1"/>
  <c r="AB71" i="27"/>
  <c r="AD71" i="27"/>
  <c r="AC71" i="27" s="1"/>
  <c r="AA55" i="27"/>
  <c r="BT14" i="6"/>
  <c r="AA66" i="27"/>
  <c r="BL14" i="6"/>
  <c r="S55" i="27"/>
  <c r="D55" i="27"/>
  <c r="R58" i="27" s="1"/>
  <c r="S66" i="27"/>
  <c r="AD73" i="27"/>
  <c r="AC73" i="27" s="1"/>
  <c r="T159" i="1"/>
  <c r="S159" i="1" s="1"/>
  <c r="R159" i="1" s="1"/>
  <c r="T42" i="1"/>
  <c r="S42" i="1" s="1"/>
  <c r="R42" i="1" s="1"/>
  <c r="AH190" i="1"/>
  <c r="BS16" i="7"/>
  <c r="BM16" i="7"/>
  <c r="E16" i="7"/>
  <c r="BY16" i="7"/>
  <c r="T251" i="1"/>
  <c r="S251" i="1" s="1"/>
  <c r="R251" i="1" s="1"/>
  <c r="AH282" i="1"/>
  <c r="AK206" i="16" l="1"/>
  <c r="AK71" i="17"/>
  <c r="AK342" i="16"/>
  <c r="AK266" i="16"/>
  <c r="AK346" i="16"/>
  <c r="AK287" i="16"/>
  <c r="AK281" i="16"/>
  <c r="AK65" i="16"/>
  <c r="AK92" i="16"/>
  <c r="AK54" i="16"/>
  <c r="AK88" i="16"/>
  <c r="AK250" i="16"/>
  <c r="AK136" i="16"/>
  <c r="D16" i="7"/>
  <c r="AK77" i="17"/>
  <c r="AK159" i="17"/>
  <c r="AK82" i="16"/>
  <c r="AK307" i="16"/>
  <c r="AK320" i="16"/>
  <c r="AK137" i="16"/>
  <c r="AK183" i="16"/>
  <c r="AK135" i="16"/>
  <c r="AK221" i="16"/>
  <c r="AK354" i="16"/>
  <c r="AK286" i="16"/>
  <c r="AK161" i="16"/>
  <c r="AK362" i="16"/>
  <c r="AK205" i="16"/>
  <c r="AK90" i="16"/>
  <c r="AK124" i="16"/>
  <c r="AK316" i="16"/>
  <c r="AK333" i="16"/>
  <c r="AK59" i="16"/>
  <c r="AK257" i="16"/>
  <c r="AK275" i="16"/>
  <c r="AK172" i="16"/>
  <c r="AK254" i="16"/>
  <c r="AK104" i="16"/>
  <c r="AK155" i="16"/>
  <c r="AK75" i="16"/>
  <c r="AK72" i="16"/>
  <c r="AK194" i="16"/>
  <c r="AK262" i="16"/>
  <c r="AK344" i="16"/>
  <c r="AK261" i="16"/>
  <c r="AK189" i="16"/>
  <c r="AK111" i="16"/>
  <c r="AK81" i="16"/>
  <c r="AK296" i="16"/>
  <c r="AK139" i="16"/>
  <c r="AK297" i="16"/>
  <c r="AK273" i="16"/>
  <c r="AK171" i="16"/>
  <c r="AK178" i="16"/>
  <c r="BR16" i="7"/>
  <c r="AH197" i="1"/>
  <c r="AG197" i="1" s="1"/>
  <c r="AF197" i="1" s="1"/>
  <c r="AK29" i="17"/>
  <c r="AK53" i="17"/>
  <c r="AK251" i="17"/>
  <c r="AK162" i="16"/>
  <c r="AK267" i="16"/>
  <c r="AK248" i="16"/>
  <c r="AK371" i="16"/>
  <c r="AK15" i="16"/>
  <c r="AK241" i="16"/>
  <c r="AK133" i="16"/>
  <c r="AK355" i="16"/>
  <c r="AK294" i="16"/>
  <c r="AK373" i="16"/>
  <c r="AK312" i="16"/>
  <c r="AK217" i="16"/>
  <c r="AK226" i="16"/>
  <c r="AK62" i="16"/>
  <c r="AK282" i="16"/>
  <c r="AK227" i="16"/>
  <c r="AK150" i="16"/>
  <c r="AK239" i="16"/>
  <c r="AK184" i="16"/>
  <c r="AK86" i="16"/>
  <c r="AK98" i="16"/>
  <c r="AK38" i="16"/>
  <c r="AK335" i="16"/>
  <c r="AK348" i="16"/>
  <c r="AK112" i="16"/>
  <c r="AK157" i="16"/>
  <c r="AK353" i="16"/>
  <c r="AK327" i="16"/>
  <c r="AK293" i="16"/>
  <c r="AK134" i="16"/>
  <c r="AK326" i="16"/>
  <c r="AK352" i="16"/>
  <c r="AK154" i="16"/>
  <c r="AK109" i="16"/>
  <c r="AK192" i="16"/>
  <c r="AK210" i="16"/>
  <c r="AK36" i="16"/>
  <c r="AK22" i="16"/>
  <c r="AK56" i="16"/>
  <c r="AK341" i="16"/>
  <c r="AK186" i="16"/>
  <c r="AK338" i="16"/>
  <c r="AK361" i="16"/>
  <c r="AK182" i="16"/>
  <c r="AK128" i="16"/>
  <c r="AK216" i="16"/>
  <c r="AK225" i="16"/>
  <c r="AK61" i="16"/>
  <c r="AK28" i="16"/>
  <c r="AV9" i="7"/>
  <c r="AX10" i="7" s="1"/>
  <c r="AK94" i="16"/>
  <c r="AK32" i="16"/>
  <c r="AK40" i="16"/>
  <c r="AK121" i="16"/>
  <c r="AK360" i="16"/>
  <c r="AK45" i="16"/>
  <c r="AK23" i="16"/>
  <c r="AK77" i="16"/>
  <c r="AK103" i="16"/>
  <c r="AK140" i="16"/>
  <c r="AK107" i="16"/>
  <c r="AK159" i="16"/>
  <c r="AK188" i="16"/>
  <c r="AK208" i="16"/>
  <c r="AK42" i="16"/>
  <c r="AK106" i="16"/>
  <c r="AK153" i="16"/>
  <c r="AK187" i="16"/>
  <c r="AK230" i="16"/>
  <c r="AK263" i="16"/>
  <c r="AK33" i="16"/>
  <c r="AK96" i="16"/>
  <c r="AK84" i="16"/>
  <c r="AK181" i="16"/>
  <c r="AK236" i="16"/>
  <c r="AK149" i="16"/>
  <c r="AK224" i="16"/>
  <c r="AK279" i="16"/>
  <c r="AK319" i="16"/>
  <c r="AK349" i="16"/>
  <c r="AK375" i="16"/>
  <c r="AK259" i="16"/>
  <c r="AK299" i="16"/>
  <c r="AK323" i="16"/>
  <c r="AK363" i="16"/>
  <c r="AK76" i="16"/>
  <c r="AK158" i="16"/>
  <c r="AK105" i="16"/>
  <c r="AK255" i="16"/>
  <c r="AK339" i="16"/>
  <c r="AK245" i="16"/>
  <c r="AK313" i="16"/>
  <c r="AK364" i="16"/>
  <c r="AK30" i="16"/>
  <c r="AK50" i="16"/>
  <c r="AK24" i="16"/>
  <c r="AK322" i="16"/>
  <c r="AK146" i="16"/>
  <c r="AK242" i="16"/>
  <c r="AK34" i="16"/>
  <c r="AK18" i="16"/>
  <c r="AK70" i="16"/>
  <c r="AK93" i="16"/>
  <c r="AK120" i="16"/>
  <c r="AK67" i="16"/>
  <c r="AK145" i="16"/>
  <c r="AK173" i="16"/>
  <c r="AK202" i="16"/>
  <c r="AK229" i="16"/>
  <c r="AK91" i="16"/>
  <c r="AK138" i="16"/>
  <c r="AK177" i="16"/>
  <c r="AK219" i="16"/>
  <c r="AK249" i="16"/>
  <c r="AK276" i="16"/>
  <c r="AK79" i="16"/>
  <c r="AK144" i="16"/>
  <c r="AK160" i="16"/>
  <c r="AK209" i="16"/>
  <c r="AK108" i="16"/>
  <c r="AK191" i="16"/>
  <c r="AK264" i="16"/>
  <c r="AK301" i="16"/>
  <c r="AK340" i="16"/>
  <c r="AK365" i="16"/>
  <c r="AK247" i="16"/>
  <c r="AK285" i="16"/>
  <c r="AK315" i="16"/>
  <c r="AK345" i="16"/>
  <c r="AK20" i="16"/>
  <c r="AK60" i="16"/>
  <c r="AK222" i="16"/>
  <c r="AK215" i="16"/>
  <c r="AK308" i="16"/>
  <c r="AK372" i="16"/>
  <c r="AK325" i="17"/>
  <c r="AK309" i="17"/>
  <c r="AK149" i="17"/>
  <c r="AK303" i="17"/>
  <c r="AK142" i="17"/>
  <c r="AK85" i="17"/>
  <c r="AK48" i="16"/>
  <c r="AK212" i="16"/>
  <c r="AK193" i="16"/>
  <c r="AK302" i="16"/>
  <c r="AK369" i="16"/>
  <c r="AK289" i="16"/>
  <c r="AK347" i="16"/>
  <c r="AK331" i="16"/>
  <c r="AK272" i="16"/>
  <c r="AK357" i="16"/>
  <c r="AK290" i="16"/>
  <c r="AK169" i="16"/>
  <c r="AK198" i="16"/>
  <c r="AK117" i="16"/>
  <c r="AK376" i="16"/>
  <c r="AK332" i="16"/>
  <c r="AK309" i="16"/>
  <c r="AK274" i="16"/>
  <c r="AK21" i="16"/>
  <c r="AK358" i="16"/>
  <c r="AK334" i="16"/>
  <c r="AK291" i="16"/>
  <c r="AK246" i="16"/>
  <c r="AK176" i="16"/>
  <c r="AK89" i="16"/>
  <c r="AK200" i="16"/>
  <c r="AK143" i="16"/>
  <c r="AK119" i="16"/>
  <c r="AK69" i="16"/>
  <c r="AK270" i="16"/>
  <c r="AK240" i="16"/>
  <c r="AK214" i="16"/>
  <c r="AK167" i="16"/>
  <c r="AK131" i="16"/>
  <c r="AK64" i="16"/>
  <c r="AK220" i="16"/>
  <c r="AK197" i="16"/>
  <c r="AK168" i="16"/>
  <c r="AK132" i="16"/>
  <c r="AK58" i="16"/>
  <c r="AK116" i="16"/>
  <c r="AK87" i="16"/>
  <c r="AK55" i="16"/>
  <c r="AK35" i="16"/>
  <c r="AK310" i="16"/>
  <c r="AK97" i="16"/>
  <c r="AK78" i="16"/>
  <c r="AK39" i="16"/>
  <c r="AK44" i="16"/>
  <c r="AK125" i="16"/>
  <c r="AK52" i="16"/>
  <c r="AK235" i="16"/>
  <c r="AK328" i="16"/>
  <c r="AK380" i="16"/>
  <c r="AK304" i="16"/>
  <c r="AK367" i="16"/>
  <c r="AK318" i="16"/>
  <c r="AK256" i="16"/>
  <c r="AK271" i="16"/>
  <c r="AK170" i="16"/>
  <c r="AK366" i="16"/>
  <c r="AK303" i="16"/>
  <c r="AK379" i="16"/>
  <c r="AK325" i="16"/>
  <c r="AK231" i="16"/>
  <c r="AK43" i="16"/>
  <c r="AK115" i="16"/>
  <c r="AK31" i="16"/>
  <c r="AK234" i="16"/>
  <c r="AK156" i="16"/>
  <c r="AK46" i="16"/>
  <c r="AK190" i="16"/>
  <c r="AK122" i="16"/>
  <c r="AK110" i="16"/>
  <c r="AK37" i="16"/>
  <c r="AK378" i="16"/>
  <c r="AK141" i="16"/>
  <c r="AK359" i="16"/>
  <c r="P12" i="16"/>
  <c r="AK283" i="16"/>
  <c r="AK298" i="16"/>
  <c r="AK207" i="16"/>
  <c r="AK17" i="16"/>
  <c r="AK311" i="16"/>
  <c r="AK244" i="16"/>
  <c r="AK337" i="16"/>
  <c r="AK253" i="16"/>
  <c r="AK102" i="16"/>
  <c r="AK152" i="16"/>
  <c r="AK74" i="16"/>
  <c r="AK243" i="16"/>
  <c r="AK174" i="16"/>
  <c r="AK71" i="16"/>
  <c r="AK199" i="16"/>
  <c r="AK142" i="16"/>
  <c r="AK118" i="16"/>
  <c r="AK68" i="16"/>
  <c r="AK336" i="16"/>
  <c r="AK277" i="16"/>
  <c r="AK314" i="16"/>
  <c r="O165" i="17"/>
  <c r="E165" i="17" s="1"/>
  <c r="AJ35" i="16"/>
  <c r="AJ370" i="16"/>
  <c r="AJ359" i="16"/>
  <c r="AJ30" i="16"/>
  <c r="AJ70" i="16"/>
  <c r="AJ298" i="16"/>
  <c r="AJ149" i="16"/>
  <c r="AJ59" i="16"/>
  <c r="AJ105" i="16"/>
  <c r="AJ336" i="16"/>
  <c r="AJ329" i="16"/>
  <c r="AJ194" i="16"/>
  <c r="AJ164" i="16"/>
  <c r="AJ158" i="16"/>
  <c r="AJ75" i="16"/>
  <c r="AJ18" i="16"/>
  <c r="AJ101" i="16"/>
  <c r="AJ34" i="16"/>
  <c r="AJ347" i="16"/>
  <c r="AJ286" i="16"/>
  <c r="AJ348" i="16"/>
  <c r="AJ279" i="16"/>
  <c r="AJ208" i="16"/>
  <c r="AJ231" i="16"/>
  <c r="AJ176" i="16"/>
  <c r="AJ120" i="16"/>
  <c r="AJ146" i="16"/>
  <c r="AJ117" i="16"/>
  <c r="AJ85" i="16"/>
  <c r="AJ47" i="16"/>
  <c r="AJ128" i="16"/>
  <c r="AJ121" i="16"/>
  <c r="AJ89" i="16"/>
  <c r="AJ60" i="16"/>
  <c r="AJ33" i="16"/>
  <c r="AJ341" i="16"/>
  <c r="AJ314" i="16"/>
  <c r="AJ280" i="16"/>
  <c r="AJ364" i="16"/>
  <c r="AJ334" i="16"/>
  <c r="AJ307" i="16"/>
  <c r="AJ271" i="16"/>
  <c r="AJ232" i="16"/>
  <c r="AJ203" i="16"/>
  <c r="AJ252" i="16"/>
  <c r="AJ223" i="16"/>
  <c r="AJ187" i="16"/>
  <c r="AJ169" i="16"/>
  <c r="AJ127" i="16"/>
  <c r="AJ90" i="16"/>
  <c r="F7" i="16"/>
  <c r="AC12" i="16" s="1"/>
  <c r="AJ21" i="16"/>
  <c r="AJ63" i="16"/>
  <c r="AJ37" i="16"/>
  <c r="AJ69" i="16"/>
  <c r="AJ98" i="16"/>
  <c r="AJ97" i="16"/>
  <c r="AJ126" i="16"/>
  <c r="AJ156" i="16"/>
  <c r="AJ130" i="16"/>
  <c r="AJ147" i="16"/>
  <c r="AJ160" i="16"/>
  <c r="AJ165" i="16"/>
  <c r="AJ171" i="16"/>
  <c r="AJ178" i="16"/>
  <c r="AJ189" i="16"/>
  <c r="AJ183" i="16"/>
  <c r="AJ191" i="16"/>
  <c r="AJ197" i="16"/>
  <c r="AJ210" i="16"/>
  <c r="AJ218" i="16"/>
  <c r="AJ224" i="16"/>
  <c r="AJ235" i="16"/>
  <c r="AJ241" i="16"/>
  <c r="AJ248" i="16"/>
  <c r="AJ253" i="16"/>
  <c r="AJ259" i="16"/>
  <c r="AJ263" i="16"/>
  <c r="AJ195" i="16"/>
  <c r="AJ204" i="16"/>
  <c r="AJ209" i="16"/>
  <c r="AJ215" i="16"/>
  <c r="AJ227" i="16"/>
  <c r="AJ233" i="16"/>
  <c r="AJ243" i="16"/>
  <c r="AJ226" i="16"/>
  <c r="AJ182" i="16"/>
  <c r="AJ134" i="16"/>
  <c r="AJ104" i="16"/>
  <c r="AJ302" i="16"/>
  <c r="AJ247" i="16"/>
  <c r="AJ132" i="16"/>
  <c r="AJ145" i="16"/>
  <c r="AJ31" i="16"/>
  <c r="AJ274" i="16"/>
  <c r="AJ265" i="16"/>
  <c r="AJ217" i="16"/>
  <c r="AJ57" i="16"/>
  <c r="AJ100" i="16"/>
  <c r="AJ32" i="16"/>
  <c r="AJ159" i="16"/>
  <c r="AJ76" i="16"/>
  <c r="AJ19" i="16"/>
  <c r="AJ319" i="16"/>
  <c r="AJ374" i="16"/>
  <c r="AJ311" i="16"/>
  <c r="AJ239" i="16"/>
  <c r="AJ257" i="16"/>
  <c r="AJ196" i="16"/>
  <c r="AJ143" i="16"/>
  <c r="AJ51" i="16"/>
  <c r="AJ118" i="16"/>
  <c r="AJ88" i="16"/>
  <c r="AJ55" i="16"/>
  <c r="AJ29" i="16"/>
  <c r="AJ148" i="16"/>
  <c r="AJ119" i="16"/>
  <c r="AJ56" i="16"/>
  <c r="AJ49" i="16"/>
  <c r="AJ363" i="16"/>
  <c r="AJ324" i="16"/>
  <c r="AJ293" i="16"/>
  <c r="AJ378" i="16"/>
  <c r="AJ354" i="16"/>
  <c r="AJ322" i="16"/>
  <c r="AJ291" i="16"/>
  <c r="AJ250" i="16"/>
  <c r="AJ214" i="16"/>
  <c r="AJ262" i="16"/>
  <c r="AJ240" i="16"/>
  <c r="AJ206" i="16"/>
  <c r="AJ188" i="16"/>
  <c r="AJ155" i="16"/>
  <c r="AJ122" i="16"/>
  <c r="AJ66" i="16"/>
  <c r="AJ27" i="16"/>
  <c r="AJ45" i="16"/>
  <c r="AJ52" i="16"/>
  <c r="AJ81" i="16"/>
  <c r="AJ86" i="16"/>
  <c r="AJ112" i="16"/>
  <c r="AJ114" i="16"/>
  <c r="AJ140" i="16"/>
  <c r="AJ175" i="16"/>
  <c r="AJ141" i="16"/>
  <c r="AJ153" i="16"/>
  <c r="AJ163" i="16"/>
  <c r="AJ167" i="16"/>
  <c r="AJ173" i="16"/>
  <c r="AJ181" i="16"/>
  <c r="AJ180" i="16"/>
  <c r="AJ186" i="16"/>
  <c r="AJ193" i="16"/>
  <c r="AJ201" i="16"/>
  <c r="AJ216" i="16"/>
  <c r="AJ221" i="16"/>
  <c r="AJ228" i="16"/>
  <c r="AJ238" i="16"/>
  <c r="AJ245" i="16"/>
  <c r="AJ251" i="16"/>
  <c r="AJ255" i="16"/>
  <c r="AJ261" i="16"/>
  <c r="AJ190" i="16"/>
  <c r="AJ202" i="16"/>
  <c r="AJ207" i="16"/>
  <c r="AJ213" i="16"/>
  <c r="AJ222" i="16"/>
  <c r="AJ230" i="16"/>
  <c r="AJ236" i="16"/>
  <c r="AJ246" i="16"/>
  <c r="AJ256" i="16"/>
  <c r="AJ266" i="16"/>
  <c r="AJ272" i="16"/>
  <c r="AJ281" i="16"/>
  <c r="AJ292" i="16"/>
  <c r="AJ300" i="16"/>
  <c r="AJ308" i="16"/>
  <c r="AJ312" i="16"/>
  <c r="AJ325" i="16"/>
  <c r="AJ330" i="16"/>
  <c r="AJ339" i="16"/>
  <c r="AJ350" i="16"/>
  <c r="AJ356" i="16"/>
  <c r="AJ360" i="16"/>
  <c r="AJ366" i="16"/>
  <c r="AJ375" i="16"/>
  <c r="AJ380" i="16"/>
  <c r="AJ275" i="16"/>
  <c r="AJ282" i="16"/>
  <c r="AJ288" i="16"/>
  <c r="AJ296" i="16"/>
  <c r="AJ303" i="16"/>
  <c r="AJ315" i="16"/>
  <c r="AJ320" i="16"/>
  <c r="AJ327" i="16"/>
  <c r="AJ337" i="16"/>
  <c r="AJ342" i="16"/>
  <c r="AJ349" i="16"/>
  <c r="AJ365" i="16"/>
  <c r="AJ371" i="16"/>
  <c r="AJ15" i="16"/>
  <c r="AJ28" i="16"/>
  <c r="AJ26" i="16"/>
  <c r="AJ46" i="16"/>
  <c r="AJ64" i="16"/>
  <c r="AJ53" i="16"/>
  <c r="AJ44" i="16"/>
  <c r="AJ84" i="16"/>
  <c r="AJ73" i="16"/>
  <c r="AJ87" i="16"/>
  <c r="AJ102" i="16"/>
  <c r="AJ115" i="16"/>
  <c r="AJ99" i="16"/>
  <c r="AJ116" i="16"/>
  <c r="AJ129" i="16"/>
  <c r="AJ144" i="16"/>
  <c r="AJ157" i="16"/>
  <c r="AJ177" i="16"/>
  <c r="AJ142" i="16"/>
  <c r="AJ170" i="16"/>
  <c r="AJ138" i="16"/>
  <c r="AJ109" i="16"/>
  <c r="AJ110" i="16"/>
  <c r="AJ82" i="16"/>
  <c r="AJ77" i="16"/>
  <c r="AJ48" i="16"/>
  <c r="AJ42" i="16"/>
  <c r="AJ23" i="16"/>
  <c r="AJ174" i="16"/>
  <c r="AJ139" i="16"/>
  <c r="AJ113" i="16"/>
  <c r="AJ111" i="16"/>
  <c r="AJ83" i="16"/>
  <c r="AJ79" i="16"/>
  <c r="AJ50" i="16"/>
  <c r="AJ43" i="16"/>
  <c r="AJ24" i="16"/>
  <c r="AJ373" i="16"/>
  <c r="AJ352" i="16"/>
  <c r="AJ338" i="16"/>
  <c r="AJ321" i="16"/>
  <c r="AJ304" i="16"/>
  <c r="AJ289" i="16"/>
  <c r="AJ276" i="16"/>
  <c r="AJ376" i="16"/>
  <c r="AJ361" i="16"/>
  <c r="AJ351" i="16"/>
  <c r="AJ332" i="16"/>
  <c r="AJ313" i="16"/>
  <c r="AJ301" i="16"/>
  <c r="AJ283" i="16"/>
  <c r="AJ268" i="16"/>
  <c r="AJ244" i="16"/>
  <c r="AJ229" i="16"/>
  <c r="AJ211" i="16"/>
  <c r="AJ199" i="16"/>
  <c r="AJ260" i="16"/>
  <c r="AJ249" i="16"/>
  <c r="AJ237" i="16"/>
  <c r="AJ220" i="16"/>
  <c r="AJ200" i="16"/>
  <c r="AJ184" i="16"/>
  <c r="AJ179" i="16"/>
  <c r="AJ166" i="16"/>
  <c r="AJ152" i="16"/>
  <c r="AJ162" i="16"/>
  <c r="AJ103" i="16"/>
  <c r="AJ78" i="16"/>
  <c r="AJ40" i="16"/>
  <c r="AJ16" i="16"/>
  <c r="AJ264" i="16"/>
  <c r="AJ270" i="16"/>
  <c r="AJ277" i="16"/>
  <c r="AJ287" i="16"/>
  <c r="AJ295" i="16"/>
  <c r="AJ305" i="16"/>
  <c r="AJ310" i="16"/>
  <c r="AJ318" i="16"/>
  <c r="AJ328" i="16"/>
  <c r="AJ333" i="16"/>
  <c r="AJ346" i="16"/>
  <c r="AJ353" i="16"/>
  <c r="AJ358" i="16"/>
  <c r="AJ362" i="16"/>
  <c r="AJ372" i="16"/>
  <c r="AJ377" i="16"/>
  <c r="AJ269" i="16"/>
  <c r="AJ278" i="16"/>
  <c r="AJ285" i="16"/>
  <c r="AJ290" i="16"/>
  <c r="AJ299" i="16"/>
  <c r="AJ306" i="16"/>
  <c r="AJ317" i="16"/>
  <c r="AJ323" i="16"/>
  <c r="AJ335" i="16"/>
  <c r="AJ340" i="16"/>
  <c r="AJ344" i="16"/>
  <c r="AJ355" i="16"/>
  <c r="AJ369" i="16"/>
  <c r="AJ379" i="16"/>
  <c r="AJ22" i="16"/>
  <c r="AJ36" i="16"/>
  <c r="AJ39" i="16"/>
  <c r="AJ54" i="16"/>
  <c r="AJ41" i="16"/>
  <c r="AJ67" i="16"/>
  <c r="AJ72" i="16"/>
  <c r="AJ58" i="16"/>
  <c r="AJ80" i="16"/>
  <c r="AJ92" i="16"/>
  <c r="AJ107" i="16"/>
  <c r="AJ91" i="16"/>
  <c r="AJ108" i="16"/>
  <c r="AJ123" i="16"/>
  <c r="AJ137" i="16"/>
  <c r="AJ150" i="16"/>
  <c r="AJ168" i="16"/>
  <c r="AJ131" i="16"/>
  <c r="AJ151" i="16"/>
  <c r="AJ124" i="16"/>
  <c r="AJ93" i="16"/>
  <c r="AJ94" i="16"/>
  <c r="AJ65" i="16"/>
  <c r="AJ74" i="16"/>
  <c r="AJ61" i="16"/>
  <c r="N13" i="7"/>
  <c r="AJ135" i="16"/>
  <c r="AJ154" i="16"/>
  <c r="AJ125" i="16"/>
  <c r="AJ96" i="16"/>
  <c r="AJ95" i="16"/>
  <c r="AJ68" i="16"/>
  <c r="AJ25" i="16"/>
  <c r="AJ62" i="16"/>
  <c r="AJ20" i="16"/>
  <c r="AJ17" i="16"/>
  <c r="AJ368" i="16"/>
  <c r="AJ343" i="16"/>
  <c r="AJ331" i="16"/>
  <c r="AJ316" i="16"/>
  <c r="AJ284" i="16"/>
  <c r="AJ367" i="16"/>
  <c r="AJ345" i="16"/>
  <c r="AJ309" i="16"/>
  <c r="AJ273" i="16"/>
  <c r="AJ234" i="16"/>
  <c r="AJ205" i="16"/>
  <c r="AJ254" i="16"/>
  <c r="AJ225" i="16"/>
  <c r="AJ192" i="16"/>
  <c r="AJ172" i="16"/>
  <c r="AJ133" i="16"/>
  <c r="AJ106" i="16"/>
  <c r="AJ38" i="16"/>
  <c r="AJ297" i="16"/>
  <c r="AJ267" i="16"/>
  <c r="AJ357" i="16"/>
  <c r="AJ326" i="16"/>
  <c r="AJ294" i="16"/>
  <c r="AJ258" i="16"/>
  <c r="AJ219" i="16"/>
  <c r="AJ185" i="16"/>
  <c r="AJ242" i="16"/>
  <c r="AJ212" i="16"/>
  <c r="AJ198" i="16"/>
  <c r="AJ161" i="16"/>
  <c r="AJ136" i="16"/>
  <c r="AJ71" i="16"/>
  <c r="AY292" i="6"/>
  <c r="AY140" i="6"/>
  <c r="AY120" i="6"/>
  <c r="AY119" i="6"/>
  <c r="AY94" i="6"/>
  <c r="AY117" i="6"/>
  <c r="AY92" i="6"/>
  <c r="AY103" i="6"/>
  <c r="AY96" i="6"/>
  <c r="AY100" i="6"/>
  <c r="AY127" i="6"/>
  <c r="AY112" i="6"/>
  <c r="AY110" i="6"/>
  <c r="AY109" i="6"/>
  <c r="AY122" i="6"/>
  <c r="AY95" i="6"/>
  <c r="AY118" i="6"/>
  <c r="AY105" i="6"/>
  <c r="AY104" i="6"/>
  <c r="AY111" i="6"/>
  <c r="AY134" i="6"/>
  <c r="AY98" i="6"/>
  <c r="AY101" i="6"/>
  <c r="AY137" i="6"/>
  <c r="AY107" i="6"/>
  <c r="AY93" i="6"/>
  <c r="AY115" i="6"/>
  <c r="AY108" i="6"/>
  <c r="AY106" i="6"/>
  <c r="AY116" i="6"/>
  <c r="AY97" i="6"/>
  <c r="AY113" i="6"/>
  <c r="AY99" i="6"/>
  <c r="AY114" i="6"/>
  <c r="AY102" i="6"/>
  <c r="AY126" i="6"/>
  <c r="AY130" i="6"/>
  <c r="AY121" i="6"/>
  <c r="AY125" i="6"/>
  <c r="AY123" i="6"/>
  <c r="AT213" i="6"/>
  <c r="AY129" i="6"/>
  <c r="AY136" i="6"/>
  <c r="AY144" i="6"/>
  <c r="AY299" i="6"/>
  <c r="AY145" i="6"/>
  <c r="AY128" i="6"/>
  <c r="AY141" i="6"/>
  <c r="AY133" i="6"/>
  <c r="AY147" i="6"/>
  <c r="AY139" i="6"/>
  <c r="AY143" i="6"/>
  <c r="AT196" i="6"/>
  <c r="AT198" i="6"/>
  <c r="AY124" i="6"/>
  <c r="AY135" i="6"/>
  <c r="AY138" i="6"/>
  <c r="AY146" i="6"/>
  <c r="AY131" i="6"/>
  <c r="AY132" i="6"/>
  <c r="AY142" i="6"/>
  <c r="AY300" i="6"/>
  <c r="AY309" i="6"/>
  <c r="AT210" i="6"/>
  <c r="AT211" i="6"/>
  <c r="AT197" i="6"/>
  <c r="AT201" i="6"/>
  <c r="BL16" i="7"/>
  <c r="U12" i="15"/>
  <c r="I16" i="7" s="1"/>
  <c r="AA11" i="7"/>
  <c r="Q11" i="18" s="1"/>
  <c r="Q11" i="17"/>
  <c r="AK26" i="16"/>
  <c r="AK232" i="16"/>
  <c r="AK374" i="16"/>
  <c r="AK25" i="16"/>
  <c r="AK258" i="16"/>
  <c r="AK175" i="16"/>
  <c r="AK203" i="16"/>
  <c r="AK295" i="16"/>
  <c r="AK280" i="16"/>
  <c r="AK66" i="16"/>
  <c r="AK19" i="16"/>
  <c r="AK27" i="16"/>
  <c r="AK47" i="16"/>
  <c r="AK73" i="16"/>
  <c r="AK83" i="16"/>
  <c r="AK95" i="16"/>
  <c r="AK113" i="16"/>
  <c r="AK123" i="16"/>
  <c r="AK49" i="16"/>
  <c r="AK80" i="16"/>
  <c r="AK126" i="16"/>
  <c r="AK147" i="16"/>
  <c r="AK164" i="16"/>
  <c r="AK179" i="16"/>
  <c r="AK195" i="16"/>
  <c r="AK204" i="16"/>
  <c r="AK213" i="16"/>
  <c r="AK233" i="16"/>
  <c r="AK53" i="16"/>
  <c r="AK100" i="16"/>
  <c r="AK127" i="16"/>
  <c r="AK148" i="16"/>
  <c r="AK163" i="16"/>
  <c r="AK180" i="16"/>
  <c r="AK201" i="16"/>
  <c r="AK223" i="16"/>
  <c r="AK237" i="16"/>
  <c r="AK251" i="16"/>
  <c r="AK268" i="16"/>
  <c r="AK278" i="16"/>
  <c r="AK51" i="16"/>
  <c r="AK85" i="16"/>
  <c r="AK114" i="16"/>
  <c r="AK57" i="16"/>
  <c r="AK129" i="16"/>
  <c r="AK166" i="16"/>
  <c r="AK196" i="16"/>
  <c r="AK218" i="16"/>
  <c r="AK63" i="16"/>
  <c r="AK130" i="16"/>
  <c r="AK165" i="16"/>
  <c r="AK211" i="16"/>
  <c r="AK238" i="16"/>
  <c r="AK269" i="16"/>
  <c r="AK288" i="16"/>
  <c r="AK306" i="16"/>
  <c r="AK329" i="16"/>
  <c r="AK343" i="16"/>
  <c r="AK356" i="16"/>
  <c r="AK370" i="16"/>
  <c r="F8" i="16"/>
  <c r="L13" i="19" s="1"/>
  <c r="AK252" i="16"/>
  <c r="AK265" i="16"/>
  <c r="AK292" i="16"/>
  <c r="AK305" i="16"/>
  <c r="AK317" i="16"/>
  <c r="AK330" i="16"/>
  <c r="AK350" i="16"/>
  <c r="AK368" i="16"/>
  <c r="AK41" i="16"/>
  <c r="AK101" i="16"/>
  <c r="AK99" i="16"/>
  <c r="AK185" i="16"/>
  <c r="AK29" i="16"/>
  <c r="AK151" i="16"/>
  <c r="AK228" i="16"/>
  <c r="AK284" i="16"/>
  <c r="AK321" i="16"/>
  <c r="AK351" i="16"/>
  <c r="AK377" i="16"/>
  <c r="AK260" i="16"/>
  <c r="AK300" i="16"/>
  <c r="AK324" i="16"/>
  <c r="AK329" i="17"/>
  <c r="AK131" i="17"/>
  <c r="AK100" i="17"/>
  <c r="AK226" i="17"/>
  <c r="AK267" i="17"/>
  <c r="AK373" i="17"/>
  <c r="AK107" i="17"/>
  <c r="AK219" i="17"/>
  <c r="AK255" i="17"/>
  <c r="AK102" i="17"/>
  <c r="AK263" i="17"/>
  <c r="AK312" i="17"/>
  <c r="AK221" i="17"/>
  <c r="AK326" i="17"/>
  <c r="AK256" i="17"/>
  <c r="AK98" i="17"/>
  <c r="AK228" i="17"/>
  <c r="AK310" i="17"/>
  <c r="AK281" i="17"/>
  <c r="AK156" i="17"/>
  <c r="AK380" i="17"/>
  <c r="AK217" i="17"/>
  <c r="AK19" i="17"/>
  <c r="AK181" i="17"/>
  <c r="AK213" i="17"/>
  <c r="AK304" i="17"/>
  <c r="AK268" i="17"/>
  <c r="AK150" i="17"/>
  <c r="AK279" i="17"/>
  <c r="AK207" i="17"/>
  <c r="P12" i="17"/>
  <c r="AK214" i="17"/>
  <c r="AK63" i="17"/>
  <c r="AK58" i="17"/>
  <c r="AK79" i="17"/>
  <c r="AK283" i="17"/>
  <c r="AK18" i="17"/>
  <c r="AK42" i="17"/>
  <c r="E210" i="1"/>
  <c r="C26" i="7"/>
  <c r="E302" i="1"/>
  <c r="C29" i="7"/>
  <c r="E272" i="1"/>
  <c r="C28" i="7"/>
  <c r="C35" i="19"/>
  <c r="E379" i="1"/>
  <c r="E333" i="1"/>
  <c r="C30" i="7"/>
  <c r="O382" i="1"/>
  <c r="O381" i="1"/>
  <c r="O383" i="1"/>
  <c r="E8" i="15"/>
  <c r="K12" i="19" s="1"/>
  <c r="K36" i="19" s="1"/>
  <c r="E7" i="15"/>
  <c r="C25" i="7"/>
  <c r="E180" i="1"/>
  <c r="C31" i="7"/>
  <c r="E363" i="1"/>
  <c r="E241" i="1"/>
  <c r="C27" i="7"/>
  <c r="AC381" i="1"/>
  <c r="AC383" i="1"/>
  <c r="AC382" i="1"/>
  <c r="P11" i="18"/>
  <c r="AK33" i="18" s="1"/>
  <c r="AK278" i="17"/>
  <c r="AK276" i="17"/>
  <c r="AK235" i="17"/>
  <c r="AK197" i="17"/>
  <c r="AK121" i="17"/>
  <c r="AK64" i="17"/>
  <c r="AK376" i="17"/>
  <c r="AK188" i="17"/>
  <c r="AK362" i="17"/>
  <c r="AK361" i="17"/>
  <c r="AK363" i="17"/>
  <c r="AK210" i="17"/>
  <c r="AK171" i="17"/>
  <c r="AK92" i="17"/>
  <c r="AK50" i="17"/>
  <c r="AK352" i="17"/>
  <c r="AK201" i="17"/>
  <c r="AK162" i="17"/>
  <c r="AK80" i="17"/>
  <c r="AK379" i="17"/>
  <c r="AK222" i="17"/>
  <c r="AK105" i="17"/>
  <c r="AK366" i="17"/>
  <c r="AK172" i="17"/>
  <c r="AK357" i="17"/>
  <c r="AK356" i="17"/>
  <c r="AK353" i="17"/>
  <c r="AK204" i="17"/>
  <c r="AK163" i="17"/>
  <c r="AK87" i="17"/>
  <c r="AK44" i="17"/>
  <c r="AK348" i="17"/>
  <c r="AK189" i="17"/>
  <c r="AK153" i="17"/>
  <c r="AK76" i="17"/>
  <c r="AK43" i="17"/>
  <c r="AK300" i="17"/>
  <c r="AK52" i="17"/>
  <c r="AK140" i="17"/>
  <c r="AK120" i="17"/>
  <c r="AK190" i="17"/>
  <c r="AK220" i="17"/>
  <c r="AK56" i="17"/>
  <c r="AK93" i="17"/>
  <c r="AK311" i="17"/>
  <c r="AK233" i="17"/>
  <c r="AK81" i="17"/>
  <c r="AK269" i="17"/>
  <c r="P10" i="15"/>
  <c r="L12" i="19"/>
  <c r="Q10" i="15"/>
  <c r="K15" i="7" s="1"/>
  <c r="AK7" i="15"/>
  <c r="AK6" i="15"/>
  <c r="AK5" i="15"/>
  <c r="J81" i="6"/>
  <c r="O157" i="17"/>
  <c r="E157" i="17" s="1"/>
  <c r="AY343" i="6"/>
  <c r="AY318" i="6"/>
  <c r="AY316" i="6"/>
  <c r="AT15" i="6"/>
  <c r="AT48" i="6"/>
  <c r="AT209" i="6"/>
  <c r="AT190" i="6"/>
  <c r="AT195" i="6"/>
  <c r="AT216" i="6"/>
  <c r="AT193" i="6"/>
  <c r="AT217" i="6"/>
  <c r="AT215" i="6"/>
  <c r="J49" i="6"/>
  <c r="J84" i="6"/>
  <c r="J91" i="6"/>
  <c r="AY312" i="6"/>
  <c r="AY298" i="6"/>
  <c r="AY313" i="6"/>
  <c r="AY304" i="6"/>
  <c r="AT54" i="6"/>
  <c r="AY326" i="6"/>
  <c r="AT169" i="6"/>
  <c r="AY325" i="6"/>
  <c r="AY324" i="6"/>
  <c r="AY336" i="6"/>
  <c r="AY322" i="6"/>
  <c r="AT183" i="6"/>
  <c r="AT182" i="6"/>
  <c r="W13" i="7"/>
  <c r="AY351" i="6"/>
  <c r="J55" i="6"/>
  <c r="J56" i="6"/>
  <c r="J99" i="6"/>
  <c r="J82" i="6"/>
  <c r="J105" i="6"/>
  <c r="J85" i="6"/>
  <c r="AT77" i="6"/>
  <c r="J57" i="6"/>
  <c r="J36" i="6"/>
  <c r="J61" i="6"/>
  <c r="J46" i="6"/>
  <c r="AT60" i="6"/>
  <c r="AY342" i="6"/>
  <c r="AY321" i="6"/>
  <c r="AY323" i="6"/>
  <c r="AY330" i="6"/>
  <c r="AY332" i="6"/>
  <c r="AY337" i="6"/>
  <c r="AK25" i="17"/>
  <c r="AK118" i="17"/>
  <c r="AK129" i="17"/>
  <c r="AK196" i="17"/>
  <c r="AK254" i="17"/>
  <c r="AK234" i="17"/>
  <c r="AK323" i="17"/>
  <c r="AK264" i="17"/>
  <c r="AK21" i="17"/>
  <c r="AK69" i="17"/>
  <c r="AK106" i="17"/>
  <c r="AK134" i="17"/>
  <c r="AK138" i="17"/>
  <c r="AK198" i="17"/>
  <c r="AK178" i="17"/>
  <c r="AK243" i="17"/>
  <c r="AK338" i="17"/>
  <c r="AK286" i="17"/>
  <c r="AK332" i="17"/>
  <c r="AK287" i="17"/>
  <c r="AK333" i="17"/>
  <c r="AK113" i="17"/>
  <c r="AK117" i="17"/>
  <c r="AK86" i="17"/>
  <c r="AK48" i="17"/>
  <c r="AK57" i="17"/>
  <c r="AK37" i="17"/>
  <c r="AK23" i="17"/>
  <c r="AK167" i="17"/>
  <c r="AK239" i="17"/>
  <c r="AK291" i="17"/>
  <c r="AK22" i="17"/>
  <c r="AK90" i="17"/>
  <c r="AK125" i="17"/>
  <c r="AK248" i="17"/>
  <c r="AK305" i="17"/>
  <c r="AK320" i="17"/>
  <c r="AK321" i="17"/>
  <c r="AK88" i="17"/>
  <c r="AK72" i="17"/>
  <c r="AK45" i="17"/>
  <c r="AK60" i="17"/>
  <c r="AK146" i="17"/>
  <c r="AK185" i="17"/>
  <c r="AK345" i="17"/>
  <c r="AK41" i="17"/>
  <c r="AK122" i="17"/>
  <c r="AK161" i="17"/>
  <c r="AK200" i="17"/>
  <c r="AK351" i="17"/>
  <c r="AK344" i="17"/>
  <c r="AK346" i="17"/>
  <c r="AK111" i="17"/>
  <c r="AK75" i="17"/>
  <c r="AK30" i="17"/>
  <c r="AK67" i="17"/>
  <c r="AK31" i="17"/>
  <c r="AK65" i="17"/>
  <c r="AK99" i="17"/>
  <c r="AK123" i="17"/>
  <c r="AK155" i="17"/>
  <c r="AK132" i="17"/>
  <c r="AK169" i="17"/>
  <c r="AK177" i="17"/>
  <c r="AK225" i="17"/>
  <c r="AK257" i="17"/>
  <c r="AK209" i="17"/>
  <c r="AK238" i="17"/>
  <c r="AK275" i="17"/>
  <c r="AK327" i="17"/>
  <c r="AK358" i="17"/>
  <c r="AK266" i="17"/>
  <c r="F8" i="17"/>
  <c r="L14" i="19" s="1"/>
  <c r="AK26" i="17"/>
  <c r="AK40" i="17"/>
  <c r="AK73" i="17"/>
  <c r="AK84" i="17"/>
  <c r="AK109" i="17"/>
  <c r="AK101" i="17"/>
  <c r="AK136" i="17"/>
  <c r="AK164" i="17"/>
  <c r="AK144" i="17"/>
  <c r="AK176" i="17"/>
  <c r="AK202" i="17"/>
  <c r="AK237" i="17"/>
  <c r="AK182" i="17"/>
  <c r="AK218" i="17"/>
  <c r="AK249" i="17"/>
  <c r="AK290" i="17"/>
  <c r="AK342" i="17"/>
  <c r="AK369" i="17"/>
  <c r="AK288" i="17"/>
  <c r="AK314" i="17"/>
  <c r="AK334" i="17"/>
  <c r="AK371" i="17"/>
  <c r="AK293" i="17"/>
  <c r="AK315" i="17"/>
  <c r="AK335" i="17"/>
  <c r="AK372" i="17"/>
  <c r="AK70" i="17"/>
  <c r="AK130" i="17"/>
  <c r="AK137" i="17"/>
  <c r="AK192" i="17"/>
  <c r="AK259" i="17"/>
  <c r="AK241" i="17"/>
  <c r="AK337" i="17"/>
  <c r="AK271" i="17"/>
  <c r="AK33" i="17"/>
  <c r="AK38" i="17"/>
  <c r="AK112" i="17"/>
  <c r="AK141" i="17"/>
  <c r="AK147" i="17"/>
  <c r="AK206" i="17"/>
  <c r="AK186" i="17"/>
  <c r="AK252" i="17"/>
  <c r="AK347" i="17"/>
  <c r="AK294" i="17"/>
  <c r="AK336" i="17"/>
  <c r="AK295" i="17"/>
  <c r="AK339" i="17"/>
  <c r="AK34" i="17"/>
  <c r="AK39" i="17"/>
  <c r="AK115" i="17"/>
  <c r="AK135" i="17"/>
  <c r="AK160" i="17"/>
  <c r="AK139" i="17"/>
  <c r="AK174" i="17"/>
  <c r="AK199" i="17"/>
  <c r="AK236" i="17"/>
  <c r="AK179" i="17"/>
  <c r="AK216" i="17"/>
  <c r="AK247" i="17"/>
  <c r="AK289" i="17"/>
  <c r="AK341" i="17"/>
  <c r="AK368" i="17"/>
  <c r="AK274" i="17"/>
  <c r="AK20" i="17"/>
  <c r="AK36" i="17"/>
  <c r="AK55" i="17"/>
  <c r="AK47" i="17"/>
  <c r="AK83" i="17"/>
  <c r="AK116" i="17"/>
  <c r="AK110" i="17"/>
  <c r="AK143" i="17"/>
  <c r="AK175" i="17"/>
  <c r="AK154" i="17"/>
  <c r="AK184" i="17"/>
  <c r="AK211" i="17"/>
  <c r="AK245" i="17"/>
  <c r="AK193" i="17"/>
  <c r="AK227" i="17"/>
  <c r="AK260" i="17"/>
  <c r="AK299" i="17"/>
  <c r="AK349" i="17"/>
  <c r="AK375" i="17"/>
  <c r="AK296" i="17"/>
  <c r="AK318" i="17"/>
  <c r="AK340" i="17"/>
  <c r="AK377" i="17"/>
  <c r="AK297" i="17"/>
  <c r="AK319" i="17"/>
  <c r="AK343" i="17"/>
  <c r="AK16" i="17"/>
  <c r="AK82" i="17"/>
  <c r="AK145" i="17"/>
  <c r="AK158" i="17"/>
  <c r="AK212" i="17"/>
  <c r="AK194" i="17"/>
  <c r="AK261" i="17"/>
  <c r="AK350" i="17"/>
  <c r="AK360" i="17"/>
  <c r="AK308" i="17"/>
  <c r="AK359" i="17"/>
  <c r="AK307" i="17"/>
  <c r="AK355" i="17"/>
  <c r="AK272" i="17"/>
  <c r="AK208" i="17"/>
  <c r="AK224" i="17"/>
  <c r="AK166" i="17"/>
  <c r="AK152" i="17"/>
  <c r="AK89" i="17"/>
  <c r="AK74" i="17"/>
  <c r="AK46" i="17"/>
  <c r="AK284" i="17"/>
  <c r="AK302" i="17"/>
  <c r="AK246" i="17"/>
  <c r="AK124" i="17"/>
  <c r="AK62" i="17"/>
  <c r="AK331" i="17"/>
  <c r="AK285" i="17"/>
  <c r="AK330" i="17"/>
  <c r="AK280" i="17"/>
  <c r="AK328" i="17"/>
  <c r="AK240" i="17"/>
  <c r="AK258" i="17"/>
  <c r="AK187" i="17"/>
  <c r="AK133" i="17"/>
  <c r="AK126" i="17"/>
  <c r="AK103" i="17"/>
  <c r="AK66" i="17"/>
  <c r="AK32" i="17"/>
  <c r="AK378" i="17"/>
  <c r="AK306" i="17"/>
  <c r="AK230" i="17"/>
  <c r="AK250" i="17"/>
  <c r="AK191" i="17"/>
  <c r="AK127" i="17"/>
  <c r="AK108" i="17"/>
  <c r="AK54" i="17"/>
  <c r="AK317" i="17"/>
  <c r="AK316" i="17"/>
  <c r="AK292" i="17"/>
  <c r="AK242" i="17"/>
  <c r="AK168" i="17"/>
  <c r="AK78" i="17"/>
  <c r="AK15" i="17"/>
  <c r="AK282" i="17"/>
  <c r="AK231" i="17"/>
  <c r="AK157" i="17"/>
  <c r="AK24" i="17"/>
  <c r="AK324" i="17"/>
  <c r="AK273" i="17"/>
  <c r="AK322" i="17"/>
  <c r="AK270" i="17"/>
  <c r="AK313" i="17"/>
  <c r="AK232" i="17"/>
  <c r="AK253" i="17"/>
  <c r="AK195" i="17"/>
  <c r="AK128" i="17"/>
  <c r="AK119" i="17"/>
  <c r="AK95" i="17"/>
  <c r="AK61" i="17"/>
  <c r="AK27" i="17"/>
  <c r="AK374" i="17"/>
  <c r="AK298" i="17"/>
  <c r="AK223" i="17"/>
  <c r="AK244" i="17"/>
  <c r="AK183" i="17"/>
  <c r="AK170" i="17"/>
  <c r="AK91" i="17"/>
  <c r="AK49" i="17"/>
  <c r="AK17" i="17"/>
  <c r="AK51" i="17"/>
  <c r="AK301" i="17"/>
  <c r="AK262" i="17"/>
  <c r="AK148" i="17"/>
  <c r="AK277" i="17"/>
  <c r="AK203" i="17"/>
  <c r="AK28" i="17"/>
  <c r="AK97" i="17"/>
  <c r="AK265" i="17"/>
  <c r="AK229" i="17"/>
  <c r="AK114" i="17"/>
  <c r="AK370" i="17"/>
  <c r="AK180" i="17"/>
  <c r="AK35" i="17"/>
  <c r="AK68" i="17"/>
  <c r="AK104" i="17"/>
  <c r="AK365" i="17"/>
  <c r="AK364" i="17"/>
  <c r="AK367" i="17"/>
  <c r="AK215" i="17"/>
  <c r="AK173" i="17"/>
  <c r="AK96" i="17"/>
  <c r="AK59" i="17"/>
  <c r="AK354" i="17"/>
  <c r="AK205" i="17"/>
  <c r="AK165" i="17"/>
  <c r="AK94" i="17"/>
  <c r="O263" i="17"/>
  <c r="E263" i="17" s="1"/>
  <c r="O158" i="17"/>
  <c r="E158" i="17" s="1"/>
  <c r="O376" i="17"/>
  <c r="E376" i="17" s="1"/>
  <c r="J268" i="6"/>
  <c r="J266" i="6"/>
  <c r="J271" i="6"/>
  <c r="J265" i="6"/>
  <c r="AY349" i="6"/>
  <c r="J273" i="6"/>
  <c r="AY370" i="6"/>
  <c r="AT17" i="6"/>
  <c r="AT188" i="6"/>
  <c r="AT180" i="6"/>
  <c r="AT172" i="6"/>
  <c r="AT165" i="6"/>
  <c r="J103" i="6"/>
  <c r="J96" i="6"/>
  <c r="J89" i="6"/>
  <c r="J80" i="6"/>
  <c r="J93" i="6"/>
  <c r="J92" i="6"/>
  <c r="J102" i="6"/>
  <c r="AT16" i="6"/>
  <c r="AY308" i="6"/>
  <c r="AY306" i="6"/>
  <c r="AY301" i="6"/>
  <c r="AY307" i="6"/>
  <c r="AY291" i="6"/>
  <c r="AY296" i="6"/>
  <c r="AY294" i="6"/>
  <c r="O290" i="17"/>
  <c r="E290" i="17" s="1"/>
  <c r="O295" i="17"/>
  <c r="E295" i="17" s="1"/>
  <c r="O258" i="17"/>
  <c r="E258" i="17" s="1"/>
  <c r="O360" i="17"/>
  <c r="E360" i="17" s="1"/>
  <c r="O186" i="17"/>
  <c r="E186" i="17" s="1"/>
  <c r="O249" i="17"/>
  <c r="E249" i="17" s="1"/>
  <c r="O235" i="17"/>
  <c r="E235" i="17" s="1"/>
  <c r="O332" i="17"/>
  <c r="E332" i="17" s="1"/>
  <c r="O339" i="17"/>
  <c r="E339" i="17" s="1"/>
  <c r="O276" i="17"/>
  <c r="E276" i="17" s="1"/>
  <c r="O288" i="17"/>
  <c r="E288" i="17" s="1"/>
  <c r="O132" i="17"/>
  <c r="E132" i="17" s="1"/>
  <c r="O353" i="17"/>
  <c r="E353" i="17" s="1"/>
  <c r="O189" i="17"/>
  <c r="E189" i="17" s="1"/>
  <c r="O256" i="17"/>
  <c r="E256" i="17" s="1"/>
  <c r="O210" i="17"/>
  <c r="E210" i="17" s="1"/>
  <c r="O139" i="17"/>
  <c r="E139" i="17" s="1"/>
  <c r="O173" i="17"/>
  <c r="E173" i="17" s="1"/>
  <c r="O206" i="17"/>
  <c r="E206" i="17" s="1"/>
  <c r="O285" i="17"/>
  <c r="E285" i="17" s="1"/>
  <c r="O342" i="17"/>
  <c r="E342" i="17" s="1"/>
  <c r="O207" i="17"/>
  <c r="E207" i="17" s="1"/>
  <c r="O199" i="17"/>
  <c r="E199" i="17" s="1"/>
  <c r="O182" i="17"/>
  <c r="E182" i="17" s="1"/>
  <c r="O142" i="17"/>
  <c r="E142" i="17" s="1"/>
  <c r="O175" i="17"/>
  <c r="E175" i="17" s="1"/>
  <c r="O181" i="17"/>
  <c r="E181" i="17" s="1"/>
  <c r="O259" i="17"/>
  <c r="E259" i="17" s="1"/>
  <c r="O176" i="17"/>
  <c r="E176" i="17" s="1"/>
  <c r="O367" i="17"/>
  <c r="E367" i="17" s="1"/>
  <c r="O265" i="17"/>
  <c r="E265" i="17" s="1"/>
  <c r="O260" i="17"/>
  <c r="E260" i="17" s="1"/>
  <c r="O357" i="17"/>
  <c r="E357" i="17" s="1"/>
  <c r="O129" i="17"/>
  <c r="E129" i="17" s="1"/>
  <c r="O218" i="17"/>
  <c r="E218" i="17" s="1"/>
  <c r="O201" i="17"/>
  <c r="E201" i="17" s="1"/>
  <c r="O298" i="17"/>
  <c r="E298" i="17" s="1"/>
  <c r="O168" i="17"/>
  <c r="E168" i="17" s="1"/>
  <c r="O310" i="17"/>
  <c r="E310" i="17" s="1"/>
  <c r="O150" i="17"/>
  <c r="E150" i="17" s="1"/>
  <c r="O131" i="17"/>
  <c r="E131" i="17" s="1"/>
  <c r="O299" i="17"/>
  <c r="E299" i="17" s="1"/>
  <c r="O177" i="17"/>
  <c r="E177" i="17" s="1"/>
  <c r="O193" i="17"/>
  <c r="E193" i="17" s="1"/>
  <c r="O365" i="17"/>
  <c r="E365" i="17" s="1"/>
  <c r="O253" i="17"/>
  <c r="E253" i="17" s="1"/>
  <c r="O155" i="17"/>
  <c r="E155" i="17" s="1"/>
  <c r="O313" i="17"/>
  <c r="E313" i="17" s="1"/>
  <c r="O257" i="17"/>
  <c r="E257" i="17" s="1"/>
  <c r="O375" i="17"/>
  <c r="E375" i="17" s="1"/>
  <c r="O220" i="17"/>
  <c r="E220" i="17" s="1"/>
  <c r="O156" i="17"/>
  <c r="E156" i="17" s="1"/>
  <c r="O163" i="17"/>
  <c r="E163" i="17" s="1"/>
  <c r="O255" i="17"/>
  <c r="E255" i="17" s="1"/>
  <c r="O296" i="17"/>
  <c r="E296" i="17" s="1"/>
  <c r="O124" i="17"/>
  <c r="E124" i="17" s="1"/>
  <c r="O307" i="17"/>
  <c r="E307" i="17" s="1"/>
  <c r="O348" i="17"/>
  <c r="E348" i="17" s="1"/>
  <c r="O148" i="17"/>
  <c r="E148" i="17" s="1"/>
  <c r="Z15" i="7"/>
  <c r="O301" i="17"/>
  <c r="E301" i="17" s="1"/>
  <c r="O180" i="17"/>
  <c r="E180" i="17" s="1"/>
  <c r="O251" i="17"/>
  <c r="E251" i="17" s="1"/>
  <c r="O326" i="17"/>
  <c r="E326" i="17" s="1"/>
  <c r="O248" i="17"/>
  <c r="E248" i="17" s="1"/>
  <c r="O178" i="17"/>
  <c r="E178" i="17" s="1"/>
  <c r="O246" i="17"/>
  <c r="E246" i="17" s="1"/>
  <c r="O228" i="17"/>
  <c r="E228" i="17" s="1"/>
  <c r="O278" i="17"/>
  <c r="E278" i="17" s="1"/>
  <c r="O243" i="17"/>
  <c r="E243" i="17" s="1"/>
  <c r="O195" i="17"/>
  <c r="O128" i="17"/>
  <c r="E128" i="17" s="1"/>
  <c r="O136" i="17"/>
  <c r="E136" i="17" s="1"/>
  <c r="O172" i="17"/>
  <c r="E172" i="17" s="1"/>
  <c r="O349" i="17"/>
  <c r="E349" i="17" s="1"/>
  <c r="O236" i="17"/>
  <c r="E236" i="17" s="1"/>
  <c r="O164" i="17"/>
  <c r="E164" i="17" s="1"/>
  <c r="O229" i="17"/>
  <c r="E229" i="17" s="1"/>
  <c r="O377" i="17"/>
  <c r="E377" i="17" s="1"/>
  <c r="O133" i="17"/>
  <c r="E133" i="17" s="1"/>
  <c r="O334" i="17"/>
  <c r="E334" i="17" s="1"/>
  <c r="O269" i="17"/>
  <c r="E269" i="17" s="1"/>
  <c r="O169" i="17"/>
  <c r="E169" i="17" s="1"/>
  <c r="O184" i="17"/>
  <c r="E184" i="17" s="1"/>
  <c r="O363" i="17"/>
  <c r="C67" i="7" s="1"/>
  <c r="O275" i="17"/>
  <c r="E275" i="17" s="1"/>
  <c r="O203" i="17"/>
  <c r="E203" i="17" s="1"/>
  <c r="O140" i="17"/>
  <c r="E140" i="17" s="1"/>
  <c r="O266" i="17"/>
  <c r="E266" i="17" s="1"/>
  <c r="O134" i="17"/>
  <c r="E134" i="17" s="1"/>
  <c r="O216" i="17"/>
  <c r="E216" i="17" s="1"/>
  <c r="O325" i="17"/>
  <c r="E325" i="17" s="1"/>
  <c r="O366" i="17"/>
  <c r="E366" i="17" s="1"/>
  <c r="O372" i="17"/>
  <c r="E372" i="17" s="1"/>
  <c r="O197" i="17"/>
  <c r="E197" i="17" s="1"/>
  <c r="O361" i="17"/>
  <c r="E361" i="17" s="1"/>
  <c r="O284" i="17"/>
  <c r="E284" i="17" s="1"/>
  <c r="O126" i="17"/>
  <c r="E126" i="17" s="1"/>
  <c r="O370" i="17"/>
  <c r="E370" i="17" s="1"/>
  <c r="O304" i="17"/>
  <c r="E304" i="17" s="1"/>
  <c r="O268" i="17"/>
  <c r="E268" i="17" s="1"/>
  <c r="O127" i="17"/>
  <c r="E127" i="17" s="1"/>
  <c r="O281" i="17"/>
  <c r="E281" i="17" s="1"/>
  <c r="O143" i="17"/>
  <c r="E143" i="17" s="1"/>
  <c r="O323" i="17"/>
  <c r="E323" i="17" s="1"/>
  <c r="O340" i="17"/>
  <c r="E340" i="17" s="1"/>
  <c r="O306" i="17"/>
  <c r="E306" i="17" s="1"/>
  <c r="O209" i="17"/>
  <c r="E209" i="17" s="1"/>
  <c r="O338" i="17"/>
  <c r="E338" i="17" s="1"/>
  <c r="O274" i="17"/>
  <c r="E274" i="17" s="1"/>
  <c r="O192" i="17"/>
  <c r="E192" i="17" s="1"/>
  <c r="O224" i="17"/>
  <c r="E224" i="17" s="1"/>
  <c r="O219" i="17"/>
  <c r="E219" i="17" s="1"/>
  <c r="O272" i="17"/>
  <c r="E272" i="17" s="1"/>
  <c r="O282" i="17"/>
  <c r="E282" i="17" s="1"/>
  <c r="O191" i="17"/>
  <c r="E191" i="17" s="1"/>
  <c r="O321" i="17"/>
  <c r="E321" i="17" s="1"/>
  <c r="O328" i="17"/>
  <c r="E328" i="17" s="1"/>
  <c r="O237" i="17"/>
  <c r="E237" i="17" s="1"/>
  <c r="O271" i="17"/>
  <c r="E271" i="17" s="1"/>
  <c r="O261" i="17"/>
  <c r="E261" i="17" s="1"/>
  <c r="O217" i="17"/>
  <c r="E217" i="17" s="1"/>
  <c r="O378" i="17"/>
  <c r="E378" i="17" s="1"/>
  <c r="U13" i="7"/>
  <c r="AA10" i="7" s="1"/>
  <c r="O324" i="17"/>
  <c r="E324" i="17" s="1"/>
  <c r="O152" i="17"/>
  <c r="E152" i="17" s="1"/>
  <c r="O369" i="17"/>
  <c r="E369" i="17" s="1"/>
  <c r="O354" i="17"/>
  <c r="E354" i="17" s="1"/>
  <c r="O233" i="17"/>
  <c r="E233" i="17" s="1"/>
  <c r="O373" i="17"/>
  <c r="E373" i="17" s="1"/>
  <c r="O159" i="17"/>
  <c r="E159" i="17" s="1"/>
  <c r="O162" i="17"/>
  <c r="E162" i="17" s="1"/>
  <c r="O147" i="17"/>
  <c r="E147" i="17" s="1"/>
  <c r="O221" i="17"/>
  <c r="E221" i="17" s="1"/>
  <c r="O336" i="17"/>
  <c r="E336" i="17" s="1"/>
  <c r="O245" i="17"/>
  <c r="E245" i="17" s="1"/>
  <c r="O213" i="17"/>
  <c r="E213" i="17" s="1"/>
  <c r="O240" i="17"/>
  <c r="E240" i="17" s="1"/>
  <c r="O202" i="17"/>
  <c r="E202" i="17" s="1"/>
  <c r="O149" i="17"/>
  <c r="C60" i="7" s="1"/>
  <c r="O347" i="17"/>
  <c r="E347" i="17" s="1"/>
  <c r="O374" i="17"/>
  <c r="E374" i="17" s="1"/>
  <c r="O300" i="17"/>
  <c r="E300" i="17" s="1"/>
  <c r="O292" i="17"/>
  <c r="E292" i="17" s="1"/>
  <c r="O311" i="17"/>
  <c r="E311" i="17" s="1"/>
  <c r="O225" i="17"/>
  <c r="E225" i="17" s="1"/>
  <c r="O215" i="17"/>
  <c r="E215" i="17" s="1"/>
  <c r="O130" i="17"/>
  <c r="E130" i="17" s="1"/>
  <c r="O161" i="17"/>
  <c r="E161" i="17" s="1"/>
  <c r="O154" i="17"/>
  <c r="E154" i="17" s="1"/>
  <c r="O358" i="17"/>
  <c r="E358" i="17" s="1"/>
  <c r="O291" i="17"/>
  <c r="E291" i="17" s="1"/>
  <c r="O179" i="17"/>
  <c r="E179" i="17" s="1"/>
  <c r="O153" i="17"/>
  <c r="E153" i="17" s="1"/>
  <c r="O319" i="17"/>
  <c r="E319" i="17" s="1"/>
  <c r="O352" i="17"/>
  <c r="E352" i="17" s="1"/>
  <c r="O145" i="17"/>
  <c r="E145" i="17" s="1"/>
  <c r="O167" i="17"/>
  <c r="E167" i="17" s="1"/>
  <c r="O327" i="17"/>
  <c r="E327" i="17" s="1"/>
  <c r="O200" i="17"/>
  <c r="E200" i="17" s="1"/>
  <c r="O289" i="17"/>
  <c r="E289" i="17" s="1"/>
  <c r="O312" i="17"/>
  <c r="E312" i="17" s="1"/>
  <c r="O231" i="17"/>
  <c r="E231" i="17" s="1"/>
  <c r="O214" i="17"/>
  <c r="E214" i="17" s="1"/>
  <c r="O241" i="17"/>
  <c r="E241" i="17" s="1"/>
  <c r="O204" i="17"/>
  <c r="E204" i="17" s="1"/>
  <c r="O171" i="17"/>
  <c r="E171" i="17" s="1"/>
  <c r="O125" i="17"/>
  <c r="E125" i="17" s="1"/>
  <c r="O198" i="17"/>
  <c r="E198" i="17" s="1"/>
  <c r="O343" i="17"/>
  <c r="E343" i="17" s="1"/>
  <c r="O330" i="17"/>
  <c r="E330" i="17" s="1"/>
  <c r="O254" i="17"/>
  <c r="E254" i="17" s="1"/>
  <c r="O346" i="17"/>
  <c r="E346" i="17" s="1"/>
  <c r="O137" i="17"/>
  <c r="E137" i="17" s="1"/>
  <c r="O322" i="17"/>
  <c r="E322" i="17" s="1"/>
  <c r="O187" i="17"/>
  <c r="E187" i="17" s="1"/>
  <c r="O280" i="17"/>
  <c r="E280" i="17" s="1"/>
  <c r="O293" i="17"/>
  <c r="E293" i="17" s="1"/>
  <c r="O273" i="17"/>
  <c r="E273" i="17" s="1"/>
  <c r="O211" i="17"/>
  <c r="E211" i="17" s="1"/>
  <c r="O329" i="17"/>
  <c r="E329" i="17" s="1"/>
  <c r="O316" i="17"/>
  <c r="E316" i="17" s="1"/>
  <c r="O234" i="17"/>
  <c r="E234" i="17" s="1"/>
  <c r="O355" i="17"/>
  <c r="E355" i="17" s="1"/>
  <c r="O308" i="17"/>
  <c r="E308" i="17" s="1"/>
  <c r="O356" i="17"/>
  <c r="E356" i="17" s="1"/>
  <c r="O151" i="17"/>
  <c r="E151" i="17" s="1"/>
  <c r="O286" i="17"/>
  <c r="E286" i="17" s="1"/>
  <c r="O194" i="17"/>
  <c r="E194" i="17" s="1"/>
  <c r="O318" i="17"/>
  <c r="E318" i="17" s="1"/>
  <c r="O287" i="17"/>
  <c r="E287" i="17" s="1"/>
  <c r="O270" i="17"/>
  <c r="E270" i="17" s="1"/>
  <c r="O135" i="17"/>
  <c r="E135" i="17" s="1"/>
  <c r="O250" i="17"/>
  <c r="E250" i="17" s="1"/>
  <c r="O188" i="17"/>
  <c r="E188" i="17" s="1"/>
  <c r="O212" i="17"/>
  <c r="E212" i="17" s="1"/>
  <c r="O226" i="17"/>
  <c r="E226" i="17" s="1"/>
  <c r="O244" i="17"/>
  <c r="E244" i="17" s="1"/>
  <c r="O359" i="17"/>
  <c r="E359" i="17" s="1"/>
  <c r="O364" i="17"/>
  <c r="E364" i="17" s="1"/>
  <c r="O264" i="17"/>
  <c r="E264" i="17" s="1"/>
  <c r="O208" i="17"/>
  <c r="E208" i="17" s="1"/>
  <c r="O247" i="17"/>
  <c r="E247" i="17" s="1"/>
  <c r="O185" i="17"/>
  <c r="E185" i="17" s="1"/>
  <c r="O262" i="17"/>
  <c r="E262" i="17" s="1"/>
  <c r="O320" i="17"/>
  <c r="E320" i="17" s="1"/>
  <c r="O368" i="17"/>
  <c r="E368" i="17" s="1"/>
  <c r="O267" i="17"/>
  <c r="E267" i="17" s="1"/>
  <c r="O223" i="17"/>
  <c r="E223" i="17" s="1"/>
  <c r="O344" i="17"/>
  <c r="E344" i="17" s="1"/>
  <c r="O297" i="17"/>
  <c r="E297" i="17" s="1"/>
  <c r="O242" i="17"/>
  <c r="E242" i="17" s="1"/>
  <c r="O222" i="17"/>
  <c r="E222" i="17" s="1"/>
  <c r="O170" i="17"/>
  <c r="E170" i="17" s="1"/>
  <c r="O238" i="17"/>
  <c r="E238" i="17" s="1"/>
  <c r="O166" i="17"/>
  <c r="E166" i="17" s="1"/>
  <c r="O146" i="17"/>
  <c r="E146" i="17" s="1"/>
  <c r="O350" i="17"/>
  <c r="E350" i="17" s="1"/>
  <c r="O305" i="17"/>
  <c r="E305" i="17" s="1"/>
  <c r="O303" i="17"/>
  <c r="E303" i="17" s="1"/>
  <c r="O351" i="17"/>
  <c r="E351" i="17" s="1"/>
  <c r="O160" i="17"/>
  <c r="E160" i="17" s="1"/>
  <c r="O314" i="17"/>
  <c r="E314" i="17" s="1"/>
  <c r="O196" i="17"/>
  <c r="E196" i="17" s="1"/>
  <c r="O315" i="17"/>
  <c r="E315" i="17" s="1"/>
  <c r="O277" i="17"/>
  <c r="E277" i="17" s="1"/>
  <c r="O144" i="17"/>
  <c r="E144" i="17" s="1"/>
  <c r="O371" i="17"/>
  <c r="E371" i="17" s="1"/>
  <c r="O174" i="17"/>
  <c r="E174" i="17" s="1"/>
  <c r="O138" i="17"/>
  <c r="E138" i="17" s="1"/>
  <c r="O345" i="17"/>
  <c r="E345" i="17" s="1"/>
  <c r="O317" i="17"/>
  <c r="E317" i="17" s="1"/>
  <c r="O279" i="17"/>
  <c r="E279" i="17" s="1"/>
  <c r="O294" i="17"/>
  <c r="E294" i="17" s="1"/>
  <c r="O141" i="17"/>
  <c r="E141" i="17" s="1"/>
  <c r="O379" i="17"/>
  <c r="O239" i="17"/>
  <c r="E239" i="17" s="1"/>
  <c r="O183" i="17"/>
  <c r="E183" i="17" s="1"/>
  <c r="O302" i="17"/>
  <c r="E302" i="17" s="1"/>
  <c r="O362" i="17"/>
  <c r="E362" i="17" s="1"/>
  <c r="O331" i="17"/>
  <c r="E331" i="17" s="1"/>
  <c r="O232" i="17"/>
  <c r="E232" i="17" s="1"/>
  <c r="O252" i="17"/>
  <c r="E252" i="17" s="1"/>
  <c r="O230" i="17"/>
  <c r="E230" i="17" s="1"/>
  <c r="O190" i="17"/>
  <c r="E190" i="17" s="1"/>
  <c r="O341" i="17"/>
  <c r="E341" i="17" s="1"/>
  <c r="O309" i="17"/>
  <c r="E309" i="17" s="1"/>
  <c r="O337" i="17"/>
  <c r="E337" i="17" s="1"/>
  <c r="O335" i="17"/>
  <c r="E335" i="17" s="1"/>
  <c r="O227" i="17"/>
  <c r="E227" i="17" s="1"/>
  <c r="O333" i="17"/>
  <c r="O283" i="17"/>
  <c r="E283" i="17" s="1"/>
  <c r="O205" i="17"/>
  <c r="E205" i="17" s="1"/>
  <c r="AI381" i="1"/>
  <c r="AJ107" i="20"/>
  <c r="AJ162" i="20"/>
  <c r="AJ176" i="20"/>
  <c r="AJ228" i="20"/>
  <c r="AJ226" i="20"/>
  <c r="AJ286" i="20"/>
  <c r="AJ350" i="20"/>
  <c r="AJ316" i="20"/>
  <c r="AJ241" i="20"/>
  <c r="AJ236" i="20"/>
  <c r="AJ304" i="20"/>
  <c r="AJ367" i="20"/>
  <c r="AJ299" i="20"/>
  <c r="AJ363" i="20"/>
  <c r="AJ52" i="20"/>
  <c r="AJ77" i="20"/>
  <c r="AJ88" i="20"/>
  <c r="AJ115" i="20"/>
  <c r="AJ125" i="20"/>
  <c r="AJ185" i="20"/>
  <c r="AJ51" i="20"/>
  <c r="AJ74" i="20"/>
  <c r="AJ116" i="20"/>
  <c r="AJ142" i="20"/>
  <c r="AJ156" i="20"/>
  <c r="AJ184" i="20"/>
  <c r="AJ240" i="20"/>
  <c r="AJ235" i="20"/>
  <c r="AJ301" i="20"/>
  <c r="AJ366" i="20"/>
  <c r="AJ298" i="20"/>
  <c r="AJ362" i="20"/>
  <c r="AJ183" i="20"/>
  <c r="AJ246" i="20"/>
  <c r="AJ318" i="20"/>
  <c r="AJ375" i="20"/>
  <c r="AJ312" i="20"/>
  <c r="AJ378" i="20"/>
  <c r="AJ56" i="20"/>
  <c r="AJ133" i="20"/>
  <c r="AJ194" i="20"/>
  <c r="AJ34" i="20"/>
  <c r="AJ97" i="20"/>
  <c r="AJ123" i="20"/>
  <c r="AJ193" i="20"/>
  <c r="AJ258" i="20"/>
  <c r="AJ314" i="20"/>
  <c r="AJ311" i="20"/>
  <c r="AJ231" i="20"/>
  <c r="AJ358" i="20"/>
  <c r="AJ357" i="20"/>
  <c r="AJ67" i="20"/>
  <c r="AJ137" i="20"/>
  <c r="AJ200" i="20"/>
  <c r="AJ25" i="20"/>
  <c r="AJ121" i="20"/>
  <c r="AJ189" i="20"/>
  <c r="AJ371" i="20"/>
  <c r="AJ373" i="20"/>
  <c r="AJ287" i="20"/>
  <c r="AJ290" i="20"/>
  <c r="AJ18" i="20"/>
  <c r="AJ188" i="20"/>
  <c r="AJ106" i="20"/>
  <c r="AJ233" i="20"/>
  <c r="AJ359" i="20"/>
  <c r="AJ280" i="20"/>
  <c r="AJ95" i="20"/>
  <c r="AJ21" i="20"/>
  <c r="AJ168" i="20"/>
  <c r="AJ292" i="20"/>
  <c r="AJ216" i="20"/>
  <c r="AJ336" i="20"/>
  <c r="AJ153" i="20"/>
  <c r="AJ244" i="20"/>
  <c r="AJ376" i="20"/>
  <c r="AJ64" i="20"/>
  <c r="AJ265" i="20"/>
  <c r="AJ146" i="20"/>
  <c r="AJ310" i="20"/>
  <c r="AJ199" i="20"/>
  <c r="AJ256" i="20"/>
  <c r="AJ369" i="20"/>
  <c r="AJ80" i="20"/>
  <c r="AJ380" i="20"/>
  <c r="AJ24" i="20"/>
  <c r="AJ37" i="20"/>
  <c r="AJ40" i="20"/>
  <c r="AJ69" i="20"/>
  <c r="AJ99" i="20"/>
  <c r="AJ94" i="20"/>
  <c r="AJ124" i="20"/>
  <c r="AJ155" i="20"/>
  <c r="AJ136" i="20"/>
  <c r="AJ167" i="20"/>
  <c r="AJ175" i="20"/>
  <c r="AJ218" i="20"/>
  <c r="AJ27" i="20"/>
  <c r="AJ55" i="20"/>
  <c r="AJ70" i="20"/>
  <c r="AJ78" i="20"/>
  <c r="AJ89" i="20"/>
  <c r="AJ119" i="20"/>
  <c r="AJ118" i="20"/>
  <c r="AJ145" i="20"/>
  <c r="AJ126" i="20"/>
  <c r="AJ158" i="20"/>
  <c r="AJ186" i="20"/>
  <c r="AJ207" i="20"/>
  <c r="AJ247" i="20"/>
  <c r="AJ213" i="20"/>
  <c r="AJ237" i="20"/>
  <c r="AJ267" i="20"/>
  <c r="AJ307" i="20"/>
  <c r="AJ339" i="20"/>
  <c r="AJ368" i="20"/>
  <c r="AJ275" i="20"/>
  <c r="AJ302" i="20"/>
  <c r="AJ333" i="20"/>
  <c r="AJ364" i="20"/>
  <c r="AJ195" i="20"/>
  <c r="AJ225" i="20"/>
  <c r="AJ250" i="20"/>
  <c r="AJ284" i="20"/>
  <c r="AJ320" i="20"/>
  <c r="AJ349" i="20"/>
  <c r="AJ260" i="20"/>
  <c r="AJ288" i="20"/>
  <c r="AJ315" i="20"/>
  <c r="AJ351" i="20"/>
  <c r="AJ16" i="20"/>
  <c r="AJ35" i="20"/>
  <c r="AJ45" i="20"/>
  <c r="AJ47" i="20"/>
  <c r="AJ75" i="20"/>
  <c r="AJ102" i="20"/>
  <c r="AJ98" i="20"/>
  <c r="AJ130" i="20"/>
  <c r="AJ161" i="20"/>
  <c r="AJ141" i="20"/>
  <c r="AJ171" i="20"/>
  <c r="AJ190" i="20"/>
  <c r="AJ223" i="20"/>
  <c r="AJ33" i="20"/>
  <c r="AJ39" i="20"/>
  <c r="AJ43" i="20"/>
  <c r="AJ73" i="20"/>
  <c r="AJ101" i="20"/>
  <c r="AJ96" i="20"/>
  <c r="AJ127" i="20"/>
  <c r="AJ160" i="20"/>
  <c r="AJ138" i="20"/>
  <c r="AJ169" i="20"/>
  <c r="AJ179" i="20"/>
  <c r="AJ219" i="20"/>
  <c r="AJ187" i="20"/>
  <c r="AJ224" i="20"/>
  <c r="AJ249" i="20"/>
  <c r="AJ283" i="20"/>
  <c r="AJ319" i="20"/>
  <c r="AJ348" i="20"/>
  <c r="AJ379" i="20"/>
  <c r="AJ285" i="20"/>
  <c r="AJ313" i="20"/>
  <c r="AJ345" i="20"/>
  <c r="AJ239" i="20"/>
  <c r="AJ208" i="20"/>
  <c r="AJ234" i="20"/>
  <c r="AJ259" i="20"/>
  <c r="AJ300" i="20"/>
  <c r="AJ331" i="20"/>
  <c r="AJ365" i="20"/>
  <c r="AJ270" i="20"/>
  <c r="AJ296" i="20"/>
  <c r="AJ326" i="20"/>
  <c r="AJ361" i="20"/>
  <c r="AJ20" i="20"/>
  <c r="AJ53" i="20"/>
  <c r="AJ79" i="20"/>
  <c r="AJ103" i="20"/>
  <c r="AJ166" i="20"/>
  <c r="AJ177" i="20"/>
  <c r="AJ229" i="20"/>
  <c r="AJ29" i="20"/>
  <c r="AJ65" i="20"/>
  <c r="AJ92" i="20"/>
  <c r="AJ152" i="20"/>
  <c r="AJ165" i="20"/>
  <c r="AJ215" i="20"/>
  <c r="AJ221" i="20"/>
  <c r="AJ278" i="20"/>
  <c r="AJ346" i="20"/>
  <c r="AJ281" i="20"/>
  <c r="AJ341" i="20"/>
  <c r="AJ204" i="20"/>
  <c r="AJ254" i="20"/>
  <c r="AJ328" i="20"/>
  <c r="AJ266" i="20"/>
  <c r="AJ323" i="20"/>
  <c r="AJ17" i="20"/>
  <c r="AJ61" i="20"/>
  <c r="AJ82" i="20"/>
  <c r="AJ105" i="20"/>
  <c r="AJ170" i="20"/>
  <c r="AJ180" i="20"/>
  <c r="F7" i="20"/>
  <c r="AJ59" i="20"/>
  <c r="AJ44" i="20"/>
  <c r="AJ87" i="20"/>
  <c r="AJ149" i="20"/>
  <c r="AJ163" i="20"/>
  <c r="AJ210" i="20"/>
  <c r="AJ217" i="20"/>
  <c r="AJ271" i="20"/>
  <c r="AJ342" i="20"/>
  <c r="AJ277" i="20"/>
  <c r="AJ337" i="20"/>
  <c r="AJ197" i="20"/>
  <c r="AJ252" i="20"/>
  <c r="AJ325" i="20"/>
  <c r="AJ264" i="20"/>
  <c r="AJ317" i="20"/>
  <c r="AJ28" i="20"/>
  <c r="AJ90" i="20"/>
  <c r="AJ128" i="20"/>
  <c r="AJ19" i="20"/>
  <c r="AJ83" i="20"/>
  <c r="AJ172" i="20"/>
  <c r="AJ238" i="20"/>
  <c r="AJ297" i="20"/>
  <c r="AJ294" i="20"/>
  <c r="AJ220" i="20"/>
  <c r="AJ344" i="20"/>
  <c r="AJ338" i="20"/>
  <c r="AJ32" i="20"/>
  <c r="AJ122" i="20"/>
  <c r="AJ192" i="20"/>
  <c r="AJ57" i="20"/>
  <c r="AJ104" i="20"/>
  <c r="AJ178" i="20"/>
  <c r="AJ230" i="20"/>
  <c r="AJ353" i="20"/>
  <c r="AJ356" i="20"/>
  <c r="AJ268" i="20"/>
  <c r="AJ276" i="20"/>
  <c r="AJ58" i="20"/>
  <c r="AJ159" i="20"/>
  <c r="AJ113" i="20"/>
  <c r="AJ205" i="20"/>
  <c r="AJ324" i="20"/>
  <c r="AJ372" i="20"/>
  <c r="AJ46" i="20"/>
  <c r="AJ214" i="20"/>
  <c r="AJ135" i="20"/>
  <c r="AJ253" i="20"/>
  <c r="AJ248" i="20"/>
  <c r="AJ303" i="20"/>
  <c r="AJ71" i="20"/>
  <c r="AJ269" i="20"/>
  <c r="AJ60" i="20"/>
  <c r="AJ110" i="20"/>
  <c r="AJ322" i="20"/>
  <c r="AJ209" i="20"/>
  <c r="AJ306" i="20"/>
  <c r="AJ327" i="20"/>
  <c r="AJ139" i="20"/>
  <c r="AJ91" i="20"/>
  <c r="AJ242" i="20"/>
  <c r="AJ22" i="20"/>
  <c r="AJ50" i="20"/>
  <c r="AJ63" i="20"/>
  <c r="AJ72" i="20"/>
  <c r="AJ84" i="20"/>
  <c r="AJ114" i="20"/>
  <c r="AJ108" i="20"/>
  <c r="AJ140" i="20"/>
  <c r="AJ173" i="20"/>
  <c r="AJ154" i="20"/>
  <c r="AJ182" i="20"/>
  <c r="AJ202" i="20"/>
  <c r="AJ15" i="20"/>
  <c r="AJ36" i="20"/>
  <c r="AJ49" i="20"/>
  <c r="AJ54" i="20"/>
  <c r="AJ76" i="20"/>
  <c r="AJ100" i="20"/>
  <c r="AJ132" i="20"/>
  <c r="AJ143" i="20"/>
  <c r="AJ191" i="20"/>
  <c r="AJ196" i="20"/>
  <c r="AJ251" i="20"/>
  <c r="AJ321" i="20"/>
  <c r="AJ262" i="20"/>
  <c r="AJ289" i="20"/>
  <c r="AJ354" i="20"/>
  <c r="AJ212" i="20"/>
  <c r="AJ263" i="20"/>
  <c r="AJ335" i="20"/>
  <c r="AJ273" i="20"/>
  <c r="AJ332" i="20"/>
  <c r="AJ26" i="20"/>
  <c r="AJ68" i="20"/>
  <c r="AJ117" i="20"/>
  <c r="AJ144" i="20"/>
  <c r="AJ157" i="20"/>
  <c r="AJ206" i="20"/>
  <c r="AJ23" i="20"/>
  <c r="AJ66" i="20"/>
  <c r="AJ85" i="20"/>
  <c r="AJ112" i="20"/>
  <c r="AJ174" i="20"/>
  <c r="AJ203" i="20"/>
  <c r="AJ211" i="20"/>
  <c r="AJ261" i="20"/>
  <c r="AJ334" i="20"/>
  <c r="AJ272" i="20"/>
  <c r="AJ330" i="20"/>
  <c r="AJ222" i="20"/>
  <c r="AJ279" i="20"/>
  <c r="AJ347" i="20"/>
  <c r="AJ282" i="20"/>
  <c r="AJ343" i="20"/>
  <c r="AJ38" i="20"/>
  <c r="AJ109" i="20"/>
  <c r="AJ147" i="20"/>
  <c r="AF13" i="7"/>
  <c r="AJ134" i="20"/>
  <c r="AJ245" i="20"/>
  <c r="AJ374" i="20"/>
  <c r="AJ377" i="20"/>
  <c r="AJ295" i="20"/>
  <c r="AJ293" i="20"/>
  <c r="AJ42" i="20"/>
  <c r="AJ111" i="20"/>
  <c r="AJ150" i="20"/>
  <c r="AJ30" i="20"/>
  <c r="AJ93" i="20"/>
  <c r="AJ129" i="20"/>
  <c r="AJ255" i="20"/>
  <c r="AJ243" i="20"/>
  <c r="AJ309" i="20"/>
  <c r="AJ305" i="20"/>
  <c r="AJ227" i="20"/>
  <c r="AJ352" i="20"/>
  <c r="AJ355" i="20"/>
  <c r="AJ120" i="20"/>
  <c r="AJ62" i="20"/>
  <c r="AJ181" i="20"/>
  <c r="AJ360" i="20"/>
  <c r="AJ274" i="20"/>
  <c r="AJ31" i="20"/>
  <c r="AJ131" i="20"/>
  <c r="AJ81" i="20"/>
  <c r="AJ232" i="20"/>
  <c r="AJ291" i="20"/>
  <c r="AJ340" i="20"/>
  <c r="AJ86" i="20"/>
  <c r="AJ48" i="20"/>
  <c r="AJ329" i="20"/>
  <c r="AJ151" i="20"/>
  <c r="AJ198" i="20"/>
  <c r="AJ308" i="20"/>
  <c r="AJ201" i="20"/>
  <c r="AJ164" i="20"/>
  <c r="AJ370" i="20"/>
  <c r="AJ41" i="20"/>
  <c r="AJ257" i="20"/>
  <c r="AJ148" i="20"/>
  <c r="AC12" i="18"/>
  <c r="O11" i="18"/>
  <c r="O12" i="18"/>
  <c r="AC9" i="18"/>
  <c r="O9" i="22"/>
  <c r="P11" i="20"/>
  <c r="AF15" i="7"/>
  <c r="K13" i="7"/>
  <c r="AK380" i="18"/>
  <c r="AJ3" i="15"/>
  <c r="O12" i="19" s="1"/>
  <c r="AC32" i="15"/>
  <c r="AC85" i="15"/>
  <c r="AC113" i="15"/>
  <c r="AC110" i="15"/>
  <c r="AC139" i="15"/>
  <c r="AC166" i="15"/>
  <c r="AC146" i="15"/>
  <c r="AC182" i="15"/>
  <c r="AC203" i="15"/>
  <c r="AC105" i="15"/>
  <c r="AC129" i="15"/>
  <c r="AC133" i="15"/>
  <c r="AC193" i="15"/>
  <c r="AC228" i="15"/>
  <c r="AC253" i="15"/>
  <c r="AC205" i="15"/>
  <c r="AC254" i="15"/>
  <c r="AC289" i="15"/>
  <c r="AC315" i="15"/>
  <c r="AC340" i="15"/>
  <c r="AC367" i="15"/>
  <c r="AC288" i="15"/>
  <c r="AC326" i="15"/>
  <c r="AC370" i="15"/>
  <c r="AC31" i="15"/>
  <c r="AC43" i="15"/>
  <c r="AC74" i="15"/>
  <c r="AC100" i="15"/>
  <c r="AC136" i="15"/>
  <c r="AC79" i="15"/>
  <c r="AC98" i="15"/>
  <c r="AC92" i="15"/>
  <c r="AC123" i="15"/>
  <c r="AC152" i="15"/>
  <c r="AC179" i="15"/>
  <c r="AC162" i="15"/>
  <c r="AC184" i="15"/>
  <c r="AC64" i="15"/>
  <c r="AC97" i="15"/>
  <c r="AC156" i="15"/>
  <c r="AC172" i="15"/>
  <c r="AC219" i="15"/>
  <c r="AC241" i="15"/>
  <c r="AC265" i="15"/>
  <c r="AC234" i="15"/>
  <c r="AC277" i="15"/>
  <c r="AC303" i="15"/>
  <c r="AC330" i="15"/>
  <c r="AC355" i="15"/>
  <c r="AC272" i="15"/>
  <c r="AC309" i="15"/>
  <c r="AC350" i="15"/>
  <c r="AC20" i="15"/>
  <c r="AC18" i="15"/>
  <c r="AC56" i="15"/>
  <c r="AC107" i="15"/>
  <c r="AC132" i="15"/>
  <c r="AC196" i="15"/>
  <c r="AC255" i="15"/>
  <c r="AC260" i="15"/>
  <c r="AC317" i="15"/>
  <c r="AC369" i="15"/>
  <c r="AC329" i="15"/>
  <c r="AC42" i="15"/>
  <c r="AC141" i="15"/>
  <c r="AC208" i="15"/>
  <c r="AC257" i="15"/>
  <c r="AC263" i="15"/>
  <c r="AC320" i="15"/>
  <c r="AC372" i="15"/>
  <c r="AC337" i="15"/>
  <c r="AC54" i="15"/>
  <c r="AC76" i="15"/>
  <c r="AC77" i="15"/>
  <c r="AC47" i="15"/>
  <c r="AC95" i="15"/>
  <c r="AC127" i="15"/>
  <c r="AC121" i="15"/>
  <c r="AC148" i="15"/>
  <c r="AC177" i="15"/>
  <c r="AC158" i="15"/>
  <c r="AC194" i="15"/>
  <c r="AC214" i="15"/>
  <c r="AC109" i="15"/>
  <c r="AC138" i="15"/>
  <c r="AC140" i="15"/>
  <c r="AC202" i="15"/>
  <c r="AC230" i="15"/>
  <c r="AC256" i="15"/>
  <c r="AC207" i="15"/>
  <c r="AC262" i="15"/>
  <c r="AC292" i="15"/>
  <c r="AC318" i="15"/>
  <c r="AC344" i="15"/>
  <c r="AC371" i="15"/>
  <c r="AC294" i="15"/>
  <c r="AC333" i="15"/>
  <c r="AC376" i="15"/>
  <c r="AC46" i="15"/>
  <c r="AC52" i="15"/>
  <c r="AC83" i="15"/>
  <c r="AC93" i="15"/>
  <c r="AC176" i="15"/>
  <c r="AC225" i="15"/>
  <c r="AC200" i="15"/>
  <c r="AC285" i="15"/>
  <c r="AC336" i="15"/>
  <c r="AC206" i="15"/>
  <c r="AC342" i="15"/>
  <c r="AC374" i="15"/>
  <c r="AC147" i="15"/>
  <c r="AC211" i="15"/>
  <c r="AC345" i="15"/>
  <c r="AC378" i="15"/>
  <c r="AC40" i="15"/>
  <c r="AC80" i="15"/>
  <c r="AC101" i="15"/>
  <c r="AC164" i="15"/>
  <c r="AC175" i="15"/>
  <c r="AC84" i="15"/>
  <c r="AC165" i="15"/>
  <c r="AC221" i="15"/>
  <c r="AC188" i="15"/>
  <c r="AC280" i="15"/>
  <c r="AC332" i="15"/>
  <c r="AC274" i="15"/>
  <c r="AC354" i="15"/>
  <c r="AC16" i="15"/>
  <c r="AC102" i="15"/>
  <c r="AC192" i="15"/>
  <c r="AC248" i="15"/>
  <c r="AC361" i="15"/>
  <c r="AC322" i="15"/>
  <c r="AC28" i="15"/>
  <c r="AC51" i="15"/>
  <c r="AC187" i="15"/>
  <c r="AC252" i="15"/>
  <c r="AC251" i="15"/>
  <c r="AC314" i="15"/>
  <c r="AC364" i="15"/>
  <c r="AC325" i="15"/>
  <c r="AC29" i="15"/>
  <c r="AC35" i="15"/>
  <c r="AC86" i="15"/>
  <c r="AC78" i="15"/>
  <c r="AC106" i="15"/>
  <c r="AC130" i="15"/>
  <c r="AC134" i="15"/>
  <c r="AC195" i="15"/>
  <c r="AC114" i="15"/>
  <c r="AC186" i="15"/>
  <c r="AC246" i="15"/>
  <c r="AC242" i="15"/>
  <c r="AC308" i="15"/>
  <c r="AC360" i="15"/>
  <c r="AC319" i="15"/>
  <c r="AC27" i="15"/>
  <c r="AC69" i="15"/>
  <c r="AC161" i="15"/>
  <c r="AC268" i="15"/>
  <c r="AC331" i="15"/>
  <c r="AC351" i="15"/>
  <c r="AC167" i="15"/>
  <c r="AC189" i="15"/>
  <c r="AC334" i="15"/>
  <c r="AC357" i="15"/>
  <c r="AC34" i="15"/>
  <c r="AC53" i="15"/>
  <c r="AC94" i="15"/>
  <c r="AC155" i="15"/>
  <c r="AC168" i="15"/>
  <c r="AC68" i="15"/>
  <c r="AC149" i="15"/>
  <c r="AC216" i="15"/>
  <c r="AC261" i="15"/>
  <c r="AC270" i="15"/>
  <c r="AC327" i="15"/>
  <c r="AC377" i="15"/>
  <c r="AC347" i="15"/>
  <c r="AC55" i="15"/>
  <c r="AC87" i="15"/>
  <c r="AC157" i="15"/>
  <c r="AC217" i="15"/>
  <c r="AC348" i="15"/>
  <c r="AC22" i="15"/>
  <c r="AC163" i="15"/>
  <c r="AC232" i="15"/>
  <c r="AC353" i="15"/>
  <c r="AC17" i="15"/>
  <c r="AC75" i="15"/>
  <c r="AC33" i="15"/>
  <c r="AC144" i="15"/>
  <c r="AC212" i="15"/>
  <c r="AC210" i="15"/>
  <c r="AC266" i="15"/>
  <c r="AC373" i="15"/>
  <c r="AC57" i="15"/>
  <c r="AC174" i="15"/>
  <c r="AC356" i="15"/>
  <c r="AC183" i="15"/>
  <c r="AC359" i="15"/>
  <c r="AC70" i="15"/>
  <c r="AC112" i="15"/>
  <c r="AC185" i="15"/>
  <c r="AC178" i="15"/>
  <c r="AC201" i="15"/>
  <c r="AC338" i="15"/>
  <c r="AC366" i="15"/>
  <c r="AC115" i="15"/>
  <c r="AC267" i="15"/>
  <c r="AC65" i="15"/>
  <c r="AC271" i="15"/>
  <c r="AC23" i="15"/>
  <c r="AC117" i="15"/>
  <c r="AC151" i="15"/>
  <c r="AC346" i="15"/>
  <c r="AC119" i="15"/>
  <c r="AC48" i="15"/>
  <c r="AC50" i="15"/>
  <c r="AC150" i="15"/>
  <c r="AC249" i="15"/>
  <c r="AC324" i="15"/>
  <c r="AC259" i="15"/>
  <c r="AC264" i="15"/>
  <c r="AC229" i="15"/>
  <c r="AC290" i="15"/>
  <c r="AC291" i="15"/>
  <c r="AC45" i="15"/>
  <c r="AC231" i="15"/>
  <c r="AC293" i="15"/>
  <c r="AC295" i="15"/>
  <c r="AC62" i="15"/>
  <c r="AC63" i="15"/>
  <c r="AC108" i="15"/>
  <c r="AC135" i="15"/>
  <c r="AC137" i="15"/>
  <c r="AC198" i="15"/>
  <c r="AC103" i="15"/>
  <c r="AC180" i="15"/>
  <c r="AC244" i="15"/>
  <c r="AC236" i="15"/>
  <c r="AC306" i="15"/>
  <c r="AC358" i="15"/>
  <c r="AC311" i="15"/>
  <c r="AC24" i="15"/>
  <c r="AC44" i="15"/>
  <c r="AC124" i="15"/>
  <c r="AC247" i="15"/>
  <c r="AC312" i="15"/>
  <c r="AC278" i="15"/>
  <c r="AC365" i="15"/>
  <c r="AC36" i="15"/>
  <c r="AC181" i="15"/>
  <c r="AC227" i="15"/>
  <c r="AC204" i="15"/>
  <c r="AC287" i="15"/>
  <c r="AC339" i="15"/>
  <c r="AC284" i="15"/>
  <c r="AC368" i="15"/>
  <c r="AC39" i="15"/>
  <c r="AC66" i="15"/>
  <c r="AC73" i="15"/>
  <c r="AC72" i="15"/>
  <c r="AC99" i="15"/>
  <c r="AC160" i="15"/>
  <c r="AC173" i="15"/>
  <c r="AC89" i="15"/>
  <c r="AC170" i="15"/>
  <c r="AC224" i="15"/>
  <c r="AC197" i="15"/>
  <c r="AC283" i="15"/>
  <c r="AC335" i="15"/>
  <c r="AC276" i="15"/>
  <c r="AC363" i="15"/>
  <c r="AC30" i="15"/>
  <c r="AC126" i="15"/>
  <c r="AC220" i="15"/>
  <c r="AC279" i="15"/>
  <c r="AC273" i="15"/>
  <c r="AC15" i="15"/>
  <c r="AC223" i="15"/>
  <c r="AC282" i="15"/>
  <c r="AC275" i="15"/>
  <c r="AC19" i="15"/>
  <c r="AC82" i="15"/>
  <c r="AC104" i="15"/>
  <c r="AC125" i="15"/>
  <c r="AC131" i="15"/>
  <c r="AC190" i="15"/>
  <c r="AC128" i="15"/>
  <c r="AC159" i="15"/>
  <c r="AC239" i="15"/>
  <c r="AC222" i="15"/>
  <c r="AC299" i="15"/>
  <c r="AC352" i="15"/>
  <c r="AC301" i="15"/>
  <c r="AC21" i="15"/>
  <c r="AC61" i="15"/>
  <c r="AC111" i="15"/>
  <c r="AC238" i="15"/>
  <c r="AC298" i="15"/>
  <c r="AC300" i="15"/>
  <c r="AC71" i="15"/>
  <c r="AC240" i="15"/>
  <c r="AC302" i="15"/>
  <c r="AC305" i="15"/>
  <c r="AC59" i="15"/>
  <c r="AC81" i="15"/>
  <c r="AC120" i="15"/>
  <c r="AC154" i="15"/>
  <c r="AC143" i="15"/>
  <c r="AC258" i="15"/>
  <c r="AC321" i="15"/>
  <c r="AC341" i="15"/>
  <c r="AC91" i="15"/>
  <c r="AC235" i="15"/>
  <c r="AC25" i="15"/>
  <c r="AC237" i="15"/>
  <c r="AC26" i="15"/>
  <c r="AC88" i="15"/>
  <c r="AC169" i="15"/>
  <c r="AC96" i="15"/>
  <c r="AC226" i="15"/>
  <c r="AC286" i="15"/>
  <c r="AC281" i="15"/>
  <c r="AC38" i="15"/>
  <c r="AC213" i="15"/>
  <c r="AC375" i="15"/>
  <c r="AC218" i="15"/>
  <c r="AC269" i="15"/>
  <c r="AC37" i="15"/>
  <c r="AC191" i="15"/>
  <c r="AC215" i="15"/>
  <c r="AC379" i="15"/>
  <c r="AC304" i="15"/>
  <c r="AC307" i="15"/>
  <c r="AC116" i="15"/>
  <c r="AC122" i="15"/>
  <c r="AC313" i="15"/>
  <c r="AC49" i="15"/>
  <c r="AC343" i="15"/>
  <c r="AC349" i="15"/>
  <c r="AC171" i="15"/>
  <c r="AC296" i="15"/>
  <c r="AC245" i="15"/>
  <c r="AC209" i="15"/>
  <c r="AC41" i="15"/>
  <c r="AC328" i="15"/>
  <c r="AC297" i="15"/>
  <c r="AC142" i="15"/>
  <c r="AC153" i="15"/>
  <c r="AC118" i="15"/>
  <c r="AC316" i="15"/>
  <c r="AC145" i="15"/>
  <c r="AC233" i="15"/>
  <c r="AC243" i="15"/>
  <c r="AC60" i="15"/>
  <c r="AC250" i="15"/>
  <c r="AC323" i="15"/>
  <c r="AC90" i="15"/>
  <c r="AC310" i="15"/>
  <c r="AC362" i="15"/>
  <c r="AC67" i="15"/>
  <c r="AC199" i="15"/>
  <c r="AC58" i="15"/>
  <c r="J13" i="7"/>
  <c r="AT21" i="6"/>
  <c r="AT20" i="6"/>
  <c r="AY346" i="6"/>
  <c r="AY371" i="6"/>
  <c r="AY350" i="6"/>
  <c r="AY353" i="6"/>
  <c r="J331" i="6"/>
  <c r="AT66" i="6"/>
  <c r="AT70" i="6"/>
  <c r="AT73" i="6"/>
  <c r="AT58" i="6"/>
  <c r="AY331" i="6"/>
  <c r="AY319" i="6"/>
  <c r="AY327" i="6"/>
  <c r="AY320" i="6"/>
  <c r="AY340" i="6"/>
  <c r="AY317" i="6"/>
  <c r="J261" i="6"/>
  <c r="J263" i="6"/>
  <c r="J269" i="6"/>
  <c r="AY329" i="6"/>
  <c r="AY339" i="6"/>
  <c r="AY338" i="6"/>
  <c r="AY334" i="6"/>
  <c r="AY328" i="6"/>
  <c r="AZ328" i="6" s="1"/>
  <c r="AY335" i="6"/>
  <c r="AY333" i="6"/>
  <c r="J343" i="6"/>
  <c r="J336" i="6"/>
  <c r="AT189" i="6"/>
  <c r="AT178" i="6"/>
  <c r="AT179" i="6"/>
  <c r="AT164" i="6"/>
  <c r="AT181" i="6"/>
  <c r="AT185" i="6"/>
  <c r="AT175" i="6"/>
  <c r="J62" i="6"/>
  <c r="J43" i="6"/>
  <c r="J42" i="6"/>
  <c r="J53" i="6"/>
  <c r="J50" i="6"/>
  <c r="J41" i="6"/>
  <c r="J37" i="6"/>
  <c r="AT130" i="6"/>
  <c r="AY315" i="6"/>
  <c r="AY310" i="6"/>
  <c r="AY290" i="6"/>
  <c r="AY305" i="6"/>
  <c r="AY311" i="6"/>
  <c r="AY303" i="6"/>
  <c r="AY297" i="6"/>
  <c r="AY341" i="6"/>
  <c r="AY288" i="6"/>
  <c r="AZ288" i="6" s="1"/>
  <c r="AG380" i="6" s="1"/>
  <c r="AG381" i="6" s="1"/>
  <c r="AY289" i="6"/>
  <c r="AY302" i="6"/>
  <c r="AY295" i="6"/>
  <c r="AY314" i="6"/>
  <c r="AY293" i="6"/>
  <c r="J270" i="6"/>
  <c r="J262" i="6"/>
  <c r="J264" i="6"/>
  <c r="AT76" i="6"/>
  <c r="AT51" i="6"/>
  <c r="AT71" i="6"/>
  <c r="AT56" i="6"/>
  <c r="AT65" i="6"/>
  <c r="AT74" i="6"/>
  <c r="AT75" i="6"/>
  <c r="AY362" i="6"/>
  <c r="AY364" i="6"/>
  <c r="AY354" i="6"/>
  <c r="J260" i="6"/>
  <c r="J272" i="6"/>
  <c r="J267" i="6"/>
  <c r="AY360" i="6"/>
  <c r="AY368" i="6"/>
  <c r="AY369" i="6"/>
  <c r="AY358" i="6"/>
  <c r="AA40" i="6"/>
  <c r="J333" i="6"/>
  <c r="J330" i="6"/>
  <c r="J340" i="6"/>
  <c r="AT199" i="6"/>
  <c r="AT207" i="6"/>
  <c r="AT205" i="6"/>
  <c r="AT206" i="6"/>
  <c r="AT202" i="6"/>
  <c r="AT214" i="6"/>
  <c r="AT203" i="6"/>
  <c r="AT204" i="6"/>
  <c r="AT212" i="6"/>
  <c r="AT200" i="6"/>
  <c r="AT194" i="6"/>
  <c r="AT208" i="6"/>
  <c r="AT191" i="6"/>
  <c r="J100" i="6"/>
  <c r="J104" i="6"/>
  <c r="J83" i="6"/>
  <c r="J86" i="6"/>
  <c r="J79" i="6"/>
  <c r="J101" i="6"/>
  <c r="J98" i="6"/>
  <c r="J94" i="6"/>
  <c r="J90" i="6"/>
  <c r="J88" i="6"/>
  <c r="J78" i="6"/>
  <c r="J87" i="6"/>
  <c r="J97" i="6"/>
  <c r="V40" i="6"/>
  <c r="AT218" i="6" s="1"/>
  <c r="V55" i="6"/>
  <c r="AY263" i="6" s="1"/>
  <c r="U55" i="6"/>
  <c r="M25" i="6"/>
  <c r="J378" i="6"/>
  <c r="J377" i="6"/>
  <c r="J375" i="6"/>
  <c r="J379" i="6"/>
  <c r="J344" i="6"/>
  <c r="J356" i="6"/>
  <c r="J350" i="6"/>
  <c r="J354" i="6"/>
  <c r="J348" i="6"/>
  <c r="J349" i="6"/>
  <c r="J351" i="6"/>
  <c r="J346" i="6"/>
  <c r="J345" i="6"/>
  <c r="J355" i="6"/>
  <c r="J352" i="6"/>
  <c r="J353" i="6"/>
  <c r="J347" i="6"/>
  <c r="J357" i="6"/>
  <c r="AT34" i="6"/>
  <c r="AT46" i="6"/>
  <c r="AT39" i="6"/>
  <c r="AT47" i="6"/>
  <c r="AT27" i="6"/>
  <c r="AT26" i="6"/>
  <c r="AT28" i="6"/>
  <c r="AT33" i="6"/>
  <c r="AT35" i="6"/>
  <c r="AT25" i="6"/>
  <c r="AT36" i="6"/>
  <c r="AT42" i="6"/>
  <c r="AT38" i="6"/>
  <c r="AT23" i="6"/>
  <c r="Z40" i="6"/>
  <c r="AT330" i="6" s="1"/>
  <c r="O55" i="6"/>
  <c r="AY49" i="6" s="1"/>
  <c r="AT150" i="6"/>
  <c r="AT67" i="6"/>
  <c r="AT50" i="6"/>
  <c r="AT59" i="6"/>
  <c r="AT55" i="6"/>
  <c r="AT72" i="6"/>
  <c r="AT69" i="6"/>
  <c r="AT64" i="6"/>
  <c r="AT52" i="6"/>
  <c r="AT61" i="6"/>
  <c r="AT63" i="6"/>
  <c r="AT53" i="6"/>
  <c r="AT68" i="6"/>
  <c r="AT62" i="6"/>
  <c r="AT57" i="6"/>
  <c r="AY352" i="6"/>
  <c r="AY365" i="6"/>
  <c r="AY361" i="6"/>
  <c r="AY344" i="6"/>
  <c r="AY363" i="6"/>
  <c r="AY347" i="6"/>
  <c r="AY359" i="6"/>
  <c r="AY356" i="6"/>
  <c r="AY348" i="6"/>
  <c r="AY357" i="6"/>
  <c r="AY345" i="6"/>
  <c r="AY367" i="6"/>
  <c r="AY355" i="6"/>
  <c r="AY366" i="6"/>
  <c r="M54" i="6"/>
  <c r="M53" i="6" s="1"/>
  <c r="J287" i="6"/>
  <c r="J286" i="6"/>
  <c r="J277" i="6"/>
  <c r="J275" i="6"/>
  <c r="J278" i="6"/>
  <c r="J285" i="6"/>
  <c r="J282" i="6"/>
  <c r="J283" i="6"/>
  <c r="J280" i="6"/>
  <c r="J274" i="6"/>
  <c r="J279" i="6"/>
  <c r="J372" i="6"/>
  <c r="J380" i="6"/>
  <c r="J376" i="6"/>
  <c r="J374" i="6"/>
  <c r="J342" i="6"/>
  <c r="J334" i="6"/>
  <c r="J335" i="6"/>
  <c r="J341" i="6"/>
  <c r="J338" i="6"/>
  <c r="J339" i="6"/>
  <c r="J337" i="6"/>
  <c r="J276" i="6"/>
  <c r="J284" i="6"/>
  <c r="J373" i="6"/>
  <c r="AT168" i="6"/>
  <c r="AT171" i="6"/>
  <c r="AT167" i="6"/>
  <c r="AT176" i="6"/>
  <c r="AT170" i="6"/>
  <c r="AT163" i="6"/>
  <c r="AT174" i="6"/>
  <c r="AT187" i="6"/>
  <c r="AT186" i="6"/>
  <c r="AT173" i="6"/>
  <c r="AT184" i="6"/>
  <c r="AT162" i="6"/>
  <c r="AT177" i="6"/>
  <c r="AT45" i="6"/>
  <c r="AT22" i="6"/>
  <c r="AT41" i="6"/>
  <c r="AT32" i="6"/>
  <c r="AT24" i="6"/>
  <c r="AT40" i="6"/>
  <c r="AT30" i="6"/>
  <c r="AT37" i="6"/>
  <c r="AT44" i="6"/>
  <c r="AT49" i="6"/>
  <c r="AT29" i="6"/>
  <c r="AT31" i="6"/>
  <c r="AT43" i="6"/>
  <c r="AA55" i="6"/>
  <c r="AY378" i="6" s="1"/>
  <c r="S55" i="6"/>
  <c r="AY166" i="6" s="1"/>
  <c r="AZ166" i="6" s="1"/>
  <c r="J58" i="6"/>
  <c r="J63" i="6"/>
  <c r="J48" i="6"/>
  <c r="J45" i="6"/>
  <c r="J40" i="6"/>
  <c r="J47" i="6"/>
  <c r="J51" i="6"/>
  <c r="J54" i="6"/>
  <c r="J52" i="6"/>
  <c r="J60" i="6"/>
  <c r="J59" i="6"/>
  <c r="J38" i="6"/>
  <c r="J39" i="6"/>
  <c r="AT256" i="6"/>
  <c r="AT280" i="6"/>
  <c r="AT297" i="6"/>
  <c r="AT301" i="6"/>
  <c r="AZ301" i="6" s="1"/>
  <c r="AT290" i="6"/>
  <c r="AT276" i="6"/>
  <c r="AT293" i="6"/>
  <c r="AT279" i="6"/>
  <c r="AT278" i="6"/>
  <c r="AT286" i="6"/>
  <c r="AT289" i="6"/>
  <c r="AT274" i="6"/>
  <c r="AT287" i="6"/>
  <c r="AT298" i="6"/>
  <c r="AZ298" i="6" s="1"/>
  <c r="AT291" i="6"/>
  <c r="AT137" i="6"/>
  <c r="AZ137" i="6" s="1"/>
  <c r="AT136" i="6"/>
  <c r="AZ136" i="6" s="1"/>
  <c r="AT142" i="6"/>
  <c r="AT148" i="6"/>
  <c r="AT151" i="6"/>
  <c r="AT159" i="6"/>
  <c r="AT154" i="6"/>
  <c r="AT146" i="6"/>
  <c r="AT147" i="6"/>
  <c r="AZ147" i="6" s="1"/>
  <c r="AT160" i="6"/>
  <c r="AT153" i="6"/>
  <c r="AT155" i="6"/>
  <c r="AT143" i="6"/>
  <c r="AZ143" i="6" s="1"/>
  <c r="AT145" i="6"/>
  <c r="AT313" i="6"/>
  <c r="AT315" i="6"/>
  <c r="AT320" i="6"/>
  <c r="AT321" i="6"/>
  <c r="AT309" i="6"/>
  <c r="AT306" i="6"/>
  <c r="AT304" i="6"/>
  <c r="AZ304" i="6" s="1"/>
  <c r="AT308" i="6"/>
  <c r="AT302" i="6"/>
  <c r="AT312" i="6"/>
  <c r="AZ312" i="6" s="1"/>
  <c r="AT325" i="6"/>
  <c r="AZ325" i="6" s="1"/>
  <c r="AT323" i="6"/>
  <c r="AT329" i="6"/>
  <c r="AT118" i="6"/>
  <c r="AZ118" i="6" s="1"/>
  <c r="AT114" i="6"/>
  <c r="AZ114" i="6" s="1"/>
  <c r="AT84" i="6"/>
  <c r="AT124" i="6"/>
  <c r="AT120" i="6"/>
  <c r="AZ120" i="6" s="1"/>
  <c r="U380" i="6" s="1"/>
  <c r="U381" i="6" s="1"/>
  <c r="AT95" i="6"/>
  <c r="AZ95" i="6" s="1"/>
  <c r="AT127" i="6"/>
  <c r="AZ127" i="6" s="1"/>
  <c r="AT85" i="6"/>
  <c r="AT96" i="6"/>
  <c r="AZ96" i="6" s="1"/>
  <c r="AT97" i="6"/>
  <c r="AT86" i="6"/>
  <c r="AT102" i="6"/>
  <c r="AT111" i="6"/>
  <c r="AT79" i="6"/>
  <c r="AT92" i="6"/>
  <c r="AZ92" i="6" s="1"/>
  <c r="S380" i="6" s="1"/>
  <c r="S381" i="6" s="1"/>
  <c r="AT107" i="6"/>
  <c r="AT128" i="6"/>
  <c r="AZ128" i="6" s="1"/>
  <c r="AT119" i="6"/>
  <c r="AZ119" i="6" s="1"/>
  <c r="AT133" i="6"/>
  <c r="AZ133" i="6" s="1"/>
  <c r="AT99" i="6"/>
  <c r="AT83" i="6"/>
  <c r="AT129" i="6"/>
  <c r="AZ129" i="6" s="1"/>
  <c r="AT121" i="6"/>
  <c r="AT103" i="6"/>
  <c r="AZ103" i="6" s="1"/>
  <c r="AT105" i="6"/>
  <c r="AT110" i="6"/>
  <c r="AT113" i="6"/>
  <c r="AT101" i="6"/>
  <c r="AT248" i="6"/>
  <c r="AT295" i="6"/>
  <c r="AT284" i="6"/>
  <c r="AT294" i="6"/>
  <c r="AT282" i="6"/>
  <c r="AT292" i="6"/>
  <c r="AT296" i="6"/>
  <c r="AZ296" i="6" s="1"/>
  <c r="AT277" i="6"/>
  <c r="AT283" i="6"/>
  <c r="AT299" i="6"/>
  <c r="AT300" i="6"/>
  <c r="AT281" i="6"/>
  <c r="AT285" i="6"/>
  <c r="AT275" i="6"/>
  <c r="AT134" i="6"/>
  <c r="AZ134" i="6" s="1"/>
  <c r="V380" i="6" s="1"/>
  <c r="V381" i="6" s="1"/>
  <c r="AT141" i="6"/>
  <c r="AZ141" i="6" s="1"/>
  <c r="AT135" i="6"/>
  <c r="AT152" i="6"/>
  <c r="AT161" i="6"/>
  <c r="AT156" i="6"/>
  <c r="AT158" i="6"/>
  <c r="AT144" i="6"/>
  <c r="AZ144" i="6" s="1"/>
  <c r="AT140" i="6"/>
  <c r="AT139" i="6"/>
  <c r="AT149" i="6"/>
  <c r="AT157" i="6"/>
  <c r="AT138" i="6"/>
  <c r="AZ138" i="6" s="1"/>
  <c r="AT324" i="6"/>
  <c r="AT311" i="6"/>
  <c r="AT316" i="6"/>
  <c r="AZ316" i="6" s="1"/>
  <c r="AI380" i="6" s="1"/>
  <c r="AI381" i="6" s="1"/>
  <c r="AT305" i="6"/>
  <c r="AT322" i="6"/>
  <c r="AT314" i="6"/>
  <c r="AT326" i="6"/>
  <c r="AT318" i="6"/>
  <c r="AT307" i="6"/>
  <c r="AT327" i="6"/>
  <c r="AT303" i="6"/>
  <c r="AT319" i="6"/>
  <c r="AT317" i="6"/>
  <c r="AT310" i="6"/>
  <c r="AT126" i="6"/>
  <c r="AZ126" i="6" s="1"/>
  <c r="AT123" i="6"/>
  <c r="AT100" i="6"/>
  <c r="AZ100" i="6" s="1"/>
  <c r="AT78" i="6"/>
  <c r="AT81" i="6"/>
  <c r="AT117" i="6"/>
  <c r="AT104" i="6"/>
  <c r="AT108" i="6"/>
  <c r="AT88" i="6"/>
  <c r="AT106" i="6"/>
  <c r="AZ106" i="6" s="1"/>
  <c r="T380" i="6" s="1"/>
  <c r="T381" i="6" s="1"/>
  <c r="AT80" i="6"/>
  <c r="AT91" i="6"/>
  <c r="AT94" i="6"/>
  <c r="AT90" i="6"/>
  <c r="AT98" i="6"/>
  <c r="AZ98" i="6" s="1"/>
  <c r="AT115" i="6"/>
  <c r="AZ115" i="6" s="1"/>
  <c r="AT93" i="6"/>
  <c r="AZ93" i="6" s="1"/>
  <c r="AT89" i="6"/>
  <c r="AT122" i="6"/>
  <c r="AT125" i="6"/>
  <c r="AZ125" i="6" s="1"/>
  <c r="AT116" i="6"/>
  <c r="AZ116" i="6" s="1"/>
  <c r="AT112" i="6"/>
  <c r="AT87" i="6"/>
  <c r="AT131" i="6"/>
  <c r="AZ131" i="6" s="1"/>
  <c r="AT132" i="6"/>
  <c r="AZ132" i="6" s="1"/>
  <c r="AT82" i="6"/>
  <c r="AT109" i="6"/>
  <c r="AZ109" i="6" s="1"/>
  <c r="AI383" i="1"/>
  <c r="AI382" i="1"/>
  <c r="T72" i="1"/>
  <c r="S72" i="1" s="1"/>
  <c r="R72" i="1" s="1"/>
  <c r="T135" i="1"/>
  <c r="S135" i="1" s="1"/>
  <c r="R135" i="1" s="1"/>
  <c r="AH277" i="1"/>
  <c r="AG277" i="1" s="1"/>
  <c r="AF277" i="1" s="1"/>
  <c r="T95" i="1"/>
  <c r="S95" i="1" s="1"/>
  <c r="R95" i="1" s="1"/>
  <c r="AH79" i="1"/>
  <c r="AG79" i="1" s="1"/>
  <c r="AF79" i="1" s="1"/>
  <c r="AH171" i="1"/>
  <c r="AG171" i="1" s="1"/>
  <c r="AF171" i="1" s="1"/>
  <c r="T56" i="1"/>
  <c r="S56" i="1" s="1"/>
  <c r="R56" i="1" s="1"/>
  <c r="T207" i="1"/>
  <c r="S207" i="1" s="1"/>
  <c r="R207" i="1" s="1"/>
  <c r="AH292" i="1"/>
  <c r="AH271" i="1"/>
  <c r="AG271" i="1" s="1"/>
  <c r="AF271" i="1" s="1"/>
  <c r="AH266" i="1"/>
  <c r="AH148" i="1"/>
  <c r="AG148" i="1" s="1"/>
  <c r="AF148" i="1" s="1"/>
  <c r="T40" i="1"/>
  <c r="S40" i="1" s="1"/>
  <c r="R40" i="1" s="1"/>
  <c r="AH44" i="1"/>
  <c r="T57" i="1"/>
  <c r="S57" i="1" s="1"/>
  <c r="R57" i="1" s="1"/>
  <c r="T202" i="1"/>
  <c r="S202" i="1" s="1"/>
  <c r="R202" i="1" s="1"/>
  <c r="AH149" i="1"/>
  <c r="AG149" i="1" s="1"/>
  <c r="AF149" i="1" s="1"/>
  <c r="T15" i="1"/>
  <c r="S15" i="1" s="1"/>
  <c r="AH96" i="1"/>
  <c r="AG96" i="1" s="1"/>
  <c r="AF96" i="1" s="1"/>
  <c r="AH127" i="1"/>
  <c r="AG127" i="1" s="1"/>
  <c r="AF127" i="1" s="1"/>
  <c r="T334" i="1"/>
  <c r="S334" i="1" s="1"/>
  <c r="R334" i="1" s="1"/>
  <c r="AH246" i="1"/>
  <c r="AG246" i="1" s="1"/>
  <c r="AF246" i="1" s="1"/>
  <c r="AH36" i="1"/>
  <c r="AG36" i="1" s="1"/>
  <c r="AF36" i="1" s="1"/>
  <c r="AH354" i="1"/>
  <c r="AG354" i="1" s="1"/>
  <c r="AF354" i="1" s="1"/>
  <c r="T373" i="1"/>
  <c r="S373" i="1" s="1"/>
  <c r="R373" i="1" s="1"/>
  <c r="AH242" i="1"/>
  <c r="AG242" i="1" s="1"/>
  <c r="AF242" i="1" s="1"/>
  <c r="AH262" i="1"/>
  <c r="AG262" i="1" s="1"/>
  <c r="AF262" i="1" s="1"/>
  <c r="T212" i="1"/>
  <c r="S212" i="1" s="1"/>
  <c r="R212" i="1" s="1"/>
  <c r="AH238" i="1"/>
  <c r="AG238" i="1" s="1"/>
  <c r="AF238" i="1" s="1"/>
  <c r="AH39" i="1"/>
  <c r="AG39" i="1" s="1"/>
  <c r="AF39" i="1" s="1"/>
  <c r="T293" i="1"/>
  <c r="S293" i="1" s="1"/>
  <c r="R293" i="1" s="1"/>
  <c r="AH144" i="1"/>
  <c r="AG144" i="1" s="1"/>
  <c r="AF144" i="1" s="1"/>
  <c r="AH73" i="1"/>
  <c r="AG73" i="1" s="1"/>
  <c r="AF73" i="1" s="1"/>
  <c r="AA64" i="27"/>
  <c r="AB63" i="27" s="1"/>
  <c r="AA60" i="27"/>
  <c r="AA65" i="27"/>
  <c r="AB65" i="27" s="1"/>
  <c r="AH263" i="1"/>
  <c r="AG263" i="1" s="1"/>
  <c r="AF263" i="1" s="1"/>
  <c r="T242" i="1"/>
  <c r="S242" i="1" s="1"/>
  <c r="R242" i="1" s="1"/>
  <c r="T87" i="1"/>
  <c r="S87" i="1" s="1"/>
  <c r="R87" i="1" s="1"/>
  <c r="AH177" i="1"/>
  <c r="AG177" i="1" s="1"/>
  <c r="AF177" i="1" s="1"/>
  <c r="AH331" i="1"/>
  <c r="AG331" i="1" s="1"/>
  <c r="AF331" i="1" s="1"/>
  <c r="T171" i="1"/>
  <c r="S171" i="1" s="1"/>
  <c r="R171" i="1" s="1"/>
  <c r="AH156" i="1"/>
  <c r="AG156" i="1" s="1"/>
  <c r="AF156" i="1" s="1"/>
  <c r="T168" i="1"/>
  <c r="S168" i="1" s="1"/>
  <c r="R168" i="1" s="1"/>
  <c r="AH49" i="1"/>
  <c r="AG49" i="1" s="1"/>
  <c r="AF49" i="1" s="1"/>
  <c r="AH201" i="1"/>
  <c r="AG201" i="1" s="1"/>
  <c r="AF201" i="1" s="1"/>
  <c r="T182" i="1"/>
  <c r="S182" i="1" s="1"/>
  <c r="R182" i="1" s="1"/>
  <c r="T165" i="1"/>
  <c r="S165" i="1" s="1"/>
  <c r="R165" i="1" s="1"/>
  <c r="AH55" i="1"/>
  <c r="AG55" i="1" s="1"/>
  <c r="AF55" i="1" s="1"/>
  <c r="T86" i="1"/>
  <c r="S86" i="1" s="1"/>
  <c r="R86" i="1" s="1"/>
  <c r="T154" i="1"/>
  <c r="S154" i="1" s="1"/>
  <c r="R154" i="1" s="1"/>
  <c r="T354" i="1"/>
  <c r="S354" i="1" s="1"/>
  <c r="R354" i="1" s="1"/>
  <c r="T64" i="1"/>
  <c r="S64" i="1" s="1"/>
  <c r="R64" i="1" s="1"/>
  <c r="T25" i="1"/>
  <c r="S25" i="1" s="1"/>
  <c r="R25" i="1" s="1"/>
  <c r="AH109" i="1"/>
  <c r="AG109" i="1" s="1"/>
  <c r="AF109" i="1" s="1"/>
  <c r="AH65" i="1"/>
  <c r="AG65" i="1" s="1"/>
  <c r="AF65" i="1" s="1"/>
  <c r="T330" i="1"/>
  <c r="S330" i="1" s="1"/>
  <c r="R330" i="1" s="1"/>
  <c r="AH227" i="1"/>
  <c r="AG227" i="1" s="1"/>
  <c r="AF227" i="1" s="1"/>
  <c r="AH315" i="1"/>
  <c r="AG315" i="1" s="1"/>
  <c r="AF315" i="1" s="1"/>
  <c r="AH83" i="1"/>
  <c r="AG83" i="1" s="1"/>
  <c r="AF83" i="1" s="1"/>
  <c r="T295" i="1"/>
  <c r="S295" i="1" s="1"/>
  <c r="R295" i="1" s="1"/>
  <c r="AH128" i="1"/>
  <c r="AG128" i="1" s="1"/>
  <c r="AF128" i="1" s="1"/>
  <c r="T244" i="1"/>
  <c r="S244" i="1" s="1"/>
  <c r="R244" i="1" s="1"/>
  <c r="T277" i="1"/>
  <c r="S277" i="1" s="1"/>
  <c r="R277" i="1" s="1"/>
  <c r="T114" i="1"/>
  <c r="S114" i="1" s="1"/>
  <c r="R114" i="1" s="1"/>
  <c r="T326" i="1"/>
  <c r="S326" i="1" s="1"/>
  <c r="R326" i="1" s="1"/>
  <c r="AH222" i="1"/>
  <c r="AG222" i="1" s="1"/>
  <c r="AF222" i="1" s="1"/>
  <c r="AH78" i="1"/>
  <c r="AG78" i="1" s="1"/>
  <c r="AF78" i="1" s="1"/>
  <c r="AH188" i="1"/>
  <c r="AG188" i="1" s="1"/>
  <c r="AF188" i="1" s="1"/>
  <c r="AH343" i="1"/>
  <c r="AG343" i="1" s="1"/>
  <c r="AF343" i="1" s="1"/>
  <c r="T198" i="1"/>
  <c r="S198" i="1" s="1"/>
  <c r="R198" i="1" s="1"/>
  <c r="T379" i="1"/>
  <c r="S379" i="1" s="1"/>
  <c r="R379" i="1" s="1"/>
  <c r="T378" i="1"/>
  <c r="S378" i="1" s="1"/>
  <c r="R378" i="1" s="1"/>
  <c r="T278" i="1"/>
  <c r="S278" i="1" s="1"/>
  <c r="R278" i="1" s="1"/>
  <c r="T215" i="1"/>
  <c r="S215" i="1" s="1"/>
  <c r="R215" i="1" s="1"/>
  <c r="T355" i="1"/>
  <c r="S355" i="1" s="1"/>
  <c r="R355" i="1" s="1"/>
  <c r="AH113" i="1"/>
  <c r="AG113" i="1" s="1"/>
  <c r="AF113" i="1" s="1"/>
  <c r="AH134" i="1"/>
  <c r="AG134" i="1" s="1"/>
  <c r="AF134" i="1" s="1"/>
  <c r="AH115" i="1"/>
  <c r="AG115" i="1" s="1"/>
  <c r="AF115" i="1" s="1"/>
  <c r="AH198" i="1"/>
  <c r="AG198" i="1" s="1"/>
  <c r="AF198" i="1" s="1"/>
  <c r="T60" i="1"/>
  <c r="S60" i="1" s="1"/>
  <c r="R60" i="1" s="1"/>
  <c r="T279" i="1"/>
  <c r="S279" i="1" s="1"/>
  <c r="R279" i="1" s="1"/>
  <c r="AH298" i="1"/>
  <c r="AG298" i="1" s="1"/>
  <c r="AF298" i="1" s="1"/>
  <c r="T305" i="1"/>
  <c r="S305" i="1" s="1"/>
  <c r="R305" i="1" s="1"/>
  <c r="T91" i="1"/>
  <c r="S91" i="1" s="1"/>
  <c r="R91" i="1" s="1"/>
  <c r="T315" i="1"/>
  <c r="S315" i="1" s="1"/>
  <c r="R315" i="1" s="1"/>
  <c r="T174" i="1"/>
  <c r="S174" i="1" s="1"/>
  <c r="R174" i="1" s="1"/>
  <c r="AH191" i="1"/>
  <c r="AG191" i="1" s="1"/>
  <c r="AF191" i="1" s="1"/>
  <c r="T148" i="1"/>
  <c r="S148" i="1" s="1"/>
  <c r="R148" i="1" s="1"/>
  <c r="T53" i="1"/>
  <c r="S53" i="1" s="1"/>
  <c r="R53" i="1" s="1"/>
  <c r="AH18" i="1"/>
  <c r="AG18" i="1" s="1"/>
  <c r="AF18" i="1" s="1"/>
  <c r="AH68" i="1"/>
  <c r="AG68" i="1" s="1"/>
  <c r="AF68" i="1" s="1"/>
  <c r="AH275" i="1"/>
  <c r="AG275" i="1" s="1"/>
  <c r="AF275" i="1" s="1"/>
  <c r="AH313" i="1"/>
  <c r="AG313" i="1" s="1"/>
  <c r="AF313" i="1" s="1"/>
  <c r="T360" i="1"/>
  <c r="S360" i="1" s="1"/>
  <c r="R360" i="1" s="1"/>
  <c r="AH15" i="1"/>
  <c r="AG15" i="1" s="1"/>
  <c r="T271" i="1"/>
  <c r="S271" i="1" s="1"/>
  <c r="R271" i="1" s="1"/>
  <c r="T73" i="1"/>
  <c r="S73" i="1" s="1"/>
  <c r="R73" i="1" s="1"/>
  <c r="T170" i="1"/>
  <c r="S170" i="1" s="1"/>
  <c r="R170" i="1" s="1"/>
  <c r="AH215" i="1"/>
  <c r="AG215" i="1" s="1"/>
  <c r="AF215" i="1" s="1"/>
  <c r="AH123" i="1"/>
  <c r="AG123" i="1" s="1"/>
  <c r="AF123" i="1" s="1"/>
  <c r="T115" i="1"/>
  <c r="S115" i="1" s="1"/>
  <c r="R115" i="1" s="1"/>
  <c r="AH45" i="1"/>
  <c r="AG45" i="1" s="1"/>
  <c r="AF45" i="1" s="1"/>
  <c r="AH92" i="1"/>
  <c r="AG92" i="1" s="1"/>
  <c r="AF92" i="1" s="1"/>
  <c r="T226" i="1"/>
  <c r="S226" i="1" s="1"/>
  <c r="R226" i="1" s="1"/>
  <c r="AH90" i="1"/>
  <c r="AG90" i="1" s="1"/>
  <c r="AF90" i="1" s="1"/>
  <c r="AH173" i="1"/>
  <c r="AG173" i="1" s="1"/>
  <c r="AF173" i="1" s="1"/>
  <c r="AH199" i="1"/>
  <c r="AG199" i="1" s="1"/>
  <c r="AF199" i="1" s="1"/>
  <c r="AH316" i="1"/>
  <c r="AG316" i="1" s="1"/>
  <c r="AF316" i="1" s="1"/>
  <c r="T362" i="1"/>
  <c r="S362" i="1" s="1"/>
  <c r="R362" i="1" s="1"/>
  <c r="U381" i="1"/>
  <c r="U382" i="1"/>
  <c r="T90" i="1"/>
  <c r="S90" i="1" s="1"/>
  <c r="R90" i="1" s="1"/>
  <c r="T286" i="1"/>
  <c r="S286" i="1" s="1"/>
  <c r="R286" i="1" s="1"/>
  <c r="T204" i="1"/>
  <c r="S204" i="1" s="1"/>
  <c r="R204" i="1" s="1"/>
  <c r="T158" i="1"/>
  <c r="AH370" i="1"/>
  <c r="AG370" i="1" s="1"/>
  <c r="AF370" i="1" s="1"/>
  <c r="T157" i="1"/>
  <c r="T246" i="1"/>
  <c r="S246" i="1" s="1"/>
  <c r="R246" i="1" s="1"/>
  <c r="T32" i="1"/>
  <c r="S32" i="1" s="1"/>
  <c r="R32" i="1" s="1"/>
  <c r="T35" i="1"/>
  <c r="S35" i="1" s="1"/>
  <c r="R35" i="1" s="1"/>
  <c r="AH273" i="1"/>
  <c r="AG273" i="1" s="1"/>
  <c r="AF273" i="1" s="1"/>
  <c r="AH38" i="1"/>
  <c r="AG38" i="1" s="1"/>
  <c r="AF38" i="1" s="1"/>
  <c r="AH165" i="1"/>
  <c r="AG165" i="1" s="1"/>
  <c r="AF165" i="1" s="1"/>
  <c r="AH297" i="1"/>
  <c r="AG297" i="1" s="1"/>
  <c r="AF297" i="1" s="1"/>
  <c r="T88" i="1"/>
  <c r="S88" i="1" s="1"/>
  <c r="R88" i="1" s="1"/>
  <c r="AH281" i="1"/>
  <c r="AG281" i="1" s="1"/>
  <c r="AF281" i="1" s="1"/>
  <c r="T283" i="1"/>
  <c r="S283" i="1" s="1"/>
  <c r="R283" i="1" s="1"/>
  <c r="T327" i="1"/>
  <c r="AH291" i="1"/>
  <c r="AG291" i="1" s="1"/>
  <c r="AF291" i="1" s="1"/>
  <c r="AH285" i="1"/>
  <c r="AG285" i="1" s="1"/>
  <c r="AF285" i="1" s="1"/>
  <c r="AH152" i="1"/>
  <c r="AG152" i="1" s="1"/>
  <c r="AF152" i="1" s="1"/>
  <c r="AH224" i="1"/>
  <c r="AG224" i="1" s="1"/>
  <c r="AF224" i="1" s="1"/>
  <c r="AH202" i="1"/>
  <c r="AH307" i="1"/>
  <c r="AG307" i="1" s="1"/>
  <c r="AF307" i="1" s="1"/>
  <c r="AH176" i="1"/>
  <c r="AH205" i="1"/>
  <c r="AG205" i="1" s="1"/>
  <c r="AF205" i="1" s="1"/>
  <c r="T37" i="1"/>
  <c r="S37" i="1" s="1"/>
  <c r="R37" i="1" s="1"/>
  <c r="T292" i="1"/>
  <c r="S292" i="1" s="1"/>
  <c r="R292" i="1" s="1"/>
  <c r="T356" i="1"/>
  <c r="AH25" i="1"/>
  <c r="AG25" i="1" s="1"/>
  <c r="AF25" i="1" s="1"/>
  <c r="T238" i="1"/>
  <c r="S238" i="1" s="1"/>
  <c r="R238" i="1" s="1"/>
  <c r="T16" i="1"/>
  <c r="S16" i="1" s="1"/>
  <c r="R16" i="1" s="1"/>
  <c r="T122" i="1"/>
  <c r="S122" i="1" s="1"/>
  <c r="R122" i="1" s="1"/>
  <c r="T306" i="1"/>
  <c r="S306" i="1" s="1"/>
  <c r="R306" i="1" s="1"/>
  <c r="AH69" i="1"/>
  <c r="AG69" i="1" s="1"/>
  <c r="AF69" i="1" s="1"/>
  <c r="T151" i="1"/>
  <c r="S151" i="1" s="1"/>
  <c r="R151" i="1" s="1"/>
  <c r="T74" i="1"/>
  <c r="S74" i="1" s="1"/>
  <c r="R74" i="1" s="1"/>
  <c r="T240" i="1"/>
  <c r="S240" i="1" s="1"/>
  <c r="R240" i="1" s="1"/>
  <c r="T296" i="1"/>
  <c r="S296" i="1" s="1"/>
  <c r="R296" i="1" s="1"/>
  <c r="AH359" i="1"/>
  <c r="AG359" i="1" s="1"/>
  <c r="AF359" i="1" s="1"/>
  <c r="AH257" i="1"/>
  <c r="AG257" i="1" s="1"/>
  <c r="AF257" i="1" s="1"/>
  <c r="T153" i="1"/>
  <c r="S153" i="1" s="1"/>
  <c r="R153" i="1" s="1"/>
  <c r="T245" i="1"/>
  <c r="S245" i="1" s="1"/>
  <c r="R245" i="1" s="1"/>
  <c r="AH357" i="1"/>
  <c r="AG357" i="1" s="1"/>
  <c r="AF357" i="1" s="1"/>
  <c r="U383" i="1"/>
  <c r="AH151" i="1"/>
  <c r="AG151" i="1" s="1"/>
  <c r="AF151" i="1" s="1"/>
  <c r="T178" i="1"/>
  <c r="S178" i="1" s="1"/>
  <c r="R178" i="1" s="1"/>
  <c r="T253" i="1"/>
  <c r="S253" i="1" s="1"/>
  <c r="R253" i="1" s="1"/>
  <c r="T192" i="1"/>
  <c r="S192" i="1" s="1"/>
  <c r="R192" i="1" s="1"/>
  <c r="T340" i="1"/>
  <c r="S340" i="1" s="1"/>
  <c r="R340" i="1" s="1"/>
  <c r="T61" i="1"/>
  <c r="S61" i="1" s="1"/>
  <c r="R61" i="1" s="1"/>
  <c r="T217" i="1"/>
  <c r="S217" i="1" s="1"/>
  <c r="R217" i="1" s="1"/>
  <c r="T346" i="1"/>
  <c r="S346" i="1" s="1"/>
  <c r="R346" i="1" s="1"/>
  <c r="AH193" i="1"/>
  <c r="AG193" i="1" s="1"/>
  <c r="AF193" i="1" s="1"/>
  <c r="AH337" i="1"/>
  <c r="AG337" i="1" s="1"/>
  <c r="AF337" i="1" s="1"/>
  <c r="AH272" i="1"/>
  <c r="AG272" i="1" s="1"/>
  <c r="AF272" i="1" s="1"/>
  <c r="T137" i="1"/>
  <c r="S137" i="1" s="1"/>
  <c r="R137" i="1" s="1"/>
  <c r="T23" i="1"/>
  <c r="S23" i="1" s="1"/>
  <c r="R23" i="1" s="1"/>
  <c r="AH195" i="1"/>
  <c r="AG195" i="1" s="1"/>
  <c r="AF195" i="1" s="1"/>
  <c r="AH168" i="1"/>
  <c r="AG168" i="1" s="1"/>
  <c r="AF168" i="1" s="1"/>
  <c r="T201" i="1"/>
  <c r="S201" i="1" s="1"/>
  <c r="R201" i="1" s="1"/>
  <c r="T205" i="1"/>
  <c r="S205" i="1" s="1"/>
  <c r="R205" i="1" s="1"/>
  <c r="T102" i="1"/>
  <c r="S102" i="1" s="1"/>
  <c r="R102" i="1" s="1"/>
  <c r="AH379" i="1"/>
  <c r="AG379" i="1" s="1"/>
  <c r="AF379" i="1" s="1"/>
  <c r="AH362" i="1"/>
  <c r="AG362" i="1" s="1"/>
  <c r="AF362" i="1" s="1"/>
  <c r="T110" i="1"/>
  <c r="S110" i="1" s="1"/>
  <c r="R110" i="1" s="1"/>
  <c r="T300" i="1"/>
  <c r="S300" i="1" s="1"/>
  <c r="R300" i="1" s="1"/>
  <c r="AH241" i="1"/>
  <c r="AG241" i="1" s="1"/>
  <c r="AF241" i="1" s="1"/>
  <c r="T138" i="1"/>
  <c r="AH342" i="1"/>
  <c r="AG342" i="1" s="1"/>
  <c r="AF342" i="1" s="1"/>
  <c r="T36" i="1"/>
  <c r="S36" i="1" s="1"/>
  <c r="R36" i="1" s="1"/>
  <c r="T155" i="1"/>
  <c r="S155" i="1" s="1"/>
  <c r="R155" i="1" s="1"/>
  <c r="T139" i="1"/>
  <c r="S139" i="1" s="1"/>
  <c r="R139" i="1" s="1"/>
  <c r="T230" i="1"/>
  <c r="S230" i="1" s="1"/>
  <c r="R230" i="1" s="1"/>
  <c r="AH114" i="1"/>
  <c r="AG114" i="1" s="1"/>
  <c r="AF114" i="1" s="1"/>
  <c r="AH74" i="1"/>
  <c r="AG74" i="1" s="1"/>
  <c r="AF74" i="1" s="1"/>
  <c r="AE77" i="27"/>
  <c r="P78" i="27"/>
  <c r="H43" i="27"/>
  <c r="BH229" i="6"/>
  <c r="BH293" i="6"/>
  <c r="BH268" i="6"/>
  <c r="BH102" i="6"/>
  <c r="BH87" i="6"/>
  <c r="BH18" i="6"/>
  <c r="BH133" i="6"/>
  <c r="BH130" i="6"/>
  <c r="AD130" i="1" s="1"/>
  <c r="BH252" i="6"/>
  <c r="BH76" i="6"/>
  <c r="BH27" i="6"/>
  <c r="BH156" i="6"/>
  <c r="BH237" i="6"/>
  <c r="BH317" i="6"/>
  <c r="BH118" i="6"/>
  <c r="BH21" i="6"/>
  <c r="BH166" i="6"/>
  <c r="BH259" i="6"/>
  <c r="AD67" i="27"/>
  <c r="AC67" i="27" s="1"/>
  <c r="AB67" i="27"/>
  <c r="AD68" i="27"/>
  <c r="AF69" i="27" s="1"/>
  <c r="P69" i="27" s="1"/>
  <c r="AB68" i="27"/>
  <c r="AB69" i="27"/>
  <c r="T70" i="27"/>
  <c r="S70" i="27"/>
  <c r="R70" i="27"/>
  <c r="Y70" i="27"/>
  <c r="U70" i="27"/>
  <c r="X70" i="27"/>
  <c r="W70" i="27"/>
  <c r="Q70" i="27"/>
  <c r="Z70" i="27"/>
  <c r="V70" i="27"/>
  <c r="AA70" i="27"/>
  <c r="R69" i="27"/>
  <c r="T211" i="1"/>
  <c r="S211" i="1" s="1"/>
  <c r="R211" i="1" s="1"/>
  <c r="T284" i="1"/>
  <c r="S284" i="1" s="1"/>
  <c r="R284" i="1" s="1"/>
  <c r="T65" i="1"/>
  <c r="S65" i="1" s="1"/>
  <c r="R65" i="1" s="1"/>
  <c r="AH235" i="1"/>
  <c r="T134" i="1"/>
  <c r="T214" i="1"/>
  <c r="S214" i="1" s="1"/>
  <c r="R214" i="1" s="1"/>
  <c r="T316" i="1"/>
  <c r="S316" i="1" s="1"/>
  <c r="R316" i="1" s="1"/>
  <c r="T79" i="1"/>
  <c r="S79" i="1" s="1"/>
  <c r="R79" i="1" s="1"/>
  <c r="AH363" i="1"/>
  <c r="AG363" i="1" s="1"/>
  <c r="AF363" i="1" s="1"/>
  <c r="T93" i="1"/>
  <c r="S93" i="1" s="1"/>
  <c r="R93" i="1" s="1"/>
  <c r="T30" i="1"/>
  <c r="S30" i="1" s="1"/>
  <c r="R30" i="1" s="1"/>
  <c r="AH43" i="1"/>
  <c r="AH258" i="1"/>
  <c r="AG258" i="1" s="1"/>
  <c r="AF258" i="1" s="1"/>
  <c r="AH72" i="1"/>
  <c r="T189" i="1"/>
  <c r="T273" i="1"/>
  <c r="S273" i="1" s="1"/>
  <c r="R273" i="1" s="1"/>
  <c r="AH260" i="1"/>
  <c r="AH23" i="1"/>
  <c r="AG23" i="1" s="1"/>
  <c r="AF23" i="1" s="1"/>
  <c r="AH192" i="1"/>
  <c r="AG192" i="1" s="1"/>
  <c r="AF192" i="1" s="1"/>
  <c r="AH118" i="1"/>
  <c r="AG118" i="1" s="1"/>
  <c r="AF118" i="1" s="1"/>
  <c r="AD118" i="1" s="1"/>
  <c r="T272" i="1"/>
  <c r="S272" i="1" s="1"/>
  <c r="R272" i="1" s="1"/>
  <c r="T248" i="1"/>
  <c r="S248" i="1" s="1"/>
  <c r="R248" i="1" s="1"/>
  <c r="AH341" i="1"/>
  <c r="T285" i="1"/>
  <c r="T98" i="1"/>
  <c r="S98" i="1" s="1"/>
  <c r="R98" i="1" s="1"/>
  <c r="T162" i="1"/>
  <c r="S162" i="1" s="1"/>
  <c r="R162" i="1" s="1"/>
  <c r="AH155" i="1"/>
  <c r="AG155" i="1" s="1"/>
  <c r="AF155" i="1" s="1"/>
  <c r="T169" i="1"/>
  <c r="S169" i="1" s="1"/>
  <c r="R169" i="1" s="1"/>
  <c r="AH158" i="1"/>
  <c r="AG158" i="1" s="1"/>
  <c r="AF158" i="1" s="1"/>
  <c r="AH267" i="1"/>
  <c r="AG267" i="1" s="1"/>
  <c r="AF267" i="1" s="1"/>
  <c r="T200" i="1"/>
  <c r="S200" i="1" s="1"/>
  <c r="R200" i="1" s="1"/>
  <c r="T85" i="1"/>
  <c r="S85" i="1" s="1"/>
  <c r="R85" i="1" s="1"/>
  <c r="AH120" i="1"/>
  <c r="T312" i="1"/>
  <c r="S312" i="1" s="1"/>
  <c r="R312" i="1" s="1"/>
  <c r="T136" i="1"/>
  <c r="S136" i="1" s="1"/>
  <c r="R136" i="1" s="1"/>
  <c r="AH117" i="1"/>
  <c r="AG117" i="1" s="1"/>
  <c r="AF117" i="1" s="1"/>
  <c r="AH89" i="1"/>
  <c r="AG89" i="1" s="1"/>
  <c r="AF89" i="1" s="1"/>
  <c r="T231" i="1"/>
  <c r="S231" i="1" s="1"/>
  <c r="R231" i="1" s="1"/>
  <c r="T332" i="1"/>
  <c r="S332" i="1" s="1"/>
  <c r="R332" i="1" s="1"/>
  <c r="T259" i="1"/>
  <c r="S259" i="1" s="1"/>
  <c r="R259" i="1" s="1"/>
  <c r="T47" i="1"/>
  <c r="S47" i="1" s="1"/>
  <c r="R47" i="1" s="1"/>
  <c r="AH126" i="1"/>
  <c r="AH306" i="1"/>
  <c r="AG306" i="1" s="1"/>
  <c r="AF306" i="1" s="1"/>
  <c r="AH139" i="1"/>
  <c r="AG139" i="1" s="1"/>
  <c r="AF139" i="1" s="1"/>
  <c r="AH209" i="1"/>
  <c r="AH189" i="1"/>
  <c r="AG189" i="1" s="1"/>
  <c r="AF189" i="1" s="1"/>
  <c r="AH67" i="1"/>
  <c r="T298" i="1"/>
  <c r="S298" i="1" s="1"/>
  <c r="R298" i="1" s="1"/>
  <c r="T339" i="1"/>
  <c r="AH280" i="1"/>
  <c r="T63" i="1"/>
  <c r="S63" i="1" s="1"/>
  <c r="R63" i="1" s="1"/>
  <c r="T132" i="1"/>
  <c r="S132" i="1" s="1"/>
  <c r="R132" i="1" s="1"/>
  <c r="AH220" i="1"/>
  <c r="AG220" i="1" s="1"/>
  <c r="AF220" i="1" s="1"/>
  <c r="AH293" i="1"/>
  <c r="AG293" i="1" s="1"/>
  <c r="AF293" i="1" s="1"/>
  <c r="AH348" i="1"/>
  <c r="AG348" i="1" s="1"/>
  <c r="AF348" i="1" s="1"/>
  <c r="AH240" i="1"/>
  <c r="AG240" i="1" s="1"/>
  <c r="AF240" i="1" s="1"/>
  <c r="AH255" i="1"/>
  <c r="AG255" i="1" s="1"/>
  <c r="AF255" i="1" s="1"/>
  <c r="AH138" i="1"/>
  <c r="AG138" i="1" s="1"/>
  <c r="AF138" i="1" s="1"/>
  <c r="T311" i="1"/>
  <c r="S311" i="1" s="1"/>
  <c r="R311" i="1" s="1"/>
  <c r="AH296" i="1"/>
  <c r="AG296" i="1" s="1"/>
  <c r="AF296" i="1" s="1"/>
  <c r="T263" i="1"/>
  <c r="S263" i="1" s="1"/>
  <c r="R263" i="1" s="1"/>
  <c r="AH147" i="1"/>
  <c r="AG147" i="1" s="1"/>
  <c r="AF147" i="1" s="1"/>
  <c r="AH106" i="1"/>
  <c r="AG106" i="1" s="1"/>
  <c r="AF106" i="1" s="1"/>
  <c r="AH204" i="1"/>
  <c r="AG204" i="1" s="1"/>
  <c r="AF204" i="1" s="1"/>
  <c r="T310" i="1"/>
  <c r="AH294" i="1"/>
  <c r="AH353" i="1"/>
  <c r="T224" i="1"/>
  <c r="S224" i="1" s="1"/>
  <c r="R224" i="1" s="1"/>
  <c r="AH32" i="1"/>
  <c r="AG32" i="1" s="1"/>
  <c r="AF32" i="1" s="1"/>
  <c r="T268" i="1"/>
  <c r="T262" i="1"/>
  <c r="AH131" i="1"/>
  <c r="AH376" i="1"/>
  <c r="AG376" i="1" s="1"/>
  <c r="AF376" i="1" s="1"/>
  <c r="AH335" i="1"/>
  <c r="AG335" i="1" s="1"/>
  <c r="AF335" i="1" s="1"/>
  <c r="AH290" i="1"/>
  <c r="AG290" i="1" s="1"/>
  <c r="AF290" i="1" s="1"/>
  <c r="AH133" i="1"/>
  <c r="T290" i="1"/>
  <c r="T152" i="1"/>
  <c r="AH50" i="1"/>
  <c r="AG50" i="1" s="1"/>
  <c r="AF50" i="1" s="1"/>
  <c r="T58" i="1"/>
  <c r="S58" i="1" s="1"/>
  <c r="R58" i="1" s="1"/>
  <c r="T163" i="1"/>
  <c r="S163" i="1" s="1"/>
  <c r="R163" i="1" s="1"/>
  <c r="AH259" i="1"/>
  <c r="AG259" i="1" s="1"/>
  <c r="AF259" i="1" s="1"/>
  <c r="AH186" i="1"/>
  <c r="AG186" i="1" s="1"/>
  <c r="AF186" i="1" s="1"/>
  <c r="AH330" i="1"/>
  <c r="AG330" i="1" s="1"/>
  <c r="AF330" i="1" s="1"/>
  <c r="AH303" i="1"/>
  <c r="AG303" i="1" s="1"/>
  <c r="AF303" i="1" s="1"/>
  <c r="AH295" i="1"/>
  <c r="AG295" i="1" s="1"/>
  <c r="AF295" i="1" s="1"/>
  <c r="AH103" i="1"/>
  <c r="AG103" i="1" s="1"/>
  <c r="AF103" i="1" s="1"/>
  <c r="T336" i="1"/>
  <c r="AH300" i="1"/>
  <c r="AG300" i="1" s="1"/>
  <c r="AF300" i="1" s="1"/>
  <c r="AH350" i="1"/>
  <c r="AG350" i="1" s="1"/>
  <c r="AF350" i="1" s="1"/>
  <c r="T117" i="1"/>
  <c r="S117" i="1" s="1"/>
  <c r="R117" i="1" s="1"/>
  <c r="AH87" i="1"/>
  <c r="AG87" i="1" s="1"/>
  <c r="AF87" i="1" s="1"/>
  <c r="AH37" i="1"/>
  <c r="AG37" i="1" s="1"/>
  <c r="AF37" i="1" s="1"/>
  <c r="T219" i="1"/>
  <c r="T218" i="1"/>
  <c r="AH54" i="1"/>
  <c r="AG54" i="1" s="1"/>
  <c r="AF54" i="1" s="1"/>
  <c r="AH310" i="1"/>
  <c r="AG310" i="1" s="1"/>
  <c r="AF310" i="1" s="1"/>
  <c r="T109" i="1"/>
  <c r="S109" i="1" s="1"/>
  <c r="R109" i="1" s="1"/>
  <c r="T68" i="1"/>
  <c r="S68" i="1" s="1"/>
  <c r="R68" i="1" s="1"/>
  <c r="T147" i="1"/>
  <c r="S147" i="1" s="1"/>
  <c r="R147" i="1" s="1"/>
  <c r="T24" i="1"/>
  <c r="S24" i="1" s="1"/>
  <c r="R24" i="1" s="1"/>
  <c r="AH66" i="1"/>
  <c r="AH302" i="1"/>
  <c r="T247" i="1"/>
  <c r="S247" i="1" s="1"/>
  <c r="R247" i="1" s="1"/>
  <c r="T203" i="1"/>
  <c r="AH311" i="1"/>
  <c r="AH22" i="1"/>
  <c r="T280" i="1"/>
  <c r="T106" i="1"/>
  <c r="S106" i="1" s="1"/>
  <c r="R106" i="1" s="1"/>
  <c r="T206" i="1"/>
  <c r="AH361" i="1"/>
  <c r="AH369" i="1"/>
  <c r="AG369" i="1" s="1"/>
  <c r="AF369" i="1" s="1"/>
  <c r="T50" i="1"/>
  <c r="S50" i="1" s="1"/>
  <c r="R50" i="1" s="1"/>
  <c r="T325" i="1"/>
  <c r="S325" i="1" s="1"/>
  <c r="R325" i="1" s="1"/>
  <c r="AH81" i="1"/>
  <c r="AG81" i="1" s="1"/>
  <c r="AF81" i="1" s="1"/>
  <c r="T333" i="1"/>
  <c r="T348" i="1"/>
  <c r="S348" i="1" s="1"/>
  <c r="R348" i="1" s="1"/>
  <c r="AH279" i="1"/>
  <c r="AH367" i="1"/>
  <c r="AG367" i="1" s="1"/>
  <c r="AF367" i="1" s="1"/>
  <c r="AH52" i="1"/>
  <c r="T145" i="1"/>
  <c r="S145" i="1" s="1"/>
  <c r="R145" i="1" s="1"/>
  <c r="AH206" i="1"/>
  <c r="AG206" i="1" s="1"/>
  <c r="AF206" i="1" s="1"/>
  <c r="AH333" i="1"/>
  <c r="AG333" i="1" s="1"/>
  <c r="AF333" i="1" s="1"/>
  <c r="T374" i="1"/>
  <c r="S374" i="1" s="1"/>
  <c r="R374" i="1" s="1"/>
  <c r="T187" i="1"/>
  <c r="S187" i="1" s="1"/>
  <c r="R187" i="1" s="1"/>
  <c r="T107" i="1"/>
  <c r="S107" i="1" s="1"/>
  <c r="R107" i="1" s="1"/>
  <c r="T179" i="1"/>
  <c r="W75" i="27"/>
  <c r="V75" i="27"/>
  <c r="X75" i="27"/>
  <c r="I40" i="27"/>
  <c r="U75" i="27"/>
  <c r="R75" i="27"/>
  <c r="Y75" i="27"/>
  <c r="T75" i="27"/>
  <c r="S75" i="27"/>
  <c r="Q75" i="27"/>
  <c r="Z75" i="27"/>
  <c r="AA75" i="27"/>
  <c r="AB58" i="27"/>
  <c r="AD58" i="27"/>
  <c r="AC58" i="27" s="1"/>
  <c r="T101" i="1"/>
  <c r="S101" i="1" s="1"/>
  <c r="R101" i="1" s="1"/>
  <c r="T264" i="1"/>
  <c r="T261" i="1"/>
  <c r="AH319" i="1"/>
  <c r="AG319" i="1" s="1"/>
  <c r="AF319" i="1" s="1"/>
  <c r="T39" i="1"/>
  <c r="S39" i="1" s="1"/>
  <c r="R39" i="1" s="1"/>
  <c r="AH91" i="1"/>
  <c r="AG91" i="1" s="1"/>
  <c r="AF91" i="1" s="1"/>
  <c r="T48" i="1"/>
  <c r="S48" i="1" s="1"/>
  <c r="R48" i="1" s="1"/>
  <c r="T368" i="1"/>
  <c r="T180" i="1"/>
  <c r="S180" i="1" s="1"/>
  <c r="R180" i="1" s="1"/>
  <c r="T78" i="1"/>
  <c r="S78" i="1" s="1"/>
  <c r="R78" i="1" s="1"/>
  <c r="T26" i="1"/>
  <c r="T363" i="1"/>
  <c r="S363" i="1" s="1"/>
  <c r="R363" i="1" s="1"/>
  <c r="AH336" i="1"/>
  <c r="AH250" i="1"/>
  <c r="T82" i="1"/>
  <c r="T129" i="1"/>
  <c r="T318" i="1"/>
  <c r="T125" i="1"/>
  <c r="S125" i="1" s="1"/>
  <c r="R125" i="1" s="1"/>
  <c r="AH237" i="1"/>
  <c r="AG237" i="1" s="1"/>
  <c r="AF237" i="1" s="1"/>
  <c r="AD237" i="1" s="1"/>
  <c r="AH183" i="1"/>
  <c r="AG183" i="1" s="1"/>
  <c r="AF183" i="1" s="1"/>
  <c r="AH122" i="1"/>
  <c r="AG122" i="1" s="1"/>
  <c r="AF122" i="1" s="1"/>
  <c r="T17" i="1"/>
  <c r="S17" i="1" s="1"/>
  <c r="R17" i="1" s="1"/>
  <c r="AH47" i="1"/>
  <c r="AG47" i="1" s="1"/>
  <c r="AF47" i="1" s="1"/>
  <c r="T161" i="1"/>
  <c r="S161" i="1" s="1"/>
  <c r="R161" i="1" s="1"/>
  <c r="T208" i="1"/>
  <c r="S208" i="1" s="1"/>
  <c r="R208" i="1" s="1"/>
  <c r="T291" i="1"/>
  <c r="S291" i="1" s="1"/>
  <c r="R291" i="1" s="1"/>
  <c r="T76" i="1"/>
  <c r="S76" i="1" s="1"/>
  <c r="R76" i="1" s="1"/>
  <c r="AH283" i="1"/>
  <c r="AG283" i="1" s="1"/>
  <c r="AF283" i="1" s="1"/>
  <c r="T294" i="1"/>
  <c r="S294" i="1" s="1"/>
  <c r="R294" i="1" s="1"/>
  <c r="AH221" i="1"/>
  <c r="AG221" i="1" s="1"/>
  <c r="AF221" i="1" s="1"/>
  <c r="T194" i="1"/>
  <c r="AH184" i="1"/>
  <c r="AG184" i="1" s="1"/>
  <c r="AF184" i="1" s="1"/>
  <c r="T183" i="1"/>
  <c r="T185" i="1"/>
  <c r="T70" i="1"/>
  <c r="S70" i="1" s="1"/>
  <c r="R70" i="1" s="1"/>
  <c r="T21" i="1"/>
  <c r="S21" i="1" s="1"/>
  <c r="R21" i="1" s="1"/>
  <c r="T343" i="1"/>
  <c r="S343" i="1" s="1"/>
  <c r="R343" i="1" s="1"/>
  <c r="AH356" i="1"/>
  <c r="AG356" i="1" s="1"/>
  <c r="AF356" i="1" s="1"/>
  <c r="AH35" i="1"/>
  <c r="AG35" i="1" s="1"/>
  <c r="AF35" i="1" s="1"/>
  <c r="T267" i="1"/>
  <c r="S267" i="1" s="1"/>
  <c r="R267" i="1" s="1"/>
  <c r="T364" i="1"/>
  <c r="S364" i="1" s="1"/>
  <c r="R364" i="1" s="1"/>
  <c r="T236" i="1"/>
  <c r="S236" i="1" s="1"/>
  <c r="R236" i="1" s="1"/>
  <c r="AH320" i="1"/>
  <c r="AG320" i="1" s="1"/>
  <c r="AF320" i="1" s="1"/>
  <c r="AH289" i="1"/>
  <c r="AG289" i="1" s="1"/>
  <c r="AF289" i="1" s="1"/>
  <c r="AH230" i="1"/>
  <c r="AG230" i="1" s="1"/>
  <c r="AF230" i="1" s="1"/>
  <c r="AH88" i="1"/>
  <c r="AG88" i="1" s="1"/>
  <c r="AF88" i="1" s="1"/>
  <c r="AH252" i="1"/>
  <c r="AG252" i="1" s="1"/>
  <c r="AF252" i="1" s="1"/>
  <c r="AD252" i="1" s="1"/>
  <c r="AH185" i="1"/>
  <c r="AG185" i="1" s="1"/>
  <c r="AF185" i="1" s="1"/>
  <c r="AH265" i="1"/>
  <c r="AG265" i="1" s="1"/>
  <c r="AF265" i="1" s="1"/>
  <c r="AH301" i="1"/>
  <c r="AG301" i="1" s="1"/>
  <c r="AF301" i="1" s="1"/>
  <c r="AH338" i="1"/>
  <c r="AG338" i="1" s="1"/>
  <c r="AF338" i="1" s="1"/>
  <c r="T69" i="1"/>
  <c r="S69" i="1" s="1"/>
  <c r="R69" i="1" s="1"/>
  <c r="T186" i="1"/>
  <c r="AH166" i="1"/>
  <c r="AG166" i="1" s="1"/>
  <c r="AF166" i="1" s="1"/>
  <c r="T92" i="1"/>
  <c r="T252" i="1"/>
  <c r="S252" i="1" s="1"/>
  <c r="R252" i="1" s="1"/>
  <c r="AH16" i="1"/>
  <c r="AG16" i="1" s="1"/>
  <c r="AF16" i="1" s="1"/>
  <c r="AH347" i="1"/>
  <c r="AH167" i="1"/>
  <c r="AH244" i="1"/>
  <c r="AG244" i="1" s="1"/>
  <c r="AF244" i="1" s="1"/>
  <c r="T111" i="1"/>
  <c r="T347" i="1"/>
  <c r="AH180" i="1"/>
  <c r="AG180" i="1" s="1"/>
  <c r="AF180" i="1" s="1"/>
  <c r="T213" i="1"/>
  <c r="AH349" i="1"/>
  <c r="AG349" i="1" s="1"/>
  <c r="AF349" i="1" s="1"/>
  <c r="AH251" i="1"/>
  <c r="AH56" i="1"/>
  <c r="AG56" i="1" s="1"/>
  <c r="AF56" i="1" s="1"/>
  <c r="T324" i="1"/>
  <c r="AH80" i="1"/>
  <c r="T256" i="1"/>
  <c r="S256" i="1" s="1"/>
  <c r="R256" i="1" s="1"/>
  <c r="AH71" i="1"/>
  <c r="T96" i="1"/>
  <c r="S96" i="1" s="1"/>
  <c r="R96" i="1" s="1"/>
  <c r="AH284" i="1"/>
  <c r="AG284" i="1" s="1"/>
  <c r="AF284" i="1" s="1"/>
  <c r="AH365" i="1"/>
  <c r="AG365" i="1" s="1"/>
  <c r="AF365" i="1" s="1"/>
  <c r="AH97" i="1"/>
  <c r="AG97" i="1" s="1"/>
  <c r="AF97" i="1" s="1"/>
  <c r="T210" i="1"/>
  <c r="T317" i="1"/>
  <c r="S317" i="1" s="1"/>
  <c r="R317" i="1" s="1"/>
  <c r="AH234" i="1"/>
  <c r="AG234" i="1" s="1"/>
  <c r="AF234" i="1" s="1"/>
  <c r="AH368" i="1"/>
  <c r="AG368" i="1" s="1"/>
  <c r="AF368" i="1" s="1"/>
  <c r="AH196" i="1"/>
  <c r="AG196" i="1" s="1"/>
  <c r="AF196" i="1" s="1"/>
  <c r="AH287" i="1"/>
  <c r="AG287" i="1" s="1"/>
  <c r="AF287" i="1" s="1"/>
  <c r="T239" i="1"/>
  <c r="S239" i="1" s="1"/>
  <c r="R239" i="1" s="1"/>
  <c r="T34" i="1"/>
  <c r="S34" i="1" s="1"/>
  <c r="R34" i="1" s="1"/>
  <c r="AH377" i="1"/>
  <c r="T83" i="1"/>
  <c r="S83" i="1" s="1"/>
  <c r="R83" i="1" s="1"/>
  <c r="AH172" i="1"/>
  <c r="AG172" i="1" s="1"/>
  <c r="AF172" i="1" s="1"/>
  <c r="AH112" i="1"/>
  <c r="AG112" i="1" s="1"/>
  <c r="AF112" i="1" s="1"/>
  <c r="T191" i="1"/>
  <c r="S191" i="1" s="1"/>
  <c r="R191" i="1" s="1"/>
  <c r="AH61" i="1"/>
  <c r="T196" i="1"/>
  <c r="AH372" i="1"/>
  <c r="AH58" i="1"/>
  <c r="T128" i="1"/>
  <c r="S128" i="1" s="1"/>
  <c r="R128" i="1" s="1"/>
  <c r="AH328" i="1"/>
  <c r="AG328" i="1" s="1"/>
  <c r="AF328" i="1" s="1"/>
  <c r="T232" i="1"/>
  <c r="AH179" i="1"/>
  <c r="AG179" i="1" s="1"/>
  <c r="AF179" i="1" s="1"/>
  <c r="T287" i="1"/>
  <c r="T80" i="1"/>
  <c r="T222" i="1"/>
  <c r="S222" i="1" s="1"/>
  <c r="R222" i="1" s="1"/>
  <c r="AH63" i="1"/>
  <c r="AG63" i="1" s="1"/>
  <c r="AF63" i="1" s="1"/>
  <c r="T103" i="1"/>
  <c r="S103" i="1" s="1"/>
  <c r="R103" i="1" s="1"/>
  <c r="T301" i="1"/>
  <c r="S301" i="1" s="1"/>
  <c r="R301" i="1" s="1"/>
  <c r="AH207" i="1"/>
  <c r="AG207" i="1" s="1"/>
  <c r="AF207" i="1" s="1"/>
  <c r="T335" i="1"/>
  <c r="T120" i="1"/>
  <c r="T309" i="1"/>
  <c r="S309" i="1" s="1"/>
  <c r="R309" i="1" s="1"/>
  <c r="T266" i="1"/>
  <c r="S266" i="1" s="1"/>
  <c r="R266" i="1" s="1"/>
  <c r="T27" i="1"/>
  <c r="T282" i="1"/>
  <c r="S282" i="1" s="1"/>
  <c r="R282" i="1" s="1"/>
  <c r="AH70" i="1"/>
  <c r="AG70" i="1" s="1"/>
  <c r="AF70" i="1" s="1"/>
  <c r="AH170" i="1"/>
  <c r="AG170" i="1" s="1"/>
  <c r="AF170" i="1" s="1"/>
  <c r="T199" i="1"/>
  <c r="AH162" i="1"/>
  <c r="AG162" i="1" s="1"/>
  <c r="AF162" i="1" s="1"/>
  <c r="AH305" i="1"/>
  <c r="AG305" i="1" s="1"/>
  <c r="AF305" i="1" s="1"/>
  <c r="T352" i="1"/>
  <c r="S352" i="1" s="1"/>
  <c r="R352" i="1" s="1"/>
  <c r="T345" i="1"/>
  <c r="T131" i="1"/>
  <c r="S131" i="1" s="1"/>
  <c r="R131" i="1" s="1"/>
  <c r="T359" i="1"/>
  <c r="S359" i="1" s="1"/>
  <c r="R359" i="1" s="1"/>
  <c r="AH62" i="1"/>
  <c r="AG62" i="1" s="1"/>
  <c r="AF62" i="1" s="1"/>
  <c r="T320" i="1"/>
  <c r="S320" i="1" s="1"/>
  <c r="R320" i="1" s="1"/>
  <c r="AH99" i="1"/>
  <c r="T140" i="1"/>
  <c r="AH334" i="1"/>
  <c r="AG334" i="1" s="1"/>
  <c r="AF334" i="1" s="1"/>
  <c r="T133" i="1"/>
  <c r="S133" i="1" s="1"/>
  <c r="R133" i="1" s="1"/>
  <c r="AH229" i="1"/>
  <c r="T49" i="1"/>
  <c r="T313" i="1"/>
  <c r="S313" i="1" s="1"/>
  <c r="R313" i="1" s="1"/>
  <c r="AH107" i="1"/>
  <c r="AG107" i="1" s="1"/>
  <c r="AF107" i="1" s="1"/>
  <c r="AH213" i="1"/>
  <c r="AG213" i="1" s="1"/>
  <c r="AF213" i="1" s="1"/>
  <c r="AH153" i="1"/>
  <c r="AG153" i="1" s="1"/>
  <c r="AF153" i="1" s="1"/>
  <c r="AH243" i="1"/>
  <c r="AG243" i="1" s="1"/>
  <c r="AF243" i="1" s="1"/>
  <c r="AH239" i="1"/>
  <c r="AG239" i="1" s="1"/>
  <c r="AF239" i="1" s="1"/>
  <c r="BK14" i="6"/>
  <c r="C55" i="27"/>
  <c r="R55" i="27"/>
  <c r="R66" i="27"/>
  <c r="R65" i="27"/>
  <c r="R64" i="27"/>
  <c r="R60" i="27"/>
  <c r="AD66" i="27"/>
  <c r="AB66" i="27"/>
  <c r="R67" i="27"/>
  <c r="AD63" i="27"/>
  <c r="AC63" i="27" s="1"/>
  <c r="R63" i="27"/>
  <c r="R59" i="27"/>
  <c r="R68" i="27"/>
  <c r="T367" i="1"/>
  <c r="S367" i="1" s="1"/>
  <c r="R367" i="1" s="1"/>
  <c r="T229" i="1"/>
  <c r="S229" i="1" s="1"/>
  <c r="R229" i="1" s="1"/>
  <c r="T353" i="1"/>
  <c r="S353" i="1" s="1"/>
  <c r="R353" i="1" s="1"/>
  <c r="T349" i="1"/>
  <c r="S349" i="1" s="1"/>
  <c r="R349" i="1" s="1"/>
  <c r="AH101" i="1"/>
  <c r="AG101" i="1" s="1"/>
  <c r="AF101" i="1" s="1"/>
  <c r="T227" i="1"/>
  <c r="AH178" i="1"/>
  <c r="AG178" i="1" s="1"/>
  <c r="AF178" i="1" s="1"/>
  <c r="AH86" i="1"/>
  <c r="AG86" i="1" s="1"/>
  <c r="AF86" i="1" s="1"/>
  <c r="T299" i="1"/>
  <c r="S299" i="1" s="1"/>
  <c r="R299" i="1" s="1"/>
  <c r="T62" i="1"/>
  <c r="S62" i="1" s="1"/>
  <c r="R62" i="1" s="1"/>
  <c r="AH160" i="1"/>
  <c r="T142" i="1"/>
  <c r="AH366" i="1"/>
  <c r="T321" i="1"/>
  <c r="T358" i="1"/>
  <c r="T228" i="1"/>
  <c r="S228" i="1" s="1"/>
  <c r="R228" i="1" s="1"/>
  <c r="AH304" i="1"/>
  <c r="AG304" i="1" s="1"/>
  <c r="AF304" i="1" s="1"/>
  <c r="AH276" i="1"/>
  <c r="AG276" i="1" s="1"/>
  <c r="AF276" i="1" s="1"/>
  <c r="AH344" i="1"/>
  <c r="AG344" i="1" s="1"/>
  <c r="AF344" i="1" s="1"/>
  <c r="AH256" i="1"/>
  <c r="AG256" i="1" s="1"/>
  <c r="AF256" i="1" s="1"/>
  <c r="T328" i="1"/>
  <c r="T75" i="1"/>
  <c r="T297" i="1"/>
  <c r="AH108" i="1"/>
  <c r="T237" i="1"/>
  <c r="T258" i="1"/>
  <c r="T257" i="1"/>
  <c r="S257" i="1" s="1"/>
  <c r="R257" i="1" s="1"/>
  <c r="T197" i="1"/>
  <c r="S197" i="1" s="1"/>
  <c r="R197" i="1" s="1"/>
  <c r="T314" i="1"/>
  <c r="S314" i="1" s="1"/>
  <c r="R314" i="1" s="1"/>
  <c r="T276" i="1"/>
  <c r="S276" i="1" s="1"/>
  <c r="R276" i="1" s="1"/>
  <c r="T144" i="1"/>
  <c r="S144" i="1" s="1"/>
  <c r="R144" i="1" s="1"/>
  <c r="T38" i="1"/>
  <c r="T143" i="1"/>
  <c r="S143" i="1" s="1"/>
  <c r="R143" i="1" s="1"/>
  <c r="T46" i="1"/>
  <c r="AH236" i="1"/>
  <c r="AG236" i="1" s="1"/>
  <c r="AF236" i="1" s="1"/>
  <c r="AH247" i="1"/>
  <c r="AG247" i="1" s="1"/>
  <c r="AF247" i="1" s="1"/>
  <c r="AH364" i="1"/>
  <c r="T190" i="1"/>
  <c r="T146" i="1"/>
  <c r="S146" i="1" s="1"/>
  <c r="R146" i="1" s="1"/>
  <c r="T108" i="1"/>
  <c r="AH312" i="1"/>
  <c r="AG312" i="1" s="1"/>
  <c r="AF312" i="1" s="1"/>
  <c r="AH161" i="1"/>
  <c r="AG161" i="1" s="1"/>
  <c r="AF161" i="1" s="1"/>
  <c r="AH77" i="1"/>
  <c r="AG77" i="1" s="1"/>
  <c r="AF77" i="1" s="1"/>
  <c r="AH174" i="1"/>
  <c r="AH48" i="1"/>
  <c r="AH371" i="1"/>
  <c r="AG371" i="1" s="1"/>
  <c r="AF371" i="1" s="1"/>
  <c r="AH20" i="1"/>
  <c r="T337" i="1"/>
  <c r="T97" i="1"/>
  <c r="S97" i="1" s="1"/>
  <c r="R97" i="1" s="1"/>
  <c r="T121" i="1"/>
  <c r="S121" i="1" s="1"/>
  <c r="R121" i="1" s="1"/>
  <c r="T175" i="1"/>
  <c r="S175" i="1" s="1"/>
  <c r="R175" i="1" s="1"/>
  <c r="AH375" i="1"/>
  <c r="AG375" i="1" s="1"/>
  <c r="AF375" i="1" s="1"/>
  <c r="AH51" i="1"/>
  <c r="AG51" i="1" s="1"/>
  <c r="AF51" i="1" s="1"/>
  <c r="AH194" i="1"/>
  <c r="AH169" i="1"/>
  <c r="AG169" i="1" s="1"/>
  <c r="AF169" i="1" s="1"/>
  <c r="AH163" i="1"/>
  <c r="AG163" i="1" s="1"/>
  <c r="AF163" i="1" s="1"/>
  <c r="T126" i="1"/>
  <c r="S126" i="1" s="1"/>
  <c r="R126" i="1" s="1"/>
  <c r="T150" i="1"/>
  <c r="S150" i="1" s="1"/>
  <c r="R150" i="1" s="1"/>
  <c r="T166" i="1"/>
  <c r="S166" i="1" s="1"/>
  <c r="R166" i="1" s="1"/>
  <c r="P166" i="1" s="1"/>
  <c r="V166" i="1" s="1"/>
  <c r="T195" i="1"/>
  <c r="S195" i="1" s="1"/>
  <c r="R195" i="1" s="1"/>
  <c r="T113" i="1"/>
  <c r="S113" i="1" s="1"/>
  <c r="R113" i="1" s="1"/>
  <c r="AH355" i="1"/>
  <c r="AG355" i="1" s="1"/>
  <c r="AF355" i="1" s="1"/>
  <c r="AH208" i="1"/>
  <c r="AG208" i="1" s="1"/>
  <c r="AF208" i="1" s="1"/>
  <c r="AH145" i="1"/>
  <c r="AG145" i="1" s="1"/>
  <c r="AF145" i="1" s="1"/>
  <c r="T221" i="1"/>
  <c r="T89" i="1"/>
  <c r="AH75" i="1"/>
  <c r="T118" i="1"/>
  <c r="S118" i="1" s="1"/>
  <c r="R118" i="1" s="1"/>
  <c r="AH268" i="1"/>
  <c r="AH46" i="1"/>
  <c r="AH164" i="1"/>
  <c r="AH182" i="1"/>
  <c r="AH264" i="1"/>
  <c r="AG264" i="1" s="1"/>
  <c r="AF264" i="1" s="1"/>
  <c r="AH116" i="1"/>
  <c r="AH358" i="1"/>
  <c r="AH332" i="1"/>
  <c r="T302" i="1"/>
  <c r="S302" i="1" s="1"/>
  <c r="R302" i="1" s="1"/>
  <c r="T181" i="1"/>
  <c r="T308" i="1"/>
  <c r="S308" i="1" s="1"/>
  <c r="R308" i="1" s="1"/>
  <c r="T344" i="1"/>
  <c r="T54" i="1"/>
  <c r="S54" i="1" s="1"/>
  <c r="R54" i="1" s="1"/>
  <c r="AH374" i="1"/>
  <c r="AG374" i="1" s="1"/>
  <c r="AF374" i="1" s="1"/>
  <c r="AH30" i="1"/>
  <c r="AG30" i="1" s="1"/>
  <c r="AF30" i="1" s="1"/>
  <c r="AH231" i="1"/>
  <c r="AG231" i="1" s="1"/>
  <c r="AF231" i="1" s="1"/>
  <c r="T372" i="1"/>
  <c r="S372" i="1" s="1"/>
  <c r="R372" i="1" s="1"/>
  <c r="AH299" i="1"/>
  <c r="AG299" i="1" s="1"/>
  <c r="AF299" i="1" s="1"/>
  <c r="AH274" i="1"/>
  <c r="AG274" i="1" s="1"/>
  <c r="AF274" i="1" s="1"/>
  <c r="AH95" i="1"/>
  <c r="AG95" i="1" s="1"/>
  <c r="AF95" i="1" s="1"/>
  <c r="AH119" i="1"/>
  <c r="AG119" i="1" s="1"/>
  <c r="AF119" i="1" s="1"/>
  <c r="AH125" i="1"/>
  <c r="AG125" i="1" s="1"/>
  <c r="AF125" i="1" s="1"/>
  <c r="T41" i="1"/>
  <c r="S41" i="1" s="1"/>
  <c r="R41" i="1" s="1"/>
  <c r="AH42" i="1"/>
  <c r="AG42" i="1" s="1"/>
  <c r="AF42" i="1" s="1"/>
  <c r="T329" i="1"/>
  <c r="AH150" i="1"/>
  <c r="AH60" i="1"/>
  <c r="AH200" i="1"/>
  <c r="AH85" i="1"/>
  <c r="AG85" i="1" s="1"/>
  <c r="AF85" i="1" s="1"/>
  <c r="AH157" i="1"/>
  <c r="AG157" i="1" s="1"/>
  <c r="AF157" i="1" s="1"/>
  <c r="AH340" i="1"/>
  <c r="AG340" i="1" s="1"/>
  <c r="AF340" i="1" s="1"/>
  <c r="T81" i="1"/>
  <c r="S81" i="1" s="1"/>
  <c r="R81" i="1" s="1"/>
  <c r="T173" i="1"/>
  <c r="AH146" i="1"/>
  <c r="AG146" i="1" s="1"/>
  <c r="AF146" i="1" s="1"/>
  <c r="T220" i="1"/>
  <c r="S220" i="1" s="1"/>
  <c r="R220" i="1" s="1"/>
  <c r="AH100" i="1"/>
  <c r="AG100" i="1" s="1"/>
  <c r="AF100" i="1" s="1"/>
  <c r="AH329" i="1"/>
  <c r="AG329" i="1" s="1"/>
  <c r="AF329" i="1" s="1"/>
  <c r="AH373" i="1"/>
  <c r="AG373" i="1" s="1"/>
  <c r="AF373" i="1" s="1"/>
  <c r="T281" i="1"/>
  <c r="S281" i="1" s="1"/>
  <c r="R281" i="1" s="1"/>
  <c r="T376" i="1"/>
  <c r="S376" i="1" s="1"/>
  <c r="R376" i="1" s="1"/>
  <c r="AH124" i="1"/>
  <c r="AG124" i="1" s="1"/>
  <c r="AF124" i="1" s="1"/>
  <c r="T45" i="1"/>
  <c r="S45" i="1" s="1"/>
  <c r="R45" i="1" s="1"/>
  <c r="AH233" i="1"/>
  <c r="AG233" i="1" s="1"/>
  <c r="AF233" i="1" s="1"/>
  <c r="AH217" i="1"/>
  <c r="AG217" i="1" s="1"/>
  <c r="AF217" i="1" s="1"/>
  <c r="T275" i="1"/>
  <c r="AH159" i="1"/>
  <c r="AG159" i="1" s="1"/>
  <c r="AF159" i="1" s="1"/>
  <c r="AH111" i="1"/>
  <c r="AG111" i="1" s="1"/>
  <c r="AF111" i="1" s="1"/>
  <c r="T216" i="1"/>
  <c r="S216" i="1" s="1"/>
  <c r="R216" i="1" s="1"/>
  <c r="AH175" i="1"/>
  <c r="AG175" i="1" s="1"/>
  <c r="AF175" i="1" s="1"/>
  <c r="AH345" i="1"/>
  <c r="T104" i="1"/>
  <c r="T260" i="1"/>
  <c r="S260" i="1" s="1"/>
  <c r="R260" i="1" s="1"/>
  <c r="AH210" i="1"/>
  <c r="AG210" i="1" s="1"/>
  <c r="AF210" i="1" s="1"/>
  <c r="T29" i="1"/>
  <c r="S29" i="1" s="1"/>
  <c r="R29" i="1" s="1"/>
  <c r="AH326" i="1"/>
  <c r="T127" i="1"/>
  <c r="AH288" i="1"/>
  <c r="AG288" i="1" s="1"/>
  <c r="AF288" i="1" s="1"/>
  <c r="T160" i="1"/>
  <c r="S160" i="1" s="1"/>
  <c r="R160" i="1" s="1"/>
  <c r="AB74" i="27"/>
  <c r="AD74" i="27"/>
  <c r="AC74" i="27" s="1"/>
  <c r="AB61" i="27"/>
  <c r="AD61" i="27"/>
  <c r="AC61" i="27" s="1"/>
  <c r="R61" i="27"/>
  <c r="R57" i="27"/>
  <c r="AB57" i="27"/>
  <c r="AD57" i="27"/>
  <c r="AC57" i="27" s="1"/>
  <c r="R62" i="27"/>
  <c r="AD62" i="27"/>
  <c r="AC62" i="27" s="1"/>
  <c r="AB62" i="27"/>
  <c r="T341" i="1"/>
  <c r="S341" i="1" s="1"/>
  <c r="R341" i="1" s="1"/>
  <c r="T375" i="1"/>
  <c r="S375" i="1" s="1"/>
  <c r="R375" i="1" s="1"/>
  <c r="T33" i="1"/>
  <c r="AH232" i="1"/>
  <c r="AG232" i="1" s="1"/>
  <c r="AF232" i="1" s="1"/>
  <c r="AH24" i="1"/>
  <c r="AG24" i="1" s="1"/>
  <c r="AF24" i="1" s="1"/>
  <c r="AH104" i="1"/>
  <c r="AG104" i="1" s="1"/>
  <c r="AF104" i="1" s="1"/>
  <c r="T52" i="1"/>
  <c r="S52" i="1" s="1"/>
  <c r="R52" i="1" s="1"/>
  <c r="T233" i="1"/>
  <c r="S233" i="1" s="1"/>
  <c r="R233" i="1" s="1"/>
  <c r="T105" i="1"/>
  <c r="T44" i="1"/>
  <c r="AH324" i="1"/>
  <c r="T59" i="1"/>
  <c r="S59" i="1" s="1"/>
  <c r="R59" i="1" s="1"/>
  <c r="AH132" i="1"/>
  <c r="AH98" i="1"/>
  <c r="AG98" i="1" s="1"/>
  <c r="AF98" i="1" s="1"/>
  <c r="T371" i="1"/>
  <c r="T377" i="1"/>
  <c r="S377" i="1" s="1"/>
  <c r="R377" i="1" s="1"/>
  <c r="T241" i="1"/>
  <c r="S241" i="1" s="1"/>
  <c r="R241" i="1" s="1"/>
  <c r="AH53" i="1"/>
  <c r="AH254" i="1"/>
  <c r="AG254" i="1" s="1"/>
  <c r="AF254" i="1" s="1"/>
  <c r="AH57" i="1"/>
  <c r="AG57" i="1" s="1"/>
  <c r="AF57" i="1" s="1"/>
  <c r="AH143" i="1"/>
  <c r="AG143" i="1" s="1"/>
  <c r="AF143" i="1" s="1"/>
  <c r="AH21" i="1"/>
  <c r="AG21" i="1" s="1"/>
  <c r="AF21" i="1" s="1"/>
  <c r="T31" i="1"/>
  <c r="S31" i="1" s="1"/>
  <c r="R31" i="1" s="1"/>
  <c r="T274" i="1"/>
  <c r="S274" i="1" s="1"/>
  <c r="R274" i="1" s="1"/>
  <c r="T43" i="1"/>
  <c r="S43" i="1" s="1"/>
  <c r="R43" i="1" s="1"/>
  <c r="T319" i="1"/>
  <c r="S319" i="1" s="1"/>
  <c r="R319" i="1" s="1"/>
  <c r="T177" i="1"/>
  <c r="S177" i="1" s="1"/>
  <c r="R177" i="1" s="1"/>
  <c r="AH121" i="1"/>
  <c r="AG121" i="1" s="1"/>
  <c r="AF121" i="1" s="1"/>
  <c r="T156" i="1"/>
  <c r="S156" i="1" s="1"/>
  <c r="R156" i="1" s="1"/>
  <c r="P156" i="1" s="1"/>
  <c r="V156" i="1" s="1"/>
  <c r="AH346" i="1"/>
  <c r="AH212" i="1"/>
  <c r="AH226" i="1"/>
  <c r="T20" i="1"/>
  <c r="T99" i="1"/>
  <c r="S99" i="1" s="1"/>
  <c r="R99" i="1" s="1"/>
  <c r="T51" i="1"/>
  <c r="S51" i="1" s="1"/>
  <c r="R51" i="1" s="1"/>
  <c r="T254" i="1"/>
  <c r="S254" i="1" s="1"/>
  <c r="R254" i="1" s="1"/>
  <c r="T112" i="1"/>
  <c r="AH140" i="1"/>
  <c r="AG140" i="1" s="1"/>
  <c r="AF140" i="1" s="1"/>
  <c r="AH187" i="1"/>
  <c r="AG187" i="1" s="1"/>
  <c r="AF187" i="1" s="1"/>
  <c r="T71" i="1"/>
  <c r="S71" i="1" s="1"/>
  <c r="R71" i="1" s="1"/>
  <c r="T289" i="1"/>
  <c r="S289" i="1" s="1"/>
  <c r="R289" i="1" s="1"/>
  <c r="T67" i="1"/>
  <c r="S67" i="1" s="1"/>
  <c r="R67" i="1" s="1"/>
  <c r="AH245" i="1"/>
  <c r="AG245" i="1" s="1"/>
  <c r="AF245" i="1" s="1"/>
  <c r="AH352" i="1"/>
  <c r="AG352" i="1" s="1"/>
  <c r="AF352" i="1" s="1"/>
  <c r="AH154" i="1"/>
  <c r="AG154" i="1" s="1"/>
  <c r="AF154" i="1" s="1"/>
  <c r="AH317" i="1"/>
  <c r="AG317" i="1" s="1"/>
  <c r="AF317" i="1" s="1"/>
  <c r="AH17" i="1"/>
  <c r="AH26" i="1"/>
  <c r="AG26" i="1" s="1"/>
  <c r="AF26" i="1" s="1"/>
  <c r="AH278" i="1"/>
  <c r="AG278" i="1" s="1"/>
  <c r="AF278" i="1" s="1"/>
  <c r="AH28" i="1"/>
  <c r="AG28" i="1" s="1"/>
  <c r="AF28" i="1" s="1"/>
  <c r="AH105" i="1"/>
  <c r="AG105" i="1" s="1"/>
  <c r="AF105" i="1" s="1"/>
  <c r="T124" i="1"/>
  <c r="S124" i="1" s="1"/>
  <c r="R124" i="1" s="1"/>
  <c r="T322" i="1"/>
  <c r="S322" i="1" s="1"/>
  <c r="R322" i="1" s="1"/>
  <c r="T172" i="1"/>
  <c r="T350" i="1"/>
  <c r="T149" i="1"/>
  <c r="S149" i="1" s="1"/>
  <c r="R149" i="1" s="1"/>
  <c r="AH102" i="1"/>
  <c r="AG102" i="1" s="1"/>
  <c r="AF102" i="1" s="1"/>
  <c r="AH286" i="1"/>
  <c r="AG286" i="1" s="1"/>
  <c r="AF286" i="1" s="1"/>
  <c r="AH351" i="1"/>
  <c r="AH203" i="1"/>
  <c r="AG203" i="1" s="1"/>
  <c r="AF203" i="1" s="1"/>
  <c r="AH64" i="1"/>
  <c r="AG64" i="1" s="1"/>
  <c r="AF64" i="1" s="1"/>
  <c r="T304" i="1"/>
  <c r="T243" i="1"/>
  <c r="AH27" i="1"/>
  <c r="AH136" i="1"/>
  <c r="AH360" i="1"/>
  <c r="AG360" i="1" s="1"/>
  <c r="AF360" i="1" s="1"/>
  <c r="AH253" i="1"/>
  <c r="AG253" i="1" s="1"/>
  <c r="AF253" i="1" s="1"/>
  <c r="T370" i="1"/>
  <c r="AH325" i="1"/>
  <c r="AH225" i="1"/>
  <c r="AG225" i="1" s="1"/>
  <c r="AF225" i="1" s="1"/>
  <c r="AH378" i="1"/>
  <c r="AG378" i="1" s="1"/>
  <c r="AF378" i="1" s="1"/>
  <c r="AH223" i="1"/>
  <c r="AG223" i="1" s="1"/>
  <c r="AF223" i="1" s="1"/>
  <c r="AH308" i="1"/>
  <c r="AG308" i="1" s="1"/>
  <c r="AF308" i="1" s="1"/>
  <c r="AH31" i="1"/>
  <c r="T223" i="1"/>
  <c r="S223" i="1" s="1"/>
  <c r="R223" i="1" s="1"/>
  <c r="T331" i="1"/>
  <c r="T303" i="1"/>
  <c r="AH248" i="1"/>
  <c r="AG248" i="1" s="1"/>
  <c r="AF248" i="1" s="1"/>
  <c r="AH219" i="1"/>
  <c r="AH82" i="1"/>
  <c r="AG82" i="1" s="1"/>
  <c r="AF82" i="1" s="1"/>
  <c r="AH322" i="1"/>
  <c r="AG322" i="1" s="1"/>
  <c r="AF322" i="1" s="1"/>
  <c r="AH314" i="1"/>
  <c r="AG314" i="1" s="1"/>
  <c r="AF314" i="1" s="1"/>
  <c r="AH33" i="1"/>
  <c r="AG33" i="1" s="1"/>
  <c r="AF33" i="1" s="1"/>
  <c r="T357" i="1"/>
  <c r="AH40" i="1"/>
  <c r="AG40" i="1" s="1"/>
  <c r="AF40" i="1" s="1"/>
  <c r="AH321" i="1"/>
  <c r="AG321" i="1" s="1"/>
  <c r="AF321" i="1" s="1"/>
  <c r="T141" i="1"/>
  <c r="S141" i="1" s="1"/>
  <c r="R141" i="1" s="1"/>
  <c r="AH211" i="1"/>
  <c r="T22" i="1"/>
  <c r="S22" i="1" s="1"/>
  <c r="R22" i="1" s="1"/>
  <c r="AH181" i="1"/>
  <c r="AH135" i="1"/>
  <c r="AH216" i="1"/>
  <c r="AG216" i="1" s="1"/>
  <c r="AF216" i="1" s="1"/>
  <c r="T366" i="1"/>
  <c r="S366" i="1" s="1"/>
  <c r="R366" i="1" s="1"/>
  <c r="AH93" i="1"/>
  <c r="AG93" i="1" s="1"/>
  <c r="AF93" i="1" s="1"/>
  <c r="AH76" i="1"/>
  <c r="AG76" i="1" s="1"/>
  <c r="AF76" i="1" s="1"/>
  <c r="AD76" i="1" s="1"/>
  <c r="T265" i="1"/>
  <c r="T270" i="1"/>
  <c r="S270" i="1" s="1"/>
  <c r="R270" i="1" s="1"/>
  <c r="AH94" i="1"/>
  <c r="AG94" i="1" s="1"/>
  <c r="AF94" i="1" s="1"/>
  <c r="AH34" i="1"/>
  <c r="AH141" i="1"/>
  <c r="T338" i="1"/>
  <c r="S338" i="1" s="1"/>
  <c r="R338" i="1" s="1"/>
  <c r="AH110" i="1"/>
  <c r="AG110" i="1" s="1"/>
  <c r="AF110" i="1" s="1"/>
  <c r="T84" i="1"/>
  <c r="S84" i="1" s="1"/>
  <c r="R84" i="1" s="1"/>
  <c r="AH137" i="1"/>
  <c r="AG137" i="1" s="1"/>
  <c r="AF137" i="1" s="1"/>
  <c r="AH318" i="1"/>
  <c r="T269" i="1"/>
  <c r="T188" i="1"/>
  <c r="S188" i="1" s="1"/>
  <c r="R188" i="1" s="1"/>
  <c r="T209" i="1"/>
  <c r="S209" i="1" s="1"/>
  <c r="R209" i="1" s="1"/>
  <c r="AH339" i="1"/>
  <c r="T288" i="1"/>
  <c r="S288" i="1" s="1"/>
  <c r="R288" i="1" s="1"/>
  <c r="AH29" i="1"/>
  <c r="AG29" i="1" s="1"/>
  <c r="AF29" i="1" s="1"/>
  <c r="T167" i="1"/>
  <c r="S167" i="1" s="1"/>
  <c r="R167" i="1" s="1"/>
  <c r="AH249" i="1"/>
  <c r="AG249" i="1" s="1"/>
  <c r="AF249" i="1" s="1"/>
  <c r="T55" i="1"/>
  <c r="S55" i="1" s="1"/>
  <c r="R55" i="1" s="1"/>
  <c r="T193" i="1"/>
  <c r="T235" i="1"/>
  <c r="AH19" i="1"/>
  <c r="T100" i="1"/>
  <c r="S100" i="1" s="1"/>
  <c r="R100" i="1" s="1"/>
  <c r="AH214" i="1"/>
  <c r="AG214" i="1" s="1"/>
  <c r="AF214" i="1" s="1"/>
  <c r="T249" i="1"/>
  <c r="T164" i="1"/>
  <c r="S164" i="1" s="1"/>
  <c r="R164" i="1" s="1"/>
  <c r="T351" i="1"/>
  <c r="S351" i="1" s="1"/>
  <c r="R351" i="1" s="1"/>
  <c r="AH84" i="1"/>
  <c r="T77" i="1"/>
  <c r="S77" i="1" s="1"/>
  <c r="R77" i="1" s="1"/>
  <c r="T184" i="1"/>
  <c r="S184" i="1" s="1"/>
  <c r="R184" i="1" s="1"/>
  <c r="T342" i="1"/>
  <c r="S342" i="1" s="1"/>
  <c r="R342" i="1" s="1"/>
  <c r="T66" i="1"/>
  <c r="S66" i="1" s="1"/>
  <c r="R66" i="1" s="1"/>
  <c r="T307" i="1"/>
  <c r="S307" i="1" s="1"/>
  <c r="R307" i="1" s="1"/>
  <c r="AH142" i="1"/>
  <c r="AG142" i="1" s="1"/>
  <c r="AF142" i="1" s="1"/>
  <c r="T176" i="1"/>
  <c r="S176" i="1" s="1"/>
  <c r="R176" i="1" s="1"/>
  <c r="S158" i="1"/>
  <c r="R158" i="1" s="1"/>
  <c r="S234" i="1"/>
  <c r="R234" i="1" s="1"/>
  <c r="S157" i="1"/>
  <c r="R157" i="1" s="1"/>
  <c r="S323" i="1"/>
  <c r="R323" i="1" s="1"/>
  <c r="S361" i="1"/>
  <c r="R361" i="1" s="1"/>
  <c r="S327" i="1"/>
  <c r="R327" i="1" s="1"/>
  <c r="AG41" i="1"/>
  <c r="AF41" i="1" s="1"/>
  <c r="AG292" i="1"/>
  <c r="AF292" i="1" s="1"/>
  <c r="AG202" i="1"/>
  <c r="AF202" i="1" s="1"/>
  <c r="AG266" i="1"/>
  <c r="AF266" i="1" s="1"/>
  <c r="AG176" i="1"/>
  <c r="AF176" i="1" s="1"/>
  <c r="AG228" i="1"/>
  <c r="AF228" i="1" s="1"/>
  <c r="S356" i="1"/>
  <c r="R356" i="1" s="1"/>
  <c r="AG309" i="1"/>
  <c r="AF309" i="1" s="1"/>
  <c r="AG327" i="1"/>
  <c r="AF327" i="1" s="1"/>
  <c r="AG190" i="1"/>
  <c r="AF190" i="1" s="1"/>
  <c r="J11" i="7"/>
  <c r="U11" i="15" s="1"/>
  <c r="S255" i="1"/>
  <c r="R255" i="1" s="1"/>
  <c r="S138" i="1"/>
  <c r="R138" i="1" s="1"/>
  <c r="S18" i="1"/>
  <c r="R18" i="1" s="1"/>
  <c r="AG270" i="1"/>
  <c r="AF270" i="1" s="1"/>
  <c r="S94" i="1"/>
  <c r="R94" i="1" s="1"/>
  <c r="S250" i="1"/>
  <c r="R250" i="1" s="1"/>
  <c r="AG282" i="1"/>
  <c r="AF282" i="1" s="1"/>
  <c r="AG59" i="1"/>
  <c r="AF59" i="1" s="1"/>
  <c r="S28" i="1"/>
  <c r="R28" i="1" s="1"/>
  <c r="AG44" i="1"/>
  <c r="AF44" i="1" s="1"/>
  <c r="AG261" i="1"/>
  <c r="AF261" i="1" s="1"/>
  <c r="AG323" i="1"/>
  <c r="AF323" i="1" s="1"/>
  <c r="S119" i="1"/>
  <c r="R119" i="1" s="1"/>
  <c r="S19" i="1"/>
  <c r="R19" i="1" s="1"/>
  <c r="AK173" i="18" l="1"/>
  <c r="AK297" i="18"/>
  <c r="AK41" i="18"/>
  <c r="AK132" i="18"/>
  <c r="U10" i="15"/>
  <c r="AK32" i="18"/>
  <c r="AK354" i="18"/>
  <c r="AK305" i="18"/>
  <c r="AK360" i="18"/>
  <c r="AK320" i="18"/>
  <c r="AK308" i="18"/>
  <c r="AK130" i="18"/>
  <c r="AK221" i="18"/>
  <c r="AK296" i="18"/>
  <c r="AK89" i="18"/>
  <c r="AK351" i="18"/>
  <c r="AK376" i="18"/>
  <c r="AK68" i="18"/>
  <c r="AK328" i="18"/>
  <c r="AK112" i="18"/>
  <c r="AK203" i="18"/>
  <c r="AK261" i="18"/>
  <c r="AK260" i="18"/>
  <c r="AK24" i="18"/>
  <c r="AK181" i="18"/>
  <c r="AK372" i="18"/>
  <c r="AK59" i="18"/>
  <c r="AK137" i="18"/>
  <c r="AK246" i="18"/>
  <c r="AK88" i="18"/>
  <c r="AK258" i="18"/>
  <c r="AK45" i="18"/>
  <c r="AK194" i="18"/>
  <c r="AK197" i="18"/>
  <c r="AK228" i="18"/>
  <c r="F8" i="18"/>
  <c r="P10" i="18" s="1"/>
  <c r="AK165" i="18"/>
  <c r="AK199" i="18"/>
  <c r="AK334" i="18"/>
  <c r="AK329" i="18"/>
  <c r="AK124" i="18"/>
  <c r="AK282" i="18"/>
  <c r="AK171" i="18"/>
  <c r="AK271" i="18"/>
  <c r="AK214" i="18"/>
  <c r="AK52" i="18"/>
  <c r="AK108" i="18"/>
  <c r="AK364" i="18"/>
  <c r="AK349" i="18"/>
  <c r="AK29" i="18"/>
  <c r="AK191" i="18"/>
  <c r="AK226" i="18"/>
  <c r="AK321" i="18"/>
  <c r="AK200" i="18"/>
  <c r="AK61" i="18"/>
  <c r="AK274" i="18"/>
  <c r="AK158" i="18"/>
  <c r="AK81" i="18"/>
  <c r="AK55" i="18"/>
  <c r="AK280" i="18"/>
  <c r="AK117" i="18"/>
  <c r="AK183" i="18"/>
  <c r="AK262" i="18"/>
  <c r="AK359" i="18"/>
  <c r="AK60" i="18"/>
  <c r="AK251" i="18"/>
  <c r="AK113" i="18"/>
  <c r="AK344" i="18"/>
  <c r="AK177" i="18"/>
  <c r="AK37" i="18"/>
  <c r="AK67" i="18"/>
  <c r="AK348" i="18"/>
  <c r="AK220" i="18"/>
  <c r="AK56" i="18"/>
  <c r="AK295" i="18"/>
  <c r="AK134" i="18"/>
  <c r="AK353" i="18"/>
  <c r="AK224" i="18"/>
  <c r="AK77" i="18"/>
  <c r="AK303" i="18"/>
  <c r="AK144" i="18"/>
  <c r="AK366" i="18"/>
  <c r="AK356" i="18"/>
  <c r="AK233" i="18"/>
  <c r="AK184" i="18"/>
  <c r="AK97" i="18"/>
  <c r="AK341" i="18"/>
  <c r="AK319" i="18"/>
  <c r="AK213" i="18"/>
  <c r="AK153" i="18"/>
  <c r="AK147" i="18"/>
  <c r="AK115" i="18"/>
  <c r="AK135" i="18"/>
  <c r="AK70" i="18"/>
  <c r="AK378" i="18"/>
  <c r="AK240" i="18"/>
  <c r="AK87" i="18"/>
  <c r="AK330" i="18"/>
  <c r="AK168" i="18"/>
  <c r="AK20" i="18"/>
  <c r="AK249" i="18"/>
  <c r="AK101" i="18"/>
  <c r="AK336" i="18"/>
  <c r="AK174" i="18"/>
  <c r="AK31" i="18"/>
  <c r="AK369" i="18"/>
  <c r="AK242" i="18"/>
  <c r="AK188" i="18"/>
  <c r="AK96" i="18"/>
  <c r="AK352" i="18"/>
  <c r="AK332" i="18"/>
  <c r="AK223" i="18"/>
  <c r="AK172" i="18"/>
  <c r="AK43" i="18"/>
  <c r="AK25" i="18"/>
  <c r="AK151" i="18"/>
  <c r="AK58" i="18"/>
  <c r="AK362" i="18"/>
  <c r="AK346" i="18"/>
  <c r="AK229" i="18"/>
  <c r="AK179" i="18"/>
  <c r="AK365" i="18"/>
  <c r="AK230" i="18"/>
  <c r="AK38" i="18"/>
  <c r="AK279" i="18"/>
  <c r="AK216" i="18"/>
  <c r="AK373" i="18"/>
  <c r="AK237" i="18"/>
  <c r="AK62" i="18"/>
  <c r="AK333" i="18"/>
  <c r="AK307" i="18"/>
  <c r="AK205" i="18"/>
  <c r="AK145" i="18"/>
  <c r="AK72" i="18"/>
  <c r="AK304" i="18"/>
  <c r="AK278" i="18"/>
  <c r="AK257" i="18"/>
  <c r="AK166" i="18"/>
  <c r="AK106" i="18"/>
  <c r="AK73" i="18"/>
  <c r="AK98" i="18"/>
  <c r="AK19" i="18"/>
  <c r="AK289" i="18"/>
  <c r="AK270" i="18"/>
  <c r="AK236" i="18"/>
  <c r="AK149" i="18"/>
  <c r="AK379" i="18"/>
  <c r="AK368" i="18"/>
  <c r="AK241" i="18"/>
  <c r="AK182" i="18"/>
  <c r="AK94" i="18"/>
  <c r="AK69" i="18"/>
  <c r="AK299" i="18"/>
  <c r="AK275" i="18"/>
  <c r="AK247" i="18"/>
  <c r="AK159" i="18"/>
  <c r="AK17" i="18"/>
  <c r="AK374" i="18"/>
  <c r="AK250" i="18"/>
  <c r="AK192" i="18"/>
  <c r="AK90" i="18"/>
  <c r="AK39" i="18"/>
  <c r="AK340" i="18"/>
  <c r="AK269" i="18"/>
  <c r="AK316" i="18"/>
  <c r="AK255" i="18"/>
  <c r="AK210" i="18"/>
  <c r="AK212" i="18"/>
  <c r="AK152" i="18"/>
  <c r="AK126" i="18"/>
  <c r="AK42" i="18"/>
  <c r="AK367" i="18"/>
  <c r="AK309" i="18"/>
  <c r="AK357" i="18"/>
  <c r="AK285" i="18"/>
  <c r="AK234" i="18"/>
  <c r="AK185" i="18"/>
  <c r="AK186" i="18"/>
  <c r="AK175" i="18"/>
  <c r="AK71" i="18"/>
  <c r="AK121" i="18"/>
  <c r="AK49" i="18"/>
  <c r="AK86" i="18"/>
  <c r="AK23" i="18"/>
  <c r="AK102" i="18"/>
  <c r="AK78" i="18"/>
  <c r="AK54" i="18"/>
  <c r="AK18" i="18"/>
  <c r="AK318" i="18"/>
  <c r="AK294" i="18"/>
  <c r="AK198" i="18"/>
  <c r="AK133" i="18"/>
  <c r="AK53" i="18"/>
  <c r="AK291" i="18"/>
  <c r="AK272" i="18"/>
  <c r="AK244" i="18"/>
  <c r="AK154" i="18"/>
  <c r="AK83" i="18"/>
  <c r="AK327" i="18"/>
  <c r="AK302" i="18"/>
  <c r="AK202" i="18"/>
  <c r="AK143" i="18"/>
  <c r="AK50" i="18"/>
  <c r="AK300" i="18"/>
  <c r="AK276" i="18"/>
  <c r="AK248" i="18"/>
  <c r="AK160" i="18"/>
  <c r="AK95" i="18"/>
  <c r="AK350" i="18"/>
  <c r="AK293" i="18"/>
  <c r="AK331" i="18"/>
  <c r="AK273" i="18"/>
  <c r="AK222" i="18"/>
  <c r="AK245" i="18"/>
  <c r="AK170" i="18"/>
  <c r="AK156" i="18"/>
  <c r="AK66" i="18"/>
  <c r="P12" i="18"/>
  <c r="AK322" i="18"/>
  <c r="AK371" i="18"/>
  <c r="AK298" i="18"/>
  <c r="AK243" i="18"/>
  <c r="AK201" i="18"/>
  <c r="AK190" i="18"/>
  <c r="AK142" i="18"/>
  <c r="AK109" i="18"/>
  <c r="AK116" i="18"/>
  <c r="AK28" i="18"/>
  <c r="AK119" i="18"/>
  <c r="AK48" i="18"/>
  <c r="AK120" i="18"/>
  <c r="AK93" i="18"/>
  <c r="AK35" i="18"/>
  <c r="AK26" i="18"/>
  <c r="AK338" i="18"/>
  <c r="AK267" i="18"/>
  <c r="AK312" i="18"/>
  <c r="AK253" i="18"/>
  <c r="AK208" i="18"/>
  <c r="AK207" i="18"/>
  <c r="AK148" i="18"/>
  <c r="AK30" i="18"/>
  <c r="AK306" i="18"/>
  <c r="AK281" i="18"/>
  <c r="AK259" i="18"/>
  <c r="AK169" i="18"/>
  <c r="AK110" i="18"/>
  <c r="AK342" i="18"/>
  <c r="AK323" i="18"/>
  <c r="AK215" i="18"/>
  <c r="AK157" i="18"/>
  <c r="AK64" i="18"/>
  <c r="AK313" i="18"/>
  <c r="AK288" i="18"/>
  <c r="AK193" i="18"/>
  <c r="AK125" i="18"/>
  <c r="AK91" i="18"/>
  <c r="AK355" i="18"/>
  <c r="AK301" i="18"/>
  <c r="AK337" i="18"/>
  <c r="AK277" i="18"/>
  <c r="AK227" i="18"/>
  <c r="AK256" i="18"/>
  <c r="AK176" i="18"/>
  <c r="AK164" i="18"/>
  <c r="AK84" i="18"/>
  <c r="AK21" i="18"/>
  <c r="AK335" i="18"/>
  <c r="AK263" i="18"/>
  <c r="AK310" i="18"/>
  <c r="AK252" i="18"/>
  <c r="AK206" i="18"/>
  <c r="AK204" i="18"/>
  <c r="AK146" i="18"/>
  <c r="AK104" i="18"/>
  <c r="AK131" i="18"/>
  <c r="AK63" i="18"/>
  <c r="AK99" i="18"/>
  <c r="AK36" i="18"/>
  <c r="AK128" i="18"/>
  <c r="AK103" i="18"/>
  <c r="AK51" i="18"/>
  <c r="AK22" i="18"/>
  <c r="AK47" i="18"/>
  <c r="AK75" i="18"/>
  <c r="AK80" i="18"/>
  <c r="AK85" i="18"/>
  <c r="AK118" i="18"/>
  <c r="AK114" i="18"/>
  <c r="AK140" i="18"/>
  <c r="AK34" i="18"/>
  <c r="AK57" i="18"/>
  <c r="AK105" i="18"/>
  <c r="AK16" i="18"/>
  <c r="AK44" i="18"/>
  <c r="AK76" i="18"/>
  <c r="AK100" i="18"/>
  <c r="AK15" i="18"/>
  <c r="AK82" i="18"/>
  <c r="AK141" i="18"/>
  <c r="AK129" i="18"/>
  <c r="AK163" i="18"/>
  <c r="AK180" i="18"/>
  <c r="AK232" i="18"/>
  <c r="AK196" i="18"/>
  <c r="AK219" i="18"/>
  <c r="AK239" i="18"/>
  <c r="AK266" i="18"/>
  <c r="AK292" i="18"/>
  <c r="AK326" i="18"/>
  <c r="AK363" i="18"/>
  <c r="AK287" i="18"/>
  <c r="AK317" i="18"/>
  <c r="AK347" i="18"/>
  <c r="AK377" i="18"/>
  <c r="AK46" i="18"/>
  <c r="AK79" i="18"/>
  <c r="AK111" i="18"/>
  <c r="AK139" i="18"/>
  <c r="AK127" i="18"/>
  <c r="AK162" i="18"/>
  <c r="AK178" i="18"/>
  <c r="AK231" i="18"/>
  <c r="AK195" i="18"/>
  <c r="AK218" i="18"/>
  <c r="AK238" i="18"/>
  <c r="AK265" i="18"/>
  <c r="AK290" i="18"/>
  <c r="AK325" i="18"/>
  <c r="AK361" i="18"/>
  <c r="AK284" i="18"/>
  <c r="AK315" i="18"/>
  <c r="AK345" i="18"/>
  <c r="AK375" i="18"/>
  <c r="AK65" i="18"/>
  <c r="AK155" i="18"/>
  <c r="AK136" i="18"/>
  <c r="AK161" i="18"/>
  <c r="AK225" i="18"/>
  <c r="AK217" i="18"/>
  <c r="AK264" i="18"/>
  <c r="AK324" i="18"/>
  <c r="AK283" i="18"/>
  <c r="AK343" i="18"/>
  <c r="AK40" i="18"/>
  <c r="AK107" i="18"/>
  <c r="AK123" i="18"/>
  <c r="AK189" i="18"/>
  <c r="AK187" i="18"/>
  <c r="AK235" i="18"/>
  <c r="AK286" i="18"/>
  <c r="AK358" i="18"/>
  <c r="AK311" i="18"/>
  <c r="AK370" i="18"/>
  <c r="AK74" i="18"/>
  <c r="AK138" i="18"/>
  <c r="AK122" i="18"/>
  <c r="AK150" i="18"/>
  <c r="AK211" i="18"/>
  <c r="AK209" i="18"/>
  <c r="AK254" i="18"/>
  <c r="AK314" i="18"/>
  <c r="AK268" i="18"/>
  <c r="AK339" i="18"/>
  <c r="AK27" i="18"/>
  <c r="AK92" i="18"/>
  <c r="AK167" i="18"/>
  <c r="AG11" i="7"/>
  <c r="Q11" i="20" s="1"/>
  <c r="BB9" i="7"/>
  <c r="BD10" i="7" s="1"/>
  <c r="P10" i="16"/>
  <c r="O11" i="16"/>
  <c r="O12" i="16"/>
  <c r="AK7" i="16"/>
  <c r="AJ6" i="16"/>
  <c r="AL9" i="16"/>
  <c r="AL5" i="16"/>
  <c r="AJ7" i="16"/>
  <c r="AJ11" i="16" s="1"/>
  <c r="AJ5" i="16"/>
  <c r="AL7" i="16"/>
  <c r="AL11" i="16" s="1"/>
  <c r="AJ3" i="16" s="1"/>
  <c r="O13" i="19" s="1"/>
  <c r="AJ9" i="16"/>
  <c r="AJ8" i="16"/>
  <c r="AC9" i="16"/>
  <c r="AZ292" i="6"/>
  <c r="AZ94" i="6"/>
  <c r="AZ112" i="6"/>
  <c r="AZ117" i="6"/>
  <c r="AZ140" i="6"/>
  <c r="AZ105" i="6"/>
  <c r="AZ122" i="6"/>
  <c r="AZ104" i="6"/>
  <c r="AZ101" i="6"/>
  <c r="AZ110" i="6"/>
  <c r="AZ99" i="6"/>
  <c r="AZ107" i="6"/>
  <c r="AZ102" i="6"/>
  <c r="AZ97" i="6"/>
  <c r="AZ130" i="6"/>
  <c r="AZ108" i="6"/>
  <c r="AZ113" i="6"/>
  <c r="AZ111" i="6"/>
  <c r="AZ123" i="6"/>
  <c r="AZ135" i="6"/>
  <c r="AZ300" i="6"/>
  <c r="AZ121" i="6"/>
  <c r="AZ323" i="6"/>
  <c r="AZ308" i="6"/>
  <c r="AZ145" i="6"/>
  <c r="AZ146" i="6"/>
  <c r="AZ299" i="6"/>
  <c r="AZ139" i="6"/>
  <c r="AZ124" i="6"/>
  <c r="AZ309" i="6"/>
  <c r="AZ142" i="6"/>
  <c r="AT273" i="6"/>
  <c r="AZ315" i="6"/>
  <c r="AT242" i="6"/>
  <c r="L35" i="19"/>
  <c r="AM9" i="17"/>
  <c r="AK6" i="16"/>
  <c r="AK5" i="16"/>
  <c r="AK6" i="17"/>
  <c r="AI11" i="17"/>
  <c r="E382" i="1"/>
  <c r="AK8" i="1"/>
  <c r="E381" i="1"/>
  <c r="AJ10" i="1"/>
  <c r="AJ12" i="1" s="1"/>
  <c r="AJ13" i="1" s="1"/>
  <c r="E383" i="1"/>
  <c r="E9" i="1"/>
  <c r="E11" i="1" s="1"/>
  <c r="F35" i="19" s="1"/>
  <c r="O10" i="15"/>
  <c r="AC10" i="15"/>
  <c r="AI11" i="15"/>
  <c r="C11" i="19"/>
  <c r="AK9" i="17"/>
  <c r="E195" i="17"/>
  <c r="AK7" i="17"/>
  <c r="AK11" i="17" s="1"/>
  <c r="P10" i="17"/>
  <c r="C62" i="7"/>
  <c r="E379" i="17"/>
  <c r="C38" i="19"/>
  <c r="AM7" i="17"/>
  <c r="AM11" i="17" s="1"/>
  <c r="AK5" i="17"/>
  <c r="AM5" i="17"/>
  <c r="AE11" i="17"/>
  <c r="AE11" i="15"/>
  <c r="Q306" i="15"/>
  <c r="AE365" i="15"/>
  <c r="AE306" i="15"/>
  <c r="Q238" i="15"/>
  <c r="Q298" i="15"/>
  <c r="Q329" i="15"/>
  <c r="AE78" i="15"/>
  <c r="Q142" i="15"/>
  <c r="Q286" i="15"/>
  <c r="Q196" i="15"/>
  <c r="AE42" i="15"/>
  <c r="AE16" i="15"/>
  <c r="AE340" i="15"/>
  <c r="Q84" i="15"/>
  <c r="Q45" i="15"/>
  <c r="Q239" i="15"/>
  <c r="Q73" i="15"/>
  <c r="Q131" i="15"/>
  <c r="Q318" i="15"/>
  <c r="Q144" i="15"/>
  <c r="AE169" i="15"/>
  <c r="AE296" i="15"/>
  <c r="AE146" i="15"/>
  <c r="AE15" i="15"/>
  <c r="Q186" i="15"/>
  <c r="AE193" i="15"/>
  <c r="AE239" i="15"/>
  <c r="AE324" i="15"/>
  <c r="AE351" i="15"/>
  <c r="AE170" i="15"/>
  <c r="AE215" i="15"/>
  <c r="AE94" i="15"/>
  <c r="AE81" i="15"/>
  <c r="AE34" i="15"/>
  <c r="AE323" i="15"/>
  <c r="Q345" i="15"/>
  <c r="Q85" i="15"/>
  <c r="Q94" i="15"/>
  <c r="Q30" i="15"/>
  <c r="Q245" i="15"/>
  <c r="Q165" i="15"/>
  <c r="Q266" i="15"/>
  <c r="Q91" i="15"/>
  <c r="Q149" i="15"/>
  <c r="Q200" i="15"/>
  <c r="Q355" i="15"/>
  <c r="Q159" i="15"/>
  <c r="Q197" i="15"/>
  <c r="Q257" i="15"/>
  <c r="Q60" i="15"/>
  <c r="Q297" i="15"/>
  <c r="Q32" i="15"/>
  <c r="Q317" i="15"/>
  <c r="Q354" i="15"/>
  <c r="Q250" i="15"/>
  <c r="Q361" i="15"/>
  <c r="Q376" i="15"/>
  <c r="Q338" i="15"/>
  <c r="Q108" i="15"/>
  <c r="Q362" i="15"/>
  <c r="Q116" i="15"/>
  <c r="Q289" i="15"/>
  <c r="Q247" i="15"/>
  <c r="Q242" i="15"/>
  <c r="Q155" i="15"/>
  <c r="Q256" i="15"/>
  <c r="AE321" i="15"/>
  <c r="AE192" i="15"/>
  <c r="AE219" i="15"/>
  <c r="AE371" i="15"/>
  <c r="AE269" i="15"/>
  <c r="AE30" i="15"/>
  <c r="AE29" i="15"/>
  <c r="AE261" i="15"/>
  <c r="AE142" i="15"/>
  <c r="Q221" i="15"/>
  <c r="Q101" i="15"/>
  <c r="Q87" i="15"/>
  <c r="Q127" i="15"/>
  <c r="Q121" i="15"/>
  <c r="Q136" i="15"/>
  <c r="Q240" i="15"/>
  <c r="Q67" i="15"/>
  <c r="Q359" i="15"/>
  <c r="Q28" i="15"/>
  <c r="Q350" i="15"/>
  <c r="Q217" i="15"/>
  <c r="Q241" i="15"/>
  <c r="Q178" i="15"/>
  <c r="Q323" i="15"/>
  <c r="Q164" i="15"/>
  <c r="Q162" i="15"/>
  <c r="Q46" i="15"/>
  <c r="Q322" i="15"/>
  <c r="Q181" i="15"/>
  <c r="Q177" i="15"/>
  <c r="Q96" i="15"/>
  <c r="Q295" i="15"/>
  <c r="Q282" i="15"/>
  <c r="Q49" i="15"/>
  <c r="Q193" i="15"/>
  <c r="Q280" i="15"/>
  <c r="Q35" i="15"/>
  <c r="Q39" i="15"/>
  <c r="Q370" i="15"/>
  <c r="Q294" i="15"/>
  <c r="Q303" i="15"/>
  <c r="Q314" i="15"/>
  <c r="Q98" i="15"/>
  <c r="Q113" i="15"/>
  <c r="Q120" i="15"/>
  <c r="Q231" i="15"/>
  <c r="Q340" i="15"/>
  <c r="Q268" i="15"/>
  <c r="Q187" i="15"/>
  <c r="Q275" i="15"/>
  <c r="AE148" i="15"/>
  <c r="AE179" i="15"/>
  <c r="AE223" i="15"/>
  <c r="AE102" i="15"/>
  <c r="AE352" i="15"/>
  <c r="AE57" i="15"/>
  <c r="AE325" i="15"/>
  <c r="AE211" i="15"/>
  <c r="AE69" i="15"/>
  <c r="AE105" i="15"/>
  <c r="AE286" i="15"/>
  <c r="AE220" i="15"/>
  <c r="AE330" i="15"/>
  <c r="AE31" i="15"/>
  <c r="AE251" i="15"/>
  <c r="AE92" i="15"/>
  <c r="AE197" i="15"/>
  <c r="AE199" i="15"/>
  <c r="AE275" i="15"/>
  <c r="AE369" i="15"/>
  <c r="AE58" i="15"/>
  <c r="Q341" i="15"/>
  <c r="AE195" i="15"/>
  <c r="AE262" i="15"/>
  <c r="AE154" i="15"/>
  <c r="AE342" i="15"/>
  <c r="Q326" i="15"/>
  <c r="AE147" i="15"/>
  <c r="AE207" i="15"/>
  <c r="AE360" i="15"/>
  <c r="AE305" i="15"/>
  <c r="AE308" i="15"/>
  <c r="AE341" i="15"/>
  <c r="AE208" i="15"/>
  <c r="AE299" i="15"/>
  <c r="AE336" i="15"/>
  <c r="AE91" i="15"/>
  <c r="AE271" i="15"/>
  <c r="AE263" i="15"/>
  <c r="AE326" i="15"/>
  <c r="AE166" i="15"/>
  <c r="AE288" i="15"/>
  <c r="AE204" i="15"/>
  <c r="AE285" i="15"/>
  <c r="AE378" i="15"/>
  <c r="AE344" i="15"/>
  <c r="AE283" i="15"/>
  <c r="AE125" i="15"/>
  <c r="AE79" i="15"/>
  <c r="AE109" i="15"/>
  <c r="AE103" i="15"/>
  <c r="Q89" i="15"/>
  <c r="Q55" i="15"/>
  <c r="Q172" i="15"/>
  <c r="Q74" i="15"/>
  <c r="Q246" i="15"/>
  <c r="Q97" i="15"/>
  <c r="Q148" i="15"/>
  <c r="AE232" i="15"/>
  <c r="AE209" i="15"/>
  <c r="AE188" i="15"/>
  <c r="AE372" i="15"/>
  <c r="AE319" i="15"/>
  <c r="Q123" i="15"/>
  <c r="AE237" i="15"/>
  <c r="Q212" i="15"/>
  <c r="Q24" i="15"/>
  <c r="Q22" i="15"/>
  <c r="Q195" i="15"/>
  <c r="AE276" i="15"/>
  <c r="Q99" i="15"/>
  <c r="AE327" i="15"/>
  <c r="AE289" i="15"/>
  <c r="AE127" i="15"/>
  <c r="AE61" i="15"/>
  <c r="AE238" i="15"/>
  <c r="Q301" i="15"/>
  <c r="Q211" i="15"/>
  <c r="Q128" i="15"/>
  <c r="Q95" i="15"/>
  <c r="Q41" i="15"/>
  <c r="Q265" i="15"/>
  <c r="Q138" i="15"/>
  <c r="Q277" i="15"/>
  <c r="Q132" i="15"/>
  <c r="Q279" i="15"/>
  <c r="Q253" i="15"/>
  <c r="Q235" i="15"/>
  <c r="Q191" i="15"/>
  <c r="Q351" i="15"/>
  <c r="Q315" i="15"/>
  <c r="Q214" i="15"/>
  <c r="AE149" i="15"/>
  <c r="AE134" i="15"/>
  <c r="AE41" i="15"/>
  <c r="AE332" i="15"/>
  <c r="AE93" i="15"/>
  <c r="Q189" i="15"/>
  <c r="Q71" i="15"/>
  <c r="Q182" i="15"/>
  <c r="Q174" i="15"/>
  <c r="Q274" i="15"/>
  <c r="Q213" i="15"/>
  <c r="Q125" i="15"/>
  <c r="Q163" i="15"/>
  <c r="Q143" i="15"/>
  <c r="Q185" i="15"/>
  <c r="Q262" i="15"/>
  <c r="Q51" i="15"/>
  <c r="Q325" i="15"/>
  <c r="Q119" i="15"/>
  <c r="Q230" i="15"/>
  <c r="Q330" i="15"/>
  <c r="Q129" i="15"/>
  <c r="Q218" i="15"/>
  <c r="Q290" i="15"/>
  <c r="Q261" i="15"/>
  <c r="Q296" i="15"/>
  <c r="AE362" i="15"/>
  <c r="AE256" i="15"/>
  <c r="AE75" i="15"/>
  <c r="AE180" i="15"/>
  <c r="AE349" i="15"/>
  <c r="AE87" i="15"/>
  <c r="AE368" i="15"/>
  <c r="AE246" i="15"/>
  <c r="AE116" i="15"/>
  <c r="AE26" i="15"/>
  <c r="Q175" i="15"/>
  <c r="AE151" i="15"/>
  <c r="AE267" i="15"/>
  <c r="AE70" i="15"/>
  <c r="AE161" i="15"/>
  <c r="AE363" i="15"/>
  <c r="AE243" i="15"/>
  <c r="AE277" i="15"/>
  <c r="AE191" i="15"/>
  <c r="AE150" i="15"/>
  <c r="AE310" i="15"/>
  <c r="AE165" i="15"/>
  <c r="AE66" i="15"/>
  <c r="AE249" i="15"/>
  <c r="Q371" i="15"/>
  <c r="Q88" i="15"/>
  <c r="Q210" i="15"/>
  <c r="Q299" i="15"/>
  <c r="AE338" i="15"/>
  <c r="AE160" i="15"/>
  <c r="AE45" i="15"/>
  <c r="AE333" i="15"/>
  <c r="AE196" i="15"/>
  <c r="AE322" i="15"/>
  <c r="AE247" i="15"/>
  <c r="AE49" i="15"/>
  <c r="AE25" i="15"/>
  <c r="AE347" i="15"/>
  <c r="AE314" i="15"/>
  <c r="AE20" i="15"/>
  <c r="AE301" i="15"/>
  <c r="AE236" i="15"/>
  <c r="AE117" i="15"/>
  <c r="AE225" i="15"/>
  <c r="AE379" i="15"/>
  <c r="AE12" i="16" s="1"/>
  <c r="AE331" i="15"/>
  <c r="AE106" i="15"/>
  <c r="AE210" i="15"/>
  <c r="AE72" i="15"/>
  <c r="AE185" i="15"/>
  <c r="AE300" i="15"/>
  <c r="AE129" i="15"/>
  <c r="AE364" i="15"/>
  <c r="AE115" i="15"/>
  <c r="AE68" i="15"/>
  <c r="AE47" i="15"/>
  <c r="AE178" i="15"/>
  <c r="AE145" i="15"/>
  <c r="AE82" i="15"/>
  <c r="AE183" i="15"/>
  <c r="AE302" i="15"/>
  <c r="AE123" i="15"/>
  <c r="AE214" i="15"/>
  <c r="AE260" i="15"/>
  <c r="AE335" i="15"/>
  <c r="AE290" i="15"/>
  <c r="AE230" i="15"/>
  <c r="AE226" i="15"/>
  <c r="AE259" i="15"/>
  <c r="AE366" i="15"/>
  <c r="AE40" i="15"/>
  <c r="AE268" i="15"/>
  <c r="AE284" i="15"/>
  <c r="AE157" i="15"/>
  <c r="AE200" i="15"/>
  <c r="AE253" i="15"/>
  <c r="AE357" i="15"/>
  <c r="AE96" i="15"/>
  <c r="AE65" i="15"/>
  <c r="AE375" i="15"/>
  <c r="AE84" i="15"/>
  <c r="Q267" i="15"/>
  <c r="Q37" i="15"/>
  <c r="Q209" i="15"/>
  <c r="Q207" i="15"/>
  <c r="Q179" i="15"/>
  <c r="Q339" i="15"/>
  <c r="Q70" i="15"/>
  <c r="Q310" i="15"/>
  <c r="Q64" i="15"/>
  <c r="Q368" i="15"/>
  <c r="Q369" i="15"/>
  <c r="Q243" i="15"/>
  <c r="Q43" i="15"/>
  <c r="Q90" i="15"/>
  <c r="Q308" i="15"/>
  <c r="Q44" i="15"/>
  <c r="Q302" i="15"/>
  <c r="Q151" i="15"/>
  <c r="Q270" i="15"/>
  <c r="Q169" i="15"/>
  <c r="Q199" i="15"/>
  <c r="Q346" i="15"/>
  <c r="Q112" i="15"/>
  <c r="Q273" i="15"/>
  <c r="Q233" i="15"/>
  <c r="Q283" i="15"/>
  <c r="Q126" i="15"/>
  <c r="Q226" i="15"/>
  <c r="Q118" i="15"/>
  <c r="Q293" i="15"/>
  <c r="Q334" i="15"/>
  <c r="Q42" i="15"/>
  <c r="Q357" i="15"/>
  <c r="Q146" i="15"/>
  <c r="Q18" i="15"/>
  <c r="Q251" i="15"/>
  <c r="Q194" i="15"/>
  <c r="Q378" i="15"/>
  <c r="Q33" i="15"/>
  <c r="Q80" i="15"/>
  <c r="Q215" i="15"/>
  <c r="Q62" i="15"/>
  <c r="Q373" i="15"/>
  <c r="Q307" i="15"/>
  <c r="Q316" i="15"/>
  <c r="Q260" i="15"/>
  <c r="Q117" i="15"/>
  <c r="Q320" i="15"/>
  <c r="Q219" i="15"/>
  <c r="Q365" i="15"/>
  <c r="Q327" i="15"/>
  <c r="Q147" i="15"/>
  <c r="Q332" i="15"/>
  <c r="Q223" i="15"/>
  <c r="Q269" i="15"/>
  <c r="Q124" i="15"/>
  <c r="Q288" i="15"/>
  <c r="Q61" i="15"/>
  <c r="Q278" i="15"/>
  <c r="Q58" i="15"/>
  <c r="Q134" i="15"/>
  <c r="Q171" i="15"/>
  <c r="Q309" i="15"/>
  <c r="Q38" i="15"/>
  <c r="Q176" i="15"/>
  <c r="Q249" i="15"/>
  <c r="Q305" i="15"/>
  <c r="Q202" i="15"/>
  <c r="Q328" i="15"/>
  <c r="Q105" i="15"/>
  <c r="Q100" i="15"/>
  <c r="Q109" i="15"/>
  <c r="Q107" i="15"/>
  <c r="Q234" i="15"/>
  <c r="Q53" i="15"/>
  <c r="Q192" i="15"/>
  <c r="Q140" i="15"/>
  <c r="Q237" i="15"/>
  <c r="Q263" i="15"/>
  <c r="Q83" i="15"/>
  <c r="Q287" i="15"/>
  <c r="Q291" i="15"/>
  <c r="Q312" i="15"/>
  <c r="Q153" i="15"/>
  <c r="AE222" i="15"/>
  <c r="AE320" i="15"/>
  <c r="AE270" i="15"/>
  <c r="AE334" i="15"/>
  <c r="AE36" i="15"/>
  <c r="AE37" i="15"/>
  <c r="AE56" i="15"/>
  <c r="AE280" i="15"/>
  <c r="AE376" i="15"/>
  <c r="AE273" i="15"/>
  <c r="AE370" i="15"/>
  <c r="AE182" i="15"/>
  <c r="AE377" i="15"/>
  <c r="AE358" i="15"/>
  <c r="AE17" i="15"/>
  <c r="AE254" i="15"/>
  <c r="AE33" i="15"/>
  <c r="AE297" i="15"/>
  <c r="AE353" i="15"/>
  <c r="AE44" i="15"/>
  <c r="AE137" i="15"/>
  <c r="AE128" i="15"/>
  <c r="AE51" i="15"/>
  <c r="AE112" i="15"/>
  <c r="AE122" i="15"/>
  <c r="AE35" i="15"/>
  <c r="AE39" i="15"/>
  <c r="AE101" i="15"/>
  <c r="AE218" i="15"/>
  <c r="AE279" i="15"/>
  <c r="AE136" i="15"/>
  <c r="AE233" i="15"/>
  <c r="AE139" i="15"/>
  <c r="AE90" i="15"/>
  <c r="AE245" i="15"/>
  <c r="AE71" i="15"/>
  <c r="AE345" i="15"/>
  <c r="AE80" i="15"/>
  <c r="AE201" i="15"/>
  <c r="AE22" i="15"/>
  <c r="AE373" i="15"/>
  <c r="Q137" i="15"/>
  <c r="Q52" i="15"/>
  <c r="Q82" i="15"/>
  <c r="Q27" i="15"/>
  <c r="Q68" i="15"/>
  <c r="AE187" i="15"/>
  <c r="AE244" i="15"/>
  <c r="AE48" i="15"/>
  <c r="AE156" i="15"/>
  <c r="AE120" i="15"/>
  <c r="AE174" i="15"/>
  <c r="AE83" i="15"/>
  <c r="AE124" i="15"/>
  <c r="AE111" i="15"/>
  <c r="AE159" i="15"/>
  <c r="AE23" i="15"/>
  <c r="Q356" i="15"/>
  <c r="Q92" i="15"/>
  <c r="Q276" i="15"/>
  <c r="Q40" i="15"/>
  <c r="AE133" i="15"/>
  <c r="AE186" i="15"/>
  <c r="AE46" i="15"/>
  <c r="AE274" i="15"/>
  <c r="AE27" i="15"/>
  <c r="AE203" i="15"/>
  <c r="AE52" i="15"/>
  <c r="AE294" i="15"/>
  <c r="Q252" i="15"/>
  <c r="Q115" i="15"/>
  <c r="Q75" i="15"/>
  <c r="Q228" i="15"/>
  <c r="Q168" i="15"/>
  <c r="Q324" i="15"/>
  <c r="Q300" i="15"/>
  <c r="Q158" i="15"/>
  <c r="Q203" i="15"/>
  <c r="Q201" i="15"/>
  <c r="Q364" i="15"/>
  <c r="Q130" i="15"/>
  <c r="Q216" i="15"/>
  <c r="Q254" i="15"/>
  <c r="Q225" i="15"/>
  <c r="AE168" i="15"/>
  <c r="AE107" i="15"/>
  <c r="AE346" i="15"/>
  <c r="Q224" i="15"/>
  <c r="Q271" i="15"/>
  <c r="Q135" i="15"/>
  <c r="Q366" i="15"/>
  <c r="Q331" i="15"/>
  <c r="Q321" i="15"/>
  <c r="Q103" i="15"/>
  <c r="Q145" i="15"/>
  <c r="Q122" i="15"/>
  <c r="Q358" i="15"/>
  <c r="Q25" i="15"/>
  <c r="Q337" i="15"/>
  <c r="Q141" i="15"/>
  <c r="Q190" i="15"/>
  <c r="Q220" i="15"/>
  <c r="Q93" i="15"/>
  <c r="Q170" i="15"/>
  <c r="Q106" i="15"/>
  <c r="Q281" i="15"/>
  <c r="Q77" i="15"/>
  <c r="Q347" i="15"/>
  <c r="AE77" i="15"/>
  <c r="AE172" i="15"/>
  <c r="AE64" i="15"/>
  <c r="AE173" i="15"/>
  <c r="AE337" i="15"/>
  <c r="AE171" i="15"/>
  <c r="AE213" i="15"/>
  <c r="AE59" i="15"/>
  <c r="AE73" i="15"/>
  <c r="AE86" i="15"/>
  <c r="Q19" i="15"/>
  <c r="AE281" i="15"/>
  <c r="AE99" i="15"/>
  <c r="AE316" i="15"/>
  <c r="AE303" i="15"/>
  <c r="AE241" i="15"/>
  <c r="AE264" i="15"/>
  <c r="AE318" i="15"/>
  <c r="Q344" i="15"/>
  <c r="Q311" i="15"/>
  <c r="AE221" i="15"/>
  <c r="AE158" i="15"/>
  <c r="AE295" i="15"/>
  <c r="AE143" i="15"/>
  <c r="AE76" i="15"/>
  <c r="AE130" i="15"/>
  <c r="AE38" i="15"/>
  <c r="AE240" i="15"/>
  <c r="AE95" i="15"/>
  <c r="AE194" i="15"/>
  <c r="AE53" i="15"/>
  <c r="AE190" i="15"/>
  <c r="AE24" i="15"/>
  <c r="AE118" i="15"/>
  <c r="AE328" i="15"/>
  <c r="AE216" i="15"/>
  <c r="AE108" i="15"/>
  <c r="AE175" i="15"/>
  <c r="AE291" i="15"/>
  <c r="AE184" i="15"/>
  <c r="AE138" i="15"/>
  <c r="AE164" i="15"/>
  <c r="AE307" i="15"/>
  <c r="AE19" i="15"/>
  <c r="AE153" i="15"/>
  <c r="AE350" i="15"/>
  <c r="AE312" i="15"/>
  <c r="Q284" i="15"/>
  <c r="Q377" i="15"/>
  <c r="Q313" i="15"/>
  <c r="Q161" i="15"/>
  <c r="Q16" i="15"/>
  <c r="Q360" i="15"/>
  <c r="Q31" i="15"/>
  <c r="Q157" i="15"/>
  <c r="Q66" i="15"/>
  <c r="Q86" i="15"/>
  <c r="Q20" i="15"/>
  <c r="Q236" i="15"/>
  <c r="Q114" i="15"/>
  <c r="Q342" i="15"/>
  <c r="Q166" i="15"/>
  <c r="Q222" i="15"/>
  <c r="Q152" i="15"/>
  <c r="Q198" i="15"/>
  <c r="Q69" i="15"/>
  <c r="Q23" i="15"/>
  <c r="Q374" i="15"/>
  <c r="Q36" i="15"/>
  <c r="Q367" i="15"/>
  <c r="Q229" i="15"/>
  <c r="Q319" i="15"/>
  <c r="Q206" i="15"/>
  <c r="Q76" i="15"/>
  <c r="Q336" i="15"/>
  <c r="Q292" i="15"/>
  <c r="Q133" i="15"/>
  <c r="Q248" i="15"/>
  <c r="Q343" i="15"/>
  <c r="Q183" i="15"/>
  <c r="Q232" i="15"/>
  <c r="Q353" i="15"/>
  <c r="Q348" i="15"/>
  <c r="Q349" i="15"/>
  <c r="Q160" i="15"/>
  <c r="Q255" i="15"/>
  <c r="Q264" i="15"/>
  <c r="Q333" i="15"/>
  <c r="Q208" i="15"/>
  <c r="AE162" i="15"/>
  <c r="AE227" i="15"/>
  <c r="AE304" i="15"/>
  <c r="AE229" i="15"/>
  <c r="AE126" i="15"/>
  <c r="AE141" i="15"/>
  <c r="AE231" i="15"/>
  <c r="AE155" i="15"/>
  <c r="AE167" i="15"/>
  <c r="AE110" i="15"/>
  <c r="AE257" i="15"/>
  <c r="AE205" i="15"/>
  <c r="AE355" i="15"/>
  <c r="AE100" i="15"/>
  <c r="AE367" i="15"/>
  <c r="AE140" i="15"/>
  <c r="AE266" i="15"/>
  <c r="AE339" i="15"/>
  <c r="AE177" i="15"/>
  <c r="AE224" i="15"/>
  <c r="AE359" i="15"/>
  <c r="Q363" i="15"/>
  <c r="Q167" i="15"/>
  <c r="AE28" i="15"/>
  <c r="AE135" i="15"/>
  <c r="AE329" i="15"/>
  <c r="AE298" i="15"/>
  <c r="AE85" i="15"/>
  <c r="AE282" i="15"/>
  <c r="AE265" i="15"/>
  <c r="AE62" i="15"/>
  <c r="AE217" i="15"/>
  <c r="AE18" i="15"/>
  <c r="AE113" i="15"/>
  <c r="AE206" i="15"/>
  <c r="Q54" i="15"/>
  <c r="Q205" i="15"/>
  <c r="AE313" i="15"/>
  <c r="AE176" i="15"/>
  <c r="AE317" i="15"/>
  <c r="AE131" i="15"/>
  <c r="AE235" i="15"/>
  <c r="AE144" i="15"/>
  <c r="AE198" i="15"/>
  <c r="AE343" i="15"/>
  <c r="AE202" i="15"/>
  <c r="AE348" i="15"/>
  <c r="AE278" i="15"/>
  <c r="AE287" i="15"/>
  <c r="AE250" i="15"/>
  <c r="AE309" i="15"/>
  <c r="AE374" i="15"/>
  <c r="AE32" i="15"/>
  <c r="AE356" i="15"/>
  <c r="AE67" i="15"/>
  <c r="AE119" i="15"/>
  <c r="AE311" i="15"/>
  <c r="AE121" i="15"/>
  <c r="AE54" i="15"/>
  <c r="AE114" i="15"/>
  <c r="AE21" i="15"/>
  <c r="AE255" i="15"/>
  <c r="AE354" i="15"/>
  <c r="AE43" i="15"/>
  <c r="Q272" i="15"/>
  <c r="Q244" i="15"/>
  <c r="Q65" i="15"/>
  <c r="Q57" i="15"/>
  <c r="Q50" i="15"/>
  <c r="Q104" i="15"/>
  <c r="Q72" i="15"/>
  <c r="Q352" i="15"/>
  <c r="Q259" i="15"/>
  <c r="Q48" i="15"/>
  <c r="Q21" i="15"/>
  <c r="Q78" i="15"/>
  <c r="Q372" i="15"/>
  <c r="Q139" i="15"/>
  <c r="Q17" i="15"/>
  <c r="Q81" i="15"/>
  <c r="Q154" i="15"/>
  <c r="Q110" i="15"/>
  <c r="Q258" i="15"/>
  <c r="Q63" i="15"/>
  <c r="Q29" i="15"/>
  <c r="Q34" i="15"/>
  <c r="Q204" i="15"/>
  <c r="Q111" i="15"/>
  <c r="Q227" i="15"/>
  <c r="Q150" i="15"/>
  <c r="Q173" i="15"/>
  <c r="Q180" i="15"/>
  <c r="Q184" i="15"/>
  <c r="Q304" i="15"/>
  <c r="Q56" i="15"/>
  <c r="Q188" i="15"/>
  <c r="Q335" i="15"/>
  <c r="Q26" i="15"/>
  <c r="Q59" i="15"/>
  <c r="Q375" i="15"/>
  <c r="Q15" i="15"/>
  <c r="Q47" i="15"/>
  <c r="Q156" i="15"/>
  <c r="Q79" i="15"/>
  <c r="Q379" i="15"/>
  <c r="AE98" i="15"/>
  <c r="AE181" i="15"/>
  <c r="AE361" i="15"/>
  <c r="AE55" i="15"/>
  <c r="AE293" i="15"/>
  <c r="AE132" i="15"/>
  <c r="AE97" i="15"/>
  <c r="AE89" i="15"/>
  <c r="AE50" i="15"/>
  <c r="AE60" i="15"/>
  <c r="AE212" i="15"/>
  <c r="AE272" i="15"/>
  <c r="AE248" i="15"/>
  <c r="AE242" i="15"/>
  <c r="AE315" i="15"/>
  <c r="AE189" i="15"/>
  <c r="AE228" i="15"/>
  <c r="AE252" i="15"/>
  <c r="AE258" i="15"/>
  <c r="AE292" i="15"/>
  <c r="AE74" i="15"/>
  <c r="Q102" i="15"/>
  <c r="Q285" i="15"/>
  <c r="AE104" i="15"/>
  <c r="AE63" i="15"/>
  <c r="AE163" i="15"/>
  <c r="AE234" i="15"/>
  <c r="AE152" i="15"/>
  <c r="AE88" i="15"/>
  <c r="AZ318" i="6"/>
  <c r="AZ314" i="6"/>
  <c r="AZ311" i="6"/>
  <c r="AT257" i="6"/>
  <c r="AT270" i="6"/>
  <c r="AZ313" i="6"/>
  <c r="AT269" i="6"/>
  <c r="AT221" i="6"/>
  <c r="AZ307" i="6"/>
  <c r="AZ326" i="6"/>
  <c r="AZ306" i="6"/>
  <c r="AZ321" i="6"/>
  <c r="AZ322" i="6"/>
  <c r="AZ324" i="6"/>
  <c r="AT246" i="6"/>
  <c r="AT266" i="6"/>
  <c r="AT265" i="6"/>
  <c r="AT264" i="6"/>
  <c r="AT251" i="6"/>
  <c r="AT223" i="6"/>
  <c r="AT233" i="6"/>
  <c r="AZ317" i="6"/>
  <c r="AZ302" i="6"/>
  <c r="AH380" i="6" s="1"/>
  <c r="AH381" i="6" s="1"/>
  <c r="AT375" i="6"/>
  <c r="AT343" i="6"/>
  <c r="AZ343" i="6" s="1"/>
  <c r="AT341" i="6"/>
  <c r="AZ341" i="6" s="1"/>
  <c r="AT353" i="6"/>
  <c r="AT339" i="6"/>
  <c r="AZ339" i="6" s="1"/>
  <c r="AT356" i="6"/>
  <c r="AZ356" i="6" s="1"/>
  <c r="AZ319" i="6"/>
  <c r="AZ294" i="6"/>
  <c r="AZ329" i="6"/>
  <c r="AZ320" i="6"/>
  <c r="AZ291" i="6"/>
  <c r="AZ290" i="6"/>
  <c r="AZ297" i="6"/>
  <c r="AD102" i="1"/>
  <c r="AZ330" i="6"/>
  <c r="AJ380" i="6" s="1"/>
  <c r="AJ381" i="6" s="1"/>
  <c r="C61" i="7"/>
  <c r="E149" i="17"/>
  <c r="AZ353" i="6"/>
  <c r="AZ295" i="6"/>
  <c r="AZ289" i="6"/>
  <c r="AZ293" i="6"/>
  <c r="C64" i="7"/>
  <c r="C65" i="7"/>
  <c r="C63" i="7"/>
  <c r="E363" i="17"/>
  <c r="C66" i="7"/>
  <c r="E333" i="17"/>
  <c r="E8" i="18"/>
  <c r="K15" i="19" s="1"/>
  <c r="K39" i="19" s="1"/>
  <c r="E7" i="18"/>
  <c r="O10" i="18" s="1"/>
  <c r="P293" i="1"/>
  <c r="V293" i="1" s="1"/>
  <c r="F293" i="1" s="1"/>
  <c r="AC13" i="7"/>
  <c r="AB13" i="7"/>
  <c r="P317" i="1"/>
  <c r="V317" i="1" s="1"/>
  <c r="F317" i="1" s="1"/>
  <c r="P76" i="1"/>
  <c r="V76" i="1" s="1"/>
  <c r="AA76" i="1" s="1"/>
  <c r="Z76" i="1" s="1"/>
  <c r="Y76" i="1" s="1"/>
  <c r="AD259" i="1"/>
  <c r="AD293" i="1"/>
  <c r="P259" i="1"/>
  <c r="V259" i="1" s="1"/>
  <c r="F259" i="1" s="1"/>
  <c r="AJ18" i="22"/>
  <c r="AJ30" i="22"/>
  <c r="AJ51" i="22"/>
  <c r="AJ59" i="22"/>
  <c r="AJ75" i="22"/>
  <c r="AJ102" i="22"/>
  <c r="AJ97" i="22"/>
  <c r="AJ135" i="22"/>
  <c r="AJ168" i="22"/>
  <c r="AJ146" i="22"/>
  <c r="AJ17" i="22"/>
  <c r="AJ41" i="22"/>
  <c r="AJ65" i="22"/>
  <c r="AJ69" i="22"/>
  <c r="AJ85" i="22"/>
  <c r="AJ111" i="22"/>
  <c r="AJ109" i="22"/>
  <c r="AJ142" i="22"/>
  <c r="AJ123" i="22"/>
  <c r="AJ152" i="22"/>
  <c r="AJ184" i="22"/>
  <c r="AJ205" i="22"/>
  <c r="AJ229" i="22"/>
  <c r="AJ181" i="22"/>
  <c r="AJ235" i="22"/>
  <c r="AJ263" i="22"/>
  <c r="AJ298" i="22"/>
  <c r="AJ331" i="22"/>
  <c r="AJ367" i="22"/>
  <c r="AJ276" i="22"/>
  <c r="AJ305" i="22"/>
  <c r="AJ336" i="22"/>
  <c r="AJ361" i="22"/>
  <c r="AJ191" i="22"/>
  <c r="AJ234" i="22"/>
  <c r="AJ241" i="22"/>
  <c r="AJ304" i="22"/>
  <c r="AJ372" i="22"/>
  <c r="AJ313" i="22"/>
  <c r="AJ371" i="22"/>
  <c r="AJ206" i="22"/>
  <c r="AJ186" i="22"/>
  <c r="AJ264" i="22"/>
  <c r="AJ332" i="22"/>
  <c r="AJ281" i="22"/>
  <c r="AJ338" i="22"/>
  <c r="AJ23" i="22"/>
  <c r="AJ42" i="22"/>
  <c r="AJ49" i="22"/>
  <c r="AJ72" i="22"/>
  <c r="AJ100" i="22"/>
  <c r="AJ90" i="22"/>
  <c r="AJ129" i="22"/>
  <c r="AJ164" i="22"/>
  <c r="AJ144" i="22"/>
  <c r="AL13" i="7"/>
  <c r="AJ29" i="22"/>
  <c r="AJ45" i="22"/>
  <c r="AJ19" i="22"/>
  <c r="AJ64" i="22"/>
  <c r="AJ83" i="22"/>
  <c r="AJ106" i="22"/>
  <c r="AJ121" i="22"/>
  <c r="AJ21" i="22"/>
  <c r="AJ53" i="22"/>
  <c r="AJ77" i="22"/>
  <c r="AJ98" i="22"/>
  <c r="AJ169" i="22"/>
  <c r="AJ177" i="22"/>
  <c r="AJ222" i="22"/>
  <c r="AJ226" i="22"/>
  <c r="AJ288" i="22"/>
  <c r="AJ362" i="22"/>
  <c r="AJ297" i="22"/>
  <c r="AJ355" i="22"/>
  <c r="AJ219" i="22"/>
  <c r="AJ287" i="22"/>
  <c r="AJ296" i="22"/>
  <c r="AJ192" i="22"/>
  <c r="AJ249" i="22"/>
  <c r="AJ262" i="22"/>
  <c r="AJ16" i="22"/>
  <c r="AJ54" i="22"/>
  <c r="AJ81" i="22"/>
  <c r="AJ119" i="22"/>
  <c r="AJ159" i="22"/>
  <c r="AJ160" i="22"/>
  <c r="AJ56" i="22"/>
  <c r="AJ67" i="22"/>
  <c r="AJ82" i="22"/>
  <c r="AJ108" i="22"/>
  <c r="AJ104" i="22"/>
  <c r="AJ138" i="22"/>
  <c r="AJ173" i="22"/>
  <c r="AJ149" i="22"/>
  <c r="AJ182" i="22"/>
  <c r="AJ202" i="22"/>
  <c r="AJ225" i="22"/>
  <c r="AJ179" i="22"/>
  <c r="AJ231" i="22"/>
  <c r="AJ256" i="22"/>
  <c r="AJ291" i="22"/>
  <c r="AJ326" i="22"/>
  <c r="AJ364" i="22"/>
  <c r="AJ273" i="22"/>
  <c r="AJ301" i="22"/>
  <c r="AJ334" i="22"/>
  <c r="AJ357" i="22"/>
  <c r="AJ183" i="22"/>
  <c r="AJ228" i="22"/>
  <c r="AJ232" i="22"/>
  <c r="AJ293" i="22"/>
  <c r="AJ366" i="22"/>
  <c r="AJ302" i="22"/>
  <c r="AJ359" i="22"/>
  <c r="AJ201" i="22"/>
  <c r="AJ174" i="22"/>
  <c r="AJ255" i="22"/>
  <c r="AJ322" i="22"/>
  <c r="AJ269" i="22"/>
  <c r="AJ330" i="22"/>
  <c r="AJ15" i="22"/>
  <c r="AJ60" i="22"/>
  <c r="AJ162" i="22"/>
  <c r="AJ52" i="22"/>
  <c r="AJ117" i="22"/>
  <c r="AJ157" i="22"/>
  <c r="AJ198" i="22"/>
  <c r="AJ339" i="22"/>
  <c r="AJ344" i="22"/>
  <c r="AJ251" i="22"/>
  <c r="AJ172" i="22"/>
  <c r="AJ351" i="22"/>
  <c r="AJ37" i="22"/>
  <c r="AJ107" i="22"/>
  <c r="AJ148" i="22"/>
  <c r="AJ57" i="22"/>
  <c r="AJ101" i="22"/>
  <c r="AJ133" i="22"/>
  <c r="AJ145" i="22"/>
  <c r="AJ197" i="22"/>
  <c r="AJ254" i="22"/>
  <c r="AJ250" i="22"/>
  <c r="AJ316" i="22"/>
  <c r="AJ265" i="22"/>
  <c r="AJ325" i="22"/>
  <c r="AJ166" i="22"/>
  <c r="AJ210" i="22"/>
  <c r="AJ347" i="22"/>
  <c r="AJ348" i="22"/>
  <c r="AJ237" i="22"/>
  <c r="AJ308" i="22"/>
  <c r="AJ317" i="22"/>
  <c r="AJ32" i="22"/>
  <c r="AJ139" i="22"/>
  <c r="AJ120" i="22"/>
  <c r="AJ244" i="22"/>
  <c r="AJ374" i="22"/>
  <c r="AJ216" i="22"/>
  <c r="AJ55" i="22"/>
  <c r="AJ20" i="22"/>
  <c r="AJ115" i="22"/>
  <c r="AJ154" i="22"/>
  <c r="AJ195" i="22"/>
  <c r="AJ333" i="22"/>
  <c r="AJ340" i="22"/>
  <c r="AJ247" i="22"/>
  <c r="AJ378" i="22"/>
  <c r="AJ342" i="22"/>
  <c r="AJ44" i="22"/>
  <c r="AJ131" i="22"/>
  <c r="AJ257" i="22"/>
  <c r="AJ80" i="22"/>
  <c r="AJ114" i="22"/>
  <c r="AJ240" i="22"/>
  <c r="AJ370" i="22"/>
  <c r="AJ212" i="22"/>
  <c r="AJ92" i="22"/>
  <c r="AJ88" i="22"/>
  <c r="AJ311" i="22"/>
  <c r="AJ125" i="22"/>
  <c r="AJ327" i="22"/>
  <c r="AJ127" i="22"/>
  <c r="AJ242" i="22"/>
  <c r="AJ113" i="22"/>
  <c r="AJ68" i="22"/>
  <c r="AJ110" i="22"/>
  <c r="AJ150" i="22"/>
  <c r="AJ62" i="22"/>
  <c r="AJ136" i="22"/>
  <c r="AJ200" i="22"/>
  <c r="AJ253" i="22"/>
  <c r="AJ268" i="22"/>
  <c r="AJ176" i="22"/>
  <c r="AJ354" i="22"/>
  <c r="AJ314" i="22"/>
  <c r="AJ36" i="22"/>
  <c r="AJ122" i="22"/>
  <c r="AJ132" i="22"/>
  <c r="AJ39" i="22"/>
  <c r="AJ84" i="22"/>
  <c r="AJ161" i="22"/>
  <c r="AJ134" i="22"/>
  <c r="AJ187" i="22"/>
  <c r="AJ239" i="22"/>
  <c r="AJ246" i="22"/>
  <c r="AJ309" i="22"/>
  <c r="AJ379" i="22"/>
  <c r="AJ286" i="22"/>
  <c r="AJ377" i="22"/>
  <c r="AJ180" i="22"/>
  <c r="AJ329" i="22"/>
  <c r="AJ335" i="22"/>
  <c r="AJ224" i="22"/>
  <c r="AJ289" i="22"/>
  <c r="AJ300" i="22"/>
  <c r="AJ58" i="22"/>
  <c r="AJ158" i="22"/>
  <c r="AJ211" i="22"/>
  <c r="AJ284" i="22"/>
  <c r="AJ220" i="22"/>
  <c r="AJ352" i="22"/>
  <c r="AJ137" i="22"/>
  <c r="AJ73" i="22"/>
  <c r="AJ167" i="22"/>
  <c r="AJ221" i="22"/>
  <c r="AJ280" i="22"/>
  <c r="AJ353" i="22"/>
  <c r="AJ214" i="22"/>
  <c r="AJ290" i="22"/>
  <c r="AJ245" i="22"/>
  <c r="AJ376" i="22"/>
  <c r="AJ96" i="22"/>
  <c r="AJ193" i="22"/>
  <c r="AJ318" i="22"/>
  <c r="AJ103" i="22"/>
  <c r="AJ207" i="22"/>
  <c r="AJ282" i="22"/>
  <c r="AJ259" i="22"/>
  <c r="AJ345" i="22"/>
  <c r="AJ306" i="22"/>
  <c r="AJ61" i="22"/>
  <c r="AJ369" i="22"/>
  <c r="AJ285" i="22"/>
  <c r="AJ233" i="22"/>
  <c r="AJ236" i="22"/>
  <c r="AJ303" i="22"/>
  <c r="AJ25" i="22"/>
  <c r="AJ50" i="22"/>
  <c r="AJ33" i="22"/>
  <c r="AJ78" i="22"/>
  <c r="AJ91" i="22"/>
  <c r="AJ116" i="22"/>
  <c r="AJ118" i="22"/>
  <c r="AJ156" i="22"/>
  <c r="AJ130" i="22"/>
  <c r="AJ155" i="22"/>
  <c r="AJ26" i="22"/>
  <c r="AJ28" i="22"/>
  <c r="AJ48" i="22"/>
  <c r="AJ70" i="22"/>
  <c r="AJ99" i="22"/>
  <c r="AJ89" i="22"/>
  <c r="AJ128" i="22"/>
  <c r="AJ163" i="22"/>
  <c r="AJ140" i="22"/>
  <c r="AJ171" i="22"/>
  <c r="AJ190" i="22"/>
  <c r="AJ215" i="22"/>
  <c r="AJ243" i="22"/>
  <c r="AJ218" i="22"/>
  <c r="AJ248" i="22"/>
  <c r="AJ278" i="22"/>
  <c r="AJ312" i="22"/>
  <c r="AJ350" i="22"/>
  <c r="AJ260" i="22"/>
  <c r="AJ292" i="22"/>
  <c r="AJ323" i="22"/>
  <c r="AJ349" i="22"/>
  <c r="AJ380" i="22"/>
  <c r="AJ209" i="22"/>
  <c r="AJ196" i="22"/>
  <c r="AJ270" i="22"/>
  <c r="AJ337" i="22"/>
  <c r="AJ283" i="22"/>
  <c r="AJ341" i="22"/>
  <c r="AJ185" i="22"/>
  <c r="AJ230" i="22"/>
  <c r="AJ238" i="22"/>
  <c r="AJ299" i="22"/>
  <c r="AJ368" i="22"/>
  <c r="AJ307" i="22"/>
  <c r="AJ365" i="22"/>
  <c r="AJ22" i="22"/>
  <c r="AJ46" i="22"/>
  <c r="AJ66" i="22"/>
  <c r="AJ74" i="22"/>
  <c r="AJ87" i="22"/>
  <c r="AJ112" i="22"/>
  <c r="AJ143" i="22"/>
  <c r="AJ126" i="22"/>
  <c r="AJ153" i="22"/>
  <c r="AJ24" i="22"/>
  <c r="AJ47" i="22"/>
  <c r="AJ71" i="22"/>
  <c r="AJ40" i="22"/>
  <c r="AJ141" i="22"/>
  <c r="AJ35" i="22"/>
  <c r="AJ105" i="22"/>
  <c r="AJ147" i="22"/>
  <c r="AJ258" i="22"/>
  <c r="AJ319" i="22"/>
  <c r="AJ328" i="22"/>
  <c r="AJ223" i="22"/>
  <c r="AJ360" i="22"/>
  <c r="AJ252" i="22"/>
  <c r="AJ324" i="22"/>
  <c r="AJ27" i="22"/>
  <c r="AJ93" i="22"/>
  <c r="AJ31" i="22"/>
  <c r="AJ43" i="22"/>
  <c r="AJ94" i="22"/>
  <c r="AJ124" i="22"/>
  <c r="AJ165" i="22"/>
  <c r="AJ213" i="22"/>
  <c r="AJ208" i="22"/>
  <c r="AJ275" i="22"/>
  <c r="AJ343" i="22"/>
  <c r="AJ320" i="22"/>
  <c r="AJ346" i="22"/>
  <c r="AJ204" i="22"/>
  <c r="AJ261" i="22"/>
  <c r="AJ274" i="22"/>
  <c r="AJ178" i="22"/>
  <c r="AJ227" i="22"/>
  <c r="AJ363" i="22"/>
  <c r="AJ356" i="22"/>
  <c r="AJ86" i="22"/>
  <c r="AJ79" i="22"/>
  <c r="AJ271" i="22"/>
  <c r="AJ199" i="22"/>
  <c r="AJ267" i="22"/>
  <c r="AJ63" i="22"/>
  <c r="AJ38" i="22"/>
  <c r="AJ95" i="22"/>
  <c r="AJ175" i="22"/>
  <c r="AJ217" i="22"/>
  <c r="AJ358" i="22"/>
  <c r="AJ295" i="22"/>
  <c r="AJ277" i="22"/>
  <c r="AJ194" i="22"/>
  <c r="AJ375" i="22"/>
  <c r="AJ34" i="22"/>
  <c r="AJ373" i="22"/>
  <c r="AJ294" i="22"/>
  <c r="AJ76" i="22"/>
  <c r="AJ151" i="22"/>
  <c r="AJ266" i="22"/>
  <c r="AJ189" i="22"/>
  <c r="AJ203" i="22"/>
  <c r="F7" i="22"/>
  <c r="AJ279" i="22"/>
  <c r="AJ188" i="22"/>
  <c r="AJ310" i="22"/>
  <c r="AJ315" i="22"/>
  <c r="AJ321" i="22"/>
  <c r="AJ170" i="22"/>
  <c r="AJ272" i="22"/>
  <c r="O9" i="23"/>
  <c r="AC12" i="20"/>
  <c r="O11" i="20"/>
  <c r="AC9" i="20"/>
  <c r="O12" i="20"/>
  <c r="AC381" i="15"/>
  <c r="AC382" i="15"/>
  <c r="AC383" i="15"/>
  <c r="AK15" i="20"/>
  <c r="AK34" i="20"/>
  <c r="AK53" i="20"/>
  <c r="AK43" i="20"/>
  <c r="AK77" i="20"/>
  <c r="AK109" i="20"/>
  <c r="AK100" i="20"/>
  <c r="AK133" i="20"/>
  <c r="AK162" i="20"/>
  <c r="AK154" i="20"/>
  <c r="AK167" i="20"/>
  <c r="AK178" i="20"/>
  <c r="AK191" i="20"/>
  <c r="AK188" i="20"/>
  <c r="AK214" i="20"/>
  <c r="AK231" i="20"/>
  <c r="AK244" i="20"/>
  <c r="AK176" i="20"/>
  <c r="AK203" i="20"/>
  <c r="AK217" i="20"/>
  <c r="AK232" i="20"/>
  <c r="AK253" i="20"/>
  <c r="AK267" i="20"/>
  <c r="AK288" i="20"/>
  <c r="AK306" i="20"/>
  <c r="AK317" i="20"/>
  <c r="AK332" i="20"/>
  <c r="AK344" i="20"/>
  <c r="AK357" i="20"/>
  <c r="AK378" i="20"/>
  <c r="AK271" i="20"/>
  <c r="AK284" i="20"/>
  <c r="AK299" i="20"/>
  <c r="AK319" i="20"/>
  <c r="AK338" i="20"/>
  <c r="AK358" i="20"/>
  <c r="AK369" i="20"/>
  <c r="AK17" i="20"/>
  <c r="AK25" i="20"/>
  <c r="AK30" i="20"/>
  <c r="AK56" i="20"/>
  <c r="AK51" i="20"/>
  <c r="AK67" i="20"/>
  <c r="AK42" i="20"/>
  <c r="AK81" i="20"/>
  <c r="AK73" i="20"/>
  <c r="AK90" i="20"/>
  <c r="AK107" i="20"/>
  <c r="AK120" i="20"/>
  <c r="AK99" i="20"/>
  <c r="AK116" i="20"/>
  <c r="AK131" i="20"/>
  <c r="AK145" i="20"/>
  <c r="AK157" i="20"/>
  <c r="AK132" i="20"/>
  <c r="AK153" i="20"/>
  <c r="AK165" i="20"/>
  <c r="AK174" i="20"/>
  <c r="AK190" i="20"/>
  <c r="AK180" i="20"/>
  <c r="AK211" i="20"/>
  <c r="AK230" i="20"/>
  <c r="AK243" i="20"/>
  <c r="AK255" i="20"/>
  <c r="AK200" i="20"/>
  <c r="AK216" i="20"/>
  <c r="AK229" i="20"/>
  <c r="AK247" i="20"/>
  <c r="AK264" i="20"/>
  <c r="AK287" i="20"/>
  <c r="AK305" i="20"/>
  <c r="AK316" i="20"/>
  <c r="AK330" i="20"/>
  <c r="AK342" i="20"/>
  <c r="AK356" i="20"/>
  <c r="AK377" i="20"/>
  <c r="AK270" i="20"/>
  <c r="AK281" i="20"/>
  <c r="AK298" i="20"/>
  <c r="AK314" i="20"/>
  <c r="AK336" i="20"/>
  <c r="AK352" i="20"/>
  <c r="AK368" i="20"/>
  <c r="P12" i="20"/>
  <c r="AK47" i="20"/>
  <c r="AK75" i="20"/>
  <c r="AK114" i="20"/>
  <c r="AK138" i="20"/>
  <c r="AK159" i="20"/>
  <c r="AK184" i="20"/>
  <c r="AK201" i="20"/>
  <c r="AK234" i="20"/>
  <c r="AK183" i="20"/>
  <c r="AK220" i="20"/>
  <c r="AK257" i="20"/>
  <c r="AK293" i="20"/>
  <c r="AK322" i="20"/>
  <c r="AK348" i="20"/>
  <c r="AK262" i="20"/>
  <c r="AK286" i="20"/>
  <c r="AK321" i="20"/>
  <c r="AK361" i="20"/>
  <c r="AK18" i="20"/>
  <c r="AK37" i="20"/>
  <c r="AK57" i="20"/>
  <c r="AK55" i="20"/>
  <c r="AK79" i="20"/>
  <c r="AK110" i="20"/>
  <c r="AK101" i="20"/>
  <c r="AK135" i="20"/>
  <c r="AK166" i="20"/>
  <c r="AK158" i="20"/>
  <c r="AK181" i="20"/>
  <c r="AK197" i="20"/>
  <c r="AK233" i="20"/>
  <c r="AK182" i="20"/>
  <c r="AK219" i="20"/>
  <c r="AK256" i="20"/>
  <c r="AK289" i="20"/>
  <c r="AK318" i="20"/>
  <c r="AK345" i="20"/>
  <c r="AK379" i="20"/>
  <c r="AK285" i="20"/>
  <c r="AK320" i="20"/>
  <c r="AK359" i="20"/>
  <c r="AK142" i="20"/>
  <c r="AK148" i="20"/>
  <c r="AK122" i="20"/>
  <c r="AK86" i="20"/>
  <c r="AK95" i="20"/>
  <c r="AK52" i="20"/>
  <c r="AK380" i="20"/>
  <c r="AK31" i="20"/>
  <c r="AK32" i="20"/>
  <c r="AK23" i="20"/>
  <c r="AK36" i="20"/>
  <c r="AK125" i="20"/>
  <c r="AK173" i="20"/>
  <c r="AK228" i="20"/>
  <c r="AK213" i="20"/>
  <c r="AK283" i="20"/>
  <c r="AK340" i="20"/>
  <c r="AK279" i="20"/>
  <c r="AK350" i="20"/>
  <c r="AK26" i="20"/>
  <c r="AK38" i="20"/>
  <c r="AK102" i="20"/>
  <c r="AK126" i="20"/>
  <c r="AK149" i="20"/>
  <c r="AK177" i="20"/>
  <c r="AK252" i="20"/>
  <c r="AK245" i="20"/>
  <c r="AK313" i="20"/>
  <c r="AK372" i="20"/>
  <c r="AK307" i="20"/>
  <c r="AK130" i="20"/>
  <c r="AK112" i="20"/>
  <c r="AK88" i="20"/>
  <c r="AK64" i="20"/>
  <c r="AK24" i="20"/>
  <c r="AK152" i="20"/>
  <c r="AK242" i="20"/>
  <c r="AK302" i="20"/>
  <c r="AK297" i="20"/>
  <c r="AK49" i="20"/>
  <c r="AK115" i="20"/>
  <c r="AK163" i="20"/>
  <c r="AK198" i="20"/>
  <c r="AK328" i="20"/>
  <c r="AK327" i="20"/>
  <c r="AK98" i="20"/>
  <c r="AK48" i="20"/>
  <c r="AK208" i="20"/>
  <c r="AK268" i="20"/>
  <c r="AK87" i="20"/>
  <c r="AK240" i="20"/>
  <c r="AK292" i="20"/>
  <c r="AK40" i="20"/>
  <c r="AK199" i="20"/>
  <c r="AK331" i="20"/>
  <c r="AK108" i="20"/>
  <c r="AK226" i="20"/>
  <c r="AK364" i="20"/>
  <c r="AK104" i="20"/>
  <c r="AK27" i="20"/>
  <c r="AK59" i="20"/>
  <c r="AK70" i="20"/>
  <c r="AK46" i="20"/>
  <c r="AK91" i="20"/>
  <c r="AK84" i="20"/>
  <c r="AK117" i="20"/>
  <c r="AK146" i="20"/>
  <c r="AK134" i="20"/>
  <c r="AK161" i="20"/>
  <c r="AK171" i="20"/>
  <c r="AK186" i="20"/>
  <c r="AK175" i="20"/>
  <c r="AK205" i="20"/>
  <c r="AK224" i="20"/>
  <c r="AK236" i="20"/>
  <c r="AK251" i="20"/>
  <c r="AK196" i="20"/>
  <c r="AK210" i="20"/>
  <c r="AK223" i="20"/>
  <c r="AK241" i="20"/>
  <c r="AK259" i="20"/>
  <c r="AK280" i="20"/>
  <c r="AK295" i="20"/>
  <c r="AK312" i="20"/>
  <c r="AK326" i="20"/>
  <c r="AK337" i="20"/>
  <c r="AK353" i="20"/>
  <c r="AK370" i="20"/>
  <c r="AK265" i="20"/>
  <c r="AK277" i="20"/>
  <c r="AK291" i="20"/>
  <c r="AK304" i="20"/>
  <c r="AK325" i="20"/>
  <c r="AK347" i="20"/>
  <c r="AK363" i="20"/>
  <c r="AK376" i="20"/>
  <c r="AK20" i="20"/>
  <c r="AK33" i="20"/>
  <c r="AK45" i="20"/>
  <c r="AK35" i="20"/>
  <c r="AK61" i="20"/>
  <c r="AK22" i="20"/>
  <c r="AK74" i="20"/>
  <c r="AK65" i="20"/>
  <c r="AK82" i="20"/>
  <c r="AK96" i="20"/>
  <c r="AK113" i="20"/>
  <c r="AK89" i="20"/>
  <c r="AK105" i="20"/>
  <c r="AK124" i="20"/>
  <c r="AK137" i="20"/>
  <c r="AK151" i="20"/>
  <c r="AK123" i="20"/>
  <c r="AK143" i="20"/>
  <c r="AK160" i="20"/>
  <c r="AK170" i="20"/>
  <c r="AK185" i="20"/>
  <c r="AK194" i="20"/>
  <c r="AK202" i="20"/>
  <c r="AK221" i="20"/>
  <c r="AK235" i="20"/>
  <c r="AK250" i="20"/>
  <c r="AK195" i="20"/>
  <c r="AK209" i="20"/>
  <c r="AK222" i="20"/>
  <c r="AK239" i="20"/>
  <c r="AK258" i="20"/>
  <c r="AK276" i="20"/>
  <c r="AK294" i="20"/>
  <c r="AK311" i="20"/>
  <c r="AK324" i="20"/>
  <c r="AK335" i="20"/>
  <c r="AK351" i="20"/>
  <c r="AK366" i="20"/>
  <c r="AK263" i="20"/>
  <c r="AK275" i="20"/>
  <c r="AK290" i="20"/>
  <c r="AK303" i="20"/>
  <c r="AK323" i="20"/>
  <c r="AK346" i="20"/>
  <c r="AK362" i="20"/>
  <c r="AK374" i="20"/>
  <c r="AK21" i="20"/>
  <c r="AK62" i="20"/>
  <c r="AK83" i="20"/>
  <c r="AK106" i="20"/>
  <c r="AK127" i="20"/>
  <c r="AK169" i="20"/>
  <c r="AK193" i="20"/>
  <c r="AK218" i="20"/>
  <c r="AK249" i="20"/>
  <c r="AK206" i="20"/>
  <c r="AK238" i="20"/>
  <c r="AK272" i="20"/>
  <c r="AK310" i="20"/>
  <c r="AK334" i="20"/>
  <c r="AK365" i="20"/>
  <c r="AK274" i="20"/>
  <c r="AK301" i="20"/>
  <c r="AK343" i="20"/>
  <c r="AK373" i="20"/>
  <c r="AK29" i="20"/>
  <c r="AK60" i="20"/>
  <c r="AK71" i="20"/>
  <c r="AK50" i="20"/>
  <c r="AK93" i="20"/>
  <c r="AK85" i="20"/>
  <c r="AK119" i="20"/>
  <c r="AK147" i="20"/>
  <c r="AK141" i="20"/>
  <c r="AK168" i="20"/>
  <c r="AK192" i="20"/>
  <c r="AK215" i="20"/>
  <c r="AK248" i="20"/>
  <c r="AK204" i="20"/>
  <c r="AK237" i="20"/>
  <c r="AK269" i="20"/>
  <c r="AK308" i="20"/>
  <c r="AK333" i="20"/>
  <c r="AK360" i="20"/>
  <c r="AK273" i="20"/>
  <c r="AK300" i="20"/>
  <c r="AK341" i="20"/>
  <c r="AK371" i="20"/>
  <c r="AK121" i="20"/>
  <c r="AK136" i="20"/>
  <c r="AK103" i="20"/>
  <c r="AK111" i="20"/>
  <c r="AK80" i="20"/>
  <c r="AK72" i="20"/>
  <c r="AK58" i="20"/>
  <c r="AK44" i="20"/>
  <c r="AK19" i="20"/>
  <c r="AK39" i="20"/>
  <c r="AK97" i="20"/>
  <c r="AK144" i="20"/>
  <c r="AK179" i="20"/>
  <c r="AK254" i="20"/>
  <c r="AK246" i="20"/>
  <c r="AK315" i="20"/>
  <c r="AK375" i="20"/>
  <c r="AK309" i="20"/>
  <c r="F8" i="20"/>
  <c r="AK41" i="20"/>
  <c r="AK68" i="20"/>
  <c r="AK94" i="20"/>
  <c r="AK155" i="20"/>
  <c r="AK172" i="20"/>
  <c r="AK225" i="20"/>
  <c r="AK212" i="20"/>
  <c r="AK282" i="20"/>
  <c r="AK339" i="20"/>
  <c r="AK278" i="20"/>
  <c r="AK349" i="20"/>
  <c r="AK140" i="20"/>
  <c r="AK118" i="20"/>
  <c r="AK78" i="20"/>
  <c r="AK54" i="20"/>
  <c r="AK66" i="20"/>
  <c r="AK189" i="20"/>
  <c r="AK227" i="20"/>
  <c r="AK355" i="20"/>
  <c r="AK367" i="20"/>
  <c r="AK76" i="20"/>
  <c r="AK139" i="20"/>
  <c r="AK207" i="20"/>
  <c r="AK260" i="20"/>
  <c r="AK266" i="20"/>
  <c r="AK156" i="20"/>
  <c r="AK69" i="20"/>
  <c r="AK92" i="20"/>
  <c r="AK261" i="20"/>
  <c r="AK16" i="20"/>
  <c r="AK128" i="20"/>
  <c r="AK296" i="20"/>
  <c r="AK129" i="20"/>
  <c r="AK164" i="20"/>
  <c r="AK329" i="20"/>
  <c r="AK63" i="20"/>
  <c r="AK187" i="20"/>
  <c r="AK354" i="20"/>
  <c r="AK150" i="20"/>
  <c r="AK28" i="20"/>
  <c r="P11" i="22"/>
  <c r="AL15" i="7"/>
  <c r="AT371" i="6"/>
  <c r="AZ371" i="6" s="1"/>
  <c r="AT332" i="6"/>
  <c r="AZ332" i="6" s="1"/>
  <c r="AT338" i="6"/>
  <c r="AZ338" i="6" s="1"/>
  <c r="AT352" i="6"/>
  <c r="AZ352" i="6" s="1"/>
  <c r="AT368" i="6"/>
  <c r="AZ368" i="6" s="1"/>
  <c r="AT365" i="6"/>
  <c r="AZ365" i="6" s="1"/>
  <c r="AY153" i="6"/>
  <c r="AZ153" i="6" s="1"/>
  <c r="AY171" i="6"/>
  <c r="AZ171" i="6" s="1"/>
  <c r="AY190" i="6"/>
  <c r="AZ190" i="6" s="1"/>
  <c r="Z380" i="6" s="1"/>
  <c r="Z381" i="6" s="1"/>
  <c r="AY187" i="6"/>
  <c r="AZ187" i="6" s="1"/>
  <c r="AY279" i="6"/>
  <c r="AZ279" i="6" s="1"/>
  <c r="AY284" i="6"/>
  <c r="AZ284" i="6" s="1"/>
  <c r="AY261" i="6"/>
  <c r="AT243" i="6"/>
  <c r="AD87" i="1"/>
  <c r="P87" i="1"/>
  <c r="V87" i="1" s="1"/>
  <c r="AZ310" i="6"/>
  <c r="AZ303" i="6"/>
  <c r="AZ327" i="6"/>
  <c r="AZ305" i="6"/>
  <c r="AT259" i="6"/>
  <c r="AT267" i="6"/>
  <c r="AT253" i="6"/>
  <c r="AT255" i="6"/>
  <c r="AT262" i="6"/>
  <c r="AT258" i="6"/>
  <c r="AT268" i="6"/>
  <c r="AT249" i="6"/>
  <c r="AT271" i="6"/>
  <c r="AT260" i="6"/>
  <c r="AT380" i="6"/>
  <c r="AT377" i="6"/>
  <c r="AY164" i="6"/>
  <c r="AZ164" i="6" s="1"/>
  <c r="AY177" i="6"/>
  <c r="AZ177" i="6" s="1"/>
  <c r="AY260" i="6"/>
  <c r="AY277" i="6"/>
  <c r="AZ277" i="6" s="1"/>
  <c r="AY267" i="6"/>
  <c r="AY285" i="6"/>
  <c r="AZ285" i="6" s="1"/>
  <c r="AT234" i="6"/>
  <c r="AT231" i="6"/>
  <c r="AT240" i="6"/>
  <c r="AT239" i="6"/>
  <c r="AT354" i="6"/>
  <c r="AZ354" i="6" s="1"/>
  <c r="AT344" i="6"/>
  <c r="AZ344" i="6" s="1"/>
  <c r="AK380" i="6" s="1"/>
  <c r="AK381" i="6" s="1"/>
  <c r="AT347" i="6"/>
  <c r="AZ347" i="6" s="1"/>
  <c r="AT350" i="6"/>
  <c r="AZ350" i="6" s="1"/>
  <c r="AT331" i="6"/>
  <c r="AZ331" i="6" s="1"/>
  <c r="J15" i="6"/>
  <c r="J17" i="6"/>
  <c r="J16" i="6"/>
  <c r="AY234" i="6"/>
  <c r="AZ234" i="6" s="1"/>
  <c r="AY223" i="6"/>
  <c r="AY249" i="6"/>
  <c r="AY242" i="6"/>
  <c r="AY241" i="6"/>
  <c r="AY246" i="6"/>
  <c r="AZ246" i="6" s="1"/>
  <c r="AD380" i="6" s="1"/>
  <c r="AD381" i="6" s="1"/>
  <c r="AY228" i="6"/>
  <c r="AY220" i="6"/>
  <c r="AY248" i="6"/>
  <c r="AZ248" i="6" s="1"/>
  <c r="AY254" i="6"/>
  <c r="AY240" i="6"/>
  <c r="AZ240" i="6" s="1"/>
  <c r="AY206" i="6"/>
  <c r="AZ206" i="6" s="1"/>
  <c r="AY225" i="6"/>
  <c r="AY250" i="6"/>
  <c r="AY207" i="6"/>
  <c r="AZ207" i="6" s="1"/>
  <c r="AY245" i="6"/>
  <c r="AY229" i="6"/>
  <c r="AY209" i="6"/>
  <c r="AZ209" i="6" s="1"/>
  <c r="AY224" i="6"/>
  <c r="AY251" i="6"/>
  <c r="AZ251" i="6" s="1"/>
  <c r="AY252" i="6"/>
  <c r="AY218" i="6"/>
  <c r="AZ218" i="6" s="1"/>
  <c r="AB380" i="6" s="1"/>
  <c r="AB381" i="6" s="1"/>
  <c r="AT363" i="6"/>
  <c r="AZ363" i="6" s="1"/>
  <c r="AT370" i="6"/>
  <c r="AZ370" i="6" s="1"/>
  <c r="AT366" i="6"/>
  <c r="AZ366" i="6" s="1"/>
  <c r="AT374" i="6"/>
  <c r="AT364" i="6"/>
  <c r="AZ364" i="6" s="1"/>
  <c r="AT362" i="6"/>
  <c r="AZ362" i="6" s="1"/>
  <c r="AT360" i="6"/>
  <c r="AZ360" i="6" s="1"/>
  <c r="AT379" i="6"/>
  <c r="AT359" i="6"/>
  <c r="AZ359" i="6" s="1"/>
  <c r="AT373" i="6"/>
  <c r="AT376" i="6"/>
  <c r="AT342" i="6"/>
  <c r="AZ342" i="6" s="1"/>
  <c r="AT349" i="6"/>
  <c r="AZ349" i="6" s="1"/>
  <c r="AT346" i="6"/>
  <c r="AZ346" i="6" s="1"/>
  <c r="AT336" i="6"/>
  <c r="AZ336" i="6" s="1"/>
  <c r="AT340" i="6"/>
  <c r="AZ340" i="6" s="1"/>
  <c r="AT333" i="6"/>
  <c r="AZ333" i="6" s="1"/>
  <c r="AT351" i="6"/>
  <c r="AZ351" i="6" s="1"/>
  <c r="AT337" i="6"/>
  <c r="AZ337" i="6" s="1"/>
  <c r="AT335" i="6"/>
  <c r="AZ335" i="6" s="1"/>
  <c r="AT355" i="6"/>
  <c r="AZ355" i="6" s="1"/>
  <c r="AT348" i="6"/>
  <c r="AZ348" i="6" s="1"/>
  <c r="AT357" i="6"/>
  <c r="AZ357" i="6" s="1"/>
  <c r="AT334" i="6"/>
  <c r="AZ334" i="6" s="1"/>
  <c r="AT345" i="6"/>
  <c r="AZ345" i="6" s="1"/>
  <c r="AY203" i="6"/>
  <c r="AZ203" i="6" s="1"/>
  <c r="AY186" i="6"/>
  <c r="AZ186" i="6" s="1"/>
  <c r="AY149" i="6"/>
  <c r="AZ149" i="6" s="1"/>
  <c r="AY188" i="6"/>
  <c r="AZ188" i="6" s="1"/>
  <c r="AY199" i="6"/>
  <c r="AZ199" i="6" s="1"/>
  <c r="AY193" i="6"/>
  <c r="AZ193" i="6" s="1"/>
  <c r="AY189" i="6"/>
  <c r="AZ189" i="6" s="1"/>
  <c r="AY182" i="6"/>
  <c r="AZ182" i="6" s="1"/>
  <c r="AY169" i="6"/>
  <c r="AZ169" i="6" s="1"/>
  <c r="AY192" i="6"/>
  <c r="AZ192" i="6" s="1"/>
  <c r="AY167" i="6"/>
  <c r="AZ167" i="6" s="1"/>
  <c r="AY174" i="6"/>
  <c r="AZ174" i="6" s="1"/>
  <c r="AY173" i="6"/>
  <c r="AZ173" i="6" s="1"/>
  <c r="AY154" i="6"/>
  <c r="AZ154" i="6" s="1"/>
  <c r="AY156" i="6"/>
  <c r="AZ156" i="6" s="1"/>
  <c r="AT378" i="6"/>
  <c r="AZ378" i="6" s="1"/>
  <c r="AT372" i="6"/>
  <c r="AT367" i="6"/>
  <c r="AZ367" i="6" s="1"/>
  <c r="AT358" i="6"/>
  <c r="AZ358" i="6" s="1"/>
  <c r="AL380" i="6" s="1"/>
  <c r="AL381" i="6" s="1"/>
  <c r="AT369" i="6"/>
  <c r="AZ369" i="6" s="1"/>
  <c r="AT361" i="6"/>
  <c r="AZ361" i="6" s="1"/>
  <c r="AY152" i="6"/>
  <c r="AZ152" i="6" s="1"/>
  <c r="AY160" i="6"/>
  <c r="AZ160" i="6" s="1"/>
  <c r="AY159" i="6"/>
  <c r="AZ159" i="6" s="1"/>
  <c r="AY185" i="6"/>
  <c r="AZ185" i="6" s="1"/>
  <c r="AY170" i="6"/>
  <c r="AZ170" i="6" s="1"/>
  <c r="AY179" i="6"/>
  <c r="AZ179" i="6" s="1"/>
  <c r="AY196" i="6"/>
  <c r="AZ196" i="6" s="1"/>
  <c r="J18" i="6"/>
  <c r="AD18" i="1" s="1"/>
  <c r="AY230" i="6"/>
  <c r="AY226" i="6"/>
  <c r="AY238" i="6"/>
  <c r="AY222" i="6"/>
  <c r="AY253" i="6"/>
  <c r="AY227" i="6"/>
  <c r="AY208" i="6"/>
  <c r="AZ208" i="6" s="1"/>
  <c r="AT222" i="6"/>
  <c r="AT224" i="6"/>
  <c r="AT230" i="6"/>
  <c r="AT241" i="6"/>
  <c r="AT229" i="6"/>
  <c r="AT235" i="6"/>
  <c r="AT232" i="6"/>
  <c r="AT225" i="6"/>
  <c r="AT236" i="6"/>
  <c r="AT228" i="6"/>
  <c r="AT237" i="6"/>
  <c r="AT245" i="6"/>
  <c r="AT252" i="6"/>
  <c r="AT261" i="6"/>
  <c r="AT254" i="6"/>
  <c r="AT272" i="6"/>
  <c r="AT247" i="6"/>
  <c r="AT250" i="6"/>
  <c r="AT263" i="6"/>
  <c r="AZ263" i="6" s="1"/>
  <c r="AT220" i="6"/>
  <c r="AY281" i="6"/>
  <c r="AZ281" i="6" s="1"/>
  <c r="AY266" i="6"/>
  <c r="AY282" i="6"/>
  <c r="AZ282" i="6" s="1"/>
  <c r="AY286" i="6"/>
  <c r="AZ286" i="6" s="1"/>
  <c r="AY265" i="6"/>
  <c r="AZ265" i="6" s="1"/>
  <c r="AY274" i="6"/>
  <c r="AZ274" i="6" s="1"/>
  <c r="AF380" i="6" s="1"/>
  <c r="AF381" i="6" s="1"/>
  <c r="AY276" i="6"/>
  <c r="AZ276" i="6" s="1"/>
  <c r="M55" i="6"/>
  <c r="AY16" i="6" s="1"/>
  <c r="AZ16" i="6" s="1"/>
  <c r="AY373" i="6"/>
  <c r="AZ373" i="6" s="1"/>
  <c r="AY376" i="6"/>
  <c r="AY375" i="6"/>
  <c r="AY379" i="6"/>
  <c r="AY377" i="6"/>
  <c r="AY84" i="6"/>
  <c r="AZ84" i="6" s="1"/>
  <c r="AY64" i="6"/>
  <c r="AZ64" i="6" s="1"/>
  <c r="Q380" i="6" s="1"/>
  <c r="Q381" i="6" s="1"/>
  <c r="AY62" i="6"/>
  <c r="AZ62" i="6" s="1"/>
  <c r="AY85" i="6"/>
  <c r="AZ85" i="6" s="1"/>
  <c r="AY50" i="6"/>
  <c r="AZ50" i="6" s="1"/>
  <c r="P380" i="6" s="1"/>
  <c r="P381" i="6" s="1"/>
  <c r="AY68" i="6"/>
  <c r="AZ68" i="6" s="1"/>
  <c r="AY54" i="6"/>
  <c r="AZ54" i="6" s="1"/>
  <c r="AY37" i="6"/>
  <c r="AZ37" i="6" s="1"/>
  <c r="AY61" i="6"/>
  <c r="AZ61" i="6" s="1"/>
  <c r="AY56" i="6"/>
  <c r="AZ56" i="6" s="1"/>
  <c r="AY36" i="6"/>
  <c r="AZ36" i="6" s="1"/>
  <c r="O380" i="6" s="1"/>
  <c r="O381" i="6" s="1"/>
  <c r="AY47" i="6"/>
  <c r="AZ47" i="6" s="1"/>
  <c r="AY43" i="6"/>
  <c r="AZ43" i="6" s="1"/>
  <c r="AY55" i="6"/>
  <c r="AZ55" i="6" s="1"/>
  <c r="AY41" i="6"/>
  <c r="AZ41" i="6" s="1"/>
  <c r="AY87" i="6"/>
  <c r="AZ87" i="6" s="1"/>
  <c r="AY75" i="6"/>
  <c r="AZ75" i="6" s="1"/>
  <c r="AY86" i="6"/>
  <c r="AZ86" i="6" s="1"/>
  <c r="AY44" i="6"/>
  <c r="AZ44" i="6" s="1"/>
  <c r="AY38" i="6"/>
  <c r="AZ38" i="6" s="1"/>
  <c r="AY60" i="6"/>
  <c r="AZ60" i="6" s="1"/>
  <c r="AY40" i="6"/>
  <c r="AZ40" i="6" s="1"/>
  <c r="AY53" i="6"/>
  <c r="AZ53" i="6" s="1"/>
  <c r="AY58" i="6"/>
  <c r="AZ58" i="6" s="1"/>
  <c r="AY78" i="6"/>
  <c r="AZ78" i="6" s="1"/>
  <c r="R380" i="6" s="1"/>
  <c r="R381" i="6" s="1"/>
  <c r="AY70" i="6"/>
  <c r="AZ70" i="6" s="1"/>
  <c r="AY65" i="6"/>
  <c r="AZ65" i="6" s="1"/>
  <c r="AY77" i="6"/>
  <c r="AZ77" i="6" s="1"/>
  <c r="AZ49" i="6"/>
  <c r="AY158" i="6"/>
  <c r="AZ158" i="6" s="1"/>
  <c r="AY163" i="6"/>
  <c r="AZ163" i="6" s="1"/>
  <c r="AY155" i="6"/>
  <c r="AZ155" i="6" s="1"/>
  <c r="AY161" i="6"/>
  <c r="AZ161" i="6" s="1"/>
  <c r="AY168" i="6"/>
  <c r="AZ168" i="6" s="1"/>
  <c r="AY165" i="6"/>
  <c r="AZ165" i="6" s="1"/>
  <c r="AY148" i="6"/>
  <c r="AZ148" i="6" s="1"/>
  <c r="W380" i="6" s="1"/>
  <c r="W381" i="6" s="1"/>
  <c r="AY172" i="6"/>
  <c r="AZ172" i="6" s="1"/>
  <c r="AY157" i="6"/>
  <c r="AZ157" i="6" s="1"/>
  <c r="AY150" i="6"/>
  <c r="AZ150" i="6" s="1"/>
  <c r="AY162" i="6"/>
  <c r="AZ162" i="6" s="1"/>
  <c r="X380" i="6" s="1"/>
  <c r="X381" i="6" s="1"/>
  <c r="AY195" i="6"/>
  <c r="AZ195" i="6" s="1"/>
  <c r="AY180" i="6"/>
  <c r="AZ180" i="6" s="1"/>
  <c r="AY200" i="6"/>
  <c r="AZ200" i="6" s="1"/>
  <c r="AY201" i="6"/>
  <c r="AZ201" i="6" s="1"/>
  <c r="AY151" i="6"/>
  <c r="AZ151" i="6" s="1"/>
  <c r="AY202" i="6"/>
  <c r="AZ202" i="6" s="1"/>
  <c r="AY191" i="6"/>
  <c r="AZ191" i="6" s="1"/>
  <c r="AY175" i="6"/>
  <c r="AZ175" i="6" s="1"/>
  <c r="AY194" i="6"/>
  <c r="AZ194" i="6" s="1"/>
  <c r="AY198" i="6"/>
  <c r="AZ198" i="6" s="1"/>
  <c r="AY197" i="6"/>
  <c r="AZ197" i="6" s="1"/>
  <c r="AY178" i="6"/>
  <c r="AZ178" i="6" s="1"/>
  <c r="AY176" i="6"/>
  <c r="AZ176" i="6" s="1"/>
  <c r="Y380" i="6" s="1"/>
  <c r="Y381" i="6" s="1"/>
  <c r="AY184" i="6"/>
  <c r="AZ184" i="6" s="1"/>
  <c r="AY183" i="6"/>
  <c r="AZ183" i="6" s="1"/>
  <c r="AY181" i="6"/>
  <c r="AZ181" i="6" s="1"/>
  <c r="AY374" i="6"/>
  <c r="AY372" i="6"/>
  <c r="AY380" i="6"/>
  <c r="AY81" i="6"/>
  <c r="AZ81" i="6" s="1"/>
  <c r="AY46" i="6"/>
  <c r="AZ46" i="6" s="1"/>
  <c r="AY88" i="6"/>
  <c r="AZ88" i="6" s="1"/>
  <c r="AY69" i="6"/>
  <c r="AZ69" i="6" s="1"/>
  <c r="AY74" i="6"/>
  <c r="AZ74" i="6" s="1"/>
  <c r="AY66" i="6"/>
  <c r="AZ66" i="6" s="1"/>
  <c r="AY57" i="6"/>
  <c r="AZ57" i="6" s="1"/>
  <c r="AY63" i="6"/>
  <c r="AZ63" i="6" s="1"/>
  <c r="AY90" i="6"/>
  <c r="AZ90" i="6" s="1"/>
  <c r="AY83" i="6"/>
  <c r="AZ83" i="6" s="1"/>
  <c r="AY45" i="6"/>
  <c r="AZ45" i="6" s="1"/>
  <c r="AY48" i="6"/>
  <c r="AZ48" i="6" s="1"/>
  <c r="AY82" i="6"/>
  <c r="AZ82" i="6" s="1"/>
  <c r="AY76" i="6"/>
  <c r="AZ76" i="6" s="1"/>
  <c r="AY80" i="6"/>
  <c r="AZ80" i="6" s="1"/>
  <c r="AY42" i="6"/>
  <c r="AY52" i="6"/>
  <c r="AZ52" i="6" s="1"/>
  <c r="AY71" i="6"/>
  <c r="AZ71" i="6" s="1"/>
  <c r="AY89" i="6"/>
  <c r="AZ89" i="6" s="1"/>
  <c r="AY59" i="6"/>
  <c r="AZ59" i="6" s="1"/>
  <c r="AY79" i="6"/>
  <c r="AZ79" i="6" s="1"/>
  <c r="AY51" i="6"/>
  <c r="AZ51" i="6" s="1"/>
  <c r="AY39" i="6"/>
  <c r="AZ39" i="6" s="1"/>
  <c r="AY91" i="6"/>
  <c r="AZ91" i="6" s="1"/>
  <c r="AY73" i="6"/>
  <c r="AZ73" i="6" s="1"/>
  <c r="AY67" i="6"/>
  <c r="AZ67" i="6" s="1"/>
  <c r="AY72" i="6"/>
  <c r="AZ72" i="6" s="1"/>
  <c r="AZ42" i="6"/>
  <c r="J19" i="6"/>
  <c r="J20" i="6"/>
  <c r="J21" i="6"/>
  <c r="P21" i="1" s="1"/>
  <c r="AY256" i="6"/>
  <c r="AZ256" i="6" s="1"/>
  <c r="AY205" i="6"/>
  <c r="AZ205" i="6" s="1"/>
  <c r="AY244" i="6"/>
  <c r="AY214" i="6"/>
  <c r="AZ214" i="6" s="1"/>
  <c r="AY232" i="6"/>
  <c r="AY258" i="6"/>
  <c r="AY211" i="6"/>
  <c r="AZ211" i="6" s="1"/>
  <c r="AY221" i="6"/>
  <c r="AY219" i="6"/>
  <c r="AY235" i="6"/>
  <c r="AY213" i="6"/>
  <c r="AZ213" i="6" s="1"/>
  <c r="AY236" i="6"/>
  <c r="AY233" i="6"/>
  <c r="AY257" i="6"/>
  <c r="AY231" i="6"/>
  <c r="AY210" i="6"/>
  <c r="AZ210" i="6" s="1"/>
  <c r="AY255" i="6"/>
  <c r="AY215" i="6"/>
  <c r="AZ215" i="6" s="1"/>
  <c r="AY212" i="6"/>
  <c r="AZ212" i="6" s="1"/>
  <c r="AY237" i="6"/>
  <c r="AY247" i="6"/>
  <c r="AY204" i="6"/>
  <c r="AZ204" i="6" s="1"/>
  <c r="AA380" i="6" s="1"/>
  <c r="AA381" i="6" s="1"/>
  <c r="AY217" i="6"/>
  <c r="AZ217" i="6" s="1"/>
  <c r="AY259" i="6"/>
  <c r="AY239" i="6"/>
  <c r="AY243" i="6"/>
  <c r="AY216" i="6"/>
  <c r="AZ216" i="6" s="1"/>
  <c r="AY273" i="6"/>
  <c r="AY269" i="6"/>
  <c r="AY270" i="6"/>
  <c r="AZ270" i="6" s="1"/>
  <c r="AY280" i="6"/>
  <c r="AZ280" i="6" s="1"/>
  <c r="AY283" i="6"/>
  <c r="AZ283" i="6" s="1"/>
  <c r="AY264" i="6"/>
  <c r="AY275" i="6"/>
  <c r="AZ275" i="6" s="1"/>
  <c r="AY278" i="6"/>
  <c r="AZ278" i="6" s="1"/>
  <c r="AY272" i="6"/>
  <c r="AY268" i="6"/>
  <c r="AY287" i="6"/>
  <c r="AZ287" i="6" s="1"/>
  <c r="AY271" i="6"/>
  <c r="AY262" i="6"/>
  <c r="AT226" i="6"/>
  <c r="AT244" i="6"/>
  <c r="AT227" i="6"/>
  <c r="AT219" i="6"/>
  <c r="AT238" i="6"/>
  <c r="AD65" i="27"/>
  <c r="AF66" i="27" s="1"/>
  <c r="P66" i="27" s="1"/>
  <c r="U315" i="15"/>
  <c r="T315" i="15" s="1"/>
  <c r="S315" i="15" s="1"/>
  <c r="R315" i="15" s="1"/>
  <c r="T382" i="1"/>
  <c r="P102" i="1"/>
  <c r="V102" i="1" s="1"/>
  <c r="AH383" i="1"/>
  <c r="BH194" i="6"/>
  <c r="BH51" i="6"/>
  <c r="P51" i="1" s="1"/>
  <c r="V51" i="1" s="1"/>
  <c r="BH378" i="6"/>
  <c r="P378" i="1" s="1"/>
  <c r="V378" i="1" s="1"/>
  <c r="F378" i="1" s="1"/>
  <c r="BH207" i="6"/>
  <c r="P207" i="1" s="1"/>
  <c r="V207" i="1" s="1"/>
  <c r="F207" i="1" s="1"/>
  <c r="BH274" i="6"/>
  <c r="AD274" i="1" s="1"/>
  <c r="BH316" i="6"/>
  <c r="BH297" i="6"/>
  <c r="AD297" i="1" s="1"/>
  <c r="BH32" i="6"/>
  <c r="P32" i="1" s="1"/>
  <c r="V32" i="1" s="1"/>
  <c r="BH35" i="6"/>
  <c r="AD35" i="1" s="1"/>
  <c r="BH179" i="6"/>
  <c r="AD179" i="1" s="1"/>
  <c r="BH198" i="6"/>
  <c r="BH33" i="6"/>
  <c r="AD33" i="1" s="1"/>
  <c r="BH250" i="6"/>
  <c r="P250" i="1" s="1"/>
  <c r="V250" i="1" s="1"/>
  <c r="F250" i="1" s="1"/>
  <c r="BH301" i="6"/>
  <c r="AD301" i="1" s="1"/>
  <c r="BH131" i="6"/>
  <c r="P131" i="1" s="1"/>
  <c r="V131" i="1" s="1"/>
  <c r="AD60" i="27"/>
  <c r="AC60" i="27" s="1"/>
  <c r="AB59" i="27"/>
  <c r="AB60" i="27"/>
  <c r="AD59" i="27"/>
  <c r="AC59" i="27" s="1"/>
  <c r="BH234" i="6"/>
  <c r="BH88" i="6"/>
  <c r="P88" i="1" s="1"/>
  <c r="V88" i="1" s="1"/>
  <c r="BH204" i="6"/>
  <c r="P204" i="1" s="1"/>
  <c r="V204" i="1" s="1"/>
  <c r="F204" i="1" s="1"/>
  <c r="G204" i="1" s="1"/>
  <c r="BW204" i="6" s="1"/>
  <c r="BH304" i="6"/>
  <c r="AD304" i="1" s="1"/>
  <c r="BH345" i="6"/>
  <c r="BH321" i="6"/>
  <c r="AD321" i="1" s="1"/>
  <c r="BH109" i="6"/>
  <c r="BH208" i="6"/>
  <c r="AD208" i="1" s="1"/>
  <c r="BH36" i="6"/>
  <c r="BH231" i="6"/>
  <c r="P231" i="1" s="1"/>
  <c r="V231" i="1" s="1"/>
  <c r="F231" i="1" s="1"/>
  <c r="I231" i="1" s="1"/>
  <c r="BH238" i="6"/>
  <c r="BH75" i="6"/>
  <c r="BH241" i="6"/>
  <c r="BH233" i="6"/>
  <c r="BH300" i="6"/>
  <c r="BH22" i="6"/>
  <c r="P22" i="1" s="1"/>
  <c r="V22" i="1" s="1"/>
  <c r="BH117" i="6"/>
  <c r="AD117" i="1" s="1"/>
  <c r="BH142" i="6"/>
  <c r="AD142" i="1" s="1"/>
  <c r="BH365" i="6"/>
  <c r="P365" i="1" s="1"/>
  <c r="V365" i="1" s="1"/>
  <c r="F365" i="1" s="1"/>
  <c r="G365" i="1" s="1"/>
  <c r="BW365" i="6" s="1"/>
  <c r="BH277" i="6"/>
  <c r="AD277" i="1" s="1"/>
  <c r="BH92" i="6"/>
  <c r="AD92" i="1" s="1"/>
  <c r="BH202" i="6"/>
  <c r="AD202" i="1" s="1"/>
  <c r="BH39" i="6"/>
  <c r="AD39" i="1" s="1"/>
  <c r="BH26" i="6"/>
  <c r="AD26" i="1" s="1"/>
  <c r="BH136" i="6"/>
  <c r="P136" i="1" s="1"/>
  <c r="V136" i="1" s="1"/>
  <c r="BH139" i="6"/>
  <c r="AD139" i="1" s="1"/>
  <c r="BH185" i="6"/>
  <c r="AD185" i="1" s="1"/>
  <c r="BH367" i="6"/>
  <c r="AD367" i="1" s="1"/>
  <c r="BH157" i="6"/>
  <c r="BH174" i="6"/>
  <c r="P174" i="1" s="1"/>
  <c r="V174" i="1" s="1"/>
  <c r="F174" i="1" s="1"/>
  <c r="G174" i="1" s="1"/>
  <c r="BW174" i="6" s="1"/>
  <c r="BH205" i="6"/>
  <c r="BH377" i="6"/>
  <c r="P377" i="1" s="1"/>
  <c r="V377" i="1" s="1"/>
  <c r="F377" i="1" s="1"/>
  <c r="G377" i="1" s="1"/>
  <c r="BW377" i="6" s="1"/>
  <c r="BH135" i="6"/>
  <c r="P135" i="1" s="1"/>
  <c r="V135" i="1" s="1"/>
  <c r="AD156" i="1"/>
  <c r="AA156" i="1" s="1"/>
  <c r="Z156" i="1" s="1"/>
  <c r="Y156" i="1" s="1"/>
  <c r="AB64" i="27"/>
  <c r="AD64" i="27"/>
  <c r="AC64" i="27" s="1"/>
  <c r="AG17" i="1"/>
  <c r="AF17" i="1" s="1"/>
  <c r="BH182" i="6"/>
  <c r="P182" i="1" s="1"/>
  <c r="V182" i="1" s="1"/>
  <c r="F182" i="1" s="1"/>
  <c r="G182" i="1" s="1"/>
  <c r="BW182" i="6" s="1"/>
  <c r="BH298" i="6"/>
  <c r="AD298" i="1" s="1"/>
  <c r="BH90" i="6"/>
  <c r="P90" i="1" s="1"/>
  <c r="V90" i="1" s="1"/>
  <c r="BH129" i="6"/>
  <c r="AD129" i="1" s="1"/>
  <c r="BH155" i="6"/>
  <c r="P155" i="1" s="1"/>
  <c r="V155" i="1" s="1"/>
  <c r="BH184" i="6"/>
  <c r="BH271" i="6"/>
  <c r="P271" i="1" s="1"/>
  <c r="V271" i="1" s="1"/>
  <c r="F271" i="1" s="1"/>
  <c r="G271" i="1" s="1"/>
  <c r="BW271" i="6" s="1"/>
  <c r="BH262" i="6"/>
  <c r="AD262" i="1" s="1"/>
  <c r="BH116" i="6"/>
  <c r="P116" i="1" s="1"/>
  <c r="V116" i="1" s="1"/>
  <c r="BH310" i="6"/>
  <c r="AD310" i="1" s="1"/>
  <c r="BH71" i="6"/>
  <c r="P71" i="1" s="1"/>
  <c r="V71" i="1" s="1"/>
  <c r="BH209" i="6"/>
  <c r="P209" i="1" s="1"/>
  <c r="V209" i="1" s="1"/>
  <c r="F209" i="1" s="1"/>
  <c r="BH314" i="6"/>
  <c r="P314" i="1" s="1"/>
  <c r="V314" i="1" s="1"/>
  <c r="F314" i="1" s="1"/>
  <c r="BH368" i="6"/>
  <c r="AD368" i="1" s="1"/>
  <c r="BH73" i="6"/>
  <c r="P73" i="1" s="1"/>
  <c r="V73" i="1" s="1"/>
  <c r="BH124" i="6"/>
  <c r="P124" i="1" s="1"/>
  <c r="V124" i="1" s="1"/>
  <c r="BH59" i="6"/>
  <c r="P59" i="1" s="1"/>
  <c r="V59" i="1" s="1"/>
  <c r="BH193" i="6"/>
  <c r="AD193" i="1" s="1"/>
  <c r="BH58" i="6"/>
  <c r="P58" i="1" s="1"/>
  <c r="V58" i="1" s="1"/>
  <c r="BH105" i="6"/>
  <c r="AD105" i="1" s="1"/>
  <c r="BH119" i="6"/>
  <c r="AD119" i="1" s="1"/>
  <c r="BH167" i="6"/>
  <c r="BH256" i="6"/>
  <c r="AD256" i="1" s="1"/>
  <c r="BH225" i="6"/>
  <c r="P225" i="1" s="1"/>
  <c r="V225" i="1" s="1"/>
  <c r="F225" i="1" s="1"/>
  <c r="BH34" i="6"/>
  <c r="P34" i="1" s="1"/>
  <c r="V34" i="1" s="1"/>
  <c r="BH281" i="6"/>
  <c r="P281" i="1" s="1"/>
  <c r="V281" i="1" s="1"/>
  <c r="F281" i="1" s="1"/>
  <c r="BH220" i="6"/>
  <c r="P220" i="1" s="1"/>
  <c r="V220" i="1" s="1"/>
  <c r="F220" i="1" s="1"/>
  <c r="BH376" i="6"/>
  <c r="AD376" i="1" s="1"/>
  <c r="BH224" i="6"/>
  <c r="AD224" i="1" s="1"/>
  <c r="BH40" i="6"/>
  <c r="AD40" i="1" s="1"/>
  <c r="BH28" i="6"/>
  <c r="P28" i="1" s="1"/>
  <c r="V28" i="1" s="1"/>
  <c r="BH309" i="6"/>
  <c r="AD309" i="1" s="1"/>
  <c r="BH81" i="6"/>
  <c r="P81" i="1" s="1"/>
  <c r="V81" i="1" s="1"/>
  <c r="BH324" i="6"/>
  <c r="BH140" i="6"/>
  <c r="AD140" i="1" s="1"/>
  <c r="BH322" i="6"/>
  <c r="AD322" i="1" s="1"/>
  <c r="BH144" i="6"/>
  <c r="AD144" i="1" s="1"/>
  <c r="BH338" i="6"/>
  <c r="P338" i="1" s="1"/>
  <c r="V338" i="1" s="1"/>
  <c r="F338" i="1" s="1"/>
  <c r="BH183" i="6"/>
  <c r="AD183" i="1" s="1"/>
  <c r="BH160" i="6"/>
  <c r="P160" i="1" s="1"/>
  <c r="V160" i="1" s="1"/>
  <c r="BH218" i="6"/>
  <c r="AD218" i="1" s="1"/>
  <c r="BH195" i="6"/>
  <c r="BH191" i="6"/>
  <c r="AD191" i="1" s="1"/>
  <c r="BH201" i="6"/>
  <c r="AD201" i="1" s="1"/>
  <c r="BH95" i="6"/>
  <c r="P95" i="1" s="1"/>
  <c r="V95" i="1" s="1"/>
  <c r="BH311" i="6"/>
  <c r="P311" i="1" s="1"/>
  <c r="V311" i="1" s="1"/>
  <c r="F311" i="1" s="1"/>
  <c r="BH266" i="6"/>
  <c r="AD266" i="1" s="1"/>
  <c r="BH162" i="6"/>
  <c r="P162" i="1" s="1"/>
  <c r="V162" i="1" s="1"/>
  <c r="BH197" i="6"/>
  <c r="AD197" i="1" s="1"/>
  <c r="BH215" i="6"/>
  <c r="AD215" i="1" s="1"/>
  <c r="BH153" i="6"/>
  <c r="P153" i="1" s="1"/>
  <c r="V153" i="1" s="1"/>
  <c r="BH363" i="6"/>
  <c r="P363" i="1" s="1"/>
  <c r="BH299" i="6"/>
  <c r="P299" i="1" s="1"/>
  <c r="BH50" i="6"/>
  <c r="BH23" i="6"/>
  <c r="P23" i="1" s="1"/>
  <c r="V23" i="1" s="1"/>
  <c r="BH61" i="6"/>
  <c r="P61" i="1" s="1"/>
  <c r="V61" i="1" s="1"/>
  <c r="BH331" i="6"/>
  <c r="AD331" i="1" s="1"/>
  <c r="BH319" i="6"/>
  <c r="P319" i="1" s="1"/>
  <c r="V319" i="1" s="1"/>
  <c r="F319" i="1" s="1"/>
  <c r="BH101" i="6"/>
  <c r="P101" i="1" s="1"/>
  <c r="V101" i="1" s="1"/>
  <c r="BH284" i="6"/>
  <c r="AD284" i="1" s="1"/>
  <c r="BH65" i="6"/>
  <c r="AD65" i="1" s="1"/>
  <c r="BH97" i="6"/>
  <c r="P97" i="1" s="1"/>
  <c r="V97" i="1" s="1"/>
  <c r="BH122" i="6"/>
  <c r="P122" i="1" s="1"/>
  <c r="V122" i="1" s="1"/>
  <c r="BH227" i="6"/>
  <c r="AD227" i="1" s="1"/>
  <c r="BH347" i="6"/>
  <c r="BH120" i="6"/>
  <c r="BH242" i="6"/>
  <c r="BH30" i="6"/>
  <c r="AD30" i="1" s="1"/>
  <c r="BH180" i="6"/>
  <c r="P180" i="1" s="1"/>
  <c r="D25" i="7" s="1"/>
  <c r="BH272" i="6"/>
  <c r="P272" i="1" s="1"/>
  <c r="BH260" i="6"/>
  <c r="P260" i="1" s="1"/>
  <c r="V260" i="1" s="1"/>
  <c r="F260" i="1" s="1"/>
  <c r="BH308" i="6"/>
  <c r="AD308" i="1" s="1"/>
  <c r="BH305" i="6"/>
  <c r="P305" i="1" s="1"/>
  <c r="V305" i="1" s="1"/>
  <c r="F305" i="1" s="1"/>
  <c r="I305" i="1" s="1"/>
  <c r="BH175" i="6"/>
  <c r="AD175" i="1" s="1"/>
  <c r="BH115" i="6"/>
  <c r="AD115" i="1" s="1"/>
  <c r="BH93" i="6"/>
  <c r="BH339" i="6"/>
  <c r="BH103" i="6"/>
  <c r="BH302" i="6"/>
  <c r="P302" i="1" s="1"/>
  <c r="D29" i="7" s="1"/>
  <c r="BH261" i="6"/>
  <c r="AD261" i="1" s="1"/>
  <c r="BH341" i="6"/>
  <c r="P341" i="1" s="1"/>
  <c r="V341" i="1" s="1"/>
  <c r="F341" i="1" s="1"/>
  <c r="BH72" i="6"/>
  <c r="P72" i="1" s="1"/>
  <c r="V72" i="1" s="1"/>
  <c r="BH313" i="6"/>
  <c r="AD313" i="1" s="1"/>
  <c r="BH149" i="6"/>
  <c r="BH54" i="6"/>
  <c r="AD54" i="1" s="1"/>
  <c r="BH295" i="6"/>
  <c r="P295" i="1" s="1"/>
  <c r="V295" i="1" s="1"/>
  <c r="F295" i="1" s="1"/>
  <c r="BH370" i="6"/>
  <c r="AD370" i="1" s="1"/>
  <c r="BH163" i="6"/>
  <c r="P163" i="1" s="1"/>
  <c r="V163" i="1" s="1"/>
  <c r="BH64" i="6"/>
  <c r="P64" i="1" s="1"/>
  <c r="V64" i="1" s="1"/>
  <c r="BH164" i="6"/>
  <c r="P164" i="1" s="1"/>
  <c r="V164" i="1" s="1"/>
  <c r="BH17" i="6"/>
  <c r="BH303" i="6"/>
  <c r="AD303" i="1" s="1"/>
  <c r="BH352" i="6"/>
  <c r="P352" i="1" s="1"/>
  <c r="V352" i="1" s="1"/>
  <c r="F352" i="1" s="1"/>
  <c r="G352" i="1" s="1"/>
  <c r="BW352" i="6" s="1"/>
  <c r="BH96" i="6"/>
  <c r="BH228" i="6"/>
  <c r="AD228" i="1" s="1"/>
  <c r="BH222" i="6"/>
  <c r="AD222" i="1" s="1"/>
  <c r="BH146" i="6"/>
  <c r="P146" i="1" s="1"/>
  <c r="V146" i="1" s="1"/>
  <c r="BH329" i="6"/>
  <c r="AD329" i="1" s="1"/>
  <c r="BH354" i="6"/>
  <c r="AD354" i="1" s="1"/>
  <c r="BH25" i="6"/>
  <c r="AD25" i="1" s="1"/>
  <c r="BH44" i="6"/>
  <c r="BH42" i="6"/>
  <c r="BH342" i="6"/>
  <c r="AD342" i="1" s="1"/>
  <c r="BH379" i="6"/>
  <c r="AD379" i="1" s="1"/>
  <c r="BH285" i="6"/>
  <c r="AD285" i="1" s="1"/>
  <c r="BH210" i="6"/>
  <c r="AD210" i="1" s="1"/>
  <c r="BH15" i="6"/>
  <c r="BH172" i="6"/>
  <c r="AD172" i="1" s="1"/>
  <c r="BH288" i="6"/>
  <c r="AD288" i="1" s="1"/>
  <c r="BH112" i="6"/>
  <c r="AD112" i="1" s="1"/>
  <c r="BH41" i="6"/>
  <c r="AD41" i="1" s="1"/>
  <c r="BH380" i="6"/>
  <c r="BH361" i="6"/>
  <c r="P361" i="1" s="1"/>
  <c r="V361" i="1" s="1"/>
  <c r="F361" i="1" s="1"/>
  <c r="G361" i="1" s="1"/>
  <c r="BW361" i="6" s="1"/>
  <c r="BH148" i="6"/>
  <c r="BH176" i="6"/>
  <c r="AD176" i="1" s="1"/>
  <c r="BH349" i="6"/>
  <c r="BH104" i="6"/>
  <c r="AD104" i="1" s="1"/>
  <c r="BH128" i="6"/>
  <c r="AD128" i="1" s="1"/>
  <c r="BH187" i="6"/>
  <c r="AD187" i="1" s="1"/>
  <c r="BH221" i="6"/>
  <c r="AD221" i="1" s="1"/>
  <c r="BH189" i="6"/>
  <c r="AD189" i="1" s="1"/>
  <c r="BH249" i="6"/>
  <c r="AD249" i="1" s="1"/>
  <c r="BH62" i="6"/>
  <c r="AD62" i="1" s="1"/>
  <c r="BH287" i="6"/>
  <c r="AD287" i="1" s="1"/>
  <c r="BH280" i="6"/>
  <c r="BH323" i="6"/>
  <c r="P323" i="1" s="1"/>
  <c r="V323" i="1" s="1"/>
  <c r="BH290" i="6"/>
  <c r="AD290" i="1" s="1"/>
  <c r="BH351" i="6"/>
  <c r="P351" i="1" s="1"/>
  <c r="V351" i="1" s="1"/>
  <c r="F351" i="1" s="1"/>
  <c r="BH217" i="6"/>
  <c r="P217" i="1" s="1"/>
  <c r="V217" i="1" s="1"/>
  <c r="F217" i="1" s="1"/>
  <c r="BH223" i="6"/>
  <c r="AD223" i="1" s="1"/>
  <c r="BH355" i="6"/>
  <c r="P355" i="1" s="1"/>
  <c r="V355" i="1" s="1"/>
  <c r="F355" i="1" s="1"/>
  <c r="BH100" i="6"/>
  <c r="BH108" i="6"/>
  <c r="BH244" i="6"/>
  <c r="BH85" i="6"/>
  <c r="AD85" i="1" s="1"/>
  <c r="T383" i="1"/>
  <c r="P119" i="1"/>
  <c r="T381" i="1"/>
  <c r="AD44" i="1"/>
  <c r="AH382" i="1"/>
  <c r="AD317" i="1"/>
  <c r="AD21" i="1"/>
  <c r="P118" i="1"/>
  <c r="V118" i="1" s="1"/>
  <c r="AA118" i="1" s="1"/>
  <c r="Z118" i="1" s="1"/>
  <c r="Y118" i="1" s="1"/>
  <c r="P229" i="1"/>
  <c r="V229" i="1" s="1"/>
  <c r="F229" i="1" s="1"/>
  <c r="P133" i="1"/>
  <c r="V133" i="1" s="1"/>
  <c r="P252" i="1"/>
  <c r="V252" i="1" s="1"/>
  <c r="F252" i="1" s="1"/>
  <c r="AD166" i="1"/>
  <c r="AA166" i="1" s="1"/>
  <c r="Z166" i="1" s="1"/>
  <c r="Y166" i="1" s="1"/>
  <c r="BH203" i="6"/>
  <c r="AD203" i="1" s="1"/>
  <c r="BH169" i="6"/>
  <c r="P169" i="1" s="1"/>
  <c r="V169" i="1" s="1"/>
  <c r="F169" i="1" s="1"/>
  <c r="BH340" i="6"/>
  <c r="P340" i="1" s="1"/>
  <c r="V340" i="1" s="1"/>
  <c r="F340" i="1" s="1"/>
  <c r="BH247" i="6"/>
  <c r="P247" i="1" s="1"/>
  <c r="V247" i="1" s="1"/>
  <c r="F247" i="1" s="1"/>
  <c r="I247" i="1" s="1"/>
  <c r="BH20" i="6"/>
  <c r="BH56" i="6"/>
  <c r="AD56" i="1" s="1"/>
  <c r="BH31" i="6"/>
  <c r="P31" i="1" s="1"/>
  <c r="V31" i="1" s="1"/>
  <c r="BH246" i="6"/>
  <c r="P246" i="1" s="1"/>
  <c r="V246" i="1" s="1"/>
  <c r="F246" i="1" s="1"/>
  <c r="BH29" i="6"/>
  <c r="AD29" i="1" s="1"/>
  <c r="BH282" i="6"/>
  <c r="P282" i="1" s="1"/>
  <c r="BH243" i="6"/>
  <c r="AD243" i="1" s="1"/>
  <c r="BH55" i="6"/>
  <c r="AD55" i="1" s="1"/>
  <c r="BH307" i="6"/>
  <c r="AD307" i="1" s="1"/>
  <c r="BH186" i="6"/>
  <c r="AD186" i="1" s="1"/>
  <c r="BH150" i="6"/>
  <c r="P150" i="1" s="1"/>
  <c r="V150" i="1" s="1"/>
  <c r="BH48" i="6"/>
  <c r="P48" i="1" s="1"/>
  <c r="V48" i="1" s="1"/>
  <c r="BH188" i="6"/>
  <c r="AD188" i="1" s="1"/>
  <c r="BH291" i="6"/>
  <c r="AD291" i="1" s="1"/>
  <c r="BH255" i="6"/>
  <c r="AD255" i="1" s="1"/>
  <c r="BH265" i="6"/>
  <c r="AD265" i="1" s="1"/>
  <c r="BH200" i="6"/>
  <c r="P200" i="1" s="1"/>
  <c r="V200" i="1" s="1"/>
  <c r="F200" i="1" s="1"/>
  <c r="BH199" i="6"/>
  <c r="AD199" i="1" s="1"/>
  <c r="BH336" i="6"/>
  <c r="BH24" i="6"/>
  <c r="AD24" i="1" s="1"/>
  <c r="BH374" i="6"/>
  <c r="AD374" i="1" s="1"/>
  <c r="BH364" i="6"/>
  <c r="P364" i="1" s="1"/>
  <c r="V364" i="1" s="1"/>
  <c r="F364" i="1" s="1"/>
  <c r="BH82" i="6"/>
  <c r="AD82" i="1" s="1"/>
  <c r="BH80" i="6"/>
  <c r="BH212" i="6"/>
  <c r="P212" i="1" s="1"/>
  <c r="BH337" i="6"/>
  <c r="AD337" i="1" s="1"/>
  <c r="BH159" i="6"/>
  <c r="P159" i="1" s="1"/>
  <c r="V159" i="1" s="1"/>
  <c r="BH16" i="6"/>
  <c r="BH334" i="6"/>
  <c r="P334" i="1" s="1"/>
  <c r="V334" i="1" s="1"/>
  <c r="F334" i="1" s="1"/>
  <c r="BH312" i="6"/>
  <c r="AD312" i="1" s="1"/>
  <c r="BH125" i="6"/>
  <c r="AD125" i="1" s="1"/>
  <c r="BH38" i="6"/>
  <c r="AD38" i="1" s="1"/>
  <c r="BH343" i="6"/>
  <c r="P343" i="1" s="1"/>
  <c r="V343" i="1" s="1"/>
  <c r="F343" i="1" s="1"/>
  <c r="BH37" i="6"/>
  <c r="P37" i="1" s="1"/>
  <c r="V37" i="1" s="1"/>
  <c r="BH216" i="6"/>
  <c r="AD216" i="1" s="1"/>
  <c r="BH333" i="6"/>
  <c r="AD333" i="1" s="1"/>
  <c r="BH263" i="6"/>
  <c r="AD263" i="1" s="1"/>
  <c r="BH78" i="6"/>
  <c r="AD78" i="1" s="1"/>
  <c r="BH366" i="6"/>
  <c r="P366" i="1" s="1"/>
  <c r="V366" i="1" s="1"/>
  <c r="F366" i="1" s="1"/>
  <c r="I366" i="1" s="1"/>
  <c r="BH134" i="6"/>
  <c r="AD134" i="1" s="1"/>
  <c r="BH346" i="6"/>
  <c r="P346" i="1" s="1"/>
  <c r="V346" i="1" s="1"/>
  <c r="F346" i="1" s="1"/>
  <c r="BH372" i="6"/>
  <c r="P372" i="1" s="1"/>
  <c r="V372" i="1" s="1"/>
  <c r="F372" i="1" s="1"/>
  <c r="BH258" i="6"/>
  <c r="AD258" i="1" s="1"/>
  <c r="BH106" i="6"/>
  <c r="AD106" i="1" s="1"/>
  <c r="BH165" i="6"/>
  <c r="P165" i="1" s="1"/>
  <c r="V165" i="1" s="1"/>
  <c r="BH235" i="6"/>
  <c r="BH49" i="6"/>
  <c r="AD49" i="1" s="1"/>
  <c r="BH332" i="6"/>
  <c r="BH315" i="6"/>
  <c r="BH69" i="6"/>
  <c r="AD69" i="1" s="1"/>
  <c r="BH126" i="6"/>
  <c r="P126" i="1" s="1"/>
  <c r="V126" i="1" s="1"/>
  <c r="BH373" i="6"/>
  <c r="P373" i="1" s="1"/>
  <c r="V373" i="1" s="1"/>
  <c r="F373" i="1" s="1"/>
  <c r="BH137" i="6"/>
  <c r="P137" i="1" s="1"/>
  <c r="V137" i="1" s="1"/>
  <c r="BH91" i="6"/>
  <c r="P91" i="1" s="1"/>
  <c r="V91" i="1" s="1"/>
  <c r="BH327" i="6"/>
  <c r="P327" i="1" s="1"/>
  <c r="V327" i="1" s="1"/>
  <c r="F327" i="1" s="1"/>
  <c r="BH67" i="6"/>
  <c r="P67" i="1" s="1"/>
  <c r="V67" i="1" s="1"/>
  <c r="BH77" i="6"/>
  <c r="AD77" i="1" s="1"/>
  <c r="BH138" i="6"/>
  <c r="AD138" i="1" s="1"/>
  <c r="BH127" i="6"/>
  <c r="AD127" i="1" s="1"/>
  <c r="BH141" i="6"/>
  <c r="P141" i="1" s="1"/>
  <c r="V141" i="1" s="1"/>
  <c r="BH236" i="6"/>
  <c r="P236" i="1" s="1"/>
  <c r="V236" i="1" s="1"/>
  <c r="F236" i="1" s="1"/>
  <c r="BH358" i="6"/>
  <c r="BH206" i="6"/>
  <c r="AD206" i="1" s="1"/>
  <c r="AD91" i="1"/>
  <c r="P79" i="27"/>
  <c r="AE78" i="27"/>
  <c r="AE79" i="27"/>
  <c r="AG84" i="1"/>
  <c r="AF84" i="1" s="1"/>
  <c r="AG19" i="1"/>
  <c r="AF19" i="1" s="1"/>
  <c r="S193" i="1"/>
  <c r="R193" i="1" s="1"/>
  <c r="AG339" i="1"/>
  <c r="AF339" i="1" s="1"/>
  <c r="AG318" i="1"/>
  <c r="AF318" i="1" s="1"/>
  <c r="AG34" i="1"/>
  <c r="AF34" i="1" s="1"/>
  <c r="AG135" i="1"/>
  <c r="AF135" i="1" s="1"/>
  <c r="AG219" i="1"/>
  <c r="AF219" i="1" s="1"/>
  <c r="S303" i="1"/>
  <c r="R303" i="1" s="1"/>
  <c r="AG325" i="1"/>
  <c r="AF325" i="1" s="1"/>
  <c r="AG136" i="1"/>
  <c r="AF136" i="1" s="1"/>
  <c r="S243" i="1"/>
  <c r="R243" i="1" s="1"/>
  <c r="AG351" i="1"/>
  <c r="AF351" i="1" s="1"/>
  <c r="S350" i="1"/>
  <c r="R350" i="1" s="1"/>
  <c r="S112" i="1"/>
  <c r="R112" i="1" s="1"/>
  <c r="S20" i="1"/>
  <c r="R20" i="1" s="1"/>
  <c r="AG212" i="1"/>
  <c r="AF212" i="1" s="1"/>
  <c r="S371" i="1"/>
  <c r="R371" i="1" s="1"/>
  <c r="AG132" i="1"/>
  <c r="AF132" i="1" s="1"/>
  <c r="AG324" i="1"/>
  <c r="AF324" i="1" s="1"/>
  <c r="S105" i="1"/>
  <c r="R105" i="1" s="1"/>
  <c r="S33" i="1"/>
  <c r="R33" i="1" s="1"/>
  <c r="AG326" i="1"/>
  <c r="AF326" i="1" s="1"/>
  <c r="S104" i="1"/>
  <c r="R104" i="1" s="1"/>
  <c r="S275" i="1"/>
  <c r="R275" i="1" s="1"/>
  <c r="S173" i="1"/>
  <c r="R173" i="1" s="1"/>
  <c r="AG60" i="1"/>
  <c r="AF60" i="1" s="1"/>
  <c r="S329" i="1"/>
  <c r="R329" i="1" s="1"/>
  <c r="AG358" i="1"/>
  <c r="AF358" i="1" s="1"/>
  <c r="AG164" i="1"/>
  <c r="AF164" i="1" s="1"/>
  <c r="AG268" i="1"/>
  <c r="AF268" i="1" s="1"/>
  <c r="AD268" i="1" s="1"/>
  <c r="AG75" i="1"/>
  <c r="AF75" i="1" s="1"/>
  <c r="S221" i="1"/>
  <c r="R221" i="1" s="1"/>
  <c r="AG20" i="1"/>
  <c r="AF20" i="1" s="1"/>
  <c r="AG48" i="1"/>
  <c r="AF48" i="1" s="1"/>
  <c r="AG364" i="1"/>
  <c r="AF364" i="1" s="1"/>
  <c r="S237" i="1"/>
  <c r="R237" i="1" s="1"/>
  <c r="P237" i="1" s="1"/>
  <c r="S297" i="1"/>
  <c r="R297" i="1" s="1"/>
  <c r="S328" i="1"/>
  <c r="R328" i="1" s="1"/>
  <c r="S358" i="1"/>
  <c r="R358" i="1" s="1"/>
  <c r="AG366" i="1"/>
  <c r="AF366" i="1" s="1"/>
  <c r="AG160" i="1"/>
  <c r="AF160" i="1" s="1"/>
  <c r="S49" i="1"/>
  <c r="R49" i="1" s="1"/>
  <c r="S140" i="1"/>
  <c r="R140" i="1" s="1"/>
  <c r="S345" i="1"/>
  <c r="R345" i="1" s="1"/>
  <c r="S199" i="1"/>
  <c r="R199" i="1" s="1"/>
  <c r="S27" i="1"/>
  <c r="R27" i="1" s="1"/>
  <c r="P27" i="1" s="1"/>
  <c r="V27" i="1" s="1"/>
  <c r="S335" i="1"/>
  <c r="R335" i="1" s="1"/>
  <c r="S80" i="1"/>
  <c r="R80" i="1" s="1"/>
  <c r="AG58" i="1"/>
  <c r="AF58" i="1" s="1"/>
  <c r="S196" i="1"/>
  <c r="R196" i="1" s="1"/>
  <c r="AG377" i="1"/>
  <c r="AF377" i="1" s="1"/>
  <c r="S210" i="1"/>
  <c r="R210" i="1" s="1"/>
  <c r="S324" i="1"/>
  <c r="R324" i="1" s="1"/>
  <c r="AG251" i="1"/>
  <c r="AF251" i="1" s="1"/>
  <c r="S213" i="1"/>
  <c r="R213" i="1" s="1"/>
  <c r="S347" i="1"/>
  <c r="R347" i="1" s="1"/>
  <c r="AG347" i="1"/>
  <c r="AF347" i="1" s="1"/>
  <c r="S185" i="1"/>
  <c r="R185" i="1" s="1"/>
  <c r="S129" i="1"/>
  <c r="R129" i="1" s="1"/>
  <c r="AG250" i="1"/>
  <c r="AF250" i="1" s="1"/>
  <c r="S368" i="1"/>
  <c r="R368" i="1" s="1"/>
  <c r="S264" i="1"/>
  <c r="R264" i="1" s="1"/>
  <c r="R76" i="27"/>
  <c r="X76" i="27"/>
  <c r="T76" i="27"/>
  <c r="Z76" i="27"/>
  <c r="I41" i="27"/>
  <c r="Q76" i="27"/>
  <c r="S76" i="27"/>
  <c r="Y76" i="27"/>
  <c r="AA76" i="27"/>
  <c r="AB75" i="27" s="1"/>
  <c r="V76" i="27"/>
  <c r="W76" i="27"/>
  <c r="U76" i="27"/>
  <c r="S179" i="1"/>
  <c r="R179" i="1" s="1"/>
  <c r="AG361" i="1"/>
  <c r="AF361" i="1" s="1"/>
  <c r="AG22" i="1"/>
  <c r="AF22" i="1" s="1"/>
  <c r="S203" i="1"/>
  <c r="R203" i="1" s="1"/>
  <c r="AG302" i="1"/>
  <c r="AF302" i="1" s="1"/>
  <c r="S218" i="1"/>
  <c r="R218" i="1" s="1"/>
  <c r="S290" i="1"/>
  <c r="R290" i="1" s="1"/>
  <c r="S262" i="1"/>
  <c r="R262" i="1" s="1"/>
  <c r="AG353" i="1"/>
  <c r="AF353" i="1" s="1"/>
  <c r="S310" i="1"/>
  <c r="R310" i="1" s="1"/>
  <c r="S339" i="1"/>
  <c r="R339" i="1" s="1"/>
  <c r="AG67" i="1"/>
  <c r="AF67" i="1" s="1"/>
  <c r="AG209" i="1"/>
  <c r="AF209" i="1" s="1"/>
  <c r="AD209" i="1" s="1"/>
  <c r="AG120" i="1"/>
  <c r="AF120" i="1" s="1"/>
  <c r="AG341" i="1"/>
  <c r="AF341" i="1" s="1"/>
  <c r="AG260" i="1"/>
  <c r="AF260" i="1" s="1"/>
  <c r="S189" i="1"/>
  <c r="R189" i="1" s="1"/>
  <c r="S134" i="1"/>
  <c r="R134" i="1" s="1"/>
  <c r="AD70" i="27"/>
  <c r="AC70" i="27" s="1"/>
  <c r="AB70" i="27"/>
  <c r="AD69" i="27"/>
  <c r="G33" i="27"/>
  <c r="G32" i="27"/>
  <c r="AC68" i="27" s="1"/>
  <c r="BH63" i="6"/>
  <c r="P63" i="1" s="1"/>
  <c r="V63" i="1" s="1"/>
  <c r="BH84" i="6"/>
  <c r="P84" i="1" s="1"/>
  <c r="V84" i="1" s="1"/>
  <c r="BH219" i="6"/>
  <c r="BH362" i="6"/>
  <c r="P362" i="1" s="1"/>
  <c r="V362" i="1" s="1"/>
  <c r="F362" i="1" s="1"/>
  <c r="BH173" i="6"/>
  <c r="AD173" i="1" s="1"/>
  <c r="BH70" i="6"/>
  <c r="AD70" i="1" s="1"/>
  <c r="BH43" i="6"/>
  <c r="P43" i="1" s="1"/>
  <c r="V43" i="1" s="1"/>
  <c r="BH325" i="6"/>
  <c r="P325" i="1" s="1"/>
  <c r="V325" i="1" s="1"/>
  <c r="F325" i="1" s="1"/>
  <c r="BH360" i="6"/>
  <c r="P360" i="1" s="1"/>
  <c r="V360" i="1" s="1"/>
  <c r="F360" i="1" s="1"/>
  <c r="BH267" i="6"/>
  <c r="P267" i="1" s="1"/>
  <c r="V267" i="1" s="1"/>
  <c r="F267" i="1" s="1"/>
  <c r="BH296" i="6"/>
  <c r="BH170" i="6"/>
  <c r="P170" i="1" s="1"/>
  <c r="V170" i="1" s="1"/>
  <c r="BH320" i="6"/>
  <c r="P320" i="1" s="1"/>
  <c r="BH294" i="6"/>
  <c r="P294" i="1" s="1"/>
  <c r="V294" i="1" s="1"/>
  <c r="F294" i="1" s="1"/>
  <c r="BH66" i="6"/>
  <c r="P66" i="1" s="1"/>
  <c r="V66" i="1" s="1"/>
  <c r="BH286" i="6"/>
  <c r="P286" i="1" s="1"/>
  <c r="V286" i="1" s="1"/>
  <c r="F286" i="1" s="1"/>
  <c r="BH273" i="6"/>
  <c r="BH89" i="6"/>
  <c r="AD89" i="1" s="1"/>
  <c r="BH269" i="6"/>
  <c r="AD269" i="1" s="1"/>
  <c r="BH276" i="6"/>
  <c r="AD276" i="1" s="1"/>
  <c r="BH86" i="6"/>
  <c r="BH230" i="6"/>
  <c r="P230" i="1" s="1"/>
  <c r="V230" i="1" s="1"/>
  <c r="F230" i="1" s="1"/>
  <c r="BH213" i="6"/>
  <c r="AD213" i="1" s="1"/>
  <c r="BH353" i="6"/>
  <c r="P353" i="1" s="1"/>
  <c r="V353" i="1" s="1"/>
  <c r="F353" i="1" s="1"/>
  <c r="BH46" i="6"/>
  <c r="BH375" i="6"/>
  <c r="P375" i="1" s="1"/>
  <c r="BH99" i="6"/>
  <c r="P99" i="1" s="1"/>
  <c r="V99" i="1" s="1"/>
  <c r="BH289" i="6"/>
  <c r="P289" i="1" s="1"/>
  <c r="BH152" i="6"/>
  <c r="AD152" i="1" s="1"/>
  <c r="BH254" i="6"/>
  <c r="AD254" i="1" s="1"/>
  <c r="BH121" i="6"/>
  <c r="BH356" i="6"/>
  <c r="P356" i="1" s="1"/>
  <c r="V356" i="1" s="1"/>
  <c r="F356" i="1" s="1"/>
  <c r="BH60" i="6"/>
  <c r="P60" i="1" s="1"/>
  <c r="BH369" i="6"/>
  <c r="P369" i="1" s="1"/>
  <c r="V369" i="1" s="1"/>
  <c r="F369" i="1" s="1"/>
  <c r="BH270" i="6"/>
  <c r="AD270" i="1" s="1"/>
  <c r="BH168" i="6"/>
  <c r="BH53" i="6"/>
  <c r="P53" i="1" s="1"/>
  <c r="V53" i="1" s="1"/>
  <c r="BH275" i="6"/>
  <c r="AD275" i="1" s="1"/>
  <c r="BH83" i="6"/>
  <c r="AD83" i="1" s="1"/>
  <c r="BH226" i="6"/>
  <c r="P226" i="1" s="1"/>
  <c r="V226" i="1" s="1"/>
  <c r="F226" i="1" s="1"/>
  <c r="BH178" i="6"/>
  <c r="P178" i="1" s="1"/>
  <c r="V178" i="1" s="1"/>
  <c r="F178" i="1" s="1"/>
  <c r="BH111" i="6"/>
  <c r="AD111" i="1" s="1"/>
  <c r="BH359" i="6"/>
  <c r="AD359" i="1" s="1"/>
  <c r="BH253" i="6"/>
  <c r="P253" i="1" s="1"/>
  <c r="V253" i="1" s="1"/>
  <c r="F253" i="1" s="1"/>
  <c r="G253" i="1" s="1"/>
  <c r="BW253" i="6" s="1"/>
  <c r="BH264" i="6"/>
  <c r="AD264" i="1" s="1"/>
  <c r="BH211" i="6"/>
  <c r="P211" i="1" s="1"/>
  <c r="V211" i="1" s="1"/>
  <c r="F211" i="1" s="1"/>
  <c r="BH190" i="6"/>
  <c r="AD190" i="1" s="1"/>
  <c r="BH279" i="6"/>
  <c r="P279" i="1" s="1"/>
  <c r="V279" i="1" s="1"/>
  <c r="F279" i="1" s="1"/>
  <c r="BH52" i="6"/>
  <c r="P52" i="1" s="1"/>
  <c r="V52" i="1" s="1"/>
  <c r="BH123" i="6"/>
  <c r="BH196" i="6"/>
  <c r="AD196" i="1" s="1"/>
  <c r="BH113" i="6"/>
  <c r="AD113" i="1" s="1"/>
  <c r="BH192" i="6"/>
  <c r="P192" i="1" s="1"/>
  <c r="BH151" i="6"/>
  <c r="BH245" i="6"/>
  <c r="P245" i="1" s="1"/>
  <c r="V245" i="1" s="1"/>
  <c r="F245" i="1" s="1"/>
  <c r="G245" i="1" s="1"/>
  <c r="BW245" i="6" s="1"/>
  <c r="BH306" i="6"/>
  <c r="P306" i="1" s="1"/>
  <c r="V306" i="1" s="1"/>
  <c r="F306" i="1" s="1"/>
  <c r="BH371" i="6"/>
  <c r="BH47" i="6"/>
  <c r="P47" i="1" s="1"/>
  <c r="V47" i="1" s="1"/>
  <c r="BH114" i="6"/>
  <c r="P114" i="1" s="1"/>
  <c r="V114" i="1" s="1"/>
  <c r="BH357" i="6"/>
  <c r="AD357" i="1" s="1"/>
  <c r="BH257" i="6"/>
  <c r="AD257" i="1" s="1"/>
  <c r="BH161" i="6"/>
  <c r="P161" i="1" s="1"/>
  <c r="V161" i="1" s="1"/>
  <c r="BH19" i="6"/>
  <c r="BH171" i="6"/>
  <c r="AD171" i="1" s="1"/>
  <c r="BH330" i="6"/>
  <c r="P330" i="1" s="1"/>
  <c r="V330" i="1" s="1"/>
  <c r="F330" i="1" s="1"/>
  <c r="BH214" i="6"/>
  <c r="AD214" i="1" s="1"/>
  <c r="BH143" i="6"/>
  <c r="AD143" i="1" s="1"/>
  <c r="BH158" i="6"/>
  <c r="AD158" i="1" s="1"/>
  <c r="BH248" i="6"/>
  <c r="P248" i="1" s="1"/>
  <c r="BH240" i="6"/>
  <c r="P240" i="1" s="1"/>
  <c r="V240" i="1" s="1"/>
  <c r="F240" i="1" s="1"/>
  <c r="BH177" i="6"/>
  <c r="AD177" i="1" s="1"/>
  <c r="BH348" i="6"/>
  <c r="AD348" i="1" s="1"/>
  <c r="BH350" i="6"/>
  <c r="AD350" i="1" s="1"/>
  <c r="BH154" i="6"/>
  <c r="P154" i="1" s="1"/>
  <c r="V154" i="1" s="1"/>
  <c r="BH45" i="6"/>
  <c r="BH94" i="6"/>
  <c r="AD94" i="1" s="1"/>
  <c r="BH68" i="6"/>
  <c r="AD68" i="1" s="1"/>
  <c r="BH181" i="6"/>
  <c r="BH57" i="6"/>
  <c r="BH328" i="6"/>
  <c r="AD328" i="1" s="1"/>
  <c r="BH107" i="6"/>
  <c r="BH335" i="6"/>
  <c r="AD335" i="1" s="1"/>
  <c r="BH344" i="6"/>
  <c r="AD344" i="1" s="1"/>
  <c r="BH232" i="6"/>
  <c r="AD232" i="1" s="1"/>
  <c r="BH326" i="6"/>
  <c r="P326" i="1" s="1"/>
  <c r="V326" i="1" s="1"/>
  <c r="BH318" i="6"/>
  <c r="BH110" i="6"/>
  <c r="P110" i="1" s="1"/>
  <c r="V110" i="1" s="1"/>
  <c r="BH147" i="6"/>
  <c r="P147" i="1" s="1"/>
  <c r="V147" i="1" s="1"/>
  <c r="BH251" i="6"/>
  <c r="P251" i="1" s="1"/>
  <c r="BH98" i="6"/>
  <c r="AD98" i="1" s="1"/>
  <c r="BH79" i="6"/>
  <c r="AD79" i="1" s="1"/>
  <c r="BH278" i="6"/>
  <c r="P278" i="1" s="1"/>
  <c r="V278" i="1" s="1"/>
  <c r="BH283" i="6"/>
  <c r="P283" i="1" s="1"/>
  <c r="V283" i="1" s="1"/>
  <c r="F283" i="1" s="1"/>
  <c r="BH132" i="6"/>
  <c r="P132" i="1" s="1"/>
  <c r="V132" i="1" s="1"/>
  <c r="BH74" i="6"/>
  <c r="P74" i="1" s="1"/>
  <c r="V74" i="1" s="1"/>
  <c r="BH292" i="6"/>
  <c r="BH145" i="6"/>
  <c r="P145" i="1" s="1"/>
  <c r="V145" i="1" s="1"/>
  <c r="BH239" i="6"/>
  <c r="P239" i="1" s="1"/>
  <c r="U57" i="15"/>
  <c r="T57" i="15" s="1"/>
  <c r="S57" i="15" s="1"/>
  <c r="R57" i="15" s="1"/>
  <c r="AH381" i="1"/>
  <c r="S249" i="1"/>
  <c r="R249" i="1" s="1"/>
  <c r="S235" i="1"/>
  <c r="R235" i="1" s="1"/>
  <c r="S269" i="1"/>
  <c r="R269" i="1" s="1"/>
  <c r="AG141" i="1"/>
  <c r="AF141" i="1" s="1"/>
  <c r="S265" i="1"/>
  <c r="R265" i="1" s="1"/>
  <c r="AG181" i="1"/>
  <c r="AF181" i="1" s="1"/>
  <c r="AG211" i="1"/>
  <c r="AF211" i="1" s="1"/>
  <c r="S357" i="1"/>
  <c r="R357" i="1" s="1"/>
  <c r="S331" i="1"/>
  <c r="R331" i="1" s="1"/>
  <c r="AG31" i="1"/>
  <c r="AF31" i="1" s="1"/>
  <c r="S370" i="1"/>
  <c r="R370" i="1" s="1"/>
  <c r="AG27" i="1"/>
  <c r="AF27" i="1" s="1"/>
  <c r="AD27" i="1" s="1"/>
  <c r="S304" i="1"/>
  <c r="R304" i="1" s="1"/>
  <c r="S172" i="1"/>
  <c r="R172" i="1" s="1"/>
  <c r="AG226" i="1"/>
  <c r="AF226" i="1" s="1"/>
  <c r="AG346" i="1"/>
  <c r="AF346" i="1" s="1"/>
  <c r="AG53" i="1"/>
  <c r="AF53" i="1" s="1"/>
  <c r="S44" i="1"/>
  <c r="R44" i="1" s="1"/>
  <c r="G29" i="27"/>
  <c r="AC65" i="27" s="1"/>
  <c r="G30" i="27"/>
  <c r="AC66" i="27" s="1"/>
  <c r="S127" i="1"/>
  <c r="R127" i="1" s="1"/>
  <c r="AG345" i="1"/>
  <c r="AF345" i="1" s="1"/>
  <c r="AG200" i="1"/>
  <c r="AF200" i="1" s="1"/>
  <c r="AG150" i="1"/>
  <c r="AF150" i="1" s="1"/>
  <c r="S344" i="1"/>
  <c r="R344" i="1" s="1"/>
  <c r="S181" i="1"/>
  <c r="R181" i="1" s="1"/>
  <c r="AG332" i="1"/>
  <c r="AF332" i="1" s="1"/>
  <c r="AG116" i="1"/>
  <c r="AF116" i="1" s="1"/>
  <c r="AG182" i="1"/>
  <c r="AF182" i="1" s="1"/>
  <c r="AG46" i="1"/>
  <c r="AF46" i="1" s="1"/>
  <c r="S89" i="1"/>
  <c r="R89" i="1" s="1"/>
  <c r="AG194" i="1"/>
  <c r="AF194" i="1" s="1"/>
  <c r="S337" i="1"/>
  <c r="R337" i="1" s="1"/>
  <c r="AG174" i="1"/>
  <c r="AF174" i="1" s="1"/>
  <c r="S108" i="1"/>
  <c r="R108" i="1" s="1"/>
  <c r="S190" i="1"/>
  <c r="R190" i="1" s="1"/>
  <c r="S46" i="1"/>
  <c r="R46" i="1" s="1"/>
  <c r="S38" i="1"/>
  <c r="R38" i="1" s="1"/>
  <c r="S258" i="1"/>
  <c r="R258" i="1" s="1"/>
  <c r="AG108" i="1"/>
  <c r="AF108" i="1" s="1"/>
  <c r="S75" i="1"/>
  <c r="R75" i="1" s="1"/>
  <c r="S321" i="1"/>
  <c r="R321" i="1" s="1"/>
  <c r="S142" i="1"/>
  <c r="R142" i="1" s="1"/>
  <c r="S227" i="1"/>
  <c r="R227" i="1" s="1"/>
  <c r="Q66" i="27"/>
  <c r="BJ14" i="6"/>
  <c r="Q55" i="27"/>
  <c r="Q64" i="27"/>
  <c r="Q65" i="27"/>
  <c r="Q60" i="27"/>
  <c r="Q62" i="27"/>
  <c r="Q61" i="27"/>
  <c r="Q58" i="27"/>
  <c r="Q69" i="27"/>
  <c r="Q68" i="27"/>
  <c r="Q59" i="27"/>
  <c r="Q57" i="27"/>
  <c r="Q63" i="27"/>
  <c r="Q67" i="27"/>
  <c r="AG229" i="1"/>
  <c r="AF229" i="1" s="1"/>
  <c r="AD229" i="1" s="1"/>
  <c r="AG99" i="1"/>
  <c r="AF99" i="1" s="1"/>
  <c r="S120" i="1"/>
  <c r="R120" i="1" s="1"/>
  <c r="S287" i="1"/>
  <c r="R287" i="1" s="1"/>
  <c r="S232" i="1"/>
  <c r="R232" i="1" s="1"/>
  <c r="AG372" i="1"/>
  <c r="AF372" i="1" s="1"/>
  <c r="AG61" i="1"/>
  <c r="AF61" i="1" s="1"/>
  <c r="AG71" i="1"/>
  <c r="AF71" i="1" s="1"/>
  <c r="AG80" i="1"/>
  <c r="AF80" i="1" s="1"/>
  <c r="S111" i="1"/>
  <c r="R111" i="1" s="1"/>
  <c r="AG167" i="1"/>
  <c r="AF167" i="1" s="1"/>
  <c r="S92" i="1"/>
  <c r="R92" i="1" s="1"/>
  <c r="S186" i="1"/>
  <c r="R186" i="1" s="1"/>
  <c r="S183" i="1"/>
  <c r="R183" i="1" s="1"/>
  <c r="S194" i="1"/>
  <c r="R194" i="1" s="1"/>
  <c r="S318" i="1"/>
  <c r="R318" i="1" s="1"/>
  <c r="S82" i="1"/>
  <c r="R82" i="1" s="1"/>
  <c r="AG336" i="1"/>
  <c r="AF336" i="1" s="1"/>
  <c r="S26" i="1"/>
  <c r="R26" i="1" s="1"/>
  <c r="S261" i="1"/>
  <c r="R261" i="1" s="1"/>
  <c r="AG52" i="1"/>
  <c r="AF52" i="1" s="1"/>
  <c r="AG279" i="1"/>
  <c r="AF279" i="1" s="1"/>
  <c r="S333" i="1"/>
  <c r="R333" i="1" s="1"/>
  <c r="S206" i="1"/>
  <c r="R206" i="1" s="1"/>
  <c r="S280" i="1"/>
  <c r="R280" i="1" s="1"/>
  <c r="AG311" i="1"/>
  <c r="AF311" i="1" s="1"/>
  <c r="AG66" i="1"/>
  <c r="AF66" i="1" s="1"/>
  <c r="S219" i="1"/>
  <c r="R219" i="1" s="1"/>
  <c r="S336" i="1"/>
  <c r="R336" i="1" s="1"/>
  <c r="S152" i="1"/>
  <c r="R152" i="1" s="1"/>
  <c r="AG133" i="1"/>
  <c r="AF133" i="1" s="1"/>
  <c r="AD133" i="1" s="1"/>
  <c r="AG131" i="1"/>
  <c r="AF131" i="1" s="1"/>
  <c r="S268" i="1"/>
  <c r="R268" i="1" s="1"/>
  <c r="P268" i="1" s="1"/>
  <c r="V268" i="1" s="1"/>
  <c r="F268" i="1" s="1"/>
  <c r="AG294" i="1"/>
  <c r="AF294" i="1" s="1"/>
  <c r="AG280" i="1"/>
  <c r="AF280" i="1" s="1"/>
  <c r="AG126" i="1"/>
  <c r="AF126" i="1" s="1"/>
  <c r="S285" i="1"/>
  <c r="R285" i="1" s="1"/>
  <c r="AG72" i="1"/>
  <c r="AG43" i="1"/>
  <c r="AF43" i="1" s="1"/>
  <c r="AG235" i="1"/>
  <c r="AF235" i="1" s="1"/>
  <c r="P130" i="1"/>
  <c r="V130" i="1" s="1"/>
  <c r="AA130" i="1" s="1"/>
  <c r="Z130" i="1" s="1"/>
  <c r="Y130" i="1" s="1"/>
  <c r="R15" i="1"/>
  <c r="AI109" i="15"/>
  <c r="AH109" i="15" s="1"/>
  <c r="AG109" i="15" s="1"/>
  <c r="AF109" i="15" s="1"/>
  <c r="AI82" i="15"/>
  <c r="AH82" i="15" s="1"/>
  <c r="AG82" i="15" s="1"/>
  <c r="AF82" i="15" s="1"/>
  <c r="AI134" i="15"/>
  <c r="AH134" i="15" s="1"/>
  <c r="AG134" i="15" s="1"/>
  <c r="AF134" i="15" s="1"/>
  <c r="AI212" i="15"/>
  <c r="AH212" i="15" s="1"/>
  <c r="AG212" i="15" s="1"/>
  <c r="AF212" i="15" s="1"/>
  <c r="AI34" i="15"/>
  <c r="AH34" i="15" s="1"/>
  <c r="AG34" i="15" s="1"/>
  <c r="AF34" i="15" s="1"/>
  <c r="AI330" i="15"/>
  <c r="AH330" i="15" s="1"/>
  <c r="AG330" i="15" s="1"/>
  <c r="AF330" i="15" s="1"/>
  <c r="U169" i="15"/>
  <c r="T169" i="15" s="1"/>
  <c r="S169" i="15" s="1"/>
  <c r="R169" i="15" s="1"/>
  <c r="U232" i="15"/>
  <c r="T232" i="15" s="1"/>
  <c r="S232" i="15" s="1"/>
  <c r="R232" i="15" s="1"/>
  <c r="U40" i="15"/>
  <c r="T40" i="15" s="1"/>
  <c r="S40" i="15" s="1"/>
  <c r="R40" i="15" s="1"/>
  <c r="U335" i="15"/>
  <c r="T335" i="15" s="1"/>
  <c r="S335" i="15" s="1"/>
  <c r="R335" i="15" s="1"/>
  <c r="U331" i="15"/>
  <c r="T331" i="15" s="1"/>
  <c r="S331" i="15" s="1"/>
  <c r="R331" i="15" s="1"/>
  <c r="U325" i="15"/>
  <c r="T325" i="15" s="1"/>
  <c r="S325" i="15" s="1"/>
  <c r="R325" i="15" s="1"/>
  <c r="U312" i="15"/>
  <c r="T312" i="15" s="1"/>
  <c r="S312" i="15" s="1"/>
  <c r="R312" i="15" s="1"/>
  <c r="AI153" i="15"/>
  <c r="AH153" i="15" s="1"/>
  <c r="AG153" i="15" s="1"/>
  <c r="AF153" i="15" s="1"/>
  <c r="AI262" i="15"/>
  <c r="AH262" i="15" s="1"/>
  <c r="AG262" i="15" s="1"/>
  <c r="AF262" i="15" s="1"/>
  <c r="AI100" i="15"/>
  <c r="AH100" i="15" s="1"/>
  <c r="AG100" i="15" s="1"/>
  <c r="AF100" i="15" s="1"/>
  <c r="AI372" i="15"/>
  <c r="AH372" i="15" s="1"/>
  <c r="AG372" i="15" s="1"/>
  <c r="AF372" i="15" s="1"/>
  <c r="AI187" i="15"/>
  <c r="AH187" i="15" s="1"/>
  <c r="AG187" i="15" s="1"/>
  <c r="AF187" i="15" s="1"/>
  <c r="AI296" i="15"/>
  <c r="AH296" i="15" s="1"/>
  <c r="AG296" i="15" s="1"/>
  <c r="AF296" i="15" s="1"/>
  <c r="AI252" i="15"/>
  <c r="AH252" i="15" s="1"/>
  <c r="AG252" i="15" s="1"/>
  <c r="AF252" i="15" s="1"/>
  <c r="AI142" i="15"/>
  <c r="AH142" i="15" s="1"/>
  <c r="AG142" i="15" s="1"/>
  <c r="AF142" i="15" s="1"/>
  <c r="AI158" i="15"/>
  <c r="AH158" i="15" s="1"/>
  <c r="AG158" i="15" s="1"/>
  <c r="AF158" i="15" s="1"/>
  <c r="AI156" i="15"/>
  <c r="AH156" i="15" s="1"/>
  <c r="AG156" i="15" s="1"/>
  <c r="AF156" i="15" s="1"/>
  <c r="AI19" i="15"/>
  <c r="AH19" i="15" s="1"/>
  <c r="AG19" i="15" s="1"/>
  <c r="AF19" i="15" s="1"/>
  <c r="AI321" i="15"/>
  <c r="AH321" i="15" s="1"/>
  <c r="AG321" i="15" s="1"/>
  <c r="AF321" i="15" s="1"/>
  <c r="AI96" i="15"/>
  <c r="AH96" i="15" s="1"/>
  <c r="AG96" i="15" s="1"/>
  <c r="AF96" i="15" s="1"/>
  <c r="AI132" i="15"/>
  <c r="AH132" i="15" s="1"/>
  <c r="AG132" i="15" s="1"/>
  <c r="AF132" i="15" s="1"/>
  <c r="AI181" i="15"/>
  <c r="AH181" i="15" s="1"/>
  <c r="AG181" i="15" s="1"/>
  <c r="AF181" i="15" s="1"/>
  <c r="AI331" i="15"/>
  <c r="AH331" i="15" s="1"/>
  <c r="AG331" i="15" s="1"/>
  <c r="AF331" i="15" s="1"/>
  <c r="AI294" i="15"/>
  <c r="AH294" i="15" s="1"/>
  <c r="AG294" i="15" s="1"/>
  <c r="AF294" i="15" s="1"/>
  <c r="AI113" i="15"/>
  <c r="AH113" i="15" s="1"/>
  <c r="AG113" i="15" s="1"/>
  <c r="AF113" i="15" s="1"/>
  <c r="AI365" i="15"/>
  <c r="AH365" i="15" s="1"/>
  <c r="AG365" i="15" s="1"/>
  <c r="AF365" i="15" s="1"/>
  <c r="AI205" i="15"/>
  <c r="AH205" i="15" s="1"/>
  <c r="AG205" i="15" s="1"/>
  <c r="AF205" i="15" s="1"/>
  <c r="AI374" i="15"/>
  <c r="AH374" i="15" s="1"/>
  <c r="AG374" i="15" s="1"/>
  <c r="AF374" i="15" s="1"/>
  <c r="AI315" i="15"/>
  <c r="AH315" i="15" s="1"/>
  <c r="AG315" i="15" s="1"/>
  <c r="AF315" i="15" s="1"/>
  <c r="AI309" i="15"/>
  <c r="AH309" i="15" s="1"/>
  <c r="AG309" i="15" s="1"/>
  <c r="AF309" i="15" s="1"/>
  <c r="AI221" i="15"/>
  <c r="AH221" i="15" s="1"/>
  <c r="AG221" i="15" s="1"/>
  <c r="AF221" i="15" s="1"/>
  <c r="AI22" i="15"/>
  <c r="AH22" i="15" s="1"/>
  <c r="AG22" i="15" s="1"/>
  <c r="AF22" i="15" s="1"/>
  <c r="AI65" i="15"/>
  <c r="AH65" i="15" s="1"/>
  <c r="AG65" i="15" s="1"/>
  <c r="AF65" i="15" s="1"/>
  <c r="AI241" i="15"/>
  <c r="AH241" i="15" s="1"/>
  <c r="AG241" i="15" s="1"/>
  <c r="AF241" i="15" s="1"/>
  <c r="AI198" i="15"/>
  <c r="AH198" i="15" s="1"/>
  <c r="AG198" i="15" s="1"/>
  <c r="AF198" i="15" s="1"/>
  <c r="AI325" i="15"/>
  <c r="AH325" i="15" s="1"/>
  <c r="AG325" i="15" s="1"/>
  <c r="AF325" i="15" s="1"/>
  <c r="AI73" i="15"/>
  <c r="AH73" i="15" s="1"/>
  <c r="AG73" i="15" s="1"/>
  <c r="AF73" i="15" s="1"/>
  <c r="AI334" i="15"/>
  <c r="AH334" i="15" s="1"/>
  <c r="AG334" i="15" s="1"/>
  <c r="AF334" i="15" s="1"/>
  <c r="AI57" i="15"/>
  <c r="AH57" i="15" s="1"/>
  <c r="AI141" i="15"/>
  <c r="AH141" i="15" s="1"/>
  <c r="AG141" i="15" s="1"/>
  <c r="AF141" i="15" s="1"/>
  <c r="AI40" i="15"/>
  <c r="AH40" i="15" s="1"/>
  <c r="AG40" i="15" s="1"/>
  <c r="AF40" i="15" s="1"/>
  <c r="AI147" i="15"/>
  <c r="AH147" i="15" s="1"/>
  <c r="AG147" i="15" s="1"/>
  <c r="AF147" i="15" s="1"/>
  <c r="AI68" i="15"/>
  <c r="AH68" i="15" s="1"/>
  <c r="AG68" i="15" s="1"/>
  <c r="AF68" i="15" s="1"/>
  <c r="AI69" i="15"/>
  <c r="AH69" i="15" s="1"/>
  <c r="AG69" i="15" s="1"/>
  <c r="AF69" i="15" s="1"/>
  <c r="AI326" i="15"/>
  <c r="AH326" i="15" s="1"/>
  <c r="AG326" i="15" s="1"/>
  <c r="AF326" i="15" s="1"/>
  <c r="U138" i="15"/>
  <c r="T138" i="15" s="1"/>
  <c r="S138" i="15" s="1"/>
  <c r="R138" i="15" s="1"/>
  <c r="U174" i="15"/>
  <c r="T174" i="15" s="1"/>
  <c r="S174" i="15" s="1"/>
  <c r="R174" i="15" s="1"/>
  <c r="U314" i="15"/>
  <c r="T314" i="15" s="1"/>
  <c r="S314" i="15" s="1"/>
  <c r="R314" i="15" s="1"/>
  <c r="U105" i="15"/>
  <c r="T105" i="15" s="1"/>
  <c r="U359" i="15"/>
  <c r="T359" i="15" s="1"/>
  <c r="S359" i="15" s="1"/>
  <c r="R359" i="15" s="1"/>
  <c r="U360" i="15"/>
  <c r="T360" i="15" s="1"/>
  <c r="U223" i="15"/>
  <c r="T223" i="15" s="1"/>
  <c r="S223" i="15" s="1"/>
  <c r="R223" i="15" s="1"/>
  <c r="U306" i="15"/>
  <c r="T306" i="15" s="1"/>
  <c r="S306" i="15" s="1"/>
  <c r="R306" i="15" s="1"/>
  <c r="U173" i="15"/>
  <c r="T173" i="15" s="1"/>
  <c r="S173" i="15" s="1"/>
  <c r="R173" i="15" s="1"/>
  <c r="U183" i="15"/>
  <c r="T183" i="15" s="1"/>
  <c r="S183" i="15" s="1"/>
  <c r="R183" i="15" s="1"/>
  <c r="U153" i="15"/>
  <c r="T153" i="15" s="1"/>
  <c r="S153" i="15" s="1"/>
  <c r="R153" i="15" s="1"/>
  <c r="U47" i="15"/>
  <c r="T47" i="15" s="1"/>
  <c r="U184" i="15"/>
  <c r="T184" i="15" s="1"/>
  <c r="U144" i="15"/>
  <c r="T144" i="15" s="1"/>
  <c r="U218" i="15"/>
  <c r="T218" i="15" s="1"/>
  <c r="S218" i="15" s="1"/>
  <c r="R218" i="15" s="1"/>
  <c r="U143" i="15"/>
  <c r="T143" i="15" s="1"/>
  <c r="S143" i="15" s="1"/>
  <c r="R143" i="15" s="1"/>
  <c r="U81" i="15"/>
  <c r="T81" i="15" s="1"/>
  <c r="S81" i="15" s="1"/>
  <c r="R81" i="15" s="1"/>
  <c r="U333" i="15"/>
  <c r="T333" i="15" s="1"/>
  <c r="S333" i="15" s="1"/>
  <c r="R333" i="15" s="1"/>
  <c r="U88" i="15"/>
  <c r="T88" i="15" s="1"/>
  <c r="S88" i="15" s="1"/>
  <c r="R88" i="15" s="1"/>
  <c r="U162" i="15"/>
  <c r="T162" i="15" s="1"/>
  <c r="S162" i="15" s="1"/>
  <c r="R162" i="15" s="1"/>
  <c r="U347" i="15"/>
  <c r="T347" i="15" s="1"/>
  <c r="S347" i="15" s="1"/>
  <c r="R347" i="15" s="1"/>
  <c r="U214" i="15"/>
  <c r="T214" i="15" s="1"/>
  <c r="S214" i="15" s="1"/>
  <c r="R214" i="15" s="1"/>
  <c r="U244" i="15"/>
  <c r="T244" i="15" s="1"/>
  <c r="S244" i="15" s="1"/>
  <c r="R244" i="15" s="1"/>
  <c r="U69" i="15"/>
  <c r="T69" i="15" s="1"/>
  <c r="S69" i="15" s="1"/>
  <c r="R69" i="15" s="1"/>
  <c r="U249" i="15"/>
  <c r="T249" i="15" s="1"/>
  <c r="S249" i="15" s="1"/>
  <c r="R249" i="15" s="1"/>
  <c r="U97" i="15"/>
  <c r="T97" i="15" s="1"/>
  <c r="S97" i="15" s="1"/>
  <c r="R97" i="15" s="1"/>
  <c r="U112" i="15"/>
  <c r="T112" i="15" s="1"/>
  <c r="S112" i="15" s="1"/>
  <c r="R112" i="15" s="1"/>
  <c r="U67" i="15"/>
  <c r="T67" i="15" s="1"/>
  <c r="S67" i="15" s="1"/>
  <c r="R67" i="15" s="1"/>
  <c r="U220" i="15"/>
  <c r="T220" i="15" s="1"/>
  <c r="S220" i="15" s="1"/>
  <c r="R220" i="15" s="1"/>
  <c r="U114" i="15"/>
  <c r="T114" i="15" s="1"/>
  <c r="S114" i="15" s="1"/>
  <c r="R114" i="15" s="1"/>
  <c r="U326" i="15"/>
  <c r="T326" i="15" s="1"/>
  <c r="S326" i="15" s="1"/>
  <c r="R326" i="15" s="1"/>
  <c r="U100" i="15"/>
  <c r="T100" i="15" s="1"/>
  <c r="S100" i="15" s="1"/>
  <c r="R100" i="15" s="1"/>
  <c r="U279" i="15"/>
  <c r="T279" i="15" s="1"/>
  <c r="S279" i="15" s="1"/>
  <c r="R279" i="15" s="1"/>
  <c r="U288" i="15"/>
  <c r="T288" i="15" s="1"/>
  <c r="S288" i="15" s="1"/>
  <c r="R288" i="15" s="1"/>
  <c r="U262" i="15"/>
  <c r="T262" i="15" s="1"/>
  <c r="S262" i="15" s="1"/>
  <c r="R262" i="15" s="1"/>
  <c r="U149" i="15"/>
  <c r="T149" i="15" s="1"/>
  <c r="S149" i="15" s="1"/>
  <c r="R149" i="15" s="1"/>
  <c r="U107" i="15"/>
  <c r="T107" i="15" s="1"/>
  <c r="S107" i="15" s="1"/>
  <c r="R107" i="15" s="1"/>
  <c r="U131" i="15"/>
  <c r="T131" i="15" s="1"/>
  <c r="S131" i="15" s="1"/>
  <c r="R131" i="15" s="1"/>
  <c r="U79" i="15"/>
  <c r="T79" i="15" s="1"/>
  <c r="S79" i="15" s="1"/>
  <c r="R79" i="15" s="1"/>
  <c r="U136" i="15"/>
  <c r="T136" i="15" s="1"/>
  <c r="S136" i="15" s="1"/>
  <c r="R136" i="15" s="1"/>
  <c r="U282" i="15"/>
  <c r="T282" i="15" s="1"/>
  <c r="S282" i="15" s="1"/>
  <c r="R282" i="15" s="1"/>
  <c r="U287" i="15"/>
  <c r="T287" i="15" s="1"/>
  <c r="S287" i="15" s="1"/>
  <c r="R287" i="15" s="1"/>
  <c r="U213" i="15"/>
  <c r="T213" i="15" s="1"/>
  <c r="S213" i="15" s="1"/>
  <c r="R213" i="15" s="1"/>
  <c r="U356" i="15"/>
  <c r="T356" i="15" s="1"/>
  <c r="S356" i="15" s="1"/>
  <c r="R356" i="15" s="1"/>
  <c r="U309" i="15"/>
  <c r="T309" i="15" s="1"/>
  <c r="S309" i="15" s="1"/>
  <c r="R309" i="15" s="1"/>
  <c r="U151" i="15"/>
  <c r="T151" i="15" s="1"/>
  <c r="S151" i="15" s="1"/>
  <c r="R151" i="15" s="1"/>
  <c r="U176" i="15"/>
  <c r="T176" i="15" s="1"/>
  <c r="S176" i="15" s="1"/>
  <c r="R176" i="15" s="1"/>
  <c r="U24" i="15"/>
  <c r="T24" i="15" s="1"/>
  <c r="S24" i="15" s="1"/>
  <c r="R24" i="15" s="1"/>
  <c r="U158" i="15"/>
  <c r="T158" i="15" s="1"/>
  <c r="S158" i="15" s="1"/>
  <c r="R158" i="15" s="1"/>
  <c r="U35" i="15"/>
  <c r="T35" i="15" s="1"/>
  <c r="S35" i="15" s="1"/>
  <c r="R35" i="15" s="1"/>
  <c r="U101" i="15"/>
  <c r="T101" i="15" s="1"/>
  <c r="S101" i="15" s="1"/>
  <c r="R101" i="15" s="1"/>
  <c r="U142" i="15"/>
  <c r="T142" i="15" s="1"/>
  <c r="S142" i="15" s="1"/>
  <c r="R142" i="15" s="1"/>
  <c r="U376" i="15"/>
  <c r="T376" i="15" s="1"/>
  <c r="S376" i="15" s="1"/>
  <c r="R376" i="15" s="1"/>
  <c r="U71" i="15"/>
  <c r="T71" i="15" s="1"/>
  <c r="S71" i="15" s="1"/>
  <c r="R71" i="15" s="1"/>
  <c r="U17" i="15"/>
  <c r="T17" i="15" s="1"/>
  <c r="U106" i="15"/>
  <c r="T106" i="15" s="1"/>
  <c r="S106" i="15" s="1"/>
  <c r="R106" i="15" s="1"/>
  <c r="U370" i="15"/>
  <c r="T370" i="15" s="1"/>
  <c r="S370" i="15" s="1"/>
  <c r="R370" i="15" s="1"/>
  <c r="U339" i="15"/>
  <c r="T339" i="15" s="1"/>
  <c r="S339" i="15" s="1"/>
  <c r="R339" i="15" s="1"/>
  <c r="U217" i="15"/>
  <c r="T217" i="15" s="1"/>
  <c r="S217" i="15" s="1"/>
  <c r="R217" i="15" s="1"/>
  <c r="U313" i="15"/>
  <c r="T313" i="15" s="1"/>
  <c r="S313" i="15" s="1"/>
  <c r="R313" i="15" s="1"/>
  <c r="U256" i="15"/>
  <c r="T256" i="15" s="1"/>
  <c r="S256" i="15" s="1"/>
  <c r="R256" i="15" s="1"/>
  <c r="U63" i="15"/>
  <c r="T63" i="15" s="1"/>
  <c r="S63" i="15" s="1"/>
  <c r="R63" i="15" s="1"/>
  <c r="U292" i="15"/>
  <c r="T292" i="15" s="1"/>
  <c r="S292" i="15" s="1"/>
  <c r="R292" i="15" s="1"/>
  <c r="U120" i="15"/>
  <c r="T120" i="15" s="1"/>
  <c r="S120" i="15" s="1"/>
  <c r="R120" i="15" s="1"/>
  <c r="U44" i="15"/>
  <c r="T44" i="15" s="1"/>
  <c r="S44" i="15" s="1"/>
  <c r="R44" i="15" s="1"/>
  <c r="U59" i="15"/>
  <c r="T59" i="15" s="1"/>
  <c r="S59" i="15" s="1"/>
  <c r="R59" i="15" s="1"/>
  <c r="U148" i="15"/>
  <c r="T148" i="15" s="1"/>
  <c r="S148" i="15" s="1"/>
  <c r="R148" i="15" s="1"/>
  <c r="U253" i="15"/>
  <c r="T253" i="15" s="1"/>
  <c r="S253" i="15" s="1"/>
  <c r="R253" i="15" s="1"/>
  <c r="U277" i="15"/>
  <c r="T277" i="15" s="1"/>
  <c r="S277" i="15" s="1"/>
  <c r="R277" i="15" s="1"/>
  <c r="U203" i="15"/>
  <c r="T203" i="15" s="1"/>
  <c r="S203" i="15" s="1"/>
  <c r="R203" i="15" s="1"/>
  <c r="U269" i="15"/>
  <c r="T269" i="15" s="1"/>
  <c r="S269" i="15" s="1"/>
  <c r="R269" i="15" s="1"/>
  <c r="U150" i="15"/>
  <c r="T150" i="15" s="1"/>
  <c r="S150" i="15" s="1"/>
  <c r="R150" i="15" s="1"/>
  <c r="U284" i="15"/>
  <c r="T284" i="15" s="1"/>
  <c r="S284" i="15" s="1"/>
  <c r="R284" i="15" s="1"/>
  <c r="U26" i="15"/>
  <c r="T26" i="15" s="1"/>
  <c r="S26" i="15" s="1"/>
  <c r="R26" i="15" s="1"/>
  <c r="U55" i="15"/>
  <c r="T55" i="15" s="1"/>
  <c r="S55" i="15" s="1"/>
  <c r="R55" i="15" s="1"/>
  <c r="U257" i="15"/>
  <c r="T257" i="15" s="1"/>
  <c r="U178" i="15"/>
  <c r="T178" i="15" s="1"/>
  <c r="S178" i="15" s="1"/>
  <c r="R178" i="15" s="1"/>
  <c r="U318" i="15"/>
  <c r="T318" i="15" s="1"/>
  <c r="S318" i="15" s="1"/>
  <c r="R318" i="15" s="1"/>
  <c r="U323" i="15"/>
  <c r="T323" i="15" s="1"/>
  <c r="S323" i="15" s="1"/>
  <c r="R323" i="15" s="1"/>
  <c r="U196" i="15"/>
  <c r="T196" i="15" s="1"/>
  <c r="S196" i="15" s="1"/>
  <c r="R196" i="15" s="1"/>
  <c r="U329" i="15"/>
  <c r="T329" i="15" s="1"/>
  <c r="S329" i="15" s="1"/>
  <c r="R329" i="15" s="1"/>
  <c r="U363" i="15"/>
  <c r="T363" i="15" s="1"/>
  <c r="S363" i="15" s="1"/>
  <c r="R363" i="15" s="1"/>
  <c r="U259" i="15"/>
  <c r="T259" i="15" s="1"/>
  <c r="U275" i="15"/>
  <c r="T275" i="15" s="1"/>
  <c r="S275" i="15" s="1"/>
  <c r="R275" i="15" s="1"/>
  <c r="U30" i="15"/>
  <c r="T30" i="15" s="1"/>
  <c r="S30" i="15" s="1"/>
  <c r="R30" i="15" s="1"/>
  <c r="U191" i="15"/>
  <c r="T191" i="15" s="1"/>
  <c r="U241" i="15"/>
  <c r="T241" i="15" s="1"/>
  <c r="S241" i="15" s="1"/>
  <c r="R241" i="15" s="1"/>
  <c r="U137" i="15"/>
  <c r="T137" i="15" s="1"/>
  <c r="S137" i="15" s="1"/>
  <c r="R137" i="15" s="1"/>
  <c r="U39" i="15"/>
  <c r="T39" i="15" s="1"/>
  <c r="S39" i="15" s="1"/>
  <c r="R39" i="15" s="1"/>
  <c r="U179" i="15"/>
  <c r="T179" i="15" s="1"/>
  <c r="S179" i="15" s="1"/>
  <c r="R179" i="15" s="1"/>
  <c r="U48" i="15"/>
  <c r="T48" i="15" s="1"/>
  <c r="S48" i="15" s="1"/>
  <c r="R48" i="15" s="1"/>
  <c r="U374" i="15"/>
  <c r="T374" i="15" s="1"/>
  <c r="S374" i="15" s="1"/>
  <c r="R374" i="15" s="1"/>
  <c r="U195" i="15"/>
  <c r="T195" i="15" s="1"/>
  <c r="S195" i="15" s="1"/>
  <c r="R195" i="15" s="1"/>
  <c r="U124" i="15"/>
  <c r="T124" i="15" s="1"/>
  <c r="S124" i="15" s="1"/>
  <c r="R124" i="15" s="1"/>
  <c r="U73" i="15"/>
  <c r="T73" i="15" s="1"/>
  <c r="S73" i="15" s="1"/>
  <c r="R73" i="15" s="1"/>
  <c r="U72" i="15"/>
  <c r="T72" i="15" s="1"/>
  <c r="S72" i="15" s="1"/>
  <c r="R72" i="15" s="1"/>
  <c r="U270" i="15"/>
  <c r="T270" i="15" s="1"/>
  <c r="S270" i="15" s="1"/>
  <c r="R270" i="15" s="1"/>
  <c r="U20" i="15"/>
  <c r="T20" i="15" s="1"/>
  <c r="S20" i="15" s="1"/>
  <c r="R20" i="15" s="1"/>
  <c r="U130" i="15"/>
  <c r="T130" i="15" s="1"/>
  <c r="S130" i="15" s="1"/>
  <c r="R130" i="15" s="1"/>
  <c r="U226" i="15"/>
  <c r="T226" i="15" s="1"/>
  <c r="S226" i="15" s="1"/>
  <c r="R226" i="15" s="1"/>
  <c r="U21" i="15"/>
  <c r="T21" i="15" s="1"/>
  <c r="S21" i="15" s="1"/>
  <c r="R21" i="15" s="1"/>
  <c r="AF15" i="1"/>
  <c r="AI345" i="15" l="1"/>
  <c r="AH345" i="15" s="1"/>
  <c r="AG345" i="15" s="1"/>
  <c r="AF345" i="15" s="1"/>
  <c r="AI349" i="15"/>
  <c r="AH349" i="15" s="1"/>
  <c r="AG349" i="15" s="1"/>
  <c r="AF349" i="15" s="1"/>
  <c r="AI23" i="15"/>
  <c r="AH23" i="15" s="1"/>
  <c r="AG23" i="15" s="1"/>
  <c r="AF23" i="15" s="1"/>
  <c r="AI254" i="15"/>
  <c r="AH254" i="15" s="1"/>
  <c r="AG254" i="15" s="1"/>
  <c r="AF254" i="15" s="1"/>
  <c r="AI314" i="15"/>
  <c r="AH314" i="15" s="1"/>
  <c r="AG314" i="15" s="1"/>
  <c r="AF314" i="15" s="1"/>
  <c r="AI216" i="15"/>
  <c r="AH216" i="15" s="1"/>
  <c r="AG216" i="15" s="1"/>
  <c r="AF216" i="15" s="1"/>
  <c r="AI111" i="15"/>
  <c r="AH111" i="15" s="1"/>
  <c r="AG111" i="15" s="1"/>
  <c r="AF111" i="15" s="1"/>
  <c r="AI30" i="15"/>
  <c r="AH30" i="15" s="1"/>
  <c r="AG30" i="15" s="1"/>
  <c r="AF30" i="15" s="1"/>
  <c r="AI90" i="15"/>
  <c r="AH90" i="15" s="1"/>
  <c r="AG90" i="15" s="1"/>
  <c r="AF90" i="15" s="1"/>
  <c r="AI206" i="15"/>
  <c r="AH206" i="15" s="1"/>
  <c r="AG206" i="15" s="1"/>
  <c r="AF206" i="15" s="1"/>
  <c r="K16" i="7"/>
  <c r="AI17" i="15"/>
  <c r="AH17" i="15" s="1"/>
  <c r="AG17" i="15" s="1"/>
  <c r="AF17" i="15" s="1"/>
  <c r="AI225" i="15"/>
  <c r="AH225" i="15" s="1"/>
  <c r="AG225" i="15" s="1"/>
  <c r="AF225" i="15" s="1"/>
  <c r="AI44" i="15"/>
  <c r="AH44" i="15" s="1"/>
  <c r="AG44" i="15" s="1"/>
  <c r="AF44" i="15" s="1"/>
  <c r="AI204" i="15"/>
  <c r="AH204" i="15" s="1"/>
  <c r="AG204" i="15" s="1"/>
  <c r="AF204" i="15" s="1"/>
  <c r="AI123" i="15"/>
  <c r="AH123" i="15" s="1"/>
  <c r="AG123" i="15" s="1"/>
  <c r="AF123" i="15" s="1"/>
  <c r="AI220" i="15"/>
  <c r="AH220" i="15" s="1"/>
  <c r="AG220" i="15" s="1"/>
  <c r="AF220" i="15" s="1"/>
  <c r="AI194" i="15"/>
  <c r="AH194" i="15" s="1"/>
  <c r="AG194" i="15" s="1"/>
  <c r="AF194" i="15" s="1"/>
  <c r="AI300" i="15"/>
  <c r="AH300" i="15" s="1"/>
  <c r="AG300" i="15" s="1"/>
  <c r="AF300" i="15" s="1"/>
  <c r="AI358" i="15"/>
  <c r="AH358" i="15" s="1"/>
  <c r="AG358" i="15" s="1"/>
  <c r="AF358" i="15" s="1"/>
  <c r="AI101" i="15"/>
  <c r="AH101" i="15" s="1"/>
  <c r="AG101" i="15" s="1"/>
  <c r="AF101" i="15" s="1"/>
  <c r="AI98" i="15"/>
  <c r="AH98" i="15" s="1"/>
  <c r="AG98" i="15" s="1"/>
  <c r="AF98" i="15" s="1"/>
  <c r="AI74" i="15"/>
  <c r="AH74" i="15" s="1"/>
  <c r="AG74" i="15" s="1"/>
  <c r="AF74" i="15" s="1"/>
  <c r="AI79" i="15"/>
  <c r="AH79" i="15" s="1"/>
  <c r="AG79" i="15" s="1"/>
  <c r="AF79" i="15" s="1"/>
  <c r="AI236" i="15"/>
  <c r="AH236" i="15" s="1"/>
  <c r="AG236" i="15" s="1"/>
  <c r="AF236" i="15" s="1"/>
  <c r="U122" i="15"/>
  <c r="T122" i="15" s="1"/>
  <c r="S122" i="15" s="1"/>
  <c r="R122" i="15" s="1"/>
  <c r="U236" i="15"/>
  <c r="T236" i="15" s="1"/>
  <c r="S236" i="15" s="1"/>
  <c r="R236" i="15" s="1"/>
  <c r="U278" i="15"/>
  <c r="T278" i="15" s="1"/>
  <c r="S278" i="15" s="1"/>
  <c r="R278" i="15" s="1"/>
  <c r="U123" i="15"/>
  <c r="T123" i="15" s="1"/>
  <c r="S123" i="15" s="1"/>
  <c r="R123" i="15" s="1"/>
  <c r="U128" i="15"/>
  <c r="T128" i="15" s="1"/>
  <c r="S128" i="15" s="1"/>
  <c r="R128" i="15" s="1"/>
  <c r="U111" i="15"/>
  <c r="T111" i="15" s="1"/>
  <c r="S111" i="15" s="1"/>
  <c r="R111" i="15" s="1"/>
  <c r="U328" i="15"/>
  <c r="T328" i="15" s="1"/>
  <c r="S328" i="15" s="1"/>
  <c r="R328" i="15" s="1"/>
  <c r="U317" i="15"/>
  <c r="T317" i="15" s="1"/>
  <c r="S317" i="15" s="1"/>
  <c r="R317" i="15" s="1"/>
  <c r="U91" i="15"/>
  <c r="T91" i="15" s="1"/>
  <c r="S91" i="15" s="1"/>
  <c r="R91" i="15" s="1"/>
  <c r="U362" i="15"/>
  <c r="T362" i="15" s="1"/>
  <c r="S362" i="15" s="1"/>
  <c r="R362" i="15" s="1"/>
  <c r="U354" i="15"/>
  <c r="T354" i="15" s="1"/>
  <c r="S354" i="15" s="1"/>
  <c r="R354" i="15" s="1"/>
  <c r="U219" i="15"/>
  <c r="T219" i="15" s="1"/>
  <c r="S219" i="15" s="1"/>
  <c r="R219" i="15" s="1"/>
  <c r="U189" i="15"/>
  <c r="T189" i="15" s="1"/>
  <c r="S189" i="15" s="1"/>
  <c r="R189" i="15" s="1"/>
  <c r="U38" i="15"/>
  <c r="T38" i="15" s="1"/>
  <c r="S38" i="15" s="1"/>
  <c r="R38" i="15" s="1"/>
  <c r="U242" i="15"/>
  <c r="T242" i="15" s="1"/>
  <c r="S242" i="15" s="1"/>
  <c r="R242" i="15" s="1"/>
  <c r="U330" i="15"/>
  <c r="T330" i="15" s="1"/>
  <c r="S330" i="15" s="1"/>
  <c r="R330" i="15" s="1"/>
  <c r="U289" i="15"/>
  <c r="T289" i="15" s="1"/>
  <c r="S289" i="15" s="1"/>
  <c r="R289" i="15" s="1"/>
  <c r="U268" i="15"/>
  <c r="T268" i="15" s="1"/>
  <c r="S268" i="15" s="1"/>
  <c r="R268" i="15" s="1"/>
  <c r="U175" i="15"/>
  <c r="T175" i="15" s="1"/>
  <c r="S175" i="15" s="1"/>
  <c r="R175" i="15" s="1"/>
  <c r="U353" i="15"/>
  <c r="T353" i="15" s="1"/>
  <c r="S353" i="15" s="1"/>
  <c r="R353" i="15" s="1"/>
  <c r="U225" i="15"/>
  <c r="T225" i="15" s="1"/>
  <c r="S225" i="15" s="1"/>
  <c r="R225" i="15" s="1"/>
  <c r="U201" i="15"/>
  <c r="T201" i="15" s="1"/>
  <c r="S201" i="15" s="1"/>
  <c r="R201" i="15" s="1"/>
  <c r="U115" i="15"/>
  <c r="T115" i="15" s="1"/>
  <c r="S115" i="15" s="1"/>
  <c r="R115" i="15" s="1"/>
  <c r="U379" i="15"/>
  <c r="U12" i="16" s="1"/>
  <c r="O16" i="7" s="1"/>
  <c r="U127" i="15"/>
  <c r="T127" i="15" s="1"/>
  <c r="S127" i="15" s="1"/>
  <c r="R127" i="15" s="1"/>
  <c r="U87" i="15"/>
  <c r="T87" i="15" s="1"/>
  <c r="S87" i="15" s="1"/>
  <c r="R87" i="15" s="1"/>
  <c r="U372" i="15"/>
  <c r="T372" i="15" s="1"/>
  <c r="S372" i="15" s="1"/>
  <c r="R372" i="15" s="1"/>
  <c r="U15" i="15"/>
  <c r="U62" i="15"/>
  <c r="T62" i="15" s="1"/>
  <c r="S62" i="15" s="1"/>
  <c r="R62" i="15" s="1"/>
  <c r="U28" i="15"/>
  <c r="T28" i="15" s="1"/>
  <c r="S28" i="15" s="1"/>
  <c r="R28" i="15" s="1"/>
  <c r="AI20" i="15"/>
  <c r="AH20" i="15" s="1"/>
  <c r="AG20" i="15" s="1"/>
  <c r="AF20" i="15" s="1"/>
  <c r="AI281" i="15"/>
  <c r="AH281" i="15" s="1"/>
  <c r="AG281" i="15" s="1"/>
  <c r="AF281" i="15" s="1"/>
  <c r="AI150" i="15"/>
  <c r="AH150" i="15" s="1"/>
  <c r="AG150" i="15" s="1"/>
  <c r="AF150" i="15" s="1"/>
  <c r="AI144" i="15"/>
  <c r="AH144" i="15" s="1"/>
  <c r="AG144" i="15" s="1"/>
  <c r="AF144" i="15" s="1"/>
  <c r="AI28" i="15"/>
  <c r="AH28" i="15" s="1"/>
  <c r="AG28" i="15" s="1"/>
  <c r="AF28" i="15" s="1"/>
  <c r="AI182" i="15"/>
  <c r="AH182" i="15" s="1"/>
  <c r="AG182" i="15" s="1"/>
  <c r="AF182" i="15" s="1"/>
  <c r="AI81" i="15"/>
  <c r="AH81" i="15" s="1"/>
  <c r="AG81" i="15" s="1"/>
  <c r="AF81" i="15" s="1"/>
  <c r="AI299" i="15"/>
  <c r="AH299" i="15" s="1"/>
  <c r="AG299" i="15" s="1"/>
  <c r="AF299" i="15" s="1"/>
  <c r="AI93" i="15"/>
  <c r="AH93" i="15" s="1"/>
  <c r="AG93" i="15" s="1"/>
  <c r="AF93" i="15" s="1"/>
  <c r="AI237" i="15"/>
  <c r="AH237" i="15" s="1"/>
  <c r="AG237" i="15" s="1"/>
  <c r="AF237" i="15" s="1"/>
  <c r="AI259" i="15"/>
  <c r="AH259" i="15" s="1"/>
  <c r="AG259" i="15" s="1"/>
  <c r="AF259" i="15" s="1"/>
  <c r="AI143" i="15"/>
  <c r="AH143" i="15" s="1"/>
  <c r="AG143" i="15" s="1"/>
  <c r="AF143" i="15" s="1"/>
  <c r="AI209" i="15"/>
  <c r="AH209" i="15" s="1"/>
  <c r="AG209" i="15" s="1"/>
  <c r="AF209" i="15" s="1"/>
  <c r="AI215" i="15"/>
  <c r="AH215" i="15" s="1"/>
  <c r="AG215" i="15" s="1"/>
  <c r="AF215" i="15" s="1"/>
  <c r="AI256" i="15"/>
  <c r="AH256" i="15" s="1"/>
  <c r="AG256" i="15" s="1"/>
  <c r="AF256" i="15" s="1"/>
  <c r="AI78" i="15"/>
  <c r="AH78" i="15" s="1"/>
  <c r="AG78" i="15" s="1"/>
  <c r="AF78" i="15" s="1"/>
  <c r="AI378" i="15"/>
  <c r="AH378" i="15" s="1"/>
  <c r="AG378" i="15" s="1"/>
  <c r="AF378" i="15" s="1"/>
  <c r="AI173" i="15"/>
  <c r="AH173" i="15" s="1"/>
  <c r="AG173" i="15" s="1"/>
  <c r="AF173" i="15" s="1"/>
  <c r="AI62" i="15"/>
  <c r="AH62" i="15" s="1"/>
  <c r="AG62" i="15" s="1"/>
  <c r="AF62" i="15" s="1"/>
  <c r="AI193" i="15"/>
  <c r="AH193" i="15" s="1"/>
  <c r="AG193" i="15" s="1"/>
  <c r="AF193" i="15" s="1"/>
  <c r="AI233" i="15"/>
  <c r="AH233" i="15" s="1"/>
  <c r="AG233" i="15" s="1"/>
  <c r="AF233" i="15" s="1"/>
  <c r="AI298" i="15"/>
  <c r="AH298" i="15" s="1"/>
  <c r="AG298" i="15" s="1"/>
  <c r="AF298" i="15" s="1"/>
  <c r="AI210" i="15"/>
  <c r="AH210" i="15" s="1"/>
  <c r="AG210" i="15" s="1"/>
  <c r="AF210" i="15" s="1"/>
  <c r="AI139" i="15"/>
  <c r="AH139" i="15" s="1"/>
  <c r="AG139" i="15" s="1"/>
  <c r="AF139" i="15" s="1"/>
  <c r="AI266" i="15"/>
  <c r="AH266" i="15" s="1"/>
  <c r="AG266" i="15" s="1"/>
  <c r="AF266" i="15" s="1"/>
  <c r="AI337" i="15"/>
  <c r="AH337" i="15" s="1"/>
  <c r="AG337" i="15" s="1"/>
  <c r="AF337" i="15" s="1"/>
  <c r="AI178" i="15"/>
  <c r="AH178" i="15" s="1"/>
  <c r="AG178" i="15" s="1"/>
  <c r="AF178" i="15" s="1"/>
  <c r="AI368" i="15"/>
  <c r="AH368" i="15" s="1"/>
  <c r="AG368" i="15" s="1"/>
  <c r="AF368" i="15" s="1"/>
  <c r="AI333" i="15"/>
  <c r="AH333" i="15" s="1"/>
  <c r="AG333" i="15" s="1"/>
  <c r="AF333" i="15" s="1"/>
  <c r="AI27" i="15"/>
  <c r="AH27" i="15" s="1"/>
  <c r="AG27" i="15" s="1"/>
  <c r="AF27" i="15" s="1"/>
  <c r="AI16" i="15"/>
  <c r="AH16" i="15" s="1"/>
  <c r="AG16" i="15" s="1"/>
  <c r="AF16" i="15" s="1"/>
  <c r="AI264" i="15"/>
  <c r="AH264" i="15" s="1"/>
  <c r="AG264" i="15" s="1"/>
  <c r="AF264" i="15" s="1"/>
  <c r="AI289" i="15"/>
  <c r="AH289" i="15" s="1"/>
  <c r="AG289" i="15" s="1"/>
  <c r="AF289" i="15" s="1"/>
  <c r="AI343" i="15"/>
  <c r="AH343" i="15" s="1"/>
  <c r="AG343" i="15" s="1"/>
  <c r="AF343" i="15" s="1"/>
  <c r="AI268" i="15"/>
  <c r="AH268" i="15" s="1"/>
  <c r="AG268" i="15" s="1"/>
  <c r="AF268" i="15" s="1"/>
  <c r="AI317" i="15"/>
  <c r="AH317" i="15" s="1"/>
  <c r="AG317" i="15" s="1"/>
  <c r="AF317" i="15" s="1"/>
  <c r="AI232" i="15"/>
  <c r="AH232" i="15" s="1"/>
  <c r="AG232" i="15" s="1"/>
  <c r="AF232" i="15" s="1"/>
  <c r="AI285" i="15"/>
  <c r="AH285" i="15" s="1"/>
  <c r="AG285" i="15" s="1"/>
  <c r="AF285" i="15" s="1"/>
  <c r="AI25" i="15"/>
  <c r="AH25" i="15" s="1"/>
  <c r="AG25" i="15" s="1"/>
  <c r="AF25" i="15" s="1"/>
  <c r="AI308" i="15"/>
  <c r="AH308" i="15" s="1"/>
  <c r="AG308" i="15" s="1"/>
  <c r="AF308" i="15" s="1"/>
  <c r="AI354" i="15"/>
  <c r="AH354" i="15" s="1"/>
  <c r="AG354" i="15" s="1"/>
  <c r="AF354" i="15" s="1"/>
  <c r="AI359" i="15"/>
  <c r="AH359" i="15" s="1"/>
  <c r="AG359" i="15" s="1"/>
  <c r="AF359" i="15" s="1"/>
  <c r="AI45" i="15"/>
  <c r="AH45" i="15" s="1"/>
  <c r="AG45" i="15" s="1"/>
  <c r="AF45" i="15" s="1"/>
  <c r="U32" i="15"/>
  <c r="T32" i="15" s="1"/>
  <c r="S32" i="15" s="1"/>
  <c r="R32" i="15" s="1"/>
  <c r="U248" i="15"/>
  <c r="T248" i="15" s="1"/>
  <c r="S248" i="15" s="1"/>
  <c r="R248" i="15" s="1"/>
  <c r="U364" i="15"/>
  <c r="T364" i="15" s="1"/>
  <c r="S364" i="15" s="1"/>
  <c r="R364" i="15" s="1"/>
  <c r="U113" i="15"/>
  <c r="T113" i="15" s="1"/>
  <c r="S113" i="15" s="1"/>
  <c r="R113" i="15" s="1"/>
  <c r="U31" i="15"/>
  <c r="T31" i="15" s="1"/>
  <c r="S31" i="15" s="1"/>
  <c r="R31" i="15" s="1"/>
  <c r="U344" i="15"/>
  <c r="T344" i="15" s="1"/>
  <c r="S344" i="15" s="1"/>
  <c r="R344" i="15" s="1"/>
  <c r="U56" i="15"/>
  <c r="T56" i="15" s="1"/>
  <c r="S56" i="15" s="1"/>
  <c r="R56" i="15" s="1"/>
  <c r="U336" i="15"/>
  <c r="T336" i="15" s="1"/>
  <c r="S336" i="15" s="1"/>
  <c r="R336" i="15" s="1"/>
  <c r="U49" i="15"/>
  <c r="T49" i="15" s="1"/>
  <c r="S49" i="15" s="1"/>
  <c r="R49" i="15" s="1"/>
  <c r="U152" i="15"/>
  <c r="T152" i="15" s="1"/>
  <c r="S152" i="15" s="1"/>
  <c r="R152" i="15" s="1"/>
  <c r="U264" i="15"/>
  <c r="T264" i="15" s="1"/>
  <c r="S264" i="15" s="1"/>
  <c r="R264" i="15" s="1"/>
  <c r="U37" i="15"/>
  <c r="T37" i="15" s="1"/>
  <c r="S37" i="15" s="1"/>
  <c r="R37" i="15" s="1"/>
  <c r="U68" i="15"/>
  <c r="T68" i="15" s="1"/>
  <c r="S68" i="15" s="1"/>
  <c r="R68" i="15" s="1"/>
  <c r="U66" i="15"/>
  <c r="T66" i="15" s="1"/>
  <c r="S66" i="15" s="1"/>
  <c r="R66" i="15" s="1"/>
  <c r="AI311" i="15"/>
  <c r="AH311" i="15" s="1"/>
  <c r="AG311" i="15" s="1"/>
  <c r="AF311" i="15" s="1"/>
  <c r="AI197" i="15"/>
  <c r="AH197" i="15" s="1"/>
  <c r="AG197" i="15" s="1"/>
  <c r="AF197" i="15" s="1"/>
  <c r="AI130" i="15"/>
  <c r="AH130" i="15" s="1"/>
  <c r="AG130" i="15" s="1"/>
  <c r="AF130" i="15" s="1"/>
  <c r="AI251" i="15"/>
  <c r="AH251" i="15" s="1"/>
  <c r="AG251" i="15" s="1"/>
  <c r="AF251" i="15" s="1"/>
  <c r="AI351" i="15"/>
  <c r="AH351" i="15" s="1"/>
  <c r="AG351" i="15" s="1"/>
  <c r="AF351" i="15" s="1"/>
  <c r="AI370" i="15"/>
  <c r="AH370" i="15" s="1"/>
  <c r="AG370" i="15" s="1"/>
  <c r="AF370" i="15" s="1"/>
  <c r="AI346" i="15"/>
  <c r="AH346" i="15" s="1"/>
  <c r="AG346" i="15" s="1"/>
  <c r="AF346" i="15" s="1"/>
  <c r="AI287" i="15"/>
  <c r="AH287" i="15" s="1"/>
  <c r="AG287" i="15" s="1"/>
  <c r="AF287" i="15" s="1"/>
  <c r="AI226" i="15"/>
  <c r="AH226" i="15" s="1"/>
  <c r="AG226" i="15" s="1"/>
  <c r="AF226" i="15" s="1"/>
  <c r="AI363" i="15"/>
  <c r="AH363" i="15" s="1"/>
  <c r="AG363" i="15" s="1"/>
  <c r="AF363" i="15" s="1"/>
  <c r="AI202" i="15"/>
  <c r="AH202" i="15" s="1"/>
  <c r="AG202" i="15" s="1"/>
  <c r="AF202" i="15" s="1"/>
  <c r="AI127" i="15"/>
  <c r="AH127" i="15" s="1"/>
  <c r="AG127" i="15" s="1"/>
  <c r="AF127" i="15" s="1"/>
  <c r="AI234" i="15"/>
  <c r="AH234" i="15" s="1"/>
  <c r="AG234" i="15" s="1"/>
  <c r="AF234" i="15" s="1"/>
  <c r="AI272" i="15"/>
  <c r="AH272" i="15" s="1"/>
  <c r="AG272" i="15" s="1"/>
  <c r="AF272" i="15" s="1"/>
  <c r="AI313" i="15"/>
  <c r="AH313" i="15" s="1"/>
  <c r="AG313" i="15" s="1"/>
  <c r="AF313" i="15" s="1"/>
  <c r="AI245" i="15"/>
  <c r="AH245" i="15" s="1"/>
  <c r="AG245" i="15" s="1"/>
  <c r="AF245" i="15" s="1"/>
  <c r="AI60" i="15"/>
  <c r="AH60" i="15" s="1"/>
  <c r="AG60" i="15" s="1"/>
  <c r="AF60" i="15" s="1"/>
  <c r="AI189" i="15"/>
  <c r="AH189" i="15" s="1"/>
  <c r="AG189" i="15" s="1"/>
  <c r="AF189" i="15" s="1"/>
  <c r="AI303" i="15"/>
  <c r="AH303" i="15" s="1"/>
  <c r="AG303" i="15" s="1"/>
  <c r="AF303" i="15" s="1"/>
  <c r="AI186" i="15"/>
  <c r="AH186" i="15" s="1"/>
  <c r="AG186" i="15" s="1"/>
  <c r="AF186" i="15" s="1"/>
  <c r="AI263" i="15"/>
  <c r="AH263" i="15" s="1"/>
  <c r="AG263" i="15" s="1"/>
  <c r="AF263" i="15" s="1"/>
  <c r="AI94" i="15"/>
  <c r="AH94" i="15" s="1"/>
  <c r="AG94" i="15" s="1"/>
  <c r="AF94" i="15" s="1"/>
  <c r="AI38" i="15"/>
  <c r="AH38" i="15" s="1"/>
  <c r="AG38" i="15" s="1"/>
  <c r="AF38" i="15" s="1"/>
  <c r="AI342" i="15"/>
  <c r="AH342" i="15" s="1"/>
  <c r="AG342" i="15" s="1"/>
  <c r="AF342" i="15" s="1"/>
  <c r="AI192" i="15"/>
  <c r="AH192" i="15" s="1"/>
  <c r="AG192" i="15" s="1"/>
  <c r="AF192" i="15" s="1"/>
  <c r="AI271" i="15"/>
  <c r="AH271" i="15" s="1"/>
  <c r="AG271" i="15" s="1"/>
  <c r="AF271" i="15" s="1"/>
  <c r="AI149" i="15"/>
  <c r="AH149" i="15" s="1"/>
  <c r="AG149" i="15" s="1"/>
  <c r="AF149" i="15" s="1"/>
  <c r="AI222" i="15"/>
  <c r="AH222" i="15" s="1"/>
  <c r="AG222" i="15" s="1"/>
  <c r="AF222" i="15" s="1"/>
  <c r="AI373" i="15"/>
  <c r="AH373" i="15" s="1"/>
  <c r="AG373" i="15" s="1"/>
  <c r="AF373" i="15" s="1"/>
  <c r="AI119" i="15"/>
  <c r="AH119" i="15" s="1"/>
  <c r="AG119" i="15" s="1"/>
  <c r="AF119" i="15" s="1"/>
  <c r="AI121" i="15"/>
  <c r="AH121" i="15" s="1"/>
  <c r="AG121" i="15" s="1"/>
  <c r="AF121" i="15" s="1"/>
  <c r="AI223" i="15"/>
  <c r="AH223" i="15" s="1"/>
  <c r="AG223" i="15" s="1"/>
  <c r="AF223" i="15" s="1"/>
  <c r="AI64" i="15"/>
  <c r="AH64" i="15" s="1"/>
  <c r="AG64" i="15" s="1"/>
  <c r="AF64" i="15" s="1"/>
  <c r="AI92" i="15"/>
  <c r="AH92" i="15" s="1"/>
  <c r="AG92" i="15" s="1"/>
  <c r="AF92" i="15" s="1"/>
  <c r="AI292" i="15"/>
  <c r="AH292" i="15" s="1"/>
  <c r="AG292" i="15" s="1"/>
  <c r="AF292" i="15" s="1"/>
  <c r="AI196" i="15"/>
  <c r="AH196" i="15" s="1"/>
  <c r="AG196" i="15" s="1"/>
  <c r="AF196" i="15" s="1"/>
  <c r="AI355" i="15"/>
  <c r="AH355" i="15" s="1"/>
  <c r="AG355" i="15" s="1"/>
  <c r="AF355" i="15" s="1"/>
  <c r="AI369" i="15"/>
  <c r="AH369" i="15" s="1"/>
  <c r="AG369" i="15" s="1"/>
  <c r="AF369" i="15" s="1"/>
  <c r="AI39" i="15"/>
  <c r="AH39" i="15" s="1"/>
  <c r="AG39" i="15" s="1"/>
  <c r="AF39" i="15" s="1"/>
  <c r="AI76" i="15"/>
  <c r="AH76" i="15" s="1"/>
  <c r="AG76" i="15" s="1"/>
  <c r="AF76" i="15" s="1"/>
  <c r="AI31" i="15"/>
  <c r="AH31" i="15" s="1"/>
  <c r="AG31" i="15" s="1"/>
  <c r="AF31" i="15" s="1"/>
  <c r="AI129" i="15"/>
  <c r="AH129" i="15" s="1"/>
  <c r="AG129" i="15" s="1"/>
  <c r="AF129" i="15" s="1"/>
  <c r="AI112" i="15"/>
  <c r="AH112" i="15" s="1"/>
  <c r="AG112" i="15" s="1"/>
  <c r="AF112" i="15" s="1"/>
  <c r="AI133" i="15"/>
  <c r="AH133" i="15" s="1"/>
  <c r="AG133" i="15" s="1"/>
  <c r="AF133" i="15" s="1"/>
  <c r="AI116" i="15"/>
  <c r="AH116" i="15" s="1"/>
  <c r="AG116" i="15" s="1"/>
  <c r="AF116" i="15" s="1"/>
  <c r="AI188" i="15"/>
  <c r="AH188" i="15" s="1"/>
  <c r="AG188" i="15" s="1"/>
  <c r="AF188" i="15" s="1"/>
  <c r="AI352" i="15"/>
  <c r="AH352" i="15" s="1"/>
  <c r="AG352" i="15" s="1"/>
  <c r="AF352" i="15" s="1"/>
  <c r="AI208" i="15"/>
  <c r="AH208" i="15" s="1"/>
  <c r="AG208" i="15" s="1"/>
  <c r="AF208" i="15" s="1"/>
  <c r="AI21" i="15"/>
  <c r="AH21" i="15" s="1"/>
  <c r="AG21" i="15" s="1"/>
  <c r="AF21" i="15" s="1"/>
  <c r="AI125" i="15"/>
  <c r="AH125" i="15" s="1"/>
  <c r="AG125" i="15" s="1"/>
  <c r="AF125" i="15" s="1"/>
  <c r="AI85" i="15"/>
  <c r="AH85" i="15" s="1"/>
  <c r="AG85" i="15" s="1"/>
  <c r="AF85" i="15" s="1"/>
  <c r="AI86" i="15"/>
  <c r="AH86" i="15" s="1"/>
  <c r="AG86" i="15" s="1"/>
  <c r="AF86" i="15" s="1"/>
  <c r="AI277" i="15"/>
  <c r="AH277" i="15" s="1"/>
  <c r="AG277" i="15" s="1"/>
  <c r="AF277" i="15" s="1"/>
  <c r="AI177" i="15"/>
  <c r="AH177" i="15" s="1"/>
  <c r="AG177" i="15" s="1"/>
  <c r="AF177" i="15" s="1"/>
  <c r="AI52" i="15"/>
  <c r="AH52" i="15" s="1"/>
  <c r="AG52" i="15" s="1"/>
  <c r="AF52" i="15" s="1"/>
  <c r="AI195" i="15"/>
  <c r="AH195" i="15" s="1"/>
  <c r="AG195" i="15" s="1"/>
  <c r="AF195" i="15" s="1"/>
  <c r="AI211" i="15"/>
  <c r="AH211" i="15" s="1"/>
  <c r="AG211" i="15" s="1"/>
  <c r="AF211" i="15" s="1"/>
  <c r="AI249" i="15"/>
  <c r="AH249" i="15" s="1"/>
  <c r="AG249" i="15" s="1"/>
  <c r="AF249" i="15" s="1"/>
  <c r="AI297" i="15"/>
  <c r="AH297" i="15" s="1"/>
  <c r="AG297" i="15" s="1"/>
  <c r="AF297" i="15" s="1"/>
  <c r="AI231" i="15"/>
  <c r="AH231" i="15" s="1"/>
  <c r="AG231" i="15" s="1"/>
  <c r="AF231" i="15" s="1"/>
  <c r="AI33" i="15"/>
  <c r="AH33" i="15" s="1"/>
  <c r="AG33" i="15" s="1"/>
  <c r="AF33" i="15" s="1"/>
  <c r="AI161" i="15"/>
  <c r="AH161" i="15" s="1"/>
  <c r="AG161" i="15" s="1"/>
  <c r="AF161" i="15" s="1"/>
  <c r="AI235" i="15"/>
  <c r="AH235" i="15" s="1"/>
  <c r="AG235" i="15" s="1"/>
  <c r="AF235" i="15" s="1"/>
  <c r="AI51" i="15"/>
  <c r="AH51" i="15" s="1"/>
  <c r="AG51" i="15" s="1"/>
  <c r="AF51" i="15" s="1"/>
  <c r="AI338" i="15"/>
  <c r="AH338" i="15" s="1"/>
  <c r="AG338" i="15" s="1"/>
  <c r="AF338" i="15" s="1"/>
  <c r="AI244" i="15"/>
  <c r="AH244" i="15" s="1"/>
  <c r="AG244" i="15" s="1"/>
  <c r="AF244" i="15" s="1"/>
  <c r="AI207" i="15"/>
  <c r="AH207" i="15" s="1"/>
  <c r="AG207" i="15" s="1"/>
  <c r="AF207" i="15" s="1"/>
  <c r="AI106" i="15"/>
  <c r="AH106" i="15" s="1"/>
  <c r="AG106" i="15" s="1"/>
  <c r="AF106" i="15" s="1"/>
  <c r="AI56" i="15"/>
  <c r="AH56" i="15" s="1"/>
  <c r="AG56" i="15" s="1"/>
  <c r="AF56" i="15" s="1"/>
  <c r="AI224" i="15"/>
  <c r="AH224" i="15" s="1"/>
  <c r="AG224" i="15" s="1"/>
  <c r="AF224" i="15" s="1"/>
  <c r="AI283" i="15"/>
  <c r="AH283" i="15" s="1"/>
  <c r="AG283" i="15" s="1"/>
  <c r="AF283" i="15" s="1"/>
  <c r="AI301" i="15"/>
  <c r="AH301" i="15" s="1"/>
  <c r="AG301" i="15" s="1"/>
  <c r="AF301" i="15" s="1"/>
  <c r="AI228" i="15"/>
  <c r="AH228" i="15" s="1"/>
  <c r="AG228" i="15" s="1"/>
  <c r="AF228" i="15" s="1"/>
  <c r="AI362" i="15"/>
  <c r="AH362" i="15" s="1"/>
  <c r="AG362" i="15" s="1"/>
  <c r="AF362" i="15" s="1"/>
  <c r="AI255" i="15"/>
  <c r="AH255" i="15" s="1"/>
  <c r="AG255" i="15" s="1"/>
  <c r="AF255" i="15" s="1"/>
  <c r="AI157" i="15"/>
  <c r="AH157" i="15" s="1"/>
  <c r="AG157" i="15" s="1"/>
  <c r="AF157" i="15" s="1"/>
  <c r="AI135" i="15"/>
  <c r="AH135" i="15" s="1"/>
  <c r="AG135" i="15" s="1"/>
  <c r="AF135" i="15" s="1"/>
  <c r="U238" i="15"/>
  <c r="T238" i="15" s="1"/>
  <c r="S238" i="15" s="1"/>
  <c r="R238" i="15" s="1"/>
  <c r="U141" i="15"/>
  <c r="T141" i="15" s="1"/>
  <c r="S141" i="15" s="1"/>
  <c r="R141" i="15" s="1"/>
  <c r="U304" i="15"/>
  <c r="T304" i="15" s="1"/>
  <c r="S304" i="15" s="1"/>
  <c r="R304" i="15" s="1"/>
  <c r="U41" i="15"/>
  <c r="T41" i="15" s="1"/>
  <c r="S41" i="15" s="1"/>
  <c r="R41" i="15" s="1"/>
  <c r="U293" i="15"/>
  <c r="T293" i="15" s="1"/>
  <c r="S293" i="15" s="1"/>
  <c r="R293" i="15" s="1"/>
  <c r="U34" i="15"/>
  <c r="T34" i="15" s="1"/>
  <c r="S34" i="15" s="1"/>
  <c r="R34" i="15" s="1"/>
  <c r="U161" i="15"/>
  <c r="T161" i="15" s="1"/>
  <c r="S161" i="15" s="1"/>
  <c r="R161" i="15" s="1"/>
  <c r="U307" i="15"/>
  <c r="T307" i="15" s="1"/>
  <c r="S307" i="15" s="1"/>
  <c r="R307" i="15" s="1"/>
  <c r="U299" i="15"/>
  <c r="T299" i="15" s="1"/>
  <c r="S299" i="15" s="1"/>
  <c r="R299" i="15" s="1"/>
  <c r="U166" i="15"/>
  <c r="T166" i="15" s="1"/>
  <c r="S166" i="15" s="1"/>
  <c r="R166" i="15" s="1"/>
  <c r="U245" i="15"/>
  <c r="T245" i="15" s="1"/>
  <c r="S245" i="15" s="1"/>
  <c r="R245" i="15" s="1"/>
  <c r="U221" i="15"/>
  <c r="T221" i="15" s="1"/>
  <c r="S221" i="15" s="1"/>
  <c r="R221" i="15" s="1"/>
  <c r="U80" i="15"/>
  <c r="T80" i="15" s="1"/>
  <c r="S80" i="15" s="1"/>
  <c r="R80" i="15" s="1"/>
  <c r="U51" i="15"/>
  <c r="T51" i="15" s="1"/>
  <c r="S51" i="15" s="1"/>
  <c r="R51" i="15" s="1"/>
  <c r="U117" i="15"/>
  <c r="T117" i="15" s="1"/>
  <c r="S117" i="15" s="1"/>
  <c r="R117" i="15" s="1"/>
  <c r="U168" i="15"/>
  <c r="T168" i="15" s="1"/>
  <c r="S168" i="15" s="1"/>
  <c r="R168" i="15" s="1"/>
  <c r="U140" i="15"/>
  <c r="T140" i="15" s="1"/>
  <c r="S140" i="15" s="1"/>
  <c r="R140" i="15" s="1"/>
  <c r="U160" i="15"/>
  <c r="T160" i="15" s="1"/>
  <c r="S160" i="15" s="1"/>
  <c r="R160" i="15" s="1"/>
  <c r="U180" i="15"/>
  <c r="T180" i="15" s="1"/>
  <c r="S180" i="15" s="1"/>
  <c r="R180" i="15" s="1"/>
  <c r="U95" i="15"/>
  <c r="T95" i="15" s="1"/>
  <c r="S95" i="15" s="1"/>
  <c r="R95" i="15" s="1"/>
  <c r="U61" i="15"/>
  <c r="T61" i="15" s="1"/>
  <c r="S61" i="15" s="1"/>
  <c r="R61" i="15" s="1"/>
  <c r="U346" i="15"/>
  <c r="T346" i="15" s="1"/>
  <c r="S346" i="15" s="1"/>
  <c r="R346" i="15" s="1"/>
  <c r="U285" i="15"/>
  <c r="T285" i="15" s="1"/>
  <c r="S285" i="15" s="1"/>
  <c r="R285" i="15" s="1"/>
  <c r="U199" i="15"/>
  <c r="T199" i="15" s="1"/>
  <c r="S199" i="15" s="1"/>
  <c r="R199" i="15" s="1"/>
  <c r="U224" i="15"/>
  <c r="T224" i="15" s="1"/>
  <c r="S224" i="15" s="1"/>
  <c r="R224" i="15" s="1"/>
  <c r="U53" i="15"/>
  <c r="T53" i="15" s="1"/>
  <c r="S53" i="15" s="1"/>
  <c r="R53" i="15" s="1"/>
  <c r="U305" i="15"/>
  <c r="T305" i="15" s="1"/>
  <c r="S305" i="15" s="1"/>
  <c r="R305" i="15" s="1"/>
  <c r="U233" i="15"/>
  <c r="T233" i="15" s="1"/>
  <c r="S233" i="15" s="1"/>
  <c r="R233" i="15" s="1"/>
  <c r="U267" i="15"/>
  <c r="T267" i="15" s="1"/>
  <c r="S267" i="15" s="1"/>
  <c r="R267" i="15" s="1"/>
  <c r="U75" i="15"/>
  <c r="T75" i="15" s="1"/>
  <c r="S75" i="15" s="1"/>
  <c r="R75" i="15" s="1"/>
  <c r="U116" i="15"/>
  <c r="T116" i="15" s="1"/>
  <c r="S116" i="15" s="1"/>
  <c r="R116" i="15" s="1"/>
  <c r="U139" i="15"/>
  <c r="T139" i="15" s="1"/>
  <c r="S139" i="15" s="1"/>
  <c r="R139" i="15" s="1"/>
  <c r="U194" i="15"/>
  <c r="T194" i="15" s="1"/>
  <c r="S194" i="15" s="1"/>
  <c r="R194" i="15" s="1"/>
  <c r="U167" i="15"/>
  <c r="T167" i="15" s="1"/>
  <c r="S167" i="15" s="1"/>
  <c r="R167" i="15" s="1"/>
  <c r="U361" i="15"/>
  <c r="T361" i="15" s="1"/>
  <c r="S361" i="15" s="1"/>
  <c r="R361" i="15" s="1"/>
  <c r="U250" i="15"/>
  <c r="T250" i="15" s="1"/>
  <c r="S250" i="15" s="1"/>
  <c r="R250" i="15" s="1"/>
  <c r="U84" i="15"/>
  <c r="T84" i="15" s="1"/>
  <c r="S84" i="15" s="1"/>
  <c r="R84" i="15" s="1"/>
  <c r="U231" i="15"/>
  <c r="T231" i="15" s="1"/>
  <c r="S231" i="15" s="1"/>
  <c r="R231" i="15" s="1"/>
  <c r="U246" i="15"/>
  <c r="T246" i="15" s="1"/>
  <c r="S246" i="15" s="1"/>
  <c r="R246" i="15" s="1"/>
  <c r="U132" i="15"/>
  <c r="T132" i="15" s="1"/>
  <c r="S132" i="15" s="1"/>
  <c r="R132" i="15" s="1"/>
  <c r="U308" i="15"/>
  <c r="T308" i="15" s="1"/>
  <c r="S308" i="15" s="1"/>
  <c r="R308" i="15" s="1"/>
  <c r="U25" i="15"/>
  <c r="T25" i="15" s="1"/>
  <c r="S25" i="15" s="1"/>
  <c r="R25" i="15" s="1"/>
  <c r="U295" i="15"/>
  <c r="T295" i="15" s="1"/>
  <c r="S295" i="15" s="1"/>
  <c r="R295" i="15" s="1"/>
  <c r="U373" i="15"/>
  <c r="T373" i="15" s="1"/>
  <c r="S373" i="15" s="1"/>
  <c r="R373" i="15" s="1"/>
  <c r="U205" i="15"/>
  <c r="T205" i="15" s="1"/>
  <c r="S205" i="15" s="1"/>
  <c r="R205" i="15" s="1"/>
  <c r="U135" i="15"/>
  <c r="T135" i="15" s="1"/>
  <c r="S135" i="15" s="1"/>
  <c r="R135" i="15" s="1"/>
  <c r="U70" i="15"/>
  <c r="T70" i="15" s="1"/>
  <c r="S70" i="15" s="1"/>
  <c r="R70" i="15" s="1"/>
  <c r="U355" i="15"/>
  <c r="T355" i="15" s="1"/>
  <c r="S355" i="15" s="1"/>
  <c r="R355" i="15" s="1"/>
  <c r="U266" i="15"/>
  <c r="T266" i="15" s="1"/>
  <c r="S266" i="15" s="1"/>
  <c r="R266" i="15" s="1"/>
  <c r="U260" i="15"/>
  <c r="T260" i="15" s="1"/>
  <c r="S260" i="15" s="1"/>
  <c r="R260" i="15" s="1"/>
  <c r="U16" i="15"/>
  <c r="T16" i="15" s="1"/>
  <c r="S16" i="15" s="1"/>
  <c r="R16" i="15" s="1"/>
  <c r="U351" i="15"/>
  <c r="T351" i="15" s="1"/>
  <c r="S351" i="15" s="1"/>
  <c r="R351" i="15" s="1"/>
  <c r="U29" i="15"/>
  <c r="T29" i="15" s="1"/>
  <c r="S29" i="15" s="1"/>
  <c r="R29" i="15" s="1"/>
  <c r="U366" i="15"/>
  <c r="T366" i="15" s="1"/>
  <c r="S366" i="15" s="1"/>
  <c r="R366" i="15" s="1"/>
  <c r="U187" i="15"/>
  <c r="T187" i="15" s="1"/>
  <c r="S187" i="15" s="1"/>
  <c r="R187" i="15" s="1"/>
  <c r="U258" i="15"/>
  <c r="T258" i="15" s="1"/>
  <c r="S258" i="15" s="1"/>
  <c r="R258" i="15" s="1"/>
  <c r="U145" i="15"/>
  <c r="T145" i="15" s="1"/>
  <c r="S145" i="15" s="1"/>
  <c r="R145" i="15" s="1"/>
  <c r="U296" i="15"/>
  <c r="T296" i="15" s="1"/>
  <c r="S296" i="15" s="1"/>
  <c r="R296" i="15" s="1"/>
  <c r="U96" i="15"/>
  <c r="T96" i="15" s="1"/>
  <c r="S96" i="15" s="1"/>
  <c r="R96" i="15" s="1"/>
  <c r="U272" i="15"/>
  <c r="T272" i="15" s="1"/>
  <c r="S272" i="15" s="1"/>
  <c r="R272" i="15" s="1"/>
  <c r="U23" i="15"/>
  <c r="T23" i="15" s="1"/>
  <c r="S23" i="15" s="1"/>
  <c r="R23" i="15" s="1"/>
  <c r="U367" i="15"/>
  <c r="T367" i="15" s="1"/>
  <c r="S367" i="15" s="1"/>
  <c r="R367" i="15" s="1"/>
  <c r="U290" i="15"/>
  <c r="T290" i="15" s="1"/>
  <c r="S290" i="15" s="1"/>
  <c r="R290" i="15" s="1"/>
  <c r="U349" i="15"/>
  <c r="T349" i="15" s="1"/>
  <c r="S349" i="15" s="1"/>
  <c r="R349" i="15" s="1"/>
  <c r="U157" i="15"/>
  <c r="T157" i="15" s="1"/>
  <c r="S157" i="15" s="1"/>
  <c r="R157" i="15" s="1"/>
  <c r="U146" i="15"/>
  <c r="T146" i="15" s="1"/>
  <c r="S146" i="15" s="1"/>
  <c r="R146" i="15" s="1"/>
  <c r="U369" i="15"/>
  <c r="T369" i="15" s="1"/>
  <c r="S369" i="15" s="1"/>
  <c r="R369" i="15" s="1"/>
  <c r="U110" i="15"/>
  <c r="T110" i="15" s="1"/>
  <c r="S110" i="15" s="1"/>
  <c r="R110" i="15" s="1"/>
  <c r="U227" i="15"/>
  <c r="T227" i="15" s="1"/>
  <c r="S227" i="15" s="1"/>
  <c r="R227" i="15" s="1"/>
  <c r="U319" i="15"/>
  <c r="T319" i="15" s="1"/>
  <c r="S319" i="15" s="1"/>
  <c r="R319" i="15" s="1"/>
  <c r="U93" i="15"/>
  <c r="T93" i="15" s="1"/>
  <c r="S93" i="15" s="1"/>
  <c r="R93" i="15" s="1"/>
  <c r="U302" i="15"/>
  <c r="T302" i="15" s="1"/>
  <c r="S302" i="15" s="1"/>
  <c r="R302" i="15" s="1"/>
  <c r="U341" i="15"/>
  <c r="T341" i="15" s="1"/>
  <c r="S341" i="15" s="1"/>
  <c r="R341" i="15" s="1"/>
  <c r="U181" i="15"/>
  <c r="T181" i="15" s="1"/>
  <c r="S181" i="15" s="1"/>
  <c r="R181" i="15" s="1"/>
  <c r="U36" i="15"/>
  <c r="T36" i="15" s="1"/>
  <c r="S36" i="15" s="1"/>
  <c r="R36" i="15" s="1"/>
  <c r="U377" i="15"/>
  <c r="T377" i="15" s="1"/>
  <c r="S377" i="15" s="1"/>
  <c r="R377" i="15" s="1"/>
  <c r="U239" i="15"/>
  <c r="T239" i="15" s="1"/>
  <c r="S239" i="15" s="1"/>
  <c r="R239" i="15" s="1"/>
  <c r="U294" i="15"/>
  <c r="T294" i="15" s="1"/>
  <c r="S294" i="15" s="1"/>
  <c r="R294" i="15" s="1"/>
  <c r="U255" i="15"/>
  <c r="T255" i="15" s="1"/>
  <c r="S255" i="15" s="1"/>
  <c r="R255" i="15" s="1"/>
  <c r="U280" i="15"/>
  <c r="T280" i="15" s="1"/>
  <c r="S280" i="15" s="1"/>
  <c r="R280" i="15" s="1"/>
  <c r="U58" i="15"/>
  <c r="T58" i="15" s="1"/>
  <c r="S58" i="15" s="1"/>
  <c r="R58" i="15" s="1"/>
  <c r="U109" i="15"/>
  <c r="T109" i="15" s="1"/>
  <c r="S109" i="15" s="1"/>
  <c r="R109" i="15" s="1"/>
  <c r="U303" i="15"/>
  <c r="T303" i="15" s="1"/>
  <c r="S303" i="15" s="1"/>
  <c r="R303" i="15" s="1"/>
  <c r="U228" i="15"/>
  <c r="T228" i="15" s="1"/>
  <c r="S228" i="15" s="1"/>
  <c r="R228" i="15" s="1"/>
  <c r="U74" i="15"/>
  <c r="T74" i="15" s="1"/>
  <c r="S74" i="15" s="1"/>
  <c r="R74" i="15" s="1"/>
  <c r="U368" i="15"/>
  <c r="T368" i="15" s="1"/>
  <c r="S368" i="15" s="1"/>
  <c r="R368" i="15" s="1"/>
  <c r="U301" i="15"/>
  <c r="T301" i="15" s="1"/>
  <c r="S301" i="15" s="1"/>
  <c r="R301" i="15" s="1"/>
  <c r="U54" i="15"/>
  <c r="T54" i="15" s="1"/>
  <c r="S54" i="15" s="1"/>
  <c r="R54" i="15" s="1"/>
  <c r="U198" i="15"/>
  <c r="T198" i="15" s="1"/>
  <c r="S198" i="15" s="1"/>
  <c r="R198" i="15" s="1"/>
  <c r="U375" i="15"/>
  <c r="T375" i="15" s="1"/>
  <c r="S375" i="15" s="1"/>
  <c r="R375" i="15" s="1"/>
  <c r="U121" i="15"/>
  <c r="T121" i="15" s="1"/>
  <c r="S121" i="15" s="1"/>
  <c r="R121" i="15" s="1"/>
  <c r="U345" i="15"/>
  <c r="T345" i="15" s="1"/>
  <c r="S345" i="15" s="1"/>
  <c r="R345" i="15" s="1"/>
  <c r="U33" i="15"/>
  <c r="T33" i="15" s="1"/>
  <c r="S33" i="15" s="1"/>
  <c r="R33" i="15" s="1"/>
  <c r="U171" i="15"/>
  <c r="T171" i="15" s="1"/>
  <c r="S171" i="15" s="1"/>
  <c r="R171" i="15" s="1"/>
  <c r="U340" i="15"/>
  <c r="T340" i="15" s="1"/>
  <c r="S340" i="15" s="1"/>
  <c r="R340" i="15" s="1"/>
  <c r="U337" i="15"/>
  <c r="T337" i="15" s="1"/>
  <c r="S337" i="15" s="1"/>
  <c r="R337" i="15" s="1"/>
  <c r="U89" i="15"/>
  <c r="T89" i="15" s="1"/>
  <c r="S89" i="15" s="1"/>
  <c r="R89" i="15" s="1"/>
  <c r="U234" i="15"/>
  <c r="T234" i="15" s="1"/>
  <c r="S234" i="15" s="1"/>
  <c r="R234" i="15" s="1"/>
  <c r="U263" i="15"/>
  <c r="T263" i="15" s="1"/>
  <c r="S263" i="15" s="1"/>
  <c r="R263" i="15" s="1"/>
  <c r="U82" i="15"/>
  <c r="T82" i="15" s="1"/>
  <c r="S82" i="15" s="1"/>
  <c r="R82" i="15" s="1"/>
  <c r="U208" i="15"/>
  <c r="T208" i="15" s="1"/>
  <c r="S208" i="15" s="1"/>
  <c r="R208" i="15" s="1"/>
  <c r="U243" i="15"/>
  <c r="T243" i="15" s="1"/>
  <c r="S243" i="15" s="1"/>
  <c r="R243" i="15" s="1"/>
  <c r="U65" i="15"/>
  <c r="T65" i="15" s="1"/>
  <c r="S65" i="15" s="1"/>
  <c r="R65" i="15" s="1"/>
  <c r="U98" i="15"/>
  <c r="T98" i="15" s="1"/>
  <c r="S98" i="15" s="1"/>
  <c r="R98" i="15" s="1"/>
  <c r="U350" i="15"/>
  <c r="T350" i="15" s="1"/>
  <c r="S350" i="15" s="1"/>
  <c r="R350" i="15" s="1"/>
  <c r="U343" i="15"/>
  <c r="T343" i="15" s="1"/>
  <c r="S343" i="15" s="1"/>
  <c r="R343" i="15" s="1"/>
  <c r="U297" i="15"/>
  <c r="T297" i="15" s="1"/>
  <c r="S297" i="15" s="1"/>
  <c r="R297" i="15" s="1"/>
  <c r="U188" i="15"/>
  <c r="T188" i="15" s="1"/>
  <c r="S188" i="15" s="1"/>
  <c r="R188" i="15" s="1"/>
  <c r="U92" i="15"/>
  <c r="T92" i="15" s="1"/>
  <c r="S92" i="15" s="1"/>
  <c r="R92" i="15" s="1"/>
  <c r="U103" i="15"/>
  <c r="T103" i="15" s="1"/>
  <c r="S103" i="15" s="1"/>
  <c r="R103" i="15" s="1"/>
  <c r="U192" i="15"/>
  <c r="T192" i="15" s="1"/>
  <c r="S192" i="15" s="1"/>
  <c r="R192" i="15" s="1"/>
  <c r="U352" i="15"/>
  <c r="T352" i="15" s="1"/>
  <c r="S352" i="15" s="1"/>
  <c r="R352" i="15" s="1"/>
  <c r="U327" i="15"/>
  <c r="T327" i="15" s="1"/>
  <c r="S327" i="15" s="1"/>
  <c r="R327" i="15" s="1"/>
  <c r="U207" i="15"/>
  <c r="T207" i="15" s="1"/>
  <c r="S207" i="15" s="1"/>
  <c r="R207" i="15" s="1"/>
  <c r="U85" i="15"/>
  <c r="T85" i="15" s="1"/>
  <c r="S85" i="15" s="1"/>
  <c r="R85" i="15" s="1"/>
  <c r="U46" i="15"/>
  <c r="T46" i="15" s="1"/>
  <c r="S46" i="15" s="1"/>
  <c r="R46" i="15" s="1"/>
  <c r="U78" i="15"/>
  <c r="T78" i="15" s="1"/>
  <c r="S78" i="15" s="1"/>
  <c r="R78" i="15" s="1"/>
  <c r="U254" i="15"/>
  <c r="T254" i="15" s="1"/>
  <c r="S254" i="15" s="1"/>
  <c r="R254" i="15" s="1"/>
  <c r="U215" i="15"/>
  <c r="T215" i="15" s="1"/>
  <c r="S215" i="15" s="1"/>
  <c r="R215" i="15" s="1"/>
  <c r="U206" i="15"/>
  <c r="T206" i="15" s="1"/>
  <c r="S206" i="15" s="1"/>
  <c r="R206" i="15" s="1"/>
  <c r="U182" i="15"/>
  <c r="T182" i="15" s="1"/>
  <c r="S182" i="15" s="1"/>
  <c r="R182" i="15" s="1"/>
  <c r="U235" i="15"/>
  <c r="T235" i="15" s="1"/>
  <c r="S235" i="15" s="1"/>
  <c r="R235" i="15" s="1"/>
  <c r="U251" i="15"/>
  <c r="T251" i="15" s="1"/>
  <c r="S251" i="15" s="1"/>
  <c r="R251" i="15" s="1"/>
  <c r="U18" i="15"/>
  <c r="T18" i="15" s="1"/>
  <c r="S18" i="15" s="1"/>
  <c r="R18" i="15" s="1"/>
  <c r="U321" i="15"/>
  <c r="T321" i="15" s="1"/>
  <c r="S321" i="15" s="1"/>
  <c r="R321" i="15" s="1"/>
  <c r="U378" i="15"/>
  <c r="T378" i="15" s="1"/>
  <c r="S378" i="15" s="1"/>
  <c r="R378" i="15" s="1"/>
  <c r="U156" i="15"/>
  <c r="T156" i="15" s="1"/>
  <c r="S156" i="15" s="1"/>
  <c r="R156" i="15" s="1"/>
  <c r="U90" i="15"/>
  <c r="T90" i="15" s="1"/>
  <c r="S90" i="15" s="1"/>
  <c r="R90" i="15" s="1"/>
  <c r="U104" i="15"/>
  <c r="T104" i="15" s="1"/>
  <c r="S104" i="15" s="1"/>
  <c r="R104" i="15" s="1"/>
  <c r="U108" i="15"/>
  <c r="T108" i="15" s="1"/>
  <c r="S108" i="15" s="1"/>
  <c r="R108" i="15" s="1"/>
  <c r="U159" i="15"/>
  <c r="T159" i="15" s="1"/>
  <c r="S159" i="15" s="1"/>
  <c r="R159" i="15" s="1"/>
  <c r="U230" i="15"/>
  <c r="T230" i="15" s="1"/>
  <c r="S230" i="15" s="1"/>
  <c r="R230" i="15" s="1"/>
  <c r="U22" i="15"/>
  <c r="T22" i="15" s="1"/>
  <c r="S22" i="15" s="1"/>
  <c r="R22" i="15" s="1"/>
  <c r="U211" i="15"/>
  <c r="T211" i="15" s="1"/>
  <c r="S211" i="15" s="1"/>
  <c r="R211" i="15" s="1"/>
  <c r="U210" i="15"/>
  <c r="T210" i="15" s="1"/>
  <c r="S210" i="15" s="1"/>
  <c r="R210" i="15" s="1"/>
  <c r="U311" i="15"/>
  <c r="T311" i="15" s="1"/>
  <c r="S311" i="15" s="1"/>
  <c r="R311" i="15" s="1"/>
  <c r="P311" i="15" s="1"/>
  <c r="U64" i="15"/>
  <c r="T64" i="15" s="1"/>
  <c r="S64" i="15" s="1"/>
  <c r="R64" i="15" s="1"/>
  <c r="U334" i="15"/>
  <c r="T334" i="15" s="1"/>
  <c r="S334" i="15" s="1"/>
  <c r="R334" i="15" s="1"/>
  <c r="U204" i="15"/>
  <c r="T204" i="15" s="1"/>
  <c r="S204" i="15" s="1"/>
  <c r="R204" i="15" s="1"/>
  <c r="U371" i="15"/>
  <c r="T371" i="15" s="1"/>
  <c r="S371" i="15" s="1"/>
  <c r="R371" i="15" s="1"/>
  <c r="U271" i="15"/>
  <c r="T271" i="15" s="1"/>
  <c r="U186" i="15"/>
  <c r="T186" i="15" s="1"/>
  <c r="S186" i="15" s="1"/>
  <c r="R186" i="15" s="1"/>
  <c r="U357" i="15"/>
  <c r="T357" i="15" s="1"/>
  <c r="S357" i="15" s="1"/>
  <c r="R357" i="15" s="1"/>
  <c r="U164" i="15"/>
  <c r="T164" i="15" s="1"/>
  <c r="S164" i="15" s="1"/>
  <c r="R164" i="15" s="1"/>
  <c r="U209" i="15"/>
  <c r="T209" i="15" s="1"/>
  <c r="S209" i="15" s="1"/>
  <c r="R209" i="15" s="1"/>
  <c r="U216" i="15"/>
  <c r="T216" i="15" s="1"/>
  <c r="S216" i="15" s="1"/>
  <c r="R216" i="15" s="1"/>
  <c r="U286" i="15"/>
  <c r="T286" i="15" s="1"/>
  <c r="S286" i="15" s="1"/>
  <c r="R286" i="15" s="1"/>
  <c r="U283" i="15"/>
  <c r="T283" i="15" s="1"/>
  <c r="S283" i="15" s="1"/>
  <c r="R283" i="15" s="1"/>
  <c r="U212" i="15"/>
  <c r="T212" i="15" s="1"/>
  <c r="S212" i="15" s="1"/>
  <c r="R212" i="15" s="1"/>
  <c r="U273" i="15"/>
  <c r="T273" i="15" s="1"/>
  <c r="S273" i="15" s="1"/>
  <c r="R273" i="15" s="1"/>
  <c r="U83" i="15"/>
  <c r="T83" i="15" s="1"/>
  <c r="S83" i="15" s="1"/>
  <c r="R83" i="15" s="1"/>
  <c r="U338" i="15"/>
  <c r="T338" i="15" s="1"/>
  <c r="S338" i="15" s="1"/>
  <c r="R338" i="15" s="1"/>
  <c r="U43" i="15"/>
  <c r="T43" i="15" s="1"/>
  <c r="S43" i="15" s="1"/>
  <c r="R43" i="15" s="1"/>
  <c r="U190" i="15"/>
  <c r="T190" i="15" s="1"/>
  <c r="S190" i="15" s="1"/>
  <c r="R190" i="15" s="1"/>
  <c r="U185" i="15"/>
  <c r="T185" i="15" s="1"/>
  <c r="S185" i="15" s="1"/>
  <c r="R185" i="15" s="1"/>
  <c r="U237" i="15"/>
  <c r="T237" i="15" s="1"/>
  <c r="S237" i="15" s="1"/>
  <c r="R237" i="15" s="1"/>
  <c r="U342" i="15"/>
  <c r="T342" i="15" s="1"/>
  <c r="S342" i="15" s="1"/>
  <c r="R342" i="15" s="1"/>
  <c r="U60" i="15"/>
  <c r="T60" i="15" s="1"/>
  <c r="S60" i="15" s="1"/>
  <c r="R60" i="15" s="1"/>
  <c r="U119" i="15"/>
  <c r="T119" i="15" s="1"/>
  <c r="S119" i="15" s="1"/>
  <c r="R119" i="15" s="1"/>
  <c r="U94" i="15"/>
  <c r="T94" i="15" s="1"/>
  <c r="S94" i="15" s="1"/>
  <c r="R94" i="15" s="1"/>
  <c r="U19" i="15"/>
  <c r="T19" i="15" s="1"/>
  <c r="S19" i="15" s="1"/>
  <c r="R19" i="15" s="1"/>
  <c r="U300" i="15"/>
  <c r="T300" i="15" s="1"/>
  <c r="S300" i="15" s="1"/>
  <c r="R300" i="15" s="1"/>
  <c r="U77" i="15"/>
  <c r="T77" i="15" s="1"/>
  <c r="S77" i="15" s="1"/>
  <c r="R77" i="15" s="1"/>
  <c r="U324" i="15"/>
  <c r="T324" i="15" s="1"/>
  <c r="S324" i="15" s="1"/>
  <c r="R324" i="15" s="1"/>
  <c r="U222" i="15"/>
  <c r="T222" i="15" s="1"/>
  <c r="S222" i="15" s="1"/>
  <c r="R222" i="15" s="1"/>
  <c r="U240" i="15"/>
  <c r="T240" i="15" s="1"/>
  <c r="S240" i="15" s="1"/>
  <c r="R240" i="15" s="1"/>
  <c r="AI217" i="15"/>
  <c r="AH217" i="15" s="1"/>
  <c r="AG217" i="15" s="1"/>
  <c r="AF217" i="15" s="1"/>
  <c r="AI114" i="15"/>
  <c r="AH114" i="15" s="1"/>
  <c r="AG114" i="15" s="1"/>
  <c r="AF114" i="15" s="1"/>
  <c r="AI140" i="15"/>
  <c r="AH140" i="15" s="1"/>
  <c r="AG140" i="15" s="1"/>
  <c r="AF140" i="15" s="1"/>
  <c r="AI269" i="15"/>
  <c r="AH269" i="15" s="1"/>
  <c r="AG269" i="15" s="1"/>
  <c r="AF269" i="15" s="1"/>
  <c r="AI288" i="15"/>
  <c r="AH288" i="15" s="1"/>
  <c r="AG288" i="15" s="1"/>
  <c r="AF288" i="15" s="1"/>
  <c r="AI260" i="15"/>
  <c r="AH260" i="15" s="1"/>
  <c r="AG260" i="15" s="1"/>
  <c r="AF260" i="15" s="1"/>
  <c r="AI151" i="15"/>
  <c r="AH151" i="15" s="1"/>
  <c r="AG151" i="15" s="1"/>
  <c r="AF151" i="15" s="1"/>
  <c r="AI128" i="15"/>
  <c r="AH128" i="15" s="1"/>
  <c r="AG128" i="15" s="1"/>
  <c r="AF128" i="15" s="1"/>
  <c r="AI190" i="15"/>
  <c r="AH190" i="15" s="1"/>
  <c r="AG190" i="15" s="1"/>
  <c r="AF190" i="15" s="1"/>
  <c r="AI318" i="15"/>
  <c r="AH318" i="15" s="1"/>
  <c r="AG318" i="15" s="1"/>
  <c r="AF318" i="15" s="1"/>
  <c r="AI148" i="15"/>
  <c r="AH148" i="15" s="1"/>
  <c r="AG148" i="15" s="1"/>
  <c r="AF148" i="15" s="1"/>
  <c r="AI50" i="15"/>
  <c r="AH50" i="15" s="1"/>
  <c r="AG50" i="15" s="1"/>
  <c r="AF50" i="15" s="1"/>
  <c r="AI26" i="15"/>
  <c r="AH26" i="15" s="1"/>
  <c r="AG26" i="15" s="1"/>
  <c r="AF26" i="15" s="1"/>
  <c r="AI218" i="15"/>
  <c r="AH218" i="15" s="1"/>
  <c r="AG218" i="15" s="1"/>
  <c r="AF218" i="15" s="1"/>
  <c r="AI124" i="15"/>
  <c r="AH124" i="15" s="1"/>
  <c r="AG124" i="15" s="1"/>
  <c r="AF124" i="15" s="1"/>
  <c r="AI293" i="15"/>
  <c r="AH293" i="15" s="1"/>
  <c r="AG293" i="15" s="1"/>
  <c r="AF293" i="15" s="1"/>
  <c r="AI253" i="15"/>
  <c r="AH253" i="15" s="1"/>
  <c r="AG253" i="15" s="1"/>
  <c r="AF253" i="15" s="1"/>
  <c r="AI191" i="15"/>
  <c r="AH191" i="15" s="1"/>
  <c r="AG191" i="15" s="1"/>
  <c r="AF191" i="15" s="1"/>
  <c r="AI361" i="15"/>
  <c r="AH361" i="15" s="1"/>
  <c r="AG361" i="15" s="1"/>
  <c r="AF361" i="15" s="1"/>
  <c r="AI163" i="15"/>
  <c r="AH163" i="15" s="1"/>
  <c r="AG163" i="15" s="1"/>
  <c r="AF163" i="15" s="1"/>
  <c r="AI75" i="15"/>
  <c r="AH75" i="15" s="1"/>
  <c r="AG75" i="15" s="1"/>
  <c r="AF75" i="15" s="1"/>
  <c r="AI48" i="15"/>
  <c r="AH48" i="15" s="1"/>
  <c r="AG48" i="15" s="1"/>
  <c r="AF48" i="15" s="1"/>
  <c r="AI319" i="15"/>
  <c r="AH319" i="15" s="1"/>
  <c r="AG319" i="15" s="1"/>
  <c r="AF319" i="15" s="1"/>
  <c r="AI360" i="15"/>
  <c r="AH360" i="15" s="1"/>
  <c r="AG360" i="15" s="1"/>
  <c r="AF360" i="15" s="1"/>
  <c r="AI356" i="15"/>
  <c r="AH356" i="15" s="1"/>
  <c r="AG356" i="15" s="1"/>
  <c r="AF356" i="15" s="1"/>
  <c r="AI115" i="15"/>
  <c r="AH115" i="15" s="1"/>
  <c r="AG115" i="15" s="1"/>
  <c r="AF115" i="15" s="1"/>
  <c r="AI171" i="15"/>
  <c r="AH171" i="15" s="1"/>
  <c r="AG171" i="15" s="1"/>
  <c r="AF171" i="15" s="1"/>
  <c r="AI117" i="15"/>
  <c r="AH117" i="15" s="1"/>
  <c r="AG117" i="15" s="1"/>
  <c r="AF117" i="15" s="1"/>
  <c r="AI324" i="15"/>
  <c r="AH324" i="15" s="1"/>
  <c r="AG324" i="15" s="1"/>
  <c r="AF324" i="15" s="1"/>
  <c r="AI282" i="15"/>
  <c r="AH282" i="15" s="1"/>
  <c r="AG282" i="15" s="1"/>
  <c r="AF282" i="15" s="1"/>
  <c r="AI239" i="15"/>
  <c r="AH239" i="15" s="1"/>
  <c r="AG239" i="15" s="1"/>
  <c r="AF239" i="15" s="1"/>
  <c r="AI274" i="15"/>
  <c r="AH274" i="15" s="1"/>
  <c r="AG274" i="15" s="1"/>
  <c r="AF274" i="15" s="1"/>
  <c r="AI322" i="15"/>
  <c r="AH322" i="15" s="1"/>
  <c r="AG322" i="15" s="1"/>
  <c r="AF322" i="15" s="1"/>
  <c r="AI332" i="15"/>
  <c r="AH332" i="15" s="1"/>
  <c r="AG332" i="15" s="1"/>
  <c r="AF332" i="15" s="1"/>
  <c r="AI166" i="15"/>
  <c r="AH166" i="15" s="1"/>
  <c r="AG166" i="15" s="1"/>
  <c r="AF166" i="15" s="1"/>
  <c r="AI316" i="15"/>
  <c r="AH316" i="15" s="1"/>
  <c r="AG316" i="15" s="1"/>
  <c r="AF316" i="15" s="1"/>
  <c r="AI102" i="15"/>
  <c r="AH102" i="15" s="1"/>
  <c r="AG102" i="15" s="1"/>
  <c r="AF102" i="15" s="1"/>
  <c r="AI155" i="15"/>
  <c r="AH155" i="15" s="1"/>
  <c r="AG155" i="15" s="1"/>
  <c r="AF155" i="15" s="1"/>
  <c r="U332" i="15"/>
  <c r="T332" i="15" s="1"/>
  <c r="S332" i="15" s="1"/>
  <c r="R332" i="15" s="1"/>
  <c r="U118" i="15"/>
  <c r="T118" i="15" s="1"/>
  <c r="S118" i="15" s="1"/>
  <c r="R118" i="15" s="1"/>
  <c r="U99" i="15"/>
  <c r="T99" i="15" s="1"/>
  <c r="S99" i="15" s="1"/>
  <c r="R99" i="15" s="1"/>
  <c r="U358" i="15"/>
  <c r="T358" i="15" s="1"/>
  <c r="S358" i="15" s="1"/>
  <c r="R358" i="15" s="1"/>
  <c r="U129" i="15"/>
  <c r="T129" i="15" s="1"/>
  <c r="S129" i="15" s="1"/>
  <c r="R129" i="15" s="1"/>
  <c r="U202" i="15"/>
  <c r="T202" i="15" s="1"/>
  <c r="S202" i="15" s="1"/>
  <c r="R202" i="15" s="1"/>
  <c r="U154" i="15"/>
  <c r="T154" i="15" s="1"/>
  <c r="S154" i="15" s="1"/>
  <c r="R154" i="15" s="1"/>
  <c r="U102" i="15"/>
  <c r="T102" i="15" s="1"/>
  <c r="S102" i="15" s="1"/>
  <c r="R102" i="15" s="1"/>
  <c r="AI71" i="15"/>
  <c r="AH71" i="15" s="1"/>
  <c r="AG71" i="15" s="1"/>
  <c r="AF71" i="15" s="1"/>
  <c r="AI84" i="15"/>
  <c r="AH84" i="15" s="1"/>
  <c r="AG84" i="15" s="1"/>
  <c r="AF84" i="15" s="1"/>
  <c r="AI162" i="15"/>
  <c r="AH162" i="15" s="1"/>
  <c r="AG162" i="15" s="1"/>
  <c r="AF162" i="15" s="1"/>
  <c r="AI323" i="15"/>
  <c r="AH323" i="15" s="1"/>
  <c r="AG323" i="15" s="1"/>
  <c r="AF323" i="15" s="1"/>
  <c r="AI200" i="15"/>
  <c r="AH200" i="15" s="1"/>
  <c r="AG200" i="15" s="1"/>
  <c r="AF200" i="15" s="1"/>
  <c r="AI201" i="15"/>
  <c r="AH201" i="15" s="1"/>
  <c r="AG201" i="15" s="1"/>
  <c r="AF201" i="15" s="1"/>
  <c r="AD226" i="1"/>
  <c r="AD211" i="1"/>
  <c r="AA211" i="1" s="1"/>
  <c r="Z211" i="1" s="1"/>
  <c r="Y211" i="1" s="1"/>
  <c r="L15" i="19"/>
  <c r="U291" i="15"/>
  <c r="T291" i="15" s="1"/>
  <c r="S291" i="15" s="1"/>
  <c r="R291" i="15" s="1"/>
  <c r="U298" i="15"/>
  <c r="T298" i="15" s="1"/>
  <c r="S298" i="15" s="1"/>
  <c r="R298" i="15" s="1"/>
  <c r="AI184" i="15"/>
  <c r="AH184" i="15" s="1"/>
  <c r="AG184" i="15" s="1"/>
  <c r="AF184" i="15" s="1"/>
  <c r="AI341" i="15"/>
  <c r="AH341" i="15" s="1"/>
  <c r="AG341" i="15" s="1"/>
  <c r="AF341" i="15" s="1"/>
  <c r="AI49" i="15"/>
  <c r="AH49" i="15" s="1"/>
  <c r="AG49" i="15" s="1"/>
  <c r="AF49" i="15" s="1"/>
  <c r="AI37" i="15"/>
  <c r="AH37" i="15" s="1"/>
  <c r="AG37" i="15" s="1"/>
  <c r="AF37" i="15" s="1"/>
  <c r="AI172" i="15"/>
  <c r="AH172" i="15" s="1"/>
  <c r="AG172" i="15" s="1"/>
  <c r="AF172" i="15" s="1"/>
  <c r="AI43" i="15"/>
  <c r="AH43" i="15" s="1"/>
  <c r="AG43" i="15" s="1"/>
  <c r="AF43" i="15" s="1"/>
  <c r="AI367" i="15"/>
  <c r="AH367" i="15" s="1"/>
  <c r="AG367" i="15" s="1"/>
  <c r="AF367" i="15" s="1"/>
  <c r="AI42" i="15"/>
  <c r="AH42" i="15" s="1"/>
  <c r="AG42" i="15" s="1"/>
  <c r="AF42" i="15" s="1"/>
  <c r="AI310" i="15"/>
  <c r="AH310" i="15" s="1"/>
  <c r="AG310" i="15" s="1"/>
  <c r="AF310" i="15" s="1"/>
  <c r="AI278" i="15"/>
  <c r="AH278" i="15" s="1"/>
  <c r="AG278" i="15" s="1"/>
  <c r="AF278" i="15" s="1"/>
  <c r="AI122" i="15"/>
  <c r="AH122" i="15" s="1"/>
  <c r="AG122" i="15" s="1"/>
  <c r="AF122" i="15" s="1"/>
  <c r="AI243" i="15"/>
  <c r="AH243" i="15" s="1"/>
  <c r="AG243" i="15" s="1"/>
  <c r="AF243" i="15" s="1"/>
  <c r="AI29" i="15"/>
  <c r="AH29" i="15" s="1"/>
  <c r="AG29" i="15" s="1"/>
  <c r="AF29" i="15" s="1"/>
  <c r="AI108" i="15"/>
  <c r="AH108" i="15" s="1"/>
  <c r="AG108" i="15" s="1"/>
  <c r="AF108" i="15" s="1"/>
  <c r="AI379" i="15"/>
  <c r="AI12" i="16" s="1"/>
  <c r="AI275" i="15"/>
  <c r="AH275" i="15" s="1"/>
  <c r="AG275" i="15" s="1"/>
  <c r="AF275" i="15" s="1"/>
  <c r="AI70" i="15"/>
  <c r="AH70" i="15" s="1"/>
  <c r="AG70" i="15" s="1"/>
  <c r="AF70" i="15" s="1"/>
  <c r="AI312" i="15"/>
  <c r="AH312" i="15" s="1"/>
  <c r="AG312" i="15" s="1"/>
  <c r="AF312" i="15" s="1"/>
  <c r="AI59" i="15"/>
  <c r="AH59" i="15" s="1"/>
  <c r="AG59" i="15" s="1"/>
  <c r="AF59" i="15" s="1"/>
  <c r="AI329" i="15"/>
  <c r="AH329" i="15" s="1"/>
  <c r="AG329" i="15" s="1"/>
  <c r="AF329" i="15" s="1"/>
  <c r="AI280" i="15"/>
  <c r="AH280" i="15" s="1"/>
  <c r="AG280" i="15" s="1"/>
  <c r="AF280" i="15" s="1"/>
  <c r="AI257" i="15"/>
  <c r="AH257" i="15" s="1"/>
  <c r="AG257" i="15" s="1"/>
  <c r="AF257" i="15" s="1"/>
  <c r="AI270" i="15"/>
  <c r="AH270" i="15" s="1"/>
  <c r="AG270" i="15" s="1"/>
  <c r="AF270" i="15" s="1"/>
  <c r="AI174" i="15"/>
  <c r="AH174" i="15" s="1"/>
  <c r="AG174" i="15" s="1"/>
  <c r="AF174" i="15" s="1"/>
  <c r="AI214" i="15"/>
  <c r="AH214" i="15" s="1"/>
  <c r="AG214" i="15" s="1"/>
  <c r="AF214" i="15" s="1"/>
  <c r="AI347" i="15"/>
  <c r="AH347" i="15" s="1"/>
  <c r="AG347" i="15" s="1"/>
  <c r="AF347" i="15" s="1"/>
  <c r="AI302" i="15"/>
  <c r="AH302" i="15" s="1"/>
  <c r="AG302" i="15" s="1"/>
  <c r="AF302" i="15" s="1"/>
  <c r="AI104" i="15"/>
  <c r="AH104" i="15" s="1"/>
  <c r="AG104" i="15" s="1"/>
  <c r="AF104" i="15" s="1"/>
  <c r="AI32" i="15"/>
  <c r="AH32" i="15" s="1"/>
  <c r="AG32" i="15" s="1"/>
  <c r="AF32" i="15" s="1"/>
  <c r="AI41" i="15"/>
  <c r="AH41" i="15" s="1"/>
  <c r="AG41" i="15" s="1"/>
  <c r="AF41" i="15" s="1"/>
  <c r="AI335" i="15"/>
  <c r="AH335" i="15" s="1"/>
  <c r="AG335" i="15" s="1"/>
  <c r="AF335" i="15" s="1"/>
  <c r="AI107" i="15"/>
  <c r="AH107" i="15" s="1"/>
  <c r="AG107" i="15" s="1"/>
  <c r="AF107" i="15" s="1"/>
  <c r="AI240" i="15"/>
  <c r="AH240" i="15" s="1"/>
  <c r="AG240" i="15" s="1"/>
  <c r="AF240" i="15" s="1"/>
  <c r="AI344" i="15"/>
  <c r="AH344" i="15" s="1"/>
  <c r="AG344" i="15" s="1"/>
  <c r="AF344" i="15" s="1"/>
  <c r="AI250" i="15"/>
  <c r="AH250" i="15" s="1"/>
  <c r="AG250" i="15" s="1"/>
  <c r="AF250" i="15" s="1"/>
  <c r="AI58" i="15"/>
  <c r="AH58" i="15" s="1"/>
  <c r="AG58" i="15" s="1"/>
  <c r="AF58" i="15" s="1"/>
  <c r="AI295" i="15"/>
  <c r="AH295" i="15" s="1"/>
  <c r="AG295" i="15" s="1"/>
  <c r="AF295" i="15" s="1"/>
  <c r="AI238" i="15"/>
  <c r="AH238" i="15" s="1"/>
  <c r="AG238" i="15" s="1"/>
  <c r="AF238" i="15" s="1"/>
  <c r="AI36" i="15"/>
  <c r="AH36" i="15" s="1"/>
  <c r="AG36" i="15" s="1"/>
  <c r="AF36" i="15" s="1"/>
  <c r="AI118" i="15"/>
  <c r="AH118" i="15" s="1"/>
  <c r="AG118" i="15" s="1"/>
  <c r="AF118" i="15" s="1"/>
  <c r="AI159" i="15"/>
  <c r="AH159" i="15" s="1"/>
  <c r="AG159" i="15" s="1"/>
  <c r="AF159" i="15" s="1"/>
  <c r="AI24" i="15"/>
  <c r="AH24" i="15" s="1"/>
  <c r="AG24" i="15" s="1"/>
  <c r="AF24" i="15" s="1"/>
  <c r="AI364" i="15"/>
  <c r="AH364" i="15" s="1"/>
  <c r="AG364" i="15" s="1"/>
  <c r="AF364" i="15" s="1"/>
  <c r="AI99" i="15"/>
  <c r="AH99" i="15" s="1"/>
  <c r="AG99" i="15" s="1"/>
  <c r="AF99" i="15" s="1"/>
  <c r="AI276" i="15"/>
  <c r="AH276" i="15" s="1"/>
  <c r="AG276" i="15" s="1"/>
  <c r="AF276" i="15" s="1"/>
  <c r="AI170" i="15"/>
  <c r="AH170" i="15" s="1"/>
  <c r="AG170" i="15" s="1"/>
  <c r="AF170" i="15" s="1"/>
  <c r="AI258" i="15"/>
  <c r="AH258" i="15" s="1"/>
  <c r="AG258" i="15" s="1"/>
  <c r="AF258" i="15" s="1"/>
  <c r="AI284" i="15"/>
  <c r="AH284" i="15" s="1"/>
  <c r="AG284" i="15" s="1"/>
  <c r="AF284" i="15" s="1"/>
  <c r="AI247" i="15"/>
  <c r="AH247" i="15" s="1"/>
  <c r="AG247" i="15" s="1"/>
  <c r="AF247" i="15" s="1"/>
  <c r="AI35" i="15"/>
  <c r="AH35" i="15" s="1"/>
  <c r="AG35" i="15" s="1"/>
  <c r="AF35" i="15" s="1"/>
  <c r="AI126" i="15"/>
  <c r="AH126" i="15" s="1"/>
  <c r="AG126" i="15" s="1"/>
  <c r="AF126" i="15" s="1"/>
  <c r="U281" i="15"/>
  <c r="T281" i="15" s="1"/>
  <c r="S281" i="15" s="1"/>
  <c r="R281" i="15" s="1"/>
  <c r="U197" i="15"/>
  <c r="T197" i="15" s="1"/>
  <c r="S197" i="15" s="1"/>
  <c r="R197" i="15" s="1"/>
  <c r="U27" i="15"/>
  <c r="T27" i="15" s="1"/>
  <c r="S27" i="15" s="1"/>
  <c r="R27" i="15" s="1"/>
  <c r="U45" i="15"/>
  <c r="T45" i="15" s="1"/>
  <c r="S45" i="15" s="1"/>
  <c r="R45" i="15" s="1"/>
  <c r="U310" i="15"/>
  <c r="T310" i="15" s="1"/>
  <c r="S310" i="15" s="1"/>
  <c r="R310" i="15" s="1"/>
  <c r="U193" i="15"/>
  <c r="T193" i="15" s="1"/>
  <c r="S193" i="15" s="1"/>
  <c r="R193" i="15" s="1"/>
  <c r="U155" i="15"/>
  <c r="T155" i="15" s="1"/>
  <c r="S155" i="15" s="1"/>
  <c r="R155" i="15" s="1"/>
  <c r="U147" i="15"/>
  <c r="T147" i="15" s="1"/>
  <c r="S147" i="15" s="1"/>
  <c r="R147" i="15" s="1"/>
  <c r="U261" i="15"/>
  <c r="T261" i="15" s="1"/>
  <c r="S261" i="15" s="1"/>
  <c r="R261" i="15" s="1"/>
  <c r="U42" i="15"/>
  <c r="T42" i="15" s="1"/>
  <c r="S42" i="15" s="1"/>
  <c r="R42" i="15" s="1"/>
  <c r="U265" i="15"/>
  <c r="T265" i="15" s="1"/>
  <c r="S265" i="15" s="1"/>
  <c r="R265" i="15" s="1"/>
  <c r="U274" i="15"/>
  <c r="T274" i="15" s="1"/>
  <c r="S274" i="15" s="1"/>
  <c r="R274" i="15" s="1"/>
  <c r="U76" i="15"/>
  <c r="T76" i="15" s="1"/>
  <c r="S76" i="15" s="1"/>
  <c r="R76" i="15" s="1"/>
  <c r="U126" i="15"/>
  <c r="T126" i="15" s="1"/>
  <c r="S126" i="15" s="1"/>
  <c r="R126" i="15" s="1"/>
  <c r="U348" i="15"/>
  <c r="T348" i="15" s="1"/>
  <c r="S348" i="15" s="1"/>
  <c r="R348" i="15" s="1"/>
  <c r="U316" i="15"/>
  <c r="T316" i="15" s="1"/>
  <c r="S316" i="15" s="1"/>
  <c r="R316" i="15" s="1"/>
  <c r="U165" i="15"/>
  <c r="T165" i="15" s="1"/>
  <c r="S165" i="15" s="1"/>
  <c r="R165" i="15" s="1"/>
  <c r="U170" i="15"/>
  <c r="T170" i="15" s="1"/>
  <c r="S170" i="15" s="1"/>
  <c r="R170" i="15" s="1"/>
  <c r="U163" i="15"/>
  <c r="T163" i="15" s="1"/>
  <c r="S163" i="15" s="1"/>
  <c r="R163" i="15" s="1"/>
  <c r="U50" i="15"/>
  <c r="T50" i="15" s="1"/>
  <c r="S50" i="15" s="1"/>
  <c r="R50" i="15" s="1"/>
  <c r="U133" i="15"/>
  <c r="T133" i="15" s="1"/>
  <c r="S133" i="15" s="1"/>
  <c r="R133" i="15" s="1"/>
  <c r="U200" i="15"/>
  <c r="T200" i="15" s="1"/>
  <c r="S200" i="15" s="1"/>
  <c r="R200" i="15" s="1"/>
  <c r="U177" i="15"/>
  <c r="T177" i="15" s="1"/>
  <c r="S177" i="15" s="1"/>
  <c r="R177" i="15" s="1"/>
  <c r="U52" i="15"/>
  <c r="T52" i="15" s="1"/>
  <c r="S52" i="15" s="1"/>
  <c r="R52" i="15" s="1"/>
  <c r="U125" i="15"/>
  <c r="T125" i="15" s="1"/>
  <c r="S125" i="15" s="1"/>
  <c r="R125" i="15" s="1"/>
  <c r="U276" i="15"/>
  <c r="T276" i="15" s="1"/>
  <c r="S276" i="15" s="1"/>
  <c r="R276" i="15" s="1"/>
  <c r="U322" i="15"/>
  <c r="T322" i="15" s="1"/>
  <c r="S322" i="15" s="1"/>
  <c r="R322" i="15" s="1"/>
  <c r="U365" i="15"/>
  <c r="T365" i="15" s="1"/>
  <c r="S365" i="15" s="1"/>
  <c r="R365" i="15" s="1"/>
  <c r="U229" i="15"/>
  <c r="T229" i="15" s="1"/>
  <c r="S229" i="15" s="1"/>
  <c r="R229" i="15" s="1"/>
  <c r="U134" i="15"/>
  <c r="T134" i="15" s="1"/>
  <c r="S134" i="15" s="1"/>
  <c r="R134" i="15" s="1"/>
  <c r="U86" i="15"/>
  <c r="T86" i="15" s="1"/>
  <c r="S86" i="15" s="1"/>
  <c r="R86" i="15" s="1"/>
  <c r="U320" i="15"/>
  <c r="T320" i="15" s="1"/>
  <c r="S320" i="15" s="1"/>
  <c r="R320" i="15" s="1"/>
  <c r="P186" i="1"/>
  <c r="V186" i="1" s="1"/>
  <c r="F186" i="1" s="1"/>
  <c r="U172" i="15"/>
  <c r="T172" i="15" s="1"/>
  <c r="S172" i="15" s="1"/>
  <c r="R172" i="15" s="1"/>
  <c r="U247" i="15"/>
  <c r="T247" i="15" s="1"/>
  <c r="S247" i="15" s="1"/>
  <c r="R247" i="15" s="1"/>
  <c r="U252" i="15"/>
  <c r="T252" i="15" s="1"/>
  <c r="S252" i="15" s="1"/>
  <c r="R252" i="15" s="1"/>
  <c r="AI267" i="15"/>
  <c r="AH267" i="15" s="1"/>
  <c r="AG267" i="15" s="1"/>
  <c r="AF267" i="15" s="1"/>
  <c r="AI87" i="15"/>
  <c r="AH87" i="15" s="1"/>
  <c r="AG87" i="15" s="1"/>
  <c r="AF87" i="15" s="1"/>
  <c r="AI136" i="15"/>
  <c r="AH136" i="15" s="1"/>
  <c r="AG136" i="15" s="1"/>
  <c r="AF136" i="15" s="1"/>
  <c r="AI203" i="15"/>
  <c r="AH203" i="15" s="1"/>
  <c r="AG203" i="15" s="1"/>
  <c r="AF203" i="15" s="1"/>
  <c r="AI66" i="15"/>
  <c r="AH66" i="15" s="1"/>
  <c r="AG66" i="15" s="1"/>
  <c r="AF66" i="15" s="1"/>
  <c r="AI154" i="15"/>
  <c r="AH154" i="15" s="1"/>
  <c r="AG154" i="15" s="1"/>
  <c r="AF154" i="15" s="1"/>
  <c r="AI286" i="15"/>
  <c r="AH286" i="15" s="1"/>
  <c r="AG286" i="15" s="1"/>
  <c r="AF286" i="15" s="1"/>
  <c r="AI357" i="15"/>
  <c r="AH357" i="15" s="1"/>
  <c r="AG357" i="15" s="1"/>
  <c r="AF357" i="15" s="1"/>
  <c r="AI83" i="15"/>
  <c r="AH83" i="15" s="1"/>
  <c r="AG83" i="15" s="1"/>
  <c r="AF83" i="15" s="1"/>
  <c r="AI146" i="15"/>
  <c r="AH146" i="15" s="1"/>
  <c r="AG146" i="15" s="1"/>
  <c r="AF146" i="15" s="1"/>
  <c r="AI18" i="15"/>
  <c r="AH18" i="15" s="1"/>
  <c r="AG18" i="15" s="1"/>
  <c r="AF18" i="15" s="1"/>
  <c r="AI80" i="15"/>
  <c r="AH80" i="15" s="1"/>
  <c r="AG80" i="15" s="1"/>
  <c r="AF80" i="15" s="1"/>
  <c r="AI219" i="15"/>
  <c r="AH219" i="15" s="1"/>
  <c r="AG219" i="15" s="1"/>
  <c r="AF219" i="15" s="1"/>
  <c r="AI88" i="15"/>
  <c r="AH88" i="15" s="1"/>
  <c r="AG88" i="15" s="1"/>
  <c r="AF88" i="15" s="1"/>
  <c r="AI348" i="15"/>
  <c r="AH348" i="15" s="1"/>
  <c r="AG348" i="15" s="1"/>
  <c r="AF348" i="15" s="1"/>
  <c r="AI145" i="15"/>
  <c r="AH145" i="15" s="1"/>
  <c r="AG145" i="15" s="1"/>
  <c r="AF145" i="15" s="1"/>
  <c r="AI168" i="15"/>
  <c r="AH168" i="15" s="1"/>
  <c r="AG168" i="15" s="1"/>
  <c r="AF168" i="15" s="1"/>
  <c r="AI307" i="15"/>
  <c r="AH307" i="15" s="1"/>
  <c r="AG307" i="15" s="1"/>
  <c r="AF307" i="15" s="1"/>
  <c r="AI320" i="15"/>
  <c r="AH320" i="15" s="1"/>
  <c r="AG320" i="15" s="1"/>
  <c r="AF320" i="15" s="1"/>
  <c r="AI175" i="15"/>
  <c r="AH175" i="15" s="1"/>
  <c r="AG175" i="15" s="1"/>
  <c r="AF175" i="15" s="1"/>
  <c r="AI46" i="15"/>
  <c r="AH46" i="15" s="1"/>
  <c r="AG46" i="15" s="1"/>
  <c r="AF46" i="15" s="1"/>
  <c r="AI169" i="15"/>
  <c r="AH169" i="15" s="1"/>
  <c r="AG169" i="15" s="1"/>
  <c r="AF169" i="15" s="1"/>
  <c r="AI328" i="15"/>
  <c r="AH328" i="15" s="1"/>
  <c r="AG328" i="15" s="1"/>
  <c r="AF328" i="15" s="1"/>
  <c r="AI167" i="15"/>
  <c r="AH167" i="15" s="1"/>
  <c r="AG167" i="15" s="1"/>
  <c r="AF167" i="15" s="1"/>
  <c r="AI229" i="15"/>
  <c r="AH229" i="15" s="1"/>
  <c r="AG229" i="15" s="1"/>
  <c r="AF229" i="15" s="1"/>
  <c r="AI261" i="15"/>
  <c r="AH261" i="15" s="1"/>
  <c r="AG261" i="15" s="1"/>
  <c r="AF261" i="15" s="1"/>
  <c r="AI305" i="15"/>
  <c r="AH305" i="15" s="1"/>
  <c r="AG305" i="15" s="1"/>
  <c r="AF305" i="15" s="1"/>
  <c r="AI138" i="15"/>
  <c r="AH138" i="15" s="1"/>
  <c r="AG138" i="15" s="1"/>
  <c r="AF138" i="15" s="1"/>
  <c r="AI63" i="15"/>
  <c r="AH63" i="15" s="1"/>
  <c r="AG63" i="15" s="1"/>
  <c r="AF63" i="15" s="1"/>
  <c r="AI185" i="15"/>
  <c r="AH185" i="15" s="1"/>
  <c r="AG185" i="15" s="1"/>
  <c r="AF185" i="15" s="1"/>
  <c r="AI353" i="15"/>
  <c r="AH353" i="15" s="1"/>
  <c r="AG353" i="15" s="1"/>
  <c r="AF353" i="15" s="1"/>
  <c r="AI103" i="15"/>
  <c r="AH103" i="15" s="1"/>
  <c r="AG103" i="15" s="1"/>
  <c r="AF103" i="15" s="1"/>
  <c r="AI371" i="15"/>
  <c r="AH371" i="15" s="1"/>
  <c r="AG371" i="15" s="1"/>
  <c r="AF371" i="15" s="1"/>
  <c r="AI242" i="15"/>
  <c r="AH242" i="15" s="1"/>
  <c r="AG242" i="15" s="1"/>
  <c r="AF242" i="15" s="1"/>
  <c r="AI97" i="15"/>
  <c r="AH97" i="15" s="1"/>
  <c r="AG97" i="15" s="1"/>
  <c r="AF97" i="15" s="1"/>
  <c r="AI55" i="15"/>
  <c r="AH55" i="15" s="1"/>
  <c r="AG55" i="15" s="1"/>
  <c r="AF55" i="15" s="1"/>
  <c r="AI265" i="15"/>
  <c r="AH265" i="15" s="1"/>
  <c r="AG265" i="15" s="1"/>
  <c r="AF265" i="15" s="1"/>
  <c r="AI15" i="15"/>
  <c r="AH15" i="15" s="1"/>
  <c r="AI95" i="15"/>
  <c r="AH95" i="15" s="1"/>
  <c r="AG95" i="15" s="1"/>
  <c r="AF95" i="15" s="1"/>
  <c r="AI53" i="15"/>
  <c r="AH53" i="15" s="1"/>
  <c r="AG53" i="15" s="1"/>
  <c r="AF53" i="15" s="1"/>
  <c r="AI279" i="15"/>
  <c r="AH279" i="15" s="1"/>
  <c r="AG279" i="15" s="1"/>
  <c r="AF279" i="15" s="1"/>
  <c r="AI290" i="15"/>
  <c r="AH290" i="15" s="1"/>
  <c r="AG290" i="15" s="1"/>
  <c r="AF290" i="15" s="1"/>
  <c r="AI160" i="15"/>
  <c r="AH160" i="15" s="1"/>
  <c r="AG160" i="15" s="1"/>
  <c r="AF160" i="15" s="1"/>
  <c r="AI120" i="15"/>
  <c r="AH120" i="15" s="1"/>
  <c r="AG120" i="15" s="1"/>
  <c r="AF120" i="15" s="1"/>
  <c r="AI375" i="15"/>
  <c r="AH375" i="15" s="1"/>
  <c r="AG375" i="15" s="1"/>
  <c r="AF375" i="15" s="1"/>
  <c r="AI304" i="15"/>
  <c r="AH304" i="15" s="1"/>
  <c r="AG304" i="15" s="1"/>
  <c r="AF304" i="15" s="1"/>
  <c r="AI340" i="15"/>
  <c r="AH340" i="15" s="1"/>
  <c r="AG340" i="15" s="1"/>
  <c r="AF340" i="15" s="1"/>
  <c r="AI366" i="15"/>
  <c r="AH366" i="15" s="1"/>
  <c r="AG366" i="15" s="1"/>
  <c r="AF366" i="15" s="1"/>
  <c r="AI213" i="15"/>
  <c r="AH213" i="15" s="1"/>
  <c r="AG213" i="15" s="1"/>
  <c r="AF213" i="15" s="1"/>
  <c r="AI327" i="15"/>
  <c r="AH327" i="15" s="1"/>
  <c r="AG327" i="15" s="1"/>
  <c r="AF327" i="15" s="1"/>
  <c r="AI131" i="15"/>
  <c r="AH131" i="15" s="1"/>
  <c r="AG131" i="15" s="1"/>
  <c r="AF131" i="15" s="1"/>
  <c r="AI110" i="15"/>
  <c r="AH110" i="15" s="1"/>
  <c r="AG110" i="15" s="1"/>
  <c r="AF110" i="15" s="1"/>
  <c r="AI199" i="15"/>
  <c r="AH199" i="15" s="1"/>
  <c r="AG199" i="15" s="1"/>
  <c r="AF199" i="15" s="1"/>
  <c r="AI291" i="15"/>
  <c r="AH291" i="15" s="1"/>
  <c r="AG291" i="15" s="1"/>
  <c r="AF291" i="15" s="1"/>
  <c r="AI137" i="15"/>
  <c r="AH137" i="15" s="1"/>
  <c r="AG137" i="15" s="1"/>
  <c r="AF137" i="15" s="1"/>
  <c r="AI91" i="15"/>
  <c r="AH91" i="15" s="1"/>
  <c r="AG91" i="15" s="1"/>
  <c r="AF91" i="15" s="1"/>
  <c r="AI377" i="15"/>
  <c r="AH377" i="15" s="1"/>
  <c r="AG377" i="15" s="1"/>
  <c r="AF377" i="15" s="1"/>
  <c r="AI89" i="15"/>
  <c r="AH89" i="15" s="1"/>
  <c r="AG89" i="15" s="1"/>
  <c r="AF89" i="15" s="1"/>
  <c r="AI248" i="15"/>
  <c r="AH248" i="15" s="1"/>
  <c r="AG248" i="15" s="1"/>
  <c r="AF248" i="15" s="1"/>
  <c r="AI273" i="15"/>
  <c r="AH273" i="15" s="1"/>
  <c r="AG273" i="15" s="1"/>
  <c r="AF273" i="15" s="1"/>
  <c r="AI227" i="15"/>
  <c r="AH227" i="15" s="1"/>
  <c r="AG227" i="15" s="1"/>
  <c r="AF227" i="15" s="1"/>
  <c r="AI183" i="15"/>
  <c r="AH183" i="15" s="1"/>
  <c r="AG183" i="15" s="1"/>
  <c r="AF183" i="15" s="1"/>
  <c r="AI152" i="15"/>
  <c r="AH152" i="15" s="1"/>
  <c r="AG152" i="15" s="1"/>
  <c r="AF152" i="15" s="1"/>
  <c r="AI105" i="15"/>
  <c r="AH105" i="15" s="1"/>
  <c r="AG105" i="15" s="1"/>
  <c r="AF105" i="15" s="1"/>
  <c r="AI176" i="15"/>
  <c r="AH176" i="15" s="1"/>
  <c r="AG176" i="15" s="1"/>
  <c r="AF176" i="15" s="1"/>
  <c r="AI230" i="15"/>
  <c r="AH230" i="15" s="1"/>
  <c r="AG230" i="15" s="1"/>
  <c r="AF230" i="15" s="1"/>
  <c r="AI339" i="15"/>
  <c r="AH339" i="15" s="1"/>
  <c r="AG339" i="15" s="1"/>
  <c r="AF339" i="15" s="1"/>
  <c r="AI165" i="15"/>
  <c r="AH165" i="15" s="1"/>
  <c r="AG165" i="15" s="1"/>
  <c r="AF165" i="15" s="1"/>
  <c r="AI180" i="15"/>
  <c r="AH180" i="15" s="1"/>
  <c r="AG180" i="15" s="1"/>
  <c r="AF180" i="15" s="1"/>
  <c r="AI77" i="15"/>
  <c r="AH77" i="15" s="1"/>
  <c r="AG77" i="15" s="1"/>
  <c r="AF77" i="15" s="1"/>
  <c r="AI336" i="15"/>
  <c r="AH336" i="15" s="1"/>
  <c r="AG336" i="15" s="1"/>
  <c r="AF336" i="15" s="1"/>
  <c r="AD336" i="15" s="1"/>
  <c r="AI179" i="15"/>
  <c r="AH179" i="15" s="1"/>
  <c r="AG179" i="15" s="1"/>
  <c r="AF179" i="15" s="1"/>
  <c r="AI164" i="15"/>
  <c r="AH164" i="15" s="1"/>
  <c r="AG164" i="15" s="1"/>
  <c r="AF164" i="15" s="1"/>
  <c r="AI306" i="15"/>
  <c r="AH306" i="15" s="1"/>
  <c r="AG306" i="15" s="1"/>
  <c r="AF306" i="15" s="1"/>
  <c r="AI47" i="15"/>
  <c r="AH47" i="15" s="1"/>
  <c r="AG47" i="15" s="1"/>
  <c r="AF47" i="15" s="1"/>
  <c r="AI246" i="15"/>
  <c r="AH246" i="15" s="1"/>
  <c r="AG246" i="15" s="1"/>
  <c r="AF246" i="15" s="1"/>
  <c r="AI350" i="15"/>
  <c r="AH350" i="15" s="1"/>
  <c r="AG350" i="15" s="1"/>
  <c r="AF350" i="15" s="1"/>
  <c r="AI67" i="15"/>
  <c r="AH67" i="15" s="1"/>
  <c r="AG67" i="15" s="1"/>
  <c r="AF67" i="15" s="1"/>
  <c r="AI54" i="15"/>
  <c r="AH54" i="15" s="1"/>
  <c r="AG54" i="15" s="1"/>
  <c r="AF54" i="15" s="1"/>
  <c r="AI376" i="15"/>
  <c r="AH376" i="15" s="1"/>
  <c r="AG376" i="15" s="1"/>
  <c r="AF376" i="15" s="1"/>
  <c r="AI72" i="15"/>
  <c r="AH72" i="15" s="1"/>
  <c r="AG72" i="15" s="1"/>
  <c r="AF72" i="15" s="1"/>
  <c r="AI61" i="15"/>
  <c r="AH61" i="15" s="1"/>
  <c r="AG61" i="15" s="1"/>
  <c r="AF61" i="15" s="1"/>
  <c r="P370" i="1"/>
  <c r="V370" i="1" s="1"/>
  <c r="F370" i="1" s="1"/>
  <c r="I370" i="1" s="1"/>
  <c r="P331" i="1"/>
  <c r="V331" i="1" s="1"/>
  <c r="F331" i="1" s="1"/>
  <c r="G331" i="1" s="1"/>
  <c r="BW331" i="6" s="1"/>
  <c r="AD347" i="1"/>
  <c r="AD58" i="1"/>
  <c r="AA58" i="1" s="1"/>
  <c r="Z58" i="1" s="1"/>
  <c r="Y58" i="1" s="1"/>
  <c r="P140" i="1"/>
  <c r="V140" i="1" s="1"/>
  <c r="P297" i="1"/>
  <c r="V297" i="1" s="1"/>
  <c r="F297" i="1" s="1"/>
  <c r="AD34" i="1"/>
  <c r="O354" i="18"/>
  <c r="O15" i="18"/>
  <c r="P13" i="7"/>
  <c r="Q13" i="7"/>
  <c r="P284" i="15"/>
  <c r="P120" i="15"/>
  <c r="P376" i="15"/>
  <c r="P136" i="15"/>
  <c r="P210" i="15"/>
  <c r="D38" i="7" s="1"/>
  <c r="P204" i="15"/>
  <c r="P97" i="15"/>
  <c r="P249" i="15"/>
  <c r="P223" i="15"/>
  <c r="AD40" i="15"/>
  <c r="AD128" i="15"/>
  <c r="AD148" i="15"/>
  <c r="AD241" i="15"/>
  <c r="AD319" i="15"/>
  <c r="AD156" i="15"/>
  <c r="AD368" i="15"/>
  <c r="AD215" i="15"/>
  <c r="AD259" i="15"/>
  <c r="AD237" i="15"/>
  <c r="AD93" i="15"/>
  <c r="P225" i="15"/>
  <c r="P175" i="15"/>
  <c r="P317" i="15"/>
  <c r="P128" i="15"/>
  <c r="P102" i="15"/>
  <c r="AD72" i="15"/>
  <c r="AM11" i="7"/>
  <c r="Q11" i="22" s="1"/>
  <c r="P24" i="15"/>
  <c r="P213" i="15"/>
  <c r="P282" i="15"/>
  <c r="P326" i="15"/>
  <c r="P114" i="15"/>
  <c r="P67" i="15"/>
  <c r="P186" i="15"/>
  <c r="P69" i="15"/>
  <c r="P283" i="15"/>
  <c r="P333" i="15"/>
  <c r="D42" i="7" s="1"/>
  <c r="P273" i="15"/>
  <c r="P83" i="15"/>
  <c r="P173" i="15"/>
  <c r="P138" i="15"/>
  <c r="AD69" i="15"/>
  <c r="AD68" i="15"/>
  <c r="AD269" i="15"/>
  <c r="AD190" i="15"/>
  <c r="AD282" i="15"/>
  <c r="AD178" i="15"/>
  <c r="AD173" i="15"/>
  <c r="AD143" i="15"/>
  <c r="P372" i="15"/>
  <c r="P330" i="15"/>
  <c r="P38" i="15"/>
  <c r="P91" i="15"/>
  <c r="P364" i="15"/>
  <c r="P248" i="15"/>
  <c r="P169" i="15"/>
  <c r="AD45" i="15"/>
  <c r="AD330" i="15"/>
  <c r="AD169" i="15"/>
  <c r="P219" i="1"/>
  <c r="V219" i="1" s="1"/>
  <c r="F219" i="1" s="1"/>
  <c r="G219" i="1" s="1"/>
  <c r="BW219" i="6" s="1"/>
  <c r="AD372" i="1"/>
  <c r="AA372" i="1" s="1"/>
  <c r="Z372" i="1" s="1"/>
  <c r="Y372" i="1" s="1"/>
  <c r="P337" i="1"/>
  <c r="P265" i="1"/>
  <c r="V265" i="1" s="1"/>
  <c r="F265" i="1" s="1"/>
  <c r="G265" i="1" s="1"/>
  <c r="BW265" i="6" s="1"/>
  <c r="AZ273" i="6"/>
  <c r="AZ257" i="6"/>
  <c r="AZ221" i="6"/>
  <c r="AZ375" i="6"/>
  <c r="AZ242" i="6"/>
  <c r="AZ223" i="6"/>
  <c r="AZ269" i="6"/>
  <c r="AZ233" i="6"/>
  <c r="P58" i="15"/>
  <c r="P74" i="15"/>
  <c r="P65" i="15"/>
  <c r="P297" i="15"/>
  <c r="P85" i="15"/>
  <c r="P46" i="15"/>
  <c r="P156" i="15"/>
  <c r="P108" i="15"/>
  <c r="P367" i="15"/>
  <c r="P187" i="15"/>
  <c r="P260" i="15"/>
  <c r="P116" i="15"/>
  <c r="P224" i="15"/>
  <c r="P293" i="15"/>
  <c r="AD283" i="15"/>
  <c r="AD352" i="15"/>
  <c r="AD133" i="15"/>
  <c r="AD223" i="15"/>
  <c r="AD189" i="15"/>
  <c r="AD252" i="15"/>
  <c r="AD166" i="15"/>
  <c r="AD251" i="15"/>
  <c r="AD197" i="15"/>
  <c r="P99" i="15"/>
  <c r="P152" i="15"/>
  <c r="P331" i="15"/>
  <c r="AD101" i="15"/>
  <c r="AD194" i="15"/>
  <c r="AD44" i="15"/>
  <c r="AD90" i="15"/>
  <c r="AD345" i="1"/>
  <c r="AD136" i="1"/>
  <c r="AA136" i="1" s="1"/>
  <c r="Z136" i="1" s="1"/>
  <c r="Y136" i="1" s="1"/>
  <c r="AD135" i="1"/>
  <c r="AA135" i="1" s="1"/>
  <c r="Z135" i="1" s="1"/>
  <c r="Y135" i="1" s="1"/>
  <c r="P130" i="15"/>
  <c r="P48" i="15"/>
  <c r="P179" i="15"/>
  <c r="P241" i="15"/>
  <c r="D39" i="7" s="1"/>
  <c r="P363" i="15"/>
  <c r="D43" i="7" s="1"/>
  <c r="P329" i="15"/>
  <c r="P196" i="15"/>
  <c r="P269" i="15"/>
  <c r="P148" i="15"/>
  <c r="P63" i="15"/>
  <c r="P106" i="15"/>
  <c r="P309" i="15"/>
  <c r="P287" i="15"/>
  <c r="P79" i="15"/>
  <c r="P107" i="15"/>
  <c r="P149" i="15"/>
  <c r="D36" i="7" s="1"/>
  <c r="P262" i="15"/>
  <c r="P100" i="15"/>
  <c r="P112" i="15"/>
  <c r="P209" i="15"/>
  <c r="P162" i="15"/>
  <c r="P43" i="15"/>
  <c r="P324" i="15"/>
  <c r="AD326" i="15"/>
  <c r="AD114" i="15"/>
  <c r="AD141" i="15"/>
  <c r="AD50" i="15"/>
  <c r="AD205" i="15"/>
  <c r="AD365" i="15"/>
  <c r="AD360" i="15"/>
  <c r="AD96" i="15"/>
  <c r="AD324" i="15"/>
  <c r="AD333" i="15"/>
  <c r="AD337" i="15"/>
  <c r="AD210" i="15"/>
  <c r="AD193" i="15"/>
  <c r="AD209" i="15"/>
  <c r="P87" i="15"/>
  <c r="P129" i="15"/>
  <c r="P344" i="15"/>
  <c r="P219" i="15"/>
  <c r="P40" i="15"/>
  <c r="P32" i="15"/>
  <c r="AK3" i="17"/>
  <c r="Q14" i="19" s="1"/>
  <c r="O23" i="15"/>
  <c r="O99" i="15"/>
  <c r="E99" i="15" s="1"/>
  <c r="O161" i="15"/>
  <c r="E161" i="15" s="1"/>
  <c r="O303" i="15"/>
  <c r="E303" i="15" s="1"/>
  <c r="O378" i="15"/>
  <c r="E378" i="15" s="1"/>
  <c r="O322" i="15"/>
  <c r="E322" i="15" s="1"/>
  <c r="O20" i="15"/>
  <c r="E20" i="15" s="1"/>
  <c r="O72" i="15"/>
  <c r="E72" i="15" s="1"/>
  <c r="O102" i="15"/>
  <c r="E102" i="15" s="1"/>
  <c r="O127" i="15"/>
  <c r="E127" i="15" s="1"/>
  <c r="O141" i="15"/>
  <c r="E141" i="15" s="1"/>
  <c r="O287" i="15"/>
  <c r="E287" i="15" s="1"/>
  <c r="O364" i="15"/>
  <c r="E364" i="15" s="1"/>
  <c r="O313" i="15"/>
  <c r="E313" i="15" s="1"/>
  <c r="O360" i="15"/>
  <c r="E360" i="15" s="1"/>
  <c r="O285" i="15"/>
  <c r="E285" i="15" s="1"/>
  <c r="O311" i="15"/>
  <c r="E311" i="15" s="1"/>
  <c r="O278" i="15"/>
  <c r="E278" i="15" s="1"/>
  <c r="O332" i="15"/>
  <c r="O22" i="15"/>
  <c r="E22" i="15" s="1"/>
  <c r="O37" i="15"/>
  <c r="E37" i="15" s="1"/>
  <c r="O379" i="15"/>
  <c r="O73" i="15"/>
  <c r="E73" i="15" s="1"/>
  <c r="O84" i="15"/>
  <c r="E84" i="15" s="1"/>
  <c r="O101" i="15"/>
  <c r="E101" i="15" s="1"/>
  <c r="O156" i="15"/>
  <c r="E156" i="15" s="1"/>
  <c r="O185" i="15"/>
  <c r="E185" i="15" s="1"/>
  <c r="O204" i="15"/>
  <c r="E204" i="15" s="1"/>
  <c r="O237" i="15"/>
  <c r="E237" i="15" s="1"/>
  <c r="O262" i="15"/>
  <c r="E262" i="15" s="1"/>
  <c r="O312" i="15"/>
  <c r="E312" i="15" s="1"/>
  <c r="O333" i="15"/>
  <c r="O57" i="15"/>
  <c r="E57" i="15" s="1"/>
  <c r="O60" i="15"/>
  <c r="O275" i="15"/>
  <c r="E275" i="15" s="1"/>
  <c r="O357" i="15"/>
  <c r="E357" i="15" s="1"/>
  <c r="O305" i="15"/>
  <c r="O351" i="15"/>
  <c r="E351" i="15" s="1"/>
  <c r="O135" i="15"/>
  <c r="E135" i="15" s="1"/>
  <c r="O190" i="15"/>
  <c r="E190" i="15" s="1"/>
  <c r="O247" i="15"/>
  <c r="E247" i="15" s="1"/>
  <c r="O227" i="15"/>
  <c r="E227" i="15" s="1"/>
  <c r="O27" i="15"/>
  <c r="E27" i="15" s="1"/>
  <c r="O54" i="15"/>
  <c r="E54" i="15" s="1"/>
  <c r="O71" i="15"/>
  <c r="E71" i="15" s="1"/>
  <c r="O117" i="15"/>
  <c r="E117" i="15" s="1"/>
  <c r="O130" i="15"/>
  <c r="O188" i="15"/>
  <c r="E188" i="15" s="1"/>
  <c r="O243" i="15"/>
  <c r="E243" i="15" s="1"/>
  <c r="O224" i="15"/>
  <c r="E224" i="15" s="1"/>
  <c r="O299" i="15"/>
  <c r="E299" i="15" s="1"/>
  <c r="O95" i="15"/>
  <c r="E95" i="15" s="1"/>
  <c r="O154" i="15"/>
  <c r="E154" i="15" s="1"/>
  <c r="O167" i="15"/>
  <c r="E167" i="15" s="1"/>
  <c r="O216" i="15"/>
  <c r="E216" i="15" s="1"/>
  <c r="O182" i="15"/>
  <c r="E182" i="15" s="1"/>
  <c r="O272" i="15"/>
  <c r="O153" i="15"/>
  <c r="E153" i="15" s="1"/>
  <c r="O370" i="15"/>
  <c r="E370" i="15" s="1"/>
  <c r="O373" i="15"/>
  <c r="E373" i="15" s="1"/>
  <c r="O83" i="15"/>
  <c r="O131" i="15"/>
  <c r="E131" i="15" s="1"/>
  <c r="O45" i="15"/>
  <c r="E45" i="15" s="1"/>
  <c r="O291" i="15"/>
  <c r="E291" i="15" s="1"/>
  <c r="O315" i="15"/>
  <c r="E315" i="15" s="1"/>
  <c r="O343" i="15"/>
  <c r="E343" i="15" s="1"/>
  <c r="O240" i="15"/>
  <c r="E240" i="15" s="1"/>
  <c r="O49" i="15"/>
  <c r="E49" i="15" s="1"/>
  <c r="O100" i="15"/>
  <c r="E100" i="15" s="1"/>
  <c r="O138" i="15"/>
  <c r="E138" i="15" s="1"/>
  <c r="O250" i="15"/>
  <c r="O306" i="15"/>
  <c r="E306" i="15" s="1"/>
  <c r="O162" i="15"/>
  <c r="E162" i="15" s="1"/>
  <c r="O223" i="15"/>
  <c r="E223" i="15" s="1"/>
  <c r="O116" i="15"/>
  <c r="E116" i="15" s="1"/>
  <c r="O308" i="15"/>
  <c r="E308" i="15" s="1"/>
  <c r="O106" i="15"/>
  <c r="O21" i="15"/>
  <c r="E21" i="15" s="1"/>
  <c r="O326" i="15"/>
  <c r="E326" i="15" s="1"/>
  <c r="O172" i="15"/>
  <c r="E172" i="15" s="1"/>
  <c r="O196" i="15"/>
  <c r="E196" i="15" s="1"/>
  <c r="O81" i="15"/>
  <c r="E81" i="15" s="1"/>
  <c r="O109" i="15"/>
  <c r="E109" i="15" s="1"/>
  <c r="O184" i="15"/>
  <c r="E184" i="15" s="1"/>
  <c r="O215" i="15"/>
  <c r="E215" i="15" s="1"/>
  <c r="O125" i="15"/>
  <c r="E125" i="15" s="1"/>
  <c r="O160" i="15"/>
  <c r="E160" i="15" s="1"/>
  <c r="O265" i="15"/>
  <c r="E265" i="15" s="1"/>
  <c r="O170" i="15"/>
  <c r="E170" i="15" s="1"/>
  <c r="O40" i="15"/>
  <c r="E40" i="15" s="1"/>
  <c r="O149" i="15"/>
  <c r="O110" i="15"/>
  <c r="E110" i="15" s="1"/>
  <c r="O114" i="15"/>
  <c r="O325" i="15"/>
  <c r="E325" i="15" s="1"/>
  <c r="O335" i="15"/>
  <c r="E335" i="15" s="1"/>
  <c r="O56" i="15"/>
  <c r="E56" i="15" s="1"/>
  <c r="O143" i="15"/>
  <c r="E143" i="15" s="1"/>
  <c r="O300" i="15"/>
  <c r="E300" i="15" s="1"/>
  <c r="O321" i="15"/>
  <c r="O302" i="15"/>
  <c r="O290" i="15"/>
  <c r="O15" i="15"/>
  <c r="O58" i="15"/>
  <c r="O90" i="15"/>
  <c r="E90" i="15" s="1"/>
  <c r="O164" i="15"/>
  <c r="E164" i="15" s="1"/>
  <c r="O211" i="15"/>
  <c r="E211" i="15" s="1"/>
  <c r="O267" i="15"/>
  <c r="E267" i="15" s="1"/>
  <c r="O28" i="15"/>
  <c r="E28" i="15" s="1"/>
  <c r="O218" i="15"/>
  <c r="E218" i="15" s="1"/>
  <c r="O368" i="15"/>
  <c r="E368" i="15" s="1"/>
  <c r="O372" i="15"/>
  <c r="E372" i="15" s="1"/>
  <c r="O195" i="15"/>
  <c r="E195" i="15" s="1"/>
  <c r="O241" i="15"/>
  <c r="O87" i="15"/>
  <c r="E87" i="15" s="1"/>
  <c r="O133" i="15"/>
  <c r="E133" i="15" s="1"/>
  <c r="O201" i="15"/>
  <c r="E201" i="15" s="1"/>
  <c r="O238" i="15"/>
  <c r="E238" i="15" s="1"/>
  <c r="O108" i="15"/>
  <c r="E108" i="15" s="1"/>
  <c r="O183" i="15"/>
  <c r="E183" i="15" s="1"/>
  <c r="O214" i="15"/>
  <c r="E214" i="15" s="1"/>
  <c r="O255" i="15"/>
  <c r="E255" i="15" s="1"/>
  <c r="O24" i="15"/>
  <c r="E24" i="15" s="1"/>
  <c r="O279" i="15"/>
  <c r="E279" i="15" s="1"/>
  <c r="O330" i="15"/>
  <c r="E330" i="15" s="1"/>
  <c r="O158" i="15"/>
  <c r="E158" i="15" s="1"/>
  <c r="O70" i="15"/>
  <c r="E70" i="15" s="1"/>
  <c r="O169" i="15"/>
  <c r="O356" i="15"/>
  <c r="E356" i="15" s="1"/>
  <c r="O253" i="15"/>
  <c r="E253" i="15" s="1"/>
  <c r="O352" i="15"/>
  <c r="E352" i="15" s="1"/>
  <c r="O80" i="15"/>
  <c r="E80" i="15" s="1"/>
  <c r="O198" i="15"/>
  <c r="E198" i="15" s="1"/>
  <c r="O69" i="15"/>
  <c r="E69" i="15" s="1"/>
  <c r="O203" i="15"/>
  <c r="E203" i="15" s="1"/>
  <c r="O115" i="15"/>
  <c r="E115" i="15" s="1"/>
  <c r="O220" i="15"/>
  <c r="E220" i="15" s="1"/>
  <c r="O38" i="15"/>
  <c r="E38" i="15" s="1"/>
  <c r="O355" i="15"/>
  <c r="E355" i="15" s="1"/>
  <c r="O145" i="15"/>
  <c r="E145" i="15" s="1"/>
  <c r="O365" i="15"/>
  <c r="E365" i="15" s="1"/>
  <c r="O362" i="15"/>
  <c r="E362" i="15" s="1"/>
  <c r="O85" i="15"/>
  <c r="E85" i="15" s="1"/>
  <c r="O176" i="15"/>
  <c r="E176" i="15" s="1"/>
  <c r="O350" i="15"/>
  <c r="E350" i="15" s="1"/>
  <c r="O345" i="15"/>
  <c r="E345" i="15" s="1"/>
  <c r="O298" i="15"/>
  <c r="E298" i="15" s="1"/>
  <c r="O319" i="15"/>
  <c r="E319" i="15" s="1"/>
  <c r="O47" i="15"/>
  <c r="E47" i="15" s="1"/>
  <c r="I13" i="7"/>
  <c r="O10" i="7" s="1"/>
  <c r="O93" i="15"/>
  <c r="E93" i="15" s="1"/>
  <c r="O178" i="15"/>
  <c r="E178" i="15" s="1"/>
  <c r="O228" i="15"/>
  <c r="E228" i="15" s="1"/>
  <c r="O210" i="15"/>
  <c r="O35" i="15"/>
  <c r="E35" i="15" s="1"/>
  <c r="O249" i="15"/>
  <c r="O286" i="15"/>
  <c r="E286" i="15" s="1"/>
  <c r="O103" i="15"/>
  <c r="E103" i="15" s="1"/>
  <c r="O129" i="15"/>
  <c r="E129" i="15" s="1"/>
  <c r="O271" i="15"/>
  <c r="E271" i="15" s="1"/>
  <c r="O353" i="15"/>
  <c r="E353" i="15" s="1"/>
  <c r="O295" i="15"/>
  <c r="E295" i="15" s="1"/>
  <c r="O346" i="15"/>
  <c r="E346" i="15" s="1"/>
  <c r="O74" i="15"/>
  <c r="E74" i="15" s="1"/>
  <c r="O98" i="15"/>
  <c r="E98" i="15" s="1"/>
  <c r="O159" i="15"/>
  <c r="E159" i="15" s="1"/>
  <c r="O239" i="15"/>
  <c r="E239" i="15" s="1"/>
  <c r="O324" i="15"/>
  <c r="E324" i="15" s="1"/>
  <c r="O280" i="15"/>
  <c r="E280" i="15" s="1"/>
  <c r="O334" i="15"/>
  <c r="E334" i="15" s="1"/>
  <c r="O367" i="15"/>
  <c r="E367" i="15" s="1"/>
  <c r="O282" i="15"/>
  <c r="O361" i="15"/>
  <c r="E361" i="15" s="1"/>
  <c r="O309" i="15"/>
  <c r="E309" i="15" s="1"/>
  <c r="O354" i="15"/>
  <c r="E354" i="15" s="1"/>
  <c r="O359" i="15"/>
  <c r="E359" i="15" s="1"/>
  <c r="O67" i="15"/>
  <c r="E67" i="15" s="1"/>
  <c r="O94" i="15"/>
  <c r="E94" i="15" s="1"/>
  <c r="O36" i="15"/>
  <c r="E36" i="15" s="1"/>
  <c r="O82" i="15"/>
  <c r="E82" i="15" s="1"/>
  <c r="O55" i="15"/>
  <c r="E55" i="15" s="1"/>
  <c r="O171" i="15"/>
  <c r="E171" i="15" s="1"/>
  <c r="O197" i="15"/>
  <c r="E197" i="15" s="1"/>
  <c r="O221" i="15"/>
  <c r="E221" i="15" s="1"/>
  <c r="O251" i="15"/>
  <c r="E251" i="15" s="1"/>
  <c r="O194" i="15"/>
  <c r="E194" i="15" s="1"/>
  <c r="O320" i="15"/>
  <c r="E320" i="15" s="1"/>
  <c r="O34" i="15"/>
  <c r="E34" i="15" s="1"/>
  <c r="O30" i="15"/>
  <c r="E30" i="15" s="1"/>
  <c r="O232" i="15"/>
  <c r="E232" i="15" s="1"/>
  <c r="O307" i="15"/>
  <c r="E307" i="15" s="1"/>
  <c r="O273" i="15"/>
  <c r="E273" i="15" s="1"/>
  <c r="O328" i="15"/>
  <c r="E328" i="15" s="1"/>
  <c r="O29" i="15"/>
  <c r="O166" i="15"/>
  <c r="E166" i="15" s="1"/>
  <c r="O213" i="15"/>
  <c r="O268" i="15"/>
  <c r="E268" i="15" s="1"/>
  <c r="O59" i="15"/>
  <c r="E59" i="15" s="1"/>
  <c r="O53" i="15"/>
  <c r="E53" i="15" s="1"/>
  <c r="O86" i="15"/>
  <c r="E86" i="15" s="1"/>
  <c r="O128" i="15"/>
  <c r="E128" i="15" s="1"/>
  <c r="O148" i="15"/>
  <c r="E148" i="15" s="1"/>
  <c r="O163" i="15"/>
  <c r="E163" i="15" s="1"/>
  <c r="O208" i="15"/>
  <c r="E208" i="15" s="1"/>
  <c r="O266" i="15"/>
  <c r="E266" i="15" s="1"/>
  <c r="O259" i="15"/>
  <c r="E259" i="15" s="1"/>
  <c r="O349" i="15"/>
  <c r="E349" i="15" s="1"/>
  <c r="O124" i="15"/>
  <c r="E124" i="15" s="1"/>
  <c r="O137" i="15"/>
  <c r="E137" i="15" s="1"/>
  <c r="O191" i="15"/>
  <c r="E191" i="15" s="1"/>
  <c r="O248" i="15"/>
  <c r="E248" i="15" s="1"/>
  <c r="O229" i="15"/>
  <c r="E229" i="15" s="1"/>
  <c r="O92" i="15"/>
  <c r="E92" i="15" s="1"/>
  <c r="O297" i="15"/>
  <c r="O318" i="15"/>
  <c r="E318" i="15" s="1"/>
  <c r="O51" i="15"/>
  <c r="E51" i="15" s="1"/>
  <c r="O118" i="15"/>
  <c r="E118" i="15" s="1"/>
  <c r="O338" i="15"/>
  <c r="E338" i="15" s="1"/>
  <c r="O64" i="15"/>
  <c r="E64" i="15" s="1"/>
  <c r="O366" i="15"/>
  <c r="E366" i="15" s="1"/>
  <c r="O369" i="15"/>
  <c r="E369" i="15" s="1"/>
  <c r="O186" i="15"/>
  <c r="O219" i="15"/>
  <c r="E219" i="15" s="1"/>
  <c r="O77" i="15"/>
  <c r="E77" i="15" s="1"/>
  <c r="O126" i="15"/>
  <c r="E126" i="15" s="1"/>
  <c r="O192" i="15"/>
  <c r="E192" i="15" s="1"/>
  <c r="O231" i="15"/>
  <c r="E231" i="15" s="1"/>
  <c r="O104" i="15"/>
  <c r="O173" i="15"/>
  <c r="E173" i="15" s="1"/>
  <c r="O206" i="15"/>
  <c r="E206" i="15" s="1"/>
  <c r="O277" i="15"/>
  <c r="E277" i="15" s="1"/>
  <c r="O32" i="15"/>
  <c r="E32" i="15" s="1"/>
  <c r="O376" i="15"/>
  <c r="E376" i="15" s="1"/>
  <c r="O304" i="15"/>
  <c r="E304" i="15" s="1"/>
  <c r="O39" i="15"/>
  <c r="E39" i="15" s="1"/>
  <c r="O222" i="15"/>
  <c r="E222" i="15" s="1"/>
  <c r="O31" i="15"/>
  <c r="E31" i="15" s="1"/>
  <c r="O78" i="15"/>
  <c r="E78" i="15" s="1"/>
  <c r="O175" i="15"/>
  <c r="E175" i="15" s="1"/>
  <c r="O236" i="15"/>
  <c r="E236" i="15" s="1"/>
  <c r="O294" i="15"/>
  <c r="E294" i="15" s="1"/>
  <c r="O146" i="15"/>
  <c r="O207" i="15"/>
  <c r="E207" i="15" s="1"/>
  <c r="O256" i="15"/>
  <c r="E256" i="15" s="1"/>
  <c r="O276" i="15"/>
  <c r="E276" i="15" s="1"/>
  <c r="O113" i="15"/>
  <c r="E113" i="15" s="1"/>
  <c r="O26" i="15"/>
  <c r="E26" i="15" s="1"/>
  <c r="O301" i="15"/>
  <c r="E301" i="15" s="1"/>
  <c r="O180" i="15"/>
  <c r="O281" i="15"/>
  <c r="E281" i="15" s="1"/>
  <c r="O63" i="15"/>
  <c r="E63" i="15" s="1"/>
  <c r="O122" i="15"/>
  <c r="E122" i="15" s="1"/>
  <c r="O225" i="15"/>
  <c r="E225" i="15" s="1"/>
  <c r="O377" i="15"/>
  <c r="E377" i="15" s="1"/>
  <c r="O16" i="15"/>
  <c r="E16" i="15" s="1"/>
  <c r="O344" i="15"/>
  <c r="E344" i="15" s="1"/>
  <c r="O342" i="15"/>
  <c r="E342" i="15" s="1"/>
  <c r="O44" i="15"/>
  <c r="E44" i="15" s="1"/>
  <c r="O79" i="15"/>
  <c r="E79" i="15" s="1"/>
  <c r="O76" i="15"/>
  <c r="E76" i="15" s="1"/>
  <c r="O189" i="15"/>
  <c r="E189" i="15" s="1"/>
  <c r="O245" i="15"/>
  <c r="E245" i="15" s="1"/>
  <c r="O316" i="15"/>
  <c r="E316" i="15" s="1"/>
  <c r="O50" i="15"/>
  <c r="E50" i="15" s="1"/>
  <c r="O296" i="15"/>
  <c r="E296" i="15" s="1"/>
  <c r="O317" i="15"/>
  <c r="E317" i="15" s="1"/>
  <c r="O150" i="15"/>
  <c r="E150" i="15" s="1"/>
  <c r="O258" i="15"/>
  <c r="E258" i="15" s="1"/>
  <c r="O61" i="15"/>
  <c r="E61" i="15" s="1"/>
  <c r="O112" i="15"/>
  <c r="E112" i="15" s="1"/>
  <c r="O147" i="15"/>
  <c r="E147" i="15" s="1"/>
  <c r="O254" i="15"/>
  <c r="E254" i="15" s="1"/>
  <c r="O323" i="15"/>
  <c r="E323" i="15" s="1"/>
  <c r="O174" i="15"/>
  <c r="E174" i="15" s="1"/>
  <c r="O235" i="15"/>
  <c r="E235" i="15" s="1"/>
  <c r="O89" i="15"/>
  <c r="E89" i="15" s="1"/>
  <c r="O289" i="15"/>
  <c r="E289" i="15" s="1"/>
  <c r="O91" i="15"/>
  <c r="O48" i="15"/>
  <c r="E48" i="15" s="1"/>
  <c r="O336" i="15"/>
  <c r="E336" i="15" s="1"/>
  <c r="O263" i="15"/>
  <c r="E263" i="15" s="1"/>
  <c r="O96" i="15"/>
  <c r="E96" i="15" s="1"/>
  <c r="O193" i="15"/>
  <c r="E193" i="15" s="1"/>
  <c r="O144" i="15"/>
  <c r="E144" i="15" s="1"/>
  <c r="O136" i="15"/>
  <c r="E136" i="15" s="1"/>
  <c r="O168" i="15"/>
  <c r="E168" i="15" s="1"/>
  <c r="O19" i="15"/>
  <c r="E19" i="15" s="1"/>
  <c r="O233" i="15"/>
  <c r="E233" i="15" s="1"/>
  <c r="O140" i="15"/>
  <c r="E140" i="15" s="1"/>
  <c r="O246" i="15"/>
  <c r="E246" i="15" s="1"/>
  <c r="O187" i="15"/>
  <c r="E187" i="15" s="1"/>
  <c r="O310" i="15"/>
  <c r="E310" i="15" s="1"/>
  <c r="O292" i="15"/>
  <c r="E292" i="15" s="1"/>
  <c r="O123" i="15"/>
  <c r="E123" i="15" s="1"/>
  <c r="O288" i="15"/>
  <c r="E288" i="15" s="1"/>
  <c r="O314" i="15"/>
  <c r="E314" i="15" s="1"/>
  <c r="O33" i="15"/>
  <c r="E33" i="15" s="1"/>
  <c r="O111" i="15"/>
  <c r="E111" i="15" s="1"/>
  <c r="O264" i="15"/>
  <c r="E264" i="15" s="1"/>
  <c r="O293" i="15"/>
  <c r="O270" i="15"/>
  <c r="E270" i="15" s="1"/>
  <c r="O374" i="15"/>
  <c r="E374" i="15" s="1"/>
  <c r="O375" i="15"/>
  <c r="E375" i="15" s="1"/>
  <c r="O119" i="15"/>
  <c r="O66" i="15"/>
  <c r="E66" i="15" s="1"/>
  <c r="O88" i="15"/>
  <c r="O202" i="15"/>
  <c r="E202" i="15" s="1"/>
  <c r="O257" i="15"/>
  <c r="E257" i="15" s="1"/>
  <c r="O327" i="15"/>
  <c r="E327" i="15" s="1"/>
  <c r="O62" i="15"/>
  <c r="E62" i="15" s="1"/>
  <c r="O337" i="15"/>
  <c r="E337" i="15" s="1"/>
  <c r="O339" i="15"/>
  <c r="E339" i="15" s="1"/>
  <c r="O179" i="15"/>
  <c r="E179" i="15" s="1"/>
  <c r="O212" i="15"/>
  <c r="E212" i="15" s="1"/>
  <c r="O75" i="15"/>
  <c r="E75" i="15" s="1"/>
  <c r="O105" i="15"/>
  <c r="E105" i="15" s="1"/>
  <c r="O177" i="15"/>
  <c r="E177" i="15" s="1"/>
  <c r="O209" i="15"/>
  <c r="E209" i="15" s="1"/>
  <c r="O363" i="15"/>
  <c r="O152" i="15"/>
  <c r="O260" i="15"/>
  <c r="E260" i="15" s="1"/>
  <c r="O120" i="15"/>
  <c r="O340" i="15"/>
  <c r="E340" i="15" s="1"/>
  <c r="O151" i="15"/>
  <c r="E151" i="15" s="1"/>
  <c r="O52" i="15"/>
  <c r="E52" i="15" s="1"/>
  <c r="O68" i="15"/>
  <c r="E68" i="15" s="1"/>
  <c r="O42" i="15"/>
  <c r="E42" i="15" s="1"/>
  <c r="O157" i="15"/>
  <c r="E157" i="15" s="1"/>
  <c r="O274" i="15"/>
  <c r="E274" i="15" s="1"/>
  <c r="O200" i="15"/>
  <c r="E200" i="15" s="1"/>
  <c r="O358" i="15"/>
  <c r="E358" i="15" s="1"/>
  <c r="O348" i="15"/>
  <c r="E348" i="15" s="1"/>
  <c r="O142" i="15"/>
  <c r="E142" i="15" s="1"/>
  <c r="O41" i="15"/>
  <c r="O155" i="15"/>
  <c r="E155" i="15" s="1"/>
  <c r="O331" i="15"/>
  <c r="O242" i="15"/>
  <c r="E242" i="15" s="1"/>
  <c r="O329" i="15"/>
  <c r="E329" i="15" s="1"/>
  <c r="O46" i="15"/>
  <c r="E46" i="15" s="1"/>
  <c r="O25" i="15"/>
  <c r="E25" i="15" s="1"/>
  <c r="O230" i="15"/>
  <c r="E230" i="15" s="1"/>
  <c r="O18" i="15"/>
  <c r="E18" i="15" s="1"/>
  <c r="O17" i="15"/>
  <c r="E17" i="15" s="1"/>
  <c r="O165" i="15"/>
  <c r="E165" i="15" s="1"/>
  <c r="O226" i="15"/>
  <c r="E226" i="15" s="1"/>
  <c r="O284" i="15"/>
  <c r="E284" i="15" s="1"/>
  <c r="O139" i="15"/>
  <c r="E139" i="15" s="1"/>
  <c r="O199" i="15"/>
  <c r="E199" i="15" s="1"/>
  <c r="O244" i="15"/>
  <c r="E244" i="15" s="1"/>
  <c r="O341" i="15"/>
  <c r="E341" i="15" s="1"/>
  <c r="O65" i="15"/>
  <c r="E65" i="15" s="1"/>
  <c r="O371" i="15"/>
  <c r="E371" i="15" s="1"/>
  <c r="O283" i="15"/>
  <c r="E283" i="15" s="1"/>
  <c r="O205" i="15"/>
  <c r="E205" i="15" s="1"/>
  <c r="O97" i="15"/>
  <c r="E97" i="15" s="1"/>
  <c r="O217" i="15"/>
  <c r="E217" i="15" s="1"/>
  <c r="O132" i="15"/>
  <c r="E132" i="15" s="1"/>
  <c r="O234" i="15"/>
  <c r="E234" i="15" s="1"/>
  <c r="O43" i="15"/>
  <c r="E43" i="15" s="1"/>
  <c r="O269" i="15"/>
  <c r="E269" i="15" s="1"/>
  <c r="O252" i="15"/>
  <c r="E252" i="15" s="1"/>
  <c r="O121" i="15"/>
  <c r="E121" i="15" s="1"/>
  <c r="O261" i="15"/>
  <c r="E261" i="15" s="1"/>
  <c r="O181" i="15"/>
  <c r="E181" i="15" s="1"/>
  <c r="O107" i="15"/>
  <c r="E107" i="15" s="1"/>
  <c r="O134" i="15"/>
  <c r="E134" i="15" s="1"/>
  <c r="O347" i="15"/>
  <c r="E347" i="15" s="1"/>
  <c r="AC98" i="16"/>
  <c r="AC212" i="16"/>
  <c r="AC323" i="16"/>
  <c r="AC40" i="16"/>
  <c r="AC118" i="16"/>
  <c r="AC174" i="16"/>
  <c r="AC243" i="16"/>
  <c r="AC304" i="16"/>
  <c r="AC301" i="16"/>
  <c r="AC59" i="16"/>
  <c r="AC112" i="16"/>
  <c r="AC198" i="16"/>
  <c r="AC237" i="16"/>
  <c r="AC368" i="16"/>
  <c r="AC369" i="16"/>
  <c r="AC90" i="16"/>
  <c r="AC136" i="16"/>
  <c r="AC200" i="16"/>
  <c r="AC310" i="16"/>
  <c r="AC332" i="16"/>
  <c r="AC130" i="16"/>
  <c r="AC345" i="16"/>
  <c r="AC92" i="16"/>
  <c r="AC263" i="16"/>
  <c r="AC328" i="16"/>
  <c r="AC127" i="16"/>
  <c r="AC249" i="16"/>
  <c r="AC380" i="16"/>
  <c r="AC149" i="16"/>
  <c r="AC334" i="16"/>
  <c r="AC239" i="16"/>
  <c r="AC163" i="16"/>
  <c r="AC48" i="16"/>
  <c r="AC357" i="16"/>
  <c r="AC255" i="16"/>
  <c r="AC53" i="16"/>
  <c r="AC184" i="16"/>
  <c r="AC364" i="16"/>
  <c r="AC38" i="16"/>
  <c r="AC72" i="16"/>
  <c r="AC147" i="16"/>
  <c r="AC203" i="16"/>
  <c r="AC266" i="16"/>
  <c r="AC268" i="16"/>
  <c r="AC28" i="16"/>
  <c r="AC99" i="16"/>
  <c r="AC143" i="16"/>
  <c r="AC211" i="16"/>
  <c r="AC324" i="16"/>
  <c r="AC341" i="16"/>
  <c r="AC71" i="16"/>
  <c r="AC157" i="16"/>
  <c r="AC220" i="16"/>
  <c r="AC264" i="16"/>
  <c r="AC285" i="16"/>
  <c r="AC21" i="16"/>
  <c r="AC81" i="16"/>
  <c r="AC154" i="16"/>
  <c r="AC209" i="16"/>
  <c r="AC279" i="16"/>
  <c r="AC277" i="16"/>
  <c r="AC173" i="16"/>
  <c r="AC302" i="16"/>
  <c r="AC54" i="16"/>
  <c r="AC329" i="16"/>
  <c r="AC74" i="16"/>
  <c r="AC196" i="16"/>
  <c r="AC360" i="16"/>
  <c r="AC87" i="16"/>
  <c r="AC178" i="16"/>
  <c r="AC326" i="16"/>
  <c r="AC128" i="16"/>
  <c r="AC251" i="16"/>
  <c r="AC17" i="16"/>
  <c r="AC167" i="16"/>
  <c r="AC289" i="16"/>
  <c r="AC223" i="16"/>
  <c r="AC88" i="16"/>
  <c r="AC84" i="16"/>
  <c r="AC290" i="16"/>
  <c r="AC227" i="16"/>
  <c r="AC171" i="16"/>
  <c r="AC68" i="16"/>
  <c r="AC374" i="16"/>
  <c r="AC273" i="16"/>
  <c r="AC287" i="16"/>
  <c r="AC165" i="16"/>
  <c r="AC77" i="16"/>
  <c r="AC286" i="16"/>
  <c r="AC231" i="16"/>
  <c r="AC93" i="16"/>
  <c r="AC152" i="16"/>
  <c r="AC366" i="16"/>
  <c r="AC103" i="16"/>
  <c r="AC213" i="16"/>
  <c r="AC348" i="16"/>
  <c r="AC151" i="16"/>
  <c r="AC262" i="16"/>
  <c r="AC46" i="16"/>
  <c r="AC183" i="16"/>
  <c r="AC354" i="16"/>
  <c r="AC190" i="16"/>
  <c r="AC145" i="16"/>
  <c r="AC34" i="16"/>
  <c r="AC319" i="16"/>
  <c r="AC204" i="16"/>
  <c r="AC297" i="16"/>
  <c r="AC100" i="16"/>
  <c r="AC284" i="16"/>
  <c r="AC258" i="16"/>
  <c r="AC26" i="16"/>
  <c r="AC168" i="16"/>
  <c r="AC296" i="16"/>
  <c r="AC51" i="16"/>
  <c r="AC192" i="16"/>
  <c r="AC359" i="16"/>
  <c r="AC86" i="16"/>
  <c r="AC259" i="16"/>
  <c r="AC318" i="16"/>
  <c r="AC120" i="16"/>
  <c r="AC244" i="16"/>
  <c r="AC29" i="16"/>
  <c r="AC109" i="16"/>
  <c r="AC330" i="16"/>
  <c r="AC245" i="16"/>
  <c r="AC117" i="16"/>
  <c r="AC373" i="16"/>
  <c r="AC321" i="16"/>
  <c r="AC177" i="16"/>
  <c r="AC169" i="16"/>
  <c r="AC159" i="16"/>
  <c r="AC352" i="16"/>
  <c r="AC146" i="16"/>
  <c r="AC197" i="16"/>
  <c r="AC217" i="16"/>
  <c r="AC50" i="16"/>
  <c r="AC144" i="16"/>
  <c r="AC205" i="16"/>
  <c r="AC16" i="16"/>
  <c r="AC153" i="16"/>
  <c r="AC276" i="16"/>
  <c r="AC37" i="16"/>
  <c r="AC155" i="16"/>
  <c r="AC339" i="16"/>
  <c r="AC82" i="16"/>
  <c r="AC242" i="16"/>
  <c r="AC299" i="16"/>
  <c r="AC343" i="16"/>
  <c r="AC195" i="16"/>
  <c r="AC95" i="16"/>
  <c r="AC337" i="16"/>
  <c r="AC261" i="16"/>
  <c r="AC91" i="16"/>
  <c r="AC230" i="16"/>
  <c r="AC55" i="16"/>
  <c r="AC312" i="16"/>
  <c r="AC76" i="16"/>
  <c r="AC186" i="16"/>
  <c r="AC336" i="16"/>
  <c r="AC66" i="16"/>
  <c r="AC254" i="16"/>
  <c r="AC306" i="16"/>
  <c r="AC116" i="16"/>
  <c r="AC238" i="16"/>
  <c r="AC371" i="16"/>
  <c r="AC135" i="16"/>
  <c r="AC246" i="16"/>
  <c r="AC70" i="16"/>
  <c r="AC61" i="16"/>
  <c r="AC150" i="16"/>
  <c r="AC316" i="16"/>
  <c r="AC30" i="16"/>
  <c r="AC45" i="16"/>
  <c r="AC131" i="16"/>
  <c r="AC191" i="16"/>
  <c r="AC240" i="16"/>
  <c r="AC349" i="16"/>
  <c r="AC19" i="16"/>
  <c r="AC78" i="16"/>
  <c r="AC176" i="16"/>
  <c r="AC257" i="16"/>
  <c r="AC292" i="16"/>
  <c r="AC311" i="16"/>
  <c r="AC39" i="16"/>
  <c r="AC124" i="16"/>
  <c r="AC185" i="16"/>
  <c r="AC247" i="16"/>
  <c r="AC375" i="16"/>
  <c r="AC377" i="16"/>
  <c r="AC236" i="16"/>
  <c r="AC56" i="16"/>
  <c r="AC139" i="16"/>
  <c r="AC313" i="16"/>
  <c r="AC52" i="16"/>
  <c r="AC189" i="16"/>
  <c r="AC376" i="16"/>
  <c r="AC104" i="16"/>
  <c r="AC216" i="16"/>
  <c r="AC342" i="16"/>
  <c r="AC31" i="16"/>
  <c r="AC288" i="16"/>
  <c r="AC187" i="16"/>
  <c r="AC69" i="16"/>
  <c r="AC307" i="16"/>
  <c r="AC142" i="16"/>
  <c r="AC256" i="16"/>
  <c r="AC350" i="16"/>
  <c r="AC60" i="16"/>
  <c r="AC94" i="16"/>
  <c r="AC148" i="16"/>
  <c r="AC199" i="16"/>
  <c r="AC315" i="16"/>
  <c r="AC331" i="16"/>
  <c r="AC73" i="16"/>
  <c r="AC133" i="16"/>
  <c r="AC202" i="16"/>
  <c r="AC253" i="16"/>
  <c r="AC270" i="16"/>
  <c r="AC41" i="16"/>
  <c r="AC113" i="16"/>
  <c r="AC158" i="16"/>
  <c r="AC221" i="16"/>
  <c r="AC340" i="16"/>
  <c r="AC346" i="16"/>
  <c r="AC64" i="16"/>
  <c r="AC105" i="16"/>
  <c r="AC162" i="16"/>
  <c r="AC215" i="16"/>
  <c r="AC325" i="16"/>
  <c r="AC303" i="16"/>
  <c r="AC83" i="16"/>
  <c r="AC234" i="16"/>
  <c r="AC166" i="16"/>
  <c r="AC36" i="16"/>
  <c r="AC138" i="16"/>
  <c r="AC252" i="16"/>
  <c r="AC24" i="16"/>
  <c r="AC129" i="16"/>
  <c r="AC300" i="16"/>
  <c r="AC65" i="16"/>
  <c r="AC193" i="16"/>
  <c r="AC269" i="16"/>
  <c r="AC97" i="16"/>
  <c r="AC232" i="16"/>
  <c r="AC294" i="16"/>
  <c r="AC57" i="16"/>
  <c r="AC291" i="16"/>
  <c r="AC214" i="16"/>
  <c r="AC119" i="16"/>
  <c r="AC347" i="16"/>
  <c r="AC278" i="16"/>
  <c r="AC201" i="16"/>
  <c r="AC114" i="16"/>
  <c r="AC22" i="16"/>
  <c r="AC32" i="16"/>
  <c r="AC327" i="16"/>
  <c r="AC225" i="16"/>
  <c r="AC101" i="16"/>
  <c r="AC361" i="16"/>
  <c r="AC179" i="16"/>
  <c r="AC274" i="16"/>
  <c r="AC62" i="16"/>
  <c r="AC156" i="16"/>
  <c r="AC322" i="16"/>
  <c r="AC67" i="16"/>
  <c r="AC207" i="16"/>
  <c r="AC282" i="16"/>
  <c r="AC122" i="16"/>
  <c r="AC229" i="16"/>
  <c r="AC351" i="16"/>
  <c r="AC35" i="16"/>
  <c r="AC260" i="16"/>
  <c r="AC137" i="16"/>
  <c r="AC25" i="16"/>
  <c r="AC280" i="16"/>
  <c r="AC226" i="16"/>
  <c r="AC355" i="16"/>
  <c r="AC89" i="16"/>
  <c r="AC317" i="16"/>
  <c r="AC102" i="16"/>
  <c r="AC235" i="16"/>
  <c r="AC295" i="16"/>
  <c r="AC106" i="16"/>
  <c r="AC233" i="16"/>
  <c r="AC363" i="16"/>
  <c r="AC126" i="16"/>
  <c r="AC298" i="16"/>
  <c r="AC43" i="16"/>
  <c r="AC125" i="16"/>
  <c r="AC308" i="16"/>
  <c r="AC333" i="16"/>
  <c r="AC110" i="16"/>
  <c r="AC123" i="16"/>
  <c r="AC320" i="16"/>
  <c r="AC241" i="16"/>
  <c r="AC140" i="16"/>
  <c r="AC75" i="16"/>
  <c r="AC335" i="16"/>
  <c r="AC222" i="16"/>
  <c r="AC44" i="16"/>
  <c r="AC250" i="16"/>
  <c r="AC170" i="16"/>
  <c r="AC379" i="16"/>
  <c r="AC160" i="16"/>
  <c r="AC358" i="16"/>
  <c r="AC79" i="16"/>
  <c r="AC271" i="16"/>
  <c r="AC80" i="16"/>
  <c r="AC206" i="16"/>
  <c r="AC275" i="16"/>
  <c r="AC108" i="16"/>
  <c r="AC218" i="16"/>
  <c r="AC344" i="16"/>
  <c r="AC164" i="16"/>
  <c r="AC272" i="16"/>
  <c r="AC42" i="16"/>
  <c r="AC63" i="16"/>
  <c r="AC365" i="16"/>
  <c r="AC208" i="16"/>
  <c r="AC141" i="16"/>
  <c r="AC111" i="16"/>
  <c r="AC293" i="16"/>
  <c r="AC175" i="16"/>
  <c r="AC134" i="16"/>
  <c r="AC23" i="16"/>
  <c r="AC121" i="16"/>
  <c r="AC228" i="16"/>
  <c r="AC15" i="16"/>
  <c r="AC172" i="16"/>
  <c r="AC281" i="16"/>
  <c r="AC27" i="16"/>
  <c r="AC180" i="16"/>
  <c r="AC370" i="16"/>
  <c r="AC49" i="16"/>
  <c r="AC194" i="16"/>
  <c r="AC356" i="16"/>
  <c r="AC248" i="16"/>
  <c r="AC219" i="16"/>
  <c r="AC132" i="16"/>
  <c r="AC33" i="16"/>
  <c r="AC372" i="16"/>
  <c r="AC210" i="16"/>
  <c r="AC115" i="16"/>
  <c r="AC20" i="16"/>
  <c r="AC18" i="16"/>
  <c r="AC181" i="16"/>
  <c r="AC305" i="16"/>
  <c r="AC378" i="16"/>
  <c r="AC107" i="16"/>
  <c r="AC267" i="16"/>
  <c r="AC58" i="16"/>
  <c r="AC367" i="16"/>
  <c r="AC47" i="16"/>
  <c r="AC309" i="16"/>
  <c r="AC182" i="16"/>
  <c r="AC96" i="16"/>
  <c r="AC338" i="16"/>
  <c r="AC224" i="16"/>
  <c r="AC362" i="16"/>
  <c r="AC283" i="16"/>
  <c r="AC85" i="16"/>
  <c r="AC265" i="16"/>
  <c r="AC161" i="16"/>
  <c r="AC353" i="16"/>
  <c r="AC188" i="16"/>
  <c r="AC314" i="16"/>
  <c r="P341" i="15"/>
  <c r="P280" i="15"/>
  <c r="P54" i="15"/>
  <c r="V54" i="15" s="1"/>
  <c r="F54" i="15" s="1"/>
  <c r="P198" i="15"/>
  <c r="P352" i="15"/>
  <c r="V352" i="15" s="1"/>
  <c r="F352" i="15" s="1"/>
  <c r="P182" i="15"/>
  <c r="P321" i="15"/>
  <c r="P104" i="15"/>
  <c r="P22" i="15"/>
  <c r="V22" i="15" s="1"/>
  <c r="F22" i="15" s="1"/>
  <c r="P290" i="15"/>
  <c r="P23" i="15"/>
  <c r="P266" i="15"/>
  <c r="P355" i="15"/>
  <c r="P84" i="15"/>
  <c r="V84" i="15" s="1"/>
  <c r="F84" i="15" s="1"/>
  <c r="P361" i="15"/>
  <c r="P194" i="15"/>
  <c r="P305" i="15"/>
  <c r="P285" i="15"/>
  <c r="P95" i="15"/>
  <c r="V95" i="15" s="1"/>
  <c r="F95" i="15" s="1"/>
  <c r="P180" i="15"/>
  <c r="D37" i="7" s="1"/>
  <c r="P140" i="15"/>
  <c r="V140" i="15" s="1"/>
  <c r="F140" i="15" s="1"/>
  <c r="P299" i="15"/>
  <c r="P34" i="15"/>
  <c r="AD224" i="15"/>
  <c r="AD85" i="15"/>
  <c r="AD76" i="15"/>
  <c r="AD64" i="15"/>
  <c r="AD119" i="15"/>
  <c r="AD271" i="15"/>
  <c r="AD342" i="15"/>
  <c r="AD313" i="15"/>
  <c r="AD187" i="15"/>
  <c r="AD370" i="15"/>
  <c r="AD102" i="15"/>
  <c r="AD153" i="15"/>
  <c r="P332" i="15"/>
  <c r="P118" i="15"/>
  <c r="V118" i="15" s="1"/>
  <c r="F118" i="15" s="1"/>
  <c r="P197" i="15"/>
  <c r="V197" i="15" s="1"/>
  <c r="F197" i="15" s="1"/>
  <c r="AD34" i="15"/>
  <c r="AD220" i="15"/>
  <c r="AD317" i="15"/>
  <c r="AD268" i="15"/>
  <c r="AD23" i="15"/>
  <c r="J15" i="7"/>
  <c r="Q12" i="16"/>
  <c r="Q383" i="15"/>
  <c r="Q381" i="15"/>
  <c r="Q382" i="15"/>
  <c r="AE381" i="15"/>
  <c r="AE383" i="15"/>
  <c r="AE382" i="15"/>
  <c r="AZ227" i="6"/>
  <c r="AZ264" i="6"/>
  <c r="AZ266" i="6"/>
  <c r="AA102" i="1"/>
  <c r="Z102" i="1" s="1"/>
  <c r="Y102" i="1" s="1"/>
  <c r="AZ377" i="6"/>
  <c r="AZ267" i="6"/>
  <c r="P19" i="1"/>
  <c r="V19" i="1" s="1"/>
  <c r="AZ239" i="6"/>
  <c r="AZ247" i="6"/>
  <c r="AZ255" i="6"/>
  <c r="AZ231" i="6"/>
  <c r="AZ232" i="6"/>
  <c r="AC380" i="6" s="1"/>
  <c r="AC381" i="6" s="1"/>
  <c r="AZ374" i="6"/>
  <c r="V180" i="1"/>
  <c r="F180" i="1" s="1"/>
  <c r="I180" i="1" s="1"/>
  <c r="AZ250" i="6"/>
  <c r="AZ261" i="6"/>
  <c r="AD341" i="1"/>
  <c r="AA341" i="1" s="1"/>
  <c r="Z341" i="1" s="1"/>
  <c r="Y341" i="1" s="1"/>
  <c r="P339" i="1"/>
  <c r="V339" i="1" s="1"/>
  <c r="F339" i="1" s="1"/>
  <c r="G339" i="1" s="1"/>
  <c r="BW339" i="6" s="1"/>
  <c r="AD302" i="1"/>
  <c r="AD339" i="1"/>
  <c r="AD235" i="1"/>
  <c r="AD80" i="1"/>
  <c r="AD81" i="1"/>
  <c r="AA81" i="1" s="1"/>
  <c r="Z81" i="1" s="1"/>
  <c r="Y81" i="1" s="1"/>
  <c r="AD147" i="1"/>
  <c r="AA147" i="1" s="1"/>
  <c r="Z147" i="1" s="1"/>
  <c r="Y147" i="1" s="1"/>
  <c r="P194" i="1"/>
  <c r="V194" i="1" s="1"/>
  <c r="F194" i="1" s="1"/>
  <c r="G194" i="1" s="1"/>
  <c r="BW194" i="6" s="1"/>
  <c r="P321" i="1"/>
  <c r="V321" i="1" s="1"/>
  <c r="F321" i="1" s="1"/>
  <c r="G321" i="1" s="1"/>
  <c r="BW321" i="6" s="1"/>
  <c r="AD108" i="1"/>
  <c r="AD174" i="1"/>
  <c r="AA174" i="1" s="1"/>
  <c r="Z174" i="1" s="1"/>
  <c r="Y174" i="1" s="1"/>
  <c r="AD116" i="1"/>
  <c r="AA116" i="1" s="1"/>
  <c r="Z116" i="1" s="1"/>
  <c r="Y116" i="1" s="1"/>
  <c r="AD220" i="1"/>
  <c r="AA220" i="1" s="1"/>
  <c r="Z220" i="1" s="1"/>
  <c r="Y220" i="1" s="1"/>
  <c r="P197" i="1"/>
  <c r="V197" i="1" s="1"/>
  <c r="AD231" i="1"/>
  <c r="AA231" i="1" s="1"/>
  <c r="Z231" i="1" s="1"/>
  <c r="Y231" i="1" s="1"/>
  <c r="P94" i="1"/>
  <c r="V94" i="1" s="1"/>
  <c r="AA94" i="1" s="1"/>
  <c r="Z94" i="1" s="1"/>
  <c r="Y94" i="1" s="1"/>
  <c r="AJ10" i="17"/>
  <c r="AJ12" i="17" s="1"/>
  <c r="P16" i="1"/>
  <c r="V16" i="1" s="1"/>
  <c r="AZ272" i="6"/>
  <c r="AZ235" i="6"/>
  <c r="AZ258" i="6"/>
  <c r="AZ379" i="6"/>
  <c r="AZ254" i="6"/>
  <c r="AZ249" i="6"/>
  <c r="AZ260" i="6"/>
  <c r="AE380" i="6" s="1"/>
  <c r="AE381" i="6" s="1"/>
  <c r="O142" i="18"/>
  <c r="O275" i="18"/>
  <c r="O318" i="18"/>
  <c r="O60" i="18"/>
  <c r="C69" i="7" s="1"/>
  <c r="O191" i="18"/>
  <c r="O116" i="18"/>
  <c r="O32" i="18"/>
  <c r="O130" i="18"/>
  <c r="O165" i="18"/>
  <c r="O353" i="18"/>
  <c r="O185" i="18"/>
  <c r="O197" i="18"/>
  <c r="O24" i="18"/>
  <c r="O192" i="18"/>
  <c r="O93" i="18"/>
  <c r="O376" i="18"/>
  <c r="O131" i="18"/>
  <c r="O378" i="18"/>
  <c r="O123" i="18"/>
  <c r="O109" i="18"/>
  <c r="O251" i="18"/>
  <c r="O20" i="18"/>
  <c r="O184" i="18"/>
  <c r="O128" i="18"/>
  <c r="O279" i="18"/>
  <c r="O222" i="18"/>
  <c r="O151" i="18"/>
  <c r="O23" i="18"/>
  <c r="O179" i="18"/>
  <c r="O288" i="18"/>
  <c r="O314" i="18"/>
  <c r="O146" i="18"/>
  <c r="O28" i="18"/>
  <c r="O26" i="18"/>
  <c r="O169" i="18"/>
  <c r="O280" i="18"/>
  <c r="O226" i="18"/>
  <c r="O346" i="18"/>
  <c r="O164" i="18"/>
  <c r="O258" i="18"/>
  <c r="O187" i="18"/>
  <c r="O172" i="18"/>
  <c r="O355" i="18"/>
  <c r="O198" i="18"/>
  <c r="O127" i="18"/>
  <c r="O291" i="18"/>
  <c r="O347" i="18"/>
  <c r="O194" i="18"/>
  <c r="O155" i="18"/>
  <c r="O177" i="18"/>
  <c r="O240" i="18"/>
  <c r="O29" i="18"/>
  <c r="C68" i="7" s="1"/>
  <c r="O35" i="18"/>
  <c r="O361" i="18"/>
  <c r="O21" i="18"/>
  <c r="O175" i="18"/>
  <c r="O84" i="18"/>
  <c r="O30" i="18"/>
  <c r="O154" i="18"/>
  <c r="O276" i="18"/>
  <c r="O323" i="18"/>
  <c r="O110" i="18"/>
  <c r="O111" i="18"/>
  <c r="O359" i="18"/>
  <c r="O68" i="18"/>
  <c r="O274" i="18"/>
  <c r="O53" i="18"/>
  <c r="O229" i="18"/>
  <c r="O322" i="18"/>
  <c r="O205" i="18"/>
  <c r="O114" i="18"/>
  <c r="O18" i="18"/>
  <c r="O238" i="18"/>
  <c r="O330" i="18"/>
  <c r="O365" i="18"/>
  <c r="O171" i="18"/>
  <c r="O210" i="18"/>
  <c r="C74" i="7" s="1"/>
  <c r="O313" i="18"/>
  <c r="O334" i="18"/>
  <c r="O250" i="18"/>
  <c r="O208" i="18"/>
  <c r="O69" i="18"/>
  <c r="O153" i="18"/>
  <c r="O107" i="18"/>
  <c r="O94" i="18"/>
  <c r="O189" i="18"/>
  <c r="O117" i="18"/>
  <c r="O33" i="18"/>
  <c r="O371" i="18"/>
  <c r="O66" i="18"/>
  <c r="O284" i="18"/>
  <c r="O242" i="18"/>
  <c r="O316" i="18"/>
  <c r="O375" i="18"/>
  <c r="O113" i="18"/>
  <c r="O97" i="18"/>
  <c r="O335" i="18"/>
  <c r="O115" i="18"/>
  <c r="O319" i="18"/>
  <c r="O92" i="18"/>
  <c r="O377" i="18"/>
  <c r="O145" i="18"/>
  <c r="O278" i="18"/>
  <c r="O241" i="18"/>
  <c r="C75" i="7" s="1"/>
  <c r="O104" i="18"/>
  <c r="O81" i="18"/>
  <c r="O65" i="18"/>
  <c r="O312" i="18"/>
  <c r="O176" i="18"/>
  <c r="O125" i="18"/>
  <c r="O305" i="18"/>
  <c r="O96" i="18"/>
  <c r="O232" i="18"/>
  <c r="O369" i="18"/>
  <c r="O121" i="18"/>
  <c r="O219" i="18"/>
  <c r="O320" i="18"/>
  <c r="O186" i="18"/>
  <c r="O256" i="18"/>
  <c r="O379" i="18"/>
  <c r="C39" i="19" s="1"/>
  <c r="O27" i="18"/>
  <c r="O237" i="18"/>
  <c r="O166" i="18"/>
  <c r="O259" i="18"/>
  <c r="O63" i="18"/>
  <c r="O99" i="18"/>
  <c r="O282" i="18"/>
  <c r="O50" i="18"/>
  <c r="O67" i="18"/>
  <c r="O333" i="18"/>
  <c r="C78" i="7" s="1"/>
  <c r="O40" i="18"/>
  <c r="O325" i="18"/>
  <c r="O75" i="18"/>
  <c r="O46" i="18"/>
  <c r="O38" i="18"/>
  <c r="O134" i="18"/>
  <c r="O271" i="18"/>
  <c r="O98" i="18"/>
  <c r="O19" i="18"/>
  <c r="O37" i="18"/>
  <c r="O31" i="18"/>
  <c r="O105" i="18"/>
  <c r="O161" i="18"/>
  <c r="O252" i="18"/>
  <c r="O356" i="18"/>
  <c r="O296" i="18"/>
  <c r="O25" i="18"/>
  <c r="O345" i="18"/>
  <c r="O234" i="18"/>
  <c r="O254" i="18"/>
  <c r="O182" i="18"/>
  <c r="O303" i="18"/>
  <c r="O329" i="18"/>
  <c r="O79" i="18"/>
  <c r="O129" i="18"/>
  <c r="O374" i="18"/>
  <c r="O264" i="18"/>
  <c r="P226" i="15"/>
  <c r="P275" i="15"/>
  <c r="P318" i="15"/>
  <c r="P26" i="15"/>
  <c r="P277" i="15"/>
  <c r="P253" i="15"/>
  <c r="P59" i="15"/>
  <c r="P44" i="15"/>
  <c r="P292" i="15"/>
  <c r="P256" i="15"/>
  <c r="P313" i="15"/>
  <c r="P217" i="15"/>
  <c r="P339" i="15"/>
  <c r="P370" i="15"/>
  <c r="P71" i="15"/>
  <c r="P142" i="15"/>
  <c r="P101" i="15"/>
  <c r="P35" i="15"/>
  <c r="P158" i="15"/>
  <c r="P176" i="15"/>
  <c r="P151" i="15"/>
  <c r="P356" i="15"/>
  <c r="P131" i="15"/>
  <c r="P211" i="15"/>
  <c r="P279" i="15"/>
  <c r="P64" i="15"/>
  <c r="P220" i="15"/>
  <c r="P357" i="15"/>
  <c r="P214" i="15"/>
  <c r="P347" i="15"/>
  <c r="P286" i="15"/>
  <c r="P88" i="15"/>
  <c r="P81" i="15"/>
  <c r="P153" i="15"/>
  <c r="P342" i="15"/>
  <c r="P183" i="15"/>
  <c r="P119" i="15"/>
  <c r="P306" i="15"/>
  <c r="P174" i="15"/>
  <c r="AD140" i="15"/>
  <c r="AD147" i="15"/>
  <c r="AD288" i="15"/>
  <c r="AD151" i="15"/>
  <c r="AD73" i="15"/>
  <c r="AD318" i="15"/>
  <c r="AD325" i="15"/>
  <c r="AD198" i="15"/>
  <c r="AD26" i="15"/>
  <c r="AD65" i="15"/>
  <c r="AD22" i="15"/>
  <c r="AD361" i="15"/>
  <c r="AD113" i="15"/>
  <c r="AD331" i="15"/>
  <c r="AD181" i="15"/>
  <c r="AD132" i="15"/>
  <c r="AD171" i="15"/>
  <c r="AD321" i="15"/>
  <c r="AD158" i="15"/>
  <c r="AD239" i="15"/>
  <c r="AD266" i="15"/>
  <c r="AD233" i="15"/>
  <c r="AD62" i="15"/>
  <c r="AD378" i="15"/>
  <c r="AD256" i="15"/>
  <c r="AD299" i="15"/>
  <c r="AD81" i="15"/>
  <c r="AD182" i="15"/>
  <c r="AD28" i="15"/>
  <c r="AD144" i="15"/>
  <c r="P62" i="15"/>
  <c r="P289" i="15"/>
  <c r="P335" i="15"/>
  <c r="P189" i="15"/>
  <c r="P354" i="15"/>
  <c r="P31" i="15"/>
  <c r="P113" i="15"/>
  <c r="P232" i="15"/>
  <c r="P328" i="15"/>
  <c r="P111" i="15"/>
  <c r="P154" i="15"/>
  <c r="P123" i="15"/>
  <c r="AD71" i="15"/>
  <c r="AD98" i="15"/>
  <c r="AD354" i="15"/>
  <c r="AD176" i="15"/>
  <c r="P285" i="1"/>
  <c r="V285" i="1" s="1"/>
  <c r="F285" i="1" s="1"/>
  <c r="AD280" i="1"/>
  <c r="AD131" i="1"/>
  <c r="AA131" i="1" s="1"/>
  <c r="Z131" i="1" s="1"/>
  <c r="Y131" i="1" s="1"/>
  <c r="P280" i="1"/>
  <c r="V280" i="1" s="1"/>
  <c r="F280" i="1" s="1"/>
  <c r="AD369" i="1"/>
  <c r="AA369" i="1" s="1"/>
  <c r="Z369" i="1" s="1"/>
  <c r="Y369" i="1" s="1"/>
  <c r="P26" i="1"/>
  <c r="V26" i="1" s="1"/>
  <c r="AA26" i="1" s="1"/>
  <c r="Z26" i="1" s="1"/>
  <c r="Y26" i="1" s="1"/>
  <c r="P183" i="1"/>
  <c r="V183" i="1" s="1"/>
  <c r="F183" i="1" s="1"/>
  <c r="AA183" i="1" s="1"/>
  <c r="Z183" i="1" s="1"/>
  <c r="Y183" i="1" s="1"/>
  <c r="AD71" i="1"/>
  <c r="AA71" i="1" s="1"/>
  <c r="Z71" i="1" s="1"/>
  <c r="Y71" i="1" s="1"/>
  <c r="P142" i="1"/>
  <c r="V142" i="1" s="1"/>
  <c r="AA142" i="1" s="1"/>
  <c r="Z142" i="1" s="1"/>
  <c r="Y142" i="1" s="1"/>
  <c r="P75" i="1"/>
  <c r="V75" i="1" s="1"/>
  <c r="P108" i="1"/>
  <c r="V108" i="1" s="1"/>
  <c r="AD182" i="1"/>
  <c r="AA182" i="1" s="1"/>
  <c r="Z182" i="1" s="1"/>
  <c r="Y182" i="1" s="1"/>
  <c r="P44" i="1"/>
  <c r="V44" i="1" s="1"/>
  <c r="AA44" i="1" s="1"/>
  <c r="Z44" i="1" s="1"/>
  <c r="Y44" i="1" s="1"/>
  <c r="P277" i="1"/>
  <c r="V277" i="1" s="1"/>
  <c r="F277" i="1" s="1"/>
  <c r="AD260" i="1"/>
  <c r="AA260" i="1" s="1"/>
  <c r="Z260" i="1" s="1"/>
  <c r="Y260" i="1" s="1"/>
  <c r="P218" i="1"/>
  <c r="V218" i="1" s="1"/>
  <c r="F218" i="1" s="1"/>
  <c r="AA218" i="1" s="1"/>
  <c r="Z218" i="1" s="1"/>
  <c r="Y218" i="1" s="1"/>
  <c r="AD361" i="1"/>
  <c r="AA361" i="1" s="1"/>
  <c r="Z361" i="1" s="1"/>
  <c r="Y361" i="1" s="1"/>
  <c r="AD250" i="1"/>
  <c r="AA250" i="1" s="1"/>
  <c r="Z250" i="1" s="1"/>
  <c r="Y250" i="1" s="1"/>
  <c r="P347" i="1"/>
  <c r="V347" i="1" s="1"/>
  <c r="F347" i="1" s="1"/>
  <c r="AD155" i="1"/>
  <c r="AA155" i="1" s="1"/>
  <c r="Z155" i="1" s="1"/>
  <c r="Y155" i="1" s="1"/>
  <c r="P274" i="1"/>
  <c r="V274" i="1" s="1"/>
  <c r="F274" i="1" s="1"/>
  <c r="AA274" i="1" s="1"/>
  <c r="Z274" i="1" s="1"/>
  <c r="Y274" i="1" s="1"/>
  <c r="AD73" i="1"/>
  <c r="AA73" i="1" s="1"/>
  <c r="Z73" i="1" s="1"/>
  <c r="Y73" i="1" s="1"/>
  <c r="O257" i="18"/>
  <c r="O332" i="18"/>
  <c r="O87" i="18"/>
  <c r="O265" i="18"/>
  <c r="O95" i="18"/>
  <c r="O156" i="18"/>
  <c r="O248" i="18"/>
  <c r="O202" i="18"/>
  <c r="O150" i="18"/>
  <c r="O213" i="18"/>
  <c r="O352" i="18"/>
  <c r="O88" i="18"/>
  <c r="C70" i="7" s="1"/>
  <c r="O304" i="18"/>
  <c r="O124" i="18"/>
  <c r="O133" i="18"/>
  <c r="O223" i="18"/>
  <c r="O148" i="18"/>
  <c r="O167" i="18"/>
  <c r="O52" i="18"/>
  <c r="O108" i="18"/>
  <c r="O55" i="18"/>
  <c r="O70" i="18"/>
  <c r="O36" i="18"/>
  <c r="O218" i="18"/>
  <c r="O266" i="18"/>
  <c r="AA13" i="7"/>
  <c r="AG10" i="7" s="1"/>
  <c r="O157" i="18"/>
  <c r="O163" i="18"/>
  <c r="O158" i="18"/>
  <c r="O327" i="18"/>
  <c r="O195" i="18"/>
  <c r="O366" i="18"/>
  <c r="O47" i="18"/>
  <c r="O183" i="18"/>
  <c r="O315" i="18"/>
  <c r="O367" i="18"/>
  <c r="O160" i="18"/>
  <c r="O290" i="18"/>
  <c r="O118" i="18"/>
  <c r="O168" i="18"/>
  <c r="O350" i="18"/>
  <c r="O224" i="18"/>
  <c r="O281" i="18"/>
  <c r="O62" i="18"/>
  <c r="O263" i="18"/>
  <c r="O141" i="18"/>
  <c r="O83" i="18"/>
  <c r="O358" i="18"/>
  <c r="O228" i="18"/>
  <c r="O77" i="18"/>
  <c r="O120" i="18"/>
  <c r="O41" i="18"/>
  <c r="O17" i="18"/>
  <c r="O181" i="18"/>
  <c r="O80" i="18"/>
  <c r="O39" i="18"/>
  <c r="O357" i="18"/>
  <c r="O211" i="18"/>
  <c r="O236" i="18"/>
  <c r="O328" i="18"/>
  <c r="O201" i="18"/>
  <c r="O78" i="18"/>
  <c r="O103" i="18"/>
  <c r="O297" i="18"/>
  <c r="O196" i="18"/>
  <c r="O262" i="18"/>
  <c r="O253" i="18"/>
  <c r="O44" i="18"/>
  <c r="O342" i="18"/>
  <c r="O233" i="18"/>
  <c r="O283" i="18"/>
  <c r="O324" i="18"/>
  <c r="O59" i="18"/>
  <c r="O306" i="18"/>
  <c r="O119" i="18"/>
  <c r="C71" i="7" s="1"/>
  <c r="O188" i="18"/>
  <c r="O339" i="18"/>
  <c r="O227" i="18"/>
  <c r="O207" i="18"/>
  <c r="O294" i="18"/>
  <c r="O58" i="18"/>
  <c r="O270" i="18"/>
  <c r="O91" i="18"/>
  <c r="O360" i="18"/>
  <c r="O101" i="18"/>
  <c r="O300" i="18"/>
  <c r="O48" i="18"/>
  <c r="O212" i="18"/>
  <c r="O22" i="18"/>
  <c r="O364" i="18"/>
  <c r="O193" i="18"/>
  <c r="O273" i="18"/>
  <c r="O45" i="18"/>
  <c r="O368" i="18"/>
  <c r="O73" i="18"/>
  <c r="O310" i="18"/>
  <c r="O143" i="18"/>
  <c r="O216" i="18"/>
  <c r="O54" i="18"/>
  <c r="O268" i="18"/>
  <c r="O235" i="18"/>
  <c r="O247" i="18"/>
  <c r="O351" i="18"/>
  <c r="O231" i="18"/>
  <c r="O90" i="18"/>
  <c r="O343" i="18"/>
  <c r="O243" i="18"/>
  <c r="O132" i="18"/>
  <c r="O321" i="18"/>
  <c r="O260" i="18"/>
  <c r="O370" i="18"/>
  <c r="O61" i="18"/>
  <c r="O255" i="18"/>
  <c r="O292" i="18"/>
  <c r="O349" i="18"/>
  <c r="O220" i="18"/>
  <c r="O140" i="18"/>
  <c r="O261" i="18"/>
  <c r="O139" i="18"/>
  <c r="O137" i="18"/>
  <c r="O308" i="18"/>
  <c r="O144" i="18"/>
  <c r="O43" i="18"/>
  <c r="O203" i="18"/>
  <c r="O363" i="18"/>
  <c r="C79" i="7" s="1"/>
  <c r="O309" i="18"/>
  <c r="O286" i="18"/>
  <c r="O122" i="18"/>
  <c r="O112" i="18"/>
  <c r="O302" i="18"/>
  <c r="C77" i="7" s="1"/>
  <c r="O221" i="18"/>
  <c r="O16" i="18"/>
  <c r="O287" i="18"/>
  <c r="O76" i="18"/>
  <c r="O162" i="18"/>
  <c r="O136" i="18"/>
  <c r="O341" i="18"/>
  <c r="O152" i="18"/>
  <c r="O204" i="18"/>
  <c r="O215" i="18"/>
  <c r="O225" i="18"/>
  <c r="O170" i="18"/>
  <c r="O269" i="18"/>
  <c r="O293" i="18"/>
  <c r="O89" i="18"/>
  <c r="O100" i="18"/>
  <c r="O173" i="18"/>
  <c r="O326" i="18"/>
  <c r="O249" i="18"/>
  <c r="O49" i="18"/>
  <c r="O230" i="18"/>
  <c r="O331" i="18"/>
  <c r="O147" i="18"/>
  <c r="O317" i="18"/>
  <c r="O340" i="18"/>
  <c r="O209" i="18"/>
  <c r="O244" i="18"/>
  <c r="O285" i="18"/>
  <c r="O344" i="18"/>
  <c r="O295" i="18"/>
  <c r="O74" i="18"/>
  <c r="O72" i="18"/>
  <c r="O299" i="18"/>
  <c r="O267" i="18"/>
  <c r="O206" i="18"/>
  <c r="O190" i="18"/>
  <c r="O159" i="18"/>
  <c r="O199" i="18"/>
  <c r="O71" i="18"/>
  <c r="O362" i="18"/>
  <c r="O277" i="18"/>
  <c r="O106" i="18"/>
  <c r="O336" i="18"/>
  <c r="O56" i="18"/>
  <c r="O82" i="18"/>
  <c r="O298" i="18"/>
  <c r="O178" i="18"/>
  <c r="O85" i="18"/>
  <c r="O64" i="18"/>
  <c r="O289" i="18"/>
  <c r="O239" i="18"/>
  <c r="O217" i="18"/>
  <c r="O214" i="18"/>
  <c r="O135" i="18"/>
  <c r="O348" i="18"/>
  <c r="O311" i="18"/>
  <c r="O149" i="18"/>
  <c r="C72" i="7" s="1"/>
  <c r="O373" i="18"/>
  <c r="O245" i="18"/>
  <c r="O126" i="18"/>
  <c r="O272" i="18"/>
  <c r="C76" i="7" s="1"/>
  <c r="O338" i="18"/>
  <c r="O174" i="18"/>
  <c r="O307" i="18"/>
  <c r="O180" i="18"/>
  <c r="C73" i="7" s="1"/>
  <c r="O102" i="18"/>
  <c r="O246" i="18"/>
  <c r="O138" i="18"/>
  <c r="O34" i="18"/>
  <c r="O57" i="18"/>
  <c r="O337" i="18"/>
  <c r="O301" i="18"/>
  <c r="O51" i="18"/>
  <c r="O200" i="18"/>
  <c r="O42" i="18"/>
  <c r="O372" i="18"/>
  <c r="O86" i="18"/>
  <c r="AD330" i="1"/>
  <c r="AA330" i="1" s="1"/>
  <c r="Z330" i="1" s="1"/>
  <c r="Y330" i="1" s="1"/>
  <c r="P189" i="1"/>
  <c r="V189" i="1" s="1"/>
  <c r="F189" i="1" s="1"/>
  <c r="G189" i="1" s="1"/>
  <c r="BW189" i="6" s="1"/>
  <c r="P290" i="1"/>
  <c r="V290" i="1" s="1"/>
  <c r="P104" i="1"/>
  <c r="V104" i="1" s="1"/>
  <c r="AA104" i="1" s="1"/>
  <c r="Z104" i="1" s="1"/>
  <c r="Y104" i="1" s="1"/>
  <c r="P65" i="1"/>
  <c r="V65" i="1" s="1"/>
  <c r="AA65" i="1" s="1"/>
  <c r="Z65" i="1" s="1"/>
  <c r="Y65" i="1" s="1"/>
  <c r="P191" i="1"/>
  <c r="V191" i="1" s="1"/>
  <c r="F191" i="1" s="1"/>
  <c r="I191" i="1" s="1"/>
  <c r="AD299" i="1"/>
  <c r="AD352" i="1"/>
  <c r="AA352" i="1" s="1"/>
  <c r="Z352" i="1" s="1"/>
  <c r="Y352" i="1" s="1"/>
  <c r="AD28" i="1"/>
  <c r="AA28" i="1" s="1"/>
  <c r="Z28" i="1" s="1"/>
  <c r="Y28" i="1" s="1"/>
  <c r="P139" i="1"/>
  <c r="V139" i="1" s="1"/>
  <c r="AA139" i="1" s="1"/>
  <c r="Z139" i="1" s="1"/>
  <c r="Y139" i="1" s="1"/>
  <c r="AD59" i="1"/>
  <c r="AA59" i="1" s="1"/>
  <c r="Z59" i="1" s="1"/>
  <c r="Y59" i="1" s="1"/>
  <c r="AD31" i="15"/>
  <c r="P255" i="15"/>
  <c r="P263" i="15"/>
  <c r="P343" i="15"/>
  <c r="P327" i="15"/>
  <c r="P29" i="15"/>
  <c r="AD263" i="15"/>
  <c r="AD212" i="15"/>
  <c r="AD206" i="15"/>
  <c r="AD343" i="15"/>
  <c r="AD216" i="15"/>
  <c r="AD346" i="1"/>
  <c r="AA346" i="1" s="1"/>
  <c r="Z346" i="1" s="1"/>
  <c r="Y346" i="1" s="1"/>
  <c r="P117" i="1"/>
  <c r="V117" i="1" s="1"/>
  <c r="AA117" i="1" s="1"/>
  <c r="Z117" i="1" s="1"/>
  <c r="Y117" i="1" s="1"/>
  <c r="P228" i="1"/>
  <c r="V228" i="1" s="1"/>
  <c r="F228" i="1" s="1"/>
  <c r="AA228" i="1" s="1"/>
  <c r="Z228" i="1" s="1"/>
  <c r="Y228" i="1" s="1"/>
  <c r="AD217" i="1"/>
  <c r="AA217" i="1" s="1"/>
  <c r="Z217" i="1" s="1"/>
  <c r="Y217" i="1" s="1"/>
  <c r="P288" i="1"/>
  <c r="V288" i="1" s="1"/>
  <c r="F288" i="1" s="1"/>
  <c r="G288" i="1" s="1"/>
  <c r="BW288" i="6" s="1"/>
  <c r="P106" i="1"/>
  <c r="V106" i="1" s="1"/>
  <c r="AA106" i="1" s="1"/>
  <c r="Z106" i="1" s="1"/>
  <c r="Y106" i="1" s="1"/>
  <c r="P369" i="15"/>
  <c r="AD239" i="1"/>
  <c r="P276" i="1"/>
  <c r="V276" i="1" s="1"/>
  <c r="F276" i="1" s="1"/>
  <c r="P187" i="1"/>
  <c r="V187" i="1" s="1"/>
  <c r="F187" i="1" s="1"/>
  <c r="G187" i="1" s="1"/>
  <c r="BW187" i="6" s="1"/>
  <c r="P256" i="1"/>
  <c r="V256" i="1" s="1"/>
  <c r="F256" i="1" s="1"/>
  <c r="AA256" i="1" s="1"/>
  <c r="Z256" i="1" s="1"/>
  <c r="Y256" i="1" s="1"/>
  <c r="AD305" i="1"/>
  <c r="AA305" i="1" s="1"/>
  <c r="Z305" i="1" s="1"/>
  <c r="Y305" i="1" s="1"/>
  <c r="AD153" i="1"/>
  <c r="AA153" i="1" s="1"/>
  <c r="Z153" i="1" s="1"/>
  <c r="Y153" i="1" s="1"/>
  <c r="P62" i="1"/>
  <c r="V62" i="1" s="1"/>
  <c r="AA62" i="1" s="1"/>
  <c r="Z62" i="1" s="1"/>
  <c r="Y62" i="1" s="1"/>
  <c r="AD355" i="1"/>
  <c r="AA355" i="1" s="1"/>
  <c r="Z355" i="1" s="1"/>
  <c r="Y355" i="1" s="1"/>
  <c r="AD95" i="1"/>
  <c r="AA95" i="1" s="1"/>
  <c r="Z95" i="1" s="1"/>
  <c r="Y95" i="1" s="1"/>
  <c r="AD146" i="1"/>
  <c r="AA146" i="1" s="1"/>
  <c r="Z146" i="1" s="1"/>
  <c r="Y146" i="1" s="1"/>
  <c r="AD314" i="1"/>
  <c r="AA314" i="1" s="1"/>
  <c r="Z314" i="1" s="1"/>
  <c r="Y314" i="1" s="1"/>
  <c r="P176" i="1"/>
  <c r="V176" i="1" s="1"/>
  <c r="F176" i="1" s="1"/>
  <c r="G176" i="1" s="1"/>
  <c r="BW176" i="6" s="1"/>
  <c r="P57" i="15"/>
  <c r="AI13" i="7"/>
  <c r="AH13" i="7"/>
  <c r="AD114" i="1"/>
  <c r="AA114" i="1" s="1"/>
  <c r="Z114" i="1" s="1"/>
  <c r="Y114" i="1" s="1"/>
  <c r="P332" i="1"/>
  <c r="V332" i="1" s="1"/>
  <c r="F332" i="1" s="1"/>
  <c r="G332" i="1" s="1"/>
  <c r="BW332" i="6" s="1"/>
  <c r="P17" i="1"/>
  <c r="V17" i="1" s="1"/>
  <c r="P141" i="15"/>
  <c r="P199" i="15"/>
  <c r="P227" i="15"/>
  <c r="P319" i="15"/>
  <c r="P93" i="15"/>
  <c r="P181" i="15"/>
  <c r="P36" i="15"/>
  <c r="P239" i="15"/>
  <c r="P109" i="15"/>
  <c r="P301" i="15"/>
  <c r="P375" i="15"/>
  <c r="P171" i="15"/>
  <c r="P89" i="15"/>
  <c r="P98" i="15"/>
  <c r="P92" i="15"/>
  <c r="P103" i="15"/>
  <c r="P78" i="15"/>
  <c r="P235" i="15"/>
  <c r="P157" i="15"/>
  <c r="P16" i="15"/>
  <c r="P70" i="15"/>
  <c r="P205" i="15"/>
  <c r="P132" i="15"/>
  <c r="P246" i="15"/>
  <c r="P267" i="15"/>
  <c r="P168" i="15"/>
  <c r="P117" i="15"/>
  <c r="P51" i="15"/>
  <c r="P80" i="15"/>
  <c r="P221" i="15"/>
  <c r="P161" i="15"/>
  <c r="P238" i="15"/>
  <c r="AD157" i="15"/>
  <c r="AD362" i="15"/>
  <c r="AD56" i="15"/>
  <c r="AD106" i="15"/>
  <c r="AD207" i="15"/>
  <c r="AD244" i="15"/>
  <c r="AD51" i="15"/>
  <c r="AD161" i="15"/>
  <c r="AD195" i="15"/>
  <c r="AD369" i="15"/>
  <c r="AD292" i="15"/>
  <c r="AD92" i="15"/>
  <c r="AD373" i="15"/>
  <c r="AD94" i="15"/>
  <c r="AD186" i="15"/>
  <c r="AD303" i="15"/>
  <c r="AD363" i="15"/>
  <c r="AD287" i="15"/>
  <c r="AD372" i="15"/>
  <c r="AD351" i="15"/>
  <c r="P312" i="15"/>
  <c r="P37" i="15"/>
  <c r="P325" i="15"/>
  <c r="P170" i="15"/>
  <c r="P265" i="15"/>
  <c r="AD358" i="15"/>
  <c r="AD123" i="15"/>
  <c r="AD204" i="15"/>
  <c r="AD232" i="15"/>
  <c r="AD225" i="15"/>
  <c r="AD134" i="15"/>
  <c r="AD111" i="15"/>
  <c r="AD289" i="15"/>
  <c r="AD109" i="15"/>
  <c r="AD254" i="15"/>
  <c r="AD201" i="15"/>
  <c r="AD16" i="15"/>
  <c r="AD345" i="15"/>
  <c r="P214" i="1"/>
  <c r="V214" i="1" s="1"/>
  <c r="AD267" i="1"/>
  <c r="AA267" i="1" s="1"/>
  <c r="Z267" i="1" s="1"/>
  <c r="Y267" i="1" s="1"/>
  <c r="AD294" i="1"/>
  <c r="AA294" i="1" s="1"/>
  <c r="Z294" i="1" s="1"/>
  <c r="Y294" i="1" s="1"/>
  <c r="AD311" i="1"/>
  <c r="AA311" i="1" s="1"/>
  <c r="Z311" i="1" s="1"/>
  <c r="Y311" i="1" s="1"/>
  <c r="P333" i="1"/>
  <c r="D30" i="7" s="1"/>
  <c r="P318" i="1"/>
  <c r="V318" i="1" s="1"/>
  <c r="F318" i="1" s="1"/>
  <c r="I318" i="1" s="1"/>
  <c r="AD230" i="1"/>
  <c r="AA230" i="1" s="1"/>
  <c r="Z230" i="1" s="1"/>
  <c r="Y230" i="1" s="1"/>
  <c r="P92" i="1"/>
  <c r="V92" i="1" s="1"/>
  <c r="AA92" i="1" s="1"/>
  <c r="Z92" i="1" s="1"/>
  <c r="Y92" i="1" s="1"/>
  <c r="P111" i="1"/>
  <c r="V111" i="1" s="1"/>
  <c r="AA111" i="1" s="1"/>
  <c r="Z111" i="1" s="1"/>
  <c r="Y111" i="1" s="1"/>
  <c r="P232" i="1"/>
  <c r="V232" i="1" s="1"/>
  <c r="F232" i="1" s="1"/>
  <c r="G232" i="1" s="1"/>
  <c r="BW232" i="6" s="1"/>
  <c r="P120" i="1"/>
  <c r="V120" i="1" s="1"/>
  <c r="P38" i="1"/>
  <c r="V38" i="1" s="1"/>
  <c r="AA38" i="1" s="1"/>
  <c r="Z38" i="1" s="1"/>
  <c r="Y38" i="1" s="1"/>
  <c r="AD375" i="1"/>
  <c r="P89" i="1"/>
  <c r="V89" i="1" s="1"/>
  <c r="AA89" i="1" s="1"/>
  <c r="Z89" i="1" s="1"/>
  <c r="Y89" i="1" s="1"/>
  <c r="AD332" i="1"/>
  <c r="P357" i="1"/>
  <c r="V357" i="1" s="1"/>
  <c r="F357" i="1" s="1"/>
  <c r="G357" i="1" s="1"/>
  <c r="BW357" i="6" s="1"/>
  <c r="AD181" i="1"/>
  <c r="AD141" i="1"/>
  <c r="AA141" i="1" s="1"/>
  <c r="Z141" i="1" s="1"/>
  <c r="Y141" i="1" s="1"/>
  <c r="P235" i="1"/>
  <c r="V235" i="1" s="1"/>
  <c r="F235" i="1" s="1"/>
  <c r="P134" i="1"/>
  <c r="V134" i="1" s="1"/>
  <c r="AA134" i="1" s="1"/>
  <c r="Z134" i="1" s="1"/>
  <c r="Y134" i="1" s="1"/>
  <c r="AD67" i="1"/>
  <c r="AA67" i="1" s="1"/>
  <c r="Z67" i="1" s="1"/>
  <c r="Y67" i="1" s="1"/>
  <c r="P185" i="1"/>
  <c r="V185" i="1" s="1"/>
  <c r="F185" i="1" s="1"/>
  <c r="G185" i="1" s="1"/>
  <c r="BW185" i="6" s="1"/>
  <c r="P80" i="1"/>
  <c r="V80" i="1" s="1"/>
  <c r="AD48" i="1"/>
  <c r="AA48" i="1" s="1"/>
  <c r="Z48" i="1" s="1"/>
  <c r="Y48" i="1" s="1"/>
  <c r="AD358" i="1"/>
  <c r="AD32" i="1"/>
  <c r="AA32" i="1" s="1"/>
  <c r="Z32" i="1" s="1"/>
  <c r="Y32" i="1" s="1"/>
  <c r="AD37" i="1"/>
  <c r="AA37" i="1" s="1"/>
  <c r="Z37" i="1" s="1"/>
  <c r="Y37" i="1" s="1"/>
  <c r="AD365" i="1"/>
  <c r="AA365" i="1" s="1"/>
  <c r="Z365" i="1" s="1"/>
  <c r="Y365" i="1" s="1"/>
  <c r="P301" i="1"/>
  <c r="V301" i="1" s="1"/>
  <c r="F301" i="1" s="1"/>
  <c r="G301" i="1" s="1"/>
  <c r="BW301" i="6" s="1"/>
  <c r="P376" i="1"/>
  <c r="V376" i="1" s="1"/>
  <c r="F376" i="1" s="1"/>
  <c r="I376" i="1" s="1"/>
  <c r="P40" i="1"/>
  <c r="V40" i="1" s="1"/>
  <c r="AA40" i="1" s="1"/>
  <c r="Z40" i="1" s="1"/>
  <c r="Y40" i="1" s="1"/>
  <c r="AS11" i="7"/>
  <c r="Q11" i="23" s="1"/>
  <c r="AD294" i="15"/>
  <c r="AD296" i="15"/>
  <c r="P212" i="15"/>
  <c r="AD281" i="15"/>
  <c r="AJ22" i="23"/>
  <c r="AJ32" i="23"/>
  <c r="AJ54" i="23"/>
  <c r="AJ70" i="23"/>
  <c r="AJ98" i="23"/>
  <c r="AJ91" i="23"/>
  <c r="AJ124" i="23"/>
  <c r="AJ150" i="23"/>
  <c r="AJ130" i="23"/>
  <c r="AJ170" i="23"/>
  <c r="AJ193" i="23"/>
  <c r="AJ225" i="23"/>
  <c r="AJ253" i="23"/>
  <c r="AJ206" i="23"/>
  <c r="AJ238" i="23"/>
  <c r="AJ40" i="23"/>
  <c r="AJ57" i="23"/>
  <c r="AJ115" i="23"/>
  <c r="AJ143" i="23"/>
  <c r="AJ160" i="23"/>
  <c r="AJ215" i="23"/>
  <c r="AJ198" i="23"/>
  <c r="AJ257" i="23"/>
  <c r="AJ293" i="23"/>
  <c r="AJ323" i="23"/>
  <c r="AJ358" i="23"/>
  <c r="AJ262" i="23"/>
  <c r="AJ289" i="23"/>
  <c r="AJ322" i="23"/>
  <c r="AJ354" i="23"/>
  <c r="AJ31" i="23"/>
  <c r="AJ69" i="23"/>
  <c r="AJ87" i="23"/>
  <c r="AJ114" i="23"/>
  <c r="AJ163" i="23"/>
  <c r="AJ172" i="23"/>
  <c r="AJ242" i="23"/>
  <c r="AJ224" i="23"/>
  <c r="AJ274" i="23"/>
  <c r="AJ303" i="23"/>
  <c r="AJ337" i="23"/>
  <c r="AJ366" i="23"/>
  <c r="AJ272" i="23"/>
  <c r="AJ307" i="23"/>
  <c r="AJ336" i="23"/>
  <c r="AJ372" i="23"/>
  <c r="AJ19" i="23"/>
  <c r="AJ52" i="23"/>
  <c r="AJ28" i="23"/>
  <c r="AJ64" i="23"/>
  <c r="AJ93" i="23"/>
  <c r="AJ83" i="23"/>
  <c r="AJ121" i="23"/>
  <c r="AJ148" i="23"/>
  <c r="AJ125" i="23"/>
  <c r="AJ167" i="23"/>
  <c r="AJ190" i="23"/>
  <c r="AJ221" i="23"/>
  <c r="AJ251" i="23"/>
  <c r="AJ202" i="23"/>
  <c r="AJ234" i="23"/>
  <c r="AJ34" i="23"/>
  <c r="AJ75" i="23"/>
  <c r="AJ108" i="23"/>
  <c r="AJ138" i="23"/>
  <c r="AJ147" i="23"/>
  <c r="AJ209" i="23"/>
  <c r="AJ183" i="23"/>
  <c r="AJ250" i="23"/>
  <c r="AJ287" i="23"/>
  <c r="AJ318" i="23"/>
  <c r="AJ349" i="23"/>
  <c r="AJ379" i="23"/>
  <c r="AJ286" i="23"/>
  <c r="AJ319" i="23"/>
  <c r="AJ352" i="23"/>
  <c r="AJ20" i="23"/>
  <c r="AJ53" i="23"/>
  <c r="AJ78" i="23"/>
  <c r="AJ103" i="23"/>
  <c r="AJ158" i="23"/>
  <c r="AJ182" i="23"/>
  <c r="AJ235" i="23"/>
  <c r="AJ216" i="23"/>
  <c r="AJ266" i="23"/>
  <c r="AJ300" i="23"/>
  <c r="AJ333" i="23"/>
  <c r="AJ363" i="23"/>
  <c r="AJ269" i="23"/>
  <c r="AJ301" i="23"/>
  <c r="AJ332" i="23"/>
  <c r="AJ370" i="23"/>
  <c r="AJ46" i="23"/>
  <c r="AJ58" i="23"/>
  <c r="AJ81" i="23"/>
  <c r="AJ145" i="23"/>
  <c r="AJ165" i="23"/>
  <c r="AJ218" i="23"/>
  <c r="AJ199" i="23"/>
  <c r="AJ25" i="23"/>
  <c r="AJ102" i="23"/>
  <c r="AJ136" i="23"/>
  <c r="AJ174" i="23"/>
  <c r="AJ281" i="23"/>
  <c r="AJ346" i="23"/>
  <c r="AJ283" i="23"/>
  <c r="AJ347" i="23"/>
  <c r="AJ45" i="23"/>
  <c r="AJ95" i="23"/>
  <c r="AJ171" i="23"/>
  <c r="AJ207" i="23"/>
  <c r="AJ297" i="23"/>
  <c r="AJ361" i="23"/>
  <c r="AJ295" i="23"/>
  <c r="AJ357" i="23"/>
  <c r="AJ41" i="23"/>
  <c r="AJ51" i="23"/>
  <c r="AJ113" i="23"/>
  <c r="AJ141" i="23"/>
  <c r="AJ157" i="23"/>
  <c r="AJ214" i="23"/>
  <c r="AJ195" i="23"/>
  <c r="AJ17" i="23"/>
  <c r="AJ68" i="23"/>
  <c r="AJ149" i="23"/>
  <c r="AJ222" i="23"/>
  <c r="AJ259" i="23"/>
  <c r="AJ327" i="23"/>
  <c r="AJ265" i="23"/>
  <c r="AJ325" i="23"/>
  <c r="AJ21" i="23"/>
  <c r="AJ92" i="23"/>
  <c r="AJ123" i="23"/>
  <c r="AJ249" i="23"/>
  <c r="AJ278" i="23"/>
  <c r="AJ341" i="23"/>
  <c r="AJ276" i="23"/>
  <c r="AJ340" i="23"/>
  <c r="AJ33" i="23"/>
  <c r="AJ105" i="23"/>
  <c r="AJ137" i="23"/>
  <c r="AJ175" i="23"/>
  <c r="AJ76" i="23"/>
  <c r="AJ230" i="23"/>
  <c r="AJ331" i="23"/>
  <c r="AJ330" i="23"/>
  <c r="AJ99" i="23"/>
  <c r="AJ255" i="23"/>
  <c r="AJ343" i="23"/>
  <c r="AJ345" i="23"/>
  <c r="AJ61" i="23"/>
  <c r="AJ127" i="23"/>
  <c r="AJ196" i="23"/>
  <c r="AJ243" i="23"/>
  <c r="AJ122" i="23"/>
  <c r="AJ236" i="23"/>
  <c r="AJ369" i="23"/>
  <c r="AJ378" i="23"/>
  <c r="AJ146" i="23"/>
  <c r="AJ258" i="23"/>
  <c r="AJ263" i="23"/>
  <c r="AJ16" i="23"/>
  <c r="AJ77" i="23"/>
  <c r="AJ156" i="23"/>
  <c r="AJ231" i="23"/>
  <c r="AJ97" i="23"/>
  <c r="AJ362" i="23"/>
  <c r="AJ126" i="23"/>
  <c r="AJ374" i="23"/>
  <c r="AJ73" i="23"/>
  <c r="AJ229" i="23"/>
  <c r="AJ128" i="23"/>
  <c r="AJ277" i="23"/>
  <c r="AJ166" i="23"/>
  <c r="AJ290" i="23"/>
  <c r="AJ298" i="23"/>
  <c r="AJ313" i="23"/>
  <c r="AJ208" i="23"/>
  <c r="AJ344" i="23"/>
  <c r="AJ355" i="23"/>
  <c r="AJ310" i="23"/>
  <c r="AJ342" i="23"/>
  <c r="AJ35" i="23"/>
  <c r="AJ44" i="23"/>
  <c r="AJ82" i="23"/>
  <c r="AJ23" i="23"/>
  <c r="AJ60" i="23"/>
  <c r="AJ86" i="23"/>
  <c r="AJ112" i="23"/>
  <c r="AJ162" i="23"/>
  <c r="AJ210" i="23"/>
  <c r="AJ186" i="23"/>
  <c r="AJ24" i="23"/>
  <c r="AJ89" i="23"/>
  <c r="AJ168" i="23"/>
  <c r="AJ246" i="23"/>
  <c r="AJ275" i="23"/>
  <c r="AJ339" i="23"/>
  <c r="AJ273" i="23"/>
  <c r="AJ308" i="23"/>
  <c r="AJ373" i="23"/>
  <c r="AJ111" i="23"/>
  <c r="AJ155" i="23"/>
  <c r="AJ192" i="23"/>
  <c r="AJ254" i="23"/>
  <c r="AJ320" i="23"/>
  <c r="AJ261" i="23"/>
  <c r="AJ353" i="23"/>
  <c r="AJ36" i="23"/>
  <c r="AJ50" i="23"/>
  <c r="AJ80" i="23"/>
  <c r="AJ134" i="23"/>
  <c r="AJ144" i="23"/>
  <c r="AJ205" i="23"/>
  <c r="AJ181" i="23"/>
  <c r="AJ18" i="23"/>
  <c r="AJ84" i="23"/>
  <c r="AJ161" i="23"/>
  <c r="AJ239" i="23"/>
  <c r="AJ270" i="23"/>
  <c r="AJ334" i="23"/>
  <c r="AJ271" i="23"/>
  <c r="AJ371" i="23"/>
  <c r="AJ67" i="23"/>
  <c r="AJ106" i="23"/>
  <c r="AJ142" i="23"/>
  <c r="AJ180" i="23"/>
  <c r="AJ284" i="23"/>
  <c r="AJ348" i="23"/>
  <c r="AJ285" i="23"/>
  <c r="AJ317" i="23"/>
  <c r="AJ351" i="23"/>
  <c r="AJ90" i="23"/>
  <c r="AJ119" i="23"/>
  <c r="AJ247" i="23"/>
  <c r="AJ62" i="23"/>
  <c r="AJ129" i="23"/>
  <c r="AJ245" i="23"/>
  <c r="AJ376" i="23"/>
  <c r="AJ380" i="23"/>
  <c r="AJ151" i="23"/>
  <c r="AJ260" i="23"/>
  <c r="AJ267" i="23"/>
  <c r="AJ29" i="23"/>
  <c r="AJ88" i="23"/>
  <c r="AJ164" i="23"/>
  <c r="AJ244" i="23"/>
  <c r="AJ169" i="23"/>
  <c r="AJ296" i="23"/>
  <c r="AJ292" i="23"/>
  <c r="AJ356" i="23"/>
  <c r="AJ120" i="23"/>
  <c r="AJ233" i="23"/>
  <c r="AJ368" i="23"/>
  <c r="AJ375" i="23"/>
  <c r="AJ131" i="23"/>
  <c r="AJ15" i="23"/>
  <c r="AJ264" i="23"/>
  <c r="AJ133" i="23"/>
  <c r="AJ282" i="23"/>
  <c r="AJ27" i="23"/>
  <c r="AJ135" i="23"/>
  <c r="AJ37" i="23"/>
  <c r="AJ309" i="23"/>
  <c r="AJ59" i="23"/>
  <c r="AJ326" i="23"/>
  <c r="AJ48" i="23"/>
  <c r="AJ179" i="23"/>
  <c r="AJ211" i="23"/>
  <c r="AJ241" i="23"/>
  <c r="AJ152" i="23"/>
  <c r="AJ47" i="23"/>
  <c r="AJ279" i="23"/>
  <c r="AJ294" i="23"/>
  <c r="AJ194" i="23"/>
  <c r="AJ252" i="23"/>
  <c r="AJ299" i="23"/>
  <c r="AJ359" i="23"/>
  <c r="AJ94" i="23"/>
  <c r="AJ39" i="23"/>
  <c r="AJ79" i="23"/>
  <c r="AJ110" i="23"/>
  <c r="AJ139" i="23"/>
  <c r="AJ154" i="23"/>
  <c r="AJ189" i="23"/>
  <c r="AJ240" i="23"/>
  <c r="AJ223" i="23"/>
  <c r="AJ65" i="23"/>
  <c r="AJ117" i="23"/>
  <c r="AJ176" i="23"/>
  <c r="AJ228" i="23"/>
  <c r="AJ304" i="23"/>
  <c r="AJ367" i="23"/>
  <c r="AJ338" i="23"/>
  <c r="AJ42" i="23"/>
  <c r="AJ43" i="23"/>
  <c r="AJ140" i="23"/>
  <c r="AJ212" i="23"/>
  <c r="AJ291" i="23"/>
  <c r="AJ350" i="23"/>
  <c r="AJ288" i="23"/>
  <c r="AJ321" i="23"/>
  <c r="AJ74" i="23"/>
  <c r="AJ107" i="23"/>
  <c r="AJ104" i="23"/>
  <c r="AJ159" i="23"/>
  <c r="AJ184" i="23"/>
  <c r="AJ237" i="23"/>
  <c r="AJ217" i="23"/>
  <c r="AJ49" i="23"/>
  <c r="AJ109" i="23"/>
  <c r="AJ188" i="23"/>
  <c r="AJ219" i="23"/>
  <c r="AJ302" i="23"/>
  <c r="AJ364" i="23"/>
  <c r="AJ305" i="23"/>
  <c r="AJ335" i="23"/>
  <c r="AJ38" i="23"/>
  <c r="AJ132" i="23"/>
  <c r="AJ203" i="23"/>
  <c r="AJ248" i="23"/>
  <c r="AJ316" i="23"/>
  <c r="AJ377" i="23"/>
  <c r="F7" i="23"/>
  <c r="AJ71" i="23"/>
  <c r="AJ118" i="23"/>
  <c r="AJ185" i="23"/>
  <c r="AJ232" i="23"/>
  <c r="AJ197" i="23"/>
  <c r="AJ315" i="23"/>
  <c r="AJ314" i="23"/>
  <c r="AJ72" i="23"/>
  <c r="AJ226" i="23"/>
  <c r="AJ328" i="23"/>
  <c r="AJ329" i="23"/>
  <c r="AJ66" i="23"/>
  <c r="AJ116" i="23"/>
  <c r="AJ173" i="23"/>
  <c r="AJ227" i="23"/>
  <c r="AJ85" i="23"/>
  <c r="AJ204" i="23"/>
  <c r="AJ360" i="23"/>
  <c r="AJ26" i="23"/>
  <c r="AJ187" i="23"/>
  <c r="AJ306" i="23"/>
  <c r="AJ311" i="23"/>
  <c r="AJ63" i="23"/>
  <c r="AJ201" i="23"/>
  <c r="AJ153" i="23"/>
  <c r="AJ268" i="23"/>
  <c r="AJ30" i="23"/>
  <c r="AJ280" i="23"/>
  <c r="AJ100" i="23"/>
  <c r="AJ256" i="23"/>
  <c r="AJ191" i="23"/>
  <c r="AJ312" i="23"/>
  <c r="AJ220" i="23"/>
  <c r="AJ324" i="23"/>
  <c r="AJ101" i="23"/>
  <c r="AJ213" i="23"/>
  <c r="AJ365" i="23"/>
  <c r="AR13" i="7"/>
  <c r="AJ56" i="23"/>
  <c r="AJ178" i="23"/>
  <c r="AJ96" i="23"/>
  <c r="AJ200" i="23"/>
  <c r="AJ177" i="23"/>
  <c r="AJ55" i="23"/>
  <c r="O9" i="24"/>
  <c r="AC12" i="22"/>
  <c r="AC9" i="22"/>
  <c r="O12" i="22"/>
  <c r="O11" i="22"/>
  <c r="P12" i="22"/>
  <c r="F8" i="22"/>
  <c r="AK43" i="22"/>
  <c r="AK55" i="22"/>
  <c r="AK56" i="22"/>
  <c r="AK70" i="22"/>
  <c r="AK33" i="22"/>
  <c r="AK69" i="22"/>
  <c r="AK74" i="22"/>
  <c r="AK96" i="22"/>
  <c r="AK107" i="22"/>
  <c r="AK85" i="22"/>
  <c r="AK100" i="22"/>
  <c r="AK118" i="22"/>
  <c r="AK132" i="22"/>
  <c r="AK144" i="22"/>
  <c r="AK162" i="22"/>
  <c r="AK128" i="22"/>
  <c r="AK148" i="22"/>
  <c r="AK164" i="22"/>
  <c r="AK174" i="22"/>
  <c r="AK183" i="22"/>
  <c r="AK195" i="22"/>
  <c r="AK211" i="22"/>
  <c r="AK233" i="22"/>
  <c r="AK249" i="22"/>
  <c r="AK178" i="22"/>
  <c r="AK206" i="22"/>
  <c r="AK216" i="22"/>
  <c r="AK228" i="22"/>
  <c r="AK245" i="22"/>
  <c r="AK266" i="22"/>
  <c r="AK281" i="22"/>
  <c r="AK297" i="22"/>
  <c r="AK308" i="22"/>
  <c r="AK325" i="22"/>
  <c r="AK341" i="22"/>
  <c r="AK355" i="22"/>
  <c r="AK372" i="22"/>
  <c r="AK265" i="22"/>
  <c r="AK282" i="22"/>
  <c r="AK299" i="22"/>
  <c r="AK317" i="22"/>
  <c r="AK335" i="22"/>
  <c r="AK349" i="22"/>
  <c r="AK366" i="22"/>
  <c r="AK16" i="22"/>
  <c r="AK29" i="22"/>
  <c r="AK40" i="22"/>
  <c r="AK54" i="22"/>
  <c r="AK52" i="22"/>
  <c r="AK68" i="22"/>
  <c r="AK31" i="22"/>
  <c r="AK67" i="22"/>
  <c r="AK72" i="22"/>
  <c r="AK93" i="22"/>
  <c r="AK106" i="22"/>
  <c r="AK83" i="22"/>
  <c r="AK95" i="22"/>
  <c r="AK117" i="22"/>
  <c r="AK131" i="22"/>
  <c r="AK141" i="22"/>
  <c r="AK161" i="22"/>
  <c r="AK127" i="22"/>
  <c r="AK147" i="22"/>
  <c r="AK163" i="22"/>
  <c r="AK173" i="22"/>
  <c r="AK182" i="22"/>
  <c r="AK193" i="22"/>
  <c r="AK205" i="22"/>
  <c r="AK231" i="22"/>
  <c r="AK248" i="22"/>
  <c r="AK258" i="22"/>
  <c r="AK201" i="22"/>
  <c r="AK215" i="22"/>
  <c r="AK226" i="22"/>
  <c r="AK244" i="22"/>
  <c r="AK264" i="22"/>
  <c r="AK278" i="22"/>
  <c r="AK296" i="22"/>
  <c r="AK307" i="22"/>
  <c r="AK324" i="22"/>
  <c r="AK340" i="22"/>
  <c r="AK354" i="22"/>
  <c r="AK371" i="22"/>
  <c r="AK262" i="22"/>
  <c r="AK280" i="22"/>
  <c r="AK292" i="22"/>
  <c r="AK316" i="22"/>
  <c r="AK332" i="22"/>
  <c r="AK348" i="22"/>
  <c r="AK365" i="22"/>
  <c r="AK360" i="22"/>
  <c r="AK330" i="22"/>
  <c r="AK289" i="22"/>
  <c r="AK259" i="22"/>
  <c r="AK352" i="22"/>
  <c r="AK319" i="22"/>
  <c r="AK294" i="22"/>
  <c r="AK261" i="22"/>
  <c r="AK223" i="22"/>
  <c r="AK198" i="22"/>
  <c r="AK241" i="22"/>
  <c r="AK203" i="22"/>
  <c r="AK180" i="22"/>
  <c r="AK155" i="22"/>
  <c r="AK122" i="22"/>
  <c r="AK139" i="22"/>
  <c r="AK114" i="22"/>
  <c r="AK116" i="22"/>
  <c r="AK86" i="22"/>
  <c r="AK64" i="22"/>
  <c r="AK63" i="22"/>
  <c r="AK51" i="22"/>
  <c r="AK23" i="22"/>
  <c r="AK363" i="22"/>
  <c r="AK20" i="22"/>
  <c r="AK36" i="22"/>
  <c r="AK49" i="22"/>
  <c r="AK37" i="22"/>
  <c r="AK62" i="22"/>
  <c r="AK22" i="22"/>
  <c r="AK50" i="22"/>
  <c r="AK78" i="22"/>
  <c r="AK84" i="22"/>
  <c r="AK101" i="22"/>
  <c r="AK111" i="22"/>
  <c r="AK91" i="22"/>
  <c r="AK113" i="22"/>
  <c r="AK126" i="22"/>
  <c r="AK138" i="22"/>
  <c r="AK157" i="22"/>
  <c r="AK121" i="22"/>
  <c r="AK143" i="22"/>
  <c r="AK154" i="22"/>
  <c r="AK168" i="22"/>
  <c r="AK179" i="22"/>
  <c r="AK190" i="22"/>
  <c r="AK202" i="22"/>
  <c r="AK225" i="22"/>
  <c r="AK238" i="22"/>
  <c r="AK253" i="22"/>
  <c r="AK194" i="22"/>
  <c r="AK210" i="22"/>
  <c r="AK222" i="22"/>
  <c r="AK239" i="22"/>
  <c r="AK257" i="22"/>
  <c r="AK275" i="22"/>
  <c r="AK293" i="22"/>
  <c r="AK302" i="22"/>
  <c r="AK318" i="22"/>
  <c r="AK333" i="22"/>
  <c r="AK350" i="22"/>
  <c r="AK364" i="22"/>
  <c r="AK380" i="22"/>
  <c r="AK272" i="22"/>
  <c r="AK287" i="22"/>
  <c r="AK311" i="22"/>
  <c r="AK328" i="22"/>
  <c r="AK342" i="22"/>
  <c r="AK359" i="22"/>
  <c r="AK376" i="22"/>
  <c r="AK18" i="22"/>
  <c r="AK35" i="22"/>
  <c r="AK32" i="22"/>
  <c r="AK21" i="22"/>
  <c r="AK76" i="22"/>
  <c r="AK99" i="22"/>
  <c r="AK90" i="22"/>
  <c r="AK124" i="22"/>
  <c r="AK156" i="22"/>
  <c r="AK142" i="22"/>
  <c r="AK167" i="22"/>
  <c r="AK189" i="22"/>
  <c r="AK219" i="22"/>
  <c r="AK252" i="22"/>
  <c r="AK209" i="22"/>
  <c r="AK236" i="22"/>
  <c r="AK273" i="22"/>
  <c r="AK301" i="22"/>
  <c r="AK329" i="22"/>
  <c r="AK362" i="22"/>
  <c r="AK269" i="22"/>
  <c r="AK310" i="22"/>
  <c r="AK338" i="22"/>
  <c r="AK375" i="22"/>
  <c r="AK343" i="22"/>
  <c r="AK274" i="22"/>
  <c r="AK334" i="22"/>
  <c r="AK276" i="22"/>
  <c r="AK213" i="22"/>
  <c r="AK227" i="22"/>
  <c r="AK169" i="22"/>
  <c r="AK158" i="22"/>
  <c r="AK92" i="22"/>
  <c r="AK79" i="22"/>
  <c r="AK42" i="22"/>
  <c r="AK378" i="22"/>
  <c r="AK331" i="22"/>
  <c r="AK291" i="22"/>
  <c r="AK260" i="22"/>
  <c r="AK353" i="22"/>
  <c r="AK320" i="22"/>
  <c r="AK295" i="22"/>
  <c r="AK263" i="22"/>
  <c r="AK224" i="22"/>
  <c r="AK200" i="22"/>
  <c r="AK243" i="22"/>
  <c r="AK204" i="22"/>
  <c r="AK181" i="22"/>
  <c r="AK160" i="22"/>
  <c r="AK125" i="22"/>
  <c r="AK140" i="22"/>
  <c r="AK115" i="22"/>
  <c r="AK82" i="22"/>
  <c r="AK89" i="22"/>
  <c r="AK66" i="22"/>
  <c r="AK65" i="22"/>
  <c r="AK53" i="22"/>
  <c r="AK24" i="22"/>
  <c r="AK377" i="22"/>
  <c r="AK312" i="22"/>
  <c r="AK367" i="22"/>
  <c r="AK304" i="22"/>
  <c r="AK240" i="22"/>
  <c r="AK254" i="22"/>
  <c r="AK191" i="22"/>
  <c r="AK145" i="22"/>
  <c r="AK129" i="22"/>
  <c r="AK103" i="22"/>
  <c r="AK25" i="22"/>
  <c r="AK38" i="22"/>
  <c r="AK344" i="22"/>
  <c r="AK314" i="22"/>
  <c r="AK279" i="22"/>
  <c r="AK369" i="22"/>
  <c r="AK339" i="22"/>
  <c r="AK306" i="22"/>
  <c r="AK277" i="22"/>
  <c r="AK242" i="22"/>
  <c r="AK214" i="22"/>
  <c r="AK255" i="22"/>
  <c r="AK230" i="22"/>
  <c r="AK192" i="22"/>
  <c r="AK172" i="22"/>
  <c r="AK146" i="22"/>
  <c r="AK159" i="22"/>
  <c r="AK130" i="22"/>
  <c r="AK94" i="22"/>
  <c r="AK104" i="22"/>
  <c r="AK60" i="22"/>
  <c r="AK26" i="22"/>
  <c r="AK46" i="22"/>
  <c r="AK39" i="22"/>
  <c r="AK47" i="22"/>
  <c r="AK61" i="22"/>
  <c r="AK48" i="22"/>
  <c r="AK81" i="22"/>
  <c r="AK110" i="22"/>
  <c r="AK112" i="22"/>
  <c r="AK136" i="22"/>
  <c r="AK120" i="22"/>
  <c r="AK153" i="22"/>
  <c r="AK177" i="22"/>
  <c r="AK199" i="22"/>
  <c r="AK237" i="22"/>
  <c r="AK186" i="22"/>
  <c r="AK221" i="22"/>
  <c r="AK256" i="22"/>
  <c r="AK290" i="22"/>
  <c r="AK315" i="22"/>
  <c r="AK347" i="22"/>
  <c r="AK379" i="22"/>
  <c r="AK286" i="22"/>
  <c r="AK323" i="22"/>
  <c r="AK358" i="22"/>
  <c r="AK19" i="22"/>
  <c r="AK59" i="22"/>
  <c r="AK80" i="22"/>
  <c r="AK105" i="22"/>
  <c r="AK171" i="22"/>
  <c r="AK176" i="22"/>
  <c r="AK235" i="22"/>
  <c r="AK220" i="22"/>
  <c r="AK288" i="22"/>
  <c r="AK346" i="22"/>
  <c r="AK284" i="22"/>
  <c r="AK357" i="22"/>
  <c r="AK44" i="22"/>
  <c r="AK34" i="22"/>
  <c r="AK108" i="22"/>
  <c r="AK133" i="22"/>
  <c r="AK150" i="22"/>
  <c r="AK196" i="22"/>
  <c r="AK184" i="22"/>
  <c r="AK246" i="22"/>
  <c r="AK309" i="22"/>
  <c r="AK373" i="22"/>
  <c r="AK321" i="22"/>
  <c r="AK30" i="22"/>
  <c r="AK17" i="22"/>
  <c r="AK98" i="22"/>
  <c r="AK123" i="22"/>
  <c r="AK137" i="22"/>
  <c r="AK188" i="22"/>
  <c r="AK251" i="22"/>
  <c r="AK232" i="22"/>
  <c r="AK300" i="22"/>
  <c r="AK361" i="22"/>
  <c r="AK305" i="22"/>
  <c r="AK370" i="22"/>
  <c r="AK57" i="22"/>
  <c r="AK71" i="22"/>
  <c r="AK87" i="22"/>
  <c r="AK149" i="22"/>
  <c r="AK165" i="22"/>
  <c r="AK212" i="22"/>
  <c r="AK207" i="22"/>
  <c r="AK270" i="22"/>
  <c r="AK326" i="22"/>
  <c r="AK267" i="22"/>
  <c r="AK336" i="22"/>
  <c r="AK45" i="22"/>
  <c r="AK41" i="22"/>
  <c r="AK109" i="22"/>
  <c r="AK134" i="22"/>
  <c r="AK152" i="22"/>
  <c r="AK197" i="22"/>
  <c r="AK185" i="22"/>
  <c r="AK247" i="22"/>
  <c r="AK313" i="22"/>
  <c r="AK374" i="22"/>
  <c r="AK322" i="22"/>
  <c r="AK15" i="22"/>
  <c r="AK58" i="22"/>
  <c r="AK77" i="22"/>
  <c r="AK102" i="22"/>
  <c r="AK170" i="22"/>
  <c r="AK175" i="22"/>
  <c r="AK234" i="22"/>
  <c r="AK217" i="22"/>
  <c r="AK285" i="22"/>
  <c r="AK345" i="22"/>
  <c r="AK283" i="22"/>
  <c r="AK351" i="22"/>
  <c r="AK28" i="22"/>
  <c r="AK75" i="22"/>
  <c r="AK88" i="22"/>
  <c r="AK151" i="22"/>
  <c r="AK166" i="22"/>
  <c r="AK218" i="22"/>
  <c r="AK208" i="22"/>
  <c r="AK271" i="22"/>
  <c r="AK327" i="22"/>
  <c r="AK268" i="22"/>
  <c r="AK337" i="22"/>
  <c r="AK27" i="22"/>
  <c r="AK73" i="22"/>
  <c r="AK97" i="22"/>
  <c r="AK119" i="22"/>
  <c r="AK135" i="22"/>
  <c r="AK187" i="22"/>
  <c r="AK250" i="22"/>
  <c r="AK229" i="22"/>
  <c r="AK298" i="22"/>
  <c r="AK356" i="22"/>
  <c r="AK303" i="22"/>
  <c r="AK368" i="22"/>
  <c r="L16" i="19"/>
  <c r="P10" i="20"/>
  <c r="AD39" i="15"/>
  <c r="AD127" i="15"/>
  <c r="AD202" i="15"/>
  <c r="P11" i="23"/>
  <c r="AR15" i="7"/>
  <c r="AZ222" i="6"/>
  <c r="I361" i="1"/>
  <c r="G305" i="1"/>
  <c r="BW305" i="6" s="1"/>
  <c r="I182" i="1"/>
  <c r="I271" i="1"/>
  <c r="AZ238" i="6"/>
  <c r="AZ252" i="6"/>
  <c r="AZ253" i="6"/>
  <c r="AA87" i="1"/>
  <c r="Z87" i="1" s="1"/>
  <c r="Y87" i="1" s="1"/>
  <c r="AZ224" i="6"/>
  <c r="AZ225" i="6"/>
  <c r="AZ228" i="6"/>
  <c r="AZ241" i="6"/>
  <c r="AD17" i="15"/>
  <c r="I365" i="1"/>
  <c r="AZ271" i="6"/>
  <c r="AZ268" i="6"/>
  <c r="AZ380" i="6"/>
  <c r="AT12" i="6"/>
  <c r="AZ226" i="6"/>
  <c r="I174" i="1"/>
  <c r="AA27" i="1"/>
  <c r="Z27" i="1" s="1"/>
  <c r="Y27" i="1" s="1"/>
  <c r="V302" i="1"/>
  <c r="F302" i="1" s="1"/>
  <c r="G302" i="1" s="1"/>
  <c r="BW302" i="6" s="1"/>
  <c r="AZ262" i="6"/>
  <c r="AZ243" i="6"/>
  <c r="AZ259" i="6"/>
  <c r="AZ376" i="6"/>
  <c r="I253" i="1"/>
  <c r="P18" i="1"/>
  <c r="V18" i="1" s="1"/>
  <c r="AA18" i="1" s="1"/>
  <c r="Z18" i="1" s="1"/>
  <c r="Y18" i="1" s="1"/>
  <c r="AT13" i="6"/>
  <c r="AZ237" i="6"/>
  <c r="AZ236" i="6"/>
  <c r="J13" i="6"/>
  <c r="AZ372" i="6"/>
  <c r="AM380" i="6" s="1"/>
  <c r="AM381" i="6" s="1"/>
  <c r="AY31" i="6"/>
  <c r="AZ31" i="6" s="1"/>
  <c r="AY27" i="6"/>
  <c r="AZ27" i="6" s="1"/>
  <c r="AY25" i="6"/>
  <c r="AZ25" i="6" s="1"/>
  <c r="AY18" i="6"/>
  <c r="AZ18" i="6" s="1"/>
  <c r="AY33" i="6"/>
  <c r="AZ33" i="6" s="1"/>
  <c r="AZ230" i="6"/>
  <c r="AZ245" i="6"/>
  <c r="AZ220" i="6"/>
  <c r="AY15" i="6"/>
  <c r="AZ15" i="6" s="1"/>
  <c r="AY32" i="6"/>
  <c r="AZ32" i="6" s="1"/>
  <c r="AY20" i="6"/>
  <c r="AZ20" i="6" s="1"/>
  <c r="AY35" i="6"/>
  <c r="AZ35" i="6" s="1"/>
  <c r="AY26" i="6"/>
  <c r="AZ26" i="6" s="1"/>
  <c r="AZ229" i="6"/>
  <c r="J12" i="6"/>
  <c r="V21" i="1"/>
  <c r="AA21" i="1" s="1"/>
  <c r="Z21" i="1" s="1"/>
  <c r="Y21" i="1" s="1"/>
  <c r="P21" i="15"/>
  <c r="P19" i="15"/>
  <c r="AD19" i="15"/>
  <c r="I245" i="1"/>
  <c r="AA140" i="1"/>
  <c r="Z140" i="1" s="1"/>
  <c r="Y140" i="1" s="1"/>
  <c r="I204" i="1"/>
  <c r="AZ219" i="6"/>
  <c r="AZ244" i="6"/>
  <c r="AY28" i="6"/>
  <c r="AZ28" i="6" s="1"/>
  <c r="AY29" i="6"/>
  <c r="AZ29" i="6" s="1"/>
  <c r="AY17" i="6"/>
  <c r="AZ17" i="6" s="1"/>
  <c r="AY22" i="6"/>
  <c r="AZ22" i="6" s="1"/>
  <c r="N380" i="6" s="1"/>
  <c r="N381" i="6" s="1"/>
  <c r="AY21" i="6"/>
  <c r="AZ21" i="6" s="1"/>
  <c r="AY19" i="6"/>
  <c r="AZ19" i="6" s="1"/>
  <c r="AY24" i="6"/>
  <c r="AZ24" i="6" s="1"/>
  <c r="AY30" i="6"/>
  <c r="AZ30" i="6" s="1"/>
  <c r="AY34" i="6"/>
  <c r="AZ34" i="6" s="1"/>
  <c r="AY23" i="6"/>
  <c r="AZ23" i="6" s="1"/>
  <c r="P342" i="1"/>
  <c r="V342" i="1" s="1"/>
  <c r="F342" i="1" s="1"/>
  <c r="AA342" i="1" s="1"/>
  <c r="Z342" i="1" s="1"/>
  <c r="Y342" i="1" s="1"/>
  <c r="AD180" i="1"/>
  <c r="AD23" i="1"/>
  <c r="AA23" i="1" s="1"/>
  <c r="Z23" i="1" s="1"/>
  <c r="Y23" i="1" s="1"/>
  <c r="AD17" i="1"/>
  <c r="P291" i="15"/>
  <c r="AD167" i="1"/>
  <c r="AD169" i="1"/>
  <c r="AA169" i="1" s="1"/>
  <c r="Z169" i="1" s="1"/>
  <c r="Y169" i="1" s="1"/>
  <c r="P222" i="15"/>
  <c r="AD240" i="1"/>
  <c r="AA240" i="1" s="1"/>
  <c r="Z240" i="1" s="1"/>
  <c r="Y240" i="1" s="1"/>
  <c r="AD279" i="1"/>
  <c r="AA279" i="1" s="1"/>
  <c r="Z279" i="1" s="1"/>
  <c r="Y279" i="1" s="1"/>
  <c r="AD47" i="1"/>
  <c r="AA47" i="1" s="1"/>
  <c r="Z47" i="1" s="1"/>
  <c r="Y47" i="1" s="1"/>
  <c r="P70" i="1"/>
  <c r="V70" i="1" s="1"/>
  <c r="AA70" i="1" s="1"/>
  <c r="Z70" i="1" s="1"/>
  <c r="Y70" i="1" s="1"/>
  <c r="AD170" i="1"/>
  <c r="AD161" i="1"/>
  <c r="AA161" i="1" s="1"/>
  <c r="Z161" i="1" s="1"/>
  <c r="Y161" i="1" s="1"/>
  <c r="P181" i="1"/>
  <c r="V181" i="1" s="1"/>
  <c r="F181" i="1" s="1"/>
  <c r="G181" i="1" s="1"/>
  <c r="BW181" i="6" s="1"/>
  <c r="P254" i="1"/>
  <c r="V254" i="1" s="1"/>
  <c r="F254" i="1" s="1"/>
  <c r="AA254" i="1" s="1"/>
  <c r="Z254" i="1" s="1"/>
  <c r="Y254" i="1" s="1"/>
  <c r="AD286" i="1"/>
  <c r="AA286" i="1" s="1"/>
  <c r="Z286" i="1" s="1"/>
  <c r="Y286" i="1" s="1"/>
  <c r="P371" i="1"/>
  <c r="V371" i="1" s="1"/>
  <c r="F371" i="1" s="1"/>
  <c r="P199" i="1"/>
  <c r="V199" i="1" s="1"/>
  <c r="F199" i="1" s="1"/>
  <c r="I199" i="1" s="1"/>
  <c r="P358" i="1"/>
  <c r="V358" i="1" s="1"/>
  <c r="F358" i="1" s="1"/>
  <c r="AD364" i="1"/>
  <c r="AA364" i="1" s="1"/>
  <c r="Z364" i="1" s="1"/>
  <c r="Y364" i="1" s="1"/>
  <c r="AD132" i="1"/>
  <c r="AA132" i="1" s="1"/>
  <c r="Z132" i="1" s="1"/>
  <c r="Y132" i="1" s="1"/>
  <c r="P24" i="1"/>
  <c r="V24" i="1" s="1"/>
  <c r="AA24" i="1" s="1"/>
  <c r="Z24" i="1" s="1"/>
  <c r="Y24" i="1" s="1"/>
  <c r="P336" i="1"/>
  <c r="V336" i="1" s="1"/>
  <c r="F336" i="1" s="1"/>
  <c r="G336" i="1" s="1"/>
  <c r="BW336" i="6" s="1"/>
  <c r="P167" i="1"/>
  <c r="V167" i="1" s="1"/>
  <c r="P313" i="1"/>
  <c r="V313" i="1" s="1"/>
  <c r="F313" i="1" s="1"/>
  <c r="I313" i="1" s="1"/>
  <c r="P41" i="1"/>
  <c r="V41" i="1" s="1"/>
  <c r="AA41" i="1" s="1"/>
  <c r="Z41" i="1" s="1"/>
  <c r="Y41" i="1" s="1"/>
  <c r="I331" i="1"/>
  <c r="AD196" i="15"/>
  <c r="AF72" i="1"/>
  <c r="AD72" i="1" s="1"/>
  <c r="AA72" i="1" s="1"/>
  <c r="Z72" i="1" s="1"/>
  <c r="Y72" i="1" s="1"/>
  <c r="AG381" i="1"/>
  <c r="P315" i="1"/>
  <c r="V315" i="1" s="1"/>
  <c r="F315" i="1" s="1"/>
  <c r="G315" i="1" s="1"/>
  <c r="BW315" i="6" s="1"/>
  <c r="AD315" i="1"/>
  <c r="P150" i="15"/>
  <c r="P334" i="15"/>
  <c r="AD334" i="15"/>
  <c r="AD374" i="15"/>
  <c r="P127" i="15"/>
  <c r="P336" i="15"/>
  <c r="P236" i="15"/>
  <c r="G283" i="1"/>
  <c r="BW283" i="6" s="1"/>
  <c r="I283" i="1"/>
  <c r="AD45" i="1"/>
  <c r="P45" i="1"/>
  <c r="V45" i="1" s="1"/>
  <c r="AD121" i="1"/>
  <c r="P121" i="1"/>
  <c r="V121" i="1" s="1"/>
  <c r="P86" i="1"/>
  <c r="V86" i="1" s="1"/>
  <c r="AD86" i="1"/>
  <c r="AD273" i="1"/>
  <c r="P273" i="1"/>
  <c r="V273" i="1" s="1"/>
  <c r="F273" i="1" s="1"/>
  <c r="AD20" i="1"/>
  <c r="AD212" i="1"/>
  <c r="AD205" i="1"/>
  <c r="P205" i="1"/>
  <c r="V205" i="1" s="1"/>
  <c r="F205" i="1" s="1"/>
  <c r="I205" i="1" s="1"/>
  <c r="P157" i="1"/>
  <c r="V157" i="1" s="1"/>
  <c r="AD157" i="1"/>
  <c r="P300" i="1"/>
  <c r="V300" i="1" s="1"/>
  <c r="F300" i="1" s="1"/>
  <c r="AD300" i="1"/>
  <c r="P241" i="1"/>
  <c r="D27" i="7" s="1"/>
  <c r="AD241" i="1"/>
  <c r="P238" i="1"/>
  <c r="V238" i="1" s="1"/>
  <c r="F238" i="1" s="1"/>
  <c r="AD238" i="1"/>
  <c r="AD36" i="1"/>
  <c r="P36" i="1"/>
  <c r="V36" i="1" s="1"/>
  <c r="AD109" i="1"/>
  <c r="P109" i="1"/>
  <c r="V109" i="1" s="1"/>
  <c r="P234" i="1"/>
  <c r="V234" i="1" s="1"/>
  <c r="F234" i="1" s="1"/>
  <c r="I234" i="1" s="1"/>
  <c r="AD234" i="1"/>
  <c r="AD198" i="1"/>
  <c r="P198" i="1"/>
  <c r="V198" i="1" s="1"/>
  <c r="AD160" i="15"/>
  <c r="AD136" i="15"/>
  <c r="AD43" i="1"/>
  <c r="AA43" i="1" s="1"/>
  <c r="Z43" i="1" s="1"/>
  <c r="Y43" i="1" s="1"/>
  <c r="AD126" i="1"/>
  <c r="AA126" i="1" s="1"/>
  <c r="Z126" i="1" s="1"/>
  <c r="Y126" i="1" s="1"/>
  <c r="P82" i="1"/>
  <c r="V82" i="1" s="1"/>
  <c r="AA82" i="1" s="1"/>
  <c r="Z82" i="1" s="1"/>
  <c r="Y82" i="1" s="1"/>
  <c r="P258" i="1"/>
  <c r="V258" i="1" s="1"/>
  <c r="P46" i="1"/>
  <c r="V46" i="1" s="1"/>
  <c r="AD194" i="1"/>
  <c r="AD150" i="1"/>
  <c r="AA150" i="1" s="1"/>
  <c r="Z150" i="1" s="1"/>
  <c r="Y150" i="1" s="1"/>
  <c r="P127" i="1"/>
  <c r="V127" i="1" s="1"/>
  <c r="AA127" i="1" s="1"/>
  <c r="Z127" i="1" s="1"/>
  <c r="Y127" i="1" s="1"/>
  <c r="AD31" i="1"/>
  <c r="AA31" i="1" s="1"/>
  <c r="Z31" i="1" s="1"/>
  <c r="Y31" i="1" s="1"/>
  <c r="P345" i="1"/>
  <c r="V345" i="1" s="1"/>
  <c r="F345" i="1" s="1"/>
  <c r="G345" i="1" s="1"/>
  <c r="BW345" i="6" s="1"/>
  <c r="P243" i="1"/>
  <c r="V243" i="1" s="1"/>
  <c r="F243" i="1" s="1"/>
  <c r="I243" i="1" s="1"/>
  <c r="P291" i="1"/>
  <c r="V291" i="1" s="1"/>
  <c r="F291" i="1" s="1"/>
  <c r="I291" i="1" s="1"/>
  <c r="P312" i="1"/>
  <c r="V312" i="1" s="1"/>
  <c r="F312" i="1" s="1"/>
  <c r="AD122" i="1"/>
  <c r="AA122" i="1" s="1"/>
  <c r="Z122" i="1" s="1"/>
  <c r="Y122" i="1" s="1"/>
  <c r="P266" i="1"/>
  <c r="V266" i="1" s="1"/>
  <c r="F266" i="1" s="1"/>
  <c r="I266" i="1" s="1"/>
  <c r="P54" i="1"/>
  <c r="V54" i="1" s="1"/>
  <c r="AA54" i="1" s="1"/>
  <c r="Z54" i="1" s="1"/>
  <c r="Y54" i="1" s="1"/>
  <c r="AD64" i="1"/>
  <c r="AA64" i="1" s="1"/>
  <c r="Z64" i="1" s="1"/>
  <c r="Y64" i="1" s="1"/>
  <c r="P56" i="1"/>
  <c r="V56" i="1" s="1"/>
  <c r="AA56" i="1" s="1"/>
  <c r="Z56" i="1" s="1"/>
  <c r="Y56" i="1" s="1"/>
  <c r="I207" i="1"/>
  <c r="G207" i="1"/>
  <c r="BW207" i="6" s="1"/>
  <c r="AD107" i="1"/>
  <c r="P107" i="1"/>
  <c r="V107" i="1" s="1"/>
  <c r="P57" i="1"/>
  <c r="V57" i="1" s="1"/>
  <c r="AD57" i="1"/>
  <c r="I178" i="1"/>
  <c r="G178" i="1"/>
  <c r="BW178" i="6" s="1"/>
  <c r="P296" i="1"/>
  <c r="V296" i="1" s="1"/>
  <c r="AD296" i="1"/>
  <c r="I169" i="1"/>
  <c r="G209" i="1"/>
  <c r="BW209" i="6" s="1"/>
  <c r="I209" i="1"/>
  <c r="V119" i="1"/>
  <c r="AA119" i="1" s="1"/>
  <c r="Z119" i="1" s="1"/>
  <c r="Y119" i="1" s="1"/>
  <c r="D23" i="7"/>
  <c r="P244" i="1"/>
  <c r="V244" i="1" s="1"/>
  <c r="F244" i="1" s="1"/>
  <c r="AD244" i="1"/>
  <c r="P100" i="1"/>
  <c r="V100" i="1" s="1"/>
  <c r="AD100" i="1"/>
  <c r="I351" i="1"/>
  <c r="G351" i="1"/>
  <c r="BW351" i="6" s="1"/>
  <c r="AD349" i="1"/>
  <c r="P349" i="1"/>
  <c r="V349" i="1" s="1"/>
  <c r="P42" i="1"/>
  <c r="V42" i="1" s="1"/>
  <c r="AD42" i="1"/>
  <c r="AD96" i="1"/>
  <c r="P96" i="1"/>
  <c r="V96" i="1" s="1"/>
  <c r="G295" i="1"/>
  <c r="BW295" i="6" s="1"/>
  <c r="I295" i="1"/>
  <c r="AD149" i="1"/>
  <c r="P149" i="1"/>
  <c r="V149" i="1" s="1"/>
  <c r="P103" i="1"/>
  <c r="V103" i="1" s="1"/>
  <c r="AD103" i="1"/>
  <c r="P93" i="1"/>
  <c r="V93" i="1" s="1"/>
  <c r="AD93" i="1"/>
  <c r="P50" i="1"/>
  <c r="V50" i="1" s="1"/>
  <c r="AD50" i="1"/>
  <c r="D31" i="7"/>
  <c r="V363" i="1"/>
  <c r="F363" i="1" s="1"/>
  <c r="G363" i="1" s="1"/>
  <c r="BW363" i="6" s="1"/>
  <c r="AD195" i="1"/>
  <c r="P195" i="1"/>
  <c r="V195" i="1" s="1"/>
  <c r="F195" i="1" s="1"/>
  <c r="G195" i="1" s="1"/>
  <c r="BW195" i="6" s="1"/>
  <c r="G225" i="1"/>
  <c r="BW225" i="6" s="1"/>
  <c r="I225" i="1"/>
  <c r="P184" i="1"/>
  <c r="V184" i="1" s="1"/>
  <c r="F184" i="1" s="1"/>
  <c r="I184" i="1" s="1"/>
  <c r="AD184" i="1"/>
  <c r="AD233" i="1"/>
  <c r="P233" i="1"/>
  <c r="V233" i="1" s="1"/>
  <c r="F233" i="1" s="1"/>
  <c r="G233" i="1" s="1"/>
  <c r="BW233" i="6" s="1"/>
  <c r="AD316" i="1"/>
  <c r="P316" i="1"/>
  <c r="V316" i="1" s="1"/>
  <c r="F316" i="1" s="1"/>
  <c r="AD207" i="1"/>
  <c r="AA207" i="1" s="1"/>
  <c r="Z207" i="1" s="1"/>
  <c r="Y207" i="1" s="1"/>
  <c r="AD51" i="1"/>
  <c r="AA51" i="1" s="1"/>
  <c r="Z51" i="1" s="1"/>
  <c r="Y51" i="1" s="1"/>
  <c r="P202" i="1"/>
  <c r="V202" i="1" s="1"/>
  <c r="F202" i="1" s="1"/>
  <c r="P208" i="15"/>
  <c r="P66" i="15"/>
  <c r="P122" i="15"/>
  <c r="P303" i="15"/>
  <c r="P139" i="15"/>
  <c r="P143" i="15"/>
  <c r="AD301" i="15"/>
  <c r="AD192" i="15"/>
  <c r="P295" i="15"/>
  <c r="P167" i="15"/>
  <c r="P304" i="15"/>
  <c r="AD124" i="15"/>
  <c r="AD253" i="15"/>
  <c r="AD60" i="15"/>
  <c r="AD142" i="15"/>
  <c r="AD316" i="15"/>
  <c r="P215" i="15"/>
  <c r="P251" i="15"/>
  <c r="P288" i="15"/>
  <c r="P163" i="15"/>
  <c r="AD25" i="15"/>
  <c r="AD162" i="15"/>
  <c r="P359" i="15"/>
  <c r="AD231" i="15"/>
  <c r="AD249" i="15"/>
  <c r="AD52" i="15"/>
  <c r="AD177" i="15"/>
  <c r="AD277" i="15"/>
  <c r="AD86" i="15"/>
  <c r="AD112" i="15"/>
  <c r="AD322" i="15"/>
  <c r="AA209" i="1"/>
  <c r="Z209" i="1" s="1"/>
  <c r="Y209" i="1" s="1"/>
  <c r="G169" i="1"/>
  <c r="BW169" i="6" s="1"/>
  <c r="G231" i="1"/>
  <c r="BW231" i="6" s="1"/>
  <c r="P152" i="1"/>
  <c r="V152" i="1" s="1"/>
  <c r="AA152" i="1" s="1"/>
  <c r="Z152" i="1" s="1"/>
  <c r="Y152" i="1" s="1"/>
  <c r="AD66" i="1"/>
  <c r="AA66" i="1" s="1"/>
  <c r="Z66" i="1" s="1"/>
  <c r="Y66" i="1" s="1"/>
  <c r="P261" i="1"/>
  <c r="V261" i="1" s="1"/>
  <c r="F261" i="1" s="1"/>
  <c r="P287" i="1"/>
  <c r="V287" i="1" s="1"/>
  <c r="F287" i="1" s="1"/>
  <c r="AA229" i="1"/>
  <c r="Z229" i="1" s="1"/>
  <c r="Y229" i="1" s="1"/>
  <c r="P172" i="1"/>
  <c r="V172" i="1" s="1"/>
  <c r="F172" i="1" s="1"/>
  <c r="AA172" i="1" s="1"/>
  <c r="Z172" i="1" s="1"/>
  <c r="Y172" i="1" s="1"/>
  <c r="P304" i="1"/>
  <c r="V304" i="1" s="1"/>
  <c r="F304" i="1" s="1"/>
  <c r="AD360" i="1"/>
  <c r="AA360" i="1" s="1"/>
  <c r="Z360" i="1" s="1"/>
  <c r="Y360" i="1" s="1"/>
  <c r="AD248" i="1"/>
  <c r="P269" i="1"/>
  <c r="V269" i="1" s="1"/>
  <c r="F269" i="1" s="1"/>
  <c r="P249" i="1"/>
  <c r="V249" i="1" s="1"/>
  <c r="F249" i="1" s="1"/>
  <c r="P310" i="1"/>
  <c r="V310" i="1" s="1"/>
  <c r="F310" i="1" s="1"/>
  <c r="G310" i="1" s="1"/>
  <c r="BW310" i="6" s="1"/>
  <c r="P262" i="1"/>
  <c r="V262" i="1" s="1"/>
  <c r="F262" i="1" s="1"/>
  <c r="I262" i="1" s="1"/>
  <c r="AD22" i="1"/>
  <c r="AA22" i="1" s="1"/>
  <c r="Z22" i="1" s="1"/>
  <c r="Y22" i="1" s="1"/>
  <c r="P179" i="1"/>
  <c r="V179" i="1" s="1"/>
  <c r="F179" i="1" s="1"/>
  <c r="I179" i="1" s="1"/>
  <c r="P368" i="1"/>
  <c r="V368" i="1" s="1"/>
  <c r="F368" i="1" s="1"/>
  <c r="P324" i="1"/>
  <c r="V324" i="1" s="1"/>
  <c r="F324" i="1" s="1"/>
  <c r="G324" i="1" s="1"/>
  <c r="BW324" i="6" s="1"/>
  <c r="AD377" i="1"/>
  <c r="AA377" i="1" s="1"/>
  <c r="Z377" i="1" s="1"/>
  <c r="Y377" i="1" s="1"/>
  <c r="AD75" i="1"/>
  <c r="AD164" i="1"/>
  <c r="AA164" i="1" s="1"/>
  <c r="Z164" i="1" s="1"/>
  <c r="Y164" i="1" s="1"/>
  <c r="P105" i="1"/>
  <c r="V105" i="1" s="1"/>
  <c r="AA105" i="1" s="1"/>
  <c r="Z105" i="1" s="1"/>
  <c r="Y105" i="1" s="1"/>
  <c r="P112" i="1"/>
  <c r="V112" i="1" s="1"/>
  <c r="AA112" i="1" s="1"/>
  <c r="Z112" i="1" s="1"/>
  <c r="Y112" i="1" s="1"/>
  <c r="D22" i="7"/>
  <c r="AD363" i="1"/>
  <c r="AD319" i="1"/>
  <c r="AA319" i="1" s="1"/>
  <c r="Z319" i="1" s="1"/>
  <c r="Y319" i="1" s="1"/>
  <c r="G346" i="1"/>
  <c r="BW346" i="6" s="1"/>
  <c r="I346" i="1"/>
  <c r="I343" i="1"/>
  <c r="G343" i="1"/>
  <c r="BW343" i="6" s="1"/>
  <c r="V212" i="1"/>
  <c r="F212" i="1" s="1"/>
  <c r="I340" i="1"/>
  <c r="G340" i="1"/>
  <c r="BW340" i="6" s="1"/>
  <c r="AD88" i="1"/>
  <c r="AA88" i="1" s="1"/>
  <c r="Z88" i="1" s="1"/>
  <c r="Y88" i="1" s="1"/>
  <c r="AD163" i="1"/>
  <c r="AA163" i="1" s="1"/>
  <c r="Z163" i="1" s="1"/>
  <c r="Y163" i="1" s="1"/>
  <c r="AD225" i="1"/>
  <c r="AA225" i="1" s="1"/>
  <c r="Z225" i="1" s="1"/>
  <c r="Y225" i="1" s="1"/>
  <c r="P208" i="1"/>
  <c r="V208" i="1" s="1"/>
  <c r="F208" i="1" s="1"/>
  <c r="P367" i="1"/>
  <c r="S360" i="15"/>
  <c r="R360" i="15" s="1"/>
  <c r="P360" i="15" s="1"/>
  <c r="S105" i="15"/>
  <c r="R105" i="15" s="1"/>
  <c r="P105" i="15" s="1"/>
  <c r="AG57" i="15"/>
  <c r="AF57" i="15" s="1"/>
  <c r="AD57" i="15" s="1"/>
  <c r="P121" i="15"/>
  <c r="P33" i="15"/>
  <c r="P346" i="15"/>
  <c r="AD208" i="15"/>
  <c r="AA133" i="1"/>
  <c r="Z133" i="1" s="1"/>
  <c r="Y133" i="1" s="1"/>
  <c r="AD61" i="1"/>
  <c r="AA61" i="1" s="1"/>
  <c r="Z61" i="1" s="1"/>
  <c r="Y61" i="1" s="1"/>
  <c r="AD99" i="1"/>
  <c r="AA99" i="1" s="1"/>
  <c r="Z99" i="1" s="1"/>
  <c r="Y99" i="1" s="1"/>
  <c r="P344" i="1"/>
  <c r="V344" i="1" s="1"/>
  <c r="F344" i="1" s="1"/>
  <c r="G344" i="1" s="1"/>
  <c r="BW344" i="6" s="1"/>
  <c r="AD200" i="1"/>
  <c r="AA200" i="1" s="1"/>
  <c r="Z200" i="1" s="1"/>
  <c r="Y200" i="1" s="1"/>
  <c r="AD325" i="1"/>
  <c r="AA325" i="1" s="1"/>
  <c r="Z325" i="1" s="1"/>
  <c r="Y325" i="1" s="1"/>
  <c r="AD120" i="1"/>
  <c r="P129" i="1"/>
  <c r="V129" i="1" s="1"/>
  <c r="AA129" i="1" s="1"/>
  <c r="Z129" i="1" s="1"/>
  <c r="Y129" i="1" s="1"/>
  <c r="P49" i="1"/>
  <c r="V49" i="1" s="1"/>
  <c r="AA49" i="1" s="1"/>
  <c r="Z49" i="1" s="1"/>
  <c r="Y49" i="1" s="1"/>
  <c r="AD366" i="1"/>
  <c r="AA366" i="1" s="1"/>
  <c r="Z366" i="1" s="1"/>
  <c r="Y366" i="1" s="1"/>
  <c r="P221" i="1"/>
  <c r="V221" i="1" s="1"/>
  <c r="F221" i="1" s="1"/>
  <c r="P33" i="1"/>
  <c r="V33" i="1" s="1"/>
  <c r="AA33" i="1" s="1"/>
  <c r="Z33" i="1" s="1"/>
  <c r="Y33" i="1" s="1"/>
  <c r="P20" i="1"/>
  <c r="V20" i="1" s="1"/>
  <c r="AD351" i="1"/>
  <c r="AA351" i="1" s="1"/>
  <c r="Z351" i="1" s="1"/>
  <c r="Y351" i="1" s="1"/>
  <c r="P303" i="1"/>
  <c r="V303" i="1" s="1"/>
  <c r="F303" i="1" s="1"/>
  <c r="AA303" i="1" s="1"/>
  <c r="Z303" i="1" s="1"/>
  <c r="Y303" i="1" s="1"/>
  <c r="AD318" i="1"/>
  <c r="P193" i="1"/>
  <c r="V193" i="1" s="1"/>
  <c r="F193" i="1" s="1"/>
  <c r="AA193" i="1" s="1"/>
  <c r="Z193" i="1" s="1"/>
  <c r="Y193" i="1" s="1"/>
  <c r="AD84" i="1"/>
  <c r="AA84" i="1" s="1"/>
  <c r="Z84" i="1" s="1"/>
  <c r="Y84" i="1" s="1"/>
  <c r="AA91" i="1"/>
  <c r="Z91" i="1" s="1"/>
  <c r="Y91" i="1" s="1"/>
  <c r="P247" i="15"/>
  <c r="P138" i="1"/>
  <c r="V138" i="1" s="1"/>
  <c r="AA138" i="1" s="1"/>
  <c r="Z138" i="1" s="1"/>
  <c r="Y138" i="1" s="1"/>
  <c r="P224" i="1"/>
  <c r="V224" i="1" s="1"/>
  <c r="F224" i="1" s="1"/>
  <c r="G224" i="1" s="1"/>
  <c r="BW224" i="6" s="1"/>
  <c r="AD101" i="1"/>
  <c r="AA101" i="1" s="1"/>
  <c r="Z101" i="1" s="1"/>
  <c r="Y101" i="1" s="1"/>
  <c r="AD246" i="1"/>
  <c r="AA246" i="1" s="1"/>
  <c r="Z246" i="1" s="1"/>
  <c r="Y246" i="1" s="1"/>
  <c r="AD282" i="1"/>
  <c r="AD90" i="1"/>
  <c r="AA90" i="1" s="1"/>
  <c r="Z90" i="1" s="1"/>
  <c r="Y90" i="1" s="1"/>
  <c r="P35" i="1"/>
  <c r="V35" i="1" s="1"/>
  <c r="AA35" i="1" s="1"/>
  <c r="Z35" i="1" s="1"/>
  <c r="Y35" i="1" s="1"/>
  <c r="AD204" i="1"/>
  <c r="AA204" i="1" s="1"/>
  <c r="Z204" i="1" s="1"/>
  <c r="Y204" i="1" s="1"/>
  <c r="P39" i="1"/>
  <c r="V39" i="1" s="1"/>
  <c r="AA39" i="1" s="1"/>
  <c r="Z39" i="1" s="1"/>
  <c r="Y39" i="1" s="1"/>
  <c r="AD378" i="1"/>
  <c r="AA378" i="1" s="1"/>
  <c r="Z378" i="1" s="1"/>
  <c r="Y378" i="1" s="1"/>
  <c r="P20" i="15"/>
  <c r="P270" i="15"/>
  <c r="P72" i="15"/>
  <c r="P73" i="15"/>
  <c r="P124" i="15"/>
  <c r="P195" i="15"/>
  <c r="P374" i="15"/>
  <c r="P39" i="15"/>
  <c r="P137" i="15"/>
  <c r="P30" i="15"/>
  <c r="P323" i="15"/>
  <c r="P178" i="15"/>
  <c r="P55" i="15"/>
  <c r="P244" i="15"/>
  <c r="P190" i="15"/>
  <c r="P185" i="15"/>
  <c r="P237" i="15"/>
  <c r="P202" i="15"/>
  <c r="G236" i="1"/>
  <c r="BW236" i="6" s="1"/>
  <c r="I236" i="1"/>
  <c r="I200" i="1"/>
  <c r="G200" i="1"/>
  <c r="BW200" i="6" s="1"/>
  <c r="V272" i="1"/>
  <c r="F272" i="1" s="1"/>
  <c r="G272" i="1" s="1"/>
  <c r="BW272" i="6" s="1"/>
  <c r="D28" i="7"/>
  <c r="I319" i="1"/>
  <c r="G319" i="1"/>
  <c r="BW319" i="6" s="1"/>
  <c r="I338" i="1"/>
  <c r="G338" i="1"/>
  <c r="BW338" i="6" s="1"/>
  <c r="I281" i="1"/>
  <c r="G281" i="1"/>
  <c r="BW281" i="6" s="1"/>
  <c r="P115" i="15"/>
  <c r="P242" i="15"/>
  <c r="P278" i="15"/>
  <c r="AD79" i="15"/>
  <c r="S191" i="15"/>
  <c r="R191" i="15" s="1"/>
  <c r="P191" i="15" s="1"/>
  <c r="S259" i="15"/>
  <c r="R259" i="15" s="1"/>
  <c r="P259" i="15" s="1"/>
  <c r="S257" i="15"/>
  <c r="R257" i="15" s="1"/>
  <c r="P257" i="15" s="1"/>
  <c r="S271" i="15"/>
  <c r="R271" i="15" s="1"/>
  <c r="P271" i="15" s="1"/>
  <c r="P218" i="15"/>
  <c r="S144" i="15"/>
  <c r="R144" i="15" s="1"/>
  <c r="P144" i="15" s="1"/>
  <c r="S184" i="15"/>
  <c r="R184" i="15" s="1"/>
  <c r="P184" i="15" s="1"/>
  <c r="S47" i="15"/>
  <c r="R47" i="15" s="1"/>
  <c r="P47" i="15" s="1"/>
  <c r="AD221" i="15"/>
  <c r="AD309" i="15"/>
  <c r="AD315" i="15"/>
  <c r="AD356" i="15"/>
  <c r="S17" i="15"/>
  <c r="R17" i="15" s="1"/>
  <c r="P17" i="15" s="1"/>
  <c r="P203" i="15"/>
  <c r="P77" i="15"/>
  <c r="P314" i="15"/>
  <c r="AD217" i="15"/>
  <c r="AD75" i="15"/>
  <c r="AD150" i="15"/>
  <c r="AD20" i="15"/>
  <c r="AG383" i="1"/>
  <c r="G366" i="1"/>
  <c r="BW366" i="6" s="1"/>
  <c r="S383" i="1"/>
  <c r="F323" i="1"/>
  <c r="I323" i="1" s="1"/>
  <c r="V282" i="1"/>
  <c r="F282" i="1" s="1"/>
  <c r="I352" i="1"/>
  <c r="V299" i="1"/>
  <c r="F299" i="1" s="1"/>
  <c r="G220" i="1"/>
  <c r="BW220" i="6" s="1"/>
  <c r="I220" i="1"/>
  <c r="AD192" i="1"/>
  <c r="P213" i="1"/>
  <c r="V213" i="1" s="1"/>
  <c r="F213" i="1" s="1"/>
  <c r="P196" i="1"/>
  <c r="V196" i="1" s="1"/>
  <c r="F196" i="1" s="1"/>
  <c r="AD219" i="1"/>
  <c r="G311" i="1"/>
  <c r="BW311" i="6" s="1"/>
  <c r="I311" i="1"/>
  <c r="AD159" i="1"/>
  <c r="AA159" i="1" s="1"/>
  <c r="Z159" i="1" s="1"/>
  <c r="Y159" i="1" s="1"/>
  <c r="P77" i="1"/>
  <c r="V77" i="1" s="1"/>
  <c r="AA77" i="1" s="1"/>
  <c r="Z77" i="1" s="1"/>
  <c r="Y77" i="1" s="1"/>
  <c r="P307" i="1"/>
  <c r="V307" i="1" s="1"/>
  <c r="F307" i="1" s="1"/>
  <c r="P315" i="15"/>
  <c r="P255" i="1"/>
  <c r="V255" i="1" s="1"/>
  <c r="F255" i="1" s="1"/>
  <c r="AA255" i="1" s="1"/>
  <c r="Z255" i="1" s="1"/>
  <c r="Y255" i="1" s="1"/>
  <c r="P148" i="1"/>
  <c r="V148" i="1" s="1"/>
  <c r="AD148" i="1"/>
  <c r="P284" i="1"/>
  <c r="V284" i="1" s="1"/>
  <c r="F284" i="1" s="1"/>
  <c r="AA284" i="1" s="1"/>
  <c r="Z284" i="1" s="1"/>
  <c r="Y284" i="1" s="1"/>
  <c r="P298" i="1"/>
  <c r="V298" i="1" s="1"/>
  <c r="F298" i="1" s="1"/>
  <c r="AA298" i="1" s="1"/>
  <c r="Z298" i="1" s="1"/>
  <c r="Y298" i="1" s="1"/>
  <c r="AD295" i="1"/>
  <c r="AA295" i="1" s="1"/>
  <c r="Z295" i="1" s="1"/>
  <c r="Y295" i="1" s="1"/>
  <c r="P374" i="1"/>
  <c r="V374" i="1" s="1"/>
  <c r="F374" i="1" s="1"/>
  <c r="G364" i="1"/>
  <c r="BW364" i="6" s="1"/>
  <c r="I364" i="1"/>
  <c r="AD338" i="1"/>
  <c r="AA338" i="1" s="1"/>
  <c r="Z338" i="1" s="1"/>
  <c r="Y338" i="1" s="1"/>
  <c r="AD97" i="1"/>
  <c r="AA97" i="1" s="1"/>
  <c r="Z97" i="1" s="1"/>
  <c r="Y97" i="1" s="1"/>
  <c r="P222" i="1"/>
  <c r="V222" i="1" s="1"/>
  <c r="F222" i="1" s="1"/>
  <c r="AD162" i="1"/>
  <c r="AA162" i="1" s="1"/>
  <c r="Z162" i="1" s="1"/>
  <c r="Y162" i="1" s="1"/>
  <c r="I314" i="1"/>
  <c r="G314" i="1"/>
  <c r="BW314" i="6" s="1"/>
  <c r="AD236" i="1"/>
  <c r="AA236" i="1" s="1"/>
  <c r="Z236" i="1" s="1"/>
  <c r="Y236" i="1" s="1"/>
  <c r="I372" i="1"/>
  <c r="G372" i="1"/>
  <c r="BW372" i="6" s="1"/>
  <c r="AD340" i="1"/>
  <c r="AA340" i="1" s="1"/>
  <c r="Z340" i="1" s="1"/>
  <c r="Y340" i="1" s="1"/>
  <c r="AD124" i="1"/>
  <c r="AA124" i="1" s="1"/>
  <c r="Z124" i="1" s="1"/>
  <c r="Y124" i="1" s="1"/>
  <c r="P223" i="1"/>
  <c r="V223" i="1" s="1"/>
  <c r="F223" i="1" s="1"/>
  <c r="P188" i="1"/>
  <c r="V188" i="1" s="1"/>
  <c r="F188" i="1" s="1"/>
  <c r="AD165" i="1"/>
  <c r="AA165" i="1" s="1"/>
  <c r="Z165" i="1" s="1"/>
  <c r="Y165" i="1" s="1"/>
  <c r="P201" i="1"/>
  <c r="V201" i="1" s="1"/>
  <c r="F201" i="1" s="1"/>
  <c r="P215" i="1"/>
  <c r="V215" i="1" s="1"/>
  <c r="F215" i="1" s="1"/>
  <c r="AD281" i="1"/>
  <c r="AA281" i="1" s="1"/>
  <c r="Z281" i="1" s="1"/>
  <c r="Y281" i="1" s="1"/>
  <c r="AD272" i="1"/>
  <c r="AD327" i="1"/>
  <c r="AA327" i="1" s="1"/>
  <c r="Z327" i="1" s="1"/>
  <c r="Y327" i="1" s="1"/>
  <c r="AD323" i="1"/>
  <c r="AD343" i="1"/>
  <c r="AA343" i="1" s="1"/>
  <c r="Z343" i="1" s="1"/>
  <c r="Y343" i="1" s="1"/>
  <c r="P349" i="15"/>
  <c r="P49" i="15"/>
  <c r="AD82" i="15"/>
  <c r="AD30" i="15"/>
  <c r="P272" i="15"/>
  <c r="P96" i="15"/>
  <c r="P296" i="15"/>
  <c r="P145" i="15"/>
  <c r="P258" i="15"/>
  <c r="P308" i="15"/>
  <c r="AD222" i="15"/>
  <c r="AD272" i="15"/>
  <c r="P245" i="15"/>
  <c r="AD245" i="15"/>
  <c r="AD100" i="15"/>
  <c r="AD262" i="15"/>
  <c r="P350" i="15"/>
  <c r="P192" i="15"/>
  <c r="P159" i="15"/>
  <c r="P177" i="15"/>
  <c r="P165" i="15"/>
  <c r="P261" i="15"/>
  <c r="AD200" i="15"/>
  <c r="AD349" i="15"/>
  <c r="P340" i="15"/>
  <c r="P110" i="15"/>
  <c r="P61" i="15"/>
  <c r="AD125" i="15"/>
  <c r="AD188" i="15"/>
  <c r="AD129" i="15"/>
  <c r="I377" i="1"/>
  <c r="AG382" i="1"/>
  <c r="P79" i="1"/>
  <c r="V79" i="1" s="1"/>
  <c r="AA79" i="1" s="1"/>
  <c r="Z79" i="1" s="1"/>
  <c r="Y79" i="1" s="1"/>
  <c r="G247" i="1"/>
  <c r="BW247" i="6" s="1"/>
  <c r="P206" i="1"/>
  <c r="V206" i="1" s="1"/>
  <c r="F206" i="1" s="1"/>
  <c r="G206" i="1" s="1"/>
  <c r="BW206" i="6" s="1"/>
  <c r="AD52" i="1"/>
  <c r="AA52" i="1" s="1"/>
  <c r="Z52" i="1" s="1"/>
  <c r="Y52" i="1" s="1"/>
  <c r="AD336" i="1"/>
  <c r="AD320" i="1"/>
  <c r="P83" i="1"/>
  <c r="V83" i="1" s="1"/>
  <c r="AA83" i="1" s="1"/>
  <c r="Z83" i="1" s="1"/>
  <c r="Y83" i="1" s="1"/>
  <c r="P227" i="1"/>
  <c r="V227" i="1" s="1"/>
  <c r="F227" i="1" s="1"/>
  <c r="G227" i="1" s="1"/>
  <c r="BW227" i="6" s="1"/>
  <c r="P190" i="1"/>
  <c r="AD371" i="1"/>
  <c r="AD145" i="1"/>
  <c r="AA145" i="1" s="1"/>
  <c r="Z145" i="1" s="1"/>
  <c r="Y145" i="1" s="1"/>
  <c r="AD46" i="1"/>
  <c r="AD53" i="1"/>
  <c r="AA53" i="1" s="1"/>
  <c r="Z53" i="1" s="1"/>
  <c r="Y53" i="1" s="1"/>
  <c r="AD110" i="1"/>
  <c r="AA110" i="1" s="1"/>
  <c r="Z110" i="1" s="1"/>
  <c r="Y110" i="1" s="1"/>
  <c r="P298" i="15"/>
  <c r="P335" i="1"/>
  <c r="V335" i="1" s="1"/>
  <c r="F335" i="1" s="1"/>
  <c r="AA335" i="1" s="1"/>
  <c r="Z335" i="1" s="1"/>
  <c r="Y335" i="1" s="1"/>
  <c r="AC69" i="27"/>
  <c r="AD353" i="1"/>
  <c r="AA353" i="1" s="1"/>
  <c r="Z353" i="1" s="1"/>
  <c r="Y353" i="1" s="1"/>
  <c r="P203" i="1"/>
  <c r="V203" i="1" s="1"/>
  <c r="F203" i="1" s="1"/>
  <c r="AD251" i="1"/>
  <c r="P210" i="1"/>
  <c r="D26" i="7" s="1"/>
  <c r="AD63" i="1"/>
  <c r="AA63" i="1" s="1"/>
  <c r="Z63" i="1" s="1"/>
  <c r="Y63" i="1" s="1"/>
  <c r="AD160" i="1"/>
  <c r="AA160" i="1" s="1"/>
  <c r="Z160" i="1" s="1"/>
  <c r="Y160" i="1" s="1"/>
  <c r="P328" i="1"/>
  <c r="V328" i="1" s="1"/>
  <c r="F328" i="1" s="1"/>
  <c r="P329" i="1"/>
  <c r="V329" i="1" s="1"/>
  <c r="F329" i="1" s="1"/>
  <c r="AD324" i="1"/>
  <c r="P350" i="1"/>
  <c r="V350" i="1" s="1"/>
  <c r="F350" i="1" s="1"/>
  <c r="AA34" i="1"/>
  <c r="Z34" i="1" s="1"/>
  <c r="Y34" i="1" s="1"/>
  <c r="P30" i="1"/>
  <c r="V30" i="1" s="1"/>
  <c r="AA30" i="1" s="1"/>
  <c r="Z30" i="1" s="1"/>
  <c r="Y30" i="1" s="1"/>
  <c r="P263" i="1"/>
  <c r="P78" i="1"/>
  <c r="V78" i="1" s="1"/>
  <c r="AA78" i="1" s="1"/>
  <c r="Z78" i="1" s="1"/>
  <c r="Y78" i="1" s="1"/>
  <c r="P125" i="1"/>
  <c r="V125" i="1" s="1"/>
  <c r="AA125" i="1" s="1"/>
  <c r="Z125" i="1" s="1"/>
  <c r="Y125" i="1" s="1"/>
  <c r="P69" i="1"/>
  <c r="V69" i="1" s="1"/>
  <c r="AA69" i="1" s="1"/>
  <c r="Z69" i="1" s="1"/>
  <c r="Y69" i="1" s="1"/>
  <c r="AA252" i="1"/>
  <c r="Z252" i="1" s="1"/>
  <c r="Y252" i="1" s="1"/>
  <c r="I252" i="1"/>
  <c r="G252" i="1"/>
  <c r="BW252" i="6" s="1"/>
  <c r="P309" i="1"/>
  <c r="V309" i="1" s="1"/>
  <c r="F309" i="1" s="1"/>
  <c r="I229" i="1"/>
  <c r="G229" i="1"/>
  <c r="BW229" i="6" s="1"/>
  <c r="AD247" i="1"/>
  <c r="AA247" i="1" s="1"/>
  <c r="Z247" i="1" s="1"/>
  <c r="Y247" i="1" s="1"/>
  <c r="AD373" i="1"/>
  <c r="AA373" i="1" s="1"/>
  <c r="Z373" i="1" s="1"/>
  <c r="Y373" i="1" s="1"/>
  <c r="P216" i="1"/>
  <c r="V216" i="1" s="1"/>
  <c r="F216" i="1" s="1"/>
  <c r="P29" i="1"/>
  <c r="AD137" i="1"/>
  <c r="AA137" i="1" s="1"/>
  <c r="Z137" i="1" s="1"/>
  <c r="Y137" i="1" s="1"/>
  <c r="P55" i="1"/>
  <c r="V55" i="1" s="1"/>
  <c r="AA55" i="1" s="1"/>
  <c r="Z55" i="1" s="1"/>
  <c r="Y55" i="1" s="1"/>
  <c r="AD242" i="1"/>
  <c r="P242" i="1"/>
  <c r="P85" i="1"/>
  <c r="V85" i="1" s="1"/>
  <c r="AA85" i="1" s="1"/>
  <c r="Z85" i="1" s="1"/>
  <c r="Y85" i="1" s="1"/>
  <c r="AD16" i="1"/>
  <c r="P128" i="1"/>
  <c r="V128" i="1" s="1"/>
  <c r="AA128" i="1" s="1"/>
  <c r="Z128" i="1" s="1"/>
  <c r="Y128" i="1" s="1"/>
  <c r="AD334" i="1"/>
  <c r="AA334" i="1" s="1"/>
  <c r="Z334" i="1" s="1"/>
  <c r="Y334" i="1" s="1"/>
  <c r="P144" i="1"/>
  <c r="V144" i="1" s="1"/>
  <c r="AA144" i="1" s="1"/>
  <c r="Z144" i="1" s="1"/>
  <c r="Y144" i="1" s="1"/>
  <c r="P175" i="1"/>
  <c r="V175" i="1" s="1"/>
  <c r="F175" i="1" s="1"/>
  <c r="P308" i="1"/>
  <c r="V308" i="1" s="1"/>
  <c r="F308" i="1" s="1"/>
  <c r="P322" i="1"/>
  <c r="V322" i="1" s="1"/>
  <c r="F322" i="1" s="1"/>
  <c r="AD271" i="1"/>
  <c r="AA271" i="1" s="1"/>
  <c r="Z271" i="1" s="1"/>
  <c r="Y271" i="1" s="1"/>
  <c r="P379" i="1"/>
  <c r="P25" i="1"/>
  <c r="V25" i="1" s="1"/>
  <c r="AA25" i="1" s="1"/>
  <c r="Z25" i="1" s="1"/>
  <c r="Y25" i="1" s="1"/>
  <c r="P115" i="1"/>
  <c r="V115" i="1" s="1"/>
  <c r="AA115" i="1" s="1"/>
  <c r="Z115" i="1" s="1"/>
  <c r="Y115" i="1" s="1"/>
  <c r="P354" i="1"/>
  <c r="G268" i="1"/>
  <c r="BW268" i="6" s="1"/>
  <c r="I268" i="1"/>
  <c r="AA268" i="1"/>
  <c r="Z268" i="1" s="1"/>
  <c r="Y268" i="1" s="1"/>
  <c r="AA370" i="1"/>
  <c r="Z370" i="1" s="1"/>
  <c r="Y370" i="1" s="1"/>
  <c r="V239" i="1"/>
  <c r="F239" i="1" s="1"/>
  <c r="I211" i="1"/>
  <c r="G211" i="1"/>
  <c r="BW211" i="6" s="1"/>
  <c r="V289" i="1"/>
  <c r="F289" i="1" s="1"/>
  <c r="I353" i="1"/>
  <c r="G353" i="1"/>
  <c r="BW353" i="6" s="1"/>
  <c r="G267" i="1"/>
  <c r="BW267" i="6" s="1"/>
  <c r="I267" i="1"/>
  <c r="G259" i="1"/>
  <c r="BW259" i="6" s="1"/>
  <c r="I259" i="1"/>
  <c r="AA259" i="1"/>
  <c r="Z259" i="1" s="1"/>
  <c r="Y259" i="1" s="1"/>
  <c r="AA317" i="1"/>
  <c r="Z317" i="1" s="1"/>
  <c r="Y317" i="1" s="1"/>
  <c r="I317" i="1"/>
  <c r="G317" i="1"/>
  <c r="BW317" i="6" s="1"/>
  <c r="V320" i="1"/>
  <c r="F320" i="1" s="1"/>
  <c r="G341" i="1"/>
  <c r="BW341" i="6" s="1"/>
  <c r="I341" i="1"/>
  <c r="G334" i="1"/>
  <c r="BW334" i="6" s="1"/>
  <c r="I334" i="1"/>
  <c r="V248" i="1"/>
  <c r="F248" i="1" s="1"/>
  <c r="I294" i="1"/>
  <c r="G294" i="1"/>
  <c r="BW294" i="6" s="1"/>
  <c r="AA186" i="1"/>
  <c r="Z186" i="1" s="1"/>
  <c r="Y186" i="1" s="1"/>
  <c r="G186" i="1"/>
  <c r="BW186" i="6" s="1"/>
  <c r="I186" i="1"/>
  <c r="V337" i="1"/>
  <c r="F337" i="1" s="1"/>
  <c r="I260" i="1"/>
  <c r="G260" i="1"/>
  <c r="BW260" i="6" s="1"/>
  <c r="I265" i="1"/>
  <c r="P292" i="1"/>
  <c r="AD292" i="1"/>
  <c r="P151" i="1"/>
  <c r="V151" i="1" s="1"/>
  <c r="AD151" i="1"/>
  <c r="P123" i="1"/>
  <c r="V123" i="1" s="1"/>
  <c r="AD123" i="1"/>
  <c r="P168" i="1"/>
  <c r="V168" i="1" s="1"/>
  <c r="AD168" i="1"/>
  <c r="I369" i="1"/>
  <c r="G369" i="1"/>
  <c r="BW369" i="6" s="1"/>
  <c r="P98" i="1"/>
  <c r="V98" i="1" s="1"/>
  <c r="AA98" i="1" s="1"/>
  <c r="Z98" i="1" s="1"/>
  <c r="Y98" i="1" s="1"/>
  <c r="AD306" i="1"/>
  <c r="AA306" i="1" s="1"/>
  <c r="Z306" i="1" s="1"/>
  <c r="Y306" i="1" s="1"/>
  <c r="P68" i="1"/>
  <c r="V68" i="1" s="1"/>
  <c r="AA68" i="1" s="1"/>
  <c r="Z68" i="1" s="1"/>
  <c r="Y68" i="1" s="1"/>
  <c r="P348" i="1"/>
  <c r="V348" i="1" s="1"/>
  <c r="F348" i="1" s="1"/>
  <c r="P264" i="1"/>
  <c r="AD283" i="1"/>
  <c r="AA283" i="1" s="1"/>
  <c r="Z283" i="1" s="1"/>
  <c r="Y283" i="1" s="1"/>
  <c r="P359" i="1"/>
  <c r="AD178" i="1"/>
  <c r="AA178" i="1" s="1"/>
  <c r="Z178" i="1" s="1"/>
  <c r="Y178" i="1" s="1"/>
  <c r="V237" i="1"/>
  <c r="F237" i="1" s="1"/>
  <c r="P257" i="1"/>
  <c r="V257" i="1" s="1"/>
  <c r="F257" i="1" s="1"/>
  <c r="AA257" i="1" s="1"/>
  <c r="Z257" i="1" s="1"/>
  <c r="Y257" i="1" s="1"/>
  <c r="P113" i="1"/>
  <c r="V113" i="1" s="1"/>
  <c r="AA113" i="1" s="1"/>
  <c r="Z113" i="1" s="1"/>
  <c r="Y113" i="1" s="1"/>
  <c r="AD60" i="1"/>
  <c r="P173" i="1"/>
  <c r="V173" i="1" s="1"/>
  <c r="F173" i="1" s="1"/>
  <c r="P275" i="1"/>
  <c r="V275" i="1" s="1"/>
  <c r="F275" i="1" s="1"/>
  <c r="AD326" i="1"/>
  <c r="P177" i="1"/>
  <c r="V177" i="1" s="1"/>
  <c r="F177" i="1" s="1"/>
  <c r="AD245" i="1"/>
  <c r="AA245" i="1" s="1"/>
  <c r="Z245" i="1" s="1"/>
  <c r="Y245" i="1" s="1"/>
  <c r="AD278" i="1"/>
  <c r="AD253" i="1"/>
  <c r="AA253" i="1" s="1"/>
  <c r="Z253" i="1" s="1"/>
  <c r="Y253" i="1" s="1"/>
  <c r="P270" i="1"/>
  <c r="V270" i="1" s="1"/>
  <c r="F270" i="1" s="1"/>
  <c r="AD19" i="1"/>
  <c r="AD74" i="1"/>
  <c r="AA74" i="1" s="1"/>
  <c r="Z74" i="1" s="1"/>
  <c r="Y74" i="1" s="1"/>
  <c r="F170" i="1"/>
  <c r="S382" i="1"/>
  <c r="S381" i="1"/>
  <c r="I325" i="1"/>
  <c r="G325" i="1"/>
  <c r="BW325" i="6" s="1"/>
  <c r="V375" i="1"/>
  <c r="F375" i="1" s="1"/>
  <c r="P158" i="1"/>
  <c r="V158" i="1" s="1"/>
  <c r="AA158" i="1" s="1"/>
  <c r="Z158" i="1" s="1"/>
  <c r="Y158" i="1" s="1"/>
  <c r="P171" i="1"/>
  <c r="V171" i="1" s="1"/>
  <c r="F171" i="1" s="1"/>
  <c r="V251" i="1"/>
  <c r="F251" i="1" s="1"/>
  <c r="V192" i="1"/>
  <c r="F192" i="1" s="1"/>
  <c r="V60" i="1"/>
  <c r="D21" i="7"/>
  <c r="I360" i="1"/>
  <c r="G360" i="1"/>
  <c r="BW360" i="6" s="1"/>
  <c r="I42" i="27"/>
  <c r="V77" i="27"/>
  <c r="T77" i="27"/>
  <c r="AA77" i="27"/>
  <c r="S77" i="27"/>
  <c r="Y77" i="27"/>
  <c r="R77" i="27"/>
  <c r="Q77" i="27"/>
  <c r="U77" i="27"/>
  <c r="X77" i="27"/>
  <c r="W77" i="27"/>
  <c r="Z77" i="27"/>
  <c r="AD75" i="27"/>
  <c r="AC75" i="27" s="1"/>
  <c r="AD356" i="1"/>
  <c r="AA356" i="1" s="1"/>
  <c r="Z356" i="1" s="1"/>
  <c r="Y356" i="1" s="1"/>
  <c r="AD289" i="1"/>
  <c r="P143" i="1"/>
  <c r="V143" i="1" s="1"/>
  <c r="AA143" i="1" s="1"/>
  <c r="Z143" i="1" s="1"/>
  <c r="Y143" i="1" s="1"/>
  <c r="AD154" i="1"/>
  <c r="AA154" i="1" s="1"/>
  <c r="Z154" i="1" s="1"/>
  <c r="Y154" i="1" s="1"/>
  <c r="AD362" i="1"/>
  <c r="AA362" i="1" s="1"/>
  <c r="Z362" i="1" s="1"/>
  <c r="Y362" i="1" s="1"/>
  <c r="I327" i="1"/>
  <c r="G327" i="1"/>
  <c r="BW327" i="6" s="1"/>
  <c r="G356" i="1"/>
  <c r="BW356" i="6" s="1"/>
  <c r="I356" i="1"/>
  <c r="I373" i="1"/>
  <c r="G373" i="1"/>
  <c r="BW373" i="6" s="1"/>
  <c r="G250" i="1"/>
  <c r="BW250" i="6" s="1"/>
  <c r="I250" i="1"/>
  <c r="I330" i="1"/>
  <c r="G330" i="1"/>
  <c r="BW330" i="6" s="1"/>
  <c r="I286" i="1"/>
  <c r="G286" i="1"/>
  <c r="BW286" i="6" s="1"/>
  <c r="I362" i="1"/>
  <c r="G362" i="1"/>
  <c r="BW362" i="6" s="1"/>
  <c r="G226" i="1"/>
  <c r="BW226" i="6" s="1"/>
  <c r="I226" i="1"/>
  <c r="AA226" i="1"/>
  <c r="Z226" i="1" s="1"/>
  <c r="Y226" i="1" s="1"/>
  <c r="I355" i="1"/>
  <c r="G355" i="1"/>
  <c r="BW355" i="6" s="1"/>
  <c r="G378" i="1"/>
  <c r="BW378" i="6" s="1"/>
  <c r="I378" i="1"/>
  <c r="I306" i="1"/>
  <c r="G306" i="1"/>
  <c r="BW306" i="6" s="1"/>
  <c r="T15" i="15"/>
  <c r="J16" i="7"/>
  <c r="P11" i="7" s="1"/>
  <c r="U11" i="16" s="1"/>
  <c r="I240" i="1"/>
  <c r="G240" i="1"/>
  <c r="BW240" i="6" s="1"/>
  <c r="I279" i="1"/>
  <c r="G279" i="1"/>
  <c r="BW279" i="6" s="1"/>
  <c r="P15" i="1"/>
  <c r="R381" i="1"/>
  <c r="R382" i="1"/>
  <c r="R383" i="1"/>
  <c r="I217" i="1"/>
  <c r="G217" i="1"/>
  <c r="BW217" i="6" s="1"/>
  <c r="I246" i="1"/>
  <c r="G246" i="1"/>
  <c r="BW246" i="6" s="1"/>
  <c r="AD15" i="1"/>
  <c r="F278" i="1"/>
  <c r="F326" i="1"/>
  <c r="AA293" i="1"/>
  <c r="Z293" i="1" s="1"/>
  <c r="Y293" i="1" s="1"/>
  <c r="G293" i="1"/>
  <c r="BW293" i="6" s="1"/>
  <c r="I293" i="1"/>
  <c r="I230" i="1"/>
  <c r="G230" i="1"/>
  <c r="BW230" i="6" s="1"/>
  <c r="T379" i="15" l="1"/>
  <c r="S379" i="15" s="1"/>
  <c r="R379" i="15" s="1"/>
  <c r="P379" i="15" s="1"/>
  <c r="AD121" i="15"/>
  <c r="AD172" i="15"/>
  <c r="AD323" i="15"/>
  <c r="P126" i="15"/>
  <c r="V126" i="15" s="1"/>
  <c r="F126" i="15" s="1"/>
  <c r="G126" i="15" s="1"/>
  <c r="BX126" i="6" s="1"/>
  <c r="P50" i="15"/>
  <c r="P243" i="15"/>
  <c r="V243" i="15" s="1"/>
  <c r="F243" i="15" s="1"/>
  <c r="G243" i="15" s="1"/>
  <c r="BX243" i="6" s="1"/>
  <c r="AD338" i="15"/>
  <c r="P25" i="15"/>
  <c r="V25" i="15" s="1"/>
  <c r="F25" i="15" s="1"/>
  <c r="H25" i="15" s="1"/>
  <c r="AD258" i="15"/>
  <c r="P68" i="15"/>
  <c r="V68" i="15" s="1"/>
  <c r="F68" i="15" s="1"/>
  <c r="AA68" i="15" s="1"/>
  <c r="Z68" i="15" s="1"/>
  <c r="Y68" i="15" s="1"/>
  <c r="P206" i="15"/>
  <c r="P300" i="15"/>
  <c r="V300" i="15" s="1"/>
  <c r="F300" i="15" s="1"/>
  <c r="AA300" i="15" s="1"/>
  <c r="Z300" i="15" s="1"/>
  <c r="Y300" i="15" s="1"/>
  <c r="AD138" i="15"/>
  <c r="P362" i="15"/>
  <c r="V362" i="15" s="1"/>
  <c r="F362" i="15" s="1"/>
  <c r="H362" i="15" s="1"/>
  <c r="P338" i="15"/>
  <c r="P164" i="15"/>
  <c r="P53" i="15"/>
  <c r="AD149" i="15"/>
  <c r="P368" i="15"/>
  <c r="AD308" i="15"/>
  <c r="AD236" i="15"/>
  <c r="P216" i="15"/>
  <c r="V216" i="15" s="1"/>
  <c r="F216" i="15" s="1"/>
  <c r="AA216" i="15" s="1"/>
  <c r="Z216" i="15" s="1"/>
  <c r="Y216" i="15" s="1"/>
  <c r="P18" i="15"/>
  <c r="AD293" i="15"/>
  <c r="P201" i="15"/>
  <c r="P358" i="15"/>
  <c r="V358" i="15" s="1"/>
  <c r="F358" i="15" s="1"/>
  <c r="AA358" i="15" s="1"/>
  <c r="Z358" i="15" s="1"/>
  <c r="Y358" i="15" s="1"/>
  <c r="AD311" i="15"/>
  <c r="AD226" i="15"/>
  <c r="AD234" i="15"/>
  <c r="AD38" i="15"/>
  <c r="AD211" i="15"/>
  <c r="AD235" i="15"/>
  <c r="AD135" i="15"/>
  <c r="P160" i="15"/>
  <c r="P373" i="15"/>
  <c r="P135" i="15"/>
  <c r="P230" i="15"/>
  <c r="P254" i="15"/>
  <c r="V254" i="15" s="1"/>
  <c r="F254" i="15" s="1"/>
  <c r="G254" i="15" s="1"/>
  <c r="BX254" i="6" s="1"/>
  <c r="P207" i="15"/>
  <c r="P234" i="15"/>
  <c r="P337" i="15"/>
  <c r="P345" i="15"/>
  <c r="V345" i="15" s="1"/>
  <c r="F345" i="15" s="1"/>
  <c r="G345" i="15" s="1"/>
  <c r="BX345" i="6" s="1"/>
  <c r="P294" i="15"/>
  <c r="AD300" i="15"/>
  <c r="P351" i="15"/>
  <c r="AD332" i="15"/>
  <c r="AD264" i="15"/>
  <c r="AD346" i="15"/>
  <c r="AD255" i="15"/>
  <c r="P366" i="15"/>
  <c r="P188" i="15"/>
  <c r="P82" i="15"/>
  <c r="V82" i="15" s="1"/>
  <c r="F82" i="15" s="1"/>
  <c r="AA82" i="15" s="1"/>
  <c r="Z82" i="15" s="1"/>
  <c r="Y82" i="15" s="1"/>
  <c r="P307" i="15"/>
  <c r="P353" i="15"/>
  <c r="P28" i="15"/>
  <c r="AD139" i="15"/>
  <c r="AD115" i="15"/>
  <c r="AD191" i="15"/>
  <c r="AD218" i="15"/>
  <c r="AD260" i="15"/>
  <c r="P240" i="15"/>
  <c r="P94" i="15"/>
  <c r="V94" i="15" s="1"/>
  <c r="F94" i="15" s="1"/>
  <c r="G94" i="15" s="1"/>
  <c r="BX94" i="6" s="1"/>
  <c r="AD21" i="15"/>
  <c r="AD285" i="15"/>
  <c r="P264" i="15"/>
  <c r="AD155" i="15"/>
  <c r="AD274" i="15"/>
  <c r="AD33" i="15"/>
  <c r="AD228" i="15"/>
  <c r="P233" i="15"/>
  <c r="V233" i="15" s="1"/>
  <c r="F233" i="15" s="1"/>
  <c r="AA233" i="15" s="1"/>
  <c r="Z233" i="15" s="1"/>
  <c r="Y233" i="15" s="1"/>
  <c r="P231" i="15"/>
  <c r="P228" i="15"/>
  <c r="P377" i="15"/>
  <c r="P302" i="15"/>
  <c r="D41" i="7" s="1"/>
  <c r="AD74" i="15"/>
  <c r="P268" i="15"/>
  <c r="V268" i="15" s="1"/>
  <c r="F268" i="15" s="1"/>
  <c r="AA268" i="15" s="1"/>
  <c r="Z268" i="15" s="1"/>
  <c r="Y268" i="15" s="1"/>
  <c r="AD48" i="15"/>
  <c r="P60" i="15"/>
  <c r="D33" i="7" s="1"/>
  <c r="AD314" i="15"/>
  <c r="AD84" i="15"/>
  <c r="AA84" i="15" s="1"/>
  <c r="Z84" i="15" s="1"/>
  <c r="Y84" i="15" s="1"/>
  <c r="AD130" i="15"/>
  <c r="AD355" i="15"/>
  <c r="AD116" i="15"/>
  <c r="AD297" i="15"/>
  <c r="P41" i="15"/>
  <c r="P166" i="15"/>
  <c r="P75" i="15"/>
  <c r="P250" i="15"/>
  <c r="P146" i="15"/>
  <c r="P90" i="15"/>
  <c r="V90" i="15" s="1"/>
  <c r="F90" i="15" s="1"/>
  <c r="H90" i="15" s="1"/>
  <c r="P378" i="15"/>
  <c r="AD359" i="15"/>
  <c r="P56" i="15"/>
  <c r="AD78" i="15"/>
  <c r="P371" i="15"/>
  <c r="AD298" i="15"/>
  <c r="AD27" i="15"/>
  <c r="AD117" i="15"/>
  <c r="AD163" i="15"/>
  <c r="AA331" i="1"/>
  <c r="Z331" i="1" s="1"/>
  <c r="Y331" i="1" s="1"/>
  <c r="V149" i="15"/>
  <c r="AD286" i="15"/>
  <c r="AD341" i="15"/>
  <c r="AH379" i="15"/>
  <c r="AG379" i="15" s="1"/>
  <c r="AF379" i="15" s="1"/>
  <c r="AD379" i="15" s="1"/>
  <c r="U381" i="15"/>
  <c r="AD145" i="15"/>
  <c r="AD184" i="15"/>
  <c r="P365" i="15"/>
  <c r="P274" i="15"/>
  <c r="V274" i="15" s="1"/>
  <c r="F274" i="15" s="1"/>
  <c r="G274" i="15" s="1"/>
  <c r="BX274" i="6" s="1"/>
  <c r="AD320" i="15"/>
  <c r="AD137" i="15"/>
  <c r="AD312" i="15"/>
  <c r="AD95" i="15"/>
  <c r="AA95" i="15" s="1"/>
  <c r="Z95" i="15" s="1"/>
  <c r="Y95" i="15" s="1"/>
  <c r="AD54" i="15"/>
  <c r="AA54" i="15" s="1"/>
  <c r="Z54" i="15" s="1"/>
  <c r="Y54" i="15" s="1"/>
  <c r="P229" i="15"/>
  <c r="V229" i="15" s="1"/>
  <c r="F229" i="15" s="1"/>
  <c r="G229" i="15" s="1"/>
  <c r="BX229" i="6" s="1"/>
  <c r="V333" i="15"/>
  <c r="P155" i="15"/>
  <c r="AI382" i="15"/>
  <c r="P125" i="15"/>
  <c r="P86" i="15"/>
  <c r="AD257" i="15"/>
  <c r="P322" i="15"/>
  <c r="AD83" i="15"/>
  <c r="AD63" i="15"/>
  <c r="AD213" i="15"/>
  <c r="AD37" i="15"/>
  <c r="AD278" i="15"/>
  <c r="P281" i="15"/>
  <c r="V281" i="15" s="1"/>
  <c r="F281" i="15" s="1"/>
  <c r="G281" i="15" s="1"/>
  <c r="BX281" i="6" s="1"/>
  <c r="P348" i="15"/>
  <c r="V348" i="15" s="1"/>
  <c r="F348" i="15" s="1"/>
  <c r="AD170" i="15"/>
  <c r="AD43" i="15"/>
  <c r="AD348" i="15"/>
  <c r="AD305" i="15"/>
  <c r="AD375" i="15"/>
  <c r="AD180" i="15"/>
  <c r="V328" i="15"/>
  <c r="F328" i="15" s="1"/>
  <c r="G328" i="15" s="1"/>
  <c r="BX328" i="6" s="1"/>
  <c r="V354" i="15"/>
  <c r="F354" i="15" s="1"/>
  <c r="AA354" i="15" s="1"/>
  <c r="Z354" i="15" s="1"/>
  <c r="Y354" i="15" s="1"/>
  <c r="V353" i="15"/>
  <c r="F353" i="15" s="1"/>
  <c r="G353" i="15" s="1"/>
  <c r="BX353" i="6" s="1"/>
  <c r="V28" i="15"/>
  <c r="F28" i="15" s="1"/>
  <c r="H28" i="15" s="1"/>
  <c r="V342" i="15"/>
  <c r="F342" i="15" s="1"/>
  <c r="AA342" i="15" s="1"/>
  <c r="Z342" i="15" s="1"/>
  <c r="Y342" i="15" s="1"/>
  <c r="V81" i="15"/>
  <c r="F81" i="15" s="1"/>
  <c r="AA81" i="15" s="1"/>
  <c r="Z81" i="15" s="1"/>
  <c r="Y81" i="15" s="1"/>
  <c r="V286" i="15"/>
  <c r="F286" i="15" s="1"/>
  <c r="H286" i="15" s="1"/>
  <c r="V214" i="15"/>
  <c r="F214" i="15" s="1"/>
  <c r="G214" i="15" s="1"/>
  <c r="BX214" i="6" s="1"/>
  <c r="V220" i="15"/>
  <c r="F220" i="15" s="1"/>
  <c r="AA220" i="15" s="1"/>
  <c r="Z220" i="15" s="1"/>
  <c r="Y220" i="15" s="1"/>
  <c r="V131" i="15"/>
  <c r="F131" i="15" s="1"/>
  <c r="G131" i="15" s="1"/>
  <c r="BX131" i="6" s="1"/>
  <c r="V313" i="15"/>
  <c r="F313" i="15" s="1"/>
  <c r="AA313" i="15" s="1"/>
  <c r="Z313" i="15" s="1"/>
  <c r="Y313" i="15" s="1"/>
  <c r="V292" i="15"/>
  <c r="F292" i="15" s="1"/>
  <c r="AA292" i="15" s="1"/>
  <c r="Z292" i="15" s="1"/>
  <c r="Y292" i="15" s="1"/>
  <c r="V277" i="15"/>
  <c r="F277" i="15" s="1"/>
  <c r="G277" i="15" s="1"/>
  <c r="BX277" i="6" s="1"/>
  <c r="V318" i="15"/>
  <c r="F318" i="15" s="1"/>
  <c r="G318" i="15" s="1"/>
  <c r="BX318" i="6" s="1"/>
  <c r="V226" i="15"/>
  <c r="F226" i="15" s="1"/>
  <c r="H226" i="15" s="1"/>
  <c r="AD344" i="15"/>
  <c r="AD18" i="15"/>
  <c r="AD108" i="15"/>
  <c r="AD99" i="15"/>
  <c r="P27" i="15"/>
  <c r="V27" i="15" s="1"/>
  <c r="F27" i="15" s="1"/>
  <c r="G27" i="15" s="1"/>
  <c r="BX27" i="6" s="1"/>
  <c r="P133" i="15"/>
  <c r="V133" i="15" s="1"/>
  <c r="F133" i="15" s="1"/>
  <c r="H133" i="15" s="1"/>
  <c r="AD265" i="15"/>
  <c r="P310" i="15"/>
  <c r="P76" i="15"/>
  <c r="V76" i="15" s="1"/>
  <c r="F76" i="15" s="1"/>
  <c r="G76" i="15" s="1"/>
  <c r="BX76" i="6" s="1"/>
  <c r="AD295" i="15"/>
  <c r="AD310" i="15"/>
  <c r="AD214" i="15"/>
  <c r="AD364" i="15"/>
  <c r="AD179" i="15"/>
  <c r="AD280" i="15"/>
  <c r="AD243" i="15"/>
  <c r="AD329" i="15"/>
  <c r="AD168" i="15"/>
  <c r="AD174" i="15"/>
  <c r="AD66" i="15"/>
  <c r="AD219" i="15"/>
  <c r="AD46" i="15"/>
  <c r="AD97" i="15"/>
  <c r="AD340" i="15"/>
  <c r="AD131" i="15"/>
  <c r="AD347" i="15"/>
  <c r="AD42" i="15"/>
  <c r="AD275" i="15"/>
  <c r="AD238" i="15"/>
  <c r="AD24" i="15"/>
  <c r="AD284" i="15"/>
  <c r="AD267" i="15"/>
  <c r="AD328" i="15"/>
  <c r="AD353" i="15"/>
  <c r="AA353" i="15" s="1"/>
  <c r="Z353" i="15" s="1"/>
  <c r="Y353" i="15" s="1"/>
  <c r="AD279" i="15"/>
  <c r="AD377" i="15"/>
  <c r="AD339" i="15"/>
  <c r="AD47" i="15"/>
  <c r="AD107" i="15"/>
  <c r="AD104" i="15"/>
  <c r="AD229" i="15"/>
  <c r="AD248" i="15"/>
  <c r="AD41" i="15"/>
  <c r="AD58" i="15"/>
  <c r="AD350" i="15"/>
  <c r="AD371" i="15"/>
  <c r="AD199" i="15"/>
  <c r="AD227" i="15"/>
  <c r="AD118" i="15"/>
  <c r="AD35" i="15"/>
  <c r="AD152" i="15"/>
  <c r="AD164" i="15"/>
  <c r="U383" i="15"/>
  <c r="P193" i="15"/>
  <c r="P42" i="15"/>
  <c r="P200" i="15"/>
  <c r="P52" i="15"/>
  <c r="V52" i="15" s="1"/>
  <c r="F52" i="15" s="1"/>
  <c r="G52" i="15" s="1"/>
  <c r="BX52" i="6" s="1"/>
  <c r="AD49" i="15"/>
  <c r="AD159" i="15"/>
  <c r="AD126" i="15"/>
  <c r="AD367" i="15"/>
  <c r="AD270" i="15"/>
  <c r="P316" i="15"/>
  <c r="V316" i="15" s="1"/>
  <c r="F316" i="15" s="1"/>
  <c r="G316" i="15" s="1"/>
  <c r="BX316" i="6" s="1"/>
  <c r="P320" i="15"/>
  <c r="AD261" i="15"/>
  <c r="AD185" i="15"/>
  <c r="AD110" i="15"/>
  <c r="AD165" i="15"/>
  <c r="AD70" i="15"/>
  <c r="AD32" i="15"/>
  <c r="AD335" i="15"/>
  <c r="AD240" i="15"/>
  <c r="AD36" i="15"/>
  <c r="AD276" i="15"/>
  <c r="AD247" i="15"/>
  <c r="P147" i="15"/>
  <c r="P276" i="15"/>
  <c r="V276" i="15" s="1"/>
  <c r="F276" i="15" s="1"/>
  <c r="P134" i="15"/>
  <c r="AD357" i="15"/>
  <c r="AD29" i="15"/>
  <c r="AD203" i="15"/>
  <c r="AD146" i="15"/>
  <c r="AD290" i="15"/>
  <c r="AD304" i="15"/>
  <c r="AD89" i="15"/>
  <c r="AD306" i="15"/>
  <c r="AD122" i="15"/>
  <c r="AD250" i="15"/>
  <c r="V210" i="15"/>
  <c r="AD87" i="15"/>
  <c r="AD53" i="15"/>
  <c r="AD291" i="15"/>
  <c r="AD376" i="15"/>
  <c r="AD59" i="15"/>
  <c r="AD302" i="15"/>
  <c r="P45" i="15"/>
  <c r="V45" i="15" s="1"/>
  <c r="F45" i="15" s="1"/>
  <c r="AA45" i="15" s="1"/>
  <c r="Z45" i="15" s="1"/>
  <c r="Y45" i="15" s="1"/>
  <c r="AD67" i="15"/>
  <c r="AD91" i="15"/>
  <c r="AD103" i="15"/>
  <c r="AI381" i="15"/>
  <c r="AI383" i="15"/>
  <c r="U382" i="15"/>
  <c r="P172" i="15"/>
  <c r="AA219" i="1"/>
  <c r="Z219" i="1" s="1"/>
  <c r="Y219" i="1" s="1"/>
  <c r="AD327" i="15"/>
  <c r="I219" i="1"/>
  <c r="AD307" i="15"/>
  <c r="AD175" i="15"/>
  <c r="AD167" i="15"/>
  <c r="AD120" i="15"/>
  <c r="AD366" i="15"/>
  <c r="AD77" i="15"/>
  <c r="AD154" i="15"/>
  <c r="AD88" i="15"/>
  <c r="AD242" i="15"/>
  <c r="AD183" i="15"/>
  <c r="AD230" i="15"/>
  <c r="AD105" i="15"/>
  <c r="AD246" i="15"/>
  <c r="AD80" i="15"/>
  <c r="AD55" i="15"/>
  <c r="AD273" i="15"/>
  <c r="P252" i="15"/>
  <c r="V252" i="15" s="1"/>
  <c r="F252" i="15" s="1"/>
  <c r="H252" i="15" s="1"/>
  <c r="AD61" i="15"/>
  <c r="AA265" i="1"/>
  <c r="Z265" i="1" s="1"/>
  <c r="Y265" i="1" s="1"/>
  <c r="G370" i="1"/>
  <c r="BW370" i="6" s="1"/>
  <c r="AA180" i="1"/>
  <c r="Z180" i="1" s="1"/>
  <c r="Y180" i="1" s="1"/>
  <c r="V97" i="15"/>
  <c r="F97" i="15" s="1"/>
  <c r="V223" i="15"/>
  <c r="F223" i="15" s="1"/>
  <c r="G223" i="15" s="1"/>
  <c r="BX223" i="6" s="1"/>
  <c r="V107" i="15"/>
  <c r="F107" i="15" s="1"/>
  <c r="G107" i="15" s="1"/>
  <c r="BX107" i="6" s="1"/>
  <c r="V172" i="15"/>
  <c r="F172" i="15" s="1"/>
  <c r="G172" i="15" s="1"/>
  <c r="BX172" i="6" s="1"/>
  <c r="V61" i="15"/>
  <c r="F61" i="15" s="1"/>
  <c r="AA61" i="15" s="1"/>
  <c r="Z61" i="15" s="1"/>
  <c r="Y61" i="15" s="1"/>
  <c r="V340" i="15"/>
  <c r="F340" i="15" s="1"/>
  <c r="V261" i="15"/>
  <c r="F261" i="15" s="1"/>
  <c r="V177" i="15"/>
  <c r="F177" i="15" s="1"/>
  <c r="G177" i="15" s="1"/>
  <c r="BX177" i="6" s="1"/>
  <c r="V125" i="15"/>
  <c r="F125" i="15" s="1"/>
  <c r="AA125" i="15" s="1"/>
  <c r="Z125" i="15" s="1"/>
  <c r="Y125" i="15" s="1"/>
  <c r="V350" i="15"/>
  <c r="F350" i="15" s="1"/>
  <c r="G350" i="15" s="1"/>
  <c r="BX350" i="6" s="1"/>
  <c r="V308" i="15"/>
  <c r="F308" i="15" s="1"/>
  <c r="G308" i="15" s="1"/>
  <c r="BX308" i="6" s="1"/>
  <c r="V296" i="15"/>
  <c r="F296" i="15" s="1"/>
  <c r="G296" i="15" s="1"/>
  <c r="BX296" i="6" s="1"/>
  <c r="V203" i="15"/>
  <c r="F203" i="15" s="1"/>
  <c r="V47" i="15"/>
  <c r="F47" i="15" s="1"/>
  <c r="G47" i="15" s="1"/>
  <c r="BX47" i="6" s="1"/>
  <c r="V278" i="15"/>
  <c r="F278" i="15" s="1"/>
  <c r="G278" i="15" s="1"/>
  <c r="BX278" i="6" s="1"/>
  <c r="V30" i="15"/>
  <c r="F30" i="15" s="1"/>
  <c r="H30" i="15" s="1"/>
  <c r="V39" i="15"/>
  <c r="F39" i="15" s="1"/>
  <c r="AA39" i="15" s="1"/>
  <c r="Z39" i="15" s="1"/>
  <c r="Y39" i="15" s="1"/>
  <c r="V270" i="15"/>
  <c r="F270" i="15" s="1"/>
  <c r="V53" i="15"/>
  <c r="F53" i="15" s="1"/>
  <c r="G53" i="15" s="1"/>
  <c r="BX53" i="6" s="1"/>
  <c r="V163" i="15"/>
  <c r="F163" i="15" s="1"/>
  <c r="H163" i="15" s="1"/>
  <c r="V288" i="15"/>
  <c r="F288" i="15" s="1"/>
  <c r="G288" i="15" s="1"/>
  <c r="BX288" i="6" s="1"/>
  <c r="V368" i="15"/>
  <c r="F368" i="15" s="1"/>
  <c r="G368" i="15" s="1"/>
  <c r="BX368" i="6" s="1"/>
  <c r="V322" i="15"/>
  <c r="F322" i="15" s="1"/>
  <c r="G322" i="15" s="1"/>
  <c r="BX322" i="6" s="1"/>
  <c r="V150" i="15"/>
  <c r="F150" i="15" s="1"/>
  <c r="H150" i="15" s="1"/>
  <c r="V19" i="15"/>
  <c r="F19" i="15" s="1"/>
  <c r="AA19" i="15" s="1"/>
  <c r="Z19" i="15" s="1"/>
  <c r="Y19" i="15" s="1"/>
  <c r="V265" i="15"/>
  <c r="F265" i="15" s="1"/>
  <c r="G265" i="15" s="1"/>
  <c r="BX265" i="6" s="1"/>
  <c r="V365" i="15"/>
  <c r="F365" i="15" s="1"/>
  <c r="G365" i="15" s="1"/>
  <c r="BX365" i="6" s="1"/>
  <c r="V117" i="15"/>
  <c r="F117" i="15" s="1"/>
  <c r="AA117" i="15" s="1"/>
  <c r="Z117" i="15" s="1"/>
  <c r="Y117" i="15" s="1"/>
  <c r="V373" i="15"/>
  <c r="F373" i="15" s="1"/>
  <c r="G373" i="15" s="1"/>
  <c r="BX373" i="6" s="1"/>
  <c r="V16" i="15"/>
  <c r="F16" i="15" s="1"/>
  <c r="H16" i="15" s="1"/>
  <c r="V230" i="15"/>
  <c r="F230" i="15" s="1"/>
  <c r="H230" i="15" s="1"/>
  <c r="V207" i="15"/>
  <c r="F207" i="15" s="1"/>
  <c r="AA207" i="15" s="1"/>
  <c r="Z207" i="15" s="1"/>
  <c r="Y207" i="15" s="1"/>
  <c r="V92" i="15"/>
  <c r="F92" i="15" s="1"/>
  <c r="AA92" i="15" s="1"/>
  <c r="Z92" i="15" s="1"/>
  <c r="Y92" i="15" s="1"/>
  <c r="V337" i="15"/>
  <c r="F337" i="15" s="1"/>
  <c r="AA337" i="15" s="1"/>
  <c r="Z337" i="15" s="1"/>
  <c r="Y337" i="15" s="1"/>
  <c r="V294" i="15"/>
  <c r="F294" i="15" s="1"/>
  <c r="H294" i="15" s="1"/>
  <c r="V36" i="15"/>
  <c r="F36" i="15" s="1"/>
  <c r="V93" i="15"/>
  <c r="F93" i="15" s="1"/>
  <c r="AA93" i="15" s="1"/>
  <c r="Z93" i="15" s="1"/>
  <c r="Y93" i="15" s="1"/>
  <c r="V227" i="15"/>
  <c r="F227" i="15" s="1"/>
  <c r="V351" i="15"/>
  <c r="F351" i="15" s="1"/>
  <c r="G351" i="15" s="1"/>
  <c r="BX351" i="6" s="1"/>
  <c r="V369" i="15"/>
  <c r="F369" i="15" s="1"/>
  <c r="G369" i="15" s="1"/>
  <c r="BX369" i="6" s="1"/>
  <c r="V188" i="15"/>
  <c r="F188" i="15" s="1"/>
  <c r="G188" i="15" s="1"/>
  <c r="BX188" i="6" s="1"/>
  <c r="V307" i="15"/>
  <c r="F307" i="15" s="1"/>
  <c r="G307" i="15" s="1"/>
  <c r="BX307" i="6" s="1"/>
  <c r="BH9" i="7"/>
  <c r="BJ10" i="7" s="1"/>
  <c r="V355" i="15"/>
  <c r="F355" i="15" s="1"/>
  <c r="AA355" i="15" s="1"/>
  <c r="Z355" i="15" s="1"/>
  <c r="Y355" i="15" s="1"/>
  <c r="V56" i="15"/>
  <c r="F56" i="15" s="1"/>
  <c r="H56" i="15" s="1"/>
  <c r="V376" i="15"/>
  <c r="F376" i="15" s="1"/>
  <c r="V204" i="15"/>
  <c r="F204" i="15" s="1"/>
  <c r="G204" i="15" s="1"/>
  <c r="BX204" i="6" s="1"/>
  <c r="V67" i="15"/>
  <c r="F67" i="15" s="1"/>
  <c r="G67" i="15" s="1"/>
  <c r="BX67" i="6" s="1"/>
  <c r="V198" i="15"/>
  <c r="F198" i="15" s="1"/>
  <c r="G198" i="15" s="1"/>
  <c r="BX198" i="6" s="1"/>
  <c r="E8" i="20"/>
  <c r="K16" i="19" s="1"/>
  <c r="V248" i="15"/>
  <c r="F248" i="15" s="1"/>
  <c r="V138" i="15"/>
  <c r="F138" i="15" s="1"/>
  <c r="H138" i="15" s="1"/>
  <c r="V180" i="15"/>
  <c r="V99" i="15"/>
  <c r="F99" i="15" s="1"/>
  <c r="AA99" i="15" s="1"/>
  <c r="Z99" i="15" s="1"/>
  <c r="Y99" i="15" s="1"/>
  <c r="V326" i="15"/>
  <c r="F326" i="15" s="1"/>
  <c r="AA326" i="15" s="1"/>
  <c r="Z326" i="15" s="1"/>
  <c r="Y326" i="15" s="1"/>
  <c r="V364" i="15"/>
  <c r="F364" i="15" s="1"/>
  <c r="G364" i="15" s="1"/>
  <c r="BX364" i="6" s="1"/>
  <c r="V46" i="15"/>
  <c r="F46" i="15" s="1"/>
  <c r="V40" i="15"/>
  <c r="F40" i="15" s="1"/>
  <c r="H40" i="15" s="1"/>
  <c r="V287" i="15"/>
  <c r="F287" i="15" s="1"/>
  <c r="G287" i="15" s="1"/>
  <c r="BX287" i="6" s="1"/>
  <c r="V65" i="15"/>
  <c r="F65" i="15" s="1"/>
  <c r="H65" i="15" s="1"/>
  <c r="V128" i="15"/>
  <c r="F128" i="15" s="1"/>
  <c r="G128" i="15" s="1"/>
  <c r="BX128" i="6" s="1"/>
  <c r="V330" i="15"/>
  <c r="F330" i="15" s="1"/>
  <c r="G330" i="15" s="1"/>
  <c r="BX330" i="6" s="1"/>
  <c r="V24" i="15"/>
  <c r="F24" i="15" s="1"/>
  <c r="G24" i="15" s="1"/>
  <c r="BX24" i="6" s="1"/>
  <c r="V85" i="15"/>
  <c r="F85" i="15" s="1"/>
  <c r="G85" i="15" s="1"/>
  <c r="BX85" i="6" s="1"/>
  <c r="V166" i="15"/>
  <c r="F166" i="15" s="1"/>
  <c r="V75" i="15"/>
  <c r="F75" i="15" s="1"/>
  <c r="G75" i="15" s="1"/>
  <c r="BX75" i="6" s="1"/>
  <c r="V280" i="15"/>
  <c r="F280" i="15" s="1"/>
  <c r="V136" i="15"/>
  <c r="F136" i="15" s="1"/>
  <c r="G136" i="15" s="1"/>
  <c r="BX136" i="6" s="1"/>
  <c r="V224" i="15"/>
  <c r="F224" i="15" s="1"/>
  <c r="AA224" i="15" s="1"/>
  <c r="Z224" i="15" s="1"/>
  <c r="Y224" i="15" s="1"/>
  <c r="V173" i="15"/>
  <c r="F173" i="15" s="1"/>
  <c r="AA173" i="15" s="1"/>
  <c r="Z173" i="15" s="1"/>
  <c r="Y173" i="15" s="1"/>
  <c r="V225" i="15"/>
  <c r="F225" i="15" s="1"/>
  <c r="G225" i="15" s="1"/>
  <c r="BX225" i="6" s="1"/>
  <c r="V283" i="15"/>
  <c r="F283" i="15" s="1"/>
  <c r="H283" i="15" s="1"/>
  <c r="V175" i="15"/>
  <c r="F175" i="15" s="1"/>
  <c r="AA175" i="15" s="1"/>
  <c r="Z175" i="15" s="1"/>
  <c r="Y175" i="15" s="1"/>
  <c r="V110" i="15"/>
  <c r="F110" i="15" s="1"/>
  <c r="H110" i="15" s="1"/>
  <c r="V193" i="15"/>
  <c r="F193" i="15" s="1"/>
  <c r="G193" i="15" s="1"/>
  <c r="BX193" i="6" s="1"/>
  <c r="V42" i="15"/>
  <c r="F42" i="15" s="1"/>
  <c r="G42" i="15" s="1"/>
  <c r="BX42" i="6" s="1"/>
  <c r="V49" i="15"/>
  <c r="F49" i="15" s="1"/>
  <c r="H49" i="15" s="1"/>
  <c r="V349" i="15"/>
  <c r="F349" i="15" s="1"/>
  <c r="G349" i="15" s="1"/>
  <c r="BX349" i="6" s="1"/>
  <c r="V17" i="15"/>
  <c r="F17" i="15" s="1"/>
  <c r="AA17" i="15" s="1"/>
  <c r="Z17" i="15" s="1"/>
  <c r="Y17" i="15" s="1"/>
  <c r="V184" i="15"/>
  <c r="F184" i="15" s="1"/>
  <c r="G184" i="15" s="1"/>
  <c r="BX184" i="6" s="1"/>
  <c r="V242" i="15"/>
  <c r="F242" i="15" s="1"/>
  <c r="G242" i="15" s="1"/>
  <c r="BX242" i="6" s="1"/>
  <c r="V202" i="15"/>
  <c r="F202" i="15" s="1"/>
  <c r="G202" i="15" s="1"/>
  <c r="BX202" i="6" s="1"/>
  <c r="V190" i="15"/>
  <c r="F190" i="15" s="1"/>
  <c r="G190" i="15" s="1"/>
  <c r="BX190" i="6" s="1"/>
  <c r="V244" i="15"/>
  <c r="F244" i="15" s="1"/>
  <c r="G244" i="15" s="1"/>
  <c r="BX244" i="6" s="1"/>
  <c r="V55" i="15"/>
  <c r="F55" i="15" s="1"/>
  <c r="V323" i="15"/>
  <c r="F323" i="15" s="1"/>
  <c r="H323" i="15" s="1"/>
  <c r="V137" i="15"/>
  <c r="F137" i="15" s="1"/>
  <c r="V72" i="15"/>
  <c r="F72" i="15" s="1"/>
  <c r="AA72" i="15" s="1"/>
  <c r="Z72" i="15" s="1"/>
  <c r="Y72" i="15" s="1"/>
  <c r="V346" i="15"/>
  <c r="F346" i="15" s="1"/>
  <c r="H346" i="15" s="1"/>
  <c r="V33" i="15"/>
  <c r="F33" i="15" s="1"/>
  <c r="G33" i="15" s="1"/>
  <c r="BX33" i="6" s="1"/>
  <c r="V320" i="15"/>
  <c r="F320" i="15" s="1"/>
  <c r="G320" i="15" s="1"/>
  <c r="BX320" i="6" s="1"/>
  <c r="V251" i="15"/>
  <c r="F251" i="15" s="1"/>
  <c r="G251" i="15" s="1"/>
  <c r="BX251" i="6" s="1"/>
  <c r="V167" i="15"/>
  <c r="F167" i="15" s="1"/>
  <c r="G167" i="15" s="1"/>
  <c r="BX167" i="6" s="1"/>
  <c r="V139" i="15"/>
  <c r="F139" i="15" s="1"/>
  <c r="G139" i="15" s="1"/>
  <c r="BX139" i="6" s="1"/>
  <c r="V303" i="15"/>
  <c r="F303" i="15" s="1"/>
  <c r="AA303" i="15" s="1"/>
  <c r="Z303" i="15" s="1"/>
  <c r="Y303" i="15" s="1"/>
  <c r="V66" i="15"/>
  <c r="F66" i="15" s="1"/>
  <c r="H66" i="15" s="1"/>
  <c r="V127" i="15"/>
  <c r="F127" i="15" s="1"/>
  <c r="AA127" i="15" s="1"/>
  <c r="Z127" i="15" s="1"/>
  <c r="Y127" i="15" s="1"/>
  <c r="V291" i="15"/>
  <c r="F291" i="15" s="1"/>
  <c r="V21" i="15"/>
  <c r="F21" i="15" s="1"/>
  <c r="H21" i="15" s="1"/>
  <c r="V201" i="15"/>
  <c r="F201" i="15" s="1"/>
  <c r="AA201" i="15" s="1"/>
  <c r="Z201" i="15" s="1"/>
  <c r="Y201" i="15" s="1"/>
  <c r="V147" i="15"/>
  <c r="F147" i="15" s="1"/>
  <c r="AA147" i="15" s="1"/>
  <c r="Z147" i="15" s="1"/>
  <c r="Y147" i="15" s="1"/>
  <c r="V325" i="15"/>
  <c r="F325" i="15" s="1"/>
  <c r="H325" i="15" s="1"/>
  <c r="V132" i="15"/>
  <c r="F132" i="15" s="1"/>
  <c r="H132" i="15" s="1"/>
  <c r="V70" i="15"/>
  <c r="F70" i="15" s="1"/>
  <c r="G70" i="15" s="1"/>
  <c r="BX70" i="6" s="1"/>
  <c r="V235" i="15"/>
  <c r="F235" i="15" s="1"/>
  <c r="G235" i="15" s="1"/>
  <c r="BX235" i="6" s="1"/>
  <c r="V98" i="15"/>
  <c r="F98" i="15" s="1"/>
  <c r="H98" i="15" s="1"/>
  <c r="V375" i="15"/>
  <c r="F375" i="15" s="1"/>
  <c r="AA375" i="15" s="1"/>
  <c r="Z375" i="15" s="1"/>
  <c r="Y375" i="15" s="1"/>
  <c r="V239" i="15"/>
  <c r="F239" i="15" s="1"/>
  <c r="G239" i="15" s="1"/>
  <c r="BX239" i="6" s="1"/>
  <c r="V327" i="15"/>
  <c r="F327" i="15" s="1"/>
  <c r="V343" i="15"/>
  <c r="F343" i="15" s="1"/>
  <c r="AA343" i="15" s="1"/>
  <c r="Z343" i="15" s="1"/>
  <c r="Y343" i="15" s="1"/>
  <c r="V263" i="15"/>
  <c r="F263" i="15" s="1"/>
  <c r="AA263" i="15" s="1"/>
  <c r="Z263" i="15" s="1"/>
  <c r="Y263" i="15" s="1"/>
  <c r="V31" i="15"/>
  <c r="F31" i="15" s="1"/>
  <c r="AA31" i="15" s="1"/>
  <c r="Z31" i="15" s="1"/>
  <c r="Y31" i="15" s="1"/>
  <c r="V189" i="15"/>
  <c r="F189" i="15" s="1"/>
  <c r="AA189" i="15" s="1"/>
  <c r="Z189" i="15" s="1"/>
  <c r="Y189" i="15" s="1"/>
  <c r="V289" i="15"/>
  <c r="F289" i="15" s="1"/>
  <c r="AA289" i="15" s="1"/>
  <c r="Z289" i="15" s="1"/>
  <c r="Y289" i="15" s="1"/>
  <c r="V306" i="15"/>
  <c r="F306" i="15" s="1"/>
  <c r="AA306" i="15" s="1"/>
  <c r="Z306" i="15" s="1"/>
  <c r="Y306" i="15" s="1"/>
  <c r="V153" i="15"/>
  <c r="F153" i="15" s="1"/>
  <c r="H153" i="15" s="1"/>
  <c r="V347" i="15"/>
  <c r="F347" i="15" s="1"/>
  <c r="AA347" i="15" s="1"/>
  <c r="Z347" i="15" s="1"/>
  <c r="Y347" i="15" s="1"/>
  <c r="V357" i="15"/>
  <c r="F357" i="15" s="1"/>
  <c r="V64" i="15"/>
  <c r="F64" i="15" s="1"/>
  <c r="G64" i="15" s="1"/>
  <c r="BX64" i="6" s="1"/>
  <c r="V211" i="15"/>
  <c r="F211" i="15" s="1"/>
  <c r="G211" i="15" s="1"/>
  <c r="BX211" i="6" s="1"/>
  <c r="V356" i="15"/>
  <c r="F356" i="15" s="1"/>
  <c r="H356" i="15" s="1"/>
  <c r="V35" i="15"/>
  <c r="F35" i="15" s="1"/>
  <c r="G35" i="15" s="1"/>
  <c r="BX35" i="6" s="1"/>
  <c r="V142" i="15"/>
  <c r="F142" i="15" s="1"/>
  <c r="H142" i="15" s="1"/>
  <c r="V26" i="15"/>
  <c r="F26" i="15" s="1"/>
  <c r="AA26" i="15" s="1"/>
  <c r="Z26" i="15" s="1"/>
  <c r="Y26" i="15" s="1"/>
  <c r="V264" i="15"/>
  <c r="F264" i="15" s="1"/>
  <c r="G264" i="15" s="1"/>
  <c r="BX264" i="6" s="1"/>
  <c r="V285" i="15"/>
  <c r="F285" i="15" s="1"/>
  <c r="G285" i="15" s="1"/>
  <c r="BX285" i="6" s="1"/>
  <c r="V361" i="15"/>
  <c r="F361" i="15" s="1"/>
  <c r="H361" i="15" s="1"/>
  <c r="V231" i="15"/>
  <c r="F231" i="15" s="1"/>
  <c r="AA231" i="15" s="1"/>
  <c r="Z231" i="15" s="1"/>
  <c r="Y231" i="15" s="1"/>
  <c r="V266" i="15"/>
  <c r="F266" i="15" s="1"/>
  <c r="AA266" i="15" s="1"/>
  <c r="Z266" i="15" s="1"/>
  <c r="Y266" i="15" s="1"/>
  <c r="V182" i="15"/>
  <c r="F182" i="15" s="1"/>
  <c r="G182" i="15" s="1"/>
  <c r="BX182" i="6" s="1"/>
  <c r="V228" i="15"/>
  <c r="F228" i="15" s="1"/>
  <c r="G228" i="15" s="1"/>
  <c r="BX228" i="6" s="1"/>
  <c r="V43" i="15"/>
  <c r="F43" i="15" s="1"/>
  <c r="H43" i="15" s="1"/>
  <c r="V155" i="15"/>
  <c r="F155" i="15" s="1"/>
  <c r="G155" i="15" s="1"/>
  <c r="BX155" i="6" s="1"/>
  <c r="V187" i="15"/>
  <c r="F187" i="15" s="1"/>
  <c r="AA187" i="15" s="1"/>
  <c r="Z187" i="15" s="1"/>
  <c r="Y187" i="15" s="1"/>
  <c r="V60" i="15"/>
  <c r="V363" i="15"/>
  <c r="V162" i="15"/>
  <c r="F162" i="15" s="1"/>
  <c r="AA162" i="15" s="1"/>
  <c r="Z162" i="15" s="1"/>
  <c r="Y162" i="15" s="1"/>
  <c r="V262" i="15"/>
  <c r="F262" i="15" s="1"/>
  <c r="AA262" i="15" s="1"/>
  <c r="Z262" i="15" s="1"/>
  <c r="Y262" i="15" s="1"/>
  <c r="V179" i="15"/>
  <c r="F179" i="15" s="1"/>
  <c r="H179" i="15" s="1"/>
  <c r="V116" i="15"/>
  <c r="F116" i="15" s="1"/>
  <c r="G116" i="15" s="1"/>
  <c r="BX116" i="6" s="1"/>
  <c r="V260" i="15"/>
  <c r="F260" i="15" s="1"/>
  <c r="G260" i="15" s="1"/>
  <c r="BX260" i="6" s="1"/>
  <c r="V367" i="15"/>
  <c r="F367" i="15" s="1"/>
  <c r="G367" i="15" s="1"/>
  <c r="BX367" i="6" s="1"/>
  <c r="V108" i="15"/>
  <c r="F108" i="15" s="1"/>
  <c r="V156" i="15"/>
  <c r="F156" i="15" s="1"/>
  <c r="H156" i="15" s="1"/>
  <c r="V219" i="15"/>
  <c r="F219" i="15" s="1"/>
  <c r="G219" i="15" s="1"/>
  <c r="BX219" i="6" s="1"/>
  <c r="V129" i="15"/>
  <c r="F129" i="15" s="1"/>
  <c r="G129" i="15" s="1"/>
  <c r="BX129" i="6" s="1"/>
  <c r="V79" i="15"/>
  <c r="F79" i="15" s="1"/>
  <c r="AA79" i="15" s="1"/>
  <c r="Z79" i="15" s="1"/>
  <c r="Y79" i="15" s="1"/>
  <c r="V63" i="15"/>
  <c r="F63" i="15" s="1"/>
  <c r="V48" i="15"/>
  <c r="F48" i="15" s="1"/>
  <c r="G48" i="15" s="1"/>
  <c r="BX48" i="6" s="1"/>
  <c r="V194" i="15"/>
  <c r="F194" i="15" s="1"/>
  <c r="G194" i="15" s="1"/>
  <c r="BX194" i="6" s="1"/>
  <c r="V329" i="15"/>
  <c r="F329" i="15" s="1"/>
  <c r="G329" i="15" s="1"/>
  <c r="BX329" i="6" s="1"/>
  <c r="V148" i="15"/>
  <c r="F148" i="15" s="1"/>
  <c r="AA148" i="15" s="1"/>
  <c r="Z148" i="15" s="1"/>
  <c r="Y148" i="15" s="1"/>
  <c r="V372" i="15"/>
  <c r="F372" i="15" s="1"/>
  <c r="AA372" i="15" s="1"/>
  <c r="Z372" i="15" s="1"/>
  <c r="Y372" i="15" s="1"/>
  <c r="V196" i="15"/>
  <c r="F196" i="15" s="1"/>
  <c r="G196" i="15" s="1"/>
  <c r="BX196" i="6" s="1"/>
  <c r="V165" i="15"/>
  <c r="F165" i="15" s="1"/>
  <c r="G165" i="15" s="1"/>
  <c r="BX165" i="6" s="1"/>
  <c r="V200" i="15"/>
  <c r="F200" i="15" s="1"/>
  <c r="AA200" i="15" s="1"/>
  <c r="Z200" i="15" s="1"/>
  <c r="Y200" i="15" s="1"/>
  <c r="V192" i="15"/>
  <c r="F192" i="15" s="1"/>
  <c r="G192" i="15" s="1"/>
  <c r="BX192" i="6" s="1"/>
  <c r="V145" i="15"/>
  <c r="F145" i="15" s="1"/>
  <c r="AA145" i="15" s="1"/>
  <c r="Z145" i="15" s="1"/>
  <c r="Y145" i="15" s="1"/>
  <c r="V96" i="15"/>
  <c r="F96" i="15" s="1"/>
  <c r="G96" i="15" s="1"/>
  <c r="BX96" i="6" s="1"/>
  <c r="V77" i="15"/>
  <c r="F77" i="15" s="1"/>
  <c r="V218" i="15"/>
  <c r="F218" i="15" s="1"/>
  <c r="AA218" i="15" s="1"/>
  <c r="Z218" i="15" s="1"/>
  <c r="Y218" i="15" s="1"/>
  <c r="V311" i="15"/>
  <c r="F311" i="15" s="1"/>
  <c r="G311" i="15" s="1"/>
  <c r="BX311" i="6" s="1"/>
  <c r="V259" i="15"/>
  <c r="F259" i="15" s="1"/>
  <c r="AA259" i="15" s="1"/>
  <c r="Z259" i="15" s="1"/>
  <c r="Y259" i="15" s="1"/>
  <c r="V237" i="15"/>
  <c r="F237" i="15" s="1"/>
  <c r="AA237" i="15" s="1"/>
  <c r="Z237" i="15" s="1"/>
  <c r="Y237" i="15" s="1"/>
  <c r="V374" i="15"/>
  <c r="F374" i="15" s="1"/>
  <c r="AA374" i="15" s="1"/>
  <c r="Z374" i="15" s="1"/>
  <c r="Y374" i="15" s="1"/>
  <c r="V124" i="15"/>
  <c r="F124" i="15" s="1"/>
  <c r="G124" i="15" s="1"/>
  <c r="BX124" i="6" s="1"/>
  <c r="V20" i="15"/>
  <c r="F20" i="15" s="1"/>
  <c r="G20" i="15" s="1"/>
  <c r="BX20" i="6" s="1"/>
  <c r="V121" i="15"/>
  <c r="F121" i="15" s="1"/>
  <c r="H121" i="15" s="1"/>
  <c r="V105" i="15"/>
  <c r="F105" i="15" s="1"/>
  <c r="V359" i="15"/>
  <c r="F359" i="15" s="1"/>
  <c r="G359" i="15" s="1"/>
  <c r="BX359" i="6" s="1"/>
  <c r="V215" i="15"/>
  <c r="F215" i="15" s="1"/>
  <c r="G215" i="15" s="1"/>
  <c r="BX215" i="6" s="1"/>
  <c r="V304" i="15"/>
  <c r="F304" i="15" s="1"/>
  <c r="G304" i="15" s="1"/>
  <c r="BX304" i="6" s="1"/>
  <c r="V295" i="15"/>
  <c r="F295" i="15" s="1"/>
  <c r="G295" i="15" s="1"/>
  <c r="BX295" i="6" s="1"/>
  <c r="V143" i="15"/>
  <c r="F143" i="15" s="1"/>
  <c r="AA143" i="15" s="1"/>
  <c r="Z143" i="15" s="1"/>
  <c r="Y143" i="15" s="1"/>
  <c r="V208" i="15"/>
  <c r="F208" i="15" s="1"/>
  <c r="AA208" i="15" s="1"/>
  <c r="Z208" i="15" s="1"/>
  <c r="Y208" i="15" s="1"/>
  <c r="V336" i="15"/>
  <c r="F336" i="15" s="1"/>
  <c r="G336" i="15" s="1"/>
  <c r="BX336" i="6" s="1"/>
  <c r="V222" i="15"/>
  <c r="F222" i="15" s="1"/>
  <c r="G222" i="15" s="1"/>
  <c r="BX222" i="6" s="1"/>
  <c r="V18" i="15"/>
  <c r="F18" i="15" s="1"/>
  <c r="H18" i="15" s="1"/>
  <c r="V212" i="15"/>
  <c r="F212" i="15" s="1"/>
  <c r="G212" i="15" s="1"/>
  <c r="BX212" i="6" s="1"/>
  <c r="V170" i="15"/>
  <c r="F170" i="15" s="1"/>
  <c r="G170" i="15" s="1"/>
  <c r="BX170" i="6" s="1"/>
  <c r="V37" i="15"/>
  <c r="F37" i="15" s="1"/>
  <c r="V161" i="15"/>
  <c r="F161" i="15" s="1"/>
  <c r="AA161" i="15" s="1"/>
  <c r="Z161" i="15" s="1"/>
  <c r="Y161" i="15" s="1"/>
  <c r="V80" i="15"/>
  <c r="F80" i="15" s="1"/>
  <c r="H80" i="15" s="1"/>
  <c r="V160" i="15"/>
  <c r="F160" i="15" s="1"/>
  <c r="G160" i="15" s="1"/>
  <c r="BX160" i="6" s="1"/>
  <c r="V246" i="15"/>
  <c r="F246" i="15" s="1"/>
  <c r="G246" i="15" s="1"/>
  <c r="BX246" i="6" s="1"/>
  <c r="V135" i="15"/>
  <c r="F135" i="15" s="1"/>
  <c r="V234" i="15"/>
  <c r="F234" i="15" s="1"/>
  <c r="G234" i="15" s="1"/>
  <c r="BX234" i="6" s="1"/>
  <c r="V301" i="15"/>
  <c r="F301" i="15" s="1"/>
  <c r="AA301" i="15" s="1"/>
  <c r="Z301" i="15" s="1"/>
  <c r="Y301" i="15" s="1"/>
  <c r="V57" i="15"/>
  <c r="F57" i="15" s="1"/>
  <c r="G57" i="15" s="1"/>
  <c r="BX57" i="6" s="1"/>
  <c r="V366" i="15"/>
  <c r="F366" i="15" s="1"/>
  <c r="V255" i="15"/>
  <c r="F255" i="15" s="1"/>
  <c r="AA255" i="15" s="1"/>
  <c r="Z255" i="15" s="1"/>
  <c r="Y255" i="15" s="1"/>
  <c r="V154" i="15"/>
  <c r="F154" i="15" s="1"/>
  <c r="V113" i="15"/>
  <c r="F113" i="15" s="1"/>
  <c r="AA113" i="15" s="1"/>
  <c r="Z113" i="15" s="1"/>
  <c r="Y113" i="15" s="1"/>
  <c r="V335" i="15"/>
  <c r="F335" i="15" s="1"/>
  <c r="V240" i="15"/>
  <c r="F240" i="15" s="1"/>
  <c r="H240" i="15" s="1"/>
  <c r="V119" i="15"/>
  <c r="V279" i="15"/>
  <c r="F279" i="15" s="1"/>
  <c r="H279" i="15" s="1"/>
  <c r="V151" i="15"/>
  <c r="F151" i="15" s="1"/>
  <c r="AA151" i="15" s="1"/>
  <c r="Z151" i="15" s="1"/>
  <c r="Y151" i="15" s="1"/>
  <c r="V158" i="15"/>
  <c r="F158" i="15" s="1"/>
  <c r="H158" i="15" s="1"/>
  <c r="V101" i="15"/>
  <c r="F101" i="15" s="1"/>
  <c r="H101" i="15" s="1"/>
  <c r="V71" i="15"/>
  <c r="F71" i="15" s="1"/>
  <c r="G71" i="15" s="1"/>
  <c r="BX71" i="6" s="1"/>
  <c r="V339" i="15"/>
  <c r="F339" i="15" s="1"/>
  <c r="G339" i="15" s="1"/>
  <c r="BX339" i="6" s="1"/>
  <c r="V59" i="15"/>
  <c r="F59" i="15" s="1"/>
  <c r="H59" i="15" s="1"/>
  <c r="V34" i="15"/>
  <c r="F34" i="15" s="1"/>
  <c r="H34" i="15" s="1"/>
  <c r="V341" i="15"/>
  <c r="F341" i="15" s="1"/>
  <c r="G341" i="15" s="1"/>
  <c r="BX341" i="6" s="1"/>
  <c r="V87" i="15"/>
  <c r="F87" i="15" s="1"/>
  <c r="H87" i="15" s="1"/>
  <c r="V324" i="15"/>
  <c r="F324" i="15" s="1"/>
  <c r="G324" i="15" s="1"/>
  <c r="BX324" i="6" s="1"/>
  <c r="V100" i="15"/>
  <c r="F100" i="15" s="1"/>
  <c r="H100" i="15" s="1"/>
  <c r="V241" i="15"/>
  <c r="AY11" i="7"/>
  <c r="Q11" i="24" s="1"/>
  <c r="V74" i="15"/>
  <c r="F74" i="15" s="1"/>
  <c r="V32" i="15"/>
  <c r="F32" i="15" s="1"/>
  <c r="AA32" i="15" s="1"/>
  <c r="Z32" i="15" s="1"/>
  <c r="Y32" i="15" s="1"/>
  <c r="V344" i="15"/>
  <c r="F344" i="15" s="1"/>
  <c r="V38" i="15"/>
  <c r="F38" i="15" s="1"/>
  <c r="V269" i="15"/>
  <c r="F269" i="15" s="1"/>
  <c r="G269" i="15" s="1"/>
  <c r="BX269" i="6" s="1"/>
  <c r="V378" i="15"/>
  <c r="F378" i="15" s="1"/>
  <c r="H378" i="15" s="1"/>
  <c r="V299" i="15"/>
  <c r="F299" i="15" s="1"/>
  <c r="G299" i="15" s="1"/>
  <c r="BX299" i="6" s="1"/>
  <c r="V273" i="15"/>
  <c r="F273" i="15" s="1"/>
  <c r="G273" i="15" s="1"/>
  <c r="BX273" i="6" s="1"/>
  <c r="V112" i="15"/>
  <c r="F112" i="15" s="1"/>
  <c r="G112" i="15" s="1"/>
  <c r="BX112" i="6" s="1"/>
  <c r="V377" i="15"/>
  <c r="F377" i="15" s="1"/>
  <c r="V102" i="15"/>
  <c r="F102" i="15" s="1"/>
  <c r="G102" i="15" s="1"/>
  <c r="BX102" i="6" s="1"/>
  <c r="V309" i="15"/>
  <c r="F309" i="15" s="1"/>
  <c r="G309" i="15" s="1"/>
  <c r="BX309" i="6" s="1"/>
  <c r="V69" i="15"/>
  <c r="F69" i="15" s="1"/>
  <c r="AA69" i="15" s="1"/>
  <c r="Z69" i="15" s="1"/>
  <c r="Y69" i="15" s="1"/>
  <c r="V317" i="15"/>
  <c r="F317" i="15" s="1"/>
  <c r="G317" i="15" s="1"/>
  <c r="BX317" i="6" s="1"/>
  <c r="V284" i="15"/>
  <c r="F284" i="15" s="1"/>
  <c r="G284" i="15" s="1"/>
  <c r="BX284" i="6" s="1"/>
  <c r="V209" i="15"/>
  <c r="F209" i="15" s="1"/>
  <c r="G209" i="15" s="1"/>
  <c r="BX209" i="6" s="1"/>
  <c r="V371" i="15"/>
  <c r="F371" i="15" s="1"/>
  <c r="V310" i="15"/>
  <c r="F310" i="15" s="1"/>
  <c r="G310" i="15" s="1"/>
  <c r="BX310" i="6" s="1"/>
  <c r="E331" i="15"/>
  <c r="V331" i="15"/>
  <c r="E41" i="15"/>
  <c r="V41" i="15"/>
  <c r="E120" i="15"/>
  <c r="V120" i="15"/>
  <c r="E152" i="15"/>
  <c r="V152" i="15"/>
  <c r="E293" i="15"/>
  <c r="V293" i="15"/>
  <c r="E91" i="15"/>
  <c r="V91" i="15"/>
  <c r="E146" i="15"/>
  <c r="V146" i="15"/>
  <c r="E104" i="15"/>
  <c r="V104" i="15"/>
  <c r="E186" i="15"/>
  <c r="V186" i="15"/>
  <c r="E297" i="15"/>
  <c r="V297" i="15"/>
  <c r="E213" i="15"/>
  <c r="V213" i="15"/>
  <c r="E282" i="15"/>
  <c r="V282" i="15"/>
  <c r="E249" i="15"/>
  <c r="V249" i="15"/>
  <c r="E169" i="15"/>
  <c r="V169" i="15"/>
  <c r="E58" i="15"/>
  <c r="V58" i="15"/>
  <c r="E290" i="15"/>
  <c r="V290" i="15"/>
  <c r="E321" i="15"/>
  <c r="V321" i="15"/>
  <c r="E114" i="15"/>
  <c r="V114" i="15"/>
  <c r="E106" i="15"/>
  <c r="V106" i="15"/>
  <c r="E250" i="15"/>
  <c r="V250" i="15"/>
  <c r="E83" i="15"/>
  <c r="V83" i="15"/>
  <c r="E130" i="15"/>
  <c r="V130" i="15"/>
  <c r="E305" i="15"/>
  <c r="V305" i="15"/>
  <c r="E332" i="15"/>
  <c r="V332" i="15"/>
  <c r="E23" i="15"/>
  <c r="V23" i="15"/>
  <c r="V50" i="15"/>
  <c r="F50" i="15" s="1"/>
  <c r="G50" i="15" s="1"/>
  <c r="BX50" i="6" s="1"/>
  <c r="V159" i="15"/>
  <c r="F159" i="15" s="1"/>
  <c r="V245" i="15"/>
  <c r="F245" i="15" s="1"/>
  <c r="G245" i="15" s="1"/>
  <c r="BX245" i="6" s="1"/>
  <c r="V258" i="15"/>
  <c r="F258" i="15" s="1"/>
  <c r="AA258" i="15" s="1"/>
  <c r="Z258" i="15" s="1"/>
  <c r="Y258" i="15" s="1"/>
  <c r="V272" i="15"/>
  <c r="V86" i="15"/>
  <c r="F86" i="15" s="1"/>
  <c r="H86" i="15" s="1"/>
  <c r="V206" i="15"/>
  <c r="F206" i="15" s="1"/>
  <c r="AA206" i="15" s="1"/>
  <c r="Z206" i="15" s="1"/>
  <c r="Y206" i="15" s="1"/>
  <c r="V314" i="15"/>
  <c r="F314" i="15" s="1"/>
  <c r="AA314" i="15" s="1"/>
  <c r="Z314" i="15" s="1"/>
  <c r="Y314" i="15" s="1"/>
  <c r="V144" i="15"/>
  <c r="F144" i="15" s="1"/>
  <c r="G144" i="15" s="1"/>
  <c r="BX144" i="6" s="1"/>
  <c r="V271" i="15"/>
  <c r="F271" i="15" s="1"/>
  <c r="AA271" i="15" s="1"/>
  <c r="Z271" i="15" s="1"/>
  <c r="Y271" i="15" s="1"/>
  <c r="V257" i="15"/>
  <c r="F257" i="15" s="1"/>
  <c r="G257" i="15" s="1"/>
  <c r="BX257" i="6" s="1"/>
  <c r="V191" i="15"/>
  <c r="F191" i="15" s="1"/>
  <c r="G191" i="15" s="1"/>
  <c r="BX191" i="6" s="1"/>
  <c r="V115" i="15"/>
  <c r="F115" i="15" s="1"/>
  <c r="G115" i="15" s="1"/>
  <c r="BX115" i="6" s="1"/>
  <c r="V185" i="15"/>
  <c r="F185" i="15" s="1"/>
  <c r="G185" i="15" s="1"/>
  <c r="BX185" i="6" s="1"/>
  <c r="V338" i="15"/>
  <c r="F338" i="15" s="1"/>
  <c r="G338" i="15" s="1"/>
  <c r="BX338" i="6" s="1"/>
  <c r="V164" i="15"/>
  <c r="F164" i="15" s="1"/>
  <c r="H164" i="15" s="1"/>
  <c r="V178" i="15"/>
  <c r="F178" i="15" s="1"/>
  <c r="AA178" i="15" s="1"/>
  <c r="Z178" i="15" s="1"/>
  <c r="Y178" i="15" s="1"/>
  <c r="V73" i="15"/>
  <c r="F73" i="15" s="1"/>
  <c r="AA73" i="15" s="1"/>
  <c r="Z73" i="15" s="1"/>
  <c r="Y73" i="15" s="1"/>
  <c r="V247" i="15"/>
  <c r="F247" i="15" s="1"/>
  <c r="G247" i="15" s="1"/>
  <c r="BX247" i="6" s="1"/>
  <c r="V360" i="15"/>
  <c r="F360" i="15" s="1"/>
  <c r="AA360" i="15" s="1"/>
  <c r="Z360" i="15" s="1"/>
  <c r="Y360" i="15" s="1"/>
  <c r="V122" i="15"/>
  <c r="F122" i="15" s="1"/>
  <c r="H122" i="15" s="1"/>
  <c r="V236" i="15"/>
  <c r="F236" i="15" s="1"/>
  <c r="H236" i="15" s="1"/>
  <c r="V334" i="15"/>
  <c r="F334" i="15" s="1"/>
  <c r="AA334" i="15" s="1"/>
  <c r="Z334" i="15" s="1"/>
  <c r="Y334" i="15" s="1"/>
  <c r="V134" i="15"/>
  <c r="F134" i="15" s="1"/>
  <c r="G134" i="15" s="1"/>
  <c r="BX134" i="6" s="1"/>
  <c r="V312" i="15"/>
  <c r="F312" i="15" s="1"/>
  <c r="V238" i="15"/>
  <c r="F238" i="15" s="1"/>
  <c r="V221" i="15"/>
  <c r="F221" i="15" s="1"/>
  <c r="AA221" i="15" s="1"/>
  <c r="Z221" i="15" s="1"/>
  <c r="Y221" i="15" s="1"/>
  <c r="V51" i="15"/>
  <c r="F51" i="15" s="1"/>
  <c r="H51" i="15" s="1"/>
  <c r="V168" i="15"/>
  <c r="F168" i="15" s="1"/>
  <c r="H168" i="15" s="1"/>
  <c r="V267" i="15"/>
  <c r="F267" i="15" s="1"/>
  <c r="V205" i="15"/>
  <c r="F205" i="15" s="1"/>
  <c r="G205" i="15" s="1"/>
  <c r="BX205" i="6" s="1"/>
  <c r="V157" i="15"/>
  <c r="F157" i="15" s="1"/>
  <c r="G157" i="15" s="1"/>
  <c r="BX157" i="6" s="1"/>
  <c r="V78" i="15"/>
  <c r="F78" i="15" s="1"/>
  <c r="H78" i="15" s="1"/>
  <c r="V103" i="15"/>
  <c r="F103" i="15" s="1"/>
  <c r="V89" i="15"/>
  <c r="F89" i="15" s="1"/>
  <c r="V171" i="15"/>
  <c r="F171" i="15" s="1"/>
  <c r="AA171" i="15" s="1"/>
  <c r="Z171" i="15" s="1"/>
  <c r="Y171" i="15" s="1"/>
  <c r="V109" i="15"/>
  <c r="F109" i="15" s="1"/>
  <c r="G109" i="15" s="1"/>
  <c r="BX109" i="6" s="1"/>
  <c r="V181" i="15"/>
  <c r="F181" i="15" s="1"/>
  <c r="AA181" i="15" s="1"/>
  <c r="Z181" i="15" s="1"/>
  <c r="Y181" i="15" s="1"/>
  <c r="V319" i="15"/>
  <c r="F319" i="15" s="1"/>
  <c r="V199" i="15"/>
  <c r="F199" i="15" s="1"/>
  <c r="G199" i="15" s="1"/>
  <c r="BX199" i="6" s="1"/>
  <c r="V141" i="15"/>
  <c r="F141" i="15" s="1"/>
  <c r="AA141" i="15" s="1"/>
  <c r="Z141" i="15" s="1"/>
  <c r="Y141" i="15" s="1"/>
  <c r="V29" i="15"/>
  <c r="V123" i="15"/>
  <c r="F123" i="15" s="1"/>
  <c r="H123" i="15" s="1"/>
  <c r="V111" i="15"/>
  <c r="F111" i="15" s="1"/>
  <c r="AA111" i="15" s="1"/>
  <c r="Z111" i="15" s="1"/>
  <c r="Y111" i="15" s="1"/>
  <c r="V232" i="15"/>
  <c r="F232" i="15" s="1"/>
  <c r="G232" i="15" s="1"/>
  <c r="BX232" i="6" s="1"/>
  <c r="V62" i="15"/>
  <c r="F62" i="15" s="1"/>
  <c r="G62" i="15" s="1"/>
  <c r="BX62" i="6" s="1"/>
  <c r="V174" i="15"/>
  <c r="F174" i="15" s="1"/>
  <c r="H174" i="15" s="1"/>
  <c r="V183" i="15"/>
  <c r="F183" i="15" s="1"/>
  <c r="G183" i="15" s="1"/>
  <c r="BX183" i="6" s="1"/>
  <c r="V88" i="15"/>
  <c r="V176" i="15"/>
  <c r="F176" i="15" s="1"/>
  <c r="AA176" i="15" s="1"/>
  <c r="Z176" i="15" s="1"/>
  <c r="Y176" i="15" s="1"/>
  <c r="V370" i="15"/>
  <c r="F370" i="15" s="1"/>
  <c r="AA370" i="15" s="1"/>
  <c r="Z370" i="15" s="1"/>
  <c r="Y370" i="15" s="1"/>
  <c r="V217" i="15"/>
  <c r="F217" i="15" s="1"/>
  <c r="AA217" i="15" s="1"/>
  <c r="Z217" i="15" s="1"/>
  <c r="Y217" i="15" s="1"/>
  <c r="V256" i="15"/>
  <c r="F256" i="15" s="1"/>
  <c r="AA256" i="15" s="1"/>
  <c r="Z256" i="15" s="1"/>
  <c r="Y256" i="15" s="1"/>
  <c r="V44" i="15"/>
  <c r="F44" i="15" s="1"/>
  <c r="AA44" i="15" s="1"/>
  <c r="Z44" i="15" s="1"/>
  <c r="Y44" i="15" s="1"/>
  <c r="V253" i="15"/>
  <c r="F253" i="15" s="1"/>
  <c r="AA253" i="15" s="1"/>
  <c r="Z253" i="15" s="1"/>
  <c r="Y253" i="15" s="1"/>
  <c r="V275" i="15"/>
  <c r="F275" i="15" s="1"/>
  <c r="G275" i="15" s="1"/>
  <c r="BX275" i="6" s="1"/>
  <c r="C34" i="7"/>
  <c r="E88" i="15"/>
  <c r="E119" i="15"/>
  <c r="C35" i="7"/>
  <c r="E29" i="15"/>
  <c r="C32" i="7"/>
  <c r="C38" i="7"/>
  <c r="E210" i="15"/>
  <c r="E7" i="16"/>
  <c r="E8" i="16"/>
  <c r="K13" i="19" s="1"/>
  <c r="K37" i="19" s="1"/>
  <c r="E241" i="15"/>
  <c r="C39" i="7"/>
  <c r="C36" i="7"/>
  <c r="E149" i="15"/>
  <c r="E272" i="15"/>
  <c r="C40" i="7"/>
  <c r="AC381" i="16"/>
  <c r="AC383" i="16"/>
  <c r="AC382" i="16"/>
  <c r="C43" i="7"/>
  <c r="E363" i="15"/>
  <c r="E180" i="15"/>
  <c r="C37" i="7"/>
  <c r="O383" i="15"/>
  <c r="O381" i="15"/>
  <c r="O382" i="15"/>
  <c r="E15" i="15"/>
  <c r="C41" i="7"/>
  <c r="E302" i="15"/>
  <c r="C33" i="7"/>
  <c r="E60" i="15"/>
  <c r="C42" i="7"/>
  <c r="E333" i="15"/>
  <c r="C36" i="19"/>
  <c r="E379" i="15"/>
  <c r="V379" i="1"/>
  <c r="F379" i="1" s="1"/>
  <c r="AA379" i="1" s="1"/>
  <c r="Z379" i="1" s="1"/>
  <c r="Y379" i="1" s="1"/>
  <c r="D35" i="19"/>
  <c r="V195" i="15"/>
  <c r="F195" i="15" s="1"/>
  <c r="AA195" i="15" s="1"/>
  <c r="Z195" i="15" s="1"/>
  <c r="Y195" i="15" s="1"/>
  <c r="Q10" i="16"/>
  <c r="Q148" i="16" s="1"/>
  <c r="O15" i="7"/>
  <c r="Q108" i="16"/>
  <c r="F296" i="1"/>
  <c r="AA296" i="1" s="1"/>
  <c r="Z296" i="1" s="1"/>
  <c r="Y296" i="1" s="1"/>
  <c r="AA321" i="1"/>
  <c r="Z321" i="1" s="1"/>
  <c r="Y321" i="1" s="1"/>
  <c r="G180" i="1"/>
  <c r="BW180" i="6" s="1"/>
  <c r="D34" i="7"/>
  <c r="I302" i="1"/>
  <c r="I183" i="1"/>
  <c r="I176" i="1"/>
  <c r="I301" i="1"/>
  <c r="I254" i="1"/>
  <c r="AA19" i="1"/>
  <c r="Z19" i="1" s="1"/>
  <c r="Y19" i="1" s="1"/>
  <c r="I194" i="1"/>
  <c r="AA16" i="1"/>
  <c r="Z16" i="1" s="1"/>
  <c r="Y16" i="1" s="1"/>
  <c r="I342" i="1"/>
  <c r="H342" i="15" s="1"/>
  <c r="AA108" i="1"/>
  <c r="Z108" i="1" s="1"/>
  <c r="Y108" i="1" s="1"/>
  <c r="D32" i="7"/>
  <c r="V333" i="1"/>
  <c r="F333" i="1" s="1"/>
  <c r="G333" i="1" s="1"/>
  <c r="BW333" i="6" s="1"/>
  <c r="G183" i="1"/>
  <c r="BW183" i="6" s="1"/>
  <c r="G256" i="1"/>
  <c r="BW256" i="6" s="1"/>
  <c r="I195" i="1"/>
  <c r="F197" i="1"/>
  <c r="G197" i="1" s="1"/>
  <c r="BW197" i="6" s="1"/>
  <c r="AA194" i="1"/>
  <c r="Z194" i="1" s="1"/>
  <c r="Y194" i="1" s="1"/>
  <c r="AA80" i="1"/>
  <c r="Z80" i="1" s="1"/>
  <c r="Y80" i="1" s="1"/>
  <c r="I321" i="1"/>
  <c r="I187" i="1"/>
  <c r="AA191" i="1"/>
  <c r="Z191" i="1" s="1"/>
  <c r="Y191" i="1" s="1"/>
  <c r="AA339" i="1"/>
  <c r="Z339" i="1" s="1"/>
  <c r="Y339" i="1" s="1"/>
  <c r="I339" i="1"/>
  <c r="G291" i="1"/>
  <c r="BW291" i="6" s="1"/>
  <c r="AA185" i="1"/>
  <c r="Z185" i="1" s="1"/>
  <c r="Y185" i="1" s="1"/>
  <c r="AA75" i="1"/>
  <c r="Z75" i="1" s="1"/>
  <c r="Y75" i="1" s="1"/>
  <c r="I172" i="1"/>
  <c r="G318" i="1"/>
  <c r="BW318" i="6" s="1"/>
  <c r="D35" i="7"/>
  <c r="I357" i="1"/>
  <c r="G228" i="1"/>
  <c r="BW228" i="6" s="1"/>
  <c r="G266" i="1"/>
  <c r="BW266" i="6" s="1"/>
  <c r="I189" i="1"/>
  <c r="I232" i="1"/>
  <c r="AA187" i="1"/>
  <c r="Z187" i="1" s="1"/>
  <c r="Y187" i="1" s="1"/>
  <c r="I233" i="1"/>
  <c r="AA376" i="1"/>
  <c r="Z376" i="1" s="1"/>
  <c r="Y376" i="1" s="1"/>
  <c r="AA288" i="1"/>
  <c r="Z288" i="1" s="1"/>
  <c r="Y288" i="1" s="1"/>
  <c r="I288" i="1"/>
  <c r="AA332" i="1"/>
  <c r="Z332" i="1" s="1"/>
  <c r="Y332" i="1" s="1"/>
  <c r="O382" i="18"/>
  <c r="AA302" i="1"/>
  <c r="Z302" i="1" s="1"/>
  <c r="Y302" i="1" s="1"/>
  <c r="G254" i="1"/>
  <c r="BW254" i="6" s="1"/>
  <c r="AA357" i="1"/>
  <c r="Z357" i="1" s="1"/>
  <c r="Y357" i="1" s="1"/>
  <c r="I228" i="1"/>
  <c r="AA189" i="1"/>
  <c r="Z189" i="1" s="1"/>
  <c r="Y189" i="1" s="1"/>
  <c r="G191" i="1"/>
  <c r="BW191" i="6" s="1"/>
  <c r="I218" i="1"/>
  <c r="AA17" i="1"/>
  <c r="Z17" i="1" s="1"/>
  <c r="Y17" i="1" s="1"/>
  <c r="E7" i="20"/>
  <c r="O10" i="20" s="1"/>
  <c r="O226" i="20" s="1"/>
  <c r="AF381" i="1"/>
  <c r="AA176" i="1"/>
  <c r="Z176" i="1" s="1"/>
  <c r="Y176" i="1" s="1"/>
  <c r="I256" i="1"/>
  <c r="I332" i="1"/>
  <c r="AA301" i="1"/>
  <c r="Z301" i="1" s="1"/>
  <c r="Y301" i="1" s="1"/>
  <c r="G218" i="1"/>
  <c r="BW218" i="6" s="1"/>
  <c r="AA120" i="1"/>
  <c r="Z120" i="1" s="1"/>
  <c r="Y120" i="1" s="1"/>
  <c r="AA358" i="1"/>
  <c r="Z358" i="1" s="1"/>
  <c r="Y358" i="1" s="1"/>
  <c r="G274" i="1"/>
  <c r="BW274" i="6" s="1"/>
  <c r="I274" i="1"/>
  <c r="H274" i="15" s="1"/>
  <c r="O383" i="18"/>
  <c r="O381" i="18"/>
  <c r="I344" i="1"/>
  <c r="AN13" i="7"/>
  <c r="AO13" i="7"/>
  <c r="AF383" i="1"/>
  <c r="AF382" i="1"/>
  <c r="I185" i="1"/>
  <c r="AA232" i="1"/>
  <c r="Z232" i="1" s="1"/>
  <c r="Y232" i="1" s="1"/>
  <c r="I181" i="1"/>
  <c r="G376" i="1"/>
  <c r="BW376" i="6" s="1"/>
  <c r="AA318" i="1"/>
  <c r="Z318" i="1" s="1"/>
  <c r="Y318" i="1" s="1"/>
  <c r="U10" i="16"/>
  <c r="AJ36" i="24"/>
  <c r="AJ25" i="24"/>
  <c r="AJ107" i="24"/>
  <c r="AJ20" i="24"/>
  <c r="AJ50" i="24"/>
  <c r="AJ80" i="24"/>
  <c r="AJ106" i="24"/>
  <c r="AJ129" i="24"/>
  <c r="AJ152" i="24"/>
  <c r="AJ38" i="24"/>
  <c r="AJ45" i="24"/>
  <c r="AJ115" i="24"/>
  <c r="AJ135" i="24"/>
  <c r="AJ18" i="24"/>
  <c r="AJ47" i="24"/>
  <c r="AJ78" i="24"/>
  <c r="AJ101" i="24"/>
  <c r="AJ158" i="24"/>
  <c r="AJ188" i="24"/>
  <c r="AJ46" i="24"/>
  <c r="AJ76" i="24"/>
  <c r="AJ100" i="24"/>
  <c r="AJ156" i="24"/>
  <c r="AJ186" i="24"/>
  <c r="AJ169" i="24"/>
  <c r="AJ251" i="24"/>
  <c r="AJ231" i="24"/>
  <c r="AJ306" i="24"/>
  <c r="AJ362" i="24"/>
  <c r="AJ301" i="24"/>
  <c r="AJ372" i="24"/>
  <c r="AJ235" i="24"/>
  <c r="AJ202" i="24"/>
  <c r="AJ277" i="24"/>
  <c r="AJ344" i="24"/>
  <c r="AJ284" i="24"/>
  <c r="AJ356" i="24"/>
  <c r="AJ211" i="24"/>
  <c r="AJ185" i="24"/>
  <c r="AJ257" i="24"/>
  <c r="AJ328" i="24"/>
  <c r="AJ266" i="24"/>
  <c r="AJ321" i="24"/>
  <c r="AJ192" i="24"/>
  <c r="AJ250" i="24"/>
  <c r="AJ228" i="24"/>
  <c r="AJ305" i="24"/>
  <c r="AJ355" i="24"/>
  <c r="AJ300" i="24"/>
  <c r="AJ371" i="24"/>
  <c r="AJ140" i="24"/>
  <c r="AJ32" i="24"/>
  <c r="AJ24" i="24"/>
  <c r="AJ105" i="24"/>
  <c r="AJ128" i="24"/>
  <c r="AX13" i="7"/>
  <c r="AJ35" i="24"/>
  <c r="AJ55" i="24"/>
  <c r="AJ96" i="24"/>
  <c r="AJ151" i="24"/>
  <c r="AJ165" i="24"/>
  <c r="AJ42" i="24"/>
  <c r="AJ56" i="24"/>
  <c r="AJ117" i="24"/>
  <c r="AJ138" i="24"/>
  <c r="AJ141" i="24"/>
  <c r="AJ216" i="24"/>
  <c r="AJ234" i="24"/>
  <c r="AJ201" i="24"/>
  <c r="AJ275" i="24"/>
  <c r="AJ343" i="24"/>
  <c r="AJ283" i="24"/>
  <c r="AJ346" i="24"/>
  <c r="AJ215" i="24"/>
  <c r="AJ184" i="24"/>
  <c r="AJ256" i="24"/>
  <c r="AJ326" i="24"/>
  <c r="AJ264" i="24"/>
  <c r="AJ320" i="24"/>
  <c r="AJ160" i="24"/>
  <c r="AJ247" i="24"/>
  <c r="AJ226" i="24"/>
  <c r="AJ302" i="24"/>
  <c r="AJ354" i="24"/>
  <c r="AJ298" i="24"/>
  <c r="AJ370" i="24"/>
  <c r="AJ232" i="24"/>
  <c r="AJ200" i="24"/>
  <c r="AJ274" i="24"/>
  <c r="AJ340" i="24"/>
  <c r="AJ282" i="24"/>
  <c r="AJ342" i="24"/>
  <c r="AJ53" i="24"/>
  <c r="AJ87" i="24"/>
  <c r="AJ68" i="24"/>
  <c r="AJ122" i="24"/>
  <c r="AJ178" i="24"/>
  <c r="AJ72" i="24"/>
  <c r="AJ147" i="24"/>
  <c r="AJ65" i="24"/>
  <c r="AJ119" i="24"/>
  <c r="AJ67" i="24"/>
  <c r="AJ145" i="24"/>
  <c r="AJ127" i="24"/>
  <c r="AJ213" i="24"/>
  <c r="AJ348" i="24"/>
  <c r="AJ359" i="24"/>
  <c r="AJ194" i="24"/>
  <c r="AJ331" i="24"/>
  <c r="AJ325" i="24"/>
  <c r="AJ255" i="24"/>
  <c r="AJ312" i="24"/>
  <c r="AJ304" i="24"/>
  <c r="AJ239" i="24"/>
  <c r="AJ281" i="24"/>
  <c r="AJ286" i="24"/>
  <c r="AJ121" i="24"/>
  <c r="AJ59" i="24"/>
  <c r="AJ110" i="24"/>
  <c r="AJ49" i="24"/>
  <c r="AJ85" i="24"/>
  <c r="AJ143" i="24"/>
  <c r="AJ69" i="24"/>
  <c r="AJ123" i="24"/>
  <c r="AJ204" i="24"/>
  <c r="AJ191" i="24"/>
  <c r="AJ330" i="24"/>
  <c r="AJ323" i="24"/>
  <c r="AJ252" i="24"/>
  <c r="AJ307" i="24"/>
  <c r="AJ303" i="24"/>
  <c r="AJ238" i="24"/>
  <c r="AJ280" i="24"/>
  <c r="AJ285" i="24"/>
  <c r="AJ217" i="24"/>
  <c r="AJ258" i="24"/>
  <c r="AJ268" i="24"/>
  <c r="AJ63" i="24"/>
  <c r="AJ74" i="24"/>
  <c r="AJ27" i="24"/>
  <c r="AJ118" i="24"/>
  <c r="AJ146" i="24"/>
  <c r="AJ88" i="24"/>
  <c r="AJ206" i="24"/>
  <c r="AJ262" i="24"/>
  <c r="AJ225" i="24"/>
  <c r="AJ369" i="24"/>
  <c r="AJ339" i="24"/>
  <c r="AJ181" i="24"/>
  <c r="AJ314" i="24"/>
  <c r="AJ61" i="24"/>
  <c r="AJ58" i="24"/>
  <c r="AJ380" i="24"/>
  <c r="AJ150" i="24"/>
  <c r="AJ224" i="24"/>
  <c r="AJ366" i="24"/>
  <c r="AJ338" i="24"/>
  <c r="AJ176" i="24"/>
  <c r="AJ311" i="24"/>
  <c r="AJ293" i="24"/>
  <c r="AJ22" i="24"/>
  <c r="AJ130" i="24"/>
  <c r="AJ91" i="24"/>
  <c r="AJ189" i="24"/>
  <c r="AJ246" i="24"/>
  <c r="AJ273" i="24"/>
  <c r="AJ378" i="24"/>
  <c r="AJ26" i="24"/>
  <c r="AJ95" i="24"/>
  <c r="AJ295" i="24"/>
  <c r="AJ193" i="24"/>
  <c r="AJ220" i="24"/>
  <c r="AJ94" i="24"/>
  <c r="AJ113" i="24"/>
  <c r="AJ230" i="24"/>
  <c r="AJ86" i="24"/>
  <c r="AJ297" i="24"/>
  <c r="AJ179" i="24"/>
  <c r="AJ66" i="24"/>
  <c r="AJ183" i="24"/>
  <c r="AJ279" i="24"/>
  <c r="AJ82" i="24"/>
  <c r="AJ229" i="24"/>
  <c r="AJ351" i="24"/>
  <c r="AJ16" i="24"/>
  <c r="AJ41" i="24"/>
  <c r="AJ75" i="24"/>
  <c r="AJ99" i="24"/>
  <c r="AJ43" i="24"/>
  <c r="AJ51" i="24"/>
  <c r="AJ116" i="24"/>
  <c r="AJ137" i="24"/>
  <c r="AJ168" i="24"/>
  <c r="AJ17" i="24"/>
  <c r="AJ48" i="24"/>
  <c r="AJ79" i="24"/>
  <c r="AJ104" i="24"/>
  <c r="AJ159" i="24"/>
  <c r="AJ40" i="24"/>
  <c r="AJ39" i="24"/>
  <c r="AJ114" i="24"/>
  <c r="AJ133" i="24"/>
  <c r="AJ134" i="24"/>
  <c r="AJ34" i="24"/>
  <c r="AJ28" i="24"/>
  <c r="AJ111" i="24"/>
  <c r="AJ131" i="24"/>
  <c r="AJ132" i="24"/>
  <c r="AJ208" i="24"/>
  <c r="AJ227" i="24"/>
  <c r="AJ197" i="24"/>
  <c r="AJ265" i="24"/>
  <c r="AJ337" i="24"/>
  <c r="AJ276" i="24"/>
  <c r="AJ334" i="24"/>
  <c r="AJ207" i="24"/>
  <c r="AJ175" i="24"/>
  <c r="AJ248" i="24"/>
  <c r="AJ316" i="24"/>
  <c r="AJ374" i="24"/>
  <c r="AJ310" i="24"/>
  <c r="AJ136" i="24"/>
  <c r="AJ243" i="24"/>
  <c r="AJ218" i="24"/>
  <c r="AJ290" i="24"/>
  <c r="AJ350" i="24"/>
  <c r="AJ292" i="24"/>
  <c r="AJ361" i="24"/>
  <c r="AJ223" i="24"/>
  <c r="AJ196" i="24"/>
  <c r="AJ263" i="24"/>
  <c r="AJ336" i="24"/>
  <c r="AJ272" i="24"/>
  <c r="AJ332" i="24"/>
  <c r="AJ161" i="24"/>
  <c r="AJ172" i="24"/>
  <c r="AJ37" i="24"/>
  <c r="AJ73" i="24"/>
  <c r="AJ97" i="24"/>
  <c r="AJ153" i="24"/>
  <c r="AJ33" i="24"/>
  <c r="AJ70" i="24"/>
  <c r="AJ103" i="24"/>
  <c r="AJ124" i="24"/>
  <c r="AJ126" i="24"/>
  <c r="F7" i="24"/>
  <c r="AJ54" i="24"/>
  <c r="AJ81" i="24"/>
  <c r="AJ108" i="24"/>
  <c r="AJ164" i="24"/>
  <c r="AJ177" i="24"/>
  <c r="AJ180" i="24"/>
  <c r="AJ174" i="24"/>
  <c r="AJ242" i="24"/>
  <c r="AJ315" i="24"/>
  <c r="AJ368" i="24"/>
  <c r="AJ309" i="24"/>
  <c r="AJ379" i="24"/>
  <c r="AJ241" i="24"/>
  <c r="AJ214" i="24"/>
  <c r="AJ289" i="24"/>
  <c r="AJ349" i="24"/>
  <c r="AJ291" i="24"/>
  <c r="AJ360" i="24"/>
  <c r="AJ222" i="24"/>
  <c r="AJ195" i="24"/>
  <c r="AJ261" i="24"/>
  <c r="AJ333" i="24"/>
  <c r="AJ271" i="24"/>
  <c r="AJ327" i="24"/>
  <c r="AJ205" i="24"/>
  <c r="AJ173" i="24"/>
  <c r="AJ237" i="24"/>
  <c r="AJ313" i="24"/>
  <c r="AJ367" i="24"/>
  <c r="AJ308" i="24"/>
  <c r="AJ377" i="24"/>
  <c r="AJ62" i="24"/>
  <c r="AJ31" i="24"/>
  <c r="AJ98" i="24"/>
  <c r="AJ155" i="24"/>
  <c r="AJ57" i="24"/>
  <c r="AJ93" i="24"/>
  <c r="AJ29" i="24"/>
  <c r="AJ89" i="24"/>
  <c r="AJ171" i="24"/>
  <c r="AJ52" i="24"/>
  <c r="AJ90" i="24"/>
  <c r="AJ154" i="24"/>
  <c r="AJ240" i="24"/>
  <c r="AJ288" i="24"/>
  <c r="AJ287" i="24"/>
  <c r="AJ221" i="24"/>
  <c r="AJ260" i="24"/>
  <c r="AJ270" i="24"/>
  <c r="AJ190" i="24"/>
  <c r="AJ236" i="24"/>
  <c r="AJ365" i="24"/>
  <c r="AJ375" i="24"/>
  <c r="AJ212" i="24"/>
  <c r="AJ347" i="24"/>
  <c r="AJ358" i="24"/>
  <c r="AJ23" i="24"/>
  <c r="AJ83" i="24"/>
  <c r="AJ167" i="24"/>
  <c r="AJ60" i="24"/>
  <c r="AJ139" i="24"/>
  <c r="AJ30" i="24"/>
  <c r="AJ102" i="24"/>
  <c r="AJ125" i="24"/>
  <c r="AJ219" i="24"/>
  <c r="AJ259" i="24"/>
  <c r="AJ269" i="24"/>
  <c r="AJ203" i="24"/>
  <c r="AJ233" i="24"/>
  <c r="AJ363" i="24"/>
  <c r="AJ373" i="24"/>
  <c r="AJ209" i="24"/>
  <c r="AJ345" i="24"/>
  <c r="AJ357" i="24"/>
  <c r="AJ187" i="24"/>
  <c r="AJ329" i="24"/>
  <c r="AJ322" i="24"/>
  <c r="AJ112" i="24"/>
  <c r="AJ148" i="24"/>
  <c r="AJ92" i="24"/>
  <c r="AJ71" i="24"/>
  <c r="AJ19" i="24"/>
  <c r="AJ170" i="24"/>
  <c r="AJ254" i="24"/>
  <c r="AJ182" i="24"/>
  <c r="AJ353" i="24"/>
  <c r="AJ199" i="24"/>
  <c r="AJ341" i="24"/>
  <c r="AJ318" i="24"/>
  <c r="AJ162" i="24"/>
  <c r="AJ142" i="24"/>
  <c r="AJ109" i="24"/>
  <c r="AJ77" i="24"/>
  <c r="AJ149" i="24"/>
  <c r="AJ352" i="24"/>
  <c r="AJ198" i="24"/>
  <c r="AJ335" i="24"/>
  <c r="AJ317" i="24"/>
  <c r="AJ244" i="24"/>
  <c r="AJ294" i="24"/>
  <c r="AJ120" i="24"/>
  <c r="AJ64" i="24"/>
  <c r="AJ324" i="24"/>
  <c r="AJ296" i="24"/>
  <c r="AJ210" i="24"/>
  <c r="AJ44" i="24"/>
  <c r="AJ166" i="24"/>
  <c r="AJ245" i="24"/>
  <c r="AJ267" i="24"/>
  <c r="AJ376" i="24"/>
  <c r="AJ364" i="24"/>
  <c r="AJ15" i="24"/>
  <c r="AJ319" i="24"/>
  <c r="AJ253" i="24"/>
  <c r="AJ21" i="24"/>
  <c r="AJ278" i="24"/>
  <c r="AJ84" i="24"/>
  <c r="AJ157" i="24"/>
  <c r="AJ299" i="24"/>
  <c r="AJ144" i="24"/>
  <c r="AJ163" i="24"/>
  <c r="AJ249" i="24"/>
  <c r="AC12" i="23"/>
  <c r="O12" i="23"/>
  <c r="AC9" i="23"/>
  <c r="O11" i="23"/>
  <c r="O9" i="25"/>
  <c r="AX15" i="7"/>
  <c r="P11" i="24"/>
  <c r="P12" i="23"/>
  <c r="AK26" i="23"/>
  <c r="AK19" i="23"/>
  <c r="AK31" i="23"/>
  <c r="AK49" i="23"/>
  <c r="AK34" i="23"/>
  <c r="AK59" i="23"/>
  <c r="AK27" i="23"/>
  <c r="AK76" i="23"/>
  <c r="AK72" i="23"/>
  <c r="AK91" i="23"/>
  <c r="AK102" i="23"/>
  <c r="AK117" i="23"/>
  <c r="AK95" i="23"/>
  <c r="AK115" i="23"/>
  <c r="AK130" i="23"/>
  <c r="AK152" i="23"/>
  <c r="AK168" i="23"/>
  <c r="AK131" i="23"/>
  <c r="AK141" i="23"/>
  <c r="AK156" i="23"/>
  <c r="AK173" i="23"/>
  <c r="AK184" i="23"/>
  <c r="AK179" i="23"/>
  <c r="AK208" i="23"/>
  <c r="AK227" i="23"/>
  <c r="AK245" i="23"/>
  <c r="AK194" i="23"/>
  <c r="AK210" i="23"/>
  <c r="AK222" i="23"/>
  <c r="AK237" i="23"/>
  <c r="AK251" i="23"/>
  <c r="AK263" i="23"/>
  <c r="AK273" i="23"/>
  <c r="AK290" i="23"/>
  <c r="AK305" i="23"/>
  <c r="AK327" i="23"/>
  <c r="AK343" i="23"/>
  <c r="AK356" i="23"/>
  <c r="AK370" i="23"/>
  <c r="AK264" i="23"/>
  <c r="AK283" i="23"/>
  <c r="AK299" i="23"/>
  <c r="AK314" i="23"/>
  <c r="AK328" i="23"/>
  <c r="AK347" i="23"/>
  <c r="AK366" i="23"/>
  <c r="AK17" i="23"/>
  <c r="AK25" i="23"/>
  <c r="AK30" i="23"/>
  <c r="AK48" i="23"/>
  <c r="AK380" i="23"/>
  <c r="AK56" i="23"/>
  <c r="AK70" i="23"/>
  <c r="AK73" i="23"/>
  <c r="AK66" i="23"/>
  <c r="AK89" i="23"/>
  <c r="AK101" i="23"/>
  <c r="AK116" i="23"/>
  <c r="AK94" i="23"/>
  <c r="AK113" i="23"/>
  <c r="AK128" i="23"/>
  <c r="AK151" i="23"/>
  <c r="AK167" i="23"/>
  <c r="AK129" i="23"/>
  <c r="AK140" i="23"/>
  <c r="AK155" i="23"/>
  <c r="AK172" i="23"/>
  <c r="AK181" i="23"/>
  <c r="AK192" i="23"/>
  <c r="AK206" i="23"/>
  <c r="AK225" i="23"/>
  <c r="AK242" i="23"/>
  <c r="AK189" i="23"/>
  <c r="AK207" i="23"/>
  <c r="AK220" i="23"/>
  <c r="AK233" i="23"/>
  <c r="AK248" i="23"/>
  <c r="AK262" i="23"/>
  <c r="AK272" i="23"/>
  <c r="AK289" i="23"/>
  <c r="AK303" i="23"/>
  <c r="AK326" i="23"/>
  <c r="AK340" i="23"/>
  <c r="AK355" i="23"/>
  <c r="AK369" i="23"/>
  <c r="AK260" i="23"/>
  <c r="AK281" i="23"/>
  <c r="AK298" i="23"/>
  <c r="AK313" i="23"/>
  <c r="AK325" i="23"/>
  <c r="AK342" i="23"/>
  <c r="AK361" i="23"/>
  <c r="AK24" i="23"/>
  <c r="AK58" i="23"/>
  <c r="AK69" i="23"/>
  <c r="AK64" i="23"/>
  <c r="AK100" i="23"/>
  <c r="AK90" i="23"/>
  <c r="AK127" i="23"/>
  <c r="AK166" i="23"/>
  <c r="AK139" i="23"/>
  <c r="AK171" i="23"/>
  <c r="AK191" i="23"/>
  <c r="AK224" i="23"/>
  <c r="AK183" i="23"/>
  <c r="AK219" i="23"/>
  <c r="AK247" i="23"/>
  <c r="AK271" i="23"/>
  <c r="AK302" i="23"/>
  <c r="AK339" i="23"/>
  <c r="AK365" i="23"/>
  <c r="AK280" i="23"/>
  <c r="AK312" i="23"/>
  <c r="AK341" i="23"/>
  <c r="AK379" i="23"/>
  <c r="AK23" i="23"/>
  <c r="AK57" i="23"/>
  <c r="AK68" i="23"/>
  <c r="AK47" i="23"/>
  <c r="AK99" i="23"/>
  <c r="AK88" i="23"/>
  <c r="AK125" i="23"/>
  <c r="AK165" i="23"/>
  <c r="AK138" i="23"/>
  <c r="AK164" i="23"/>
  <c r="AK190" i="23"/>
  <c r="AK221" i="23"/>
  <c r="AK182" i="23"/>
  <c r="AK218" i="23"/>
  <c r="AK246" i="23"/>
  <c r="AK269" i="23"/>
  <c r="AK301" i="23"/>
  <c r="AK337" i="23"/>
  <c r="AK364" i="23"/>
  <c r="AK278" i="23"/>
  <c r="AK310" i="23"/>
  <c r="AK338" i="23"/>
  <c r="AK378" i="23"/>
  <c r="AK53" i="23"/>
  <c r="AK78" i="23"/>
  <c r="AK82" i="23"/>
  <c r="AK159" i="23"/>
  <c r="AK158" i="23"/>
  <c r="AK211" i="23"/>
  <c r="AK213" i="23"/>
  <c r="AK266" i="23"/>
  <c r="AK332" i="23"/>
  <c r="AK274" i="23"/>
  <c r="AK330" i="23"/>
  <c r="AK28" i="23"/>
  <c r="AK61" i="23"/>
  <c r="AK92" i="23"/>
  <c r="AK118" i="23"/>
  <c r="AK132" i="23"/>
  <c r="AK185" i="23"/>
  <c r="AK249" i="23"/>
  <c r="AK239" i="23"/>
  <c r="AK292" i="23"/>
  <c r="AK357" i="23"/>
  <c r="AK304" i="23"/>
  <c r="AK367" i="23"/>
  <c r="AK75" i="23"/>
  <c r="AK170" i="23"/>
  <c r="AK234" i="23"/>
  <c r="AK279" i="23"/>
  <c r="AK288" i="23"/>
  <c r="AK32" i="23"/>
  <c r="AK104" i="23"/>
  <c r="AK143" i="23"/>
  <c r="AK195" i="23"/>
  <c r="AK309" i="23"/>
  <c r="AK316" i="23"/>
  <c r="AK38" i="23"/>
  <c r="AK136" i="23"/>
  <c r="AK196" i="23"/>
  <c r="AK255" i="23"/>
  <c r="AK373" i="23"/>
  <c r="AK15" i="23"/>
  <c r="AK74" i="23"/>
  <c r="AK169" i="23"/>
  <c r="AK228" i="23"/>
  <c r="AK276" i="23"/>
  <c r="AK284" i="23"/>
  <c r="AK18" i="23"/>
  <c r="AK20" i="23"/>
  <c r="AK29" i="23"/>
  <c r="AK42" i="23"/>
  <c r="AK55" i="23"/>
  <c r="AK46" i="23"/>
  <c r="AK67" i="23"/>
  <c r="AK60" i="23"/>
  <c r="AK41" i="23"/>
  <c r="AK84" i="23"/>
  <c r="AK97" i="23"/>
  <c r="AK109" i="23"/>
  <c r="AK86" i="23"/>
  <c r="AK107" i="23"/>
  <c r="AK124" i="23"/>
  <c r="AK144" i="23"/>
  <c r="AK163" i="23"/>
  <c r="AK121" i="23"/>
  <c r="AK137" i="23"/>
  <c r="AK147" i="23"/>
  <c r="AK162" i="23"/>
  <c r="AK177" i="23"/>
  <c r="AK188" i="23"/>
  <c r="AK201" i="23"/>
  <c r="AK216" i="23"/>
  <c r="AK236" i="23"/>
  <c r="AK254" i="23"/>
  <c r="AK199" i="23"/>
  <c r="AK217" i="23"/>
  <c r="AK230" i="23"/>
  <c r="AK244" i="23"/>
  <c r="AK257" i="23"/>
  <c r="AK268" i="23"/>
  <c r="AK285" i="23"/>
  <c r="AK300" i="23"/>
  <c r="AK320" i="23"/>
  <c r="AK336" i="23"/>
  <c r="AK350" i="23"/>
  <c r="AK363" i="23"/>
  <c r="AK375" i="23"/>
  <c r="AK277" i="23"/>
  <c r="AK293" i="23"/>
  <c r="AK308" i="23"/>
  <c r="AK319" i="23"/>
  <c r="AK334" i="23"/>
  <c r="AK354" i="23"/>
  <c r="AK377" i="23"/>
  <c r="F8" i="23"/>
  <c r="AK16" i="23"/>
  <c r="AK37" i="23"/>
  <c r="AK54" i="23"/>
  <c r="AK44" i="23"/>
  <c r="AK63" i="23"/>
  <c r="AK39" i="23"/>
  <c r="AK80" i="23"/>
  <c r="AK79" i="23"/>
  <c r="AK96" i="23"/>
  <c r="AK108" i="23"/>
  <c r="AK83" i="23"/>
  <c r="AK105" i="23"/>
  <c r="AK123" i="23"/>
  <c r="AK142" i="23"/>
  <c r="AK160" i="23"/>
  <c r="AK120" i="23"/>
  <c r="AK134" i="23"/>
  <c r="AK146" i="23"/>
  <c r="AK161" i="23"/>
  <c r="AK176" i="23"/>
  <c r="AK187" i="23"/>
  <c r="AK200" i="23"/>
  <c r="AK214" i="23"/>
  <c r="AK235" i="23"/>
  <c r="AK252" i="23"/>
  <c r="AK198" i="23"/>
  <c r="AK215" i="23"/>
  <c r="AK229" i="23"/>
  <c r="AK243" i="23"/>
  <c r="AK256" i="23"/>
  <c r="AK267" i="23"/>
  <c r="AK282" i="23"/>
  <c r="AK295" i="23"/>
  <c r="AK315" i="23"/>
  <c r="AK335" i="23"/>
  <c r="AK346" i="23"/>
  <c r="AK362" i="23"/>
  <c r="AK374" i="23"/>
  <c r="AK275" i="23"/>
  <c r="AK291" i="23"/>
  <c r="AK307" i="23"/>
  <c r="AK318" i="23"/>
  <c r="AK333" i="23"/>
  <c r="AK353" i="23"/>
  <c r="AK371" i="23"/>
  <c r="AK45" i="23"/>
  <c r="AK52" i="23"/>
  <c r="AK71" i="23"/>
  <c r="AK87" i="23"/>
  <c r="AK114" i="23"/>
  <c r="AK111" i="23"/>
  <c r="AK149" i="23"/>
  <c r="AK126" i="23"/>
  <c r="AK153" i="23"/>
  <c r="AK180" i="23"/>
  <c r="AK204" i="23"/>
  <c r="AK241" i="23"/>
  <c r="AK205" i="23"/>
  <c r="AK232" i="23"/>
  <c r="AK261" i="23"/>
  <c r="AK287" i="23"/>
  <c r="AK324" i="23"/>
  <c r="AK352" i="23"/>
  <c r="AK259" i="23"/>
  <c r="AK297" i="23"/>
  <c r="AK323" i="23"/>
  <c r="AK359" i="23"/>
  <c r="AK21" i="23"/>
  <c r="AK43" i="23"/>
  <c r="AK50" i="23"/>
  <c r="AK85" i="23"/>
  <c r="AK110" i="23"/>
  <c r="AK122" i="23"/>
  <c r="AK178" i="23"/>
  <c r="AK238" i="23"/>
  <c r="AK231" i="23"/>
  <c r="AK286" i="23"/>
  <c r="AK351" i="23"/>
  <c r="AK296" i="23"/>
  <c r="AK358" i="23"/>
  <c r="AK62" i="23"/>
  <c r="AK119" i="23"/>
  <c r="AK186" i="23"/>
  <c r="AK240" i="23"/>
  <c r="AK360" i="23"/>
  <c r="AK368" i="23"/>
  <c r="AK77" i="23"/>
  <c r="AK154" i="23"/>
  <c r="AK209" i="23"/>
  <c r="AK265" i="23"/>
  <c r="AK270" i="23"/>
  <c r="AK40" i="23"/>
  <c r="AK175" i="23"/>
  <c r="AK345" i="23"/>
  <c r="AK33" i="23"/>
  <c r="AK193" i="23"/>
  <c r="AK372" i="23"/>
  <c r="AK106" i="23"/>
  <c r="AK197" i="23"/>
  <c r="AK317" i="23"/>
  <c r="AK98" i="23"/>
  <c r="AK223" i="23"/>
  <c r="AK348" i="23"/>
  <c r="AK65" i="23"/>
  <c r="AK112" i="23"/>
  <c r="AK148" i="23"/>
  <c r="AK150" i="23"/>
  <c r="AK202" i="23"/>
  <c r="AK203" i="23"/>
  <c r="AK258" i="23"/>
  <c r="AK322" i="23"/>
  <c r="AK376" i="23"/>
  <c r="AK321" i="23"/>
  <c r="AK22" i="23"/>
  <c r="AK93" i="23"/>
  <c r="AK133" i="23"/>
  <c r="AK250" i="23"/>
  <c r="AK294" i="23"/>
  <c r="AK306" i="23"/>
  <c r="AK51" i="23"/>
  <c r="AK81" i="23"/>
  <c r="AK157" i="23"/>
  <c r="AK212" i="23"/>
  <c r="AK331" i="23"/>
  <c r="AK329" i="23"/>
  <c r="AK103" i="23"/>
  <c r="AK226" i="23"/>
  <c r="AK349" i="23"/>
  <c r="AK135" i="23"/>
  <c r="AK253" i="23"/>
  <c r="AK35" i="23"/>
  <c r="AK145" i="23"/>
  <c r="AK311" i="23"/>
  <c r="AK36" i="23"/>
  <c r="AK174" i="23"/>
  <c r="AK344" i="23"/>
  <c r="L17" i="19"/>
  <c r="P10" i="22"/>
  <c r="AA46" i="1"/>
  <c r="Z46" i="1" s="1"/>
  <c r="Y46" i="1" s="1"/>
  <c r="G205" i="1"/>
  <c r="BW205" i="6" s="1"/>
  <c r="V210" i="1"/>
  <c r="F210" i="1" s="1"/>
  <c r="G210" i="1" s="1"/>
  <c r="BW210" i="6" s="1"/>
  <c r="AA313" i="1"/>
  <c r="Z313" i="1" s="1"/>
  <c r="Y313" i="1" s="1"/>
  <c r="AA167" i="1"/>
  <c r="Z167" i="1" s="1"/>
  <c r="Y167" i="1" s="1"/>
  <c r="G284" i="1"/>
  <c r="BW284" i="6" s="1"/>
  <c r="G179" i="1"/>
  <c r="BW179" i="6" s="1"/>
  <c r="I345" i="1"/>
  <c r="G184" i="1"/>
  <c r="BW184" i="6" s="1"/>
  <c r="I315" i="1"/>
  <c r="AA50" i="1"/>
  <c r="Z50" i="1" s="1"/>
  <c r="Y50" i="1" s="1"/>
  <c r="AA205" i="1"/>
  <c r="Z205" i="1" s="1"/>
  <c r="Y205" i="1" s="1"/>
  <c r="G193" i="1"/>
  <c r="BW193" i="6" s="1"/>
  <c r="I284" i="1"/>
  <c r="AA272" i="1"/>
  <c r="Z272" i="1" s="1"/>
  <c r="Y272" i="1" s="1"/>
  <c r="G342" i="1"/>
  <c r="BW342" i="6" s="1"/>
  <c r="D24" i="7"/>
  <c r="F349" i="1"/>
  <c r="G313" i="1"/>
  <c r="BW313" i="6" s="1"/>
  <c r="AA212" i="1"/>
  <c r="Z212" i="1" s="1"/>
  <c r="Y212" i="1" s="1"/>
  <c r="V241" i="1"/>
  <c r="F241" i="1" s="1"/>
  <c r="AA241" i="1" s="1"/>
  <c r="Z241" i="1" s="1"/>
  <c r="Y241" i="1" s="1"/>
  <c r="AA96" i="1"/>
  <c r="Z96" i="1" s="1"/>
  <c r="Y96" i="1" s="1"/>
  <c r="AA234" i="1"/>
  <c r="Z234" i="1" s="1"/>
  <c r="Y234" i="1" s="1"/>
  <c r="AA86" i="1"/>
  <c r="Z86" i="1" s="1"/>
  <c r="Y86" i="1" s="1"/>
  <c r="AA121" i="1"/>
  <c r="Z121" i="1" s="1"/>
  <c r="Y121" i="1" s="1"/>
  <c r="AA45" i="1"/>
  <c r="Z45" i="1" s="1"/>
  <c r="Y45" i="1" s="1"/>
  <c r="AA315" i="1"/>
  <c r="Z315" i="1" s="1"/>
  <c r="Y315" i="1" s="1"/>
  <c r="AZ12" i="6"/>
  <c r="AZ13" i="6"/>
  <c r="AY13" i="6"/>
  <c r="F198" i="1"/>
  <c r="AA198" i="1" s="1"/>
  <c r="AA170" i="1"/>
  <c r="Z170" i="1" s="1"/>
  <c r="Y170" i="1" s="1"/>
  <c r="G199" i="1"/>
  <c r="BW199" i="6" s="1"/>
  <c r="AA336" i="1"/>
  <c r="Z336" i="1" s="1"/>
  <c r="Y336" i="1" s="1"/>
  <c r="AA345" i="1"/>
  <c r="Z345" i="1" s="1"/>
  <c r="Y345" i="1" s="1"/>
  <c r="I272" i="1"/>
  <c r="G335" i="1"/>
  <c r="BW335" i="6" s="1"/>
  <c r="AA181" i="1"/>
  <c r="Z181" i="1" s="1"/>
  <c r="Y181" i="1" s="1"/>
  <c r="I227" i="1"/>
  <c r="I206" i="1"/>
  <c r="AY12" i="6"/>
  <c r="I335" i="1"/>
  <c r="AA227" i="1"/>
  <c r="Z227" i="1" s="1"/>
  <c r="Y227" i="1" s="1"/>
  <c r="AA206" i="1"/>
  <c r="Z206" i="1" s="1"/>
  <c r="Y206" i="1" s="1"/>
  <c r="AA316" i="1"/>
  <c r="Z316" i="1" s="1"/>
  <c r="Y316" i="1" s="1"/>
  <c r="AA100" i="1"/>
  <c r="Z100" i="1" s="1"/>
  <c r="Y100" i="1" s="1"/>
  <c r="AA244" i="1"/>
  <c r="Z244" i="1" s="1"/>
  <c r="Y244" i="1" s="1"/>
  <c r="AA291" i="1"/>
  <c r="Z291" i="1" s="1"/>
  <c r="Y291" i="1" s="1"/>
  <c r="AA57" i="1"/>
  <c r="Z57" i="1" s="1"/>
  <c r="Y57" i="1" s="1"/>
  <c r="AA107" i="1"/>
  <c r="Z107" i="1" s="1"/>
  <c r="Y107" i="1" s="1"/>
  <c r="AA109" i="1"/>
  <c r="Z109" i="1" s="1"/>
  <c r="Y109" i="1" s="1"/>
  <c r="AA157" i="1"/>
  <c r="Z157" i="1" s="1"/>
  <c r="Y157" i="1" s="1"/>
  <c r="G170" i="1"/>
  <c r="BW170" i="6" s="1"/>
  <c r="I170" i="1"/>
  <c r="G234" i="1"/>
  <c r="BW234" i="6" s="1"/>
  <c r="G243" i="1"/>
  <c r="BW243" i="6" s="1"/>
  <c r="AA199" i="1"/>
  <c r="Z199" i="1" s="1"/>
  <c r="Y199" i="1" s="1"/>
  <c r="G172" i="1"/>
  <c r="BW172" i="6" s="1"/>
  <c r="AA266" i="1"/>
  <c r="Z266" i="1" s="1"/>
  <c r="Y266" i="1" s="1"/>
  <c r="I336" i="1"/>
  <c r="I193" i="1"/>
  <c r="AA344" i="1"/>
  <c r="Z344" i="1" s="1"/>
  <c r="Y344" i="1" s="1"/>
  <c r="AA20" i="1"/>
  <c r="Z20" i="1" s="1"/>
  <c r="Y20" i="1" s="1"/>
  <c r="AA324" i="1"/>
  <c r="Z324" i="1" s="1"/>
  <c r="Y324" i="1" s="1"/>
  <c r="G358" i="1"/>
  <c r="BW358" i="6" s="1"/>
  <c r="I358" i="1"/>
  <c r="I238" i="1"/>
  <c r="G238" i="1"/>
  <c r="BW238" i="6" s="1"/>
  <c r="I300" i="1"/>
  <c r="AA300" i="1"/>
  <c r="Z300" i="1" s="1"/>
  <c r="Y300" i="1" s="1"/>
  <c r="G300" i="1"/>
  <c r="BW300" i="6" s="1"/>
  <c r="AA243" i="1"/>
  <c r="Z243" i="1" s="1"/>
  <c r="Y243" i="1" s="1"/>
  <c r="AA179" i="1"/>
  <c r="Z179" i="1" s="1"/>
  <c r="Y179" i="1" s="1"/>
  <c r="I324" i="1"/>
  <c r="AA233" i="1"/>
  <c r="Z233" i="1" s="1"/>
  <c r="Y233" i="1" s="1"/>
  <c r="AA184" i="1"/>
  <c r="Z184" i="1" s="1"/>
  <c r="Y184" i="1" s="1"/>
  <c r="AA93" i="1"/>
  <c r="Z93" i="1" s="1"/>
  <c r="Y93" i="1" s="1"/>
  <c r="AA149" i="1"/>
  <c r="Z149" i="1" s="1"/>
  <c r="Y149" i="1" s="1"/>
  <c r="AA42" i="1"/>
  <c r="Z42" i="1" s="1"/>
  <c r="Y42" i="1" s="1"/>
  <c r="AA36" i="1"/>
  <c r="Z36" i="1" s="1"/>
  <c r="Y36" i="1" s="1"/>
  <c r="AA238" i="1"/>
  <c r="Z238" i="1" s="1"/>
  <c r="Y238" i="1" s="1"/>
  <c r="I350" i="1"/>
  <c r="G350" i="1"/>
  <c r="BW350" i="6" s="1"/>
  <c r="AA350" i="1"/>
  <c r="Z350" i="1" s="1"/>
  <c r="Y350" i="1" s="1"/>
  <c r="G329" i="1"/>
  <c r="BW329" i="6" s="1"/>
  <c r="AA329" i="1"/>
  <c r="Z329" i="1" s="1"/>
  <c r="Y329" i="1" s="1"/>
  <c r="AA201" i="1"/>
  <c r="Z201" i="1" s="1"/>
  <c r="Y201" i="1" s="1"/>
  <c r="I201" i="1"/>
  <c r="G298" i="1"/>
  <c r="BW298" i="6" s="1"/>
  <c r="I298" i="1"/>
  <c r="D40" i="7"/>
  <c r="G201" i="1"/>
  <c r="BW201" i="6" s="1"/>
  <c r="G262" i="1"/>
  <c r="BW262" i="6" s="1"/>
  <c r="AA262" i="1"/>
  <c r="Z262" i="1" s="1"/>
  <c r="Y262" i="1" s="1"/>
  <c r="I329" i="1"/>
  <c r="V298" i="15"/>
  <c r="F298" i="15" s="1"/>
  <c r="V190" i="1"/>
  <c r="F190" i="1" s="1"/>
  <c r="AA190" i="1" s="1"/>
  <c r="Z190" i="1" s="1"/>
  <c r="Y190" i="1" s="1"/>
  <c r="I255" i="1"/>
  <c r="G255" i="1"/>
  <c r="BW255" i="6" s="1"/>
  <c r="AA323" i="1"/>
  <c r="Z323" i="1" s="1"/>
  <c r="Y323" i="1" s="1"/>
  <c r="G323" i="1"/>
  <c r="BW323" i="6" s="1"/>
  <c r="I224" i="1"/>
  <c r="AA224" i="1"/>
  <c r="Z224" i="1" s="1"/>
  <c r="Y224" i="1" s="1"/>
  <c r="G303" i="1"/>
  <c r="BW303" i="6" s="1"/>
  <c r="I303" i="1"/>
  <c r="G221" i="1"/>
  <c r="BW221" i="6" s="1"/>
  <c r="I221" i="1"/>
  <c r="V367" i="1"/>
  <c r="F367" i="1" s="1"/>
  <c r="G212" i="1"/>
  <c r="BW212" i="6" s="1"/>
  <c r="I212" i="1"/>
  <c r="AA310" i="1"/>
  <c r="Z310" i="1" s="1"/>
  <c r="Y310" i="1" s="1"/>
  <c r="I310" i="1"/>
  <c r="G316" i="1"/>
  <c r="BW316" i="6" s="1"/>
  <c r="I316" i="1"/>
  <c r="I363" i="1"/>
  <c r="AA363" i="1"/>
  <c r="Z363" i="1" s="1"/>
  <c r="Y363" i="1" s="1"/>
  <c r="AA221" i="1"/>
  <c r="Z221" i="1" s="1"/>
  <c r="Y221" i="1" s="1"/>
  <c r="I244" i="1"/>
  <c r="G244" i="1"/>
  <c r="BW244" i="6" s="1"/>
  <c r="AA60" i="1"/>
  <c r="Z60" i="1" s="1"/>
  <c r="Y60" i="1" s="1"/>
  <c r="AA208" i="1"/>
  <c r="Z208" i="1" s="1"/>
  <c r="Y208" i="1" s="1"/>
  <c r="G208" i="1"/>
  <c r="BW208" i="6" s="1"/>
  <c r="I208" i="1"/>
  <c r="G202" i="1"/>
  <c r="BW202" i="6" s="1"/>
  <c r="I202" i="1"/>
  <c r="AA202" i="1"/>
  <c r="Z202" i="1" s="1"/>
  <c r="Y202" i="1" s="1"/>
  <c r="AA195" i="1"/>
  <c r="Z195" i="1" s="1"/>
  <c r="Y195" i="1" s="1"/>
  <c r="AA103" i="1"/>
  <c r="Z103" i="1" s="1"/>
  <c r="Y103" i="1" s="1"/>
  <c r="G322" i="1"/>
  <c r="BW322" i="6" s="1"/>
  <c r="AA322" i="1"/>
  <c r="Z322" i="1" s="1"/>
  <c r="Y322" i="1" s="1"/>
  <c r="I322" i="1"/>
  <c r="AA175" i="1"/>
  <c r="Z175" i="1" s="1"/>
  <c r="Y175" i="1" s="1"/>
  <c r="G175" i="1"/>
  <c r="BW175" i="6" s="1"/>
  <c r="I175" i="1"/>
  <c r="I216" i="1"/>
  <c r="G216" i="1"/>
  <c r="BW216" i="6" s="1"/>
  <c r="AA216" i="1"/>
  <c r="Z216" i="1" s="1"/>
  <c r="Y216" i="1" s="1"/>
  <c r="AA309" i="1"/>
  <c r="Z309" i="1" s="1"/>
  <c r="Y309" i="1" s="1"/>
  <c r="G309" i="1"/>
  <c r="BW309" i="6" s="1"/>
  <c r="I309" i="1"/>
  <c r="G188" i="1"/>
  <c r="BW188" i="6" s="1"/>
  <c r="AA188" i="1"/>
  <c r="Z188" i="1" s="1"/>
  <c r="Y188" i="1" s="1"/>
  <c r="I188" i="1"/>
  <c r="I222" i="1"/>
  <c r="G222" i="1"/>
  <c r="BW222" i="6" s="1"/>
  <c r="I312" i="1"/>
  <c r="AA312" i="1"/>
  <c r="Z312" i="1" s="1"/>
  <c r="Y312" i="1" s="1"/>
  <c r="G312" i="1"/>
  <c r="BW312" i="6" s="1"/>
  <c r="I307" i="1"/>
  <c r="G307" i="1"/>
  <c r="BW307" i="6" s="1"/>
  <c r="AA307" i="1"/>
  <c r="Z307" i="1" s="1"/>
  <c r="Y307" i="1" s="1"/>
  <c r="I299" i="1"/>
  <c r="G299" i="1"/>
  <c r="BW299" i="6" s="1"/>
  <c r="AA299" i="1"/>
  <c r="Z299" i="1" s="1"/>
  <c r="Y299" i="1" s="1"/>
  <c r="G282" i="1"/>
  <c r="BW282" i="6" s="1"/>
  <c r="I282" i="1"/>
  <c r="AA282" i="1"/>
  <c r="Z282" i="1" s="1"/>
  <c r="Y282" i="1" s="1"/>
  <c r="AA222" i="1"/>
  <c r="Z222" i="1" s="1"/>
  <c r="Y222" i="1" s="1"/>
  <c r="F214" i="1"/>
  <c r="AA214" i="1" s="1"/>
  <c r="Z214" i="1" s="1"/>
  <c r="Y214" i="1" s="1"/>
  <c r="AA151" i="1"/>
  <c r="Z151" i="1" s="1"/>
  <c r="Y151" i="1" s="1"/>
  <c r="V354" i="1"/>
  <c r="F354" i="1" s="1"/>
  <c r="G308" i="1"/>
  <c r="BW308" i="6" s="1"/>
  <c r="I308" i="1"/>
  <c r="AA308" i="1"/>
  <c r="Z308" i="1" s="1"/>
  <c r="Y308" i="1" s="1"/>
  <c r="V242" i="1"/>
  <c r="D20" i="7"/>
  <c r="V29" i="1"/>
  <c r="AA29" i="1" s="1"/>
  <c r="Z29" i="1" s="1"/>
  <c r="Y29" i="1" s="1"/>
  <c r="V263" i="1"/>
  <c r="F263" i="1" s="1"/>
  <c r="AA215" i="1"/>
  <c r="Z215" i="1" s="1"/>
  <c r="Y215" i="1" s="1"/>
  <c r="G215" i="1"/>
  <c r="BW215" i="6" s="1"/>
  <c r="I215" i="1"/>
  <c r="I223" i="1"/>
  <c r="AA223" i="1"/>
  <c r="Z223" i="1" s="1"/>
  <c r="Y223" i="1" s="1"/>
  <c r="G223" i="1"/>
  <c r="BW223" i="6" s="1"/>
  <c r="I374" i="1"/>
  <c r="AA374" i="1"/>
  <c r="Z374" i="1" s="1"/>
  <c r="Y374" i="1" s="1"/>
  <c r="G374" i="1"/>
  <c r="BW374" i="6" s="1"/>
  <c r="AA148" i="1"/>
  <c r="Z148" i="1" s="1"/>
  <c r="Y148" i="1" s="1"/>
  <c r="V315" i="15"/>
  <c r="F315" i="15" s="1"/>
  <c r="G249" i="1"/>
  <c r="BW249" i="6" s="1"/>
  <c r="AA249" i="1"/>
  <c r="Z249" i="1" s="1"/>
  <c r="Y249" i="1" s="1"/>
  <c r="I249" i="1"/>
  <c r="AA337" i="1"/>
  <c r="Z337" i="1" s="1"/>
  <c r="Y337" i="1" s="1"/>
  <c r="I337" i="1"/>
  <c r="G337" i="1"/>
  <c r="BW337" i="6" s="1"/>
  <c r="I287" i="1"/>
  <c r="G287" i="1"/>
  <c r="BW287" i="6" s="1"/>
  <c r="AA287" i="1"/>
  <c r="Z287" i="1" s="1"/>
  <c r="Y287" i="1" s="1"/>
  <c r="I248" i="1"/>
  <c r="G248" i="1"/>
  <c r="BW248" i="6" s="1"/>
  <c r="AA248" i="1"/>
  <c r="Z248" i="1" s="1"/>
  <c r="Y248" i="1" s="1"/>
  <c r="G213" i="1"/>
  <c r="BW213" i="6" s="1"/>
  <c r="I213" i="1"/>
  <c r="AA213" i="1"/>
  <c r="Z213" i="1" s="1"/>
  <c r="Y213" i="1" s="1"/>
  <c r="AA368" i="1"/>
  <c r="Z368" i="1" s="1"/>
  <c r="Y368" i="1" s="1"/>
  <c r="G368" i="1"/>
  <c r="BW368" i="6" s="1"/>
  <c r="I368" i="1"/>
  <c r="I371" i="1"/>
  <c r="AA371" i="1"/>
  <c r="Z371" i="1" s="1"/>
  <c r="Y371" i="1" s="1"/>
  <c r="G371" i="1"/>
  <c r="BW371" i="6" s="1"/>
  <c r="G280" i="1"/>
  <c r="BW280" i="6" s="1"/>
  <c r="I280" i="1"/>
  <c r="AA280" i="1"/>
  <c r="Z280" i="1" s="1"/>
  <c r="Y280" i="1" s="1"/>
  <c r="AA203" i="1"/>
  <c r="Z203" i="1" s="1"/>
  <c r="Y203" i="1" s="1"/>
  <c r="G203" i="1"/>
  <c r="BW203" i="6" s="1"/>
  <c r="I203" i="1"/>
  <c r="AA192" i="1"/>
  <c r="Z192" i="1" s="1"/>
  <c r="Y192" i="1" s="1"/>
  <c r="G192" i="1"/>
  <c r="BW192" i="6" s="1"/>
  <c r="I192" i="1"/>
  <c r="G375" i="1"/>
  <c r="BW375" i="6" s="1"/>
  <c r="I375" i="1"/>
  <c r="AA375" i="1"/>
  <c r="Z375" i="1" s="1"/>
  <c r="Y375" i="1" s="1"/>
  <c r="G273" i="1"/>
  <c r="BW273" i="6" s="1"/>
  <c r="I273" i="1"/>
  <c r="AA273" i="1"/>
  <c r="Z273" i="1" s="1"/>
  <c r="Y273" i="1" s="1"/>
  <c r="G269" i="1"/>
  <c r="BW269" i="6" s="1"/>
  <c r="I269" i="1"/>
  <c r="AA269" i="1"/>
  <c r="Z269" i="1" s="1"/>
  <c r="Y269" i="1" s="1"/>
  <c r="I320" i="1"/>
  <c r="G320" i="1"/>
  <c r="BW320" i="6" s="1"/>
  <c r="AA320" i="1"/>
  <c r="Z320" i="1" s="1"/>
  <c r="Y320" i="1" s="1"/>
  <c r="AA239" i="1"/>
  <c r="Z239" i="1" s="1"/>
  <c r="Y239" i="1" s="1"/>
  <c r="G239" i="1"/>
  <c r="BW239" i="6" s="1"/>
  <c r="I239" i="1"/>
  <c r="AD76" i="27"/>
  <c r="AC76" i="27" s="1"/>
  <c r="AB76" i="27"/>
  <c r="AA251" i="1"/>
  <c r="Z251" i="1" s="1"/>
  <c r="Y251" i="1" s="1"/>
  <c r="G251" i="1"/>
  <c r="BW251" i="6" s="1"/>
  <c r="I251" i="1"/>
  <c r="I277" i="1"/>
  <c r="AA277" i="1"/>
  <c r="Z277" i="1" s="1"/>
  <c r="Y277" i="1" s="1"/>
  <c r="G277" i="1"/>
  <c r="BW277" i="6" s="1"/>
  <c r="G270" i="1"/>
  <c r="BW270" i="6" s="1"/>
  <c r="I270" i="1"/>
  <c r="I177" i="1"/>
  <c r="G177" i="1"/>
  <c r="BW177" i="6" s="1"/>
  <c r="AA177" i="1"/>
  <c r="Z177" i="1" s="1"/>
  <c r="Y177" i="1" s="1"/>
  <c r="AA275" i="1"/>
  <c r="Z275" i="1" s="1"/>
  <c r="Y275" i="1" s="1"/>
  <c r="G275" i="1"/>
  <c r="BW275" i="6" s="1"/>
  <c r="I275" i="1"/>
  <c r="I257" i="1"/>
  <c r="G257" i="1"/>
  <c r="BW257" i="6" s="1"/>
  <c r="AA237" i="1"/>
  <c r="Z237" i="1" s="1"/>
  <c r="Y237" i="1" s="1"/>
  <c r="I237" i="1"/>
  <c r="G237" i="1"/>
  <c r="BW237" i="6" s="1"/>
  <c r="I297" i="1"/>
  <c r="AA297" i="1"/>
  <c r="Z297" i="1" s="1"/>
  <c r="Y297" i="1" s="1"/>
  <c r="G297" i="1"/>
  <c r="BW297" i="6" s="1"/>
  <c r="I347" i="1"/>
  <c r="G347" i="1"/>
  <c r="BW347" i="6" s="1"/>
  <c r="AA347" i="1"/>
  <c r="Z347" i="1" s="1"/>
  <c r="Y347" i="1" s="1"/>
  <c r="V264" i="1"/>
  <c r="AA348" i="1"/>
  <c r="Z348" i="1" s="1"/>
  <c r="Y348" i="1" s="1"/>
  <c r="G348" i="1"/>
  <c r="BW348" i="6" s="1"/>
  <c r="I348" i="1"/>
  <c r="I235" i="1"/>
  <c r="G235" i="1"/>
  <c r="BW235" i="6" s="1"/>
  <c r="AA235" i="1"/>
  <c r="Z235" i="1" s="1"/>
  <c r="Y235" i="1" s="1"/>
  <c r="I304" i="1"/>
  <c r="AA304" i="1"/>
  <c r="Z304" i="1" s="1"/>
  <c r="Y304" i="1" s="1"/>
  <c r="G304" i="1"/>
  <c r="BW304" i="6" s="1"/>
  <c r="AA276" i="1"/>
  <c r="Z276" i="1" s="1"/>
  <c r="Y276" i="1" s="1"/>
  <c r="G276" i="1"/>
  <c r="BW276" i="6" s="1"/>
  <c r="I276" i="1"/>
  <c r="I261" i="1"/>
  <c r="G261" i="1"/>
  <c r="BW261" i="6" s="1"/>
  <c r="AA261" i="1"/>
  <c r="Z261" i="1" s="1"/>
  <c r="Y261" i="1" s="1"/>
  <c r="I196" i="1"/>
  <c r="G196" i="1"/>
  <c r="BW196" i="6" s="1"/>
  <c r="AA196" i="1"/>
  <c r="Z196" i="1" s="1"/>
  <c r="Y196" i="1" s="1"/>
  <c r="I285" i="1"/>
  <c r="G285" i="1"/>
  <c r="BW285" i="6" s="1"/>
  <c r="AA285" i="1"/>
  <c r="Z285" i="1" s="1"/>
  <c r="Y285" i="1" s="1"/>
  <c r="I328" i="1"/>
  <c r="AA328" i="1"/>
  <c r="Z328" i="1" s="1"/>
  <c r="Y328" i="1" s="1"/>
  <c r="G328" i="1"/>
  <c r="BW328" i="6" s="1"/>
  <c r="I289" i="1"/>
  <c r="AA289" i="1"/>
  <c r="Z289" i="1" s="1"/>
  <c r="Y289" i="1" s="1"/>
  <c r="G289" i="1"/>
  <c r="BW289" i="6" s="1"/>
  <c r="Z78" i="27"/>
  <c r="U78" i="27"/>
  <c r="S78" i="27"/>
  <c r="W78" i="27"/>
  <c r="Y78" i="27"/>
  <c r="I43" i="27"/>
  <c r="X78" i="27"/>
  <c r="AA78" i="27"/>
  <c r="Q78" i="27"/>
  <c r="R78" i="27"/>
  <c r="T78" i="27"/>
  <c r="V78" i="27"/>
  <c r="G171" i="1"/>
  <c r="BW171" i="6" s="1"/>
  <c r="AA171" i="1"/>
  <c r="Z171" i="1" s="1"/>
  <c r="Y171" i="1" s="1"/>
  <c r="I171" i="1"/>
  <c r="G173" i="1"/>
  <c r="BW173" i="6" s="1"/>
  <c r="I173" i="1"/>
  <c r="AA173" i="1"/>
  <c r="Z173" i="1" s="1"/>
  <c r="Y173" i="1" s="1"/>
  <c r="V359" i="1"/>
  <c r="F290" i="1"/>
  <c r="AA168" i="1"/>
  <c r="Z168" i="1" s="1"/>
  <c r="Y168" i="1" s="1"/>
  <c r="AA123" i="1"/>
  <c r="Z123" i="1" s="1"/>
  <c r="Y123" i="1" s="1"/>
  <c r="V292" i="1"/>
  <c r="K61" i="19" s="1"/>
  <c r="F258" i="1"/>
  <c r="AA270" i="1"/>
  <c r="Z270" i="1" s="1"/>
  <c r="Y270" i="1" s="1"/>
  <c r="I326" i="1"/>
  <c r="G326" i="1"/>
  <c r="BW326" i="6" s="1"/>
  <c r="AA326" i="1"/>
  <c r="Z326" i="1" s="1"/>
  <c r="Y326" i="1" s="1"/>
  <c r="I278" i="1"/>
  <c r="AA278" i="1"/>
  <c r="Z278" i="1" s="1"/>
  <c r="Y278" i="1" s="1"/>
  <c r="G278" i="1"/>
  <c r="BW278" i="6" s="1"/>
  <c r="AH382" i="15"/>
  <c r="AG15" i="15"/>
  <c r="AD383" i="1"/>
  <c r="AD381" i="1"/>
  <c r="AD382" i="1"/>
  <c r="V15" i="1"/>
  <c r="AA15" i="1" s="1"/>
  <c r="P381" i="1"/>
  <c r="P382" i="1"/>
  <c r="P383" i="1"/>
  <c r="S15" i="15"/>
  <c r="T383" i="15"/>
  <c r="T381" i="15"/>
  <c r="H140" i="15"/>
  <c r="G140" i="15"/>
  <c r="BX140" i="6" s="1"/>
  <c r="AA140" i="15"/>
  <c r="Z140" i="15" s="1"/>
  <c r="Y140" i="15" s="1"/>
  <c r="G95" i="15"/>
  <c r="BX95" i="6" s="1"/>
  <c r="H95" i="15"/>
  <c r="AA22" i="15"/>
  <c r="Z22" i="15" s="1"/>
  <c r="Y22" i="15" s="1"/>
  <c r="G22" i="15"/>
  <c r="BX22" i="6" s="1"/>
  <c r="H22" i="15"/>
  <c r="AA118" i="15"/>
  <c r="Z118" i="15" s="1"/>
  <c r="Y118" i="15" s="1"/>
  <c r="G118" i="15"/>
  <c r="BX118" i="6" s="1"/>
  <c r="H118" i="15"/>
  <c r="H352" i="15"/>
  <c r="AA352" i="15"/>
  <c r="Z352" i="15" s="1"/>
  <c r="Y352" i="15" s="1"/>
  <c r="G352" i="15"/>
  <c r="BX352" i="6" s="1"/>
  <c r="H131" i="15"/>
  <c r="G342" i="15"/>
  <c r="BX342" i="6" s="1"/>
  <c r="AA277" i="15"/>
  <c r="Z277" i="15" s="1"/>
  <c r="Y277" i="15" s="1"/>
  <c r="G220" i="15"/>
  <c r="BX220" i="6" s="1"/>
  <c r="H54" i="15"/>
  <c r="G54" i="15"/>
  <c r="BX54" i="6" s="1"/>
  <c r="G84" i="15"/>
  <c r="BX84" i="6" s="1"/>
  <c r="H84" i="15"/>
  <c r="G286" i="15"/>
  <c r="BX286" i="6" s="1"/>
  <c r="AA197" i="15"/>
  <c r="Z197" i="15" s="1"/>
  <c r="Y197" i="15" s="1"/>
  <c r="G197" i="15"/>
  <c r="BX197" i="6" s="1"/>
  <c r="H220" i="15" l="1"/>
  <c r="J220" i="15" s="1"/>
  <c r="G313" i="15"/>
  <c r="BX313" i="6" s="1"/>
  <c r="AA226" i="15"/>
  <c r="Z226" i="15" s="1"/>
  <c r="Y226" i="15" s="1"/>
  <c r="H353" i="15"/>
  <c r="T382" i="15"/>
  <c r="AH383" i="15"/>
  <c r="AA38" i="15"/>
  <c r="Z38" i="15" s="1"/>
  <c r="Y38" i="15" s="1"/>
  <c r="V302" i="15"/>
  <c r="H27" i="15"/>
  <c r="I27" i="15" s="1"/>
  <c r="AA274" i="15"/>
  <c r="Z274" i="15" s="1"/>
  <c r="Y274" i="15" s="1"/>
  <c r="F149" i="15"/>
  <c r="H149" i="15" s="1"/>
  <c r="I149" i="15" s="1"/>
  <c r="AH381" i="15"/>
  <c r="AA312" i="15"/>
  <c r="Z312" i="15" s="1"/>
  <c r="Y312" i="15" s="1"/>
  <c r="AA37" i="15"/>
  <c r="Z37" i="15" s="1"/>
  <c r="Y37" i="15" s="1"/>
  <c r="AA63" i="15"/>
  <c r="Z63" i="15" s="1"/>
  <c r="Y63" i="15" s="1"/>
  <c r="AA291" i="15"/>
  <c r="Z291" i="15" s="1"/>
  <c r="Y291" i="15" s="1"/>
  <c r="AA276" i="15"/>
  <c r="Z276" i="15" s="1"/>
  <c r="Y276" i="15" s="1"/>
  <c r="AA286" i="15"/>
  <c r="Z286" i="15" s="1"/>
  <c r="Y286" i="15" s="1"/>
  <c r="H313" i="15"/>
  <c r="I313" i="15" s="1"/>
  <c r="G226" i="15"/>
  <c r="BX226" i="6" s="1"/>
  <c r="H328" i="15"/>
  <c r="J328" i="15" s="1"/>
  <c r="H277" i="15"/>
  <c r="J277" i="15" s="1"/>
  <c r="F333" i="15"/>
  <c r="G333" i="15" s="1"/>
  <c r="BX333" i="6" s="1"/>
  <c r="F60" i="15"/>
  <c r="H60" i="15" s="1"/>
  <c r="J60" i="15" s="1"/>
  <c r="AA328" i="15"/>
  <c r="Z328" i="15" s="1"/>
  <c r="Y328" i="15" s="1"/>
  <c r="G354" i="15"/>
  <c r="BX354" i="6" s="1"/>
  <c r="H81" i="15"/>
  <c r="J81" i="15" s="1"/>
  <c r="AA238" i="15"/>
  <c r="Z238" i="15" s="1"/>
  <c r="Y238" i="15" s="1"/>
  <c r="H318" i="15"/>
  <c r="J318" i="15" s="1"/>
  <c r="AA27" i="15"/>
  <c r="Z27" i="15" s="1"/>
  <c r="Y27" i="15" s="1"/>
  <c r="G292" i="15"/>
  <c r="BX292" i="6" s="1"/>
  <c r="AA131" i="15"/>
  <c r="Z131" i="15" s="1"/>
  <c r="Y131" i="15" s="1"/>
  <c r="AA28" i="15"/>
  <c r="Z28" i="15" s="1"/>
  <c r="Y28" i="15" s="1"/>
  <c r="G81" i="15"/>
  <c r="BX81" i="6" s="1"/>
  <c r="AA137" i="15"/>
  <c r="Z137" i="15" s="1"/>
  <c r="Y137" i="15" s="1"/>
  <c r="AA214" i="15"/>
  <c r="Z214" i="15" s="1"/>
  <c r="Y214" i="15" s="1"/>
  <c r="AA348" i="15"/>
  <c r="Z348" i="15" s="1"/>
  <c r="Y348" i="15" s="1"/>
  <c r="AA318" i="15"/>
  <c r="Z318" i="15" s="1"/>
  <c r="Y318" i="15" s="1"/>
  <c r="G28" i="15"/>
  <c r="BX28" i="6" s="1"/>
  <c r="AA344" i="15"/>
  <c r="Z344" i="15" s="1"/>
  <c r="Y344" i="15" s="1"/>
  <c r="AA108" i="15"/>
  <c r="Z108" i="15" s="1"/>
  <c r="Y108" i="15" s="1"/>
  <c r="AA280" i="15"/>
  <c r="Z280" i="15" s="1"/>
  <c r="Y280" i="15" s="1"/>
  <c r="AA97" i="15"/>
  <c r="Z97" i="15" s="1"/>
  <c r="Y97" i="15" s="1"/>
  <c r="AA267" i="15"/>
  <c r="Z267" i="15" s="1"/>
  <c r="Y267" i="15" s="1"/>
  <c r="AA371" i="15"/>
  <c r="Z371" i="15" s="1"/>
  <c r="Y371" i="15" s="1"/>
  <c r="AA377" i="15"/>
  <c r="Z377" i="15" s="1"/>
  <c r="Y377" i="15" s="1"/>
  <c r="AA77" i="15"/>
  <c r="Z77" i="15" s="1"/>
  <c r="Y77" i="15" s="1"/>
  <c r="AA248" i="15"/>
  <c r="Z248" i="15" s="1"/>
  <c r="Y248" i="15" s="1"/>
  <c r="AA270" i="15"/>
  <c r="Z270" i="15" s="1"/>
  <c r="Y270" i="15" s="1"/>
  <c r="AA340" i="15"/>
  <c r="Z340" i="15" s="1"/>
  <c r="Y340" i="15" s="1"/>
  <c r="AA89" i="15"/>
  <c r="Z89" i="15" s="1"/>
  <c r="Y89" i="15" s="1"/>
  <c r="AA159" i="15"/>
  <c r="Z159" i="15" s="1"/>
  <c r="Y159" i="15" s="1"/>
  <c r="AA335" i="15"/>
  <c r="Z335" i="15" s="1"/>
  <c r="Y335" i="15" s="1"/>
  <c r="AA154" i="15"/>
  <c r="Z154" i="15" s="1"/>
  <c r="Y154" i="15" s="1"/>
  <c r="AA327" i="15"/>
  <c r="Z327" i="15" s="1"/>
  <c r="Y327" i="15" s="1"/>
  <c r="AA55" i="15"/>
  <c r="Z55" i="15" s="1"/>
  <c r="Y55" i="15" s="1"/>
  <c r="AK8" i="15"/>
  <c r="F210" i="15"/>
  <c r="G210" i="15" s="1"/>
  <c r="BX210" i="6" s="1"/>
  <c r="AA103" i="15"/>
  <c r="Z103" i="15" s="1"/>
  <c r="Y103" i="15" s="1"/>
  <c r="AA366" i="15"/>
  <c r="Z366" i="15" s="1"/>
  <c r="Y366" i="15" s="1"/>
  <c r="AA357" i="15"/>
  <c r="Z357" i="15" s="1"/>
  <c r="Y357" i="15" s="1"/>
  <c r="AA376" i="15"/>
  <c r="Z376" i="15" s="1"/>
  <c r="Y376" i="15" s="1"/>
  <c r="AA36" i="15"/>
  <c r="Z36" i="15" s="1"/>
  <c r="Y36" i="15" s="1"/>
  <c r="AA203" i="15"/>
  <c r="Z203" i="15" s="1"/>
  <c r="Y203" i="15" s="1"/>
  <c r="AA261" i="15"/>
  <c r="Z261" i="15" s="1"/>
  <c r="Y261" i="15" s="1"/>
  <c r="K40" i="19"/>
  <c r="H107" i="15"/>
  <c r="J107" i="15" s="1"/>
  <c r="G36" i="15"/>
  <c r="BX36" i="6" s="1"/>
  <c r="G117" i="15"/>
  <c r="BX117" i="6" s="1"/>
  <c r="H278" i="15"/>
  <c r="I278" i="15" s="1"/>
  <c r="H203" i="15"/>
  <c r="J203" i="15" s="1"/>
  <c r="H337" i="15"/>
  <c r="J337" i="15" s="1"/>
  <c r="H350" i="15"/>
  <c r="J350" i="15" s="1"/>
  <c r="H288" i="15"/>
  <c r="J288" i="15" s="1"/>
  <c r="Q310" i="16"/>
  <c r="Q52" i="16"/>
  <c r="Q81" i="16"/>
  <c r="Q136" i="16"/>
  <c r="Q283" i="16"/>
  <c r="Q352" i="16"/>
  <c r="Q277" i="16"/>
  <c r="Q217" i="16"/>
  <c r="Q306" i="16"/>
  <c r="Q225" i="16"/>
  <c r="Q343" i="16"/>
  <c r="Q303" i="16"/>
  <c r="Q21" i="16"/>
  <c r="Q154" i="16"/>
  <c r="Q311" i="16"/>
  <c r="Q32" i="16"/>
  <c r="Q101" i="16"/>
  <c r="Q143" i="16"/>
  <c r="Q180" i="16"/>
  <c r="Q380" i="16"/>
  <c r="Q215" i="16"/>
  <c r="Q116" i="16"/>
  <c r="Q270" i="16"/>
  <c r="Q344" i="16"/>
  <c r="Q76" i="16"/>
  <c r="Q337" i="16"/>
  <c r="Q204" i="16"/>
  <c r="Q133" i="16"/>
  <c r="Q126" i="16"/>
  <c r="Q314" i="16"/>
  <c r="Q346" i="16"/>
  <c r="Q246" i="16"/>
  <c r="Q114" i="16"/>
  <c r="Q234" i="16"/>
  <c r="Q248" i="16"/>
  <c r="Q279" i="16"/>
  <c r="Q261" i="16"/>
  <c r="Q102" i="16"/>
  <c r="Q221" i="16"/>
  <c r="Q191" i="16"/>
  <c r="Q137" i="16"/>
  <c r="Q320" i="16"/>
  <c r="Q288" i="16"/>
  <c r="Q262" i="16"/>
  <c r="Q351" i="16"/>
  <c r="Q298" i="16"/>
  <c r="Q317" i="16"/>
  <c r="Q36" i="16"/>
  <c r="Q59" i="16"/>
  <c r="Q86" i="16"/>
  <c r="Q271" i="16"/>
  <c r="Q30" i="16"/>
  <c r="Q43" i="16"/>
  <c r="Q55" i="16"/>
  <c r="Q275" i="16"/>
  <c r="Q159" i="16"/>
  <c r="Q372" i="16"/>
  <c r="Q38" i="16"/>
  <c r="Q224" i="16"/>
  <c r="Q182" i="16"/>
  <c r="Q289" i="16"/>
  <c r="Q307" i="16"/>
  <c r="Q281" i="16"/>
  <c r="Q83" i="16"/>
  <c r="Q227" i="16"/>
  <c r="Q54" i="16"/>
  <c r="Q79" i="16"/>
  <c r="Q138" i="16"/>
  <c r="Q273" i="16"/>
  <c r="Q285" i="16"/>
  <c r="Q184" i="16"/>
  <c r="Q249" i="16"/>
  <c r="Q156" i="16"/>
  <c r="Q174" i="16"/>
  <c r="Q163" i="16"/>
  <c r="Q168" i="16"/>
  <c r="Q139" i="16"/>
  <c r="Q134" i="16"/>
  <c r="Q169" i="16"/>
  <c r="Q200" i="16"/>
  <c r="Q267" i="16"/>
  <c r="Q219" i="16"/>
  <c r="Q46" i="16"/>
  <c r="Q211" i="16"/>
  <c r="Q120" i="16"/>
  <c r="Q376" i="16"/>
  <c r="H368" i="15"/>
  <c r="I368" i="15" s="1"/>
  <c r="H308" i="15"/>
  <c r="J308" i="15" s="1"/>
  <c r="H188" i="15"/>
  <c r="I188" i="15" s="1"/>
  <c r="H300" i="15"/>
  <c r="J300" i="15" s="1"/>
  <c r="AA172" i="15"/>
  <c r="Z172" i="15" s="1"/>
  <c r="Y172" i="15" s="1"/>
  <c r="Q201" i="16"/>
  <c r="Q213" i="16"/>
  <c r="Q240" i="16"/>
  <c r="Q89" i="16"/>
  <c r="Q92" i="16"/>
  <c r="Q355" i="16"/>
  <c r="Q50" i="16"/>
  <c r="Q19" i="16"/>
  <c r="Q252" i="16"/>
  <c r="Q295" i="16"/>
  <c r="Q170" i="16"/>
  <c r="Q106" i="16"/>
  <c r="Q377" i="16"/>
  <c r="Q49" i="16"/>
  <c r="Q356" i="16"/>
  <c r="Q353" i="16"/>
  <c r="Q342" i="16"/>
  <c r="Q70" i="16"/>
  <c r="Q132" i="16"/>
  <c r="Q291" i="16"/>
  <c r="Q347" i="16"/>
  <c r="Q309" i="16"/>
  <c r="Q124" i="16"/>
  <c r="Q161" i="16"/>
  <c r="Q265" i="16"/>
  <c r="Q58" i="16"/>
  <c r="Q34" i="16"/>
  <c r="Q105" i="16"/>
  <c r="Q141" i="16"/>
  <c r="Q27" i="16"/>
  <c r="Q250" i="16"/>
  <c r="Q365" i="16"/>
  <c r="Q40" i="16"/>
  <c r="Q95" i="16"/>
  <c r="Q294" i="16"/>
  <c r="Q272" i="16"/>
  <c r="Q113" i="16"/>
  <c r="Q330" i="16"/>
  <c r="Q162" i="16"/>
  <c r="Q53" i="16"/>
  <c r="Q91" i="16"/>
  <c r="Q212" i="16"/>
  <c r="Q39" i="16"/>
  <c r="Q236" i="16"/>
  <c r="Q84" i="16"/>
  <c r="Q341" i="16"/>
  <c r="Q220" i="16"/>
  <c r="Q42" i="16"/>
  <c r="Q130" i="16"/>
  <c r="Q177" i="16"/>
  <c r="Q339" i="16"/>
  <c r="Q268" i="16"/>
  <c r="Q350" i="16"/>
  <c r="Q228" i="16"/>
  <c r="Q292" i="16"/>
  <c r="Q368" i="16"/>
  <c r="Q179" i="16"/>
  <c r="Q172" i="16"/>
  <c r="Q366" i="16"/>
  <c r="Q379" i="16"/>
  <c r="P15" i="7" s="1"/>
  <c r="Q244" i="16"/>
  <c r="Q318" i="16"/>
  <c r="Q286" i="16"/>
  <c r="Q269" i="16"/>
  <c r="Q41" i="16"/>
  <c r="Q135" i="16"/>
  <c r="Q173" i="16"/>
  <c r="Q67" i="16"/>
  <c r="Q259" i="16"/>
  <c r="Q369" i="16"/>
  <c r="Q354" i="16"/>
  <c r="Q305" i="16"/>
  <c r="Q373" i="16"/>
  <c r="Q164" i="16"/>
  <c r="Q276" i="16"/>
  <c r="Q88" i="16"/>
  <c r="Q302" i="16"/>
  <c r="Q378" i="16"/>
  <c r="Q187" i="16"/>
  <c r="Q151" i="16"/>
  <c r="Q109" i="16"/>
  <c r="Q129" i="16"/>
  <c r="Q48" i="16"/>
  <c r="Q15" i="16"/>
  <c r="Q69" i="16"/>
  <c r="Q103" i="16"/>
  <c r="Q263" i="16"/>
  <c r="AA177" i="15"/>
  <c r="Z177" i="15" s="1"/>
  <c r="Y177" i="15" s="1"/>
  <c r="H369" i="15"/>
  <c r="I369" i="15" s="1"/>
  <c r="AA307" i="15"/>
  <c r="Z307" i="15" s="1"/>
  <c r="Y307" i="15" s="1"/>
  <c r="H61" i="15"/>
  <c r="J61" i="15" s="1"/>
  <c r="G203" i="15"/>
  <c r="BX203" i="6" s="1"/>
  <c r="H207" i="15"/>
  <c r="J207" i="15" s="1"/>
  <c r="H97" i="15"/>
  <c r="I97" i="15" s="1"/>
  <c r="G16" i="15"/>
  <c r="BX16" i="6" s="1"/>
  <c r="AA107" i="15"/>
  <c r="Z107" i="15" s="1"/>
  <c r="Y107" i="15" s="1"/>
  <c r="H36" i="15"/>
  <c r="J36" i="15" s="1"/>
  <c r="G39" i="15"/>
  <c r="BX39" i="6" s="1"/>
  <c r="AA296" i="15"/>
  <c r="Z296" i="15" s="1"/>
  <c r="Y296" i="15" s="1"/>
  <c r="G337" i="15"/>
  <c r="BX337" i="6" s="1"/>
  <c r="AA288" i="15"/>
  <c r="Z288" i="15" s="1"/>
  <c r="Y288" i="15" s="1"/>
  <c r="G261" i="15"/>
  <c r="BX261" i="6" s="1"/>
  <c r="AA369" i="15"/>
  <c r="Z369" i="15" s="1"/>
  <c r="Y369" i="15" s="1"/>
  <c r="AA365" i="15"/>
  <c r="Z365" i="15" s="1"/>
  <c r="Y365" i="15" s="1"/>
  <c r="G19" i="15"/>
  <c r="BX19" i="6" s="1"/>
  <c r="AA350" i="15"/>
  <c r="Z350" i="15" s="1"/>
  <c r="Y350" i="15" s="1"/>
  <c r="G207" i="15"/>
  <c r="BX207" i="6" s="1"/>
  <c r="G97" i="15"/>
  <c r="BX97" i="6" s="1"/>
  <c r="AA16" i="15"/>
  <c r="Z16" i="15" s="1"/>
  <c r="Y16" i="15" s="1"/>
  <c r="H53" i="15"/>
  <c r="J53" i="15" s="1"/>
  <c r="H117" i="15"/>
  <c r="I117" i="15" s="1"/>
  <c r="AA278" i="15"/>
  <c r="Z278" i="15" s="1"/>
  <c r="Y278" i="15" s="1"/>
  <c r="AA188" i="15"/>
  <c r="Z188" i="15" s="1"/>
  <c r="Y188" i="15" s="1"/>
  <c r="H373" i="15"/>
  <c r="I373" i="15" s="1"/>
  <c r="AA56" i="15"/>
  <c r="Z56" i="15" s="1"/>
  <c r="Y56" i="15" s="1"/>
  <c r="G93" i="15"/>
  <c r="BX93" i="6" s="1"/>
  <c r="G92" i="15"/>
  <c r="BX92" i="6" s="1"/>
  <c r="AA351" i="15"/>
  <c r="Z351" i="15" s="1"/>
  <c r="Y351" i="15" s="1"/>
  <c r="G30" i="15"/>
  <c r="BX30" i="6" s="1"/>
  <c r="AA47" i="15"/>
  <c r="Z47" i="15" s="1"/>
  <c r="Y47" i="15" s="1"/>
  <c r="AA223" i="15"/>
  <c r="Z223" i="15" s="1"/>
  <c r="Y223" i="15" s="1"/>
  <c r="AA150" i="15"/>
  <c r="Z150" i="15" s="1"/>
  <c r="Y150" i="15" s="1"/>
  <c r="H351" i="15"/>
  <c r="J351" i="15" s="1"/>
  <c r="AA308" i="15"/>
  <c r="Z308" i="15" s="1"/>
  <c r="Y308" i="15" s="1"/>
  <c r="AA30" i="15"/>
  <c r="Z30" i="15" s="1"/>
  <c r="Y30" i="15" s="1"/>
  <c r="AA368" i="15"/>
  <c r="Z368" i="15" s="1"/>
  <c r="Y368" i="15" s="1"/>
  <c r="AA198" i="15"/>
  <c r="Z198" i="15" s="1"/>
  <c r="Y198" i="15" s="1"/>
  <c r="AA230" i="15"/>
  <c r="Z230" i="15" s="1"/>
  <c r="Y230" i="15" s="1"/>
  <c r="H125" i="15"/>
  <c r="J125" i="15" s="1"/>
  <c r="AA163" i="15"/>
  <c r="Z163" i="15" s="1"/>
  <c r="Y163" i="15" s="1"/>
  <c r="H126" i="15"/>
  <c r="J126" i="15" s="1"/>
  <c r="G358" i="15"/>
  <c r="BX358" i="6" s="1"/>
  <c r="H47" i="15"/>
  <c r="J47" i="15" s="1"/>
  <c r="G300" i="15"/>
  <c r="BX300" i="6" s="1"/>
  <c r="AA294" i="15"/>
  <c r="Z294" i="15" s="1"/>
  <c r="Y294" i="15" s="1"/>
  <c r="AA265" i="15"/>
  <c r="Z265" i="15" s="1"/>
  <c r="Y265" i="15" s="1"/>
  <c r="G270" i="15"/>
  <c r="BX270" i="6" s="1"/>
  <c r="G150" i="15"/>
  <c r="BX150" i="6" s="1"/>
  <c r="H340" i="15"/>
  <c r="I340" i="15" s="1"/>
  <c r="H223" i="15"/>
  <c r="I223" i="15" s="1"/>
  <c r="AA373" i="15"/>
  <c r="Z373" i="15" s="1"/>
  <c r="Y373" i="15" s="1"/>
  <c r="AA204" i="15"/>
  <c r="Z204" i="15" s="1"/>
  <c r="Y204" i="15" s="1"/>
  <c r="G230" i="15"/>
  <c r="BX230" i="6" s="1"/>
  <c r="G125" i="15"/>
  <c r="BX125" i="6" s="1"/>
  <c r="G163" i="15"/>
  <c r="BX163" i="6" s="1"/>
  <c r="AA126" i="15"/>
  <c r="Z126" i="15" s="1"/>
  <c r="Y126" i="15" s="1"/>
  <c r="H93" i="15"/>
  <c r="J93" i="15" s="1"/>
  <c r="G294" i="15"/>
  <c r="BX294" i="6" s="1"/>
  <c r="H265" i="15"/>
  <c r="J265" i="15" s="1"/>
  <c r="H92" i="15"/>
  <c r="I92" i="15" s="1"/>
  <c r="G340" i="15"/>
  <c r="BX340" i="6" s="1"/>
  <c r="H270" i="15"/>
  <c r="I270" i="15" s="1"/>
  <c r="H358" i="15"/>
  <c r="I358" i="15" s="1"/>
  <c r="H172" i="15"/>
  <c r="J172" i="15" s="1"/>
  <c r="H39" i="15"/>
  <c r="I39" i="15" s="1"/>
  <c r="H365" i="15"/>
  <c r="J365" i="15" s="1"/>
  <c r="H355" i="15"/>
  <c r="J355" i="15" s="1"/>
  <c r="H19" i="15"/>
  <c r="J19" i="15" s="1"/>
  <c r="G61" i="15"/>
  <c r="BX61" i="6" s="1"/>
  <c r="H376" i="15"/>
  <c r="I376" i="15" s="1"/>
  <c r="AA53" i="15"/>
  <c r="Z53" i="15" s="1"/>
  <c r="Y53" i="15" s="1"/>
  <c r="H261" i="15"/>
  <c r="J261" i="15" s="1"/>
  <c r="H177" i="15"/>
  <c r="I177" i="15" s="1"/>
  <c r="H307" i="15"/>
  <c r="I307" i="15" s="1"/>
  <c r="BN9" i="7"/>
  <c r="BP10" i="7" s="1"/>
  <c r="BK10" i="7"/>
  <c r="Q370" i="16"/>
  <c r="Q290" i="16"/>
  <c r="Q111" i="16"/>
  <c r="Q74" i="16"/>
  <c r="H67" i="15"/>
  <c r="I67" i="15" s="1"/>
  <c r="AA138" i="15"/>
  <c r="Z138" i="15" s="1"/>
  <c r="Y138" i="15" s="1"/>
  <c r="G355" i="15"/>
  <c r="BX355" i="6" s="1"/>
  <c r="H99" i="15"/>
  <c r="J99" i="15" s="1"/>
  <c r="H204" i="15"/>
  <c r="J204" i="15" s="1"/>
  <c r="G56" i="15"/>
  <c r="BX56" i="6" s="1"/>
  <c r="G138" i="15"/>
  <c r="BX138" i="6" s="1"/>
  <c r="G376" i="15"/>
  <c r="BX376" i="6" s="1"/>
  <c r="AA67" i="15"/>
  <c r="Z67" i="15" s="1"/>
  <c r="Y67" i="15" s="1"/>
  <c r="H364" i="15"/>
  <c r="J364" i="15" s="1"/>
  <c r="G99" i="15"/>
  <c r="BX99" i="6" s="1"/>
  <c r="H193" i="15"/>
  <c r="J193" i="15" s="1"/>
  <c r="G248" i="15"/>
  <c r="BX248" i="6" s="1"/>
  <c r="G268" i="15"/>
  <c r="BX268" i="6" s="1"/>
  <c r="G201" i="15"/>
  <c r="BX201" i="6" s="1"/>
  <c r="AA185" i="15"/>
  <c r="Z185" i="15" s="1"/>
  <c r="Y185" i="15" s="1"/>
  <c r="G327" i="15"/>
  <c r="BX327" i="6" s="1"/>
  <c r="AA142" i="15"/>
  <c r="Z142" i="15" s="1"/>
  <c r="Y142" i="15" s="1"/>
  <c r="H248" i="15"/>
  <c r="I248" i="15" s="1"/>
  <c r="H218" i="15"/>
  <c r="J218" i="15" s="1"/>
  <c r="H187" i="15"/>
  <c r="J187" i="15" s="1"/>
  <c r="Q214" i="16"/>
  <c r="Q242" i="16"/>
  <c r="Q68" i="16"/>
  <c r="Q256" i="16"/>
  <c r="Q117" i="16"/>
  <c r="Q97" i="16"/>
  <c r="Q260" i="16"/>
  <c r="Q293" i="16"/>
  <c r="Q216" i="16"/>
  <c r="Q205" i="16"/>
  <c r="Q128" i="16"/>
  <c r="Q264" i="16"/>
  <c r="Q144" i="16"/>
  <c r="Q371" i="16"/>
  <c r="Q98" i="16"/>
  <c r="Q131" i="16"/>
  <c r="Q82" i="16"/>
  <c r="Q282" i="16"/>
  <c r="Q315" i="16"/>
  <c r="Q77" i="16"/>
  <c r="Q56" i="16"/>
  <c r="Q223" i="16"/>
  <c r="Q194" i="16"/>
  <c r="Q104" i="16"/>
  <c r="Q152" i="16"/>
  <c r="Q300" i="16"/>
  <c r="Q96" i="16"/>
  <c r="Q338" i="16"/>
  <c r="Q348" i="16"/>
  <c r="Q155" i="16"/>
  <c r="Q85" i="16"/>
  <c r="Q17" i="16"/>
  <c r="Q239" i="16"/>
  <c r="Q363" i="16"/>
  <c r="Q28" i="16"/>
  <c r="Q209" i="16"/>
  <c r="Q160" i="16"/>
  <c r="Q226" i="16"/>
  <c r="Q65" i="16"/>
  <c r="Q90" i="16"/>
  <c r="Q210" i="16"/>
  <c r="Q199" i="16"/>
  <c r="Q119" i="16"/>
  <c r="Q284" i="16"/>
  <c r="Q153" i="16"/>
  <c r="Q94" i="16"/>
  <c r="Q18" i="16"/>
  <c r="Q237" i="16"/>
  <c r="Q122" i="16"/>
  <c r="Q20" i="16"/>
  <c r="Q71" i="16"/>
  <c r="Q193" i="16"/>
  <c r="Q166" i="16"/>
  <c r="Q110" i="16"/>
  <c r="Q66" i="16"/>
  <c r="Q22" i="16"/>
  <c r="Q258" i="16"/>
  <c r="Q190" i="16"/>
  <c r="Q188" i="16"/>
  <c r="Q321" i="16"/>
  <c r="Q299" i="16"/>
  <c r="Q176" i="16"/>
  <c r="Q208" i="16"/>
  <c r="Q336" i="16"/>
  <c r="Q367" i="16"/>
  <c r="Q203" i="16"/>
  <c r="Q181" i="16"/>
  <c r="Q100" i="16"/>
  <c r="Q107" i="16"/>
  <c r="Q359" i="16"/>
  <c r="Q335" i="16"/>
  <c r="Q112" i="16"/>
  <c r="Q75" i="16"/>
  <c r="Q301" i="16"/>
  <c r="Q230" i="16"/>
  <c r="Q238" i="16"/>
  <c r="Q308" i="16"/>
  <c r="Q123" i="16"/>
  <c r="Q192" i="16"/>
  <c r="Q31" i="16"/>
  <c r="Q327" i="16"/>
  <c r="Q62" i="16"/>
  <c r="Q185" i="16"/>
  <c r="Q278" i="16"/>
  <c r="Q23" i="16"/>
  <c r="H268" i="15"/>
  <c r="I268" i="15" s="1"/>
  <c r="F180" i="15"/>
  <c r="AA180" i="15" s="1"/>
  <c r="Z180" i="15" s="1"/>
  <c r="Y180" i="15" s="1"/>
  <c r="G326" i="15"/>
  <c r="BX326" i="6" s="1"/>
  <c r="AA64" i="15"/>
  <c r="Z64" i="15" s="1"/>
  <c r="Y64" i="15" s="1"/>
  <c r="G375" i="15"/>
  <c r="BX375" i="6" s="1"/>
  <c r="G132" i="15"/>
  <c r="BX132" i="6" s="1"/>
  <c r="AA364" i="15"/>
  <c r="Z364" i="15" s="1"/>
  <c r="Y364" i="15" s="1"/>
  <c r="H326" i="15"/>
  <c r="J326" i="15" s="1"/>
  <c r="H145" i="15"/>
  <c r="I145" i="15" s="1"/>
  <c r="AA330" i="15"/>
  <c r="Z330" i="15" s="1"/>
  <c r="Y330" i="15" s="1"/>
  <c r="H366" i="15"/>
  <c r="I366" i="15" s="1"/>
  <c r="AA193" i="15"/>
  <c r="Z193" i="15" s="1"/>
  <c r="Y193" i="15" s="1"/>
  <c r="AA116" i="15"/>
  <c r="Z116" i="15" s="1"/>
  <c r="Y116" i="15" s="1"/>
  <c r="AA24" i="15"/>
  <c r="Z24" i="15" s="1"/>
  <c r="Y24" i="15" s="1"/>
  <c r="G55" i="15"/>
  <c r="BX55" i="6" s="1"/>
  <c r="G187" i="15"/>
  <c r="BX187" i="6" s="1"/>
  <c r="G159" i="15"/>
  <c r="BX159" i="6" s="1"/>
  <c r="H17" i="15"/>
  <c r="J17" i="15" s="1"/>
  <c r="H85" i="15"/>
  <c r="I85" i="15" s="1"/>
  <c r="G65" i="15"/>
  <c r="BX65" i="6" s="1"/>
  <c r="AA42" i="15"/>
  <c r="Z42" i="15" s="1"/>
  <c r="Y42" i="15" s="1"/>
  <c r="G110" i="15"/>
  <c r="BX110" i="6" s="1"/>
  <c r="AA49" i="15"/>
  <c r="Z49" i="15" s="1"/>
  <c r="Y49" i="15" s="1"/>
  <c r="AA139" i="15"/>
  <c r="Z139" i="15" s="1"/>
  <c r="Y139" i="15" s="1"/>
  <c r="H115" i="15"/>
  <c r="J115" i="15" s="1"/>
  <c r="AA356" i="15"/>
  <c r="Z356" i="15" s="1"/>
  <c r="Y356" i="15" s="1"/>
  <c r="AA235" i="15"/>
  <c r="Z235" i="15" s="1"/>
  <c r="Y235" i="15" s="1"/>
  <c r="G347" i="15"/>
  <c r="BX347" i="6" s="1"/>
  <c r="G162" i="15"/>
  <c r="BX162" i="6" s="1"/>
  <c r="AA284" i="15"/>
  <c r="Z284" i="15" s="1"/>
  <c r="Y284" i="15" s="1"/>
  <c r="G253" i="15"/>
  <c r="BX253" i="6" s="1"/>
  <c r="AA40" i="15"/>
  <c r="Z40" i="15" s="1"/>
  <c r="Y40" i="15" s="1"/>
  <c r="G66" i="15"/>
  <c r="BX66" i="6" s="1"/>
  <c r="H205" i="15"/>
  <c r="I205" i="15" s="1"/>
  <c r="AA242" i="15"/>
  <c r="Z242" i="15" s="1"/>
  <c r="Y242" i="15" s="1"/>
  <c r="AA219" i="15"/>
  <c r="Z219" i="15" s="1"/>
  <c r="Y219" i="15" s="1"/>
  <c r="H75" i="15"/>
  <c r="J75" i="15" s="1"/>
  <c r="H266" i="15"/>
  <c r="I266" i="15" s="1"/>
  <c r="AA264" i="15"/>
  <c r="Z264" i="15" s="1"/>
  <c r="Y264" i="15" s="1"/>
  <c r="H316" i="15"/>
  <c r="I316" i="15" s="1"/>
  <c r="H201" i="15"/>
  <c r="J201" i="15" s="1"/>
  <c r="AA320" i="15"/>
  <c r="Z320" i="15" s="1"/>
  <c r="Y320" i="15" s="1"/>
  <c r="AA52" i="15"/>
  <c r="Z52" i="15" s="1"/>
  <c r="Y52" i="15" s="1"/>
  <c r="H167" i="15"/>
  <c r="I167" i="15" s="1"/>
  <c r="G343" i="15"/>
  <c r="BX343" i="6" s="1"/>
  <c r="AA310" i="15"/>
  <c r="Z310" i="15" s="1"/>
  <c r="Y310" i="15" s="1"/>
  <c r="H64" i="15"/>
  <c r="I64" i="15" s="1"/>
  <c r="AA283" i="15"/>
  <c r="Z283" i="15" s="1"/>
  <c r="Y283" i="15" s="1"/>
  <c r="AA132" i="15"/>
  <c r="Z132" i="15" s="1"/>
  <c r="Y132" i="15" s="1"/>
  <c r="G137" i="15"/>
  <c r="BX137" i="6" s="1"/>
  <c r="AA228" i="15"/>
  <c r="Z228" i="15" s="1"/>
  <c r="Y228" i="15" s="1"/>
  <c r="H55" i="15"/>
  <c r="I55" i="15" s="1"/>
  <c r="G263" i="15"/>
  <c r="BX263" i="6" s="1"/>
  <c r="H330" i="15"/>
  <c r="I330" i="15" s="1"/>
  <c r="G276" i="15"/>
  <c r="BX276" i="6" s="1"/>
  <c r="G40" i="15"/>
  <c r="BX40" i="6" s="1"/>
  <c r="AA165" i="15"/>
  <c r="Z165" i="15" s="1"/>
  <c r="Y165" i="15" s="1"/>
  <c r="G173" i="15"/>
  <c r="BX173" i="6" s="1"/>
  <c r="H136" i="15"/>
  <c r="J136" i="15" s="1"/>
  <c r="AA66" i="15"/>
  <c r="Z66" i="15" s="1"/>
  <c r="Y66" i="15" s="1"/>
  <c r="G43" i="15"/>
  <c r="BX43" i="6" s="1"/>
  <c r="G17" i="15"/>
  <c r="BX17" i="6" s="1"/>
  <c r="AA85" i="15"/>
  <c r="Z85" i="15" s="1"/>
  <c r="Y85" i="15" s="1"/>
  <c r="AA251" i="15"/>
  <c r="Z251" i="15" s="1"/>
  <c r="Y251" i="15" s="1"/>
  <c r="AA65" i="15"/>
  <c r="Z65" i="15" s="1"/>
  <c r="Y65" i="15" s="1"/>
  <c r="H108" i="15"/>
  <c r="J108" i="15" s="1"/>
  <c r="AA316" i="15"/>
  <c r="Z316" i="15" s="1"/>
  <c r="Y316" i="15" s="1"/>
  <c r="H82" i="15"/>
  <c r="J82" i="15" s="1"/>
  <c r="G49" i="15"/>
  <c r="BX49" i="6" s="1"/>
  <c r="H139" i="15"/>
  <c r="I139" i="15" s="1"/>
  <c r="G189" i="15"/>
  <c r="BX189" i="6" s="1"/>
  <c r="AA260" i="15"/>
  <c r="Z260" i="15" s="1"/>
  <c r="Y260" i="15" s="1"/>
  <c r="AA190" i="15"/>
  <c r="Z190" i="15" s="1"/>
  <c r="Y190" i="15" s="1"/>
  <c r="G306" i="15"/>
  <c r="BX306" i="6" s="1"/>
  <c r="H327" i="15"/>
  <c r="I327" i="15" s="1"/>
  <c r="G142" i="15"/>
  <c r="BX142" i="6" s="1"/>
  <c r="G266" i="15"/>
  <c r="BX266" i="6" s="1"/>
  <c r="G361" i="15"/>
  <c r="BX361" i="6" s="1"/>
  <c r="AA346" i="15"/>
  <c r="Z346" i="15" s="1"/>
  <c r="Y346" i="15" s="1"/>
  <c r="G78" i="15"/>
  <c r="BX78" i="6" s="1"/>
  <c r="G79" i="15"/>
  <c r="BX79" i="6" s="1"/>
  <c r="H347" i="15"/>
  <c r="J347" i="15" s="1"/>
  <c r="H251" i="15"/>
  <c r="I251" i="15" s="1"/>
  <c r="H375" i="15"/>
  <c r="I375" i="15" s="1"/>
  <c r="H345" i="15"/>
  <c r="I345" i="15" s="1"/>
  <c r="H291" i="15"/>
  <c r="J291" i="15" s="1"/>
  <c r="H48" i="15"/>
  <c r="I48" i="15" s="1"/>
  <c r="G216" i="15"/>
  <c r="BX216" i="6" s="1"/>
  <c r="H162" i="15"/>
  <c r="J162" i="15" s="1"/>
  <c r="G283" i="15"/>
  <c r="BX283" i="6" s="1"/>
  <c r="G25" i="15"/>
  <c r="BX25" i="6" s="1"/>
  <c r="H246" i="15"/>
  <c r="J246" i="15" s="1"/>
  <c r="H73" i="15"/>
  <c r="J73" i="15" s="1"/>
  <c r="G179" i="15"/>
  <c r="BX179" i="6" s="1"/>
  <c r="H137" i="15"/>
  <c r="J137" i="15" s="1"/>
  <c r="G258" i="15"/>
  <c r="BX258" i="6" s="1"/>
  <c r="G89" i="15"/>
  <c r="BX89" i="6" s="1"/>
  <c r="AA136" i="15"/>
  <c r="Z136" i="15" s="1"/>
  <c r="Y136" i="15" s="1"/>
  <c r="AA43" i="15"/>
  <c r="Z43" i="15" s="1"/>
  <c r="Y43" i="15" s="1"/>
  <c r="AA94" i="15"/>
  <c r="Z94" i="15" s="1"/>
  <c r="Y94" i="15" s="1"/>
  <c r="G34" i="15"/>
  <c r="BX34" i="6" s="1"/>
  <c r="AA215" i="15"/>
  <c r="Z215" i="15" s="1"/>
  <c r="Y215" i="15" s="1"/>
  <c r="G100" i="15"/>
  <c r="BX100" i="6" s="1"/>
  <c r="G108" i="15"/>
  <c r="BX108" i="6" s="1"/>
  <c r="H42" i="15"/>
  <c r="I42" i="15" s="1"/>
  <c r="AA110" i="15"/>
  <c r="Z110" i="15" s="1"/>
  <c r="Y110" i="15" s="1"/>
  <c r="H260" i="15"/>
  <c r="J260" i="15" s="1"/>
  <c r="AA75" i="15"/>
  <c r="Z75" i="15" s="1"/>
  <c r="Y75" i="15" s="1"/>
  <c r="H306" i="15"/>
  <c r="J306" i="15" s="1"/>
  <c r="AA158" i="15"/>
  <c r="Z158" i="15" s="1"/>
  <c r="Y158" i="15" s="1"/>
  <c r="AA361" i="15"/>
  <c r="Z361" i="15" s="1"/>
  <c r="Y361" i="15" s="1"/>
  <c r="G346" i="15"/>
  <c r="BX346" i="6" s="1"/>
  <c r="AA80" i="15"/>
  <c r="Z80" i="15" s="1"/>
  <c r="Y80" i="15" s="1"/>
  <c r="G356" i="15"/>
  <c r="BX356" i="6" s="1"/>
  <c r="H37" i="15"/>
  <c r="I37" i="15" s="1"/>
  <c r="H173" i="15"/>
  <c r="J173" i="15" s="1"/>
  <c r="H276" i="15"/>
  <c r="J276" i="15" s="1"/>
  <c r="H235" i="15"/>
  <c r="I235" i="15" s="1"/>
  <c r="G379" i="1"/>
  <c r="BW379" i="6" s="1"/>
  <c r="I379" i="1"/>
  <c r="G291" i="15"/>
  <c r="BX291" i="6" s="1"/>
  <c r="H228" i="15"/>
  <c r="I228" i="15" s="1"/>
  <c r="H189" i="15"/>
  <c r="I189" i="15" s="1"/>
  <c r="H35" i="15"/>
  <c r="J35" i="15" s="1"/>
  <c r="AA349" i="15"/>
  <c r="Z349" i="15" s="1"/>
  <c r="Y349" i="15" s="1"/>
  <c r="AA128" i="15"/>
  <c r="Z128" i="15" s="1"/>
  <c r="Y128" i="15" s="1"/>
  <c r="H31" i="15"/>
  <c r="I31" i="15" s="1"/>
  <c r="G77" i="15"/>
  <c r="BX77" i="6" s="1"/>
  <c r="G151" i="15"/>
  <c r="BX151" i="6" s="1"/>
  <c r="G325" i="15"/>
  <c r="BX325" i="6" s="1"/>
  <c r="AA323" i="15"/>
  <c r="Z323" i="15" s="1"/>
  <c r="Y323" i="15" s="1"/>
  <c r="G357" i="15"/>
  <c r="BX357" i="6" s="1"/>
  <c r="H231" i="15"/>
  <c r="I231" i="15" s="1"/>
  <c r="AA70" i="15"/>
  <c r="Z70" i="15" s="1"/>
  <c r="Y70" i="15" s="1"/>
  <c r="AA202" i="15"/>
  <c r="Z202" i="15" s="1"/>
  <c r="Y202" i="15" s="1"/>
  <c r="AA155" i="15"/>
  <c r="Z155" i="15" s="1"/>
  <c r="Y155" i="15" s="1"/>
  <c r="H225" i="15"/>
  <c r="J225" i="15" s="1"/>
  <c r="G98" i="15"/>
  <c r="BX98" i="6" s="1"/>
  <c r="H217" i="15"/>
  <c r="I217" i="15" s="1"/>
  <c r="H262" i="15"/>
  <c r="J262" i="15" s="1"/>
  <c r="H72" i="15"/>
  <c r="J72" i="15" s="1"/>
  <c r="AA244" i="15"/>
  <c r="Z244" i="15" s="1"/>
  <c r="Y244" i="15" s="1"/>
  <c r="AA182" i="15"/>
  <c r="Z182" i="15" s="1"/>
  <c r="Y182" i="15" s="1"/>
  <c r="AA33" i="15"/>
  <c r="Z33" i="15" s="1"/>
  <c r="Y33" i="15" s="1"/>
  <c r="G175" i="15"/>
  <c r="BX175" i="6" s="1"/>
  <c r="AA196" i="15"/>
  <c r="Z196" i="15" s="1"/>
  <c r="Y196" i="15" s="1"/>
  <c r="AA285" i="15"/>
  <c r="Z285" i="15" s="1"/>
  <c r="Y285" i="15" s="1"/>
  <c r="AA239" i="15"/>
  <c r="Z239" i="15" s="1"/>
  <c r="Y239" i="15" s="1"/>
  <c r="G280" i="15"/>
  <c r="BX280" i="6" s="1"/>
  <c r="G303" i="15"/>
  <c r="BX303" i="6" s="1"/>
  <c r="AA211" i="15"/>
  <c r="Z211" i="15" s="1"/>
  <c r="Y211" i="15" s="1"/>
  <c r="G289" i="15"/>
  <c r="BX289" i="6" s="1"/>
  <c r="AA170" i="15"/>
  <c r="Z170" i="15" s="1"/>
  <c r="Y170" i="15" s="1"/>
  <c r="H128" i="15"/>
  <c r="I128" i="15" s="1"/>
  <c r="H147" i="15"/>
  <c r="J147" i="15" s="1"/>
  <c r="H155" i="15"/>
  <c r="I155" i="15" s="1"/>
  <c r="G156" i="15"/>
  <c r="BX156" i="6" s="1"/>
  <c r="G31" i="15"/>
  <c r="BX31" i="6" s="1"/>
  <c r="AA21" i="15"/>
  <c r="Z21" i="15" s="1"/>
  <c r="Y21" i="15" s="1"/>
  <c r="AA98" i="15"/>
  <c r="Z98" i="15" s="1"/>
  <c r="Y98" i="15" s="1"/>
  <c r="AA367" i="15"/>
  <c r="Z367" i="15" s="1"/>
  <c r="Y367" i="15" s="1"/>
  <c r="AA167" i="15"/>
  <c r="Z167" i="15" s="1"/>
  <c r="Y167" i="15" s="1"/>
  <c r="AA184" i="15"/>
  <c r="Z184" i="15" s="1"/>
  <c r="Y184" i="15" s="1"/>
  <c r="H26" i="15"/>
  <c r="I26" i="15" s="1"/>
  <c r="AA287" i="15"/>
  <c r="Z287" i="15" s="1"/>
  <c r="Y287" i="15" s="1"/>
  <c r="AA325" i="15"/>
  <c r="Z325" i="15" s="1"/>
  <c r="Y325" i="15" s="1"/>
  <c r="G153" i="15"/>
  <c r="BX153" i="6" s="1"/>
  <c r="G224" i="15"/>
  <c r="BX224" i="6" s="1"/>
  <c r="G72" i="15"/>
  <c r="BX72" i="6" s="1"/>
  <c r="AA304" i="15"/>
  <c r="Z304" i="15" s="1"/>
  <c r="Y304" i="15" s="1"/>
  <c r="H182" i="15"/>
  <c r="J182" i="15" s="1"/>
  <c r="G90" i="15"/>
  <c r="BX90" i="6" s="1"/>
  <c r="G323" i="15"/>
  <c r="BX323" i="6" s="1"/>
  <c r="I296" i="1"/>
  <c r="H296" i="15" s="1"/>
  <c r="J296" i="15" s="1"/>
  <c r="H289" i="15"/>
  <c r="I289" i="15" s="1"/>
  <c r="H285" i="15"/>
  <c r="J285" i="15" s="1"/>
  <c r="H304" i="15"/>
  <c r="I304" i="15" s="1"/>
  <c r="H320" i="15"/>
  <c r="J320" i="15" s="1"/>
  <c r="H192" i="15"/>
  <c r="I192" i="15" s="1"/>
  <c r="H222" i="15"/>
  <c r="I222" i="15" s="1"/>
  <c r="H175" i="15"/>
  <c r="J175" i="15" s="1"/>
  <c r="H244" i="15"/>
  <c r="I244" i="15" s="1"/>
  <c r="H212" i="15"/>
  <c r="J212" i="15" s="1"/>
  <c r="H224" i="15"/>
  <c r="I224" i="15" s="1"/>
  <c r="H255" i="15"/>
  <c r="I255" i="15" s="1"/>
  <c r="AA35" i="15"/>
  <c r="Z35" i="15" s="1"/>
  <c r="Y35" i="15" s="1"/>
  <c r="G231" i="15"/>
  <c r="BX231" i="6" s="1"/>
  <c r="H70" i="15"/>
  <c r="J70" i="15" s="1"/>
  <c r="H211" i="15"/>
  <c r="I211" i="15" s="1"/>
  <c r="AA129" i="15"/>
  <c r="Z129" i="15" s="1"/>
  <c r="Y129" i="15" s="1"/>
  <c r="H52" i="15"/>
  <c r="J52" i="15" s="1"/>
  <c r="G111" i="15"/>
  <c r="BX111" i="6" s="1"/>
  <c r="G147" i="15"/>
  <c r="BX147" i="6" s="1"/>
  <c r="AA156" i="15"/>
  <c r="Z156" i="15" s="1"/>
  <c r="Y156" i="15" s="1"/>
  <c r="AA225" i="15"/>
  <c r="Z225" i="15" s="1"/>
  <c r="Y225" i="15" s="1"/>
  <c r="G21" i="15"/>
  <c r="BX21" i="6" s="1"/>
  <c r="H184" i="15"/>
  <c r="J184" i="15" s="1"/>
  <c r="G26" i="15"/>
  <c r="BX26" i="6" s="1"/>
  <c r="AA153" i="15"/>
  <c r="Z153" i="15" s="1"/>
  <c r="Y153" i="15" s="1"/>
  <c r="H343" i="15"/>
  <c r="I343" i="15" s="1"/>
  <c r="H24" i="15"/>
  <c r="J24" i="15" s="1"/>
  <c r="AA90" i="15"/>
  <c r="Z90" i="15" s="1"/>
  <c r="Y90" i="15" s="1"/>
  <c r="H33" i="15"/>
  <c r="I33" i="15" s="1"/>
  <c r="H239" i="15"/>
  <c r="J239" i="15" s="1"/>
  <c r="H280" i="15"/>
  <c r="I280" i="15" s="1"/>
  <c r="H287" i="15"/>
  <c r="I287" i="15" s="1"/>
  <c r="H202" i="15"/>
  <c r="J202" i="15" s="1"/>
  <c r="H303" i="15"/>
  <c r="I303" i="15" s="1"/>
  <c r="H357" i="15"/>
  <c r="J357" i="15" s="1"/>
  <c r="F302" i="15"/>
  <c r="G302" i="15" s="1"/>
  <c r="BX302" i="6" s="1"/>
  <c r="AA341" i="15"/>
  <c r="Z341" i="15" s="1"/>
  <c r="Y341" i="15" s="1"/>
  <c r="H311" i="15"/>
  <c r="J311" i="15" s="1"/>
  <c r="AA336" i="15"/>
  <c r="Z336" i="15" s="1"/>
  <c r="Y336" i="15" s="1"/>
  <c r="H129" i="15"/>
  <c r="I129" i="15" s="1"/>
  <c r="H113" i="15"/>
  <c r="J113" i="15" s="1"/>
  <c r="H116" i="15"/>
  <c r="J116" i="15" s="1"/>
  <c r="AA339" i="15"/>
  <c r="Z339" i="15" s="1"/>
  <c r="Y339" i="15" s="1"/>
  <c r="G101" i="15"/>
  <c r="BX101" i="6" s="1"/>
  <c r="H143" i="15"/>
  <c r="I143" i="15" s="1"/>
  <c r="AA194" i="15"/>
  <c r="Z194" i="15" s="1"/>
  <c r="Y194" i="15" s="1"/>
  <c r="AA160" i="15"/>
  <c r="Z160" i="15" s="1"/>
  <c r="Y160" i="15" s="1"/>
  <c r="AA240" i="15"/>
  <c r="Z240" i="15" s="1"/>
  <c r="Y240" i="15" s="1"/>
  <c r="G262" i="15"/>
  <c r="BX262" i="6" s="1"/>
  <c r="G63" i="15"/>
  <c r="BX63" i="6" s="1"/>
  <c r="G237" i="15"/>
  <c r="BX237" i="6" s="1"/>
  <c r="H161" i="15"/>
  <c r="J161" i="15" s="1"/>
  <c r="AA359" i="15"/>
  <c r="Z359" i="15" s="1"/>
  <c r="Y359" i="15" s="1"/>
  <c r="G296" i="1"/>
  <c r="BW296" i="6" s="1"/>
  <c r="F363" i="15"/>
  <c r="AA363" i="15" s="1"/>
  <c r="Z363" i="15" s="1"/>
  <c r="Y363" i="15" s="1"/>
  <c r="AA48" i="15"/>
  <c r="Z48" i="15" s="1"/>
  <c r="Y48" i="15" s="1"/>
  <c r="H69" i="15"/>
  <c r="I69" i="15" s="1"/>
  <c r="H209" i="15"/>
  <c r="I209" i="15" s="1"/>
  <c r="AA179" i="15"/>
  <c r="Z179" i="15" s="1"/>
  <c r="Y179" i="15" s="1"/>
  <c r="G259" i="15"/>
  <c r="BX259" i="6" s="1"/>
  <c r="H96" i="15"/>
  <c r="J96" i="15" s="1"/>
  <c r="AA279" i="15"/>
  <c r="Z279" i="15" s="1"/>
  <c r="Y279" i="15" s="1"/>
  <c r="G348" i="15"/>
  <c r="BX348" i="6" s="1"/>
  <c r="H154" i="15"/>
  <c r="I154" i="15" s="1"/>
  <c r="G174" i="15"/>
  <c r="BX174" i="6" s="1"/>
  <c r="AA71" i="15"/>
  <c r="Z71" i="15" s="1"/>
  <c r="Y71" i="15" s="1"/>
  <c r="G335" i="15"/>
  <c r="BX335" i="6" s="1"/>
  <c r="G370" i="15"/>
  <c r="BX370" i="6" s="1"/>
  <c r="G206" i="15"/>
  <c r="BX206" i="6" s="1"/>
  <c r="AA20" i="15"/>
  <c r="Z20" i="15" s="1"/>
  <c r="Y20" i="15" s="1"/>
  <c r="AA112" i="15"/>
  <c r="Z112" i="15" s="1"/>
  <c r="Y112" i="15" s="1"/>
  <c r="H79" i="15"/>
  <c r="I79" i="15" s="1"/>
  <c r="AA210" i="15"/>
  <c r="Z210" i="15" s="1"/>
  <c r="Y210" i="15" s="1"/>
  <c r="AA229" i="15"/>
  <c r="Z229" i="15" s="1"/>
  <c r="Y229" i="15" s="1"/>
  <c r="H341" i="15"/>
  <c r="I341" i="15" s="1"/>
  <c r="AA124" i="15"/>
  <c r="Z124" i="15" s="1"/>
  <c r="Y124" i="15" s="1"/>
  <c r="G255" i="15"/>
  <c r="BX255" i="6" s="1"/>
  <c r="G301" i="15"/>
  <c r="BX301" i="6" s="1"/>
  <c r="G145" i="15"/>
  <c r="BX145" i="6" s="1"/>
  <c r="G366" i="15"/>
  <c r="BX366" i="6" s="1"/>
  <c r="G38" i="15"/>
  <c r="BX38" i="6" s="1"/>
  <c r="G200" i="15"/>
  <c r="BX200" i="6" s="1"/>
  <c r="G113" i="15"/>
  <c r="BX113" i="6" s="1"/>
  <c r="G45" i="15"/>
  <c r="BX45" i="6" s="1"/>
  <c r="AA234" i="15"/>
  <c r="Z234" i="15" s="1"/>
  <c r="Y234" i="15" s="1"/>
  <c r="AA101" i="15"/>
  <c r="Z101" i="15" s="1"/>
  <c r="Y101" i="15" s="1"/>
  <c r="H44" i="15"/>
  <c r="I44" i="15" s="1"/>
  <c r="G143" i="15"/>
  <c r="BX143" i="6" s="1"/>
  <c r="AA121" i="15"/>
  <c r="Z121" i="15" s="1"/>
  <c r="Y121" i="15" s="1"/>
  <c r="H160" i="15"/>
  <c r="J160" i="15" s="1"/>
  <c r="G68" i="15"/>
  <c r="BX68" i="6" s="1"/>
  <c r="G240" i="15"/>
  <c r="BX240" i="6" s="1"/>
  <c r="H63" i="15"/>
  <c r="I63" i="15" s="1"/>
  <c r="H372" i="15"/>
  <c r="I372" i="15" s="1"/>
  <c r="AA212" i="15"/>
  <c r="Z212" i="15" s="1"/>
  <c r="Y212" i="15" s="1"/>
  <c r="G161" i="15"/>
  <c r="BX161" i="6" s="1"/>
  <c r="AA192" i="15"/>
  <c r="Z192" i="15" s="1"/>
  <c r="Y192" i="15" s="1"/>
  <c r="AA222" i="15"/>
  <c r="Z222" i="15" s="1"/>
  <c r="Y222" i="15" s="1"/>
  <c r="H336" i="15"/>
  <c r="J336" i="15" s="1"/>
  <c r="H170" i="15"/>
  <c r="I170" i="15" s="1"/>
  <c r="H301" i="15"/>
  <c r="J301" i="15" s="1"/>
  <c r="G18" i="15"/>
  <c r="BX18" i="6" s="1"/>
  <c r="G87" i="15"/>
  <c r="BX87" i="6" s="1"/>
  <c r="AA281" i="15"/>
  <c r="Z281" i="15" s="1"/>
  <c r="Y281" i="15" s="1"/>
  <c r="G69" i="15"/>
  <c r="BX69" i="6" s="1"/>
  <c r="AA25" i="15"/>
  <c r="Z25" i="15" s="1"/>
  <c r="Y25" i="15" s="1"/>
  <c r="AA246" i="15"/>
  <c r="Z246" i="15" s="1"/>
  <c r="Y246" i="15" s="1"/>
  <c r="AA345" i="15"/>
  <c r="Z345" i="15" s="1"/>
  <c r="Y345" i="15" s="1"/>
  <c r="G374" i="15"/>
  <c r="BX374" i="6" s="1"/>
  <c r="H259" i="15"/>
  <c r="I259" i="15" s="1"/>
  <c r="AA96" i="15"/>
  <c r="Z96" i="15" s="1"/>
  <c r="Y96" i="15" s="1"/>
  <c r="AA269" i="15"/>
  <c r="Z269" i="15" s="1"/>
  <c r="Y269" i="15" s="1"/>
  <c r="G279" i="15"/>
  <c r="BX279" i="6" s="1"/>
  <c r="H148" i="15"/>
  <c r="J148" i="15" s="1"/>
  <c r="G344" i="15"/>
  <c r="BX344" i="6" s="1"/>
  <c r="G154" i="15"/>
  <c r="BX154" i="6" s="1"/>
  <c r="G123" i="15"/>
  <c r="BX123" i="6" s="1"/>
  <c r="H32" i="15"/>
  <c r="J32" i="15" s="1"/>
  <c r="AA232" i="15"/>
  <c r="Z232" i="15" s="1"/>
  <c r="Y232" i="15" s="1"/>
  <c r="G86" i="15"/>
  <c r="BX86" i="6" s="1"/>
  <c r="G236" i="15"/>
  <c r="BX236" i="6" s="1"/>
  <c r="G141" i="15"/>
  <c r="BX141" i="6" s="1"/>
  <c r="AA243" i="15"/>
  <c r="Z243" i="15" s="1"/>
  <c r="Y243" i="15" s="1"/>
  <c r="AA295" i="15"/>
  <c r="Z295" i="15" s="1"/>
  <c r="Y295" i="15" s="1"/>
  <c r="AA144" i="15"/>
  <c r="Z144" i="15" s="1"/>
  <c r="Y144" i="15" s="1"/>
  <c r="AA100" i="15"/>
  <c r="Z100" i="15" s="1"/>
  <c r="Y100" i="15" s="1"/>
  <c r="AA329" i="15"/>
  <c r="Z329" i="15" s="1"/>
  <c r="Y329" i="15" s="1"/>
  <c r="AA168" i="15"/>
  <c r="Z168" i="15" s="1"/>
  <c r="Y168" i="15" s="1"/>
  <c r="H219" i="15"/>
  <c r="I219" i="15" s="1"/>
  <c r="AA254" i="15"/>
  <c r="Z254" i="15" s="1"/>
  <c r="Y254" i="15" s="1"/>
  <c r="G82" i="15"/>
  <c r="BX82" i="6" s="1"/>
  <c r="AA102" i="15"/>
  <c r="Z102" i="15" s="1"/>
  <c r="Y102" i="15" s="1"/>
  <c r="AA76" i="15"/>
  <c r="Z76" i="15" s="1"/>
  <c r="Y76" i="15" s="1"/>
  <c r="H20" i="15"/>
  <c r="J20" i="15" s="1"/>
  <c r="H112" i="15"/>
  <c r="J112" i="15" s="1"/>
  <c r="G218" i="15"/>
  <c r="BX218" i="6" s="1"/>
  <c r="AA299" i="15"/>
  <c r="Z299" i="15" s="1"/>
  <c r="Y299" i="15" s="1"/>
  <c r="G158" i="15"/>
  <c r="BX158" i="6" s="1"/>
  <c r="G59" i="15"/>
  <c r="BX59" i="6" s="1"/>
  <c r="AA109" i="15"/>
  <c r="Z109" i="15" s="1"/>
  <c r="Y109" i="15" s="1"/>
  <c r="G360" i="15"/>
  <c r="BX360" i="6" s="1"/>
  <c r="G208" i="15"/>
  <c r="BX208" i="6" s="1"/>
  <c r="G37" i="15"/>
  <c r="BX37" i="6" s="1"/>
  <c r="H348" i="15"/>
  <c r="J348" i="15" s="1"/>
  <c r="H257" i="15"/>
  <c r="J257" i="15" s="1"/>
  <c r="H269" i="15"/>
  <c r="I269" i="15" s="1"/>
  <c r="H374" i="15"/>
  <c r="J374" i="15" s="1"/>
  <c r="H215" i="15"/>
  <c r="I215" i="15" s="1"/>
  <c r="H299" i="15"/>
  <c r="I299" i="15" s="1"/>
  <c r="H312" i="15"/>
  <c r="J312" i="15" s="1"/>
  <c r="H310" i="15"/>
  <c r="J310" i="15" s="1"/>
  <c r="H335" i="15"/>
  <c r="J335" i="15" s="1"/>
  <c r="AA57" i="15"/>
  <c r="Z57" i="15" s="1"/>
  <c r="Y57" i="15" s="1"/>
  <c r="AA18" i="15"/>
  <c r="Z18" i="15" s="1"/>
  <c r="Y18" i="15" s="1"/>
  <c r="AA87" i="15"/>
  <c r="Z87" i="15" s="1"/>
  <c r="Y87" i="15" s="1"/>
  <c r="H281" i="15"/>
  <c r="I281" i="15" s="1"/>
  <c r="AA209" i="15"/>
  <c r="Z209" i="15" s="1"/>
  <c r="Y209" i="15" s="1"/>
  <c r="AA257" i="15"/>
  <c r="Z257" i="15" s="1"/>
  <c r="Y257" i="15" s="1"/>
  <c r="H89" i="15"/>
  <c r="J89" i="15" s="1"/>
  <c r="H253" i="15"/>
  <c r="J253" i="15" s="1"/>
  <c r="G148" i="15"/>
  <c r="BX148" i="6" s="1"/>
  <c r="H344" i="15"/>
  <c r="I344" i="15" s="1"/>
  <c r="AA123" i="15"/>
  <c r="Z123" i="15" s="1"/>
  <c r="Y123" i="15" s="1"/>
  <c r="G32" i="15"/>
  <c r="BX32" i="6" s="1"/>
  <c r="AA174" i="15"/>
  <c r="Z174" i="15" s="1"/>
  <c r="Y174" i="15" s="1"/>
  <c r="H71" i="15"/>
  <c r="J71" i="15" s="1"/>
  <c r="H165" i="15"/>
  <c r="I165" i="15" s="1"/>
  <c r="AA86" i="15"/>
  <c r="Z86" i="15" s="1"/>
  <c r="Y86" i="15" s="1"/>
  <c r="AA236" i="15"/>
  <c r="Z236" i="15" s="1"/>
  <c r="Y236" i="15" s="1"/>
  <c r="H141" i="15"/>
  <c r="I141" i="15" s="1"/>
  <c r="H243" i="15"/>
  <c r="J243" i="15" s="1"/>
  <c r="H295" i="15"/>
  <c r="J295" i="15" s="1"/>
  <c r="H144" i="15"/>
  <c r="J144" i="15" s="1"/>
  <c r="H94" i="15"/>
  <c r="J94" i="15" s="1"/>
  <c r="AA34" i="15"/>
  <c r="Z34" i="15" s="1"/>
  <c r="Y34" i="15" s="1"/>
  <c r="AA164" i="15"/>
  <c r="Z164" i="15" s="1"/>
  <c r="Y164" i="15" s="1"/>
  <c r="G221" i="15"/>
  <c r="BX221" i="6" s="1"/>
  <c r="G256" i="15"/>
  <c r="BX256" i="6" s="1"/>
  <c r="H102" i="15"/>
  <c r="J102" i="15" s="1"/>
  <c r="H76" i="15"/>
  <c r="I76" i="15" s="1"/>
  <c r="AA115" i="15"/>
  <c r="Z115" i="15" s="1"/>
  <c r="Y115" i="15" s="1"/>
  <c r="AA59" i="15"/>
  <c r="Z59" i="15" s="1"/>
  <c r="Y59" i="15" s="1"/>
  <c r="H109" i="15"/>
  <c r="I109" i="15" s="1"/>
  <c r="G80" i="15"/>
  <c r="BX80" i="6" s="1"/>
  <c r="H360" i="15"/>
  <c r="I360" i="15" s="1"/>
  <c r="G312" i="15"/>
  <c r="BX312" i="6" s="1"/>
  <c r="H216" i="15"/>
  <c r="I216" i="15" s="1"/>
  <c r="H208" i="15"/>
  <c r="J208" i="15" s="1"/>
  <c r="H329" i="15"/>
  <c r="J329" i="15" s="1"/>
  <c r="H284" i="15"/>
  <c r="J284" i="15" s="1"/>
  <c r="H57" i="15"/>
  <c r="I57" i="15" s="1"/>
  <c r="H185" i="15"/>
  <c r="I185" i="15" s="1"/>
  <c r="H256" i="15"/>
  <c r="J256" i="15" s="1"/>
  <c r="H254" i="15"/>
  <c r="J254" i="15" s="1"/>
  <c r="F119" i="15"/>
  <c r="AA119" i="15" s="1"/>
  <c r="Z119" i="15" s="1"/>
  <c r="Y119" i="15" s="1"/>
  <c r="H229" i="15"/>
  <c r="J229" i="15" s="1"/>
  <c r="H124" i="15"/>
  <c r="I124" i="15" s="1"/>
  <c r="AA311" i="15"/>
  <c r="Z311" i="15" s="1"/>
  <c r="Y311" i="15" s="1"/>
  <c r="G334" i="15"/>
  <c r="BX334" i="6" s="1"/>
  <c r="AA157" i="15"/>
  <c r="Z157" i="15" s="1"/>
  <c r="Y157" i="15" s="1"/>
  <c r="H200" i="15"/>
  <c r="J200" i="15" s="1"/>
  <c r="AA50" i="15"/>
  <c r="Z50" i="15" s="1"/>
  <c r="Y50" i="15" s="1"/>
  <c r="G362" i="15"/>
  <c r="BX362" i="6" s="1"/>
  <c r="H45" i="15"/>
  <c r="I45" i="15" s="1"/>
  <c r="H234" i="15"/>
  <c r="J234" i="15" s="1"/>
  <c r="G271" i="15"/>
  <c r="BX271" i="6" s="1"/>
  <c r="AA273" i="15"/>
  <c r="Z273" i="15" s="1"/>
  <c r="Y273" i="15" s="1"/>
  <c r="H103" i="15"/>
  <c r="J103" i="15" s="1"/>
  <c r="G176" i="15"/>
  <c r="BX176" i="6" s="1"/>
  <c r="G121" i="15"/>
  <c r="BX121" i="6" s="1"/>
  <c r="H77" i="15"/>
  <c r="J77" i="15" s="1"/>
  <c r="H151" i="15"/>
  <c r="I151" i="15" s="1"/>
  <c r="G372" i="15"/>
  <c r="BX372" i="6" s="1"/>
  <c r="AA324" i="15"/>
  <c r="Z324" i="15" s="1"/>
  <c r="Y324" i="15" s="1"/>
  <c r="H196" i="15"/>
  <c r="J196" i="15" s="1"/>
  <c r="H237" i="15"/>
  <c r="I237" i="15" s="1"/>
  <c r="H339" i="15"/>
  <c r="J339" i="15" s="1"/>
  <c r="H194" i="15"/>
  <c r="J194" i="15" s="1"/>
  <c r="H134" i="15"/>
  <c r="I134" i="15" s="1"/>
  <c r="G371" i="15"/>
  <c r="BX371" i="6" s="1"/>
  <c r="I62" i="19"/>
  <c r="G181" i="15"/>
  <c r="BX181" i="6" s="1"/>
  <c r="H377" i="15"/>
  <c r="J377" i="15" s="1"/>
  <c r="H38" i="15"/>
  <c r="I38" i="15" s="1"/>
  <c r="AA133" i="15"/>
  <c r="Z133" i="15" s="1"/>
  <c r="Y133" i="15" s="1"/>
  <c r="AA317" i="15"/>
  <c r="Z317" i="15" s="1"/>
  <c r="Y317" i="15" s="1"/>
  <c r="AA309" i="15"/>
  <c r="Z309" i="15" s="1"/>
  <c r="Y309" i="15" s="1"/>
  <c r="AA62" i="15"/>
  <c r="Z62" i="15" s="1"/>
  <c r="Y62" i="15" s="1"/>
  <c r="G233" i="15"/>
  <c r="BX233" i="6" s="1"/>
  <c r="AA378" i="15"/>
  <c r="Z378" i="15" s="1"/>
  <c r="Y378" i="15" s="1"/>
  <c r="AA275" i="15"/>
  <c r="Z275" i="15" s="1"/>
  <c r="Y275" i="15" s="1"/>
  <c r="H314" i="15"/>
  <c r="J314" i="15" s="1"/>
  <c r="H338" i="15"/>
  <c r="I338" i="15" s="1"/>
  <c r="H183" i="15"/>
  <c r="J183" i="15" s="1"/>
  <c r="AA245" i="15"/>
  <c r="Z245" i="15" s="1"/>
  <c r="Y245" i="15" s="1"/>
  <c r="H171" i="15"/>
  <c r="I171" i="15" s="1"/>
  <c r="H275" i="15"/>
  <c r="J275" i="15" s="1"/>
  <c r="H273" i="15"/>
  <c r="I273" i="15" s="1"/>
  <c r="H371" i="15"/>
  <c r="J371" i="15" s="1"/>
  <c r="H247" i="15"/>
  <c r="I247" i="15" s="1"/>
  <c r="H324" i="15"/>
  <c r="J324" i="15" s="1"/>
  <c r="H181" i="15"/>
  <c r="J181" i="15" s="1"/>
  <c r="H195" i="15"/>
  <c r="J195" i="15" s="1"/>
  <c r="F241" i="15"/>
  <c r="G241" i="15" s="1"/>
  <c r="BX241" i="6" s="1"/>
  <c r="Q296" i="16"/>
  <c r="Q207" i="16"/>
  <c r="Q332" i="16"/>
  <c r="Q115" i="16"/>
  <c r="Q274" i="16"/>
  <c r="Q140" i="16"/>
  <c r="Q235" i="16"/>
  <c r="Q255" i="16"/>
  <c r="Q57" i="16"/>
  <c r="Q165" i="16"/>
  <c r="Q325" i="16"/>
  <c r="Q361" i="16"/>
  <c r="Q254" i="16"/>
  <c r="Q326" i="16"/>
  <c r="Q360" i="16"/>
  <c r="Q280" i="16"/>
  <c r="Q266" i="16"/>
  <c r="Q328" i="16"/>
  <c r="Q195" i="16"/>
  <c r="Q93" i="16"/>
  <c r="Q51" i="16"/>
  <c r="Q45" i="16"/>
  <c r="Q157" i="16"/>
  <c r="Q202" i="16"/>
  <c r="Q125" i="16"/>
  <c r="Q218" i="16"/>
  <c r="Q253" i="16"/>
  <c r="Q322" i="16"/>
  <c r="Q150" i="16"/>
  <c r="Q196" i="16"/>
  <c r="Q333" i="16"/>
  <c r="Q358" i="16"/>
  <c r="Q29" i="16"/>
  <c r="Q63" i="16"/>
  <c r="Q26" i="16"/>
  <c r="Q118" i="16"/>
  <c r="Q197" i="16"/>
  <c r="Q47" i="16"/>
  <c r="Q80" i="16"/>
  <c r="Q186" i="16"/>
  <c r="Q142" i="16"/>
  <c r="Q287" i="16"/>
  <c r="Q241" i="16"/>
  <c r="Q61" i="16"/>
  <c r="Q357" i="16"/>
  <c r="Q251" i="16"/>
  <c r="Q44" i="16"/>
  <c r="Q24" i="16"/>
  <c r="Q73" i="16"/>
  <c r="Q127" i="16"/>
  <c r="Q25" i="16"/>
  <c r="Q312" i="16"/>
  <c r="Q345" i="16"/>
  <c r="Q316" i="16"/>
  <c r="Q167" i="16"/>
  <c r="Q198" i="16"/>
  <c r="Q72" i="16"/>
  <c r="Q375" i="16"/>
  <c r="Q149" i="16"/>
  <c r="Q257" i="16"/>
  <c r="Q362" i="16"/>
  <c r="Q99" i="16"/>
  <c r="Q349" i="16"/>
  <c r="Q243" i="16"/>
  <c r="Q175" i="16"/>
  <c r="Q222" i="16"/>
  <c r="Q297" i="16"/>
  <c r="Q189" i="16"/>
  <c r="Q340" i="16"/>
  <c r="Q229" i="16"/>
  <c r="Q64" i="16"/>
  <c r="Q247" i="16"/>
  <c r="Q233" i="16"/>
  <c r="Q206" i="16"/>
  <c r="Q245" i="16"/>
  <c r="Q78" i="16"/>
  <c r="Q364" i="16"/>
  <c r="Q324" i="16"/>
  <c r="Q87" i="16"/>
  <c r="Q374" i="16"/>
  <c r="Q35" i="16"/>
  <c r="Q319" i="16"/>
  <c r="Q304" i="16"/>
  <c r="Q16" i="16"/>
  <c r="Q171" i="16"/>
  <c r="Q334" i="16"/>
  <c r="G171" i="15"/>
  <c r="BX171" i="6" s="1"/>
  <c r="G195" i="15"/>
  <c r="BX195" i="6" s="1"/>
  <c r="G377" i="15"/>
  <c r="BX377" i="6" s="1"/>
  <c r="AA191" i="15"/>
  <c r="Z191" i="15" s="1"/>
  <c r="Y191" i="15" s="1"/>
  <c r="G178" i="15"/>
  <c r="BX178" i="6" s="1"/>
  <c r="H334" i="15"/>
  <c r="J334" i="15" s="1"/>
  <c r="G62" i="19"/>
  <c r="H157" i="15"/>
  <c r="I157" i="15" s="1"/>
  <c r="G133" i="15"/>
  <c r="BX133" i="6" s="1"/>
  <c r="H317" i="15"/>
  <c r="J317" i="15" s="1"/>
  <c r="H111" i="15"/>
  <c r="J111" i="15" s="1"/>
  <c r="E62" i="19"/>
  <c r="H62" i="15"/>
  <c r="I62" i="15" s="1"/>
  <c r="H271" i="15"/>
  <c r="J271" i="15" s="1"/>
  <c r="G267" i="15"/>
  <c r="BX267" i="6" s="1"/>
  <c r="G378" i="15"/>
  <c r="BX378" i="6" s="1"/>
  <c r="G217" i="15"/>
  <c r="BX217" i="6" s="1"/>
  <c r="AA199" i="15"/>
  <c r="Z199" i="15" s="1"/>
  <c r="Y199" i="15" s="1"/>
  <c r="AA51" i="15"/>
  <c r="Z51" i="15" s="1"/>
  <c r="Y51" i="15" s="1"/>
  <c r="H68" i="15"/>
  <c r="I68" i="15" s="1"/>
  <c r="G122" i="15"/>
  <c r="BX122" i="6" s="1"/>
  <c r="G238" i="15"/>
  <c r="BX238" i="6" s="1"/>
  <c r="AA338" i="15"/>
  <c r="Z338" i="15" s="1"/>
  <c r="Y338" i="15" s="1"/>
  <c r="H309" i="15"/>
  <c r="J309" i="15" s="1"/>
  <c r="H238" i="15"/>
  <c r="J238" i="15" s="1"/>
  <c r="BE11" i="7"/>
  <c r="Q11" i="25" s="1"/>
  <c r="H233" i="15"/>
  <c r="I233" i="15" s="1"/>
  <c r="Q232" i="16"/>
  <c r="Q178" i="16"/>
  <c r="Q158" i="16"/>
  <c r="Q313" i="16"/>
  <c r="Q147" i="16"/>
  <c r="Q331" i="16"/>
  <c r="Q183" i="16"/>
  <c r="Q37" i="16"/>
  <c r="Q329" i="16"/>
  <c r="Q33" i="16"/>
  <c r="J62" i="19"/>
  <c r="G73" i="15"/>
  <c r="BX73" i="6" s="1"/>
  <c r="H159" i="15"/>
  <c r="I159" i="15" s="1"/>
  <c r="AA205" i="15"/>
  <c r="Z205" i="15" s="1"/>
  <c r="Y205" i="15" s="1"/>
  <c r="G164" i="15"/>
  <c r="BX164" i="6" s="1"/>
  <c r="G168" i="15"/>
  <c r="BX168" i="6" s="1"/>
  <c r="H370" i="15"/>
  <c r="J370" i="15" s="1"/>
  <c r="AA78" i="15"/>
  <c r="Z78" i="15" s="1"/>
  <c r="Y78" i="15" s="1"/>
  <c r="H221" i="15"/>
  <c r="J221" i="15" s="1"/>
  <c r="H206" i="15"/>
  <c r="J206" i="15" s="1"/>
  <c r="H232" i="15"/>
  <c r="J232" i="15" s="1"/>
  <c r="F88" i="15"/>
  <c r="H88" i="15" s="1"/>
  <c r="I88" i="15" s="1"/>
  <c r="H62" i="19"/>
  <c r="AA134" i="15"/>
  <c r="Z134" i="15" s="1"/>
  <c r="Y134" i="15" s="1"/>
  <c r="L62" i="19"/>
  <c r="H191" i="15"/>
  <c r="I191" i="15" s="1"/>
  <c r="H178" i="15"/>
  <c r="I178" i="15" s="1"/>
  <c r="F62" i="19"/>
  <c r="C62" i="19"/>
  <c r="H50" i="15"/>
  <c r="I50" i="15" s="1"/>
  <c r="AA362" i="15"/>
  <c r="Z362" i="15" s="1"/>
  <c r="Y362" i="15" s="1"/>
  <c r="D62" i="19"/>
  <c r="G44" i="15"/>
  <c r="BX44" i="6" s="1"/>
  <c r="H267" i="15"/>
  <c r="I267" i="15" s="1"/>
  <c r="G103" i="15"/>
  <c r="BX103" i="6" s="1"/>
  <c r="H199" i="15"/>
  <c r="J199" i="15" s="1"/>
  <c r="G51" i="15"/>
  <c r="BX51" i="6" s="1"/>
  <c r="G314" i="15"/>
  <c r="BX314" i="6" s="1"/>
  <c r="AA122" i="15"/>
  <c r="Z122" i="15" s="1"/>
  <c r="Y122" i="15" s="1"/>
  <c r="AA183" i="15"/>
  <c r="Z183" i="15" s="1"/>
  <c r="Y183" i="15" s="1"/>
  <c r="H245" i="15"/>
  <c r="I245" i="15" s="1"/>
  <c r="AA247" i="15"/>
  <c r="Z247" i="15" s="1"/>
  <c r="Y247" i="15" s="1"/>
  <c r="H176" i="15"/>
  <c r="I176" i="15" s="1"/>
  <c r="F272" i="15"/>
  <c r="G272" i="15" s="1"/>
  <c r="BX272" i="6" s="1"/>
  <c r="F29" i="15"/>
  <c r="H29" i="15" s="1"/>
  <c r="F23" i="15"/>
  <c r="F332" i="15"/>
  <c r="F305" i="15"/>
  <c r="F130" i="15"/>
  <c r="F83" i="15"/>
  <c r="F250" i="15"/>
  <c r="F106" i="15"/>
  <c r="F114" i="15"/>
  <c r="F321" i="15"/>
  <c r="F290" i="15"/>
  <c r="F58" i="15"/>
  <c r="F169" i="15"/>
  <c r="F249" i="15"/>
  <c r="F282" i="15"/>
  <c r="F213" i="15"/>
  <c r="F297" i="15"/>
  <c r="F186" i="15"/>
  <c r="F104" i="15"/>
  <c r="F146" i="15"/>
  <c r="F91" i="15"/>
  <c r="F293" i="15"/>
  <c r="F152" i="15"/>
  <c r="F120" i="15"/>
  <c r="F41" i="15"/>
  <c r="F331" i="15"/>
  <c r="AA333" i="15"/>
  <c r="Z333" i="15" s="1"/>
  <c r="Y333" i="15" s="1"/>
  <c r="G60" i="15"/>
  <c r="BX60" i="6" s="1"/>
  <c r="G149" i="15"/>
  <c r="BX149" i="6" s="1"/>
  <c r="I252" i="15"/>
  <c r="J252" i="15"/>
  <c r="E382" i="15"/>
  <c r="E381" i="15"/>
  <c r="E383" i="15"/>
  <c r="AJ10" i="15"/>
  <c r="AJ12" i="15" s="1"/>
  <c r="AJ13" i="15" s="1"/>
  <c r="E9" i="15"/>
  <c r="E11" i="15" s="1"/>
  <c r="O10" i="16"/>
  <c r="AC10" i="16"/>
  <c r="G252" i="15"/>
  <c r="BX252" i="6" s="1"/>
  <c r="AA252" i="15"/>
  <c r="Z252" i="15" s="1"/>
  <c r="Y252" i="15" s="1"/>
  <c r="L36" i="19"/>
  <c r="Q121" i="16"/>
  <c r="Q323" i="16"/>
  <c r="Q231" i="16"/>
  <c r="Q60" i="16"/>
  <c r="Q146" i="16"/>
  <c r="Q145" i="16"/>
  <c r="V379" i="15"/>
  <c r="M62" i="19" s="1"/>
  <c r="D36" i="19"/>
  <c r="AE11" i="16"/>
  <c r="Q15" i="7"/>
  <c r="AE158" i="16"/>
  <c r="AE212" i="16"/>
  <c r="AE181" i="16"/>
  <c r="AE288" i="16"/>
  <c r="AE299" i="16"/>
  <c r="AE209" i="16"/>
  <c r="AE374" i="16"/>
  <c r="AE44" i="16"/>
  <c r="AE22" i="16"/>
  <c r="AE249" i="16"/>
  <c r="AE370" i="16"/>
  <c r="AE291" i="16"/>
  <c r="AE16" i="16"/>
  <c r="AE363" i="16"/>
  <c r="AE128" i="16"/>
  <c r="AE62" i="16"/>
  <c r="AE355" i="16"/>
  <c r="AE323" i="16"/>
  <c r="AE161" i="16"/>
  <c r="AE215" i="16"/>
  <c r="AE139" i="16"/>
  <c r="AE132" i="16"/>
  <c r="AE344" i="16"/>
  <c r="AE111" i="16"/>
  <c r="AE345" i="16"/>
  <c r="AE269" i="16"/>
  <c r="AE71" i="16"/>
  <c r="AE69" i="16"/>
  <c r="AE165" i="16"/>
  <c r="AE194" i="16"/>
  <c r="AE364" i="16"/>
  <c r="AE73" i="16"/>
  <c r="AE182" i="16"/>
  <c r="AE188" i="16"/>
  <c r="AE223" i="16"/>
  <c r="AE187" i="16"/>
  <c r="AE193" i="16"/>
  <c r="AE60" i="16"/>
  <c r="AE66" i="16"/>
  <c r="AE36" i="16"/>
  <c r="AE74" i="16"/>
  <c r="AE237" i="16"/>
  <c r="AE362" i="16"/>
  <c r="AE37" i="16"/>
  <c r="AE369" i="16"/>
  <c r="AE205" i="16"/>
  <c r="AE214" i="16"/>
  <c r="AE337" i="16"/>
  <c r="AE136" i="16"/>
  <c r="AE301" i="16"/>
  <c r="AE116" i="16"/>
  <c r="AE208" i="16"/>
  <c r="AE53" i="16"/>
  <c r="AE311" i="16"/>
  <c r="AE113" i="16"/>
  <c r="AE135" i="16"/>
  <c r="AE285" i="16"/>
  <c r="AE217" i="16"/>
  <c r="AE42" i="16"/>
  <c r="AE26" i="16"/>
  <c r="AE85" i="16"/>
  <c r="AE80" i="16"/>
  <c r="AE306" i="16"/>
  <c r="AE146" i="16"/>
  <c r="AE141" i="16"/>
  <c r="AE20" i="16"/>
  <c r="AE368" i="16"/>
  <c r="AE365" i="16"/>
  <c r="AE314" i="16"/>
  <c r="AE162" i="16"/>
  <c r="AE267" i="16"/>
  <c r="AE270" i="16"/>
  <c r="AE51" i="16"/>
  <c r="AE289" i="16"/>
  <c r="AE56" i="16"/>
  <c r="AE361" i="16"/>
  <c r="AE336" i="16"/>
  <c r="AE310" i="16"/>
  <c r="AE180" i="16"/>
  <c r="AE100" i="16"/>
  <c r="AE346" i="16"/>
  <c r="AE169" i="16"/>
  <c r="AE286" i="16"/>
  <c r="AE38" i="16"/>
  <c r="AE84" i="16"/>
  <c r="AE129" i="16"/>
  <c r="AE358" i="16"/>
  <c r="AE244" i="16"/>
  <c r="AE104" i="16"/>
  <c r="AE19" i="16"/>
  <c r="AE133" i="16"/>
  <c r="AE302" i="16"/>
  <c r="AE268" i="16"/>
  <c r="AE106" i="16"/>
  <c r="AE102" i="16"/>
  <c r="AE83" i="16"/>
  <c r="AE357" i="16"/>
  <c r="AE149" i="16"/>
  <c r="AE112" i="16"/>
  <c r="AE259" i="16"/>
  <c r="AE304" i="16"/>
  <c r="AE247" i="16"/>
  <c r="AE72" i="16"/>
  <c r="AE137" i="16"/>
  <c r="AE143" i="16"/>
  <c r="AE197" i="16"/>
  <c r="AE228" i="16"/>
  <c r="AE250" i="16"/>
  <c r="AE21" i="16"/>
  <c r="AE333" i="16"/>
  <c r="AE348" i="16"/>
  <c r="AE86" i="16"/>
  <c r="AE153" i="16"/>
  <c r="AE292" i="16"/>
  <c r="AE28" i="16"/>
  <c r="AE347" i="16"/>
  <c r="AE163" i="16"/>
  <c r="AE97" i="16"/>
  <c r="AE226" i="16"/>
  <c r="AE360" i="16"/>
  <c r="AE170" i="16"/>
  <c r="AE49" i="16"/>
  <c r="AE276" i="16"/>
  <c r="AE184" i="16"/>
  <c r="AE332" i="16"/>
  <c r="AE134" i="16"/>
  <c r="AE142" i="16"/>
  <c r="AE380" i="16"/>
  <c r="AE192" i="16"/>
  <c r="AE145" i="16"/>
  <c r="AE148" i="16"/>
  <c r="AE123" i="16"/>
  <c r="AE241" i="16"/>
  <c r="AE256" i="16"/>
  <c r="AE140" i="16"/>
  <c r="AE210" i="16"/>
  <c r="AE63" i="16"/>
  <c r="AE45" i="16"/>
  <c r="AE178" i="16"/>
  <c r="AE177" i="16"/>
  <c r="AE282" i="16"/>
  <c r="AE157" i="16"/>
  <c r="AE231" i="16"/>
  <c r="AE110" i="16"/>
  <c r="AE70" i="16"/>
  <c r="AE173" i="16"/>
  <c r="AE238" i="16"/>
  <c r="AE122" i="16"/>
  <c r="AE204" i="16"/>
  <c r="AE189" i="16"/>
  <c r="AE245" i="16"/>
  <c r="AE175" i="16"/>
  <c r="AE325" i="16"/>
  <c r="AE307" i="16"/>
  <c r="AE23" i="16"/>
  <c r="AE359" i="16"/>
  <c r="AE232" i="16"/>
  <c r="AE351" i="16"/>
  <c r="AE17" i="16"/>
  <c r="AE159" i="16"/>
  <c r="AE225" i="16"/>
  <c r="AE35" i="16"/>
  <c r="AE207" i="16"/>
  <c r="AE96" i="16"/>
  <c r="AE155" i="16"/>
  <c r="AE190" i="16"/>
  <c r="AE108" i="16"/>
  <c r="AE318" i="16"/>
  <c r="AE278" i="16"/>
  <c r="AE334" i="16"/>
  <c r="AE261" i="16"/>
  <c r="AE222" i="16"/>
  <c r="AE305" i="16"/>
  <c r="AE48" i="16"/>
  <c r="AE233" i="16"/>
  <c r="AE273" i="16"/>
  <c r="AE166" i="16"/>
  <c r="AE31" i="16"/>
  <c r="AE255" i="16"/>
  <c r="AE281" i="16"/>
  <c r="AE257" i="16"/>
  <c r="AE91" i="16"/>
  <c r="AE321" i="16"/>
  <c r="AE331" i="16"/>
  <c r="AE200" i="16"/>
  <c r="AE312" i="16"/>
  <c r="AE119" i="16"/>
  <c r="AE64" i="16"/>
  <c r="AE297" i="16"/>
  <c r="AE186" i="16"/>
  <c r="AE260" i="16"/>
  <c r="AE103" i="16"/>
  <c r="AE354" i="16"/>
  <c r="AE168" i="16"/>
  <c r="AE202" i="16"/>
  <c r="AE43" i="16"/>
  <c r="AE127" i="16"/>
  <c r="AE296" i="16"/>
  <c r="AE220" i="16"/>
  <c r="AE156" i="16"/>
  <c r="AE253" i="16"/>
  <c r="AE254" i="16"/>
  <c r="AE319" i="16"/>
  <c r="AE271" i="16"/>
  <c r="AE234" i="16"/>
  <c r="AE349" i="16"/>
  <c r="AE379" i="16"/>
  <c r="AE12" i="17" s="1"/>
  <c r="AE313" i="16"/>
  <c r="AE176" i="16"/>
  <c r="AE316" i="16"/>
  <c r="AE98" i="16"/>
  <c r="AE198" i="16"/>
  <c r="AE229" i="16"/>
  <c r="AE95" i="16"/>
  <c r="AE68" i="16"/>
  <c r="AE371" i="16"/>
  <c r="AE283" i="16"/>
  <c r="AE258" i="16"/>
  <c r="AE147" i="16"/>
  <c r="AE251" i="16"/>
  <c r="AE65" i="16"/>
  <c r="AE308" i="16"/>
  <c r="AE33" i="16"/>
  <c r="AE262" i="16"/>
  <c r="AE236" i="16"/>
  <c r="AE335" i="16"/>
  <c r="AE171" i="16"/>
  <c r="AE298" i="16"/>
  <c r="AE144" i="16"/>
  <c r="AE272" i="16"/>
  <c r="AE34" i="16"/>
  <c r="AE290" i="16"/>
  <c r="AE58" i="16"/>
  <c r="AE47" i="16"/>
  <c r="AE294" i="16"/>
  <c r="AE160" i="16"/>
  <c r="AE167" i="16"/>
  <c r="AE154" i="16"/>
  <c r="AE57" i="16"/>
  <c r="AE309" i="16"/>
  <c r="AE120" i="16"/>
  <c r="AE151" i="16"/>
  <c r="AE61" i="16"/>
  <c r="AE246" i="16"/>
  <c r="AE328" i="16"/>
  <c r="AE40" i="16"/>
  <c r="AE117" i="16"/>
  <c r="AE118" i="16"/>
  <c r="AE293" i="16"/>
  <c r="AE343" i="16"/>
  <c r="AE130" i="16"/>
  <c r="AE221" i="16"/>
  <c r="AE92" i="16"/>
  <c r="AE213" i="16"/>
  <c r="AE366" i="16"/>
  <c r="AE230" i="16"/>
  <c r="AE235" i="16"/>
  <c r="AE172" i="16"/>
  <c r="AE300" i="16"/>
  <c r="AE90" i="16"/>
  <c r="AE185" i="16"/>
  <c r="AE322" i="16"/>
  <c r="AE367" i="16"/>
  <c r="AE126" i="16"/>
  <c r="AE39" i="16"/>
  <c r="AE89" i="16"/>
  <c r="AE15" i="16"/>
  <c r="AE264" i="16"/>
  <c r="AE376" i="16"/>
  <c r="AE41" i="16"/>
  <c r="AE124" i="16"/>
  <c r="AE377" i="16"/>
  <c r="AE277" i="16"/>
  <c r="AE201" i="16"/>
  <c r="AE105" i="16"/>
  <c r="AE109" i="16"/>
  <c r="AE275" i="16"/>
  <c r="AE50" i="16"/>
  <c r="AE342" i="16"/>
  <c r="AE373" i="16"/>
  <c r="AE138" i="16"/>
  <c r="AE315" i="16"/>
  <c r="AE125" i="16"/>
  <c r="AE29" i="16"/>
  <c r="AE243" i="16"/>
  <c r="AE131" i="16"/>
  <c r="AE317" i="16"/>
  <c r="AE164" i="16"/>
  <c r="AE206" i="16"/>
  <c r="AE24" i="16"/>
  <c r="AE338" i="16"/>
  <c r="AE353" i="16"/>
  <c r="AE87" i="16"/>
  <c r="AE341" i="16"/>
  <c r="AE78" i="16"/>
  <c r="AE82" i="16"/>
  <c r="AE52" i="16"/>
  <c r="AE227" i="16"/>
  <c r="AE378" i="16"/>
  <c r="AE219" i="16"/>
  <c r="AE263" i="16"/>
  <c r="AE252" i="16"/>
  <c r="AE27" i="16"/>
  <c r="AE77" i="16"/>
  <c r="AE88" i="16"/>
  <c r="AE191" i="16"/>
  <c r="AE280" i="16"/>
  <c r="AE99" i="16"/>
  <c r="AE46" i="16"/>
  <c r="AE266" i="16"/>
  <c r="AE150" i="16"/>
  <c r="AE375" i="16"/>
  <c r="AE303" i="16"/>
  <c r="AE240" i="16"/>
  <c r="AE121" i="16"/>
  <c r="AE81" i="16"/>
  <c r="AE174" i="16"/>
  <c r="AE18" i="16"/>
  <c r="AE152" i="16"/>
  <c r="AE183" i="16"/>
  <c r="AE30" i="16"/>
  <c r="AE224" i="16"/>
  <c r="AE284" i="16"/>
  <c r="AE340" i="16"/>
  <c r="AE350" i="16"/>
  <c r="AE54" i="16"/>
  <c r="AE216" i="16"/>
  <c r="AE320" i="16"/>
  <c r="AE101" i="16"/>
  <c r="AE248" i="16"/>
  <c r="AE196" i="16"/>
  <c r="AE32" i="16"/>
  <c r="AE330" i="16"/>
  <c r="AE79" i="16"/>
  <c r="AE115" i="16"/>
  <c r="AE274" i="16"/>
  <c r="AE114" i="16"/>
  <c r="AE265" i="16"/>
  <c r="AE211" i="16"/>
  <c r="AE279" i="16"/>
  <c r="AE67" i="16"/>
  <c r="AE76" i="16"/>
  <c r="AE295" i="16"/>
  <c r="AE203" i="16"/>
  <c r="AE75" i="16"/>
  <c r="AE372" i="16"/>
  <c r="AE179" i="16"/>
  <c r="AE287" i="16"/>
  <c r="AE195" i="16"/>
  <c r="AE356" i="16"/>
  <c r="AE352" i="16"/>
  <c r="AE94" i="16"/>
  <c r="AE329" i="16"/>
  <c r="AE199" i="16"/>
  <c r="AE25" i="16"/>
  <c r="AE218" i="16"/>
  <c r="AE55" i="16"/>
  <c r="AE327" i="16"/>
  <c r="AE239" i="16"/>
  <c r="AE107" i="16"/>
  <c r="AE59" i="16"/>
  <c r="AE339" i="16"/>
  <c r="AE324" i="16"/>
  <c r="AE93" i="16"/>
  <c r="AE326" i="16"/>
  <c r="AE242" i="16"/>
  <c r="AI11" i="16"/>
  <c r="AI271" i="16" s="1"/>
  <c r="AH271" i="16" s="1"/>
  <c r="AG271" i="16" s="1"/>
  <c r="AF271" i="16" s="1"/>
  <c r="L39" i="19"/>
  <c r="U178" i="16"/>
  <c r="T178" i="16" s="1"/>
  <c r="S178" i="16" s="1"/>
  <c r="R178" i="16" s="1"/>
  <c r="AI259" i="16"/>
  <c r="AH259" i="16" s="1"/>
  <c r="AG259" i="16" s="1"/>
  <c r="AF259" i="16" s="1"/>
  <c r="AD259" i="16" s="1"/>
  <c r="AI305" i="16"/>
  <c r="AH305" i="16" s="1"/>
  <c r="AG305" i="16" s="1"/>
  <c r="AF305" i="16" s="1"/>
  <c r="AD305" i="16" s="1"/>
  <c r="U209" i="16"/>
  <c r="T209" i="16" s="1"/>
  <c r="S209" i="16" s="1"/>
  <c r="R209" i="16" s="1"/>
  <c r="AG13" i="7"/>
  <c r="AM10" i="7" s="1"/>
  <c r="I333" i="1"/>
  <c r="AA333" i="1"/>
  <c r="Z333" i="1" s="1"/>
  <c r="Y333" i="1" s="1"/>
  <c r="L61" i="19"/>
  <c r="AA197" i="1"/>
  <c r="Z197" i="1" s="1"/>
  <c r="Y197" i="1" s="1"/>
  <c r="I197" i="1"/>
  <c r="H197" i="15" s="1"/>
  <c r="I197" i="15" s="1"/>
  <c r="AI306" i="16"/>
  <c r="AH306" i="16" s="1"/>
  <c r="AG306" i="16" s="1"/>
  <c r="AF306" i="16" s="1"/>
  <c r="AD306" i="16" s="1"/>
  <c r="AI346" i="16"/>
  <c r="AH346" i="16" s="1"/>
  <c r="AG346" i="16" s="1"/>
  <c r="AF346" i="16" s="1"/>
  <c r="AI331" i="16"/>
  <c r="AH331" i="16" s="1"/>
  <c r="AG331" i="16" s="1"/>
  <c r="AF331" i="16" s="1"/>
  <c r="AI60" i="16"/>
  <c r="AH60" i="16" s="1"/>
  <c r="AG60" i="16" s="1"/>
  <c r="AF60" i="16" s="1"/>
  <c r="AD60" i="16" s="1"/>
  <c r="AI254" i="16"/>
  <c r="AH254" i="16" s="1"/>
  <c r="AG254" i="16" s="1"/>
  <c r="AF254" i="16" s="1"/>
  <c r="AI186" i="16"/>
  <c r="AH186" i="16" s="1"/>
  <c r="AG186" i="16" s="1"/>
  <c r="AF186" i="16" s="1"/>
  <c r="AD186" i="16" s="1"/>
  <c r="AI137" i="16"/>
  <c r="AH137" i="16" s="1"/>
  <c r="AG137" i="16" s="1"/>
  <c r="AF137" i="16" s="1"/>
  <c r="AI256" i="16"/>
  <c r="AH256" i="16" s="1"/>
  <c r="AG256" i="16" s="1"/>
  <c r="AF256" i="16" s="1"/>
  <c r="AI71" i="16"/>
  <c r="AH71" i="16" s="1"/>
  <c r="AG71" i="16" s="1"/>
  <c r="AF71" i="16" s="1"/>
  <c r="AI364" i="16"/>
  <c r="AH364" i="16" s="1"/>
  <c r="AG364" i="16" s="1"/>
  <c r="AF364" i="16" s="1"/>
  <c r="AI376" i="16"/>
  <c r="AH376" i="16" s="1"/>
  <c r="AG376" i="16" s="1"/>
  <c r="AF376" i="16" s="1"/>
  <c r="AD376" i="16" s="1"/>
  <c r="U43" i="16"/>
  <c r="T43" i="16" s="1"/>
  <c r="S43" i="16" s="1"/>
  <c r="R43" i="16" s="1"/>
  <c r="U169" i="16"/>
  <c r="T169" i="16" s="1"/>
  <c r="S169" i="16" s="1"/>
  <c r="R169" i="16" s="1"/>
  <c r="U126" i="16"/>
  <c r="T126" i="16" s="1"/>
  <c r="S126" i="16" s="1"/>
  <c r="R126" i="16" s="1"/>
  <c r="AI190" i="16"/>
  <c r="AH190" i="16" s="1"/>
  <c r="AG190" i="16" s="1"/>
  <c r="AF190" i="16" s="1"/>
  <c r="AI131" i="16"/>
  <c r="AH131" i="16" s="1"/>
  <c r="AG131" i="16" s="1"/>
  <c r="AF131" i="16" s="1"/>
  <c r="AI25" i="16"/>
  <c r="AH25" i="16" s="1"/>
  <c r="AG25" i="16" s="1"/>
  <c r="AF25" i="16" s="1"/>
  <c r="AD25" i="16" s="1"/>
  <c r="AI378" i="16"/>
  <c r="AH378" i="16" s="1"/>
  <c r="AG378" i="16" s="1"/>
  <c r="AF378" i="16" s="1"/>
  <c r="AI336" i="16"/>
  <c r="AH336" i="16" s="1"/>
  <c r="AG336" i="16" s="1"/>
  <c r="AF336" i="16" s="1"/>
  <c r="AD336" i="16" s="1"/>
  <c r="AI140" i="16"/>
  <c r="AH140" i="16" s="1"/>
  <c r="AG140" i="16" s="1"/>
  <c r="AF140" i="16" s="1"/>
  <c r="AI183" i="16"/>
  <c r="AH183" i="16" s="1"/>
  <c r="AG183" i="16" s="1"/>
  <c r="AF183" i="16" s="1"/>
  <c r="AI370" i="16"/>
  <c r="AH370" i="16" s="1"/>
  <c r="AG370" i="16" s="1"/>
  <c r="AF370" i="16" s="1"/>
  <c r="AI138" i="16"/>
  <c r="AH138" i="16" s="1"/>
  <c r="AG138" i="16" s="1"/>
  <c r="AF138" i="16" s="1"/>
  <c r="AD138" i="16" s="1"/>
  <c r="AI110" i="16"/>
  <c r="AH110" i="16" s="1"/>
  <c r="AG110" i="16" s="1"/>
  <c r="AF110" i="16" s="1"/>
  <c r="AD110" i="16" s="1"/>
  <c r="AI176" i="16"/>
  <c r="AH176" i="16" s="1"/>
  <c r="AG176" i="16" s="1"/>
  <c r="AF176" i="16" s="1"/>
  <c r="AD176" i="16" s="1"/>
  <c r="AI128" i="16"/>
  <c r="AH128" i="16" s="1"/>
  <c r="AG128" i="16" s="1"/>
  <c r="AF128" i="16" s="1"/>
  <c r="AI133" i="16"/>
  <c r="AH133" i="16" s="1"/>
  <c r="AG133" i="16" s="1"/>
  <c r="AF133" i="16" s="1"/>
  <c r="AD133" i="16" s="1"/>
  <c r="AI224" i="16"/>
  <c r="AH224" i="16" s="1"/>
  <c r="AG224" i="16" s="1"/>
  <c r="AF224" i="16" s="1"/>
  <c r="AD224" i="16" s="1"/>
  <c r="AI78" i="16"/>
  <c r="AH78" i="16" s="1"/>
  <c r="AG78" i="16" s="1"/>
  <c r="AF78" i="16" s="1"/>
  <c r="AD78" i="16" s="1"/>
  <c r="AI68" i="16"/>
  <c r="AH68" i="16" s="1"/>
  <c r="AG68" i="16" s="1"/>
  <c r="AF68" i="16" s="1"/>
  <c r="U289" i="16"/>
  <c r="T289" i="16" s="1"/>
  <c r="S289" i="16" s="1"/>
  <c r="R289" i="16" s="1"/>
  <c r="U290" i="16"/>
  <c r="T290" i="16" s="1"/>
  <c r="S290" i="16" s="1"/>
  <c r="R290" i="16" s="1"/>
  <c r="U99" i="16"/>
  <c r="T99" i="16" s="1"/>
  <c r="S99" i="16" s="1"/>
  <c r="R99" i="16" s="1"/>
  <c r="U341" i="16"/>
  <c r="T341" i="16" s="1"/>
  <c r="S341" i="16" s="1"/>
  <c r="R341" i="16" s="1"/>
  <c r="AI249" i="16"/>
  <c r="AH249" i="16" s="1"/>
  <c r="AG249" i="16" s="1"/>
  <c r="AF249" i="16" s="1"/>
  <c r="AI29" i="16"/>
  <c r="AH29" i="16" s="1"/>
  <c r="AG29" i="16" s="1"/>
  <c r="AF29" i="16" s="1"/>
  <c r="AD29" i="16" s="1"/>
  <c r="AI252" i="16"/>
  <c r="AH252" i="16" s="1"/>
  <c r="AG252" i="16" s="1"/>
  <c r="AF252" i="16" s="1"/>
  <c r="AI202" i="16"/>
  <c r="AH202" i="16" s="1"/>
  <c r="AG202" i="16" s="1"/>
  <c r="AF202" i="16" s="1"/>
  <c r="AI240" i="16"/>
  <c r="AH240" i="16" s="1"/>
  <c r="AG240" i="16" s="1"/>
  <c r="AF240" i="16" s="1"/>
  <c r="AI279" i="16"/>
  <c r="AH279" i="16" s="1"/>
  <c r="AG279" i="16" s="1"/>
  <c r="AF279" i="16" s="1"/>
  <c r="AD279" i="16" s="1"/>
  <c r="AI165" i="16"/>
  <c r="AH165" i="16" s="1"/>
  <c r="AG165" i="16" s="1"/>
  <c r="AF165" i="16" s="1"/>
  <c r="AD165" i="16" s="1"/>
  <c r="AI69" i="16"/>
  <c r="AH69" i="16" s="1"/>
  <c r="AG69" i="16" s="1"/>
  <c r="AF69" i="16" s="1"/>
  <c r="AD69" i="16" s="1"/>
  <c r="AI317" i="16"/>
  <c r="AH317" i="16" s="1"/>
  <c r="AG317" i="16" s="1"/>
  <c r="AF317" i="16" s="1"/>
  <c r="AD317" i="16" s="1"/>
  <c r="AI262" i="16"/>
  <c r="AH262" i="16" s="1"/>
  <c r="AG262" i="16" s="1"/>
  <c r="AF262" i="16" s="1"/>
  <c r="AI206" i="16"/>
  <c r="AH206" i="16" s="1"/>
  <c r="AG206" i="16" s="1"/>
  <c r="AF206" i="16" s="1"/>
  <c r="AD206" i="16" s="1"/>
  <c r="AI191" i="16"/>
  <c r="AH191" i="16" s="1"/>
  <c r="AG191" i="16" s="1"/>
  <c r="AF191" i="16" s="1"/>
  <c r="AD191" i="16" s="1"/>
  <c r="AI159" i="16"/>
  <c r="AH159" i="16" s="1"/>
  <c r="AG159" i="16" s="1"/>
  <c r="AF159" i="16" s="1"/>
  <c r="AI303" i="16"/>
  <c r="AH303" i="16" s="1"/>
  <c r="AG303" i="16" s="1"/>
  <c r="AF303" i="16" s="1"/>
  <c r="AI371" i="16"/>
  <c r="AH371" i="16" s="1"/>
  <c r="AG371" i="16" s="1"/>
  <c r="AF371" i="16" s="1"/>
  <c r="AI80" i="16"/>
  <c r="AH80" i="16" s="1"/>
  <c r="AG80" i="16" s="1"/>
  <c r="AF80" i="16" s="1"/>
  <c r="AD80" i="16" s="1"/>
  <c r="AI255" i="16"/>
  <c r="AH255" i="16" s="1"/>
  <c r="AG255" i="16" s="1"/>
  <c r="AF255" i="16" s="1"/>
  <c r="AI234" i="16"/>
  <c r="AH234" i="16" s="1"/>
  <c r="AG234" i="16" s="1"/>
  <c r="AF234" i="16" s="1"/>
  <c r="AI316" i="16"/>
  <c r="AH316" i="16" s="1"/>
  <c r="AG316" i="16" s="1"/>
  <c r="AF316" i="16" s="1"/>
  <c r="AI218" i="16"/>
  <c r="AH218" i="16" s="1"/>
  <c r="AG218" i="16" s="1"/>
  <c r="AF218" i="16" s="1"/>
  <c r="AD218" i="16" s="1"/>
  <c r="AI160" i="16"/>
  <c r="AH160" i="16" s="1"/>
  <c r="AG160" i="16" s="1"/>
  <c r="AF160" i="16" s="1"/>
  <c r="AI242" i="16"/>
  <c r="AH242" i="16" s="1"/>
  <c r="AG242" i="16" s="1"/>
  <c r="AF242" i="16" s="1"/>
  <c r="AD242" i="16" s="1"/>
  <c r="AI265" i="16"/>
  <c r="AH265" i="16" s="1"/>
  <c r="AG265" i="16" s="1"/>
  <c r="AF265" i="16" s="1"/>
  <c r="AI310" i="16"/>
  <c r="AH310" i="16" s="1"/>
  <c r="AG310" i="16" s="1"/>
  <c r="AF310" i="16" s="1"/>
  <c r="AI107" i="16"/>
  <c r="AH107" i="16" s="1"/>
  <c r="AG107" i="16" s="1"/>
  <c r="AF107" i="16" s="1"/>
  <c r="AI89" i="16"/>
  <c r="AH89" i="16" s="1"/>
  <c r="AG89" i="16" s="1"/>
  <c r="AF89" i="16" s="1"/>
  <c r="AD89" i="16" s="1"/>
  <c r="AI16" i="16"/>
  <c r="AH16" i="16" s="1"/>
  <c r="AG16" i="16" s="1"/>
  <c r="AF16" i="16" s="1"/>
  <c r="AD16" i="16" s="1"/>
  <c r="AI355" i="16"/>
  <c r="AH355" i="16" s="1"/>
  <c r="AG355" i="16" s="1"/>
  <c r="AF355" i="16" s="1"/>
  <c r="AI96" i="16"/>
  <c r="AH96" i="16" s="1"/>
  <c r="AG96" i="16" s="1"/>
  <c r="AF96" i="16" s="1"/>
  <c r="AI356" i="16"/>
  <c r="AH356" i="16" s="1"/>
  <c r="AG356" i="16" s="1"/>
  <c r="AF356" i="16" s="1"/>
  <c r="AD356" i="16" s="1"/>
  <c r="U102" i="16"/>
  <c r="T102" i="16" s="1"/>
  <c r="S102" i="16" s="1"/>
  <c r="R102" i="16" s="1"/>
  <c r="P102" i="16" s="1"/>
  <c r="U46" i="16"/>
  <c r="T46" i="16" s="1"/>
  <c r="S46" i="16" s="1"/>
  <c r="R46" i="16" s="1"/>
  <c r="U51" i="16"/>
  <c r="T51" i="16" s="1"/>
  <c r="S51" i="16" s="1"/>
  <c r="R51" i="16" s="1"/>
  <c r="U61" i="16"/>
  <c r="T61" i="16" s="1"/>
  <c r="S61" i="16" s="1"/>
  <c r="R61" i="16" s="1"/>
  <c r="U114" i="16"/>
  <c r="T114" i="16" s="1"/>
  <c r="S114" i="16" s="1"/>
  <c r="R114" i="16" s="1"/>
  <c r="U231" i="16"/>
  <c r="T231" i="16" s="1"/>
  <c r="S231" i="16" s="1"/>
  <c r="R231" i="16" s="1"/>
  <c r="U344" i="16"/>
  <c r="T344" i="16" s="1"/>
  <c r="S344" i="16" s="1"/>
  <c r="R344" i="16" s="1"/>
  <c r="P344" i="16" s="1"/>
  <c r="U208" i="16"/>
  <c r="T208" i="16" s="1"/>
  <c r="S208" i="16" s="1"/>
  <c r="R208" i="16" s="1"/>
  <c r="O29" i="20"/>
  <c r="AG20" i="7" s="1"/>
  <c r="O50" i="20"/>
  <c r="O57" i="20"/>
  <c r="O54" i="20"/>
  <c r="O46" i="20"/>
  <c r="O36" i="20"/>
  <c r="O108" i="20"/>
  <c r="O353" i="20"/>
  <c r="O176" i="20"/>
  <c r="O217" i="20"/>
  <c r="O257" i="20"/>
  <c r="O193" i="20"/>
  <c r="O204" i="20"/>
  <c r="O159" i="20"/>
  <c r="O167" i="20"/>
  <c r="O283" i="20"/>
  <c r="O225" i="20"/>
  <c r="O274" i="20"/>
  <c r="O126" i="20"/>
  <c r="O58" i="20"/>
  <c r="O214" i="20"/>
  <c r="O170" i="20"/>
  <c r="O109" i="20"/>
  <c r="O213" i="20"/>
  <c r="O227" i="20"/>
  <c r="O125" i="20"/>
  <c r="O82" i="20"/>
  <c r="O55" i="20"/>
  <c r="O371" i="20"/>
  <c r="O355" i="20"/>
  <c r="O140" i="20"/>
  <c r="O300" i="20"/>
  <c r="O317" i="20"/>
  <c r="O275" i="20"/>
  <c r="O138" i="20"/>
  <c r="O328" i="20"/>
  <c r="O123" i="20"/>
  <c r="AA322" i="15"/>
  <c r="Z322" i="15" s="1"/>
  <c r="Y322" i="15" s="1"/>
  <c r="O27" i="20"/>
  <c r="O158" i="20"/>
  <c r="O68" i="20"/>
  <c r="O360" i="20"/>
  <c r="O321" i="20"/>
  <c r="O253" i="20"/>
  <c r="O201" i="20"/>
  <c r="O134" i="20"/>
  <c r="O95" i="20"/>
  <c r="O178" i="20"/>
  <c r="O273" i="20"/>
  <c r="O120" i="20"/>
  <c r="O78" i="20"/>
  <c r="O339" i="20"/>
  <c r="O111" i="20"/>
  <c r="O33" i="20"/>
  <c r="O312" i="20"/>
  <c r="O240" i="20"/>
  <c r="O105" i="20"/>
  <c r="O233" i="20"/>
  <c r="O207" i="20"/>
  <c r="O258" i="20"/>
  <c r="O183" i="20"/>
  <c r="O76" i="20"/>
  <c r="O38" i="20"/>
  <c r="O61" i="20"/>
  <c r="O210" i="20"/>
  <c r="AG26" i="7" s="1"/>
  <c r="O146" i="20"/>
  <c r="O336" i="20"/>
  <c r="O157" i="20"/>
  <c r="O43" i="20"/>
  <c r="O244" i="20"/>
  <c r="O106" i="20"/>
  <c r="O15" i="20"/>
  <c r="O110" i="20"/>
  <c r="O346" i="20"/>
  <c r="O224" i="20"/>
  <c r="O132" i="20"/>
  <c r="O250" i="20"/>
  <c r="O254" i="20"/>
  <c r="O16" i="20"/>
  <c r="O23" i="20"/>
  <c r="O351" i="20"/>
  <c r="O366" i="20"/>
  <c r="O206" i="20"/>
  <c r="O144" i="20"/>
  <c r="O150" i="20"/>
  <c r="O52" i="20"/>
  <c r="O172" i="20"/>
  <c r="O359" i="20"/>
  <c r="O153" i="20"/>
  <c r="O99" i="20"/>
  <c r="O148" i="20"/>
  <c r="O338" i="20"/>
  <c r="O135" i="20"/>
  <c r="O131" i="20"/>
  <c r="O185" i="20"/>
  <c r="O342" i="20"/>
  <c r="O310" i="20"/>
  <c r="O341" i="20"/>
  <c r="O347" i="20"/>
  <c r="O74" i="20"/>
  <c r="O262" i="20"/>
  <c r="O124" i="20"/>
  <c r="O251" i="20"/>
  <c r="O364" i="20"/>
  <c r="O139" i="20"/>
  <c r="O370" i="20"/>
  <c r="O345" i="20"/>
  <c r="O372" i="20"/>
  <c r="O255" i="20"/>
  <c r="O246" i="20"/>
  <c r="O87" i="20"/>
  <c r="O256" i="20"/>
  <c r="O284" i="20"/>
  <c r="O313" i="20"/>
  <c r="O64" i="20"/>
  <c r="O215" i="20"/>
  <c r="O238" i="20"/>
  <c r="O149" i="20"/>
  <c r="AG24" i="7" s="1"/>
  <c r="O103" i="20"/>
  <c r="O121" i="20"/>
  <c r="O340" i="20"/>
  <c r="O324" i="20"/>
  <c r="O220" i="20"/>
  <c r="O26" i="20"/>
  <c r="O88" i="20"/>
  <c r="AG22" i="7" s="1"/>
  <c r="O89" i="20"/>
  <c r="O30" i="20"/>
  <c r="O279" i="20"/>
  <c r="O236" i="20"/>
  <c r="O333" i="20"/>
  <c r="AG30" i="7" s="1"/>
  <c r="O168" i="20"/>
  <c r="O129" i="20"/>
  <c r="O202" i="20"/>
  <c r="O229" i="20"/>
  <c r="O86" i="20"/>
  <c r="O367" i="20"/>
  <c r="O165" i="20"/>
  <c r="O323" i="20"/>
  <c r="O195" i="20"/>
  <c r="O286" i="20"/>
  <c r="O65" i="20"/>
  <c r="O307" i="20"/>
  <c r="O155" i="20"/>
  <c r="O295" i="20"/>
  <c r="O81" i="20"/>
  <c r="O292" i="20"/>
  <c r="O234" i="20"/>
  <c r="O164" i="20"/>
  <c r="O354" i="20"/>
  <c r="O128" i="20"/>
  <c r="O322" i="20"/>
  <c r="O302" i="20"/>
  <c r="AG29" i="7" s="1"/>
  <c r="O113" i="20"/>
  <c r="O37" i="20"/>
  <c r="O117" i="20"/>
  <c r="O60" i="20"/>
  <c r="AG21" i="7" s="1"/>
  <c r="O261" i="20"/>
  <c r="O311" i="20"/>
  <c r="O276" i="20"/>
  <c r="O72" i="20"/>
  <c r="O21" i="20"/>
  <c r="O19" i="20"/>
  <c r="O122" i="20"/>
  <c r="O278" i="20"/>
  <c r="O181" i="20"/>
  <c r="O32" i="20"/>
  <c r="O272" i="20"/>
  <c r="AG28" i="7" s="1"/>
  <c r="O18" i="20"/>
  <c r="O161" i="20"/>
  <c r="O182" i="20"/>
  <c r="O374" i="20"/>
  <c r="O228" i="20"/>
  <c r="O343" i="20"/>
  <c r="O230" i="20"/>
  <c r="O237" i="20"/>
  <c r="O269" i="20"/>
  <c r="O127" i="20"/>
  <c r="O243" i="20"/>
  <c r="O77" i="20"/>
  <c r="O34" i="20"/>
  <c r="O177" i="20"/>
  <c r="O373" i="20"/>
  <c r="O334" i="20"/>
  <c r="O379" i="20"/>
  <c r="C40" i="19" s="1"/>
  <c r="O301" i="20"/>
  <c r="O141" i="20"/>
  <c r="O188" i="20"/>
  <c r="O356" i="20"/>
  <c r="O42" i="20"/>
  <c r="O332" i="20"/>
  <c r="O169" i="20"/>
  <c r="O362" i="20"/>
  <c r="O98" i="20"/>
  <c r="O330" i="20"/>
  <c r="O184" i="20"/>
  <c r="O221" i="20"/>
  <c r="O293" i="20"/>
  <c r="O80" i="20"/>
  <c r="O22" i="20"/>
  <c r="O198" i="20"/>
  <c r="O31" i="20"/>
  <c r="O369" i="20"/>
  <c r="O376" i="20"/>
  <c r="O186" i="20"/>
  <c r="O102" i="20"/>
  <c r="O281" i="20"/>
  <c r="O107" i="20"/>
  <c r="O171" i="20"/>
  <c r="O329" i="20"/>
  <c r="O348" i="20"/>
  <c r="O305" i="20"/>
  <c r="O189" i="20"/>
  <c r="O151" i="20"/>
  <c r="O331" i="20"/>
  <c r="O197" i="20"/>
  <c r="O70" i="20"/>
  <c r="O152" i="20"/>
  <c r="O191" i="20"/>
  <c r="O25" i="20"/>
  <c r="O304" i="20"/>
  <c r="O173" i="20"/>
  <c r="O282" i="20"/>
  <c r="O59" i="20"/>
  <c r="O133" i="20"/>
  <c r="O337" i="20"/>
  <c r="O327" i="20"/>
  <c r="O219" i="20"/>
  <c r="O196" i="20"/>
  <c r="O104" i="20"/>
  <c r="O51" i="20"/>
  <c r="O83" i="20"/>
  <c r="O315" i="20"/>
  <c r="O62" i="20"/>
  <c r="O248" i="20"/>
  <c r="O35" i="20"/>
  <c r="O350" i="20"/>
  <c r="O199" i="20"/>
  <c r="O306" i="20"/>
  <c r="O352" i="20"/>
  <c r="O194" i="20"/>
  <c r="O45" i="20"/>
  <c r="O245" i="20"/>
  <c r="O97" i="20"/>
  <c r="O298" i="20"/>
  <c r="O318" i="20"/>
  <c r="O24" i="20"/>
  <c r="O93" i="20"/>
  <c r="O277" i="20"/>
  <c r="O96" i="20"/>
  <c r="O344" i="20"/>
  <c r="O145" i="20"/>
  <c r="O200" i="20"/>
  <c r="O335" i="20"/>
  <c r="O20" i="20"/>
  <c r="O259" i="20"/>
  <c r="O94" i="20"/>
  <c r="O297" i="20"/>
  <c r="O84" i="20"/>
  <c r="O212" i="20"/>
  <c r="O290" i="20"/>
  <c r="O308" i="20"/>
  <c r="O268" i="20"/>
  <c r="O100" i="20"/>
  <c r="O79" i="20"/>
  <c r="O119" i="20"/>
  <c r="AG23" i="7" s="1"/>
  <c r="O239" i="20"/>
  <c r="O314" i="20"/>
  <c r="O69" i="20"/>
  <c r="O211" i="20"/>
  <c r="O75" i="20"/>
  <c r="O223" i="20"/>
  <c r="O56" i="20"/>
  <c r="O49" i="20"/>
  <c r="O160" i="20"/>
  <c r="O114" i="20"/>
  <c r="O136" i="20"/>
  <c r="O216" i="20"/>
  <c r="O116" i="20"/>
  <c r="O143" i="20"/>
  <c r="O71" i="20"/>
  <c r="O112" i="20"/>
  <c r="O309" i="20"/>
  <c r="O163" i="20"/>
  <c r="O271" i="20"/>
  <c r="O205" i="20"/>
  <c r="O263" i="20"/>
  <c r="O101" i="20"/>
  <c r="O203" i="20"/>
  <c r="O289" i="20"/>
  <c r="O231" i="20"/>
  <c r="O357" i="20"/>
  <c r="O280" i="20"/>
  <c r="O326" i="20"/>
  <c r="O288" i="20"/>
  <c r="O242" i="20"/>
  <c r="O130" i="20"/>
  <c r="O192" i="20"/>
  <c r="O270" i="20"/>
  <c r="O209" i="20"/>
  <c r="O363" i="20"/>
  <c r="AG31" i="7" s="1"/>
  <c r="O40" i="20"/>
  <c r="O147" i="20"/>
  <c r="O208" i="20"/>
  <c r="O232" i="20"/>
  <c r="O377" i="20"/>
  <c r="O235" i="20"/>
  <c r="O187" i="20"/>
  <c r="O73" i="20"/>
  <c r="O320" i="20"/>
  <c r="O316" i="20"/>
  <c r="O47" i="20"/>
  <c r="O28" i="20"/>
  <c r="O267" i="20"/>
  <c r="O44" i="20"/>
  <c r="O319" i="20"/>
  <c r="O264" i="20"/>
  <c r="O63" i="20"/>
  <c r="O174" i="20"/>
  <c r="O247" i="20"/>
  <c r="O294" i="20"/>
  <c r="O291" i="20"/>
  <c r="O48" i="20"/>
  <c r="O90" i="20"/>
  <c r="O303" i="20"/>
  <c r="O299" i="20"/>
  <c r="O175" i="20"/>
  <c r="O85" i="20"/>
  <c r="O249" i="20"/>
  <c r="O179" i="20"/>
  <c r="O41" i="20"/>
  <c r="O287" i="20"/>
  <c r="O156" i="20"/>
  <c r="O53" i="20"/>
  <c r="O361" i="20"/>
  <c r="O92" i="20"/>
  <c r="O67" i="20"/>
  <c r="O91" i="20"/>
  <c r="O375" i="20"/>
  <c r="O218" i="20"/>
  <c r="O162" i="20"/>
  <c r="O349" i="20"/>
  <c r="O265" i="20"/>
  <c r="O166" i="20"/>
  <c r="O180" i="20"/>
  <c r="AG25" i="7" s="1"/>
  <c r="O241" i="20"/>
  <c r="AG27" i="7" s="1"/>
  <c r="O358" i="20"/>
  <c r="O260" i="20"/>
  <c r="O266" i="20"/>
  <c r="O368" i="20"/>
  <c r="O115" i="20"/>
  <c r="O39" i="20"/>
  <c r="O296" i="20"/>
  <c r="O190" i="20"/>
  <c r="O154" i="20"/>
  <c r="O378" i="20"/>
  <c r="O118" i="20"/>
  <c r="O285" i="20"/>
  <c r="O365" i="20"/>
  <c r="O252" i="20"/>
  <c r="O142" i="20"/>
  <c r="O325" i="20"/>
  <c r="O137" i="20"/>
  <c r="O17" i="20"/>
  <c r="O222" i="20"/>
  <c r="O66" i="20"/>
  <c r="H127" i="15"/>
  <c r="I127" i="15" s="1"/>
  <c r="AA210" i="1"/>
  <c r="Z210" i="1" s="1"/>
  <c r="Y210" i="1" s="1"/>
  <c r="H61" i="19"/>
  <c r="H322" i="15"/>
  <c r="I322" i="15" s="1"/>
  <c r="AT13" i="7"/>
  <c r="AU13" i="7"/>
  <c r="I349" i="1"/>
  <c r="H349" i="15" s="1"/>
  <c r="J349" i="15" s="1"/>
  <c r="G349" i="1"/>
  <c r="BW349" i="6" s="1"/>
  <c r="U235" i="16"/>
  <c r="T235" i="16" s="1"/>
  <c r="S235" i="16" s="1"/>
  <c r="R235" i="16" s="1"/>
  <c r="U184" i="16"/>
  <c r="T184" i="16" s="1"/>
  <c r="S184" i="16" s="1"/>
  <c r="R184" i="16" s="1"/>
  <c r="U24" i="16"/>
  <c r="T24" i="16" s="1"/>
  <c r="S24" i="16" s="1"/>
  <c r="R24" i="16" s="1"/>
  <c r="U367" i="16"/>
  <c r="T367" i="16" s="1"/>
  <c r="S367" i="16" s="1"/>
  <c r="R367" i="16" s="1"/>
  <c r="U187" i="16"/>
  <c r="T187" i="16" s="1"/>
  <c r="S187" i="16" s="1"/>
  <c r="R187" i="16" s="1"/>
  <c r="U87" i="16"/>
  <c r="T87" i="16" s="1"/>
  <c r="S87" i="16" s="1"/>
  <c r="R87" i="16" s="1"/>
  <c r="U201" i="16"/>
  <c r="T201" i="16" s="1"/>
  <c r="S201" i="16" s="1"/>
  <c r="R201" i="16" s="1"/>
  <c r="U258" i="16"/>
  <c r="T258" i="16" s="1"/>
  <c r="S258" i="16" s="1"/>
  <c r="R258" i="16" s="1"/>
  <c r="U219" i="16"/>
  <c r="T219" i="16" s="1"/>
  <c r="S219" i="16" s="1"/>
  <c r="R219" i="16" s="1"/>
  <c r="U256" i="16"/>
  <c r="T256" i="16" s="1"/>
  <c r="S256" i="16" s="1"/>
  <c r="R256" i="16" s="1"/>
  <c r="U310" i="16"/>
  <c r="T310" i="16" s="1"/>
  <c r="S310" i="16" s="1"/>
  <c r="R310" i="16" s="1"/>
  <c r="U26" i="16"/>
  <c r="T26" i="16" s="1"/>
  <c r="S26" i="16" s="1"/>
  <c r="R26" i="16" s="1"/>
  <c r="U285" i="16"/>
  <c r="T285" i="16" s="1"/>
  <c r="S285" i="16" s="1"/>
  <c r="R285" i="16" s="1"/>
  <c r="U336" i="16"/>
  <c r="T336" i="16" s="1"/>
  <c r="S336" i="16" s="1"/>
  <c r="R336" i="16" s="1"/>
  <c r="U267" i="16"/>
  <c r="T267" i="16" s="1"/>
  <c r="S267" i="16" s="1"/>
  <c r="R267" i="16" s="1"/>
  <c r="U145" i="16"/>
  <c r="T145" i="16" s="1"/>
  <c r="S145" i="16" s="1"/>
  <c r="R145" i="16" s="1"/>
  <c r="U40" i="16"/>
  <c r="T40" i="16" s="1"/>
  <c r="S40" i="16" s="1"/>
  <c r="R40" i="16" s="1"/>
  <c r="U104" i="16"/>
  <c r="T104" i="16" s="1"/>
  <c r="S104" i="16" s="1"/>
  <c r="R104" i="16" s="1"/>
  <c r="AI286" i="16"/>
  <c r="AH286" i="16" s="1"/>
  <c r="AG286" i="16" s="1"/>
  <c r="AF286" i="16" s="1"/>
  <c r="AI166" i="16"/>
  <c r="AH166" i="16" s="1"/>
  <c r="AG166" i="16" s="1"/>
  <c r="AF166" i="16" s="1"/>
  <c r="AI217" i="16"/>
  <c r="AH217" i="16" s="1"/>
  <c r="AG217" i="16" s="1"/>
  <c r="AF217" i="16" s="1"/>
  <c r="AI350" i="16"/>
  <c r="AH350" i="16" s="1"/>
  <c r="AG350" i="16" s="1"/>
  <c r="AF350" i="16" s="1"/>
  <c r="AI135" i="16"/>
  <c r="AH135" i="16" s="1"/>
  <c r="AG135" i="16" s="1"/>
  <c r="AF135" i="16" s="1"/>
  <c r="AI142" i="16"/>
  <c r="AH142" i="16" s="1"/>
  <c r="AG142" i="16" s="1"/>
  <c r="AF142" i="16" s="1"/>
  <c r="AI357" i="16"/>
  <c r="AH357" i="16" s="1"/>
  <c r="AG357" i="16" s="1"/>
  <c r="AF357" i="16" s="1"/>
  <c r="AI34" i="16"/>
  <c r="AH34" i="16" s="1"/>
  <c r="AG34" i="16" s="1"/>
  <c r="AF34" i="16" s="1"/>
  <c r="AI199" i="16"/>
  <c r="AH199" i="16" s="1"/>
  <c r="AG199" i="16" s="1"/>
  <c r="AF199" i="16" s="1"/>
  <c r="AI232" i="16"/>
  <c r="AH232" i="16" s="1"/>
  <c r="AG232" i="16" s="1"/>
  <c r="AF232" i="16" s="1"/>
  <c r="AI261" i="16"/>
  <c r="AH261" i="16" s="1"/>
  <c r="AG261" i="16" s="1"/>
  <c r="AF261" i="16" s="1"/>
  <c r="AI311" i="16"/>
  <c r="AH311" i="16" s="1"/>
  <c r="AG311" i="16" s="1"/>
  <c r="AF311" i="16" s="1"/>
  <c r="AI231" i="16"/>
  <c r="AH231" i="16" s="1"/>
  <c r="AG231" i="16" s="1"/>
  <c r="AF231" i="16" s="1"/>
  <c r="AI337" i="16"/>
  <c r="AH337" i="16" s="1"/>
  <c r="AG337" i="16" s="1"/>
  <c r="AF337" i="16" s="1"/>
  <c r="AI170" i="16"/>
  <c r="AH170" i="16" s="1"/>
  <c r="AG170" i="16" s="1"/>
  <c r="AF170" i="16" s="1"/>
  <c r="AI290" i="16"/>
  <c r="AH290" i="16" s="1"/>
  <c r="AG290" i="16" s="1"/>
  <c r="AF290" i="16" s="1"/>
  <c r="AI24" i="16"/>
  <c r="AH24" i="16" s="1"/>
  <c r="AG24" i="16" s="1"/>
  <c r="AF24" i="16" s="1"/>
  <c r="AI97" i="16"/>
  <c r="AH97" i="16" s="1"/>
  <c r="AG97" i="16" s="1"/>
  <c r="AF97" i="16" s="1"/>
  <c r="AI211" i="16"/>
  <c r="AH211" i="16" s="1"/>
  <c r="AG211" i="16" s="1"/>
  <c r="AF211" i="16" s="1"/>
  <c r="AI52" i="16"/>
  <c r="AH52" i="16" s="1"/>
  <c r="AG52" i="16" s="1"/>
  <c r="AF52" i="16" s="1"/>
  <c r="AI209" i="16"/>
  <c r="AH209" i="16" s="1"/>
  <c r="AG209" i="16" s="1"/>
  <c r="AF209" i="16" s="1"/>
  <c r="AI35" i="16"/>
  <c r="AH35" i="16" s="1"/>
  <c r="AG35" i="16" s="1"/>
  <c r="AF35" i="16" s="1"/>
  <c r="AI247" i="16"/>
  <c r="AH247" i="16" s="1"/>
  <c r="AG247" i="16" s="1"/>
  <c r="AF247" i="16" s="1"/>
  <c r="AI111" i="16"/>
  <c r="AH111" i="16" s="1"/>
  <c r="AG111" i="16" s="1"/>
  <c r="AF111" i="16" s="1"/>
  <c r="AI27" i="16"/>
  <c r="AH27" i="16" s="1"/>
  <c r="AG27" i="16" s="1"/>
  <c r="AF27" i="16" s="1"/>
  <c r="AI43" i="16"/>
  <c r="AH43" i="16" s="1"/>
  <c r="AG43" i="16" s="1"/>
  <c r="AF43" i="16" s="1"/>
  <c r="AI158" i="16"/>
  <c r="AH158" i="16" s="1"/>
  <c r="AG158" i="16" s="1"/>
  <c r="AF158" i="16" s="1"/>
  <c r="AI257" i="16"/>
  <c r="AH257" i="16" s="1"/>
  <c r="AG257" i="16" s="1"/>
  <c r="AF257" i="16" s="1"/>
  <c r="AI318" i="16"/>
  <c r="AH318" i="16" s="1"/>
  <c r="AG318" i="16" s="1"/>
  <c r="AF318" i="16" s="1"/>
  <c r="AI208" i="16"/>
  <c r="AH208" i="16" s="1"/>
  <c r="AG208" i="16" s="1"/>
  <c r="AF208" i="16" s="1"/>
  <c r="AI308" i="16"/>
  <c r="AH308" i="16" s="1"/>
  <c r="AG308" i="16" s="1"/>
  <c r="AF308" i="16" s="1"/>
  <c r="AI351" i="16"/>
  <c r="AH351" i="16" s="1"/>
  <c r="AG351" i="16" s="1"/>
  <c r="AF351" i="16" s="1"/>
  <c r="AI139" i="16"/>
  <c r="AH139" i="16" s="1"/>
  <c r="AG139" i="16" s="1"/>
  <c r="AF139" i="16" s="1"/>
  <c r="AI126" i="16"/>
  <c r="AH126" i="16" s="1"/>
  <c r="AG126" i="16" s="1"/>
  <c r="AF126" i="16" s="1"/>
  <c r="AI340" i="16"/>
  <c r="AH340" i="16" s="1"/>
  <c r="AG340" i="16" s="1"/>
  <c r="AF340" i="16" s="1"/>
  <c r="AI171" i="16"/>
  <c r="AH171" i="16" s="1"/>
  <c r="AG171" i="16" s="1"/>
  <c r="AF171" i="16" s="1"/>
  <c r="AI269" i="16"/>
  <c r="AH269" i="16" s="1"/>
  <c r="AG269" i="16" s="1"/>
  <c r="AF269" i="16" s="1"/>
  <c r="AI344" i="16"/>
  <c r="AH344" i="16" s="1"/>
  <c r="AG344" i="16" s="1"/>
  <c r="AF344" i="16" s="1"/>
  <c r="AI56" i="16"/>
  <c r="AH56" i="16" s="1"/>
  <c r="AG56" i="16" s="1"/>
  <c r="AF56" i="16" s="1"/>
  <c r="AI313" i="16"/>
  <c r="AH313" i="16" s="1"/>
  <c r="AG313" i="16" s="1"/>
  <c r="AF313" i="16" s="1"/>
  <c r="AI272" i="16"/>
  <c r="AH272" i="16" s="1"/>
  <c r="AG272" i="16" s="1"/>
  <c r="AF272" i="16" s="1"/>
  <c r="AI149" i="16"/>
  <c r="AH149" i="16" s="1"/>
  <c r="AG149" i="16" s="1"/>
  <c r="AF149" i="16" s="1"/>
  <c r="AI267" i="16"/>
  <c r="AH267" i="16" s="1"/>
  <c r="AG267" i="16" s="1"/>
  <c r="AF267" i="16" s="1"/>
  <c r="AI266" i="16"/>
  <c r="AH266" i="16" s="1"/>
  <c r="AG266" i="16" s="1"/>
  <c r="AF266" i="16" s="1"/>
  <c r="AI119" i="16"/>
  <c r="AH119" i="16" s="1"/>
  <c r="AG119" i="16" s="1"/>
  <c r="AF119" i="16" s="1"/>
  <c r="AI28" i="16"/>
  <c r="AH28" i="16" s="1"/>
  <c r="AG28" i="16" s="1"/>
  <c r="AF28" i="16" s="1"/>
  <c r="AI146" i="16"/>
  <c r="AH146" i="16" s="1"/>
  <c r="AG146" i="16" s="1"/>
  <c r="AF146" i="16" s="1"/>
  <c r="AI221" i="16"/>
  <c r="AH221" i="16" s="1"/>
  <c r="AG221" i="16" s="1"/>
  <c r="AF221" i="16" s="1"/>
  <c r="AI112" i="16"/>
  <c r="AH112" i="16" s="1"/>
  <c r="AG112" i="16" s="1"/>
  <c r="AF112" i="16" s="1"/>
  <c r="AI276" i="16"/>
  <c r="AH276" i="16" s="1"/>
  <c r="AG276" i="16" s="1"/>
  <c r="AF276" i="16" s="1"/>
  <c r="AI301" i="16"/>
  <c r="AH301" i="16" s="1"/>
  <c r="AG301" i="16" s="1"/>
  <c r="AF301" i="16" s="1"/>
  <c r="AI296" i="16"/>
  <c r="AH296" i="16" s="1"/>
  <c r="AG296" i="16" s="1"/>
  <c r="AF296" i="16" s="1"/>
  <c r="AI219" i="16"/>
  <c r="AH219" i="16" s="1"/>
  <c r="AG219" i="16" s="1"/>
  <c r="AF219" i="16" s="1"/>
  <c r="AI15" i="16"/>
  <c r="AH15" i="16" s="1"/>
  <c r="AI297" i="16"/>
  <c r="AH297" i="16" s="1"/>
  <c r="AG297" i="16" s="1"/>
  <c r="AF297" i="16" s="1"/>
  <c r="AI39" i="16"/>
  <c r="AH39" i="16" s="1"/>
  <c r="AG39" i="16" s="1"/>
  <c r="AF39" i="16" s="1"/>
  <c r="AI23" i="16"/>
  <c r="AH23" i="16" s="1"/>
  <c r="AG23" i="16" s="1"/>
  <c r="AF23" i="16" s="1"/>
  <c r="AI204" i="16"/>
  <c r="AH204" i="16" s="1"/>
  <c r="AG204" i="16" s="1"/>
  <c r="AF204" i="16" s="1"/>
  <c r="AI63" i="16"/>
  <c r="AH63" i="16" s="1"/>
  <c r="AG63" i="16" s="1"/>
  <c r="AF63" i="16" s="1"/>
  <c r="AI152" i="16"/>
  <c r="AH152" i="16" s="1"/>
  <c r="AG152" i="16" s="1"/>
  <c r="AF152" i="16" s="1"/>
  <c r="AI103" i="16"/>
  <c r="AH103" i="16" s="1"/>
  <c r="AG103" i="16" s="1"/>
  <c r="AF103" i="16" s="1"/>
  <c r="AI175" i="16"/>
  <c r="AH175" i="16" s="1"/>
  <c r="AG175" i="16" s="1"/>
  <c r="AF175" i="16" s="1"/>
  <c r="U331" i="16"/>
  <c r="T331" i="16" s="1"/>
  <c r="S331" i="16" s="1"/>
  <c r="R331" i="16" s="1"/>
  <c r="U298" i="16"/>
  <c r="T298" i="16" s="1"/>
  <c r="S298" i="16" s="1"/>
  <c r="R298" i="16" s="1"/>
  <c r="P298" i="16" s="1"/>
  <c r="U15" i="16"/>
  <c r="T15" i="16" s="1"/>
  <c r="S15" i="16" s="1"/>
  <c r="U75" i="16"/>
  <c r="T75" i="16" s="1"/>
  <c r="S75" i="16" s="1"/>
  <c r="R75" i="16" s="1"/>
  <c r="U79" i="16"/>
  <c r="T79" i="16" s="1"/>
  <c r="S79" i="16" s="1"/>
  <c r="R79" i="16" s="1"/>
  <c r="U318" i="16"/>
  <c r="T318" i="16" s="1"/>
  <c r="S318" i="16" s="1"/>
  <c r="R318" i="16" s="1"/>
  <c r="U175" i="16"/>
  <c r="T175" i="16" s="1"/>
  <c r="S175" i="16" s="1"/>
  <c r="R175" i="16" s="1"/>
  <c r="U357" i="16"/>
  <c r="T357" i="16" s="1"/>
  <c r="S357" i="16" s="1"/>
  <c r="R357" i="16" s="1"/>
  <c r="U306" i="16"/>
  <c r="T306" i="16" s="1"/>
  <c r="S306" i="16" s="1"/>
  <c r="R306" i="16" s="1"/>
  <c r="U234" i="16"/>
  <c r="T234" i="16" s="1"/>
  <c r="S234" i="16" s="1"/>
  <c r="R234" i="16" s="1"/>
  <c r="P234" i="16" s="1"/>
  <c r="U292" i="16"/>
  <c r="T292" i="16" s="1"/>
  <c r="S292" i="16" s="1"/>
  <c r="R292" i="16" s="1"/>
  <c r="U30" i="16"/>
  <c r="T30" i="16" s="1"/>
  <c r="S30" i="16" s="1"/>
  <c r="R30" i="16" s="1"/>
  <c r="P30" i="16" s="1"/>
  <c r="U47" i="16"/>
  <c r="T47" i="16" s="1"/>
  <c r="S47" i="16" s="1"/>
  <c r="R47" i="16" s="1"/>
  <c r="U276" i="16"/>
  <c r="T276" i="16" s="1"/>
  <c r="S276" i="16" s="1"/>
  <c r="R276" i="16" s="1"/>
  <c r="U352" i="16"/>
  <c r="T352" i="16" s="1"/>
  <c r="S352" i="16" s="1"/>
  <c r="R352" i="16" s="1"/>
  <c r="U48" i="16"/>
  <c r="T48" i="16" s="1"/>
  <c r="S48" i="16" s="1"/>
  <c r="R48" i="16" s="1"/>
  <c r="U96" i="16"/>
  <c r="T96" i="16" s="1"/>
  <c r="S96" i="16" s="1"/>
  <c r="R96" i="16" s="1"/>
  <c r="U29" i="16"/>
  <c r="T29" i="16" s="1"/>
  <c r="S29" i="16" s="1"/>
  <c r="R29" i="16" s="1"/>
  <c r="U82" i="16"/>
  <c r="T82" i="16" s="1"/>
  <c r="S82" i="16" s="1"/>
  <c r="R82" i="16" s="1"/>
  <c r="U161" i="16"/>
  <c r="T161" i="16" s="1"/>
  <c r="S161" i="16" s="1"/>
  <c r="R161" i="16" s="1"/>
  <c r="Q16" i="7"/>
  <c r="U296" i="16"/>
  <c r="T296" i="16" s="1"/>
  <c r="S296" i="16" s="1"/>
  <c r="R296" i="16" s="1"/>
  <c r="U350" i="16"/>
  <c r="T350" i="16" s="1"/>
  <c r="S350" i="16" s="1"/>
  <c r="R350" i="16" s="1"/>
  <c r="U275" i="16"/>
  <c r="T275" i="16" s="1"/>
  <c r="S275" i="16" s="1"/>
  <c r="R275" i="16" s="1"/>
  <c r="U52" i="16"/>
  <c r="T52" i="16" s="1"/>
  <c r="S52" i="16" s="1"/>
  <c r="R52" i="16" s="1"/>
  <c r="U165" i="16"/>
  <c r="T165" i="16" s="1"/>
  <c r="S165" i="16" s="1"/>
  <c r="R165" i="16" s="1"/>
  <c r="U329" i="16"/>
  <c r="T329" i="16" s="1"/>
  <c r="S329" i="16" s="1"/>
  <c r="R329" i="16" s="1"/>
  <c r="U103" i="16"/>
  <c r="T103" i="16" s="1"/>
  <c r="S103" i="16" s="1"/>
  <c r="R103" i="16" s="1"/>
  <c r="U265" i="16"/>
  <c r="T265" i="16" s="1"/>
  <c r="S265" i="16" s="1"/>
  <c r="R265" i="16" s="1"/>
  <c r="U37" i="16"/>
  <c r="T37" i="16" s="1"/>
  <c r="S37" i="16" s="1"/>
  <c r="R37" i="16" s="1"/>
  <c r="U346" i="16"/>
  <c r="T346" i="16" s="1"/>
  <c r="S346" i="16" s="1"/>
  <c r="R346" i="16" s="1"/>
  <c r="U233" i="16"/>
  <c r="T233" i="16" s="1"/>
  <c r="S233" i="16" s="1"/>
  <c r="R233" i="16" s="1"/>
  <c r="U282" i="16"/>
  <c r="T282" i="16" s="1"/>
  <c r="S282" i="16" s="1"/>
  <c r="R282" i="16" s="1"/>
  <c r="U186" i="16"/>
  <c r="T186" i="16" s="1"/>
  <c r="S186" i="16" s="1"/>
  <c r="R186" i="16" s="1"/>
  <c r="U335" i="16"/>
  <c r="T335" i="16" s="1"/>
  <c r="S335" i="16" s="1"/>
  <c r="R335" i="16" s="1"/>
  <c r="U185" i="16"/>
  <c r="T185" i="16" s="1"/>
  <c r="S185" i="16" s="1"/>
  <c r="R185" i="16" s="1"/>
  <c r="U108" i="16"/>
  <c r="T108" i="16" s="1"/>
  <c r="S108" i="16" s="1"/>
  <c r="R108" i="16" s="1"/>
  <c r="P108" i="16" s="1"/>
  <c r="U196" i="16"/>
  <c r="T196" i="16" s="1"/>
  <c r="S196" i="16" s="1"/>
  <c r="R196" i="16" s="1"/>
  <c r="U181" i="16"/>
  <c r="T181" i="16" s="1"/>
  <c r="S181" i="16" s="1"/>
  <c r="R181" i="16" s="1"/>
  <c r="U139" i="16"/>
  <c r="T139" i="16" s="1"/>
  <c r="S139" i="16" s="1"/>
  <c r="R139" i="16" s="1"/>
  <c r="U348" i="16"/>
  <c r="T348" i="16" s="1"/>
  <c r="S348" i="16" s="1"/>
  <c r="R348" i="16" s="1"/>
  <c r="U170" i="16"/>
  <c r="T170" i="16" s="1"/>
  <c r="S170" i="16" s="1"/>
  <c r="R170" i="16" s="1"/>
  <c r="U379" i="16"/>
  <c r="T379" i="16" s="1"/>
  <c r="S379" i="16" s="1"/>
  <c r="R379" i="16" s="1"/>
  <c r="U305" i="16"/>
  <c r="T305" i="16" s="1"/>
  <c r="S305" i="16" s="1"/>
  <c r="R305" i="16" s="1"/>
  <c r="U239" i="16"/>
  <c r="T239" i="16" s="1"/>
  <c r="S239" i="16" s="1"/>
  <c r="R239" i="16" s="1"/>
  <c r="U117" i="16"/>
  <c r="T117" i="16" s="1"/>
  <c r="S117" i="16" s="1"/>
  <c r="R117" i="16" s="1"/>
  <c r="U42" i="16"/>
  <c r="T42" i="16" s="1"/>
  <c r="S42" i="16" s="1"/>
  <c r="R42" i="16" s="1"/>
  <c r="U85" i="16"/>
  <c r="T85" i="16" s="1"/>
  <c r="S85" i="16" s="1"/>
  <c r="R85" i="16" s="1"/>
  <c r="U25" i="16"/>
  <c r="T25" i="16" s="1"/>
  <c r="S25" i="16" s="1"/>
  <c r="R25" i="16" s="1"/>
  <c r="U221" i="16"/>
  <c r="T221" i="16" s="1"/>
  <c r="S221" i="16" s="1"/>
  <c r="R221" i="16" s="1"/>
  <c r="U252" i="16"/>
  <c r="T252" i="16" s="1"/>
  <c r="S252" i="16" s="1"/>
  <c r="R252" i="16" s="1"/>
  <c r="U370" i="16"/>
  <c r="T370" i="16" s="1"/>
  <c r="S370" i="16" s="1"/>
  <c r="R370" i="16" s="1"/>
  <c r="U115" i="16"/>
  <c r="T115" i="16" s="1"/>
  <c r="S115" i="16" s="1"/>
  <c r="R115" i="16" s="1"/>
  <c r="U325" i="16"/>
  <c r="T325" i="16" s="1"/>
  <c r="S325" i="16" s="1"/>
  <c r="R325" i="16" s="1"/>
  <c r="U98" i="16"/>
  <c r="T98" i="16" s="1"/>
  <c r="S98" i="16" s="1"/>
  <c r="R98" i="16" s="1"/>
  <c r="U283" i="16"/>
  <c r="T283" i="16" s="1"/>
  <c r="S283" i="16" s="1"/>
  <c r="R283" i="16" s="1"/>
  <c r="U159" i="16"/>
  <c r="T159" i="16" s="1"/>
  <c r="S159" i="16" s="1"/>
  <c r="R159" i="16" s="1"/>
  <c r="U243" i="16"/>
  <c r="T243" i="16" s="1"/>
  <c r="S243" i="16" s="1"/>
  <c r="R243" i="16" s="1"/>
  <c r="U116" i="16"/>
  <c r="T116" i="16" s="1"/>
  <c r="S116" i="16" s="1"/>
  <c r="R116" i="16" s="1"/>
  <c r="U150" i="16"/>
  <c r="T150" i="16" s="1"/>
  <c r="S150" i="16" s="1"/>
  <c r="R150" i="16" s="1"/>
  <c r="U191" i="16"/>
  <c r="T191" i="16" s="1"/>
  <c r="S191" i="16" s="1"/>
  <c r="R191" i="16" s="1"/>
  <c r="U312" i="16"/>
  <c r="T312" i="16" s="1"/>
  <c r="S312" i="16" s="1"/>
  <c r="R312" i="16" s="1"/>
  <c r="U373" i="16"/>
  <c r="T373" i="16" s="1"/>
  <c r="S373" i="16" s="1"/>
  <c r="R373" i="16" s="1"/>
  <c r="U380" i="16"/>
  <c r="T380" i="16" s="1"/>
  <c r="S380" i="16" s="1"/>
  <c r="R380" i="16" s="1"/>
  <c r="P380" i="16" s="1"/>
  <c r="U254" i="16"/>
  <c r="T254" i="16" s="1"/>
  <c r="S254" i="16" s="1"/>
  <c r="R254" i="16" s="1"/>
  <c r="U238" i="16"/>
  <c r="T238" i="16" s="1"/>
  <c r="S238" i="16" s="1"/>
  <c r="R238" i="16" s="1"/>
  <c r="U271" i="16"/>
  <c r="T271" i="16" s="1"/>
  <c r="S271" i="16" s="1"/>
  <c r="R271" i="16" s="1"/>
  <c r="U232" i="16"/>
  <c r="T232" i="16" s="1"/>
  <c r="S232" i="16" s="1"/>
  <c r="R232" i="16" s="1"/>
  <c r="U162" i="16"/>
  <c r="T162" i="16" s="1"/>
  <c r="S162" i="16" s="1"/>
  <c r="R162" i="16" s="1"/>
  <c r="U371" i="16"/>
  <c r="T371" i="16" s="1"/>
  <c r="S371" i="16" s="1"/>
  <c r="R371" i="16" s="1"/>
  <c r="AI87" i="16"/>
  <c r="AH87" i="16" s="1"/>
  <c r="AG87" i="16" s="1"/>
  <c r="AF87" i="16" s="1"/>
  <c r="AI334" i="16"/>
  <c r="AH334" i="16" s="1"/>
  <c r="AG334" i="16" s="1"/>
  <c r="AF334" i="16" s="1"/>
  <c r="AI339" i="16"/>
  <c r="AH339" i="16" s="1"/>
  <c r="AG339" i="16" s="1"/>
  <c r="AF339" i="16" s="1"/>
  <c r="AI102" i="16"/>
  <c r="AH102" i="16" s="1"/>
  <c r="AG102" i="16" s="1"/>
  <c r="AF102" i="16" s="1"/>
  <c r="AI141" i="16"/>
  <c r="AH141" i="16" s="1"/>
  <c r="AG141" i="16" s="1"/>
  <c r="AF141" i="16" s="1"/>
  <c r="AI293" i="16"/>
  <c r="AH293" i="16" s="1"/>
  <c r="AG293" i="16" s="1"/>
  <c r="AF293" i="16" s="1"/>
  <c r="AI81" i="16"/>
  <c r="AH81" i="16" s="1"/>
  <c r="AG81" i="16" s="1"/>
  <c r="AF81" i="16" s="1"/>
  <c r="AI121" i="16"/>
  <c r="AH121" i="16" s="1"/>
  <c r="AG121" i="16" s="1"/>
  <c r="AF121" i="16" s="1"/>
  <c r="AI108" i="16"/>
  <c r="AH108" i="16" s="1"/>
  <c r="AG108" i="16" s="1"/>
  <c r="AF108" i="16" s="1"/>
  <c r="AI64" i="16"/>
  <c r="AH64" i="16" s="1"/>
  <c r="AG64" i="16" s="1"/>
  <c r="AF64" i="16" s="1"/>
  <c r="AI20" i="16"/>
  <c r="AH20" i="16" s="1"/>
  <c r="AG20" i="16" s="1"/>
  <c r="AF20" i="16" s="1"/>
  <c r="AI348" i="16"/>
  <c r="AH348" i="16" s="1"/>
  <c r="AG348" i="16" s="1"/>
  <c r="AF348" i="16" s="1"/>
  <c r="AI281" i="16"/>
  <c r="AH281" i="16" s="1"/>
  <c r="AG281" i="16" s="1"/>
  <c r="AF281" i="16" s="1"/>
  <c r="AI120" i="16"/>
  <c r="AH120" i="16" s="1"/>
  <c r="AG120" i="16" s="1"/>
  <c r="AF120" i="16" s="1"/>
  <c r="AI182" i="16"/>
  <c r="AH182" i="16" s="1"/>
  <c r="AG182" i="16" s="1"/>
  <c r="AF182" i="16" s="1"/>
  <c r="AI189" i="16"/>
  <c r="AH189" i="16" s="1"/>
  <c r="AG189" i="16" s="1"/>
  <c r="AF189" i="16" s="1"/>
  <c r="AI54" i="16"/>
  <c r="AH54" i="16" s="1"/>
  <c r="AG54" i="16" s="1"/>
  <c r="AF54" i="16" s="1"/>
  <c r="AI129" i="16"/>
  <c r="AH129" i="16" s="1"/>
  <c r="AG129" i="16" s="1"/>
  <c r="AF129" i="16" s="1"/>
  <c r="AI72" i="16"/>
  <c r="AH72" i="16" s="1"/>
  <c r="AG72" i="16" s="1"/>
  <c r="AF72" i="16" s="1"/>
  <c r="AI298" i="16"/>
  <c r="AH298" i="16" s="1"/>
  <c r="AG298" i="16" s="1"/>
  <c r="AF298" i="16" s="1"/>
  <c r="AI99" i="16"/>
  <c r="AH99" i="16" s="1"/>
  <c r="AG99" i="16" s="1"/>
  <c r="AF99" i="16" s="1"/>
  <c r="AI358" i="16"/>
  <c r="AH358" i="16" s="1"/>
  <c r="AG358" i="16" s="1"/>
  <c r="AF358" i="16" s="1"/>
  <c r="AI216" i="16"/>
  <c r="AH216" i="16" s="1"/>
  <c r="AG216" i="16" s="1"/>
  <c r="AF216" i="16" s="1"/>
  <c r="AI57" i="16"/>
  <c r="AH57" i="16" s="1"/>
  <c r="AG57" i="16" s="1"/>
  <c r="AF57" i="16" s="1"/>
  <c r="AI333" i="16"/>
  <c r="AH333" i="16" s="1"/>
  <c r="AG333" i="16" s="1"/>
  <c r="AF333" i="16" s="1"/>
  <c r="AI244" i="16"/>
  <c r="AH244" i="16" s="1"/>
  <c r="AG244" i="16" s="1"/>
  <c r="AF244" i="16" s="1"/>
  <c r="AI250" i="16"/>
  <c r="AH250" i="16" s="1"/>
  <c r="AG250" i="16" s="1"/>
  <c r="AF250" i="16" s="1"/>
  <c r="AI144" i="16"/>
  <c r="AH144" i="16" s="1"/>
  <c r="AG144" i="16" s="1"/>
  <c r="AF144" i="16" s="1"/>
  <c r="AI246" i="16"/>
  <c r="AH246" i="16" s="1"/>
  <c r="AG246" i="16" s="1"/>
  <c r="AF246" i="16" s="1"/>
  <c r="AI88" i="16"/>
  <c r="AH88" i="16" s="1"/>
  <c r="AG88" i="16" s="1"/>
  <c r="AF88" i="16" s="1"/>
  <c r="AI51" i="16"/>
  <c r="AH51" i="16" s="1"/>
  <c r="AG51" i="16" s="1"/>
  <c r="AF51" i="16" s="1"/>
  <c r="AI238" i="16"/>
  <c r="AH238" i="16" s="1"/>
  <c r="AG238" i="16" s="1"/>
  <c r="AF238" i="16" s="1"/>
  <c r="AI66" i="16"/>
  <c r="AH66" i="16" s="1"/>
  <c r="AG66" i="16" s="1"/>
  <c r="AF66" i="16" s="1"/>
  <c r="AI153" i="16"/>
  <c r="AH153" i="16" s="1"/>
  <c r="AG153" i="16" s="1"/>
  <c r="AF153" i="16" s="1"/>
  <c r="AI363" i="16"/>
  <c r="AH363" i="16" s="1"/>
  <c r="AG363" i="16" s="1"/>
  <c r="AF363" i="16" s="1"/>
  <c r="AI172" i="16"/>
  <c r="AH172" i="16" s="1"/>
  <c r="AG172" i="16" s="1"/>
  <c r="AF172" i="16" s="1"/>
  <c r="AI187" i="16"/>
  <c r="AH187" i="16" s="1"/>
  <c r="AG187" i="16" s="1"/>
  <c r="AF187" i="16" s="1"/>
  <c r="AI22" i="16"/>
  <c r="AH22" i="16" s="1"/>
  <c r="AG22" i="16" s="1"/>
  <c r="AF22" i="16" s="1"/>
  <c r="AI277" i="16"/>
  <c r="AH277" i="16" s="1"/>
  <c r="AG277" i="16" s="1"/>
  <c r="AF277" i="16" s="1"/>
  <c r="AI283" i="16"/>
  <c r="AH283" i="16" s="1"/>
  <c r="AG283" i="16" s="1"/>
  <c r="AF283" i="16" s="1"/>
  <c r="AI379" i="16"/>
  <c r="AH379" i="16" s="1"/>
  <c r="AI328" i="16"/>
  <c r="AH328" i="16" s="1"/>
  <c r="AG328" i="16" s="1"/>
  <c r="AF328" i="16" s="1"/>
  <c r="AI322" i="16"/>
  <c r="AH322" i="16" s="1"/>
  <c r="AG322" i="16" s="1"/>
  <c r="AF322" i="16" s="1"/>
  <c r="AI315" i="16"/>
  <c r="AH315" i="16" s="1"/>
  <c r="AG315" i="16" s="1"/>
  <c r="AF315" i="16" s="1"/>
  <c r="AI377" i="16"/>
  <c r="AH377" i="16" s="1"/>
  <c r="AG377" i="16" s="1"/>
  <c r="AF377" i="16" s="1"/>
  <c r="AI123" i="16"/>
  <c r="AH123" i="16" s="1"/>
  <c r="AG123" i="16" s="1"/>
  <c r="AF123" i="16" s="1"/>
  <c r="AI372" i="16"/>
  <c r="AH372" i="16" s="1"/>
  <c r="AG372" i="16" s="1"/>
  <c r="AF372" i="16" s="1"/>
  <c r="AI162" i="16"/>
  <c r="AH162" i="16" s="1"/>
  <c r="AG162" i="16" s="1"/>
  <c r="AF162" i="16" s="1"/>
  <c r="AI45" i="16"/>
  <c r="AH45" i="16" s="1"/>
  <c r="AG45" i="16" s="1"/>
  <c r="AF45" i="16" s="1"/>
  <c r="AI47" i="16"/>
  <c r="AH47" i="16" s="1"/>
  <c r="AG47" i="16" s="1"/>
  <c r="AF47" i="16" s="1"/>
  <c r="AI343" i="16"/>
  <c r="AH343" i="16" s="1"/>
  <c r="AG343" i="16" s="1"/>
  <c r="AF343" i="16" s="1"/>
  <c r="AI113" i="16"/>
  <c r="AH113" i="16" s="1"/>
  <c r="AG113" i="16" s="1"/>
  <c r="AF113" i="16" s="1"/>
  <c r="AI260" i="16"/>
  <c r="AH260" i="16" s="1"/>
  <c r="AG260" i="16" s="1"/>
  <c r="AF260" i="16" s="1"/>
  <c r="AI26" i="16"/>
  <c r="AH26" i="16" s="1"/>
  <c r="AG26" i="16" s="1"/>
  <c r="AF26" i="16" s="1"/>
  <c r="AI73" i="16"/>
  <c r="AH73" i="16" s="1"/>
  <c r="AG73" i="16" s="1"/>
  <c r="AF73" i="16" s="1"/>
  <c r="AI375" i="16"/>
  <c r="AH375" i="16" s="1"/>
  <c r="AG375" i="16" s="1"/>
  <c r="AF375" i="16" s="1"/>
  <c r="AI280" i="16"/>
  <c r="AH280" i="16" s="1"/>
  <c r="AG280" i="16" s="1"/>
  <c r="AF280" i="16" s="1"/>
  <c r="AI116" i="16"/>
  <c r="AH116" i="16" s="1"/>
  <c r="AG116" i="16" s="1"/>
  <c r="AF116" i="16" s="1"/>
  <c r="AI21" i="16"/>
  <c r="AH21" i="16" s="1"/>
  <c r="AG21" i="16" s="1"/>
  <c r="AF21" i="16" s="1"/>
  <c r="AI125" i="16"/>
  <c r="AH125" i="16" s="1"/>
  <c r="AG125" i="16" s="1"/>
  <c r="AF125" i="16" s="1"/>
  <c r="AI227" i="16"/>
  <c r="AH227" i="16" s="1"/>
  <c r="AG227" i="16" s="1"/>
  <c r="AF227" i="16" s="1"/>
  <c r="AI58" i="16"/>
  <c r="AH58" i="16" s="1"/>
  <c r="AG58" i="16" s="1"/>
  <c r="AF58" i="16" s="1"/>
  <c r="AI268" i="16"/>
  <c r="AH268" i="16" s="1"/>
  <c r="AG268" i="16" s="1"/>
  <c r="AF268" i="16" s="1"/>
  <c r="AI192" i="16"/>
  <c r="AH192" i="16" s="1"/>
  <c r="AG192" i="16" s="1"/>
  <c r="AF192" i="16" s="1"/>
  <c r="AI61" i="16"/>
  <c r="AH61" i="16" s="1"/>
  <c r="AG61" i="16" s="1"/>
  <c r="AF61" i="16" s="1"/>
  <c r="AI258" i="16"/>
  <c r="AH258" i="16" s="1"/>
  <c r="AG258" i="16" s="1"/>
  <c r="AF258" i="16" s="1"/>
  <c r="AI196" i="16"/>
  <c r="AH196" i="16" s="1"/>
  <c r="AG196" i="16" s="1"/>
  <c r="AF196" i="16" s="1"/>
  <c r="AI338" i="16"/>
  <c r="AH338" i="16" s="1"/>
  <c r="AG338" i="16" s="1"/>
  <c r="AF338" i="16" s="1"/>
  <c r="AI179" i="16"/>
  <c r="AH179" i="16" s="1"/>
  <c r="AG179" i="16" s="1"/>
  <c r="AF179" i="16" s="1"/>
  <c r="AI347" i="16"/>
  <c r="AH347" i="16" s="1"/>
  <c r="AG347" i="16" s="1"/>
  <c r="AF347" i="16" s="1"/>
  <c r="AI147" i="16"/>
  <c r="AH147" i="16" s="1"/>
  <c r="AG147" i="16" s="1"/>
  <c r="AF147" i="16" s="1"/>
  <c r="AI40" i="16"/>
  <c r="AH40" i="16" s="1"/>
  <c r="AG40" i="16" s="1"/>
  <c r="AF40" i="16" s="1"/>
  <c r="AI118" i="16"/>
  <c r="AH118" i="16" s="1"/>
  <c r="AG118" i="16" s="1"/>
  <c r="AF118" i="16" s="1"/>
  <c r="AI270" i="16"/>
  <c r="AH270" i="16" s="1"/>
  <c r="AG270" i="16" s="1"/>
  <c r="AF270" i="16" s="1"/>
  <c r="AI302" i="16"/>
  <c r="AH302" i="16" s="1"/>
  <c r="AG302" i="16" s="1"/>
  <c r="AF302" i="16" s="1"/>
  <c r="AI210" i="16"/>
  <c r="AH210" i="16" s="1"/>
  <c r="AG210" i="16" s="1"/>
  <c r="AF210" i="16" s="1"/>
  <c r="AI127" i="16"/>
  <c r="AH127" i="16" s="1"/>
  <c r="AG127" i="16" s="1"/>
  <c r="AF127" i="16" s="1"/>
  <c r="AI263" i="16"/>
  <c r="AH263" i="16" s="1"/>
  <c r="AG263" i="16" s="1"/>
  <c r="AF263" i="16" s="1"/>
  <c r="AI366" i="16"/>
  <c r="AH366" i="16" s="1"/>
  <c r="AG366" i="16" s="1"/>
  <c r="AF366" i="16" s="1"/>
  <c r="AI273" i="16"/>
  <c r="AH273" i="16" s="1"/>
  <c r="AG273" i="16" s="1"/>
  <c r="AF273" i="16" s="1"/>
  <c r="AI143" i="16"/>
  <c r="AH143" i="16" s="1"/>
  <c r="AG143" i="16" s="1"/>
  <c r="AF143" i="16" s="1"/>
  <c r="AI309" i="16"/>
  <c r="AH309" i="16" s="1"/>
  <c r="AG309" i="16" s="1"/>
  <c r="AF309" i="16" s="1"/>
  <c r="AI169" i="16"/>
  <c r="AH169" i="16" s="1"/>
  <c r="AG169" i="16" s="1"/>
  <c r="AF169" i="16" s="1"/>
  <c r="AI223" i="16"/>
  <c r="AH223" i="16" s="1"/>
  <c r="AG223" i="16" s="1"/>
  <c r="AF223" i="16" s="1"/>
  <c r="AI167" i="16"/>
  <c r="AH167" i="16" s="1"/>
  <c r="AG167" i="16" s="1"/>
  <c r="AF167" i="16" s="1"/>
  <c r="AI37" i="16"/>
  <c r="AH37" i="16" s="1"/>
  <c r="AG37" i="16" s="1"/>
  <c r="AF37" i="16" s="1"/>
  <c r="AI282" i="16"/>
  <c r="AH282" i="16" s="1"/>
  <c r="AG282" i="16" s="1"/>
  <c r="AF282" i="16" s="1"/>
  <c r="AI197" i="16"/>
  <c r="AH197" i="16" s="1"/>
  <c r="AG197" i="16" s="1"/>
  <c r="AF197" i="16" s="1"/>
  <c r="AI354" i="16"/>
  <c r="AH354" i="16" s="1"/>
  <c r="AG354" i="16" s="1"/>
  <c r="AF354" i="16" s="1"/>
  <c r="AI335" i="16"/>
  <c r="AH335" i="16" s="1"/>
  <c r="AG335" i="16" s="1"/>
  <c r="AF335" i="16" s="1"/>
  <c r="AI374" i="16"/>
  <c r="AH374" i="16" s="1"/>
  <c r="AG374" i="16" s="1"/>
  <c r="AF374" i="16" s="1"/>
  <c r="AI200" i="16"/>
  <c r="AH200" i="16" s="1"/>
  <c r="AG200" i="16" s="1"/>
  <c r="AF200" i="16" s="1"/>
  <c r="AI237" i="16"/>
  <c r="AH237" i="16" s="1"/>
  <c r="AG237" i="16" s="1"/>
  <c r="AF237" i="16" s="1"/>
  <c r="AI164" i="16"/>
  <c r="AH164" i="16" s="1"/>
  <c r="AG164" i="16" s="1"/>
  <c r="AF164" i="16" s="1"/>
  <c r="AI188" i="16"/>
  <c r="AH188" i="16" s="1"/>
  <c r="AG188" i="16" s="1"/>
  <c r="AF188" i="16" s="1"/>
  <c r="AI226" i="16"/>
  <c r="AH226" i="16" s="1"/>
  <c r="AG226" i="16" s="1"/>
  <c r="AF226" i="16" s="1"/>
  <c r="AI352" i="16"/>
  <c r="AH352" i="16" s="1"/>
  <c r="AG352" i="16" s="1"/>
  <c r="AF352" i="16" s="1"/>
  <c r="AI353" i="16"/>
  <c r="AH353" i="16" s="1"/>
  <c r="AG353" i="16" s="1"/>
  <c r="AF353" i="16" s="1"/>
  <c r="AI360" i="16"/>
  <c r="AH360" i="16" s="1"/>
  <c r="AG360" i="16" s="1"/>
  <c r="AF360" i="16" s="1"/>
  <c r="AI105" i="16"/>
  <c r="AH105" i="16" s="1"/>
  <c r="AG105" i="16" s="1"/>
  <c r="AF105" i="16" s="1"/>
  <c r="AI320" i="16"/>
  <c r="AH320" i="16" s="1"/>
  <c r="AG320" i="16" s="1"/>
  <c r="AF320" i="16" s="1"/>
  <c r="AI275" i="16"/>
  <c r="AH275" i="16" s="1"/>
  <c r="AG275" i="16" s="1"/>
  <c r="AF275" i="16" s="1"/>
  <c r="AI236" i="16"/>
  <c r="AH236" i="16" s="1"/>
  <c r="AG236" i="16" s="1"/>
  <c r="AF236" i="16" s="1"/>
  <c r="AI205" i="16"/>
  <c r="AH205" i="16" s="1"/>
  <c r="AG205" i="16" s="1"/>
  <c r="AF205" i="16" s="1"/>
  <c r="AI345" i="16"/>
  <c r="AH345" i="16" s="1"/>
  <c r="AG345" i="16" s="1"/>
  <c r="AF345" i="16" s="1"/>
  <c r="AI136" i="16"/>
  <c r="AH136" i="16" s="1"/>
  <c r="AG136" i="16" s="1"/>
  <c r="AF136" i="16" s="1"/>
  <c r="AI288" i="16"/>
  <c r="AH288" i="16" s="1"/>
  <c r="AG288" i="16" s="1"/>
  <c r="AF288" i="16" s="1"/>
  <c r="AI117" i="16"/>
  <c r="AH117" i="16" s="1"/>
  <c r="AG117" i="16" s="1"/>
  <c r="AF117" i="16" s="1"/>
  <c r="AI106" i="16"/>
  <c r="AH106" i="16" s="1"/>
  <c r="AG106" i="16" s="1"/>
  <c r="AF106" i="16" s="1"/>
  <c r="AI229" i="16"/>
  <c r="AH229" i="16" s="1"/>
  <c r="AG229" i="16" s="1"/>
  <c r="AF229" i="16" s="1"/>
  <c r="AI53" i="16"/>
  <c r="AH53" i="16" s="1"/>
  <c r="AG53" i="16" s="1"/>
  <c r="AF53" i="16" s="1"/>
  <c r="AI230" i="16"/>
  <c r="AH230" i="16" s="1"/>
  <c r="AG230" i="16" s="1"/>
  <c r="AF230" i="16" s="1"/>
  <c r="AI367" i="16"/>
  <c r="AH367" i="16" s="1"/>
  <c r="AG367" i="16" s="1"/>
  <c r="AF367" i="16" s="1"/>
  <c r="AI32" i="16"/>
  <c r="AH32" i="16" s="1"/>
  <c r="AG32" i="16" s="1"/>
  <c r="AF32" i="16" s="1"/>
  <c r="AI294" i="16"/>
  <c r="AH294" i="16" s="1"/>
  <c r="AG294" i="16" s="1"/>
  <c r="AF294" i="16" s="1"/>
  <c r="AI130" i="16"/>
  <c r="AH130" i="16" s="1"/>
  <c r="AG130" i="16" s="1"/>
  <c r="AF130" i="16" s="1"/>
  <c r="AI207" i="16"/>
  <c r="AH207" i="16" s="1"/>
  <c r="AG207" i="16" s="1"/>
  <c r="AF207" i="16" s="1"/>
  <c r="AI285" i="16"/>
  <c r="AH285" i="16" s="1"/>
  <c r="AG285" i="16" s="1"/>
  <c r="AF285" i="16" s="1"/>
  <c r="AI156" i="16"/>
  <c r="AH156" i="16" s="1"/>
  <c r="AG156" i="16" s="1"/>
  <c r="AF156" i="16" s="1"/>
  <c r="AI324" i="16"/>
  <c r="AH324" i="16" s="1"/>
  <c r="AG324" i="16" s="1"/>
  <c r="AF324" i="16" s="1"/>
  <c r="AI91" i="16"/>
  <c r="AH91" i="16" s="1"/>
  <c r="AG91" i="16" s="1"/>
  <c r="AF91" i="16" s="1"/>
  <c r="AI77" i="16"/>
  <c r="AH77" i="16" s="1"/>
  <c r="AG77" i="16" s="1"/>
  <c r="AF77" i="16" s="1"/>
  <c r="AI48" i="16"/>
  <c r="AH48" i="16" s="1"/>
  <c r="AG48" i="16" s="1"/>
  <c r="AF48" i="16" s="1"/>
  <c r="AI289" i="16"/>
  <c r="AH289" i="16" s="1"/>
  <c r="AG289" i="16" s="1"/>
  <c r="AF289" i="16" s="1"/>
  <c r="AI79" i="16"/>
  <c r="AH79" i="16" s="1"/>
  <c r="AG79" i="16" s="1"/>
  <c r="AF79" i="16" s="1"/>
  <c r="AI319" i="16"/>
  <c r="AH319" i="16" s="1"/>
  <c r="AG319" i="16" s="1"/>
  <c r="AF319" i="16" s="1"/>
  <c r="AI46" i="16"/>
  <c r="AH46" i="16" s="1"/>
  <c r="AG46" i="16" s="1"/>
  <c r="AF46" i="16" s="1"/>
  <c r="AI287" i="16"/>
  <c r="AH287" i="16" s="1"/>
  <c r="AG287" i="16" s="1"/>
  <c r="AF287" i="16" s="1"/>
  <c r="AI330" i="16"/>
  <c r="AH330" i="16" s="1"/>
  <c r="AG330" i="16" s="1"/>
  <c r="AF330" i="16" s="1"/>
  <c r="AI228" i="16"/>
  <c r="AH228" i="16" s="1"/>
  <c r="AG228" i="16" s="1"/>
  <c r="AF228" i="16" s="1"/>
  <c r="AI101" i="16"/>
  <c r="AH101" i="16" s="1"/>
  <c r="AG101" i="16" s="1"/>
  <c r="AF101" i="16" s="1"/>
  <c r="AI264" i="16"/>
  <c r="AH264" i="16" s="1"/>
  <c r="AG264" i="16" s="1"/>
  <c r="AF264" i="16" s="1"/>
  <c r="AI178" i="16"/>
  <c r="AH178" i="16" s="1"/>
  <c r="AG178" i="16" s="1"/>
  <c r="AF178" i="16" s="1"/>
  <c r="AI325" i="16"/>
  <c r="AH325" i="16" s="1"/>
  <c r="AG325" i="16" s="1"/>
  <c r="AF325" i="16" s="1"/>
  <c r="AI195" i="16"/>
  <c r="AH195" i="16" s="1"/>
  <c r="AG195" i="16" s="1"/>
  <c r="AF195" i="16" s="1"/>
  <c r="AI312" i="16"/>
  <c r="AH312" i="16" s="1"/>
  <c r="AG312" i="16" s="1"/>
  <c r="AF312" i="16" s="1"/>
  <c r="AI274" i="16"/>
  <c r="AH274" i="16" s="1"/>
  <c r="AG274" i="16" s="1"/>
  <c r="AF274" i="16" s="1"/>
  <c r="AI67" i="16"/>
  <c r="AH67" i="16" s="1"/>
  <c r="AG67" i="16" s="1"/>
  <c r="AF67" i="16" s="1"/>
  <c r="AI31" i="16"/>
  <c r="AH31" i="16" s="1"/>
  <c r="AG31" i="16" s="1"/>
  <c r="AF31" i="16" s="1"/>
  <c r="AI115" i="16"/>
  <c r="AH115" i="16" s="1"/>
  <c r="AG115" i="16" s="1"/>
  <c r="AF115" i="16" s="1"/>
  <c r="AI41" i="16"/>
  <c r="AH41" i="16" s="1"/>
  <c r="AG41" i="16" s="1"/>
  <c r="AF41" i="16" s="1"/>
  <c r="AI59" i="16"/>
  <c r="AH59" i="16" s="1"/>
  <c r="AG59" i="16" s="1"/>
  <c r="AF59" i="16" s="1"/>
  <c r="AI284" i="16"/>
  <c r="AH284" i="16" s="1"/>
  <c r="AG284" i="16" s="1"/>
  <c r="AF284" i="16" s="1"/>
  <c r="AI361" i="16"/>
  <c r="AH361" i="16" s="1"/>
  <c r="AG361" i="16" s="1"/>
  <c r="AF361" i="16" s="1"/>
  <c r="AI168" i="16"/>
  <c r="AH168" i="16" s="1"/>
  <c r="AG168" i="16" s="1"/>
  <c r="AF168" i="16" s="1"/>
  <c r="AI304" i="16"/>
  <c r="AH304" i="16" s="1"/>
  <c r="AG304" i="16" s="1"/>
  <c r="AF304" i="16" s="1"/>
  <c r="AI161" i="16"/>
  <c r="AH161" i="16" s="1"/>
  <c r="AG161" i="16" s="1"/>
  <c r="AF161" i="16" s="1"/>
  <c r="AI349" i="16"/>
  <c r="AH349" i="16" s="1"/>
  <c r="AG349" i="16" s="1"/>
  <c r="AF349" i="16" s="1"/>
  <c r="AI132" i="16"/>
  <c r="AH132" i="16" s="1"/>
  <c r="AG132" i="16" s="1"/>
  <c r="AF132" i="16" s="1"/>
  <c r="AI109" i="16"/>
  <c r="AH109" i="16" s="1"/>
  <c r="AG109" i="16" s="1"/>
  <c r="AF109" i="16" s="1"/>
  <c r="AI180" i="16"/>
  <c r="AH180" i="16" s="1"/>
  <c r="AG180" i="16" s="1"/>
  <c r="AF180" i="16" s="1"/>
  <c r="AI194" i="16"/>
  <c r="AH194" i="16" s="1"/>
  <c r="AG194" i="16" s="1"/>
  <c r="AF194" i="16" s="1"/>
  <c r="AI369" i="16"/>
  <c r="AH369" i="16" s="1"/>
  <c r="AG369" i="16" s="1"/>
  <c r="AF369" i="16" s="1"/>
  <c r="AI173" i="16"/>
  <c r="AH173" i="16" s="1"/>
  <c r="AG173" i="16" s="1"/>
  <c r="AF173" i="16" s="1"/>
  <c r="AI157" i="16"/>
  <c r="AH157" i="16" s="1"/>
  <c r="AG157" i="16" s="1"/>
  <c r="AF157" i="16" s="1"/>
  <c r="AI154" i="16"/>
  <c r="AH154" i="16" s="1"/>
  <c r="AG154" i="16" s="1"/>
  <c r="AF154" i="16" s="1"/>
  <c r="AI94" i="16"/>
  <c r="AH94" i="16" s="1"/>
  <c r="AG94" i="16" s="1"/>
  <c r="AF94" i="16" s="1"/>
  <c r="AI342" i="16"/>
  <c r="AH342" i="16" s="1"/>
  <c r="AG342" i="16" s="1"/>
  <c r="AF342" i="16" s="1"/>
  <c r="AI62" i="16"/>
  <c r="AH62" i="16" s="1"/>
  <c r="AG62" i="16" s="1"/>
  <c r="AF62" i="16" s="1"/>
  <c r="AI75" i="16"/>
  <c r="AH75" i="16" s="1"/>
  <c r="AG75" i="16" s="1"/>
  <c r="AF75" i="16" s="1"/>
  <c r="AI148" i="16"/>
  <c r="AH148" i="16" s="1"/>
  <c r="AG148" i="16" s="1"/>
  <c r="AF148" i="16" s="1"/>
  <c r="AI150" i="16"/>
  <c r="AH150" i="16" s="1"/>
  <c r="AG150" i="16" s="1"/>
  <c r="AF150" i="16" s="1"/>
  <c r="AI215" i="16"/>
  <c r="AH215" i="16" s="1"/>
  <c r="AG215" i="16" s="1"/>
  <c r="AF215" i="16" s="1"/>
  <c r="AI100" i="16"/>
  <c r="AH100" i="16" s="1"/>
  <c r="AG100" i="16" s="1"/>
  <c r="AF100" i="16" s="1"/>
  <c r="AI222" i="16"/>
  <c r="AH222" i="16" s="1"/>
  <c r="AG222" i="16" s="1"/>
  <c r="AF222" i="16" s="1"/>
  <c r="AI184" i="16"/>
  <c r="AH184" i="16" s="1"/>
  <c r="AG184" i="16" s="1"/>
  <c r="AF184" i="16" s="1"/>
  <c r="AI212" i="16"/>
  <c r="AH212" i="16" s="1"/>
  <c r="AG212" i="16" s="1"/>
  <c r="AF212" i="16" s="1"/>
  <c r="AI291" i="16"/>
  <c r="AH291" i="16" s="1"/>
  <c r="AG291" i="16" s="1"/>
  <c r="AF291" i="16" s="1"/>
  <c r="AI362" i="16"/>
  <c r="AH362" i="16" s="1"/>
  <c r="AG362" i="16" s="1"/>
  <c r="AF362" i="16" s="1"/>
  <c r="AI307" i="16"/>
  <c r="AH307" i="16" s="1"/>
  <c r="AG307" i="16" s="1"/>
  <c r="AF307" i="16" s="1"/>
  <c r="AI38" i="16"/>
  <c r="AH38" i="16" s="1"/>
  <c r="AG38" i="16" s="1"/>
  <c r="AF38" i="16" s="1"/>
  <c r="AI85" i="16"/>
  <c r="AH85" i="16" s="1"/>
  <c r="AG85" i="16" s="1"/>
  <c r="AF85" i="16" s="1"/>
  <c r="AI193" i="16"/>
  <c r="AH193" i="16" s="1"/>
  <c r="AG193" i="16" s="1"/>
  <c r="AF193" i="16" s="1"/>
  <c r="AI245" i="16"/>
  <c r="AH245" i="16" s="1"/>
  <c r="AG245" i="16" s="1"/>
  <c r="AF245" i="16" s="1"/>
  <c r="AI359" i="16"/>
  <c r="AH359" i="16" s="1"/>
  <c r="AG359" i="16" s="1"/>
  <c r="AF359" i="16" s="1"/>
  <c r="AI185" i="16"/>
  <c r="AH185" i="16" s="1"/>
  <c r="AG185" i="16" s="1"/>
  <c r="AF185" i="16" s="1"/>
  <c r="AI253" i="16"/>
  <c r="AH253" i="16" s="1"/>
  <c r="AG253" i="16" s="1"/>
  <c r="AF253" i="16" s="1"/>
  <c r="AI134" i="16"/>
  <c r="AH134" i="16" s="1"/>
  <c r="AG134" i="16" s="1"/>
  <c r="AF134" i="16" s="1"/>
  <c r="AI49" i="16"/>
  <c r="AH49" i="16" s="1"/>
  <c r="AG49" i="16" s="1"/>
  <c r="AF49" i="16" s="1"/>
  <c r="AI155" i="16"/>
  <c r="AH155" i="16" s="1"/>
  <c r="AG155" i="16" s="1"/>
  <c r="AF155" i="16" s="1"/>
  <c r="AI201" i="16"/>
  <c r="AH201" i="16" s="1"/>
  <c r="AG201" i="16" s="1"/>
  <c r="AF201" i="16" s="1"/>
  <c r="AI243" i="16"/>
  <c r="AH243" i="16" s="1"/>
  <c r="AG243" i="16" s="1"/>
  <c r="AF243" i="16" s="1"/>
  <c r="AI326" i="16"/>
  <c r="AH326" i="16" s="1"/>
  <c r="AG326" i="16" s="1"/>
  <c r="AF326" i="16" s="1"/>
  <c r="AI74" i="16"/>
  <c r="AH74" i="16" s="1"/>
  <c r="AG74" i="16" s="1"/>
  <c r="AF74" i="16" s="1"/>
  <c r="AI19" i="16"/>
  <c r="AH19" i="16" s="1"/>
  <c r="AG19" i="16" s="1"/>
  <c r="AF19" i="16" s="1"/>
  <c r="AI124" i="16"/>
  <c r="AH124" i="16" s="1"/>
  <c r="AG124" i="16" s="1"/>
  <c r="AF124" i="16" s="1"/>
  <c r="AI251" i="16"/>
  <c r="AH251" i="16" s="1"/>
  <c r="AG251" i="16" s="1"/>
  <c r="AF251" i="16" s="1"/>
  <c r="AI55" i="16"/>
  <c r="AH55" i="16" s="1"/>
  <c r="AG55" i="16" s="1"/>
  <c r="AF55" i="16" s="1"/>
  <c r="AI17" i="16"/>
  <c r="AH17" i="16" s="1"/>
  <c r="AG17" i="16" s="1"/>
  <c r="AF17" i="16" s="1"/>
  <c r="AI36" i="16"/>
  <c r="AH36" i="16" s="1"/>
  <c r="AG36" i="16" s="1"/>
  <c r="AF36" i="16" s="1"/>
  <c r="AI248" i="16"/>
  <c r="AH248" i="16" s="1"/>
  <c r="AG248" i="16" s="1"/>
  <c r="AF248" i="16" s="1"/>
  <c r="AI84" i="16"/>
  <c r="AH84" i="16" s="1"/>
  <c r="AG84" i="16" s="1"/>
  <c r="AF84" i="16" s="1"/>
  <c r="AI76" i="16"/>
  <c r="AH76" i="16" s="1"/>
  <c r="AG76" i="16" s="1"/>
  <c r="AF76" i="16" s="1"/>
  <c r="AI239" i="16"/>
  <c r="AH239" i="16" s="1"/>
  <c r="AG239" i="16" s="1"/>
  <c r="AF239" i="16" s="1"/>
  <c r="AI299" i="16"/>
  <c r="AH299" i="16" s="1"/>
  <c r="AG299" i="16" s="1"/>
  <c r="AF299" i="16" s="1"/>
  <c r="AI181" i="16"/>
  <c r="AH181" i="16" s="1"/>
  <c r="AG181" i="16" s="1"/>
  <c r="AF181" i="16" s="1"/>
  <c r="AI30" i="16"/>
  <c r="AH30" i="16" s="1"/>
  <c r="AG30" i="16" s="1"/>
  <c r="AF30" i="16" s="1"/>
  <c r="AI86" i="16"/>
  <c r="AH86" i="16" s="1"/>
  <c r="AG86" i="16" s="1"/>
  <c r="AF86" i="16" s="1"/>
  <c r="AI341" i="16"/>
  <c r="AH341" i="16" s="1"/>
  <c r="AG341" i="16" s="1"/>
  <c r="AF341" i="16" s="1"/>
  <c r="AI292" i="16"/>
  <c r="AH292" i="16" s="1"/>
  <c r="AG292" i="16" s="1"/>
  <c r="AF292" i="16" s="1"/>
  <c r="AI33" i="16"/>
  <c r="AH33" i="16" s="1"/>
  <c r="AG33" i="16" s="1"/>
  <c r="AF33" i="16" s="1"/>
  <c r="AI44" i="16"/>
  <c r="AH44" i="16" s="1"/>
  <c r="AG44" i="16" s="1"/>
  <c r="AF44" i="16" s="1"/>
  <c r="AI321" i="16"/>
  <c r="AH321" i="16" s="1"/>
  <c r="AG321" i="16" s="1"/>
  <c r="AF321" i="16" s="1"/>
  <c r="AI380" i="16"/>
  <c r="AH380" i="16" s="1"/>
  <c r="AG380" i="16" s="1"/>
  <c r="AF380" i="16" s="1"/>
  <c r="AI18" i="16"/>
  <c r="AH18" i="16" s="1"/>
  <c r="AG18" i="16" s="1"/>
  <c r="AF18" i="16" s="1"/>
  <c r="AI203" i="16"/>
  <c r="AH203" i="16" s="1"/>
  <c r="AG203" i="16" s="1"/>
  <c r="AF203" i="16" s="1"/>
  <c r="AI278" i="16"/>
  <c r="AH278" i="16" s="1"/>
  <c r="AG278" i="16" s="1"/>
  <c r="AF278" i="16" s="1"/>
  <c r="AI151" i="16"/>
  <c r="AH151" i="16" s="1"/>
  <c r="AG151" i="16" s="1"/>
  <c r="AF151" i="16" s="1"/>
  <c r="AI70" i="16"/>
  <c r="AH70" i="16" s="1"/>
  <c r="AG70" i="16" s="1"/>
  <c r="AF70" i="16" s="1"/>
  <c r="AI82" i="16"/>
  <c r="AH82" i="16" s="1"/>
  <c r="AG82" i="16" s="1"/>
  <c r="AF82" i="16" s="1"/>
  <c r="AI50" i="16"/>
  <c r="AH50" i="16" s="1"/>
  <c r="AG50" i="16" s="1"/>
  <c r="AF50" i="16" s="1"/>
  <c r="U71" i="16"/>
  <c r="T71" i="16" s="1"/>
  <c r="S71" i="16" s="1"/>
  <c r="R71" i="16" s="1"/>
  <c r="U138" i="16"/>
  <c r="T138" i="16" s="1"/>
  <c r="S138" i="16" s="1"/>
  <c r="R138" i="16" s="1"/>
  <c r="U119" i="16"/>
  <c r="T119" i="16" s="1"/>
  <c r="S119" i="16" s="1"/>
  <c r="R119" i="16" s="1"/>
  <c r="U339" i="16"/>
  <c r="T339" i="16" s="1"/>
  <c r="S339" i="16" s="1"/>
  <c r="R339" i="16" s="1"/>
  <c r="U193" i="16"/>
  <c r="T193" i="16" s="1"/>
  <c r="S193" i="16" s="1"/>
  <c r="R193" i="16" s="1"/>
  <c r="U121" i="16"/>
  <c r="T121" i="16" s="1"/>
  <c r="S121" i="16" s="1"/>
  <c r="R121" i="16" s="1"/>
  <c r="U97" i="16"/>
  <c r="T97" i="16" s="1"/>
  <c r="S97" i="16" s="1"/>
  <c r="R97" i="16" s="1"/>
  <c r="U179" i="16"/>
  <c r="T179" i="16" s="1"/>
  <c r="S179" i="16" s="1"/>
  <c r="R179" i="16" s="1"/>
  <c r="U199" i="16"/>
  <c r="T199" i="16" s="1"/>
  <c r="S199" i="16" s="1"/>
  <c r="R199" i="16" s="1"/>
  <c r="U129" i="16"/>
  <c r="T129" i="16" s="1"/>
  <c r="S129" i="16" s="1"/>
  <c r="R129" i="16" s="1"/>
  <c r="U140" i="16"/>
  <c r="T140" i="16" s="1"/>
  <c r="S140" i="16" s="1"/>
  <c r="R140" i="16" s="1"/>
  <c r="U237" i="16"/>
  <c r="T237" i="16" s="1"/>
  <c r="S237" i="16" s="1"/>
  <c r="R237" i="16" s="1"/>
  <c r="U299" i="16"/>
  <c r="T299" i="16" s="1"/>
  <c r="S299" i="16" s="1"/>
  <c r="R299" i="16" s="1"/>
  <c r="U68" i="16"/>
  <c r="T68" i="16" s="1"/>
  <c r="S68" i="16" s="1"/>
  <c r="R68" i="16" s="1"/>
  <c r="U64" i="16"/>
  <c r="T64" i="16" s="1"/>
  <c r="S64" i="16" s="1"/>
  <c r="R64" i="16" s="1"/>
  <c r="U60" i="16"/>
  <c r="T60" i="16" s="1"/>
  <c r="S60" i="16" s="1"/>
  <c r="R60" i="16" s="1"/>
  <c r="U206" i="16"/>
  <c r="T206" i="16" s="1"/>
  <c r="S206" i="16" s="1"/>
  <c r="R206" i="16" s="1"/>
  <c r="U364" i="16"/>
  <c r="T364" i="16" s="1"/>
  <c r="S364" i="16" s="1"/>
  <c r="R364" i="16" s="1"/>
  <c r="U278" i="16"/>
  <c r="T278" i="16" s="1"/>
  <c r="S278" i="16" s="1"/>
  <c r="R278" i="16" s="1"/>
  <c r="U347" i="16"/>
  <c r="T347" i="16" s="1"/>
  <c r="S347" i="16" s="1"/>
  <c r="R347" i="16" s="1"/>
  <c r="U263" i="16"/>
  <c r="T263" i="16" s="1"/>
  <c r="S263" i="16" s="1"/>
  <c r="R263" i="16" s="1"/>
  <c r="U190" i="16"/>
  <c r="T190" i="16" s="1"/>
  <c r="S190" i="16" s="1"/>
  <c r="R190" i="16" s="1"/>
  <c r="U66" i="16"/>
  <c r="T66" i="16" s="1"/>
  <c r="S66" i="16" s="1"/>
  <c r="R66" i="16" s="1"/>
  <c r="U362" i="16"/>
  <c r="T362" i="16" s="1"/>
  <c r="S362" i="16" s="1"/>
  <c r="R362" i="16" s="1"/>
  <c r="U137" i="16"/>
  <c r="T137" i="16" s="1"/>
  <c r="S137" i="16" s="1"/>
  <c r="R137" i="16" s="1"/>
  <c r="U183" i="16"/>
  <c r="T183" i="16" s="1"/>
  <c r="S183" i="16" s="1"/>
  <c r="R183" i="16" s="1"/>
  <c r="U293" i="16"/>
  <c r="T293" i="16" s="1"/>
  <c r="S293" i="16" s="1"/>
  <c r="R293" i="16" s="1"/>
  <c r="U353" i="16"/>
  <c r="T353" i="16" s="1"/>
  <c r="S353" i="16" s="1"/>
  <c r="R353" i="16" s="1"/>
  <c r="U284" i="16"/>
  <c r="T284" i="16" s="1"/>
  <c r="S284" i="16" s="1"/>
  <c r="R284" i="16" s="1"/>
  <c r="U22" i="16"/>
  <c r="T22" i="16" s="1"/>
  <c r="S22" i="16" s="1"/>
  <c r="R22" i="16" s="1"/>
  <c r="U172" i="16"/>
  <c r="T172" i="16" s="1"/>
  <c r="S172" i="16" s="1"/>
  <c r="R172" i="16" s="1"/>
  <c r="U359" i="16"/>
  <c r="T359" i="16" s="1"/>
  <c r="S359" i="16" s="1"/>
  <c r="R359" i="16" s="1"/>
  <c r="U320" i="16"/>
  <c r="T320" i="16" s="1"/>
  <c r="S320" i="16" s="1"/>
  <c r="R320" i="16" s="1"/>
  <c r="P320" i="16" s="1"/>
  <c r="U164" i="16"/>
  <c r="T164" i="16" s="1"/>
  <c r="S164" i="16" s="1"/>
  <c r="R164" i="16" s="1"/>
  <c r="U72" i="16"/>
  <c r="T72" i="16" s="1"/>
  <c r="S72" i="16" s="1"/>
  <c r="R72" i="16" s="1"/>
  <c r="G127" i="15"/>
  <c r="BX127" i="6" s="1"/>
  <c r="U166" i="16"/>
  <c r="T166" i="16" s="1"/>
  <c r="S166" i="16" s="1"/>
  <c r="R166" i="16" s="1"/>
  <c r="U255" i="16"/>
  <c r="T255" i="16" s="1"/>
  <c r="S255" i="16" s="1"/>
  <c r="R255" i="16" s="1"/>
  <c r="U326" i="16"/>
  <c r="T326" i="16" s="1"/>
  <c r="S326" i="16" s="1"/>
  <c r="R326" i="16" s="1"/>
  <c r="U230" i="16"/>
  <c r="T230" i="16" s="1"/>
  <c r="S230" i="16" s="1"/>
  <c r="R230" i="16" s="1"/>
  <c r="U266" i="16"/>
  <c r="T266" i="16" s="1"/>
  <c r="S266" i="16" s="1"/>
  <c r="R266" i="16" s="1"/>
  <c r="U250" i="16"/>
  <c r="T250" i="16" s="1"/>
  <c r="S250" i="16" s="1"/>
  <c r="R250" i="16" s="1"/>
  <c r="U270" i="16"/>
  <c r="T270" i="16" s="1"/>
  <c r="S270" i="16" s="1"/>
  <c r="R270" i="16" s="1"/>
  <c r="U28" i="16"/>
  <c r="T28" i="16" s="1"/>
  <c r="S28" i="16" s="1"/>
  <c r="R28" i="16" s="1"/>
  <c r="U131" i="16"/>
  <c r="T131" i="16" s="1"/>
  <c r="S131" i="16" s="1"/>
  <c r="R131" i="16" s="1"/>
  <c r="U151" i="16"/>
  <c r="T151" i="16" s="1"/>
  <c r="S151" i="16" s="1"/>
  <c r="R151" i="16" s="1"/>
  <c r="U105" i="16"/>
  <c r="T105" i="16" s="1"/>
  <c r="S105" i="16" s="1"/>
  <c r="R105" i="16" s="1"/>
  <c r="U334" i="16"/>
  <c r="T334" i="16" s="1"/>
  <c r="S334" i="16" s="1"/>
  <c r="R334" i="16" s="1"/>
  <c r="U260" i="16"/>
  <c r="T260" i="16" s="1"/>
  <c r="S260" i="16" s="1"/>
  <c r="R260" i="16" s="1"/>
  <c r="U92" i="16"/>
  <c r="T92" i="16" s="1"/>
  <c r="S92" i="16" s="1"/>
  <c r="R92" i="16" s="1"/>
  <c r="U76" i="16"/>
  <c r="T76" i="16" s="1"/>
  <c r="S76" i="16" s="1"/>
  <c r="R76" i="16" s="1"/>
  <c r="U174" i="16"/>
  <c r="T174" i="16" s="1"/>
  <c r="S174" i="16" s="1"/>
  <c r="R174" i="16" s="1"/>
  <c r="U33" i="16"/>
  <c r="T33" i="16" s="1"/>
  <c r="S33" i="16" s="1"/>
  <c r="R33" i="16" s="1"/>
  <c r="U343" i="16"/>
  <c r="T343" i="16" s="1"/>
  <c r="S343" i="16" s="1"/>
  <c r="R343" i="16" s="1"/>
  <c r="U297" i="16"/>
  <c r="T297" i="16" s="1"/>
  <c r="S297" i="16" s="1"/>
  <c r="R297" i="16" s="1"/>
  <c r="U205" i="16"/>
  <c r="T205" i="16" s="1"/>
  <c r="S205" i="16" s="1"/>
  <c r="R205" i="16" s="1"/>
  <c r="U147" i="16"/>
  <c r="T147" i="16" s="1"/>
  <c r="S147" i="16" s="1"/>
  <c r="R147" i="16" s="1"/>
  <c r="U173" i="16"/>
  <c r="T173" i="16" s="1"/>
  <c r="S173" i="16" s="1"/>
  <c r="R173" i="16" s="1"/>
  <c r="U244" i="16"/>
  <c r="T244" i="16" s="1"/>
  <c r="S244" i="16" s="1"/>
  <c r="R244" i="16" s="1"/>
  <c r="U83" i="16"/>
  <c r="T83" i="16" s="1"/>
  <c r="S83" i="16" s="1"/>
  <c r="R83" i="16" s="1"/>
  <c r="U324" i="16"/>
  <c r="T324" i="16" s="1"/>
  <c r="S324" i="16" s="1"/>
  <c r="R324" i="16" s="1"/>
  <c r="U130" i="16"/>
  <c r="T130" i="16" s="1"/>
  <c r="S130" i="16" s="1"/>
  <c r="R130" i="16" s="1"/>
  <c r="U330" i="16"/>
  <c r="T330" i="16" s="1"/>
  <c r="S330" i="16" s="1"/>
  <c r="R330" i="16" s="1"/>
  <c r="U62" i="16"/>
  <c r="T62" i="16" s="1"/>
  <c r="S62" i="16" s="1"/>
  <c r="R62" i="16" s="1"/>
  <c r="U113" i="16"/>
  <c r="T113" i="16" s="1"/>
  <c r="S113" i="16" s="1"/>
  <c r="R113" i="16" s="1"/>
  <c r="U287" i="16"/>
  <c r="T287" i="16" s="1"/>
  <c r="S287" i="16" s="1"/>
  <c r="R287" i="16" s="1"/>
  <c r="U74" i="16"/>
  <c r="T74" i="16" s="1"/>
  <c r="S74" i="16" s="1"/>
  <c r="R74" i="16" s="1"/>
  <c r="U309" i="16"/>
  <c r="T309" i="16" s="1"/>
  <c r="S309" i="16" s="1"/>
  <c r="R309" i="16" s="1"/>
  <c r="U337" i="16"/>
  <c r="T337" i="16" s="1"/>
  <c r="S337" i="16" s="1"/>
  <c r="R337" i="16" s="1"/>
  <c r="P337" i="16" s="1"/>
  <c r="U58" i="16"/>
  <c r="T58" i="16" s="1"/>
  <c r="S58" i="16" s="1"/>
  <c r="R58" i="16" s="1"/>
  <c r="U246" i="16"/>
  <c r="T246" i="16" s="1"/>
  <c r="S246" i="16" s="1"/>
  <c r="R246" i="16" s="1"/>
  <c r="P246" i="16" s="1"/>
  <c r="U366" i="16"/>
  <c r="T366" i="16" s="1"/>
  <c r="S366" i="16" s="1"/>
  <c r="R366" i="16" s="1"/>
  <c r="U328" i="16"/>
  <c r="T328" i="16" s="1"/>
  <c r="S328" i="16" s="1"/>
  <c r="R328" i="16" s="1"/>
  <c r="U35" i="16"/>
  <c r="T35" i="16" s="1"/>
  <c r="S35" i="16" s="1"/>
  <c r="R35" i="16" s="1"/>
  <c r="U251" i="16"/>
  <c r="T251" i="16" s="1"/>
  <c r="S251" i="16" s="1"/>
  <c r="R251" i="16" s="1"/>
  <c r="U197" i="16"/>
  <c r="T197" i="16" s="1"/>
  <c r="S197" i="16" s="1"/>
  <c r="R197" i="16" s="1"/>
  <c r="U152" i="16"/>
  <c r="T152" i="16" s="1"/>
  <c r="S152" i="16" s="1"/>
  <c r="R152" i="16" s="1"/>
  <c r="U20" i="16"/>
  <c r="T20" i="16" s="1"/>
  <c r="S20" i="16" s="1"/>
  <c r="R20" i="16" s="1"/>
  <c r="U378" i="16"/>
  <c r="T378" i="16" s="1"/>
  <c r="S378" i="16" s="1"/>
  <c r="R378" i="16" s="1"/>
  <c r="U106" i="16"/>
  <c r="T106" i="16" s="1"/>
  <c r="S106" i="16" s="1"/>
  <c r="R106" i="16" s="1"/>
  <c r="U81" i="16"/>
  <c r="T81" i="16" s="1"/>
  <c r="S81" i="16" s="1"/>
  <c r="R81" i="16" s="1"/>
  <c r="U215" i="16"/>
  <c r="T215" i="16" s="1"/>
  <c r="S215" i="16" s="1"/>
  <c r="R215" i="16" s="1"/>
  <c r="U225" i="16"/>
  <c r="T225" i="16" s="1"/>
  <c r="S225" i="16" s="1"/>
  <c r="R225" i="16" s="1"/>
  <c r="P225" i="16" s="1"/>
  <c r="U194" i="16"/>
  <c r="T194" i="16" s="1"/>
  <c r="S194" i="16" s="1"/>
  <c r="R194" i="16" s="1"/>
  <c r="U372" i="16"/>
  <c r="T372" i="16" s="1"/>
  <c r="S372" i="16" s="1"/>
  <c r="R372" i="16" s="1"/>
  <c r="U158" i="16"/>
  <c r="T158" i="16" s="1"/>
  <c r="S158" i="16" s="1"/>
  <c r="R158" i="16" s="1"/>
  <c r="U376" i="16"/>
  <c r="T376" i="16" s="1"/>
  <c r="S376" i="16" s="1"/>
  <c r="R376" i="16" s="1"/>
  <c r="P376" i="16" s="1"/>
  <c r="U241" i="16"/>
  <c r="T241" i="16" s="1"/>
  <c r="S241" i="16" s="1"/>
  <c r="R241" i="16" s="1"/>
  <c r="U21" i="16"/>
  <c r="T21" i="16" s="1"/>
  <c r="S21" i="16" s="1"/>
  <c r="R21" i="16" s="1"/>
  <c r="U86" i="16"/>
  <c r="T86" i="16" s="1"/>
  <c r="S86" i="16" s="1"/>
  <c r="R86" i="16" s="1"/>
  <c r="U361" i="16"/>
  <c r="T361" i="16" s="1"/>
  <c r="S361" i="16" s="1"/>
  <c r="R361" i="16" s="1"/>
  <c r="U358" i="16"/>
  <c r="T358" i="16" s="1"/>
  <c r="S358" i="16" s="1"/>
  <c r="R358" i="16" s="1"/>
  <c r="U55" i="16"/>
  <c r="T55" i="16" s="1"/>
  <c r="S55" i="16" s="1"/>
  <c r="R55" i="16" s="1"/>
  <c r="P55" i="16" s="1"/>
  <c r="U53" i="16"/>
  <c r="T53" i="16" s="1"/>
  <c r="S53" i="16" s="1"/>
  <c r="R53" i="16" s="1"/>
  <c r="U356" i="16"/>
  <c r="T356" i="16" s="1"/>
  <c r="S356" i="16" s="1"/>
  <c r="R356" i="16" s="1"/>
  <c r="U210" i="16"/>
  <c r="T210" i="16" s="1"/>
  <c r="S210" i="16" s="1"/>
  <c r="R210" i="16" s="1"/>
  <c r="U41" i="16"/>
  <c r="T41" i="16" s="1"/>
  <c r="S41" i="16" s="1"/>
  <c r="R41" i="16" s="1"/>
  <c r="U171" i="16"/>
  <c r="T171" i="16" s="1"/>
  <c r="S171" i="16" s="1"/>
  <c r="R171" i="16" s="1"/>
  <c r="U281" i="16"/>
  <c r="T281" i="16" s="1"/>
  <c r="S281" i="16" s="1"/>
  <c r="R281" i="16" s="1"/>
  <c r="U36" i="16"/>
  <c r="T36" i="16" s="1"/>
  <c r="S36" i="16" s="1"/>
  <c r="R36" i="16" s="1"/>
  <c r="U313" i="16"/>
  <c r="T313" i="16" s="1"/>
  <c r="S313" i="16" s="1"/>
  <c r="R313" i="16" s="1"/>
  <c r="U249" i="16"/>
  <c r="T249" i="16" s="1"/>
  <c r="S249" i="16" s="1"/>
  <c r="R249" i="16" s="1"/>
  <c r="U168" i="16"/>
  <c r="T168" i="16" s="1"/>
  <c r="S168" i="16" s="1"/>
  <c r="R168" i="16" s="1"/>
  <c r="P168" i="16" s="1"/>
  <c r="U136" i="16"/>
  <c r="T136" i="16" s="1"/>
  <c r="S136" i="16" s="1"/>
  <c r="R136" i="16" s="1"/>
  <c r="U32" i="16"/>
  <c r="T32" i="16" s="1"/>
  <c r="S32" i="16" s="1"/>
  <c r="R32" i="16" s="1"/>
  <c r="P32" i="16" s="1"/>
  <c r="U125" i="16"/>
  <c r="T125" i="16" s="1"/>
  <c r="S125" i="16" s="1"/>
  <c r="R125" i="16" s="1"/>
  <c r="U56" i="16"/>
  <c r="T56" i="16" s="1"/>
  <c r="S56" i="16" s="1"/>
  <c r="R56" i="16" s="1"/>
  <c r="U228" i="16"/>
  <c r="T228" i="16" s="1"/>
  <c r="S228" i="16" s="1"/>
  <c r="R228" i="16" s="1"/>
  <c r="U360" i="16"/>
  <c r="T360" i="16" s="1"/>
  <c r="S360" i="16" s="1"/>
  <c r="R360" i="16" s="1"/>
  <c r="U18" i="16"/>
  <c r="T18" i="16" s="1"/>
  <c r="S18" i="16" s="1"/>
  <c r="R18" i="16" s="1"/>
  <c r="U240" i="16"/>
  <c r="T240" i="16" s="1"/>
  <c r="S240" i="16" s="1"/>
  <c r="R240" i="16" s="1"/>
  <c r="U345" i="16"/>
  <c r="T345" i="16" s="1"/>
  <c r="S345" i="16" s="1"/>
  <c r="R345" i="16" s="1"/>
  <c r="U132" i="16"/>
  <c r="T132" i="16" s="1"/>
  <c r="S132" i="16" s="1"/>
  <c r="R132" i="16" s="1"/>
  <c r="U274" i="16"/>
  <c r="T274" i="16" s="1"/>
  <c r="S274" i="16" s="1"/>
  <c r="R274" i="16" s="1"/>
  <c r="U222" i="16"/>
  <c r="T222" i="16" s="1"/>
  <c r="S222" i="16" s="1"/>
  <c r="R222" i="16" s="1"/>
  <c r="U128" i="16"/>
  <c r="T128" i="16" s="1"/>
  <c r="S128" i="16" s="1"/>
  <c r="R128" i="16" s="1"/>
  <c r="U273" i="16"/>
  <c r="T273" i="16" s="1"/>
  <c r="S273" i="16" s="1"/>
  <c r="R273" i="16" s="1"/>
  <c r="U369" i="16"/>
  <c r="T369" i="16" s="1"/>
  <c r="S369" i="16" s="1"/>
  <c r="R369" i="16" s="1"/>
  <c r="U333" i="16"/>
  <c r="T333" i="16" s="1"/>
  <c r="S333" i="16" s="1"/>
  <c r="R333" i="16" s="1"/>
  <c r="U291" i="16"/>
  <c r="T291" i="16" s="1"/>
  <c r="S291" i="16" s="1"/>
  <c r="R291" i="16" s="1"/>
  <c r="U143" i="16"/>
  <c r="T143" i="16" s="1"/>
  <c r="S143" i="16" s="1"/>
  <c r="R143" i="16" s="1"/>
  <c r="P143" i="16" s="1"/>
  <c r="U248" i="16"/>
  <c r="T248" i="16" s="1"/>
  <c r="S248" i="16" s="1"/>
  <c r="R248" i="16" s="1"/>
  <c r="U91" i="16"/>
  <c r="T91" i="16" s="1"/>
  <c r="S91" i="16" s="1"/>
  <c r="R91" i="16" s="1"/>
  <c r="U31" i="16"/>
  <c r="T31" i="16" s="1"/>
  <c r="S31" i="16" s="1"/>
  <c r="R31" i="16" s="1"/>
  <c r="U135" i="16"/>
  <c r="T135" i="16" s="1"/>
  <c r="S135" i="16" s="1"/>
  <c r="R135" i="16" s="1"/>
  <c r="U142" i="16"/>
  <c r="T142" i="16" s="1"/>
  <c r="S142" i="16" s="1"/>
  <c r="R142" i="16" s="1"/>
  <c r="U242" i="16"/>
  <c r="T242" i="16" s="1"/>
  <c r="S242" i="16" s="1"/>
  <c r="R242" i="16" s="1"/>
  <c r="U141" i="16"/>
  <c r="T141" i="16" s="1"/>
  <c r="S141" i="16" s="1"/>
  <c r="R141" i="16" s="1"/>
  <c r="U269" i="16"/>
  <c r="T269" i="16" s="1"/>
  <c r="S269" i="16" s="1"/>
  <c r="R269" i="16" s="1"/>
  <c r="U195" i="16"/>
  <c r="T195" i="16" s="1"/>
  <c r="S195" i="16" s="1"/>
  <c r="R195" i="16" s="1"/>
  <c r="U204" i="16"/>
  <c r="T204" i="16" s="1"/>
  <c r="S204" i="16" s="1"/>
  <c r="R204" i="16" s="1"/>
  <c r="U321" i="16"/>
  <c r="T321" i="16" s="1"/>
  <c r="S321" i="16" s="1"/>
  <c r="R321" i="16" s="1"/>
  <c r="U154" i="16"/>
  <c r="T154" i="16" s="1"/>
  <c r="S154" i="16" s="1"/>
  <c r="R154" i="16" s="1"/>
  <c r="P154" i="16" s="1"/>
  <c r="U67" i="16"/>
  <c r="T67" i="16" s="1"/>
  <c r="S67" i="16" s="1"/>
  <c r="R67" i="16" s="1"/>
  <c r="U315" i="16"/>
  <c r="T315" i="16" s="1"/>
  <c r="S315" i="16" s="1"/>
  <c r="R315" i="16" s="1"/>
  <c r="U94" i="16"/>
  <c r="T94" i="16" s="1"/>
  <c r="S94" i="16" s="1"/>
  <c r="R94" i="16" s="1"/>
  <c r="U311" i="16"/>
  <c r="T311" i="16" s="1"/>
  <c r="S311" i="16" s="1"/>
  <c r="R311" i="16" s="1"/>
  <c r="U253" i="16"/>
  <c r="T253" i="16" s="1"/>
  <c r="S253" i="16" s="1"/>
  <c r="R253" i="16" s="1"/>
  <c r="U23" i="16"/>
  <c r="T23" i="16" s="1"/>
  <c r="S23" i="16" s="1"/>
  <c r="R23" i="16" s="1"/>
  <c r="U223" i="16"/>
  <c r="T223" i="16" s="1"/>
  <c r="S223" i="16" s="1"/>
  <c r="R223" i="16" s="1"/>
  <c r="U44" i="16"/>
  <c r="T44" i="16" s="1"/>
  <c r="S44" i="16" s="1"/>
  <c r="R44" i="16" s="1"/>
  <c r="U308" i="16"/>
  <c r="T308" i="16" s="1"/>
  <c r="S308" i="16" s="1"/>
  <c r="R308" i="16" s="1"/>
  <c r="U294" i="16"/>
  <c r="T294" i="16" s="1"/>
  <c r="S294" i="16" s="1"/>
  <c r="R294" i="16" s="1"/>
  <c r="U338" i="16"/>
  <c r="T338" i="16" s="1"/>
  <c r="S338" i="16" s="1"/>
  <c r="R338" i="16" s="1"/>
  <c r="U70" i="16"/>
  <c r="T70" i="16" s="1"/>
  <c r="S70" i="16" s="1"/>
  <c r="R70" i="16" s="1"/>
  <c r="U319" i="16"/>
  <c r="T319" i="16" s="1"/>
  <c r="S319" i="16" s="1"/>
  <c r="R319" i="16" s="1"/>
  <c r="U304" i="16"/>
  <c r="T304" i="16" s="1"/>
  <c r="S304" i="16" s="1"/>
  <c r="R304" i="16" s="1"/>
  <c r="U155" i="16"/>
  <c r="T155" i="16" s="1"/>
  <c r="S155" i="16" s="1"/>
  <c r="R155" i="16" s="1"/>
  <c r="U327" i="16"/>
  <c r="T327" i="16" s="1"/>
  <c r="S327" i="16" s="1"/>
  <c r="R327" i="16" s="1"/>
  <c r="U16" i="16"/>
  <c r="T16" i="16" s="1"/>
  <c r="S16" i="16" s="1"/>
  <c r="R16" i="16" s="1"/>
  <c r="U144" i="16"/>
  <c r="T144" i="16" s="1"/>
  <c r="S144" i="16" s="1"/>
  <c r="R144" i="16" s="1"/>
  <c r="U198" i="16"/>
  <c r="T198" i="16" s="1"/>
  <c r="S198" i="16" s="1"/>
  <c r="R198" i="16" s="1"/>
  <c r="U375" i="16"/>
  <c r="T375" i="16" s="1"/>
  <c r="S375" i="16" s="1"/>
  <c r="R375" i="16" s="1"/>
  <c r="U182" i="16"/>
  <c r="T182" i="16" s="1"/>
  <c r="S182" i="16" s="1"/>
  <c r="R182" i="16" s="1"/>
  <c r="U177" i="16"/>
  <c r="T177" i="16" s="1"/>
  <c r="S177" i="16" s="1"/>
  <c r="R177" i="16" s="1"/>
  <c r="U156" i="16"/>
  <c r="T156" i="16" s="1"/>
  <c r="S156" i="16" s="1"/>
  <c r="R156" i="16" s="1"/>
  <c r="U227" i="16"/>
  <c r="T227" i="16" s="1"/>
  <c r="S227" i="16" s="1"/>
  <c r="R227" i="16" s="1"/>
  <c r="U216" i="16"/>
  <c r="T216" i="16" s="1"/>
  <c r="S216" i="16" s="1"/>
  <c r="R216" i="16" s="1"/>
  <c r="U153" i="16"/>
  <c r="T153" i="16" s="1"/>
  <c r="S153" i="16" s="1"/>
  <c r="R153" i="16" s="1"/>
  <c r="U100" i="16"/>
  <c r="T100" i="16" s="1"/>
  <c r="S100" i="16" s="1"/>
  <c r="R100" i="16" s="1"/>
  <c r="U65" i="16"/>
  <c r="T65" i="16" s="1"/>
  <c r="S65" i="16" s="1"/>
  <c r="R65" i="16" s="1"/>
  <c r="U307" i="16"/>
  <c r="T307" i="16" s="1"/>
  <c r="S307" i="16" s="1"/>
  <c r="R307" i="16" s="1"/>
  <c r="U160" i="16"/>
  <c r="T160" i="16" s="1"/>
  <c r="S160" i="16" s="1"/>
  <c r="R160" i="16" s="1"/>
  <c r="U211" i="16"/>
  <c r="T211" i="16" s="1"/>
  <c r="S211" i="16" s="1"/>
  <c r="R211" i="16" s="1"/>
  <c r="U261" i="16"/>
  <c r="T261" i="16" s="1"/>
  <c r="S261" i="16" s="1"/>
  <c r="R261" i="16" s="1"/>
  <c r="U122" i="16"/>
  <c r="T122" i="16" s="1"/>
  <c r="S122" i="16" s="1"/>
  <c r="R122" i="16" s="1"/>
  <c r="U57" i="16"/>
  <c r="T57" i="16" s="1"/>
  <c r="S57" i="16" s="1"/>
  <c r="R57" i="16" s="1"/>
  <c r="U54" i="16"/>
  <c r="T54" i="16" s="1"/>
  <c r="S54" i="16" s="1"/>
  <c r="R54" i="16" s="1"/>
  <c r="U124" i="16"/>
  <c r="T124" i="16" s="1"/>
  <c r="S124" i="16" s="1"/>
  <c r="R124" i="16" s="1"/>
  <c r="U133" i="16"/>
  <c r="T133" i="16" s="1"/>
  <c r="S133" i="16" s="1"/>
  <c r="R133" i="16" s="1"/>
  <c r="U188" i="16"/>
  <c r="T188" i="16" s="1"/>
  <c r="S188" i="16" s="1"/>
  <c r="R188" i="16" s="1"/>
  <c r="U59" i="16"/>
  <c r="T59" i="16" s="1"/>
  <c r="S59" i="16" s="1"/>
  <c r="R59" i="16" s="1"/>
  <c r="U111" i="16"/>
  <c r="T111" i="16" s="1"/>
  <c r="S111" i="16" s="1"/>
  <c r="R111" i="16" s="1"/>
  <c r="U50" i="16"/>
  <c r="T50" i="16" s="1"/>
  <c r="S50" i="16" s="1"/>
  <c r="R50" i="16" s="1"/>
  <c r="U89" i="16"/>
  <c r="T89" i="16" s="1"/>
  <c r="S89" i="16" s="1"/>
  <c r="R89" i="16" s="1"/>
  <c r="U229" i="16"/>
  <c r="T229" i="16" s="1"/>
  <c r="S229" i="16" s="1"/>
  <c r="R229" i="16" s="1"/>
  <c r="U146" i="16"/>
  <c r="T146" i="16" s="1"/>
  <c r="S146" i="16" s="1"/>
  <c r="R146" i="16" s="1"/>
  <c r="U377" i="16"/>
  <c r="T377" i="16" s="1"/>
  <c r="S377" i="16" s="1"/>
  <c r="R377" i="16" s="1"/>
  <c r="U101" i="16"/>
  <c r="T101" i="16" s="1"/>
  <c r="S101" i="16" s="1"/>
  <c r="R101" i="16" s="1"/>
  <c r="U189" i="16"/>
  <c r="T189" i="16" s="1"/>
  <c r="S189" i="16" s="1"/>
  <c r="R189" i="16" s="1"/>
  <c r="U218" i="16"/>
  <c r="T218" i="16" s="1"/>
  <c r="S218" i="16" s="1"/>
  <c r="R218" i="16" s="1"/>
  <c r="U63" i="16"/>
  <c r="T63" i="16" s="1"/>
  <c r="S63" i="16" s="1"/>
  <c r="R63" i="16" s="1"/>
  <c r="U279" i="16"/>
  <c r="T279" i="16" s="1"/>
  <c r="S279" i="16" s="1"/>
  <c r="R279" i="16" s="1"/>
  <c r="P279" i="16" s="1"/>
  <c r="U374" i="16"/>
  <c r="T374" i="16" s="1"/>
  <c r="S374" i="16" s="1"/>
  <c r="R374" i="16" s="1"/>
  <c r="U332" i="16"/>
  <c r="T332" i="16" s="1"/>
  <c r="S332" i="16" s="1"/>
  <c r="R332" i="16" s="1"/>
  <c r="U109" i="16"/>
  <c r="T109" i="16" s="1"/>
  <c r="S109" i="16" s="1"/>
  <c r="R109" i="16" s="1"/>
  <c r="U224" i="16"/>
  <c r="T224" i="16" s="1"/>
  <c r="S224" i="16" s="1"/>
  <c r="R224" i="16" s="1"/>
  <c r="U80" i="16"/>
  <c r="T80" i="16" s="1"/>
  <c r="S80" i="16" s="1"/>
  <c r="R80" i="16" s="1"/>
  <c r="U340" i="16"/>
  <c r="T340" i="16" s="1"/>
  <c r="S340" i="16" s="1"/>
  <c r="R340" i="16" s="1"/>
  <c r="U149" i="16"/>
  <c r="T149" i="16" s="1"/>
  <c r="S149" i="16" s="1"/>
  <c r="R149" i="16" s="1"/>
  <c r="U349" i="16"/>
  <c r="T349" i="16" s="1"/>
  <c r="S349" i="16" s="1"/>
  <c r="R349" i="16" s="1"/>
  <c r="U354" i="16"/>
  <c r="T354" i="16" s="1"/>
  <c r="S354" i="16" s="1"/>
  <c r="R354" i="16" s="1"/>
  <c r="U84" i="16"/>
  <c r="T84" i="16" s="1"/>
  <c r="S84" i="16" s="1"/>
  <c r="R84" i="16" s="1"/>
  <c r="U163" i="16"/>
  <c r="T163" i="16" s="1"/>
  <c r="S163" i="16" s="1"/>
  <c r="R163" i="16" s="1"/>
  <c r="U295" i="16"/>
  <c r="T295" i="16" s="1"/>
  <c r="S295" i="16" s="1"/>
  <c r="R295" i="16" s="1"/>
  <c r="U368" i="16"/>
  <c r="T368" i="16" s="1"/>
  <c r="S368" i="16" s="1"/>
  <c r="R368" i="16" s="1"/>
  <c r="U363" i="16"/>
  <c r="T363" i="16" s="1"/>
  <c r="S363" i="16" s="1"/>
  <c r="R363" i="16" s="1"/>
  <c r="U214" i="16"/>
  <c r="T214" i="16" s="1"/>
  <c r="S214" i="16" s="1"/>
  <c r="R214" i="16" s="1"/>
  <c r="U148" i="16"/>
  <c r="T148" i="16" s="1"/>
  <c r="S148" i="16" s="1"/>
  <c r="R148" i="16" s="1"/>
  <c r="P148" i="16" s="1"/>
  <c r="U365" i="16"/>
  <c r="T365" i="16" s="1"/>
  <c r="S365" i="16" s="1"/>
  <c r="R365" i="16" s="1"/>
  <c r="U212" i="16"/>
  <c r="T212" i="16" s="1"/>
  <c r="S212" i="16" s="1"/>
  <c r="R212" i="16" s="1"/>
  <c r="U247" i="16"/>
  <c r="T247" i="16" s="1"/>
  <c r="S247" i="16" s="1"/>
  <c r="R247" i="16" s="1"/>
  <c r="U17" i="16"/>
  <c r="T17" i="16" s="1"/>
  <c r="S17" i="16" s="1"/>
  <c r="R17" i="16" s="1"/>
  <c r="U314" i="16"/>
  <c r="T314" i="16" s="1"/>
  <c r="S314" i="16" s="1"/>
  <c r="R314" i="16" s="1"/>
  <c r="U19" i="16"/>
  <c r="T19" i="16" s="1"/>
  <c r="S19" i="16" s="1"/>
  <c r="R19" i="16" s="1"/>
  <c r="U202" i="16"/>
  <c r="T202" i="16" s="1"/>
  <c r="S202" i="16" s="1"/>
  <c r="R202" i="16" s="1"/>
  <c r="U34" i="16"/>
  <c r="T34" i="16" s="1"/>
  <c r="S34" i="16" s="1"/>
  <c r="R34" i="16" s="1"/>
  <c r="U277" i="16"/>
  <c r="T277" i="16" s="1"/>
  <c r="S277" i="16" s="1"/>
  <c r="R277" i="16" s="1"/>
  <c r="U236" i="16"/>
  <c r="T236" i="16" s="1"/>
  <c r="S236" i="16" s="1"/>
  <c r="R236" i="16" s="1"/>
  <c r="U220" i="16"/>
  <c r="T220" i="16" s="1"/>
  <c r="S220" i="16" s="1"/>
  <c r="R220" i="16" s="1"/>
  <c r="U342" i="16"/>
  <c r="T342" i="16" s="1"/>
  <c r="S342" i="16" s="1"/>
  <c r="R342" i="16" s="1"/>
  <c r="U300" i="16"/>
  <c r="T300" i="16" s="1"/>
  <c r="S300" i="16" s="1"/>
  <c r="R300" i="16" s="1"/>
  <c r="U167" i="16"/>
  <c r="T167" i="16" s="1"/>
  <c r="S167" i="16" s="1"/>
  <c r="R167" i="16" s="1"/>
  <c r="U322" i="16"/>
  <c r="T322" i="16" s="1"/>
  <c r="S322" i="16" s="1"/>
  <c r="R322" i="16" s="1"/>
  <c r="U317" i="16"/>
  <c r="T317" i="16" s="1"/>
  <c r="S317" i="16" s="1"/>
  <c r="R317" i="16" s="1"/>
  <c r="U262" i="16"/>
  <c r="T262" i="16" s="1"/>
  <c r="S262" i="16" s="1"/>
  <c r="R262" i="16" s="1"/>
  <c r="U207" i="16"/>
  <c r="T207" i="16" s="1"/>
  <c r="S207" i="16" s="1"/>
  <c r="R207" i="16" s="1"/>
  <c r="U73" i="16"/>
  <c r="T73" i="16" s="1"/>
  <c r="S73" i="16" s="1"/>
  <c r="R73" i="16" s="1"/>
  <c r="U176" i="16"/>
  <c r="T176" i="16" s="1"/>
  <c r="S176" i="16" s="1"/>
  <c r="R176" i="16" s="1"/>
  <c r="U39" i="16"/>
  <c r="T39" i="16" s="1"/>
  <c r="S39" i="16" s="1"/>
  <c r="R39" i="16" s="1"/>
  <c r="U316" i="16"/>
  <c r="T316" i="16" s="1"/>
  <c r="S316" i="16" s="1"/>
  <c r="R316" i="16" s="1"/>
  <c r="U93" i="16"/>
  <c r="T93" i="16" s="1"/>
  <c r="S93" i="16" s="1"/>
  <c r="R93" i="16" s="1"/>
  <c r="U157" i="16"/>
  <c r="T157" i="16" s="1"/>
  <c r="S157" i="16" s="1"/>
  <c r="R157" i="16" s="1"/>
  <c r="U180" i="16"/>
  <c r="T180" i="16" s="1"/>
  <c r="S180" i="16" s="1"/>
  <c r="R180" i="16" s="1"/>
  <c r="U226" i="16"/>
  <c r="T226" i="16" s="1"/>
  <c r="S226" i="16" s="1"/>
  <c r="R226" i="16" s="1"/>
  <c r="U213" i="16"/>
  <c r="T213" i="16" s="1"/>
  <c r="S213" i="16" s="1"/>
  <c r="R213" i="16" s="1"/>
  <c r="U217" i="16"/>
  <c r="T217" i="16" s="1"/>
  <c r="S217" i="16" s="1"/>
  <c r="R217" i="16" s="1"/>
  <c r="P217" i="16" s="1"/>
  <c r="U288" i="16"/>
  <c r="T288" i="16" s="1"/>
  <c r="S288" i="16" s="1"/>
  <c r="R288" i="16" s="1"/>
  <c r="U95" i="16"/>
  <c r="T95" i="16" s="1"/>
  <c r="S95" i="16" s="1"/>
  <c r="R95" i="16" s="1"/>
  <c r="U45" i="16"/>
  <c r="T45" i="16" s="1"/>
  <c r="S45" i="16" s="1"/>
  <c r="R45" i="16" s="1"/>
  <c r="U301" i="16"/>
  <c r="T301" i="16" s="1"/>
  <c r="S301" i="16" s="1"/>
  <c r="R301" i="16" s="1"/>
  <c r="U245" i="16"/>
  <c r="T245" i="16" s="1"/>
  <c r="S245" i="16" s="1"/>
  <c r="R245" i="16" s="1"/>
  <c r="U69" i="16"/>
  <c r="T69" i="16" s="1"/>
  <c r="S69" i="16" s="1"/>
  <c r="R69" i="16" s="1"/>
  <c r="U200" i="16"/>
  <c r="T200" i="16" s="1"/>
  <c r="S200" i="16" s="1"/>
  <c r="R200" i="16" s="1"/>
  <c r="U90" i="16"/>
  <c r="T90" i="16" s="1"/>
  <c r="S90" i="16" s="1"/>
  <c r="R90" i="16" s="1"/>
  <c r="U351" i="16"/>
  <c r="T351" i="16" s="1"/>
  <c r="S351" i="16" s="1"/>
  <c r="R351" i="16" s="1"/>
  <c r="U38" i="16"/>
  <c r="T38" i="16" s="1"/>
  <c r="S38" i="16" s="1"/>
  <c r="R38" i="16" s="1"/>
  <c r="P38" i="16" s="1"/>
  <c r="U78" i="16"/>
  <c r="T78" i="16" s="1"/>
  <c r="S78" i="16" s="1"/>
  <c r="R78" i="16" s="1"/>
  <c r="U264" i="16"/>
  <c r="T264" i="16" s="1"/>
  <c r="S264" i="16" s="1"/>
  <c r="R264" i="16" s="1"/>
  <c r="U134" i="16"/>
  <c r="T134" i="16" s="1"/>
  <c r="S134" i="16" s="1"/>
  <c r="R134" i="16" s="1"/>
  <c r="U257" i="16"/>
  <c r="T257" i="16" s="1"/>
  <c r="S257" i="16" s="1"/>
  <c r="R257" i="16" s="1"/>
  <c r="U355" i="16"/>
  <c r="T355" i="16" s="1"/>
  <c r="S355" i="16" s="1"/>
  <c r="R355" i="16" s="1"/>
  <c r="U259" i="16"/>
  <c r="T259" i="16" s="1"/>
  <c r="S259" i="16" s="1"/>
  <c r="R259" i="16" s="1"/>
  <c r="U77" i="16"/>
  <c r="T77" i="16" s="1"/>
  <c r="S77" i="16" s="1"/>
  <c r="R77" i="16" s="1"/>
  <c r="U302" i="16"/>
  <c r="T302" i="16" s="1"/>
  <c r="S302" i="16" s="1"/>
  <c r="R302" i="16" s="1"/>
  <c r="U107" i="16"/>
  <c r="T107" i="16" s="1"/>
  <c r="S107" i="16" s="1"/>
  <c r="R107" i="16" s="1"/>
  <c r="U112" i="16"/>
  <c r="T112" i="16" s="1"/>
  <c r="S112" i="16" s="1"/>
  <c r="R112" i="16" s="1"/>
  <c r="U323" i="16"/>
  <c r="T323" i="16" s="1"/>
  <c r="S323" i="16" s="1"/>
  <c r="R323" i="16" s="1"/>
  <c r="U280" i="16"/>
  <c r="T280" i="16" s="1"/>
  <c r="S280" i="16" s="1"/>
  <c r="R280" i="16" s="1"/>
  <c r="U27" i="16"/>
  <c r="T27" i="16" s="1"/>
  <c r="S27" i="16" s="1"/>
  <c r="R27" i="16" s="1"/>
  <c r="U192" i="16"/>
  <c r="T192" i="16" s="1"/>
  <c r="S192" i="16" s="1"/>
  <c r="R192" i="16" s="1"/>
  <c r="U286" i="16"/>
  <c r="T286" i="16" s="1"/>
  <c r="S286" i="16" s="1"/>
  <c r="R286" i="16" s="1"/>
  <c r="U268" i="16"/>
  <c r="T268" i="16" s="1"/>
  <c r="S268" i="16" s="1"/>
  <c r="R268" i="16" s="1"/>
  <c r="U127" i="16"/>
  <c r="T127" i="16" s="1"/>
  <c r="S127" i="16" s="1"/>
  <c r="R127" i="16" s="1"/>
  <c r="U120" i="16"/>
  <c r="T120" i="16" s="1"/>
  <c r="S120" i="16" s="1"/>
  <c r="R120" i="16" s="1"/>
  <c r="U118" i="16"/>
  <c r="T118" i="16" s="1"/>
  <c r="S118" i="16" s="1"/>
  <c r="R118" i="16" s="1"/>
  <c r="U49" i="16"/>
  <c r="T49" i="16" s="1"/>
  <c r="S49" i="16" s="1"/>
  <c r="R49" i="16" s="1"/>
  <c r="U88" i="16"/>
  <c r="T88" i="16" s="1"/>
  <c r="S88" i="16" s="1"/>
  <c r="R88" i="16" s="1"/>
  <c r="U272" i="16"/>
  <c r="T272" i="16" s="1"/>
  <c r="S272" i="16" s="1"/>
  <c r="R272" i="16" s="1"/>
  <c r="U110" i="16"/>
  <c r="T110" i="16" s="1"/>
  <c r="S110" i="16" s="1"/>
  <c r="R110" i="16" s="1"/>
  <c r="U203" i="16"/>
  <c r="T203" i="16" s="1"/>
  <c r="S203" i="16" s="1"/>
  <c r="R203" i="16" s="1"/>
  <c r="U303" i="16"/>
  <c r="T303" i="16" s="1"/>
  <c r="S303" i="16" s="1"/>
  <c r="R303" i="16" s="1"/>
  <c r="U123" i="16"/>
  <c r="T123" i="16" s="1"/>
  <c r="S123" i="16" s="1"/>
  <c r="R123" i="16" s="1"/>
  <c r="AI42" i="16"/>
  <c r="AH42" i="16" s="1"/>
  <c r="AG42" i="16" s="1"/>
  <c r="AF42" i="16" s="1"/>
  <c r="AI92" i="16"/>
  <c r="AH92" i="16" s="1"/>
  <c r="AG92" i="16" s="1"/>
  <c r="AF92" i="16" s="1"/>
  <c r="AI65" i="16"/>
  <c r="AH65" i="16" s="1"/>
  <c r="AG65" i="16" s="1"/>
  <c r="AF65" i="16" s="1"/>
  <c r="AI95" i="16"/>
  <c r="AH95" i="16" s="1"/>
  <c r="AG95" i="16" s="1"/>
  <c r="AF95" i="16" s="1"/>
  <c r="AI365" i="16"/>
  <c r="AH365" i="16" s="1"/>
  <c r="AG365" i="16" s="1"/>
  <c r="AF365" i="16" s="1"/>
  <c r="AI93" i="16"/>
  <c r="AH93" i="16" s="1"/>
  <c r="AG93" i="16" s="1"/>
  <c r="AF93" i="16" s="1"/>
  <c r="AI332" i="16"/>
  <c r="AH332" i="16" s="1"/>
  <c r="AG332" i="16" s="1"/>
  <c r="AF332" i="16" s="1"/>
  <c r="AI300" i="16"/>
  <c r="AH300" i="16" s="1"/>
  <c r="AG300" i="16" s="1"/>
  <c r="AF300" i="16" s="1"/>
  <c r="AI235" i="16"/>
  <c r="AH235" i="16" s="1"/>
  <c r="AG235" i="16" s="1"/>
  <c r="AF235" i="16" s="1"/>
  <c r="AI225" i="16"/>
  <c r="AH225" i="16" s="1"/>
  <c r="AG225" i="16" s="1"/>
  <c r="AF225" i="16" s="1"/>
  <c r="AI163" i="16"/>
  <c r="AH163" i="16" s="1"/>
  <c r="AG163" i="16" s="1"/>
  <c r="AF163" i="16" s="1"/>
  <c r="AI323" i="16"/>
  <c r="AH323" i="16" s="1"/>
  <c r="AG323" i="16" s="1"/>
  <c r="AF323" i="16" s="1"/>
  <c r="AI368" i="16"/>
  <c r="AH368" i="16" s="1"/>
  <c r="AG368" i="16" s="1"/>
  <c r="AF368" i="16" s="1"/>
  <c r="AI98" i="16"/>
  <c r="AH98" i="16" s="1"/>
  <c r="AG98" i="16" s="1"/>
  <c r="AF98" i="16" s="1"/>
  <c r="AI327" i="16"/>
  <c r="AH327" i="16" s="1"/>
  <c r="AG327" i="16" s="1"/>
  <c r="AF327" i="16" s="1"/>
  <c r="AI177" i="16"/>
  <c r="AH177" i="16" s="1"/>
  <c r="AG177" i="16" s="1"/>
  <c r="AF177" i="16" s="1"/>
  <c r="AI233" i="16"/>
  <c r="AH233" i="16" s="1"/>
  <c r="AG233" i="16" s="1"/>
  <c r="AF233" i="16" s="1"/>
  <c r="AI213" i="16"/>
  <c r="AH213" i="16" s="1"/>
  <c r="AG213" i="16" s="1"/>
  <c r="AF213" i="16" s="1"/>
  <c r="AI198" i="16"/>
  <c r="AH198" i="16" s="1"/>
  <c r="AG198" i="16" s="1"/>
  <c r="AF198" i="16" s="1"/>
  <c r="AI83" i="16"/>
  <c r="AH83" i="16" s="1"/>
  <c r="AG83" i="16" s="1"/>
  <c r="AF83" i="16" s="1"/>
  <c r="AI214" i="16"/>
  <c r="AH214" i="16" s="1"/>
  <c r="AG214" i="16" s="1"/>
  <c r="AF214" i="16" s="1"/>
  <c r="AI114" i="16"/>
  <c r="AH114" i="16" s="1"/>
  <c r="AG114" i="16" s="1"/>
  <c r="AF114" i="16" s="1"/>
  <c r="AI329" i="16"/>
  <c r="AH329" i="16" s="1"/>
  <c r="AG329" i="16" s="1"/>
  <c r="AF329" i="16" s="1"/>
  <c r="AI373" i="16"/>
  <c r="AH373" i="16" s="1"/>
  <c r="AG373" i="16" s="1"/>
  <c r="AF373" i="16" s="1"/>
  <c r="AI314" i="16"/>
  <c r="AH314" i="16" s="1"/>
  <c r="AG314" i="16" s="1"/>
  <c r="AF314" i="16" s="1"/>
  <c r="AI220" i="16"/>
  <c r="AH220" i="16" s="1"/>
  <c r="AG220" i="16" s="1"/>
  <c r="AF220" i="16" s="1"/>
  <c r="AI104" i="16"/>
  <c r="AH104" i="16" s="1"/>
  <c r="AG104" i="16" s="1"/>
  <c r="AF104" i="16" s="1"/>
  <c r="AI90" i="16"/>
  <c r="AH90" i="16" s="1"/>
  <c r="AG90" i="16" s="1"/>
  <c r="AF90" i="16" s="1"/>
  <c r="AI241" i="16"/>
  <c r="AH241" i="16" s="1"/>
  <c r="AG241" i="16" s="1"/>
  <c r="AF241" i="16" s="1"/>
  <c r="AI174" i="16"/>
  <c r="AH174" i="16" s="1"/>
  <c r="AG174" i="16" s="1"/>
  <c r="AF174" i="16" s="1"/>
  <c r="AI122" i="16"/>
  <c r="AH122" i="16" s="1"/>
  <c r="AG122" i="16" s="1"/>
  <c r="AF122" i="16" s="1"/>
  <c r="AI295" i="16"/>
  <c r="AH295" i="16" s="1"/>
  <c r="AG295" i="16" s="1"/>
  <c r="AF295" i="16" s="1"/>
  <c r="AJ49" i="25"/>
  <c r="AJ202" i="25"/>
  <c r="AJ270" i="25"/>
  <c r="AJ266" i="25"/>
  <c r="AJ196" i="25"/>
  <c r="AJ37" i="25"/>
  <c r="AJ98" i="25"/>
  <c r="AJ194" i="25"/>
  <c r="AJ328" i="25"/>
  <c r="AJ310" i="25"/>
  <c r="AJ144" i="25"/>
  <c r="AJ32" i="25"/>
  <c r="AJ147" i="25"/>
  <c r="AJ260" i="25"/>
  <c r="AJ373" i="25"/>
  <c r="AJ240" i="25"/>
  <c r="AJ119" i="25"/>
  <c r="AJ46" i="25"/>
  <c r="AJ155" i="25"/>
  <c r="AJ320" i="25"/>
  <c r="AJ316" i="25"/>
  <c r="AJ170" i="25"/>
  <c r="AJ89" i="25"/>
  <c r="AJ75" i="25"/>
  <c r="AJ226" i="25"/>
  <c r="AJ281" i="25"/>
  <c r="AJ368" i="25"/>
  <c r="AJ189" i="25"/>
  <c r="AJ64" i="25"/>
  <c r="AJ110" i="25"/>
  <c r="AJ211" i="25"/>
  <c r="AJ342" i="25"/>
  <c r="AJ297" i="25"/>
  <c r="AJ131" i="25"/>
  <c r="AJ24" i="25"/>
  <c r="AJ168" i="25"/>
  <c r="AJ284" i="25"/>
  <c r="AJ361" i="25"/>
  <c r="AJ223" i="25"/>
  <c r="AJ100" i="25"/>
  <c r="AJ29" i="25"/>
  <c r="AJ166" i="25"/>
  <c r="AJ341" i="25"/>
  <c r="AJ291" i="25"/>
  <c r="AJ239" i="25"/>
  <c r="AJ76" i="25"/>
  <c r="AJ95" i="25"/>
  <c r="AJ359" i="25"/>
  <c r="AJ120" i="25"/>
  <c r="AJ125" i="25"/>
  <c r="AJ351" i="25"/>
  <c r="AJ82" i="25"/>
  <c r="AJ133" i="25"/>
  <c r="AJ345" i="25"/>
  <c r="AJ114" i="25"/>
  <c r="AJ182" i="25"/>
  <c r="AJ280" i="25"/>
  <c r="AJ74" i="25"/>
  <c r="AJ174" i="25"/>
  <c r="AJ331" i="25"/>
  <c r="AJ53" i="25"/>
  <c r="AJ235" i="25"/>
  <c r="AJ259" i="25"/>
  <c r="F7" i="25"/>
  <c r="AJ247" i="25"/>
  <c r="AJ255" i="25"/>
  <c r="AJ27" i="25"/>
  <c r="AJ309" i="25"/>
  <c r="AJ195" i="25"/>
  <c r="AJ16" i="25"/>
  <c r="AJ219" i="25"/>
  <c r="AJ350" i="25"/>
  <c r="AJ62" i="25"/>
  <c r="AJ227" i="25"/>
  <c r="AJ299" i="25"/>
  <c r="AJ118" i="25"/>
  <c r="AJ148" i="25"/>
  <c r="AJ336" i="25"/>
  <c r="AJ145" i="25"/>
  <c r="AJ102" i="25"/>
  <c r="AJ269" i="25"/>
  <c r="AJ293" i="25"/>
  <c r="AJ167" i="25"/>
  <c r="AJ130" i="25"/>
  <c r="AJ278" i="25"/>
  <c r="AJ47" i="25"/>
  <c r="AJ241" i="25"/>
  <c r="AJ39" i="25"/>
  <c r="AJ272" i="25"/>
  <c r="AJ69" i="25"/>
  <c r="AJ314" i="25"/>
  <c r="AJ154" i="25"/>
  <c r="AJ42" i="25"/>
  <c r="AJ317" i="25"/>
  <c r="AJ193" i="25"/>
  <c r="AJ44" i="25"/>
  <c r="AJ267" i="25"/>
  <c r="AJ188" i="25"/>
  <c r="AJ105" i="25"/>
  <c r="AJ338" i="25"/>
  <c r="AJ140" i="25"/>
  <c r="AJ142" i="25"/>
  <c r="AJ370" i="25"/>
  <c r="AJ117" i="25"/>
  <c r="AJ163" i="25"/>
  <c r="AJ306" i="25"/>
  <c r="AJ84" i="25"/>
  <c r="AJ213" i="25"/>
  <c r="AJ362" i="25"/>
  <c r="AJ57" i="25"/>
  <c r="AJ218" i="25"/>
  <c r="AJ295" i="25"/>
  <c r="AJ19" i="25"/>
  <c r="AJ273" i="25"/>
  <c r="AJ221" i="25"/>
  <c r="AJ50" i="25"/>
  <c r="AJ234" i="25"/>
  <c r="AJ290" i="25"/>
  <c r="AJ83" i="25"/>
  <c r="AJ165" i="25"/>
  <c r="AJ364" i="25"/>
  <c r="AJ139" i="25"/>
  <c r="AJ108" i="25"/>
  <c r="AJ275" i="25"/>
  <c r="AJ190" i="25"/>
  <c r="AJ55" i="25"/>
  <c r="AJ315" i="25"/>
  <c r="AJ355" i="25"/>
  <c r="AJ65" i="25"/>
  <c r="AJ245" i="25"/>
  <c r="AJ262" i="25"/>
  <c r="AJ33" i="25"/>
  <c r="AJ257" i="25"/>
  <c r="AJ356" i="25"/>
  <c r="AJ183" i="25"/>
  <c r="AJ43" i="25"/>
  <c r="AJ378" i="25"/>
  <c r="AJ121" i="25"/>
  <c r="AJ312" i="25"/>
  <c r="AJ249" i="25"/>
  <c r="AJ51" i="25"/>
  <c r="AJ175" i="25"/>
  <c r="AJ274" i="25"/>
  <c r="AJ113" i="25"/>
  <c r="AJ134" i="25"/>
  <c r="AJ365" i="25"/>
  <c r="AJ171" i="25"/>
  <c r="AJ79" i="25"/>
  <c r="AJ352" i="25"/>
  <c r="AJ289" i="25"/>
  <c r="AJ30" i="25"/>
  <c r="AJ225" i="25"/>
  <c r="AJ210" i="25"/>
  <c r="AJ36" i="25"/>
  <c r="AJ323" i="25"/>
  <c r="AJ286" i="25"/>
  <c r="AJ237" i="25"/>
  <c r="BD13" i="7"/>
  <c r="AJ343" i="25"/>
  <c r="AJ220" i="25"/>
  <c r="AJ326" i="25"/>
  <c r="AJ129" i="25"/>
  <c r="AJ321" i="25"/>
  <c r="AJ68" i="25"/>
  <c r="AJ264" i="25"/>
  <c r="AJ244" i="25"/>
  <c r="AJ180" i="25"/>
  <c r="AJ26" i="25"/>
  <c r="AJ206" i="25"/>
  <c r="AJ87" i="25"/>
  <c r="AJ311" i="25"/>
  <c r="AJ252" i="25"/>
  <c r="AJ101" i="25"/>
  <c r="AJ376" i="25"/>
  <c r="AJ91" i="25"/>
  <c r="AJ214" i="25"/>
  <c r="AJ228" i="25"/>
  <c r="AJ63" i="25"/>
  <c r="AJ72" i="25"/>
  <c r="AJ265" i="25"/>
  <c r="AJ263" i="25"/>
  <c r="AJ187" i="25"/>
  <c r="AJ201" i="25"/>
  <c r="AJ229" i="25"/>
  <c r="AJ137" i="25"/>
  <c r="AJ254" i="25"/>
  <c r="AJ379" i="25"/>
  <c r="AJ248" i="25"/>
  <c r="AJ124" i="25"/>
  <c r="AJ38" i="25"/>
  <c r="AJ149" i="25"/>
  <c r="AJ313" i="25"/>
  <c r="AJ324" i="25"/>
  <c r="AJ191" i="25"/>
  <c r="AJ94" i="25"/>
  <c r="AJ60" i="25"/>
  <c r="AJ208" i="25"/>
  <c r="AJ277" i="25"/>
  <c r="AJ256" i="25"/>
  <c r="AJ184" i="25"/>
  <c r="AJ70" i="25"/>
  <c r="AJ103" i="25"/>
  <c r="AJ200" i="25"/>
  <c r="AJ333" i="25"/>
  <c r="AJ305" i="25"/>
  <c r="AJ136" i="25"/>
  <c r="AJ17" i="25"/>
  <c r="AJ157" i="25"/>
  <c r="AJ268" i="25"/>
  <c r="AJ367" i="25"/>
  <c r="AJ233" i="25"/>
  <c r="AJ112" i="25"/>
  <c r="AJ56" i="25"/>
  <c r="AJ161" i="25"/>
  <c r="AJ334" i="25"/>
  <c r="AJ300" i="25"/>
  <c r="AJ246" i="25"/>
  <c r="AJ81" i="25"/>
  <c r="AJ66" i="25"/>
  <c r="AJ232" i="25"/>
  <c r="AJ288" i="25"/>
  <c r="AJ357" i="25"/>
  <c r="AJ181" i="25"/>
  <c r="AJ52" i="25"/>
  <c r="AJ115" i="25"/>
  <c r="AJ216" i="25"/>
  <c r="AJ348" i="25"/>
  <c r="AJ292" i="25"/>
  <c r="AJ126" i="25"/>
  <c r="AJ15" i="25"/>
  <c r="AJ222" i="25"/>
  <c r="AJ285" i="25"/>
  <c r="AJ380" i="25"/>
  <c r="AJ287" i="25"/>
  <c r="AJ217" i="25"/>
  <c r="AJ25" i="25"/>
  <c r="AJ302" i="25"/>
  <c r="AJ215" i="25"/>
  <c r="AJ54" i="25"/>
  <c r="AJ360" i="25"/>
  <c r="AJ224" i="25"/>
  <c r="AJ90" i="25"/>
  <c r="AJ319" i="25"/>
  <c r="AJ160" i="25"/>
  <c r="AJ116" i="25"/>
  <c r="AJ369" i="25"/>
  <c r="AJ143" i="25"/>
  <c r="AJ123" i="25"/>
  <c r="AJ377" i="25"/>
  <c r="AJ138" i="25"/>
  <c r="AJ141" i="25"/>
  <c r="AJ329" i="25"/>
  <c r="AJ99" i="25"/>
  <c r="AJ294" i="25"/>
  <c r="AJ41" i="25"/>
  <c r="AJ231" i="25"/>
  <c r="AJ363" i="25"/>
  <c r="AJ80" i="25"/>
  <c r="AJ162" i="25"/>
  <c r="AJ372" i="25"/>
  <c r="AJ135" i="25"/>
  <c r="AJ104" i="25"/>
  <c r="AJ332" i="25"/>
  <c r="AJ185" i="25"/>
  <c r="AJ48" i="25"/>
  <c r="AJ88" i="25"/>
  <c r="AJ366" i="25"/>
  <c r="AJ111" i="25"/>
  <c r="AJ253" i="25"/>
  <c r="AJ318" i="25"/>
  <c r="AJ242" i="25"/>
  <c r="AJ276" i="25"/>
  <c r="AJ296" i="25"/>
  <c r="AJ209" i="25"/>
  <c r="AJ96" i="25"/>
  <c r="AJ374" i="25"/>
  <c r="AJ152" i="25"/>
  <c r="AJ327" i="25"/>
  <c r="AJ97" i="25"/>
  <c r="AJ199" i="25"/>
  <c r="AJ261" i="25"/>
  <c r="AJ31" i="25"/>
  <c r="AJ207" i="25"/>
  <c r="AJ308" i="25"/>
  <c r="AJ21" i="25"/>
  <c r="AJ258" i="25"/>
  <c r="AJ236" i="25"/>
  <c r="AJ23" i="25"/>
  <c r="AJ337" i="25"/>
  <c r="AJ251" i="25"/>
  <c r="AJ71" i="25"/>
  <c r="AJ279" i="25"/>
  <c r="AJ186" i="25"/>
  <c r="AJ86" i="25"/>
  <c r="AJ354" i="25"/>
  <c r="AJ128" i="25"/>
  <c r="AJ164" i="25"/>
  <c r="AJ358" i="25"/>
  <c r="AJ92" i="25"/>
  <c r="AJ353" i="25"/>
  <c r="AJ73" i="25"/>
  <c r="AJ169" i="25"/>
  <c r="AJ301" i="25"/>
  <c r="AJ106" i="25"/>
  <c r="AJ153" i="25"/>
  <c r="AJ340" i="25"/>
  <c r="AJ176" i="25"/>
  <c r="AJ59" i="25"/>
  <c r="AJ271" i="25"/>
  <c r="AJ179" i="25"/>
  <c r="AJ40" i="25"/>
  <c r="AJ173" i="25"/>
  <c r="AJ282" i="25"/>
  <c r="AJ22" i="25"/>
  <c r="AJ304" i="25"/>
  <c r="AJ198" i="25"/>
  <c r="AJ78" i="25"/>
  <c r="AJ158" i="25"/>
  <c r="AJ322" i="25"/>
  <c r="AJ349" i="25"/>
  <c r="AJ20" i="25"/>
  <c r="AJ156" i="25"/>
  <c r="AJ197" i="25"/>
  <c r="AJ35" i="25"/>
  <c r="AJ243" i="25"/>
  <c r="AJ325" i="25"/>
  <c r="AJ58" i="25"/>
  <c r="AJ177" i="25"/>
  <c r="AJ344" i="25"/>
  <c r="AJ151" i="25"/>
  <c r="AJ107" i="25"/>
  <c r="AJ298" i="25"/>
  <c r="AJ230" i="25"/>
  <c r="AJ45" i="25"/>
  <c r="AJ238" i="25"/>
  <c r="AJ339" i="25"/>
  <c r="AJ18" i="25"/>
  <c r="AJ371" i="25"/>
  <c r="AJ203" i="25"/>
  <c r="AJ127" i="25"/>
  <c r="AJ77" i="25"/>
  <c r="AJ204" i="25"/>
  <c r="AJ172" i="25"/>
  <c r="AJ192" i="25"/>
  <c r="AJ212" i="25"/>
  <c r="AJ330" i="25"/>
  <c r="AJ122" i="25"/>
  <c r="AJ205" i="25"/>
  <c r="AJ303" i="25"/>
  <c r="AJ34" i="25"/>
  <c r="AJ283" i="25"/>
  <c r="AJ346" i="25"/>
  <c r="AJ307" i="25"/>
  <c r="AJ93" i="25"/>
  <c r="AJ335" i="25"/>
  <c r="AJ109" i="25"/>
  <c r="AJ85" i="25"/>
  <c r="AJ146" i="25"/>
  <c r="AJ159" i="25"/>
  <c r="AJ375" i="25"/>
  <c r="AJ28" i="25"/>
  <c r="AJ347" i="25"/>
  <c r="AJ178" i="25"/>
  <c r="AJ250" i="25"/>
  <c r="AJ67" i="25"/>
  <c r="AJ150" i="25"/>
  <c r="AJ61" i="25"/>
  <c r="AJ132" i="25"/>
  <c r="AC12" i="24"/>
  <c r="O11" i="24"/>
  <c r="AC9" i="24"/>
  <c r="O12" i="24"/>
  <c r="P10" i="23"/>
  <c r="L18" i="19"/>
  <c r="AK222" i="24"/>
  <c r="AK257" i="24"/>
  <c r="AK285" i="24"/>
  <c r="AK317" i="24"/>
  <c r="AK353" i="24"/>
  <c r="AK379" i="24"/>
  <c r="AK291" i="24"/>
  <c r="AK321" i="24"/>
  <c r="AK352" i="24"/>
  <c r="AK19" i="24"/>
  <c r="AK48" i="24"/>
  <c r="AK15" i="24"/>
  <c r="AK72" i="24"/>
  <c r="AK85" i="24"/>
  <c r="AK112" i="24"/>
  <c r="AK114" i="24"/>
  <c r="AK143" i="24"/>
  <c r="AK122" i="24"/>
  <c r="AK153" i="24"/>
  <c r="AK182" i="24"/>
  <c r="AK207" i="24"/>
  <c r="AK232" i="24"/>
  <c r="AK188" i="24"/>
  <c r="AK226" i="24"/>
  <c r="AK260" i="24"/>
  <c r="AK287" i="24"/>
  <c r="AK323" i="24"/>
  <c r="AK354" i="24"/>
  <c r="AK258" i="24"/>
  <c r="AK293" i="24"/>
  <c r="AK322" i="24"/>
  <c r="AK355" i="24"/>
  <c r="AK21" i="24"/>
  <c r="AK50" i="24"/>
  <c r="AK23" i="24"/>
  <c r="AK73" i="24"/>
  <c r="AK87" i="24"/>
  <c r="AK80" i="24"/>
  <c r="AK115" i="24"/>
  <c r="AK144" i="24"/>
  <c r="AK123" i="24"/>
  <c r="AK156" i="24"/>
  <c r="AK183" i="24"/>
  <c r="AK209" i="24"/>
  <c r="AK233" i="24"/>
  <c r="AK190" i="24"/>
  <c r="AK227" i="24"/>
  <c r="AK261" i="24"/>
  <c r="AK289" i="24"/>
  <c r="AK325" i="24"/>
  <c r="AK356" i="24"/>
  <c r="AK259" i="24"/>
  <c r="AK296" i="24"/>
  <c r="AK324" i="24"/>
  <c r="AK357" i="24"/>
  <c r="AK230" i="24"/>
  <c r="AK294" i="24"/>
  <c r="AK359" i="24"/>
  <c r="AK302" i="24"/>
  <c r="AK363" i="24"/>
  <c r="AK55" i="24"/>
  <c r="AK77" i="24"/>
  <c r="AK86" i="24"/>
  <c r="AK149" i="24"/>
  <c r="AK161" i="24"/>
  <c r="AK212" i="24"/>
  <c r="AK196" i="24"/>
  <c r="AK264" i="24"/>
  <c r="AK329" i="24"/>
  <c r="AK268" i="24"/>
  <c r="AK335" i="24"/>
  <c r="AK27" i="24"/>
  <c r="AK40" i="24"/>
  <c r="AK94" i="24"/>
  <c r="AK119" i="24"/>
  <c r="AK131" i="24"/>
  <c r="AK187" i="24"/>
  <c r="AK243" i="24"/>
  <c r="AK235" i="24"/>
  <c r="AK298" i="24"/>
  <c r="AK362" i="24"/>
  <c r="AK308" i="24"/>
  <c r="AK368" i="24"/>
  <c r="AK345" i="24"/>
  <c r="AK343" i="24"/>
  <c r="AK60" i="24"/>
  <c r="AK134" i="24"/>
  <c r="AK198" i="24"/>
  <c r="AK250" i="24"/>
  <c r="AK374" i="24"/>
  <c r="AK16" i="24"/>
  <c r="AK79" i="24"/>
  <c r="AK168" i="24"/>
  <c r="AK225" i="24"/>
  <c r="AK280" i="24"/>
  <c r="AK288" i="24"/>
  <c r="AK246" i="24"/>
  <c r="AK17" i="24"/>
  <c r="AK166" i="24"/>
  <c r="AK279" i="24"/>
  <c r="AK41" i="24"/>
  <c r="AK148" i="24"/>
  <c r="AK311" i="24"/>
  <c r="AK306" i="24"/>
  <c r="AK64" i="24"/>
  <c r="AK175" i="24"/>
  <c r="AK346" i="24"/>
  <c r="AK61" i="24"/>
  <c r="AK200" i="24"/>
  <c r="AK375" i="24"/>
  <c r="AK46" i="24"/>
  <c r="AK62" i="24"/>
  <c r="AK108" i="24"/>
  <c r="AK140" i="24"/>
  <c r="AK150" i="24"/>
  <c r="AK204" i="24"/>
  <c r="AK174" i="24"/>
  <c r="AK253" i="24"/>
  <c r="AK316" i="24"/>
  <c r="AK377" i="24"/>
  <c r="AK320" i="24"/>
  <c r="AK18" i="24"/>
  <c r="AK70" i="24"/>
  <c r="AK83" i="24"/>
  <c r="AK113" i="24"/>
  <c r="AK120" i="24"/>
  <c r="AK181" i="24"/>
  <c r="AK231" i="24"/>
  <c r="AK380" i="24"/>
  <c r="AK49" i="24"/>
  <c r="AK69" i="24"/>
  <c r="AK103" i="24"/>
  <c r="AK162" i="24"/>
  <c r="AK172" i="24"/>
  <c r="AK221" i="24"/>
  <c r="AK205" i="24"/>
  <c r="AK276" i="24"/>
  <c r="AK344" i="24"/>
  <c r="AK282" i="24"/>
  <c r="AK342" i="24"/>
  <c r="AK35" i="24"/>
  <c r="AK58" i="24"/>
  <c r="AK102" i="24"/>
  <c r="AK132" i="24"/>
  <c r="AK141" i="24"/>
  <c r="AK193" i="24"/>
  <c r="AK254" i="24"/>
  <c r="AK28" i="24"/>
  <c r="AK95" i="24"/>
  <c r="AK133" i="24"/>
  <c r="AK244" i="24"/>
  <c r="AK299" i="24"/>
  <c r="AK309" i="24"/>
  <c r="AK36" i="24"/>
  <c r="AK92" i="24"/>
  <c r="AK167" i="24"/>
  <c r="AK201" i="24"/>
  <c r="AK75" i="24"/>
  <c r="AK145" i="24"/>
  <c r="AK210" i="24"/>
  <c r="AK262" i="24"/>
  <c r="AK265" i="24"/>
  <c r="AK24" i="24"/>
  <c r="AK90" i="24"/>
  <c r="AK128" i="24"/>
  <c r="AK239" i="24"/>
  <c r="AK91" i="24"/>
  <c r="AK199" i="24"/>
  <c r="AK338" i="24"/>
  <c r="AK124" i="24"/>
  <c r="AK22" i="24"/>
  <c r="AK127" i="24"/>
  <c r="AK292" i="24"/>
  <c r="AK54" i="24"/>
  <c r="AK159" i="24"/>
  <c r="AK42" i="24"/>
  <c r="AK215" i="24"/>
  <c r="AK272" i="24"/>
  <c r="AK96" i="24"/>
  <c r="AK247" i="24"/>
  <c r="AK116" i="24"/>
  <c r="AK228" i="24"/>
  <c r="AK361" i="24"/>
  <c r="AK146" i="24"/>
  <c r="AK237" i="24"/>
  <c r="AK271" i="24"/>
  <c r="AK300" i="24"/>
  <c r="AK332" i="24"/>
  <c r="AK365" i="24"/>
  <c r="AK274" i="24"/>
  <c r="AK310" i="24"/>
  <c r="AK339" i="24"/>
  <c r="AK372" i="24"/>
  <c r="AK26" i="24"/>
  <c r="AK38" i="24"/>
  <c r="AK52" i="24"/>
  <c r="AK59" i="24"/>
  <c r="AK98" i="24"/>
  <c r="AK97" i="24"/>
  <c r="AK125" i="24"/>
  <c r="AK157" i="24"/>
  <c r="AK137" i="24"/>
  <c r="AK169" i="24"/>
  <c r="AK177" i="24"/>
  <c r="AK218" i="24"/>
  <c r="AK248" i="24"/>
  <c r="AK202" i="24"/>
  <c r="AK240" i="24"/>
  <c r="AK273" i="24"/>
  <c r="AK301" i="24"/>
  <c r="AK334" i="24"/>
  <c r="AK366" i="24"/>
  <c r="AK277" i="24"/>
  <c r="AK312" i="24"/>
  <c r="AK340" i="24"/>
  <c r="AK376" i="24"/>
  <c r="AK29" i="24"/>
  <c r="AK43" i="24"/>
  <c r="AK56" i="24"/>
  <c r="AK66" i="24"/>
  <c r="AK99" i="24"/>
  <c r="AK101" i="24"/>
  <c r="AK126" i="24"/>
  <c r="AK160" i="24"/>
  <c r="AK138" i="24"/>
  <c r="AK170" i="24"/>
  <c r="AK180" i="24"/>
  <c r="AK220" i="24"/>
  <c r="AK249" i="24"/>
  <c r="AK203" i="24"/>
  <c r="AK242" i="24"/>
  <c r="AK275" i="24"/>
  <c r="AK303" i="24"/>
  <c r="AK336" i="24"/>
  <c r="AK370" i="24"/>
  <c r="AK281" i="24"/>
  <c r="AK313" i="24"/>
  <c r="AK341" i="24"/>
  <c r="AK378" i="24"/>
  <c r="AK263" i="24"/>
  <c r="AK328" i="24"/>
  <c r="AK267" i="24"/>
  <c r="AK333" i="24"/>
  <c r="AK25" i="24"/>
  <c r="AK39" i="24"/>
  <c r="AK93" i="24"/>
  <c r="AK118" i="24"/>
  <c r="AK129" i="24"/>
  <c r="AK186" i="24"/>
  <c r="AK241" i="24"/>
  <c r="AK234" i="24"/>
  <c r="AK295" i="24"/>
  <c r="AK360" i="24"/>
  <c r="AK304" i="24"/>
  <c r="AK367" i="24"/>
  <c r="AK32" i="24"/>
  <c r="AK78" i="24"/>
  <c r="AK89" i="24"/>
  <c r="AK152" i="24"/>
  <c r="AK164" i="24"/>
  <c r="AK213" i="24"/>
  <c r="AK197" i="24"/>
  <c r="AK266" i="24"/>
  <c r="AK330" i="24"/>
  <c r="AK269" i="24"/>
  <c r="AK337" i="24"/>
  <c r="AK278" i="24"/>
  <c r="AK284" i="24"/>
  <c r="AK37" i="24"/>
  <c r="AK106" i="24"/>
  <c r="AK147" i="24"/>
  <c r="AK255" i="24"/>
  <c r="AK307" i="24"/>
  <c r="AK318" i="24"/>
  <c r="AK67" i="24"/>
  <c r="AK109" i="24"/>
  <c r="AK176" i="24"/>
  <c r="AK217" i="24"/>
  <c r="AK347" i="24"/>
  <c r="AK349" i="24"/>
  <c r="AK373" i="24"/>
  <c r="AK74" i="24"/>
  <c r="AK224" i="24"/>
  <c r="AK286" i="24"/>
  <c r="AK107" i="24"/>
  <c r="AK256" i="24"/>
  <c r="AK319" i="24"/>
  <c r="AK315" i="24"/>
  <c r="AK105" i="24"/>
  <c r="AK214" i="24"/>
  <c r="AK348" i="24"/>
  <c r="AK136" i="24"/>
  <c r="AK251" i="24"/>
  <c r="P12" i="24"/>
  <c r="AK68" i="24"/>
  <c r="AK82" i="24"/>
  <c r="AK110" i="24"/>
  <c r="AK171" i="24"/>
  <c r="AK179" i="24"/>
  <c r="AK229" i="24"/>
  <c r="AK219" i="24"/>
  <c r="AK283" i="24"/>
  <c r="AK350" i="24"/>
  <c r="AK290" i="24"/>
  <c r="AK351" i="24"/>
  <c r="AK47" i="24"/>
  <c r="AK65" i="24"/>
  <c r="AK111" i="24"/>
  <c r="AK142" i="24"/>
  <c r="AK151" i="24"/>
  <c r="AK206" i="24"/>
  <c r="AK178" i="24"/>
  <c r="AK30" i="24"/>
  <c r="AK57" i="24"/>
  <c r="AK100" i="24"/>
  <c r="AK130" i="24"/>
  <c r="AK139" i="24"/>
  <c r="AK192" i="24"/>
  <c r="AK252" i="24"/>
  <c r="AK245" i="24"/>
  <c r="AK305" i="24"/>
  <c r="AK371" i="24"/>
  <c r="AK314" i="24"/>
  <c r="F8" i="24"/>
  <c r="AK63" i="24"/>
  <c r="AK71" i="24"/>
  <c r="AK104" i="24"/>
  <c r="AK163" i="24"/>
  <c r="AK173" i="24"/>
  <c r="AK223" i="24"/>
  <c r="AK208" i="24"/>
  <c r="AK44" i="24"/>
  <c r="AK121" i="24"/>
  <c r="AK189" i="24"/>
  <c r="AK236" i="24"/>
  <c r="AK364" i="24"/>
  <c r="AK369" i="24"/>
  <c r="AK53" i="24"/>
  <c r="AK155" i="24"/>
  <c r="AK216" i="24"/>
  <c r="AK51" i="24"/>
  <c r="AK81" i="24"/>
  <c r="AK158" i="24"/>
  <c r="AK194" i="24"/>
  <c r="AK326" i="24"/>
  <c r="AK327" i="24"/>
  <c r="AK33" i="24"/>
  <c r="AK117" i="24"/>
  <c r="AK185" i="24"/>
  <c r="AK34" i="24"/>
  <c r="AK165" i="24"/>
  <c r="AK331" i="24"/>
  <c r="AK45" i="24"/>
  <c r="AK191" i="24"/>
  <c r="AK88" i="24"/>
  <c r="AK238" i="24"/>
  <c r="AK297" i="24"/>
  <c r="AK84" i="24"/>
  <c r="AK195" i="24"/>
  <c r="AK154" i="24"/>
  <c r="AK270" i="24"/>
  <c r="AK20" i="24"/>
  <c r="AK135" i="24"/>
  <c r="AK31" i="24"/>
  <c r="AK184" i="24"/>
  <c r="AK358" i="24"/>
  <c r="AK76" i="24"/>
  <c r="AK211" i="24"/>
  <c r="P11" i="25"/>
  <c r="BD15" i="7"/>
  <c r="K62" i="19"/>
  <c r="I210" i="1"/>
  <c r="G241" i="1"/>
  <c r="BW241" i="6" s="1"/>
  <c r="G198" i="1"/>
  <c r="BW198" i="6" s="1"/>
  <c r="I241" i="1"/>
  <c r="G190" i="1"/>
  <c r="BW190" i="6" s="1"/>
  <c r="AA349" i="1"/>
  <c r="Z349" i="1" s="1"/>
  <c r="Y349" i="1" s="1"/>
  <c r="I198" i="1"/>
  <c r="H198" i="15" s="1"/>
  <c r="J198" i="15" s="1"/>
  <c r="G214" i="1"/>
  <c r="BW214" i="6" s="1"/>
  <c r="H298" i="15"/>
  <c r="G298" i="15"/>
  <c r="BX298" i="6" s="1"/>
  <c r="I190" i="1"/>
  <c r="H190" i="15" s="1"/>
  <c r="I190" i="15" s="1"/>
  <c r="I214" i="1"/>
  <c r="H214" i="15" s="1"/>
  <c r="J214" i="15" s="1"/>
  <c r="G61" i="19"/>
  <c r="AA367" i="1"/>
  <c r="Z367" i="1" s="1"/>
  <c r="Y367" i="1" s="1"/>
  <c r="I367" i="1"/>
  <c r="H367" i="15" s="1"/>
  <c r="J367" i="15" s="1"/>
  <c r="G367" i="1"/>
  <c r="BW367" i="6" s="1"/>
  <c r="I61" i="19"/>
  <c r="F242" i="1"/>
  <c r="I242" i="1" s="1"/>
  <c r="H242" i="15" s="1"/>
  <c r="AA298" i="15"/>
  <c r="Z298" i="15" s="1"/>
  <c r="Y298" i="15" s="1"/>
  <c r="J61" i="19"/>
  <c r="G354" i="1"/>
  <c r="BW354" i="6" s="1"/>
  <c r="AA354" i="1"/>
  <c r="Z354" i="1" s="1"/>
  <c r="Y354" i="1" s="1"/>
  <c r="I354" i="1"/>
  <c r="H354" i="15" s="1"/>
  <c r="I354" i="15" s="1"/>
  <c r="H315" i="15"/>
  <c r="AA315" i="15"/>
  <c r="Z315" i="15" s="1"/>
  <c r="Y315" i="15" s="1"/>
  <c r="G315" i="15"/>
  <c r="BX315" i="6" s="1"/>
  <c r="AA263" i="1"/>
  <c r="Z263" i="1" s="1"/>
  <c r="Y263" i="1" s="1"/>
  <c r="I263" i="1"/>
  <c r="H263" i="15" s="1"/>
  <c r="I263" i="15" s="1"/>
  <c r="G263" i="1"/>
  <c r="BW263" i="6" s="1"/>
  <c r="F292" i="1"/>
  <c r="I292" i="1" s="1"/>
  <c r="H292" i="15" s="1"/>
  <c r="M61" i="19"/>
  <c r="F264" i="1"/>
  <c r="G264" i="1" s="1"/>
  <c r="BW264" i="6" s="1"/>
  <c r="G258" i="1"/>
  <c r="BW258" i="6" s="1"/>
  <c r="AA258" i="1"/>
  <c r="Z258" i="1" s="1"/>
  <c r="Y258" i="1" s="1"/>
  <c r="I258" i="1"/>
  <c r="AB77" i="27"/>
  <c r="U79" i="27"/>
  <c r="V79" i="27"/>
  <c r="W79" i="27"/>
  <c r="Q79" i="27"/>
  <c r="AA79" i="27"/>
  <c r="Y79" i="27"/>
  <c r="R79" i="27"/>
  <c r="S79" i="27"/>
  <c r="T79" i="27"/>
  <c r="Z79" i="27"/>
  <c r="X79" i="27"/>
  <c r="I264" i="1"/>
  <c r="H264" i="15" s="1"/>
  <c r="I264" i="15" s="1"/>
  <c r="I290" i="1"/>
  <c r="G290" i="1"/>
  <c r="BW290" i="6" s="1"/>
  <c r="AA290" i="1"/>
  <c r="Z290" i="1" s="1"/>
  <c r="Y290" i="1" s="1"/>
  <c r="F359" i="1"/>
  <c r="AD77" i="27"/>
  <c r="AC77" i="27" s="1"/>
  <c r="Z15" i="1"/>
  <c r="AL9" i="1"/>
  <c r="S381" i="15"/>
  <c r="S382" i="15"/>
  <c r="S383" i="15"/>
  <c r="R15" i="15"/>
  <c r="V381" i="1"/>
  <c r="V383" i="1"/>
  <c r="V382" i="1"/>
  <c r="AG382" i="15"/>
  <c r="AF15" i="15"/>
  <c r="AG383" i="15"/>
  <c r="AG381" i="15"/>
  <c r="Z198" i="1"/>
  <c r="AA319" i="15"/>
  <c r="Z319" i="15" s="1"/>
  <c r="Y319" i="15" s="1"/>
  <c r="G319" i="15"/>
  <c r="BX319" i="6" s="1"/>
  <c r="H319" i="15"/>
  <c r="G166" i="15"/>
  <c r="BX166" i="6" s="1"/>
  <c r="H166" i="15"/>
  <c r="AA166" i="15"/>
  <c r="Z166" i="15" s="1"/>
  <c r="Y166" i="15" s="1"/>
  <c r="H74" i="15"/>
  <c r="AA74" i="15"/>
  <c r="Z74" i="15" s="1"/>
  <c r="Y74" i="15" s="1"/>
  <c r="G74" i="15"/>
  <c r="BX74" i="6" s="1"/>
  <c r="I18" i="15"/>
  <c r="J18" i="15"/>
  <c r="I87" i="15"/>
  <c r="J87" i="15"/>
  <c r="I25" i="15"/>
  <c r="J25" i="15"/>
  <c r="I132" i="15"/>
  <c r="J132" i="15"/>
  <c r="I54" i="15"/>
  <c r="J54" i="15"/>
  <c r="I220" i="15"/>
  <c r="I56" i="15"/>
  <c r="J56" i="15"/>
  <c r="I163" i="15"/>
  <c r="J163" i="15"/>
  <c r="I123" i="15"/>
  <c r="J123" i="15"/>
  <c r="I174" i="15"/>
  <c r="J174" i="15"/>
  <c r="I86" i="15"/>
  <c r="J86" i="15"/>
  <c r="I236" i="15"/>
  <c r="J236" i="15"/>
  <c r="J274" i="15"/>
  <c r="I274" i="15"/>
  <c r="I21" i="15"/>
  <c r="J21" i="15"/>
  <c r="J66" i="15"/>
  <c r="I66" i="15"/>
  <c r="I131" i="15"/>
  <c r="J131" i="15"/>
  <c r="I121" i="15"/>
  <c r="J121" i="15"/>
  <c r="I168" i="15"/>
  <c r="J168" i="15"/>
  <c r="J28" i="15"/>
  <c r="I28" i="15"/>
  <c r="I81" i="15"/>
  <c r="I110" i="15"/>
  <c r="J110" i="15"/>
  <c r="I118" i="15"/>
  <c r="J118" i="15"/>
  <c r="I49" i="15"/>
  <c r="J49" i="15"/>
  <c r="I22" i="15"/>
  <c r="J22" i="15"/>
  <c r="I142" i="15"/>
  <c r="J142" i="15"/>
  <c r="I90" i="15"/>
  <c r="J90" i="15"/>
  <c r="J150" i="15"/>
  <c r="I150" i="15"/>
  <c r="I59" i="15"/>
  <c r="J59" i="15"/>
  <c r="I323" i="15"/>
  <c r="J323" i="15"/>
  <c r="J16" i="15"/>
  <c r="I16" i="15"/>
  <c r="J95" i="15"/>
  <c r="I95" i="15"/>
  <c r="I356" i="15"/>
  <c r="J356" i="15"/>
  <c r="H227" i="15"/>
  <c r="G227" i="15"/>
  <c r="BX227" i="6" s="1"/>
  <c r="AA227" i="15"/>
  <c r="Z227" i="15" s="1"/>
  <c r="Y227" i="15" s="1"/>
  <c r="G135" i="15"/>
  <c r="BX135" i="6" s="1"/>
  <c r="H135" i="15"/>
  <c r="AA135" i="15"/>
  <c r="Z135" i="15" s="1"/>
  <c r="Y135" i="15" s="1"/>
  <c r="H46" i="15"/>
  <c r="AA46" i="15"/>
  <c r="Z46" i="15" s="1"/>
  <c r="Y46" i="15" s="1"/>
  <c r="G46" i="15"/>
  <c r="BX46" i="6" s="1"/>
  <c r="AA105" i="15"/>
  <c r="Z105" i="15" s="1"/>
  <c r="Y105" i="15" s="1"/>
  <c r="G105" i="15"/>
  <c r="BX105" i="6" s="1"/>
  <c r="H105" i="15"/>
  <c r="J286" i="15"/>
  <c r="I286" i="15"/>
  <c r="I283" i="15"/>
  <c r="J283" i="15"/>
  <c r="J84" i="15"/>
  <c r="I84" i="15"/>
  <c r="I179" i="15"/>
  <c r="J179" i="15"/>
  <c r="I30" i="15"/>
  <c r="J30" i="15"/>
  <c r="I230" i="15"/>
  <c r="J230" i="15"/>
  <c r="I279" i="15"/>
  <c r="J279" i="15"/>
  <c r="I40" i="15"/>
  <c r="J40" i="15"/>
  <c r="I133" i="15"/>
  <c r="J133" i="15"/>
  <c r="J362" i="15"/>
  <c r="I362" i="15"/>
  <c r="J27" i="15"/>
  <c r="J138" i="15"/>
  <c r="I138" i="15"/>
  <c r="I101" i="15"/>
  <c r="J101" i="15"/>
  <c r="I156" i="15"/>
  <c r="J156" i="15"/>
  <c r="J313" i="15"/>
  <c r="I98" i="15"/>
  <c r="J98" i="15"/>
  <c r="J43" i="15"/>
  <c r="I43" i="15"/>
  <c r="I342" i="15"/>
  <c r="J342" i="15"/>
  <c r="J34" i="15"/>
  <c r="I34" i="15"/>
  <c r="I378" i="15"/>
  <c r="J378" i="15"/>
  <c r="J100" i="15"/>
  <c r="I100" i="15"/>
  <c r="I164" i="15"/>
  <c r="J164" i="15"/>
  <c r="J51" i="15"/>
  <c r="I51" i="15"/>
  <c r="J65" i="15"/>
  <c r="I65" i="15"/>
  <c r="I325" i="15"/>
  <c r="J325" i="15"/>
  <c r="I122" i="15"/>
  <c r="J122" i="15"/>
  <c r="I240" i="15"/>
  <c r="J240" i="15"/>
  <c r="I153" i="15"/>
  <c r="J153" i="15"/>
  <c r="J352" i="15"/>
  <c r="I352" i="15"/>
  <c r="J294" i="15"/>
  <c r="I294" i="15"/>
  <c r="J226" i="15"/>
  <c r="I226" i="15"/>
  <c r="I158" i="15"/>
  <c r="J158" i="15"/>
  <c r="J361" i="15"/>
  <c r="I361" i="15"/>
  <c r="I346" i="15"/>
  <c r="J346" i="15"/>
  <c r="J140" i="15"/>
  <c r="I140" i="15"/>
  <c r="I80" i="15"/>
  <c r="J80" i="15"/>
  <c r="J78" i="15"/>
  <c r="I78" i="15"/>
  <c r="J353" i="15"/>
  <c r="I353" i="15"/>
  <c r="I328" i="15" l="1"/>
  <c r="AA149" i="15"/>
  <c r="Z149" i="15" s="1"/>
  <c r="Y149" i="15" s="1"/>
  <c r="I277" i="15"/>
  <c r="H210" i="15"/>
  <c r="I210" i="15" s="1"/>
  <c r="I318" i="15"/>
  <c r="H333" i="15"/>
  <c r="I333" i="15" s="1"/>
  <c r="H180" i="15"/>
  <c r="I180" i="15" s="1"/>
  <c r="AA60" i="15"/>
  <c r="Z60" i="15" s="1"/>
  <c r="Y60" i="15" s="1"/>
  <c r="P303" i="16"/>
  <c r="P286" i="16"/>
  <c r="P134" i="16"/>
  <c r="P200" i="16"/>
  <c r="P39" i="16"/>
  <c r="P262" i="16"/>
  <c r="P220" i="16"/>
  <c r="P314" i="16"/>
  <c r="P354" i="16"/>
  <c r="P109" i="16"/>
  <c r="P377" i="16"/>
  <c r="P50" i="16"/>
  <c r="P133" i="16"/>
  <c r="P54" i="16"/>
  <c r="P211" i="16"/>
  <c r="P307" i="16"/>
  <c r="P182" i="16"/>
  <c r="P141" i="16"/>
  <c r="P136" i="16"/>
  <c r="P249" i="16"/>
  <c r="P36" i="16"/>
  <c r="P86" i="16"/>
  <c r="P366" i="16"/>
  <c r="P130" i="16"/>
  <c r="P83" i="16"/>
  <c r="P173" i="16"/>
  <c r="P174" i="16"/>
  <c r="P92" i="16"/>
  <c r="P250" i="16"/>
  <c r="P347" i="16"/>
  <c r="P179" i="16"/>
  <c r="P121" i="16"/>
  <c r="P339" i="16"/>
  <c r="P138" i="16"/>
  <c r="P162" i="16"/>
  <c r="P373" i="16"/>
  <c r="P191" i="16"/>
  <c r="P116" i="16"/>
  <c r="P159" i="16"/>
  <c r="P252" i="16"/>
  <c r="P265" i="16"/>
  <c r="P52" i="16"/>
  <c r="P350" i="16"/>
  <c r="P352" i="16"/>
  <c r="P292" i="16"/>
  <c r="P40" i="16"/>
  <c r="P285" i="16"/>
  <c r="P219" i="16"/>
  <c r="P201" i="16"/>
  <c r="P187" i="16"/>
  <c r="P88" i="16"/>
  <c r="P118" i="16"/>
  <c r="P127" i="16"/>
  <c r="P27" i="16"/>
  <c r="P107" i="16"/>
  <c r="P355" i="16"/>
  <c r="P78" i="16"/>
  <c r="P351" i="16"/>
  <c r="P45" i="16"/>
  <c r="P288" i="16"/>
  <c r="P213" i="16"/>
  <c r="P180" i="16"/>
  <c r="D49" i="7" s="1"/>
  <c r="P93" i="16"/>
  <c r="P322" i="16"/>
  <c r="P277" i="16"/>
  <c r="P365" i="16"/>
  <c r="P214" i="16"/>
  <c r="P368" i="16"/>
  <c r="P163" i="16"/>
  <c r="P59" i="16"/>
  <c r="P122" i="16"/>
  <c r="P216" i="16"/>
  <c r="P156" i="16"/>
  <c r="P308" i="16"/>
  <c r="P67" i="16"/>
  <c r="P248" i="16"/>
  <c r="P291" i="16"/>
  <c r="P369" i="16"/>
  <c r="P128" i="16"/>
  <c r="P18" i="16"/>
  <c r="P228" i="16"/>
  <c r="P210" i="16"/>
  <c r="D50" i="7" s="1"/>
  <c r="P53" i="16"/>
  <c r="P194" i="16"/>
  <c r="P215" i="16"/>
  <c r="P106" i="16"/>
  <c r="P58" i="16"/>
  <c r="P309" i="16"/>
  <c r="P343" i="16"/>
  <c r="P151" i="16"/>
  <c r="P28" i="16"/>
  <c r="P230" i="16"/>
  <c r="P164" i="16"/>
  <c r="P353" i="16"/>
  <c r="P68" i="16"/>
  <c r="P129" i="16"/>
  <c r="P271" i="16"/>
  <c r="P98" i="16"/>
  <c r="P42" i="16"/>
  <c r="P239" i="16"/>
  <c r="P379" i="16"/>
  <c r="D37" i="19" s="1"/>
  <c r="P348" i="16"/>
  <c r="P181" i="16"/>
  <c r="P335" i="16"/>
  <c r="P346" i="16"/>
  <c r="P82" i="16"/>
  <c r="P96" i="16"/>
  <c r="P306" i="16"/>
  <c r="P79" i="16"/>
  <c r="P267" i="16"/>
  <c r="P310" i="16"/>
  <c r="P208" i="16"/>
  <c r="P46" i="16"/>
  <c r="P341" i="16"/>
  <c r="P290" i="16"/>
  <c r="P126" i="16"/>
  <c r="P43" i="16"/>
  <c r="I350" i="15"/>
  <c r="I203" i="15"/>
  <c r="I337" i="15"/>
  <c r="I288" i="15"/>
  <c r="I107" i="15"/>
  <c r="J278" i="15"/>
  <c r="I300" i="15"/>
  <c r="P81" i="16"/>
  <c r="P283" i="16"/>
  <c r="P101" i="16"/>
  <c r="P261" i="16"/>
  <c r="P311" i="16"/>
  <c r="P204" i="16"/>
  <c r="P21" i="16"/>
  <c r="P76" i="16"/>
  <c r="P270" i="16"/>
  <c r="P137" i="16"/>
  <c r="P221" i="16"/>
  <c r="P114" i="16"/>
  <c r="Q12" i="17"/>
  <c r="U15" i="7" s="1"/>
  <c r="AD241" i="16"/>
  <c r="AD104" i="16"/>
  <c r="AD314" i="16"/>
  <c r="AD329" i="16"/>
  <c r="AD214" i="16"/>
  <c r="AD233" i="16"/>
  <c r="AD368" i="16"/>
  <c r="AD163" i="16"/>
  <c r="AD235" i="16"/>
  <c r="AD332" i="16"/>
  <c r="AD65" i="16"/>
  <c r="AD42" i="16"/>
  <c r="AD70" i="16"/>
  <c r="AD278" i="16"/>
  <c r="AD321" i="16"/>
  <c r="AD33" i="16"/>
  <c r="AD30" i="16"/>
  <c r="AD299" i="16"/>
  <c r="AD17" i="16"/>
  <c r="AD253" i="16"/>
  <c r="AD362" i="16"/>
  <c r="AD148" i="16"/>
  <c r="AD369" i="16"/>
  <c r="AD180" i="16"/>
  <c r="AD161" i="16"/>
  <c r="AD195" i="16"/>
  <c r="AD178" i="16"/>
  <c r="AD101" i="16"/>
  <c r="AD330" i="16"/>
  <c r="AD46" i="16"/>
  <c r="AD207" i="16"/>
  <c r="AD294" i="16"/>
  <c r="AD367" i="16"/>
  <c r="AD53" i="16"/>
  <c r="AD345" i="16"/>
  <c r="AD236" i="16"/>
  <c r="AD352" i="16"/>
  <c r="AD374" i="16"/>
  <c r="AD354" i="16"/>
  <c r="AD282" i="16"/>
  <c r="AD167" i="16"/>
  <c r="AD366" i="16"/>
  <c r="AD127" i="16"/>
  <c r="AD147" i="16"/>
  <c r="AD179" i="16"/>
  <c r="AD196" i="16"/>
  <c r="AD61" i="16"/>
  <c r="AD268" i="16"/>
  <c r="AD21" i="16"/>
  <c r="AD280" i="16"/>
  <c r="AD260" i="16"/>
  <c r="AD277" i="16"/>
  <c r="AD66" i="16"/>
  <c r="AD51" i="16"/>
  <c r="AD216" i="16"/>
  <c r="AD72" i="16"/>
  <c r="AD182" i="16"/>
  <c r="AD108" i="16"/>
  <c r="AD141" i="16"/>
  <c r="AD87" i="16"/>
  <c r="AD119" i="16"/>
  <c r="AD267" i="16"/>
  <c r="AD56" i="16"/>
  <c r="AD139" i="16"/>
  <c r="AD27" i="16"/>
  <c r="AD211" i="16"/>
  <c r="AD231" i="16"/>
  <c r="AD261" i="16"/>
  <c r="AD357" i="16"/>
  <c r="AD286" i="16"/>
  <c r="J368" i="15"/>
  <c r="I53" i="15"/>
  <c r="J188" i="15"/>
  <c r="AD90" i="16"/>
  <c r="AD373" i="16"/>
  <c r="AD83" i="16"/>
  <c r="AD213" i="16"/>
  <c r="AD177" i="16"/>
  <c r="AD323" i="16"/>
  <c r="AD93" i="16"/>
  <c r="AD95" i="16"/>
  <c r="P272" i="16"/>
  <c r="D52" i="7" s="1"/>
  <c r="P49" i="16"/>
  <c r="P120" i="16"/>
  <c r="P268" i="16"/>
  <c r="P192" i="16"/>
  <c r="P95" i="16"/>
  <c r="P317" i="16"/>
  <c r="P236" i="16"/>
  <c r="P19" i="16"/>
  <c r="P212" i="16"/>
  <c r="P295" i="16"/>
  <c r="P224" i="16"/>
  <c r="P89" i="16"/>
  <c r="P188" i="16"/>
  <c r="P160" i="16"/>
  <c r="P65" i="16"/>
  <c r="P153" i="16"/>
  <c r="P227" i="16"/>
  <c r="P177" i="16"/>
  <c r="P144" i="16"/>
  <c r="P327" i="16"/>
  <c r="P70" i="16"/>
  <c r="P23" i="16"/>
  <c r="P315" i="16"/>
  <c r="P269" i="16"/>
  <c r="P135" i="16"/>
  <c r="P273" i="16"/>
  <c r="P56" i="16"/>
  <c r="P281" i="16"/>
  <c r="P372" i="16"/>
  <c r="P378" i="16"/>
  <c r="P152" i="16"/>
  <c r="P74" i="16"/>
  <c r="P139" i="16"/>
  <c r="P275" i="16"/>
  <c r="P184" i="16"/>
  <c r="P289" i="16"/>
  <c r="P169" i="16"/>
  <c r="I47" i="15"/>
  <c r="P330" i="16"/>
  <c r="P260" i="16"/>
  <c r="P105" i="16"/>
  <c r="P166" i="16"/>
  <c r="P172" i="16"/>
  <c r="P66" i="16"/>
  <c r="P299" i="16"/>
  <c r="P119" i="16"/>
  <c r="P71" i="16"/>
  <c r="AD82" i="16"/>
  <c r="AD151" i="16"/>
  <c r="AD203" i="16"/>
  <c r="AD380" i="16"/>
  <c r="AD44" i="16"/>
  <c r="AD292" i="16"/>
  <c r="AD86" i="16"/>
  <c r="AD36" i="16"/>
  <c r="AD134" i="16"/>
  <c r="AD291" i="16"/>
  <c r="AD184" i="16"/>
  <c r="AD100" i="16"/>
  <c r="AD154" i="16"/>
  <c r="AD173" i="16"/>
  <c r="AD194" i="16"/>
  <c r="AD109" i="16"/>
  <c r="AD349" i="16"/>
  <c r="AD312" i="16"/>
  <c r="AD264" i="16"/>
  <c r="AD287" i="16"/>
  <c r="AD289" i="16"/>
  <c r="AD77" i="16"/>
  <c r="AD32" i="16"/>
  <c r="AD230" i="16"/>
  <c r="AD205" i="16"/>
  <c r="AD353" i="16"/>
  <c r="AD164" i="16"/>
  <c r="AD335" i="16"/>
  <c r="AD197" i="16"/>
  <c r="AD37" i="16"/>
  <c r="AD309" i="16"/>
  <c r="AD273" i="16"/>
  <c r="AD210" i="16"/>
  <c r="AD270" i="16"/>
  <c r="AD40" i="16"/>
  <c r="AD347" i="16"/>
  <c r="AD258" i="16"/>
  <c r="AD375" i="16"/>
  <c r="AD26" i="16"/>
  <c r="AD47" i="16"/>
  <c r="AD162" i="16"/>
  <c r="AD123" i="16"/>
  <c r="AD315" i="16"/>
  <c r="AD172" i="16"/>
  <c r="AD244" i="16"/>
  <c r="AD298" i="16"/>
  <c r="AD129" i="16"/>
  <c r="AD189" i="16"/>
  <c r="AD64" i="16"/>
  <c r="AD334" i="16"/>
  <c r="P85" i="16"/>
  <c r="P117" i="16"/>
  <c r="P305" i="16"/>
  <c r="P185" i="16"/>
  <c r="P103" i="16"/>
  <c r="P161" i="16"/>
  <c r="P318" i="16"/>
  <c r="P75" i="16"/>
  <c r="AD175" i="16"/>
  <c r="AD296" i="16"/>
  <c r="AD221" i="16"/>
  <c r="AD266" i="16"/>
  <c r="AD149" i="16"/>
  <c r="AD313" i="16"/>
  <c r="AD126" i="16"/>
  <c r="AD351" i="16"/>
  <c r="AD208" i="16"/>
  <c r="AD43" i="16"/>
  <c r="AD111" i="16"/>
  <c r="AD35" i="16"/>
  <c r="AD97" i="16"/>
  <c r="AD290" i="16"/>
  <c r="AD337" i="16"/>
  <c r="AD311" i="16"/>
  <c r="P258" i="16"/>
  <c r="P367" i="16"/>
  <c r="I61" i="15"/>
  <c r="I308" i="15"/>
  <c r="J97" i="15"/>
  <c r="I172" i="15"/>
  <c r="P302" i="16"/>
  <c r="D53" i="7" s="1"/>
  <c r="P259" i="16"/>
  <c r="P69" i="16"/>
  <c r="P342" i="16"/>
  <c r="P34" i="16"/>
  <c r="P84" i="16"/>
  <c r="P111" i="16"/>
  <c r="P124" i="16"/>
  <c r="P294" i="16"/>
  <c r="P91" i="16"/>
  <c r="P132" i="16"/>
  <c r="P240" i="16"/>
  <c r="P41" i="16"/>
  <c r="P356" i="16"/>
  <c r="P113" i="16"/>
  <c r="P244" i="16"/>
  <c r="P263" i="16"/>
  <c r="P370" i="16"/>
  <c r="P170" i="16"/>
  <c r="P48" i="16"/>
  <c r="P276" i="16"/>
  <c r="J117" i="15"/>
  <c r="J369" i="15"/>
  <c r="I207" i="15"/>
  <c r="P110" i="16"/>
  <c r="P77" i="16"/>
  <c r="P300" i="16"/>
  <c r="P100" i="16"/>
  <c r="P155" i="16"/>
  <c r="P338" i="16"/>
  <c r="P223" i="16"/>
  <c r="P94" i="16"/>
  <c r="P321" i="16"/>
  <c r="P31" i="16"/>
  <c r="P20" i="16"/>
  <c r="P62" i="16"/>
  <c r="P205" i="16"/>
  <c r="P359" i="16"/>
  <c r="P22" i="16"/>
  <c r="P190" i="16"/>
  <c r="P237" i="16"/>
  <c r="P282" i="16"/>
  <c r="I36" i="15"/>
  <c r="J340" i="15"/>
  <c r="J177" i="15"/>
  <c r="I126" i="15"/>
  <c r="I93" i="15"/>
  <c r="J39" i="15"/>
  <c r="J373" i="15"/>
  <c r="I99" i="15"/>
  <c r="J358" i="15"/>
  <c r="I265" i="15"/>
  <c r="I355" i="15"/>
  <c r="J248" i="15"/>
  <c r="I125" i="15"/>
  <c r="I351" i="15"/>
  <c r="I187" i="15"/>
  <c r="J67" i="15"/>
  <c r="I261" i="15"/>
  <c r="J376" i="15"/>
  <c r="J92" i="15"/>
  <c r="J223" i="15"/>
  <c r="I19" i="15"/>
  <c r="J270" i="15"/>
  <c r="J307" i="15"/>
  <c r="I365" i="15"/>
  <c r="BT9" i="7"/>
  <c r="BV10" i="7" s="1"/>
  <c r="BZ9" i="7" s="1"/>
  <c r="BQ10" i="7"/>
  <c r="J268" i="15"/>
  <c r="I204" i="15"/>
  <c r="I162" i="15"/>
  <c r="I364" i="15"/>
  <c r="I193" i="15"/>
  <c r="I218" i="15"/>
  <c r="G180" i="15"/>
  <c r="BX180" i="6" s="1"/>
  <c r="AD140" i="16"/>
  <c r="I201" i="15"/>
  <c r="P209" i="16"/>
  <c r="P123" i="16"/>
  <c r="P203" i="16"/>
  <c r="P112" i="16"/>
  <c r="P264" i="16"/>
  <c r="P90" i="16"/>
  <c r="P301" i="16"/>
  <c r="P226" i="16"/>
  <c r="P157" i="16"/>
  <c r="P176" i="16"/>
  <c r="P167" i="16"/>
  <c r="P17" i="16"/>
  <c r="P363" i="16"/>
  <c r="D55" i="7" s="1"/>
  <c r="P349" i="16"/>
  <c r="P340" i="16"/>
  <c r="P332" i="16"/>
  <c r="P57" i="16"/>
  <c r="P304" i="16"/>
  <c r="P44" i="16"/>
  <c r="P242" i="16"/>
  <c r="P333" i="16"/>
  <c r="D54" i="7" s="1"/>
  <c r="P360" i="16"/>
  <c r="P313" i="16"/>
  <c r="P297" i="16"/>
  <c r="P33" i="16"/>
  <c r="P131" i="16"/>
  <c r="P266" i="16"/>
  <c r="P72" i="16"/>
  <c r="P284" i="16"/>
  <c r="P293" i="16"/>
  <c r="P278" i="16"/>
  <c r="P64" i="16"/>
  <c r="P199" i="16"/>
  <c r="P97" i="16"/>
  <c r="P193" i="16"/>
  <c r="P371" i="16"/>
  <c r="P238" i="16"/>
  <c r="P150" i="16"/>
  <c r="P325" i="16"/>
  <c r="P233" i="16"/>
  <c r="P37" i="16"/>
  <c r="P296" i="16"/>
  <c r="P29" i="16"/>
  <c r="D44" i="7" s="1"/>
  <c r="P357" i="16"/>
  <c r="P104" i="16"/>
  <c r="P336" i="16"/>
  <c r="P26" i="16"/>
  <c r="P256" i="16"/>
  <c r="P87" i="16"/>
  <c r="I326" i="15"/>
  <c r="J235" i="15"/>
  <c r="E7" i="22"/>
  <c r="O10" i="22" s="1"/>
  <c r="O108" i="22" s="1"/>
  <c r="E8" i="22"/>
  <c r="K17" i="19" s="1"/>
  <c r="K41" i="19" s="1"/>
  <c r="J145" i="15"/>
  <c r="J42" i="15"/>
  <c r="J64" i="15"/>
  <c r="J205" i="15"/>
  <c r="J266" i="15"/>
  <c r="I75" i="15"/>
  <c r="J366" i="15"/>
  <c r="J327" i="15"/>
  <c r="I115" i="15"/>
  <c r="J85" i="15"/>
  <c r="J341" i="15"/>
  <c r="I136" i="15"/>
  <c r="J255" i="15"/>
  <c r="I17" i="15"/>
  <c r="J45" i="15"/>
  <c r="J316" i="15"/>
  <c r="J55" i="15"/>
  <c r="I260" i="15"/>
  <c r="I225" i="15"/>
  <c r="I276" i="15"/>
  <c r="I357" i="15"/>
  <c r="J48" i="15"/>
  <c r="I182" i="15"/>
  <c r="J251" i="15"/>
  <c r="J345" i="15"/>
  <c r="I262" i="15"/>
  <c r="J167" i="15"/>
  <c r="I173" i="15"/>
  <c r="J139" i="15"/>
  <c r="J330" i="15"/>
  <c r="I212" i="15"/>
  <c r="J189" i="15"/>
  <c r="I144" i="15"/>
  <c r="I89" i="15"/>
  <c r="I73" i="15"/>
  <c r="J69" i="15"/>
  <c r="J37" i="15"/>
  <c r="I306" i="15"/>
  <c r="J219" i="15"/>
  <c r="I137" i="15"/>
  <c r="I377" i="15"/>
  <c r="I82" i="15"/>
  <c r="I108" i="15"/>
  <c r="I70" i="15"/>
  <c r="I285" i="15"/>
  <c r="J375" i="15"/>
  <c r="I35" i="15"/>
  <c r="J222" i="15"/>
  <c r="J343" i="15"/>
  <c r="J244" i="15"/>
  <c r="J26" i="15"/>
  <c r="J155" i="15"/>
  <c r="I320" i="15"/>
  <c r="J228" i="15"/>
  <c r="I246" i="15"/>
  <c r="I347" i="15"/>
  <c r="J303" i="15"/>
  <c r="J224" i="15"/>
  <c r="J287" i="15"/>
  <c r="I116" i="15"/>
  <c r="J128" i="15"/>
  <c r="I239" i="15"/>
  <c r="J209" i="15"/>
  <c r="I291" i="15"/>
  <c r="AA302" i="15"/>
  <c r="Z302" i="15" s="1"/>
  <c r="Y302" i="15" s="1"/>
  <c r="J192" i="15"/>
  <c r="J63" i="15"/>
  <c r="J31" i="15"/>
  <c r="I147" i="15"/>
  <c r="I113" i="15"/>
  <c r="J211" i="15"/>
  <c r="I24" i="15"/>
  <c r="J304" i="15"/>
  <c r="I72" i="15"/>
  <c r="J217" i="15"/>
  <c r="J233" i="15"/>
  <c r="I234" i="15"/>
  <c r="I200" i="15"/>
  <c r="I175" i="15"/>
  <c r="J109" i="15"/>
  <c r="I184" i="15"/>
  <c r="I52" i="15"/>
  <c r="J289" i="15"/>
  <c r="J280" i="15"/>
  <c r="J231" i="15"/>
  <c r="AA272" i="15"/>
  <c r="Z272" i="15" s="1"/>
  <c r="Y272" i="15" s="1"/>
  <c r="J299" i="15"/>
  <c r="I329" i="15"/>
  <c r="J143" i="15"/>
  <c r="J44" i="15"/>
  <c r="I336" i="15"/>
  <c r="I96" i="15"/>
  <c r="I374" i="15"/>
  <c r="I310" i="15"/>
  <c r="J33" i="15"/>
  <c r="I324" i="15"/>
  <c r="I238" i="15"/>
  <c r="I275" i="15"/>
  <c r="I202" i="15"/>
  <c r="I301" i="15"/>
  <c r="J124" i="15"/>
  <c r="I371" i="15"/>
  <c r="G363" i="15"/>
  <c r="BX363" i="6" s="1"/>
  <c r="J372" i="15"/>
  <c r="I160" i="15"/>
  <c r="J215" i="15"/>
  <c r="I295" i="15"/>
  <c r="I253" i="15"/>
  <c r="I161" i="15"/>
  <c r="I232" i="15"/>
  <c r="J170" i="15"/>
  <c r="J129" i="15"/>
  <c r="I311" i="15"/>
  <c r="H290" i="15"/>
  <c r="J290" i="15" s="1"/>
  <c r="H302" i="15"/>
  <c r="J302" i="15" s="1"/>
  <c r="J338" i="15"/>
  <c r="I339" i="15"/>
  <c r="I257" i="15"/>
  <c r="I196" i="15"/>
  <c r="J134" i="15"/>
  <c r="I112" i="15"/>
  <c r="I256" i="15"/>
  <c r="I77" i="15"/>
  <c r="I195" i="15"/>
  <c r="J88" i="15"/>
  <c r="H363" i="15"/>
  <c r="J363" i="15" s="1"/>
  <c r="J79" i="15"/>
  <c r="I335" i="15"/>
  <c r="J281" i="15"/>
  <c r="I229" i="15"/>
  <c r="I312" i="15"/>
  <c r="J154" i="15"/>
  <c r="J269" i="15"/>
  <c r="I284" i="15"/>
  <c r="I20" i="15"/>
  <c r="J76" i="15"/>
  <c r="I254" i="15"/>
  <c r="J141" i="15"/>
  <c r="I32" i="15"/>
  <c r="I348" i="15"/>
  <c r="J344" i="15"/>
  <c r="J259" i="15"/>
  <c r="I208" i="15"/>
  <c r="J185" i="15"/>
  <c r="I94" i="15"/>
  <c r="I71" i="15"/>
  <c r="I148" i="15"/>
  <c r="J151" i="15"/>
  <c r="I103" i="15"/>
  <c r="J180" i="15"/>
  <c r="I183" i="15"/>
  <c r="I271" i="15"/>
  <c r="I317" i="15"/>
  <c r="AD333" i="16"/>
  <c r="J62" i="15"/>
  <c r="I111" i="15"/>
  <c r="J149" i="15"/>
  <c r="J216" i="15"/>
  <c r="J360" i="15"/>
  <c r="J245" i="15"/>
  <c r="I370" i="15"/>
  <c r="I102" i="15"/>
  <c r="I221" i="15"/>
  <c r="I243" i="15"/>
  <c r="J165" i="15"/>
  <c r="J178" i="15"/>
  <c r="AD310" i="16"/>
  <c r="AD122" i="16"/>
  <c r="AD198" i="16"/>
  <c r="AD327" i="16"/>
  <c r="AD365" i="16"/>
  <c r="P323" i="16"/>
  <c r="P245" i="16"/>
  <c r="P73" i="16"/>
  <c r="P149" i="16"/>
  <c r="D48" i="7" s="1"/>
  <c r="P80" i="16"/>
  <c r="P253" i="16"/>
  <c r="P195" i="16"/>
  <c r="P142" i="16"/>
  <c r="P274" i="16"/>
  <c r="P345" i="16"/>
  <c r="P125" i="16"/>
  <c r="P171" i="16"/>
  <c r="P241" i="16"/>
  <c r="D51" i="7" s="1"/>
  <c r="P197" i="16"/>
  <c r="P35" i="16"/>
  <c r="P362" i="16"/>
  <c r="P364" i="16"/>
  <c r="P254" i="16"/>
  <c r="P25" i="16"/>
  <c r="P175" i="16"/>
  <c r="P331" i="16"/>
  <c r="P235" i="16"/>
  <c r="P51" i="16"/>
  <c r="P178" i="16"/>
  <c r="H119" i="15"/>
  <c r="J119" i="15" s="1"/>
  <c r="I199" i="15"/>
  <c r="I181" i="15"/>
  <c r="J171" i="15"/>
  <c r="J237" i="15"/>
  <c r="I194" i="15"/>
  <c r="J157" i="15"/>
  <c r="J57" i="15"/>
  <c r="P146" i="16"/>
  <c r="P231" i="16"/>
  <c r="G119" i="15"/>
  <c r="BX119" i="6" s="1"/>
  <c r="J68" i="15"/>
  <c r="J159" i="15"/>
  <c r="I309" i="15"/>
  <c r="I314" i="15"/>
  <c r="J273" i="15"/>
  <c r="J38" i="15"/>
  <c r="I334" i="15"/>
  <c r="H241" i="15"/>
  <c r="J241" i="15" s="1"/>
  <c r="I206" i="15"/>
  <c r="I119" i="15"/>
  <c r="J50" i="15"/>
  <c r="J191" i="15"/>
  <c r="P61" i="16"/>
  <c r="J267" i="15"/>
  <c r="J247" i="15"/>
  <c r="P280" i="16"/>
  <c r="P257" i="16"/>
  <c r="P316" i="16"/>
  <c r="P207" i="16"/>
  <c r="P218" i="16"/>
  <c r="P375" i="16"/>
  <c r="P222" i="16"/>
  <c r="P361" i="16"/>
  <c r="P251" i="16"/>
  <c r="P328" i="16"/>
  <c r="P324" i="16"/>
  <c r="P326" i="16"/>
  <c r="P206" i="16"/>
  <c r="P140" i="16"/>
  <c r="P312" i="16"/>
  <c r="P243" i="16"/>
  <c r="P196" i="16"/>
  <c r="P186" i="16"/>
  <c r="P165" i="16"/>
  <c r="H272" i="15"/>
  <c r="AA241" i="15"/>
  <c r="Z241" i="15" s="1"/>
  <c r="Y241" i="15" s="1"/>
  <c r="P202" i="16"/>
  <c r="P247" i="16"/>
  <c r="P374" i="16"/>
  <c r="P63" i="16"/>
  <c r="P189" i="16"/>
  <c r="P229" i="16"/>
  <c r="P198" i="16"/>
  <c r="P16" i="16"/>
  <c r="P319" i="16"/>
  <c r="P358" i="16"/>
  <c r="P158" i="16"/>
  <c r="P287" i="16"/>
  <c r="P334" i="16"/>
  <c r="P255" i="16"/>
  <c r="P183" i="16"/>
  <c r="P60" i="16"/>
  <c r="D45" i="7" s="1"/>
  <c r="AD50" i="16"/>
  <c r="AD18" i="16"/>
  <c r="AD341" i="16"/>
  <c r="AD76" i="16"/>
  <c r="AD248" i="16"/>
  <c r="AD251" i="16"/>
  <c r="AD201" i="16"/>
  <c r="AD49" i="16"/>
  <c r="AD38" i="16"/>
  <c r="AD212" i="16"/>
  <c r="AD222" i="16"/>
  <c r="AD215" i="16"/>
  <c r="AD62" i="16"/>
  <c r="AD94" i="16"/>
  <c r="AD157" i="16"/>
  <c r="AD132" i="16"/>
  <c r="AD168" i="16"/>
  <c r="AD41" i="16"/>
  <c r="AD31" i="16"/>
  <c r="AD274" i="16"/>
  <c r="AD79" i="16"/>
  <c r="AD48" i="16"/>
  <c r="AD156" i="16"/>
  <c r="AD106" i="16"/>
  <c r="AD288" i="16"/>
  <c r="AD320" i="16"/>
  <c r="AD360" i="16"/>
  <c r="AD188" i="16"/>
  <c r="AD237" i="16"/>
  <c r="AD169" i="16"/>
  <c r="AD302" i="16"/>
  <c r="AD118" i="16"/>
  <c r="AD227" i="16"/>
  <c r="AD73" i="16"/>
  <c r="AD343" i="16"/>
  <c r="AD45" i="16"/>
  <c r="AD372" i="16"/>
  <c r="AD377" i="16"/>
  <c r="AD322" i="16"/>
  <c r="AD187" i="16"/>
  <c r="AD363" i="16"/>
  <c r="AD246" i="16"/>
  <c r="AD250" i="16"/>
  <c r="AD99" i="16"/>
  <c r="AD54" i="16"/>
  <c r="AD281" i="16"/>
  <c r="AD20" i="16"/>
  <c r="AD81" i="16"/>
  <c r="AD339" i="16"/>
  <c r="P115" i="16"/>
  <c r="P329" i="16"/>
  <c r="P47" i="16"/>
  <c r="AD103" i="16"/>
  <c r="AD219" i="16"/>
  <c r="AD301" i="16"/>
  <c r="AD146" i="16"/>
  <c r="AD269" i="16"/>
  <c r="AD308" i="16"/>
  <c r="AD247" i="16"/>
  <c r="AD209" i="16"/>
  <c r="AD24" i="16"/>
  <c r="AD199" i="16"/>
  <c r="AD135" i="16"/>
  <c r="AD217" i="16"/>
  <c r="P24" i="16"/>
  <c r="AD96" i="16"/>
  <c r="AD249" i="16"/>
  <c r="P99" i="16"/>
  <c r="Q381" i="16"/>
  <c r="P147" i="16"/>
  <c r="P232" i="16"/>
  <c r="P145" i="16"/>
  <c r="AA88" i="15"/>
  <c r="Z88" i="15" s="1"/>
  <c r="Y88" i="15" s="1"/>
  <c r="G88" i="15"/>
  <c r="BX88" i="6" s="1"/>
  <c r="Q382" i="16"/>
  <c r="AD160" i="16"/>
  <c r="AD316" i="16"/>
  <c r="AD371" i="16"/>
  <c r="AD159" i="16"/>
  <c r="AD137" i="16"/>
  <c r="AD254" i="16"/>
  <c r="AD331" i="16"/>
  <c r="AD271" i="16"/>
  <c r="Q383" i="16"/>
  <c r="J176" i="15"/>
  <c r="I60" i="15"/>
  <c r="G29" i="15"/>
  <c r="BX29" i="6" s="1"/>
  <c r="J29" i="15"/>
  <c r="I29" i="15"/>
  <c r="G41" i="15"/>
  <c r="BX41" i="6" s="1"/>
  <c r="H41" i="15"/>
  <c r="AA41" i="15"/>
  <c r="Z41" i="15" s="1"/>
  <c r="Y41" i="15" s="1"/>
  <c r="H152" i="15"/>
  <c r="AA152" i="15"/>
  <c r="Z152" i="15" s="1"/>
  <c r="Y152" i="15" s="1"/>
  <c r="G152" i="15"/>
  <c r="BX152" i="6" s="1"/>
  <c r="G91" i="15"/>
  <c r="BX91" i="6" s="1"/>
  <c r="AA91" i="15"/>
  <c r="Z91" i="15" s="1"/>
  <c r="Y91" i="15" s="1"/>
  <c r="H91" i="15"/>
  <c r="AA104" i="15"/>
  <c r="Z104" i="15" s="1"/>
  <c r="Y104" i="15" s="1"/>
  <c r="H104" i="15"/>
  <c r="G104" i="15"/>
  <c r="BX104" i="6" s="1"/>
  <c r="AA297" i="15"/>
  <c r="Z297" i="15" s="1"/>
  <c r="Y297" i="15" s="1"/>
  <c r="G297" i="15"/>
  <c r="BX297" i="6" s="1"/>
  <c r="G282" i="15"/>
  <c r="BX282" i="6" s="1"/>
  <c r="AA282" i="15"/>
  <c r="Z282" i="15" s="1"/>
  <c r="Y282" i="15" s="1"/>
  <c r="G169" i="15"/>
  <c r="BX169" i="6" s="1"/>
  <c r="AA169" i="15"/>
  <c r="Z169" i="15" s="1"/>
  <c r="Y169" i="15" s="1"/>
  <c r="H169" i="15"/>
  <c r="AA290" i="15"/>
  <c r="Z290" i="15" s="1"/>
  <c r="Y290" i="15" s="1"/>
  <c r="G290" i="15"/>
  <c r="BX290" i="6" s="1"/>
  <c r="AA114" i="15"/>
  <c r="Z114" i="15" s="1"/>
  <c r="Y114" i="15" s="1"/>
  <c r="H114" i="15"/>
  <c r="G114" i="15"/>
  <c r="BX114" i="6" s="1"/>
  <c r="AA250" i="15"/>
  <c r="Z250" i="15" s="1"/>
  <c r="Y250" i="15" s="1"/>
  <c r="G250" i="15"/>
  <c r="BX250" i="6" s="1"/>
  <c r="H250" i="15"/>
  <c r="H130" i="15"/>
  <c r="G130" i="15"/>
  <c r="BX130" i="6" s="1"/>
  <c r="AA130" i="15"/>
  <c r="Z130" i="15" s="1"/>
  <c r="Y130" i="15" s="1"/>
  <c r="G332" i="15"/>
  <c r="BX332" i="6" s="1"/>
  <c r="AA332" i="15"/>
  <c r="Z332" i="15" s="1"/>
  <c r="Y332" i="15" s="1"/>
  <c r="H332" i="15"/>
  <c r="H282" i="15"/>
  <c r="H297" i="15"/>
  <c r="AA29" i="15"/>
  <c r="Z29" i="15" s="1"/>
  <c r="Y29" i="15" s="1"/>
  <c r="AA331" i="15"/>
  <c r="Z331" i="15" s="1"/>
  <c r="Y331" i="15" s="1"/>
  <c r="G331" i="15"/>
  <c r="BX331" i="6" s="1"/>
  <c r="H331" i="15"/>
  <c r="AA120" i="15"/>
  <c r="Z120" i="15" s="1"/>
  <c r="Y120" i="15" s="1"/>
  <c r="G120" i="15"/>
  <c r="BX120" i="6" s="1"/>
  <c r="H120" i="15"/>
  <c r="AA293" i="15"/>
  <c r="Z293" i="15" s="1"/>
  <c r="Y293" i="15" s="1"/>
  <c r="G293" i="15"/>
  <c r="BX293" i="6" s="1"/>
  <c r="H293" i="15"/>
  <c r="G146" i="15"/>
  <c r="BX146" i="6" s="1"/>
  <c r="H146" i="15"/>
  <c r="AA146" i="15"/>
  <c r="Z146" i="15" s="1"/>
  <c r="Y146" i="15" s="1"/>
  <c r="AA186" i="15"/>
  <c r="Z186" i="15" s="1"/>
  <c r="Y186" i="15" s="1"/>
  <c r="G186" i="15"/>
  <c r="BX186" i="6" s="1"/>
  <c r="H186" i="15"/>
  <c r="G213" i="15"/>
  <c r="BX213" i="6" s="1"/>
  <c r="AA213" i="15"/>
  <c r="Z213" i="15" s="1"/>
  <c r="Y213" i="15" s="1"/>
  <c r="AA249" i="15"/>
  <c r="Z249" i="15" s="1"/>
  <c r="Y249" i="15" s="1"/>
  <c r="G249" i="15"/>
  <c r="BX249" i="6" s="1"/>
  <c r="G58" i="15"/>
  <c r="BX58" i="6" s="1"/>
  <c r="H58" i="15"/>
  <c r="AA58" i="15"/>
  <c r="Z58" i="15" s="1"/>
  <c r="Y58" i="15" s="1"/>
  <c r="G321" i="15"/>
  <c r="BX321" i="6" s="1"/>
  <c r="AA321" i="15"/>
  <c r="Z321" i="15" s="1"/>
  <c r="Y321" i="15" s="1"/>
  <c r="H106" i="15"/>
  <c r="AA106" i="15"/>
  <c r="Z106" i="15" s="1"/>
  <c r="Y106" i="15" s="1"/>
  <c r="G106" i="15"/>
  <c r="BX106" i="6" s="1"/>
  <c r="H83" i="15"/>
  <c r="G83" i="15"/>
  <c r="BX83" i="6" s="1"/>
  <c r="AA83" i="15"/>
  <c r="Z83" i="15" s="1"/>
  <c r="Y83" i="15" s="1"/>
  <c r="H305" i="15"/>
  <c r="G305" i="15"/>
  <c r="BX305" i="6" s="1"/>
  <c r="AA305" i="15"/>
  <c r="Z305" i="15" s="1"/>
  <c r="Y305" i="15" s="1"/>
  <c r="G23" i="15"/>
  <c r="BX23" i="6" s="1"/>
  <c r="H23" i="15"/>
  <c r="AA23" i="15"/>
  <c r="Z23" i="15" s="1"/>
  <c r="Y23" i="15" s="1"/>
  <c r="H321" i="15"/>
  <c r="H213" i="15"/>
  <c r="H249" i="15"/>
  <c r="O89" i="17"/>
  <c r="E89" i="17" s="1"/>
  <c r="O111" i="17"/>
  <c r="E111" i="17" s="1"/>
  <c r="O56" i="16"/>
  <c r="E56" i="16" s="1"/>
  <c r="O90" i="16"/>
  <c r="E90" i="16" s="1"/>
  <c r="O138" i="16"/>
  <c r="E138" i="16" s="1"/>
  <c r="O109" i="16"/>
  <c r="E109" i="16" s="1"/>
  <c r="O248" i="16"/>
  <c r="E248" i="16" s="1"/>
  <c r="O16" i="16"/>
  <c r="E16" i="16" s="1"/>
  <c r="O37" i="16"/>
  <c r="O129" i="16"/>
  <c r="E129" i="16" s="1"/>
  <c r="O135" i="16"/>
  <c r="O164" i="16"/>
  <c r="E164" i="16" s="1"/>
  <c r="O68" i="16"/>
  <c r="E68" i="16" s="1"/>
  <c r="O110" i="16"/>
  <c r="E110" i="16" s="1"/>
  <c r="O75" i="16"/>
  <c r="E75" i="16" s="1"/>
  <c r="O85" i="16"/>
  <c r="E85" i="16" s="1"/>
  <c r="O118" i="16"/>
  <c r="O356" i="16"/>
  <c r="E356" i="16" s="1"/>
  <c r="O271" i="16"/>
  <c r="O295" i="16"/>
  <c r="E295" i="16" s="1"/>
  <c r="O83" i="16"/>
  <c r="E83" i="16" s="1"/>
  <c r="O239" i="16"/>
  <c r="E239" i="16" s="1"/>
  <c r="O19" i="16"/>
  <c r="E19" i="16" s="1"/>
  <c r="O157" i="16"/>
  <c r="E157" i="16" s="1"/>
  <c r="O180" i="16"/>
  <c r="O247" i="16"/>
  <c r="E247" i="16" s="1"/>
  <c r="O200" i="16"/>
  <c r="E200" i="16" s="1"/>
  <c r="O65" i="17"/>
  <c r="E65" i="17" s="1"/>
  <c r="O156" i="16"/>
  <c r="E156" i="16" s="1"/>
  <c r="O266" i="16"/>
  <c r="E266" i="16" s="1"/>
  <c r="O90" i="17"/>
  <c r="E90" i="17" s="1"/>
  <c r="O310" i="16"/>
  <c r="E310" i="16" s="1"/>
  <c r="O116" i="16"/>
  <c r="O52" i="16"/>
  <c r="E52" i="16" s="1"/>
  <c r="O131" i="16"/>
  <c r="O169" i="16"/>
  <c r="E169" i="16" s="1"/>
  <c r="O44" i="16"/>
  <c r="O182" i="16"/>
  <c r="E182" i="16" s="1"/>
  <c r="O311" i="16"/>
  <c r="E311" i="16" s="1"/>
  <c r="O20" i="17"/>
  <c r="E20" i="17" s="1"/>
  <c r="O215" i="16"/>
  <c r="O362" i="16"/>
  <c r="E362" i="16" s="1"/>
  <c r="O148" i="16"/>
  <c r="O67" i="16"/>
  <c r="E67" i="16" s="1"/>
  <c r="O98" i="17"/>
  <c r="E98" i="17" s="1"/>
  <c r="O346" i="16"/>
  <c r="E346" i="16" s="1"/>
  <c r="O241" i="16"/>
  <c r="O48" i="16"/>
  <c r="E48" i="16" s="1"/>
  <c r="O279" i="16"/>
  <c r="E279" i="16" s="1"/>
  <c r="O96" i="17"/>
  <c r="E96" i="17" s="1"/>
  <c r="O37" i="17"/>
  <c r="E37" i="17" s="1"/>
  <c r="O249" i="16"/>
  <c r="E249" i="16" s="1"/>
  <c r="O261" i="16"/>
  <c r="O338" i="16"/>
  <c r="E338" i="16" s="1"/>
  <c r="O51" i="17"/>
  <c r="E51" i="17" s="1"/>
  <c r="O358" i="16"/>
  <c r="E358" i="16" s="1"/>
  <c r="O58" i="16"/>
  <c r="E58" i="16" s="1"/>
  <c r="O373" i="16"/>
  <c r="E373" i="16" s="1"/>
  <c r="O46" i="16"/>
  <c r="O179" i="16"/>
  <c r="E179" i="16" s="1"/>
  <c r="O13" i="7"/>
  <c r="O312" i="16"/>
  <c r="E312" i="16" s="1"/>
  <c r="O57" i="16"/>
  <c r="O374" i="16"/>
  <c r="E374" i="16" s="1"/>
  <c r="O61" i="17"/>
  <c r="E61" i="17" s="1"/>
  <c r="O154" i="16"/>
  <c r="E154" i="16" s="1"/>
  <c r="O34" i="16"/>
  <c r="O61" i="16"/>
  <c r="E61" i="16" s="1"/>
  <c r="O256" i="16"/>
  <c r="E256" i="16" s="1"/>
  <c r="O108" i="17"/>
  <c r="E108" i="17" s="1"/>
  <c r="O53" i="17"/>
  <c r="E53" i="17" s="1"/>
  <c r="O306" i="16"/>
  <c r="E306" i="16" s="1"/>
  <c r="O30" i="16"/>
  <c r="E30" i="16" s="1"/>
  <c r="O309" i="16"/>
  <c r="E309" i="16" s="1"/>
  <c r="O54" i="17"/>
  <c r="E54" i="17" s="1"/>
  <c r="O19" i="17"/>
  <c r="E19" i="17" s="1"/>
  <c r="O107" i="16"/>
  <c r="O361" i="16"/>
  <c r="E361" i="16" s="1"/>
  <c r="O113" i="16"/>
  <c r="E113" i="16" s="1"/>
  <c r="O363" i="16"/>
  <c r="V363" i="16" s="1"/>
  <c r="O77" i="16"/>
  <c r="O158" i="16"/>
  <c r="E158" i="16" s="1"/>
  <c r="O208" i="16"/>
  <c r="E208" i="16" s="1"/>
  <c r="O206" i="16"/>
  <c r="E206" i="16" s="1"/>
  <c r="O190" i="16"/>
  <c r="E190" i="16" s="1"/>
  <c r="O116" i="17"/>
  <c r="E116" i="17" s="1"/>
  <c r="O327" i="16"/>
  <c r="E327" i="16" s="1"/>
  <c r="O112" i="16"/>
  <c r="E112" i="16" s="1"/>
  <c r="O55" i="17"/>
  <c r="E55" i="17" s="1"/>
  <c r="O218" i="16"/>
  <c r="E218" i="16" s="1"/>
  <c r="O101" i="17"/>
  <c r="E101" i="17" s="1"/>
  <c r="O194" i="16"/>
  <c r="E194" i="16" s="1"/>
  <c r="O205" i="16"/>
  <c r="E205" i="16" s="1"/>
  <c r="O64" i="17"/>
  <c r="E64" i="17" s="1"/>
  <c r="O87" i="17"/>
  <c r="E87" i="17" s="1"/>
  <c r="O86" i="17"/>
  <c r="E86" i="17" s="1"/>
  <c r="O267" i="16"/>
  <c r="O317" i="16"/>
  <c r="E317" i="16" s="1"/>
  <c r="O378" i="16"/>
  <c r="E378" i="16" s="1"/>
  <c r="O320" i="16"/>
  <c r="E320" i="16" s="1"/>
  <c r="O163" i="16"/>
  <c r="O224" i="16"/>
  <c r="E224" i="16" s="1"/>
  <c r="O60" i="17"/>
  <c r="O80" i="16"/>
  <c r="E80" i="16" s="1"/>
  <c r="O229" i="16"/>
  <c r="E229" i="16" s="1"/>
  <c r="O348" i="16"/>
  <c r="E348" i="16" s="1"/>
  <c r="O88" i="17"/>
  <c r="O331" i="16"/>
  <c r="E331" i="16" s="1"/>
  <c r="O280" i="16"/>
  <c r="E280" i="16" s="1"/>
  <c r="O281" i="16"/>
  <c r="E281" i="16" s="1"/>
  <c r="O144" i="16"/>
  <c r="E144" i="16" s="1"/>
  <c r="O321" i="16"/>
  <c r="E321" i="16" s="1"/>
  <c r="O221" i="16"/>
  <c r="O77" i="17"/>
  <c r="E77" i="17" s="1"/>
  <c r="O319" i="16"/>
  <c r="E319" i="16" s="1"/>
  <c r="O24" i="17"/>
  <c r="E24" i="17" s="1"/>
  <c r="O298" i="16"/>
  <c r="E298" i="16" s="1"/>
  <c r="O246" i="16"/>
  <c r="E246" i="16" s="1"/>
  <c r="O207" i="16"/>
  <c r="E207" i="16" s="1"/>
  <c r="O273" i="16"/>
  <c r="E273" i="16" s="1"/>
  <c r="O94" i="17"/>
  <c r="E94" i="17" s="1"/>
  <c r="O42" i="16"/>
  <c r="E42" i="16" s="1"/>
  <c r="O41" i="16"/>
  <c r="O123" i="16"/>
  <c r="E123" i="16" s="1"/>
  <c r="O62" i="16"/>
  <c r="E62" i="16" s="1"/>
  <c r="O231" i="16"/>
  <c r="E231" i="16" s="1"/>
  <c r="O308" i="16"/>
  <c r="E308" i="16" s="1"/>
  <c r="O33" i="16"/>
  <c r="E33" i="16" s="1"/>
  <c r="O126" i="16"/>
  <c r="E126" i="16" s="1"/>
  <c r="O172" i="16"/>
  <c r="E172" i="16" s="1"/>
  <c r="O161" i="16"/>
  <c r="O49" i="16"/>
  <c r="E49" i="16" s="1"/>
  <c r="O99" i="16"/>
  <c r="E99" i="16" s="1"/>
  <c r="O70" i="16"/>
  <c r="E70" i="16" s="1"/>
  <c r="O64" i="16"/>
  <c r="E64" i="16" s="1"/>
  <c r="O111" i="16"/>
  <c r="E111" i="16" s="1"/>
  <c r="O345" i="16"/>
  <c r="O380" i="16"/>
  <c r="E380" i="16" s="1"/>
  <c r="O291" i="16"/>
  <c r="E291" i="16" s="1"/>
  <c r="O51" i="16"/>
  <c r="E51" i="16" s="1"/>
  <c r="O204" i="16"/>
  <c r="O287" i="16"/>
  <c r="E287" i="16" s="1"/>
  <c r="O152" i="16"/>
  <c r="E152" i="16" s="1"/>
  <c r="O174" i="16"/>
  <c r="E174" i="16" s="1"/>
  <c r="O244" i="16"/>
  <c r="O184" i="16"/>
  <c r="E184" i="16" s="1"/>
  <c r="O33" i="17"/>
  <c r="E33" i="17" s="1"/>
  <c r="O83" i="17"/>
  <c r="E83" i="17" s="1"/>
  <c r="O162" i="16"/>
  <c r="O97" i="17"/>
  <c r="E97" i="17" s="1"/>
  <c r="O293" i="16"/>
  <c r="E293" i="16" s="1"/>
  <c r="O353" i="16"/>
  <c r="E353" i="16" s="1"/>
  <c r="O28" i="16"/>
  <c r="E28" i="16" s="1"/>
  <c r="O105" i="16"/>
  <c r="E105" i="16" s="1"/>
  <c r="O136" i="16"/>
  <c r="O175" i="16"/>
  <c r="E175" i="16" s="1"/>
  <c r="O114" i="16"/>
  <c r="E114" i="16" s="1"/>
  <c r="O294" i="16"/>
  <c r="E294" i="16" s="1"/>
  <c r="O355" i="16"/>
  <c r="E355" i="16" s="1"/>
  <c r="O191" i="16"/>
  <c r="E191" i="16" s="1"/>
  <c r="O276" i="16"/>
  <c r="O209" i="16"/>
  <c r="E209" i="16" s="1"/>
  <c r="O47" i="16"/>
  <c r="E47" i="16" s="1"/>
  <c r="O93" i="17"/>
  <c r="E93" i="17" s="1"/>
  <c r="O198" i="16"/>
  <c r="O333" i="16"/>
  <c r="V333" i="16" s="1"/>
  <c r="O121" i="17"/>
  <c r="E121" i="17" s="1"/>
  <c r="O133" i="16"/>
  <c r="E133" i="16" s="1"/>
  <c r="O115" i="17"/>
  <c r="E115" i="17" s="1"/>
  <c r="O58" i="17"/>
  <c r="E58" i="17" s="1"/>
  <c r="O282" i="16"/>
  <c r="O168" i="16"/>
  <c r="E168" i="16" s="1"/>
  <c r="O315" i="16"/>
  <c r="E315" i="16" s="1"/>
  <c r="O76" i="17"/>
  <c r="E76" i="17" s="1"/>
  <c r="O16" i="17"/>
  <c r="E16" i="17" s="1"/>
  <c r="O95" i="16"/>
  <c r="E95" i="16" s="1"/>
  <c r="O337" i="16"/>
  <c r="O82" i="16"/>
  <c r="E82" i="16" s="1"/>
  <c r="O329" i="16"/>
  <c r="E329" i="16" s="1"/>
  <c r="O141" i="16"/>
  <c r="E141" i="16" s="1"/>
  <c r="O92" i="17"/>
  <c r="E92" i="17" s="1"/>
  <c r="O230" i="16"/>
  <c r="E230" i="16" s="1"/>
  <c r="O219" i="16"/>
  <c r="E219" i="16" s="1"/>
  <c r="O193" i="16"/>
  <c r="E193" i="16" s="1"/>
  <c r="O125" i="16"/>
  <c r="E125" i="16" s="1"/>
  <c r="O195" i="16"/>
  <c r="E195" i="16" s="1"/>
  <c r="O18" i="16"/>
  <c r="E18" i="16" s="1"/>
  <c r="O142" i="16"/>
  <c r="E142" i="16" s="1"/>
  <c r="O123" i="17"/>
  <c r="E123" i="17" s="1"/>
  <c r="O49" i="17"/>
  <c r="E49" i="17" s="1"/>
  <c r="O377" i="16"/>
  <c r="O212" i="16"/>
  <c r="E212" i="16" s="1"/>
  <c r="O274" i="16"/>
  <c r="E274" i="16" s="1"/>
  <c r="O99" i="17"/>
  <c r="E99" i="17" s="1"/>
  <c r="O38" i="17"/>
  <c r="E38" i="17" s="1"/>
  <c r="O185" i="16"/>
  <c r="E185" i="16" s="1"/>
  <c r="O118" i="17"/>
  <c r="E118" i="17" s="1"/>
  <c r="O201" i="16"/>
  <c r="E201" i="16" s="1"/>
  <c r="O330" i="16"/>
  <c r="O20" i="16"/>
  <c r="E20" i="16" s="1"/>
  <c r="O140" i="16"/>
  <c r="O178" i="16"/>
  <c r="E178" i="16" s="1"/>
  <c r="O17" i="17"/>
  <c r="E17" i="17" s="1"/>
  <c r="O343" i="16"/>
  <c r="E343" i="16" s="1"/>
  <c r="O32" i="16"/>
  <c r="O268" i="16"/>
  <c r="E268" i="16" s="1"/>
  <c r="O73" i="16"/>
  <c r="E73" i="16" s="1"/>
  <c r="O105" i="17"/>
  <c r="E105" i="17" s="1"/>
  <c r="O371" i="16"/>
  <c r="E371" i="16" s="1"/>
  <c r="O325" i="16"/>
  <c r="E325" i="16" s="1"/>
  <c r="O370" i="16"/>
  <c r="O296" i="16"/>
  <c r="E296" i="16" s="1"/>
  <c r="O27" i="17"/>
  <c r="E27" i="17" s="1"/>
  <c r="O39" i="17"/>
  <c r="E39" i="17" s="1"/>
  <c r="O304" i="16"/>
  <c r="E304" i="16" s="1"/>
  <c r="O21" i="17"/>
  <c r="E21" i="17" s="1"/>
  <c r="O257" i="16"/>
  <c r="O50" i="17"/>
  <c r="E50" i="17" s="1"/>
  <c r="O15" i="17"/>
  <c r="O128" i="16"/>
  <c r="E128" i="16" s="1"/>
  <c r="O351" i="16"/>
  <c r="O45" i="16"/>
  <c r="E45" i="16" s="1"/>
  <c r="O31" i="17"/>
  <c r="E31" i="17" s="1"/>
  <c r="O26" i="17"/>
  <c r="E26" i="17" s="1"/>
  <c r="O36" i="17"/>
  <c r="E36" i="17" s="1"/>
  <c r="O220" i="16"/>
  <c r="E220" i="16" s="1"/>
  <c r="O124" i="16"/>
  <c r="O78" i="16"/>
  <c r="E78" i="16" s="1"/>
  <c r="O134" i="16"/>
  <c r="E134" i="16" s="1"/>
  <c r="O53" i="16"/>
  <c r="E53" i="16" s="1"/>
  <c r="O188" i="16"/>
  <c r="E188" i="16" s="1"/>
  <c r="O265" i="16"/>
  <c r="E265" i="16" s="1"/>
  <c r="O233" i="16"/>
  <c r="E233" i="16" s="1"/>
  <c r="O44" i="17"/>
  <c r="E44" i="17" s="1"/>
  <c r="O78" i="17"/>
  <c r="E78" i="17" s="1"/>
  <c r="O216" i="16"/>
  <c r="E216" i="16" s="1"/>
  <c r="O79" i="16"/>
  <c r="E79" i="16" s="1"/>
  <c r="O242" i="16"/>
  <c r="E242" i="16" s="1"/>
  <c r="O352" i="16"/>
  <c r="O117" i="17"/>
  <c r="E117" i="17" s="1"/>
  <c r="O35" i="16"/>
  <c r="E35" i="16" s="1"/>
  <c r="O74" i="16"/>
  <c r="E74" i="16" s="1"/>
  <c r="O108" i="16"/>
  <c r="O189" i="16"/>
  <c r="E189" i="16" s="1"/>
  <c r="O197" i="16"/>
  <c r="O269" i="16"/>
  <c r="E269" i="16" s="1"/>
  <c r="O27" i="16"/>
  <c r="E27" i="16" s="1"/>
  <c r="O117" i="16"/>
  <c r="E117" i="16" s="1"/>
  <c r="O165" i="16"/>
  <c r="O159" i="16"/>
  <c r="E159" i="16" s="1"/>
  <c r="O63" i="16"/>
  <c r="E63" i="16" s="1"/>
  <c r="O86" i="16"/>
  <c r="E86" i="16" s="1"/>
  <c r="O122" i="17"/>
  <c r="E122" i="17" s="1"/>
  <c r="O54" i="16"/>
  <c r="E54" i="16" s="1"/>
  <c r="O103" i="16"/>
  <c r="E103" i="16" s="1"/>
  <c r="O344" i="16"/>
  <c r="E344" i="16" s="1"/>
  <c r="O364" i="16"/>
  <c r="O289" i="16"/>
  <c r="E289" i="16" s="1"/>
  <c r="O303" i="16"/>
  <c r="E303" i="16" s="1"/>
  <c r="O255" i="16"/>
  <c r="E255" i="16" s="1"/>
  <c r="O372" i="16"/>
  <c r="E372" i="16" s="1"/>
  <c r="O29" i="16"/>
  <c r="V29" i="16" s="1"/>
  <c r="O170" i="16"/>
  <c r="O177" i="16"/>
  <c r="E177" i="16" s="1"/>
  <c r="O302" i="16"/>
  <c r="V302" i="16" s="1"/>
  <c r="O35" i="17"/>
  <c r="E35" i="17" s="1"/>
  <c r="O75" i="17"/>
  <c r="E75" i="17" s="1"/>
  <c r="O151" i="16"/>
  <c r="E151" i="16" s="1"/>
  <c r="O375" i="16"/>
  <c r="O15" i="16"/>
  <c r="O341" i="16"/>
  <c r="O250" i="16"/>
  <c r="E250" i="16" s="1"/>
  <c r="O50" i="16"/>
  <c r="O120" i="16"/>
  <c r="E120" i="16" s="1"/>
  <c r="O160" i="16"/>
  <c r="O92" i="16"/>
  <c r="E92" i="16" s="1"/>
  <c r="O278" i="16"/>
  <c r="O347" i="16"/>
  <c r="E347" i="16" s="1"/>
  <c r="O260" i="16"/>
  <c r="O259" i="16"/>
  <c r="E259" i="16" s="1"/>
  <c r="O236" i="16"/>
  <c r="E236" i="16" s="1"/>
  <c r="O97" i="16"/>
  <c r="E97" i="16" s="1"/>
  <c r="O22" i="16"/>
  <c r="O318" i="16"/>
  <c r="E318" i="16" s="1"/>
  <c r="O301" i="16"/>
  <c r="O73" i="17"/>
  <c r="E73" i="17" s="1"/>
  <c r="O150" i="16"/>
  <c r="E150" i="16" s="1"/>
  <c r="O336" i="16"/>
  <c r="E336" i="16" s="1"/>
  <c r="O59" i="17"/>
  <c r="E59" i="17" s="1"/>
  <c r="O357" i="16"/>
  <c r="E357" i="16" s="1"/>
  <c r="O101" i="16"/>
  <c r="E101" i="16" s="1"/>
  <c r="O264" i="16"/>
  <c r="E264" i="16" s="1"/>
  <c r="O91" i="17"/>
  <c r="E91" i="17" s="1"/>
  <c r="O25" i="17"/>
  <c r="E25" i="17" s="1"/>
  <c r="O146" i="16"/>
  <c r="O103" i="17"/>
  <c r="E103" i="17" s="1"/>
  <c r="O183" i="16"/>
  <c r="E183" i="16" s="1"/>
  <c r="O275" i="16"/>
  <c r="E275" i="16" s="1"/>
  <c r="O153" i="16"/>
  <c r="O112" i="17"/>
  <c r="E112" i="17" s="1"/>
  <c r="O235" i="16"/>
  <c r="O272" i="16"/>
  <c r="O314" i="16"/>
  <c r="O70" i="17"/>
  <c r="E70" i="17" s="1"/>
  <c r="O110" i="17"/>
  <c r="E110" i="17" s="1"/>
  <c r="O82" i="17"/>
  <c r="E82" i="17" s="1"/>
  <c r="O155" i="16"/>
  <c r="E155" i="16" s="1"/>
  <c r="O316" i="16"/>
  <c r="E316" i="16" s="1"/>
  <c r="O74" i="17"/>
  <c r="E74" i="17" s="1"/>
  <c r="O379" i="16"/>
  <c r="O203" i="16"/>
  <c r="O225" i="16"/>
  <c r="E225" i="16" s="1"/>
  <c r="O85" i="17"/>
  <c r="E85" i="17" s="1"/>
  <c r="O62" i="17"/>
  <c r="E62" i="17" s="1"/>
  <c r="O335" i="16"/>
  <c r="O38" i="16"/>
  <c r="E38" i="16" s="1"/>
  <c r="O245" i="16"/>
  <c r="O305" i="16"/>
  <c r="E305" i="16" s="1"/>
  <c r="O237" i="16"/>
  <c r="E237" i="16" s="1"/>
  <c r="O102" i="16"/>
  <c r="E102" i="16" s="1"/>
  <c r="O81" i="16"/>
  <c r="O340" i="16"/>
  <c r="E340" i="16" s="1"/>
  <c r="O368" i="16"/>
  <c r="O76" i="16"/>
  <c r="E76" i="16" s="1"/>
  <c r="O359" i="16"/>
  <c r="E359" i="16" s="1"/>
  <c r="O72" i="17"/>
  <c r="E72" i="17" s="1"/>
  <c r="O323" i="16"/>
  <c r="E323" i="16" s="1"/>
  <c r="O376" i="16"/>
  <c r="E376" i="16" s="1"/>
  <c r="O232" i="16"/>
  <c r="O42" i="17"/>
  <c r="E42" i="17" s="1"/>
  <c r="O104" i="17"/>
  <c r="E104" i="17" s="1"/>
  <c r="O342" i="16"/>
  <c r="E342" i="16" s="1"/>
  <c r="O107" i="17"/>
  <c r="E107" i="17" s="1"/>
  <c r="O127" i="16"/>
  <c r="E127" i="16" s="1"/>
  <c r="O22" i="17"/>
  <c r="E22" i="17" s="1"/>
  <c r="O258" i="16"/>
  <c r="E258" i="16" s="1"/>
  <c r="O67" i="17"/>
  <c r="E67" i="17" s="1"/>
  <c r="O60" i="16"/>
  <c r="O94" i="16"/>
  <c r="E94" i="16" s="1"/>
  <c r="O285" i="16"/>
  <c r="E285" i="16" s="1"/>
  <c r="O143" i="16"/>
  <c r="E143" i="16" s="1"/>
  <c r="O292" i="16"/>
  <c r="E292" i="16" s="1"/>
  <c r="O79" i="17"/>
  <c r="E79" i="17" s="1"/>
  <c r="O95" i="17"/>
  <c r="E95" i="17" s="1"/>
  <c r="O254" i="16"/>
  <c r="E254" i="16" s="1"/>
  <c r="O57" i="17"/>
  <c r="E57" i="17" s="1"/>
  <c r="O326" i="16"/>
  <c r="O30" i="17"/>
  <c r="E30" i="17" s="1"/>
  <c r="O234" i="16"/>
  <c r="O59" i="16"/>
  <c r="E59" i="16" s="1"/>
  <c r="O181" i="16"/>
  <c r="E181" i="16" s="1"/>
  <c r="O109" i="17"/>
  <c r="E109" i="17" s="1"/>
  <c r="O114" i="17"/>
  <c r="E114" i="17" s="1"/>
  <c r="O277" i="16"/>
  <c r="E277" i="16" s="1"/>
  <c r="O41" i="17"/>
  <c r="E41" i="17" s="1"/>
  <c r="O227" i="16"/>
  <c r="E227" i="16" s="1"/>
  <c r="O40" i="17"/>
  <c r="E40" i="17" s="1"/>
  <c r="O47" i="17"/>
  <c r="E47" i="17" s="1"/>
  <c r="O102" i="17"/>
  <c r="E102" i="17" s="1"/>
  <c r="O25" i="16"/>
  <c r="E25" i="16" s="1"/>
  <c r="O66" i="16"/>
  <c r="O96" i="16"/>
  <c r="E96" i="16" s="1"/>
  <c r="O147" i="16"/>
  <c r="O223" i="16"/>
  <c r="E223" i="16" s="1"/>
  <c r="O366" i="16"/>
  <c r="O23" i="16"/>
  <c r="E23" i="16" s="1"/>
  <c r="O87" i="16"/>
  <c r="E87" i="16" s="1"/>
  <c r="O139" i="16"/>
  <c r="E139" i="16" s="1"/>
  <c r="O145" i="16"/>
  <c r="E145" i="16" s="1"/>
  <c r="O176" i="16"/>
  <c r="E176" i="16" s="1"/>
  <c r="O65" i="16"/>
  <c r="O119" i="16"/>
  <c r="O84" i="16"/>
  <c r="E84" i="16" s="1"/>
  <c r="O93" i="16"/>
  <c r="E93" i="16" s="1"/>
  <c r="O88" i="16"/>
  <c r="V88" i="16" s="1"/>
  <c r="O360" i="16"/>
  <c r="E360" i="16" s="1"/>
  <c r="O283" i="16"/>
  <c r="E283" i="16" s="1"/>
  <c r="O300" i="16"/>
  <c r="E300" i="16" s="1"/>
  <c r="O213" i="16"/>
  <c r="E213" i="16" s="1"/>
  <c r="O262" i="16"/>
  <c r="E262" i="16" s="1"/>
  <c r="O26" i="16"/>
  <c r="E26" i="16" s="1"/>
  <c r="O167" i="16"/>
  <c r="E167" i="16" s="1"/>
  <c r="O171" i="16"/>
  <c r="E171" i="16" s="1"/>
  <c r="O288" i="16"/>
  <c r="E288" i="16" s="1"/>
  <c r="O18" i="17"/>
  <c r="E18" i="17" s="1"/>
  <c r="O34" i="17"/>
  <c r="E34" i="17" s="1"/>
  <c r="O132" i="16"/>
  <c r="E132" i="16" s="1"/>
  <c r="O322" i="16"/>
  <c r="E322" i="16" s="1"/>
  <c r="O119" i="17"/>
  <c r="O324" i="16"/>
  <c r="E324" i="16" s="1"/>
  <c r="O202" i="16"/>
  <c r="O69" i="16"/>
  <c r="E69" i="16" s="1"/>
  <c r="O149" i="16"/>
  <c r="O137" i="16"/>
  <c r="E137" i="16" s="1"/>
  <c r="O31" i="16"/>
  <c r="E31" i="16" s="1"/>
  <c r="O199" i="16"/>
  <c r="E199" i="16" s="1"/>
  <c r="O328" i="16"/>
  <c r="O29" i="17"/>
  <c r="O226" i="16"/>
  <c r="E226" i="16" s="1"/>
  <c r="O349" i="16"/>
  <c r="E349" i="16" s="1"/>
  <c r="O130" i="16"/>
  <c r="O43" i="16"/>
  <c r="E43" i="16" s="1"/>
  <c r="O186" i="16"/>
  <c r="O284" i="16"/>
  <c r="E284" i="16" s="1"/>
  <c r="O52" i="17"/>
  <c r="E52" i="17" s="1"/>
  <c r="O100" i="16"/>
  <c r="E100" i="16" s="1"/>
  <c r="O313" i="16"/>
  <c r="O81" i="17"/>
  <c r="E81" i="17" s="1"/>
  <c r="O23" i="17"/>
  <c r="E23" i="17" s="1"/>
  <c r="O192" i="16"/>
  <c r="E192" i="16" s="1"/>
  <c r="O222" i="16"/>
  <c r="E222" i="16" s="1"/>
  <c r="O113" i="17"/>
  <c r="E113" i="17" s="1"/>
  <c r="O56" i="17"/>
  <c r="E56" i="17" s="1"/>
  <c r="O228" i="16"/>
  <c r="E228" i="16" s="1"/>
  <c r="O17" i="16"/>
  <c r="O238" i="16"/>
  <c r="E238" i="16" s="1"/>
  <c r="O332" i="16"/>
  <c r="O210" i="16"/>
  <c r="V210" i="16" s="1"/>
  <c r="O55" i="16"/>
  <c r="O367" i="16"/>
  <c r="E367" i="16" s="1"/>
  <c r="O217" i="16"/>
  <c r="E217" i="16" s="1"/>
  <c r="O290" i="16"/>
  <c r="E290" i="16" s="1"/>
  <c r="O69" i="17"/>
  <c r="E69" i="17" s="1"/>
  <c r="O339" i="16"/>
  <c r="E339" i="16" s="1"/>
  <c r="O68" i="17"/>
  <c r="E68" i="17" s="1"/>
  <c r="O106" i="16"/>
  <c r="E106" i="16" s="1"/>
  <c r="O286" i="16"/>
  <c r="E286" i="16" s="1"/>
  <c r="O84" i="17"/>
  <c r="E84" i="17" s="1"/>
  <c r="O32" i="17"/>
  <c r="E32" i="17" s="1"/>
  <c r="O263" i="16"/>
  <c r="E263" i="16" s="1"/>
  <c r="O187" i="16"/>
  <c r="E187" i="16" s="1"/>
  <c r="O334" i="16"/>
  <c r="E334" i="16" s="1"/>
  <c r="O63" i="17"/>
  <c r="E63" i="17" s="1"/>
  <c r="O365" i="16"/>
  <c r="E365" i="16" s="1"/>
  <c r="O71" i="16"/>
  <c r="O270" i="16"/>
  <c r="E270" i="16" s="1"/>
  <c r="AC10" i="17"/>
  <c r="O40" i="16"/>
  <c r="E40" i="16" s="1"/>
  <c r="O121" i="16"/>
  <c r="O36" i="16"/>
  <c r="E36" i="16" s="1"/>
  <c r="O307" i="16"/>
  <c r="O240" i="16"/>
  <c r="E240" i="16" s="1"/>
  <c r="O115" i="16"/>
  <c r="E115" i="16" s="1"/>
  <c r="O98" i="16"/>
  <c r="E98" i="16" s="1"/>
  <c r="O211" i="16"/>
  <c r="O252" i="16"/>
  <c r="E252" i="16" s="1"/>
  <c r="O46" i="17"/>
  <c r="E46" i="17" s="1"/>
  <c r="O253" i="16"/>
  <c r="E253" i="16" s="1"/>
  <c r="O43" i="17"/>
  <c r="E43" i="17" s="1"/>
  <c r="O21" i="16"/>
  <c r="E21" i="16" s="1"/>
  <c r="O24" i="16"/>
  <c r="E24" i="16" s="1"/>
  <c r="O299" i="16"/>
  <c r="E299" i="16" s="1"/>
  <c r="O89" i="16"/>
  <c r="E89" i="16" s="1"/>
  <c r="O71" i="17"/>
  <c r="E71" i="17" s="1"/>
  <c r="O251" i="16"/>
  <c r="O106" i="17"/>
  <c r="E106" i="17" s="1"/>
  <c r="O214" i="16"/>
  <c r="E214" i="16" s="1"/>
  <c r="O369" i="16"/>
  <c r="E369" i="16" s="1"/>
  <c r="O104" i="16"/>
  <c r="E104" i="16" s="1"/>
  <c r="O354" i="16"/>
  <c r="E354" i="16" s="1"/>
  <c r="O243" i="16"/>
  <c r="E243" i="16" s="1"/>
  <c r="O297" i="16"/>
  <c r="E297" i="16" s="1"/>
  <c r="O196" i="16"/>
  <c r="E196" i="16" s="1"/>
  <c r="O39" i="16"/>
  <c r="E39" i="16" s="1"/>
  <c r="O45" i="17"/>
  <c r="E45" i="17" s="1"/>
  <c r="O66" i="17"/>
  <c r="E66" i="17" s="1"/>
  <c r="O80" i="17"/>
  <c r="E80" i="17" s="1"/>
  <c r="O350" i="16"/>
  <c r="E350" i="16" s="1"/>
  <c r="O173" i="16"/>
  <c r="O28" i="17"/>
  <c r="E28" i="17" s="1"/>
  <c r="O91" i="16"/>
  <c r="E91" i="16" s="1"/>
  <c r="O166" i="16"/>
  <c r="E166" i="16" s="1"/>
  <c r="O72" i="16"/>
  <c r="O122" i="16"/>
  <c r="E122" i="16" s="1"/>
  <c r="O48" i="17"/>
  <c r="E48" i="17" s="1"/>
  <c r="O100" i="17"/>
  <c r="E100" i="17" s="1"/>
  <c r="O120" i="17"/>
  <c r="E120" i="17" s="1"/>
  <c r="AC57" i="17"/>
  <c r="AC90" i="17"/>
  <c r="AC15" i="17"/>
  <c r="AC66" i="17"/>
  <c r="AC93" i="17"/>
  <c r="AC36" i="17"/>
  <c r="AC67" i="17"/>
  <c r="AC62" i="17"/>
  <c r="AC59" i="17"/>
  <c r="AC18" i="17"/>
  <c r="AC29" i="17"/>
  <c r="AC107" i="17"/>
  <c r="AC48" i="17"/>
  <c r="AC102" i="17"/>
  <c r="AC77" i="17"/>
  <c r="AC43" i="17"/>
  <c r="AC28" i="17"/>
  <c r="AC51" i="17"/>
  <c r="AC114" i="17"/>
  <c r="AC45" i="17"/>
  <c r="AC75" i="17"/>
  <c r="AC105" i="17"/>
  <c r="AC42" i="17"/>
  <c r="AC56" i="17"/>
  <c r="AC50" i="17"/>
  <c r="AC101" i="17"/>
  <c r="AC73" i="17"/>
  <c r="AC95" i="17"/>
  <c r="AC22" i="17"/>
  <c r="AC46" i="17"/>
  <c r="AC91" i="17"/>
  <c r="AC38" i="17"/>
  <c r="AC84" i="17"/>
  <c r="AC103" i="17"/>
  <c r="AC64" i="17"/>
  <c r="AC123" i="17"/>
  <c r="AC110" i="17"/>
  <c r="AC121" i="17"/>
  <c r="AC37" i="17"/>
  <c r="AC98" i="17"/>
  <c r="AC61" i="17"/>
  <c r="AC41" i="17"/>
  <c r="AC23" i="17"/>
  <c r="AC89" i="17"/>
  <c r="AC97" i="17"/>
  <c r="AC53" i="17"/>
  <c r="AC40" i="17"/>
  <c r="AC70" i="17"/>
  <c r="AC49" i="17"/>
  <c r="AC92" i="17"/>
  <c r="AC33" i="17"/>
  <c r="AC118" i="17"/>
  <c r="AC69" i="17"/>
  <c r="AC94" i="17"/>
  <c r="AC44" i="17"/>
  <c r="AC63" i="17"/>
  <c r="AC119" i="17"/>
  <c r="AC20" i="17"/>
  <c r="AC81" i="17"/>
  <c r="AC109" i="17"/>
  <c r="AC71" i="17"/>
  <c r="AC27" i="17"/>
  <c r="AC111" i="17"/>
  <c r="AC78" i="17"/>
  <c r="AC72" i="17"/>
  <c r="AC115" i="17"/>
  <c r="AC58" i="17"/>
  <c r="AC120" i="17"/>
  <c r="AC55" i="17"/>
  <c r="AC86" i="17"/>
  <c r="AC82" i="17"/>
  <c r="AC80" i="17"/>
  <c r="AC17" i="17"/>
  <c r="AC96" i="17"/>
  <c r="AC104" i="17"/>
  <c r="AC35" i="17"/>
  <c r="AC76" i="17"/>
  <c r="AC31" i="17"/>
  <c r="AC88" i="17"/>
  <c r="AC117" i="17"/>
  <c r="AC113" i="17"/>
  <c r="AC52" i="17"/>
  <c r="AC116" i="17"/>
  <c r="AC26" i="17"/>
  <c r="AC83" i="17"/>
  <c r="AC100" i="17"/>
  <c r="AC47" i="17"/>
  <c r="AC99" i="17"/>
  <c r="AC19" i="17"/>
  <c r="AC79" i="17"/>
  <c r="AC30" i="17"/>
  <c r="AC16" i="17"/>
  <c r="AC85" i="17"/>
  <c r="AC25" i="17"/>
  <c r="AC68" i="17"/>
  <c r="AC21" i="17"/>
  <c r="AC112" i="17"/>
  <c r="AC74" i="17"/>
  <c r="AC39" i="17"/>
  <c r="AC87" i="17"/>
  <c r="AC24" i="17"/>
  <c r="AC106" i="17"/>
  <c r="AC108" i="17"/>
  <c r="AC60" i="17"/>
  <c r="AC34" i="17"/>
  <c r="AC54" i="17"/>
  <c r="AC65" i="17"/>
  <c r="AC32" i="17"/>
  <c r="AC122" i="17"/>
  <c r="C12" i="19"/>
  <c r="F36" i="19"/>
  <c r="AD107" i="16"/>
  <c r="AD265" i="16"/>
  <c r="AD240" i="16"/>
  <c r="AD183" i="16"/>
  <c r="AD324" i="16"/>
  <c r="AD295" i="16"/>
  <c r="AD174" i="16"/>
  <c r="AD220" i="16"/>
  <c r="AD114" i="16"/>
  <c r="AD98" i="16"/>
  <c r="AD225" i="16"/>
  <c r="AD300" i="16"/>
  <c r="AD92" i="16"/>
  <c r="AD181" i="16"/>
  <c r="AD239" i="16"/>
  <c r="AD84" i="16"/>
  <c r="AD55" i="16"/>
  <c r="AD124" i="16"/>
  <c r="AD155" i="16"/>
  <c r="AD185" i="16"/>
  <c r="AD245" i="16"/>
  <c r="AD85" i="16"/>
  <c r="AD150" i="16"/>
  <c r="AD75" i="16"/>
  <c r="AD342" i="16"/>
  <c r="AD304" i="16"/>
  <c r="AD115" i="16"/>
  <c r="AD325" i="16"/>
  <c r="AD228" i="16"/>
  <c r="AD319" i="16"/>
  <c r="AD285" i="16"/>
  <c r="AD130" i="16"/>
  <c r="AD229" i="16"/>
  <c r="AD117" i="16"/>
  <c r="AD136" i="16"/>
  <c r="AD275" i="16"/>
  <c r="AD105" i="16"/>
  <c r="AD226" i="16"/>
  <c r="AD200" i="16"/>
  <c r="AD223" i="16"/>
  <c r="AD263" i="16"/>
  <c r="AD338" i="16"/>
  <c r="AD192" i="16"/>
  <c r="AD58" i="16"/>
  <c r="AD125" i="16"/>
  <c r="AD116" i="16"/>
  <c r="AD113" i="16"/>
  <c r="AD328" i="16"/>
  <c r="AD283" i="16"/>
  <c r="AD22" i="16"/>
  <c r="AD153" i="16"/>
  <c r="AD238" i="16"/>
  <c r="AD88" i="16"/>
  <c r="AD144" i="16"/>
  <c r="AD57" i="16"/>
  <c r="AD358" i="16"/>
  <c r="AD120" i="16"/>
  <c r="AD348" i="16"/>
  <c r="AD121" i="16"/>
  <c r="AD293" i="16"/>
  <c r="AD102" i="16"/>
  <c r="AD152" i="16"/>
  <c r="AD276" i="16"/>
  <c r="AD28" i="16"/>
  <c r="AD344" i="16"/>
  <c r="AD171" i="16"/>
  <c r="AD52" i="16"/>
  <c r="AD232" i="16"/>
  <c r="AD34" i="16"/>
  <c r="AD142" i="16"/>
  <c r="AD350" i="16"/>
  <c r="AD166" i="16"/>
  <c r="AD355" i="16"/>
  <c r="AD303" i="16"/>
  <c r="AD202" i="16"/>
  <c r="AD68" i="16"/>
  <c r="AD128" i="16"/>
  <c r="AD370" i="16"/>
  <c r="AD378" i="16"/>
  <c r="AD364" i="16"/>
  <c r="AD346" i="16"/>
  <c r="F379" i="15"/>
  <c r="G379" i="15" s="1"/>
  <c r="BX379" i="6" s="1"/>
  <c r="AD256" i="16"/>
  <c r="AD131" i="16"/>
  <c r="AE381" i="16"/>
  <c r="AE383" i="16"/>
  <c r="AE382" i="16"/>
  <c r="Q10" i="17"/>
  <c r="AD112" i="16"/>
  <c r="AD67" i="16"/>
  <c r="AI145" i="16"/>
  <c r="AH145" i="16" s="1"/>
  <c r="AG145" i="16" s="1"/>
  <c r="AF145" i="16" s="1"/>
  <c r="AD145" i="16" s="1"/>
  <c r="J197" i="15"/>
  <c r="AD71" i="16"/>
  <c r="AD252" i="16"/>
  <c r="AD190" i="16"/>
  <c r="I349" i="15"/>
  <c r="AD257" i="16"/>
  <c r="AD255" i="16"/>
  <c r="AD170" i="16"/>
  <c r="AD234" i="16"/>
  <c r="AD340" i="16"/>
  <c r="AD262" i="16"/>
  <c r="AD326" i="16"/>
  <c r="AD74" i="16"/>
  <c r="AD243" i="16"/>
  <c r="AD307" i="16"/>
  <c r="AD158" i="16"/>
  <c r="AD318" i="16"/>
  <c r="AD272" i="16"/>
  <c r="AD297" i="16"/>
  <c r="AD23" i="16"/>
  <c r="AD63" i="16"/>
  <c r="AD361" i="16"/>
  <c r="AD59" i="16"/>
  <c r="J127" i="15"/>
  <c r="O87" i="22"/>
  <c r="O382" i="20"/>
  <c r="J322" i="15"/>
  <c r="O383" i="20"/>
  <c r="O381" i="20"/>
  <c r="AI12" i="17"/>
  <c r="AD39" i="16"/>
  <c r="AD204" i="16"/>
  <c r="AD91" i="16"/>
  <c r="AD143" i="16"/>
  <c r="BA13" i="7"/>
  <c r="T381" i="16"/>
  <c r="AD19" i="16"/>
  <c r="AD359" i="16"/>
  <c r="AD193" i="16"/>
  <c r="U382" i="16"/>
  <c r="U383" i="16"/>
  <c r="AD284" i="16"/>
  <c r="P16" i="7"/>
  <c r="V11" i="7" s="1"/>
  <c r="U11" i="17" s="1"/>
  <c r="U12" i="17"/>
  <c r="U381" i="16"/>
  <c r="T383" i="16"/>
  <c r="T382" i="16"/>
  <c r="AZ13" i="7"/>
  <c r="AC9" i="25"/>
  <c r="O11" i="25"/>
  <c r="AC12" i="25"/>
  <c r="O12" i="25"/>
  <c r="BL11" i="7"/>
  <c r="BK11" i="7"/>
  <c r="BJ15" i="7"/>
  <c r="J190" i="15"/>
  <c r="AK24" i="25"/>
  <c r="AK31" i="25"/>
  <c r="AK49" i="25"/>
  <c r="AK29" i="25"/>
  <c r="AK60" i="25"/>
  <c r="AK33" i="25"/>
  <c r="AK62" i="25"/>
  <c r="AK71" i="25"/>
  <c r="AK92" i="25"/>
  <c r="AK83" i="25"/>
  <c r="AK96" i="25"/>
  <c r="AK107" i="25"/>
  <c r="AK115" i="25"/>
  <c r="AK131" i="25"/>
  <c r="AK141" i="25"/>
  <c r="AK163" i="25"/>
  <c r="AK122" i="25"/>
  <c r="AK145" i="25"/>
  <c r="AK156" i="25"/>
  <c r="AK171" i="25"/>
  <c r="AK189" i="25"/>
  <c r="AK199" i="25"/>
  <c r="AK210" i="25"/>
  <c r="AK228" i="25"/>
  <c r="AK240" i="25"/>
  <c r="AK255" i="25"/>
  <c r="AK192" i="25"/>
  <c r="AK213" i="25"/>
  <c r="AK226" i="25"/>
  <c r="AK247" i="25"/>
  <c r="AK262" i="25"/>
  <c r="AK276" i="25"/>
  <c r="AK288" i="25"/>
  <c r="AK308" i="25"/>
  <c r="AK326" i="25"/>
  <c r="AK340" i="25"/>
  <c r="AK355" i="25"/>
  <c r="AK377" i="25"/>
  <c r="AK266" i="25"/>
  <c r="AK290" i="25"/>
  <c r="AK303" i="25"/>
  <c r="AK317" i="25"/>
  <c r="AK335" i="25"/>
  <c r="AK352" i="25"/>
  <c r="AK363" i="25"/>
  <c r="AK379" i="25"/>
  <c r="AK26" i="25"/>
  <c r="AK30" i="25"/>
  <c r="AK48" i="25"/>
  <c r="AK28" i="25"/>
  <c r="AK58" i="25"/>
  <c r="AK15" i="25"/>
  <c r="AK61" i="25"/>
  <c r="AK68" i="25"/>
  <c r="AK88" i="25"/>
  <c r="AK81" i="25"/>
  <c r="AK93" i="25"/>
  <c r="AK105" i="25"/>
  <c r="AK114" i="25"/>
  <c r="AK130" i="25"/>
  <c r="AK140" i="25"/>
  <c r="AK162" i="25"/>
  <c r="AK121" i="25"/>
  <c r="AK144" i="25"/>
  <c r="AK153" i="25"/>
  <c r="AK170" i="25"/>
  <c r="AK188" i="25"/>
  <c r="AK198" i="25"/>
  <c r="AK208" i="25"/>
  <c r="AK225" i="25"/>
  <c r="AK236" i="25"/>
  <c r="AK252" i="25"/>
  <c r="AK191" i="25"/>
  <c r="AK209" i="25"/>
  <c r="AK224" i="25"/>
  <c r="AK245" i="25"/>
  <c r="AK261" i="25"/>
  <c r="AK275" i="25"/>
  <c r="AK287" i="25"/>
  <c r="AK307" i="25"/>
  <c r="AK324" i="25"/>
  <c r="AK339" i="25"/>
  <c r="AK354" i="25"/>
  <c r="AK374" i="25"/>
  <c r="AK265" i="25"/>
  <c r="AK289" i="25"/>
  <c r="AK302" i="25"/>
  <c r="AK316" i="25"/>
  <c r="AK332" i="25"/>
  <c r="AK349" i="25"/>
  <c r="AK362" i="25"/>
  <c r="AK376" i="25"/>
  <c r="AK25" i="25"/>
  <c r="AK22" i="25"/>
  <c r="AK69" i="25"/>
  <c r="AK51" i="25"/>
  <c r="AK80" i="25"/>
  <c r="AK103" i="25"/>
  <c r="AK128" i="25"/>
  <c r="AK161" i="25"/>
  <c r="AK142" i="25"/>
  <c r="AK168" i="25"/>
  <c r="AK195" i="25"/>
  <c r="AK221" i="25"/>
  <c r="AK249" i="25"/>
  <c r="AK207" i="25"/>
  <c r="AK242" i="25"/>
  <c r="AK273" i="25"/>
  <c r="AK305" i="25"/>
  <c r="AK338" i="25"/>
  <c r="AK373" i="25"/>
  <c r="AK284" i="25"/>
  <c r="AK313" i="25"/>
  <c r="AK348" i="25"/>
  <c r="AK375" i="25"/>
  <c r="AK20" i="25"/>
  <c r="AK55" i="25"/>
  <c r="AK67" i="25"/>
  <c r="AK78" i="25"/>
  <c r="AK106" i="25"/>
  <c r="AK102" i="25"/>
  <c r="AK127" i="25"/>
  <c r="AK160" i="25"/>
  <c r="AK138" i="25"/>
  <c r="AK167" i="25"/>
  <c r="AK185" i="25"/>
  <c r="AK218" i="25"/>
  <c r="AK248" i="25"/>
  <c r="AK206" i="25"/>
  <c r="AK239" i="25"/>
  <c r="AK271" i="25"/>
  <c r="AK297" i="25"/>
  <c r="AK334" i="25"/>
  <c r="AK370" i="25"/>
  <c r="AK281" i="25"/>
  <c r="AK311" i="25"/>
  <c r="AK347" i="25"/>
  <c r="AK372" i="25"/>
  <c r="AK36" i="25"/>
  <c r="AK38" i="25"/>
  <c r="AK85" i="25"/>
  <c r="AK133" i="25"/>
  <c r="AK147" i="25"/>
  <c r="AK201" i="25"/>
  <c r="AK173" i="25"/>
  <c r="AK251" i="25"/>
  <c r="AK314" i="25"/>
  <c r="AK256" i="25"/>
  <c r="AK320" i="25"/>
  <c r="P12" i="25"/>
  <c r="AK32" i="25"/>
  <c r="AK74" i="25"/>
  <c r="AK108" i="25"/>
  <c r="AK165" i="25"/>
  <c r="AK174" i="25"/>
  <c r="AK229" i="25"/>
  <c r="AK214" i="25"/>
  <c r="AK277" i="25"/>
  <c r="AK342" i="25"/>
  <c r="AK295" i="25"/>
  <c r="AK353" i="25"/>
  <c r="AK72" i="25"/>
  <c r="AK152" i="25"/>
  <c r="AK212" i="25"/>
  <c r="AK268" i="25"/>
  <c r="AK274" i="25"/>
  <c r="AK17" i="25"/>
  <c r="AK94" i="25"/>
  <c r="AK123" i="25"/>
  <c r="AK241" i="25"/>
  <c r="AK291" i="25"/>
  <c r="AK304" i="25"/>
  <c r="AK27" i="25"/>
  <c r="AK95" i="25"/>
  <c r="AK124" i="25"/>
  <c r="AK243" i="25"/>
  <c r="AK292" i="25"/>
  <c r="AK306" i="25"/>
  <c r="AK50" i="25"/>
  <c r="AK97" i="25"/>
  <c r="AK157" i="25"/>
  <c r="AK193" i="25"/>
  <c r="AK327" i="25"/>
  <c r="AK336" i="25"/>
  <c r="F8" i="25"/>
  <c r="AK19" i="25"/>
  <c r="AK41" i="25"/>
  <c r="AK54" i="25"/>
  <c r="AK43" i="25"/>
  <c r="AK66" i="25"/>
  <c r="AK46" i="25"/>
  <c r="AK76" i="25"/>
  <c r="AK79" i="25"/>
  <c r="AK104" i="25"/>
  <c r="AK89" i="25"/>
  <c r="AK101" i="25"/>
  <c r="AK111" i="25"/>
  <c r="AK126" i="25"/>
  <c r="AK135" i="25"/>
  <c r="AK155" i="25"/>
  <c r="AK117" i="25"/>
  <c r="AK137" i="25"/>
  <c r="AK149" i="25"/>
  <c r="AK164" i="25"/>
  <c r="AK182" i="25"/>
  <c r="AK178" i="25"/>
  <c r="AK203" i="25"/>
  <c r="AK217" i="25"/>
  <c r="AK232" i="25"/>
  <c r="AK246" i="25"/>
  <c r="AK181" i="25"/>
  <c r="AK197" i="25"/>
  <c r="AK220" i="25"/>
  <c r="AK238" i="25"/>
  <c r="AK254" i="25"/>
  <c r="AK270" i="25"/>
  <c r="AK283" i="25"/>
  <c r="AK294" i="25"/>
  <c r="AK319" i="25"/>
  <c r="AK333" i="25"/>
  <c r="AK346" i="25"/>
  <c r="AK369" i="25"/>
  <c r="AK260" i="25"/>
  <c r="AK280" i="25"/>
  <c r="AK299" i="25"/>
  <c r="AK310" i="25"/>
  <c r="AK325" i="25"/>
  <c r="AK345" i="25"/>
  <c r="AK358" i="25"/>
  <c r="AK371" i="25"/>
  <c r="AK16" i="25"/>
  <c r="AK18" i="25"/>
  <c r="AK39" i="25"/>
  <c r="AK53" i="25"/>
  <c r="AK40" i="25"/>
  <c r="AK65" i="25"/>
  <c r="AK42" i="25"/>
  <c r="AK73" i="25"/>
  <c r="AK77" i="25"/>
  <c r="AK100" i="25"/>
  <c r="AK86" i="25"/>
  <c r="AK99" i="25"/>
  <c r="AK110" i="25"/>
  <c r="AK125" i="25"/>
  <c r="AK134" i="25"/>
  <c r="AK154" i="25"/>
  <c r="AK169" i="25"/>
  <c r="AK129" i="25"/>
  <c r="AK148" i="25"/>
  <c r="AK159" i="25"/>
  <c r="AK180" i="25"/>
  <c r="AK177" i="25"/>
  <c r="AK202" i="25"/>
  <c r="AK215" i="25"/>
  <c r="AK231" i="25"/>
  <c r="AK244" i="25"/>
  <c r="AK175" i="25"/>
  <c r="AK196" i="25"/>
  <c r="AK219" i="25"/>
  <c r="AK237" i="25"/>
  <c r="AK253" i="25"/>
  <c r="AK269" i="25"/>
  <c r="AK282" i="25"/>
  <c r="AK293" i="25"/>
  <c r="AK315" i="25"/>
  <c r="AK330" i="25"/>
  <c r="AK344" i="25"/>
  <c r="AK365" i="25"/>
  <c r="AK259" i="25"/>
  <c r="AK278" i="25"/>
  <c r="AK298" i="25"/>
  <c r="AK309" i="25"/>
  <c r="AK321" i="25"/>
  <c r="AK341" i="25"/>
  <c r="AK357" i="25"/>
  <c r="AK368" i="25"/>
  <c r="AK21" i="25"/>
  <c r="AK45" i="25"/>
  <c r="AK56" i="25"/>
  <c r="AK59" i="25"/>
  <c r="AK87" i="25"/>
  <c r="AK91" i="25"/>
  <c r="AK113" i="25"/>
  <c r="AK139" i="25"/>
  <c r="AK120" i="25"/>
  <c r="AK151" i="25"/>
  <c r="AK184" i="25"/>
  <c r="AK205" i="25"/>
  <c r="AK235" i="25"/>
  <c r="AK187" i="25"/>
  <c r="AK223" i="25"/>
  <c r="AK258" i="25"/>
  <c r="AK286" i="25"/>
  <c r="AK323" i="25"/>
  <c r="AK351" i="25"/>
  <c r="AK264" i="25"/>
  <c r="AK301" i="25"/>
  <c r="AK331" i="25"/>
  <c r="AK361" i="25"/>
  <c r="AK23" i="25"/>
  <c r="AK44" i="25"/>
  <c r="AK47" i="25"/>
  <c r="AK57" i="25"/>
  <c r="AK82" i="25"/>
  <c r="AK90" i="25"/>
  <c r="AK112" i="25"/>
  <c r="AK136" i="25"/>
  <c r="AK118" i="25"/>
  <c r="AK150" i="25"/>
  <c r="AK183" i="25"/>
  <c r="AK204" i="25"/>
  <c r="AK233" i="25"/>
  <c r="AK186" i="25"/>
  <c r="AK222" i="25"/>
  <c r="AK257" i="25"/>
  <c r="AK285" i="25"/>
  <c r="AK322" i="25"/>
  <c r="AK350" i="25"/>
  <c r="AK263" i="25"/>
  <c r="AK300" i="25"/>
  <c r="AK329" i="25"/>
  <c r="AK360" i="25"/>
  <c r="AK380" i="25"/>
  <c r="AK37" i="25"/>
  <c r="AK75" i="25"/>
  <c r="AK109" i="25"/>
  <c r="AK166" i="25"/>
  <c r="AK179" i="25"/>
  <c r="AK230" i="25"/>
  <c r="AK216" i="25"/>
  <c r="AK279" i="25"/>
  <c r="AK343" i="25"/>
  <c r="AK296" i="25"/>
  <c r="AK356" i="25"/>
  <c r="AK34" i="25"/>
  <c r="AK35" i="25"/>
  <c r="AK84" i="25"/>
  <c r="AK132" i="25"/>
  <c r="AK146" i="25"/>
  <c r="AK200" i="25"/>
  <c r="AK172" i="25"/>
  <c r="AK250" i="25"/>
  <c r="AK312" i="25"/>
  <c r="AK378" i="25"/>
  <c r="AK318" i="25"/>
  <c r="AK52" i="25"/>
  <c r="AK98" i="25"/>
  <c r="AK158" i="25"/>
  <c r="AK194" i="25"/>
  <c r="AK328" i="25"/>
  <c r="AK337" i="25"/>
  <c r="AK63" i="25"/>
  <c r="AK116" i="25"/>
  <c r="AK190" i="25"/>
  <c r="AK227" i="25"/>
  <c r="AK359" i="25"/>
  <c r="AK366" i="25"/>
  <c r="AK64" i="25"/>
  <c r="AK119" i="25"/>
  <c r="AK176" i="25"/>
  <c r="AK234" i="25"/>
  <c r="AK364" i="25"/>
  <c r="AK367" i="25"/>
  <c r="AK70" i="25"/>
  <c r="AK143" i="25"/>
  <c r="AK211" i="25"/>
  <c r="AK267" i="25"/>
  <c r="AK272" i="25"/>
  <c r="P10" i="24"/>
  <c r="L19" i="19"/>
  <c r="I198" i="15"/>
  <c r="I214" i="15"/>
  <c r="J264" i="15"/>
  <c r="I367" i="15"/>
  <c r="J354" i="15"/>
  <c r="J263" i="15"/>
  <c r="N61" i="19"/>
  <c r="AA264" i="1"/>
  <c r="Z264" i="1" s="1"/>
  <c r="Y264" i="1" s="1"/>
  <c r="AA292" i="1"/>
  <c r="Z292" i="1" s="1"/>
  <c r="Y292" i="1" s="1"/>
  <c r="I296" i="15"/>
  <c r="AA242" i="1"/>
  <c r="Z242" i="1" s="1"/>
  <c r="Y242" i="1" s="1"/>
  <c r="J298" i="15"/>
  <c r="I298" i="15"/>
  <c r="J242" i="15"/>
  <c r="I242" i="15"/>
  <c r="G242" i="1"/>
  <c r="BW242" i="6" s="1"/>
  <c r="J292" i="15"/>
  <c r="I292" i="15"/>
  <c r="J315" i="15"/>
  <c r="I315" i="15"/>
  <c r="G292" i="1"/>
  <c r="BW292" i="6" s="1"/>
  <c r="AA359" i="1"/>
  <c r="I359" i="1"/>
  <c r="I381" i="1" s="1"/>
  <c r="G359" i="1"/>
  <c r="BW359" i="6" s="1"/>
  <c r="AM10" i="1"/>
  <c r="F383" i="1"/>
  <c r="AK10" i="1"/>
  <c r="AK12" i="1" s="1"/>
  <c r="AK13" i="1" s="1"/>
  <c r="F9" i="1"/>
  <c r="F381" i="1"/>
  <c r="AD79" i="27"/>
  <c r="AC79" i="27" s="1"/>
  <c r="AB79" i="27"/>
  <c r="AB78" i="27"/>
  <c r="A82" i="27" a="1"/>
  <c r="F382" i="1"/>
  <c r="AD78" i="27"/>
  <c r="AC78" i="27" s="1"/>
  <c r="H258" i="15"/>
  <c r="AG379" i="16"/>
  <c r="AF379" i="16" s="1"/>
  <c r="AD379" i="16" s="1"/>
  <c r="AF383" i="15"/>
  <c r="AF382" i="15"/>
  <c r="AF381" i="15"/>
  <c r="AD15" i="15"/>
  <c r="AG15" i="16"/>
  <c r="Y198" i="1"/>
  <c r="R383" i="15"/>
  <c r="P15" i="15"/>
  <c r="R382" i="15"/>
  <c r="R381" i="15"/>
  <c r="AL7" i="1"/>
  <c r="AL11" i="1" s="1"/>
  <c r="Y15" i="1"/>
  <c r="D46" i="7"/>
  <c r="J105" i="15"/>
  <c r="I105" i="15"/>
  <c r="J227" i="15"/>
  <c r="I227" i="15"/>
  <c r="J74" i="15"/>
  <c r="I74" i="15"/>
  <c r="D47" i="7"/>
  <c r="S382" i="16"/>
  <c r="S381" i="16"/>
  <c r="S383" i="16"/>
  <c r="R15" i="16"/>
  <c r="I46" i="15"/>
  <c r="J46" i="15"/>
  <c r="I135" i="15"/>
  <c r="J135" i="15"/>
  <c r="J166" i="15"/>
  <c r="I166" i="15"/>
  <c r="I319" i="15"/>
  <c r="J319" i="15"/>
  <c r="O23" i="22" l="1"/>
  <c r="J210" i="15"/>
  <c r="J333" i="15"/>
  <c r="H379" i="15"/>
  <c r="I379" i="15" s="1"/>
  <c r="V180" i="16"/>
  <c r="V119" i="16"/>
  <c r="V379" i="16"/>
  <c r="V272" i="16"/>
  <c r="V367" i="16"/>
  <c r="F367" i="16" s="1"/>
  <c r="AA367" i="16" s="1"/>
  <c r="Z367" i="16" s="1"/>
  <c r="Y367" i="16" s="1"/>
  <c r="V67" i="16"/>
  <c r="F67" i="16" s="1"/>
  <c r="AA67" i="16" s="1"/>
  <c r="Z67" i="16" s="1"/>
  <c r="Y67" i="16" s="1"/>
  <c r="V42" i="16"/>
  <c r="F42" i="16" s="1"/>
  <c r="AA42" i="16" s="1"/>
  <c r="Z42" i="16" s="1"/>
  <c r="Y42" i="16" s="1"/>
  <c r="V354" i="16"/>
  <c r="F354" i="16" s="1"/>
  <c r="G354" i="16" s="1"/>
  <c r="BY354" i="6" s="1"/>
  <c r="V141" i="16"/>
  <c r="F141" i="16" s="1"/>
  <c r="G141" i="16" s="1"/>
  <c r="BY141" i="6" s="1"/>
  <c r="V216" i="16"/>
  <c r="F216" i="16" s="1"/>
  <c r="H216" i="16" s="1"/>
  <c r="V120" i="16"/>
  <c r="F120" i="16" s="1"/>
  <c r="G120" i="16" s="1"/>
  <c r="BY120" i="6" s="1"/>
  <c r="BW10" i="7"/>
  <c r="V155" i="16"/>
  <c r="F155" i="16" s="1"/>
  <c r="AA155" i="16" s="1"/>
  <c r="Z155" i="16" s="1"/>
  <c r="Y155" i="16" s="1"/>
  <c r="V213" i="16"/>
  <c r="F213" i="16" s="1"/>
  <c r="G213" i="16" s="1"/>
  <c r="BY213" i="6" s="1"/>
  <c r="V355" i="16"/>
  <c r="F355" i="16" s="1"/>
  <c r="G355" i="16" s="1"/>
  <c r="BY355" i="6" s="1"/>
  <c r="V190" i="16"/>
  <c r="F190" i="16" s="1"/>
  <c r="H190" i="16" s="1"/>
  <c r="O248" i="22"/>
  <c r="V371" i="16"/>
  <c r="F371" i="16" s="1"/>
  <c r="AA371" i="16" s="1"/>
  <c r="Z371" i="16" s="1"/>
  <c r="Y371" i="16" s="1"/>
  <c r="V286" i="16"/>
  <c r="F286" i="16" s="1"/>
  <c r="AA286" i="16" s="1"/>
  <c r="Z286" i="16" s="1"/>
  <c r="Y286" i="16" s="1"/>
  <c r="V134" i="16"/>
  <c r="F134" i="16" s="1"/>
  <c r="AA134" i="16" s="1"/>
  <c r="Z134" i="16" s="1"/>
  <c r="Y134" i="16" s="1"/>
  <c r="V293" i="16"/>
  <c r="F293" i="16" s="1"/>
  <c r="AA293" i="16" s="1"/>
  <c r="Z293" i="16" s="1"/>
  <c r="Y293" i="16" s="1"/>
  <c r="V101" i="16"/>
  <c r="F101" i="16" s="1"/>
  <c r="AA101" i="16" s="1"/>
  <c r="Z101" i="16" s="1"/>
  <c r="Y101" i="16" s="1"/>
  <c r="O227" i="22"/>
  <c r="O325" i="22"/>
  <c r="O315" i="22"/>
  <c r="O299" i="22"/>
  <c r="O326" i="22"/>
  <c r="O49" i="22"/>
  <c r="O142" i="22"/>
  <c r="O185" i="22"/>
  <c r="O152" i="22"/>
  <c r="O155" i="22"/>
  <c r="O136" i="22"/>
  <c r="O256" i="22"/>
  <c r="O261" i="22"/>
  <c r="O60" i="22"/>
  <c r="AG33" i="7" s="1"/>
  <c r="O153" i="22"/>
  <c r="O117" i="22"/>
  <c r="O159" i="22"/>
  <c r="O338" i="22"/>
  <c r="O228" i="22"/>
  <c r="O221" i="22"/>
  <c r="O179" i="22"/>
  <c r="O174" i="22"/>
  <c r="O242" i="22"/>
  <c r="O183" i="22"/>
  <c r="O251" i="22"/>
  <c r="O170" i="22"/>
  <c r="O258" i="22"/>
  <c r="O197" i="22"/>
  <c r="O160" i="22"/>
  <c r="O334" i="22"/>
  <c r="O218" i="22"/>
  <c r="O111" i="22"/>
  <c r="O176" i="22"/>
  <c r="O241" i="22"/>
  <c r="AG39" i="7" s="1"/>
  <c r="O119" i="22"/>
  <c r="AG35" i="7" s="1"/>
  <c r="O298" i="22"/>
  <c r="O244" i="22"/>
  <c r="O343" i="22"/>
  <c r="O342" i="22"/>
  <c r="O377" i="22"/>
  <c r="O124" i="22"/>
  <c r="O79" i="22"/>
  <c r="O130" i="22"/>
  <c r="O69" i="22"/>
  <c r="O264" i="22"/>
  <c r="O33" i="22"/>
  <c r="O55" i="22"/>
  <c r="O217" i="22"/>
  <c r="O215" i="22"/>
  <c r="O220" i="22"/>
  <c r="O99" i="22"/>
  <c r="O39" i="22"/>
  <c r="O304" i="22"/>
  <c r="O57" i="22"/>
  <c r="O290" i="22"/>
  <c r="O259" i="22"/>
  <c r="O322" i="22"/>
  <c r="O74" i="22"/>
  <c r="O95" i="22"/>
  <c r="O129" i="22"/>
  <c r="O198" i="22"/>
  <c r="O132" i="22"/>
  <c r="O25" i="22"/>
  <c r="O78" i="22"/>
  <c r="O52" i="22"/>
  <c r="O131" i="22"/>
  <c r="O45" i="22"/>
  <c r="O70" i="22"/>
  <c r="O26" i="22"/>
  <c r="O66" i="22"/>
  <c r="O96" i="22"/>
  <c r="O75" i="22"/>
  <c r="O94" i="22"/>
  <c r="O102" i="22"/>
  <c r="O88" i="22"/>
  <c r="AG34" i="7" s="1"/>
  <c r="O265" i="22"/>
  <c r="O122" i="22"/>
  <c r="O123" i="22"/>
  <c r="O163" i="22"/>
  <c r="O29" i="22"/>
  <c r="AG32" i="7" s="1"/>
  <c r="O121" i="22"/>
  <c r="O36" i="22"/>
  <c r="O51" i="22"/>
  <c r="O187" i="22"/>
  <c r="O236" i="22"/>
  <c r="O327" i="22"/>
  <c r="O269" i="22"/>
  <c r="O186" i="22"/>
  <c r="O201" i="22"/>
  <c r="O305" i="22"/>
  <c r="O379" i="22"/>
  <c r="C41" i="19" s="1"/>
  <c r="O273" i="22"/>
  <c r="O372" i="22"/>
  <c r="O172" i="22"/>
  <c r="O245" i="22"/>
  <c r="O323" i="22"/>
  <c r="O192" i="22"/>
  <c r="O263" i="22"/>
  <c r="O200" i="22"/>
  <c r="O214" i="22"/>
  <c r="O320" i="22"/>
  <c r="O341" i="22"/>
  <c r="O149" i="22"/>
  <c r="AG36" i="7" s="1"/>
  <c r="O138" i="22"/>
  <c r="O180" i="22"/>
  <c r="AG37" i="7" s="1"/>
  <c r="O212" i="22"/>
  <c r="O281" i="22"/>
  <c r="O321" i="22"/>
  <c r="O268" i="22"/>
  <c r="O280" i="22"/>
  <c r="O235" i="22"/>
  <c r="O346" i="22"/>
  <c r="AM13" i="7"/>
  <c r="AS10" i="7" s="1"/>
  <c r="E8" i="23" s="1"/>
  <c r="K18" i="19" s="1"/>
  <c r="K42" i="19" s="1"/>
  <c r="O205" i="22"/>
  <c r="O254" i="22"/>
  <c r="O339" i="22"/>
  <c r="O135" i="22"/>
  <c r="O233" i="22"/>
  <c r="O213" i="22"/>
  <c r="O292" i="22"/>
  <c r="O358" i="22"/>
  <c r="O208" i="22"/>
  <c r="O147" i="22"/>
  <c r="O300" i="22"/>
  <c r="O352" i="22"/>
  <c r="O336" i="22"/>
  <c r="O188" i="22"/>
  <c r="O288" i="22"/>
  <c r="O210" i="22"/>
  <c r="AG38" i="7" s="1"/>
  <c r="V214" i="16"/>
  <c r="F214" i="16" s="1"/>
  <c r="G214" i="16" s="1"/>
  <c r="BY214" i="6" s="1"/>
  <c r="V30" i="16"/>
  <c r="F30" i="16" s="1"/>
  <c r="G30" i="16" s="1"/>
  <c r="BY30" i="6" s="1"/>
  <c r="V378" i="16"/>
  <c r="F378" i="16" s="1"/>
  <c r="G378" i="16" s="1"/>
  <c r="BY378" i="6" s="1"/>
  <c r="V143" i="16"/>
  <c r="F143" i="16" s="1"/>
  <c r="AA143" i="16" s="1"/>
  <c r="Z143" i="16" s="1"/>
  <c r="Y143" i="16" s="1"/>
  <c r="V126" i="16"/>
  <c r="F126" i="16" s="1"/>
  <c r="H126" i="16" s="1"/>
  <c r="V291" i="16"/>
  <c r="F291" i="16" s="1"/>
  <c r="H291" i="16" s="1"/>
  <c r="V56" i="16"/>
  <c r="F56" i="16" s="1"/>
  <c r="AA56" i="16" s="1"/>
  <c r="Z56" i="16" s="1"/>
  <c r="Y56" i="16" s="1"/>
  <c r="V58" i="16"/>
  <c r="F58" i="16" s="1"/>
  <c r="G58" i="16" s="1"/>
  <c r="BY58" i="6" s="1"/>
  <c r="V217" i="16"/>
  <c r="F217" i="16" s="1"/>
  <c r="AA217" i="16" s="1"/>
  <c r="Z217" i="16" s="1"/>
  <c r="Y217" i="16" s="1"/>
  <c r="V205" i="16"/>
  <c r="F205" i="16" s="1"/>
  <c r="G205" i="16" s="1"/>
  <c r="BY205" i="6" s="1"/>
  <c r="V208" i="16"/>
  <c r="F208" i="16" s="1"/>
  <c r="H208" i="16" s="1"/>
  <c r="O286" i="22"/>
  <c r="O224" i="22"/>
  <c r="O351" i="22"/>
  <c r="O301" i="22"/>
  <c r="O253" i="22"/>
  <c r="O148" i="22"/>
  <c r="O234" i="22"/>
  <c r="O252" i="22"/>
  <c r="O140" i="22"/>
  <c r="O361" i="22"/>
  <c r="O226" i="22"/>
  <c r="O296" i="22"/>
  <c r="O357" i="22"/>
  <c r="O139" i="22"/>
  <c r="O329" i="22"/>
  <c r="O257" i="22"/>
  <c r="O282" i="22"/>
  <c r="O171" i="22"/>
  <c r="O364" i="22"/>
  <c r="O337" i="22"/>
  <c r="O287" i="22"/>
  <c r="O154" i="22"/>
  <c r="O209" i="22"/>
  <c r="O266" i="22"/>
  <c r="O271" i="22"/>
  <c r="O285" i="22"/>
  <c r="O191" i="22"/>
  <c r="O313" i="22"/>
  <c r="O367" i="22"/>
  <c r="O100" i="22"/>
  <c r="O114" i="22"/>
  <c r="O68" i="22"/>
  <c r="O93" i="22"/>
  <c r="O308" i="22"/>
  <c r="O67" i="22"/>
  <c r="O231" i="22"/>
  <c r="O48" i="22"/>
  <c r="O193" i="22"/>
  <c r="O32" i="22"/>
  <c r="O54" i="22"/>
  <c r="O20" i="22"/>
  <c r="O41" i="22"/>
  <c r="O53" i="22"/>
  <c r="O133" i="22"/>
  <c r="O110" i="22"/>
  <c r="O15" i="22"/>
  <c r="O43" i="22"/>
  <c r="O35" i="22"/>
  <c r="O164" i="22"/>
  <c r="O363" i="22"/>
  <c r="AG43" i="7" s="1"/>
  <c r="O73" i="22"/>
  <c r="O42" i="22"/>
  <c r="O77" i="22"/>
  <c r="O31" i="22"/>
  <c r="O63" i="22"/>
  <c r="O134" i="22"/>
  <c r="O18" i="22"/>
  <c r="O318" i="22"/>
  <c r="O297" i="22"/>
  <c r="O101" i="22"/>
  <c r="O144" i="22"/>
  <c r="O370" i="22"/>
  <c r="O317" i="22"/>
  <c r="O125" i="22"/>
  <c r="O355" i="22"/>
  <c r="O137" i="22"/>
  <c r="O37" i="22"/>
  <c r="O44" i="22"/>
  <c r="O158" i="22"/>
  <c r="O97" i="22"/>
  <c r="O307" i="22"/>
  <c r="O127" i="22"/>
  <c r="O62" i="22"/>
  <c r="O19" i="22"/>
  <c r="O277" i="22"/>
  <c r="O103" i="22"/>
  <c r="O28" i="22"/>
  <c r="O22" i="22"/>
  <c r="O17" i="22"/>
  <c r="O115" i="22"/>
  <c r="O38" i="22"/>
  <c r="O91" i="22"/>
  <c r="O211" i="22"/>
  <c r="O116" i="22"/>
  <c r="O105" i="22"/>
  <c r="O27" i="22"/>
  <c r="O81" i="22"/>
  <c r="O40" i="22"/>
  <c r="O350" i="22"/>
  <c r="O76" i="22"/>
  <c r="O50" i="22"/>
  <c r="O375" i="22"/>
  <c r="O333" i="22"/>
  <c r="AG42" i="7" s="1"/>
  <c r="O330" i="22"/>
  <c r="O59" i="22"/>
  <c r="O207" i="22"/>
  <c r="O58" i="22"/>
  <c r="O109" i="22"/>
  <c r="O71" i="22"/>
  <c r="O90" i="22"/>
  <c r="O84" i="22"/>
  <c r="O107" i="22"/>
  <c r="O65" i="22"/>
  <c r="O120" i="22"/>
  <c r="O85" i="22"/>
  <c r="O34" i="22"/>
  <c r="O61" i="22"/>
  <c r="O30" i="22"/>
  <c r="O82" i="22"/>
  <c r="O118" i="22"/>
  <c r="O112" i="22"/>
  <c r="O249" i="22"/>
  <c r="O169" i="22"/>
  <c r="O83" i="22"/>
  <c r="O113" i="22"/>
  <c r="O324" i="22"/>
  <c r="O255" i="22"/>
  <c r="O72" i="22"/>
  <c r="O46" i="22"/>
  <c r="O24" i="22"/>
  <c r="O104" i="22"/>
  <c r="O194" i="22"/>
  <c r="O230" i="22"/>
  <c r="O294" i="22"/>
  <c r="O98" i="22"/>
  <c r="O126" i="22"/>
  <c r="O89" i="22"/>
  <c r="O21" i="22"/>
  <c r="O47" i="22"/>
  <c r="O162" i="22"/>
  <c r="O262" i="22"/>
  <c r="O354" i="22"/>
  <c r="O316" i="22"/>
  <c r="O80" i="22"/>
  <c r="O238" i="22"/>
  <c r="O146" i="22"/>
  <c r="O86" i="22"/>
  <c r="O165" i="22"/>
  <c r="O380" i="22"/>
  <c r="O178" i="22"/>
  <c r="O56" i="22"/>
  <c r="O106" i="22"/>
  <c r="O276" i="22"/>
  <c r="O92" i="22"/>
  <c r="O204" i="22"/>
  <c r="O128" i="22"/>
  <c r="O16" i="22"/>
  <c r="O216" i="22"/>
  <c r="O239" i="22"/>
  <c r="V236" i="16"/>
  <c r="F236" i="16" s="1"/>
  <c r="AA236" i="16" s="1"/>
  <c r="Z236" i="16" s="1"/>
  <c r="Y236" i="16" s="1"/>
  <c r="V84" i="16"/>
  <c r="F84" i="16" s="1"/>
  <c r="AA84" i="16" s="1"/>
  <c r="Z84" i="16" s="1"/>
  <c r="Y84" i="16" s="1"/>
  <c r="V219" i="16"/>
  <c r="F219" i="16" s="1"/>
  <c r="G219" i="16" s="1"/>
  <c r="BY219" i="6" s="1"/>
  <c r="V304" i="16"/>
  <c r="F304" i="16" s="1"/>
  <c r="AA304" i="16" s="1"/>
  <c r="Z304" i="16" s="1"/>
  <c r="Y304" i="16" s="1"/>
  <c r="V226" i="16"/>
  <c r="F226" i="16" s="1"/>
  <c r="AA226" i="16" s="1"/>
  <c r="Z226" i="16" s="1"/>
  <c r="Y226" i="16" s="1"/>
  <c r="V68" i="16"/>
  <c r="F68" i="16" s="1"/>
  <c r="AA68" i="16" s="1"/>
  <c r="Z68" i="16" s="1"/>
  <c r="Y68" i="16" s="1"/>
  <c r="V144" i="16"/>
  <c r="F144" i="16" s="1"/>
  <c r="G144" i="16" s="1"/>
  <c r="BY144" i="6" s="1"/>
  <c r="V188" i="16"/>
  <c r="F188" i="16" s="1"/>
  <c r="G188" i="16" s="1"/>
  <c r="BY188" i="6" s="1"/>
  <c r="V18" i="16"/>
  <c r="F18" i="16" s="1"/>
  <c r="G18" i="16" s="1"/>
  <c r="BY18" i="6" s="1"/>
  <c r="V233" i="16"/>
  <c r="F233" i="16" s="1"/>
  <c r="H233" i="16" s="1"/>
  <c r="V83" i="16"/>
  <c r="F83" i="16" s="1"/>
  <c r="AA83" i="16" s="1"/>
  <c r="Z83" i="16" s="1"/>
  <c r="Y83" i="16" s="1"/>
  <c r="V372" i="16"/>
  <c r="F372" i="16" s="1"/>
  <c r="H372" i="16" s="1"/>
  <c r="V156" i="16"/>
  <c r="F156" i="16" s="1"/>
  <c r="H156" i="16" s="1"/>
  <c r="V237" i="16"/>
  <c r="F237" i="16" s="1"/>
  <c r="H237" i="16" s="1"/>
  <c r="V94" i="16"/>
  <c r="F94" i="16" s="1"/>
  <c r="AA94" i="16" s="1"/>
  <c r="Z94" i="16" s="1"/>
  <c r="Y94" i="16" s="1"/>
  <c r="V308" i="16"/>
  <c r="F308" i="16" s="1"/>
  <c r="AA308" i="16" s="1"/>
  <c r="Z308" i="16" s="1"/>
  <c r="Y308" i="16" s="1"/>
  <c r="V150" i="16"/>
  <c r="F150" i="16" s="1"/>
  <c r="H150" i="16" s="1"/>
  <c r="V62" i="16"/>
  <c r="F62" i="16" s="1"/>
  <c r="H62" i="16" s="1"/>
  <c r="O64" i="22"/>
  <c r="O374" i="22"/>
  <c r="O369" i="22"/>
  <c r="O166" i="22"/>
  <c r="O362" i="22"/>
  <c r="O348" i="22"/>
  <c r="O376" i="22"/>
  <c r="O222" i="22"/>
  <c r="O237" i="22"/>
  <c r="O229" i="22"/>
  <c r="O272" i="22"/>
  <c r="AG40" i="7" s="1"/>
  <c r="O184" i="22"/>
  <c r="O378" i="22"/>
  <c r="O295" i="22"/>
  <c r="O202" i="22"/>
  <c r="O289" i="22"/>
  <c r="O151" i="22"/>
  <c r="O150" i="22"/>
  <c r="O331" i="22"/>
  <c r="O310" i="22"/>
  <c r="O243" i="22"/>
  <c r="O314" i="22"/>
  <c r="O223" i="22"/>
  <c r="O250" i="22"/>
  <c r="O368" i="22"/>
  <c r="O267" i="22"/>
  <c r="O283" i="22"/>
  <c r="O309" i="22"/>
  <c r="O344" i="22"/>
  <c r="O175" i="22"/>
  <c r="O303" i="22"/>
  <c r="O278" i="22"/>
  <c r="O182" i="22"/>
  <c r="O353" i="22"/>
  <c r="O356" i="22"/>
  <c r="O349" i="22"/>
  <c r="O291" i="22"/>
  <c r="O366" i="22"/>
  <c r="O206" i="22"/>
  <c r="O360" i="22"/>
  <c r="O347" i="22"/>
  <c r="O319" i="22"/>
  <c r="O161" i="22"/>
  <c r="O270" i="22"/>
  <c r="O332" i="22"/>
  <c r="O173" i="22"/>
  <c r="O141" i="22"/>
  <c r="O340" i="22"/>
  <c r="O167" i="22"/>
  <c r="O345" i="22"/>
  <c r="O189" i="22"/>
  <c r="O177" i="22"/>
  <c r="O302" i="22"/>
  <c r="AG41" i="7" s="1"/>
  <c r="O335" i="22"/>
  <c r="O247" i="22"/>
  <c r="O373" i="22"/>
  <c r="O232" i="22"/>
  <c r="O240" i="22"/>
  <c r="O284" i="22"/>
  <c r="O219" i="22"/>
  <c r="O156" i="22"/>
  <c r="O145" i="22"/>
  <c r="O312" i="22"/>
  <c r="O279" i="22"/>
  <c r="O311" i="22"/>
  <c r="O371" i="22"/>
  <c r="O199" i="22"/>
  <c r="O181" i="22"/>
  <c r="O143" i="22"/>
  <c r="O203" i="22"/>
  <c r="O293" i="22"/>
  <c r="O225" i="22"/>
  <c r="O195" i="22"/>
  <c r="O328" i="22"/>
  <c r="O275" i="22"/>
  <c r="O190" i="22"/>
  <c r="O168" i="22"/>
  <c r="O359" i="22"/>
  <c r="O246" i="22"/>
  <c r="O365" i="22"/>
  <c r="O260" i="22"/>
  <c r="O157" i="22"/>
  <c r="O274" i="22"/>
  <c r="O196" i="22"/>
  <c r="O306" i="22"/>
  <c r="V104" i="16"/>
  <c r="F104" i="16" s="1"/>
  <c r="G104" i="16" s="1"/>
  <c r="BY104" i="6" s="1"/>
  <c r="V26" i="16"/>
  <c r="F26" i="16" s="1"/>
  <c r="H26" i="16" s="1"/>
  <c r="V64" i="16"/>
  <c r="F64" i="16" s="1"/>
  <c r="G64" i="16" s="1"/>
  <c r="BY64" i="6" s="1"/>
  <c r="V256" i="16"/>
  <c r="F256" i="16" s="1"/>
  <c r="G256" i="16" s="1"/>
  <c r="BY256" i="6" s="1"/>
  <c r="V279" i="16"/>
  <c r="F279" i="16" s="1"/>
  <c r="H279" i="16" s="1"/>
  <c r="V113" i="16"/>
  <c r="F113" i="16" s="1"/>
  <c r="G113" i="16" s="1"/>
  <c r="BY113" i="6" s="1"/>
  <c r="V27" i="16"/>
  <c r="F27" i="16" s="1"/>
  <c r="H27" i="16" s="1"/>
  <c r="V283" i="16"/>
  <c r="F283" i="16" s="1"/>
  <c r="H283" i="16" s="1"/>
  <c r="V19" i="16"/>
  <c r="F19" i="16" s="1"/>
  <c r="H19" i="16" s="1"/>
  <c r="V89" i="16"/>
  <c r="F89" i="16" s="1"/>
  <c r="G89" i="16" s="1"/>
  <c r="BY89" i="6" s="1"/>
  <c r="V248" i="16"/>
  <c r="F248" i="16" s="1"/>
  <c r="G248" i="16" s="1"/>
  <c r="BY248" i="6" s="1"/>
  <c r="V31" i="16"/>
  <c r="F31" i="16" s="1"/>
  <c r="AA31" i="16" s="1"/>
  <c r="Z31" i="16" s="1"/>
  <c r="Y31" i="16" s="1"/>
  <c r="V79" i="16"/>
  <c r="F79" i="16" s="1"/>
  <c r="G79" i="16" s="1"/>
  <c r="BY79" i="6" s="1"/>
  <c r="V315" i="16"/>
  <c r="F315" i="16" s="1"/>
  <c r="G315" i="16" s="1"/>
  <c r="BY315" i="6" s="1"/>
  <c r="V359" i="16"/>
  <c r="F359" i="16" s="1"/>
  <c r="G359" i="16" s="1"/>
  <c r="BY359" i="6" s="1"/>
  <c r="V114" i="16"/>
  <c r="F114" i="16" s="1"/>
  <c r="G114" i="16" s="1"/>
  <c r="BY114" i="6" s="1"/>
  <c r="V103" i="16"/>
  <c r="F103" i="16" s="1"/>
  <c r="H103" i="16" s="1"/>
  <c r="V298" i="16"/>
  <c r="F298" i="16" s="1"/>
  <c r="AA298" i="16" s="1"/>
  <c r="Z298" i="16" s="1"/>
  <c r="Y298" i="16" s="1"/>
  <c r="V28" i="16"/>
  <c r="F28" i="16" s="1"/>
  <c r="AA28" i="16" s="1"/>
  <c r="Z28" i="16" s="1"/>
  <c r="Y28" i="16" s="1"/>
  <c r="V187" i="16"/>
  <c r="F187" i="16" s="1"/>
  <c r="H187" i="16" s="1"/>
  <c r="V303" i="16"/>
  <c r="F303" i="16" s="1"/>
  <c r="AA303" i="16" s="1"/>
  <c r="Z303" i="16" s="1"/>
  <c r="Y303" i="16" s="1"/>
  <c r="V138" i="16"/>
  <c r="F138" i="16" s="1"/>
  <c r="AA138" i="16" s="1"/>
  <c r="Z138" i="16" s="1"/>
  <c r="Y138" i="16" s="1"/>
  <c r="V311" i="16"/>
  <c r="F311" i="16" s="1"/>
  <c r="AA311" i="16" s="1"/>
  <c r="Z311" i="16" s="1"/>
  <c r="Y311" i="16" s="1"/>
  <c r="V181" i="16"/>
  <c r="F181" i="16" s="1"/>
  <c r="AA181" i="16" s="1"/>
  <c r="Z181" i="16" s="1"/>
  <c r="Y181" i="16" s="1"/>
  <c r="V152" i="16"/>
  <c r="F152" i="16" s="1"/>
  <c r="G152" i="16" s="1"/>
  <c r="BY152" i="6" s="1"/>
  <c r="V132" i="16"/>
  <c r="F132" i="16" s="1"/>
  <c r="G132" i="16" s="1"/>
  <c r="BY132" i="6" s="1"/>
  <c r="V75" i="16"/>
  <c r="F75" i="16" s="1"/>
  <c r="V327" i="16"/>
  <c r="F327" i="16" s="1"/>
  <c r="H327" i="16" s="1"/>
  <c r="V200" i="16"/>
  <c r="F200" i="16" s="1"/>
  <c r="H200" i="16" s="1"/>
  <c r="V91" i="16"/>
  <c r="F91" i="16" s="1"/>
  <c r="G91" i="16" s="1"/>
  <c r="BY91" i="6" s="1"/>
  <c r="V87" i="16"/>
  <c r="F87" i="16" s="1"/>
  <c r="H87" i="16" s="1"/>
  <c r="V247" i="16"/>
  <c r="F247" i="16" s="1"/>
  <c r="G247" i="16" s="1"/>
  <c r="BY247" i="6" s="1"/>
  <c r="V206" i="16"/>
  <c r="F206" i="16" s="1"/>
  <c r="H206" i="16" s="1"/>
  <c r="V35" i="16"/>
  <c r="F35" i="16" s="1"/>
  <c r="G35" i="16" s="1"/>
  <c r="BY35" i="6" s="1"/>
  <c r="V125" i="16"/>
  <c r="F125" i="16" s="1"/>
  <c r="H125" i="16" s="1"/>
  <c r="V274" i="16"/>
  <c r="F274" i="16" s="1"/>
  <c r="G274" i="16" s="1"/>
  <c r="BY274" i="6" s="1"/>
  <c r="V73" i="16"/>
  <c r="F73" i="16" s="1"/>
  <c r="H73" i="16" s="1"/>
  <c r="V243" i="16"/>
  <c r="F243" i="16" s="1"/>
  <c r="H243" i="16" s="1"/>
  <c r="V171" i="16"/>
  <c r="F171" i="16" s="1"/>
  <c r="G171" i="16" s="1"/>
  <c r="BY171" i="6" s="1"/>
  <c r="I241" i="15"/>
  <c r="V60" i="16"/>
  <c r="I363" i="15"/>
  <c r="I290" i="15"/>
  <c r="V149" i="16"/>
  <c r="I302" i="15"/>
  <c r="V323" i="16"/>
  <c r="F323" i="16" s="1"/>
  <c r="H323" i="16" s="1"/>
  <c r="V183" i="16"/>
  <c r="F183" i="16" s="1"/>
  <c r="G183" i="16" s="1"/>
  <c r="BY183" i="6" s="1"/>
  <c r="V319" i="16"/>
  <c r="F319" i="16" s="1"/>
  <c r="H319" i="16" s="1"/>
  <c r="V24" i="16"/>
  <c r="F24" i="16" s="1"/>
  <c r="AA24" i="16" s="1"/>
  <c r="Z24" i="16" s="1"/>
  <c r="Y24" i="16" s="1"/>
  <c r="V329" i="16"/>
  <c r="F329" i="16" s="1"/>
  <c r="H329" i="16" s="1"/>
  <c r="V207" i="16"/>
  <c r="F207" i="16" s="1"/>
  <c r="H207" i="16" s="1"/>
  <c r="V254" i="16"/>
  <c r="F254" i="16" s="1"/>
  <c r="G254" i="16" s="1"/>
  <c r="BY254" i="6" s="1"/>
  <c r="V277" i="16"/>
  <c r="F277" i="16" s="1"/>
  <c r="H277" i="16" s="1"/>
  <c r="V252" i="16"/>
  <c r="F252" i="16" s="1"/>
  <c r="AA252" i="16" s="1"/>
  <c r="Z252" i="16" s="1"/>
  <c r="Y252" i="16" s="1"/>
  <c r="V241" i="16"/>
  <c r="V358" i="16"/>
  <c r="F358" i="16" s="1"/>
  <c r="AA358" i="16" s="1"/>
  <c r="Z358" i="16" s="1"/>
  <c r="Y358" i="16" s="1"/>
  <c r="E72" i="16"/>
  <c r="V72" i="16"/>
  <c r="E173" i="16"/>
  <c r="V173" i="16"/>
  <c r="E251" i="16"/>
  <c r="V251" i="16"/>
  <c r="E211" i="16"/>
  <c r="V211" i="16"/>
  <c r="E307" i="16"/>
  <c r="V307" i="16"/>
  <c r="E121" i="16"/>
  <c r="V121" i="16"/>
  <c r="E71" i="16"/>
  <c r="V71" i="16"/>
  <c r="E55" i="16"/>
  <c r="V55" i="16"/>
  <c r="E332" i="16"/>
  <c r="V332" i="16"/>
  <c r="E17" i="16"/>
  <c r="V17" i="16"/>
  <c r="E313" i="16"/>
  <c r="V313" i="16"/>
  <c r="E186" i="16"/>
  <c r="V186" i="16"/>
  <c r="E130" i="16"/>
  <c r="V130" i="16"/>
  <c r="E328" i="16"/>
  <c r="V328" i="16"/>
  <c r="E202" i="16"/>
  <c r="V202" i="16"/>
  <c r="E65" i="16"/>
  <c r="V65" i="16"/>
  <c r="E366" i="16"/>
  <c r="V366" i="16"/>
  <c r="E147" i="16"/>
  <c r="V147" i="16"/>
  <c r="E66" i="16"/>
  <c r="V66" i="16"/>
  <c r="E234" i="16"/>
  <c r="V234" i="16"/>
  <c r="E326" i="16"/>
  <c r="V326" i="16"/>
  <c r="E232" i="16"/>
  <c r="V232" i="16"/>
  <c r="E368" i="16"/>
  <c r="V368" i="16"/>
  <c r="E81" i="16"/>
  <c r="V81" i="16"/>
  <c r="E245" i="16"/>
  <c r="V245" i="16"/>
  <c r="E335" i="16"/>
  <c r="V335" i="16"/>
  <c r="E203" i="16"/>
  <c r="V203" i="16"/>
  <c r="E314" i="16"/>
  <c r="V314" i="16"/>
  <c r="E235" i="16"/>
  <c r="V235" i="16"/>
  <c r="E153" i="16"/>
  <c r="V153" i="16"/>
  <c r="E146" i="16"/>
  <c r="V146" i="16"/>
  <c r="E301" i="16"/>
  <c r="V301" i="16"/>
  <c r="E22" i="16"/>
  <c r="V22" i="16"/>
  <c r="E260" i="16"/>
  <c r="V260" i="16"/>
  <c r="E278" i="16"/>
  <c r="V278" i="16"/>
  <c r="E160" i="16"/>
  <c r="V160" i="16"/>
  <c r="E50" i="16"/>
  <c r="V50" i="16"/>
  <c r="E341" i="16"/>
  <c r="V341" i="16"/>
  <c r="E375" i="16"/>
  <c r="V375" i="16"/>
  <c r="E170" i="16"/>
  <c r="V170" i="16"/>
  <c r="E364" i="16"/>
  <c r="V364" i="16"/>
  <c r="E165" i="16"/>
  <c r="V165" i="16"/>
  <c r="E197" i="16"/>
  <c r="V197" i="16"/>
  <c r="E108" i="16"/>
  <c r="V108" i="16"/>
  <c r="E352" i="16"/>
  <c r="V352" i="16"/>
  <c r="E124" i="16"/>
  <c r="V124" i="16"/>
  <c r="E351" i="16"/>
  <c r="V351" i="16"/>
  <c r="E257" i="16"/>
  <c r="V257" i="16"/>
  <c r="E370" i="16"/>
  <c r="V370" i="16"/>
  <c r="E32" i="16"/>
  <c r="V32" i="16"/>
  <c r="E140" i="16"/>
  <c r="V140" i="16"/>
  <c r="E330" i="16"/>
  <c r="V330" i="16"/>
  <c r="E377" i="16"/>
  <c r="V377" i="16"/>
  <c r="E337" i="16"/>
  <c r="V337" i="16"/>
  <c r="E282" i="16"/>
  <c r="V282" i="16"/>
  <c r="E198" i="16"/>
  <c r="V198" i="16"/>
  <c r="E276" i="16"/>
  <c r="V276" i="16"/>
  <c r="E136" i="16"/>
  <c r="V136" i="16"/>
  <c r="E162" i="16"/>
  <c r="V162" i="16"/>
  <c r="E244" i="16"/>
  <c r="V244" i="16"/>
  <c r="E204" i="16"/>
  <c r="V204" i="16"/>
  <c r="E345" i="16"/>
  <c r="V345" i="16"/>
  <c r="E161" i="16"/>
  <c r="V161" i="16"/>
  <c r="E41" i="16"/>
  <c r="V41" i="16"/>
  <c r="E221" i="16"/>
  <c r="V221" i="16"/>
  <c r="E163" i="16"/>
  <c r="V163" i="16"/>
  <c r="E267" i="16"/>
  <c r="V267" i="16"/>
  <c r="E77" i="16"/>
  <c r="V77" i="16"/>
  <c r="E107" i="16"/>
  <c r="V107" i="16"/>
  <c r="E34" i="16"/>
  <c r="V34" i="16"/>
  <c r="E57" i="16"/>
  <c r="V57" i="16"/>
  <c r="E46" i="16"/>
  <c r="V46" i="16"/>
  <c r="E261" i="16"/>
  <c r="V261" i="16"/>
  <c r="E148" i="16"/>
  <c r="V148" i="16"/>
  <c r="E215" i="16"/>
  <c r="V215" i="16"/>
  <c r="E44" i="16"/>
  <c r="V44" i="16"/>
  <c r="E131" i="16"/>
  <c r="V131" i="16"/>
  <c r="E116" i="16"/>
  <c r="V116" i="16"/>
  <c r="E271" i="16"/>
  <c r="V271" i="16"/>
  <c r="E118" i="16"/>
  <c r="V118" i="16"/>
  <c r="E135" i="16"/>
  <c r="V135" i="16"/>
  <c r="E37" i="16"/>
  <c r="V37" i="16"/>
  <c r="V145" i="16"/>
  <c r="F145" i="16" s="1"/>
  <c r="G145" i="16" s="1"/>
  <c r="BY145" i="6" s="1"/>
  <c r="V99" i="16"/>
  <c r="F99" i="16" s="1"/>
  <c r="H99" i="16" s="1"/>
  <c r="V47" i="16"/>
  <c r="F47" i="16" s="1"/>
  <c r="H47" i="16" s="1"/>
  <c r="V115" i="16"/>
  <c r="F115" i="16" s="1"/>
  <c r="H115" i="16" s="1"/>
  <c r="V287" i="16"/>
  <c r="F287" i="16" s="1"/>
  <c r="H287" i="16" s="1"/>
  <c r="V229" i="16"/>
  <c r="F229" i="16" s="1"/>
  <c r="AA229" i="16" s="1"/>
  <c r="Z229" i="16" s="1"/>
  <c r="Y229" i="16" s="1"/>
  <c r="V63" i="16"/>
  <c r="F63" i="16" s="1"/>
  <c r="G63" i="16" s="1"/>
  <c r="BY63" i="6" s="1"/>
  <c r="V196" i="16"/>
  <c r="F196" i="16" s="1"/>
  <c r="G196" i="16" s="1"/>
  <c r="BY196" i="6" s="1"/>
  <c r="V222" i="16"/>
  <c r="F222" i="16" s="1"/>
  <c r="H222" i="16" s="1"/>
  <c r="V280" i="16"/>
  <c r="F280" i="16" s="1"/>
  <c r="H280" i="16" s="1"/>
  <c r="V262" i="16"/>
  <c r="F262" i="16" s="1"/>
  <c r="H262" i="16" s="1"/>
  <c r="V201" i="16"/>
  <c r="F201" i="16" s="1"/>
  <c r="AA201" i="16" s="1"/>
  <c r="Z201" i="16" s="1"/>
  <c r="Y201" i="16" s="1"/>
  <c r="V275" i="16"/>
  <c r="F275" i="16" s="1"/>
  <c r="AA275" i="16" s="1"/>
  <c r="Z275" i="16" s="1"/>
  <c r="Y275" i="16" s="1"/>
  <c r="V310" i="16"/>
  <c r="F310" i="16" s="1"/>
  <c r="AA310" i="16" s="1"/>
  <c r="Z310" i="16" s="1"/>
  <c r="Y310" i="16" s="1"/>
  <c r="V182" i="16"/>
  <c r="F182" i="16" s="1"/>
  <c r="AA182" i="16" s="1"/>
  <c r="Z182" i="16" s="1"/>
  <c r="Y182" i="16" s="1"/>
  <c r="V294" i="16"/>
  <c r="F294" i="16" s="1"/>
  <c r="AA294" i="16" s="1"/>
  <c r="Z294" i="16" s="1"/>
  <c r="Y294" i="16" s="1"/>
  <c r="V178" i="16"/>
  <c r="F178" i="16" s="1"/>
  <c r="AA178" i="16" s="1"/>
  <c r="Z178" i="16" s="1"/>
  <c r="Y178" i="16" s="1"/>
  <c r="V357" i="16"/>
  <c r="F357" i="16" s="1"/>
  <c r="H357" i="16" s="1"/>
  <c r="V193" i="16"/>
  <c r="F193" i="16" s="1"/>
  <c r="AA193" i="16" s="1"/>
  <c r="Z193" i="16" s="1"/>
  <c r="Y193" i="16" s="1"/>
  <c r="V249" i="16"/>
  <c r="F249" i="16" s="1"/>
  <c r="G249" i="16" s="1"/>
  <c r="BY249" i="6" s="1"/>
  <c r="AH382" i="16"/>
  <c r="AH383" i="16"/>
  <c r="AI382" i="16"/>
  <c r="AI383" i="16"/>
  <c r="I272" i="15"/>
  <c r="J272" i="15"/>
  <c r="V299" i="16"/>
  <c r="F299" i="16" s="1"/>
  <c r="G299" i="16" s="1"/>
  <c r="BY299" i="6" s="1"/>
  <c r="V347" i="16"/>
  <c r="F347" i="16" s="1"/>
  <c r="G347" i="16" s="1"/>
  <c r="BY347" i="6" s="1"/>
  <c r="V263" i="16"/>
  <c r="F263" i="16" s="1"/>
  <c r="G263" i="16" s="1"/>
  <c r="BY263" i="6" s="1"/>
  <c r="V194" i="16"/>
  <c r="F194" i="16" s="1"/>
  <c r="H194" i="16" s="1"/>
  <c r="V225" i="16"/>
  <c r="F225" i="16" s="1"/>
  <c r="AA225" i="16" s="1"/>
  <c r="Z225" i="16" s="1"/>
  <c r="Y225" i="16" s="1"/>
  <c r="V40" i="16"/>
  <c r="F40" i="16" s="1"/>
  <c r="H40" i="16" s="1"/>
  <c r="V159" i="16"/>
  <c r="F159" i="16" s="1"/>
  <c r="AA159" i="16" s="1"/>
  <c r="Z159" i="16" s="1"/>
  <c r="Y159" i="16" s="1"/>
  <c r="V325" i="16"/>
  <c r="F325" i="16" s="1"/>
  <c r="H325" i="16" s="1"/>
  <c r="V343" i="16"/>
  <c r="F343" i="16" s="1"/>
  <c r="G343" i="16" s="1"/>
  <c r="BY343" i="6" s="1"/>
  <c r="V122" i="16"/>
  <c r="F122" i="16" s="1"/>
  <c r="V96" i="16"/>
  <c r="F96" i="16" s="1"/>
  <c r="G96" i="16" s="1"/>
  <c r="BY96" i="6" s="1"/>
  <c r="V176" i="16"/>
  <c r="F176" i="16" s="1"/>
  <c r="G176" i="16" s="1"/>
  <c r="BY176" i="6" s="1"/>
  <c r="V376" i="16"/>
  <c r="F376" i="16" s="1"/>
  <c r="AA376" i="16" s="1"/>
  <c r="Z376" i="16" s="1"/>
  <c r="Y376" i="16" s="1"/>
  <c r="V339" i="16"/>
  <c r="F339" i="16" s="1"/>
  <c r="G339" i="16" s="1"/>
  <c r="BY339" i="6" s="1"/>
  <c r="V97" i="16"/>
  <c r="F97" i="16" s="1"/>
  <c r="G97" i="16" s="1"/>
  <c r="BY97" i="6" s="1"/>
  <c r="V80" i="16"/>
  <c r="F80" i="16" s="1"/>
  <c r="V154" i="16"/>
  <c r="F154" i="16" s="1"/>
  <c r="G154" i="16" s="1"/>
  <c r="BY154" i="6" s="1"/>
  <c r="V297" i="16"/>
  <c r="F297" i="16" s="1"/>
  <c r="AA297" i="16" s="1"/>
  <c r="Z297" i="16" s="1"/>
  <c r="Y297" i="16" s="1"/>
  <c r="V285" i="16"/>
  <c r="F285" i="16" s="1"/>
  <c r="H285" i="16" s="1"/>
  <c r="V238" i="16"/>
  <c r="F238" i="16" s="1"/>
  <c r="V380" i="16"/>
  <c r="F380" i="16" s="1"/>
  <c r="G380" i="16" s="1"/>
  <c r="BY380" i="6" s="1"/>
  <c r="V322" i="16"/>
  <c r="F322" i="16" s="1"/>
  <c r="V305" i="16"/>
  <c r="F305" i="16" s="1"/>
  <c r="V109" i="16"/>
  <c r="F109" i="16" s="1"/>
  <c r="G109" i="16" s="1"/>
  <c r="BY109" i="6" s="1"/>
  <c r="V169" i="16"/>
  <c r="F169" i="16" s="1"/>
  <c r="AA169" i="16" s="1"/>
  <c r="Z169" i="16" s="1"/>
  <c r="Y169" i="16" s="1"/>
  <c r="V265" i="16"/>
  <c r="F265" i="16" s="1"/>
  <c r="V231" i="16"/>
  <c r="F231" i="16" s="1"/>
  <c r="G231" i="16" s="1"/>
  <c r="BY231" i="6" s="1"/>
  <c r="V362" i="16"/>
  <c r="F362" i="16" s="1"/>
  <c r="V334" i="16"/>
  <c r="F334" i="16" s="1"/>
  <c r="AA334" i="16" s="1"/>
  <c r="Z334" i="16" s="1"/>
  <c r="Y334" i="16" s="1"/>
  <c r="V266" i="16"/>
  <c r="F266" i="16" s="1"/>
  <c r="V45" i="16"/>
  <c r="F45" i="16" s="1"/>
  <c r="AA45" i="16" s="1"/>
  <c r="Z45" i="16" s="1"/>
  <c r="Y45" i="16" s="1"/>
  <c r="V52" i="16"/>
  <c r="F52" i="16" s="1"/>
  <c r="G52" i="16" s="1"/>
  <c r="BY52" i="6" s="1"/>
  <c r="V166" i="16"/>
  <c r="F166" i="16" s="1"/>
  <c r="G166" i="16" s="1"/>
  <c r="BY166" i="6" s="1"/>
  <c r="V100" i="16"/>
  <c r="F100" i="16" s="1"/>
  <c r="V228" i="16"/>
  <c r="F228" i="16" s="1"/>
  <c r="G228" i="16" s="1"/>
  <c r="BY228" i="6" s="1"/>
  <c r="V168" i="16"/>
  <c r="F168" i="16" s="1"/>
  <c r="H168" i="16" s="1"/>
  <c r="V220" i="16"/>
  <c r="F220" i="16" s="1"/>
  <c r="G220" i="16" s="1"/>
  <c r="BY220" i="6" s="1"/>
  <c r="V338" i="16"/>
  <c r="F338" i="16" s="1"/>
  <c r="G338" i="16" s="1"/>
  <c r="BY338" i="6" s="1"/>
  <c r="V70" i="16"/>
  <c r="F70" i="16" s="1"/>
  <c r="AA70" i="16" s="1"/>
  <c r="Z70" i="16" s="1"/>
  <c r="Y70" i="16" s="1"/>
  <c r="V353" i="16"/>
  <c r="F353" i="16" s="1"/>
  <c r="AA353" i="16" s="1"/>
  <c r="Z353" i="16" s="1"/>
  <c r="Y353" i="16" s="1"/>
  <c r="V43" i="16"/>
  <c r="F43" i="16" s="1"/>
  <c r="H43" i="16" s="1"/>
  <c r="V264" i="16"/>
  <c r="F264" i="16" s="1"/>
  <c r="G264" i="16" s="1"/>
  <c r="BY264" i="6" s="1"/>
  <c r="V199" i="16"/>
  <c r="F199" i="16" s="1"/>
  <c r="AA199" i="16" s="1"/>
  <c r="Z199" i="16" s="1"/>
  <c r="Y199" i="16" s="1"/>
  <c r="V174" i="16"/>
  <c r="F174" i="16" s="1"/>
  <c r="G174" i="16" s="1"/>
  <c r="BY174" i="6" s="1"/>
  <c r="V324" i="16"/>
  <c r="F324" i="16" s="1"/>
  <c r="V82" i="16"/>
  <c r="F82" i="16" s="1"/>
  <c r="H82" i="16" s="1"/>
  <c r="V195" i="16"/>
  <c r="F195" i="16" s="1"/>
  <c r="AA195" i="16" s="1"/>
  <c r="Z195" i="16" s="1"/>
  <c r="Y195" i="16" s="1"/>
  <c r="V268" i="16"/>
  <c r="F268" i="16" s="1"/>
  <c r="V51" i="16"/>
  <c r="F51" i="16" s="1"/>
  <c r="AA51" i="16" s="1"/>
  <c r="Z51" i="16" s="1"/>
  <c r="Y51" i="16" s="1"/>
  <c r="V189" i="16"/>
  <c r="F189" i="16" s="1"/>
  <c r="AA189" i="16" s="1"/>
  <c r="Z189" i="16" s="1"/>
  <c r="Y189" i="16" s="1"/>
  <c r="V36" i="16"/>
  <c r="F36" i="16" s="1"/>
  <c r="V33" i="16"/>
  <c r="F33" i="16" s="1"/>
  <c r="V53" i="16"/>
  <c r="F53" i="16" s="1"/>
  <c r="V306" i="16"/>
  <c r="F306" i="16" s="1"/>
  <c r="AA306" i="16" s="1"/>
  <c r="Z306" i="16" s="1"/>
  <c r="Y306" i="16" s="1"/>
  <c r="V320" i="16"/>
  <c r="F320" i="16" s="1"/>
  <c r="V38" i="16"/>
  <c r="F38" i="16" s="1"/>
  <c r="G38" i="16" s="1"/>
  <c r="BY38" i="6" s="1"/>
  <c r="V69" i="16"/>
  <c r="F69" i="16" s="1"/>
  <c r="G69" i="16" s="1"/>
  <c r="BY69" i="6" s="1"/>
  <c r="V95" i="16"/>
  <c r="F95" i="16" s="1"/>
  <c r="AA95" i="16" s="1"/>
  <c r="Z95" i="16" s="1"/>
  <c r="Y95" i="16" s="1"/>
  <c r="V93" i="16"/>
  <c r="F93" i="16" s="1"/>
  <c r="H93" i="16" s="1"/>
  <c r="V230" i="16"/>
  <c r="F230" i="16" s="1"/>
  <c r="G230" i="16" s="1"/>
  <c r="BY230" i="6" s="1"/>
  <c r="I249" i="15"/>
  <c r="J249" i="15"/>
  <c r="J321" i="15"/>
  <c r="I321" i="15"/>
  <c r="J23" i="15"/>
  <c r="I23" i="15"/>
  <c r="J305" i="15"/>
  <c r="I305" i="15"/>
  <c r="J106" i="15"/>
  <c r="I106" i="15"/>
  <c r="J58" i="15"/>
  <c r="I58" i="15"/>
  <c r="I186" i="15"/>
  <c r="J186" i="15"/>
  <c r="J146" i="15"/>
  <c r="I146" i="15"/>
  <c r="I293" i="15"/>
  <c r="H293" i="16" s="1"/>
  <c r="J293" i="15"/>
  <c r="J331" i="15"/>
  <c r="I331" i="15"/>
  <c r="I297" i="15"/>
  <c r="J297" i="15"/>
  <c r="I332" i="15"/>
  <c r="J332" i="15"/>
  <c r="I250" i="15"/>
  <c r="J250" i="15"/>
  <c r="J114" i="15"/>
  <c r="I114" i="15"/>
  <c r="H114" i="16" s="1"/>
  <c r="I169" i="15"/>
  <c r="H169" i="16" s="1"/>
  <c r="J169" i="15"/>
  <c r="J104" i="15"/>
  <c r="I104" i="15"/>
  <c r="J91" i="15"/>
  <c r="I91" i="15"/>
  <c r="H91" i="16" s="1"/>
  <c r="V192" i="16"/>
  <c r="F192" i="16" s="1"/>
  <c r="G192" i="16" s="1"/>
  <c r="BY192" i="6" s="1"/>
  <c r="V317" i="16"/>
  <c r="F317" i="16" s="1"/>
  <c r="V167" i="16"/>
  <c r="V300" i="16"/>
  <c r="F300" i="16" s="1"/>
  <c r="G300" i="16" s="1"/>
  <c r="BY300" i="6" s="1"/>
  <c r="V342" i="16"/>
  <c r="F342" i="16" s="1"/>
  <c r="AA342" i="16" s="1"/>
  <c r="Z342" i="16" s="1"/>
  <c r="Y342" i="16" s="1"/>
  <c r="V212" i="16"/>
  <c r="F212" i="16" s="1"/>
  <c r="H212" i="16" s="1"/>
  <c r="V349" i="16"/>
  <c r="F349" i="16" s="1"/>
  <c r="H349" i="16" s="1"/>
  <c r="V346" i="16"/>
  <c r="F346" i="16" s="1"/>
  <c r="AA346" i="16" s="1"/>
  <c r="Z346" i="16" s="1"/>
  <c r="Y346" i="16" s="1"/>
  <c r="V374" i="16"/>
  <c r="F374" i="16" s="1"/>
  <c r="G374" i="16" s="1"/>
  <c r="BY374" i="6" s="1"/>
  <c r="V218" i="16"/>
  <c r="F218" i="16" s="1"/>
  <c r="G218" i="16" s="1"/>
  <c r="BY218" i="6" s="1"/>
  <c r="V258" i="16"/>
  <c r="F258" i="16" s="1"/>
  <c r="G258" i="16" s="1"/>
  <c r="BY258" i="6" s="1"/>
  <c r="V242" i="16"/>
  <c r="F242" i="16" s="1"/>
  <c r="G242" i="16" s="1"/>
  <c r="BY242" i="6" s="1"/>
  <c r="V356" i="16"/>
  <c r="F356" i="16" s="1"/>
  <c r="G356" i="16" s="1"/>
  <c r="BY356" i="6" s="1"/>
  <c r="V16" i="16"/>
  <c r="F16" i="16" s="1"/>
  <c r="H16" i="16" s="1"/>
  <c r="V321" i="16"/>
  <c r="F321" i="16" s="1"/>
  <c r="G321" i="16" s="1"/>
  <c r="BY321" i="6" s="1"/>
  <c r="V289" i="16"/>
  <c r="F289" i="16" s="1"/>
  <c r="H289" i="16" s="1"/>
  <c r="V110" i="16"/>
  <c r="F110" i="16" s="1"/>
  <c r="AA110" i="16" s="1"/>
  <c r="Z110" i="16" s="1"/>
  <c r="Y110" i="16" s="1"/>
  <c r="V90" i="16"/>
  <c r="F90" i="16" s="1"/>
  <c r="AA90" i="16" s="1"/>
  <c r="Z90" i="16" s="1"/>
  <c r="Y90" i="16" s="1"/>
  <c r="V179" i="16"/>
  <c r="F179" i="16" s="1"/>
  <c r="H179" i="16" s="1"/>
  <c r="V290" i="16"/>
  <c r="F290" i="16" s="1"/>
  <c r="AA290" i="16" s="1"/>
  <c r="Z290" i="16" s="1"/>
  <c r="Y290" i="16" s="1"/>
  <c r="V117" i="16"/>
  <c r="F117" i="16" s="1"/>
  <c r="AA117" i="16" s="1"/>
  <c r="Z117" i="16" s="1"/>
  <c r="Y117" i="16" s="1"/>
  <c r="V61" i="16"/>
  <c r="F61" i="16" s="1"/>
  <c r="V348" i="16"/>
  <c r="F348" i="16" s="1"/>
  <c r="AA348" i="16" s="1"/>
  <c r="Z348" i="16" s="1"/>
  <c r="Y348" i="16" s="1"/>
  <c r="V185" i="16"/>
  <c r="F185" i="16" s="1"/>
  <c r="V111" i="16"/>
  <c r="F111" i="16" s="1"/>
  <c r="H111" i="16" s="1"/>
  <c r="V344" i="16"/>
  <c r="F344" i="16" s="1"/>
  <c r="H344" i="16" s="1"/>
  <c r="V54" i="16"/>
  <c r="F54" i="16" s="1"/>
  <c r="G54" i="16" s="1"/>
  <c r="BY54" i="6" s="1"/>
  <c r="V59" i="16"/>
  <c r="F59" i="16" s="1"/>
  <c r="AA59" i="16" s="1"/>
  <c r="Z59" i="16" s="1"/>
  <c r="Y59" i="16" s="1"/>
  <c r="V318" i="16"/>
  <c r="F318" i="16" s="1"/>
  <c r="G318" i="16" s="1"/>
  <c r="BY318" i="6" s="1"/>
  <c r="V137" i="16"/>
  <c r="F137" i="16" s="1"/>
  <c r="V253" i="16"/>
  <c r="F253" i="16" s="1"/>
  <c r="G253" i="16" s="1"/>
  <c r="BY253" i="6" s="1"/>
  <c r="V74" i="16"/>
  <c r="F74" i="16" s="1"/>
  <c r="H74" i="16" s="1"/>
  <c r="V23" i="16"/>
  <c r="F23" i="16" s="1"/>
  <c r="AA23" i="16" s="1"/>
  <c r="Z23" i="16" s="1"/>
  <c r="Y23" i="16" s="1"/>
  <c r="V309" i="16"/>
  <c r="F309" i="16" s="1"/>
  <c r="H309" i="16" s="1"/>
  <c r="V175" i="16"/>
  <c r="F175" i="16" s="1"/>
  <c r="H175" i="16" s="1"/>
  <c r="V223" i="16"/>
  <c r="F223" i="16" s="1"/>
  <c r="G223" i="16" s="1"/>
  <c r="BY223" i="6" s="1"/>
  <c r="V48" i="16"/>
  <c r="F48" i="16" s="1"/>
  <c r="H48" i="16" s="1"/>
  <c r="V227" i="16"/>
  <c r="F227" i="16" s="1"/>
  <c r="H227" i="16" s="1"/>
  <c r="V246" i="16"/>
  <c r="F246" i="16" s="1"/>
  <c r="G246" i="16" s="1"/>
  <c r="BY246" i="6" s="1"/>
  <c r="V284" i="16"/>
  <c r="F284" i="16" s="1"/>
  <c r="AA284" i="16" s="1"/>
  <c r="Z284" i="16" s="1"/>
  <c r="Y284" i="16" s="1"/>
  <c r="V164" i="16"/>
  <c r="F164" i="16" s="1"/>
  <c r="H164" i="16" s="1"/>
  <c r="V102" i="16"/>
  <c r="F102" i="16" s="1"/>
  <c r="H102" i="16" s="1"/>
  <c r="V25" i="16"/>
  <c r="F25" i="16" s="1"/>
  <c r="G25" i="16" s="1"/>
  <c r="BY25" i="6" s="1"/>
  <c r="V209" i="16"/>
  <c r="F209" i="16" s="1"/>
  <c r="AA209" i="16" s="1"/>
  <c r="Z209" i="16" s="1"/>
  <c r="Y209" i="16" s="1"/>
  <c r="V139" i="16"/>
  <c r="F139" i="16" s="1"/>
  <c r="AA139" i="16" s="1"/>
  <c r="Z139" i="16" s="1"/>
  <c r="Y139" i="16" s="1"/>
  <c r="V365" i="16"/>
  <c r="F365" i="16" s="1"/>
  <c r="G365" i="16" s="1"/>
  <c r="BY365" i="6" s="1"/>
  <c r="V177" i="16"/>
  <c r="F177" i="16" s="1"/>
  <c r="AA177" i="16" s="1"/>
  <c r="Z177" i="16" s="1"/>
  <c r="Y177" i="16" s="1"/>
  <c r="V361" i="16"/>
  <c r="F361" i="16" s="1"/>
  <c r="H361" i="16" s="1"/>
  <c r="V106" i="16"/>
  <c r="V350" i="16"/>
  <c r="F350" i="16" s="1"/>
  <c r="V255" i="16"/>
  <c r="F255" i="16" s="1"/>
  <c r="AA255" i="16" s="1"/>
  <c r="Z255" i="16" s="1"/>
  <c r="Y255" i="16" s="1"/>
  <c r="V184" i="16"/>
  <c r="F184" i="16" s="1"/>
  <c r="H184" i="16" s="1"/>
  <c r="V20" i="16"/>
  <c r="F20" i="16" s="1"/>
  <c r="AA20" i="16" s="1"/>
  <c r="Z20" i="16" s="1"/>
  <c r="Y20" i="16" s="1"/>
  <c r="V158" i="16"/>
  <c r="F158" i="16" s="1"/>
  <c r="G158" i="16" s="1"/>
  <c r="BY158" i="6" s="1"/>
  <c r="V373" i="16"/>
  <c r="F373" i="16" s="1"/>
  <c r="V312" i="16"/>
  <c r="F312" i="16" s="1"/>
  <c r="G312" i="16" s="1"/>
  <c r="BY312" i="6" s="1"/>
  <c r="V191" i="16"/>
  <c r="F191" i="16" s="1"/>
  <c r="V259" i="16"/>
  <c r="F259" i="16" s="1"/>
  <c r="V78" i="16"/>
  <c r="F78" i="16" s="1"/>
  <c r="V98" i="16"/>
  <c r="F98" i="16" s="1"/>
  <c r="G98" i="16" s="1"/>
  <c r="BY98" i="6" s="1"/>
  <c r="V336" i="16"/>
  <c r="F336" i="16" s="1"/>
  <c r="V157" i="16"/>
  <c r="F157" i="16" s="1"/>
  <c r="AA157" i="16" s="1"/>
  <c r="Z157" i="16" s="1"/>
  <c r="Y157" i="16" s="1"/>
  <c r="V85" i="16"/>
  <c r="F85" i="16" s="1"/>
  <c r="V295" i="16"/>
  <c r="F295" i="16" s="1"/>
  <c r="H295" i="16" s="1"/>
  <c r="V76" i="16"/>
  <c r="F76" i="16" s="1"/>
  <c r="V296" i="16"/>
  <c r="F296" i="16" s="1"/>
  <c r="AA296" i="16" s="1"/>
  <c r="Z296" i="16" s="1"/>
  <c r="Y296" i="16" s="1"/>
  <c r="V128" i="16"/>
  <c r="F128" i="16" s="1"/>
  <c r="AA128" i="16" s="1"/>
  <c r="Z128" i="16" s="1"/>
  <c r="Y128" i="16" s="1"/>
  <c r="V172" i="16"/>
  <c r="F172" i="16" s="1"/>
  <c r="G172" i="16" s="1"/>
  <c r="BY172" i="6" s="1"/>
  <c r="V360" i="16"/>
  <c r="F360" i="16" s="1"/>
  <c r="G360" i="16" s="1"/>
  <c r="BY360" i="6" s="1"/>
  <c r="V127" i="16"/>
  <c r="F127" i="16" s="1"/>
  <c r="G127" i="16" s="1"/>
  <c r="BY127" i="6" s="1"/>
  <c r="V316" i="16"/>
  <c r="F316" i="16" s="1"/>
  <c r="H316" i="16" s="1"/>
  <c r="V239" i="16"/>
  <c r="F239" i="16" s="1"/>
  <c r="V340" i="16"/>
  <c r="F340" i="16" s="1"/>
  <c r="H340" i="16" s="1"/>
  <c r="V224" i="16"/>
  <c r="F224" i="16" s="1"/>
  <c r="V281" i="16"/>
  <c r="F281" i="16" s="1"/>
  <c r="G281" i="16" s="1"/>
  <c r="BY281" i="6" s="1"/>
  <c r="V21" i="16"/>
  <c r="F21" i="16" s="1"/>
  <c r="V270" i="16"/>
  <c r="F270" i="16" s="1"/>
  <c r="AA270" i="16" s="1"/>
  <c r="Z270" i="16" s="1"/>
  <c r="Y270" i="16" s="1"/>
  <c r="V369" i="16"/>
  <c r="F369" i="16" s="1"/>
  <c r="V142" i="16"/>
  <c r="F142" i="16" s="1"/>
  <c r="H142" i="16" s="1"/>
  <c r="V269" i="16"/>
  <c r="F269" i="16" s="1"/>
  <c r="H269" i="16" s="1"/>
  <c r="V86" i="16"/>
  <c r="F86" i="16" s="1"/>
  <c r="H86" i="16" s="1"/>
  <c r="V292" i="16"/>
  <c r="F292" i="16" s="1"/>
  <c r="AA292" i="16" s="1"/>
  <c r="Z292" i="16" s="1"/>
  <c r="Y292" i="16" s="1"/>
  <c r="V123" i="16"/>
  <c r="F123" i="16" s="1"/>
  <c r="AA123" i="16" s="1"/>
  <c r="Z123" i="16" s="1"/>
  <c r="Y123" i="16" s="1"/>
  <c r="V49" i="16"/>
  <c r="F49" i="16" s="1"/>
  <c r="AA49" i="16" s="1"/>
  <c r="Z49" i="16" s="1"/>
  <c r="Y49" i="16" s="1"/>
  <c r="V112" i="16"/>
  <c r="F112" i="16" s="1"/>
  <c r="AA112" i="16" s="1"/>
  <c r="Z112" i="16" s="1"/>
  <c r="Y112" i="16" s="1"/>
  <c r="V288" i="16"/>
  <c r="F288" i="16" s="1"/>
  <c r="G288" i="16" s="1"/>
  <c r="BY288" i="6" s="1"/>
  <c r="V129" i="16"/>
  <c r="F129" i="16" s="1"/>
  <c r="G129" i="16" s="1"/>
  <c r="BY129" i="6" s="1"/>
  <c r="V39" i="16"/>
  <c r="F39" i="16" s="1"/>
  <c r="H39" i="16" s="1"/>
  <c r="V151" i="16"/>
  <c r="F151" i="16" s="1"/>
  <c r="AA151" i="16" s="1"/>
  <c r="Z151" i="16" s="1"/>
  <c r="Y151" i="16" s="1"/>
  <c r="V250" i="16"/>
  <c r="F250" i="16" s="1"/>
  <c r="AA250" i="16" s="1"/>
  <c r="Z250" i="16" s="1"/>
  <c r="Y250" i="16" s="1"/>
  <c r="V133" i="16"/>
  <c r="F133" i="16" s="1"/>
  <c r="G133" i="16" s="1"/>
  <c r="BY133" i="6" s="1"/>
  <c r="V273" i="16"/>
  <c r="F273" i="16" s="1"/>
  <c r="G273" i="16" s="1"/>
  <c r="BY273" i="6" s="1"/>
  <c r="V92" i="16"/>
  <c r="F92" i="16" s="1"/>
  <c r="G92" i="16" s="1"/>
  <c r="BY92" i="6" s="1"/>
  <c r="V240" i="16"/>
  <c r="F240" i="16" s="1"/>
  <c r="AA240" i="16" s="1"/>
  <c r="Z240" i="16" s="1"/>
  <c r="Y240" i="16" s="1"/>
  <c r="V331" i="16"/>
  <c r="F331" i="16" s="1"/>
  <c r="AA331" i="16" s="1"/>
  <c r="Z331" i="16" s="1"/>
  <c r="Y331" i="16" s="1"/>
  <c r="V105" i="16"/>
  <c r="F105" i="16" s="1"/>
  <c r="G105" i="16" s="1"/>
  <c r="BY105" i="6" s="1"/>
  <c r="J213" i="15"/>
  <c r="I213" i="15"/>
  <c r="H213" i="16" s="1"/>
  <c r="I83" i="15"/>
  <c r="J83" i="15"/>
  <c r="I120" i="15"/>
  <c r="J120" i="15"/>
  <c r="I282" i="15"/>
  <c r="J282" i="15"/>
  <c r="J130" i="15"/>
  <c r="I130" i="15"/>
  <c r="I152" i="15"/>
  <c r="J152" i="15"/>
  <c r="J41" i="15"/>
  <c r="I41" i="15"/>
  <c r="E210" i="16"/>
  <c r="C50" i="7"/>
  <c r="E29" i="17"/>
  <c r="C56" i="7"/>
  <c r="E119" i="16"/>
  <c r="C47" i="7"/>
  <c r="C45" i="7"/>
  <c r="E60" i="16"/>
  <c r="E379" i="16"/>
  <c r="F379" i="16" s="1"/>
  <c r="C37" i="19"/>
  <c r="C52" i="7"/>
  <c r="E272" i="16"/>
  <c r="F272" i="16" s="1"/>
  <c r="O383" i="16"/>
  <c r="O381" i="16"/>
  <c r="O382" i="16"/>
  <c r="E15" i="16"/>
  <c r="E29" i="16"/>
  <c r="F29" i="16" s="1"/>
  <c r="C44" i="7"/>
  <c r="E333" i="16"/>
  <c r="F333" i="16" s="1"/>
  <c r="C54" i="7"/>
  <c r="C55" i="7"/>
  <c r="E363" i="16"/>
  <c r="F363" i="16" s="1"/>
  <c r="F210" i="16"/>
  <c r="H210" i="16" s="1"/>
  <c r="AC140" i="17"/>
  <c r="AC208" i="17"/>
  <c r="AC243" i="17"/>
  <c r="AC136" i="17"/>
  <c r="AC339" i="17"/>
  <c r="AC310" i="17"/>
  <c r="AC162" i="17"/>
  <c r="AC300" i="17"/>
  <c r="AC372" i="17"/>
  <c r="AC173" i="17"/>
  <c r="AC220" i="17"/>
  <c r="AC194" i="17"/>
  <c r="AC244" i="17"/>
  <c r="AC249" i="17"/>
  <c r="AC267" i="17"/>
  <c r="AC276" i="17"/>
  <c r="AC144" i="17"/>
  <c r="AC352" i="17"/>
  <c r="AC159" i="17"/>
  <c r="AC214" i="17"/>
  <c r="AC272" i="17"/>
  <c r="AC354" i="17"/>
  <c r="AC198" i="17"/>
  <c r="AC189" i="17"/>
  <c r="AC154" i="17"/>
  <c r="AC217" i="17"/>
  <c r="AC312" i="17"/>
  <c r="AC196" i="17"/>
  <c r="AC193" i="17"/>
  <c r="AC225" i="17"/>
  <c r="AC151" i="17"/>
  <c r="AC235" i="17"/>
  <c r="AC291" i="17"/>
  <c r="AC129" i="17"/>
  <c r="AC369" i="17"/>
  <c r="AC165" i="17"/>
  <c r="AC134" i="17"/>
  <c r="AC359" i="17"/>
  <c r="AC143" i="17"/>
  <c r="AC298" i="17"/>
  <c r="AC342" i="17"/>
  <c r="AC246" i="17"/>
  <c r="AC163" i="17"/>
  <c r="AC219" i="17"/>
  <c r="AC320" i="17"/>
  <c r="AC263" i="17"/>
  <c r="AC311" i="17"/>
  <c r="AC347" i="17"/>
  <c r="AC242" i="17"/>
  <c r="AC156" i="17"/>
  <c r="AC278" i="17"/>
  <c r="AC309" i="17"/>
  <c r="AC253" i="17"/>
  <c r="AC332" i="17"/>
  <c r="AC201" i="17"/>
  <c r="AC200" i="17"/>
  <c r="AC232" i="17"/>
  <c r="AC353" i="17"/>
  <c r="AC142" i="17"/>
  <c r="AC333" i="17"/>
  <c r="AC261" i="17"/>
  <c r="AC283" i="17"/>
  <c r="AC164" i="17"/>
  <c r="AC255" i="17"/>
  <c r="AC139" i="17"/>
  <c r="AC130" i="17"/>
  <c r="AC137" i="17"/>
  <c r="AC207" i="17"/>
  <c r="AC321" i="17"/>
  <c r="AC286" i="17"/>
  <c r="AC124" i="17"/>
  <c r="AC292" i="17"/>
  <c r="AC295" i="17"/>
  <c r="AC379" i="17"/>
  <c r="AC315" i="17"/>
  <c r="AC199" i="17"/>
  <c r="AC373" i="17"/>
  <c r="AC228" i="17"/>
  <c r="AC233" i="17"/>
  <c r="AC264" i="17"/>
  <c r="AC126" i="17"/>
  <c r="AC149" i="17"/>
  <c r="AC365" i="17"/>
  <c r="AC169" i="17"/>
  <c r="AC218" i="17"/>
  <c r="AC356" i="17"/>
  <c r="AC370" i="17"/>
  <c r="AC190" i="17"/>
  <c r="AC181" i="17"/>
  <c r="AC258" i="17"/>
  <c r="AC304" i="17"/>
  <c r="AC260" i="17"/>
  <c r="AC152" i="17"/>
  <c r="AC174" i="17"/>
  <c r="AC338" i="17"/>
  <c r="AC238" i="17"/>
  <c r="AC335" i="17"/>
  <c r="AC282" i="17"/>
  <c r="AC127" i="17"/>
  <c r="AC368" i="17"/>
  <c r="AC346" i="17"/>
  <c r="AC303" i="17"/>
  <c r="AC329" i="17"/>
  <c r="AC326" i="17"/>
  <c r="AC288" i="17"/>
  <c r="AC287" i="17"/>
  <c r="AC133" i="17"/>
  <c r="AC237" i="17"/>
  <c r="AC184" i="17"/>
  <c r="AC240" i="17"/>
  <c r="AC328" i="17"/>
  <c r="AC357" i="17"/>
  <c r="AC239" i="17"/>
  <c r="AC281" i="17"/>
  <c r="AC378" i="17"/>
  <c r="AC135" i="17"/>
  <c r="AC348" i="17"/>
  <c r="AC285" i="17"/>
  <c r="AC251" i="17"/>
  <c r="AC155" i="17"/>
  <c r="AC178" i="17"/>
  <c r="AC157" i="17"/>
  <c r="AC269" i="17"/>
  <c r="AC182" i="17"/>
  <c r="AC344" i="17"/>
  <c r="AC180" i="17"/>
  <c r="AC299" i="17"/>
  <c r="AC203" i="17"/>
  <c r="AC284" i="17"/>
  <c r="AC132" i="17"/>
  <c r="AC236" i="17"/>
  <c r="AC229" i="17"/>
  <c r="AC166" i="17"/>
  <c r="AC138" i="17"/>
  <c r="AC305" i="17"/>
  <c r="AC248" i="17"/>
  <c r="AC297" i="17"/>
  <c r="AC314" i="17"/>
  <c r="AC376" i="17"/>
  <c r="AC147" i="17"/>
  <c r="AC191" i="17"/>
  <c r="AC125" i="17"/>
  <c r="AC254" i="17"/>
  <c r="AC224" i="17"/>
  <c r="AC245" i="17"/>
  <c r="AC223" i="17"/>
  <c r="AC153" i="17"/>
  <c r="AC279" i="17"/>
  <c r="AC216" i="17"/>
  <c r="AC226" i="17"/>
  <c r="AC146" i="17"/>
  <c r="AC327" i="17"/>
  <c r="AC195" i="17"/>
  <c r="AC323" i="17"/>
  <c r="AC179" i="17"/>
  <c r="AC257" i="17"/>
  <c r="AC294" i="17"/>
  <c r="AC268" i="17"/>
  <c r="AC131" i="17"/>
  <c r="AC343" i="17"/>
  <c r="AC271" i="17"/>
  <c r="AC158" i="17"/>
  <c r="AC308" i="17"/>
  <c r="AC215" i="17"/>
  <c r="AC170" i="17"/>
  <c r="AC361" i="17"/>
  <c r="AC374" i="17"/>
  <c r="AC160" i="17"/>
  <c r="AC205" i="17"/>
  <c r="AC340" i="17"/>
  <c r="AC277" i="17"/>
  <c r="AC168" i="17"/>
  <c r="AC325" i="17"/>
  <c r="AC265" i="17"/>
  <c r="AC210" i="17"/>
  <c r="AC186" i="17"/>
  <c r="AC355" i="17"/>
  <c r="AC241" i="17"/>
  <c r="AC231" i="17"/>
  <c r="AC351" i="17"/>
  <c r="AC206" i="17"/>
  <c r="AC171" i="17"/>
  <c r="AC290" i="17"/>
  <c r="AC212" i="17"/>
  <c r="AC337" i="17"/>
  <c r="AC141" i="17"/>
  <c r="AC331" i="17"/>
  <c r="AC188" i="17"/>
  <c r="AC330" i="17"/>
  <c r="AC313" i="17"/>
  <c r="AC192" i="17"/>
  <c r="AC270" i="17"/>
  <c r="AC10" i="18"/>
  <c r="AC28" i="18" s="1"/>
  <c r="AC145" i="17"/>
  <c r="AC334" i="17"/>
  <c r="AC183" i="17"/>
  <c r="AC307" i="17"/>
  <c r="AC318" i="17"/>
  <c r="AC363" i="17"/>
  <c r="AC262" i="17"/>
  <c r="AC296" i="17"/>
  <c r="AC185" i="17"/>
  <c r="AC293" i="17"/>
  <c r="AC322" i="17"/>
  <c r="AC209" i="17"/>
  <c r="AC211" i="17"/>
  <c r="AC230" i="17"/>
  <c r="AC377" i="17"/>
  <c r="AC128" i="17"/>
  <c r="AC234" i="17"/>
  <c r="AC349" i="17"/>
  <c r="AC247" i="17"/>
  <c r="AC350" i="17"/>
  <c r="AC266" i="17"/>
  <c r="AC316" i="17"/>
  <c r="AC148" i="17"/>
  <c r="AC221" i="17"/>
  <c r="AC275" i="17"/>
  <c r="AC319" i="17"/>
  <c r="AC362" i="17"/>
  <c r="AC371" i="17"/>
  <c r="AC227" i="17"/>
  <c r="AC301" i="17"/>
  <c r="AC273" i="17"/>
  <c r="AC358" i="17"/>
  <c r="AC197" i="17"/>
  <c r="AC367" i="17"/>
  <c r="AC259" i="17"/>
  <c r="AC167" i="17"/>
  <c r="AC306" i="17"/>
  <c r="AC366" i="17"/>
  <c r="AC150" i="17"/>
  <c r="AC202" i="17"/>
  <c r="AC177" i="17"/>
  <c r="AC252" i="17"/>
  <c r="AC317" i="17"/>
  <c r="AC213" i="17"/>
  <c r="AC302" i="17"/>
  <c r="AC172" i="17"/>
  <c r="AC341" i="17"/>
  <c r="AC345" i="17"/>
  <c r="AC23" i="18"/>
  <c r="AC15" i="18"/>
  <c r="AC336" i="17"/>
  <c r="AC360" i="17"/>
  <c r="AC250" i="17"/>
  <c r="AC289" i="17"/>
  <c r="AC176" i="17"/>
  <c r="AC175" i="17"/>
  <c r="AC256" i="17"/>
  <c r="AC375" i="17"/>
  <c r="AC187" i="17"/>
  <c r="AC274" i="17"/>
  <c r="AC222" i="17"/>
  <c r="AC364" i="17"/>
  <c r="AC45" i="18"/>
  <c r="AC280" i="17"/>
  <c r="AC161" i="17"/>
  <c r="AC204" i="17"/>
  <c r="AC324" i="17"/>
  <c r="AC38" i="18"/>
  <c r="AC31" i="18"/>
  <c r="C48" i="7"/>
  <c r="E149" i="16"/>
  <c r="E119" i="17"/>
  <c r="C59" i="7"/>
  <c r="C46" i="7"/>
  <c r="E88" i="16"/>
  <c r="F88" i="16" s="1"/>
  <c r="AA88" i="16" s="1"/>
  <c r="Z88" i="16" s="1"/>
  <c r="Y88" i="16" s="1"/>
  <c r="C53" i="7"/>
  <c r="E302" i="16"/>
  <c r="F302" i="16" s="1"/>
  <c r="O381" i="17"/>
  <c r="E15" i="17"/>
  <c r="O382" i="17"/>
  <c r="O383" i="17"/>
  <c r="E88" i="17"/>
  <c r="C58" i="7"/>
  <c r="E60" i="17"/>
  <c r="C57" i="7"/>
  <c r="C51" i="7"/>
  <c r="E241" i="16"/>
  <c r="F241" i="16" s="1"/>
  <c r="C49" i="7"/>
  <c r="E180" i="16"/>
  <c r="F180" i="16" s="1"/>
  <c r="AH381" i="16"/>
  <c r="AA379" i="15"/>
  <c r="Z379" i="15" s="1"/>
  <c r="Y379" i="15" s="1"/>
  <c r="AI381" i="16"/>
  <c r="Q235" i="17"/>
  <c r="Q278" i="17"/>
  <c r="Q65" i="17"/>
  <c r="Q305" i="17"/>
  <c r="Q141" i="17"/>
  <c r="Q336" i="17"/>
  <c r="Q221" i="17"/>
  <c r="Q34" i="17"/>
  <c r="Q247" i="17"/>
  <c r="Q271" i="17"/>
  <c r="Q319" i="17"/>
  <c r="Q282" i="17"/>
  <c r="Q373" i="17"/>
  <c r="Q70" i="17"/>
  <c r="Q309" i="17"/>
  <c r="Q163" i="17"/>
  <c r="Q246" i="17"/>
  <c r="Q173" i="17"/>
  <c r="Q238" i="17"/>
  <c r="Q328" i="17"/>
  <c r="Q355" i="17"/>
  <c r="Q331" i="17"/>
  <c r="Q192" i="17"/>
  <c r="Q62" i="17"/>
  <c r="Q161" i="17"/>
  <c r="Q129" i="17"/>
  <c r="Q41" i="17"/>
  <c r="Q204" i="17"/>
  <c r="Q120" i="17"/>
  <c r="Q160" i="17"/>
  <c r="Q289" i="17"/>
  <c r="Q183" i="17"/>
  <c r="Q180" i="17"/>
  <c r="Q367" i="17"/>
  <c r="Q323" i="17"/>
  <c r="Q166" i="17"/>
  <c r="Q131" i="17"/>
  <c r="Q76" i="17"/>
  <c r="Q273" i="17"/>
  <c r="Q113" i="17"/>
  <c r="Q25" i="17"/>
  <c r="Q59" i="17"/>
  <c r="Q339" i="17"/>
  <c r="Q203" i="17"/>
  <c r="Q165" i="17"/>
  <c r="Q264" i="17"/>
  <c r="Q199" i="17"/>
  <c r="Q117" i="17"/>
  <c r="Q19" i="17"/>
  <c r="Q349" i="17"/>
  <c r="Q256" i="17"/>
  <c r="Q188" i="17"/>
  <c r="Q191" i="17"/>
  <c r="Q68" i="17"/>
  <c r="Q267" i="17"/>
  <c r="Q284" i="17"/>
  <c r="Q137" i="17"/>
  <c r="Q98" i="17"/>
  <c r="Q237" i="17"/>
  <c r="Q16" i="17"/>
  <c r="Q125" i="17"/>
  <c r="Q224" i="17"/>
  <c r="Q172" i="17"/>
  <c r="Q159" i="17"/>
  <c r="Q254" i="17"/>
  <c r="Q277" i="17"/>
  <c r="Q274" i="17"/>
  <c r="Q231" i="17"/>
  <c r="Q157" i="17"/>
  <c r="Q375" i="17"/>
  <c r="Q293" i="17"/>
  <c r="Q186" i="17"/>
  <c r="Q209" i="17"/>
  <c r="Q212" i="17"/>
  <c r="Q251" i="17"/>
  <c r="Q147" i="17"/>
  <c r="Q152" i="17"/>
  <c r="Q32" i="17"/>
  <c r="Q80" i="17"/>
  <c r="Q321" i="17"/>
  <c r="Q18" i="17"/>
  <c r="Q217" i="17"/>
  <c r="Q318" i="17"/>
  <c r="Q138" i="17"/>
  <c r="Q174" i="17"/>
  <c r="Q227" i="17"/>
  <c r="Q245" i="17"/>
  <c r="Q77" i="17"/>
  <c r="Q347" i="17"/>
  <c r="Q280" i="17"/>
  <c r="Q149" i="17"/>
  <c r="Q54" i="17"/>
  <c r="Q58" i="17"/>
  <c r="Q294" i="17"/>
  <c r="Q154" i="17"/>
  <c r="Q151" i="17"/>
  <c r="Q97" i="17"/>
  <c r="Q132" i="17"/>
  <c r="Q365" i="17"/>
  <c r="Q214" i="17"/>
  <c r="Q361" i="17"/>
  <c r="Q64" i="17"/>
  <c r="Q341" i="17"/>
  <c r="Q372" i="17"/>
  <c r="Q230" i="17"/>
  <c r="Q332" i="17"/>
  <c r="Q292" i="17"/>
  <c r="Q72" i="17"/>
  <c r="Q266" i="17"/>
  <c r="Q71" i="17"/>
  <c r="Q127" i="17"/>
  <c r="Q108" i="17"/>
  <c r="Q283" i="17"/>
  <c r="AE38" i="17"/>
  <c r="AE92" i="17"/>
  <c r="AE313" i="17"/>
  <c r="AE56" i="17"/>
  <c r="AE214" i="17"/>
  <c r="AE279" i="17"/>
  <c r="AE306" i="17"/>
  <c r="AE309" i="17"/>
  <c r="AE315" i="17"/>
  <c r="AE79" i="17"/>
  <c r="AE165" i="17"/>
  <c r="AE197" i="17"/>
  <c r="AE344" i="17"/>
  <c r="AE265" i="17"/>
  <c r="AE205" i="17"/>
  <c r="AE50" i="17"/>
  <c r="AE125" i="17"/>
  <c r="AE333" i="17"/>
  <c r="AE216" i="17"/>
  <c r="AE95" i="17"/>
  <c r="AE194" i="17"/>
  <c r="AE340" i="17"/>
  <c r="AE339" i="17"/>
  <c r="AE109" i="17"/>
  <c r="AE169" i="17"/>
  <c r="AE35" i="17"/>
  <c r="AE72" i="17"/>
  <c r="AE299" i="17"/>
  <c r="AE253" i="17"/>
  <c r="AE91" i="17"/>
  <c r="AE123" i="17"/>
  <c r="AE243" i="17"/>
  <c r="AE272" i="17"/>
  <c r="AE359" i="17"/>
  <c r="AE183" i="17"/>
  <c r="AE167" i="17"/>
  <c r="AE263" i="17"/>
  <c r="AE283" i="17"/>
  <c r="AE255" i="17"/>
  <c r="AE277" i="17"/>
  <c r="AE278" i="17"/>
  <c r="AE75" i="17"/>
  <c r="AE20" i="17"/>
  <c r="AE237" i="17"/>
  <c r="AE220" i="17"/>
  <c r="AE97" i="17"/>
  <c r="AE88" i="17"/>
  <c r="AE223" i="17"/>
  <c r="AE58" i="17"/>
  <c r="AE120" i="17"/>
  <c r="AE332" i="17"/>
  <c r="AE318" i="17"/>
  <c r="AE179" i="17"/>
  <c r="AE176" i="17"/>
  <c r="AE276" i="17"/>
  <c r="AE49" i="17"/>
  <c r="AE239" i="17"/>
  <c r="AE78" i="17"/>
  <c r="AE24" i="17"/>
  <c r="AE337" i="17"/>
  <c r="AE374" i="17"/>
  <c r="AE302" i="17"/>
  <c r="AE160" i="17"/>
  <c r="AE133" i="17"/>
  <c r="AE329" i="17"/>
  <c r="AE210" i="17"/>
  <c r="AE99" i="17"/>
  <c r="AE144" i="17"/>
  <c r="AE31" i="17"/>
  <c r="AE85" i="17"/>
  <c r="AE334" i="17"/>
  <c r="AE158" i="17"/>
  <c r="AE171" i="17"/>
  <c r="AE189" i="17"/>
  <c r="AE312" i="17"/>
  <c r="AE40" i="17"/>
  <c r="AE52" i="17"/>
  <c r="AE141" i="17"/>
  <c r="AE187" i="17"/>
  <c r="AE355" i="17"/>
  <c r="AE190" i="17"/>
  <c r="AE184" i="17"/>
  <c r="AE356" i="17"/>
  <c r="AE367" i="17"/>
  <c r="AE241" i="17"/>
  <c r="AE231" i="17"/>
  <c r="AE209" i="17"/>
  <c r="AE238" i="17"/>
  <c r="AE325" i="17"/>
  <c r="AE66" i="17"/>
  <c r="AE150" i="17"/>
  <c r="AE89" i="17"/>
  <c r="AE301" i="17"/>
  <c r="AE259" i="17"/>
  <c r="AE300" i="17"/>
  <c r="AE273" i="17"/>
  <c r="AE229" i="17"/>
  <c r="AE93" i="17"/>
  <c r="AE110" i="17"/>
  <c r="AE67" i="17"/>
  <c r="AE347" i="17"/>
  <c r="AE295" i="17"/>
  <c r="AE69" i="17"/>
  <c r="AE154" i="17"/>
  <c r="AE228" i="17"/>
  <c r="AE86" i="17"/>
  <c r="AE115" i="17"/>
  <c r="AE17" i="17"/>
  <c r="AE221" i="17"/>
  <c r="AE246" i="17"/>
  <c r="AE208" i="17"/>
  <c r="AE44" i="17"/>
  <c r="AE235" i="17"/>
  <c r="AE22" i="17"/>
  <c r="AE63" i="17"/>
  <c r="AE350" i="17"/>
  <c r="AE129" i="17"/>
  <c r="AE245" i="17"/>
  <c r="AE287" i="17"/>
  <c r="AE127" i="17"/>
  <c r="AE219" i="17"/>
  <c r="AE226" i="17"/>
  <c r="AE23" i="17"/>
  <c r="AE338" i="17"/>
  <c r="AE19" i="17"/>
  <c r="AE177" i="17"/>
  <c r="AE343" i="17"/>
  <c r="AE213" i="17"/>
  <c r="AE130" i="17"/>
  <c r="AE103" i="17"/>
  <c r="AE294" i="17"/>
  <c r="AE327" i="17"/>
  <c r="AE42" i="17"/>
  <c r="AE249" i="17"/>
  <c r="AE193" i="17"/>
  <c r="AE271" i="17"/>
  <c r="AE135" i="17"/>
  <c r="AE372" i="17"/>
  <c r="AE363" i="17"/>
  <c r="AE111" i="17"/>
  <c r="AE131" i="17"/>
  <c r="AE207" i="17"/>
  <c r="AE288" i="17"/>
  <c r="AE266" i="17"/>
  <c r="AE108" i="17"/>
  <c r="AE314" i="17"/>
  <c r="AE204" i="17"/>
  <c r="AE281" i="17"/>
  <c r="AE303" i="17"/>
  <c r="AE252" i="17"/>
  <c r="AE113" i="17"/>
  <c r="AE330" i="17"/>
  <c r="AE126" i="17"/>
  <c r="AE186" i="17"/>
  <c r="AE140" i="17"/>
  <c r="AE268" i="17"/>
  <c r="AE117" i="17"/>
  <c r="AE379" i="17"/>
  <c r="AE12" i="18" s="1"/>
  <c r="AE195" i="17"/>
  <c r="AE68" i="17"/>
  <c r="AE256" i="17"/>
  <c r="AE345" i="17"/>
  <c r="AE212" i="17"/>
  <c r="AE145" i="17"/>
  <c r="AE232" i="17"/>
  <c r="AE70" i="17"/>
  <c r="AE324" i="17"/>
  <c r="AE29" i="17"/>
  <c r="AE134" i="17"/>
  <c r="AE319" i="17"/>
  <c r="AE311" i="17"/>
  <c r="AE310" i="17"/>
  <c r="AE292" i="17"/>
  <c r="AE285" i="17"/>
  <c r="AE15" i="17"/>
  <c r="AE215" i="17"/>
  <c r="AE326" i="17"/>
  <c r="AE280" i="17"/>
  <c r="AE364" i="17"/>
  <c r="AE369" i="17"/>
  <c r="AE55" i="17"/>
  <c r="AE102" i="17"/>
  <c r="AE200" i="17"/>
  <c r="Q265" i="17"/>
  <c r="Q21" i="17"/>
  <c r="Q28" i="17"/>
  <c r="Q343" i="17"/>
  <c r="Q30" i="17"/>
  <c r="Q248" i="17"/>
  <c r="Q56" i="17"/>
  <c r="Q126" i="17"/>
  <c r="Q124" i="17"/>
  <c r="Q162" i="17"/>
  <c r="Q268" i="17"/>
  <c r="Q177" i="17"/>
  <c r="Q215" i="17"/>
  <c r="Q194" i="17"/>
  <c r="Q169" i="17"/>
  <c r="Q193" i="17"/>
  <c r="Q290" i="17"/>
  <c r="Q253" i="17"/>
  <c r="Q317" i="17"/>
  <c r="Q327" i="17"/>
  <c r="Q146" i="17"/>
  <c r="Q29" i="17"/>
  <c r="Q122" i="17"/>
  <c r="Q279" i="17"/>
  <c r="Q366" i="17"/>
  <c r="Q45" i="17"/>
  <c r="Q344" i="17"/>
  <c r="Q312" i="17"/>
  <c r="Q33" i="17"/>
  <c r="Q195" i="17"/>
  <c r="Q99" i="17"/>
  <c r="Q17" i="17"/>
  <c r="Q57" i="17"/>
  <c r="Q23" i="17"/>
  <c r="Q89" i="17"/>
  <c r="Q196" i="17"/>
  <c r="Q88" i="17"/>
  <c r="Q228" i="17"/>
  <c r="Q27" i="17"/>
  <c r="Q337" i="17"/>
  <c r="Q144" i="17"/>
  <c r="Q26" i="17"/>
  <c r="Q145" i="17"/>
  <c r="Q356" i="17"/>
  <c r="Q69" i="17"/>
  <c r="Q314" i="17"/>
  <c r="Q252" i="17"/>
  <c r="Q216" i="17"/>
  <c r="Q335" i="17"/>
  <c r="Q320" i="17"/>
  <c r="Q210" i="17"/>
  <c r="Q351" i="17"/>
  <c r="Q263" i="17"/>
  <c r="Q184" i="17"/>
  <c r="Q208" i="17"/>
  <c r="Q90" i="17"/>
  <c r="Q171" i="17"/>
  <c r="Q75" i="17"/>
  <c r="Q61" i="17"/>
  <c r="Q115" i="17"/>
  <c r="Q378" i="17"/>
  <c r="Q219" i="17"/>
  <c r="Q187" i="17"/>
  <c r="Q55" i="17"/>
  <c r="Q311" i="17"/>
  <c r="Q79" i="17"/>
  <c r="Q275" i="17"/>
  <c r="Q116" i="17"/>
  <c r="Q229" i="17"/>
  <c r="Q118" i="17"/>
  <c r="Q91" i="17"/>
  <c r="Q156" i="17"/>
  <c r="Q102" i="17"/>
  <c r="Q158" i="17"/>
  <c r="Q119" i="17"/>
  <c r="Q325" i="17"/>
  <c r="Q302" i="17"/>
  <c r="Q142" i="17"/>
  <c r="Q178" i="17"/>
  <c r="Q303" i="17"/>
  <c r="Q326" i="17"/>
  <c r="Q259" i="17"/>
  <c r="Q63" i="17"/>
  <c r="Q105" i="17"/>
  <c r="Q324" i="17"/>
  <c r="Q82" i="17"/>
  <c r="Q354" i="17"/>
  <c r="Q148" i="17"/>
  <c r="Q262" i="17"/>
  <c r="Q353" i="17"/>
  <c r="Q167" i="17"/>
  <c r="Q202" i="17"/>
  <c r="Q179" i="17"/>
  <c r="Q139" i="17"/>
  <c r="Q313" i="17"/>
  <c r="Q223" i="17"/>
  <c r="Q286" i="17"/>
  <c r="Q84" i="17"/>
  <c r="Q241" i="17"/>
  <c r="Q310" i="17"/>
  <c r="Q301" i="17"/>
  <c r="Q46" i="17"/>
  <c r="Q342" i="17"/>
  <c r="Q255" i="17"/>
  <c r="Q190" i="17"/>
  <c r="Q371" i="17"/>
  <c r="Q299" i="17"/>
  <c r="Q218" i="17"/>
  <c r="Q306" i="17"/>
  <c r="Q114" i="17"/>
  <c r="Q92" i="17"/>
  <c r="Q370" i="17"/>
  <c r="Q291" i="17"/>
  <c r="Q257" i="17"/>
  <c r="Q112" i="17"/>
  <c r="Q333" i="17"/>
  <c r="Q308" i="17"/>
  <c r="Q244" i="17"/>
  <c r="Q316" i="17"/>
  <c r="Q288" i="17"/>
  <c r="Q205" i="17"/>
  <c r="Q168" i="17"/>
  <c r="Q243" i="17"/>
  <c r="Q272" i="17"/>
  <c r="Q143" i="17"/>
  <c r="Q330" i="17"/>
  <c r="Q225" i="17"/>
  <c r="Q24" i="17"/>
  <c r="Q49" i="17"/>
  <c r="Q260" i="17"/>
  <c r="Q261" i="17"/>
  <c r="Q297" i="17"/>
  <c r="Q85" i="17"/>
  <c r="Q345" i="17"/>
  <c r="Q379" i="17"/>
  <c r="Q48" i="17"/>
  <c r="Q181" i="17"/>
  <c r="Q376" i="17"/>
  <c r="Q35" i="17"/>
  <c r="Q103" i="17"/>
  <c r="Q155" i="17"/>
  <c r="Q42" i="17"/>
  <c r="Q226" i="17"/>
  <c r="Q358" i="17"/>
  <c r="Q20" i="17"/>
  <c r="Q111" i="17"/>
  <c r="Q322" i="17"/>
  <c r="Q78" i="17"/>
  <c r="Q285" i="17"/>
  <c r="Q36" i="17"/>
  <c r="Q43" i="17"/>
  <c r="Q50" i="17"/>
  <c r="Q363" i="17"/>
  <c r="Q240" i="17"/>
  <c r="Q185" i="17"/>
  <c r="Q86" i="17"/>
  <c r="Q269" i="17"/>
  <c r="Q350" i="17"/>
  <c r="Q346" i="17"/>
  <c r="Q37" i="17"/>
  <c r="Q44" i="17"/>
  <c r="Q242" i="17"/>
  <c r="Q93" i="17"/>
  <c r="Q109" i="17"/>
  <c r="Q100" i="17"/>
  <c r="Q211" i="17"/>
  <c r="Q315" i="17"/>
  <c r="Q304" i="17"/>
  <c r="Q94" i="17"/>
  <c r="Q270" i="17"/>
  <c r="Q81" i="17"/>
  <c r="Q329" i="17"/>
  <c r="Q182" i="17"/>
  <c r="Q368" i="17"/>
  <c r="Q189" i="17"/>
  <c r="Q236" i="17"/>
  <c r="Q66" i="17"/>
  <c r="Q134" i="17"/>
  <c r="Q96" i="17"/>
  <c r="Q87" i="17"/>
  <c r="Q222" i="17"/>
  <c r="Q123" i="17"/>
  <c r="Q52" i="17"/>
  <c r="W15" i="7"/>
  <c r="AE175" i="17"/>
  <c r="AE230" i="17"/>
  <c r="AE98" i="17"/>
  <c r="AE218" i="17"/>
  <c r="AE139" i="17"/>
  <c r="AE224" i="17"/>
  <c r="AE159" i="17"/>
  <c r="AE65" i="17"/>
  <c r="AE118" i="17"/>
  <c r="AE361" i="17"/>
  <c r="AE164" i="17"/>
  <c r="AE233" i="17"/>
  <c r="AE149" i="17"/>
  <c r="AE257" i="17"/>
  <c r="AE114" i="17"/>
  <c r="AE192" i="17"/>
  <c r="AE188" i="17"/>
  <c r="AE27" i="17"/>
  <c r="AE317" i="17"/>
  <c r="AE284" i="17"/>
  <c r="AE352" i="17"/>
  <c r="AE83" i="17"/>
  <c r="AE244" i="17"/>
  <c r="AE132" i="17"/>
  <c r="AE360" i="17"/>
  <c r="AE185" i="17"/>
  <c r="AE32" i="17"/>
  <c r="AE73" i="17"/>
  <c r="AE41" i="17"/>
  <c r="AE371" i="17"/>
  <c r="AE376" i="17"/>
  <c r="AE101" i="17"/>
  <c r="AE321" i="17"/>
  <c r="AE155" i="17"/>
  <c r="AE100" i="17"/>
  <c r="AE59" i="17"/>
  <c r="AE80" i="17"/>
  <c r="AE119" i="17"/>
  <c r="AE242" i="17"/>
  <c r="AE104" i="17"/>
  <c r="AE142" i="17"/>
  <c r="AE298" i="17"/>
  <c r="AE54" i="17"/>
  <c r="AE156" i="17"/>
  <c r="AE357" i="17"/>
  <c r="AE166" i="17"/>
  <c r="AE240" i="17"/>
  <c r="AE147" i="17"/>
  <c r="AE373" i="17"/>
  <c r="AE28" i="17"/>
  <c r="AE116" i="17"/>
  <c r="AE174" i="17"/>
  <c r="AE282" i="17"/>
  <c r="AE331" i="17"/>
  <c r="AE316" i="17"/>
  <c r="AE60" i="17"/>
  <c r="AE62" i="17"/>
  <c r="AE90" i="17"/>
  <c r="AE201" i="17"/>
  <c r="AE323" i="17"/>
  <c r="AE21" i="17"/>
  <c r="AE293" i="17"/>
  <c r="AE264" i="17"/>
  <c r="AE33" i="17"/>
  <c r="AE250" i="17"/>
  <c r="AE71" i="17"/>
  <c r="AE304" i="17"/>
  <c r="AE76" i="17"/>
  <c r="AE307" i="17"/>
  <c r="AE43" i="17"/>
  <c r="AE370" i="17"/>
  <c r="AE48" i="17"/>
  <c r="AE349" i="17"/>
  <c r="AE138" i="17"/>
  <c r="AE362" i="17"/>
  <c r="AE77" i="17"/>
  <c r="AE258" i="17"/>
  <c r="AE335" i="17"/>
  <c r="AE368" i="17"/>
  <c r="AE153" i="17"/>
  <c r="AE168" i="17"/>
  <c r="AE365" i="17"/>
  <c r="AE247" i="17"/>
  <c r="AE105" i="17"/>
  <c r="AE305" i="17"/>
  <c r="AE308" i="17"/>
  <c r="AE151" i="17"/>
  <c r="AE254" i="17"/>
  <c r="AE47" i="17"/>
  <c r="AE328" i="17"/>
  <c r="AE178" i="17"/>
  <c r="AE163" i="17"/>
  <c r="AE217" i="17"/>
  <c r="AE146" i="17"/>
  <c r="AE51" i="17"/>
  <c r="AE348" i="17"/>
  <c r="AE248" i="17"/>
  <c r="AE172" i="17"/>
  <c r="AE26" i="17"/>
  <c r="AE251" i="17"/>
  <c r="AE199" i="17"/>
  <c r="AE275" i="17"/>
  <c r="AE236" i="17"/>
  <c r="AE181" i="17"/>
  <c r="AE106" i="17"/>
  <c r="AE261" i="17"/>
  <c r="AE57" i="17"/>
  <c r="AE290" i="17"/>
  <c r="AE202" i="17"/>
  <c r="AE291" i="17"/>
  <c r="AE191" i="17"/>
  <c r="AE378" i="17"/>
  <c r="AE297" i="17"/>
  <c r="AE354" i="17"/>
  <c r="AE203" i="17"/>
  <c r="AE137" i="17"/>
  <c r="AE336" i="17"/>
  <c r="AE286" i="17"/>
  <c r="AE170" i="17"/>
  <c r="AE124" i="17"/>
  <c r="AE377" i="17"/>
  <c r="AE64" i="17"/>
  <c r="AE81" i="17"/>
  <c r="AE34" i="17"/>
  <c r="AE173" i="17"/>
  <c r="AE87" i="17"/>
  <c r="AE342" i="17"/>
  <c r="AE122" i="17"/>
  <c r="AE225" i="17"/>
  <c r="AE136" i="17"/>
  <c r="AE37" i="17"/>
  <c r="AE46" i="17"/>
  <c r="AE269" i="17"/>
  <c r="AE198" i="17"/>
  <c r="AE152" i="17"/>
  <c r="AE25" i="17"/>
  <c r="AE84" i="17"/>
  <c r="AE366" i="17"/>
  <c r="AE222" i="17"/>
  <c r="AE39" i="17"/>
  <c r="AE211" i="17"/>
  <c r="AE206" i="17"/>
  <c r="AE112" i="17"/>
  <c r="AE196" i="17"/>
  <c r="AE45" i="17"/>
  <c r="AE267" i="17"/>
  <c r="AE375" i="17"/>
  <c r="AE270" i="17"/>
  <c r="AE296" i="17"/>
  <c r="AE74" i="17"/>
  <c r="AE53" i="17"/>
  <c r="AE18" i="17"/>
  <c r="AE148" i="17"/>
  <c r="AE358" i="17"/>
  <c r="AE162" i="17"/>
  <c r="AE16" i="17"/>
  <c r="AE320" i="17"/>
  <c r="AE107" i="17"/>
  <c r="AE227" i="17"/>
  <c r="AE260" i="17"/>
  <c r="AE341" i="17"/>
  <c r="AE262" i="17"/>
  <c r="AE96" i="17"/>
  <c r="AE121" i="17"/>
  <c r="AE274" i="17"/>
  <c r="AE30" i="17"/>
  <c r="AE182" i="17"/>
  <c r="AE128" i="17"/>
  <c r="AE161" i="17"/>
  <c r="AE289" i="17"/>
  <c r="AE353" i="17"/>
  <c r="AE61" i="17"/>
  <c r="AE180" i="17"/>
  <c r="AE157" i="17"/>
  <c r="AE346" i="17"/>
  <c r="AE351" i="17"/>
  <c r="AE82" i="17"/>
  <c r="AE143" i="17"/>
  <c r="AE36" i="17"/>
  <c r="AE234" i="17"/>
  <c r="AE94" i="17"/>
  <c r="AE322" i="17"/>
  <c r="Q298" i="17"/>
  <c r="Q170" i="17"/>
  <c r="Q67" i="17"/>
  <c r="Q207" i="17"/>
  <c r="Q110" i="17"/>
  <c r="Q128" i="17"/>
  <c r="Q348" i="17"/>
  <c r="Q51" i="17"/>
  <c r="Q258" i="17"/>
  <c r="Q364" i="17"/>
  <c r="Q73" i="17"/>
  <c r="Q250" i="17"/>
  <c r="Q176" i="17"/>
  <c r="Q362" i="17"/>
  <c r="Q121" i="17"/>
  <c r="Q352" i="17"/>
  <c r="Q374" i="17"/>
  <c r="Q95" i="17"/>
  <c r="Q60" i="17"/>
  <c r="Q130" i="17"/>
  <c r="Q307" i="17"/>
  <c r="Q40" i="17"/>
  <c r="Q22" i="17"/>
  <c r="Q232" i="17"/>
  <c r="Q340" i="17"/>
  <c r="Q164" i="17"/>
  <c r="Q334" i="17"/>
  <c r="Q359" i="17"/>
  <c r="Q213" i="17"/>
  <c r="Q74" i="17"/>
  <c r="Q15" i="17"/>
  <c r="Q198" i="17"/>
  <c r="Q150" i="17"/>
  <c r="Q39" i="17"/>
  <c r="Q47" i="17"/>
  <c r="Q287" i="17"/>
  <c r="Q296" i="17"/>
  <c r="Q377" i="17"/>
  <c r="Q369" i="17"/>
  <c r="Q101" i="17"/>
  <c r="Q295" i="17"/>
  <c r="Q201" i="17"/>
  <c r="Q53" i="17"/>
  <c r="Q276" i="17"/>
  <c r="Q338" i="17"/>
  <c r="Q197" i="17"/>
  <c r="Q83" i="17"/>
  <c r="Q31" i="17"/>
  <c r="Q234" i="17"/>
  <c r="Q206" i="17"/>
  <c r="Q135" i="17"/>
  <c r="Q281" i="17"/>
  <c r="Q175" i="17"/>
  <c r="Q357" i="17"/>
  <c r="Q140" i="17"/>
  <c r="Q106" i="17"/>
  <c r="Q38" i="17"/>
  <c r="Q249" i="17"/>
  <c r="Q220" i="17"/>
  <c r="Q107" i="17"/>
  <c r="Q136" i="17"/>
  <c r="Q200" i="17"/>
  <c r="Q104" i="17"/>
  <c r="Q153" i="17"/>
  <c r="Q233" i="17"/>
  <c r="Q133" i="17"/>
  <c r="Q239" i="17"/>
  <c r="Q360" i="17"/>
  <c r="Q300" i="17"/>
  <c r="L40" i="19"/>
  <c r="BG13" i="7"/>
  <c r="U16" i="7"/>
  <c r="U10" i="17"/>
  <c r="BF13" i="7"/>
  <c r="P10" i="25"/>
  <c r="L20" i="19"/>
  <c r="BP15" i="7"/>
  <c r="BR11" i="7"/>
  <c r="BQ11" i="7"/>
  <c r="I382" i="1"/>
  <c r="J258" i="15"/>
  <c r="I258" i="15"/>
  <c r="H89" i="27"/>
  <c r="R89" i="27"/>
  <c r="R82" i="27"/>
  <c r="P88" i="27"/>
  <c r="C92" i="27"/>
  <c r="L87" i="27"/>
  <c r="U92" i="27"/>
  <c r="T93" i="27"/>
  <c r="A94" i="27"/>
  <c r="X93" i="27"/>
  <c r="F88" i="27"/>
  <c r="B85" i="27"/>
  <c r="K91" i="27"/>
  <c r="D88" i="27"/>
  <c r="U89" i="27"/>
  <c r="D82" i="27"/>
  <c r="Y91" i="27"/>
  <c r="L84" i="27"/>
  <c r="W89" i="27"/>
  <c r="N87" i="27"/>
  <c r="G88" i="27"/>
  <c r="X91" i="27"/>
  <c r="G91" i="27"/>
  <c r="H82" i="27"/>
  <c r="A92" i="27"/>
  <c r="N90" i="27"/>
  <c r="T86" i="27"/>
  <c r="S83" i="27"/>
  <c r="I82" i="27"/>
  <c r="J88" i="27"/>
  <c r="Y90" i="27"/>
  <c r="L92" i="27"/>
  <c r="L83" i="27"/>
  <c r="N82" i="27"/>
  <c r="P89" i="27"/>
  <c r="P86" i="27"/>
  <c r="I94" i="27"/>
  <c r="A88" i="27"/>
  <c r="M84" i="27"/>
  <c r="J91" i="27"/>
  <c r="J86" i="27"/>
  <c r="M87" i="27"/>
  <c r="G84" i="27"/>
  <c r="K92" i="27"/>
  <c r="V94" i="27"/>
  <c r="U86" i="27"/>
  <c r="X90" i="27"/>
  <c r="K83" i="27"/>
  <c r="Q91" i="27"/>
  <c r="K90" i="27"/>
  <c r="D85" i="27"/>
  <c r="Z87" i="27"/>
  <c r="Y94" i="27"/>
  <c r="R90" i="27"/>
  <c r="I90" i="27"/>
  <c r="C89" i="27"/>
  <c r="D84" i="27"/>
  <c r="Y87" i="27"/>
  <c r="R87" i="27"/>
  <c r="R91" i="27"/>
  <c r="G93" i="27"/>
  <c r="B87" i="27"/>
  <c r="N94" i="27"/>
  <c r="H87" i="27"/>
  <c r="M86" i="27"/>
  <c r="S90" i="27"/>
  <c r="S89" i="27"/>
  <c r="T85" i="27"/>
  <c r="D86" i="27"/>
  <c r="T87" i="27"/>
  <c r="E86" i="27"/>
  <c r="Z83" i="27"/>
  <c r="C85" i="27"/>
  <c r="Y83" i="27"/>
  <c r="T91" i="27"/>
  <c r="A91" i="27"/>
  <c r="Z91" i="27"/>
  <c r="H88" i="27"/>
  <c r="I85" i="27"/>
  <c r="J82" i="27"/>
  <c r="W82" i="27"/>
  <c r="E93" i="27"/>
  <c r="V85" i="27"/>
  <c r="K84" i="27"/>
  <c r="P85" i="27"/>
  <c r="I89" i="27"/>
  <c r="O90" i="27"/>
  <c r="G83" i="27"/>
  <c r="X86" i="27"/>
  <c r="Z93" i="27"/>
  <c r="F89" i="27"/>
  <c r="Q94" i="27"/>
  <c r="H85" i="27"/>
  <c r="M82" i="27"/>
  <c r="B93" i="27"/>
  <c r="H83" i="27"/>
  <c r="R92" i="27"/>
  <c r="E90" i="27"/>
  <c r="Q85" i="27"/>
  <c r="O94" i="27"/>
  <c r="V82" i="27"/>
  <c r="K89" i="27"/>
  <c r="O82" i="27"/>
  <c r="I87" i="27"/>
  <c r="B90" i="27"/>
  <c r="X92" i="27"/>
  <c r="Z82" i="27"/>
  <c r="C90" i="27"/>
  <c r="L93" i="27"/>
  <c r="X85" i="27"/>
  <c r="D91" i="27"/>
  <c r="A82" i="27"/>
  <c r="G90" i="27"/>
  <c r="D90" i="27"/>
  <c r="A90" i="27"/>
  <c r="D93" i="27"/>
  <c r="D94" i="27"/>
  <c r="G82" i="27"/>
  <c r="I93" i="27"/>
  <c r="P82" i="27"/>
  <c r="K93" i="27"/>
  <c r="A87" i="27"/>
  <c r="N92" i="27"/>
  <c r="Z85" i="27"/>
  <c r="Q89" i="27"/>
  <c r="R85" i="27"/>
  <c r="J83" i="27"/>
  <c r="T88" i="27"/>
  <c r="J85" i="27"/>
  <c r="Z90" i="27"/>
  <c r="W83" i="27"/>
  <c r="W87" i="27"/>
  <c r="R88" i="27"/>
  <c r="K86" i="27"/>
  <c r="V86" i="27"/>
  <c r="S88" i="27"/>
  <c r="N93" i="27"/>
  <c r="G86" i="27"/>
  <c r="M91" i="27"/>
  <c r="O92" i="27"/>
  <c r="Q93" i="27"/>
  <c r="Q82" i="27"/>
  <c r="P83" i="27"/>
  <c r="S92" i="27"/>
  <c r="B82" i="27"/>
  <c r="L94" i="27"/>
  <c r="T94" i="27"/>
  <c r="I91" i="27"/>
  <c r="I84" i="27"/>
  <c r="Z84" i="27"/>
  <c r="J94" i="27"/>
  <c r="Y92" i="27"/>
  <c r="T83" i="27"/>
  <c r="F82" i="27"/>
  <c r="S82" i="27"/>
  <c r="Z92" i="27"/>
  <c r="W84" i="27"/>
  <c r="U85" i="27"/>
  <c r="B91" i="27"/>
  <c r="R84" i="27"/>
  <c r="E92" i="27"/>
  <c r="S93" i="27"/>
  <c r="L90" i="27"/>
  <c r="C84" i="27"/>
  <c r="I88" i="27"/>
  <c r="X83" i="27"/>
  <c r="H92" i="27"/>
  <c r="U88" i="27"/>
  <c r="A93" i="27"/>
  <c r="L82" i="27"/>
  <c r="P90" i="27"/>
  <c r="F87" i="27"/>
  <c r="Z94" i="27"/>
  <c r="W88" i="27"/>
  <c r="C87" i="27"/>
  <c r="V87" i="27"/>
  <c r="T89" i="27"/>
  <c r="B89" i="27"/>
  <c r="O88" i="27"/>
  <c r="P84" i="27"/>
  <c r="V92" i="27"/>
  <c r="D83" i="27"/>
  <c r="F83" i="27"/>
  <c r="S94" i="27"/>
  <c r="J92" i="27"/>
  <c r="N86" i="27"/>
  <c r="A89" i="27"/>
  <c r="I92" i="27"/>
  <c r="E83" i="27"/>
  <c r="W86" i="27"/>
  <c r="E88" i="27"/>
  <c r="E89" i="27"/>
  <c r="Y88" i="27"/>
  <c r="M85" i="27"/>
  <c r="C82" i="27"/>
  <c r="Q83" i="27"/>
  <c r="K87" i="27"/>
  <c r="Z89" i="27"/>
  <c r="M83" i="27"/>
  <c r="Y84" i="27"/>
  <c r="M92" i="27"/>
  <c r="U84" i="27"/>
  <c r="B94" i="27"/>
  <c r="W93" i="27"/>
  <c r="E94" i="27"/>
  <c r="P92" i="27"/>
  <c r="I86" i="27"/>
  <c r="R93" i="27"/>
  <c r="G85" i="27"/>
  <c r="B84" i="27"/>
  <c r="B88" i="27"/>
  <c r="K85" i="27"/>
  <c r="P91" i="27"/>
  <c r="D89" i="27"/>
  <c r="R94" i="27"/>
  <c r="T90" i="27"/>
  <c r="Q87" i="27"/>
  <c r="O89" i="27"/>
  <c r="V91" i="27"/>
  <c r="U90" i="27"/>
  <c r="U94" i="27"/>
  <c r="H94" i="27"/>
  <c r="E91" i="27"/>
  <c r="Z86" i="27"/>
  <c r="Y85" i="27"/>
  <c r="B92" i="27"/>
  <c r="V88" i="27"/>
  <c r="Q90" i="27"/>
  <c r="F93" i="27"/>
  <c r="O86" i="27"/>
  <c r="E87" i="27"/>
  <c r="M88" i="27"/>
  <c r="Q88" i="27"/>
  <c r="P94" i="27"/>
  <c r="D87" i="27"/>
  <c r="S86" i="27"/>
  <c r="C91" i="27"/>
  <c r="Q86" i="27"/>
  <c r="V84" i="27"/>
  <c r="D92" i="27"/>
  <c r="A86" i="27"/>
  <c r="U91" i="27"/>
  <c r="R86" i="27"/>
  <c r="O83" i="27"/>
  <c r="F84" i="27"/>
  <c r="W90" i="27"/>
  <c r="H93" i="27"/>
  <c r="T84" i="27"/>
  <c r="X94" i="27"/>
  <c r="N84" i="27"/>
  <c r="Q92" i="27"/>
  <c r="J90" i="27"/>
  <c r="Q84" i="27"/>
  <c r="C93" i="27"/>
  <c r="P93" i="27"/>
  <c r="L88" i="27"/>
  <c r="K94" i="27"/>
  <c r="B86" i="27"/>
  <c r="O91" i="27"/>
  <c r="W92" i="27"/>
  <c r="X88" i="27"/>
  <c r="H91" i="27"/>
  <c r="C86" i="27"/>
  <c r="L85" i="27"/>
  <c r="N89" i="27"/>
  <c r="F90" i="27"/>
  <c r="I83" i="27"/>
  <c r="E82" i="27"/>
  <c r="W85" i="27"/>
  <c r="O84" i="27"/>
  <c r="A84" i="27"/>
  <c r="N88" i="27"/>
  <c r="O85" i="27"/>
  <c r="T82" i="27"/>
  <c r="C94" i="27"/>
  <c r="J84" i="27"/>
  <c r="K88" i="27"/>
  <c r="R83" i="27"/>
  <c r="C83" i="27"/>
  <c r="E85" i="27"/>
  <c r="H84" i="27"/>
  <c r="V89" i="27"/>
  <c r="U82" i="27"/>
  <c r="C88" i="27"/>
  <c r="J89" i="27"/>
  <c r="X89" i="27"/>
  <c r="P87" i="27"/>
  <c r="F86" i="27"/>
  <c r="F92" i="27"/>
  <c r="F94" i="27"/>
  <c r="O93" i="27"/>
  <c r="W94" i="27"/>
  <c r="L89" i="27"/>
  <c r="U83" i="27"/>
  <c r="W91" i="27"/>
  <c r="O87" i="27"/>
  <c r="L86" i="27"/>
  <c r="L91" i="27"/>
  <c r="H86" i="27"/>
  <c r="G92" i="27"/>
  <c r="J93" i="27"/>
  <c r="N91" i="27"/>
  <c r="X87" i="27"/>
  <c r="Y89" i="27"/>
  <c r="S84" i="27"/>
  <c r="U93" i="27"/>
  <c r="J87" i="27"/>
  <c r="M89" i="27"/>
  <c r="G87" i="27"/>
  <c r="U87" i="27"/>
  <c r="S85" i="27"/>
  <c r="K82" i="27"/>
  <c r="G89" i="27"/>
  <c r="X84" i="27"/>
  <c r="A85" i="27"/>
  <c r="N85" i="27"/>
  <c r="G94" i="27"/>
  <c r="M90" i="27"/>
  <c r="V83" i="27"/>
  <c r="B83" i="27"/>
  <c r="S87" i="27"/>
  <c r="T92" i="27"/>
  <c r="M94" i="27"/>
  <c r="F85" i="27"/>
  <c r="H90" i="27"/>
  <c r="V93" i="27"/>
  <c r="Y93" i="27"/>
  <c r="Y86" i="27"/>
  <c r="F91" i="27"/>
  <c r="X82" i="27"/>
  <c r="A83" i="27"/>
  <c r="N83" i="27"/>
  <c r="E84" i="27"/>
  <c r="V90" i="27"/>
  <c r="M93" i="27"/>
  <c r="Y82" i="27"/>
  <c r="Z88" i="27"/>
  <c r="S91" i="27"/>
  <c r="H359" i="15"/>
  <c r="I383" i="1"/>
  <c r="F11" i="1"/>
  <c r="AB9" i="1"/>
  <c r="G11" i="19"/>
  <c r="J35" i="19" s="1"/>
  <c r="G381" i="1"/>
  <c r="G382" i="1"/>
  <c r="G383" i="1"/>
  <c r="G12" i="1" s="1"/>
  <c r="Z359" i="1"/>
  <c r="AA383" i="1"/>
  <c r="AA9" i="1"/>
  <c r="AM8" i="1"/>
  <c r="AA382" i="1"/>
  <c r="AA381" i="1"/>
  <c r="AL10" i="1"/>
  <c r="AJ3" i="1"/>
  <c r="O11" i="19" s="1"/>
  <c r="P383" i="15"/>
  <c r="P382" i="15"/>
  <c r="V15" i="15"/>
  <c r="P381" i="15"/>
  <c r="F15" i="15"/>
  <c r="AL5" i="1"/>
  <c r="AG383" i="16"/>
  <c r="AF15" i="16"/>
  <c r="AG381" i="16"/>
  <c r="AG382" i="16"/>
  <c r="AD383" i="15"/>
  <c r="AD382" i="15"/>
  <c r="AD381" i="15"/>
  <c r="R383" i="16"/>
  <c r="R381" i="16"/>
  <c r="R382" i="16"/>
  <c r="P15" i="16"/>
  <c r="H64" i="16" l="1"/>
  <c r="J64" i="16" s="1"/>
  <c r="J379" i="15"/>
  <c r="F119" i="16"/>
  <c r="H119" i="16" s="1"/>
  <c r="I119" i="16" s="1"/>
  <c r="AC39" i="18"/>
  <c r="AC36" i="18"/>
  <c r="AC29" i="18"/>
  <c r="AC20" i="18"/>
  <c r="AC17" i="18"/>
  <c r="AC30" i="18"/>
  <c r="AC27" i="18"/>
  <c r="AC32" i="18"/>
  <c r="AC33" i="18"/>
  <c r="AC18" i="18"/>
  <c r="AC37" i="18"/>
  <c r="AC34" i="18"/>
  <c r="AC25" i="18"/>
  <c r="AC19" i="18"/>
  <c r="AC24" i="18"/>
  <c r="AC26" i="18"/>
  <c r="AC35" i="18"/>
  <c r="AC41" i="18"/>
  <c r="AC40" i="18"/>
  <c r="AC22" i="18"/>
  <c r="AC21" i="18"/>
  <c r="AC42" i="18"/>
  <c r="AC44" i="18"/>
  <c r="AC16" i="18"/>
  <c r="AC43" i="18"/>
  <c r="AA58" i="16"/>
  <c r="Z58" i="16" s="1"/>
  <c r="Y58" i="16" s="1"/>
  <c r="H367" i="16"/>
  <c r="I367" i="16" s="1"/>
  <c r="H31" i="16"/>
  <c r="I31" i="16" s="1"/>
  <c r="H42" i="16"/>
  <c r="J42" i="16" s="1"/>
  <c r="H304" i="16"/>
  <c r="I304" i="16" s="1"/>
  <c r="G286" i="16"/>
  <c r="BY286" i="6" s="1"/>
  <c r="G367" i="16"/>
  <c r="BY367" i="6" s="1"/>
  <c r="G42" i="16"/>
  <c r="BY42" i="6" s="1"/>
  <c r="G372" i="16"/>
  <c r="BY372" i="6" s="1"/>
  <c r="AA283" i="16"/>
  <c r="Z283" i="16" s="1"/>
  <c r="Y283" i="16" s="1"/>
  <c r="AA91" i="16"/>
  <c r="Z91" i="16" s="1"/>
  <c r="Y91" i="16" s="1"/>
  <c r="G327" i="16"/>
  <c r="BY327" i="6" s="1"/>
  <c r="AA62" i="16"/>
  <c r="Z62" i="16" s="1"/>
  <c r="Y62" i="16" s="1"/>
  <c r="AA233" i="16"/>
  <c r="Z233" i="16" s="1"/>
  <c r="Y233" i="16" s="1"/>
  <c r="H355" i="16"/>
  <c r="I355" i="16" s="1"/>
  <c r="AA205" i="16"/>
  <c r="Z205" i="16" s="1"/>
  <c r="Y205" i="16" s="1"/>
  <c r="H354" i="16"/>
  <c r="I354" i="16" s="1"/>
  <c r="AA30" i="16"/>
  <c r="Z30" i="16" s="1"/>
  <c r="Y30" i="16" s="1"/>
  <c r="G67" i="16"/>
  <c r="BY67" i="6" s="1"/>
  <c r="AA216" i="16"/>
  <c r="Z216" i="16" s="1"/>
  <c r="Y216" i="16" s="1"/>
  <c r="AA355" i="16"/>
  <c r="Z355" i="16" s="1"/>
  <c r="Y355" i="16" s="1"/>
  <c r="G293" i="16"/>
  <c r="BY293" i="6" s="1"/>
  <c r="AA188" i="16"/>
  <c r="Z188" i="16" s="1"/>
  <c r="Y188" i="16" s="1"/>
  <c r="G155" i="16"/>
  <c r="BY155" i="6" s="1"/>
  <c r="G237" i="16"/>
  <c r="BY237" i="6" s="1"/>
  <c r="G143" i="16"/>
  <c r="BY143" i="6" s="1"/>
  <c r="AA354" i="16"/>
  <c r="Z354" i="16" s="1"/>
  <c r="Y354" i="16" s="1"/>
  <c r="H89" i="16"/>
  <c r="J89" i="16" s="1"/>
  <c r="H101" i="16"/>
  <c r="J101" i="16" s="1"/>
  <c r="H134" i="16"/>
  <c r="J134" i="16" s="1"/>
  <c r="H141" i="16"/>
  <c r="J141" i="16" s="1"/>
  <c r="H132" i="16"/>
  <c r="I132" i="16" s="1"/>
  <c r="AA120" i="16"/>
  <c r="Z120" i="16" s="1"/>
  <c r="Y120" i="16" s="1"/>
  <c r="G304" i="16"/>
  <c r="BY304" i="6" s="1"/>
  <c r="H30" i="16"/>
  <c r="I30" i="16" s="1"/>
  <c r="G62" i="16"/>
  <c r="BY62" i="6" s="1"/>
  <c r="H67" i="16"/>
  <c r="J67" i="16" s="1"/>
  <c r="G216" i="16"/>
  <c r="BY216" i="6" s="1"/>
  <c r="H68" i="16"/>
  <c r="I68" i="16" s="1"/>
  <c r="H286" i="16"/>
  <c r="I286" i="16" s="1"/>
  <c r="H205" i="16"/>
  <c r="I205" i="16" s="1"/>
  <c r="H188" i="16"/>
  <c r="J188" i="16" s="1"/>
  <c r="H155" i="16"/>
  <c r="I155" i="16" s="1"/>
  <c r="G308" i="16"/>
  <c r="BY308" i="6" s="1"/>
  <c r="AA237" i="16"/>
  <c r="Z237" i="16" s="1"/>
  <c r="Y237" i="16" s="1"/>
  <c r="AA372" i="16"/>
  <c r="Z372" i="16" s="1"/>
  <c r="Y372" i="16" s="1"/>
  <c r="G291" i="16"/>
  <c r="BY291" i="6" s="1"/>
  <c r="H143" i="16"/>
  <c r="J143" i="16" s="1"/>
  <c r="H84" i="16"/>
  <c r="I84" i="16" s="1"/>
  <c r="H113" i="16"/>
  <c r="I113" i="16" s="1"/>
  <c r="AA213" i="16"/>
  <c r="Z213" i="16" s="1"/>
  <c r="Y213" i="16" s="1"/>
  <c r="G217" i="16"/>
  <c r="BY217" i="6" s="1"/>
  <c r="AA315" i="16"/>
  <c r="Z315" i="16" s="1"/>
  <c r="Y315" i="16" s="1"/>
  <c r="G190" i="16"/>
  <c r="BY190" i="6" s="1"/>
  <c r="H298" i="16"/>
  <c r="J298" i="16" s="1"/>
  <c r="AA141" i="16"/>
  <c r="Z141" i="16" s="1"/>
  <c r="Y141" i="16" s="1"/>
  <c r="G181" i="16"/>
  <c r="BY181" i="6" s="1"/>
  <c r="H138" i="16"/>
  <c r="I138" i="16" s="1"/>
  <c r="AA256" i="16"/>
  <c r="Z256" i="16" s="1"/>
  <c r="Y256" i="16" s="1"/>
  <c r="G26" i="16"/>
  <c r="BY26" i="6" s="1"/>
  <c r="H120" i="16"/>
  <c r="J120" i="16" s="1"/>
  <c r="AA113" i="16"/>
  <c r="Z113" i="16" s="1"/>
  <c r="Y113" i="16" s="1"/>
  <c r="G126" i="16"/>
  <c r="BY126" i="6" s="1"/>
  <c r="G243" i="16"/>
  <c r="BY243" i="6" s="1"/>
  <c r="AA114" i="16"/>
  <c r="Z114" i="16" s="1"/>
  <c r="Y114" i="16" s="1"/>
  <c r="H35" i="16"/>
  <c r="I35" i="16" s="1"/>
  <c r="G56" i="16"/>
  <c r="BY56" i="6" s="1"/>
  <c r="H315" i="16"/>
  <c r="I315" i="16" s="1"/>
  <c r="AA190" i="16"/>
  <c r="Z190" i="16" s="1"/>
  <c r="Y190" i="16" s="1"/>
  <c r="AA208" i="16"/>
  <c r="Z208" i="16" s="1"/>
  <c r="Y208" i="16" s="1"/>
  <c r="G101" i="16"/>
  <c r="BY101" i="6" s="1"/>
  <c r="G134" i="16"/>
  <c r="BY134" i="6" s="1"/>
  <c r="G187" i="16"/>
  <c r="BY187" i="6" s="1"/>
  <c r="G298" i="16"/>
  <c r="BY298" i="6" s="1"/>
  <c r="H236" i="16"/>
  <c r="I236" i="16" s="1"/>
  <c r="AA327" i="16"/>
  <c r="Z327" i="16" s="1"/>
  <c r="Y327" i="16" s="1"/>
  <c r="AA132" i="16"/>
  <c r="Z132" i="16" s="1"/>
  <c r="Y132" i="16" s="1"/>
  <c r="AA156" i="16"/>
  <c r="Z156" i="16" s="1"/>
  <c r="Y156" i="16" s="1"/>
  <c r="G138" i="16"/>
  <c r="BY138" i="6" s="1"/>
  <c r="AA274" i="16"/>
  <c r="Z274" i="16" s="1"/>
  <c r="Y274" i="16" s="1"/>
  <c r="AA378" i="16"/>
  <c r="Z378" i="16" s="1"/>
  <c r="Y378" i="16" s="1"/>
  <c r="AA247" i="16"/>
  <c r="Z247" i="16" s="1"/>
  <c r="Y247" i="16" s="1"/>
  <c r="AA26" i="16"/>
  <c r="Z26" i="16" s="1"/>
  <c r="Y26" i="16" s="1"/>
  <c r="G371" i="16"/>
  <c r="BY371" i="6" s="1"/>
  <c r="G283" i="16"/>
  <c r="BY283" i="6" s="1"/>
  <c r="AA126" i="16"/>
  <c r="Z126" i="16" s="1"/>
  <c r="Y126" i="16" s="1"/>
  <c r="H219" i="16"/>
  <c r="I219" i="16" s="1"/>
  <c r="G150" i="16"/>
  <c r="BY150" i="6" s="1"/>
  <c r="H217" i="16"/>
  <c r="J217" i="16" s="1"/>
  <c r="AA35" i="16"/>
  <c r="Z35" i="16" s="1"/>
  <c r="Y35" i="16" s="1"/>
  <c r="H56" i="16"/>
  <c r="I56" i="16" s="1"/>
  <c r="H18" i="16"/>
  <c r="J18" i="16" s="1"/>
  <c r="AA89" i="16"/>
  <c r="Z89" i="16" s="1"/>
  <c r="Y89" i="16" s="1"/>
  <c r="AA214" i="16"/>
  <c r="Z214" i="16" s="1"/>
  <c r="Y214" i="16" s="1"/>
  <c r="G94" i="16"/>
  <c r="BY94" i="6" s="1"/>
  <c r="AA187" i="16"/>
  <c r="Z187" i="16" s="1"/>
  <c r="Y187" i="16" s="1"/>
  <c r="G31" i="16"/>
  <c r="BY31" i="6" s="1"/>
  <c r="H181" i="16"/>
  <c r="I181" i="16" s="1"/>
  <c r="H274" i="16"/>
  <c r="J274" i="16" s="1"/>
  <c r="H256" i="16"/>
  <c r="J256" i="16" s="1"/>
  <c r="H371" i="16"/>
  <c r="I371" i="16" s="1"/>
  <c r="H83" i="16"/>
  <c r="I83" i="16" s="1"/>
  <c r="G233" i="16"/>
  <c r="BY233" i="6" s="1"/>
  <c r="G68" i="16"/>
  <c r="BY68" i="6" s="1"/>
  <c r="H308" i="16"/>
  <c r="I308" i="16" s="1"/>
  <c r="AA291" i="16"/>
  <c r="Z291" i="16" s="1"/>
  <c r="Y291" i="16" s="1"/>
  <c r="G84" i="16"/>
  <c r="BY84" i="6" s="1"/>
  <c r="H58" i="16"/>
  <c r="I58" i="16" s="1"/>
  <c r="O382" i="22"/>
  <c r="E7" i="23"/>
  <c r="O10" i="23" s="1"/>
  <c r="AA150" i="16"/>
  <c r="Z150" i="16" s="1"/>
  <c r="Y150" i="16" s="1"/>
  <c r="AA18" i="16"/>
  <c r="Z18" i="16" s="1"/>
  <c r="Y18" i="16" s="1"/>
  <c r="H226" i="16"/>
  <c r="J226" i="16" s="1"/>
  <c r="H214" i="16"/>
  <c r="I214" i="16" s="1"/>
  <c r="G208" i="16"/>
  <c r="BY208" i="6" s="1"/>
  <c r="H94" i="16"/>
  <c r="I94" i="16" s="1"/>
  <c r="H248" i="16"/>
  <c r="I248" i="16" s="1"/>
  <c r="AA152" i="16"/>
  <c r="Z152" i="16" s="1"/>
  <c r="Y152" i="16" s="1"/>
  <c r="AA104" i="16"/>
  <c r="Z104" i="16" s="1"/>
  <c r="Y104" i="16" s="1"/>
  <c r="G83" i="16"/>
  <c r="BY83" i="6" s="1"/>
  <c r="AA144" i="16"/>
  <c r="Z144" i="16" s="1"/>
  <c r="Y144" i="16" s="1"/>
  <c r="H378" i="16"/>
  <c r="J378" i="16" s="1"/>
  <c r="O383" i="22"/>
  <c r="AA219" i="16"/>
  <c r="Z219" i="16" s="1"/>
  <c r="Y219" i="16" s="1"/>
  <c r="AA359" i="16"/>
  <c r="Z359" i="16" s="1"/>
  <c r="Y359" i="16" s="1"/>
  <c r="G226" i="16"/>
  <c r="BY226" i="6" s="1"/>
  <c r="G236" i="16"/>
  <c r="BY236" i="6" s="1"/>
  <c r="G156" i="16"/>
  <c r="BY156" i="6" s="1"/>
  <c r="H144" i="16"/>
  <c r="J144" i="16" s="1"/>
  <c r="G103" i="16"/>
  <c r="BY103" i="6" s="1"/>
  <c r="AA79" i="16"/>
  <c r="Z79" i="16" s="1"/>
  <c r="Y79" i="16" s="1"/>
  <c r="G303" i="16"/>
  <c r="BY303" i="6" s="1"/>
  <c r="H28" i="16"/>
  <c r="J28" i="16" s="1"/>
  <c r="O381" i="22"/>
  <c r="G279" i="16"/>
  <c r="BY279" i="6" s="1"/>
  <c r="G87" i="16"/>
  <c r="BY87" i="6" s="1"/>
  <c r="AA200" i="16"/>
  <c r="Z200" i="16" s="1"/>
  <c r="Y200" i="16" s="1"/>
  <c r="AA103" i="16"/>
  <c r="Z103" i="16" s="1"/>
  <c r="Y103" i="16" s="1"/>
  <c r="AA19" i="16"/>
  <c r="Z19" i="16" s="1"/>
  <c r="Y19" i="16" s="1"/>
  <c r="G27" i="16"/>
  <c r="BY27" i="6" s="1"/>
  <c r="G311" i="16"/>
  <c r="BY311" i="6" s="1"/>
  <c r="H79" i="16"/>
  <c r="J79" i="16" s="1"/>
  <c r="H303" i="16"/>
  <c r="J303" i="16" s="1"/>
  <c r="G28" i="16"/>
  <c r="BY28" i="6" s="1"/>
  <c r="AA171" i="16"/>
  <c r="Z171" i="16" s="1"/>
  <c r="Y171" i="16" s="1"/>
  <c r="H104" i="16"/>
  <c r="I104" i="16" s="1"/>
  <c r="AA279" i="16"/>
  <c r="Z279" i="16" s="1"/>
  <c r="Y279" i="16" s="1"/>
  <c r="AA87" i="16"/>
  <c r="Z87" i="16" s="1"/>
  <c r="Y87" i="16" s="1"/>
  <c r="G200" i="16"/>
  <c r="BY200" i="6" s="1"/>
  <c r="H254" i="16"/>
  <c r="I254" i="16" s="1"/>
  <c r="G125" i="16"/>
  <c r="BY125" i="6" s="1"/>
  <c r="G19" i="16"/>
  <c r="BY19" i="6" s="1"/>
  <c r="AA27" i="16"/>
  <c r="Z27" i="16" s="1"/>
  <c r="Y27" i="16" s="1"/>
  <c r="H311" i="16"/>
  <c r="J311" i="16" s="1"/>
  <c r="AA248" i="16"/>
  <c r="Z248" i="16" s="1"/>
  <c r="Y248" i="16" s="1"/>
  <c r="G206" i="16"/>
  <c r="BY206" i="6" s="1"/>
  <c r="AA64" i="16"/>
  <c r="Z64" i="16" s="1"/>
  <c r="Y64" i="16" s="1"/>
  <c r="G73" i="16"/>
  <c r="BY73" i="6" s="1"/>
  <c r="H152" i="16"/>
  <c r="J152" i="16" s="1"/>
  <c r="H343" i="16"/>
  <c r="J343" i="16" s="1"/>
  <c r="G207" i="16"/>
  <c r="BY207" i="6" s="1"/>
  <c r="H171" i="16"/>
  <c r="I171" i="16" s="1"/>
  <c r="H247" i="16"/>
  <c r="I247" i="16" s="1"/>
  <c r="AA243" i="16"/>
  <c r="Z243" i="16" s="1"/>
  <c r="Y243" i="16" s="1"/>
  <c r="AA125" i="16"/>
  <c r="Z125" i="16" s="1"/>
  <c r="Y125" i="16" s="1"/>
  <c r="AA323" i="16"/>
  <c r="Z323" i="16" s="1"/>
  <c r="Y323" i="16" s="1"/>
  <c r="AA206" i="16"/>
  <c r="Z206" i="16" s="1"/>
  <c r="Y206" i="16" s="1"/>
  <c r="AA73" i="16"/>
  <c r="Z73" i="16" s="1"/>
  <c r="Y73" i="16" s="1"/>
  <c r="F197" i="16"/>
  <c r="AA197" i="16" s="1"/>
  <c r="Z197" i="16" s="1"/>
  <c r="Y197" i="16" s="1"/>
  <c r="AA329" i="16"/>
  <c r="Z329" i="16" s="1"/>
  <c r="Y329" i="16" s="1"/>
  <c r="G358" i="16"/>
  <c r="BY358" i="6" s="1"/>
  <c r="G45" i="16"/>
  <c r="BY45" i="6" s="1"/>
  <c r="H63" i="16"/>
  <c r="I63" i="16" s="1"/>
  <c r="H348" i="16"/>
  <c r="I348" i="16" s="1"/>
  <c r="H145" i="16"/>
  <c r="I145" i="16" s="1"/>
  <c r="H182" i="16"/>
  <c r="J182" i="16" s="1"/>
  <c r="AA183" i="16"/>
  <c r="Z183" i="16" s="1"/>
  <c r="Y183" i="16" s="1"/>
  <c r="H96" i="16"/>
  <c r="J96" i="16" s="1"/>
  <c r="H97" i="16"/>
  <c r="J97" i="16" s="1"/>
  <c r="G275" i="16"/>
  <c r="BY275" i="6" s="1"/>
  <c r="G285" i="16"/>
  <c r="BY285" i="6" s="1"/>
  <c r="AA25" i="16"/>
  <c r="Z25" i="16" s="1"/>
  <c r="Y25" i="16" s="1"/>
  <c r="AA246" i="16"/>
  <c r="Z246" i="16" s="1"/>
  <c r="Y246" i="16" s="1"/>
  <c r="G287" i="16"/>
  <c r="BY287" i="6" s="1"/>
  <c r="H225" i="16"/>
  <c r="J225" i="16" s="1"/>
  <c r="H263" i="16"/>
  <c r="J263" i="16" s="1"/>
  <c r="AA47" i="16"/>
  <c r="Z47" i="16" s="1"/>
  <c r="Y47" i="16" s="1"/>
  <c r="G24" i="16"/>
  <c r="BY24" i="6" s="1"/>
  <c r="H154" i="16"/>
  <c r="I154" i="16" s="1"/>
  <c r="G43" i="16"/>
  <c r="BY43" i="6" s="1"/>
  <c r="G376" i="16"/>
  <c r="BY376" i="6" s="1"/>
  <c r="G70" i="16"/>
  <c r="BY70" i="6" s="1"/>
  <c r="AA222" i="16"/>
  <c r="Z222" i="16" s="1"/>
  <c r="Y222" i="16" s="1"/>
  <c r="G277" i="16"/>
  <c r="BY277" i="6" s="1"/>
  <c r="AA299" i="16"/>
  <c r="Z299" i="16" s="1"/>
  <c r="Y299" i="16" s="1"/>
  <c r="F60" i="16"/>
  <c r="AA60" i="16" s="1"/>
  <c r="Z60" i="16" s="1"/>
  <c r="Y60" i="16" s="1"/>
  <c r="G319" i="16"/>
  <c r="BY319" i="6" s="1"/>
  <c r="G323" i="16"/>
  <c r="BY323" i="6" s="1"/>
  <c r="F149" i="16"/>
  <c r="G149" i="16" s="1"/>
  <c r="BY149" i="6" s="1"/>
  <c r="AA325" i="16"/>
  <c r="Z325" i="16" s="1"/>
  <c r="Y325" i="16" s="1"/>
  <c r="H218" i="16"/>
  <c r="I218" i="16" s="1"/>
  <c r="G99" i="16"/>
  <c r="BY99" i="6" s="1"/>
  <c r="G95" i="16"/>
  <c r="BY95" i="6" s="1"/>
  <c r="AA254" i="16"/>
  <c r="Z254" i="16" s="1"/>
  <c r="Y254" i="16" s="1"/>
  <c r="AA319" i="16"/>
  <c r="Z319" i="16" s="1"/>
  <c r="Y319" i="16" s="1"/>
  <c r="H252" i="16"/>
  <c r="I252" i="16" s="1"/>
  <c r="H201" i="16"/>
  <c r="J201" i="16" s="1"/>
  <c r="G159" i="16"/>
  <c r="BY159" i="6" s="1"/>
  <c r="AA356" i="16"/>
  <c r="Z356" i="16" s="1"/>
  <c r="Y356" i="16" s="1"/>
  <c r="AA285" i="16"/>
  <c r="Z285" i="16" s="1"/>
  <c r="Y285" i="16" s="1"/>
  <c r="H69" i="16"/>
  <c r="I69" i="16" s="1"/>
  <c r="G182" i="16"/>
  <c r="BY182" i="6" s="1"/>
  <c r="H183" i="16"/>
  <c r="J183" i="16" s="1"/>
  <c r="AA175" i="16"/>
  <c r="Z175" i="16" s="1"/>
  <c r="Y175" i="16" s="1"/>
  <c r="AA96" i="16"/>
  <c r="Z96" i="16" s="1"/>
  <c r="Y96" i="16" s="1"/>
  <c r="AA287" i="16"/>
  <c r="Z287" i="16" s="1"/>
  <c r="Y287" i="16" s="1"/>
  <c r="G225" i="16"/>
  <c r="BY225" i="6" s="1"/>
  <c r="AA263" i="16"/>
  <c r="Z263" i="16" s="1"/>
  <c r="Y263" i="16" s="1"/>
  <c r="H380" i="16"/>
  <c r="J380" i="16" s="1"/>
  <c r="H24" i="16"/>
  <c r="J24" i="16" s="1"/>
  <c r="AA154" i="16"/>
  <c r="Z154" i="16" s="1"/>
  <c r="Y154" i="16" s="1"/>
  <c r="AA97" i="16"/>
  <c r="Z97" i="16" s="1"/>
  <c r="Y97" i="16" s="1"/>
  <c r="G193" i="16"/>
  <c r="BY193" i="6" s="1"/>
  <c r="H376" i="16"/>
  <c r="I376" i="16" s="1"/>
  <c r="G178" i="16"/>
  <c r="BY178" i="6" s="1"/>
  <c r="H275" i="16"/>
  <c r="J275" i="16" s="1"/>
  <c r="AA277" i="16"/>
  <c r="Z277" i="16" s="1"/>
  <c r="Y277" i="16" s="1"/>
  <c r="H299" i="16"/>
  <c r="I299" i="16" s="1"/>
  <c r="AA262" i="16"/>
  <c r="Z262" i="16" s="1"/>
  <c r="Y262" i="16" s="1"/>
  <c r="G329" i="16"/>
  <c r="BY329" i="6" s="1"/>
  <c r="H196" i="16"/>
  <c r="J196" i="16" s="1"/>
  <c r="AA115" i="16"/>
  <c r="Z115" i="16" s="1"/>
  <c r="Y115" i="16" s="1"/>
  <c r="AA280" i="16"/>
  <c r="Z280" i="16" s="1"/>
  <c r="Y280" i="16" s="1"/>
  <c r="G252" i="16"/>
  <c r="BY252" i="6" s="1"/>
  <c r="G357" i="16"/>
  <c r="BY357" i="6" s="1"/>
  <c r="H294" i="16"/>
  <c r="J294" i="16" s="1"/>
  <c r="H159" i="16"/>
  <c r="I159" i="16" s="1"/>
  <c r="AA63" i="16"/>
  <c r="Z63" i="16" s="1"/>
  <c r="Y63" i="16" s="1"/>
  <c r="G93" i="16"/>
  <c r="BY93" i="6" s="1"/>
  <c r="AA69" i="16"/>
  <c r="Z69" i="16" s="1"/>
  <c r="Y69" i="16" s="1"/>
  <c r="AA145" i="16"/>
  <c r="Z145" i="16" s="1"/>
  <c r="Y145" i="16" s="1"/>
  <c r="G88" i="16"/>
  <c r="BY88" i="6" s="1"/>
  <c r="H220" i="16"/>
  <c r="J220" i="16" s="1"/>
  <c r="G164" i="16"/>
  <c r="BY164" i="6" s="1"/>
  <c r="AA48" i="16"/>
  <c r="Z48" i="16" s="1"/>
  <c r="Y48" i="16" s="1"/>
  <c r="AA228" i="16"/>
  <c r="Z228" i="16" s="1"/>
  <c r="Y228" i="16" s="1"/>
  <c r="AA111" i="16"/>
  <c r="Z111" i="16" s="1"/>
  <c r="Y111" i="16" s="1"/>
  <c r="AA179" i="16"/>
  <c r="Z179" i="16" s="1"/>
  <c r="Y179" i="16" s="1"/>
  <c r="H334" i="16"/>
  <c r="J334" i="16" s="1"/>
  <c r="H231" i="16"/>
  <c r="I231" i="16" s="1"/>
  <c r="G169" i="16"/>
  <c r="BY169" i="6" s="1"/>
  <c r="H192" i="16"/>
  <c r="I192" i="16" s="1"/>
  <c r="AA86" i="16"/>
  <c r="Z86" i="16" s="1"/>
  <c r="Y86" i="16" s="1"/>
  <c r="G142" i="16"/>
  <c r="BY142" i="6" s="1"/>
  <c r="G47" i="16"/>
  <c r="BY47" i="6" s="1"/>
  <c r="AA343" i="16"/>
  <c r="Z343" i="16" s="1"/>
  <c r="Y343" i="16" s="1"/>
  <c r="AA207" i="16"/>
  <c r="Z207" i="16" s="1"/>
  <c r="Y207" i="16" s="1"/>
  <c r="G51" i="16"/>
  <c r="BY51" i="6" s="1"/>
  <c r="G195" i="16"/>
  <c r="BY195" i="6" s="1"/>
  <c r="G199" i="16"/>
  <c r="BY199" i="6" s="1"/>
  <c r="H193" i="16"/>
  <c r="I193" i="16" s="1"/>
  <c r="H178" i="16"/>
  <c r="J178" i="16" s="1"/>
  <c r="G222" i="16"/>
  <c r="BY222" i="6" s="1"/>
  <c r="G262" i="16"/>
  <c r="BY262" i="6" s="1"/>
  <c r="G16" i="16"/>
  <c r="BY16" i="6" s="1"/>
  <c r="AA99" i="16"/>
  <c r="Z99" i="16" s="1"/>
  <c r="Y99" i="16" s="1"/>
  <c r="H229" i="16"/>
  <c r="J229" i="16" s="1"/>
  <c r="G310" i="16"/>
  <c r="BY310" i="6" s="1"/>
  <c r="AA176" i="16"/>
  <c r="Z176" i="16" s="1"/>
  <c r="Y176" i="16" s="1"/>
  <c r="AA102" i="16"/>
  <c r="Z102" i="16" s="1"/>
  <c r="Y102" i="16" s="1"/>
  <c r="G289" i="16"/>
  <c r="BY289" i="6" s="1"/>
  <c r="G194" i="16"/>
  <c r="BY194" i="6" s="1"/>
  <c r="H358" i="16"/>
  <c r="I358" i="16" s="1"/>
  <c r="G344" i="16"/>
  <c r="BY344" i="6" s="1"/>
  <c r="G280" i="16"/>
  <c r="BY280" i="6" s="1"/>
  <c r="H306" i="16"/>
  <c r="I306" i="16" s="1"/>
  <c r="AA249" i="16"/>
  <c r="Z249" i="16" s="1"/>
  <c r="Y249" i="16" s="1"/>
  <c r="G331" i="16"/>
  <c r="BY331" i="6" s="1"/>
  <c r="H92" i="16"/>
  <c r="J92" i="16" s="1"/>
  <c r="AA133" i="16"/>
  <c r="Z133" i="16" s="1"/>
  <c r="Y133" i="16" s="1"/>
  <c r="G151" i="16"/>
  <c r="BY151" i="6" s="1"/>
  <c r="AA129" i="16"/>
  <c r="Z129" i="16" s="1"/>
  <c r="Y129" i="16" s="1"/>
  <c r="H88" i="16"/>
  <c r="J88" i="16" s="1"/>
  <c r="G210" i="16"/>
  <c r="BY210" i="6" s="1"/>
  <c r="H177" i="16"/>
  <c r="I177" i="16" s="1"/>
  <c r="G139" i="16"/>
  <c r="BY139" i="6" s="1"/>
  <c r="G123" i="16"/>
  <c r="BY123" i="6" s="1"/>
  <c r="AA40" i="16"/>
  <c r="Z40" i="16" s="1"/>
  <c r="Y40" i="16" s="1"/>
  <c r="H242" i="16"/>
  <c r="J242" i="16" s="1"/>
  <c r="AA230" i="16"/>
  <c r="Z230" i="16" s="1"/>
  <c r="Y230" i="16" s="1"/>
  <c r="G229" i="16"/>
  <c r="BY229" i="6" s="1"/>
  <c r="AA39" i="16"/>
  <c r="Z39" i="16" s="1"/>
  <c r="Y39" i="16" s="1"/>
  <c r="AA288" i="16"/>
  <c r="Z288" i="16" s="1"/>
  <c r="Y288" i="16" s="1"/>
  <c r="AA365" i="16"/>
  <c r="Z365" i="16" s="1"/>
  <c r="Y365" i="16" s="1"/>
  <c r="G209" i="16"/>
  <c r="BY209" i="6" s="1"/>
  <c r="G284" i="16"/>
  <c r="BY284" i="6" s="1"/>
  <c r="AA74" i="16"/>
  <c r="Z74" i="16" s="1"/>
  <c r="Y74" i="16" s="1"/>
  <c r="H52" i="16"/>
  <c r="J52" i="16" s="1"/>
  <c r="G290" i="16"/>
  <c r="BY290" i="6" s="1"/>
  <c r="G90" i="16"/>
  <c r="BY90" i="6" s="1"/>
  <c r="AA196" i="16"/>
  <c r="Z196" i="16" s="1"/>
  <c r="Y196" i="16" s="1"/>
  <c r="G115" i="16"/>
  <c r="BY115" i="6" s="1"/>
  <c r="G59" i="16"/>
  <c r="BY59" i="6" s="1"/>
  <c r="G212" i="16"/>
  <c r="BY212" i="6" s="1"/>
  <c r="H300" i="16"/>
  <c r="I300" i="16" s="1"/>
  <c r="G49" i="16"/>
  <c r="BY49" i="6" s="1"/>
  <c r="AA357" i="16"/>
  <c r="Z357" i="16" s="1"/>
  <c r="Y357" i="16" s="1"/>
  <c r="G294" i="16"/>
  <c r="BY294" i="6" s="1"/>
  <c r="G201" i="16"/>
  <c r="BY201" i="6" s="1"/>
  <c r="H305" i="16"/>
  <c r="J305" i="16" s="1"/>
  <c r="H249" i="16"/>
  <c r="J249" i="16" s="1"/>
  <c r="F37" i="16"/>
  <c r="F135" i="16"/>
  <c r="F118" i="16"/>
  <c r="F271" i="16"/>
  <c r="F116" i="16"/>
  <c r="F131" i="16"/>
  <c r="F44" i="16"/>
  <c r="F215" i="16"/>
  <c r="F148" i="16"/>
  <c r="F261" i="16"/>
  <c r="F46" i="16"/>
  <c r="F57" i="16"/>
  <c r="F34" i="16"/>
  <c r="F107" i="16"/>
  <c r="F77" i="16"/>
  <c r="F267" i="16"/>
  <c r="F163" i="16"/>
  <c r="F221" i="16"/>
  <c r="F41" i="16"/>
  <c r="F161" i="16"/>
  <c r="F345" i="16"/>
  <c r="F204" i="16"/>
  <c r="F244" i="16"/>
  <c r="F162" i="16"/>
  <c r="F136" i="16"/>
  <c r="F276" i="16"/>
  <c r="F198" i="16"/>
  <c r="F282" i="16"/>
  <c r="F337" i="16"/>
  <c r="F377" i="16"/>
  <c r="F330" i="16"/>
  <c r="F140" i="16"/>
  <c r="F32" i="16"/>
  <c r="F370" i="16"/>
  <c r="F257" i="16"/>
  <c r="F351" i="16"/>
  <c r="F124" i="16"/>
  <c r="F352" i="16"/>
  <c r="F108" i="16"/>
  <c r="F165" i="16"/>
  <c r="F364" i="16"/>
  <c r="F170" i="16"/>
  <c r="F375" i="16"/>
  <c r="F341" i="16"/>
  <c r="F50" i="16"/>
  <c r="F160" i="16"/>
  <c r="F278" i="16"/>
  <c r="F260" i="16"/>
  <c r="F22" i="16"/>
  <c r="F301" i="16"/>
  <c r="F146" i="16"/>
  <c r="F153" i="16"/>
  <c r="F235" i="16"/>
  <c r="F314" i="16"/>
  <c r="F203" i="16"/>
  <c r="F335" i="16"/>
  <c r="F245" i="16"/>
  <c r="F81" i="16"/>
  <c r="F368" i="16"/>
  <c r="F232" i="16"/>
  <c r="F326" i="16"/>
  <c r="F234" i="16"/>
  <c r="F66" i="16"/>
  <c r="F147" i="16"/>
  <c r="F366" i="16"/>
  <c r="F65" i="16"/>
  <c r="F202" i="16"/>
  <c r="F328" i="16"/>
  <c r="F130" i="16"/>
  <c r="F186" i="16"/>
  <c r="F313" i="16"/>
  <c r="F17" i="16"/>
  <c r="F332" i="16"/>
  <c r="F55" i="16"/>
  <c r="F71" i="16"/>
  <c r="F121" i="16"/>
  <c r="F307" i="16"/>
  <c r="F211" i="16"/>
  <c r="F251" i="16"/>
  <c r="F173" i="16"/>
  <c r="F72" i="16"/>
  <c r="H282" i="16"/>
  <c r="I282" i="16" s="1"/>
  <c r="H332" i="16"/>
  <c r="I332" i="16" s="1"/>
  <c r="H186" i="16"/>
  <c r="J186" i="16" s="1"/>
  <c r="M63" i="19"/>
  <c r="G40" i="16"/>
  <c r="BY40" i="6" s="1"/>
  <c r="AA16" i="16"/>
  <c r="Z16" i="16" s="1"/>
  <c r="Y16" i="16" s="1"/>
  <c r="AA218" i="16"/>
  <c r="Z218" i="16" s="1"/>
  <c r="Y218" i="16" s="1"/>
  <c r="G346" i="16"/>
  <c r="BY346" i="6" s="1"/>
  <c r="AA105" i="16"/>
  <c r="Z105" i="16" s="1"/>
  <c r="Y105" i="16" s="1"/>
  <c r="G240" i="16"/>
  <c r="BY240" i="6" s="1"/>
  <c r="AA273" i="16"/>
  <c r="Z273" i="16" s="1"/>
  <c r="Y273" i="16" s="1"/>
  <c r="H230" i="16"/>
  <c r="I230" i="16" s="1"/>
  <c r="H95" i="16"/>
  <c r="I95" i="16" s="1"/>
  <c r="AA38" i="16"/>
  <c r="Z38" i="16" s="1"/>
  <c r="Y38" i="16" s="1"/>
  <c r="H365" i="16"/>
  <c r="I365" i="16" s="1"/>
  <c r="H310" i="16"/>
  <c r="J310" i="16" s="1"/>
  <c r="H209" i="16"/>
  <c r="I209" i="16" s="1"/>
  <c r="G102" i="16"/>
  <c r="BY102" i="6" s="1"/>
  <c r="AA168" i="16"/>
  <c r="Z168" i="16" s="1"/>
  <c r="Y168" i="16" s="1"/>
  <c r="AA309" i="16"/>
  <c r="Z309" i="16" s="1"/>
  <c r="Y309" i="16" s="1"/>
  <c r="H347" i="16"/>
  <c r="J347" i="16" s="1"/>
  <c r="G269" i="16"/>
  <c r="BY269" i="6" s="1"/>
  <c r="H127" i="16"/>
  <c r="J127" i="16" s="1"/>
  <c r="G296" i="16"/>
  <c r="BY296" i="6" s="1"/>
  <c r="AA295" i="16"/>
  <c r="Z295" i="16" s="1"/>
  <c r="Y295" i="16" s="1"/>
  <c r="G361" i="16"/>
  <c r="BY361" i="6" s="1"/>
  <c r="H297" i="16"/>
  <c r="I297" i="16" s="1"/>
  <c r="H189" i="16"/>
  <c r="I189" i="16" s="1"/>
  <c r="AA82" i="16"/>
  <c r="Z82" i="16" s="1"/>
  <c r="Y82" i="16" s="1"/>
  <c r="AA174" i="16"/>
  <c r="Z174" i="16" s="1"/>
  <c r="Y174" i="16" s="1"/>
  <c r="AA264" i="16"/>
  <c r="Z264" i="16" s="1"/>
  <c r="Y264" i="16" s="1"/>
  <c r="H339" i="16"/>
  <c r="I339" i="16" s="1"/>
  <c r="G353" i="16"/>
  <c r="BY353" i="6" s="1"/>
  <c r="AA338" i="16"/>
  <c r="Z338" i="16" s="1"/>
  <c r="Y338" i="16" s="1"/>
  <c r="H23" i="16"/>
  <c r="J23" i="16" s="1"/>
  <c r="H321" i="16"/>
  <c r="J321" i="16" s="1"/>
  <c r="H250" i="16"/>
  <c r="J250" i="16" s="1"/>
  <c r="G292" i="16"/>
  <c r="BY292" i="6" s="1"/>
  <c r="H292" i="16"/>
  <c r="I292" i="16" s="1"/>
  <c r="H369" i="16"/>
  <c r="I369" i="16" s="1"/>
  <c r="G369" i="16"/>
  <c r="BY369" i="6" s="1"/>
  <c r="H21" i="16"/>
  <c r="I21" i="16" s="1"/>
  <c r="AA21" i="16"/>
  <c r="Z21" i="16" s="1"/>
  <c r="Y21" i="16" s="1"/>
  <c r="H224" i="16"/>
  <c r="J224" i="16" s="1"/>
  <c r="G224" i="16"/>
  <c r="BY224" i="6" s="1"/>
  <c r="H239" i="16"/>
  <c r="I239" i="16" s="1"/>
  <c r="G239" i="16"/>
  <c r="BY239" i="6" s="1"/>
  <c r="H172" i="16"/>
  <c r="J172" i="16" s="1"/>
  <c r="AA172" i="16"/>
  <c r="Z172" i="16" s="1"/>
  <c r="Y172" i="16" s="1"/>
  <c r="G157" i="16"/>
  <c r="BY157" i="6" s="1"/>
  <c r="H157" i="16"/>
  <c r="I157" i="16" s="1"/>
  <c r="H98" i="16"/>
  <c r="I98" i="16" s="1"/>
  <c r="AA98" i="16"/>
  <c r="Z98" i="16" s="1"/>
  <c r="Y98" i="16" s="1"/>
  <c r="AA312" i="16"/>
  <c r="Z312" i="16" s="1"/>
  <c r="Y312" i="16" s="1"/>
  <c r="H312" i="16"/>
  <c r="J312" i="16" s="1"/>
  <c r="H158" i="16"/>
  <c r="I158" i="16" s="1"/>
  <c r="AA158" i="16"/>
  <c r="Z158" i="16" s="1"/>
  <c r="Y158" i="16" s="1"/>
  <c r="G184" i="16"/>
  <c r="BY184" i="6" s="1"/>
  <c r="AA184" i="16"/>
  <c r="Z184" i="16" s="1"/>
  <c r="Y184" i="16" s="1"/>
  <c r="AA227" i="16"/>
  <c r="Z227" i="16" s="1"/>
  <c r="Y227" i="16" s="1"/>
  <c r="G227" i="16"/>
  <c r="BY227" i="6" s="1"/>
  <c r="AA223" i="16"/>
  <c r="Z223" i="16" s="1"/>
  <c r="Y223" i="16" s="1"/>
  <c r="H223" i="16"/>
  <c r="J223" i="16" s="1"/>
  <c r="H137" i="16"/>
  <c r="J137" i="16" s="1"/>
  <c r="G137" i="16"/>
  <c r="BY137" i="6" s="1"/>
  <c r="G185" i="16"/>
  <c r="BY185" i="6" s="1"/>
  <c r="H185" i="16"/>
  <c r="J185" i="16" s="1"/>
  <c r="AA61" i="16"/>
  <c r="Z61" i="16" s="1"/>
  <c r="Y61" i="16" s="1"/>
  <c r="G61" i="16"/>
  <c r="BY61" i="6" s="1"/>
  <c r="AA317" i="16"/>
  <c r="Z317" i="16" s="1"/>
  <c r="Y317" i="16" s="1"/>
  <c r="G317" i="16"/>
  <c r="BY317" i="6" s="1"/>
  <c r="AA33" i="16"/>
  <c r="Z33" i="16" s="1"/>
  <c r="Y33" i="16" s="1"/>
  <c r="G33" i="16"/>
  <c r="BY33" i="6" s="1"/>
  <c r="AA268" i="16"/>
  <c r="Z268" i="16" s="1"/>
  <c r="Y268" i="16" s="1"/>
  <c r="G268" i="16"/>
  <c r="BY268" i="6" s="1"/>
  <c r="G100" i="16"/>
  <c r="BY100" i="6" s="1"/>
  <c r="H100" i="16"/>
  <c r="I100" i="16" s="1"/>
  <c r="AA266" i="16"/>
  <c r="Z266" i="16" s="1"/>
  <c r="Y266" i="16" s="1"/>
  <c r="G266" i="16"/>
  <c r="BY266" i="6" s="1"/>
  <c r="H362" i="16"/>
  <c r="I362" i="16" s="1"/>
  <c r="G362" i="16"/>
  <c r="BY362" i="6" s="1"/>
  <c r="G265" i="16"/>
  <c r="BY265" i="6" s="1"/>
  <c r="H265" i="16"/>
  <c r="I265" i="16" s="1"/>
  <c r="H109" i="16"/>
  <c r="I109" i="16" s="1"/>
  <c r="AA109" i="16"/>
  <c r="Z109" i="16" s="1"/>
  <c r="Y109" i="16" s="1"/>
  <c r="AA322" i="16"/>
  <c r="Z322" i="16" s="1"/>
  <c r="Y322" i="16" s="1"/>
  <c r="G322" i="16"/>
  <c r="BY322" i="6" s="1"/>
  <c r="G238" i="16"/>
  <c r="BY238" i="6" s="1"/>
  <c r="AA238" i="16"/>
  <c r="Z238" i="16" s="1"/>
  <c r="Y238" i="16" s="1"/>
  <c r="AA80" i="16"/>
  <c r="Z80" i="16" s="1"/>
  <c r="Y80" i="16" s="1"/>
  <c r="G80" i="16"/>
  <c r="BY80" i="6" s="1"/>
  <c r="H122" i="16"/>
  <c r="I122" i="16" s="1"/>
  <c r="G122" i="16"/>
  <c r="BY122" i="6" s="1"/>
  <c r="K63" i="19"/>
  <c r="G325" i="16"/>
  <c r="BY325" i="6" s="1"/>
  <c r="AA242" i="16"/>
  <c r="Z242" i="16" s="1"/>
  <c r="Y242" i="16" s="1"/>
  <c r="H346" i="16"/>
  <c r="I346" i="16" s="1"/>
  <c r="H105" i="16"/>
  <c r="I105" i="16" s="1"/>
  <c r="H240" i="16"/>
  <c r="I240" i="16" s="1"/>
  <c r="H273" i="16"/>
  <c r="I273" i="16" s="1"/>
  <c r="G250" i="16"/>
  <c r="BY250" i="6" s="1"/>
  <c r="G39" i="16"/>
  <c r="BY39" i="6" s="1"/>
  <c r="H288" i="16"/>
  <c r="I288" i="16" s="1"/>
  <c r="H38" i="16"/>
  <c r="I38" i="16" s="1"/>
  <c r="H63" i="19"/>
  <c r="H176" i="16"/>
  <c r="J176" i="16" s="1"/>
  <c r="H284" i="16"/>
  <c r="I284" i="16" s="1"/>
  <c r="G168" i="16"/>
  <c r="BY168" i="6" s="1"/>
  <c r="G309" i="16"/>
  <c r="BY309" i="6" s="1"/>
  <c r="AA100" i="16"/>
  <c r="Z100" i="16" s="1"/>
  <c r="Y100" i="16" s="1"/>
  <c r="G74" i="16"/>
  <c r="BY74" i="6" s="1"/>
  <c r="AA52" i="16"/>
  <c r="Z52" i="16" s="1"/>
  <c r="Y52" i="16" s="1"/>
  <c r="AA185" i="16"/>
  <c r="Z185" i="16" s="1"/>
  <c r="Y185" i="16" s="1"/>
  <c r="H61" i="16"/>
  <c r="J61" i="16" s="1"/>
  <c r="H290" i="16"/>
  <c r="I290" i="16" s="1"/>
  <c r="H90" i="16"/>
  <c r="I90" i="16" s="1"/>
  <c r="AA289" i="16"/>
  <c r="Z289" i="16" s="1"/>
  <c r="Y289" i="16" s="1"/>
  <c r="AA194" i="16"/>
  <c r="Z194" i="16" s="1"/>
  <c r="Y194" i="16" s="1"/>
  <c r="H266" i="16"/>
  <c r="J266" i="16" s="1"/>
  <c r="AA362" i="16"/>
  <c r="Z362" i="16" s="1"/>
  <c r="Y362" i="16" s="1"/>
  <c r="AA265" i="16"/>
  <c r="Z265" i="16" s="1"/>
  <c r="Y265" i="16" s="1"/>
  <c r="AA347" i="16"/>
  <c r="Z347" i="16" s="1"/>
  <c r="Y347" i="16" s="1"/>
  <c r="AA269" i="16"/>
  <c r="Z269" i="16" s="1"/>
  <c r="Y269" i="16" s="1"/>
  <c r="AA369" i="16"/>
  <c r="Z369" i="16" s="1"/>
  <c r="Y369" i="16" s="1"/>
  <c r="G21" i="16"/>
  <c r="BY21" i="6" s="1"/>
  <c r="AA224" i="16"/>
  <c r="Z224" i="16" s="1"/>
  <c r="Y224" i="16" s="1"/>
  <c r="AA239" i="16"/>
  <c r="Z239" i="16" s="1"/>
  <c r="Y239" i="16" s="1"/>
  <c r="AA127" i="16"/>
  <c r="Z127" i="16" s="1"/>
  <c r="Y127" i="16" s="1"/>
  <c r="H296" i="16"/>
  <c r="J296" i="16" s="1"/>
  <c r="G295" i="16"/>
  <c r="BY295" i="6" s="1"/>
  <c r="AA361" i="16"/>
  <c r="Z361" i="16" s="1"/>
  <c r="Y361" i="16" s="1"/>
  <c r="AA137" i="16"/>
  <c r="Z137" i="16" s="1"/>
  <c r="Y137" i="16" s="1"/>
  <c r="H59" i="16"/>
  <c r="J59" i="16" s="1"/>
  <c r="AA344" i="16"/>
  <c r="Z344" i="16" s="1"/>
  <c r="Y344" i="16" s="1"/>
  <c r="AA212" i="16"/>
  <c r="Z212" i="16" s="1"/>
  <c r="Y212" i="16" s="1"/>
  <c r="AA300" i="16"/>
  <c r="Z300" i="16" s="1"/>
  <c r="Y300" i="16" s="1"/>
  <c r="H317" i="16"/>
  <c r="I317" i="16" s="1"/>
  <c r="H238" i="16"/>
  <c r="J238" i="16" s="1"/>
  <c r="H49" i="16"/>
  <c r="J49" i="16" s="1"/>
  <c r="G306" i="16"/>
  <c r="BY306" i="6" s="1"/>
  <c r="H33" i="16"/>
  <c r="J33" i="16" s="1"/>
  <c r="G297" i="16"/>
  <c r="BY297" i="6" s="1"/>
  <c r="G189" i="16"/>
  <c r="BY189" i="6" s="1"/>
  <c r="H80" i="16"/>
  <c r="I80" i="16" s="1"/>
  <c r="H268" i="16"/>
  <c r="I268" i="16" s="1"/>
  <c r="G82" i="16"/>
  <c r="BY82" i="6" s="1"/>
  <c r="H174" i="16"/>
  <c r="J174" i="16" s="1"/>
  <c r="H264" i="16"/>
  <c r="I264" i="16" s="1"/>
  <c r="AA339" i="16"/>
  <c r="Z339" i="16" s="1"/>
  <c r="Y339" i="16" s="1"/>
  <c r="H353" i="16"/>
  <c r="J353" i="16" s="1"/>
  <c r="H338" i="16"/>
  <c r="J338" i="16" s="1"/>
  <c r="AA122" i="16"/>
  <c r="Z122" i="16" s="1"/>
  <c r="Y122" i="16" s="1"/>
  <c r="H322" i="16"/>
  <c r="I322" i="16" s="1"/>
  <c r="L63" i="19"/>
  <c r="G112" i="16"/>
  <c r="BY112" i="6" s="1"/>
  <c r="H112" i="16"/>
  <c r="J112" i="16" s="1"/>
  <c r="G340" i="16"/>
  <c r="BY340" i="6" s="1"/>
  <c r="AA340" i="16"/>
  <c r="Z340" i="16" s="1"/>
  <c r="Y340" i="16" s="1"/>
  <c r="AA316" i="16"/>
  <c r="Z316" i="16" s="1"/>
  <c r="Y316" i="16" s="1"/>
  <c r="G316" i="16"/>
  <c r="BY316" i="6" s="1"/>
  <c r="AA360" i="16"/>
  <c r="Z360" i="16" s="1"/>
  <c r="Y360" i="16" s="1"/>
  <c r="H360" i="16"/>
  <c r="I360" i="16" s="1"/>
  <c r="H128" i="16"/>
  <c r="I128" i="16" s="1"/>
  <c r="G128" i="16"/>
  <c r="BY128" i="6" s="1"/>
  <c r="G76" i="16"/>
  <c r="BY76" i="6" s="1"/>
  <c r="AA76" i="16"/>
  <c r="Z76" i="16" s="1"/>
  <c r="Y76" i="16" s="1"/>
  <c r="H85" i="16"/>
  <c r="J85" i="16" s="1"/>
  <c r="AA85" i="16"/>
  <c r="Z85" i="16" s="1"/>
  <c r="Y85" i="16" s="1"/>
  <c r="AA336" i="16"/>
  <c r="Z336" i="16" s="1"/>
  <c r="Y336" i="16" s="1"/>
  <c r="H336" i="16"/>
  <c r="I336" i="16" s="1"/>
  <c r="AA78" i="16"/>
  <c r="Z78" i="16" s="1"/>
  <c r="Y78" i="16" s="1"/>
  <c r="G78" i="16"/>
  <c r="BY78" i="6" s="1"/>
  <c r="G191" i="16"/>
  <c r="BY191" i="6" s="1"/>
  <c r="H191" i="16"/>
  <c r="J191" i="16" s="1"/>
  <c r="H373" i="16"/>
  <c r="J373" i="16" s="1"/>
  <c r="G373" i="16"/>
  <c r="BY373" i="6" s="1"/>
  <c r="H20" i="16"/>
  <c r="I20" i="16" s="1"/>
  <c r="G20" i="16"/>
  <c r="BY20" i="6" s="1"/>
  <c r="G255" i="16"/>
  <c r="BY255" i="6" s="1"/>
  <c r="H255" i="16"/>
  <c r="I255" i="16" s="1"/>
  <c r="AA253" i="16"/>
  <c r="Z253" i="16" s="1"/>
  <c r="Y253" i="16" s="1"/>
  <c r="H253" i="16"/>
  <c r="I253" i="16" s="1"/>
  <c r="AA318" i="16"/>
  <c r="Z318" i="16" s="1"/>
  <c r="Y318" i="16" s="1"/>
  <c r="H318" i="16"/>
  <c r="I318" i="16" s="1"/>
  <c r="H54" i="16"/>
  <c r="I54" i="16" s="1"/>
  <c r="AA54" i="16"/>
  <c r="Z54" i="16" s="1"/>
  <c r="Y54" i="16" s="1"/>
  <c r="F167" i="16"/>
  <c r="H167" i="16" s="1"/>
  <c r="G63" i="19"/>
  <c r="AA53" i="16"/>
  <c r="Z53" i="16" s="1"/>
  <c r="Y53" i="16" s="1"/>
  <c r="H53" i="16"/>
  <c r="I53" i="16" s="1"/>
  <c r="H36" i="16"/>
  <c r="J36" i="16" s="1"/>
  <c r="AA36" i="16"/>
  <c r="Z36" i="16" s="1"/>
  <c r="Y36" i="16" s="1"/>
  <c r="AA324" i="16"/>
  <c r="Z324" i="16" s="1"/>
  <c r="Y324" i="16" s="1"/>
  <c r="G324" i="16"/>
  <c r="BY324" i="6" s="1"/>
  <c r="H166" i="16"/>
  <c r="I166" i="16" s="1"/>
  <c r="AA166" i="16"/>
  <c r="Z166" i="16" s="1"/>
  <c r="Y166" i="16" s="1"/>
  <c r="AA305" i="16"/>
  <c r="Z305" i="16" s="1"/>
  <c r="Y305" i="16" s="1"/>
  <c r="G305" i="16"/>
  <c r="BY305" i="6" s="1"/>
  <c r="F63" i="19"/>
  <c r="H45" i="16"/>
  <c r="I45" i="16" s="1"/>
  <c r="AA258" i="16"/>
  <c r="Z258" i="16" s="1"/>
  <c r="Y258" i="16" s="1"/>
  <c r="H374" i="16"/>
  <c r="I374" i="16" s="1"/>
  <c r="H331" i="16"/>
  <c r="J331" i="16" s="1"/>
  <c r="AA92" i="16"/>
  <c r="Z92" i="16" s="1"/>
  <c r="Y92" i="16" s="1"/>
  <c r="H133" i="16"/>
  <c r="I133" i="16" s="1"/>
  <c r="H151" i="16"/>
  <c r="J151" i="16" s="1"/>
  <c r="AA93" i="16"/>
  <c r="Z93" i="16" s="1"/>
  <c r="Y93" i="16" s="1"/>
  <c r="H129" i="16"/>
  <c r="I129" i="16" s="1"/>
  <c r="D63" i="19"/>
  <c r="AA210" i="16"/>
  <c r="Z210" i="16" s="1"/>
  <c r="Y210" i="16" s="1"/>
  <c r="G177" i="16"/>
  <c r="BY177" i="6" s="1"/>
  <c r="H139" i="16"/>
  <c r="J139" i="16" s="1"/>
  <c r="AA220" i="16"/>
  <c r="Z220" i="16" s="1"/>
  <c r="Y220" i="16" s="1"/>
  <c r="H25" i="16"/>
  <c r="J25" i="16" s="1"/>
  <c r="AA164" i="16"/>
  <c r="Z164" i="16" s="1"/>
  <c r="Y164" i="16" s="1"/>
  <c r="H246" i="16"/>
  <c r="I246" i="16" s="1"/>
  <c r="G48" i="16"/>
  <c r="BY48" i="6" s="1"/>
  <c r="G175" i="16"/>
  <c r="BY175" i="6" s="1"/>
  <c r="H228" i="16"/>
  <c r="I228" i="16" s="1"/>
  <c r="G111" i="16"/>
  <c r="BY111" i="6" s="1"/>
  <c r="G348" i="16"/>
  <c r="BY348" i="6" s="1"/>
  <c r="G179" i="16"/>
  <c r="BY179" i="6" s="1"/>
  <c r="H110" i="16"/>
  <c r="J110" i="16" s="1"/>
  <c r="G334" i="16"/>
  <c r="BY334" i="6" s="1"/>
  <c r="AA231" i="16"/>
  <c r="Z231" i="16" s="1"/>
  <c r="Y231" i="16" s="1"/>
  <c r="AA192" i="16"/>
  <c r="Z192" i="16" s="1"/>
  <c r="Y192" i="16" s="1"/>
  <c r="AA380" i="16"/>
  <c r="Z380" i="16" s="1"/>
  <c r="Y380" i="16" s="1"/>
  <c r="H123" i="16"/>
  <c r="I123" i="16" s="1"/>
  <c r="AA142" i="16"/>
  <c r="Z142" i="16" s="1"/>
  <c r="Y142" i="16" s="1"/>
  <c r="H270" i="16"/>
  <c r="J270" i="16" s="1"/>
  <c r="H281" i="16"/>
  <c r="J281" i="16" s="1"/>
  <c r="G85" i="16"/>
  <c r="BY85" i="6" s="1"/>
  <c r="G336" i="16"/>
  <c r="BY336" i="6" s="1"/>
  <c r="G349" i="16"/>
  <c r="BY349" i="6" s="1"/>
  <c r="H342" i="16"/>
  <c r="J342" i="16" s="1"/>
  <c r="G53" i="16"/>
  <c r="BY53" i="6" s="1"/>
  <c r="G36" i="16"/>
  <c r="BY36" i="6" s="1"/>
  <c r="H51" i="16"/>
  <c r="I51" i="16" s="1"/>
  <c r="H195" i="16"/>
  <c r="I195" i="16" s="1"/>
  <c r="H324" i="16"/>
  <c r="J324" i="16" s="1"/>
  <c r="H199" i="16"/>
  <c r="J199" i="16" s="1"/>
  <c r="AA43" i="16"/>
  <c r="Z43" i="16" s="1"/>
  <c r="Y43" i="16" s="1"/>
  <c r="H70" i="16"/>
  <c r="I70" i="16" s="1"/>
  <c r="G117" i="16"/>
  <c r="BY117" i="6" s="1"/>
  <c r="H258" i="16"/>
  <c r="I258" i="16" s="1"/>
  <c r="E63" i="19"/>
  <c r="AA363" i="16"/>
  <c r="Z363" i="16" s="1"/>
  <c r="Y363" i="16" s="1"/>
  <c r="G363" i="16"/>
  <c r="BY363" i="6" s="1"/>
  <c r="H363" i="16"/>
  <c r="I363" i="16" s="1"/>
  <c r="C63" i="19"/>
  <c r="F106" i="16"/>
  <c r="G106" i="16" s="1"/>
  <c r="BY106" i="6" s="1"/>
  <c r="I63" i="19"/>
  <c r="AA321" i="16"/>
  <c r="Z321" i="16" s="1"/>
  <c r="Y321" i="16" s="1"/>
  <c r="H356" i="16"/>
  <c r="I356" i="16" s="1"/>
  <c r="AA374" i="16"/>
  <c r="Z374" i="16" s="1"/>
  <c r="Y374" i="16" s="1"/>
  <c r="J63" i="19"/>
  <c r="G23" i="16"/>
  <c r="BY23" i="6" s="1"/>
  <c r="G110" i="16"/>
  <c r="BY110" i="6" s="1"/>
  <c r="G86" i="16"/>
  <c r="BY86" i="6" s="1"/>
  <c r="G270" i="16"/>
  <c r="BY270" i="6" s="1"/>
  <c r="AA281" i="16"/>
  <c r="Z281" i="16" s="1"/>
  <c r="Y281" i="16" s="1"/>
  <c r="H76" i="16"/>
  <c r="I76" i="16" s="1"/>
  <c r="H78" i="16"/>
  <c r="I78" i="16" s="1"/>
  <c r="AA191" i="16"/>
  <c r="Z191" i="16" s="1"/>
  <c r="Y191" i="16" s="1"/>
  <c r="AA373" i="16"/>
  <c r="Z373" i="16" s="1"/>
  <c r="Y373" i="16" s="1"/>
  <c r="AA349" i="16"/>
  <c r="Z349" i="16" s="1"/>
  <c r="Y349" i="16" s="1"/>
  <c r="G342" i="16"/>
  <c r="BY342" i="6" s="1"/>
  <c r="H117" i="16"/>
  <c r="J117" i="16" s="1"/>
  <c r="L37" i="19"/>
  <c r="AA180" i="16"/>
  <c r="Z180" i="16" s="1"/>
  <c r="Y180" i="16" s="1"/>
  <c r="G180" i="16"/>
  <c r="BY180" i="6" s="1"/>
  <c r="H180" i="16"/>
  <c r="I180" i="16" s="1"/>
  <c r="AA241" i="16"/>
  <c r="Z241" i="16" s="1"/>
  <c r="Y241" i="16" s="1"/>
  <c r="G241" i="16"/>
  <c r="BY241" i="6" s="1"/>
  <c r="H241" i="16"/>
  <c r="J241" i="16" s="1"/>
  <c r="G302" i="16"/>
  <c r="BY302" i="6" s="1"/>
  <c r="H302" i="16"/>
  <c r="J302" i="16" s="1"/>
  <c r="AA302" i="16"/>
  <c r="Z302" i="16" s="1"/>
  <c r="Y302" i="16" s="1"/>
  <c r="AA333" i="16"/>
  <c r="Z333" i="16" s="1"/>
  <c r="Y333" i="16" s="1"/>
  <c r="H333" i="16"/>
  <c r="J333" i="16" s="1"/>
  <c r="G333" i="16"/>
  <c r="BY333" i="6" s="1"/>
  <c r="G29" i="16"/>
  <c r="BY29" i="6" s="1"/>
  <c r="H29" i="16"/>
  <c r="J29" i="16" s="1"/>
  <c r="AA29" i="16"/>
  <c r="Z29" i="16" s="1"/>
  <c r="Y29" i="16" s="1"/>
  <c r="AA379" i="16"/>
  <c r="Z379" i="16" s="1"/>
  <c r="Y379" i="16" s="1"/>
  <c r="G379" i="16"/>
  <c r="BY379" i="6" s="1"/>
  <c r="H379" i="16"/>
  <c r="I379" i="16" s="1"/>
  <c r="H272" i="16"/>
  <c r="I272" i="16" s="1"/>
  <c r="AA272" i="16"/>
  <c r="Z272" i="16" s="1"/>
  <c r="Y272" i="16" s="1"/>
  <c r="G272" i="16"/>
  <c r="BY272" i="6" s="1"/>
  <c r="L38" i="19"/>
  <c r="E382" i="17"/>
  <c r="E383" i="17"/>
  <c r="E9" i="17"/>
  <c r="E11" i="17" s="1"/>
  <c r="AJ9" i="17"/>
  <c r="AJ11" i="17" s="1"/>
  <c r="AJ13" i="17" s="1"/>
  <c r="AK8" i="17"/>
  <c r="E381" i="17"/>
  <c r="AC138" i="18"/>
  <c r="AC305" i="18"/>
  <c r="AC80" i="18"/>
  <c r="AC88" i="18"/>
  <c r="AC74" i="18"/>
  <c r="AC71" i="18"/>
  <c r="AC116" i="18"/>
  <c r="AC59" i="18"/>
  <c r="AC110" i="18"/>
  <c r="AC129" i="18"/>
  <c r="AC105" i="18"/>
  <c r="AC63" i="18"/>
  <c r="AC72" i="18"/>
  <c r="AC119" i="18"/>
  <c r="AC128" i="18"/>
  <c r="AC53" i="18"/>
  <c r="AC111" i="18"/>
  <c r="AC70" i="18"/>
  <c r="AC191" i="18"/>
  <c r="AC121" i="18"/>
  <c r="AC334" i="18"/>
  <c r="AC65" i="18"/>
  <c r="AC73" i="18"/>
  <c r="AC95" i="18"/>
  <c r="AC47" i="18"/>
  <c r="AC106" i="18"/>
  <c r="AC46" i="18"/>
  <c r="AC98" i="18"/>
  <c r="AC102" i="18"/>
  <c r="AC101" i="18"/>
  <c r="AC56" i="18"/>
  <c r="AC94" i="18"/>
  <c r="AC62" i="18"/>
  <c r="AC120" i="18"/>
  <c r="AC67" i="18"/>
  <c r="AC77" i="18"/>
  <c r="AC112" i="18"/>
  <c r="AC55" i="18"/>
  <c r="AC75" i="18"/>
  <c r="AC82" i="18"/>
  <c r="AC122" i="18"/>
  <c r="AC93" i="18"/>
  <c r="AC87" i="18"/>
  <c r="AC107" i="18"/>
  <c r="AC58" i="18"/>
  <c r="AC60" i="18"/>
  <c r="AC83" i="18"/>
  <c r="AC86" i="18"/>
  <c r="AC103" i="18"/>
  <c r="AC78" i="18"/>
  <c r="AC76" i="18"/>
  <c r="AC68" i="18"/>
  <c r="AC92" i="18"/>
  <c r="AC189" i="18"/>
  <c r="AC369" i="18"/>
  <c r="AC359" i="18"/>
  <c r="AC210" i="18"/>
  <c r="AC219" i="18"/>
  <c r="AC246" i="18"/>
  <c r="AC135" i="18"/>
  <c r="AC254" i="18"/>
  <c r="AC185" i="18"/>
  <c r="AC372" i="18"/>
  <c r="AC225" i="18"/>
  <c r="AC182" i="18"/>
  <c r="AC175" i="18"/>
  <c r="AC373" i="18"/>
  <c r="AC148" i="18"/>
  <c r="AC319" i="18"/>
  <c r="AC184" i="18"/>
  <c r="AC299" i="18"/>
  <c r="AC312" i="18"/>
  <c r="AC177" i="18"/>
  <c r="AC345" i="18"/>
  <c r="AC248" i="18"/>
  <c r="AC228" i="18"/>
  <c r="AC371" i="18"/>
  <c r="AC195" i="18"/>
  <c r="AC335" i="18"/>
  <c r="AC159" i="18"/>
  <c r="AC153" i="18"/>
  <c r="AC365" i="18"/>
  <c r="AC329" i="18"/>
  <c r="AC291" i="18"/>
  <c r="AC169" i="18"/>
  <c r="AC360" i="18"/>
  <c r="AC215" i="18"/>
  <c r="AC341" i="18"/>
  <c r="AC240" i="18"/>
  <c r="AC260" i="18"/>
  <c r="AC202" i="18"/>
  <c r="AC321" i="18"/>
  <c r="AC171" i="18"/>
  <c r="AC140" i="18"/>
  <c r="AC325" i="18"/>
  <c r="AC160" i="18"/>
  <c r="AC294" i="18"/>
  <c r="AC233" i="18"/>
  <c r="AC200" i="18"/>
  <c r="AC315" i="18"/>
  <c r="AC139" i="18"/>
  <c r="AC361" i="18"/>
  <c r="AC333" i="18"/>
  <c r="AC147" i="18"/>
  <c r="AC179" i="18"/>
  <c r="AC141" i="18"/>
  <c r="AC247" i="18"/>
  <c r="AC241" i="18"/>
  <c r="AC303" i="18"/>
  <c r="AC272" i="18"/>
  <c r="AC362" i="18"/>
  <c r="AC264" i="18"/>
  <c r="AC146" i="18"/>
  <c r="AC376" i="18"/>
  <c r="AC336" i="18"/>
  <c r="AC355" i="18"/>
  <c r="AC199" i="18"/>
  <c r="AC323" i="18"/>
  <c r="AC280" i="18"/>
  <c r="AC307" i="18"/>
  <c r="AC344" i="18"/>
  <c r="AC256" i="18"/>
  <c r="AC282" i="18"/>
  <c r="AC310" i="18"/>
  <c r="AC170" i="18"/>
  <c r="AC158" i="18"/>
  <c r="AC238" i="18"/>
  <c r="AC223" i="18"/>
  <c r="AC337" i="18"/>
  <c r="AC375" i="18"/>
  <c r="AC161" i="18"/>
  <c r="AC327" i="18"/>
  <c r="AC197" i="18"/>
  <c r="AC178" i="18"/>
  <c r="AC318" i="18"/>
  <c r="AC377" i="18"/>
  <c r="AC155" i="18"/>
  <c r="AC288" i="18"/>
  <c r="AC212" i="18"/>
  <c r="AC314" i="18"/>
  <c r="AC249" i="18"/>
  <c r="AC258" i="18"/>
  <c r="AC367" i="18"/>
  <c r="AC276" i="18"/>
  <c r="AC198" i="18"/>
  <c r="AC250" i="18"/>
  <c r="AC180" i="18"/>
  <c r="AC263" i="18"/>
  <c r="AC236" i="18"/>
  <c r="AC209" i="18"/>
  <c r="AC136" i="18"/>
  <c r="AC194" i="18"/>
  <c r="AC253" i="18"/>
  <c r="AC213" i="18"/>
  <c r="AC281" i="18"/>
  <c r="AC270" i="18"/>
  <c r="AC207" i="18"/>
  <c r="AC216" i="18"/>
  <c r="AC142" i="18"/>
  <c r="AC284" i="18"/>
  <c r="AC297" i="18"/>
  <c r="AC261" i="18"/>
  <c r="AC349" i="18"/>
  <c r="AC358" i="18"/>
  <c r="AC338" i="18"/>
  <c r="AC220" i="18"/>
  <c r="AC262" i="18"/>
  <c r="AC226" i="18"/>
  <c r="AC378" i="18"/>
  <c r="AC206" i="18"/>
  <c r="AC340" i="18"/>
  <c r="AC167" i="18"/>
  <c r="AC10" i="20"/>
  <c r="AC330" i="20" s="1"/>
  <c r="AC30" i="20"/>
  <c r="AC107" i="20"/>
  <c r="AC132" i="20"/>
  <c r="AC104" i="20"/>
  <c r="AC86" i="20"/>
  <c r="AC116" i="20"/>
  <c r="AC44" i="20"/>
  <c r="AC63" i="20"/>
  <c r="AC51" i="20"/>
  <c r="AC119" i="20"/>
  <c r="AC65" i="20"/>
  <c r="AC100" i="20"/>
  <c r="AC52" i="20"/>
  <c r="AC114" i="20"/>
  <c r="AC110" i="20"/>
  <c r="AC71" i="20"/>
  <c r="AC25" i="20"/>
  <c r="AC20" i="20"/>
  <c r="AC45" i="20"/>
  <c r="AC18" i="20"/>
  <c r="AC118" i="20"/>
  <c r="AC21" i="20"/>
  <c r="AC66" i="20"/>
  <c r="AC26" i="20"/>
  <c r="AC120" i="20"/>
  <c r="AC93" i="20"/>
  <c r="AC38" i="20"/>
  <c r="AC270" i="20"/>
  <c r="AC68" i="20"/>
  <c r="AC101" i="20"/>
  <c r="AC40" i="20"/>
  <c r="AC99" i="20"/>
  <c r="AC53" i="20"/>
  <c r="AC34" i="20"/>
  <c r="AC19" i="20"/>
  <c r="AC290" i="20"/>
  <c r="AC70" i="20"/>
  <c r="AC78" i="20"/>
  <c r="AC31" i="20"/>
  <c r="AC83" i="20"/>
  <c r="AC43" i="20"/>
  <c r="AC77" i="20"/>
  <c r="AC50" i="20"/>
  <c r="AC126" i="20"/>
  <c r="AC122" i="20"/>
  <c r="AC23" i="20"/>
  <c r="AC39" i="20"/>
  <c r="AC128" i="20"/>
  <c r="AC103" i="20"/>
  <c r="AC74" i="20"/>
  <c r="AC115" i="20"/>
  <c r="AC111" i="20"/>
  <c r="AC46" i="20"/>
  <c r="AC59" i="20"/>
  <c r="AC91" i="20"/>
  <c r="AC41" i="20"/>
  <c r="AC113" i="20"/>
  <c r="AC266" i="20"/>
  <c r="AC42" i="20"/>
  <c r="AC205" i="20"/>
  <c r="AC105" i="20"/>
  <c r="AC117" i="20"/>
  <c r="AC64" i="20"/>
  <c r="AC81" i="20"/>
  <c r="AC94" i="20"/>
  <c r="AC102" i="20"/>
  <c r="AC57" i="18"/>
  <c r="AC353" i="18"/>
  <c r="AC125" i="18"/>
  <c r="AC61" i="18"/>
  <c r="AC51" i="18"/>
  <c r="AC330" i="18"/>
  <c r="AC127" i="18"/>
  <c r="AC104" i="18"/>
  <c r="AC118" i="18"/>
  <c r="AC278" i="18"/>
  <c r="AC234" i="18"/>
  <c r="AC326" i="18"/>
  <c r="AC124" i="18"/>
  <c r="AC64" i="18"/>
  <c r="AC132" i="18"/>
  <c r="AC151" i="18"/>
  <c r="AC81" i="18"/>
  <c r="AC79" i="18"/>
  <c r="AC97" i="18"/>
  <c r="AC49" i="18"/>
  <c r="AC85" i="18"/>
  <c r="AC48" i="18"/>
  <c r="AC123" i="18"/>
  <c r="AC109" i="18"/>
  <c r="AC117" i="18"/>
  <c r="AC50" i="18"/>
  <c r="AC84" i="18"/>
  <c r="AC108" i="18"/>
  <c r="AC54" i="18"/>
  <c r="AC96" i="18"/>
  <c r="AC99" i="18"/>
  <c r="AC69" i="18"/>
  <c r="AC66" i="18"/>
  <c r="AC130" i="18"/>
  <c r="AC115" i="18"/>
  <c r="AC90" i="18"/>
  <c r="AC100" i="18"/>
  <c r="AC113" i="18"/>
  <c r="AC91" i="18"/>
  <c r="AC52" i="18"/>
  <c r="AC126" i="18"/>
  <c r="AC89" i="18"/>
  <c r="AC114" i="18"/>
  <c r="AC133" i="18"/>
  <c r="AC131" i="18"/>
  <c r="AC196" i="18"/>
  <c r="AC343" i="18"/>
  <c r="AC204" i="18"/>
  <c r="AC285" i="18"/>
  <c r="AC245" i="18"/>
  <c r="AC188" i="18"/>
  <c r="AC292" i="18"/>
  <c r="AC311" i="18"/>
  <c r="AC143" i="18"/>
  <c r="AC176" i="18"/>
  <c r="AC300" i="18"/>
  <c r="AC298" i="18"/>
  <c r="AC172" i="18"/>
  <c r="AC168" i="18"/>
  <c r="AC193" i="18"/>
  <c r="AC183" i="18"/>
  <c r="AC308" i="18"/>
  <c r="AC277" i="18"/>
  <c r="AC348" i="18"/>
  <c r="AC331" i="18"/>
  <c r="AC266" i="18"/>
  <c r="AC366" i="18"/>
  <c r="AC328" i="18"/>
  <c r="AC286" i="18"/>
  <c r="AC354" i="18"/>
  <c r="AC252" i="18"/>
  <c r="AC295" i="18"/>
  <c r="AC165" i="18"/>
  <c r="AC243" i="18"/>
  <c r="AC350" i="18"/>
  <c r="AC368" i="18"/>
  <c r="AC137" i="18"/>
  <c r="AC232" i="18"/>
  <c r="AC237" i="18"/>
  <c r="AC289" i="18"/>
  <c r="AC363" i="18"/>
  <c r="AC317" i="18"/>
  <c r="AC296" i="18"/>
  <c r="AC356" i="18"/>
  <c r="AC332" i="18"/>
  <c r="AC313" i="18"/>
  <c r="AC224" i="18"/>
  <c r="AC227" i="18"/>
  <c r="AC287" i="18"/>
  <c r="AC205" i="18"/>
  <c r="AC251" i="18"/>
  <c r="AC211" i="18"/>
  <c r="AC320" i="18"/>
  <c r="AC357" i="18"/>
  <c r="AC181" i="18"/>
  <c r="AC279" i="18"/>
  <c r="AC265" i="18"/>
  <c r="AC174" i="18"/>
  <c r="AC379" i="18"/>
  <c r="AC257" i="18"/>
  <c r="AC203" i="18"/>
  <c r="AC306" i="18"/>
  <c r="AC304" i="18"/>
  <c r="AC150" i="18"/>
  <c r="AC267" i="18"/>
  <c r="AC235" i="18"/>
  <c r="AC242" i="18"/>
  <c r="AC154" i="18"/>
  <c r="AC230" i="18"/>
  <c r="AC217" i="18"/>
  <c r="AC164" i="18"/>
  <c r="AC255" i="18"/>
  <c r="AC316" i="18"/>
  <c r="AC274" i="18"/>
  <c r="AC293" i="18"/>
  <c r="AC156" i="18"/>
  <c r="AC239" i="18"/>
  <c r="AC145" i="18"/>
  <c r="AC221" i="18"/>
  <c r="AC364" i="18"/>
  <c r="AC275" i="18"/>
  <c r="AC302" i="18"/>
  <c r="AC342" i="18"/>
  <c r="AC157" i="18"/>
  <c r="AC347" i="18"/>
  <c r="AC229" i="18"/>
  <c r="AC166" i="18"/>
  <c r="AC269" i="18"/>
  <c r="AC346" i="18"/>
  <c r="AC283" i="18"/>
  <c r="AC352" i="18"/>
  <c r="AC208" i="18"/>
  <c r="AC152" i="18"/>
  <c r="AC290" i="18"/>
  <c r="AC351" i="18"/>
  <c r="AC162" i="18"/>
  <c r="AC186" i="18"/>
  <c r="AC339" i="18"/>
  <c r="AC144" i="18"/>
  <c r="AC259" i="18"/>
  <c r="AC268" i="18"/>
  <c r="AC271" i="18"/>
  <c r="AC192" i="18"/>
  <c r="AC190" i="18"/>
  <c r="AC149" i="18"/>
  <c r="AC301" i="18"/>
  <c r="AC231" i="18"/>
  <c r="AC214" i="18"/>
  <c r="AC324" i="18"/>
  <c r="AC218" i="18"/>
  <c r="AC244" i="18"/>
  <c r="AC374" i="18"/>
  <c r="AC134" i="18"/>
  <c r="AC163" i="18"/>
  <c r="AC187" i="18"/>
  <c r="AC322" i="18"/>
  <c r="AC201" i="18"/>
  <c r="AC173" i="18"/>
  <c r="AC222" i="18"/>
  <c r="AC370" i="18"/>
  <c r="AC273" i="18"/>
  <c r="AC309" i="18"/>
  <c r="AC109" i="20"/>
  <c r="AC60" i="20"/>
  <c r="AC92" i="20"/>
  <c r="AC15" i="20"/>
  <c r="AC32" i="20"/>
  <c r="AC54" i="20"/>
  <c r="AC28" i="20"/>
  <c r="AC57" i="20"/>
  <c r="AC55" i="20"/>
  <c r="AC106" i="20"/>
  <c r="AC123" i="20"/>
  <c r="AC35" i="20"/>
  <c r="AC22" i="20"/>
  <c r="AC90" i="20"/>
  <c r="AC61" i="20"/>
  <c r="AC33" i="20"/>
  <c r="AC124" i="20"/>
  <c r="AC80" i="20"/>
  <c r="AC84" i="20"/>
  <c r="AC29" i="20"/>
  <c r="AC97" i="20"/>
  <c r="AC95" i="20"/>
  <c r="AC67" i="20"/>
  <c r="AC79" i="20"/>
  <c r="AC69" i="20"/>
  <c r="AC85" i="20"/>
  <c r="AC48" i="20"/>
  <c r="AC89" i="20"/>
  <c r="AC58" i="20"/>
  <c r="AC125" i="20"/>
  <c r="AC24" i="20"/>
  <c r="AC121" i="20"/>
  <c r="AC131" i="20"/>
  <c r="AC98" i="20"/>
  <c r="AC62" i="20"/>
  <c r="AC96" i="20"/>
  <c r="AC127" i="20"/>
  <c r="AC112" i="20"/>
  <c r="AC108" i="20"/>
  <c r="AC17" i="20"/>
  <c r="AC72" i="20"/>
  <c r="AC129" i="20"/>
  <c r="AC88" i="20"/>
  <c r="AC47" i="20"/>
  <c r="AC56" i="20"/>
  <c r="AC76" i="20"/>
  <c r="AC130" i="20"/>
  <c r="AC49" i="20"/>
  <c r="AC37" i="20"/>
  <c r="AC27" i="20"/>
  <c r="AC133" i="20"/>
  <c r="AC82" i="20"/>
  <c r="AC75" i="20"/>
  <c r="AC73" i="20"/>
  <c r="AC382" i="17"/>
  <c r="AC383" i="17"/>
  <c r="AC381" i="17"/>
  <c r="E381" i="16"/>
  <c r="E383" i="16"/>
  <c r="AJ10" i="16"/>
  <c r="AJ12" i="16" s="1"/>
  <c r="AJ13" i="16" s="1"/>
  <c r="E9" i="16"/>
  <c r="E11" i="16" s="1"/>
  <c r="E382" i="16"/>
  <c r="AK8" i="16"/>
  <c r="D11" i="19"/>
  <c r="E11" i="19" s="1"/>
  <c r="G35" i="19"/>
  <c r="AK9" i="15"/>
  <c r="AK11" i="15" s="1"/>
  <c r="AM9" i="15"/>
  <c r="AE383" i="17"/>
  <c r="AE381" i="17"/>
  <c r="AE382" i="17"/>
  <c r="Q381" i="17"/>
  <c r="Q383" i="17"/>
  <c r="Q382" i="17"/>
  <c r="Q12" i="18"/>
  <c r="V15" i="7"/>
  <c r="U277" i="17"/>
  <c r="T277" i="17" s="1"/>
  <c r="S277" i="17" s="1"/>
  <c r="R277" i="17" s="1"/>
  <c r="P277" i="17" s="1"/>
  <c r="V277" i="17" s="1"/>
  <c r="F277" i="17" s="1"/>
  <c r="AE11" i="18"/>
  <c r="U73" i="17"/>
  <c r="T73" i="17" s="1"/>
  <c r="S73" i="17" s="1"/>
  <c r="R73" i="17" s="1"/>
  <c r="P73" i="17" s="1"/>
  <c r="V73" i="17" s="1"/>
  <c r="U327" i="17"/>
  <c r="T327" i="17" s="1"/>
  <c r="S327" i="17" s="1"/>
  <c r="R327" i="17" s="1"/>
  <c r="P327" i="17" s="1"/>
  <c r="V327" i="17" s="1"/>
  <c r="F327" i="17" s="1"/>
  <c r="U56" i="17"/>
  <c r="T56" i="17" s="1"/>
  <c r="S56" i="17" s="1"/>
  <c r="R56" i="17" s="1"/>
  <c r="P56" i="17" s="1"/>
  <c r="V56" i="17" s="1"/>
  <c r="F56" i="17" s="1"/>
  <c r="U192" i="17"/>
  <c r="T192" i="17" s="1"/>
  <c r="S192" i="17" s="1"/>
  <c r="R192" i="17" s="1"/>
  <c r="P192" i="17" s="1"/>
  <c r="V192" i="17" s="1"/>
  <c r="U233" i="17"/>
  <c r="T233" i="17" s="1"/>
  <c r="S233" i="17" s="1"/>
  <c r="R233" i="17" s="1"/>
  <c r="P233" i="17" s="1"/>
  <c r="V233" i="17" s="1"/>
  <c r="U34" i="17"/>
  <c r="T34" i="17" s="1"/>
  <c r="S34" i="17" s="1"/>
  <c r="R34" i="17" s="1"/>
  <c r="P34" i="17" s="1"/>
  <c r="V34" i="17" s="1"/>
  <c r="F34" i="17" s="1"/>
  <c r="U138" i="17"/>
  <c r="T138" i="17" s="1"/>
  <c r="S138" i="17" s="1"/>
  <c r="R138" i="17" s="1"/>
  <c r="P138" i="17" s="1"/>
  <c r="V138" i="17" s="1"/>
  <c r="U272" i="17"/>
  <c r="T272" i="17" s="1"/>
  <c r="S272" i="17" s="1"/>
  <c r="R272" i="17" s="1"/>
  <c r="P272" i="17" s="1"/>
  <c r="V272" i="17" s="1"/>
  <c r="U40" i="17"/>
  <c r="T40" i="17" s="1"/>
  <c r="S40" i="17" s="1"/>
  <c r="R40" i="17" s="1"/>
  <c r="P40" i="17" s="1"/>
  <c r="V40" i="17" s="1"/>
  <c r="U60" i="17"/>
  <c r="T60" i="17" s="1"/>
  <c r="S60" i="17" s="1"/>
  <c r="R60" i="17" s="1"/>
  <c r="P60" i="17" s="1"/>
  <c r="D57" i="7" s="1"/>
  <c r="U101" i="17"/>
  <c r="T101" i="17" s="1"/>
  <c r="S101" i="17" s="1"/>
  <c r="R101" i="17" s="1"/>
  <c r="P101" i="17" s="1"/>
  <c r="V101" i="17" s="1"/>
  <c r="U178" i="17"/>
  <c r="T178" i="17" s="1"/>
  <c r="S178" i="17" s="1"/>
  <c r="R178" i="17" s="1"/>
  <c r="P178" i="17" s="1"/>
  <c r="V178" i="17" s="1"/>
  <c r="U326" i="17"/>
  <c r="T326" i="17" s="1"/>
  <c r="S326" i="17" s="1"/>
  <c r="R326" i="17" s="1"/>
  <c r="P326" i="17" s="1"/>
  <c r="V326" i="17" s="1"/>
  <c r="F326" i="17" s="1"/>
  <c r="U176" i="17"/>
  <c r="T176" i="17" s="1"/>
  <c r="S176" i="17" s="1"/>
  <c r="R176" i="17" s="1"/>
  <c r="P176" i="17" s="1"/>
  <c r="V176" i="17" s="1"/>
  <c r="U269" i="17"/>
  <c r="T269" i="17" s="1"/>
  <c r="S269" i="17" s="1"/>
  <c r="R269" i="17" s="1"/>
  <c r="P269" i="17" s="1"/>
  <c r="V269" i="17" s="1"/>
  <c r="U342" i="17"/>
  <c r="T342" i="17" s="1"/>
  <c r="S342" i="17" s="1"/>
  <c r="R342" i="17" s="1"/>
  <c r="P342" i="17" s="1"/>
  <c r="V342" i="17" s="1"/>
  <c r="U372" i="17"/>
  <c r="T372" i="17" s="1"/>
  <c r="S372" i="17" s="1"/>
  <c r="R372" i="17" s="1"/>
  <c r="P372" i="17" s="1"/>
  <c r="V372" i="17" s="1"/>
  <c r="U63" i="17"/>
  <c r="T63" i="17" s="1"/>
  <c r="S63" i="17" s="1"/>
  <c r="R63" i="17" s="1"/>
  <c r="P63" i="17" s="1"/>
  <c r="V63" i="17" s="1"/>
  <c r="U257" i="17"/>
  <c r="T257" i="17" s="1"/>
  <c r="S257" i="17" s="1"/>
  <c r="R257" i="17" s="1"/>
  <c r="P257" i="17" s="1"/>
  <c r="V257" i="17" s="1"/>
  <c r="F257" i="17" s="1"/>
  <c r="U85" i="17"/>
  <c r="T85" i="17" s="1"/>
  <c r="S85" i="17" s="1"/>
  <c r="R85" i="17" s="1"/>
  <c r="P85" i="17" s="1"/>
  <c r="V85" i="17" s="1"/>
  <c r="U349" i="17"/>
  <c r="T349" i="17" s="1"/>
  <c r="S349" i="17" s="1"/>
  <c r="R349" i="17" s="1"/>
  <c r="P349" i="17" s="1"/>
  <c r="V349" i="17" s="1"/>
  <c r="F349" i="17" s="1"/>
  <c r="U234" i="17"/>
  <c r="T234" i="17" s="1"/>
  <c r="S234" i="17" s="1"/>
  <c r="R234" i="17" s="1"/>
  <c r="P234" i="17" s="1"/>
  <c r="V234" i="17" s="1"/>
  <c r="F234" i="17" s="1"/>
  <c r="U377" i="17"/>
  <c r="T377" i="17" s="1"/>
  <c r="S377" i="17" s="1"/>
  <c r="R377" i="17" s="1"/>
  <c r="P377" i="17" s="1"/>
  <c r="V377" i="17" s="1"/>
  <c r="F377" i="17" s="1"/>
  <c r="U43" i="17"/>
  <c r="T43" i="17" s="1"/>
  <c r="S43" i="17" s="1"/>
  <c r="R43" i="17" s="1"/>
  <c r="P43" i="17" s="1"/>
  <c r="V43" i="17" s="1"/>
  <c r="U29" i="17"/>
  <c r="T29" i="17" s="1"/>
  <c r="S29" i="17" s="1"/>
  <c r="R29" i="17" s="1"/>
  <c r="P29" i="17" s="1"/>
  <c r="V29" i="17" s="1"/>
  <c r="U95" i="17"/>
  <c r="T95" i="17" s="1"/>
  <c r="S95" i="17" s="1"/>
  <c r="R95" i="17" s="1"/>
  <c r="P95" i="17" s="1"/>
  <c r="V95" i="17" s="1"/>
  <c r="U258" i="17"/>
  <c r="T258" i="17" s="1"/>
  <c r="S258" i="17" s="1"/>
  <c r="R258" i="17" s="1"/>
  <c r="P258" i="17" s="1"/>
  <c r="V258" i="17" s="1"/>
  <c r="F258" i="17" s="1"/>
  <c r="U42" i="17"/>
  <c r="T42" i="17" s="1"/>
  <c r="S42" i="17" s="1"/>
  <c r="R42" i="17" s="1"/>
  <c r="P42" i="17" s="1"/>
  <c r="V42" i="17" s="1"/>
  <c r="F42" i="17" s="1"/>
  <c r="U151" i="17"/>
  <c r="T151" i="17" s="1"/>
  <c r="S151" i="17" s="1"/>
  <c r="R151" i="17" s="1"/>
  <c r="P151" i="17" s="1"/>
  <c r="V151" i="17" s="1"/>
  <c r="F151" i="17" s="1"/>
  <c r="U334" i="17"/>
  <c r="T334" i="17" s="1"/>
  <c r="S334" i="17" s="1"/>
  <c r="R334" i="17" s="1"/>
  <c r="P334" i="17" s="1"/>
  <c r="V334" i="17" s="1"/>
  <c r="F334" i="17" s="1"/>
  <c r="U312" i="17"/>
  <c r="T312" i="17" s="1"/>
  <c r="S312" i="17" s="1"/>
  <c r="R312" i="17" s="1"/>
  <c r="P312" i="17" s="1"/>
  <c r="V312" i="17" s="1"/>
  <c r="F312" i="17" s="1"/>
  <c r="U239" i="17"/>
  <c r="T239" i="17" s="1"/>
  <c r="S239" i="17" s="1"/>
  <c r="R239" i="17" s="1"/>
  <c r="P239" i="17" s="1"/>
  <c r="V239" i="17" s="1"/>
  <c r="F239" i="17" s="1"/>
  <c r="U115" i="17"/>
  <c r="T115" i="17" s="1"/>
  <c r="S115" i="17" s="1"/>
  <c r="R115" i="17" s="1"/>
  <c r="P115" i="17" s="1"/>
  <c r="V115" i="17" s="1"/>
  <c r="U354" i="17"/>
  <c r="T354" i="17" s="1"/>
  <c r="S354" i="17" s="1"/>
  <c r="R354" i="17" s="1"/>
  <c r="P354" i="17" s="1"/>
  <c r="V354" i="17" s="1"/>
  <c r="F354" i="17" s="1"/>
  <c r="U228" i="17"/>
  <c r="T228" i="17" s="1"/>
  <c r="S228" i="17" s="1"/>
  <c r="R228" i="17" s="1"/>
  <c r="P228" i="17" s="1"/>
  <c r="V228" i="17" s="1"/>
  <c r="F228" i="17" s="1"/>
  <c r="U110" i="17"/>
  <c r="T110" i="17" s="1"/>
  <c r="S110" i="17" s="1"/>
  <c r="R110" i="17" s="1"/>
  <c r="P110" i="17" s="1"/>
  <c r="V110" i="17" s="1"/>
  <c r="F110" i="17" s="1"/>
  <c r="U147" i="17"/>
  <c r="T147" i="17" s="1"/>
  <c r="S147" i="17" s="1"/>
  <c r="R147" i="17" s="1"/>
  <c r="P147" i="17" s="1"/>
  <c r="V147" i="17" s="1"/>
  <c r="U219" i="17"/>
  <c r="T219" i="17" s="1"/>
  <c r="S219" i="17" s="1"/>
  <c r="R219" i="17" s="1"/>
  <c r="P219" i="17" s="1"/>
  <c r="V219" i="17" s="1"/>
  <c r="F219" i="17" s="1"/>
  <c r="U348" i="17"/>
  <c r="T348" i="17" s="1"/>
  <c r="S348" i="17" s="1"/>
  <c r="R348" i="17" s="1"/>
  <c r="P348" i="17" s="1"/>
  <c r="V348" i="17" s="1"/>
  <c r="F348" i="17" s="1"/>
  <c r="U370" i="17"/>
  <c r="T370" i="17" s="1"/>
  <c r="S370" i="17" s="1"/>
  <c r="R370" i="17" s="1"/>
  <c r="P370" i="17" s="1"/>
  <c r="V370" i="17" s="1"/>
  <c r="U297" i="17"/>
  <c r="T297" i="17" s="1"/>
  <c r="S297" i="17" s="1"/>
  <c r="R297" i="17" s="1"/>
  <c r="P297" i="17" s="1"/>
  <c r="V297" i="17" s="1"/>
  <c r="U94" i="17"/>
  <c r="T94" i="17" s="1"/>
  <c r="S94" i="17" s="1"/>
  <c r="R94" i="17" s="1"/>
  <c r="P94" i="17" s="1"/>
  <c r="V94" i="17" s="1"/>
  <c r="U268" i="17"/>
  <c r="T268" i="17" s="1"/>
  <c r="S268" i="17" s="1"/>
  <c r="R268" i="17" s="1"/>
  <c r="P268" i="17" s="1"/>
  <c r="V268" i="17" s="1"/>
  <c r="F268" i="17" s="1"/>
  <c r="U323" i="17"/>
  <c r="T323" i="17" s="1"/>
  <c r="S323" i="17" s="1"/>
  <c r="R323" i="17" s="1"/>
  <c r="P323" i="17" s="1"/>
  <c r="V323" i="17" s="1"/>
  <c r="F323" i="17" s="1"/>
  <c r="U35" i="17"/>
  <c r="T35" i="17" s="1"/>
  <c r="S35" i="17" s="1"/>
  <c r="R35" i="17" s="1"/>
  <c r="P35" i="17" s="1"/>
  <c r="V35" i="17" s="1"/>
  <c r="F35" i="17" s="1"/>
  <c r="U69" i="17"/>
  <c r="T69" i="17" s="1"/>
  <c r="S69" i="17" s="1"/>
  <c r="R69" i="17" s="1"/>
  <c r="P69" i="17" s="1"/>
  <c r="V69" i="17" s="1"/>
  <c r="F69" i="17" s="1"/>
  <c r="U119" i="17"/>
  <c r="T119" i="17" s="1"/>
  <c r="S119" i="17" s="1"/>
  <c r="R119" i="17" s="1"/>
  <c r="P119" i="17" s="1"/>
  <c r="V119" i="17" s="1"/>
  <c r="F119" i="17" s="1"/>
  <c r="U214" i="17"/>
  <c r="T214" i="17" s="1"/>
  <c r="S214" i="17" s="1"/>
  <c r="R214" i="17" s="1"/>
  <c r="P214" i="17" s="1"/>
  <c r="V214" i="17" s="1"/>
  <c r="F214" i="17" s="1"/>
  <c r="U308" i="17"/>
  <c r="T308" i="17" s="1"/>
  <c r="S308" i="17" s="1"/>
  <c r="R308" i="17" s="1"/>
  <c r="P308" i="17" s="1"/>
  <c r="V308" i="17" s="1"/>
  <c r="U181" i="17"/>
  <c r="T181" i="17" s="1"/>
  <c r="S181" i="17" s="1"/>
  <c r="R181" i="17" s="1"/>
  <c r="P181" i="17" s="1"/>
  <c r="V181" i="17" s="1"/>
  <c r="U316" i="17"/>
  <c r="T316" i="17" s="1"/>
  <c r="S316" i="17" s="1"/>
  <c r="R316" i="17" s="1"/>
  <c r="P316" i="17" s="1"/>
  <c r="V316" i="17" s="1"/>
  <c r="U345" i="17"/>
  <c r="T345" i="17" s="1"/>
  <c r="S345" i="17" s="1"/>
  <c r="R345" i="17" s="1"/>
  <c r="P345" i="17" s="1"/>
  <c r="V345" i="17" s="1"/>
  <c r="U191" i="17"/>
  <c r="T191" i="17" s="1"/>
  <c r="S191" i="17" s="1"/>
  <c r="R191" i="17" s="1"/>
  <c r="P191" i="17" s="1"/>
  <c r="V191" i="17" s="1"/>
  <c r="F191" i="17" s="1"/>
  <c r="U196" i="17"/>
  <c r="T196" i="17" s="1"/>
  <c r="S196" i="17" s="1"/>
  <c r="R196" i="17" s="1"/>
  <c r="P196" i="17" s="1"/>
  <c r="V196" i="17" s="1"/>
  <c r="U262" i="17"/>
  <c r="T262" i="17" s="1"/>
  <c r="S262" i="17" s="1"/>
  <c r="R262" i="17" s="1"/>
  <c r="P262" i="17" s="1"/>
  <c r="V262" i="17" s="1"/>
  <c r="U227" i="17"/>
  <c r="T227" i="17" s="1"/>
  <c r="S227" i="17" s="1"/>
  <c r="R227" i="17" s="1"/>
  <c r="P227" i="17" s="1"/>
  <c r="V227" i="17" s="1"/>
  <c r="F227" i="17" s="1"/>
  <c r="U252" i="17"/>
  <c r="T252" i="17" s="1"/>
  <c r="S252" i="17" s="1"/>
  <c r="R252" i="17" s="1"/>
  <c r="P252" i="17" s="1"/>
  <c r="V252" i="17" s="1"/>
  <c r="F252" i="17" s="1"/>
  <c r="U273" i="17"/>
  <c r="T273" i="17" s="1"/>
  <c r="S273" i="17" s="1"/>
  <c r="R273" i="17" s="1"/>
  <c r="P273" i="17" s="1"/>
  <c r="V273" i="17" s="1"/>
  <c r="F273" i="17" s="1"/>
  <c r="U211" i="17"/>
  <c r="T211" i="17" s="1"/>
  <c r="S211" i="17" s="1"/>
  <c r="R211" i="17" s="1"/>
  <c r="P211" i="17" s="1"/>
  <c r="V211" i="17" s="1"/>
  <c r="U72" i="17"/>
  <c r="T72" i="17" s="1"/>
  <c r="S72" i="17" s="1"/>
  <c r="R72" i="17" s="1"/>
  <c r="P72" i="17" s="1"/>
  <c r="V72" i="17" s="1"/>
  <c r="U351" i="17"/>
  <c r="T351" i="17" s="1"/>
  <c r="S351" i="17" s="1"/>
  <c r="R351" i="17" s="1"/>
  <c r="P351" i="17" s="1"/>
  <c r="V351" i="17" s="1"/>
  <c r="F351" i="17" s="1"/>
  <c r="U339" i="17"/>
  <c r="T339" i="17" s="1"/>
  <c r="S339" i="17" s="1"/>
  <c r="R339" i="17" s="1"/>
  <c r="P339" i="17" s="1"/>
  <c r="V339" i="17" s="1"/>
  <c r="U306" i="17"/>
  <c r="T306" i="17" s="1"/>
  <c r="S306" i="17" s="1"/>
  <c r="R306" i="17" s="1"/>
  <c r="P306" i="17" s="1"/>
  <c r="V306" i="17" s="1"/>
  <c r="U275" i="17"/>
  <c r="T275" i="17" s="1"/>
  <c r="S275" i="17" s="1"/>
  <c r="R275" i="17" s="1"/>
  <c r="P275" i="17" s="1"/>
  <c r="V275" i="17" s="1"/>
  <c r="F275" i="17" s="1"/>
  <c r="U98" i="17"/>
  <c r="T98" i="17" s="1"/>
  <c r="S98" i="17" s="1"/>
  <c r="R98" i="17" s="1"/>
  <c r="P98" i="17" s="1"/>
  <c r="V98" i="17" s="1"/>
  <c r="F98" i="17" s="1"/>
  <c r="U109" i="17"/>
  <c r="T109" i="17" s="1"/>
  <c r="S109" i="17" s="1"/>
  <c r="R109" i="17" s="1"/>
  <c r="P109" i="17" s="1"/>
  <c r="V109" i="17" s="1"/>
  <c r="U20" i="17"/>
  <c r="T20" i="17" s="1"/>
  <c r="S20" i="17" s="1"/>
  <c r="R20" i="17" s="1"/>
  <c r="P20" i="17" s="1"/>
  <c r="V20" i="17" s="1"/>
  <c r="F20" i="17" s="1"/>
  <c r="U209" i="17"/>
  <c r="T209" i="17" s="1"/>
  <c r="S209" i="17" s="1"/>
  <c r="R209" i="17" s="1"/>
  <c r="P209" i="17" s="1"/>
  <c r="V209" i="17" s="1"/>
  <c r="U200" i="17"/>
  <c r="T200" i="17" s="1"/>
  <c r="S200" i="17" s="1"/>
  <c r="R200" i="17" s="1"/>
  <c r="P200" i="17" s="1"/>
  <c r="V200" i="17" s="1"/>
  <c r="U71" i="17"/>
  <c r="T71" i="17" s="1"/>
  <c r="S71" i="17" s="1"/>
  <c r="R71" i="17" s="1"/>
  <c r="P71" i="17" s="1"/>
  <c r="V71" i="17" s="1"/>
  <c r="U224" i="17"/>
  <c r="T224" i="17" s="1"/>
  <c r="S224" i="17" s="1"/>
  <c r="R224" i="17" s="1"/>
  <c r="P224" i="17" s="1"/>
  <c r="V224" i="17" s="1"/>
  <c r="F224" i="17" s="1"/>
  <c r="U61" i="17"/>
  <c r="T61" i="17" s="1"/>
  <c r="S61" i="17" s="1"/>
  <c r="R61" i="17" s="1"/>
  <c r="P61" i="17" s="1"/>
  <c r="V61" i="17" s="1"/>
  <c r="F61" i="17" s="1"/>
  <c r="U185" i="17"/>
  <c r="T185" i="17" s="1"/>
  <c r="S185" i="17" s="1"/>
  <c r="R185" i="17" s="1"/>
  <c r="P185" i="17" s="1"/>
  <c r="V185" i="17" s="1"/>
  <c r="F185" i="17" s="1"/>
  <c r="U31" i="17"/>
  <c r="T31" i="17" s="1"/>
  <c r="S31" i="17" s="1"/>
  <c r="R31" i="17" s="1"/>
  <c r="P31" i="17" s="1"/>
  <c r="V31" i="17" s="1"/>
  <c r="F31" i="17" s="1"/>
  <c r="U247" i="17"/>
  <c r="T247" i="17" s="1"/>
  <c r="S247" i="17" s="1"/>
  <c r="R247" i="17" s="1"/>
  <c r="P247" i="17" s="1"/>
  <c r="V247" i="17" s="1"/>
  <c r="U108" i="17"/>
  <c r="T108" i="17" s="1"/>
  <c r="S108" i="17" s="1"/>
  <c r="R108" i="17" s="1"/>
  <c r="P108" i="17" s="1"/>
  <c r="V108" i="17" s="1"/>
  <c r="F108" i="17" s="1"/>
  <c r="U379" i="17"/>
  <c r="U12" i="18" s="1"/>
  <c r="U213" i="17"/>
  <c r="T213" i="17" s="1"/>
  <c r="S213" i="17" s="1"/>
  <c r="R213" i="17" s="1"/>
  <c r="P213" i="17" s="1"/>
  <c r="V213" i="17" s="1"/>
  <c r="F213" i="17" s="1"/>
  <c r="U366" i="17"/>
  <c r="T366" i="17" s="1"/>
  <c r="S366" i="17" s="1"/>
  <c r="R366" i="17" s="1"/>
  <c r="P366" i="17" s="1"/>
  <c r="V366" i="17" s="1"/>
  <c r="U347" i="17"/>
  <c r="T347" i="17" s="1"/>
  <c r="S347" i="17" s="1"/>
  <c r="R347" i="17" s="1"/>
  <c r="P347" i="17" s="1"/>
  <c r="V347" i="17" s="1"/>
  <c r="U124" i="17"/>
  <c r="T124" i="17" s="1"/>
  <c r="S124" i="17" s="1"/>
  <c r="R124" i="17" s="1"/>
  <c r="P124" i="17" s="1"/>
  <c r="V124" i="17" s="1"/>
  <c r="U153" i="17"/>
  <c r="T153" i="17" s="1"/>
  <c r="S153" i="17" s="1"/>
  <c r="R153" i="17" s="1"/>
  <c r="P153" i="17" s="1"/>
  <c r="V153" i="17" s="1"/>
  <c r="U350" i="17"/>
  <c r="T350" i="17" s="1"/>
  <c r="S350" i="17" s="1"/>
  <c r="R350" i="17" s="1"/>
  <c r="P350" i="17" s="1"/>
  <c r="V350" i="17" s="1"/>
  <c r="U254" i="17"/>
  <c r="T254" i="17" s="1"/>
  <c r="S254" i="17" s="1"/>
  <c r="R254" i="17" s="1"/>
  <c r="P254" i="17" s="1"/>
  <c r="V254" i="17" s="1"/>
  <c r="U44" i="17"/>
  <c r="T44" i="17" s="1"/>
  <c r="S44" i="17" s="1"/>
  <c r="R44" i="17" s="1"/>
  <c r="P44" i="17" s="1"/>
  <c r="V44" i="17" s="1"/>
  <c r="F44" i="17" s="1"/>
  <c r="U188" i="17"/>
  <c r="T188" i="17" s="1"/>
  <c r="S188" i="17" s="1"/>
  <c r="R188" i="17" s="1"/>
  <c r="P188" i="17" s="1"/>
  <c r="V188" i="17" s="1"/>
  <c r="U320" i="17"/>
  <c r="T320" i="17" s="1"/>
  <c r="S320" i="17" s="1"/>
  <c r="R320" i="17" s="1"/>
  <c r="P320" i="17" s="1"/>
  <c r="V320" i="17" s="1"/>
  <c r="F320" i="17" s="1"/>
  <c r="U80" i="17"/>
  <c r="T80" i="17" s="1"/>
  <c r="S80" i="17" s="1"/>
  <c r="R80" i="17" s="1"/>
  <c r="P80" i="17" s="1"/>
  <c r="V80" i="17" s="1"/>
  <c r="F80" i="17" s="1"/>
  <c r="U230" i="17"/>
  <c r="T230" i="17" s="1"/>
  <c r="S230" i="17" s="1"/>
  <c r="R230" i="17" s="1"/>
  <c r="P230" i="17" s="1"/>
  <c r="V230" i="17" s="1"/>
  <c r="F230" i="17" s="1"/>
  <c r="U274" i="17"/>
  <c r="T274" i="17" s="1"/>
  <c r="S274" i="17" s="1"/>
  <c r="R274" i="17" s="1"/>
  <c r="P274" i="17" s="1"/>
  <c r="V274" i="17" s="1"/>
  <c r="F274" i="17" s="1"/>
  <c r="U261" i="17"/>
  <c r="T261" i="17" s="1"/>
  <c r="S261" i="17" s="1"/>
  <c r="R261" i="17" s="1"/>
  <c r="P261" i="17" s="1"/>
  <c r="V261" i="17" s="1"/>
  <c r="F261" i="17" s="1"/>
  <c r="U300" i="17"/>
  <c r="T300" i="17" s="1"/>
  <c r="S300" i="17" s="1"/>
  <c r="R300" i="17" s="1"/>
  <c r="P300" i="17" s="1"/>
  <c r="V300" i="17" s="1"/>
  <c r="U144" i="17"/>
  <c r="T144" i="17" s="1"/>
  <c r="S144" i="17" s="1"/>
  <c r="R144" i="17" s="1"/>
  <c r="P144" i="17" s="1"/>
  <c r="V144" i="17" s="1"/>
  <c r="F144" i="17" s="1"/>
  <c r="U129" i="17"/>
  <c r="T129" i="17" s="1"/>
  <c r="S129" i="17" s="1"/>
  <c r="R129" i="17" s="1"/>
  <c r="P129" i="17" s="1"/>
  <c r="V129" i="17" s="1"/>
  <c r="F129" i="17" s="1"/>
  <c r="U221" i="17"/>
  <c r="T221" i="17" s="1"/>
  <c r="S221" i="17" s="1"/>
  <c r="R221" i="17" s="1"/>
  <c r="P221" i="17" s="1"/>
  <c r="V221" i="17" s="1"/>
  <c r="U299" i="17"/>
  <c r="T299" i="17" s="1"/>
  <c r="S299" i="17" s="1"/>
  <c r="R299" i="17" s="1"/>
  <c r="P299" i="17" s="1"/>
  <c r="V299" i="17" s="1"/>
  <c r="U250" i="17"/>
  <c r="T250" i="17" s="1"/>
  <c r="S250" i="17" s="1"/>
  <c r="R250" i="17" s="1"/>
  <c r="P250" i="17" s="1"/>
  <c r="V250" i="17" s="1"/>
  <c r="W16" i="7"/>
  <c r="AI89" i="17"/>
  <c r="AH89" i="17" s="1"/>
  <c r="AG89" i="17" s="1"/>
  <c r="AF89" i="17" s="1"/>
  <c r="AD89" i="17" s="1"/>
  <c r="AI33" i="17"/>
  <c r="AH33" i="17" s="1"/>
  <c r="AG33" i="17" s="1"/>
  <c r="AF33" i="17" s="1"/>
  <c r="AD33" i="17" s="1"/>
  <c r="AI50" i="17"/>
  <c r="AH50" i="17" s="1"/>
  <c r="AG50" i="17" s="1"/>
  <c r="AF50" i="17" s="1"/>
  <c r="AD50" i="17" s="1"/>
  <c r="AI372" i="17"/>
  <c r="AH372" i="17" s="1"/>
  <c r="AG372" i="17" s="1"/>
  <c r="AF372" i="17" s="1"/>
  <c r="AD372" i="17" s="1"/>
  <c r="AI78" i="17"/>
  <c r="AH78" i="17" s="1"/>
  <c r="AG78" i="17" s="1"/>
  <c r="AF78" i="17" s="1"/>
  <c r="AD78" i="17" s="1"/>
  <c r="AI304" i="17"/>
  <c r="AH304" i="17" s="1"/>
  <c r="AG304" i="17" s="1"/>
  <c r="AF304" i="17" s="1"/>
  <c r="AD304" i="17" s="1"/>
  <c r="AI169" i="17"/>
  <c r="AH169" i="17" s="1"/>
  <c r="AG169" i="17" s="1"/>
  <c r="AF169" i="17" s="1"/>
  <c r="AD169" i="17" s="1"/>
  <c r="AI364" i="17"/>
  <c r="AH364" i="17" s="1"/>
  <c r="AG364" i="17" s="1"/>
  <c r="AF364" i="17" s="1"/>
  <c r="AD364" i="17" s="1"/>
  <c r="AI157" i="17"/>
  <c r="AH157" i="17" s="1"/>
  <c r="AG157" i="17" s="1"/>
  <c r="AF157" i="17" s="1"/>
  <c r="AD157" i="17" s="1"/>
  <c r="AI373" i="17"/>
  <c r="AH373" i="17" s="1"/>
  <c r="AG373" i="17" s="1"/>
  <c r="AF373" i="17" s="1"/>
  <c r="AD373" i="17" s="1"/>
  <c r="AI74" i="17"/>
  <c r="AH74" i="17" s="1"/>
  <c r="AG74" i="17" s="1"/>
  <c r="AF74" i="17" s="1"/>
  <c r="AD74" i="17" s="1"/>
  <c r="AI253" i="17"/>
  <c r="AH253" i="17" s="1"/>
  <c r="AG253" i="17" s="1"/>
  <c r="AF253" i="17" s="1"/>
  <c r="AD253" i="17" s="1"/>
  <c r="AI55" i="17"/>
  <c r="AH55" i="17" s="1"/>
  <c r="AG55" i="17" s="1"/>
  <c r="AF55" i="17" s="1"/>
  <c r="AD55" i="17" s="1"/>
  <c r="AI291" i="17"/>
  <c r="AH291" i="17" s="1"/>
  <c r="AG291" i="17" s="1"/>
  <c r="AF291" i="17" s="1"/>
  <c r="AD291" i="17" s="1"/>
  <c r="AI315" i="17"/>
  <c r="AH315" i="17" s="1"/>
  <c r="AG315" i="17" s="1"/>
  <c r="AF315" i="17" s="1"/>
  <c r="AD315" i="17" s="1"/>
  <c r="AI309" i="17"/>
  <c r="AH309" i="17" s="1"/>
  <c r="AG309" i="17" s="1"/>
  <c r="AF309" i="17" s="1"/>
  <c r="AD309" i="17" s="1"/>
  <c r="AI103" i="17"/>
  <c r="AH103" i="17" s="1"/>
  <c r="AG103" i="17" s="1"/>
  <c r="AF103" i="17" s="1"/>
  <c r="AD103" i="17" s="1"/>
  <c r="AI187" i="17"/>
  <c r="AH187" i="17" s="1"/>
  <c r="AG187" i="17" s="1"/>
  <c r="AF187" i="17" s="1"/>
  <c r="AD187" i="17" s="1"/>
  <c r="AI159" i="17"/>
  <c r="AH159" i="17" s="1"/>
  <c r="AG159" i="17" s="1"/>
  <c r="AF159" i="17" s="1"/>
  <c r="AD159" i="17" s="1"/>
  <c r="AI370" i="17"/>
  <c r="AH370" i="17" s="1"/>
  <c r="AG370" i="17" s="1"/>
  <c r="AF370" i="17" s="1"/>
  <c r="AD370" i="17" s="1"/>
  <c r="AI43" i="17"/>
  <c r="AH43" i="17" s="1"/>
  <c r="AG43" i="17" s="1"/>
  <c r="AF43" i="17" s="1"/>
  <c r="AD43" i="17" s="1"/>
  <c r="AI292" i="17"/>
  <c r="AH292" i="17" s="1"/>
  <c r="AG292" i="17" s="1"/>
  <c r="AF292" i="17" s="1"/>
  <c r="AD292" i="17" s="1"/>
  <c r="AI91" i="17"/>
  <c r="AH91" i="17" s="1"/>
  <c r="AG91" i="17" s="1"/>
  <c r="AF91" i="17" s="1"/>
  <c r="AD91" i="17" s="1"/>
  <c r="AI338" i="17"/>
  <c r="AH338" i="17" s="1"/>
  <c r="AG338" i="17" s="1"/>
  <c r="AF338" i="17" s="1"/>
  <c r="AD338" i="17" s="1"/>
  <c r="AI343" i="17"/>
  <c r="AH343" i="17" s="1"/>
  <c r="AG343" i="17" s="1"/>
  <c r="AF343" i="17" s="1"/>
  <c r="AD343" i="17" s="1"/>
  <c r="AI271" i="17"/>
  <c r="AH271" i="17" s="1"/>
  <c r="AG271" i="17" s="1"/>
  <c r="AF271" i="17" s="1"/>
  <c r="AD271" i="17" s="1"/>
  <c r="AI214" i="17"/>
  <c r="AH214" i="17" s="1"/>
  <c r="AG214" i="17" s="1"/>
  <c r="AF214" i="17" s="1"/>
  <c r="AD214" i="17" s="1"/>
  <c r="AI279" i="17"/>
  <c r="AH279" i="17" s="1"/>
  <c r="AG279" i="17" s="1"/>
  <c r="AF279" i="17" s="1"/>
  <c r="AD279" i="17" s="1"/>
  <c r="AI350" i="17"/>
  <c r="AH350" i="17" s="1"/>
  <c r="AG350" i="17" s="1"/>
  <c r="AF350" i="17" s="1"/>
  <c r="AD350" i="17" s="1"/>
  <c r="AI118" i="17"/>
  <c r="AH118" i="17" s="1"/>
  <c r="AG118" i="17" s="1"/>
  <c r="AF118" i="17" s="1"/>
  <c r="AD118" i="17" s="1"/>
  <c r="AI76" i="17"/>
  <c r="AH76" i="17" s="1"/>
  <c r="AG76" i="17" s="1"/>
  <c r="AF76" i="17" s="1"/>
  <c r="AD76" i="17" s="1"/>
  <c r="AI349" i="17"/>
  <c r="AH349" i="17" s="1"/>
  <c r="AG349" i="17" s="1"/>
  <c r="AF349" i="17" s="1"/>
  <c r="AD349" i="17" s="1"/>
  <c r="AI369" i="17"/>
  <c r="AH369" i="17" s="1"/>
  <c r="AG369" i="17" s="1"/>
  <c r="AF369" i="17" s="1"/>
  <c r="AD369" i="17" s="1"/>
  <c r="AI263" i="17"/>
  <c r="AH263" i="17" s="1"/>
  <c r="AG263" i="17" s="1"/>
  <c r="AF263" i="17" s="1"/>
  <c r="AD263" i="17" s="1"/>
  <c r="AI131" i="17"/>
  <c r="AH131" i="17" s="1"/>
  <c r="AG131" i="17" s="1"/>
  <c r="AF131" i="17" s="1"/>
  <c r="AD131" i="17" s="1"/>
  <c r="AI311" i="17"/>
  <c r="AH311" i="17" s="1"/>
  <c r="AG311" i="17" s="1"/>
  <c r="AF311" i="17" s="1"/>
  <c r="AD311" i="17" s="1"/>
  <c r="AI84" i="17"/>
  <c r="AH84" i="17" s="1"/>
  <c r="AG84" i="17" s="1"/>
  <c r="AF84" i="17" s="1"/>
  <c r="AD84" i="17" s="1"/>
  <c r="AI90" i="17"/>
  <c r="AH90" i="17" s="1"/>
  <c r="AG90" i="17" s="1"/>
  <c r="AF90" i="17" s="1"/>
  <c r="AD90" i="17" s="1"/>
  <c r="AI27" i="17"/>
  <c r="AH27" i="17" s="1"/>
  <c r="AG27" i="17" s="1"/>
  <c r="AF27" i="17" s="1"/>
  <c r="AD27" i="17" s="1"/>
  <c r="AI149" i="17"/>
  <c r="AH149" i="17" s="1"/>
  <c r="AG149" i="17" s="1"/>
  <c r="AF149" i="17" s="1"/>
  <c r="AD149" i="17" s="1"/>
  <c r="AI128" i="17"/>
  <c r="AH128" i="17" s="1"/>
  <c r="AG128" i="17" s="1"/>
  <c r="AF128" i="17" s="1"/>
  <c r="AD128" i="17" s="1"/>
  <c r="AI378" i="17"/>
  <c r="AH378" i="17" s="1"/>
  <c r="AG378" i="17" s="1"/>
  <c r="AF378" i="17" s="1"/>
  <c r="AD378" i="17" s="1"/>
  <c r="AI168" i="17"/>
  <c r="AH168" i="17" s="1"/>
  <c r="AG168" i="17" s="1"/>
  <c r="AF168" i="17" s="1"/>
  <c r="AD168" i="17" s="1"/>
  <c r="AI205" i="17"/>
  <c r="AH205" i="17" s="1"/>
  <c r="AG205" i="17" s="1"/>
  <c r="AF205" i="17" s="1"/>
  <c r="AD205" i="17" s="1"/>
  <c r="AI121" i="17"/>
  <c r="AH121" i="17" s="1"/>
  <c r="AG121" i="17" s="1"/>
  <c r="AF121" i="17" s="1"/>
  <c r="AD121" i="17" s="1"/>
  <c r="AI100" i="17"/>
  <c r="AH100" i="17" s="1"/>
  <c r="AG100" i="17" s="1"/>
  <c r="AF100" i="17" s="1"/>
  <c r="AD100" i="17" s="1"/>
  <c r="AI64" i="17"/>
  <c r="AH64" i="17" s="1"/>
  <c r="AG64" i="17" s="1"/>
  <c r="AF64" i="17" s="1"/>
  <c r="AD64" i="17" s="1"/>
  <c r="AI81" i="17"/>
  <c r="AH81" i="17" s="1"/>
  <c r="AG81" i="17" s="1"/>
  <c r="AF81" i="17" s="1"/>
  <c r="AD81" i="17" s="1"/>
  <c r="AI201" i="17"/>
  <c r="AH201" i="17" s="1"/>
  <c r="AG201" i="17" s="1"/>
  <c r="AF201" i="17" s="1"/>
  <c r="AD201" i="17" s="1"/>
  <c r="AI252" i="17"/>
  <c r="AH252" i="17" s="1"/>
  <c r="AG252" i="17" s="1"/>
  <c r="AF252" i="17" s="1"/>
  <c r="AD252" i="17" s="1"/>
  <c r="AI37" i="17"/>
  <c r="AH37" i="17" s="1"/>
  <c r="AG37" i="17" s="1"/>
  <c r="AF37" i="17" s="1"/>
  <c r="AD37" i="17" s="1"/>
  <c r="AI18" i="17"/>
  <c r="AH18" i="17" s="1"/>
  <c r="AG18" i="17" s="1"/>
  <c r="AF18" i="17" s="1"/>
  <c r="AD18" i="17" s="1"/>
  <c r="AI152" i="17"/>
  <c r="AH152" i="17" s="1"/>
  <c r="AG152" i="17" s="1"/>
  <c r="AF152" i="17" s="1"/>
  <c r="AD152" i="17" s="1"/>
  <c r="AI49" i="17"/>
  <c r="AH49" i="17" s="1"/>
  <c r="AG49" i="17" s="1"/>
  <c r="AF49" i="17" s="1"/>
  <c r="AD49" i="17" s="1"/>
  <c r="AI203" i="17"/>
  <c r="AH203" i="17" s="1"/>
  <c r="AG203" i="17" s="1"/>
  <c r="AF203" i="17" s="1"/>
  <c r="AD203" i="17" s="1"/>
  <c r="AI348" i="17"/>
  <c r="AH348" i="17" s="1"/>
  <c r="AG348" i="17" s="1"/>
  <c r="AF348" i="17" s="1"/>
  <c r="AD348" i="17" s="1"/>
  <c r="AI102" i="17"/>
  <c r="AH102" i="17" s="1"/>
  <c r="AG102" i="17" s="1"/>
  <c r="AF102" i="17" s="1"/>
  <c r="AD102" i="17" s="1"/>
  <c r="AI224" i="17"/>
  <c r="AH224" i="17" s="1"/>
  <c r="AG224" i="17" s="1"/>
  <c r="AF224" i="17" s="1"/>
  <c r="AD224" i="17" s="1"/>
  <c r="AI139" i="17"/>
  <c r="AH139" i="17" s="1"/>
  <c r="AG139" i="17" s="1"/>
  <c r="AF139" i="17" s="1"/>
  <c r="AD139" i="17" s="1"/>
  <c r="AI147" i="17"/>
  <c r="AH147" i="17" s="1"/>
  <c r="AG147" i="17" s="1"/>
  <c r="AF147" i="17" s="1"/>
  <c r="AD147" i="17" s="1"/>
  <c r="AI65" i="17"/>
  <c r="AH65" i="17" s="1"/>
  <c r="AG65" i="17" s="1"/>
  <c r="AF65" i="17" s="1"/>
  <c r="AD65" i="17" s="1"/>
  <c r="AI272" i="17"/>
  <c r="AH272" i="17" s="1"/>
  <c r="AG272" i="17" s="1"/>
  <c r="AF272" i="17" s="1"/>
  <c r="AD272" i="17" s="1"/>
  <c r="AI41" i="17"/>
  <c r="AH41" i="17" s="1"/>
  <c r="AG41" i="17" s="1"/>
  <c r="AF41" i="17" s="1"/>
  <c r="AD41" i="17" s="1"/>
  <c r="AI368" i="17"/>
  <c r="AH368" i="17" s="1"/>
  <c r="AG368" i="17" s="1"/>
  <c r="AF368" i="17" s="1"/>
  <c r="AD368" i="17" s="1"/>
  <c r="AI225" i="17"/>
  <c r="AH225" i="17" s="1"/>
  <c r="AG225" i="17" s="1"/>
  <c r="AF225" i="17" s="1"/>
  <c r="AD225" i="17" s="1"/>
  <c r="AI319" i="17"/>
  <c r="AH319" i="17" s="1"/>
  <c r="AG319" i="17" s="1"/>
  <c r="AF319" i="17" s="1"/>
  <c r="AD319" i="17" s="1"/>
  <c r="AI21" i="17"/>
  <c r="AH21" i="17" s="1"/>
  <c r="AG21" i="17" s="1"/>
  <c r="AF21" i="17" s="1"/>
  <c r="AD21" i="17" s="1"/>
  <c r="AI278" i="17"/>
  <c r="AH278" i="17" s="1"/>
  <c r="AG278" i="17" s="1"/>
  <c r="AF278" i="17" s="1"/>
  <c r="AD278" i="17" s="1"/>
  <c r="AI113" i="17"/>
  <c r="AH113" i="17" s="1"/>
  <c r="AG113" i="17" s="1"/>
  <c r="AF113" i="17" s="1"/>
  <c r="AD113" i="17" s="1"/>
  <c r="AI371" i="17"/>
  <c r="AH371" i="17" s="1"/>
  <c r="AG371" i="17" s="1"/>
  <c r="AF371" i="17" s="1"/>
  <c r="AD371" i="17" s="1"/>
  <c r="AI331" i="17"/>
  <c r="AH331" i="17" s="1"/>
  <c r="AG331" i="17" s="1"/>
  <c r="AF331" i="17" s="1"/>
  <c r="AD331" i="17" s="1"/>
  <c r="AI177" i="17"/>
  <c r="AH177" i="17" s="1"/>
  <c r="AG177" i="17" s="1"/>
  <c r="AF177" i="17" s="1"/>
  <c r="AD177" i="17" s="1"/>
  <c r="AI85" i="17"/>
  <c r="AH85" i="17" s="1"/>
  <c r="AG85" i="17" s="1"/>
  <c r="AF85" i="17" s="1"/>
  <c r="AD85" i="17" s="1"/>
  <c r="AI36" i="17"/>
  <c r="AH36" i="17" s="1"/>
  <c r="AG36" i="17" s="1"/>
  <c r="AF36" i="17" s="1"/>
  <c r="AD36" i="17" s="1"/>
  <c r="AI142" i="17"/>
  <c r="AH142" i="17" s="1"/>
  <c r="AG142" i="17" s="1"/>
  <c r="AF142" i="17" s="1"/>
  <c r="AD142" i="17" s="1"/>
  <c r="AI16" i="17"/>
  <c r="AH16" i="17" s="1"/>
  <c r="AG16" i="17" s="1"/>
  <c r="AF16" i="17" s="1"/>
  <c r="AD16" i="17" s="1"/>
  <c r="AI280" i="17"/>
  <c r="AH280" i="17" s="1"/>
  <c r="AG280" i="17" s="1"/>
  <c r="AF280" i="17" s="1"/>
  <c r="AD280" i="17" s="1"/>
  <c r="AI119" i="17"/>
  <c r="AH119" i="17" s="1"/>
  <c r="AG119" i="17" s="1"/>
  <c r="AF119" i="17" s="1"/>
  <c r="AD119" i="17" s="1"/>
  <c r="AI257" i="17"/>
  <c r="AH257" i="17" s="1"/>
  <c r="AG257" i="17" s="1"/>
  <c r="AF257" i="17" s="1"/>
  <c r="AD257" i="17" s="1"/>
  <c r="AI148" i="17"/>
  <c r="AH148" i="17" s="1"/>
  <c r="AG148" i="17" s="1"/>
  <c r="AF148" i="17" s="1"/>
  <c r="AD148" i="17" s="1"/>
  <c r="AI226" i="17"/>
  <c r="AH226" i="17" s="1"/>
  <c r="AG226" i="17" s="1"/>
  <c r="AF226" i="17" s="1"/>
  <c r="AD226" i="17" s="1"/>
  <c r="AI141" i="17"/>
  <c r="AH141" i="17" s="1"/>
  <c r="AG141" i="17" s="1"/>
  <c r="AF141" i="17" s="1"/>
  <c r="AD141" i="17" s="1"/>
  <c r="AI161" i="17"/>
  <c r="AH161" i="17" s="1"/>
  <c r="AG161" i="17" s="1"/>
  <c r="AF161" i="17" s="1"/>
  <c r="AD161" i="17" s="1"/>
  <c r="AI273" i="17"/>
  <c r="AH273" i="17" s="1"/>
  <c r="AG273" i="17" s="1"/>
  <c r="AF273" i="17" s="1"/>
  <c r="AD273" i="17" s="1"/>
  <c r="AI189" i="17"/>
  <c r="AH189" i="17" s="1"/>
  <c r="AG189" i="17" s="1"/>
  <c r="AF189" i="17" s="1"/>
  <c r="AD189" i="17" s="1"/>
  <c r="AI130" i="17"/>
  <c r="AH130" i="17" s="1"/>
  <c r="AG130" i="17" s="1"/>
  <c r="AF130" i="17" s="1"/>
  <c r="AD130" i="17" s="1"/>
  <c r="AI106" i="17"/>
  <c r="AH106" i="17" s="1"/>
  <c r="AG106" i="17" s="1"/>
  <c r="AF106" i="17" s="1"/>
  <c r="AD106" i="17" s="1"/>
  <c r="AI207" i="17"/>
  <c r="AH207" i="17" s="1"/>
  <c r="AG207" i="17" s="1"/>
  <c r="AF207" i="17" s="1"/>
  <c r="AD207" i="17" s="1"/>
  <c r="AI283" i="17"/>
  <c r="AH283" i="17" s="1"/>
  <c r="AG283" i="17" s="1"/>
  <c r="AF283" i="17" s="1"/>
  <c r="AD283" i="17" s="1"/>
  <c r="AI305" i="17"/>
  <c r="AH305" i="17" s="1"/>
  <c r="AG305" i="17" s="1"/>
  <c r="AF305" i="17" s="1"/>
  <c r="AD305" i="17" s="1"/>
  <c r="AI219" i="17"/>
  <c r="AH219" i="17" s="1"/>
  <c r="AG219" i="17" s="1"/>
  <c r="AF219" i="17" s="1"/>
  <c r="AD219" i="17" s="1"/>
  <c r="AI288" i="17"/>
  <c r="AH288" i="17" s="1"/>
  <c r="AG288" i="17" s="1"/>
  <c r="AF288" i="17" s="1"/>
  <c r="AD288" i="17" s="1"/>
  <c r="AI262" i="17"/>
  <c r="AH262" i="17" s="1"/>
  <c r="AG262" i="17" s="1"/>
  <c r="AF262" i="17" s="1"/>
  <c r="AD262" i="17" s="1"/>
  <c r="AI361" i="17"/>
  <c r="AH361" i="17" s="1"/>
  <c r="AG361" i="17" s="1"/>
  <c r="AF361" i="17" s="1"/>
  <c r="AD361" i="17" s="1"/>
  <c r="AI346" i="17"/>
  <c r="AH346" i="17" s="1"/>
  <c r="AG346" i="17" s="1"/>
  <c r="AF346" i="17" s="1"/>
  <c r="AD346" i="17" s="1"/>
  <c r="AI295" i="17"/>
  <c r="AH295" i="17" s="1"/>
  <c r="AG295" i="17" s="1"/>
  <c r="AF295" i="17" s="1"/>
  <c r="AD295" i="17" s="1"/>
  <c r="AI73" i="17"/>
  <c r="AH73" i="17" s="1"/>
  <c r="AG73" i="17" s="1"/>
  <c r="AF73" i="17" s="1"/>
  <c r="AD73" i="17" s="1"/>
  <c r="AI355" i="17"/>
  <c r="AH355" i="17" s="1"/>
  <c r="AG355" i="17" s="1"/>
  <c r="AF355" i="17" s="1"/>
  <c r="AD355" i="17" s="1"/>
  <c r="AI182" i="17"/>
  <c r="AH182" i="17" s="1"/>
  <c r="AG182" i="17" s="1"/>
  <c r="AF182" i="17" s="1"/>
  <c r="AD182" i="17" s="1"/>
  <c r="AI210" i="17"/>
  <c r="AH210" i="17" s="1"/>
  <c r="AG210" i="17" s="1"/>
  <c r="AF210" i="17" s="1"/>
  <c r="AD210" i="17" s="1"/>
  <c r="AI46" i="17"/>
  <c r="AH46" i="17" s="1"/>
  <c r="AG46" i="17" s="1"/>
  <c r="AF46" i="17" s="1"/>
  <c r="AD46" i="17" s="1"/>
  <c r="AI77" i="17"/>
  <c r="AH77" i="17" s="1"/>
  <c r="AG77" i="17" s="1"/>
  <c r="AF77" i="17" s="1"/>
  <c r="AD77" i="17" s="1"/>
  <c r="AI301" i="17"/>
  <c r="AH301" i="17" s="1"/>
  <c r="AG301" i="17" s="1"/>
  <c r="AF301" i="17" s="1"/>
  <c r="AD301" i="17" s="1"/>
  <c r="AI115" i="17"/>
  <c r="AH115" i="17" s="1"/>
  <c r="AG115" i="17" s="1"/>
  <c r="AF115" i="17" s="1"/>
  <c r="AD115" i="17" s="1"/>
  <c r="AI290" i="17"/>
  <c r="AH290" i="17" s="1"/>
  <c r="AG290" i="17" s="1"/>
  <c r="AF290" i="17" s="1"/>
  <c r="AD290" i="17" s="1"/>
  <c r="AI267" i="17"/>
  <c r="AH267" i="17" s="1"/>
  <c r="AG267" i="17" s="1"/>
  <c r="AF267" i="17" s="1"/>
  <c r="AD267" i="17" s="1"/>
  <c r="AI154" i="17"/>
  <c r="AH154" i="17" s="1"/>
  <c r="AG154" i="17" s="1"/>
  <c r="AF154" i="17" s="1"/>
  <c r="AD154" i="17" s="1"/>
  <c r="AI237" i="17"/>
  <c r="AH237" i="17" s="1"/>
  <c r="AG237" i="17" s="1"/>
  <c r="AF237" i="17" s="1"/>
  <c r="AD237" i="17" s="1"/>
  <c r="AI54" i="17"/>
  <c r="AH54" i="17" s="1"/>
  <c r="AG54" i="17" s="1"/>
  <c r="AF54" i="17" s="1"/>
  <c r="AD54" i="17" s="1"/>
  <c r="AI298" i="17"/>
  <c r="AH298" i="17" s="1"/>
  <c r="AG298" i="17" s="1"/>
  <c r="AF298" i="17" s="1"/>
  <c r="AD298" i="17" s="1"/>
  <c r="AI294" i="17"/>
  <c r="AH294" i="17" s="1"/>
  <c r="AG294" i="17" s="1"/>
  <c r="AF294" i="17" s="1"/>
  <c r="AD294" i="17" s="1"/>
  <c r="AI328" i="17"/>
  <c r="AH328" i="17" s="1"/>
  <c r="AG328" i="17" s="1"/>
  <c r="AF328" i="17" s="1"/>
  <c r="AD328" i="17" s="1"/>
  <c r="AI185" i="17"/>
  <c r="AH185" i="17" s="1"/>
  <c r="AG185" i="17" s="1"/>
  <c r="AF185" i="17" s="1"/>
  <c r="AD185" i="17" s="1"/>
  <c r="AI179" i="17"/>
  <c r="AH179" i="17" s="1"/>
  <c r="AG179" i="17" s="1"/>
  <c r="AF179" i="17" s="1"/>
  <c r="AD179" i="17" s="1"/>
  <c r="AI63" i="17"/>
  <c r="AH63" i="17" s="1"/>
  <c r="AG63" i="17" s="1"/>
  <c r="AF63" i="17" s="1"/>
  <c r="AD63" i="17" s="1"/>
  <c r="AI268" i="17"/>
  <c r="AH268" i="17" s="1"/>
  <c r="AG268" i="17" s="1"/>
  <c r="AF268" i="17" s="1"/>
  <c r="AD268" i="17" s="1"/>
  <c r="AI188" i="17"/>
  <c r="AH188" i="17" s="1"/>
  <c r="AG188" i="17" s="1"/>
  <c r="AF188" i="17" s="1"/>
  <c r="AD188" i="17" s="1"/>
  <c r="AI104" i="17"/>
  <c r="AH104" i="17" s="1"/>
  <c r="AG104" i="17" s="1"/>
  <c r="AF104" i="17" s="1"/>
  <c r="AD104" i="17" s="1"/>
  <c r="AI155" i="17"/>
  <c r="AH155" i="17" s="1"/>
  <c r="AG155" i="17" s="1"/>
  <c r="AF155" i="17" s="1"/>
  <c r="AD155" i="17" s="1"/>
  <c r="AI356" i="17"/>
  <c r="AH356" i="17" s="1"/>
  <c r="AG356" i="17" s="1"/>
  <c r="AF356" i="17" s="1"/>
  <c r="AD356" i="17" s="1"/>
  <c r="AI282" i="17"/>
  <c r="AH282" i="17" s="1"/>
  <c r="AG282" i="17" s="1"/>
  <c r="AF282" i="17" s="1"/>
  <c r="AD282" i="17" s="1"/>
  <c r="AI199" i="17"/>
  <c r="AH199" i="17" s="1"/>
  <c r="AG199" i="17" s="1"/>
  <c r="AF199" i="17" s="1"/>
  <c r="AD199" i="17" s="1"/>
  <c r="AI116" i="17"/>
  <c r="AH116" i="17" s="1"/>
  <c r="AG116" i="17" s="1"/>
  <c r="AF116" i="17" s="1"/>
  <c r="AD116" i="17" s="1"/>
  <c r="AI287" i="17"/>
  <c r="AH287" i="17" s="1"/>
  <c r="AG287" i="17" s="1"/>
  <c r="AF287" i="17" s="1"/>
  <c r="AD287" i="17" s="1"/>
  <c r="AI97" i="17"/>
  <c r="AH97" i="17" s="1"/>
  <c r="AG97" i="17" s="1"/>
  <c r="AF97" i="17" s="1"/>
  <c r="AD97" i="17" s="1"/>
  <c r="AI233" i="17"/>
  <c r="AH233" i="17" s="1"/>
  <c r="AG233" i="17" s="1"/>
  <c r="AF233" i="17" s="1"/>
  <c r="AD233" i="17" s="1"/>
  <c r="AI322" i="17"/>
  <c r="AH322" i="17" s="1"/>
  <c r="AG322" i="17" s="1"/>
  <c r="AF322" i="17" s="1"/>
  <c r="AD322" i="17" s="1"/>
  <c r="AI270" i="17"/>
  <c r="AH270" i="17" s="1"/>
  <c r="AG270" i="17" s="1"/>
  <c r="AF270" i="17" s="1"/>
  <c r="AD270" i="17" s="1"/>
  <c r="AI228" i="17"/>
  <c r="AH228" i="17" s="1"/>
  <c r="AG228" i="17" s="1"/>
  <c r="AF228" i="17" s="1"/>
  <c r="AD228" i="17" s="1"/>
  <c r="AI145" i="17"/>
  <c r="AH145" i="17" s="1"/>
  <c r="AG145" i="17" s="1"/>
  <c r="AF145" i="17" s="1"/>
  <c r="AD145" i="17" s="1"/>
  <c r="AI243" i="17"/>
  <c r="AH243" i="17" s="1"/>
  <c r="AG243" i="17" s="1"/>
  <c r="AF243" i="17" s="1"/>
  <c r="AD243" i="17" s="1"/>
  <c r="AI202" i="17"/>
  <c r="AH202" i="17" s="1"/>
  <c r="AG202" i="17" s="1"/>
  <c r="AF202" i="17" s="1"/>
  <c r="AD202" i="17" s="1"/>
  <c r="AI51" i="17"/>
  <c r="AH51" i="17" s="1"/>
  <c r="AG51" i="17" s="1"/>
  <c r="AF51" i="17" s="1"/>
  <c r="AD51" i="17" s="1"/>
  <c r="AI213" i="17"/>
  <c r="AH213" i="17" s="1"/>
  <c r="AG213" i="17" s="1"/>
  <c r="AF213" i="17" s="1"/>
  <c r="AD213" i="17" s="1"/>
  <c r="AI286" i="17"/>
  <c r="AH286" i="17" s="1"/>
  <c r="AG286" i="17" s="1"/>
  <c r="AF286" i="17" s="1"/>
  <c r="AD286" i="17" s="1"/>
  <c r="AI17" i="17"/>
  <c r="AH17" i="17" s="1"/>
  <c r="AG17" i="17" s="1"/>
  <c r="AF17" i="17" s="1"/>
  <c r="AD17" i="17" s="1"/>
  <c r="AI344" i="17"/>
  <c r="AH344" i="17" s="1"/>
  <c r="AG344" i="17" s="1"/>
  <c r="AF344" i="17" s="1"/>
  <c r="AD344" i="17" s="1"/>
  <c r="AI92" i="17"/>
  <c r="AH92" i="17" s="1"/>
  <c r="AG92" i="17" s="1"/>
  <c r="AF92" i="17" s="1"/>
  <c r="AD92" i="17" s="1"/>
  <c r="AI82" i="17"/>
  <c r="AH82" i="17" s="1"/>
  <c r="AG82" i="17" s="1"/>
  <c r="AF82" i="17" s="1"/>
  <c r="AD82" i="17" s="1"/>
  <c r="AI138" i="17"/>
  <c r="AH138" i="17" s="1"/>
  <c r="AG138" i="17" s="1"/>
  <c r="AF138" i="17" s="1"/>
  <c r="AD138" i="17" s="1"/>
  <c r="AI245" i="17"/>
  <c r="AH245" i="17" s="1"/>
  <c r="AG245" i="17" s="1"/>
  <c r="AF245" i="17" s="1"/>
  <c r="AD245" i="17" s="1"/>
  <c r="AI259" i="17"/>
  <c r="AH259" i="17" s="1"/>
  <c r="AG259" i="17" s="1"/>
  <c r="AF259" i="17" s="1"/>
  <c r="AD259" i="17" s="1"/>
  <c r="AI151" i="17"/>
  <c r="AH151" i="17" s="1"/>
  <c r="AG151" i="17" s="1"/>
  <c r="AF151" i="17" s="1"/>
  <c r="AD151" i="17" s="1"/>
  <c r="AI250" i="17"/>
  <c r="AH250" i="17" s="1"/>
  <c r="AG250" i="17" s="1"/>
  <c r="AF250" i="17" s="1"/>
  <c r="AD250" i="17" s="1"/>
  <c r="AI299" i="17"/>
  <c r="AH299" i="17" s="1"/>
  <c r="AG299" i="17" s="1"/>
  <c r="AF299" i="17" s="1"/>
  <c r="AD299" i="17" s="1"/>
  <c r="AI83" i="17"/>
  <c r="AH83" i="17" s="1"/>
  <c r="AG83" i="17" s="1"/>
  <c r="AF83" i="17" s="1"/>
  <c r="AD83" i="17" s="1"/>
  <c r="AI365" i="17"/>
  <c r="AH365" i="17" s="1"/>
  <c r="AG365" i="17" s="1"/>
  <c r="AF365" i="17" s="1"/>
  <c r="AD365" i="17" s="1"/>
  <c r="AI29" i="17"/>
  <c r="AH29" i="17" s="1"/>
  <c r="AG29" i="17" s="1"/>
  <c r="AF29" i="17" s="1"/>
  <c r="AD29" i="17" s="1"/>
  <c r="AI32" i="17"/>
  <c r="AH32" i="17" s="1"/>
  <c r="AG32" i="17" s="1"/>
  <c r="AF32" i="17" s="1"/>
  <c r="AD32" i="17" s="1"/>
  <c r="AI347" i="17"/>
  <c r="AH347" i="17" s="1"/>
  <c r="AG347" i="17" s="1"/>
  <c r="AF347" i="17" s="1"/>
  <c r="AD347" i="17" s="1"/>
  <c r="AI107" i="17"/>
  <c r="AH107" i="17" s="1"/>
  <c r="AG107" i="17" s="1"/>
  <c r="AF107" i="17" s="1"/>
  <c r="AD107" i="17" s="1"/>
  <c r="AI190" i="17"/>
  <c r="AH190" i="17" s="1"/>
  <c r="AG190" i="17" s="1"/>
  <c r="AF190" i="17" s="1"/>
  <c r="AD190" i="17" s="1"/>
  <c r="AI316" i="17"/>
  <c r="AH316" i="17" s="1"/>
  <c r="AG316" i="17" s="1"/>
  <c r="AF316" i="17" s="1"/>
  <c r="AD316" i="17" s="1"/>
  <c r="AI234" i="17"/>
  <c r="AH234" i="17" s="1"/>
  <c r="AG234" i="17" s="1"/>
  <c r="AF234" i="17" s="1"/>
  <c r="AD234" i="17" s="1"/>
  <c r="AI114" i="17"/>
  <c r="AH114" i="17" s="1"/>
  <c r="AG114" i="17" s="1"/>
  <c r="AF114" i="17" s="1"/>
  <c r="AD114" i="17" s="1"/>
  <c r="AI69" i="17"/>
  <c r="AH69" i="17" s="1"/>
  <c r="AG69" i="17" s="1"/>
  <c r="AF69" i="17" s="1"/>
  <c r="AD69" i="17" s="1"/>
  <c r="AI313" i="17"/>
  <c r="AH313" i="17" s="1"/>
  <c r="AG313" i="17" s="1"/>
  <c r="AF313" i="17" s="1"/>
  <c r="AD313" i="17" s="1"/>
  <c r="AI99" i="17"/>
  <c r="AH99" i="17" s="1"/>
  <c r="AG99" i="17" s="1"/>
  <c r="AF99" i="17" s="1"/>
  <c r="AD99" i="17" s="1"/>
  <c r="AI137" i="17"/>
  <c r="AH137" i="17" s="1"/>
  <c r="AG137" i="17" s="1"/>
  <c r="AF137" i="17" s="1"/>
  <c r="AD137" i="17" s="1"/>
  <c r="AI34" i="17"/>
  <c r="AH34" i="17" s="1"/>
  <c r="AG34" i="17" s="1"/>
  <c r="AF34" i="17" s="1"/>
  <c r="AD34" i="17" s="1"/>
  <c r="U301" i="17"/>
  <c r="T301" i="17" s="1"/>
  <c r="S301" i="17" s="1"/>
  <c r="R301" i="17" s="1"/>
  <c r="P301" i="17" s="1"/>
  <c r="V301" i="17" s="1"/>
  <c r="F301" i="17" s="1"/>
  <c r="U123" i="17"/>
  <c r="T123" i="17" s="1"/>
  <c r="S123" i="17" s="1"/>
  <c r="R123" i="17" s="1"/>
  <c r="P123" i="17" s="1"/>
  <c r="V123" i="17" s="1"/>
  <c r="F123" i="17" s="1"/>
  <c r="U50" i="17"/>
  <c r="T50" i="17" s="1"/>
  <c r="S50" i="17" s="1"/>
  <c r="R50" i="17" s="1"/>
  <c r="P50" i="17" s="1"/>
  <c r="V50" i="17" s="1"/>
  <c r="F50" i="17" s="1"/>
  <c r="U210" i="17"/>
  <c r="T210" i="17" s="1"/>
  <c r="S210" i="17" s="1"/>
  <c r="R210" i="17" s="1"/>
  <c r="P210" i="17" s="1"/>
  <c r="D62" i="7" s="1"/>
  <c r="U25" i="17"/>
  <c r="T25" i="17" s="1"/>
  <c r="S25" i="17" s="1"/>
  <c r="R25" i="17" s="1"/>
  <c r="P25" i="17" s="1"/>
  <c r="V25" i="17" s="1"/>
  <c r="F25" i="17" s="1"/>
  <c r="AI326" i="17"/>
  <c r="AH326" i="17" s="1"/>
  <c r="AG326" i="17" s="1"/>
  <c r="AF326" i="17" s="1"/>
  <c r="AD326" i="17" s="1"/>
  <c r="U226" i="17"/>
  <c r="T226" i="17" s="1"/>
  <c r="S226" i="17" s="1"/>
  <c r="R226" i="17" s="1"/>
  <c r="P226" i="17" s="1"/>
  <c r="V226" i="17" s="1"/>
  <c r="F226" i="17" s="1"/>
  <c r="U177" i="17"/>
  <c r="T177" i="17" s="1"/>
  <c r="S177" i="17" s="1"/>
  <c r="R177" i="17" s="1"/>
  <c r="P177" i="17" s="1"/>
  <c r="V177" i="17" s="1"/>
  <c r="F177" i="17" s="1"/>
  <c r="U107" i="17"/>
  <c r="T107" i="17" s="1"/>
  <c r="S107" i="17" s="1"/>
  <c r="R107" i="17" s="1"/>
  <c r="P107" i="17" s="1"/>
  <c r="V107" i="17" s="1"/>
  <c r="F107" i="17" s="1"/>
  <c r="U65" i="17"/>
  <c r="T65" i="17" s="1"/>
  <c r="S65" i="17" s="1"/>
  <c r="R65" i="17" s="1"/>
  <c r="P65" i="17" s="1"/>
  <c r="V65" i="17" s="1"/>
  <c r="F65" i="17" s="1"/>
  <c r="U289" i="17"/>
  <c r="T289" i="17" s="1"/>
  <c r="S289" i="17" s="1"/>
  <c r="R289" i="17" s="1"/>
  <c r="P289" i="17" s="1"/>
  <c r="V289" i="17" s="1"/>
  <c r="U235" i="17"/>
  <c r="T235" i="17" s="1"/>
  <c r="S235" i="17" s="1"/>
  <c r="R235" i="17" s="1"/>
  <c r="P235" i="17" s="1"/>
  <c r="V235" i="17" s="1"/>
  <c r="U365" i="17"/>
  <c r="T365" i="17" s="1"/>
  <c r="S365" i="17" s="1"/>
  <c r="R365" i="17" s="1"/>
  <c r="P365" i="17" s="1"/>
  <c r="V365" i="17" s="1"/>
  <c r="U356" i="17"/>
  <c r="T356" i="17" s="1"/>
  <c r="S356" i="17" s="1"/>
  <c r="R356" i="17" s="1"/>
  <c r="P356" i="17" s="1"/>
  <c r="V356" i="17" s="1"/>
  <c r="U187" i="17"/>
  <c r="T187" i="17" s="1"/>
  <c r="S187" i="17" s="1"/>
  <c r="R187" i="17" s="1"/>
  <c r="P187" i="17" s="1"/>
  <c r="V187" i="17" s="1"/>
  <c r="F187" i="17" s="1"/>
  <c r="U165" i="17"/>
  <c r="T165" i="17" s="1"/>
  <c r="S165" i="17" s="1"/>
  <c r="R165" i="17" s="1"/>
  <c r="P165" i="17" s="1"/>
  <c r="V165" i="17" s="1"/>
  <c r="U163" i="17"/>
  <c r="T163" i="17" s="1"/>
  <c r="S163" i="17" s="1"/>
  <c r="R163" i="17" s="1"/>
  <c r="P163" i="17" s="1"/>
  <c r="V163" i="17" s="1"/>
  <c r="F163" i="17" s="1"/>
  <c r="AI196" i="17"/>
  <c r="AH196" i="17" s="1"/>
  <c r="AG196" i="17" s="1"/>
  <c r="AF196" i="17" s="1"/>
  <c r="AD196" i="17" s="1"/>
  <c r="AI112" i="17"/>
  <c r="AH112" i="17" s="1"/>
  <c r="AG112" i="17" s="1"/>
  <c r="AF112" i="17" s="1"/>
  <c r="AD112" i="17" s="1"/>
  <c r="U223" i="17"/>
  <c r="T223" i="17" s="1"/>
  <c r="S223" i="17" s="1"/>
  <c r="R223" i="17" s="1"/>
  <c r="P223" i="17" s="1"/>
  <c r="V223" i="17" s="1"/>
  <c r="U324" i="17"/>
  <c r="T324" i="17" s="1"/>
  <c r="S324" i="17" s="1"/>
  <c r="R324" i="17" s="1"/>
  <c r="P324" i="17" s="1"/>
  <c r="V324" i="17" s="1"/>
  <c r="U373" i="17"/>
  <c r="T373" i="17" s="1"/>
  <c r="S373" i="17" s="1"/>
  <c r="R373" i="17" s="1"/>
  <c r="P373" i="17" s="1"/>
  <c r="V373" i="17" s="1"/>
  <c r="F373" i="17" s="1"/>
  <c r="U166" i="17"/>
  <c r="T166" i="17" s="1"/>
  <c r="S166" i="17" s="1"/>
  <c r="R166" i="17" s="1"/>
  <c r="P166" i="17" s="1"/>
  <c r="V166" i="17" s="1"/>
  <c r="F166" i="17" s="1"/>
  <c r="U179" i="17"/>
  <c r="T179" i="17" s="1"/>
  <c r="S179" i="17" s="1"/>
  <c r="R179" i="17" s="1"/>
  <c r="P179" i="17" s="1"/>
  <c r="V179" i="17" s="1"/>
  <c r="F179" i="17" s="1"/>
  <c r="U175" i="17"/>
  <c r="T175" i="17" s="1"/>
  <c r="S175" i="17" s="1"/>
  <c r="R175" i="17" s="1"/>
  <c r="P175" i="17" s="1"/>
  <c r="V175" i="17" s="1"/>
  <c r="F175" i="17" s="1"/>
  <c r="U159" i="17"/>
  <c r="T159" i="17" s="1"/>
  <c r="S159" i="17" s="1"/>
  <c r="R159" i="17" s="1"/>
  <c r="P159" i="17" s="1"/>
  <c r="V159" i="17" s="1"/>
  <c r="F159" i="17" s="1"/>
  <c r="U156" i="17"/>
  <c r="T156" i="17" s="1"/>
  <c r="S156" i="17" s="1"/>
  <c r="R156" i="17" s="1"/>
  <c r="P156" i="17" s="1"/>
  <c r="V156" i="17" s="1"/>
  <c r="F156" i="17" s="1"/>
  <c r="U360" i="17"/>
  <c r="T360" i="17" s="1"/>
  <c r="S360" i="17" s="1"/>
  <c r="R360" i="17" s="1"/>
  <c r="P360" i="17" s="1"/>
  <c r="V360" i="17" s="1"/>
  <c r="F360" i="17" s="1"/>
  <c r="U340" i="17"/>
  <c r="T340" i="17" s="1"/>
  <c r="S340" i="17" s="1"/>
  <c r="R340" i="17" s="1"/>
  <c r="P340" i="17" s="1"/>
  <c r="V340" i="17" s="1"/>
  <c r="F340" i="17" s="1"/>
  <c r="U84" i="17"/>
  <c r="T84" i="17" s="1"/>
  <c r="S84" i="17" s="1"/>
  <c r="R84" i="17" s="1"/>
  <c r="P84" i="17" s="1"/>
  <c r="V84" i="17" s="1"/>
  <c r="U83" i="17"/>
  <c r="T83" i="17" s="1"/>
  <c r="S83" i="17" s="1"/>
  <c r="R83" i="17" s="1"/>
  <c r="P83" i="17" s="1"/>
  <c r="V83" i="17" s="1"/>
  <c r="U318" i="17"/>
  <c r="T318" i="17" s="1"/>
  <c r="S318" i="17" s="1"/>
  <c r="R318" i="17" s="1"/>
  <c r="P318" i="17" s="1"/>
  <c r="V318" i="17" s="1"/>
  <c r="F318" i="17" s="1"/>
  <c r="U33" i="17"/>
  <c r="T33" i="17" s="1"/>
  <c r="S33" i="17" s="1"/>
  <c r="R33" i="17" s="1"/>
  <c r="P33" i="17" s="1"/>
  <c r="V33" i="17" s="1"/>
  <c r="F33" i="17" s="1"/>
  <c r="U32" i="17"/>
  <c r="T32" i="17" s="1"/>
  <c r="S32" i="17" s="1"/>
  <c r="R32" i="17" s="1"/>
  <c r="P32" i="17" s="1"/>
  <c r="V32" i="17" s="1"/>
  <c r="F32" i="17" s="1"/>
  <c r="U314" i="17"/>
  <c r="T314" i="17" s="1"/>
  <c r="S314" i="17" s="1"/>
  <c r="R314" i="17" s="1"/>
  <c r="P314" i="17" s="1"/>
  <c r="V314" i="17" s="1"/>
  <c r="F314" i="17" s="1"/>
  <c r="U199" i="17"/>
  <c r="T199" i="17" s="1"/>
  <c r="S199" i="17" s="1"/>
  <c r="R199" i="17" s="1"/>
  <c r="P199" i="17" s="1"/>
  <c r="V199" i="17" s="1"/>
  <c r="F199" i="17" s="1"/>
  <c r="U244" i="17"/>
  <c r="T244" i="17" s="1"/>
  <c r="S244" i="17" s="1"/>
  <c r="R244" i="17" s="1"/>
  <c r="P244" i="17" s="1"/>
  <c r="V244" i="17" s="1"/>
  <c r="U215" i="17"/>
  <c r="T215" i="17" s="1"/>
  <c r="S215" i="17" s="1"/>
  <c r="R215" i="17" s="1"/>
  <c r="P215" i="17" s="1"/>
  <c r="V215" i="17" s="1"/>
  <c r="U28" i="17"/>
  <c r="T28" i="17" s="1"/>
  <c r="S28" i="17" s="1"/>
  <c r="R28" i="17" s="1"/>
  <c r="P28" i="17" s="1"/>
  <c r="V28" i="17" s="1"/>
  <c r="F28" i="17" s="1"/>
  <c r="U52" i="17"/>
  <c r="T52" i="17" s="1"/>
  <c r="S52" i="17" s="1"/>
  <c r="R52" i="17" s="1"/>
  <c r="P52" i="17" s="1"/>
  <c r="V52" i="17" s="1"/>
  <c r="F52" i="17" s="1"/>
  <c r="U229" i="17"/>
  <c r="T229" i="17" s="1"/>
  <c r="S229" i="17" s="1"/>
  <c r="R229" i="17" s="1"/>
  <c r="P229" i="17" s="1"/>
  <c r="V229" i="17" s="1"/>
  <c r="U154" i="17"/>
  <c r="T154" i="17" s="1"/>
  <c r="S154" i="17" s="1"/>
  <c r="R154" i="17" s="1"/>
  <c r="P154" i="17" s="1"/>
  <c r="V154" i="17" s="1"/>
  <c r="AI68" i="17"/>
  <c r="AH68" i="17" s="1"/>
  <c r="AG68" i="17" s="1"/>
  <c r="AF68" i="17" s="1"/>
  <c r="AD68" i="17" s="1"/>
  <c r="AI19" i="17"/>
  <c r="AH19" i="17" s="1"/>
  <c r="AG19" i="17" s="1"/>
  <c r="AF19" i="17" s="1"/>
  <c r="AD19" i="17" s="1"/>
  <c r="AI318" i="17"/>
  <c r="AH318" i="17" s="1"/>
  <c r="AG318" i="17" s="1"/>
  <c r="AF318" i="17" s="1"/>
  <c r="AD318" i="17" s="1"/>
  <c r="AI110" i="17"/>
  <c r="AH110" i="17" s="1"/>
  <c r="AG110" i="17" s="1"/>
  <c r="AF110" i="17" s="1"/>
  <c r="AD110" i="17" s="1"/>
  <c r="U218" i="17"/>
  <c r="T218" i="17" s="1"/>
  <c r="S218" i="17" s="1"/>
  <c r="R218" i="17" s="1"/>
  <c r="P218" i="17" s="1"/>
  <c r="V218" i="17" s="1"/>
  <c r="F218" i="17" s="1"/>
  <c r="U353" i="17"/>
  <c r="T353" i="17" s="1"/>
  <c r="S353" i="17" s="1"/>
  <c r="R353" i="17" s="1"/>
  <c r="P353" i="17" s="1"/>
  <c r="V353" i="17" s="1"/>
  <c r="U130" i="17"/>
  <c r="T130" i="17" s="1"/>
  <c r="S130" i="17" s="1"/>
  <c r="R130" i="17" s="1"/>
  <c r="P130" i="17" s="1"/>
  <c r="V130" i="17" s="1"/>
  <c r="U155" i="17"/>
  <c r="T155" i="17" s="1"/>
  <c r="S155" i="17" s="1"/>
  <c r="R155" i="17" s="1"/>
  <c r="P155" i="17" s="1"/>
  <c r="V155" i="17" s="1"/>
  <c r="U15" i="17"/>
  <c r="U285" i="17"/>
  <c r="T285" i="17" s="1"/>
  <c r="S285" i="17" s="1"/>
  <c r="R285" i="17" s="1"/>
  <c r="P285" i="17" s="1"/>
  <c r="V285" i="17" s="1"/>
  <c r="F285" i="17" s="1"/>
  <c r="U30" i="17"/>
  <c r="T30" i="17" s="1"/>
  <c r="S30" i="17" s="1"/>
  <c r="R30" i="17" s="1"/>
  <c r="P30" i="17" s="1"/>
  <c r="V30" i="17" s="1"/>
  <c r="F30" i="17" s="1"/>
  <c r="U344" i="17"/>
  <c r="T344" i="17" s="1"/>
  <c r="S344" i="17" s="1"/>
  <c r="R344" i="17" s="1"/>
  <c r="P344" i="17" s="1"/>
  <c r="V344" i="17" s="1"/>
  <c r="U322" i="17"/>
  <c r="T322" i="17" s="1"/>
  <c r="S322" i="17" s="1"/>
  <c r="R322" i="17" s="1"/>
  <c r="P322" i="17" s="1"/>
  <c r="V322" i="17" s="1"/>
  <c r="U245" i="17"/>
  <c r="T245" i="17" s="1"/>
  <c r="S245" i="17" s="1"/>
  <c r="R245" i="17" s="1"/>
  <c r="P245" i="17" s="1"/>
  <c r="V245" i="17" s="1"/>
  <c r="U58" i="17"/>
  <c r="T58" i="17" s="1"/>
  <c r="S58" i="17" s="1"/>
  <c r="R58" i="17" s="1"/>
  <c r="P58" i="17" s="1"/>
  <c r="V58" i="17" s="1"/>
  <c r="F58" i="17" s="1"/>
  <c r="U195" i="17"/>
  <c r="T195" i="17" s="1"/>
  <c r="S195" i="17" s="1"/>
  <c r="R195" i="17" s="1"/>
  <c r="P195" i="17" s="1"/>
  <c r="U38" i="17"/>
  <c r="T38" i="17" s="1"/>
  <c r="S38" i="17" s="1"/>
  <c r="R38" i="17" s="1"/>
  <c r="P38" i="17" s="1"/>
  <c r="V38" i="17" s="1"/>
  <c r="U291" i="17"/>
  <c r="T291" i="17" s="1"/>
  <c r="S291" i="17" s="1"/>
  <c r="R291" i="17" s="1"/>
  <c r="P291" i="17" s="1"/>
  <c r="V291" i="17" s="1"/>
  <c r="U315" i="17"/>
  <c r="T315" i="17" s="1"/>
  <c r="S315" i="17" s="1"/>
  <c r="R315" i="17" s="1"/>
  <c r="P315" i="17" s="1"/>
  <c r="V315" i="17" s="1"/>
  <c r="F315" i="17" s="1"/>
  <c r="U202" i="17"/>
  <c r="T202" i="17" s="1"/>
  <c r="S202" i="17" s="1"/>
  <c r="R202" i="17" s="1"/>
  <c r="P202" i="17" s="1"/>
  <c r="V202" i="17" s="1"/>
  <c r="F202" i="17" s="1"/>
  <c r="U53" i="17"/>
  <c r="T53" i="17" s="1"/>
  <c r="S53" i="17" s="1"/>
  <c r="R53" i="17" s="1"/>
  <c r="P53" i="17" s="1"/>
  <c r="V53" i="17" s="1"/>
  <c r="F53" i="17" s="1"/>
  <c r="U279" i="17"/>
  <c r="T279" i="17" s="1"/>
  <c r="S279" i="17" s="1"/>
  <c r="R279" i="17" s="1"/>
  <c r="P279" i="17" s="1"/>
  <c r="V279" i="17" s="1"/>
  <c r="U240" i="17"/>
  <c r="T240" i="17" s="1"/>
  <c r="S240" i="17" s="1"/>
  <c r="R240" i="17" s="1"/>
  <c r="P240" i="17" s="1"/>
  <c r="V240" i="17" s="1"/>
  <c r="F240" i="17" s="1"/>
  <c r="U231" i="17"/>
  <c r="T231" i="17" s="1"/>
  <c r="S231" i="17" s="1"/>
  <c r="R231" i="17" s="1"/>
  <c r="P231" i="17" s="1"/>
  <c r="V231" i="17" s="1"/>
  <c r="U19" i="17"/>
  <c r="T19" i="17" s="1"/>
  <c r="S19" i="17" s="1"/>
  <c r="R19" i="17" s="1"/>
  <c r="P19" i="17" s="1"/>
  <c r="V19" i="17" s="1"/>
  <c r="U118" i="17"/>
  <c r="T118" i="17" s="1"/>
  <c r="S118" i="17" s="1"/>
  <c r="R118" i="17" s="1"/>
  <c r="P118" i="17" s="1"/>
  <c r="V118" i="17" s="1"/>
  <c r="U86" i="17"/>
  <c r="T86" i="17" s="1"/>
  <c r="S86" i="17" s="1"/>
  <c r="R86" i="17" s="1"/>
  <c r="P86" i="17" s="1"/>
  <c r="V86" i="17" s="1"/>
  <c r="F86" i="17" s="1"/>
  <c r="U120" i="17"/>
  <c r="T120" i="17" s="1"/>
  <c r="S120" i="17" s="1"/>
  <c r="R120" i="17" s="1"/>
  <c r="P120" i="17" s="1"/>
  <c r="V120" i="17" s="1"/>
  <c r="U168" i="17"/>
  <c r="T168" i="17" s="1"/>
  <c r="S168" i="17" s="1"/>
  <c r="R168" i="17" s="1"/>
  <c r="P168" i="17" s="1"/>
  <c r="V168" i="17" s="1"/>
  <c r="F168" i="17" s="1"/>
  <c r="U331" i="17"/>
  <c r="T331" i="17" s="1"/>
  <c r="S331" i="17" s="1"/>
  <c r="R331" i="17" s="1"/>
  <c r="P331" i="17" s="1"/>
  <c r="V331" i="17" s="1"/>
  <c r="F331" i="17" s="1"/>
  <c r="U57" i="17"/>
  <c r="T57" i="17" s="1"/>
  <c r="S57" i="17" s="1"/>
  <c r="R57" i="17" s="1"/>
  <c r="P57" i="17" s="1"/>
  <c r="V57" i="17" s="1"/>
  <c r="U283" i="17"/>
  <c r="T283" i="17" s="1"/>
  <c r="S283" i="17" s="1"/>
  <c r="R283" i="17" s="1"/>
  <c r="P283" i="17" s="1"/>
  <c r="V283" i="17" s="1"/>
  <c r="U41" i="17"/>
  <c r="T41" i="17" s="1"/>
  <c r="S41" i="17" s="1"/>
  <c r="R41" i="17" s="1"/>
  <c r="P41" i="17" s="1"/>
  <c r="V41" i="17" s="1"/>
  <c r="F41" i="17" s="1"/>
  <c r="U208" i="17"/>
  <c r="T208" i="17" s="1"/>
  <c r="S208" i="17" s="1"/>
  <c r="R208" i="17" s="1"/>
  <c r="P208" i="17" s="1"/>
  <c r="V208" i="17" s="1"/>
  <c r="F208" i="17" s="1"/>
  <c r="U292" i="17"/>
  <c r="T292" i="17" s="1"/>
  <c r="S292" i="17" s="1"/>
  <c r="R292" i="17" s="1"/>
  <c r="P292" i="17" s="1"/>
  <c r="V292" i="17" s="1"/>
  <c r="U206" i="17"/>
  <c r="T206" i="17" s="1"/>
  <c r="S206" i="17" s="1"/>
  <c r="R206" i="17" s="1"/>
  <c r="P206" i="17" s="1"/>
  <c r="V206" i="17" s="1"/>
  <c r="F206" i="17" s="1"/>
  <c r="U172" i="17"/>
  <c r="T172" i="17" s="1"/>
  <c r="S172" i="17" s="1"/>
  <c r="R172" i="17" s="1"/>
  <c r="P172" i="17" s="1"/>
  <c r="V172" i="17" s="1"/>
  <c r="F172" i="17" s="1"/>
  <c r="U361" i="17"/>
  <c r="T361" i="17" s="1"/>
  <c r="S361" i="17" s="1"/>
  <c r="R361" i="17" s="1"/>
  <c r="P361" i="17" s="1"/>
  <c r="V361" i="17" s="1"/>
  <c r="F361" i="17" s="1"/>
  <c r="U39" i="17"/>
  <c r="T39" i="17" s="1"/>
  <c r="S39" i="17" s="1"/>
  <c r="R39" i="17" s="1"/>
  <c r="P39" i="17" s="1"/>
  <c r="V39" i="17" s="1"/>
  <c r="F39" i="17" s="1"/>
  <c r="U91" i="17"/>
  <c r="T91" i="17" s="1"/>
  <c r="S91" i="17" s="1"/>
  <c r="R91" i="17" s="1"/>
  <c r="P91" i="17" s="1"/>
  <c r="V91" i="17" s="1"/>
  <c r="U152" i="17"/>
  <c r="T152" i="17" s="1"/>
  <c r="S152" i="17" s="1"/>
  <c r="R152" i="17" s="1"/>
  <c r="P152" i="17" s="1"/>
  <c r="V152" i="17" s="1"/>
  <c r="F152" i="17" s="1"/>
  <c r="U22" i="17"/>
  <c r="T22" i="17" s="1"/>
  <c r="S22" i="17" s="1"/>
  <c r="R22" i="17" s="1"/>
  <c r="P22" i="17" s="1"/>
  <c r="V22" i="17" s="1"/>
  <c r="F22" i="17" s="1"/>
  <c r="U355" i="17"/>
  <c r="T355" i="17" s="1"/>
  <c r="S355" i="17" s="1"/>
  <c r="R355" i="17" s="1"/>
  <c r="P355" i="17" s="1"/>
  <c r="V355" i="17" s="1"/>
  <c r="F355" i="17" s="1"/>
  <c r="U26" i="17"/>
  <c r="T26" i="17" s="1"/>
  <c r="S26" i="17" s="1"/>
  <c r="R26" i="17" s="1"/>
  <c r="P26" i="17" s="1"/>
  <c r="V26" i="17" s="1"/>
  <c r="U248" i="17"/>
  <c r="T248" i="17" s="1"/>
  <c r="S248" i="17" s="1"/>
  <c r="R248" i="17" s="1"/>
  <c r="P248" i="17" s="1"/>
  <c r="V248" i="17" s="1"/>
  <c r="U16" i="17"/>
  <c r="T16" i="17" s="1"/>
  <c r="S16" i="17" s="1"/>
  <c r="R16" i="17" s="1"/>
  <c r="P16" i="17" s="1"/>
  <c r="V16" i="17" s="1"/>
  <c r="U337" i="17"/>
  <c r="T337" i="17" s="1"/>
  <c r="S337" i="17" s="1"/>
  <c r="R337" i="17" s="1"/>
  <c r="P337" i="17" s="1"/>
  <c r="V337" i="17" s="1"/>
  <c r="F337" i="17" s="1"/>
  <c r="U96" i="17"/>
  <c r="T96" i="17" s="1"/>
  <c r="S96" i="17" s="1"/>
  <c r="R96" i="17" s="1"/>
  <c r="P96" i="17" s="1"/>
  <c r="V96" i="17" s="1"/>
  <c r="F96" i="17" s="1"/>
  <c r="U264" i="17"/>
  <c r="T264" i="17" s="1"/>
  <c r="S264" i="17" s="1"/>
  <c r="R264" i="17" s="1"/>
  <c r="P264" i="17" s="1"/>
  <c r="V264" i="17" s="1"/>
  <c r="F264" i="17" s="1"/>
  <c r="U359" i="17"/>
  <c r="T359" i="17" s="1"/>
  <c r="S359" i="17" s="1"/>
  <c r="R359" i="17" s="1"/>
  <c r="P359" i="17" s="1"/>
  <c r="V359" i="17" s="1"/>
  <c r="AI133" i="17"/>
  <c r="AH133" i="17" s="1"/>
  <c r="AG133" i="17" s="1"/>
  <c r="AF133" i="17" s="1"/>
  <c r="AD133" i="17" s="1"/>
  <c r="AI375" i="17"/>
  <c r="AH375" i="17" s="1"/>
  <c r="AG375" i="17" s="1"/>
  <c r="AF375" i="17" s="1"/>
  <c r="AD375" i="17" s="1"/>
  <c r="AI56" i="17"/>
  <c r="AH56" i="17" s="1"/>
  <c r="AG56" i="17" s="1"/>
  <c r="AF56" i="17" s="1"/>
  <c r="AD56" i="17" s="1"/>
  <c r="AI206" i="17"/>
  <c r="AH206" i="17" s="1"/>
  <c r="AG206" i="17" s="1"/>
  <c r="AF206" i="17" s="1"/>
  <c r="AD206" i="17" s="1"/>
  <c r="AI227" i="17"/>
  <c r="AH227" i="17" s="1"/>
  <c r="AG227" i="17" s="1"/>
  <c r="AF227" i="17" s="1"/>
  <c r="AD227" i="17" s="1"/>
  <c r="AI172" i="17"/>
  <c r="AH172" i="17" s="1"/>
  <c r="AG172" i="17" s="1"/>
  <c r="AF172" i="17" s="1"/>
  <c r="AD172" i="17" s="1"/>
  <c r="AI120" i="17"/>
  <c r="AH120" i="17" s="1"/>
  <c r="AG120" i="17" s="1"/>
  <c r="AF120" i="17" s="1"/>
  <c r="AD120" i="17" s="1"/>
  <c r="AI178" i="17"/>
  <c r="AH178" i="17" s="1"/>
  <c r="AG178" i="17" s="1"/>
  <c r="AF178" i="17" s="1"/>
  <c r="AD178" i="17" s="1"/>
  <c r="AI28" i="17"/>
  <c r="AH28" i="17" s="1"/>
  <c r="AG28" i="17" s="1"/>
  <c r="AF28" i="17" s="1"/>
  <c r="AD28" i="17" s="1"/>
  <c r="AI285" i="17"/>
  <c r="AH285" i="17" s="1"/>
  <c r="AG285" i="17" s="1"/>
  <c r="AF285" i="17" s="1"/>
  <c r="AD285" i="17" s="1"/>
  <c r="AI38" i="17"/>
  <c r="AH38" i="17" s="1"/>
  <c r="AG38" i="17" s="1"/>
  <c r="AF38" i="17" s="1"/>
  <c r="AD38" i="17" s="1"/>
  <c r="AI260" i="17"/>
  <c r="AH260" i="17" s="1"/>
  <c r="AG260" i="17" s="1"/>
  <c r="AF260" i="17" s="1"/>
  <c r="AD260" i="17" s="1"/>
  <c r="AI61" i="17"/>
  <c r="AH61" i="17" s="1"/>
  <c r="AG61" i="17" s="1"/>
  <c r="AF61" i="17" s="1"/>
  <c r="AD61" i="17" s="1"/>
  <c r="AI321" i="17"/>
  <c r="AH321" i="17" s="1"/>
  <c r="AG321" i="17" s="1"/>
  <c r="AF321" i="17" s="1"/>
  <c r="AD321" i="17" s="1"/>
  <c r="AI335" i="17"/>
  <c r="AH335" i="17" s="1"/>
  <c r="AG335" i="17" s="1"/>
  <c r="AF335" i="17" s="1"/>
  <c r="AD335" i="17" s="1"/>
  <c r="AI274" i="17"/>
  <c r="AH274" i="17" s="1"/>
  <c r="AG274" i="17" s="1"/>
  <c r="AF274" i="17" s="1"/>
  <c r="AD274" i="17" s="1"/>
  <c r="AI180" i="17"/>
  <c r="AH180" i="17" s="1"/>
  <c r="AG180" i="17" s="1"/>
  <c r="AF180" i="17" s="1"/>
  <c r="AD180" i="17" s="1"/>
  <c r="AI162" i="17"/>
  <c r="AH162" i="17" s="1"/>
  <c r="AG162" i="17" s="1"/>
  <c r="AF162" i="17" s="1"/>
  <c r="AD162" i="17" s="1"/>
  <c r="AI212" i="17"/>
  <c r="AH212" i="17" s="1"/>
  <c r="AG212" i="17" s="1"/>
  <c r="AF212" i="17" s="1"/>
  <c r="AD212" i="17" s="1"/>
  <c r="AI194" i="17"/>
  <c r="AH194" i="17" s="1"/>
  <c r="AG194" i="17" s="1"/>
  <c r="AF194" i="17" s="1"/>
  <c r="AD194" i="17" s="1"/>
  <c r="AI75" i="17"/>
  <c r="AH75" i="17" s="1"/>
  <c r="AG75" i="17" s="1"/>
  <c r="AF75" i="17" s="1"/>
  <c r="AD75" i="17" s="1"/>
  <c r="AI80" i="17"/>
  <c r="AH80" i="17" s="1"/>
  <c r="AG80" i="17" s="1"/>
  <c r="AF80" i="17" s="1"/>
  <c r="AD80" i="17" s="1"/>
  <c r="AI171" i="17"/>
  <c r="AH171" i="17" s="1"/>
  <c r="AG171" i="17" s="1"/>
  <c r="AF171" i="17" s="1"/>
  <c r="AD171" i="17" s="1"/>
  <c r="AI296" i="17"/>
  <c r="AH296" i="17" s="1"/>
  <c r="AG296" i="17" s="1"/>
  <c r="AF296" i="17" s="1"/>
  <c r="AD296" i="17" s="1"/>
  <c r="AI297" i="17"/>
  <c r="AH297" i="17" s="1"/>
  <c r="AG297" i="17" s="1"/>
  <c r="AF297" i="17" s="1"/>
  <c r="AD297" i="17" s="1"/>
  <c r="AI122" i="17"/>
  <c r="AH122" i="17" s="1"/>
  <c r="AG122" i="17" s="1"/>
  <c r="AF122" i="17" s="1"/>
  <c r="AD122" i="17" s="1"/>
  <c r="AI181" i="17"/>
  <c r="AH181" i="17" s="1"/>
  <c r="AG181" i="17" s="1"/>
  <c r="AF181" i="17" s="1"/>
  <c r="AD181" i="17" s="1"/>
  <c r="AI173" i="17"/>
  <c r="AH173" i="17" s="1"/>
  <c r="AG173" i="17" s="1"/>
  <c r="AF173" i="17" s="1"/>
  <c r="AD173" i="17" s="1"/>
  <c r="AI352" i="17"/>
  <c r="AH352" i="17" s="1"/>
  <c r="AG352" i="17" s="1"/>
  <c r="AF352" i="17" s="1"/>
  <c r="AD352" i="17" s="1"/>
  <c r="AI336" i="17"/>
  <c r="AH336" i="17" s="1"/>
  <c r="AG336" i="17" s="1"/>
  <c r="AF336" i="17" s="1"/>
  <c r="AD336" i="17" s="1"/>
  <c r="AI363" i="17"/>
  <c r="AH363" i="17" s="1"/>
  <c r="AG363" i="17" s="1"/>
  <c r="AF363" i="17" s="1"/>
  <c r="AD363" i="17" s="1"/>
  <c r="AI307" i="17"/>
  <c r="AH307" i="17" s="1"/>
  <c r="AG307" i="17" s="1"/>
  <c r="AF307" i="17" s="1"/>
  <c r="AD307" i="17" s="1"/>
  <c r="AI269" i="17"/>
  <c r="AH269" i="17" s="1"/>
  <c r="AG269" i="17" s="1"/>
  <c r="AF269" i="17" s="1"/>
  <c r="AD269" i="17" s="1"/>
  <c r="AI215" i="17"/>
  <c r="AH215" i="17" s="1"/>
  <c r="AG215" i="17" s="1"/>
  <c r="AF215" i="17" s="1"/>
  <c r="AD215" i="17" s="1"/>
  <c r="AI174" i="17"/>
  <c r="AH174" i="17" s="1"/>
  <c r="AG174" i="17" s="1"/>
  <c r="AF174" i="17" s="1"/>
  <c r="AD174" i="17" s="1"/>
  <c r="AI208" i="17"/>
  <c r="AH208" i="17" s="1"/>
  <c r="AG208" i="17" s="1"/>
  <c r="AF208" i="17" s="1"/>
  <c r="AD208" i="17" s="1"/>
  <c r="AI22" i="17"/>
  <c r="AH22" i="17" s="1"/>
  <c r="AG22" i="17" s="1"/>
  <c r="AF22" i="17" s="1"/>
  <c r="AD22" i="17" s="1"/>
  <c r="AI306" i="17"/>
  <c r="AH306" i="17" s="1"/>
  <c r="AG306" i="17" s="1"/>
  <c r="AF306" i="17" s="1"/>
  <c r="AD306" i="17" s="1"/>
  <c r="AI59" i="17"/>
  <c r="AH59" i="17" s="1"/>
  <c r="AG59" i="17" s="1"/>
  <c r="AF59" i="17" s="1"/>
  <c r="AD59" i="17" s="1"/>
  <c r="AI345" i="17"/>
  <c r="AH345" i="17" s="1"/>
  <c r="AG345" i="17" s="1"/>
  <c r="AF345" i="17" s="1"/>
  <c r="AD345" i="17" s="1"/>
  <c r="AI236" i="17"/>
  <c r="AH236" i="17" s="1"/>
  <c r="AG236" i="17" s="1"/>
  <c r="AF236" i="17" s="1"/>
  <c r="AD236" i="17" s="1"/>
  <c r="AI166" i="17"/>
  <c r="AH166" i="17" s="1"/>
  <c r="AG166" i="17" s="1"/>
  <c r="AF166" i="17" s="1"/>
  <c r="AD166" i="17" s="1"/>
  <c r="AI140" i="17"/>
  <c r="AH140" i="17" s="1"/>
  <c r="AG140" i="17" s="1"/>
  <c r="AF140" i="17" s="1"/>
  <c r="AD140" i="17" s="1"/>
  <c r="AI308" i="17"/>
  <c r="AH308" i="17" s="1"/>
  <c r="AG308" i="17" s="1"/>
  <c r="AF308" i="17" s="1"/>
  <c r="AD308" i="17" s="1"/>
  <c r="AI325" i="17"/>
  <c r="AH325" i="17" s="1"/>
  <c r="AG325" i="17" s="1"/>
  <c r="AF325" i="17" s="1"/>
  <c r="AD325" i="17" s="1"/>
  <c r="AI193" i="17"/>
  <c r="AH193" i="17" s="1"/>
  <c r="AG193" i="17" s="1"/>
  <c r="AF193" i="17" s="1"/>
  <c r="AD193" i="17" s="1"/>
  <c r="AI265" i="17"/>
  <c r="AH265" i="17" s="1"/>
  <c r="AG265" i="17" s="1"/>
  <c r="AF265" i="17" s="1"/>
  <c r="AD265" i="17" s="1"/>
  <c r="AI109" i="17"/>
  <c r="AH109" i="17" s="1"/>
  <c r="AG109" i="17" s="1"/>
  <c r="AF109" i="17" s="1"/>
  <c r="AD109" i="17" s="1"/>
  <c r="AI379" i="17"/>
  <c r="AI42" i="17"/>
  <c r="AH42" i="17" s="1"/>
  <c r="AG42" i="17" s="1"/>
  <c r="AF42" i="17" s="1"/>
  <c r="AD42" i="17" s="1"/>
  <c r="AI377" i="17"/>
  <c r="AH377" i="17" s="1"/>
  <c r="AG377" i="17" s="1"/>
  <c r="AF377" i="17" s="1"/>
  <c r="AD377" i="17" s="1"/>
  <c r="AI31" i="17"/>
  <c r="AH31" i="17" s="1"/>
  <c r="AG31" i="17" s="1"/>
  <c r="AF31" i="17" s="1"/>
  <c r="AD31" i="17" s="1"/>
  <c r="AI232" i="17"/>
  <c r="AH232" i="17" s="1"/>
  <c r="AG232" i="17" s="1"/>
  <c r="AF232" i="17" s="1"/>
  <c r="AD232" i="17" s="1"/>
  <c r="AI275" i="17"/>
  <c r="AH275" i="17" s="1"/>
  <c r="AG275" i="17" s="1"/>
  <c r="AF275" i="17" s="1"/>
  <c r="AD275" i="17" s="1"/>
  <c r="AI337" i="17"/>
  <c r="AH337" i="17" s="1"/>
  <c r="AG337" i="17" s="1"/>
  <c r="AF337" i="17" s="1"/>
  <c r="AD337" i="17" s="1"/>
  <c r="AI277" i="17"/>
  <c r="AH277" i="17" s="1"/>
  <c r="AG277" i="17" s="1"/>
  <c r="AF277" i="17" s="1"/>
  <c r="AD277" i="17" s="1"/>
  <c r="AI79" i="17"/>
  <c r="AH79" i="17" s="1"/>
  <c r="AG79" i="17" s="1"/>
  <c r="AF79" i="17" s="1"/>
  <c r="AD79" i="17" s="1"/>
  <c r="AI101" i="17"/>
  <c r="AH101" i="17" s="1"/>
  <c r="AG101" i="17" s="1"/>
  <c r="AF101" i="17" s="1"/>
  <c r="AD101" i="17" s="1"/>
  <c r="AI195" i="17"/>
  <c r="AH195" i="17" s="1"/>
  <c r="AG195" i="17" s="1"/>
  <c r="AF195" i="17" s="1"/>
  <c r="AD195" i="17" s="1"/>
  <c r="AI354" i="17"/>
  <c r="AH354" i="17" s="1"/>
  <c r="AG354" i="17" s="1"/>
  <c r="AF354" i="17" s="1"/>
  <c r="AD354" i="17" s="1"/>
  <c r="AI48" i="17"/>
  <c r="AH48" i="17" s="1"/>
  <c r="AG48" i="17" s="1"/>
  <c r="AF48" i="17" s="1"/>
  <c r="AD48" i="17" s="1"/>
  <c r="AI129" i="17"/>
  <c r="AH129" i="17" s="1"/>
  <c r="AG129" i="17" s="1"/>
  <c r="AF129" i="17" s="1"/>
  <c r="AD129" i="17" s="1"/>
  <c r="AI211" i="17"/>
  <c r="AH211" i="17" s="1"/>
  <c r="AG211" i="17" s="1"/>
  <c r="AF211" i="17" s="1"/>
  <c r="AD211" i="17" s="1"/>
  <c r="AI330" i="17"/>
  <c r="AH330" i="17" s="1"/>
  <c r="AG330" i="17" s="1"/>
  <c r="AF330" i="17" s="1"/>
  <c r="AD330" i="17" s="1"/>
  <c r="AI332" i="17"/>
  <c r="AH332" i="17" s="1"/>
  <c r="AG332" i="17" s="1"/>
  <c r="AF332" i="17" s="1"/>
  <c r="AD332" i="17" s="1"/>
  <c r="AI241" i="17"/>
  <c r="AH241" i="17" s="1"/>
  <c r="AG241" i="17" s="1"/>
  <c r="AF241" i="17" s="1"/>
  <c r="AD241" i="17" s="1"/>
  <c r="AI125" i="17"/>
  <c r="AH125" i="17" s="1"/>
  <c r="AG125" i="17" s="1"/>
  <c r="AF125" i="17" s="1"/>
  <c r="AD125" i="17" s="1"/>
  <c r="AI70" i="17"/>
  <c r="AH70" i="17" s="1"/>
  <c r="AG70" i="17" s="1"/>
  <c r="AF70" i="17" s="1"/>
  <c r="AD70" i="17" s="1"/>
  <c r="AI218" i="17"/>
  <c r="AH218" i="17" s="1"/>
  <c r="AG218" i="17" s="1"/>
  <c r="AF218" i="17" s="1"/>
  <c r="AD218" i="17" s="1"/>
  <c r="AI353" i="17"/>
  <c r="AH353" i="17" s="1"/>
  <c r="AG353" i="17" s="1"/>
  <c r="AF353" i="17" s="1"/>
  <c r="AD353" i="17" s="1"/>
  <c r="AI293" i="17"/>
  <c r="AH293" i="17" s="1"/>
  <c r="AG293" i="17" s="1"/>
  <c r="AF293" i="17" s="1"/>
  <c r="AD293" i="17" s="1"/>
  <c r="AI105" i="17"/>
  <c r="AH105" i="17" s="1"/>
  <c r="AG105" i="17" s="1"/>
  <c r="AF105" i="17" s="1"/>
  <c r="AD105" i="17" s="1"/>
  <c r="AI66" i="17"/>
  <c r="AH66" i="17" s="1"/>
  <c r="AG66" i="17" s="1"/>
  <c r="AF66" i="17" s="1"/>
  <c r="AD66" i="17" s="1"/>
  <c r="AI186" i="17"/>
  <c r="AH186" i="17" s="1"/>
  <c r="AG186" i="17" s="1"/>
  <c r="AF186" i="17" s="1"/>
  <c r="AD186" i="17" s="1"/>
  <c r="AI240" i="17"/>
  <c r="AH240" i="17" s="1"/>
  <c r="AG240" i="17" s="1"/>
  <c r="AF240" i="17" s="1"/>
  <c r="AD240" i="17" s="1"/>
  <c r="AI24" i="17"/>
  <c r="AH24" i="17" s="1"/>
  <c r="AG24" i="17" s="1"/>
  <c r="AF24" i="17" s="1"/>
  <c r="AD24" i="17" s="1"/>
  <c r="AI124" i="17"/>
  <c r="AH124" i="17" s="1"/>
  <c r="AG124" i="17" s="1"/>
  <c r="AF124" i="17" s="1"/>
  <c r="AD124" i="17" s="1"/>
  <c r="AI230" i="17"/>
  <c r="AH230" i="17" s="1"/>
  <c r="AG230" i="17" s="1"/>
  <c r="AF230" i="17" s="1"/>
  <c r="AD230" i="17" s="1"/>
  <c r="AI231" i="17"/>
  <c r="AH231" i="17" s="1"/>
  <c r="AG231" i="17" s="1"/>
  <c r="AF231" i="17" s="1"/>
  <c r="AD231" i="17" s="1"/>
  <c r="AI238" i="17"/>
  <c r="AH238" i="17" s="1"/>
  <c r="AG238" i="17" s="1"/>
  <c r="AF238" i="17" s="1"/>
  <c r="AD238" i="17" s="1"/>
  <c r="AI95" i="17"/>
  <c r="AH95" i="17" s="1"/>
  <c r="AG95" i="17" s="1"/>
  <c r="AF95" i="17" s="1"/>
  <c r="AD95" i="17" s="1"/>
  <c r="AI20" i="17"/>
  <c r="AH20" i="17" s="1"/>
  <c r="AG20" i="17" s="1"/>
  <c r="AF20" i="17" s="1"/>
  <c r="AD20" i="17" s="1"/>
  <c r="AI221" i="17"/>
  <c r="AH221" i="17" s="1"/>
  <c r="AG221" i="17" s="1"/>
  <c r="AF221" i="17" s="1"/>
  <c r="AD221" i="17" s="1"/>
  <c r="AI357" i="17"/>
  <c r="AH357" i="17" s="1"/>
  <c r="AG357" i="17" s="1"/>
  <c r="AF357" i="17" s="1"/>
  <c r="AD357" i="17" s="1"/>
  <c r="AI23" i="17"/>
  <c r="AH23" i="17" s="1"/>
  <c r="AG23" i="17" s="1"/>
  <c r="AF23" i="17" s="1"/>
  <c r="AD23" i="17" s="1"/>
  <c r="AI320" i="17"/>
  <c r="AH320" i="17" s="1"/>
  <c r="AG320" i="17" s="1"/>
  <c r="AF320" i="17" s="1"/>
  <c r="AD320" i="17" s="1"/>
  <c r="AI341" i="17"/>
  <c r="AH341" i="17" s="1"/>
  <c r="AG341" i="17" s="1"/>
  <c r="AF341" i="17" s="1"/>
  <c r="AD341" i="17" s="1"/>
  <c r="AI144" i="17"/>
  <c r="AH144" i="17" s="1"/>
  <c r="AG144" i="17" s="1"/>
  <c r="AF144" i="17" s="1"/>
  <c r="AD144" i="17" s="1"/>
  <c r="AI30" i="17"/>
  <c r="AH30" i="17" s="1"/>
  <c r="AG30" i="17" s="1"/>
  <c r="AF30" i="17" s="1"/>
  <c r="AD30" i="17" s="1"/>
  <c r="AI62" i="17"/>
  <c r="AH62" i="17" s="1"/>
  <c r="AG62" i="17" s="1"/>
  <c r="AF62" i="17" s="1"/>
  <c r="AD62" i="17" s="1"/>
  <c r="AI200" i="17"/>
  <c r="AH200" i="17" s="1"/>
  <c r="AG200" i="17" s="1"/>
  <c r="AF200" i="17" s="1"/>
  <c r="AD200" i="17" s="1"/>
  <c r="AI175" i="17"/>
  <c r="AH175" i="17" s="1"/>
  <c r="AG175" i="17" s="1"/>
  <c r="AF175" i="17" s="1"/>
  <c r="AD175" i="17" s="1"/>
  <c r="AI94" i="17"/>
  <c r="AH94" i="17" s="1"/>
  <c r="AG94" i="17" s="1"/>
  <c r="AF94" i="17" s="1"/>
  <c r="AD94" i="17" s="1"/>
  <c r="AI246" i="17"/>
  <c r="AH246" i="17" s="1"/>
  <c r="AG246" i="17" s="1"/>
  <c r="AF246" i="17" s="1"/>
  <c r="AD246" i="17" s="1"/>
  <c r="U368" i="17"/>
  <c r="T368" i="17" s="1"/>
  <c r="S368" i="17" s="1"/>
  <c r="R368" i="17" s="1"/>
  <c r="P368" i="17" s="1"/>
  <c r="V368" i="17" s="1"/>
  <c r="F368" i="17" s="1"/>
  <c r="U358" i="17"/>
  <c r="T358" i="17" s="1"/>
  <c r="S358" i="17" s="1"/>
  <c r="R358" i="17" s="1"/>
  <c r="P358" i="17" s="1"/>
  <c r="V358" i="17" s="1"/>
  <c r="U220" i="17"/>
  <c r="T220" i="17" s="1"/>
  <c r="S220" i="17" s="1"/>
  <c r="R220" i="17" s="1"/>
  <c r="P220" i="17" s="1"/>
  <c r="V220" i="17" s="1"/>
  <c r="F220" i="17" s="1"/>
  <c r="U242" i="17"/>
  <c r="T242" i="17" s="1"/>
  <c r="S242" i="17" s="1"/>
  <c r="R242" i="17" s="1"/>
  <c r="P242" i="17" s="1"/>
  <c r="V242" i="17" s="1"/>
  <c r="F242" i="17" s="1"/>
  <c r="U352" i="17"/>
  <c r="T352" i="17" s="1"/>
  <c r="S352" i="17" s="1"/>
  <c r="R352" i="17" s="1"/>
  <c r="P352" i="17" s="1"/>
  <c r="V352" i="17" s="1"/>
  <c r="F352" i="17" s="1"/>
  <c r="U190" i="17"/>
  <c r="T190" i="17" s="1"/>
  <c r="S190" i="17" s="1"/>
  <c r="R190" i="17" s="1"/>
  <c r="P190" i="17" s="1"/>
  <c r="V190" i="17" s="1"/>
  <c r="AI339" i="17"/>
  <c r="AH339" i="17" s="1"/>
  <c r="AG339" i="17" s="1"/>
  <c r="AF339" i="17" s="1"/>
  <c r="AD339" i="17" s="1"/>
  <c r="U302" i="17"/>
  <c r="T302" i="17" s="1"/>
  <c r="S302" i="17" s="1"/>
  <c r="R302" i="17" s="1"/>
  <c r="P302" i="17" s="1"/>
  <c r="D65" i="7" s="1"/>
  <c r="U363" i="17"/>
  <c r="T363" i="17" s="1"/>
  <c r="S363" i="17" s="1"/>
  <c r="R363" i="17" s="1"/>
  <c r="P363" i="17" s="1"/>
  <c r="D67" i="7" s="1"/>
  <c r="U75" i="17"/>
  <c r="T75" i="17" s="1"/>
  <c r="S75" i="17" s="1"/>
  <c r="R75" i="17" s="1"/>
  <c r="P75" i="17" s="1"/>
  <c r="V75" i="17" s="1"/>
  <c r="U145" i="17"/>
  <c r="T145" i="17" s="1"/>
  <c r="S145" i="17" s="1"/>
  <c r="R145" i="17" s="1"/>
  <c r="P145" i="17" s="1"/>
  <c r="V145" i="17" s="1"/>
  <c r="F145" i="17" s="1"/>
  <c r="U160" i="17"/>
  <c r="T160" i="17" s="1"/>
  <c r="S160" i="17" s="1"/>
  <c r="R160" i="17" s="1"/>
  <c r="P160" i="17" s="1"/>
  <c r="V160" i="17" s="1"/>
  <c r="U280" i="17"/>
  <c r="T280" i="17" s="1"/>
  <c r="S280" i="17" s="1"/>
  <c r="R280" i="17" s="1"/>
  <c r="P280" i="17" s="1"/>
  <c r="V280" i="17" s="1"/>
  <c r="F280" i="17" s="1"/>
  <c r="U97" i="17"/>
  <c r="T97" i="17" s="1"/>
  <c r="S97" i="17" s="1"/>
  <c r="R97" i="17" s="1"/>
  <c r="P97" i="17" s="1"/>
  <c r="V97" i="17" s="1"/>
  <c r="U294" i="17"/>
  <c r="T294" i="17" s="1"/>
  <c r="S294" i="17" s="1"/>
  <c r="R294" i="17" s="1"/>
  <c r="P294" i="17" s="1"/>
  <c r="V294" i="17" s="1"/>
  <c r="F294" i="17" s="1"/>
  <c r="U271" i="17"/>
  <c r="T271" i="17" s="1"/>
  <c r="S271" i="17" s="1"/>
  <c r="R271" i="17" s="1"/>
  <c r="P271" i="17" s="1"/>
  <c r="V271" i="17" s="1"/>
  <c r="U237" i="17"/>
  <c r="T237" i="17" s="1"/>
  <c r="S237" i="17" s="1"/>
  <c r="R237" i="17" s="1"/>
  <c r="P237" i="17" s="1"/>
  <c r="V237" i="17" s="1"/>
  <c r="F237" i="17" s="1"/>
  <c r="U336" i="17"/>
  <c r="T336" i="17" s="1"/>
  <c r="S336" i="17" s="1"/>
  <c r="R336" i="17" s="1"/>
  <c r="P336" i="17" s="1"/>
  <c r="V336" i="17" s="1"/>
  <c r="AI47" i="17"/>
  <c r="AH47" i="17" s="1"/>
  <c r="AG47" i="17" s="1"/>
  <c r="AF47" i="17" s="1"/>
  <c r="AD47" i="17" s="1"/>
  <c r="AI191" i="17"/>
  <c r="AH191" i="17" s="1"/>
  <c r="AG191" i="17" s="1"/>
  <c r="AF191" i="17" s="1"/>
  <c r="AD191" i="17" s="1"/>
  <c r="U121" i="17"/>
  <c r="T121" i="17" s="1"/>
  <c r="S121" i="17" s="1"/>
  <c r="R121" i="17" s="1"/>
  <c r="P121" i="17" s="1"/>
  <c r="V121" i="17" s="1"/>
  <c r="U255" i="17"/>
  <c r="T255" i="17" s="1"/>
  <c r="S255" i="17" s="1"/>
  <c r="R255" i="17" s="1"/>
  <c r="P255" i="17" s="1"/>
  <c r="V255" i="17" s="1"/>
  <c r="F255" i="17" s="1"/>
  <c r="U357" i="17"/>
  <c r="T357" i="17" s="1"/>
  <c r="S357" i="17" s="1"/>
  <c r="R357" i="17" s="1"/>
  <c r="P357" i="17" s="1"/>
  <c r="V357" i="17" s="1"/>
  <c r="U122" i="17"/>
  <c r="T122" i="17" s="1"/>
  <c r="S122" i="17" s="1"/>
  <c r="R122" i="17" s="1"/>
  <c r="P122" i="17" s="1"/>
  <c r="V122" i="17" s="1"/>
  <c r="U216" i="17"/>
  <c r="T216" i="17" s="1"/>
  <c r="S216" i="17" s="1"/>
  <c r="R216" i="17" s="1"/>
  <c r="P216" i="17" s="1"/>
  <c r="V216" i="17" s="1"/>
  <c r="F216" i="17" s="1"/>
  <c r="U148" i="17"/>
  <c r="T148" i="17" s="1"/>
  <c r="S148" i="17" s="1"/>
  <c r="R148" i="17" s="1"/>
  <c r="P148" i="17" s="1"/>
  <c r="V148" i="17" s="1"/>
  <c r="U46" i="17"/>
  <c r="T46" i="17" s="1"/>
  <c r="S46" i="17" s="1"/>
  <c r="R46" i="17" s="1"/>
  <c r="P46" i="17" s="1"/>
  <c r="V46" i="17" s="1"/>
  <c r="F46" i="17" s="1"/>
  <c r="U276" i="17"/>
  <c r="T276" i="17" s="1"/>
  <c r="S276" i="17" s="1"/>
  <c r="R276" i="17" s="1"/>
  <c r="P276" i="17" s="1"/>
  <c r="V276" i="17" s="1"/>
  <c r="F276" i="17" s="1"/>
  <c r="U137" i="17"/>
  <c r="T137" i="17" s="1"/>
  <c r="S137" i="17" s="1"/>
  <c r="R137" i="17" s="1"/>
  <c r="P137" i="17" s="1"/>
  <c r="V137" i="17" s="1"/>
  <c r="F137" i="17" s="1"/>
  <c r="U132" i="17"/>
  <c r="T132" i="17" s="1"/>
  <c r="S132" i="17" s="1"/>
  <c r="R132" i="17" s="1"/>
  <c r="P132" i="17" s="1"/>
  <c r="V132" i="17" s="1"/>
  <c r="F132" i="17" s="1"/>
  <c r="U114" i="17"/>
  <c r="T114" i="17" s="1"/>
  <c r="S114" i="17" s="1"/>
  <c r="R114" i="17" s="1"/>
  <c r="P114" i="17" s="1"/>
  <c r="V114" i="17" s="1"/>
  <c r="U232" i="17"/>
  <c r="T232" i="17" s="1"/>
  <c r="S232" i="17" s="1"/>
  <c r="R232" i="17" s="1"/>
  <c r="P232" i="17" s="1"/>
  <c r="V232" i="17" s="1"/>
  <c r="F232" i="17" s="1"/>
  <c r="U259" i="17"/>
  <c r="T259" i="17" s="1"/>
  <c r="S259" i="17" s="1"/>
  <c r="R259" i="17" s="1"/>
  <c r="P259" i="17" s="1"/>
  <c r="V259" i="17" s="1"/>
  <c r="U55" i="17"/>
  <c r="T55" i="17" s="1"/>
  <c r="S55" i="17" s="1"/>
  <c r="R55" i="17" s="1"/>
  <c r="P55" i="17" s="1"/>
  <c r="V55" i="17" s="1"/>
  <c r="F55" i="17" s="1"/>
  <c r="U157" i="17"/>
  <c r="T157" i="17" s="1"/>
  <c r="S157" i="17" s="1"/>
  <c r="R157" i="17" s="1"/>
  <c r="P157" i="17" s="1"/>
  <c r="V157" i="17" s="1"/>
  <c r="U76" i="17"/>
  <c r="T76" i="17" s="1"/>
  <c r="S76" i="17" s="1"/>
  <c r="R76" i="17" s="1"/>
  <c r="P76" i="17" s="1"/>
  <c r="V76" i="17" s="1"/>
  <c r="F76" i="17" s="1"/>
  <c r="U376" i="17"/>
  <c r="T376" i="17" s="1"/>
  <c r="S376" i="17" s="1"/>
  <c r="R376" i="17" s="1"/>
  <c r="P376" i="17" s="1"/>
  <c r="V376" i="17" s="1"/>
  <c r="U135" i="17"/>
  <c r="T135" i="17" s="1"/>
  <c r="S135" i="17" s="1"/>
  <c r="R135" i="17" s="1"/>
  <c r="P135" i="17" s="1"/>
  <c r="V135" i="17" s="1"/>
  <c r="F135" i="17" s="1"/>
  <c r="U45" i="17"/>
  <c r="T45" i="17" s="1"/>
  <c r="S45" i="17" s="1"/>
  <c r="R45" i="17" s="1"/>
  <c r="P45" i="17" s="1"/>
  <c r="V45" i="17" s="1"/>
  <c r="U236" i="17"/>
  <c r="T236" i="17" s="1"/>
  <c r="S236" i="17" s="1"/>
  <c r="R236" i="17" s="1"/>
  <c r="P236" i="17" s="1"/>
  <c r="V236" i="17" s="1"/>
  <c r="F236" i="17" s="1"/>
  <c r="U293" i="17"/>
  <c r="T293" i="17" s="1"/>
  <c r="S293" i="17" s="1"/>
  <c r="R293" i="17" s="1"/>
  <c r="P293" i="17" s="1"/>
  <c r="V293" i="17" s="1"/>
  <c r="U74" i="17"/>
  <c r="T74" i="17" s="1"/>
  <c r="S74" i="17" s="1"/>
  <c r="R74" i="17" s="1"/>
  <c r="P74" i="17" s="1"/>
  <c r="V74" i="17" s="1"/>
  <c r="F74" i="17" s="1"/>
  <c r="U287" i="17"/>
  <c r="T287" i="17" s="1"/>
  <c r="S287" i="17" s="1"/>
  <c r="R287" i="17" s="1"/>
  <c r="P287" i="17" s="1"/>
  <c r="V287" i="17" s="1"/>
  <c r="AI98" i="17"/>
  <c r="AH98" i="17" s="1"/>
  <c r="AG98" i="17" s="1"/>
  <c r="AF98" i="17" s="1"/>
  <c r="AD98" i="17" s="1"/>
  <c r="AI93" i="17"/>
  <c r="AH93" i="17" s="1"/>
  <c r="AG93" i="17" s="1"/>
  <c r="AF93" i="17" s="1"/>
  <c r="AD93" i="17" s="1"/>
  <c r="AI244" i="17"/>
  <c r="AH244" i="17" s="1"/>
  <c r="AG244" i="17" s="1"/>
  <c r="AF244" i="17" s="1"/>
  <c r="AD244" i="17" s="1"/>
  <c r="AI176" i="17"/>
  <c r="AH176" i="17" s="1"/>
  <c r="AG176" i="17" s="1"/>
  <c r="AF176" i="17" s="1"/>
  <c r="AD176" i="17" s="1"/>
  <c r="U343" i="17"/>
  <c r="T343" i="17" s="1"/>
  <c r="S343" i="17" s="1"/>
  <c r="R343" i="17" s="1"/>
  <c r="P343" i="17" s="1"/>
  <c r="V343" i="17" s="1"/>
  <c r="F343" i="17" s="1"/>
  <c r="U134" i="17"/>
  <c r="T134" i="17" s="1"/>
  <c r="S134" i="17" s="1"/>
  <c r="R134" i="17" s="1"/>
  <c r="P134" i="17" s="1"/>
  <c r="V134" i="17" s="1"/>
  <c r="F134" i="17" s="1"/>
  <c r="U193" i="17"/>
  <c r="T193" i="17" s="1"/>
  <c r="S193" i="17" s="1"/>
  <c r="R193" i="17" s="1"/>
  <c r="P193" i="17" s="1"/>
  <c r="V193" i="17" s="1"/>
  <c r="U205" i="17"/>
  <c r="T205" i="17" s="1"/>
  <c r="S205" i="17" s="1"/>
  <c r="R205" i="17" s="1"/>
  <c r="P205" i="17" s="1"/>
  <c r="V205" i="17" s="1"/>
  <c r="F205" i="17" s="1"/>
  <c r="U88" i="17"/>
  <c r="T88" i="17" s="1"/>
  <c r="S88" i="17" s="1"/>
  <c r="R88" i="17" s="1"/>
  <c r="P88" i="17" s="1"/>
  <c r="V88" i="17" s="1"/>
  <c r="F88" i="17" s="1"/>
  <c r="U68" i="17"/>
  <c r="T68" i="17" s="1"/>
  <c r="S68" i="17" s="1"/>
  <c r="R68" i="17" s="1"/>
  <c r="P68" i="17" s="1"/>
  <c r="V68" i="17" s="1"/>
  <c r="U126" i="17"/>
  <c r="T126" i="17" s="1"/>
  <c r="S126" i="17" s="1"/>
  <c r="R126" i="17" s="1"/>
  <c r="P126" i="17" s="1"/>
  <c r="V126" i="17" s="1"/>
  <c r="U48" i="17"/>
  <c r="T48" i="17" s="1"/>
  <c r="S48" i="17" s="1"/>
  <c r="R48" i="17" s="1"/>
  <c r="P48" i="17" s="1"/>
  <c r="V48" i="17" s="1"/>
  <c r="F48" i="17" s="1"/>
  <c r="U321" i="17"/>
  <c r="T321" i="17" s="1"/>
  <c r="S321" i="17" s="1"/>
  <c r="R321" i="17" s="1"/>
  <c r="P321" i="17" s="1"/>
  <c r="V321" i="17" s="1"/>
  <c r="F321" i="17" s="1"/>
  <c r="U186" i="17"/>
  <c r="T186" i="17" s="1"/>
  <c r="S186" i="17" s="1"/>
  <c r="R186" i="17" s="1"/>
  <c r="P186" i="17" s="1"/>
  <c r="V186" i="17" s="1"/>
  <c r="F186" i="17" s="1"/>
  <c r="U375" i="17"/>
  <c r="T375" i="17" s="1"/>
  <c r="S375" i="17" s="1"/>
  <c r="R375" i="17" s="1"/>
  <c r="P375" i="17" s="1"/>
  <c r="V375" i="17" s="1"/>
  <c r="U201" i="17"/>
  <c r="T201" i="17" s="1"/>
  <c r="S201" i="17" s="1"/>
  <c r="R201" i="17" s="1"/>
  <c r="P201" i="17" s="1"/>
  <c r="V201" i="17" s="1"/>
  <c r="U286" i="17"/>
  <c r="T286" i="17" s="1"/>
  <c r="S286" i="17" s="1"/>
  <c r="R286" i="17" s="1"/>
  <c r="P286" i="17" s="1"/>
  <c r="V286" i="17" s="1"/>
  <c r="F286" i="17" s="1"/>
  <c r="U367" i="17"/>
  <c r="T367" i="17" s="1"/>
  <c r="S367" i="17" s="1"/>
  <c r="R367" i="17" s="1"/>
  <c r="P367" i="17" s="1"/>
  <c r="V367" i="17" s="1"/>
  <c r="F367" i="17" s="1"/>
  <c r="U82" i="17"/>
  <c r="T82" i="17" s="1"/>
  <c r="S82" i="17" s="1"/>
  <c r="R82" i="17" s="1"/>
  <c r="P82" i="17" s="1"/>
  <c r="V82" i="17" s="1"/>
  <c r="U102" i="17"/>
  <c r="T102" i="17" s="1"/>
  <c r="S102" i="17" s="1"/>
  <c r="R102" i="17" s="1"/>
  <c r="P102" i="17" s="1"/>
  <c r="V102" i="17" s="1"/>
  <c r="F102" i="17" s="1"/>
  <c r="U309" i="17"/>
  <c r="T309" i="17" s="1"/>
  <c r="S309" i="17" s="1"/>
  <c r="R309" i="17" s="1"/>
  <c r="P309" i="17" s="1"/>
  <c r="V309" i="17" s="1"/>
  <c r="U127" i="17"/>
  <c r="T127" i="17" s="1"/>
  <c r="S127" i="17" s="1"/>
  <c r="R127" i="17" s="1"/>
  <c r="P127" i="17" s="1"/>
  <c r="V127" i="17" s="1"/>
  <c r="U106" i="17"/>
  <c r="T106" i="17" s="1"/>
  <c r="S106" i="17" s="1"/>
  <c r="R106" i="17" s="1"/>
  <c r="P106" i="17" s="1"/>
  <c r="V106" i="17" s="1"/>
  <c r="F106" i="17" s="1"/>
  <c r="U24" i="17"/>
  <c r="T24" i="17" s="1"/>
  <c r="S24" i="17" s="1"/>
  <c r="R24" i="17" s="1"/>
  <c r="P24" i="17" s="1"/>
  <c r="V24" i="17" s="1"/>
  <c r="U150" i="17"/>
  <c r="T150" i="17" s="1"/>
  <c r="S150" i="17" s="1"/>
  <c r="R150" i="17" s="1"/>
  <c r="P150" i="17" s="1"/>
  <c r="V150" i="17" s="1"/>
  <c r="F150" i="17" s="1"/>
  <c r="U305" i="17"/>
  <c r="T305" i="17" s="1"/>
  <c r="S305" i="17" s="1"/>
  <c r="R305" i="17" s="1"/>
  <c r="P305" i="17" s="1"/>
  <c r="V305" i="17" s="1"/>
  <c r="U298" i="17"/>
  <c r="T298" i="17" s="1"/>
  <c r="S298" i="17" s="1"/>
  <c r="R298" i="17" s="1"/>
  <c r="P298" i="17" s="1"/>
  <c r="V298" i="17" s="1"/>
  <c r="F298" i="17" s="1"/>
  <c r="U281" i="17"/>
  <c r="T281" i="17" s="1"/>
  <c r="S281" i="17" s="1"/>
  <c r="R281" i="17" s="1"/>
  <c r="P281" i="17" s="1"/>
  <c r="V281" i="17" s="1"/>
  <c r="F281" i="17" s="1"/>
  <c r="U189" i="17"/>
  <c r="T189" i="17" s="1"/>
  <c r="S189" i="17" s="1"/>
  <c r="R189" i="17" s="1"/>
  <c r="P189" i="17" s="1"/>
  <c r="V189" i="17" s="1"/>
  <c r="F189" i="17" s="1"/>
  <c r="U125" i="17"/>
  <c r="T125" i="17" s="1"/>
  <c r="S125" i="17" s="1"/>
  <c r="R125" i="17" s="1"/>
  <c r="P125" i="17" s="1"/>
  <c r="V125" i="17" s="1"/>
  <c r="U180" i="17"/>
  <c r="T180" i="17" s="1"/>
  <c r="S180" i="17" s="1"/>
  <c r="R180" i="17" s="1"/>
  <c r="P180" i="17" s="1"/>
  <c r="D61" i="7" s="1"/>
  <c r="U77" i="17"/>
  <c r="T77" i="17" s="1"/>
  <c r="S77" i="17" s="1"/>
  <c r="R77" i="17" s="1"/>
  <c r="P77" i="17" s="1"/>
  <c r="V77" i="17" s="1"/>
  <c r="F77" i="17" s="1"/>
  <c r="U158" i="17"/>
  <c r="T158" i="17" s="1"/>
  <c r="S158" i="17" s="1"/>
  <c r="R158" i="17" s="1"/>
  <c r="P158" i="17" s="1"/>
  <c r="V158" i="17" s="1"/>
  <c r="F158" i="17" s="1"/>
  <c r="U364" i="17"/>
  <c r="T364" i="17" s="1"/>
  <c r="S364" i="17" s="1"/>
  <c r="R364" i="17" s="1"/>
  <c r="P364" i="17" s="1"/>
  <c r="V364" i="17" s="1"/>
  <c r="F364" i="17" s="1"/>
  <c r="U333" i="17"/>
  <c r="T333" i="17" s="1"/>
  <c r="S333" i="17" s="1"/>
  <c r="R333" i="17" s="1"/>
  <c r="P333" i="17" s="1"/>
  <c r="V333" i="17" s="1"/>
  <c r="F333" i="17" s="1"/>
  <c r="U171" i="17"/>
  <c r="T171" i="17" s="1"/>
  <c r="S171" i="17" s="1"/>
  <c r="R171" i="17" s="1"/>
  <c r="P171" i="17" s="1"/>
  <c r="V171" i="17" s="1"/>
  <c r="F171" i="17" s="1"/>
  <c r="U253" i="17"/>
  <c r="T253" i="17" s="1"/>
  <c r="S253" i="17" s="1"/>
  <c r="R253" i="17" s="1"/>
  <c r="P253" i="17" s="1"/>
  <c r="V253" i="17" s="1"/>
  <c r="F253" i="17" s="1"/>
  <c r="U17" i="17"/>
  <c r="T17" i="17" s="1"/>
  <c r="S17" i="17" s="1"/>
  <c r="R17" i="17" s="1"/>
  <c r="P17" i="17" s="1"/>
  <c r="V17" i="17" s="1"/>
  <c r="F17" i="17" s="1"/>
  <c r="U149" i="17"/>
  <c r="T149" i="17" s="1"/>
  <c r="S149" i="17" s="1"/>
  <c r="R149" i="17" s="1"/>
  <c r="P149" i="17" s="1"/>
  <c r="V149" i="17" s="1"/>
  <c r="U241" i="17"/>
  <c r="T241" i="17" s="1"/>
  <c r="S241" i="17" s="1"/>
  <c r="R241" i="17" s="1"/>
  <c r="P241" i="17" s="1"/>
  <c r="D63" i="7" s="1"/>
  <c r="U51" i="17"/>
  <c r="T51" i="17" s="1"/>
  <c r="S51" i="17" s="1"/>
  <c r="R51" i="17" s="1"/>
  <c r="P51" i="17" s="1"/>
  <c r="V51" i="17" s="1"/>
  <c r="F51" i="17" s="1"/>
  <c r="U290" i="17"/>
  <c r="T290" i="17" s="1"/>
  <c r="S290" i="17" s="1"/>
  <c r="R290" i="17" s="1"/>
  <c r="P290" i="17" s="1"/>
  <c r="V290" i="17" s="1"/>
  <c r="U67" i="17"/>
  <c r="T67" i="17" s="1"/>
  <c r="S67" i="17" s="1"/>
  <c r="R67" i="17" s="1"/>
  <c r="P67" i="17" s="1"/>
  <c r="V67" i="17" s="1"/>
  <c r="U100" i="17"/>
  <c r="T100" i="17" s="1"/>
  <c r="S100" i="17" s="1"/>
  <c r="R100" i="17" s="1"/>
  <c r="P100" i="17" s="1"/>
  <c r="V100" i="17" s="1"/>
  <c r="U338" i="17"/>
  <c r="T338" i="17" s="1"/>
  <c r="S338" i="17" s="1"/>
  <c r="R338" i="17" s="1"/>
  <c r="P338" i="17" s="1"/>
  <c r="V338" i="17" s="1"/>
  <c r="U238" i="17"/>
  <c r="T238" i="17" s="1"/>
  <c r="S238" i="17" s="1"/>
  <c r="R238" i="17" s="1"/>
  <c r="P238" i="17" s="1"/>
  <c r="V238" i="17" s="1"/>
  <c r="U174" i="17"/>
  <c r="T174" i="17" s="1"/>
  <c r="S174" i="17" s="1"/>
  <c r="R174" i="17" s="1"/>
  <c r="P174" i="17" s="1"/>
  <c r="V174" i="17" s="1"/>
  <c r="F174" i="17" s="1"/>
  <c r="U284" i="17"/>
  <c r="T284" i="17" s="1"/>
  <c r="S284" i="17" s="1"/>
  <c r="R284" i="17" s="1"/>
  <c r="P284" i="17" s="1"/>
  <c r="V284" i="17" s="1"/>
  <c r="F284" i="17" s="1"/>
  <c r="U194" i="17"/>
  <c r="T194" i="17" s="1"/>
  <c r="S194" i="17" s="1"/>
  <c r="R194" i="17" s="1"/>
  <c r="P194" i="17" s="1"/>
  <c r="V194" i="17" s="1"/>
  <c r="AI123" i="17"/>
  <c r="AH123" i="17" s="1"/>
  <c r="AG123" i="17" s="1"/>
  <c r="AF123" i="17" s="1"/>
  <c r="AD123" i="17" s="1"/>
  <c r="AI52" i="17"/>
  <c r="AH52" i="17" s="1"/>
  <c r="AG52" i="17" s="1"/>
  <c r="AF52" i="17" s="1"/>
  <c r="AD52" i="17" s="1"/>
  <c r="AI302" i="17"/>
  <c r="AH302" i="17" s="1"/>
  <c r="AG302" i="17" s="1"/>
  <c r="AF302" i="17" s="1"/>
  <c r="AD302" i="17" s="1"/>
  <c r="AI358" i="17"/>
  <c r="AH358" i="17" s="1"/>
  <c r="AG358" i="17" s="1"/>
  <c r="AF358" i="17" s="1"/>
  <c r="AD358" i="17" s="1"/>
  <c r="AI163" i="17"/>
  <c r="AH163" i="17" s="1"/>
  <c r="AG163" i="17" s="1"/>
  <c r="AF163" i="17" s="1"/>
  <c r="AD163" i="17" s="1"/>
  <c r="AI340" i="17"/>
  <c r="AH340" i="17" s="1"/>
  <c r="AG340" i="17" s="1"/>
  <c r="AF340" i="17" s="1"/>
  <c r="AD340" i="17" s="1"/>
  <c r="AI216" i="17"/>
  <c r="AH216" i="17" s="1"/>
  <c r="AG216" i="17" s="1"/>
  <c r="AF216" i="17" s="1"/>
  <c r="AD216" i="17" s="1"/>
  <c r="AI254" i="17"/>
  <c r="AH254" i="17" s="1"/>
  <c r="AG254" i="17" s="1"/>
  <c r="AF254" i="17" s="1"/>
  <c r="AD254" i="17" s="1"/>
  <c r="AI183" i="17"/>
  <c r="AH183" i="17" s="1"/>
  <c r="AG183" i="17" s="1"/>
  <c r="AF183" i="17" s="1"/>
  <c r="AD183" i="17" s="1"/>
  <c r="AI136" i="17"/>
  <c r="AH136" i="17" s="1"/>
  <c r="AG136" i="17" s="1"/>
  <c r="AF136" i="17" s="1"/>
  <c r="AD136" i="17" s="1"/>
  <c r="AI235" i="17"/>
  <c r="AH235" i="17" s="1"/>
  <c r="AG235" i="17" s="1"/>
  <c r="AF235" i="17" s="1"/>
  <c r="AD235" i="17" s="1"/>
  <c r="AI360" i="17"/>
  <c r="AH360" i="17" s="1"/>
  <c r="AG360" i="17" s="1"/>
  <c r="AF360" i="17" s="1"/>
  <c r="AD360" i="17" s="1"/>
  <c r="AI217" i="17"/>
  <c r="AH217" i="17" s="1"/>
  <c r="AG217" i="17" s="1"/>
  <c r="AF217" i="17" s="1"/>
  <c r="AD217" i="17" s="1"/>
  <c r="AI86" i="17"/>
  <c r="AH86" i="17" s="1"/>
  <c r="AG86" i="17" s="1"/>
  <c r="AF86" i="17" s="1"/>
  <c r="AD86" i="17" s="1"/>
  <c r="AI359" i="17"/>
  <c r="AH359" i="17" s="1"/>
  <c r="AG359" i="17" s="1"/>
  <c r="AF359" i="17" s="1"/>
  <c r="AD359" i="17" s="1"/>
  <c r="AI35" i="17"/>
  <c r="AH35" i="17" s="1"/>
  <c r="AG35" i="17" s="1"/>
  <c r="AF35" i="17" s="1"/>
  <c r="AD35" i="17" s="1"/>
  <c r="AI71" i="17"/>
  <c r="AH71" i="17" s="1"/>
  <c r="AG71" i="17" s="1"/>
  <c r="AF71" i="17" s="1"/>
  <c r="AD71" i="17" s="1"/>
  <c r="AI289" i="17"/>
  <c r="AH289" i="17" s="1"/>
  <c r="AG289" i="17" s="1"/>
  <c r="AF289" i="17" s="1"/>
  <c r="AD289" i="17" s="1"/>
  <c r="AI184" i="17"/>
  <c r="AH184" i="17" s="1"/>
  <c r="AG184" i="17" s="1"/>
  <c r="AF184" i="17" s="1"/>
  <c r="AD184" i="17" s="1"/>
  <c r="AI249" i="17"/>
  <c r="AH249" i="17" s="1"/>
  <c r="AG249" i="17" s="1"/>
  <c r="AF249" i="17" s="1"/>
  <c r="AD249" i="17" s="1"/>
  <c r="AI220" i="17"/>
  <c r="AH220" i="17" s="1"/>
  <c r="AG220" i="17" s="1"/>
  <c r="AF220" i="17" s="1"/>
  <c r="AD220" i="17" s="1"/>
  <c r="AI57" i="17"/>
  <c r="AH57" i="17" s="1"/>
  <c r="AG57" i="17" s="1"/>
  <c r="AF57" i="17" s="1"/>
  <c r="AD57" i="17" s="1"/>
  <c r="AI87" i="17"/>
  <c r="AH87" i="17" s="1"/>
  <c r="AG87" i="17" s="1"/>
  <c r="AF87" i="17" s="1"/>
  <c r="AD87" i="17" s="1"/>
  <c r="AI108" i="17"/>
  <c r="AH108" i="17" s="1"/>
  <c r="AG108" i="17" s="1"/>
  <c r="AF108" i="17" s="1"/>
  <c r="AD108" i="17" s="1"/>
  <c r="AI312" i="17"/>
  <c r="AH312" i="17" s="1"/>
  <c r="AG312" i="17" s="1"/>
  <c r="AF312" i="17" s="1"/>
  <c r="AD312" i="17" s="1"/>
  <c r="AI276" i="17"/>
  <c r="AH276" i="17" s="1"/>
  <c r="AG276" i="17" s="1"/>
  <c r="AF276" i="17" s="1"/>
  <c r="AD276" i="17" s="1"/>
  <c r="AI96" i="17"/>
  <c r="AH96" i="17" s="1"/>
  <c r="AG96" i="17" s="1"/>
  <c r="AF96" i="17" s="1"/>
  <c r="AD96" i="17" s="1"/>
  <c r="AI170" i="17"/>
  <c r="AH170" i="17" s="1"/>
  <c r="AG170" i="17" s="1"/>
  <c r="AF170" i="17" s="1"/>
  <c r="AD170" i="17" s="1"/>
  <c r="AI323" i="17"/>
  <c r="AH323" i="17" s="1"/>
  <c r="AG323" i="17" s="1"/>
  <c r="AF323" i="17" s="1"/>
  <c r="AD323" i="17" s="1"/>
  <c r="AI342" i="17"/>
  <c r="AH342" i="17" s="1"/>
  <c r="AG342" i="17" s="1"/>
  <c r="AF342" i="17" s="1"/>
  <c r="AD342" i="17" s="1"/>
  <c r="AI258" i="17"/>
  <c r="AH258" i="17" s="1"/>
  <c r="AG258" i="17" s="1"/>
  <c r="AF258" i="17" s="1"/>
  <c r="AD258" i="17" s="1"/>
  <c r="AI222" i="17"/>
  <c r="AH222" i="17" s="1"/>
  <c r="AG222" i="17" s="1"/>
  <c r="AF222" i="17" s="1"/>
  <c r="AD222" i="17" s="1"/>
  <c r="AI45" i="17"/>
  <c r="AH45" i="17" s="1"/>
  <c r="AG45" i="17" s="1"/>
  <c r="AF45" i="17" s="1"/>
  <c r="AD45" i="17" s="1"/>
  <c r="AI317" i="17"/>
  <c r="AH317" i="17" s="1"/>
  <c r="AG317" i="17" s="1"/>
  <c r="AF317" i="17" s="1"/>
  <c r="AD317" i="17" s="1"/>
  <c r="AI242" i="17"/>
  <c r="AH242" i="17" s="1"/>
  <c r="AG242" i="17" s="1"/>
  <c r="AF242" i="17" s="1"/>
  <c r="AD242" i="17" s="1"/>
  <c r="AI281" i="17"/>
  <c r="AH281" i="17" s="1"/>
  <c r="AG281" i="17" s="1"/>
  <c r="AF281" i="17" s="1"/>
  <c r="AD281" i="17" s="1"/>
  <c r="AI156" i="17"/>
  <c r="AH156" i="17" s="1"/>
  <c r="AG156" i="17" s="1"/>
  <c r="AF156" i="17" s="1"/>
  <c r="AD156" i="17" s="1"/>
  <c r="AI310" i="17"/>
  <c r="AH310" i="17" s="1"/>
  <c r="AG310" i="17" s="1"/>
  <c r="AF310" i="17" s="1"/>
  <c r="AD310" i="17" s="1"/>
  <c r="AI158" i="17"/>
  <c r="AH158" i="17" s="1"/>
  <c r="AG158" i="17" s="1"/>
  <c r="AF158" i="17" s="1"/>
  <c r="AD158" i="17" s="1"/>
  <c r="AI284" i="17"/>
  <c r="AH284" i="17" s="1"/>
  <c r="AG284" i="17" s="1"/>
  <c r="AF284" i="17" s="1"/>
  <c r="AD284" i="17" s="1"/>
  <c r="AI165" i="17"/>
  <c r="AH165" i="17" s="1"/>
  <c r="AG165" i="17" s="1"/>
  <c r="AF165" i="17" s="1"/>
  <c r="AD165" i="17" s="1"/>
  <c r="AI67" i="17"/>
  <c r="AH67" i="17" s="1"/>
  <c r="AG67" i="17" s="1"/>
  <c r="AF67" i="17" s="1"/>
  <c r="AD67" i="17" s="1"/>
  <c r="AI164" i="17"/>
  <c r="AH164" i="17" s="1"/>
  <c r="AG164" i="17" s="1"/>
  <c r="AF164" i="17" s="1"/>
  <c r="AD164" i="17" s="1"/>
  <c r="AI229" i="17"/>
  <c r="AH229" i="17" s="1"/>
  <c r="AG229" i="17" s="1"/>
  <c r="AF229" i="17" s="1"/>
  <c r="AD229" i="17" s="1"/>
  <c r="AI44" i="17"/>
  <c r="AH44" i="17" s="1"/>
  <c r="AG44" i="17" s="1"/>
  <c r="AF44" i="17" s="1"/>
  <c r="AD44" i="17" s="1"/>
  <c r="AI25" i="17"/>
  <c r="AH25" i="17" s="1"/>
  <c r="AG25" i="17" s="1"/>
  <c r="AF25" i="17" s="1"/>
  <c r="AD25" i="17" s="1"/>
  <c r="AI351" i="17"/>
  <c r="AH351" i="17" s="1"/>
  <c r="AG351" i="17" s="1"/>
  <c r="AF351" i="17" s="1"/>
  <c r="AD351" i="17" s="1"/>
  <c r="AI58" i="17"/>
  <c r="AH58" i="17" s="1"/>
  <c r="AG58" i="17" s="1"/>
  <c r="AF58" i="17" s="1"/>
  <c r="AD58" i="17" s="1"/>
  <c r="AI111" i="17"/>
  <c r="AH111" i="17" s="1"/>
  <c r="AG111" i="17" s="1"/>
  <c r="AF111" i="17" s="1"/>
  <c r="AD111" i="17" s="1"/>
  <c r="AI72" i="17"/>
  <c r="AH72" i="17" s="1"/>
  <c r="AG72" i="17" s="1"/>
  <c r="AF72" i="17" s="1"/>
  <c r="AD72" i="17" s="1"/>
  <c r="AI198" i="17"/>
  <c r="AH198" i="17" s="1"/>
  <c r="AG198" i="17" s="1"/>
  <c r="AF198" i="17" s="1"/>
  <c r="AD198" i="17" s="1"/>
  <c r="AI132" i="17"/>
  <c r="AH132" i="17" s="1"/>
  <c r="AG132" i="17" s="1"/>
  <c r="AF132" i="17" s="1"/>
  <c r="AD132" i="17" s="1"/>
  <c r="AI303" i="17"/>
  <c r="AH303" i="17" s="1"/>
  <c r="AG303" i="17" s="1"/>
  <c r="AF303" i="17" s="1"/>
  <c r="AD303" i="17" s="1"/>
  <c r="AI247" i="17"/>
  <c r="AH247" i="17" s="1"/>
  <c r="AG247" i="17" s="1"/>
  <c r="AF247" i="17" s="1"/>
  <c r="AD247" i="17" s="1"/>
  <c r="AI192" i="17"/>
  <c r="AH192" i="17" s="1"/>
  <c r="AG192" i="17" s="1"/>
  <c r="AF192" i="17" s="1"/>
  <c r="AD192" i="17" s="1"/>
  <c r="AI15" i="17"/>
  <c r="AI39" i="17"/>
  <c r="AH39" i="17" s="1"/>
  <c r="AG39" i="17" s="1"/>
  <c r="AF39" i="17" s="1"/>
  <c r="AD39" i="17" s="1"/>
  <c r="AI314" i="17"/>
  <c r="AH314" i="17" s="1"/>
  <c r="AG314" i="17" s="1"/>
  <c r="AF314" i="17" s="1"/>
  <c r="AD314" i="17" s="1"/>
  <c r="AI329" i="17"/>
  <c r="AH329" i="17" s="1"/>
  <c r="AG329" i="17" s="1"/>
  <c r="AF329" i="17" s="1"/>
  <c r="AD329" i="17" s="1"/>
  <c r="AI134" i="17"/>
  <c r="AH134" i="17" s="1"/>
  <c r="AG134" i="17" s="1"/>
  <c r="AF134" i="17" s="1"/>
  <c r="AD134" i="17" s="1"/>
  <c r="AI366" i="17"/>
  <c r="AH366" i="17" s="1"/>
  <c r="AG366" i="17" s="1"/>
  <c r="AF366" i="17" s="1"/>
  <c r="AD366" i="17" s="1"/>
  <c r="AI300" i="17"/>
  <c r="AH300" i="17" s="1"/>
  <c r="AG300" i="17" s="1"/>
  <c r="AF300" i="17" s="1"/>
  <c r="AD300" i="17" s="1"/>
  <c r="AI266" i="17"/>
  <c r="AH266" i="17" s="1"/>
  <c r="AG266" i="17" s="1"/>
  <c r="AF266" i="17" s="1"/>
  <c r="AD266" i="17" s="1"/>
  <c r="AI53" i="17"/>
  <c r="AH53" i="17" s="1"/>
  <c r="AG53" i="17" s="1"/>
  <c r="AF53" i="17" s="1"/>
  <c r="AD53" i="17" s="1"/>
  <c r="AI197" i="17"/>
  <c r="AH197" i="17" s="1"/>
  <c r="AG197" i="17" s="1"/>
  <c r="AF197" i="17" s="1"/>
  <c r="AD197" i="17" s="1"/>
  <c r="AI324" i="17"/>
  <c r="AH324" i="17" s="1"/>
  <c r="AG324" i="17" s="1"/>
  <c r="AF324" i="17" s="1"/>
  <c r="AD324" i="17" s="1"/>
  <c r="AI209" i="17"/>
  <c r="AH209" i="17" s="1"/>
  <c r="AG209" i="17" s="1"/>
  <c r="AF209" i="17" s="1"/>
  <c r="AD209" i="17" s="1"/>
  <c r="AI135" i="17"/>
  <c r="AH135" i="17" s="1"/>
  <c r="AG135" i="17" s="1"/>
  <c r="AF135" i="17" s="1"/>
  <c r="AD135" i="17" s="1"/>
  <c r="AI251" i="17"/>
  <c r="AH251" i="17" s="1"/>
  <c r="AG251" i="17" s="1"/>
  <c r="AF251" i="17" s="1"/>
  <c r="AD251" i="17" s="1"/>
  <c r="AI334" i="17"/>
  <c r="AH334" i="17" s="1"/>
  <c r="AG334" i="17" s="1"/>
  <c r="AF334" i="17" s="1"/>
  <c r="AD334" i="17" s="1"/>
  <c r="AI160" i="17"/>
  <c r="AH160" i="17" s="1"/>
  <c r="AG160" i="17" s="1"/>
  <c r="AF160" i="17" s="1"/>
  <c r="AD160" i="17" s="1"/>
  <c r="AI153" i="17"/>
  <c r="AH153" i="17" s="1"/>
  <c r="AG153" i="17" s="1"/>
  <c r="AF153" i="17" s="1"/>
  <c r="AD153" i="17" s="1"/>
  <c r="AI239" i="17"/>
  <c r="AH239" i="17" s="1"/>
  <c r="AG239" i="17" s="1"/>
  <c r="AF239" i="17" s="1"/>
  <c r="AD239" i="17" s="1"/>
  <c r="AI376" i="17"/>
  <c r="AH376" i="17" s="1"/>
  <c r="AG376" i="17" s="1"/>
  <c r="AF376" i="17" s="1"/>
  <c r="AD376" i="17" s="1"/>
  <c r="AI146" i="17"/>
  <c r="AH146" i="17" s="1"/>
  <c r="AG146" i="17" s="1"/>
  <c r="AF146" i="17" s="1"/>
  <c r="AD146" i="17" s="1"/>
  <c r="AI60" i="17"/>
  <c r="AH60" i="17" s="1"/>
  <c r="AG60" i="17" s="1"/>
  <c r="AF60" i="17" s="1"/>
  <c r="AD60" i="17" s="1"/>
  <c r="AI126" i="17"/>
  <c r="AH126" i="17" s="1"/>
  <c r="AG126" i="17" s="1"/>
  <c r="AF126" i="17" s="1"/>
  <c r="AD126" i="17" s="1"/>
  <c r="AI117" i="17"/>
  <c r="AH117" i="17" s="1"/>
  <c r="AG117" i="17" s="1"/>
  <c r="AF117" i="17" s="1"/>
  <c r="AD117" i="17" s="1"/>
  <c r="AI40" i="17"/>
  <c r="AH40" i="17" s="1"/>
  <c r="AG40" i="17" s="1"/>
  <c r="AF40" i="17" s="1"/>
  <c r="AD40" i="17" s="1"/>
  <c r="AI88" i="17"/>
  <c r="AH88" i="17" s="1"/>
  <c r="AG88" i="17" s="1"/>
  <c r="AF88" i="17" s="1"/>
  <c r="AD88" i="17" s="1"/>
  <c r="AI127" i="17"/>
  <c r="AH127" i="17" s="1"/>
  <c r="AG127" i="17" s="1"/>
  <c r="AF127" i="17" s="1"/>
  <c r="AD127" i="17" s="1"/>
  <c r="AI327" i="17"/>
  <c r="AH327" i="17" s="1"/>
  <c r="AG327" i="17" s="1"/>
  <c r="AF327" i="17" s="1"/>
  <c r="AD327" i="17" s="1"/>
  <c r="AI264" i="17"/>
  <c r="AH264" i="17" s="1"/>
  <c r="AG264" i="17" s="1"/>
  <c r="AF264" i="17" s="1"/>
  <c r="AD264" i="17" s="1"/>
  <c r="AI167" i="17"/>
  <c r="AH167" i="17" s="1"/>
  <c r="AG167" i="17" s="1"/>
  <c r="AF167" i="17" s="1"/>
  <c r="AD167" i="17" s="1"/>
  <c r="AI223" i="17"/>
  <c r="AH223" i="17" s="1"/>
  <c r="AG223" i="17" s="1"/>
  <c r="AF223" i="17" s="1"/>
  <c r="AD223" i="17" s="1"/>
  <c r="AI256" i="17"/>
  <c r="AH256" i="17" s="1"/>
  <c r="AG256" i="17" s="1"/>
  <c r="AF256" i="17" s="1"/>
  <c r="AD256" i="17" s="1"/>
  <c r="AI204" i="17"/>
  <c r="AH204" i="17" s="1"/>
  <c r="AG204" i="17" s="1"/>
  <c r="AF204" i="17" s="1"/>
  <c r="AD204" i="17" s="1"/>
  <c r="AI367" i="17"/>
  <c r="AH367" i="17" s="1"/>
  <c r="AG367" i="17" s="1"/>
  <c r="AF367" i="17" s="1"/>
  <c r="AD367" i="17" s="1"/>
  <c r="AI261" i="17"/>
  <c r="AH261" i="17" s="1"/>
  <c r="AG261" i="17" s="1"/>
  <c r="AF261" i="17" s="1"/>
  <c r="AD261" i="17" s="1"/>
  <c r="AI255" i="17"/>
  <c r="AH255" i="17" s="1"/>
  <c r="AG255" i="17" s="1"/>
  <c r="AF255" i="17" s="1"/>
  <c r="AD255" i="17" s="1"/>
  <c r="AI248" i="17"/>
  <c r="AH248" i="17" s="1"/>
  <c r="AG248" i="17" s="1"/>
  <c r="AF248" i="17" s="1"/>
  <c r="AD248" i="17" s="1"/>
  <c r="AI374" i="17"/>
  <c r="AH374" i="17" s="1"/>
  <c r="AG374" i="17" s="1"/>
  <c r="AF374" i="17" s="1"/>
  <c r="AD374" i="17" s="1"/>
  <c r="AI143" i="17"/>
  <c r="AH143" i="17" s="1"/>
  <c r="AG143" i="17" s="1"/>
  <c r="AF143" i="17" s="1"/>
  <c r="AD143" i="17" s="1"/>
  <c r="AI333" i="17"/>
  <c r="AH333" i="17" s="1"/>
  <c r="AG333" i="17" s="1"/>
  <c r="AF333" i="17" s="1"/>
  <c r="AD333" i="17" s="1"/>
  <c r="AI362" i="17"/>
  <c r="AH362" i="17" s="1"/>
  <c r="AG362" i="17" s="1"/>
  <c r="AF362" i="17" s="1"/>
  <c r="AD362" i="17" s="1"/>
  <c r="AI150" i="17"/>
  <c r="AH150" i="17" s="1"/>
  <c r="AG150" i="17" s="1"/>
  <c r="AF150" i="17" s="1"/>
  <c r="AD150" i="17" s="1"/>
  <c r="AI26" i="17"/>
  <c r="AH26" i="17" s="1"/>
  <c r="AG26" i="17" s="1"/>
  <c r="AF26" i="17" s="1"/>
  <c r="AD26" i="17" s="1"/>
  <c r="U64" i="17"/>
  <c r="T64" i="17" s="1"/>
  <c r="S64" i="17" s="1"/>
  <c r="R64" i="17" s="1"/>
  <c r="P64" i="17" s="1"/>
  <c r="V64" i="17" s="1"/>
  <c r="U21" i="17"/>
  <c r="T21" i="17" s="1"/>
  <c r="S21" i="17" s="1"/>
  <c r="R21" i="17" s="1"/>
  <c r="P21" i="17" s="1"/>
  <c r="V21" i="17" s="1"/>
  <c r="F21" i="17" s="1"/>
  <c r="U243" i="17"/>
  <c r="T243" i="17" s="1"/>
  <c r="S243" i="17" s="1"/>
  <c r="R243" i="17" s="1"/>
  <c r="P243" i="17" s="1"/>
  <c r="V243" i="17" s="1"/>
  <c r="F243" i="17" s="1"/>
  <c r="U161" i="17"/>
  <c r="T161" i="17" s="1"/>
  <c r="S161" i="17" s="1"/>
  <c r="R161" i="17" s="1"/>
  <c r="P161" i="17" s="1"/>
  <c r="V161" i="17" s="1"/>
  <c r="F161" i="17" s="1"/>
  <c r="U162" i="17"/>
  <c r="T162" i="17" s="1"/>
  <c r="S162" i="17" s="1"/>
  <c r="R162" i="17" s="1"/>
  <c r="P162" i="17" s="1"/>
  <c r="V162" i="17" s="1"/>
  <c r="F162" i="17" s="1"/>
  <c r="U362" i="17"/>
  <c r="T362" i="17" s="1"/>
  <c r="S362" i="17" s="1"/>
  <c r="R362" i="17" s="1"/>
  <c r="P362" i="17" s="1"/>
  <c r="V362" i="17" s="1"/>
  <c r="U93" i="17"/>
  <c r="T93" i="17" s="1"/>
  <c r="S93" i="17" s="1"/>
  <c r="R93" i="17" s="1"/>
  <c r="P93" i="17" s="1"/>
  <c r="V93" i="17" s="1"/>
  <c r="U256" i="17"/>
  <c r="T256" i="17" s="1"/>
  <c r="S256" i="17" s="1"/>
  <c r="R256" i="17" s="1"/>
  <c r="P256" i="17" s="1"/>
  <c r="V256" i="17" s="1"/>
  <c r="U263" i="17"/>
  <c r="T263" i="17" s="1"/>
  <c r="S263" i="17" s="1"/>
  <c r="R263" i="17" s="1"/>
  <c r="P263" i="17" s="1"/>
  <c r="V263" i="17" s="1"/>
  <c r="U217" i="17"/>
  <c r="T217" i="17" s="1"/>
  <c r="S217" i="17" s="1"/>
  <c r="R217" i="17" s="1"/>
  <c r="P217" i="17" s="1"/>
  <c r="V217" i="17" s="1"/>
  <c r="U304" i="17"/>
  <c r="T304" i="17" s="1"/>
  <c r="S304" i="17" s="1"/>
  <c r="R304" i="17" s="1"/>
  <c r="P304" i="17" s="1"/>
  <c r="V304" i="17" s="1"/>
  <c r="U335" i="17"/>
  <c r="T335" i="17" s="1"/>
  <c r="S335" i="17" s="1"/>
  <c r="R335" i="17" s="1"/>
  <c r="P335" i="17" s="1"/>
  <c r="V335" i="17" s="1"/>
  <c r="U278" i="17"/>
  <c r="T278" i="17" s="1"/>
  <c r="S278" i="17" s="1"/>
  <c r="R278" i="17" s="1"/>
  <c r="P278" i="17" s="1"/>
  <c r="V278" i="17" s="1"/>
  <c r="F278" i="17" s="1"/>
  <c r="U113" i="17"/>
  <c r="T113" i="17" s="1"/>
  <c r="S113" i="17" s="1"/>
  <c r="R113" i="17" s="1"/>
  <c r="P113" i="17" s="1"/>
  <c r="V113" i="17" s="1"/>
  <c r="F113" i="17" s="1"/>
  <c r="U140" i="17"/>
  <c r="T140" i="17" s="1"/>
  <c r="S140" i="17" s="1"/>
  <c r="R140" i="17" s="1"/>
  <c r="P140" i="17" s="1"/>
  <c r="V140" i="17" s="1"/>
  <c r="F140" i="17" s="1"/>
  <c r="U23" i="17"/>
  <c r="T23" i="17" s="1"/>
  <c r="S23" i="17" s="1"/>
  <c r="R23" i="17" s="1"/>
  <c r="P23" i="17" s="1"/>
  <c r="V23" i="17" s="1"/>
  <c r="F23" i="17" s="1"/>
  <c r="U182" i="17"/>
  <c r="T182" i="17" s="1"/>
  <c r="S182" i="17" s="1"/>
  <c r="R182" i="17" s="1"/>
  <c r="P182" i="17" s="1"/>
  <c r="V182" i="17" s="1"/>
  <c r="U78" i="17"/>
  <c r="T78" i="17" s="1"/>
  <c r="S78" i="17" s="1"/>
  <c r="R78" i="17" s="1"/>
  <c r="P78" i="17" s="1"/>
  <c r="V78" i="17" s="1"/>
  <c r="F78" i="17" s="1"/>
  <c r="U319" i="17"/>
  <c r="T319" i="17" s="1"/>
  <c r="S319" i="17" s="1"/>
  <c r="R319" i="17" s="1"/>
  <c r="P319" i="17" s="1"/>
  <c r="V319" i="17" s="1"/>
  <c r="U197" i="17"/>
  <c r="T197" i="17" s="1"/>
  <c r="S197" i="17" s="1"/>
  <c r="R197" i="17" s="1"/>
  <c r="P197" i="17" s="1"/>
  <c r="V197" i="17" s="1"/>
  <c r="U282" i="17"/>
  <c r="T282" i="17" s="1"/>
  <c r="S282" i="17" s="1"/>
  <c r="R282" i="17" s="1"/>
  <c r="P282" i="17" s="1"/>
  <c r="V282" i="17" s="1"/>
  <c r="U18" i="17"/>
  <c r="T18" i="17" s="1"/>
  <c r="S18" i="17" s="1"/>
  <c r="R18" i="17" s="1"/>
  <c r="P18" i="17" s="1"/>
  <c r="V18" i="17" s="1"/>
  <c r="U251" i="17"/>
  <c r="T251" i="17" s="1"/>
  <c r="S251" i="17" s="1"/>
  <c r="R251" i="17" s="1"/>
  <c r="P251" i="17" s="1"/>
  <c r="V251" i="17" s="1"/>
  <c r="U369" i="17"/>
  <c r="T369" i="17" s="1"/>
  <c r="S369" i="17" s="1"/>
  <c r="R369" i="17" s="1"/>
  <c r="P369" i="17" s="1"/>
  <c r="V369" i="17" s="1"/>
  <c r="U79" i="17"/>
  <c r="T79" i="17" s="1"/>
  <c r="S79" i="17" s="1"/>
  <c r="R79" i="17" s="1"/>
  <c r="P79" i="17" s="1"/>
  <c r="V79" i="17" s="1"/>
  <c r="U260" i="17"/>
  <c r="T260" i="17" s="1"/>
  <c r="S260" i="17" s="1"/>
  <c r="R260" i="17" s="1"/>
  <c r="P260" i="17" s="1"/>
  <c r="V260" i="17" s="1"/>
  <c r="U184" i="17"/>
  <c r="T184" i="17" s="1"/>
  <c r="S184" i="17" s="1"/>
  <c r="R184" i="17" s="1"/>
  <c r="P184" i="17" s="1"/>
  <c r="V184" i="17" s="1"/>
  <c r="U62" i="17"/>
  <c r="T62" i="17" s="1"/>
  <c r="S62" i="17" s="1"/>
  <c r="R62" i="17" s="1"/>
  <c r="P62" i="17" s="1"/>
  <c r="V62" i="17" s="1"/>
  <c r="F62" i="17" s="1"/>
  <c r="U70" i="17"/>
  <c r="T70" i="17" s="1"/>
  <c r="S70" i="17" s="1"/>
  <c r="R70" i="17" s="1"/>
  <c r="P70" i="17" s="1"/>
  <c r="V70" i="17" s="1"/>
  <c r="U128" i="17"/>
  <c r="T128" i="17" s="1"/>
  <c r="S128" i="17" s="1"/>
  <c r="R128" i="17" s="1"/>
  <c r="P128" i="17" s="1"/>
  <c r="V128" i="17" s="1"/>
  <c r="U169" i="17"/>
  <c r="T169" i="17" s="1"/>
  <c r="S169" i="17" s="1"/>
  <c r="R169" i="17" s="1"/>
  <c r="P169" i="17" s="1"/>
  <c r="V169" i="17" s="1"/>
  <c r="F169" i="17" s="1"/>
  <c r="U288" i="17"/>
  <c r="T288" i="17" s="1"/>
  <c r="S288" i="17" s="1"/>
  <c r="R288" i="17" s="1"/>
  <c r="P288" i="17" s="1"/>
  <c r="V288" i="17" s="1"/>
  <c r="U167" i="17"/>
  <c r="T167" i="17" s="1"/>
  <c r="S167" i="17" s="1"/>
  <c r="R167" i="17" s="1"/>
  <c r="P167" i="17" s="1"/>
  <c r="V167" i="17" s="1"/>
  <c r="F167" i="17" s="1"/>
  <c r="U89" i="17"/>
  <c r="T89" i="17" s="1"/>
  <c r="S89" i="17" s="1"/>
  <c r="R89" i="17" s="1"/>
  <c r="P89" i="17" s="1"/>
  <c r="V89" i="17" s="1"/>
  <c r="U66" i="17"/>
  <c r="T66" i="17" s="1"/>
  <c r="S66" i="17" s="1"/>
  <c r="R66" i="17" s="1"/>
  <c r="P66" i="17" s="1"/>
  <c r="V66" i="17" s="1"/>
  <c r="U266" i="17"/>
  <c r="T266" i="17" s="1"/>
  <c r="S266" i="17" s="1"/>
  <c r="R266" i="17" s="1"/>
  <c r="P266" i="17" s="1"/>
  <c r="V266" i="17" s="1"/>
  <c r="F266" i="17" s="1"/>
  <c r="U325" i="17"/>
  <c r="T325" i="17" s="1"/>
  <c r="S325" i="17" s="1"/>
  <c r="R325" i="17" s="1"/>
  <c r="P325" i="17" s="1"/>
  <c r="V325" i="17" s="1"/>
  <c r="U104" i="17"/>
  <c r="T104" i="17" s="1"/>
  <c r="S104" i="17" s="1"/>
  <c r="R104" i="17" s="1"/>
  <c r="P104" i="17" s="1"/>
  <c r="V104" i="17" s="1"/>
  <c r="U139" i="17"/>
  <c r="T139" i="17" s="1"/>
  <c r="S139" i="17" s="1"/>
  <c r="R139" i="17" s="1"/>
  <c r="P139" i="17" s="1"/>
  <c r="V139" i="17" s="1"/>
  <c r="U296" i="17"/>
  <c r="T296" i="17" s="1"/>
  <c r="S296" i="17" s="1"/>
  <c r="R296" i="17" s="1"/>
  <c r="P296" i="17" s="1"/>
  <c r="V296" i="17" s="1"/>
  <c r="U310" i="17"/>
  <c r="T310" i="17" s="1"/>
  <c r="S310" i="17" s="1"/>
  <c r="R310" i="17" s="1"/>
  <c r="P310" i="17" s="1"/>
  <c r="V310" i="17" s="1"/>
  <c r="F310" i="17" s="1"/>
  <c r="U203" i="17"/>
  <c r="T203" i="17" s="1"/>
  <c r="S203" i="17" s="1"/>
  <c r="R203" i="17" s="1"/>
  <c r="P203" i="17" s="1"/>
  <c r="V203" i="17" s="1"/>
  <c r="U146" i="17"/>
  <c r="T146" i="17" s="1"/>
  <c r="S146" i="17" s="1"/>
  <c r="R146" i="17" s="1"/>
  <c r="P146" i="17" s="1"/>
  <c r="V146" i="17" s="1"/>
  <c r="U131" i="17"/>
  <c r="T131" i="17" s="1"/>
  <c r="S131" i="17" s="1"/>
  <c r="R131" i="17" s="1"/>
  <c r="P131" i="17" s="1"/>
  <c r="V131" i="17" s="1"/>
  <c r="U207" i="17"/>
  <c r="T207" i="17" s="1"/>
  <c r="S207" i="17" s="1"/>
  <c r="R207" i="17" s="1"/>
  <c r="P207" i="17" s="1"/>
  <c r="V207" i="17" s="1"/>
  <c r="F207" i="17" s="1"/>
  <c r="U116" i="17"/>
  <c r="T116" i="17" s="1"/>
  <c r="S116" i="17" s="1"/>
  <c r="R116" i="17" s="1"/>
  <c r="P116" i="17" s="1"/>
  <c r="V116" i="17" s="1"/>
  <c r="F116" i="17" s="1"/>
  <c r="U92" i="17"/>
  <c r="T92" i="17" s="1"/>
  <c r="S92" i="17" s="1"/>
  <c r="R92" i="17" s="1"/>
  <c r="P92" i="17" s="1"/>
  <c r="V92" i="17" s="1"/>
  <c r="F92" i="17" s="1"/>
  <c r="U170" i="17"/>
  <c r="T170" i="17" s="1"/>
  <c r="S170" i="17" s="1"/>
  <c r="R170" i="17" s="1"/>
  <c r="P170" i="17" s="1"/>
  <c r="V170" i="17" s="1"/>
  <c r="F170" i="17" s="1"/>
  <c r="U27" i="17"/>
  <c r="T27" i="17" s="1"/>
  <c r="S27" i="17" s="1"/>
  <c r="R27" i="17" s="1"/>
  <c r="P27" i="17" s="1"/>
  <c r="V27" i="17" s="1"/>
  <c r="U371" i="17"/>
  <c r="T371" i="17" s="1"/>
  <c r="S371" i="17" s="1"/>
  <c r="R371" i="17" s="1"/>
  <c r="P371" i="17" s="1"/>
  <c r="V371" i="17" s="1"/>
  <c r="F371" i="17" s="1"/>
  <c r="U270" i="17"/>
  <c r="T270" i="17" s="1"/>
  <c r="S270" i="17" s="1"/>
  <c r="R270" i="17" s="1"/>
  <c r="P270" i="17" s="1"/>
  <c r="V270" i="17" s="1"/>
  <c r="U332" i="17"/>
  <c r="T332" i="17" s="1"/>
  <c r="S332" i="17" s="1"/>
  <c r="R332" i="17" s="1"/>
  <c r="P332" i="17" s="1"/>
  <c r="V332" i="17" s="1"/>
  <c r="F332" i="17" s="1"/>
  <c r="U311" i="17"/>
  <c r="T311" i="17" s="1"/>
  <c r="S311" i="17" s="1"/>
  <c r="R311" i="17" s="1"/>
  <c r="P311" i="17" s="1"/>
  <c r="V311" i="17" s="1"/>
  <c r="F311" i="17" s="1"/>
  <c r="U99" i="17"/>
  <c r="T99" i="17" s="1"/>
  <c r="S99" i="17" s="1"/>
  <c r="R99" i="17" s="1"/>
  <c r="P99" i="17" s="1"/>
  <c r="V99" i="17" s="1"/>
  <c r="F99" i="17" s="1"/>
  <c r="U47" i="17"/>
  <c r="T47" i="17" s="1"/>
  <c r="S47" i="17" s="1"/>
  <c r="R47" i="17" s="1"/>
  <c r="P47" i="17" s="1"/>
  <c r="V47" i="17" s="1"/>
  <c r="F47" i="17" s="1"/>
  <c r="U212" i="17"/>
  <c r="T212" i="17" s="1"/>
  <c r="S212" i="17" s="1"/>
  <c r="R212" i="17" s="1"/>
  <c r="P212" i="17" s="1"/>
  <c r="V212" i="17" s="1"/>
  <c r="U54" i="17"/>
  <c r="T54" i="17" s="1"/>
  <c r="S54" i="17" s="1"/>
  <c r="R54" i="17" s="1"/>
  <c r="P54" i="17" s="1"/>
  <c r="V54" i="17" s="1"/>
  <c r="U303" i="17"/>
  <c r="T303" i="17" s="1"/>
  <c r="S303" i="17" s="1"/>
  <c r="R303" i="17" s="1"/>
  <c r="P303" i="17" s="1"/>
  <c r="V303" i="17" s="1"/>
  <c r="F303" i="17" s="1"/>
  <c r="U37" i="17"/>
  <c r="T37" i="17" s="1"/>
  <c r="S37" i="17" s="1"/>
  <c r="R37" i="17" s="1"/>
  <c r="P37" i="17" s="1"/>
  <c r="V37" i="17" s="1"/>
  <c r="F37" i="17" s="1"/>
  <c r="U117" i="17"/>
  <c r="T117" i="17" s="1"/>
  <c r="S117" i="17" s="1"/>
  <c r="R117" i="17" s="1"/>
  <c r="P117" i="17" s="1"/>
  <c r="V117" i="17" s="1"/>
  <c r="F117" i="17" s="1"/>
  <c r="U143" i="17"/>
  <c r="T143" i="17" s="1"/>
  <c r="S143" i="17" s="1"/>
  <c r="R143" i="17" s="1"/>
  <c r="P143" i="17" s="1"/>
  <c r="V143" i="17" s="1"/>
  <c r="U330" i="17"/>
  <c r="T330" i="17" s="1"/>
  <c r="S330" i="17" s="1"/>
  <c r="R330" i="17" s="1"/>
  <c r="P330" i="17" s="1"/>
  <c r="V330" i="17" s="1"/>
  <c r="U378" i="17"/>
  <c r="T378" i="17" s="1"/>
  <c r="S378" i="17" s="1"/>
  <c r="R378" i="17" s="1"/>
  <c r="P378" i="17" s="1"/>
  <c r="V378" i="17" s="1"/>
  <c r="F378" i="17" s="1"/>
  <c r="U112" i="17"/>
  <c r="T112" i="17" s="1"/>
  <c r="S112" i="17" s="1"/>
  <c r="R112" i="17" s="1"/>
  <c r="P112" i="17" s="1"/>
  <c r="V112" i="17" s="1"/>
  <c r="U317" i="17"/>
  <c r="T317" i="17" s="1"/>
  <c r="S317" i="17" s="1"/>
  <c r="R317" i="17" s="1"/>
  <c r="P317" i="17" s="1"/>
  <c r="V317" i="17" s="1"/>
  <c r="U267" i="17"/>
  <c r="T267" i="17" s="1"/>
  <c r="S267" i="17" s="1"/>
  <c r="R267" i="17" s="1"/>
  <c r="P267" i="17" s="1"/>
  <c r="V267" i="17" s="1"/>
  <c r="F267" i="17" s="1"/>
  <c r="U198" i="17"/>
  <c r="T198" i="17" s="1"/>
  <c r="S198" i="17" s="1"/>
  <c r="R198" i="17" s="1"/>
  <c r="P198" i="17" s="1"/>
  <c r="V198" i="17" s="1"/>
  <c r="F198" i="17" s="1"/>
  <c r="U136" i="17"/>
  <c r="T136" i="17" s="1"/>
  <c r="S136" i="17" s="1"/>
  <c r="R136" i="17" s="1"/>
  <c r="P136" i="17" s="1"/>
  <c r="V136" i="17" s="1"/>
  <c r="F136" i="17" s="1"/>
  <c r="U246" i="17"/>
  <c r="T246" i="17" s="1"/>
  <c r="S246" i="17" s="1"/>
  <c r="R246" i="17" s="1"/>
  <c r="P246" i="17" s="1"/>
  <c r="V246" i="17" s="1"/>
  <c r="U90" i="17"/>
  <c r="T90" i="17" s="1"/>
  <c r="S90" i="17" s="1"/>
  <c r="R90" i="17" s="1"/>
  <c r="P90" i="17" s="1"/>
  <c r="V90" i="17" s="1"/>
  <c r="F90" i="17" s="1"/>
  <c r="U142" i="17"/>
  <c r="T142" i="17" s="1"/>
  <c r="S142" i="17" s="1"/>
  <c r="R142" i="17" s="1"/>
  <c r="P142" i="17" s="1"/>
  <c r="V142" i="17" s="1"/>
  <c r="U183" i="17"/>
  <c r="T183" i="17" s="1"/>
  <c r="S183" i="17" s="1"/>
  <c r="R183" i="17" s="1"/>
  <c r="P183" i="17" s="1"/>
  <c r="V183" i="17" s="1"/>
  <c r="U265" i="17"/>
  <c r="T265" i="17" s="1"/>
  <c r="S265" i="17" s="1"/>
  <c r="R265" i="17" s="1"/>
  <c r="P265" i="17" s="1"/>
  <c r="V265" i="17" s="1"/>
  <c r="F265" i="17" s="1"/>
  <c r="U222" i="17"/>
  <c r="T222" i="17" s="1"/>
  <c r="S222" i="17" s="1"/>
  <c r="R222" i="17" s="1"/>
  <c r="P222" i="17" s="1"/>
  <c r="V222" i="17" s="1"/>
  <c r="F222" i="17" s="1"/>
  <c r="U225" i="17"/>
  <c r="T225" i="17" s="1"/>
  <c r="S225" i="17" s="1"/>
  <c r="R225" i="17" s="1"/>
  <c r="P225" i="17" s="1"/>
  <c r="V225" i="17" s="1"/>
  <c r="U105" i="17"/>
  <c r="T105" i="17" s="1"/>
  <c r="S105" i="17" s="1"/>
  <c r="R105" i="17" s="1"/>
  <c r="P105" i="17" s="1"/>
  <c r="V105" i="17" s="1"/>
  <c r="F105" i="17" s="1"/>
  <c r="U346" i="17"/>
  <c r="T346" i="17" s="1"/>
  <c r="S346" i="17" s="1"/>
  <c r="R346" i="17" s="1"/>
  <c r="P346" i="17" s="1"/>
  <c r="V346" i="17" s="1"/>
  <c r="F346" i="17" s="1"/>
  <c r="U103" i="17"/>
  <c r="T103" i="17" s="1"/>
  <c r="S103" i="17" s="1"/>
  <c r="R103" i="17" s="1"/>
  <c r="P103" i="17" s="1"/>
  <c r="V103" i="17" s="1"/>
  <c r="U111" i="17"/>
  <c r="T111" i="17" s="1"/>
  <c r="S111" i="17" s="1"/>
  <c r="R111" i="17" s="1"/>
  <c r="P111" i="17" s="1"/>
  <c r="V111" i="17" s="1"/>
  <c r="U329" i="17"/>
  <c r="T329" i="17" s="1"/>
  <c r="S329" i="17" s="1"/>
  <c r="R329" i="17" s="1"/>
  <c r="P329" i="17" s="1"/>
  <c r="V329" i="17" s="1"/>
  <c r="U307" i="17"/>
  <c r="T307" i="17" s="1"/>
  <c r="S307" i="17" s="1"/>
  <c r="R307" i="17" s="1"/>
  <c r="P307" i="17" s="1"/>
  <c r="V307" i="17" s="1"/>
  <c r="F307" i="17" s="1"/>
  <c r="U374" i="17"/>
  <c r="T374" i="17" s="1"/>
  <c r="S374" i="17" s="1"/>
  <c r="R374" i="17" s="1"/>
  <c r="P374" i="17" s="1"/>
  <c r="V374" i="17" s="1"/>
  <c r="F374" i="17" s="1"/>
  <c r="U341" i="17"/>
  <c r="T341" i="17" s="1"/>
  <c r="S341" i="17" s="1"/>
  <c r="R341" i="17" s="1"/>
  <c r="P341" i="17" s="1"/>
  <c r="V341" i="17" s="1"/>
  <c r="U87" i="17"/>
  <c r="T87" i="17" s="1"/>
  <c r="S87" i="17" s="1"/>
  <c r="R87" i="17" s="1"/>
  <c r="P87" i="17" s="1"/>
  <c r="V87" i="17" s="1"/>
  <c r="U141" i="17"/>
  <c r="T141" i="17" s="1"/>
  <c r="S141" i="17" s="1"/>
  <c r="R141" i="17" s="1"/>
  <c r="P141" i="17" s="1"/>
  <c r="V141" i="17" s="1"/>
  <c r="F141" i="17" s="1"/>
  <c r="U204" i="17"/>
  <c r="T204" i="17" s="1"/>
  <c r="S204" i="17" s="1"/>
  <c r="R204" i="17" s="1"/>
  <c r="P204" i="17" s="1"/>
  <c r="V204" i="17" s="1"/>
  <c r="F204" i="17" s="1"/>
  <c r="U59" i="17"/>
  <c r="T59" i="17" s="1"/>
  <c r="S59" i="17" s="1"/>
  <c r="R59" i="17" s="1"/>
  <c r="P59" i="17" s="1"/>
  <c r="V59" i="17" s="1"/>
  <c r="F59" i="17" s="1"/>
  <c r="U164" i="17"/>
  <c r="T164" i="17" s="1"/>
  <c r="S164" i="17" s="1"/>
  <c r="R164" i="17" s="1"/>
  <c r="P164" i="17" s="1"/>
  <c r="V164" i="17" s="1"/>
  <c r="U328" i="17"/>
  <c r="T328" i="17" s="1"/>
  <c r="S328" i="17" s="1"/>
  <c r="R328" i="17" s="1"/>
  <c r="P328" i="17" s="1"/>
  <c r="V328" i="17" s="1"/>
  <c r="U133" i="17"/>
  <c r="T133" i="17" s="1"/>
  <c r="S133" i="17" s="1"/>
  <c r="R133" i="17" s="1"/>
  <c r="P133" i="17" s="1"/>
  <c r="V133" i="17" s="1"/>
  <c r="F133" i="17" s="1"/>
  <c r="U313" i="17"/>
  <c r="T313" i="17" s="1"/>
  <c r="S313" i="17" s="1"/>
  <c r="R313" i="17" s="1"/>
  <c r="P313" i="17" s="1"/>
  <c r="V313" i="17" s="1"/>
  <c r="U49" i="17"/>
  <c r="T49" i="17" s="1"/>
  <c r="S49" i="17" s="1"/>
  <c r="R49" i="17" s="1"/>
  <c r="P49" i="17" s="1"/>
  <c r="V49" i="17" s="1"/>
  <c r="U81" i="17"/>
  <c r="T81" i="17" s="1"/>
  <c r="S81" i="17" s="1"/>
  <c r="R81" i="17" s="1"/>
  <c r="P81" i="17" s="1"/>
  <c r="V81" i="17" s="1"/>
  <c r="U173" i="17"/>
  <c r="T173" i="17" s="1"/>
  <c r="S173" i="17" s="1"/>
  <c r="R173" i="17" s="1"/>
  <c r="P173" i="17" s="1"/>
  <c r="V173" i="17" s="1"/>
  <c r="U295" i="17"/>
  <c r="T295" i="17" s="1"/>
  <c r="S295" i="17" s="1"/>
  <c r="R295" i="17" s="1"/>
  <c r="P295" i="17" s="1"/>
  <c r="V295" i="17" s="1"/>
  <c r="F295" i="17" s="1"/>
  <c r="U36" i="17"/>
  <c r="T36" i="17" s="1"/>
  <c r="S36" i="17" s="1"/>
  <c r="R36" i="17" s="1"/>
  <c r="P36" i="17" s="1"/>
  <c r="V36" i="17" s="1"/>
  <c r="F36" i="17" s="1"/>
  <c r="U249" i="17"/>
  <c r="T249" i="17" s="1"/>
  <c r="S249" i="17" s="1"/>
  <c r="R249" i="17" s="1"/>
  <c r="P249" i="17" s="1"/>
  <c r="V249" i="17" s="1"/>
  <c r="BV15" i="7"/>
  <c r="BW11" i="7"/>
  <c r="BX11" i="7"/>
  <c r="Y359" i="1"/>
  <c r="AL8" i="1"/>
  <c r="Z382" i="1"/>
  <c r="Z9" i="1"/>
  <c r="Z383" i="1"/>
  <c r="Z381" i="1"/>
  <c r="J359" i="15"/>
  <c r="I359" i="15"/>
  <c r="H359" i="16" s="1"/>
  <c r="I359" i="16" s="1"/>
  <c r="A7" i="6"/>
  <c r="E7" i="7"/>
  <c r="AF381" i="16"/>
  <c r="AD15" i="16"/>
  <c r="AF383" i="16"/>
  <c r="AF382" i="16"/>
  <c r="F9" i="15"/>
  <c r="AA15" i="15"/>
  <c r="AM7" i="15" s="1"/>
  <c r="F381" i="15"/>
  <c r="AM10" i="15"/>
  <c r="F382" i="15"/>
  <c r="H15" i="15"/>
  <c r="F383" i="15"/>
  <c r="AK10" i="15"/>
  <c r="AK12" i="15" s="1"/>
  <c r="G15" i="15"/>
  <c r="B62" i="19"/>
  <c r="N62" i="19" s="1"/>
  <c r="V380" i="15"/>
  <c r="V382" i="15" s="1"/>
  <c r="G320" i="16"/>
  <c r="BY320" i="6" s="1"/>
  <c r="AA320" i="16"/>
  <c r="Z320" i="16" s="1"/>
  <c r="Y320" i="16" s="1"/>
  <c r="H320" i="16"/>
  <c r="AA75" i="16"/>
  <c r="Z75" i="16" s="1"/>
  <c r="Y75" i="16" s="1"/>
  <c r="H75" i="16"/>
  <c r="G75" i="16"/>
  <c r="BY75" i="6" s="1"/>
  <c r="AA350" i="16"/>
  <c r="Z350" i="16" s="1"/>
  <c r="Y350" i="16" s="1"/>
  <c r="G350" i="16"/>
  <c r="BY350" i="6" s="1"/>
  <c r="H350" i="16"/>
  <c r="P382" i="16"/>
  <c r="V15" i="16"/>
  <c r="P383" i="16"/>
  <c r="P381" i="16"/>
  <c r="I325" i="16"/>
  <c r="J325" i="16"/>
  <c r="I283" i="16"/>
  <c r="J283" i="16"/>
  <c r="J40" i="16"/>
  <c r="I40" i="16"/>
  <c r="I16" i="16"/>
  <c r="J16" i="16"/>
  <c r="J279" i="16"/>
  <c r="I279" i="16"/>
  <c r="J99" i="16"/>
  <c r="I99" i="16"/>
  <c r="J87" i="16"/>
  <c r="I87" i="16"/>
  <c r="J91" i="16"/>
  <c r="I91" i="16"/>
  <c r="I93" i="16"/>
  <c r="J93" i="16"/>
  <c r="J243" i="16"/>
  <c r="I243" i="16"/>
  <c r="J150" i="16"/>
  <c r="I150" i="16"/>
  <c r="J103" i="16"/>
  <c r="I103" i="16"/>
  <c r="I114" i="16"/>
  <c r="J114" i="16"/>
  <c r="I102" i="16"/>
  <c r="J102" i="16"/>
  <c r="I164" i="16"/>
  <c r="J164" i="16"/>
  <c r="I319" i="16"/>
  <c r="J319" i="16"/>
  <c r="J227" i="16"/>
  <c r="I227" i="16"/>
  <c r="I48" i="16"/>
  <c r="J48" i="16"/>
  <c r="I216" i="16"/>
  <c r="J216" i="16"/>
  <c r="J175" i="16"/>
  <c r="I175" i="16"/>
  <c r="I309" i="16"/>
  <c r="J309" i="16"/>
  <c r="I74" i="16"/>
  <c r="J74" i="16"/>
  <c r="J111" i="16"/>
  <c r="I111" i="16"/>
  <c r="J190" i="16"/>
  <c r="I190" i="16"/>
  <c r="I19" i="16"/>
  <c r="J19" i="16"/>
  <c r="I179" i="16"/>
  <c r="J179" i="16"/>
  <c r="J355" i="16"/>
  <c r="J289" i="16"/>
  <c r="I289" i="16"/>
  <c r="J194" i="16"/>
  <c r="I194" i="16"/>
  <c r="I323" i="16"/>
  <c r="J323" i="16"/>
  <c r="I340" i="16"/>
  <c r="J340" i="16"/>
  <c r="I316" i="16"/>
  <c r="J316" i="16"/>
  <c r="J293" i="16"/>
  <c r="I293" i="16"/>
  <c r="I295" i="16"/>
  <c r="J295" i="16"/>
  <c r="I184" i="16"/>
  <c r="J184" i="16"/>
  <c r="I187" i="16"/>
  <c r="J187" i="16"/>
  <c r="I212" i="16"/>
  <c r="J212" i="16"/>
  <c r="I207" i="16"/>
  <c r="J207" i="16"/>
  <c r="J237" i="16"/>
  <c r="I237" i="16"/>
  <c r="I372" i="16"/>
  <c r="J372" i="16"/>
  <c r="J222" i="16"/>
  <c r="I222" i="16"/>
  <c r="J291" i="16"/>
  <c r="I291" i="16"/>
  <c r="J354" i="16"/>
  <c r="I206" i="16"/>
  <c r="J206" i="16"/>
  <c r="I64" i="16"/>
  <c r="J26" i="16"/>
  <c r="I26" i="16"/>
  <c r="G259" i="16"/>
  <c r="BY259" i="6" s="1"/>
  <c r="AA259" i="16"/>
  <c r="Z259" i="16" s="1"/>
  <c r="Y259" i="16" s="1"/>
  <c r="H259" i="16"/>
  <c r="J126" i="16"/>
  <c r="I126" i="16"/>
  <c r="I62" i="16"/>
  <c r="J62" i="16"/>
  <c r="J285" i="16"/>
  <c r="I285" i="16"/>
  <c r="J39" i="16"/>
  <c r="I39" i="16"/>
  <c r="I213" i="16"/>
  <c r="J213" i="16"/>
  <c r="J200" i="16"/>
  <c r="I200" i="16"/>
  <c r="I210" i="16"/>
  <c r="J210" i="16"/>
  <c r="I233" i="16"/>
  <c r="J233" i="16"/>
  <c r="J168" i="16"/>
  <c r="I168" i="16"/>
  <c r="J125" i="16"/>
  <c r="I125" i="16"/>
  <c r="I287" i="16"/>
  <c r="J287" i="16"/>
  <c r="I329" i="16"/>
  <c r="J329" i="16"/>
  <c r="J27" i="16"/>
  <c r="I27" i="16"/>
  <c r="I169" i="16"/>
  <c r="J169" i="16"/>
  <c r="I86" i="16"/>
  <c r="J86" i="16"/>
  <c r="J269" i="16"/>
  <c r="I269" i="16"/>
  <c r="J208" i="16"/>
  <c r="I208" i="16"/>
  <c r="I142" i="16"/>
  <c r="J142" i="16"/>
  <c r="I47" i="16"/>
  <c r="J47" i="16"/>
  <c r="J115" i="16"/>
  <c r="I115" i="16"/>
  <c r="I361" i="16"/>
  <c r="J361" i="16"/>
  <c r="J344" i="16"/>
  <c r="I344" i="16"/>
  <c r="J349" i="16"/>
  <c r="I349" i="16"/>
  <c r="I280" i="16"/>
  <c r="J280" i="16"/>
  <c r="J327" i="16"/>
  <c r="I327" i="16"/>
  <c r="I156" i="16"/>
  <c r="J156" i="16"/>
  <c r="I82" i="16"/>
  <c r="J82" i="16"/>
  <c r="I43" i="16"/>
  <c r="J43" i="16"/>
  <c r="J357" i="16"/>
  <c r="I357" i="16"/>
  <c r="I277" i="16"/>
  <c r="J277" i="16"/>
  <c r="J262" i="16"/>
  <c r="I262" i="16"/>
  <c r="I73" i="16"/>
  <c r="J73" i="16"/>
  <c r="J367" i="16" l="1"/>
  <c r="I18" i="16"/>
  <c r="G119" i="16"/>
  <c r="BY119" i="6" s="1"/>
  <c r="AA119" i="16"/>
  <c r="Z119" i="16" s="1"/>
  <c r="Y119" i="16" s="1"/>
  <c r="W2" i="7"/>
  <c r="I42" i="16"/>
  <c r="H42" i="17" s="1"/>
  <c r="J315" i="16"/>
  <c r="I256" i="16"/>
  <c r="J132" i="16"/>
  <c r="J286" i="16"/>
  <c r="J31" i="16"/>
  <c r="J68" i="16"/>
  <c r="J304" i="16"/>
  <c r="J181" i="16"/>
  <c r="J113" i="16"/>
  <c r="J84" i="16"/>
  <c r="I143" i="16"/>
  <c r="I188" i="16"/>
  <c r="J35" i="16"/>
  <c r="J138" i="16"/>
  <c r="I134" i="16"/>
  <c r="H134" i="17" s="1"/>
  <c r="I89" i="16"/>
  <c r="J236" i="16"/>
  <c r="I141" i="16"/>
  <c r="H141" i="17" s="1"/>
  <c r="I101" i="16"/>
  <c r="J83" i="16"/>
  <c r="J155" i="16"/>
  <c r="J205" i="16"/>
  <c r="J30" i="16"/>
  <c r="I120" i="16"/>
  <c r="I67" i="16"/>
  <c r="I274" i="16"/>
  <c r="H274" i="17" s="1"/>
  <c r="I298" i="16"/>
  <c r="H298" i="17" s="1"/>
  <c r="H197" i="16"/>
  <c r="I197" i="16" s="1"/>
  <c r="I144" i="16"/>
  <c r="H144" i="17" s="1"/>
  <c r="J248" i="16"/>
  <c r="I217" i="16"/>
  <c r="J371" i="16"/>
  <c r="J308" i="16"/>
  <c r="I152" i="16"/>
  <c r="H152" i="17" s="1"/>
  <c r="I226" i="16"/>
  <c r="H226" i="17" s="1"/>
  <c r="J56" i="16"/>
  <c r="J219" i="16"/>
  <c r="I28" i="16"/>
  <c r="H28" i="17" s="1"/>
  <c r="I303" i="16"/>
  <c r="AC378" i="20"/>
  <c r="AC312" i="20"/>
  <c r="AC200" i="20"/>
  <c r="AC190" i="20"/>
  <c r="AC289" i="20"/>
  <c r="I311" i="16"/>
  <c r="H311" i="17" s="1"/>
  <c r="J214" i="16"/>
  <c r="J58" i="16"/>
  <c r="I343" i="16"/>
  <c r="H343" i="17" s="1"/>
  <c r="I378" i="16"/>
  <c r="H378" i="17" s="1"/>
  <c r="J94" i="16"/>
  <c r="I182" i="16"/>
  <c r="AC87" i="20"/>
  <c r="AC36" i="20"/>
  <c r="AC16" i="20"/>
  <c r="O35" i="23"/>
  <c r="O107" i="23"/>
  <c r="O49" i="23"/>
  <c r="O55" i="23"/>
  <c r="O40" i="23"/>
  <c r="O59" i="23"/>
  <c r="O74" i="23"/>
  <c r="O124" i="23"/>
  <c r="O97" i="23"/>
  <c r="O98" i="23"/>
  <c r="O83" i="23"/>
  <c r="O106" i="23"/>
  <c r="O86" i="23"/>
  <c r="O15" i="23"/>
  <c r="O77" i="23"/>
  <c r="O120" i="23"/>
  <c r="O81" i="23"/>
  <c r="O71" i="23"/>
  <c r="O78" i="23"/>
  <c r="O23" i="23"/>
  <c r="O22" i="23"/>
  <c r="O69" i="23"/>
  <c r="O41" i="23"/>
  <c r="O28" i="23"/>
  <c r="O129" i="23"/>
  <c r="O80" i="23"/>
  <c r="O85" i="23"/>
  <c r="O84" i="23"/>
  <c r="O126" i="23"/>
  <c r="O96" i="23"/>
  <c r="O33" i="23"/>
  <c r="O17" i="23"/>
  <c r="O108" i="23"/>
  <c r="O60" i="23"/>
  <c r="AG45" i="7" s="1"/>
  <c r="O65" i="23"/>
  <c r="O32" i="23"/>
  <c r="O64" i="23"/>
  <c r="O115" i="23"/>
  <c r="O123" i="23"/>
  <c r="O63" i="23"/>
  <c r="O30" i="23"/>
  <c r="O42" i="23"/>
  <c r="O131" i="23"/>
  <c r="O67" i="23"/>
  <c r="O18" i="23"/>
  <c r="O54" i="23"/>
  <c r="O119" i="23"/>
  <c r="AG47" i="7" s="1"/>
  <c r="O127" i="23"/>
  <c r="O68" i="23"/>
  <c r="O27" i="23"/>
  <c r="O51" i="23"/>
  <c r="O20" i="23"/>
  <c r="O31" i="23"/>
  <c r="O102" i="23"/>
  <c r="O112" i="23"/>
  <c r="O116" i="23"/>
  <c r="O109" i="23"/>
  <c r="O76" i="23"/>
  <c r="O105" i="23"/>
  <c r="O45" i="23"/>
  <c r="O44" i="23"/>
  <c r="O48" i="23"/>
  <c r="O128" i="23"/>
  <c r="O91" i="23"/>
  <c r="O16" i="23"/>
  <c r="O99" i="23"/>
  <c r="O19" i="23"/>
  <c r="O87" i="23"/>
  <c r="O38" i="23"/>
  <c r="O62" i="23"/>
  <c r="O82" i="23"/>
  <c r="O25" i="23"/>
  <c r="O53" i="23"/>
  <c r="O37" i="23"/>
  <c r="O57" i="23"/>
  <c r="O114" i="23"/>
  <c r="O111" i="23"/>
  <c r="O36" i="23"/>
  <c r="O113" i="23"/>
  <c r="O110" i="23"/>
  <c r="O50" i="23"/>
  <c r="O100" i="23"/>
  <c r="O90" i="23"/>
  <c r="O58" i="23"/>
  <c r="O73" i="23"/>
  <c r="O46" i="23"/>
  <c r="O88" i="23"/>
  <c r="AG46" i="7" s="1"/>
  <c r="O56" i="23"/>
  <c r="O66" i="23"/>
  <c r="O24" i="23"/>
  <c r="O104" i="23"/>
  <c r="O89" i="23"/>
  <c r="O72" i="23"/>
  <c r="O133" i="23"/>
  <c r="O47" i="23"/>
  <c r="O118" i="23"/>
  <c r="O125" i="23"/>
  <c r="O103" i="23"/>
  <c r="O121" i="23"/>
  <c r="O70" i="23"/>
  <c r="O132" i="23"/>
  <c r="O26" i="23"/>
  <c r="O95" i="23"/>
  <c r="O29" i="23"/>
  <c r="AG44" i="7" s="1"/>
  <c r="O39" i="23"/>
  <c r="O75" i="23"/>
  <c r="O93" i="23"/>
  <c r="O122" i="23"/>
  <c r="O34" i="23"/>
  <c r="O61" i="23"/>
  <c r="O21" i="23"/>
  <c r="O79" i="23"/>
  <c r="O130" i="23"/>
  <c r="O92" i="23"/>
  <c r="O43" i="23"/>
  <c r="O117" i="23"/>
  <c r="O94" i="23"/>
  <c r="O101" i="23"/>
  <c r="O52" i="23"/>
  <c r="O344" i="23"/>
  <c r="O272" i="23"/>
  <c r="AG52" i="7" s="1"/>
  <c r="O331" i="23"/>
  <c r="O144" i="23"/>
  <c r="O249" i="23"/>
  <c r="O264" i="23"/>
  <c r="O265" i="23"/>
  <c r="O343" i="23"/>
  <c r="O340" i="23"/>
  <c r="O298" i="23"/>
  <c r="O143" i="23"/>
  <c r="O311" i="23"/>
  <c r="O278" i="23"/>
  <c r="O303" i="23"/>
  <c r="O377" i="23"/>
  <c r="O243" i="23"/>
  <c r="O323" i="23"/>
  <c r="O362" i="23"/>
  <c r="O259" i="23"/>
  <c r="O258" i="23"/>
  <c r="O212" i="23"/>
  <c r="O230" i="23"/>
  <c r="O379" i="23"/>
  <c r="C42" i="19" s="1"/>
  <c r="O358" i="23"/>
  <c r="O254" i="23"/>
  <c r="O136" i="23"/>
  <c r="O206" i="23"/>
  <c r="O194" i="23"/>
  <c r="O287" i="23"/>
  <c r="O276" i="23"/>
  <c r="O150" i="23"/>
  <c r="O378" i="23"/>
  <c r="O290" i="23"/>
  <c r="O202" i="23"/>
  <c r="O351" i="23"/>
  <c r="O193" i="23"/>
  <c r="O183" i="23"/>
  <c r="O317" i="23"/>
  <c r="O215" i="23"/>
  <c r="O149" i="23"/>
  <c r="AG48" i="7" s="1"/>
  <c r="O352" i="23"/>
  <c r="O279" i="23"/>
  <c r="O165" i="23"/>
  <c r="O296" i="23"/>
  <c r="O229" i="23"/>
  <c r="O211" i="23"/>
  <c r="AS13" i="7"/>
  <c r="AY10" i="7" s="1"/>
  <c r="O314" i="23"/>
  <c r="O222" i="23"/>
  <c r="O268" i="23"/>
  <c r="O182" i="23"/>
  <c r="O299" i="23"/>
  <c r="O329" i="23"/>
  <c r="O289" i="23"/>
  <c r="O247" i="23"/>
  <c r="O281" i="23"/>
  <c r="O297" i="23"/>
  <c r="O175" i="23"/>
  <c r="O285" i="23"/>
  <c r="O166" i="23"/>
  <c r="O196" i="23"/>
  <c r="O145" i="23"/>
  <c r="O282" i="23"/>
  <c r="O158" i="23"/>
  <c r="O320" i="23"/>
  <c r="O368" i="23"/>
  <c r="O138" i="23"/>
  <c r="O173" i="23"/>
  <c r="O375" i="23"/>
  <c r="O376" i="23"/>
  <c r="O245" i="23"/>
  <c r="O210" i="23"/>
  <c r="AG50" i="7" s="1"/>
  <c r="O339" i="23"/>
  <c r="O189" i="23"/>
  <c r="O295" i="23"/>
  <c r="O135" i="23"/>
  <c r="O204" i="23"/>
  <c r="O141" i="23"/>
  <c r="O177" i="23"/>
  <c r="O337" i="23"/>
  <c r="O159" i="23"/>
  <c r="O348" i="23"/>
  <c r="O208" i="23"/>
  <c r="O269" i="23"/>
  <c r="O242" i="23"/>
  <c r="O288" i="23"/>
  <c r="O214" i="23"/>
  <c r="O139" i="23"/>
  <c r="O167" i="23"/>
  <c r="O274" i="23"/>
  <c r="O283" i="23"/>
  <c r="O153" i="23"/>
  <c r="O349" i="23"/>
  <c r="O244" i="23"/>
  <c r="O361" i="23"/>
  <c r="O335" i="23"/>
  <c r="O367" i="23"/>
  <c r="O342" i="23"/>
  <c r="O373" i="23"/>
  <c r="O366" i="23"/>
  <c r="O357" i="23"/>
  <c r="O232" i="23"/>
  <c r="O286" i="23"/>
  <c r="O300" i="23"/>
  <c r="O330" i="23"/>
  <c r="O241" i="23"/>
  <c r="AG51" i="7" s="1"/>
  <c r="O374" i="23"/>
  <c r="O213" i="23"/>
  <c r="O195" i="23"/>
  <c r="O356" i="23"/>
  <c r="O217" i="23"/>
  <c r="O148" i="23"/>
  <c r="O236" i="23"/>
  <c r="O237" i="23"/>
  <c r="O197" i="23"/>
  <c r="O199" i="23"/>
  <c r="O252" i="23"/>
  <c r="O312" i="23"/>
  <c r="O134" i="23"/>
  <c r="O302" i="23"/>
  <c r="AG53" i="7" s="1"/>
  <c r="O169" i="23"/>
  <c r="O246" i="23"/>
  <c r="O228" i="23"/>
  <c r="O146" i="23"/>
  <c r="O284" i="23"/>
  <c r="O225" i="23"/>
  <c r="O219" i="23"/>
  <c r="O313" i="23"/>
  <c r="O359" i="23"/>
  <c r="O248" i="23"/>
  <c r="O306" i="23"/>
  <c r="O142" i="23"/>
  <c r="O336" i="23"/>
  <c r="O164" i="23"/>
  <c r="O291" i="23"/>
  <c r="O251" i="23"/>
  <c r="O308" i="23"/>
  <c r="O170" i="23"/>
  <c r="O203" i="23"/>
  <c r="O200" i="23"/>
  <c r="O364" i="23"/>
  <c r="O161" i="23"/>
  <c r="O186" i="23"/>
  <c r="O301" i="23"/>
  <c r="O304" i="23"/>
  <c r="O365" i="23"/>
  <c r="O239" i="23"/>
  <c r="O305" i="23"/>
  <c r="O184" i="23"/>
  <c r="O346" i="23"/>
  <c r="O263" i="23"/>
  <c r="O209" i="23"/>
  <c r="O156" i="23"/>
  <c r="O319" i="23"/>
  <c r="O227" i="23"/>
  <c r="O250" i="23"/>
  <c r="O155" i="23"/>
  <c r="O154" i="23"/>
  <c r="O172" i="23"/>
  <c r="O327" i="23"/>
  <c r="O266" i="23"/>
  <c r="O328" i="23"/>
  <c r="O315" i="23"/>
  <c r="O369" i="23"/>
  <c r="O234" i="23"/>
  <c r="O191" i="23"/>
  <c r="O309" i="23"/>
  <c r="O162" i="23"/>
  <c r="O185" i="23"/>
  <c r="O207" i="23"/>
  <c r="O271" i="23"/>
  <c r="O220" i="23"/>
  <c r="O270" i="23"/>
  <c r="O171" i="23"/>
  <c r="O370" i="23"/>
  <c r="O176" i="23"/>
  <c r="O325" i="23"/>
  <c r="O354" i="23"/>
  <c r="O275" i="23"/>
  <c r="O322" i="23"/>
  <c r="O350" i="23"/>
  <c r="O231" i="23"/>
  <c r="O178" i="23"/>
  <c r="O221" i="23"/>
  <c r="O233" i="23"/>
  <c r="O355" i="23"/>
  <c r="O192" i="23"/>
  <c r="O187" i="23"/>
  <c r="O347" i="23"/>
  <c r="O262" i="23"/>
  <c r="O280" i="23"/>
  <c r="O181" i="23"/>
  <c r="O307" i="23"/>
  <c r="O205" i="23"/>
  <c r="O137" i="23"/>
  <c r="O294" i="23"/>
  <c r="O353" i="23"/>
  <c r="O198" i="23"/>
  <c r="O345" i="23"/>
  <c r="O224" i="23"/>
  <c r="O341" i="23"/>
  <c r="O267" i="23"/>
  <c r="O338" i="23"/>
  <c r="O372" i="23"/>
  <c r="O326" i="23"/>
  <c r="O179" i="23"/>
  <c r="O310" i="23"/>
  <c r="O147" i="23"/>
  <c r="O257" i="23"/>
  <c r="O261" i="23"/>
  <c r="O334" i="23"/>
  <c r="O180" i="23"/>
  <c r="AG49" i="7" s="1"/>
  <c r="O360" i="23"/>
  <c r="O190" i="23"/>
  <c r="O226" i="23"/>
  <c r="O371" i="23"/>
  <c r="O256" i="23"/>
  <c r="O140" i="23"/>
  <c r="O324" i="23"/>
  <c r="O160" i="23"/>
  <c r="O201" i="23"/>
  <c r="O238" i="23"/>
  <c r="O174" i="23"/>
  <c r="O235" i="23"/>
  <c r="O255" i="23"/>
  <c r="O216" i="23"/>
  <c r="O168" i="23"/>
  <c r="O223" i="23"/>
  <c r="O253" i="23"/>
  <c r="O273" i="23"/>
  <c r="O318" i="23"/>
  <c r="O260" i="23"/>
  <c r="O151" i="23"/>
  <c r="O188" i="23"/>
  <c r="O277" i="23"/>
  <c r="O152" i="23"/>
  <c r="O163" i="23"/>
  <c r="O240" i="23"/>
  <c r="O332" i="23"/>
  <c r="O293" i="23"/>
  <c r="O157" i="23"/>
  <c r="O321" i="23"/>
  <c r="O292" i="23"/>
  <c r="O218" i="23"/>
  <c r="O333" i="23"/>
  <c r="AG54" i="7" s="1"/>
  <c r="O363" i="23"/>
  <c r="AG55" i="7" s="1"/>
  <c r="O316" i="23"/>
  <c r="I79" i="16"/>
  <c r="J104" i="16"/>
  <c r="J254" i="16"/>
  <c r="L41" i="19"/>
  <c r="J247" i="16"/>
  <c r="J171" i="16"/>
  <c r="AC142" i="20"/>
  <c r="AC191" i="20"/>
  <c r="AC203" i="20"/>
  <c r="G197" i="16"/>
  <c r="BY197" i="6" s="1"/>
  <c r="J348" i="16"/>
  <c r="BX15" i="6"/>
  <c r="J231" i="16"/>
  <c r="I97" i="16"/>
  <c r="J69" i="16"/>
  <c r="I172" i="16"/>
  <c r="H172" i="17" s="1"/>
  <c r="I52" i="16"/>
  <c r="H52" i="17" s="1"/>
  <c r="G60" i="16"/>
  <c r="BY60" i="6" s="1"/>
  <c r="J145" i="16"/>
  <c r="I220" i="16"/>
  <c r="H220" i="17" s="1"/>
  <c r="I92" i="16"/>
  <c r="H92" i="17" s="1"/>
  <c r="J154" i="16"/>
  <c r="I225" i="16"/>
  <c r="J63" i="16"/>
  <c r="H149" i="16"/>
  <c r="I149" i="16" s="1"/>
  <c r="J299" i="16"/>
  <c r="J192" i="16"/>
  <c r="J376" i="16"/>
  <c r="I96" i="16"/>
  <c r="H96" i="17" s="1"/>
  <c r="J193" i="16"/>
  <c r="I380" i="16"/>
  <c r="H380" i="17" s="1"/>
  <c r="I380" i="17" s="1"/>
  <c r="H380" i="18" s="1"/>
  <c r="I185" i="16"/>
  <c r="H185" i="17" s="1"/>
  <c r="J365" i="16"/>
  <c r="I201" i="16"/>
  <c r="I127" i="16"/>
  <c r="J358" i="16"/>
  <c r="I88" i="16"/>
  <c r="H88" i="17" s="1"/>
  <c r="J218" i="16"/>
  <c r="AA149" i="16"/>
  <c r="Z149" i="16" s="1"/>
  <c r="Y149" i="16" s="1"/>
  <c r="I294" i="16"/>
  <c r="H294" i="17" s="1"/>
  <c r="I24" i="16"/>
  <c r="J318" i="16"/>
  <c r="I263" i="16"/>
  <c r="H60" i="16"/>
  <c r="J60" i="16" s="1"/>
  <c r="I275" i="16"/>
  <c r="H275" i="17" s="1"/>
  <c r="I353" i="16"/>
  <c r="J252" i="16"/>
  <c r="I137" i="16"/>
  <c r="H137" i="17" s="1"/>
  <c r="J122" i="16"/>
  <c r="I178" i="16"/>
  <c r="J189" i="16"/>
  <c r="J332" i="16"/>
  <c r="J38" i="16"/>
  <c r="J230" i="16"/>
  <c r="I321" i="16"/>
  <c r="H321" i="17" s="1"/>
  <c r="I305" i="16"/>
  <c r="J339" i="16"/>
  <c r="J306" i="16"/>
  <c r="J158" i="16"/>
  <c r="I224" i="16"/>
  <c r="H224" i="17" s="1"/>
  <c r="J109" i="16"/>
  <c r="J246" i="16"/>
  <c r="I139" i="16"/>
  <c r="I238" i="16"/>
  <c r="J336" i="16"/>
  <c r="J21" i="16"/>
  <c r="J362" i="16"/>
  <c r="I310" i="16"/>
  <c r="H310" i="17" s="1"/>
  <c r="J282" i="16"/>
  <c r="J265" i="16"/>
  <c r="I229" i="16"/>
  <c r="J159" i="16"/>
  <c r="I338" i="16"/>
  <c r="I183" i="16"/>
  <c r="AC329" i="20"/>
  <c r="AC241" i="20"/>
  <c r="AC321" i="20"/>
  <c r="AC300" i="20"/>
  <c r="AC162" i="20"/>
  <c r="AC292" i="20"/>
  <c r="AC279" i="20"/>
  <c r="AC293" i="20"/>
  <c r="J297" i="16"/>
  <c r="J54" i="16"/>
  <c r="J20" i="16"/>
  <c r="I373" i="16"/>
  <c r="H373" i="17" s="1"/>
  <c r="I334" i="16"/>
  <c r="H334" i="17" s="1"/>
  <c r="I223" i="16"/>
  <c r="J209" i="16"/>
  <c r="J177" i="16"/>
  <c r="I250" i="16"/>
  <c r="I242" i="16"/>
  <c r="H242" i="17" s="1"/>
  <c r="J300" i="16"/>
  <c r="I196" i="16"/>
  <c r="I347" i="16"/>
  <c r="J284" i="16"/>
  <c r="I174" i="16"/>
  <c r="H174" i="17" s="1"/>
  <c r="J76" i="16"/>
  <c r="J268" i="16"/>
  <c r="J290" i="16"/>
  <c r="J100" i="16"/>
  <c r="J95" i="16"/>
  <c r="J346" i="16"/>
  <c r="J180" i="16"/>
  <c r="AC255" i="20"/>
  <c r="AC356" i="20"/>
  <c r="AC375" i="20"/>
  <c r="AC283" i="20"/>
  <c r="AC282" i="20"/>
  <c r="AC217" i="20"/>
  <c r="AC198" i="20"/>
  <c r="J322" i="16"/>
  <c r="J166" i="16"/>
  <c r="J379" i="16"/>
  <c r="I249" i="16"/>
  <c r="I49" i="16"/>
  <c r="J157" i="16"/>
  <c r="J292" i="16"/>
  <c r="I266" i="16"/>
  <c r="H266" i="17" s="1"/>
  <c r="I23" i="16"/>
  <c r="H23" i="17" s="1"/>
  <c r="J288" i="16"/>
  <c r="J240" i="16"/>
  <c r="I199" i="16"/>
  <c r="H199" i="17" s="1"/>
  <c r="I186" i="16"/>
  <c r="H186" i="17" s="1"/>
  <c r="I33" i="16"/>
  <c r="H33" i="17" s="1"/>
  <c r="J317" i="16"/>
  <c r="I59" i="16"/>
  <c r="H59" i="17" s="1"/>
  <c r="I312" i="16"/>
  <c r="H312" i="17" s="1"/>
  <c r="I296" i="16"/>
  <c r="I281" i="16"/>
  <c r="H281" i="17" s="1"/>
  <c r="J228" i="16"/>
  <c r="AA167" i="16"/>
  <c r="Z167" i="16" s="1"/>
  <c r="Y167" i="16" s="1"/>
  <c r="J264" i="16"/>
  <c r="J239" i="16"/>
  <c r="J369" i="16"/>
  <c r="I151" i="16"/>
  <c r="H151" i="17" s="1"/>
  <c r="J273" i="16"/>
  <c r="J105" i="16"/>
  <c r="J45" i="16"/>
  <c r="J80" i="16"/>
  <c r="J53" i="16"/>
  <c r="J255" i="16"/>
  <c r="J98" i="16"/>
  <c r="J123" i="16"/>
  <c r="J90" i="16"/>
  <c r="I61" i="16"/>
  <c r="H61" i="17" s="1"/>
  <c r="I176" i="16"/>
  <c r="AK13" i="15"/>
  <c r="J149" i="16"/>
  <c r="J70" i="16"/>
  <c r="I36" i="16"/>
  <c r="H36" i="17" s="1"/>
  <c r="I85" i="16"/>
  <c r="J128" i="16"/>
  <c r="I110" i="16"/>
  <c r="H110" i="17" s="1"/>
  <c r="J133" i="16"/>
  <c r="I331" i="16"/>
  <c r="H331" i="17" s="1"/>
  <c r="J258" i="16"/>
  <c r="I117" i="16"/>
  <c r="H117" i="17" s="1"/>
  <c r="I29" i="16"/>
  <c r="J195" i="16"/>
  <c r="I342" i="16"/>
  <c r="J272" i="16"/>
  <c r="J356" i="16"/>
  <c r="G167" i="16"/>
  <c r="BY167" i="6" s="1"/>
  <c r="G173" i="16"/>
  <c r="BY173" i="6" s="1"/>
  <c r="H173" i="16"/>
  <c r="AA173" i="16"/>
  <c r="Z173" i="16" s="1"/>
  <c r="Y173" i="16" s="1"/>
  <c r="AA211" i="16"/>
  <c r="Z211" i="16" s="1"/>
  <c r="Y211" i="16" s="1"/>
  <c r="G211" i="16"/>
  <c r="BY211" i="6" s="1"/>
  <c r="H211" i="16"/>
  <c r="G121" i="16"/>
  <c r="BY121" i="6" s="1"/>
  <c r="AA121" i="16"/>
  <c r="Z121" i="16" s="1"/>
  <c r="Y121" i="16" s="1"/>
  <c r="H121" i="16"/>
  <c r="AA55" i="16"/>
  <c r="Z55" i="16" s="1"/>
  <c r="Y55" i="16" s="1"/>
  <c r="H55" i="16"/>
  <c r="G55" i="16"/>
  <c r="BY55" i="6" s="1"/>
  <c r="H17" i="16"/>
  <c r="G17" i="16"/>
  <c r="BY17" i="6" s="1"/>
  <c r="AA17" i="16"/>
  <c r="Z17" i="16" s="1"/>
  <c r="Y17" i="16" s="1"/>
  <c r="G186" i="16"/>
  <c r="BY186" i="6" s="1"/>
  <c r="AA186" i="16"/>
  <c r="Z186" i="16" s="1"/>
  <c r="Y186" i="16" s="1"/>
  <c r="G328" i="16"/>
  <c r="BY328" i="6" s="1"/>
  <c r="H328" i="16"/>
  <c r="AA328" i="16"/>
  <c r="Z328" i="16" s="1"/>
  <c r="Y328" i="16" s="1"/>
  <c r="G65" i="16"/>
  <c r="BY65" i="6" s="1"/>
  <c r="AA65" i="16"/>
  <c r="Z65" i="16" s="1"/>
  <c r="Y65" i="16" s="1"/>
  <c r="H65" i="16"/>
  <c r="G147" i="16"/>
  <c r="BY147" i="6" s="1"/>
  <c r="H147" i="16"/>
  <c r="AA147" i="16"/>
  <c r="Z147" i="16" s="1"/>
  <c r="Y147" i="16" s="1"/>
  <c r="AA234" i="16"/>
  <c r="Z234" i="16" s="1"/>
  <c r="Y234" i="16" s="1"/>
  <c r="G234" i="16"/>
  <c r="BY234" i="6" s="1"/>
  <c r="H234" i="16"/>
  <c r="G232" i="16"/>
  <c r="BY232" i="6" s="1"/>
  <c r="AA232" i="16"/>
  <c r="Z232" i="16" s="1"/>
  <c r="Y232" i="16" s="1"/>
  <c r="H232" i="16"/>
  <c r="AA81" i="16"/>
  <c r="Z81" i="16" s="1"/>
  <c r="Y81" i="16" s="1"/>
  <c r="G81" i="16"/>
  <c r="BY81" i="6" s="1"/>
  <c r="H81" i="16"/>
  <c r="G335" i="16"/>
  <c r="BY335" i="6" s="1"/>
  <c r="AA335" i="16"/>
  <c r="Z335" i="16" s="1"/>
  <c r="Y335" i="16" s="1"/>
  <c r="H335" i="16"/>
  <c r="G314" i="16"/>
  <c r="BY314" i="6" s="1"/>
  <c r="H314" i="16"/>
  <c r="AA314" i="16"/>
  <c r="Z314" i="16" s="1"/>
  <c r="Y314" i="16" s="1"/>
  <c r="G153" i="16"/>
  <c r="BY153" i="6" s="1"/>
  <c r="H153" i="16"/>
  <c r="AA153" i="16"/>
  <c r="Z153" i="16" s="1"/>
  <c r="Y153" i="16" s="1"/>
  <c r="AA301" i="16"/>
  <c r="Z301" i="16" s="1"/>
  <c r="Y301" i="16" s="1"/>
  <c r="H301" i="16"/>
  <c r="G301" i="16"/>
  <c r="BY301" i="6" s="1"/>
  <c r="G260" i="16"/>
  <c r="BY260" i="6" s="1"/>
  <c r="AA260" i="16"/>
  <c r="Z260" i="16" s="1"/>
  <c r="Y260" i="16" s="1"/>
  <c r="H260" i="16"/>
  <c r="G160" i="16"/>
  <c r="BY160" i="6" s="1"/>
  <c r="H160" i="16"/>
  <c r="AA160" i="16"/>
  <c r="Z160" i="16" s="1"/>
  <c r="Y160" i="16" s="1"/>
  <c r="H341" i="16"/>
  <c r="AA341" i="16"/>
  <c r="Z341" i="16" s="1"/>
  <c r="Y341" i="16" s="1"/>
  <c r="G341" i="16"/>
  <c r="BY341" i="6" s="1"/>
  <c r="AA170" i="16"/>
  <c r="Z170" i="16" s="1"/>
  <c r="Y170" i="16" s="1"/>
  <c r="H170" i="16"/>
  <c r="G170" i="16"/>
  <c r="BY170" i="6" s="1"/>
  <c r="G165" i="16"/>
  <c r="BY165" i="6" s="1"/>
  <c r="H165" i="16"/>
  <c r="AA165" i="16"/>
  <c r="Z165" i="16" s="1"/>
  <c r="Y165" i="16" s="1"/>
  <c r="G352" i="16"/>
  <c r="BY352" i="6" s="1"/>
  <c r="AA352" i="16"/>
  <c r="Z352" i="16" s="1"/>
  <c r="Y352" i="16" s="1"/>
  <c r="H352" i="16"/>
  <c r="AA351" i="16"/>
  <c r="Z351" i="16" s="1"/>
  <c r="Y351" i="16" s="1"/>
  <c r="G351" i="16"/>
  <c r="BY351" i="6" s="1"/>
  <c r="H351" i="16"/>
  <c r="AA370" i="16"/>
  <c r="Z370" i="16" s="1"/>
  <c r="Y370" i="16" s="1"/>
  <c r="H370" i="16"/>
  <c r="G370" i="16"/>
  <c r="BY370" i="6" s="1"/>
  <c r="AA140" i="16"/>
  <c r="Z140" i="16" s="1"/>
  <c r="Y140" i="16" s="1"/>
  <c r="G140" i="16"/>
  <c r="BY140" i="6" s="1"/>
  <c r="H140" i="16"/>
  <c r="H377" i="16"/>
  <c r="AA377" i="16"/>
  <c r="Z377" i="16" s="1"/>
  <c r="Y377" i="16" s="1"/>
  <c r="G377" i="16"/>
  <c r="BY377" i="6" s="1"/>
  <c r="AA282" i="16"/>
  <c r="Z282" i="16" s="1"/>
  <c r="Y282" i="16" s="1"/>
  <c r="G282" i="16"/>
  <c r="BY282" i="6" s="1"/>
  <c r="AA276" i="16"/>
  <c r="Z276" i="16" s="1"/>
  <c r="Y276" i="16" s="1"/>
  <c r="G276" i="16"/>
  <c r="BY276" i="6" s="1"/>
  <c r="H276" i="16"/>
  <c r="G162" i="16"/>
  <c r="BY162" i="6" s="1"/>
  <c r="H162" i="16"/>
  <c r="AA162" i="16"/>
  <c r="Z162" i="16" s="1"/>
  <c r="Y162" i="16" s="1"/>
  <c r="G204" i="16"/>
  <c r="BY204" i="6" s="1"/>
  <c r="AA204" i="16"/>
  <c r="Z204" i="16" s="1"/>
  <c r="Y204" i="16" s="1"/>
  <c r="H204" i="16"/>
  <c r="AA161" i="16"/>
  <c r="Z161" i="16" s="1"/>
  <c r="Y161" i="16" s="1"/>
  <c r="H161" i="16"/>
  <c r="G161" i="16"/>
  <c r="BY161" i="6" s="1"/>
  <c r="G221" i="16"/>
  <c r="BY221" i="6" s="1"/>
  <c r="H221" i="16"/>
  <c r="AA221" i="16"/>
  <c r="Z221" i="16" s="1"/>
  <c r="Y221" i="16" s="1"/>
  <c r="H267" i="16"/>
  <c r="G267" i="16"/>
  <c r="BY267" i="6" s="1"/>
  <c r="AA267" i="16"/>
  <c r="Z267" i="16" s="1"/>
  <c r="Y267" i="16" s="1"/>
  <c r="G107" i="16"/>
  <c r="BY107" i="6" s="1"/>
  <c r="AA107" i="16"/>
  <c r="Z107" i="16" s="1"/>
  <c r="Y107" i="16" s="1"/>
  <c r="H107" i="16"/>
  <c r="AA57" i="16"/>
  <c r="Z57" i="16" s="1"/>
  <c r="Y57" i="16" s="1"/>
  <c r="H57" i="16"/>
  <c r="G57" i="16"/>
  <c r="BY57" i="6" s="1"/>
  <c r="G261" i="16"/>
  <c r="BY261" i="6" s="1"/>
  <c r="AA261" i="16"/>
  <c r="Z261" i="16" s="1"/>
  <c r="Y261" i="16" s="1"/>
  <c r="H261" i="16"/>
  <c r="AA215" i="16"/>
  <c r="Z215" i="16" s="1"/>
  <c r="Y215" i="16" s="1"/>
  <c r="G215" i="16"/>
  <c r="BY215" i="6" s="1"/>
  <c r="H215" i="16"/>
  <c r="H131" i="16"/>
  <c r="AA131" i="16"/>
  <c r="Z131" i="16" s="1"/>
  <c r="Y131" i="16" s="1"/>
  <c r="G131" i="16"/>
  <c r="BY131" i="6" s="1"/>
  <c r="G271" i="16"/>
  <c r="BY271" i="6" s="1"/>
  <c r="AA271" i="16"/>
  <c r="Z271" i="16" s="1"/>
  <c r="Y271" i="16" s="1"/>
  <c r="H271" i="16"/>
  <c r="AA135" i="16"/>
  <c r="Z135" i="16" s="1"/>
  <c r="Y135" i="16" s="1"/>
  <c r="G135" i="16"/>
  <c r="BY135" i="6" s="1"/>
  <c r="H135" i="16"/>
  <c r="AA72" i="16"/>
  <c r="Z72" i="16" s="1"/>
  <c r="Y72" i="16" s="1"/>
  <c r="H72" i="16"/>
  <c r="G72" i="16"/>
  <c r="BY72" i="6" s="1"/>
  <c r="AA251" i="16"/>
  <c r="Z251" i="16" s="1"/>
  <c r="Y251" i="16" s="1"/>
  <c r="G251" i="16"/>
  <c r="BY251" i="6" s="1"/>
  <c r="H251" i="16"/>
  <c r="AA307" i="16"/>
  <c r="Z307" i="16" s="1"/>
  <c r="Y307" i="16" s="1"/>
  <c r="G307" i="16"/>
  <c r="BY307" i="6" s="1"/>
  <c r="H307" i="16"/>
  <c r="AA71" i="16"/>
  <c r="Z71" i="16" s="1"/>
  <c r="Y71" i="16" s="1"/>
  <c r="H71" i="16"/>
  <c r="G71" i="16"/>
  <c r="BY71" i="6" s="1"/>
  <c r="AA332" i="16"/>
  <c r="Z332" i="16" s="1"/>
  <c r="Y332" i="16" s="1"/>
  <c r="G332" i="16"/>
  <c r="BY332" i="6" s="1"/>
  <c r="G313" i="16"/>
  <c r="BY313" i="6" s="1"/>
  <c r="AA313" i="16"/>
  <c r="Z313" i="16" s="1"/>
  <c r="Y313" i="16" s="1"/>
  <c r="H313" i="16"/>
  <c r="AA130" i="16"/>
  <c r="Z130" i="16" s="1"/>
  <c r="Y130" i="16" s="1"/>
  <c r="G130" i="16"/>
  <c r="BY130" i="6" s="1"/>
  <c r="H130" i="16"/>
  <c r="H202" i="16"/>
  <c r="AA202" i="16"/>
  <c r="Z202" i="16" s="1"/>
  <c r="Y202" i="16" s="1"/>
  <c r="G202" i="16"/>
  <c r="BY202" i="6" s="1"/>
  <c r="G366" i="16"/>
  <c r="BY366" i="6" s="1"/>
  <c r="H366" i="16"/>
  <c r="AA366" i="16"/>
  <c r="Z366" i="16" s="1"/>
  <c r="Y366" i="16" s="1"/>
  <c r="G66" i="16"/>
  <c r="BY66" i="6" s="1"/>
  <c r="AA66" i="16"/>
  <c r="Z66" i="16" s="1"/>
  <c r="Y66" i="16" s="1"/>
  <c r="H66" i="16"/>
  <c r="H326" i="16"/>
  <c r="AA326" i="16"/>
  <c r="Z326" i="16" s="1"/>
  <c r="Y326" i="16" s="1"/>
  <c r="G326" i="16"/>
  <c r="BY326" i="6" s="1"/>
  <c r="AA368" i="16"/>
  <c r="Z368" i="16" s="1"/>
  <c r="Y368" i="16" s="1"/>
  <c r="H368" i="16"/>
  <c r="G368" i="16"/>
  <c r="BY368" i="6" s="1"/>
  <c r="G245" i="16"/>
  <c r="BY245" i="6" s="1"/>
  <c r="H245" i="16"/>
  <c r="AA245" i="16"/>
  <c r="Z245" i="16" s="1"/>
  <c r="Y245" i="16" s="1"/>
  <c r="G203" i="16"/>
  <c r="BY203" i="6" s="1"/>
  <c r="H203" i="16"/>
  <c r="AA203" i="16"/>
  <c r="Z203" i="16" s="1"/>
  <c r="Y203" i="16" s="1"/>
  <c r="H235" i="16"/>
  <c r="AA235" i="16"/>
  <c r="Z235" i="16" s="1"/>
  <c r="Y235" i="16" s="1"/>
  <c r="G235" i="16"/>
  <c r="BY235" i="6" s="1"/>
  <c r="AA146" i="16"/>
  <c r="Z146" i="16" s="1"/>
  <c r="Y146" i="16" s="1"/>
  <c r="G146" i="16"/>
  <c r="BY146" i="6" s="1"/>
  <c r="H146" i="16"/>
  <c r="G22" i="16"/>
  <c r="BY22" i="6" s="1"/>
  <c r="H22" i="16"/>
  <c r="AA22" i="16"/>
  <c r="Z22" i="16" s="1"/>
  <c r="Y22" i="16" s="1"/>
  <c r="AA278" i="16"/>
  <c r="Z278" i="16" s="1"/>
  <c r="Y278" i="16" s="1"/>
  <c r="H278" i="16"/>
  <c r="G278" i="16"/>
  <c r="BY278" i="6" s="1"/>
  <c r="H50" i="16"/>
  <c r="G50" i="16"/>
  <c r="BY50" i="6" s="1"/>
  <c r="AA50" i="16"/>
  <c r="Z50" i="16" s="1"/>
  <c r="Y50" i="16" s="1"/>
  <c r="AA375" i="16"/>
  <c r="Z375" i="16" s="1"/>
  <c r="Y375" i="16" s="1"/>
  <c r="H375" i="16"/>
  <c r="G375" i="16"/>
  <c r="BY375" i="6" s="1"/>
  <c r="G364" i="16"/>
  <c r="BY364" i="6" s="1"/>
  <c r="AA364" i="16"/>
  <c r="Z364" i="16" s="1"/>
  <c r="Y364" i="16" s="1"/>
  <c r="H364" i="16"/>
  <c r="H108" i="16"/>
  <c r="AA108" i="16"/>
  <c r="Z108" i="16" s="1"/>
  <c r="Y108" i="16" s="1"/>
  <c r="G108" i="16"/>
  <c r="BY108" i="6" s="1"/>
  <c r="AA124" i="16"/>
  <c r="Z124" i="16" s="1"/>
  <c r="Y124" i="16" s="1"/>
  <c r="H124" i="16"/>
  <c r="G124" i="16"/>
  <c r="BY124" i="6" s="1"/>
  <c r="AA257" i="16"/>
  <c r="Z257" i="16" s="1"/>
  <c r="Y257" i="16" s="1"/>
  <c r="H257" i="16"/>
  <c r="G257" i="16"/>
  <c r="BY257" i="6" s="1"/>
  <c r="H32" i="16"/>
  <c r="G32" i="16"/>
  <c r="BY32" i="6" s="1"/>
  <c r="AA32" i="16"/>
  <c r="Z32" i="16" s="1"/>
  <c r="Y32" i="16" s="1"/>
  <c r="AA330" i="16"/>
  <c r="Z330" i="16" s="1"/>
  <c r="Y330" i="16" s="1"/>
  <c r="G330" i="16"/>
  <c r="BY330" i="6" s="1"/>
  <c r="H330" i="16"/>
  <c r="G337" i="16"/>
  <c r="BY337" i="6" s="1"/>
  <c r="AA337" i="16"/>
  <c r="Z337" i="16" s="1"/>
  <c r="Y337" i="16" s="1"/>
  <c r="H337" i="16"/>
  <c r="G198" i="16"/>
  <c r="BY198" i="6" s="1"/>
  <c r="AA198" i="16"/>
  <c r="Z198" i="16" s="1"/>
  <c r="Y198" i="16" s="1"/>
  <c r="H198" i="16"/>
  <c r="AA136" i="16"/>
  <c r="Z136" i="16" s="1"/>
  <c r="Y136" i="16" s="1"/>
  <c r="H136" i="16"/>
  <c r="G136" i="16"/>
  <c r="BY136" i="6" s="1"/>
  <c r="H244" i="16"/>
  <c r="AA244" i="16"/>
  <c r="Z244" i="16" s="1"/>
  <c r="Y244" i="16" s="1"/>
  <c r="G244" i="16"/>
  <c r="BY244" i="6" s="1"/>
  <c r="AA345" i="16"/>
  <c r="Z345" i="16" s="1"/>
  <c r="Y345" i="16" s="1"/>
  <c r="H345" i="16"/>
  <c r="G345" i="16"/>
  <c r="BY345" i="6" s="1"/>
  <c r="G41" i="16"/>
  <c r="BY41" i="6" s="1"/>
  <c r="AA41" i="16"/>
  <c r="Z41" i="16" s="1"/>
  <c r="Y41" i="16" s="1"/>
  <c r="H41" i="16"/>
  <c r="H163" i="16"/>
  <c r="AA163" i="16"/>
  <c r="Z163" i="16" s="1"/>
  <c r="Y163" i="16" s="1"/>
  <c r="G163" i="16"/>
  <c r="BY163" i="6" s="1"/>
  <c r="G77" i="16"/>
  <c r="BY77" i="6" s="1"/>
  <c r="AA77" i="16"/>
  <c r="Z77" i="16" s="1"/>
  <c r="Y77" i="16" s="1"/>
  <c r="H77" i="16"/>
  <c r="H34" i="16"/>
  <c r="AA34" i="16"/>
  <c r="Z34" i="16" s="1"/>
  <c r="Y34" i="16" s="1"/>
  <c r="G34" i="16"/>
  <c r="BY34" i="6" s="1"/>
  <c r="AA46" i="16"/>
  <c r="Z46" i="16" s="1"/>
  <c r="Y46" i="16" s="1"/>
  <c r="G46" i="16"/>
  <c r="BY46" i="6" s="1"/>
  <c r="H46" i="16"/>
  <c r="G148" i="16"/>
  <c r="BY148" i="6" s="1"/>
  <c r="AA148" i="16"/>
  <c r="Z148" i="16" s="1"/>
  <c r="Y148" i="16" s="1"/>
  <c r="H148" i="16"/>
  <c r="AA44" i="16"/>
  <c r="Z44" i="16" s="1"/>
  <c r="Y44" i="16" s="1"/>
  <c r="H44" i="16"/>
  <c r="G44" i="16"/>
  <c r="BY44" i="6" s="1"/>
  <c r="H116" i="16"/>
  <c r="AA116" i="16"/>
  <c r="Z116" i="16" s="1"/>
  <c r="Y116" i="16" s="1"/>
  <c r="G116" i="16"/>
  <c r="BY116" i="6" s="1"/>
  <c r="G118" i="16"/>
  <c r="BY118" i="6" s="1"/>
  <c r="AA118" i="16"/>
  <c r="Z118" i="16" s="1"/>
  <c r="Y118" i="16" s="1"/>
  <c r="H118" i="16"/>
  <c r="G37" i="16"/>
  <c r="BY37" i="6" s="1"/>
  <c r="H37" i="16"/>
  <c r="AA37" i="16"/>
  <c r="Z37" i="16" s="1"/>
  <c r="Y37" i="16" s="1"/>
  <c r="AC245" i="20"/>
  <c r="AC271" i="20"/>
  <c r="AC352" i="20"/>
  <c r="AC301" i="20"/>
  <c r="AC204" i="20"/>
  <c r="AC160" i="20"/>
  <c r="AC309" i="20"/>
  <c r="AC248" i="20"/>
  <c r="AC164" i="20"/>
  <c r="AC342" i="20"/>
  <c r="AC194" i="20"/>
  <c r="AC183" i="20"/>
  <c r="AC335" i="20"/>
  <c r="AC159" i="20"/>
  <c r="AC359" i="20"/>
  <c r="AC298" i="20"/>
  <c r="AC168" i="20"/>
  <c r="AC265" i="20"/>
  <c r="AC156" i="20"/>
  <c r="AC147" i="20"/>
  <c r="AC322" i="20"/>
  <c r="AC218" i="20"/>
  <c r="I112" i="16"/>
  <c r="J78" i="16"/>
  <c r="I25" i="16"/>
  <c r="H25" i="17" s="1"/>
  <c r="J129" i="16"/>
  <c r="J119" i="16"/>
  <c r="I324" i="16"/>
  <c r="J51" i="16"/>
  <c r="J253" i="16"/>
  <c r="I191" i="16"/>
  <c r="H191" i="17" s="1"/>
  <c r="J360" i="16"/>
  <c r="I270" i="16"/>
  <c r="J363" i="16"/>
  <c r="J374" i="16"/>
  <c r="I333" i="16"/>
  <c r="H333" i="17" s="1"/>
  <c r="AC219" i="20"/>
  <c r="AC319" i="20"/>
  <c r="AC350" i="20"/>
  <c r="AC379" i="20"/>
  <c r="AC315" i="20"/>
  <c r="AC272" i="20"/>
  <c r="AC212" i="20"/>
  <c r="AC155" i="20"/>
  <c r="AC328" i="20"/>
  <c r="AC192" i="20"/>
  <c r="AC349" i="20"/>
  <c r="AC318" i="20"/>
  <c r="AC345" i="20"/>
  <c r="AC327" i="20"/>
  <c r="AC374" i="20"/>
  <c r="AC163" i="20"/>
  <c r="AC324" i="20"/>
  <c r="AC137" i="20"/>
  <c r="AC284" i="20"/>
  <c r="AC280" i="20"/>
  <c r="AC377" i="20"/>
  <c r="AC177" i="20"/>
  <c r="AC288" i="20"/>
  <c r="AC358" i="20"/>
  <c r="AC171" i="20"/>
  <c r="AC258" i="20"/>
  <c r="AC306" i="20"/>
  <c r="AC140" i="20"/>
  <c r="AC179" i="20"/>
  <c r="AC152" i="20"/>
  <c r="AC143" i="20"/>
  <c r="AC366" i="20"/>
  <c r="AC281" i="20"/>
  <c r="AC202" i="20"/>
  <c r="AC334" i="20"/>
  <c r="AC310" i="20"/>
  <c r="AC10" i="22"/>
  <c r="AC249" i="22" s="1"/>
  <c r="AC332" i="20"/>
  <c r="AC370" i="20"/>
  <c r="AC325" i="20"/>
  <c r="AC213" i="20"/>
  <c r="AC344" i="20"/>
  <c r="AC195" i="20"/>
  <c r="AC254" i="20"/>
  <c r="AC182" i="20"/>
  <c r="AC285" i="20"/>
  <c r="AC297" i="20"/>
  <c r="AC236" i="20"/>
  <c r="AC187" i="20"/>
  <c r="AC259" i="20"/>
  <c r="AC157" i="20"/>
  <c r="AC303" i="20"/>
  <c r="AC201" i="20"/>
  <c r="AC247" i="20"/>
  <c r="AC158" i="20"/>
  <c r="AC275" i="20"/>
  <c r="AC170" i="20"/>
  <c r="AC224" i="20"/>
  <c r="AC304" i="20"/>
  <c r="AC230" i="20"/>
  <c r="AC277" i="20"/>
  <c r="AC210" i="20"/>
  <c r="AC211" i="20"/>
  <c r="AC251" i="20"/>
  <c r="AC226" i="20"/>
  <c r="AC186" i="20"/>
  <c r="AC317" i="20"/>
  <c r="AC242" i="20"/>
  <c r="AC294" i="20"/>
  <c r="AC193" i="20"/>
  <c r="AC368" i="20"/>
  <c r="AC135" i="20"/>
  <c r="AC229" i="20"/>
  <c r="AC341" i="20"/>
  <c r="AC139" i="20"/>
  <c r="AC208" i="20"/>
  <c r="AC375" i="22"/>
  <c r="AC365" i="20"/>
  <c r="AC268" i="20"/>
  <c r="AC320" i="20"/>
  <c r="AC216" i="20"/>
  <c r="AC188" i="20"/>
  <c r="AC232" i="20"/>
  <c r="AC176" i="20"/>
  <c r="AC134" i="20"/>
  <c r="AC206" i="20"/>
  <c r="AC314" i="20"/>
  <c r="AC181" i="20"/>
  <c r="AC239" i="20"/>
  <c r="AC172" i="20"/>
  <c r="AC225" i="20"/>
  <c r="AC362" i="20"/>
  <c r="AC244" i="20"/>
  <c r="AC291" i="20"/>
  <c r="AC180" i="20"/>
  <c r="AC372" i="20"/>
  <c r="AC273" i="20"/>
  <c r="AC249" i="20"/>
  <c r="AC278" i="20"/>
  <c r="AC148" i="20"/>
  <c r="AC299" i="20"/>
  <c r="AC346" i="20"/>
  <c r="AC367" i="20"/>
  <c r="AC228" i="20"/>
  <c r="AC364" i="20"/>
  <c r="AC154" i="20"/>
  <c r="AC173" i="20"/>
  <c r="AC295" i="20"/>
  <c r="AC189" i="20"/>
  <c r="AC337" i="20"/>
  <c r="AC174" i="20"/>
  <c r="AC363" i="20"/>
  <c r="AC257" i="20"/>
  <c r="AC305" i="20"/>
  <c r="AC167" i="20"/>
  <c r="AC339" i="20"/>
  <c r="AC340" i="20"/>
  <c r="AC260" i="20"/>
  <c r="AC313" i="20"/>
  <c r="AC214" i="20"/>
  <c r="AC238" i="20"/>
  <c r="AC227" i="20"/>
  <c r="AC185" i="20"/>
  <c r="AC338" i="20"/>
  <c r="AC269" i="20"/>
  <c r="AC209" i="20"/>
  <c r="AC178" i="20"/>
  <c r="AC161" i="20"/>
  <c r="AC296" i="20"/>
  <c r="AC361" i="20"/>
  <c r="AC355" i="20"/>
  <c r="AC348" i="20"/>
  <c r="AC373" i="20"/>
  <c r="AC149" i="20"/>
  <c r="AC144" i="20"/>
  <c r="AC333" i="20"/>
  <c r="AC252" i="20"/>
  <c r="AC240" i="20"/>
  <c r="AC286" i="20"/>
  <c r="AC207" i="20"/>
  <c r="AC274" i="20"/>
  <c r="AC261" i="20"/>
  <c r="AC267" i="20"/>
  <c r="AC222" i="20"/>
  <c r="AC262" i="20"/>
  <c r="AC307" i="20"/>
  <c r="AC326" i="20"/>
  <c r="AC235" i="20"/>
  <c r="AC166" i="20"/>
  <c r="AC197" i="20"/>
  <c r="AC263" i="20"/>
  <c r="AC175" i="20"/>
  <c r="AC347" i="20"/>
  <c r="AC151" i="20"/>
  <c r="AC343" i="20"/>
  <c r="AC145" i="20"/>
  <c r="AC231" i="20"/>
  <c r="AC353" i="20"/>
  <c r="AC369" i="20"/>
  <c r="AC264" i="20"/>
  <c r="AC199" i="20"/>
  <c r="AC243" i="20"/>
  <c r="AC234" i="20"/>
  <c r="AC196" i="20"/>
  <c r="AC223" i="20"/>
  <c r="AC256" i="20"/>
  <c r="AC287" i="20"/>
  <c r="AC169" i="20"/>
  <c r="AC184" i="20"/>
  <c r="AC302" i="20"/>
  <c r="AC150" i="20"/>
  <c r="AC221" i="20"/>
  <c r="AC246" i="20"/>
  <c r="AC253" i="20"/>
  <c r="AC354" i="20"/>
  <c r="AC233" i="20"/>
  <c r="AC276" i="20"/>
  <c r="AC138" i="20"/>
  <c r="AC215" i="20"/>
  <c r="AC311" i="20"/>
  <c r="AC331" i="20"/>
  <c r="AC323" i="20"/>
  <c r="AC136" i="20"/>
  <c r="AC371" i="20"/>
  <c r="AC165" i="20"/>
  <c r="AC351" i="20"/>
  <c r="AC153" i="20"/>
  <c r="AC146" i="20"/>
  <c r="AC220" i="20"/>
  <c r="AC376" i="20"/>
  <c r="AC141" i="20"/>
  <c r="AC250" i="20"/>
  <c r="AC357" i="20"/>
  <c r="AC336" i="20"/>
  <c r="AC237" i="20"/>
  <c r="AC308" i="20"/>
  <c r="AC360" i="20"/>
  <c r="H106" i="16"/>
  <c r="I106" i="16" s="1"/>
  <c r="H106" i="17" s="1"/>
  <c r="I302" i="16"/>
  <c r="I241" i="16"/>
  <c r="AA106" i="16"/>
  <c r="Z106" i="16" s="1"/>
  <c r="Y106" i="16" s="1"/>
  <c r="F37" i="19"/>
  <c r="C13" i="19"/>
  <c r="AC316" i="20"/>
  <c r="AC104" i="22"/>
  <c r="AC111" i="22"/>
  <c r="AC44" i="22"/>
  <c r="AC82" i="22"/>
  <c r="AC50" i="22"/>
  <c r="AC48" i="22"/>
  <c r="AC94" i="22"/>
  <c r="AC51" i="22"/>
  <c r="AC68" i="22"/>
  <c r="AC34" i="22"/>
  <c r="AC130" i="22"/>
  <c r="AC43" i="22"/>
  <c r="AC114" i="22"/>
  <c r="AC24" i="22"/>
  <c r="AC78" i="22"/>
  <c r="AC20" i="22"/>
  <c r="AC106" i="22"/>
  <c r="AC83" i="22"/>
  <c r="AC112" i="22"/>
  <c r="AC35" i="22"/>
  <c r="AC72" i="22"/>
  <c r="AC107" i="22"/>
  <c r="AC128" i="22"/>
  <c r="AC117" i="22"/>
  <c r="AC100" i="22"/>
  <c r="AC41" i="22"/>
  <c r="AC93" i="22"/>
  <c r="AC79" i="22"/>
  <c r="AC16" i="22"/>
  <c r="AC54" i="22"/>
  <c r="AC49" i="22"/>
  <c r="AC60" i="22"/>
  <c r="AC120" i="22"/>
  <c r="AC46" i="22"/>
  <c r="AC58" i="22"/>
  <c r="AC55" i="22"/>
  <c r="AC47" i="22"/>
  <c r="AC85" i="22"/>
  <c r="AC39" i="22"/>
  <c r="AC92" i="22"/>
  <c r="AC87" i="22"/>
  <c r="AC42" i="22"/>
  <c r="AC91" i="22"/>
  <c r="AC23" i="22"/>
  <c r="AC113" i="22"/>
  <c r="AC69" i="22"/>
  <c r="AC129" i="22"/>
  <c r="AC109" i="22"/>
  <c r="AC115" i="22"/>
  <c r="AC110" i="22"/>
  <c r="AC53" i="22"/>
  <c r="AC99" i="22"/>
  <c r="AC118" i="22"/>
  <c r="AC67" i="22"/>
  <c r="AC97" i="22"/>
  <c r="AC101" i="22"/>
  <c r="AC26" i="22"/>
  <c r="AC17" i="22"/>
  <c r="AC95" i="22"/>
  <c r="AC30" i="22"/>
  <c r="AC45" i="22"/>
  <c r="AC122" i="22"/>
  <c r="AC132" i="22"/>
  <c r="AC40" i="22"/>
  <c r="AC31" i="22"/>
  <c r="AC52" i="22"/>
  <c r="AC124" i="22"/>
  <c r="AC56" i="22"/>
  <c r="AC119" i="22"/>
  <c r="AC66" i="22"/>
  <c r="AC19" i="22"/>
  <c r="AC105" i="22"/>
  <c r="AC21" i="22"/>
  <c r="AC125" i="22"/>
  <c r="AC27" i="22"/>
  <c r="AC25" i="22"/>
  <c r="AC88" i="22"/>
  <c r="AC73" i="22"/>
  <c r="AC131" i="22"/>
  <c r="AC77" i="22"/>
  <c r="AC84" i="22"/>
  <c r="AC108" i="22"/>
  <c r="AC62" i="22"/>
  <c r="AC80" i="22"/>
  <c r="AC102" i="22"/>
  <c r="AC29" i="22"/>
  <c r="AC127" i="22"/>
  <c r="AC86" i="22"/>
  <c r="AC76" i="22"/>
  <c r="AC116" i="22"/>
  <c r="AC96" i="22"/>
  <c r="AC63" i="22"/>
  <c r="AC65" i="22"/>
  <c r="AC18" i="22"/>
  <c r="AC15" i="22"/>
  <c r="AC98" i="22"/>
  <c r="AC61" i="22"/>
  <c r="AC75" i="22"/>
  <c r="AC59" i="22"/>
  <c r="AC38" i="22"/>
  <c r="AC103" i="22"/>
  <c r="AC22" i="22"/>
  <c r="AC81" i="22"/>
  <c r="AC90" i="22"/>
  <c r="AC123" i="22"/>
  <c r="AC70" i="22"/>
  <c r="AC121" i="22"/>
  <c r="AC134" i="22"/>
  <c r="AC64" i="22"/>
  <c r="AC36" i="22"/>
  <c r="AC74" i="22"/>
  <c r="AC33" i="22"/>
  <c r="AC133" i="22"/>
  <c r="AC37" i="22"/>
  <c r="AC28" i="22"/>
  <c r="AC57" i="22"/>
  <c r="AC126" i="22"/>
  <c r="AC71" i="22"/>
  <c r="AC32" i="22"/>
  <c r="AC89" i="22"/>
  <c r="AC383" i="18"/>
  <c r="AC382" i="18"/>
  <c r="AC381" i="18"/>
  <c r="F38" i="19"/>
  <c r="C14" i="19"/>
  <c r="Q10" i="18"/>
  <c r="Q361" i="18" s="1"/>
  <c r="AA15" i="7"/>
  <c r="V195" i="17"/>
  <c r="F195" i="17" s="1"/>
  <c r="F11" i="19"/>
  <c r="D59" i="7"/>
  <c r="D56" i="7"/>
  <c r="D58" i="7"/>
  <c r="F29" i="17"/>
  <c r="T379" i="17"/>
  <c r="S379" i="17" s="1"/>
  <c r="R379" i="17" s="1"/>
  <c r="P379" i="17" s="1"/>
  <c r="V16" i="7"/>
  <c r="AB11" i="7" s="1"/>
  <c r="U11" i="18" s="1"/>
  <c r="D64" i="7"/>
  <c r="V210" i="17"/>
  <c r="H64" i="19" s="1"/>
  <c r="D66" i="7"/>
  <c r="V302" i="17"/>
  <c r="K64" i="19" s="1"/>
  <c r="V60" i="17"/>
  <c r="C64" i="19" s="1"/>
  <c r="F302" i="17"/>
  <c r="V180" i="17"/>
  <c r="F180" i="17" s="1"/>
  <c r="H180" i="17" s="1"/>
  <c r="F210" i="17"/>
  <c r="H210" i="17" s="1"/>
  <c r="D60" i="7"/>
  <c r="AE376" i="18"/>
  <c r="V363" i="17"/>
  <c r="F363" i="17" s="1"/>
  <c r="H363" i="17" s="1"/>
  <c r="V241" i="17"/>
  <c r="F241" i="17" s="1"/>
  <c r="G241" i="17" s="1"/>
  <c r="BZ241" i="6" s="1"/>
  <c r="AI12" i="18"/>
  <c r="AH379" i="17"/>
  <c r="AG379" i="17" s="1"/>
  <c r="AF379" i="17" s="1"/>
  <c r="AD379" i="17" s="1"/>
  <c r="U381" i="17"/>
  <c r="T15" i="17"/>
  <c r="U383" i="17"/>
  <c r="U382" i="17"/>
  <c r="AH15" i="17"/>
  <c r="AI382" i="17"/>
  <c r="AI383" i="17"/>
  <c r="AI381" i="17"/>
  <c r="AI11" i="18"/>
  <c r="AA16" i="7"/>
  <c r="J359" i="16"/>
  <c r="V383" i="15"/>
  <c r="AL6" i="1"/>
  <c r="AL12" i="1" s="1"/>
  <c r="Y382" i="1"/>
  <c r="Y383" i="1"/>
  <c r="Y381" i="1"/>
  <c r="X9" i="1"/>
  <c r="Z11" i="1" s="1"/>
  <c r="AM6" i="1"/>
  <c r="AM12" i="1" s="1"/>
  <c r="V381" i="15"/>
  <c r="G383" i="15"/>
  <c r="G12" i="15" s="1"/>
  <c r="G381" i="15"/>
  <c r="G382" i="15"/>
  <c r="G12" i="19"/>
  <c r="F11" i="15"/>
  <c r="AB9" i="15"/>
  <c r="AD382" i="16"/>
  <c r="AD381" i="16"/>
  <c r="AD383" i="16"/>
  <c r="J15" i="15"/>
  <c r="I15" i="15"/>
  <c r="AA382" i="15"/>
  <c r="AA9" i="15"/>
  <c r="AA383" i="15"/>
  <c r="AM8" i="15"/>
  <c r="AL10" i="15"/>
  <c r="Z15" i="15"/>
  <c r="AA381" i="15"/>
  <c r="AA361" i="17"/>
  <c r="Z361" i="17" s="1"/>
  <c r="Y361" i="17" s="1"/>
  <c r="H361" i="17"/>
  <c r="G361" i="17"/>
  <c r="BZ361" i="6" s="1"/>
  <c r="AA150" i="17"/>
  <c r="Z150" i="17" s="1"/>
  <c r="Y150" i="17" s="1"/>
  <c r="G150" i="17"/>
  <c r="BZ150" i="6" s="1"/>
  <c r="H150" i="17"/>
  <c r="G151" i="17"/>
  <c r="BZ151" i="6" s="1"/>
  <c r="AA151" i="17"/>
  <c r="Z151" i="17" s="1"/>
  <c r="Y151" i="17" s="1"/>
  <c r="G243" i="17"/>
  <c r="BZ243" i="6" s="1"/>
  <c r="AA243" i="17"/>
  <c r="Z243" i="17" s="1"/>
  <c r="Y243" i="17" s="1"/>
  <c r="H243" i="17"/>
  <c r="AA191" i="17"/>
  <c r="Z191" i="17" s="1"/>
  <c r="Y191" i="17" s="1"/>
  <c r="G191" i="17"/>
  <c r="BZ191" i="6" s="1"/>
  <c r="G257" i="17"/>
  <c r="BZ257" i="6" s="1"/>
  <c r="AA257" i="17"/>
  <c r="Z257" i="17" s="1"/>
  <c r="Y257" i="17" s="1"/>
  <c r="I259" i="16"/>
  <c r="J259" i="16"/>
  <c r="G275" i="17"/>
  <c r="BZ275" i="6" s="1"/>
  <c r="AA275" i="17"/>
  <c r="Z275" i="17" s="1"/>
  <c r="Y275" i="17" s="1"/>
  <c r="H285" i="17"/>
  <c r="AA285" i="17"/>
  <c r="Z285" i="17" s="1"/>
  <c r="Y285" i="17" s="1"/>
  <c r="G285" i="17"/>
  <c r="BZ285" i="6" s="1"/>
  <c r="AA303" i="17"/>
  <c r="Z303" i="17" s="1"/>
  <c r="Y303" i="17" s="1"/>
  <c r="G303" i="17"/>
  <c r="BZ303" i="6" s="1"/>
  <c r="H303" i="17"/>
  <c r="AA116" i="17"/>
  <c r="Z116" i="17" s="1"/>
  <c r="Y116" i="17" s="1"/>
  <c r="G116" i="17"/>
  <c r="BZ116" i="6" s="1"/>
  <c r="H74" i="17"/>
  <c r="G74" i="17"/>
  <c r="BZ74" i="6" s="1"/>
  <c r="AA74" i="17"/>
  <c r="Z74" i="17" s="1"/>
  <c r="Y74" i="17" s="1"/>
  <c r="G110" i="17"/>
  <c r="BZ110" i="6" s="1"/>
  <c r="AA110" i="17"/>
  <c r="Z110" i="17" s="1"/>
  <c r="Y110" i="17" s="1"/>
  <c r="AA25" i="17"/>
  <c r="Z25" i="17" s="1"/>
  <c r="Y25" i="17" s="1"/>
  <c r="G25" i="17"/>
  <c r="BZ25" i="6" s="1"/>
  <c r="AA236" i="17"/>
  <c r="Z236" i="17" s="1"/>
  <c r="Y236" i="17" s="1"/>
  <c r="H236" i="17"/>
  <c r="G236" i="17"/>
  <c r="BZ236" i="6" s="1"/>
  <c r="H237" i="17"/>
  <c r="AA237" i="17"/>
  <c r="Z237" i="17" s="1"/>
  <c r="Y237" i="17" s="1"/>
  <c r="G237" i="17"/>
  <c r="BZ237" i="6" s="1"/>
  <c r="G76" i="17"/>
  <c r="BZ76" i="6" s="1"/>
  <c r="AA76" i="17"/>
  <c r="Z76" i="17" s="1"/>
  <c r="Y76" i="17" s="1"/>
  <c r="H76" i="17"/>
  <c r="AA108" i="17"/>
  <c r="Z108" i="17" s="1"/>
  <c r="Y108" i="17" s="1"/>
  <c r="G108" i="17"/>
  <c r="BZ108" i="6" s="1"/>
  <c r="AA314" i="17"/>
  <c r="Z314" i="17" s="1"/>
  <c r="Y314" i="17" s="1"/>
  <c r="G314" i="17"/>
  <c r="BZ314" i="6" s="1"/>
  <c r="AA311" i="17"/>
  <c r="Z311" i="17" s="1"/>
  <c r="Y311" i="17" s="1"/>
  <c r="G311" i="17"/>
  <c r="BZ311" i="6" s="1"/>
  <c r="G374" i="17"/>
  <c r="BZ374" i="6" s="1"/>
  <c r="AA374" i="17"/>
  <c r="Z374" i="17" s="1"/>
  <c r="Y374" i="17" s="1"/>
  <c r="H374" i="17"/>
  <c r="AA99" i="17"/>
  <c r="Z99" i="17" s="1"/>
  <c r="Y99" i="17" s="1"/>
  <c r="H99" i="17"/>
  <c r="G99" i="17"/>
  <c r="BZ99" i="6" s="1"/>
  <c r="AA219" i="17"/>
  <c r="Z219" i="17" s="1"/>
  <c r="Y219" i="17" s="1"/>
  <c r="H219" i="17"/>
  <c r="G219" i="17"/>
  <c r="BZ219" i="6" s="1"/>
  <c r="AA117" i="17"/>
  <c r="Z117" i="17" s="1"/>
  <c r="Y117" i="17" s="1"/>
  <c r="G117" i="17"/>
  <c r="BZ117" i="6" s="1"/>
  <c r="H123" i="17"/>
  <c r="AA123" i="17"/>
  <c r="Z123" i="17" s="1"/>
  <c r="Y123" i="17" s="1"/>
  <c r="G123" i="17"/>
  <c r="BZ123" i="6" s="1"/>
  <c r="AA276" i="17"/>
  <c r="Z276" i="17" s="1"/>
  <c r="Y276" i="17" s="1"/>
  <c r="G276" i="17"/>
  <c r="BZ276" i="6" s="1"/>
  <c r="AA145" i="17"/>
  <c r="Z145" i="17" s="1"/>
  <c r="Y145" i="17" s="1"/>
  <c r="G145" i="17"/>
  <c r="BZ145" i="6" s="1"/>
  <c r="H145" i="17"/>
  <c r="G239" i="17"/>
  <c r="BZ239" i="6" s="1"/>
  <c r="AA239" i="17"/>
  <c r="Z239" i="17" s="1"/>
  <c r="Y239" i="17" s="1"/>
  <c r="H239" i="17"/>
  <c r="G373" i="17"/>
  <c r="BZ373" i="6" s="1"/>
  <c r="AA373" i="17"/>
  <c r="Z373" i="17" s="1"/>
  <c r="Y373" i="17" s="1"/>
  <c r="AA368" i="17"/>
  <c r="Z368" i="17" s="1"/>
  <c r="Y368" i="17" s="1"/>
  <c r="G368" i="17"/>
  <c r="BZ368" i="6" s="1"/>
  <c r="G255" i="17"/>
  <c r="BZ255" i="6" s="1"/>
  <c r="H255" i="17"/>
  <c r="AA255" i="17"/>
  <c r="Z255" i="17" s="1"/>
  <c r="Y255" i="17" s="1"/>
  <c r="H119" i="17"/>
  <c r="AA119" i="17"/>
  <c r="Z119" i="17" s="1"/>
  <c r="Y119" i="17" s="1"/>
  <c r="G119" i="17"/>
  <c r="BZ119" i="6" s="1"/>
  <c r="V383" i="16"/>
  <c r="V382" i="16"/>
  <c r="V381" i="16"/>
  <c r="B63" i="19"/>
  <c r="AA174" i="17"/>
  <c r="Z174" i="17" s="1"/>
  <c r="Y174" i="17" s="1"/>
  <c r="G174" i="17"/>
  <c r="BZ174" i="6" s="1"/>
  <c r="AA206" i="17"/>
  <c r="Z206" i="17" s="1"/>
  <c r="Y206" i="17" s="1"/>
  <c r="G206" i="17"/>
  <c r="BZ206" i="6" s="1"/>
  <c r="H206" i="17"/>
  <c r="AA140" i="17"/>
  <c r="Z140" i="17" s="1"/>
  <c r="Y140" i="17" s="1"/>
  <c r="G140" i="17"/>
  <c r="BZ140" i="6" s="1"/>
  <c r="AA364" i="17"/>
  <c r="Z364" i="17" s="1"/>
  <c r="Y364" i="17" s="1"/>
  <c r="G364" i="17"/>
  <c r="BZ364" i="6" s="1"/>
  <c r="AA23" i="17"/>
  <c r="Z23" i="17" s="1"/>
  <c r="Y23" i="17" s="1"/>
  <c r="G23" i="17"/>
  <c r="BZ23" i="6" s="1"/>
  <c r="H208" i="17"/>
  <c r="AA208" i="17"/>
  <c r="Z208" i="17" s="1"/>
  <c r="Y208" i="17" s="1"/>
  <c r="G208" i="17"/>
  <c r="BZ208" i="6" s="1"/>
  <c r="AA78" i="17"/>
  <c r="Z78" i="17" s="1"/>
  <c r="Y78" i="17" s="1"/>
  <c r="H78" i="17"/>
  <c r="G78" i="17"/>
  <c r="BZ78" i="6" s="1"/>
  <c r="G331" i="17"/>
  <c r="BZ331" i="6" s="1"/>
  <c r="AA331" i="17"/>
  <c r="Z331" i="17" s="1"/>
  <c r="Y331" i="17" s="1"/>
  <c r="G169" i="17"/>
  <c r="BZ169" i="6" s="1"/>
  <c r="AA169" i="17"/>
  <c r="Z169" i="17" s="1"/>
  <c r="Y169" i="17" s="1"/>
  <c r="H169" i="17"/>
  <c r="H349" i="17"/>
  <c r="AA349" i="17"/>
  <c r="Z349" i="17" s="1"/>
  <c r="Y349" i="17" s="1"/>
  <c r="G349" i="17"/>
  <c r="BZ349" i="6" s="1"/>
  <c r="G134" i="17"/>
  <c r="BZ134" i="6" s="1"/>
  <c r="AA134" i="17"/>
  <c r="Z134" i="17" s="1"/>
  <c r="Y134" i="17" s="1"/>
  <c r="G61" i="17"/>
  <c r="BZ61" i="6" s="1"/>
  <c r="AA61" i="17"/>
  <c r="Z61" i="17" s="1"/>
  <c r="Y61" i="17" s="1"/>
  <c r="AA343" i="17"/>
  <c r="Z343" i="17" s="1"/>
  <c r="Y343" i="17" s="1"/>
  <c r="G343" i="17"/>
  <c r="BZ343" i="6" s="1"/>
  <c r="H207" i="17"/>
  <c r="AA207" i="17"/>
  <c r="Z207" i="17" s="1"/>
  <c r="Y207" i="17" s="1"/>
  <c r="G207" i="17"/>
  <c r="BZ207" i="6" s="1"/>
  <c r="AA218" i="17"/>
  <c r="Z218" i="17" s="1"/>
  <c r="Y218" i="17" s="1"/>
  <c r="G218" i="17"/>
  <c r="BZ218" i="6" s="1"/>
  <c r="H218" i="17"/>
  <c r="G377" i="17"/>
  <c r="BZ377" i="6" s="1"/>
  <c r="AA377" i="17"/>
  <c r="Z377" i="17" s="1"/>
  <c r="Y377" i="17" s="1"/>
  <c r="G320" i="17"/>
  <c r="BZ320" i="6" s="1"/>
  <c r="AA320" i="17"/>
  <c r="Z320" i="17" s="1"/>
  <c r="Y320" i="17" s="1"/>
  <c r="H268" i="17"/>
  <c r="AA268" i="17"/>
  <c r="Z268" i="17" s="1"/>
  <c r="Y268" i="17" s="1"/>
  <c r="G268" i="17"/>
  <c r="BZ268" i="6" s="1"/>
  <c r="H214" i="17"/>
  <c r="AA214" i="17"/>
  <c r="Z214" i="17" s="1"/>
  <c r="Y214" i="17" s="1"/>
  <c r="G214" i="17"/>
  <c r="BZ214" i="6" s="1"/>
  <c r="AA46" i="17"/>
  <c r="Z46" i="17" s="1"/>
  <c r="Y46" i="17" s="1"/>
  <c r="G46" i="17"/>
  <c r="BZ46" i="6" s="1"/>
  <c r="AA80" i="17"/>
  <c r="Z80" i="17" s="1"/>
  <c r="Y80" i="17" s="1"/>
  <c r="G80" i="17"/>
  <c r="BZ80" i="6" s="1"/>
  <c r="H80" i="17"/>
  <c r="AA59" i="17"/>
  <c r="Z59" i="17" s="1"/>
  <c r="Y59" i="17" s="1"/>
  <c r="G59" i="17"/>
  <c r="BZ59" i="6" s="1"/>
  <c r="AA107" i="17"/>
  <c r="Z107" i="17" s="1"/>
  <c r="Y107" i="17" s="1"/>
  <c r="G107" i="17"/>
  <c r="BZ107" i="6" s="1"/>
  <c r="AA301" i="17"/>
  <c r="Z301" i="17" s="1"/>
  <c r="Y301" i="17" s="1"/>
  <c r="G301" i="17"/>
  <c r="BZ301" i="6" s="1"/>
  <c r="G144" i="17"/>
  <c r="BZ144" i="6" s="1"/>
  <c r="AA144" i="17"/>
  <c r="Z144" i="17" s="1"/>
  <c r="Y144" i="17" s="1"/>
  <c r="H177" i="17"/>
  <c r="AA177" i="17"/>
  <c r="Z177" i="17" s="1"/>
  <c r="Y177" i="17" s="1"/>
  <c r="G177" i="17"/>
  <c r="BZ177" i="6" s="1"/>
  <c r="AA198" i="17"/>
  <c r="Z198" i="17" s="1"/>
  <c r="Y198" i="17" s="1"/>
  <c r="G198" i="17"/>
  <c r="BZ198" i="6" s="1"/>
  <c r="H327" i="17"/>
  <c r="AA327" i="17"/>
  <c r="Z327" i="17" s="1"/>
  <c r="Y327" i="17" s="1"/>
  <c r="G327" i="17"/>
  <c r="BZ327" i="6" s="1"/>
  <c r="AA34" i="17"/>
  <c r="Z34" i="17" s="1"/>
  <c r="Y34" i="17" s="1"/>
  <c r="G34" i="17"/>
  <c r="BZ34" i="6" s="1"/>
  <c r="AA227" i="17"/>
  <c r="Z227" i="17" s="1"/>
  <c r="Y227" i="17" s="1"/>
  <c r="G227" i="17"/>
  <c r="BZ227" i="6" s="1"/>
  <c r="H227" i="17"/>
  <c r="G278" i="17"/>
  <c r="BZ278" i="6" s="1"/>
  <c r="AA278" i="17"/>
  <c r="Z278" i="17" s="1"/>
  <c r="Y278" i="17" s="1"/>
  <c r="AA113" i="17"/>
  <c r="Z113" i="17" s="1"/>
  <c r="Y113" i="17" s="1"/>
  <c r="G113" i="17"/>
  <c r="BZ113" i="6" s="1"/>
  <c r="H113" i="17"/>
  <c r="G333" i="17"/>
  <c r="BZ333" i="6" s="1"/>
  <c r="AA333" i="17"/>
  <c r="Z333" i="17" s="1"/>
  <c r="Y333" i="17" s="1"/>
  <c r="L64" i="19"/>
  <c r="AA189" i="17"/>
  <c r="Z189" i="17" s="1"/>
  <c r="Y189" i="17" s="1"/>
  <c r="G189" i="17"/>
  <c r="BZ189" i="6" s="1"/>
  <c r="H189" i="17"/>
  <c r="AA168" i="17"/>
  <c r="Z168" i="17" s="1"/>
  <c r="Y168" i="17" s="1"/>
  <c r="H168" i="17"/>
  <c r="G168" i="17"/>
  <c r="BZ168" i="6" s="1"/>
  <c r="AA281" i="17"/>
  <c r="Z281" i="17" s="1"/>
  <c r="Y281" i="17" s="1"/>
  <c r="G281" i="17"/>
  <c r="BZ281" i="6" s="1"/>
  <c r="G298" i="17"/>
  <c r="BZ298" i="6" s="1"/>
  <c r="AA298" i="17"/>
  <c r="Z298" i="17" s="1"/>
  <c r="Y298" i="17" s="1"/>
  <c r="AA86" i="17"/>
  <c r="Z86" i="17" s="1"/>
  <c r="Y86" i="17" s="1"/>
  <c r="H86" i="17"/>
  <c r="G86" i="17"/>
  <c r="BZ86" i="6" s="1"/>
  <c r="G326" i="17"/>
  <c r="BZ326" i="6" s="1"/>
  <c r="AA326" i="17"/>
  <c r="Z326" i="17" s="1"/>
  <c r="Y326" i="17" s="1"/>
  <c r="AA106" i="17"/>
  <c r="Z106" i="17" s="1"/>
  <c r="Y106" i="17" s="1"/>
  <c r="G106" i="17"/>
  <c r="BZ106" i="6" s="1"/>
  <c r="H240" i="17"/>
  <c r="AA240" i="17"/>
  <c r="Z240" i="17" s="1"/>
  <c r="Y240" i="17" s="1"/>
  <c r="G240" i="17"/>
  <c r="BZ240" i="6" s="1"/>
  <c r="AA62" i="17"/>
  <c r="Z62" i="17" s="1"/>
  <c r="Y62" i="17" s="1"/>
  <c r="G62" i="17"/>
  <c r="BZ62" i="6" s="1"/>
  <c r="H62" i="17"/>
  <c r="H53" i="17"/>
  <c r="AA53" i="17"/>
  <c r="Z53" i="17" s="1"/>
  <c r="Y53" i="17" s="1"/>
  <c r="G53" i="17"/>
  <c r="BZ53" i="6" s="1"/>
  <c r="G202" i="17"/>
  <c r="BZ202" i="6" s="1"/>
  <c r="AA202" i="17"/>
  <c r="Z202" i="17" s="1"/>
  <c r="Y202" i="17" s="1"/>
  <c r="G367" i="17"/>
  <c r="BZ367" i="6" s="1"/>
  <c r="AA367" i="17"/>
  <c r="Z367" i="17" s="1"/>
  <c r="Y367" i="17" s="1"/>
  <c r="H367" i="17"/>
  <c r="AA167" i="17"/>
  <c r="Z167" i="17" s="1"/>
  <c r="Y167" i="17" s="1"/>
  <c r="G167" i="17"/>
  <c r="BZ167" i="6" s="1"/>
  <c r="G20" i="17"/>
  <c r="BZ20" i="6" s="1"/>
  <c r="H20" i="17"/>
  <c r="AA20" i="17"/>
  <c r="Z20" i="17" s="1"/>
  <c r="Y20" i="17" s="1"/>
  <c r="H58" i="17"/>
  <c r="AA58" i="17"/>
  <c r="Z58" i="17" s="1"/>
  <c r="Y58" i="17" s="1"/>
  <c r="G58" i="17"/>
  <c r="BZ58" i="6" s="1"/>
  <c r="AA186" i="17"/>
  <c r="Z186" i="17" s="1"/>
  <c r="Y186" i="17" s="1"/>
  <c r="G186" i="17"/>
  <c r="BZ186" i="6" s="1"/>
  <c r="AA48" i="17"/>
  <c r="Z48" i="17" s="1"/>
  <c r="Y48" i="17" s="1"/>
  <c r="H48" i="17"/>
  <c r="G48" i="17"/>
  <c r="BZ48" i="6" s="1"/>
  <c r="AA30" i="17"/>
  <c r="Z30" i="17" s="1"/>
  <c r="Y30" i="17" s="1"/>
  <c r="G30" i="17"/>
  <c r="BZ30" i="6" s="1"/>
  <c r="H30" i="17"/>
  <c r="AA88" i="17"/>
  <c r="Z88" i="17" s="1"/>
  <c r="Y88" i="17" s="1"/>
  <c r="G88" i="17"/>
  <c r="BZ88" i="6" s="1"/>
  <c r="G205" i="17"/>
  <c r="BZ205" i="6" s="1"/>
  <c r="H205" i="17"/>
  <c r="AA205" i="17"/>
  <c r="Z205" i="17" s="1"/>
  <c r="Y205" i="17" s="1"/>
  <c r="AA31" i="17"/>
  <c r="Z31" i="17" s="1"/>
  <c r="Y31" i="17" s="1"/>
  <c r="H31" i="17"/>
  <c r="G31" i="17"/>
  <c r="BZ31" i="6" s="1"/>
  <c r="AA28" i="17"/>
  <c r="Z28" i="17" s="1"/>
  <c r="Y28" i="17" s="1"/>
  <c r="G28" i="17"/>
  <c r="BZ28" i="6" s="1"/>
  <c r="G307" i="17"/>
  <c r="BZ307" i="6" s="1"/>
  <c r="AA307" i="17"/>
  <c r="Z307" i="17" s="1"/>
  <c r="Y307" i="17" s="1"/>
  <c r="G36" i="17"/>
  <c r="BZ36" i="6" s="1"/>
  <c r="AA36" i="17"/>
  <c r="Z36" i="17" s="1"/>
  <c r="Y36" i="17" s="1"/>
  <c r="G44" i="17"/>
  <c r="BZ44" i="6" s="1"/>
  <c r="AA44" i="17"/>
  <c r="Z44" i="17" s="1"/>
  <c r="Y44" i="17" s="1"/>
  <c r="AA352" i="17"/>
  <c r="Z352" i="17" s="1"/>
  <c r="Y352" i="17" s="1"/>
  <c r="G352" i="17"/>
  <c r="BZ352" i="6" s="1"/>
  <c r="AA133" i="17"/>
  <c r="Z133" i="17" s="1"/>
  <c r="Y133" i="17" s="1"/>
  <c r="G133" i="17"/>
  <c r="BZ133" i="6" s="1"/>
  <c r="H133" i="17"/>
  <c r="H258" i="17"/>
  <c r="AA258" i="17"/>
  <c r="Z258" i="17" s="1"/>
  <c r="Y258" i="17" s="1"/>
  <c r="G258" i="17"/>
  <c r="BZ258" i="6" s="1"/>
  <c r="G199" i="17"/>
  <c r="BZ199" i="6" s="1"/>
  <c r="AA199" i="17"/>
  <c r="Z199" i="17" s="1"/>
  <c r="Y199" i="17" s="1"/>
  <c r="G332" i="17"/>
  <c r="BZ332" i="6" s="1"/>
  <c r="AA332" i="17"/>
  <c r="Z332" i="17" s="1"/>
  <c r="Y332" i="17" s="1"/>
  <c r="H332" i="17"/>
  <c r="G294" i="17"/>
  <c r="BZ294" i="6" s="1"/>
  <c r="AA294" i="17"/>
  <c r="Z294" i="17" s="1"/>
  <c r="Y294" i="17" s="1"/>
  <c r="AA265" i="17"/>
  <c r="Z265" i="17" s="1"/>
  <c r="Y265" i="17" s="1"/>
  <c r="G265" i="17"/>
  <c r="BZ265" i="6" s="1"/>
  <c r="H265" i="17"/>
  <c r="G261" i="17"/>
  <c r="BZ261" i="6" s="1"/>
  <c r="AA261" i="17"/>
  <c r="Z261" i="17" s="1"/>
  <c r="Y261" i="17" s="1"/>
  <c r="G50" i="17"/>
  <c r="BZ50" i="6" s="1"/>
  <c r="AA50" i="17"/>
  <c r="Z50" i="17" s="1"/>
  <c r="Y50" i="17" s="1"/>
  <c r="G280" i="17"/>
  <c r="BZ280" i="6" s="1"/>
  <c r="AA280" i="17"/>
  <c r="Z280" i="17" s="1"/>
  <c r="Y280" i="17" s="1"/>
  <c r="H280" i="17"/>
  <c r="AA129" i="17"/>
  <c r="Z129" i="17" s="1"/>
  <c r="Y129" i="17" s="1"/>
  <c r="H129" i="17"/>
  <c r="G129" i="17"/>
  <c r="BZ129" i="6" s="1"/>
  <c r="AA334" i="17"/>
  <c r="Z334" i="17" s="1"/>
  <c r="Y334" i="17" s="1"/>
  <c r="G334" i="17"/>
  <c r="BZ334" i="6" s="1"/>
  <c r="AA37" i="17"/>
  <c r="Z37" i="17" s="1"/>
  <c r="Y37" i="17" s="1"/>
  <c r="G37" i="17"/>
  <c r="BZ37" i="6" s="1"/>
  <c r="G312" i="17"/>
  <c r="BZ312" i="6" s="1"/>
  <c r="AA312" i="17"/>
  <c r="Z312" i="17" s="1"/>
  <c r="Y312" i="17" s="1"/>
  <c r="G156" i="17"/>
  <c r="BZ156" i="6" s="1"/>
  <c r="H156" i="17"/>
  <c r="AA156" i="17"/>
  <c r="Z156" i="17" s="1"/>
  <c r="Y156" i="17" s="1"/>
  <c r="G159" i="17"/>
  <c r="BZ159" i="6" s="1"/>
  <c r="H159" i="17"/>
  <c r="AA159" i="17"/>
  <c r="Z159" i="17" s="1"/>
  <c r="Y159" i="17" s="1"/>
  <c r="G378" i="17"/>
  <c r="BZ378" i="6" s="1"/>
  <c r="AA378" i="17"/>
  <c r="Z378" i="17" s="1"/>
  <c r="Y378" i="17" s="1"/>
  <c r="AA179" i="17"/>
  <c r="Z179" i="17" s="1"/>
  <c r="Y179" i="17" s="1"/>
  <c r="H179" i="17"/>
  <c r="G179" i="17"/>
  <c r="BZ179" i="6" s="1"/>
  <c r="AA354" i="17"/>
  <c r="Z354" i="17" s="1"/>
  <c r="Y354" i="17" s="1"/>
  <c r="H354" i="17"/>
  <c r="G354" i="17"/>
  <c r="BZ354" i="6" s="1"/>
  <c r="G323" i="17"/>
  <c r="BZ323" i="6" s="1"/>
  <c r="AA323" i="17"/>
  <c r="Z323" i="17" s="1"/>
  <c r="Y323" i="17" s="1"/>
  <c r="H323" i="17"/>
  <c r="G185" i="17"/>
  <c r="BZ185" i="6" s="1"/>
  <c r="AA185" i="17"/>
  <c r="Z185" i="17" s="1"/>
  <c r="Y185" i="17" s="1"/>
  <c r="G52" i="17"/>
  <c r="BZ52" i="6" s="1"/>
  <c r="AA52" i="17"/>
  <c r="Z52" i="17" s="1"/>
  <c r="Y52" i="17" s="1"/>
  <c r="AA90" i="17"/>
  <c r="Z90" i="17" s="1"/>
  <c r="Y90" i="17" s="1"/>
  <c r="G90" i="17"/>
  <c r="BZ90" i="6" s="1"/>
  <c r="H90" i="17"/>
  <c r="AA42" i="17"/>
  <c r="Z42" i="17" s="1"/>
  <c r="Y42" i="17" s="1"/>
  <c r="G42" i="17"/>
  <c r="BZ42" i="6" s="1"/>
  <c r="AA32" i="17"/>
  <c r="Z32" i="17" s="1"/>
  <c r="Y32" i="17" s="1"/>
  <c r="G32" i="17"/>
  <c r="BZ32" i="6" s="1"/>
  <c r="G242" i="17"/>
  <c r="BZ242" i="6" s="1"/>
  <c r="AA242" i="17"/>
  <c r="Z242" i="17" s="1"/>
  <c r="Y242" i="17" s="1"/>
  <c r="G318" i="17"/>
  <c r="BZ318" i="6" s="1"/>
  <c r="H318" i="17"/>
  <c r="AA318" i="17"/>
  <c r="Z318" i="17" s="1"/>
  <c r="Y318" i="17" s="1"/>
  <c r="AA35" i="17"/>
  <c r="Z35" i="17" s="1"/>
  <c r="Y35" i="17" s="1"/>
  <c r="G35" i="17"/>
  <c r="BZ35" i="6" s="1"/>
  <c r="H35" i="17"/>
  <c r="H284" i="17"/>
  <c r="AA284" i="17"/>
  <c r="Z284" i="17" s="1"/>
  <c r="Y284" i="17" s="1"/>
  <c r="G284" i="17"/>
  <c r="BZ284" i="6" s="1"/>
  <c r="AA273" i="17"/>
  <c r="Z273" i="17" s="1"/>
  <c r="Y273" i="17" s="1"/>
  <c r="G273" i="17"/>
  <c r="BZ273" i="6" s="1"/>
  <c r="H273" i="17"/>
  <c r="AA220" i="17"/>
  <c r="Z220" i="17" s="1"/>
  <c r="Y220" i="17" s="1"/>
  <c r="G220" i="17"/>
  <c r="BZ220" i="6" s="1"/>
  <c r="H346" i="17"/>
  <c r="AA346" i="17"/>
  <c r="Z346" i="17" s="1"/>
  <c r="Y346" i="17" s="1"/>
  <c r="G346" i="17"/>
  <c r="BZ346" i="6" s="1"/>
  <c r="AA141" i="17"/>
  <c r="Z141" i="17" s="1"/>
  <c r="Y141" i="17" s="1"/>
  <c r="G141" i="17"/>
  <c r="BZ141" i="6" s="1"/>
  <c r="H230" i="17"/>
  <c r="AA230" i="17"/>
  <c r="Z230" i="17" s="1"/>
  <c r="Y230" i="17" s="1"/>
  <c r="G230" i="17"/>
  <c r="BZ230" i="6" s="1"/>
  <c r="H228" i="17"/>
  <c r="AA228" i="17"/>
  <c r="Z228" i="17" s="1"/>
  <c r="Y228" i="17" s="1"/>
  <c r="G228" i="17"/>
  <c r="BZ228" i="6" s="1"/>
  <c r="H21" i="17"/>
  <c r="AA21" i="17"/>
  <c r="Z21" i="17" s="1"/>
  <c r="Y21" i="17" s="1"/>
  <c r="G21" i="17"/>
  <c r="BZ21" i="6" s="1"/>
  <c r="AA56" i="17"/>
  <c r="Z56" i="17" s="1"/>
  <c r="Y56" i="17" s="1"/>
  <c r="H56" i="17"/>
  <c r="G56" i="17"/>
  <c r="BZ56" i="6" s="1"/>
  <c r="G17" i="17"/>
  <c r="BZ17" i="6" s="1"/>
  <c r="AA17" i="17"/>
  <c r="Z17" i="17" s="1"/>
  <c r="Y17" i="17" s="1"/>
  <c r="H253" i="17"/>
  <c r="G253" i="17"/>
  <c r="BZ253" i="6" s="1"/>
  <c r="AA253" i="17"/>
  <c r="Z253" i="17" s="1"/>
  <c r="Y253" i="17" s="1"/>
  <c r="G172" i="17"/>
  <c r="BZ172" i="6" s="1"/>
  <c r="AA172" i="17"/>
  <c r="Z172" i="17" s="1"/>
  <c r="Y172" i="17" s="1"/>
  <c r="AA171" i="17"/>
  <c r="Z171" i="17" s="1"/>
  <c r="Y171" i="17" s="1"/>
  <c r="H171" i="17"/>
  <c r="G171" i="17"/>
  <c r="BZ171" i="6" s="1"/>
  <c r="G252" i="17"/>
  <c r="BZ252" i="6" s="1"/>
  <c r="AA252" i="17"/>
  <c r="Z252" i="17" s="1"/>
  <c r="Y252" i="17" s="1"/>
  <c r="H252" i="17"/>
  <c r="AA351" i="17"/>
  <c r="Z351" i="17" s="1"/>
  <c r="Y351" i="17" s="1"/>
  <c r="G351" i="17"/>
  <c r="BZ351" i="6" s="1"/>
  <c r="G315" i="17"/>
  <c r="BZ315" i="6" s="1"/>
  <c r="AA315" i="17"/>
  <c r="Z315" i="17" s="1"/>
  <c r="Y315" i="17" s="1"/>
  <c r="H315" i="17"/>
  <c r="H286" i="17"/>
  <c r="AA286" i="17"/>
  <c r="Z286" i="17" s="1"/>
  <c r="Y286" i="17" s="1"/>
  <c r="G286" i="17"/>
  <c r="BZ286" i="6" s="1"/>
  <c r="AA266" i="17"/>
  <c r="Z266" i="17" s="1"/>
  <c r="Y266" i="17" s="1"/>
  <c r="G266" i="17"/>
  <c r="BZ266" i="6" s="1"/>
  <c r="AA321" i="17"/>
  <c r="Z321" i="17" s="1"/>
  <c r="Y321" i="17" s="1"/>
  <c r="G321" i="17"/>
  <c r="BZ321" i="6" s="1"/>
  <c r="G310" i="17"/>
  <c r="BZ310" i="6" s="1"/>
  <c r="AA310" i="17"/>
  <c r="Z310" i="17" s="1"/>
  <c r="Y310" i="17" s="1"/>
  <c r="G224" i="17"/>
  <c r="BZ224" i="6" s="1"/>
  <c r="AA224" i="17"/>
  <c r="Z224" i="17" s="1"/>
  <c r="Y224" i="17" s="1"/>
  <c r="AA274" i="17"/>
  <c r="Z274" i="17" s="1"/>
  <c r="Y274" i="17" s="1"/>
  <c r="G274" i="17"/>
  <c r="BZ274" i="6" s="1"/>
  <c r="G163" i="17"/>
  <c r="BZ163" i="6" s="1"/>
  <c r="AA163" i="17"/>
  <c r="Z163" i="17" s="1"/>
  <c r="Y163" i="17" s="1"/>
  <c r="H277" i="17"/>
  <c r="AA277" i="17"/>
  <c r="Z277" i="17" s="1"/>
  <c r="Y277" i="17" s="1"/>
  <c r="G277" i="17"/>
  <c r="BZ277" i="6" s="1"/>
  <c r="AA371" i="17"/>
  <c r="Z371" i="17" s="1"/>
  <c r="Y371" i="17" s="1"/>
  <c r="G371" i="17"/>
  <c r="BZ371" i="6" s="1"/>
  <c r="H371" i="17"/>
  <c r="AA135" i="17"/>
  <c r="Z135" i="17" s="1"/>
  <c r="Y135" i="17" s="1"/>
  <c r="G135" i="17"/>
  <c r="BZ135" i="6" s="1"/>
  <c r="G187" i="17"/>
  <c r="BZ187" i="6" s="1"/>
  <c r="H187" i="17"/>
  <c r="AA187" i="17"/>
  <c r="Z187" i="17" s="1"/>
  <c r="Y187" i="17" s="1"/>
  <c r="G69" i="17"/>
  <c r="BZ69" i="6" s="1"/>
  <c r="AA69" i="17"/>
  <c r="Z69" i="17" s="1"/>
  <c r="Y69" i="17" s="1"/>
  <c r="H69" i="17"/>
  <c r="G55" i="17"/>
  <c r="BZ55" i="6" s="1"/>
  <c r="AA55" i="17"/>
  <c r="Z55" i="17" s="1"/>
  <c r="Y55" i="17" s="1"/>
  <c r="G33" i="17"/>
  <c r="BZ33" i="6" s="1"/>
  <c r="AA33" i="17"/>
  <c r="Z33" i="17" s="1"/>
  <c r="Y33" i="17" s="1"/>
  <c r="AA47" i="17"/>
  <c r="Z47" i="17" s="1"/>
  <c r="Y47" i="17" s="1"/>
  <c r="H47" i="17"/>
  <c r="G47" i="17"/>
  <c r="BZ47" i="6" s="1"/>
  <c r="AA232" i="17"/>
  <c r="Z232" i="17" s="1"/>
  <c r="Y232" i="17" s="1"/>
  <c r="G232" i="17"/>
  <c r="BZ232" i="6" s="1"/>
  <c r="G213" i="17"/>
  <c r="BZ213" i="6" s="1"/>
  <c r="AA213" i="17"/>
  <c r="Z213" i="17" s="1"/>
  <c r="Y213" i="17" s="1"/>
  <c r="H213" i="17"/>
  <c r="G222" i="17"/>
  <c r="BZ222" i="6" s="1"/>
  <c r="H222" i="17"/>
  <c r="AA222" i="17"/>
  <c r="Z222" i="17" s="1"/>
  <c r="Y222" i="17" s="1"/>
  <c r="H132" i="17"/>
  <c r="G132" i="17"/>
  <c r="BZ132" i="6" s="1"/>
  <c r="AA132" i="17"/>
  <c r="Z132" i="17" s="1"/>
  <c r="Y132" i="17" s="1"/>
  <c r="AA340" i="17"/>
  <c r="Z340" i="17" s="1"/>
  <c r="Y340" i="17" s="1"/>
  <c r="H340" i="17"/>
  <c r="G340" i="17"/>
  <c r="BZ340" i="6" s="1"/>
  <c r="AA137" i="17"/>
  <c r="Z137" i="17" s="1"/>
  <c r="Y137" i="17" s="1"/>
  <c r="G137" i="17"/>
  <c r="BZ137" i="6" s="1"/>
  <c r="G360" i="17"/>
  <c r="BZ360" i="6" s="1"/>
  <c r="AA360" i="17"/>
  <c r="Z360" i="17" s="1"/>
  <c r="Y360" i="17" s="1"/>
  <c r="H360" i="17"/>
  <c r="AA65" i="17"/>
  <c r="Z65" i="17" s="1"/>
  <c r="Y65" i="17" s="1"/>
  <c r="G65" i="17"/>
  <c r="BZ65" i="6" s="1"/>
  <c r="G175" i="17"/>
  <c r="BZ175" i="6" s="1"/>
  <c r="H175" i="17"/>
  <c r="AA175" i="17"/>
  <c r="Z175" i="17" s="1"/>
  <c r="Y175" i="17" s="1"/>
  <c r="G216" i="17"/>
  <c r="BZ216" i="6" s="1"/>
  <c r="H216" i="17"/>
  <c r="AA216" i="17"/>
  <c r="Z216" i="17" s="1"/>
  <c r="Y216" i="17" s="1"/>
  <c r="AA166" i="17"/>
  <c r="Z166" i="17" s="1"/>
  <c r="Y166" i="17" s="1"/>
  <c r="G166" i="17"/>
  <c r="BZ166" i="6" s="1"/>
  <c r="H166" i="17"/>
  <c r="AA267" i="17"/>
  <c r="Z267" i="17" s="1"/>
  <c r="Y267" i="17" s="1"/>
  <c r="G267" i="17"/>
  <c r="BZ267" i="6" s="1"/>
  <c r="AA226" i="17"/>
  <c r="Z226" i="17" s="1"/>
  <c r="Y226" i="17" s="1"/>
  <c r="G226" i="17"/>
  <c r="BZ226" i="6" s="1"/>
  <c r="G92" i="17"/>
  <c r="BZ92" i="6" s="1"/>
  <c r="AA92" i="17"/>
  <c r="Z92" i="17" s="1"/>
  <c r="Y92" i="17" s="1"/>
  <c r="AA170" i="17"/>
  <c r="Z170" i="17" s="1"/>
  <c r="Y170" i="17" s="1"/>
  <c r="G170" i="17"/>
  <c r="BZ170" i="6" s="1"/>
  <c r="AA295" i="17"/>
  <c r="Z295" i="17" s="1"/>
  <c r="Y295" i="17" s="1"/>
  <c r="G295" i="17"/>
  <c r="BZ295" i="6" s="1"/>
  <c r="H295" i="17"/>
  <c r="H348" i="17"/>
  <c r="G348" i="17"/>
  <c r="BZ348" i="6" s="1"/>
  <c r="AA348" i="17"/>
  <c r="Z348" i="17" s="1"/>
  <c r="Y348" i="17" s="1"/>
  <c r="G105" i="17"/>
  <c r="BZ105" i="6" s="1"/>
  <c r="AA105" i="17"/>
  <c r="Z105" i="17" s="1"/>
  <c r="Y105" i="17" s="1"/>
  <c r="H105" i="17"/>
  <c r="AA204" i="17"/>
  <c r="Z204" i="17" s="1"/>
  <c r="Y204" i="17" s="1"/>
  <c r="G204" i="17"/>
  <c r="BZ204" i="6" s="1"/>
  <c r="G136" i="17"/>
  <c r="BZ136" i="6" s="1"/>
  <c r="AA136" i="17"/>
  <c r="Z136" i="17" s="1"/>
  <c r="Y136" i="17" s="1"/>
  <c r="H264" i="17"/>
  <c r="AA264" i="17"/>
  <c r="Z264" i="17" s="1"/>
  <c r="Y264" i="17" s="1"/>
  <c r="G264" i="17"/>
  <c r="BZ264" i="6" s="1"/>
  <c r="G96" i="17"/>
  <c r="BZ96" i="6" s="1"/>
  <c r="AA96" i="17"/>
  <c r="Z96" i="17" s="1"/>
  <c r="Y96" i="17" s="1"/>
  <c r="AA337" i="17"/>
  <c r="Z337" i="17" s="1"/>
  <c r="Y337" i="17" s="1"/>
  <c r="G337" i="17"/>
  <c r="BZ337" i="6" s="1"/>
  <c r="G161" i="17"/>
  <c r="BZ161" i="6" s="1"/>
  <c r="AA161" i="17"/>
  <c r="Z161" i="17" s="1"/>
  <c r="Y161" i="17" s="1"/>
  <c r="AA162" i="17"/>
  <c r="Z162" i="17" s="1"/>
  <c r="Y162" i="17" s="1"/>
  <c r="G162" i="17"/>
  <c r="BZ162" i="6" s="1"/>
  <c r="AA355" i="17"/>
  <c r="Z355" i="17" s="1"/>
  <c r="Y355" i="17" s="1"/>
  <c r="H355" i="17"/>
  <c r="G355" i="17"/>
  <c r="BZ355" i="6" s="1"/>
  <c r="AA22" i="17"/>
  <c r="Z22" i="17" s="1"/>
  <c r="Y22" i="17" s="1"/>
  <c r="G22" i="17"/>
  <c r="BZ22" i="6" s="1"/>
  <c r="AA51" i="17"/>
  <c r="Z51" i="17" s="1"/>
  <c r="Y51" i="17" s="1"/>
  <c r="H51" i="17"/>
  <c r="G51" i="17"/>
  <c r="BZ51" i="6" s="1"/>
  <c r="G152" i="17"/>
  <c r="BZ152" i="6" s="1"/>
  <c r="AA152" i="17"/>
  <c r="Z152" i="17" s="1"/>
  <c r="Y152" i="17" s="1"/>
  <c r="H39" i="17"/>
  <c r="AA39" i="17"/>
  <c r="Z39" i="17" s="1"/>
  <c r="Y39" i="17" s="1"/>
  <c r="G39" i="17"/>
  <c r="BZ39" i="6" s="1"/>
  <c r="H158" i="17"/>
  <c r="G158" i="17"/>
  <c r="BZ158" i="6" s="1"/>
  <c r="AA158" i="17"/>
  <c r="Z158" i="17" s="1"/>
  <c r="Y158" i="17" s="1"/>
  <c r="AA41" i="17"/>
  <c r="Z41" i="17" s="1"/>
  <c r="Y41" i="17" s="1"/>
  <c r="G41" i="17"/>
  <c r="BZ41" i="6" s="1"/>
  <c r="G77" i="17"/>
  <c r="BZ77" i="6" s="1"/>
  <c r="AA77" i="17"/>
  <c r="Z77" i="17" s="1"/>
  <c r="Y77" i="17" s="1"/>
  <c r="AA102" i="17"/>
  <c r="Z102" i="17" s="1"/>
  <c r="Y102" i="17" s="1"/>
  <c r="G102" i="17"/>
  <c r="BZ102" i="6" s="1"/>
  <c r="H102" i="17"/>
  <c r="AA98" i="17"/>
  <c r="Z98" i="17" s="1"/>
  <c r="Y98" i="17" s="1"/>
  <c r="H98" i="17"/>
  <c r="G98" i="17"/>
  <c r="BZ98" i="6" s="1"/>
  <c r="G234" i="17"/>
  <c r="BZ234" i="6" s="1"/>
  <c r="AA234" i="17"/>
  <c r="Z234" i="17" s="1"/>
  <c r="Y234" i="17" s="1"/>
  <c r="F173" i="17"/>
  <c r="F225" i="17"/>
  <c r="F347" i="17"/>
  <c r="F75" i="17"/>
  <c r="F300" i="17"/>
  <c r="F299" i="17"/>
  <c r="F103" i="17"/>
  <c r="F49" i="17"/>
  <c r="F335" i="17"/>
  <c r="F211" i="17"/>
  <c r="F18" i="17"/>
  <c r="F120" i="17"/>
  <c r="F369" i="17"/>
  <c r="F118" i="17"/>
  <c r="F79" i="17"/>
  <c r="F19" i="17"/>
  <c r="F24" i="17"/>
  <c r="F260" i="17"/>
  <c r="F231" i="17"/>
  <c r="F176" i="17"/>
  <c r="F288" i="17"/>
  <c r="F291" i="17"/>
  <c r="F109" i="17"/>
  <c r="F201" i="17"/>
  <c r="F89" i="17"/>
  <c r="F375" i="17"/>
  <c r="F245" i="17"/>
  <c r="F104" i="17"/>
  <c r="F200" i="17"/>
  <c r="F126" i="17"/>
  <c r="F139" i="17"/>
  <c r="F85" i="17"/>
  <c r="F68" i="17"/>
  <c r="F296" i="17"/>
  <c r="F193" i="17"/>
  <c r="F130" i="17"/>
  <c r="F353" i="17"/>
  <c r="F244" i="17"/>
  <c r="F97" i="17"/>
  <c r="F212" i="17"/>
  <c r="F83" i="17"/>
  <c r="F54" i="17"/>
  <c r="F114" i="17"/>
  <c r="F84" i="17"/>
  <c r="F87" i="17"/>
  <c r="F330" i="17"/>
  <c r="F148" i="17"/>
  <c r="F124" i="17"/>
  <c r="F115" i="17"/>
  <c r="F112" i="17"/>
  <c r="F122" i="17"/>
  <c r="F153" i="17"/>
  <c r="F317" i="17"/>
  <c r="F357" i="17"/>
  <c r="F111" i="17"/>
  <c r="F223" i="17"/>
  <c r="F338" i="17"/>
  <c r="F287" i="17"/>
  <c r="D64" i="19"/>
  <c r="F183" i="17"/>
  <c r="F350" i="17"/>
  <c r="F324" i="17"/>
  <c r="F15" i="16"/>
  <c r="I167" i="16"/>
  <c r="H167" i="17" s="1"/>
  <c r="J167" i="16"/>
  <c r="F73" i="17"/>
  <c r="F16" i="17"/>
  <c r="F248" i="17"/>
  <c r="F26" i="17"/>
  <c r="F67" i="17"/>
  <c r="F192" i="17"/>
  <c r="F290" i="17"/>
  <c r="F292" i="17"/>
  <c r="F272" i="17"/>
  <c r="F342" i="17"/>
  <c r="F131" i="17"/>
  <c r="I350" i="16"/>
  <c r="J350" i="16"/>
  <c r="I75" i="16"/>
  <c r="J75" i="16"/>
  <c r="J320" i="16"/>
  <c r="I320" i="16"/>
  <c r="H320" i="17" s="1"/>
  <c r="F341" i="17"/>
  <c r="F160" i="17"/>
  <c r="F181" i="17"/>
  <c r="F138" i="17"/>
  <c r="F319" i="17"/>
  <c r="F197" i="17"/>
  <c r="F305" i="17"/>
  <c r="F309" i="17"/>
  <c r="F372" i="17"/>
  <c r="F209" i="17"/>
  <c r="F325" i="17"/>
  <c r="F155" i="17"/>
  <c r="F146" i="17"/>
  <c r="F297" i="17"/>
  <c r="F249" i="17"/>
  <c r="F190" i="17"/>
  <c r="F313" i="17"/>
  <c r="F246" i="17"/>
  <c r="F293" i="17"/>
  <c r="F165" i="17"/>
  <c r="F271" i="17"/>
  <c r="F270" i="17"/>
  <c r="F376" i="17"/>
  <c r="J64" i="19"/>
  <c r="F157" i="17"/>
  <c r="F328" i="17"/>
  <c r="F365" i="17"/>
  <c r="F366" i="17"/>
  <c r="F121" i="17"/>
  <c r="F359" i="17"/>
  <c r="F64" i="17"/>
  <c r="F316" i="17"/>
  <c r="F238" i="17"/>
  <c r="F345" i="17"/>
  <c r="F100" i="17"/>
  <c r="F93" i="17"/>
  <c r="F256" i="17"/>
  <c r="F196" i="17"/>
  <c r="F263" i="17"/>
  <c r="F233" i="17"/>
  <c r="F217" i="17"/>
  <c r="F262" i="17"/>
  <c r="F304" i="17"/>
  <c r="F182" i="17"/>
  <c r="F40" i="17"/>
  <c r="F283" i="17"/>
  <c r="F128" i="17"/>
  <c r="F82" i="17"/>
  <c r="F235" i="17"/>
  <c r="F164" i="17"/>
  <c r="F289" i="17"/>
  <c r="F143" i="17"/>
  <c r="F81" i="17"/>
  <c r="F358" i="17"/>
  <c r="F370" i="17"/>
  <c r="F57" i="17"/>
  <c r="F125" i="17"/>
  <c r="F72" i="17"/>
  <c r="F282" i="17"/>
  <c r="F101" i="17"/>
  <c r="F251" i="17"/>
  <c r="F178" i="17"/>
  <c r="F339" i="17"/>
  <c r="F306" i="17"/>
  <c r="F184" i="17"/>
  <c r="F127" i="17"/>
  <c r="F279" i="17"/>
  <c r="F70" i="17"/>
  <c r="F269" i="17"/>
  <c r="F38" i="17"/>
  <c r="F66" i="17"/>
  <c r="F63" i="17"/>
  <c r="F322" i="17"/>
  <c r="F344" i="17"/>
  <c r="F71" i="17"/>
  <c r="F203" i="17"/>
  <c r="F329" i="17"/>
  <c r="F43" i="17"/>
  <c r="F154" i="17"/>
  <c r="F336" i="17"/>
  <c r="F229" i="17"/>
  <c r="F221" i="17"/>
  <c r="F27" i="17"/>
  <c r="F45" i="17"/>
  <c r="F95" i="17"/>
  <c r="F215" i="17"/>
  <c r="F64" i="19"/>
  <c r="F247" i="17"/>
  <c r="F142" i="17"/>
  <c r="F94" i="17"/>
  <c r="F308" i="17"/>
  <c r="F147" i="17"/>
  <c r="F259" i="17"/>
  <c r="F250" i="17"/>
  <c r="F254" i="17"/>
  <c r="F356" i="17"/>
  <c r="F188" i="17"/>
  <c r="E64" i="19"/>
  <c r="F194" i="17"/>
  <c r="F362" i="17"/>
  <c r="F91" i="17"/>
  <c r="F149" i="17"/>
  <c r="AE115" i="18" l="1"/>
  <c r="AE143" i="18"/>
  <c r="AE182" i="18"/>
  <c r="AE225" i="18"/>
  <c r="AE277" i="18"/>
  <c r="AE371" i="18"/>
  <c r="AE227" i="18"/>
  <c r="AE307" i="18"/>
  <c r="AE361" i="18"/>
  <c r="AE134" i="18"/>
  <c r="AE292" i="18"/>
  <c r="AE317" i="18"/>
  <c r="AE145" i="18"/>
  <c r="AE141" i="18"/>
  <c r="AE186" i="18"/>
  <c r="AE233" i="18"/>
  <c r="AE303" i="18"/>
  <c r="AE366" i="18"/>
  <c r="J36" i="19"/>
  <c r="J197" i="16"/>
  <c r="AC145" i="22"/>
  <c r="AC326" i="22"/>
  <c r="O382" i="23"/>
  <c r="O381" i="23"/>
  <c r="O383" i="23"/>
  <c r="E8" i="24"/>
  <c r="K19" i="19" s="1"/>
  <c r="K43" i="19" s="1"/>
  <c r="E7" i="24"/>
  <c r="O10" i="24" s="1"/>
  <c r="AC350" i="22"/>
  <c r="AC10" i="23"/>
  <c r="AC370" i="23" s="1"/>
  <c r="AC202" i="22"/>
  <c r="AC240" i="22"/>
  <c r="AC214" i="22"/>
  <c r="AC361" i="22"/>
  <c r="AC277" i="22"/>
  <c r="AC335" i="23"/>
  <c r="AE114" i="18"/>
  <c r="AE201" i="18"/>
  <c r="AE286" i="18"/>
  <c r="AE106" i="18"/>
  <c r="AE160" i="18"/>
  <c r="AE343" i="18"/>
  <c r="AE281" i="18"/>
  <c r="AE274" i="18"/>
  <c r="AE230" i="18"/>
  <c r="AE297" i="18"/>
  <c r="AE136" i="18"/>
  <c r="AE120" i="18"/>
  <c r="AE353" i="18"/>
  <c r="AE379" i="18"/>
  <c r="AE12" i="20" s="1"/>
  <c r="AE158" i="18"/>
  <c r="AE315" i="18"/>
  <c r="AE269" i="18"/>
  <c r="AE356" i="18"/>
  <c r="AE131" i="18"/>
  <c r="AE341" i="18"/>
  <c r="J380" i="17"/>
  <c r="J380" i="18" s="1"/>
  <c r="C380" i="6" s="1"/>
  <c r="J106" i="16"/>
  <c r="H29" i="17"/>
  <c r="I29" i="17" s="1"/>
  <c r="I60" i="16"/>
  <c r="AA29" i="17"/>
  <c r="Z29" i="17" s="1"/>
  <c r="Y29" i="17" s="1"/>
  <c r="AE334" i="18"/>
  <c r="AE132" i="18"/>
  <c r="AE370" i="18"/>
  <c r="AE373" i="18"/>
  <c r="AE209" i="18"/>
  <c r="AE254" i="18"/>
  <c r="AE170" i="18"/>
  <c r="AE291" i="18"/>
  <c r="AE110" i="18"/>
  <c r="AE320" i="18"/>
  <c r="AE207" i="18"/>
  <c r="AE164" i="18"/>
  <c r="AE324" i="18"/>
  <c r="AE372" i="18"/>
  <c r="AE298" i="18"/>
  <c r="AE156" i="18"/>
  <c r="AE279" i="18"/>
  <c r="AE142" i="18"/>
  <c r="AE346" i="18"/>
  <c r="AE347" i="18"/>
  <c r="AE211" i="18"/>
  <c r="AE178" i="18"/>
  <c r="AE151" i="18"/>
  <c r="AE154" i="18"/>
  <c r="AE174" i="18"/>
  <c r="AE235" i="18"/>
  <c r="AE198" i="18"/>
  <c r="AE203" i="18"/>
  <c r="AE190" i="18"/>
  <c r="AE137" i="18"/>
  <c r="AE173" i="18"/>
  <c r="AE221" i="18"/>
  <c r="AE276" i="18"/>
  <c r="AE306" i="18"/>
  <c r="AE180" i="18"/>
  <c r="AE155" i="18"/>
  <c r="AE111" i="18"/>
  <c r="AE167" i="18"/>
  <c r="AE214" i="18"/>
  <c r="AE331" i="18"/>
  <c r="Q55" i="18"/>
  <c r="Q224" i="18"/>
  <c r="AC160" i="22"/>
  <c r="AC337" i="22"/>
  <c r="AC279" i="22"/>
  <c r="AC318" i="22"/>
  <c r="AC233" i="22"/>
  <c r="AC236" i="22"/>
  <c r="AC187" i="22"/>
  <c r="AC311" i="22"/>
  <c r="AC150" i="22"/>
  <c r="AC189" i="22"/>
  <c r="AC367" i="22"/>
  <c r="AC364" i="22"/>
  <c r="AC328" i="22"/>
  <c r="AC180" i="22"/>
  <c r="AC284" i="22"/>
  <c r="AC231" i="22"/>
  <c r="AC372" i="22"/>
  <c r="AC315" i="22"/>
  <c r="AC222" i="22"/>
  <c r="AC252" i="22"/>
  <c r="AC143" i="22"/>
  <c r="AC250" i="22"/>
  <c r="AC246" i="22"/>
  <c r="AC251" i="22"/>
  <c r="AC172" i="22"/>
  <c r="AC152" i="22"/>
  <c r="AC239" i="22"/>
  <c r="AC275" i="22"/>
  <c r="AC211" i="22"/>
  <c r="AC198" i="22"/>
  <c r="AC303" i="22"/>
  <c r="AC276" i="22"/>
  <c r="AC292" i="22"/>
  <c r="AC332" i="22"/>
  <c r="AC256" i="22"/>
  <c r="AC267" i="22"/>
  <c r="AC142" i="22"/>
  <c r="AC290" i="22"/>
  <c r="AC210" i="22"/>
  <c r="AC227" i="22"/>
  <c r="AC261" i="22"/>
  <c r="AC197" i="22"/>
  <c r="AC186" i="22"/>
  <c r="AC203" i="22"/>
  <c r="AC191" i="22"/>
  <c r="AC270" i="22"/>
  <c r="AC294" i="22"/>
  <c r="AC151" i="22"/>
  <c r="AC363" i="22"/>
  <c r="AC336" i="22"/>
  <c r="AC320" i="22"/>
  <c r="AC295" i="22"/>
  <c r="AC298" i="22"/>
  <c r="AC371" i="22"/>
  <c r="AC139" i="22"/>
  <c r="AC243" i="22"/>
  <c r="AC354" i="22"/>
  <c r="AC159" i="22"/>
  <c r="AC248" i="22"/>
  <c r="AC208" i="22"/>
  <c r="AC238" i="22"/>
  <c r="AC173" i="22"/>
  <c r="AC340" i="22"/>
  <c r="AC345" i="22"/>
  <c r="AC169" i="22"/>
  <c r="AC376" i="22"/>
  <c r="AC358" i="22"/>
  <c r="AC329" i="22"/>
  <c r="AC306" i="22"/>
  <c r="AC224" i="22"/>
  <c r="AC255" i="22"/>
  <c r="AC310" i="22"/>
  <c r="AC137" i="22"/>
  <c r="AC378" i="22"/>
  <c r="AC347" i="22"/>
  <c r="AC324" i="22"/>
  <c r="AC225" i="22"/>
  <c r="AC163" i="22"/>
  <c r="AC221" i="22"/>
  <c r="AC183" i="22"/>
  <c r="AC157" i="22"/>
  <c r="AC299" i="22"/>
  <c r="AC366" i="22"/>
  <c r="AC165" i="22"/>
  <c r="AC254" i="22"/>
  <c r="AC271" i="22"/>
  <c r="AC181" i="22"/>
  <c r="AC259" i="22"/>
  <c r="AC369" i="22"/>
  <c r="AC374" i="22"/>
  <c r="AC209" i="22"/>
  <c r="AC174" i="22"/>
  <c r="AC201" i="22"/>
  <c r="AC343" i="22"/>
  <c r="AC237" i="22"/>
  <c r="AC308" i="22"/>
  <c r="AC196" i="22"/>
  <c r="AC349" i="22"/>
  <c r="AC226" i="22"/>
  <c r="AC291" i="22"/>
  <c r="AC368" i="22"/>
  <c r="AC230" i="22"/>
  <c r="AC274" i="22"/>
  <c r="AC360" i="22"/>
  <c r="AC171" i="22"/>
  <c r="AC213" i="22"/>
  <c r="AC178" i="22"/>
  <c r="AC356" i="22"/>
  <c r="AC335" i="22"/>
  <c r="AC319" i="22"/>
  <c r="AC200" i="22"/>
  <c r="AC357" i="22"/>
  <c r="AC316" i="22"/>
  <c r="AC338" i="22"/>
  <c r="AC287" i="22"/>
  <c r="AC245" i="22"/>
  <c r="AC341" i="22"/>
  <c r="AC344" i="22"/>
  <c r="AC162" i="22"/>
  <c r="AC155" i="22"/>
  <c r="AC262" i="22"/>
  <c r="AC247" i="22"/>
  <c r="AC167" i="22"/>
  <c r="AC263" i="22"/>
  <c r="AC346" i="22"/>
  <c r="AC194" i="22"/>
  <c r="AC268" i="22"/>
  <c r="AC232" i="22"/>
  <c r="AC223" i="22"/>
  <c r="AC207" i="22"/>
  <c r="AC334" i="22"/>
  <c r="AC300" i="22"/>
  <c r="AC265" i="22"/>
  <c r="AC283" i="22"/>
  <c r="AC215" i="22"/>
  <c r="AC141" i="22"/>
  <c r="AC177" i="22"/>
  <c r="AC212" i="22"/>
  <c r="AC321" i="22"/>
  <c r="AC188" i="22"/>
  <c r="AC253" i="22"/>
  <c r="AC149" i="22"/>
  <c r="AC339" i="22"/>
  <c r="AC199" i="22"/>
  <c r="AC362" i="22"/>
  <c r="AC282" i="22"/>
  <c r="AC309" i="22"/>
  <c r="AC285" i="22"/>
  <c r="AC353" i="22"/>
  <c r="AC278" i="22"/>
  <c r="AC234" i="22"/>
  <c r="AC205" i="22"/>
  <c r="AC219" i="22"/>
  <c r="AC330" i="22"/>
  <c r="AC161" i="22"/>
  <c r="AC379" i="22"/>
  <c r="AC156" i="22"/>
  <c r="AC136" i="22"/>
  <c r="AC179" i="22"/>
  <c r="AC365" i="22"/>
  <c r="AC158" i="22"/>
  <c r="AC373" i="22"/>
  <c r="AC359" i="22"/>
  <c r="AC312" i="22"/>
  <c r="AC228" i="22"/>
  <c r="AC281" i="22"/>
  <c r="AC302" i="22"/>
  <c r="AC140" i="22"/>
  <c r="AC260" i="22"/>
  <c r="AC297" i="22"/>
  <c r="AC241" i="22"/>
  <c r="AC166" i="22"/>
  <c r="AC168" i="22"/>
  <c r="AC322" i="22"/>
  <c r="AC220" i="22"/>
  <c r="AC370" i="22"/>
  <c r="AC195" i="22"/>
  <c r="AC323" i="22"/>
  <c r="AC204" i="22"/>
  <c r="AC176" i="22"/>
  <c r="AC184" i="22"/>
  <c r="AC264" i="22"/>
  <c r="AC153" i="22"/>
  <c r="AC352" i="22"/>
  <c r="AC175" i="22"/>
  <c r="AC144" i="22"/>
  <c r="AC216" i="22"/>
  <c r="AC288" i="22"/>
  <c r="AC317" i="22"/>
  <c r="AC190" i="22"/>
  <c r="AC301" i="22"/>
  <c r="AC185" i="22"/>
  <c r="AC313" i="22"/>
  <c r="AC170" i="22"/>
  <c r="AC342" i="22"/>
  <c r="AC355" i="22"/>
  <c r="AC296" i="22"/>
  <c r="AC182" i="22"/>
  <c r="AC333" i="22"/>
  <c r="AC192" i="22"/>
  <c r="AC235" i="22"/>
  <c r="AC217" i="22"/>
  <c r="AC348" i="22"/>
  <c r="AC206" i="22"/>
  <c r="AC148" i="22"/>
  <c r="AC351" i="22"/>
  <c r="AC269" i="22"/>
  <c r="AC314" i="22"/>
  <c r="AC257" i="22"/>
  <c r="AC154" i="22"/>
  <c r="AC164" i="22"/>
  <c r="AC305" i="22"/>
  <c r="AC135" i="22"/>
  <c r="AC280" i="22"/>
  <c r="AC304" i="22"/>
  <c r="AC273" i="22"/>
  <c r="AC380" i="22"/>
  <c r="AC327" i="22"/>
  <c r="AC377" i="22"/>
  <c r="AC258" i="22"/>
  <c r="AC244" i="22"/>
  <c r="AC193" i="22"/>
  <c r="AC286" i="22"/>
  <c r="AC272" i="22"/>
  <c r="AC331" i="22"/>
  <c r="AC325" i="22"/>
  <c r="AC242" i="22"/>
  <c r="AC289" i="22"/>
  <c r="AC307" i="22"/>
  <c r="J116" i="16"/>
  <c r="I116" i="16"/>
  <c r="H116" i="17" s="1"/>
  <c r="I116" i="17" s="1"/>
  <c r="I44" i="16"/>
  <c r="H44" i="17" s="1"/>
  <c r="I44" i="17" s="1"/>
  <c r="J44" i="16"/>
  <c r="J148" i="16"/>
  <c r="I148" i="16"/>
  <c r="H148" i="17" s="1"/>
  <c r="J34" i="16"/>
  <c r="I34" i="16"/>
  <c r="H34" i="17" s="1"/>
  <c r="I34" i="17" s="1"/>
  <c r="I163" i="16"/>
  <c r="H163" i="17" s="1"/>
  <c r="I163" i="17" s="1"/>
  <c r="J163" i="16"/>
  <c r="I337" i="16"/>
  <c r="H337" i="17" s="1"/>
  <c r="I337" i="17" s="1"/>
  <c r="J337" i="16"/>
  <c r="I32" i="16"/>
  <c r="H32" i="17" s="1"/>
  <c r="I32" i="17" s="1"/>
  <c r="J32" i="16"/>
  <c r="J257" i="16"/>
  <c r="I257" i="16"/>
  <c r="H257" i="17" s="1"/>
  <c r="I257" i="17" s="1"/>
  <c r="J364" i="16"/>
  <c r="I364" i="16"/>
  <c r="H364" i="17" s="1"/>
  <c r="J364" i="17" s="1"/>
  <c r="I375" i="16"/>
  <c r="H375" i="17" s="1"/>
  <c r="J375" i="16"/>
  <c r="J50" i="16"/>
  <c r="I50" i="16"/>
  <c r="H50" i="17" s="1"/>
  <c r="I50" i="17" s="1"/>
  <c r="J278" i="16"/>
  <c r="I278" i="16"/>
  <c r="H278" i="17" s="1"/>
  <c r="I278" i="17" s="1"/>
  <c r="J235" i="16"/>
  <c r="I235" i="16"/>
  <c r="H235" i="17" s="1"/>
  <c r="I203" i="16"/>
  <c r="H203" i="17" s="1"/>
  <c r="J203" i="16"/>
  <c r="J368" i="16"/>
  <c r="I368" i="16"/>
  <c r="H368" i="17" s="1"/>
  <c r="J368" i="17" s="1"/>
  <c r="J326" i="16"/>
  <c r="I326" i="16"/>
  <c r="H326" i="17" s="1"/>
  <c r="I326" i="17" s="1"/>
  <c r="J130" i="16"/>
  <c r="I130" i="16"/>
  <c r="H130" i="17" s="1"/>
  <c r="J251" i="16"/>
  <c r="I251" i="16"/>
  <c r="H251" i="17" s="1"/>
  <c r="I72" i="16"/>
  <c r="H72" i="17" s="1"/>
  <c r="J72" i="16"/>
  <c r="J135" i="16"/>
  <c r="I135" i="16"/>
  <c r="H135" i="17" s="1"/>
  <c r="I135" i="17" s="1"/>
  <c r="I131" i="16"/>
  <c r="H131" i="17" s="1"/>
  <c r="J131" i="16"/>
  <c r="J261" i="16"/>
  <c r="I261" i="16"/>
  <c r="H261" i="17" s="1"/>
  <c r="I261" i="17" s="1"/>
  <c r="J57" i="16"/>
  <c r="I57" i="16"/>
  <c r="H57" i="17" s="1"/>
  <c r="I107" i="16"/>
  <c r="H107" i="17" s="1"/>
  <c r="I107" i="17" s="1"/>
  <c r="J107" i="16"/>
  <c r="J161" i="16"/>
  <c r="I161" i="16"/>
  <c r="H161" i="17" s="1"/>
  <c r="I161" i="17" s="1"/>
  <c r="I204" i="16"/>
  <c r="H204" i="17" s="1"/>
  <c r="J204" i="16"/>
  <c r="I162" i="16"/>
  <c r="H162" i="17" s="1"/>
  <c r="I162" i="17" s="1"/>
  <c r="J162" i="16"/>
  <c r="I276" i="16"/>
  <c r="H276" i="17" s="1"/>
  <c r="I276" i="17" s="1"/>
  <c r="J276" i="16"/>
  <c r="I140" i="16"/>
  <c r="H140" i="17" s="1"/>
  <c r="I140" i="17" s="1"/>
  <c r="J140" i="16"/>
  <c r="I370" i="16"/>
  <c r="H370" i="17" s="1"/>
  <c r="J370" i="16"/>
  <c r="I351" i="16"/>
  <c r="H351" i="17" s="1"/>
  <c r="I351" i="17" s="1"/>
  <c r="J351" i="16"/>
  <c r="J170" i="16"/>
  <c r="I170" i="16"/>
  <c r="H170" i="17" s="1"/>
  <c r="I170" i="17" s="1"/>
  <c r="J341" i="16"/>
  <c r="I341" i="16"/>
  <c r="H341" i="17" s="1"/>
  <c r="J160" i="16"/>
  <c r="I160" i="16"/>
  <c r="H160" i="17" s="1"/>
  <c r="I260" i="16"/>
  <c r="H260" i="17" s="1"/>
  <c r="J260" i="16"/>
  <c r="J301" i="16"/>
  <c r="I301" i="16"/>
  <c r="H301" i="17" s="1"/>
  <c r="I301" i="17" s="1"/>
  <c r="I314" i="16"/>
  <c r="H314" i="17" s="1"/>
  <c r="J314" i="17" s="1"/>
  <c r="J314" i="16"/>
  <c r="J335" i="16"/>
  <c r="I335" i="16"/>
  <c r="H335" i="17" s="1"/>
  <c r="J232" i="16"/>
  <c r="I232" i="16"/>
  <c r="H232" i="17" s="1"/>
  <c r="I232" i="17" s="1"/>
  <c r="J211" i="16"/>
  <c r="I211" i="16"/>
  <c r="H211" i="17" s="1"/>
  <c r="J173" i="16"/>
  <c r="I173" i="16"/>
  <c r="H173" i="17" s="1"/>
  <c r="AC138" i="22"/>
  <c r="AC218" i="22"/>
  <c r="AC293" i="22"/>
  <c r="AC266" i="22"/>
  <c r="AC146" i="22"/>
  <c r="AC147" i="22"/>
  <c r="I37" i="16"/>
  <c r="H37" i="17" s="1"/>
  <c r="I37" i="17" s="1"/>
  <c r="J37" i="16"/>
  <c r="I118" i="16"/>
  <c r="H118" i="17" s="1"/>
  <c r="J118" i="16"/>
  <c r="J46" i="16"/>
  <c r="I46" i="16"/>
  <c r="H46" i="17" s="1"/>
  <c r="I46" i="17" s="1"/>
  <c r="J77" i="16"/>
  <c r="I77" i="16"/>
  <c r="H77" i="17" s="1"/>
  <c r="I77" i="17" s="1"/>
  <c r="J41" i="16"/>
  <c r="I41" i="16"/>
  <c r="H41" i="17" s="1"/>
  <c r="I41" i="17" s="1"/>
  <c r="J345" i="16"/>
  <c r="I345" i="16"/>
  <c r="H345" i="17" s="1"/>
  <c r="I244" i="16"/>
  <c r="H244" i="17" s="1"/>
  <c r="J244" i="16"/>
  <c r="J136" i="16"/>
  <c r="I136" i="16"/>
  <c r="H136" i="17" s="1"/>
  <c r="J136" i="17" s="1"/>
  <c r="J198" i="16"/>
  <c r="I198" i="16"/>
  <c r="H198" i="17" s="1"/>
  <c r="I198" i="17" s="1"/>
  <c r="I330" i="16"/>
  <c r="H330" i="17" s="1"/>
  <c r="J330" i="16"/>
  <c r="I124" i="16"/>
  <c r="H124" i="17" s="1"/>
  <c r="J124" i="16"/>
  <c r="J108" i="16"/>
  <c r="I108" i="16"/>
  <c r="H108" i="17" s="1"/>
  <c r="I108" i="17" s="1"/>
  <c r="J22" i="16"/>
  <c r="I22" i="16"/>
  <c r="H22" i="17" s="1"/>
  <c r="I22" i="17" s="1"/>
  <c r="J146" i="16"/>
  <c r="I146" i="16"/>
  <c r="H146" i="17" s="1"/>
  <c r="J245" i="16"/>
  <c r="I245" i="16"/>
  <c r="H245" i="17" s="1"/>
  <c r="J66" i="16"/>
  <c r="I66" i="16"/>
  <c r="H66" i="17" s="1"/>
  <c r="J366" i="16"/>
  <c r="I366" i="16"/>
  <c r="H366" i="17" s="1"/>
  <c r="J202" i="16"/>
  <c r="I202" i="16"/>
  <c r="H202" i="17" s="1"/>
  <c r="I202" i="17" s="1"/>
  <c r="J313" i="16"/>
  <c r="I313" i="16"/>
  <c r="H313" i="17" s="1"/>
  <c r="J71" i="16"/>
  <c r="I71" i="16"/>
  <c r="H71" i="17" s="1"/>
  <c r="I307" i="16"/>
  <c r="H307" i="17" s="1"/>
  <c r="I307" i="17" s="1"/>
  <c r="J307" i="16"/>
  <c r="J271" i="16"/>
  <c r="I271" i="16"/>
  <c r="H271" i="17" s="1"/>
  <c r="I215" i="16"/>
  <c r="H215" i="17" s="1"/>
  <c r="J215" i="16"/>
  <c r="J267" i="16"/>
  <c r="I267" i="16"/>
  <c r="H267" i="17" s="1"/>
  <c r="I267" i="17" s="1"/>
  <c r="I221" i="16"/>
  <c r="H221" i="17" s="1"/>
  <c r="J221" i="16"/>
  <c r="J377" i="16"/>
  <c r="I377" i="16"/>
  <c r="H377" i="17" s="1"/>
  <c r="I377" i="17" s="1"/>
  <c r="J352" i="16"/>
  <c r="I352" i="16"/>
  <c r="H352" i="17" s="1"/>
  <c r="I352" i="17" s="1"/>
  <c r="J165" i="16"/>
  <c r="I165" i="16"/>
  <c r="H165" i="17" s="1"/>
  <c r="J153" i="16"/>
  <c r="I153" i="16"/>
  <c r="H153" i="17" s="1"/>
  <c r="I81" i="16"/>
  <c r="H81" i="17" s="1"/>
  <c r="J81" i="16"/>
  <c r="J234" i="16"/>
  <c r="I234" i="16"/>
  <c r="H234" i="17" s="1"/>
  <c r="I234" i="17" s="1"/>
  <c r="I147" i="16"/>
  <c r="H147" i="17" s="1"/>
  <c r="J147" i="16"/>
  <c r="J65" i="16"/>
  <c r="I65" i="16"/>
  <c r="H65" i="17" s="1"/>
  <c r="I65" i="17" s="1"/>
  <c r="J328" i="16"/>
  <c r="I328" i="16"/>
  <c r="H328" i="17" s="1"/>
  <c r="J17" i="16"/>
  <c r="I17" i="16"/>
  <c r="H17" i="17" s="1"/>
  <c r="I17" i="17" s="1"/>
  <c r="J55" i="16"/>
  <c r="I55" i="16"/>
  <c r="H55" i="17" s="1"/>
  <c r="I55" i="17" s="1"/>
  <c r="J121" i="16"/>
  <c r="I121" i="16"/>
  <c r="H121" i="17" s="1"/>
  <c r="AC229" i="22"/>
  <c r="AC49" i="23"/>
  <c r="AC98" i="23"/>
  <c r="AC32" i="23"/>
  <c r="AC101" i="23"/>
  <c r="AC66" i="23"/>
  <c r="AC132" i="23"/>
  <c r="AC45" i="23"/>
  <c r="AC23" i="23"/>
  <c r="AC75" i="23"/>
  <c r="AC46" i="23"/>
  <c r="AC57" i="23"/>
  <c r="AC31" i="23"/>
  <c r="AC114" i="23"/>
  <c r="AC58" i="23"/>
  <c r="AC27" i="23"/>
  <c r="AC85" i="23"/>
  <c r="AC59" i="23"/>
  <c r="AC103" i="23"/>
  <c r="AC125" i="23"/>
  <c r="AC69" i="23"/>
  <c r="AC122" i="23"/>
  <c r="AC96" i="23"/>
  <c r="AC120" i="23"/>
  <c r="AC133" i="23"/>
  <c r="AC115" i="23"/>
  <c r="AC41" i="23"/>
  <c r="AC67" i="23"/>
  <c r="AC28" i="23"/>
  <c r="AC106" i="23"/>
  <c r="AC21" i="23"/>
  <c r="AC44" i="23"/>
  <c r="AC81" i="23"/>
  <c r="AC105" i="23"/>
  <c r="AC34" i="23"/>
  <c r="AC121" i="23"/>
  <c r="AC90" i="23"/>
  <c r="AC24" i="23"/>
  <c r="AC82" i="23"/>
  <c r="AC128" i="23"/>
  <c r="AC40" i="23"/>
  <c r="AC97" i="23"/>
  <c r="AC18" i="23"/>
  <c r="AC35" i="23"/>
  <c r="AC100" i="23"/>
  <c r="AC60" i="23"/>
  <c r="AC22" i="23"/>
  <c r="AC38" i="23"/>
  <c r="AC16" i="23"/>
  <c r="AC53" i="23"/>
  <c r="AC110" i="23"/>
  <c r="AC109" i="23"/>
  <c r="AC25" i="23"/>
  <c r="AC119" i="23"/>
  <c r="AC15" i="23"/>
  <c r="AC37" i="23"/>
  <c r="AC17" i="23"/>
  <c r="AC91" i="23"/>
  <c r="AC95" i="23"/>
  <c r="AC123" i="23"/>
  <c r="AC36" i="23"/>
  <c r="AC50" i="23"/>
  <c r="AC26" i="23"/>
  <c r="AC80" i="23"/>
  <c r="AC33" i="23"/>
  <c r="AC116" i="23"/>
  <c r="AC19" i="23"/>
  <c r="AC70" i="23"/>
  <c r="AC51" i="23"/>
  <c r="AC88" i="23"/>
  <c r="AC72" i="23"/>
  <c r="AC61" i="23"/>
  <c r="AC111" i="23"/>
  <c r="AC29" i="23"/>
  <c r="AC107" i="23"/>
  <c r="AC108" i="23"/>
  <c r="AC118" i="23"/>
  <c r="AC92" i="23"/>
  <c r="AC124" i="23"/>
  <c r="AC42" i="23"/>
  <c r="AC84" i="23"/>
  <c r="AC77" i="23"/>
  <c r="AC130" i="23"/>
  <c r="AC94" i="23"/>
  <c r="AC20" i="23"/>
  <c r="AC48" i="23"/>
  <c r="AC89" i="23"/>
  <c r="AC104" i="23"/>
  <c r="AC71" i="23"/>
  <c r="AC68" i="23"/>
  <c r="AC102" i="23"/>
  <c r="AC73" i="23"/>
  <c r="AC127" i="23"/>
  <c r="AC126" i="23"/>
  <c r="AC117" i="23"/>
  <c r="AC87" i="23"/>
  <c r="AC43" i="23"/>
  <c r="AC79" i="23"/>
  <c r="AC112" i="23"/>
  <c r="AC54" i="23"/>
  <c r="AC113" i="23"/>
  <c r="AC83" i="23"/>
  <c r="AC64" i="23"/>
  <c r="AC129" i="23"/>
  <c r="AC55" i="23"/>
  <c r="AC74" i="23"/>
  <c r="AC78" i="23"/>
  <c r="AC47" i="23"/>
  <c r="AC56" i="23"/>
  <c r="AC65" i="23"/>
  <c r="AC62" i="23"/>
  <c r="AC99" i="23"/>
  <c r="AC63" i="23"/>
  <c r="AC86" i="23"/>
  <c r="AC52" i="23"/>
  <c r="AC76" i="23"/>
  <c r="AC93" i="23"/>
  <c r="AC39" i="23"/>
  <c r="AC30" i="23"/>
  <c r="AC131" i="23"/>
  <c r="H302" i="17"/>
  <c r="I302" i="17" s="1"/>
  <c r="AC381" i="20"/>
  <c r="AC383" i="20"/>
  <c r="AC382" i="20"/>
  <c r="D12" i="19"/>
  <c r="G36" i="19"/>
  <c r="AE183" i="18"/>
  <c r="AE248" i="18"/>
  <c r="AE316" i="18"/>
  <c r="AE270" i="18"/>
  <c r="AE323" i="18"/>
  <c r="AE290" i="18"/>
  <c r="AE222" i="18"/>
  <c r="AE246" i="18"/>
  <c r="AE194" i="18"/>
  <c r="AE271" i="18"/>
  <c r="AE129" i="18"/>
  <c r="AE144" i="18"/>
  <c r="AE189" i="18"/>
  <c r="AE340" i="18"/>
  <c r="AE326" i="18"/>
  <c r="AE344" i="18"/>
  <c r="AE210" i="18"/>
  <c r="AE162" i="18"/>
  <c r="AE208" i="18"/>
  <c r="AE215" i="18"/>
  <c r="AE338" i="18"/>
  <c r="AE127" i="18"/>
  <c r="AE219" i="18"/>
  <c r="AE308" i="18"/>
  <c r="AE329" i="18"/>
  <c r="AE236" i="18"/>
  <c r="AE350" i="18"/>
  <c r="AE374" i="18"/>
  <c r="AE240" i="18"/>
  <c r="AE304" i="18"/>
  <c r="AE300" i="18"/>
  <c r="AE169" i="18"/>
  <c r="AE191" i="18"/>
  <c r="AE272" i="18"/>
  <c r="AE179" i="18"/>
  <c r="AE125" i="18"/>
  <c r="AE302" i="18"/>
  <c r="AE255" i="18"/>
  <c r="AE176" i="18"/>
  <c r="AE310" i="18"/>
  <c r="AE364" i="18"/>
  <c r="AE193" i="18"/>
  <c r="AE312" i="18"/>
  <c r="AE336" i="18"/>
  <c r="AE299" i="18"/>
  <c r="AE196" i="18"/>
  <c r="AE322" i="18"/>
  <c r="AE218" i="18"/>
  <c r="AE348" i="18"/>
  <c r="AE278" i="18"/>
  <c r="AE140" i="18"/>
  <c r="AE117" i="18"/>
  <c r="AE368" i="18"/>
  <c r="AE220" i="18"/>
  <c r="AE288" i="18"/>
  <c r="AE363" i="18"/>
  <c r="AE318" i="18"/>
  <c r="AE108" i="18"/>
  <c r="AE231" i="18"/>
  <c r="AE295" i="18"/>
  <c r="AE355" i="18"/>
  <c r="AE239" i="18"/>
  <c r="AE171" i="18"/>
  <c r="AE147" i="18"/>
  <c r="AE284" i="18"/>
  <c r="AE148" i="18"/>
  <c r="AE305" i="18"/>
  <c r="AE105" i="18"/>
  <c r="AE330" i="18"/>
  <c r="AE195" i="18"/>
  <c r="AE168" i="18"/>
  <c r="AE357" i="18"/>
  <c r="AE309" i="18"/>
  <c r="AE184" i="18"/>
  <c r="AE314" i="18"/>
  <c r="AE296" i="18"/>
  <c r="AE157" i="18"/>
  <c r="AE275" i="18"/>
  <c r="AE311" i="18"/>
  <c r="AE135" i="18"/>
  <c r="Q351" i="18"/>
  <c r="Q296" i="18"/>
  <c r="Q114" i="18"/>
  <c r="Q143" i="18"/>
  <c r="Q344" i="18"/>
  <c r="AE204" i="18"/>
  <c r="AE118" i="18"/>
  <c r="AE287" i="18"/>
  <c r="AE130" i="18"/>
  <c r="AE267" i="18"/>
  <c r="AE265" i="18"/>
  <c r="AE226" i="18"/>
  <c r="AE367" i="18"/>
  <c r="AE104" i="18"/>
  <c r="AE332" i="18"/>
  <c r="AE161" i="18"/>
  <c r="AE263" i="18"/>
  <c r="AE351" i="18"/>
  <c r="AE266" i="18"/>
  <c r="AE150" i="18"/>
  <c r="AE165" i="18"/>
  <c r="AE358" i="18"/>
  <c r="AE378" i="18"/>
  <c r="AE289" i="18"/>
  <c r="AE228" i="18"/>
  <c r="AE337" i="18"/>
  <c r="AE261" i="18"/>
  <c r="AE301" i="18"/>
  <c r="AE354" i="18"/>
  <c r="AE177" i="18"/>
  <c r="AE257" i="18"/>
  <c r="AE251" i="18"/>
  <c r="AE293" i="18"/>
  <c r="AE153" i="18"/>
  <c r="AE122" i="18"/>
  <c r="AE252" i="18"/>
  <c r="AE172" i="18"/>
  <c r="AE126" i="18"/>
  <c r="AE217" i="18"/>
  <c r="AE146" i="18"/>
  <c r="AE181" i="18"/>
  <c r="AE138" i="18"/>
  <c r="AE339" i="18"/>
  <c r="AE242" i="18"/>
  <c r="AE260" i="18"/>
  <c r="AE377" i="18"/>
  <c r="AE335" i="18"/>
  <c r="AE365" i="18"/>
  <c r="AE359" i="18"/>
  <c r="AE285" i="18"/>
  <c r="AE360" i="18"/>
  <c r="AE294" i="18"/>
  <c r="AE232" i="18"/>
  <c r="AE244" i="18"/>
  <c r="AE327" i="18"/>
  <c r="AE237" i="18"/>
  <c r="AE345" i="18"/>
  <c r="AE159" i="18"/>
  <c r="AE250" i="18"/>
  <c r="AE321" i="18"/>
  <c r="AE342" i="18"/>
  <c r="AE333" i="18"/>
  <c r="AE262" i="18"/>
  <c r="AE113" i="18"/>
  <c r="AE119" i="18"/>
  <c r="AE319" i="18"/>
  <c r="AE325" i="18"/>
  <c r="AE212" i="18"/>
  <c r="AE234" i="18"/>
  <c r="AE243" i="18"/>
  <c r="AE229" i="18"/>
  <c r="AE123" i="18"/>
  <c r="AE273" i="18"/>
  <c r="AE249" i="18"/>
  <c r="AE121" i="18"/>
  <c r="AE139" i="18"/>
  <c r="AE369" i="18"/>
  <c r="AE256" i="18"/>
  <c r="AE112" i="18"/>
  <c r="AE166" i="18"/>
  <c r="AE375" i="18"/>
  <c r="AE313" i="18"/>
  <c r="AE187" i="18"/>
  <c r="AE247" i="18"/>
  <c r="Q51" i="18"/>
  <c r="Q347" i="18"/>
  <c r="Q253" i="18"/>
  <c r="Q38" i="18"/>
  <c r="Q24" i="18"/>
  <c r="Q29" i="18"/>
  <c r="Q256" i="18"/>
  <c r="Q282" i="18"/>
  <c r="Q219" i="18"/>
  <c r="Q122" i="18"/>
  <c r="Q166" i="18"/>
  <c r="Q93" i="18"/>
  <c r="Q280" i="18"/>
  <c r="Q26" i="18"/>
  <c r="Q121" i="18"/>
  <c r="Q175" i="18"/>
  <c r="Q69" i="18"/>
  <c r="Q181" i="18"/>
  <c r="Q300" i="18"/>
  <c r="Q316" i="18"/>
  <c r="Q348" i="18"/>
  <c r="Q170" i="18"/>
  <c r="Q217" i="18"/>
  <c r="Q56" i="18"/>
  <c r="Q147" i="18"/>
  <c r="Q315" i="18"/>
  <c r="Q162" i="18"/>
  <c r="Q251" i="18"/>
  <c r="Q62" i="18"/>
  <c r="Q342" i="18"/>
  <c r="Q202" i="18"/>
  <c r="Q159" i="18"/>
  <c r="Q111" i="18"/>
  <c r="Q49" i="18"/>
  <c r="Q45" i="18"/>
  <c r="Q220" i="18"/>
  <c r="Q231" i="18"/>
  <c r="Q96" i="18"/>
  <c r="Q101" i="18"/>
  <c r="Q176" i="18"/>
  <c r="Q366" i="18"/>
  <c r="Q285" i="18"/>
  <c r="Q299" i="18"/>
  <c r="Q275" i="18"/>
  <c r="Q238" i="18"/>
  <c r="Q216" i="18"/>
  <c r="Q135" i="18"/>
  <c r="Q204" i="18"/>
  <c r="Q346" i="18"/>
  <c r="Q156" i="18"/>
  <c r="Q358" i="18"/>
  <c r="Q236" i="18"/>
  <c r="Q338" i="18"/>
  <c r="Q42" i="18"/>
  <c r="Q364" i="18"/>
  <c r="Q163" i="18"/>
  <c r="Q209" i="18"/>
  <c r="Q354" i="18"/>
  <c r="Q80" i="18"/>
  <c r="Q109" i="18"/>
  <c r="Q286" i="18"/>
  <c r="Q352" i="18"/>
  <c r="Q376" i="18"/>
  <c r="Q97" i="18"/>
  <c r="Q77" i="18"/>
  <c r="Q148" i="18"/>
  <c r="Q75" i="18"/>
  <c r="Q267" i="18"/>
  <c r="Q138" i="18"/>
  <c r="Q66" i="18"/>
  <c r="Q302" i="18"/>
  <c r="Q132" i="18"/>
  <c r="Q179" i="18"/>
  <c r="Q70" i="18"/>
  <c r="Q270" i="18"/>
  <c r="Q98" i="18"/>
  <c r="Q293" i="18"/>
  <c r="Q349" i="18"/>
  <c r="Q353" i="18"/>
  <c r="Q67" i="18"/>
  <c r="Q32" i="18"/>
  <c r="Q335" i="18"/>
  <c r="Q15" i="18"/>
  <c r="Q228" i="18"/>
  <c r="Q213" i="18"/>
  <c r="Q123" i="18"/>
  <c r="Q33" i="18"/>
  <c r="Q104" i="18"/>
  <c r="Q95" i="18"/>
  <c r="Q328" i="18"/>
  <c r="Q25" i="18"/>
  <c r="Q41" i="18"/>
  <c r="Q182" i="18"/>
  <c r="Q259" i="18"/>
  <c r="Q247" i="18"/>
  <c r="Q237" i="18"/>
  <c r="Q356" i="18"/>
  <c r="Q321" i="18"/>
  <c r="Q334" i="18"/>
  <c r="Q341" i="18"/>
  <c r="Q245" i="18"/>
  <c r="Q203" i="18"/>
  <c r="Q108" i="18"/>
  <c r="Q59" i="18"/>
  <c r="Q277" i="18"/>
  <c r="Q322" i="18"/>
  <c r="Q272" i="18"/>
  <c r="Q194" i="18"/>
  <c r="Q72" i="18"/>
  <c r="Q50" i="18"/>
  <c r="Q265" i="18"/>
  <c r="Q320" i="18"/>
  <c r="Q345" i="18"/>
  <c r="Q241" i="18"/>
  <c r="Q76" i="18"/>
  <c r="Q248" i="18"/>
  <c r="Q186" i="18"/>
  <c r="Q43" i="18"/>
  <c r="Q40" i="18"/>
  <c r="Q198" i="18"/>
  <c r="Q192" i="18"/>
  <c r="Q218" i="18"/>
  <c r="Q200" i="18"/>
  <c r="Q169" i="18"/>
  <c r="Q168" i="18"/>
  <c r="Q379" i="18"/>
  <c r="Q371" i="18"/>
  <c r="Q288" i="18"/>
  <c r="Q197" i="18"/>
  <c r="Q279" i="18"/>
  <c r="Q193" i="18"/>
  <c r="Q124" i="18"/>
  <c r="Q91" i="18"/>
  <c r="Q370" i="18"/>
  <c r="Q336" i="18"/>
  <c r="Q165" i="18"/>
  <c r="Q60" i="18"/>
  <c r="Q289" i="18"/>
  <c r="Q313" i="18"/>
  <c r="Q268" i="18"/>
  <c r="Q71" i="18"/>
  <c r="Q46" i="18"/>
  <c r="Q239" i="18"/>
  <c r="Q323" i="18"/>
  <c r="Q153" i="18"/>
  <c r="Q229" i="18"/>
  <c r="Q368" i="18"/>
  <c r="Q222" i="18"/>
  <c r="Q154" i="18"/>
  <c r="Q287" i="18"/>
  <c r="Q102" i="18"/>
  <c r="Q171" i="18"/>
  <c r="Q22" i="18"/>
  <c r="Q290" i="18"/>
  <c r="Q118" i="18"/>
  <c r="Q16" i="18"/>
  <c r="Q68" i="18"/>
  <c r="Q190" i="18"/>
  <c r="Q196" i="18"/>
  <c r="Q151" i="18"/>
  <c r="Q377" i="18"/>
  <c r="Q234" i="18"/>
  <c r="Q155" i="18"/>
  <c r="Q37" i="18"/>
  <c r="Q126" i="18"/>
  <c r="Q243" i="18"/>
  <c r="Q367" i="18"/>
  <c r="Q298" i="18"/>
  <c r="Q115" i="18"/>
  <c r="Q113" i="18"/>
  <c r="Q263" i="18"/>
  <c r="Q214" i="18"/>
  <c r="Q89" i="18"/>
  <c r="Q64" i="18"/>
  <c r="Q52" i="18"/>
  <c r="Q324" i="18"/>
  <c r="Q319" i="18"/>
  <c r="Q301" i="18"/>
  <c r="AE33" i="18"/>
  <c r="AE15" i="18"/>
  <c r="AE29" i="18"/>
  <c r="AE62" i="18"/>
  <c r="AE19" i="18"/>
  <c r="AE60" i="18"/>
  <c r="AE264" i="18"/>
  <c r="AE90" i="18"/>
  <c r="AE116" i="18"/>
  <c r="AE92" i="18"/>
  <c r="AE197" i="18"/>
  <c r="AE86" i="18"/>
  <c r="AE362" i="18"/>
  <c r="AE51" i="18"/>
  <c r="AE47" i="18"/>
  <c r="AE67" i="18"/>
  <c r="AE36" i="18"/>
  <c r="AE80" i="18"/>
  <c r="AE280" i="18"/>
  <c r="AE282" i="18"/>
  <c r="AE21" i="18"/>
  <c r="AE71" i="18"/>
  <c r="AE41" i="18"/>
  <c r="AE34" i="18"/>
  <c r="AE59" i="18"/>
  <c r="AE74" i="18"/>
  <c r="AE149" i="18"/>
  <c r="AE98" i="18"/>
  <c r="AE259" i="18"/>
  <c r="AE43" i="18"/>
  <c r="AE97" i="18"/>
  <c r="AE188" i="18"/>
  <c r="AE58" i="18"/>
  <c r="AE85" i="18"/>
  <c r="AE37" i="18"/>
  <c r="AE199" i="18"/>
  <c r="AE258" i="18"/>
  <c r="AE152" i="18"/>
  <c r="AE38" i="18"/>
  <c r="AE63" i="18"/>
  <c r="AE213" i="18"/>
  <c r="AE245" i="18"/>
  <c r="AE224" i="18"/>
  <c r="AE22" i="18"/>
  <c r="AE28" i="18"/>
  <c r="AE70" i="18"/>
  <c r="AE268" i="18"/>
  <c r="AE78" i="18"/>
  <c r="AE82" i="18"/>
  <c r="AE83" i="18"/>
  <c r="AE76" i="18"/>
  <c r="AE91" i="18"/>
  <c r="AE40" i="18"/>
  <c r="AE49" i="18"/>
  <c r="AE192" i="18"/>
  <c r="AE77" i="18"/>
  <c r="AE202" i="18"/>
  <c r="AE185" i="18"/>
  <c r="AE25" i="18"/>
  <c r="AE95" i="18"/>
  <c r="AE52" i="18"/>
  <c r="AE18" i="18"/>
  <c r="AE42" i="18"/>
  <c r="AE66" i="18"/>
  <c r="Q369" i="18"/>
  <c r="Q312" i="18"/>
  <c r="Q44" i="18"/>
  <c r="Q207" i="18"/>
  <c r="Q184" i="18"/>
  <c r="Q65" i="18"/>
  <c r="Q86" i="18"/>
  <c r="Q292" i="18"/>
  <c r="Q167" i="18"/>
  <c r="Q223" i="18"/>
  <c r="Q221" i="18"/>
  <c r="Q129" i="18"/>
  <c r="Q269" i="18"/>
  <c r="Q283" i="18"/>
  <c r="Q257" i="18"/>
  <c r="Q191" i="18"/>
  <c r="Q350" i="18"/>
  <c r="Q360" i="18"/>
  <c r="Q107" i="18"/>
  <c r="Q362" i="18"/>
  <c r="Q53" i="18"/>
  <c r="Q63" i="18"/>
  <c r="Q78" i="18"/>
  <c r="Q325" i="18"/>
  <c r="Q157" i="18"/>
  <c r="Q136" i="18"/>
  <c r="Q281" i="18"/>
  <c r="Q142" i="18"/>
  <c r="Q149" i="18"/>
  <c r="Q264" i="18"/>
  <c r="Q210" i="18"/>
  <c r="Q144" i="18"/>
  <c r="Q57" i="18"/>
  <c r="Q199" i="18"/>
  <c r="Q244" i="18"/>
  <c r="Q180" i="18"/>
  <c r="Q306" i="18"/>
  <c r="Q303" i="18"/>
  <c r="Q73" i="18"/>
  <c r="Q331" i="18"/>
  <c r="Q110" i="18"/>
  <c r="Q88" i="18"/>
  <c r="Q145" i="18"/>
  <c r="Q23" i="18"/>
  <c r="Q74" i="18"/>
  <c r="Q139" i="18"/>
  <c r="Q294" i="18"/>
  <c r="Q318" i="18"/>
  <c r="Q276" i="18"/>
  <c r="Q134" i="18"/>
  <c r="Q187" i="18"/>
  <c r="Q284" i="18"/>
  <c r="Q146" i="18"/>
  <c r="Q116" i="18"/>
  <c r="Q365" i="18"/>
  <c r="Q85" i="18"/>
  <c r="Q274" i="18"/>
  <c r="Q140" i="18"/>
  <c r="Q54" i="18"/>
  <c r="Q232" i="18"/>
  <c r="Q188" i="18"/>
  <c r="Q58" i="18"/>
  <c r="Q90" i="18"/>
  <c r="Q30" i="18"/>
  <c r="Q305" i="18"/>
  <c r="Q339" i="18"/>
  <c r="Q258" i="18"/>
  <c r="Q343" i="18"/>
  <c r="Q250" i="18"/>
  <c r="Q164" i="18"/>
  <c r="Q161" i="18"/>
  <c r="Q329" i="18"/>
  <c r="Q83" i="18"/>
  <c r="Q103" i="18"/>
  <c r="Q125" i="18"/>
  <c r="Q28" i="18"/>
  <c r="Q235" i="18"/>
  <c r="Q127" i="18"/>
  <c r="Q160" i="18"/>
  <c r="Q79" i="18"/>
  <c r="Q266" i="18"/>
  <c r="Q355" i="18"/>
  <c r="Q225" i="18"/>
  <c r="Q36" i="18"/>
  <c r="Q273" i="18"/>
  <c r="Q317" i="18"/>
  <c r="Q378" i="18"/>
  <c r="Q311" i="18"/>
  <c r="Q189" i="18"/>
  <c r="Q310" i="18"/>
  <c r="Q261" i="18"/>
  <c r="Q119" i="18"/>
  <c r="Q201" i="18"/>
  <c r="Q373" i="18"/>
  <c r="Q183" i="18"/>
  <c r="Q27" i="18"/>
  <c r="Q332" i="18"/>
  <c r="Q255" i="18"/>
  <c r="Q34" i="18"/>
  <c r="Q130" i="18"/>
  <c r="Q330" i="18"/>
  <c r="Q82" i="18"/>
  <c r="Q131" i="18"/>
  <c r="Q226" i="18"/>
  <c r="Q212" i="18"/>
  <c r="Q106" i="18"/>
  <c r="Q128" i="18"/>
  <c r="Q31" i="18"/>
  <c r="Q337" i="18"/>
  <c r="Q206" i="18"/>
  <c r="Q17" i="18"/>
  <c r="Q137" i="18"/>
  <c r="Q205" i="18"/>
  <c r="Q133" i="18"/>
  <c r="Q211" i="18"/>
  <c r="Q357" i="18"/>
  <c r="Q39" i="18"/>
  <c r="Q326" i="18"/>
  <c r="Q240" i="18"/>
  <c r="Q242" i="18"/>
  <c r="Q61" i="18"/>
  <c r="Q185" i="18"/>
  <c r="Q359" i="18"/>
  <c r="Q260" i="18"/>
  <c r="Q254" i="18"/>
  <c r="Q152" i="18"/>
  <c r="Q227" i="18"/>
  <c r="Q271" i="18"/>
  <c r="Q48" i="18"/>
  <c r="Q47" i="18"/>
  <c r="Q19" i="18"/>
  <c r="Q340" i="18"/>
  <c r="Q291" i="18"/>
  <c r="Q372" i="18"/>
  <c r="Q363" i="18"/>
  <c r="Q233" i="18"/>
  <c r="Q327" i="18"/>
  <c r="Q208" i="18"/>
  <c r="Q20" i="18"/>
  <c r="Q84" i="18"/>
  <c r="Q92" i="18"/>
  <c r="Q100" i="18"/>
  <c r="Q81" i="18"/>
  <c r="Q141" i="18"/>
  <c r="Q94" i="18"/>
  <c r="Q99" i="18"/>
  <c r="Q172" i="18"/>
  <c r="Q278" i="18"/>
  <c r="Q307" i="18"/>
  <c r="Q297" i="18"/>
  <c r="Q177" i="18"/>
  <c r="Q174" i="18"/>
  <c r="Q252" i="18"/>
  <c r="Q120" i="18"/>
  <c r="Q173" i="18"/>
  <c r="Q35" i="18"/>
  <c r="Q333" i="18"/>
  <c r="Q117" i="18"/>
  <c r="Q18" i="18"/>
  <c r="Q246" i="18"/>
  <c r="Q21" i="18"/>
  <c r="Q308" i="18"/>
  <c r="Q375" i="18"/>
  <c r="Q105" i="18"/>
  <c r="Q215" i="18"/>
  <c r="Q374" i="18"/>
  <c r="Q230" i="18"/>
  <c r="Q309" i="18"/>
  <c r="Q314" i="18"/>
  <c r="Q195" i="18"/>
  <c r="Q158" i="18"/>
  <c r="Q112" i="18"/>
  <c r="Q304" i="18"/>
  <c r="Q178" i="18"/>
  <c r="Q262" i="18"/>
  <c r="Q249" i="18"/>
  <c r="Q87" i="18"/>
  <c r="Q150" i="18"/>
  <c r="Q295" i="18"/>
  <c r="AE107" i="18"/>
  <c r="AE94" i="18"/>
  <c r="AE31" i="18"/>
  <c r="AE23" i="18"/>
  <c r="AE27" i="18"/>
  <c r="AE93" i="18"/>
  <c r="AE102" i="18"/>
  <c r="AE109" i="18"/>
  <c r="AE89" i="18"/>
  <c r="AE56" i="18"/>
  <c r="AE65" i="18"/>
  <c r="AE55" i="18"/>
  <c r="AE175" i="18"/>
  <c r="AE241" i="18"/>
  <c r="AE69" i="18"/>
  <c r="AE35" i="18"/>
  <c r="AE46" i="18"/>
  <c r="AE53" i="18"/>
  <c r="AE32" i="18"/>
  <c r="AE39" i="18"/>
  <c r="AE26" i="18"/>
  <c r="AE99" i="18"/>
  <c r="AE79" i="18"/>
  <c r="AE223" i="18"/>
  <c r="AE84" i="18"/>
  <c r="AE206" i="18"/>
  <c r="AE88" i="18"/>
  <c r="AE61" i="18"/>
  <c r="AE16" i="18"/>
  <c r="AE349" i="18"/>
  <c r="AE17" i="18"/>
  <c r="AE30" i="18"/>
  <c r="AE163" i="18"/>
  <c r="AC15" i="7"/>
  <c r="AE73" i="18"/>
  <c r="AE68" i="18"/>
  <c r="AE87" i="18"/>
  <c r="AE75" i="18"/>
  <c r="AE50" i="18"/>
  <c r="AE81" i="18"/>
  <c r="AE101" i="18"/>
  <c r="AE96" i="18"/>
  <c r="AE72" i="18"/>
  <c r="AE200" i="18"/>
  <c r="AE124" i="18"/>
  <c r="AE100" i="18"/>
  <c r="AE48" i="18"/>
  <c r="AE253" i="18"/>
  <c r="AE24" i="18"/>
  <c r="AE54" i="18"/>
  <c r="AE45" i="18"/>
  <c r="AE352" i="18"/>
  <c r="AE133" i="18"/>
  <c r="AE128" i="18"/>
  <c r="AE103" i="18"/>
  <c r="AE57" i="18"/>
  <c r="AE20" i="18"/>
  <c r="AE328" i="18"/>
  <c r="AE283" i="18"/>
  <c r="AE238" i="18"/>
  <c r="AE44" i="18"/>
  <c r="AE64" i="18"/>
  <c r="AE205" i="18"/>
  <c r="AE216" i="18"/>
  <c r="V379" i="17"/>
  <c r="F379" i="17" s="1"/>
  <c r="G379" i="17" s="1"/>
  <c r="BZ379" i="6" s="1"/>
  <c r="D38" i="19"/>
  <c r="AK9" i="16"/>
  <c r="AK11" i="16" s="1"/>
  <c r="AM9" i="16"/>
  <c r="G29" i="17"/>
  <c r="BZ29" i="6" s="1"/>
  <c r="G64" i="19"/>
  <c r="G180" i="17"/>
  <c r="BZ180" i="6" s="1"/>
  <c r="F60" i="17"/>
  <c r="G60" i="17" s="1"/>
  <c r="BZ60" i="6" s="1"/>
  <c r="AA180" i="17"/>
  <c r="Z180" i="17" s="1"/>
  <c r="Y180" i="17" s="1"/>
  <c r="AA241" i="17"/>
  <c r="Z241" i="17" s="1"/>
  <c r="Y241" i="17" s="1"/>
  <c r="AA302" i="17"/>
  <c r="Z302" i="17" s="1"/>
  <c r="Y302" i="17" s="1"/>
  <c r="U10" i="18"/>
  <c r="AA210" i="17"/>
  <c r="Z210" i="17" s="1"/>
  <c r="Y210" i="17" s="1"/>
  <c r="I64" i="19"/>
  <c r="H241" i="17"/>
  <c r="I241" i="17" s="1"/>
  <c r="G210" i="17"/>
  <c r="BZ210" i="6" s="1"/>
  <c r="G363" i="17"/>
  <c r="BZ363" i="6" s="1"/>
  <c r="G302" i="17"/>
  <c r="BZ302" i="6" s="1"/>
  <c r="AA363" i="17"/>
  <c r="Z363" i="17" s="1"/>
  <c r="Y363" i="17" s="1"/>
  <c r="AI34" i="18"/>
  <c r="AH34" i="18" s="1"/>
  <c r="AG34" i="18" s="1"/>
  <c r="AF34" i="18" s="1"/>
  <c r="AG15" i="17"/>
  <c r="AH382" i="17"/>
  <c r="AH383" i="17"/>
  <c r="AH381" i="17"/>
  <c r="T383" i="17"/>
  <c r="T381" i="17"/>
  <c r="S15" i="17"/>
  <c r="T382" i="17"/>
  <c r="AJ4" i="1"/>
  <c r="P11" i="19" s="1"/>
  <c r="M12" i="19" s="1"/>
  <c r="AL13" i="1"/>
  <c r="AK4" i="1"/>
  <c r="R11" i="19" s="1"/>
  <c r="AM13" i="1"/>
  <c r="J11" i="19"/>
  <c r="AA11" i="1"/>
  <c r="AA5" i="1" s="1"/>
  <c r="I11" i="19" s="1"/>
  <c r="I35" i="19" s="1"/>
  <c r="Y11" i="1"/>
  <c r="Z5" i="1"/>
  <c r="H11" i="19" s="1"/>
  <c r="H35" i="19" s="1"/>
  <c r="Z381" i="15"/>
  <c r="Z382" i="15"/>
  <c r="Z9" i="15"/>
  <c r="Y15" i="15"/>
  <c r="AM5" i="15" s="1"/>
  <c r="AM11" i="15" s="1"/>
  <c r="AK3" i="15" s="1"/>
  <c r="Q12" i="19" s="1"/>
  <c r="AL8" i="15"/>
  <c r="Z383" i="15"/>
  <c r="I381" i="15"/>
  <c r="I382" i="15"/>
  <c r="I383" i="15"/>
  <c r="B7" i="6"/>
  <c r="K7" i="7"/>
  <c r="J381" i="15"/>
  <c r="J383" i="15"/>
  <c r="J382" i="15"/>
  <c r="I167" i="17"/>
  <c r="J167" i="17"/>
  <c r="J320" i="17"/>
  <c r="I320" i="17"/>
  <c r="I210" i="17"/>
  <c r="J210" i="17"/>
  <c r="AA94" i="17"/>
  <c r="Z94" i="17" s="1"/>
  <c r="Y94" i="17" s="1"/>
  <c r="G94" i="17"/>
  <c r="BZ94" i="6" s="1"/>
  <c r="H94" i="17"/>
  <c r="AA45" i="17"/>
  <c r="Z45" i="17" s="1"/>
  <c r="Y45" i="17" s="1"/>
  <c r="G45" i="17"/>
  <c r="BZ45" i="6" s="1"/>
  <c r="H45" i="17"/>
  <c r="G154" i="17"/>
  <c r="BZ154" i="6" s="1"/>
  <c r="H154" i="17"/>
  <c r="AA154" i="17"/>
  <c r="Z154" i="17" s="1"/>
  <c r="Y154" i="17" s="1"/>
  <c r="H149" i="17"/>
  <c r="AA149" i="17"/>
  <c r="Z149" i="17" s="1"/>
  <c r="Y149" i="17" s="1"/>
  <c r="G149" i="17"/>
  <c r="BZ149" i="6" s="1"/>
  <c r="AA362" i="17"/>
  <c r="Z362" i="17" s="1"/>
  <c r="Y362" i="17" s="1"/>
  <c r="G362" i="17"/>
  <c r="BZ362" i="6" s="1"/>
  <c r="H362" i="17"/>
  <c r="AA194" i="17"/>
  <c r="Z194" i="17" s="1"/>
  <c r="Y194" i="17" s="1"/>
  <c r="H194" i="17"/>
  <c r="G194" i="17"/>
  <c r="BZ194" i="6" s="1"/>
  <c r="G188" i="17"/>
  <c r="BZ188" i="6" s="1"/>
  <c r="AA188" i="17"/>
  <c r="Z188" i="17" s="1"/>
  <c r="Y188" i="17" s="1"/>
  <c r="H188" i="17"/>
  <c r="G356" i="17"/>
  <c r="BZ356" i="6" s="1"/>
  <c r="H356" i="17"/>
  <c r="AA356" i="17"/>
  <c r="Z356" i="17" s="1"/>
  <c r="Y356" i="17" s="1"/>
  <c r="AA250" i="17"/>
  <c r="Z250" i="17" s="1"/>
  <c r="Y250" i="17" s="1"/>
  <c r="H250" i="17"/>
  <c r="G250" i="17"/>
  <c r="BZ250" i="6" s="1"/>
  <c r="AA147" i="17"/>
  <c r="Z147" i="17" s="1"/>
  <c r="Y147" i="17" s="1"/>
  <c r="G147" i="17"/>
  <c r="BZ147" i="6" s="1"/>
  <c r="H142" i="17"/>
  <c r="G142" i="17"/>
  <c r="BZ142" i="6" s="1"/>
  <c r="AA142" i="17"/>
  <c r="Z142" i="17" s="1"/>
  <c r="Y142" i="17" s="1"/>
  <c r="H95" i="17"/>
  <c r="AA95" i="17"/>
  <c r="Z95" i="17" s="1"/>
  <c r="Y95" i="17" s="1"/>
  <c r="G95" i="17"/>
  <c r="BZ95" i="6" s="1"/>
  <c r="H27" i="17"/>
  <c r="G27" i="17"/>
  <c r="BZ27" i="6" s="1"/>
  <c r="AA27" i="17"/>
  <c r="Z27" i="17" s="1"/>
  <c r="Y27" i="17" s="1"/>
  <c r="AA336" i="17"/>
  <c r="Z336" i="17" s="1"/>
  <c r="Y336" i="17" s="1"/>
  <c r="G336" i="17"/>
  <c r="BZ336" i="6" s="1"/>
  <c r="H336" i="17"/>
  <c r="H43" i="17"/>
  <c r="G43" i="17"/>
  <c r="BZ43" i="6" s="1"/>
  <c r="AA43" i="17"/>
  <c r="Z43" i="17" s="1"/>
  <c r="Y43" i="17" s="1"/>
  <c r="G344" i="17"/>
  <c r="BZ344" i="6" s="1"/>
  <c r="AA344" i="17"/>
  <c r="Z344" i="17" s="1"/>
  <c r="Y344" i="17" s="1"/>
  <c r="H344" i="17"/>
  <c r="AA63" i="17"/>
  <c r="Z63" i="17" s="1"/>
  <c r="Y63" i="17" s="1"/>
  <c r="G63" i="17"/>
  <c r="BZ63" i="6" s="1"/>
  <c r="H63" i="17"/>
  <c r="G195" i="17"/>
  <c r="BZ195" i="6" s="1"/>
  <c r="AA195" i="17"/>
  <c r="Z195" i="17" s="1"/>
  <c r="Y195" i="17" s="1"/>
  <c r="H195" i="17"/>
  <c r="AA269" i="17"/>
  <c r="Z269" i="17" s="1"/>
  <c r="Y269" i="17" s="1"/>
  <c r="G269" i="17"/>
  <c r="BZ269" i="6" s="1"/>
  <c r="H269" i="17"/>
  <c r="G279" i="17"/>
  <c r="BZ279" i="6" s="1"/>
  <c r="AA279" i="17"/>
  <c r="Z279" i="17" s="1"/>
  <c r="Y279" i="17" s="1"/>
  <c r="H279" i="17"/>
  <c r="G184" i="17"/>
  <c r="BZ184" i="6" s="1"/>
  <c r="AA184" i="17"/>
  <c r="Z184" i="17" s="1"/>
  <c r="Y184" i="17" s="1"/>
  <c r="H184" i="17"/>
  <c r="H339" i="17"/>
  <c r="G339" i="17"/>
  <c r="BZ339" i="6" s="1"/>
  <c r="AA339" i="17"/>
  <c r="Z339" i="17" s="1"/>
  <c r="Y339" i="17" s="1"/>
  <c r="G251" i="17"/>
  <c r="BZ251" i="6" s="1"/>
  <c r="AA251" i="17"/>
  <c r="Z251" i="17" s="1"/>
  <c r="Y251" i="17" s="1"/>
  <c r="H101" i="17"/>
  <c r="AA101" i="17"/>
  <c r="Z101" i="17" s="1"/>
  <c r="Y101" i="17" s="1"/>
  <c r="G101" i="17"/>
  <c r="BZ101" i="6" s="1"/>
  <c r="AA72" i="17"/>
  <c r="Z72" i="17" s="1"/>
  <c r="Y72" i="17" s="1"/>
  <c r="G72" i="17"/>
  <c r="BZ72" i="6" s="1"/>
  <c r="AA57" i="17"/>
  <c r="Z57" i="17" s="1"/>
  <c r="Y57" i="17" s="1"/>
  <c r="G57" i="17"/>
  <c r="BZ57" i="6" s="1"/>
  <c r="G81" i="17"/>
  <c r="BZ81" i="6" s="1"/>
  <c r="AA81" i="17"/>
  <c r="Z81" i="17" s="1"/>
  <c r="Y81" i="17" s="1"/>
  <c r="H289" i="17"/>
  <c r="G289" i="17"/>
  <c r="BZ289" i="6" s="1"/>
  <c r="AA289" i="17"/>
  <c r="Z289" i="17" s="1"/>
  <c r="Y289" i="17" s="1"/>
  <c r="AA82" i="17"/>
  <c r="Z82" i="17" s="1"/>
  <c r="Y82" i="17" s="1"/>
  <c r="H82" i="17"/>
  <c r="G82" i="17"/>
  <c r="BZ82" i="6" s="1"/>
  <c r="AA283" i="17"/>
  <c r="Z283" i="17" s="1"/>
  <c r="Y283" i="17" s="1"/>
  <c r="G283" i="17"/>
  <c r="BZ283" i="6" s="1"/>
  <c r="H283" i="17"/>
  <c r="G182" i="17"/>
  <c r="BZ182" i="6" s="1"/>
  <c r="AA182" i="17"/>
  <c r="Z182" i="17" s="1"/>
  <c r="Y182" i="17" s="1"/>
  <c r="H182" i="17"/>
  <c r="AA304" i="17"/>
  <c r="Z304" i="17" s="1"/>
  <c r="Y304" i="17" s="1"/>
  <c r="H304" i="17"/>
  <c r="G304" i="17"/>
  <c r="BZ304" i="6" s="1"/>
  <c r="G217" i="17"/>
  <c r="BZ217" i="6" s="1"/>
  <c r="AA217" i="17"/>
  <c r="Z217" i="17" s="1"/>
  <c r="Y217" i="17" s="1"/>
  <c r="H217" i="17"/>
  <c r="AA263" i="17"/>
  <c r="Z263" i="17" s="1"/>
  <c r="Y263" i="17" s="1"/>
  <c r="G263" i="17"/>
  <c r="BZ263" i="6" s="1"/>
  <c r="H263" i="17"/>
  <c r="AA256" i="17"/>
  <c r="Z256" i="17" s="1"/>
  <c r="Y256" i="17" s="1"/>
  <c r="G256" i="17"/>
  <c r="BZ256" i="6" s="1"/>
  <c r="H256" i="17"/>
  <c r="G100" i="17"/>
  <c r="BZ100" i="6" s="1"/>
  <c r="AA100" i="17"/>
  <c r="Z100" i="17" s="1"/>
  <c r="Y100" i="17" s="1"/>
  <c r="H100" i="17"/>
  <c r="G238" i="17"/>
  <c r="BZ238" i="6" s="1"/>
  <c r="AA238" i="17"/>
  <c r="Z238" i="17" s="1"/>
  <c r="Y238" i="17" s="1"/>
  <c r="H238" i="17"/>
  <c r="H359" i="17"/>
  <c r="AA359" i="17"/>
  <c r="Z359" i="17" s="1"/>
  <c r="Y359" i="17" s="1"/>
  <c r="G359" i="17"/>
  <c r="BZ359" i="6" s="1"/>
  <c r="AA366" i="17"/>
  <c r="Z366" i="17" s="1"/>
  <c r="Y366" i="17" s="1"/>
  <c r="G366" i="17"/>
  <c r="BZ366" i="6" s="1"/>
  <c r="G328" i="17"/>
  <c r="BZ328" i="6" s="1"/>
  <c r="AA328" i="17"/>
  <c r="Z328" i="17" s="1"/>
  <c r="Y328" i="17" s="1"/>
  <c r="H157" i="17"/>
  <c r="AA157" i="17"/>
  <c r="Z157" i="17" s="1"/>
  <c r="Y157" i="17" s="1"/>
  <c r="G157" i="17"/>
  <c r="BZ157" i="6" s="1"/>
  <c r="H376" i="17"/>
  <c r="G376" i="17"/>
  <c r="BZ376" i="6" s="1"/>
  <c r="AA376" i="17"/>
  <c r="Z376" i="17" s="1"/>
  <c r="Y376" i="17" s="1"/>
  <c r="AA246" i="17"/>
  <c r="Z246" i="17" s="1"/>
  <c r="Y246" i="17" s="1"/>
  <c r="G246" i="17"/>
  <c r="BZ246" i="6" s="1"/>
  <c r="H246" i="17"/>
  <c r="G190" i="17"/>
  <c r="BZ190" i="6" s="1"/>
  <c r="AA190" i="17"/>
  <c r="Z190" i="17" s="1"/>
  <c r="Y190" i="17" s="1"/>
  <c r="H190" i="17"/>
  <c r="G297" i="17"/>
  <c r="BZ297" i="6" s="1"/>
  <c r="AA297" i="17"/>
  <c r="Z297" i="17" s="1"/>
  <c r="Y297" i="17" s="1"/>
  <c r="H297" i="17"/>
  <c r="AA155" i="17"/>
  <c r="Z155" i="17" s="1"/>
  <c r="Y155" i="17" s="1"/>
  <c r="G155" i="17"/>
  <c r="BZ155" i="6" s="1"/>
  <c r="H155" i="17"/>
  <c r="AA209" i="17"/>
  <c r="Z209" i="17" s="1"/>
  <c r="Y209" i="17" s="1"/>
  <c r="H209" i="17"/>
  <c r="G209" i="17"/>
  <c r="BZ209" i="6" s="1"/>
  <c r="H372" i="17"/>
  <c r="G372" i="17"/>
  <c r="BZ372" i="6" s="1"/>
  <c r="AA372" i="17"/>
  <c r="Z372" i="17" s="1"/>
  <c r="Y372" i="17" s="1"/>
  <c r="G305" i="17"/>
  <c r="BZ305" i="6" s="1"/>
  <c r="H305" i="17"/>
  <c r="AA305" i="17"/>
  <c r="Z305" i="17" s="1"/>
  <c r="Y305" i="17" s="1"/>
  <c r="AA197" i="17"/>
  <c r="Z197" i="17" s="1"/>
  <c r="Y197" i="17" s="1"/>
  <c r="H197" i="17"/>
  <c r="G197" i="17"/>
  <c r="BZ197" i="6" s="1"/>
  <c r="H319" i="17"/>
  <c r="AA319" i="17"/>
  <c r="Z319" i="17" s="1"/>
  <c r="Y319" i="17" s="1"/>
  <c r="G319" i="17"/>
  <c r="BZ319" i="6" s="1"/>
  <c r="G272" i="17"/>
  <c r="BZ272" i="6" s="1"/>
  <c r="H272" i="17"/>
  <c r="AA272" i="17"/>
  <c r="Z272" i="17" s="1"/>
  <c r="Y272" i="17" s="1"/>
  <c r="AA290" i="17"/>
  <c r="Z290" i="17" s="1"/>
  <c r="Y290" i="17" s="1"/>
  <c r="G290" i="17"/>
  <c r="BZ290" i="6" s="1"/>
  <c r="H290" i="17"/>
  <c r="AA67" i="17"/>
  <c r="Z67" i="17" s="1"/>
  <c r="Y67" i="17" s="1"/>
  <c r="H67" i="17"/>
  <c r="G67" i="17"/>
  <c r="BZ67" i="6" s="1"/>
  <c r="G248" i="17"/>
  <c r="BZ248" i="6" s="1"/>
  <c r="AA248" i="17"/>
  <c r="Z248" i="17" s="1"/>
  <c r="Y248" i="17" s="1"/>
  <c r="H248" i="17"/>
  <c r="AA15" i="16"/>
  <c r="AM7" i="16" s="1"/>
  <c r="H15" i="16"/>
  <c r="F383" i="16"/>
  <c r="F381" i="16"/>
  <c r="F9" i="16"/>
  <c r="G15" i="16"/>
  <c r="F382" i="16"/>
  <c r="AM10" i="16"/>
  <c r="AK10" i="16"/>
  <c r="AK12" i="16" s="1"/>
  <c r="AA350" i="17"/>
  <c r="Z350" i="17" s="1"/>
  <c r="Y350" i="17" s="1"/>
  <c r="G350" i="17"/>
  <c r="BZ350" i="6" s="1"/>
  <c r="H350" i="17"/>
  <c r="H287" i="17"/>
  <c r="G287" i="17"/>
  <c r="BZ287" i="6" s="1"/>
  <c r="AA287" i="17"/>
  <c r="Z287" i="17" s="1"/>
  <c r="Y287" i="17" s="1"/>
  <c r="G223" i="17"/>
  <c r="BZ223" i="6" s="1"/>
  <c r="AA223" i="17"/>
  <c r="Z223" i="17" s="1"/>
  <c r="Y223" i="17" s="1"/>
  <c r="H223" i="17"/>
  <c r="AA357" i="17"/>
  <c r="Z357" i="17" s="1"/>
  <c r="Y357" i="17" s="1"/>
  <c r="G357" i="17"/>
  <c r="BZ357" i="6" s="1"/>
  <c r="H357" i="17"/>
  <c r="G153" i="17"/>
  <c r="BZ153" i="6" s="1"/>
  <c r="AA153" i="17"/>
  <c r="Z153" i="17" s="1"/>
  <c r="Y153" i="17" s="1"/>
  <c r="H112" i="17"/>
  <c r="G112" i="17"/>
  <c r="BZ112" i="6" s="1"/>
  <c r="AA112" i="17"/>
  <c r="Z112" i="17" s="1"/>
  <c r="Y112" i="17" s="1"/>
  <c r="AA124" i="17"/>
  <c r="G124" i="17"/>
  <c r="BZ124" i="6" s="1"/>
  <c r="G330" i="17"/>
  <c r="BZ330" i="6" s="1"/>
  <c r="AA330" i="17"/>
  <c r="Z330" i="17" s="1"/>
  <c r="Y330" i="17" s="1"/>
  <c r="AA114" i="17"/>
  <c r="Z114" i="17" s="1"/>
  <c r="Y114" i="17" s="1"/>
  <c r="G114" i="17"/>
  <c r="BZ114" i="6" s="1"/>
  <c r="H114" i="17"/>
  <c r="H83" i="17"/>
  <c r="G83" i="17"/>
  <c r="BZ83" i="6" s="1"/>
  <c r="AA83" i="17"/>
  <c r="Z83" i="17" s="1"/>
  <c r="Y83" i="17" s="1"/>
  <c r="AA244" i="17"/>
  <c r="Z244" i="17" s="1"/>
  <c r="Y244" i="17" s="1"/>
  <c r="G244" i="17"/>
  <c r="BZ244" i="6" s="1"/>
  <c r="AA130" i="17"/>
  <c r="Z130" i="17" s="1"/>
  <c r="Y130" i="17" s="1"/>
  <c r="G130" i="17"/>
  <c r="BZ130" i="6" s="1"/>
  <c r="AA68" i="17"/>
  <c r="Z68" i="17" s="1"/>
  <c r="Y68" i="17" s="1"/>
  <c r="H68" i="17"/>
  <c r="G68" i="17"/>
  <c r="BZ68" i="6" s="1"/>
  <c r="AA139" i="17"/>
  <c r="Z139" i="17" s="1"/>
  <c r="Y139" i="17" s="1"/>
  <c r="H139" i="17"/>
  <c r="G139" i="17"/>
  <c r="BZ139" i="6" s="1"/>
  <c r="AA200" i="17"/>
  <c r="Z200" i="17" s="1"/>
  <c r="Y200" i="17" s="1"/>
  <c r="G200" i="17"/>
  <c r="BZ200" i="6" s="1"/>
  <c r="H200" i="17"/>
  <c r="G245" i="17"/>
  <c r="BZ245" i="6" s="1"/>
  <c r="AA245" i="17"/>
  <c r="Z245" i="17" s="1"/>
  <c r="Y245" i="17" s="1"/>
  <c r="AA89" i="17"/>
  <c r="Z89" i="17" s="1"/>
  <c r="Y89" i="17" s="1"/>
  <c r="G89" i="17"/>
  <c r="BZ89" i="6" s="1"/>
  <c r="H89" i="17"/>
  <c r="H109" i="17"/>
  <c r="AA109" i="17"/>
  <c r="Z109" i="17" s="1"/>
  <c r="Y109" i="17" s="1"/>
  <c r="G109" i="17"/>
  <c r="BZ109" i="6" s="1"/>
  <c r="AA288" i="17"/>
  <c r="Z288" i="17" s="1"/>
  <c r="Y288" i="17" s="1"/>
  <c r="H288" i="17"/>
  <c r="G288" i="17"/>
  <c r="BZ288" i="6" s="1"/>
  <c r="G176" i="17"/>
  <c r="BZ176" i="6" s="1"/>
  <c r="AA176" i="17"/>
  <c r="Z176" i="17" s="1"/>
  <c r="Y176" i="17" s="1"/>
  <c r="H176" i="17"/>
  <c r="AA260" i="17"/>
  <c r="Z260" i="17" s="1"/>
  <c r="Y260" i="17" s="1"/>
  <c r="G260" i="17"/>
  <c r="BZ260" i="6" s="1"/>
  <c r="AA19" i="17"/>
  <c r="Z19" i="17" s="1"/>
  <c r="Y19" i="17" s="1"/>
  <c r="G19" i="17"/>
  <c r="BZ19" i="6" s="1"/>
  <c r="H19" i="17"/>
  <c r="AA369" i="17"/>
  <c r="Z369" i="17" s="1"/>
  <c r="Y369" i="17" s="1"/>
  <c r="G369" i="17"/>
  <c r="BZ369" i="6" s="1"/>
  <c r="H369" i="17"/>
  <c r="G18" i="17"/>
  <c r="BZ18" i="6" s="1"/>
  <c r="AA18" i="17"/>
  <c r="Z18" i="17" s="1"/>
  <c r="Y18" i="17" s="1"/>
  <c r="H18" i="17"/>
  <c r="H49" i="17"/>
  <c r="AA49" i="17"/>
  <c r="Z49" i="17" s="1"/>
  <c r="Y49" i="17" s="1"/>
  <c r="G49" i="17"/>
  <c r="BZ49" i="6" s="1"/>
  <c r="G299" i="17"/>
  <c r="BZ299" i="6" s="1"/>
  <c r="H299" i="17"/>
  <c r="AA299" i="17"/>
  <c r="Z299" i="17" s="1"/>
  <c r="Y299" i="17" s="1"/>
  <c r="H75" i="17"/>
  <c r="AA75" i="17"/>
  <c r="Z75" i="17" s="1"/>
  <c r="Y75" i="17" s="1"/>
  <c r="G75" i="17"/>
  <c r="BZ75" i="6" s="1"/>
  <c r="AA225" i="17"/>
  <c r="Z225" i="17" s="1"/>
  <c r="Y225" i="17" s="1"/>
  <c r="H225" i="17"/>
  <c r="G225" i="17"/>
  <c r="BZ225" i="6" s="1"/>
  <c r="I380" i="18"/>
  <c r="J158" i="17"/>
  <c r="I158" i="17"/>
  <c r="J152" i="17"/>
  <c r="I152" i="17"/>
  <c r="J51" i="17"/>
  <c r="I51" i="17"/>
  <c r="J355" i="17"/>
  <c r="I355" i="17"/>
  <c r="J96" i="17"/>
  <c r="I96" i="17"/>
  <c r="J348" i="17"/>
  <c r="I348" i="17"/>
  <c r="I295" i="17"/>
  <c r="J295" i="17"/>
  <c r="J175" i="17"/>
  <c r="I175" i="17"/>
  <c r="I137" i="17"/>
  <c r="J137" i="17"/>
  <c r="I340" i="17"/>
  <c r="J340" i="17"/>
  <c r="I132" i="17"/>
  <c r="J132" i="17"/>
  <c r="I222" i="17"/>
  <c r="J222" i="17"/>
  <c r="I213" i="17"/>
  <c r="J213" i="17"/>
  <c r="J321" i="17"/>
  <c r="I321" i="17"/>
  <c r="J266" i="17"/>
  <c r="I266" i="17"/>
  <c r="J315" i="17"/>
  <c r="I315" i="17"/>
  <c r="I172" i="17"/>
  <c r="J172" i="17"/>
  <c r="I253" i="17"/>
  <c r="J253" i="17"/>
  <c r="I228" i="17"/>
  <c r="J228" i="17"/>
  <c r="I141" i="17"/>
  <c r="J141" i="17"/>
  <c r="J273" i="17"/>
  <c r="I273" i="17"/>
  <c r="J284" i="17"/>
  <c r="I284" i="17"/>
  <c r="J35" i="17"/>
  <c r="I35" i="17"/>
  <c r="J318" i="17"/>
  <c r="I318" i="17"/>
  <c r="J42" i="17"/>
  <c r="I42" i="17"/>
  <c r="J52" i="17"/>
  <c r="I52" i="17"/>
  <c r="J185" i="17"/>
  <c r="I185" i="17"/>
  <c r="J323" i="17"/>
  <c r="I323" i="17"/>
  <c r="I354" i="17"/>
  <c r="J354" i="17"/>
  <c r="I156" i="17"/>
  <c r="J156" i="17"/>
  <c r="J312" i="17"/>
  <c r="I312" i="17"/>
  <c r="I332" i="17"/>
  <c r="J332" i="17"/>
  <c r="I258" i="17"/>
  <c r="J258" i="17"/>
  <c r="I28" i="17"/>
  <c r="J28" i="17"/>
  <c r="I31" i="17"/>
  <c r="J31" i="17"/>
  <c r="I30" i="17"/>
  <c r="J30" i="17"/>
  <c r="I48" i="17"/>
  <c r="J48" i="17"/>
  <c r="I186" i="17"/>
  <c r="J186" i="17"/>
  <c r="J240" i="17"/>
  <c r="I240" i="17"/>
  <c r="I106" i="17"/>
  <c r="J106" i="17"/>
  <c r="J298" i="17"/>
  <c r="I298" i="17"/>
  <c r="J281" i="17"/>
  <c r="I281" i="17"/>
  <c r="J168" i="17"/>
  <c r="I168" i="17"/>
  <c r="I189" i="17"/>
  <c r="J189" i="17"/>
  <c r="J113" i="17"/>
  <c r="I113" i="17"/>
  <c r="I177" i="17"/>
  <c r="J177" i="17"/>
  <c r="J144" i="17"/>
  <c r="I144" i="17"/>
  <c r="J59" i="17"/>
  <c r="I59" i="17"/>
  <c r="I268" i="17"/>
  <c r="J268" i="17"/>
  <c r="J207" i="17"/>
  <c r="I207" i="17"/>
  <c r="I331" i="17"/>
  <c r="J331" i="17"/>
  <c r="J78" i="17"/>
  <c r="I78" i="17"/>
  <c r="J208" i="17"/>
  <c r="I208" i="17"/>
  <c r="J206" i="17"/>
  <c r="I206" i="17"/>
  <c r="I119" i="17"/>
  <c r="J119" i="17"/>
  <c r="I255" i="17"/>
  <c r="J255" i="17"/>
  <c r="J239" i="17"/>
  <c r="I239" i="17"/>
  <c r="I117" i="17"/>
  <c r="J117" i="17"/>
  <c r="I219" i="17"/>
  <c r="J219" i="17"/>
  <c r="I311" i="17"/>
  <c r="J311" i="17"/>
  <c r="I76" i="17"/>
  <c r="J76" i="17"/>
  <c r="I110" i="17"/>
  <c r="J110" i="17"/>
  <c r="I285" i="17"/>
  <c r="J285" i="17"/>
  <c r="J191" i="17"/>
  <c r="I191" i="17"/>
  <c r="J243" i="17"/>
  <c r="I243" i="17"/>
  <c r="J151" i="17"/>
  <c r="I151" i="17"/>
  <c r="J150" i="17"/>
  <c r="I150" i="17"/>
  <c r="J361" i="17"/>
  <c r="I361" i="17"/>
  <c r="AA91" i="17"/>
  <c r="Z91" i="17" s="1"/>
  <c r="Y91" i="17" s="1"/>
  <c r="H91" i="17"/>
  <c r="G91" i="17"/>
  <c r="BZ91" i="6" s="1"/>
  <c r="H254" i="17"/>
  <c r="AA254" i="17"/>
  <c r="Z254" i="17" s="1"/>
  <c r="Y254" i="17" s="1"/>
  <c r="G254" i="17"/>
  <c r="BZ254" i="6" s="1"/>
  <c r="G259" i="17"/>
  <c r="BZ259" i="6" s="1"/>
  <c r="AA259" i="17"/>
  <c r="Z259" i="17" s="1"/>
  <c r="Y259" i="17" s="1"/>
  <c r="H259" i="17"/>
  <c r="H308" i="17"/>
  <c r="G308" i="17"/>
  <c r="BZ308" i="6" s="1"/>
  <c r="AA308" i="17"/>
  <c r="Z308" i="17" s="1"/>
  <c r="Y308" i="17" s="1"/>
  <c r="G247" i="17"/>
  <c r="BZ247" i="6" s="1"/>
  <c r="H247" i="17"/>
  <c r="AA247" i="17"/>
  <c r="Z247" i="17" s="1"/>
  <c r="Y247" i="17" s="1"/>
  <c r="AA215" i="17"/>
  <c r="Z215" i="17" s="1"/>
  <c r="Y215" i="17" s="1"/>
  <c r="G215" i="17"/>
  <c r="BZ215" i="6" s="1"/>
  <c r="G221" i="17"/>
  <c r="BZ221" i="6" s="1"/>
  <c r="AA221" i="17"/>
  <c r="Z221" i="17" s="1"/>
  <c r="Y221" i="17" s="1"/>
  <c r="G229" i="17"/>
  <c r="BZ229" i="6" s="1"/>
  <c r="H229" i="17"/>
  <c r="AA229" i="17"/>
  <c r="Z229" i="17" s="1"/>
  <c r="Y229" i="17" s="1"/>
  <c r="AA329" i="17"/>
  <c r="Z329" i="17" s="1"/>
  <c r="Y329" i="17" s="1"/>
  <c r="G329" i="17"/>
  <c r="BZ329" i="6" s="1"/>
  <c r="H329" i="17"/>
  <c r="G203" i="17"/>
  <c r="BZ203" i="6" s="1"/>
  <c r="AA203" i="17"/>
  <c r="Z203" i="17" s="1"/>
  <c r="Y203" i="17" s="1"/>
  <c r="G71" i="17"/>
  <c r="BZ71" i="6" s="1"/>
  <c r="AA71" i="17"/>
  <c r="Z71" i="17" s="1"/>
  <c r="Y71" i="17" s="1"/>
  <c r="G322" i="17"/>
  <c r="BZ322" i="6" s="1"/>
  <c r="H322" i="17"/>
  <c r="AA322" i="17"/>
  <c r="Z322" i="17" s="1"/>
  <c r="Y322" i="17" s="1"/>
  <c r="AA66" i="17"/>
  <c r="Z66" i="17" s="1"/>
  <c r="Y66" i="17" s="1"/>
  <c r="G66" i="17"/>
  <c r="BZ66" i="6" s="1"/>
  <c r="AA38" i="17"/>
  <c r="Z38" i="17" s="1"/>
  <c r="Y38" i="17" s="1"/>
  <c r="H38" i="17"/>
  <c r="G38" i="17"/>
  <c r="BZ38" i="6" s="1"/>
  <c r="H70" i="17"/>
  <c r="AA70" i="17"/>
  <c r="Z70" i="17" s="1"/>
  <c r="Y70" i="17" s="1"/>
  <c r="G70" i="17"/>
  <c r="BZ70" i="6" s="1"/>
  <c r="AA127" i="17"/>
  <c r="Z127" i="17" s="1"/>
  <c r="Y127" i="17" s="1"/>
  <c r="H127" i="17"/>
  <c r="G127" i="17"/>
  <c r="BZ127" i="6" s="1"/>
  <c r="H306" i="17"/>
  <c r="AA306" i="17"/>
  <c r="Z306" i="17" s="1"/>
  <c r="Y306" i="17" s="1"/>
  <c r="G306" i="17"/>
  <c r="BZ306" i="6" s="1"/>
  <c r="AA178" i="17"/>
  <c r="Z178" i="17" s="1"/>
  <c r="Y178" i="17" s="1"/>
  <c r="G178" i="17"/>
  <c r="BZ178" i="6" s="1"/>
  <c r="H178" i="17"/>
  <c r="G282" i="17"/>
  <c r="BZ282" i="6" s="1"/>
  <c r="H282" i="17"/>
  <c r="AA282" i="17"/>
  <c r="Z282" i="17" s="1"/>
  <c r="Y282" i="17" s="1"/>
  <c r="G125" i="17"/>
  <c r="BZ125" i="6" s="1"/>
  <c r="AA125" i="17"/>
  <c r="Z125" i="17" s="1"/>
  <c r="Y125" i="17" s="1"/>
  <c r="H125" i="17"/>
  <c r="AA370" i="17"/>
  <c r="Z370" i="17" s="1"/>
  <c r="Y370" i="17" s="1"/>
  <c r="G370" i="17"/>
  <c r="BZ370" i="6" s="1"/>
  <c r="G358" i="17"/>
  <c r="BZ358" i="6" s="1"/>
  <c r="AA358" i="17"/>
  <c r="Z358" i="17" s="1"/>
  <c r="Y358" i="17" s="1"/>
  <c r="H358" i="17"/>
  <c r="G143" i="17"/>
  <c r="BZ143" i="6" s="1"/>
  <c r="AA143" i="17"/>
  <c r="Z143" i="17" s="1"/>
  <c r="Y143" i="17" s="1"/>
  <c r="H143" i="17"/>
  <c r="AA164" i="17"/>
  <c r="Z164" i="17" s="1"/>
  <c r="Y164" i="17" s="1"/>
  <c r="H164" i="17"/>
  <c r="G164" i="17"/>
  <c r="BZ164" i="6" s="1"/>
  <c r="AA235" i="17"/>
  <c r="Z235" i="17" s="1"/>
  <c r="Y235" i="17" s="1"/>
  <c r="G235" i="17"/>
  <c r="BZ235" i="6" s="1"/>
  <c r="G128" i="17"/>
  <c r="BZ128" i="6" s="1"/>
  <c r="H128" i="17"/>
  <c r="AA128" i="17"/>
  <c r="Z128" i="17" s="1"/>
  <c r="Y128" i="17" s="1"/>
  <c r="G40" i="17"/>
  <c r="BZ40" i="6" s="1"/>
  <c r="H40" i="17"/>
  <c r="AA40" i="17"/>
  <c r="Z40" i="17" s="1"/>
  <c r="Y40" i="17" s="1"/>
  <c r="H262" i="17"/>
  <c r="G262" i="17"/>
  <c r="BZ262" i="6" s="1"/>
  <c r="AA262" i="17"/>
  <c r="Z262" i="17" s="1"/>
  <c r="Y262" i="17" s="1"/>
  <c r="H233" i="17"/>
  <c r="AA233" i="17"/>
  <c r="Z233" i="17" s="1"/>
  <c r="Y233" i="17" s="1"/>
  <c r="G233" i="17"/>
  <c r="BZ233" i="6" s="1"/>
  <c r="G196" i="17"/>
  <c r="BZ196" i="6" s="1"/>
  <c r="AA196" i="17"/>
  <c r="Z196" i="17" s="1"/>
  <c r="Y196" i="17" s="1"/>
  <c r="H196" i="17"/>
  <c r="AA93" i="17"/>
  <c r="Z93" i="17" s="1"/>
  <c r="Y93" i="17" s="1"/>
  <c r="H93" i="17"/>
  <c r="G93" i="17"/>
  <c r="BZ93" i="6" s="1"/>
  <c r="AA345" i="17"/>
  <c r="Z345" i="17" s="1"/>
  <c r="Y345" i="17" s="1"/>
  <c r="G345" i="17"/>
  <c r="BZ345" i="6" s="1"/>
  <c r="AA316" i="17"/>
  <c r="Z316" i="17" s="1"/>
  <c r="Y316" i="17" s="1"/>
  <c r="G316" i="17"/>
  <c r="BZ316" i="6" s="1"/>
  <c r="H316" i="17"/>
  <c r="G64" i="17"/>
  <c r="BZ64" i="6" s="1"/>
  <c r="H64" i="17"/>
  <c r="AA64" i="17"/>
  <c r="Z64" i="17" s="1"/>
  <c r="Y64" i="17" s="1"/>
  <c r="AA121" i="17"/>
  <c r="Z121" i="17" s="1"/>
  <c r="Y121" i="17" s="1"/>
  <c r="G121" i="17"/>
  <c r="BZ121" i="6" s="1"/>
  <c r="H365" i="17"/>
  <c r="AA365" i="17"/>
  <c r="Z365" i="17" s="1"/>
  <c r="Y365" i="17" s="1"/>
  <c r="G365" i="17"/>
  <c r="BZ365" i="6" s="1"/>
  <c r="H270" i="17"/>
  <c r="G270" i="17"/>
  <c r="BZ270" i="6" s="1"/>
  <c r="AA270" i="17"/>
  <c r="Z270" i="17" s="1"/>
  <c r="Y270" i="17" s="1"/>
  <c r="G271" i="17"/>
  <c r="BZ271" i="6" s="1"/>
  <c r="AA271" i="17"/>
  <c r="Z271" i="17" s="1"/>
  <c r="Y271" i="17" s="1"/>
  <c r="G165" i="17"/>
  <c r="BZ165" i="6" s="1"/>
  <c r="AA165" i="17"/>
  <c r="Z165" i="17" s="1"/>
  <c r="Y165" i="17" s="1"/>
  <c r="AA293" i="17"/>
  <c r="Z293" i="17" s="1"/>
  <c r="Y293" i="17" s="1"/>
  <c r="G293" i="17"/>
  <c r="BZ293" i="6" s="1"/>
  <c r="H293" i="17"/>
  <c r="AA313" i="17"/>
  <c r="Z313" i="17" s="1"/>
  <c r="Y313" i="17" s="1"/>
  <c r="G313" i="17"/>
  <c r="BZ313" i="6" s="1"/>
  <c r="G249" i="17"/>
  <c r="BZ249" i="6" s="1"/>
  <c r="H249" i="17"/>
  <c r="AA249" i="17"/>
  <c r="Z249" i="17" s="1"/>
  <c r="Y249" i="17" s="1"/>
  <c r="AA146" i="17"/>
  <c r="Z146" i="17" s="1"/>
  <c r="Y146" i="17" s="1"/>
  <c r="G146" i="17"/>
  <c r="BZ146" i="6" s="1"/>
  <c r="G325" i="17"/>
  <c r="BZ325" i="6" s="1"/>
  <c r="AA325" i="17"/>
  <c r="Z325" i="17" s="1"/>
  <c r="Y325" i="17" s="1"/>
  <c r="H325" i="17"/>
  <c r="G309" i="17"/>
  <c r="BZ309" i="6" s="1"/>
  <c r="H309" i="17"/>
  <c r="AA309" i="17"/>
  <c r="Z309" i="17" s="1"/>
  <c r="Y309" i="17" s="1"/>
  <c r="G138" i="17"/>
  <c r="BZ138" i="6" s="1"/>
  <c r="H138" i="17"/>
  <c r="AA138" i="17"/>
  <c r="Z138" i="17" s="1"/>
  <c r="Y138" i="17" s="1"/>
  <c r="G181" i="17"/>
  <c r="BZ181" i="6" s="1"/>
  <c r="AA181" i="17"/>
  <c r="Z181" i="17" s="1"/>
  <c r="Y181" i="17" s="1"/>
  <c r="H181" i="17"/>
  <c r="AA160" i="17"/>
  <c r="Z160" i="17" s="1"/>
  <c r="Y160" i="17" s="1"/>
  <c r="G160" i="17"/>
  <c r="BZ160" i="6" s="1"/>
  <c r="AA341" i="17"/>
  <c r="Z341" i="17" s="1"/>
  <c r="Y341" i="17" s="1"/>
  <c r="G341" i="17"/>
  <c r="BZ341" i="6" s="1"/>
  <c r="G131" i="17"/>
  <c r="BZ131" i="6" s="1"/>
  <c r="AA131" i="17"/>
  <c r="Z131" i="17" s="1"/>
  <c r="Y131" i="17" s="1"/>
  <c r="G342" i="17"/>
  <c r="BZ342" i="6" s="1"/>
  <c r="H342" i="17"/>
  <c r="AA342" i="17"/>
  <c r="Z342" i="17" s="1"/>
  <c r="Y342" i="17" s="1"/>
  <c r="AA292" i="17"/>
  <c r="Z292" i="17" s="1"/>
  <c r="Y292" i="17" s="1"/>
  <c r="H292" i="17"/>
  <c r="G292" i="17"/>
  <c r="BZ292" i="6" s="1"/>
  <c r="G192" i="17"/>
  <c r="BZ192" i="6" s="1"/>
  <c r="H192" i="17"/>
  <c r="AA192" i="17"/>
  <c r="Z192" i="17" s="1"/>
  <c r="Y192" i="17" s="1"/>
  <c r="G26" i="17"/>
  <c r="BZ26" i="6" s="1"/>
  <c r="H26" i="17"/>
  <c r="AA26" i="17"/>
  <c r="Z26" i="17" s="1"/>
  <c r="Y26" i="17" s="1"/>
  <c r="H16" i="17"/>
  <c r="G16" i="17"/>
  <c r="BZ16" i="6" s="1"/>
  <c r="AA16" i="17"/>
  <c r="Z16" i="17" s="1"/>
  <c r="Y16" i="17" s="1"/>
  <c r="G73" i="17"/>
  <c r="BZ73" i="6" s="1"/>
  <c r="H73" i="17"/>
  <c r="AA73" i="17"/>
  <c r="Z73" i="17" s="1"/>
  <c r="Y73" i="17" s="1"/>
  <c r="G324" i="17"/>
  <c r="BZ324" i="6" s="1"/>
  <c r="H324" i="17"/>
  <c r="AA324" i="17"/>
  <c r="Z324" i="17" s="1"/>
  <c r="Y324" i="17" s="1"/>
  <c r="H183" i="17"/>
  <c r="G183" i="17"/>
  <c r="BZ183" i="6" s="1"/>
  <c r="AA183" i="17"/>
  <c r="Z183" i="17" s="1"/>
  <c r="Y183" i="17" s="1"/>
  <c r="G338" i="17"/>
  <c r="BZ338" i="6" s="1"/>
  <c r="AA338" i="17"/>
  <c r="Z338" i="17" s="1"/>
  <c r="Y338" i="17" s="1"/>
  <c r="H338" i="17"/>
  <c r="AA111" i="17"/>
  <c r="Z111" i="17" s="1"/>
  <c r="Y111" i="17" s="1"/>
  <c r="H111" i="17"/>
  <c r="G111" i="17"/>
  <c r="BZ111" i="6" s="1"/>
  <c r="G317" i="17"/>
  <c r="BZ317" i="6" s="1"/>
  <c r="AA317" i="17"/>
  <c r="Z317" i="17" s="1"/>
  <c r="Y317" i="17" s="1"/>
  <c r="H317" i="17"/>
  <c r="G122" i="17"/>
  <c r="BZ122" i="6" s="1"/>
  <c r="H122" i="17"/>
  <c r="AA122" i="17"/>
  <c r="Z122" i="17" s="1"/>
  <c r="Y122" i="17" s="1"/>
  <c r="G115" i="17"/>
  <c r="BZ115" i="6" s="1"/>
  <c r="H115" i="17"/>
  <c r="AA115" i="17"/>
  <c r="Z115" i="17" s="1"/>
  <c r="Y115" i="17" s="1"/>
  <c r="AA148" i="17"/>
  <c r="Z148" i="17" s="1"/>
  <c r="Y148" i="17" s="1"/>
  <c r="G148" i="17"/>
  <c r="BZ148" i="6" s="1"/>
  <c r="H87" i="17"/>
  <c r="AA87" i="17"/>
  <c r="Z87" i="17" s="1"/>
  <c r="Y87" i="17" s="1"/>
  <c r="G87" i="17"/>
  <c r="BZ87" i="6" s="1"/>
  <c r="G84" i="17"/>
  <c r="BZ84" i="6" s="1"/>
  <c r="AA84" i="17"/>
  <c r="Z84" i="17" s="1"/>
  <c r="Y84" i="17" s="1"/>
  <c r="H84" i="17"/>
  <c r="G54" i="17"/>
  <c r="BZ54" i="6" s="1"/>
  <c r="AA54" i="17"/>
  <c r="Z54" i="17" s="1"/>
  <c r="Y54" i="17" s="1"/>
  <c r="H54" i="17"/>
  <c r="G212" i="17"/>
  <c r="BZ212" i="6" s="1"/>
  <c r="H212" i="17"/>
  <c r="AA212" i="17"/>
  <c r="Z212" i="17" s="1"/>
  <c r="Y212" i="17" s="1"/>
  <c r="AA97" i="17"/>
  <c r="Z97" i="17" s="1"/>
  <c r="Y97" i="17" s="1"/>
  <c r="H97" i="17"/>
  <c r="G97" i="17"/>
  <c r="BZ97" i="6" s="1"/>
  <c r="G353" i="17"/>
  <c r="BZ353" i="6" s="1"/>
  <c r="H353" i="17"/>
  <c r="AA353" i="17"/>
  <c r="Z353" i="17" s="1"/>
  <c r="Y353" i="17" s="1"/>
  <c r="AA193" i="17"/>
  <c r="Z193" i="17" s="1"/>
  <c r="Y193" i="17" s="1"/>
  <c r="G193" i="17"/>
  <c r="BZ193" i="6" s="1"/>
  <c r="H193" i="17"/>
  <c r="AA296" i="17"/>
  <c r="Z296" i="17" s="1"/>
  <c r="Y296" i="17" s="1"/>
  <c r="H296" i="17"/>
  <c r="G296" i="17"/>
  <c r="BZ296" i="6" s="1"/>
  <c r="AA85" i="17"/>
  <c r="Z85" i="17" s="1"/>
  <c r="Y85" i="17" s="1"/>
  <c r="G85" i="17"/>
  <c r="BZ85" i="6" s="1"/>
  <c r="H85" i="17"/>
  <c r="G126" i="17"/>
  <c r="BZ126" i="6" s="1"/>
  <c r="AA126" i="17"/>
  <c r="Z126" i="17" s="1"/>
  <c r="Y126" i="17" s="1"/>
  <c r="H126" i="17"/>
  <c r="AA104" i="17"/>
  <c r="Z104" i="17" s="1"/>
  <c r="Y104" i="17" s="1"/>
  <c r="H104" i="17"/>
  <c r="G104" i="17"/>
  <c r="BZ104" i="6" s="1"/>
  <c r="G375" i="17"/>
  <c r="BZ375" i="6" s="1"/>
  <c r="AA375" i="17"/>
  <c r="Z375" i="17" s="1"/>
  <c r="Y375" i="17" s="1"/>
  <c r="G201" i="17"/>
  <c r="BZ201" i="6" s="1"/>
  <c r="H201" i="17"/>
  <c r="AA201" i="17"/>
  <c r="Z201" i="17" s="1"/>
  <c r="Y201" i="17" s="1"/>
  <c r="G291" i="17"/>
  <c r="BZ291" i="6" s="1"/>
  <c r="AA291" i="17"/>
  <c r="Z291" i="17" s="1"/>
  <c r="Y291" i="17" s="1"/>
  <c r="H291" i="17"/>
  <c r="G231" i="17"/>
  <c r="BZ231" i="6" s="1"/>
  <c r="AA231" i="17"/>
  <c r="Z231" i="17" s="1"/>
  <c r="Y231" i="17" s="1"/>
  <c r="H231" i="17"/>
  <c r="AA24" i="17"/>
  <c r="Z24" i="17" s="1"/>
  <c r="Y24" i="17" s="1"/>
  <c r="G24" i="17"/>
  <c r="BZ24" i="6" s="1"/>
  <c r="H24" i="17"/>
  <c r="AA79" i="17"/>
  <c r="Z79" i="17" s="1"/>
  <c r="Y79" i="17" s="1"/>
  <c r="G79" i="17"/>
  <c r="BZ79" i="6" s="1"/>
  <c r="H79" i="17"/>
  <c r="G118" i="17"/>
  <c r="BZ118" i="6" s="1"/>
  <c r="AA118" i="17"/>
  <c r="Z118" i="17" s="1"/>
  <c r="Y118" i="17" s="1"/>
  <c r="H120" i="17"/>
  <c r="G120" i="17"/>
  <c r="BZ120" i="6" s="1"/>
  <c r="AA120" i="17"/>
  <c r="Z120" i="17" s="1"/>
  <c r="Y120" i="17" s="1"/>
  <c r="G211" i="17"/>
  <c r="BZ211" i="6" s="1"/>
  <c r="AA211" i="17"/>
  <c r="Z211" i="17" s="1"/>
  <c r="Y211" i="17" s="1"/>
  <c r="G335" i="17"/>
  <c r="BZ335" i="6" s="1"/>
  <c r="AA335" i="17"/>
  <c r="Z335" i="17" s="1"/>
  <c r="Y335" i="17" s="1"/>
  <c r="AA103" i="17"/>
  <c r="Z103" i="17" s="1"/>
  <c r="Y103" i="17" s="1"/>
  <c r="G103" i="17"/>
  <c r="BZ103" i="6" s="1"/>
  <c r="H103" i="17"/>
  <c r="G300" i="17"/>
  <c r="BZ300" i="6" s="1"/>
  <c r="H300" i="17"/>
  <c r="AA300" i="17"/>
  <c r="Z300" i="17" s="1"/>
  <c r="Y300" i="17" s="1"/>
  <c r="H347" i="17"/>
  <c r="G347" i="17"/>
  <c r="BZ347" i="6" s="1"/>
  <c r="AA347" i="17"/>
  <c r="Z347" i="17" s="1"/>
  <c r="Y347" i="17" s="1"/>
  <c r="AA173" i="17"/>
  <c r="Z173" i="17" s="1"/>
  <c r="Y173" i="17" s="1"/>
  <c r="G173" i="17"/>
  <c r="BZ173" i="6" s="1"/>
  <c r="I98" i="17"/>
  <c r="J98" i="17"/>
  <c r="J102" i="17"/>
  <c r="I102" i="17"/>
  <c r="J39" i="17"/>
  <c r="I39" i="17"/>
  <c r="J264" i="17"/>
  <c r="I264" i="17"/>
  <c r="J105" i="17"/>
  <c r="I105" i="17"/>
  <c r="J92" i="17"/>
  <c r="I92" i="17"/>
  <c r="J226" i="17"/>
  <c r="I226" i="17"/>
  <c r="I166" i="17"/>
  <c r="J166" i="17"/>
  <c r="I216" i="17"/>
  <c r="J216" i="17"/>
  <c r="I360" i="17"/>
  <c r="J360" i="17"/>
  <c r="J47" i="17"/>
  <c r="I47" i="17"/>
  <c r="J33" i="17"/>
  <c r="I33" i="17"/>
  <c r="J69" i="17"/>
  <c r="I69" i="17"/>
  <c r="J187" i="17"/>
  <c r="I187" i="17"/>
  <c r="I371" i="17"/>
  <c r="J371" i="17"/>
  <c r="I277" i="17"/>
  <c r="J277" i="17"/>
  <c r="J274" i="17"/>
  <c r="I274" i="17"/>
  <c r="J224" i="17"/>
  <c r="I224" i="17"/>
  <c r="I310" i="17"/>
  <c r="J310" i="17"/>
  <c r="J286" i="17"/>
  <c r="I286" i="17"/>
  <c r="I180" i="17"/>
  <c r="J180" i="17"/>
  <c r="I252" i="17"/>
  <c r="J252" i="17"/>
  <c r="J171" i="17"/>
  <c r="I171" i="17"/>
  <c r="I56" i="17"/>
  <c r="J56" i="17"/>
  <c r="I21" i="17"/>
  <c r="J21" i="17"/>
  <c r="I230" i="17"/>
  <c r="J230" i="17"/>
  <c r="I363" i="17"/>
  <c r="J363" i="17"/>
  <c r="I346" i="17"/>
  <c r="J346" i="17"/>
  <c r="I220" i="17"/>
  <c r="J220" i="17"/>
  <c r="I242" i="17"/>
  <c r="J242" i="17"/>
  <c r="I90" i="17"/>
  <c r="J90" i="17"/>
  <c r="I179" i="17"/>
  <c r="J179" i="17"/>
  <c r="I378" i="17"/>
  <c r="J378" i="17"/>
  <c r="I159" i="17"/>
  <c r="J159" i="17"/>
  <c r="J334" i="17"/>
  <c r="I334" i="17"/>
  <c r="J129" i="17"/>
  <c r="I129" i="17"/>
  <c r="J280" i="17"/>
  <c r="I280" i="17"/>
  <c r="J265" i="17"/>
  <c r="I265" i="17"/>
  <c r="J294" i="17"/>
  <c r="I294" i="17"/>
  <c r="J199" i="17"/>
  <c r="I199" i="17"/>
  <c r="I133" i="17"/>
  <c r="J133" i="17"/>
  <c r="J36" i="17"/>
  <c r="I36" i="17"/>
  <c r="I205" i="17"/>
  <c r="J205" i="17"/>
  <c r="I88" i="17"/>
  <c r="J88" i="17"/>
  <c r="I58" i="17"/>
  <c r="J58" i="17"/>
  <c r="J20" i="17"/>
  <c r="I20" i="17"/>
  <c r="I367" i="17"/>
  <c r="J367" i="17"/>
  <c r="J53" i="17"/>
  <c r="I53" i="17"/>
  <c r="I62" i="17"/>
  <c r="J62" i="17"/>
  <c r="J86" i="17"/>
  <c r="I86" i="17"/>
  <c r="J333" i="17"/>
  <c r="I333" i="17"/>
  <c r="J227" i="17"/>
  <c r="I227" i="17"/>
  <c r="I327" i="17"/>
  <c r="J327" i="17"/>
  <c r="J80" i="17"/>
  <c r="I80" i="17"/>
  <c r="J214" i="17"/>
  <c r="I214" i="17"/>
  <c r="J218" i="17"/>
  <c r="I218" i="17"/>
  <c r="I343" i="17"/>
  <c r="J343" i="17"/>
  <c r="I61" i="17"/>
  <c r="J61" i="17"/>
  <c r="I134" i="17"/>
  <c r="J134" i="17"/>
  <c r="I349" i="17"/>
  <c r="J349" i="17"/>
  <c r="J169" i="17"/>
  <c r="I169" i="17"/>
  <c r="J23" i="17"/>
  <c r="I23" i="17"/>
  <c r="J174" i="17"/>
  <c r="I174" i="17"/>
  <c r="N63" i="19"/>
  <c r="I373" i="17"/>
  <c r="J373" i="17"/>
  <c r="J145" i="17"/>
  <c r="I145" i="17"/>
  <c r="I123" i="17"/>
  <c r="J123" i="17"/>
  <c r="I99" i="17"/>
  <c r="J99" i="17"/>
  <c r="I374" i="17"/>
  <c r="J374" i="17"/>
  <c r="J237" i="17"/>
  <c r="I237" i="17"/>
  <c r="I236" i="17"/>
  <c r="J236" i="17"/>
  <c r="I25" i="17"/>
  <c r="J25" i="17"/>
  <c r="I74" i="17"/>
  <c r="J74" i="17"/>
  <c r="I303" i="17"/>
  <c r="J303" i="17"/>
  <c r="I275" i="17"/>
  <c r="J275" i="17"/>
  <c r="AD34" i="18" l="1"/>
  <c r="AI91" i="18"/>
  <c r="AH91" i="18" s="1"/>
  <c r="AG91" i="18" s="1"/>
  <c r="AF91" i="18" s="1"/>
  <c r="AD91" i="18" s="1"/>
  <c r="AI112" i="18"/>
  <c r="AH112" i="18" s="1"/>
  <c r="AG112" i="18" s="1"/>
  <c r="AF112" i="18" s="1"/>
  <c r="AD112" i="18" s="1"/>
  <c r="AI159" i="18"/>
  <c r="AH159" i="18" s="1"/>
  <c r="AG159" i="18" s="1"/>
  <c r="AF159" i="18" s="1"/>
  <c r="AD159" i="18" s="1"/>
  <c r="AI225" i="18"/>
  <c r="AH225" i="18" s="1"/>
  <c r="AG225" i="18" s="1"/>
  <c r="AF225" i="18" s="1"/>
  <c r="AD225" i="18" s="1"/>
  <c r="AI205" i="18"/>
  <c r="AH205" i="18" s="1"/>
  <c r="AG205" i="18" s="1"/>
  <c r="AF205" i="18" s="1"/>
  <c r="AD205" i="18" s="1"/>
  <c r="E12" i="19"/>
  <c r="F12" i="19" s="1"/>
  <c r="AC10" i="24"/>
  <c r="AC286" i="23"/>
  <c r="AC321" i="23"/>
  <c r="AC214" i="23"/>
  <c r="AC249" i="23"/>
  <c r="AC176" i="23"/>
  <c r="O343" i="24"/>
  <c r="O104" i="24"/>
  <c r="O101" i="24"/>
  <c r="O18" i="24"/>
  <c r="O74" i="24"/>
  <c r="O181" i="24"/>
  <c r="O36" i="24"/>
  <c r="O64" i="24"/>
  <c r="O154" i="24"/>
  <c r="O186" i="24"/>
  <c r="O356" i="24"/>
  <c r="O372" i="24"/>
  <c r="O122" i="24"/>
  <c r="O132" i="24"/>
  <c r="O178" i="24"/>
  <c r="O169" i="24"/>
  <c r="O207" i="24"/>
  <c r="O108" i="24"/>
  <c r="O93" i="24"/>
  <c r="AY13" i="7"/>
  <c r="BE10" i="7" s="1"/>
  <c r="O60" i="24"/>
  <c r="AG57" i="7" s="1"/>
  <c r="O31" i="24"/>
  <c r="O41" i="24"/>
  <c r="O325" i="24"/>
  <c r="O137" i="24"/>
  <c r="O345" i="24"/>
  <c r="O106" i="24"/>
  <c r="O220" i="24"/>
  <c r="O16" i="24"/>
  <c r="O90" i="24"/>
  <c r="O309" i="24"/>
  <c r="O37" i="24"/>
  <c r="O81" i="24"/>
  <c r="O63" i="24"/>
  <c r="O192" i="24"/>
  <c r="O125" i="24"/>
  <c r="O360" i="24"/>
  <c r="O54" i="24"/>
  <c r="O157" i="24"/>
  <c r="O239" i="24"/>
  <c r="O317" i="24"/>
  <c r="O28" i="24"/>
  <c r="O127" i="24"/>
  <c r="O47" i="24"/>
  <c r="O291" i="24"/>
  <c r="O224" i="24"/>
  <c r="O168" i="24"/>
  <c r="O141" i="24"/>
  <c r="O297" i="24"/>
  <c r="O71" i="24"/>
  <c r="O273" i="24"/>
  <c r="O45" i="24"/>
  <c r="O205" i="24"/>
  <c r="O119" i="24"/>
  <c r="AG59" i="7" s="1"/>
  <c r="O89" i="24"/>
  <c r="O87" i="24"/>
  <c r="O120" i="24"/>
  <c r="O49" i="24"/>
  <c r="O78" i="24"/>
  <c r="O61" i="24"/>
  <c r="O96" i="24"/>
  <c r="O126" i="24"/>
  <c r="O173" i="24"/>
  <c r="O281" i="24"/>
  <c r="O88" i="24"/>
  <c r="AG58" i="7" s="1"/>
  <c r="O23" i="24"/>
  <c r="O303" i="24"/>
  <c r="O24" i="24"/>
  <c r="O374" i="24"/>
  <c r="O39" i="24"/>
  <c r="O99" i="24"/>
  <c r="O292" i="24"/>
  <c r="O219" i="24"/>
  <c r="O231" i="24"/>
  <c r="O161" i="24"/>
  <c r="O69" i="24"/>
  <c r="O85" i="24"/>
  <c r="O34" i="24"/>
  <c r="O52" i="24"/>
  <c r="O51" i="24"/>
  <c r="O130" i="24"/>
  <c r="O287" i="24"/>
  <c r="O115" i="24"/>
  <c r="O326" i="24"/>
  <c r="O318" i="24"/>
  <c r="O334" i="24"/>
  <c r="O100" i="24"/>
  <c r="O191" i="24"/>
  <c r="O252" i="24"/>
  <c r="O98" i="24"/>
  <c r="O290" i="24"/>
  <c r="O243" i="24"/>
  <c r="O109" i="24"/>
  <c r="O257" i="24"/>
  <c r="O123" i="24"/>
  <c r="O112" i="24"/>
  <c r="O114" i="24"/>
  <c r="O25" i="24"/>
  <c r="O131" i="24"/>
  <c r="O328" i="24"/>
  <c r="O164" i="24"/>
  <c r="O95" i="24"/>
  <c r="O336" i="24"/>
  <c r="O153" i="24"/>
  <c r="O29" i="24"/>
  <c r="AG56" i="7" s="1"/>
  <c r="O367" i="24"/>
  <c r="O80" i="24"/>
  <c r="O301" i="24"/>
  <c r="O225" i="24"/>
  <c r="O75" i="24"/>
  <c r="O272" i="24"/>
  <c r="AG64" i="7" s="1"/>
  <c r="O118" i="24"/>
  <c r="O214" i="24"/>
  <c r="O53" i="24"/>
  <c r="O276" i="24"/>
  <c r="O332" i="24"/>
  <c r="O72" i="24"/>
  <c r="O128" i="24"/>
  <c r="O246" i="24"/>
  <c r="O363" i="24"/>
  <c r="AG67" i="7" s="1"/>
  <c r="O70" i="24"/>
  <c r="O67" i="24"/>
  <c r="O306" i="24"/>
  <c r="O86" i="24"/>
  <c r="O251" i="24"/>
  <c r="O177" i="24"/>
  <c r="O196" i="24"/>
  <c r="O346" i="24"/>
  <c r="O248" i="24"/>
  <c r="O113" i="24"/>
  <c r="O76" i="24"/>
  <c r="O370" i="24"/>
  <c r="O247" i="24"/>
  <c r="O26" i="24"/>
  <c r="O91" i="24"/>
  <c r="O202" i="24"/>
  <c r="O242" i="24"/>
  <c r="O133" i="24"/>
  <c r="O43" i="24"/>
  <c r="O167" i="24"/>
  <c r="O58" i="24"/>
  <c r="O73" i="24"/>
  <c r="O40" i="24"/>
  <c r="O21" i="24"/>
  <c r="O111" i="24"/>
  <c r="O190" i="24"/>
  <c r="O30" i="24"/>
  <c r="O275" i="24"/>
  <c r="O107" i="24"/>
  <c r="O65" i="24"/>
  <c r="O19" i="24"/>
  <c r="O84" i="24"/>
  <c r="O121" i="24"/>
  <c r="O189" i="24"/>
  <c r="O146" i="24"/>
  <c r="O116" i="24"/>
  <c r="O351" i="24"/>
  <c r="O284" i="24"/>
  <c r="O322" i="24"/>
  <c r="O210" i="24"/>
  <c r="AG62" i="7" s="1"/>
  <c r="O253" i="24"/>
  <c r="O241" i="24"/>
  <c r="AG63" i="7" s="1"/>
  <c r="O227" i="24"/>
  <c r="O62" i="24"/>
  <c r="O333" i="24"/>
  <c r="AG66" i="7" s="1"/>
  <c r="O206" i="24"/>
  <c r="O267" i="24"/>
  <c r="O48" i="24"/>
  <c r="O83" i="24"/>
  <c r="O308" i="24"/>
  <c r="O378" i="24"/>
  <c r="O56" i="24"/>
  <c r="O22" i="24"/>
  <c r="O331" i="24"/>
  <c r="O42" i="24"/>
  <c r="O103" i="24"/>
  <c r="O340" i="24"/>
  <c r="O55" i="24"/>
  <c r="O66" i="24"/>
  <c r="O20" i="24"/>
  <c r="O266" i="24"/>
  <c r="O304" i="24"/>
  <c r="O50" i="24"/>
  <c r="O289" i="24"/>
  <c r="O338" i="24"/>
  <c r="O15" i="24"/>
  <c r="O339" i="24"/>
  <c r="O59" i="24"/>
  <c r="O313" i="24"/>
  <c r="O79" i="24"/>
  <c r="O258" i="24"/>
  <c r="O223" i="24"/>
  <c r="O302" i="24"/>
  <c r="AG65" i="7" s="1"/>
  <c r="O237" i="24"/>
  <c r="O77" i="24"/>
  <c r="O327" i="24"/>
  <c r="O38" i="24"/>
  <c r="O129" i="24"/>
  <c r="O94" i="24"/>
  <c r="O27" i="24"/>
  <c r="O236" i="24"/>
  <c r="O215" i="24"/>
  <c r="O105" i="24"/>
  <c r="O142" i="24"/>
  <c r="O124" i="24"/>
  <c r="O195" i="24"/>
  <c r="O204" i="24"/>
  <c r="O260" i="24"/>
  <c r="O234" i="24"/>
  <c r="O156" i="24"/>
  <c r="O221" i="24"/>
  <c r="O261" i="24"/>
  <c r="O335" i="24"/>
  <c r="O171" i="24"/>
  <c r="O17" i="24"/>
  <c r="O315" i="24"/>
  <c r="O160" i="24"/>
  <c r="O35" i="24"/>
  <c r="O68" i="24"/>
  <c r="O46" i="24"/>
  <c r="O97" i="24"/>
  <c r="O201" i="24"/>
  <c r="O110" i="24"/>
  <c r="O82" i="24"/>
  <c r="O57" i="24"/>
  <c r="O285" i="24"/>
  <c r="O162" i="24"/>
  <c r="O319" i="24"/>
  <c r="O283" i="24"/>
  <c r="O379" i="24"/>
  <c r="C43" i="19" s="1"/>
  <c r="O148" i="24"/>
  <c r="O364" i="24"/>
  <c r="O198" i="24"/>
  <c r="O117" i="24"/>
  <c r="O33" i="24"/>
  <c r="O250" i="24"/>
  <c r="O102" i="24"/>
  <c r="O240" i="24"/>
  <c r="O44" i="24"/>
  <c r="O354" i="24"/>
  <c r="O32" i="24"/>
  <c r="O226" i="24"/>
  <c r="O92" i="24"/>
  <c r="O294" i="24"/>
  <c r="O362" i="24"/>
  <c r="O353" i="24"/>
  <c r="O278" i="24"/>
  <c r="O139" i="24"/>
  <c r="O271" i="24"/>
  <c r="O347" i="24"/>
  <c r="O359" i="24"/>
  <c r="O244" i="24"/>
  <c r="O152" i="24"/>
  <c r="O262" i="24"/>
  <c r="O230" i="24"/>
  <c r="O310" i="24"/>
  <c r="O265" i="24"/>
  <c r="O348" i="24"/>
  <c r="O179" i="24"/>
  <c r="O235" i="24"/>
  <c r="O197" i="24"/>
  <c r="O341" i="24"/>
  <c r="O222" i="24"/>
  <c r="O199" i="24"/>
  <c r="O357" i="24"/>
  <c r="O147" i="24"/>
  <c r="O183" i="24"/>
  <c r="O371" i="24"/>
  <c r="O145" i="24"/>
  <c r="O180" i="24"/>
  <c r="AG61" i="7" s="1"/>
  <c r="O321" i="24"/>
  <c r="O249" i="24"/>
  <c r="O361" i="24"/>
  <c r="O329" i="24"/>
  <c r="O211" i="24"/>
  <c r="O299" i="24"/>
  <c r="O209" i="24"/>
  <c r="O245" i="24"/>
  <c r="O159" i="24"/>
  <c r="O337" i="24"/>
  <c r="O263" i="24"/>
  <c r="O254" i="24"/>
  <c r="O184" i="24"/>
  <c r="O232" i="24"/>
  <c r="O138" i="24"/>
  <c r="O212" i="24"/>
  <c r="O200" i="24"/>
  <c r="O228" i="24"/>
  <c r="O349" i="24"/>
  <c r="O307" i="24"/>
  <c r="O259" i="24"/>
  <c r="O376" i="24"/>
  <c r="O135" i="24"/>
  <c r="O277" i="24"/>
  <c r="O270" i="24"/>
  <c r="O375" i="24"/>
  <c r="O188" i="24"/>
  <c r="O324" i="24"/>
  <c r="O312" i="24"/>
  <c r="O295" i="24"/>
  <c r="O174" i="24"/>
  <c r="O175" i="24"/>
  <c r="O300" i="24"/>
  <c r="O185" i="24"/>
  <c r="O344" i="24"/>
  <c r="O143" i="24"/>
  <c r="O229" i="24"/>
  <c r="O330" i="24"/>
  <c r="O342" i="24"/>
  <c r="O296" i="24"/>
  <c r="O358" i="24"/>
  <c r="O274" i="24"/>
  <c r="O293" i="24"/>
  <c r="O305" i="24"/>
  <c r="O377" i="24"/>
  <c r="O165" i="24"/>
  <c r="O366" i="24"/>
  <c r="O314" i="24"/>
  <c r="O151" i="24"/>
  <c r="O194" i="24"/>
  <c r="O163" i="24"/>
  <c r="O136" i="24"/>
  <c r="O373" i="24"/>
  <c r="O217" i="24"/>
  <c r="O208" i="24"/>
  <c r="O311" i="24"/>
  <c r="O286" i="24"/>
  <c r="O280" i="24"/>
  <c r="O158" i="24"/>
  <c r="O218" i="24"/>
  <c r="O355" i="24"/>
  <c r="O282" i="24"/>
  <c r="O203" i="24"/>
  <c r="O279" i="24"/>
  <c r="O172" i="24"/>
  <c r="O323" i="24"/>
  <c r="O288" i="24"/>
  <c r="O166" i="24"/>
  <c r="O369" i="24"/>
  <c r="O182" i="24"/>
  <c r="O268" i="24"/>
  <c r="O352" i="24"/>
  <c r="O233" i="24"/>
  <c r="O255" i="24"/>
  <c r="O365" i="24"/>
  <c r="O140" i="24"/>
  <c r="O238" i="24"/>
  <c r="O187" i="24"/>
  <c r="O155" i="24"/>
  <c r="O216" i="24"/>
  <c r="O316" i="24"/>
  <c r="O144" i="24"/>
  <c r="O298" i="24"/>
  <c r="O269" i="24"/>
  <c r="O320" i="24"/>
  <c r="O350" i="24"/>
  <c r="O193" i="24"/>
  <c r="O264" i="24"/>
  <c r="O256" i="24"/>
  <c r="O149" i="24"/>
  <c r="AG60" i="7" s="1"/>
  <c r="O176" i="24"/>
  <c r="O213" i="24"/>
  <c r="O170" i="24"/>
  <c r="O134" i="24"/>
  <c r="O368" i="24"/>
  <c r="O150" i="24"/>
  <c r="L42" i="19"/>
  <c r="AC247" i="23"/>
  <c r="AC167" i="23"/>
  <c r="AC225" i="23"/>
  <c r="AC171" i="23"/>
  <c r="AC358" i="23"/>
  <c r="AC241" i="23"/>
  <c r="AC274" i="23"/>
  <c r="AC300" i="23"/>
  <c r="J29" i="17"/>
  <c r="AC211" i="23"/>
  <c r="AC363" i="23"/>
  <c r="AC330" i="23"/>
  <c r="AC180" i="23"/>
  <c r="AC284" i="23"/>
  <c r="AC216" i="23"/>
  <c r="AC253" i="23"/>
  <c r="AC320" i="23"/>
  <c r="AC260" i="23"/>
  <c r="AC307" i="23"/>
  <c r="AC233" i="23"/>
  <c r="AC297" i="23"/>
  <c r="AC182" i="23"/>
  <c r="AC236" i="23"/>
  <c r="AC238" i="23"/>
  <c r="AC168" i="23"/>
  <c r="AC360" i="23"/>
  <c r="AC166" i="23"/>
  <c r="AC305" i="23"/>
  <c r="AC170" i="23"/>
  <c r="AC355" i="23"/>
  <c r="AC153" i="23"/>
  <c r="AC282" i="23"/>
  <c r="AC327" i="23"/>
  <c r="AC268" i="23"/>
  <c r="AC265" i="23"/>
  <c r="AC319" i="23"/>
  <c r="AC377" i="23"/>
  <c r="AC322" i="23"/>
  <c r="AC231" i="23"/>
  <c r="AC206" i="23"/>
  <c r="AC345" i="23"/>
  <c r="AC147" i="23"/>
  <c r="AC312" i="23"/>
  <c r="AC161" i="23"/>
  <c r="AC158" i="23"/>
  <c r="AC379" i="23"/>
  <c r="AC341" i="23"/>
  <c r="AC350" i="23"/>
  <c r="AC267" i="23"/>
  <c r="AC367" i="23"/>
  <c r="AC287" i="23"/>
  <c r="AC193" i="23"/>
  <c r="AC280" i="23"/>
  <c r="AC142" i="23"/>
  <c r="AC135" i="23"/>
  <c r="AC349" i="23"/>
  <c r="AC296" i="23"/>
  <c r="AC207" i="23"/>
  <c r="AC143" i="23"/>
  <c r="AC202" i="23"/>
  <c r="AC219" i="23"/>
  <c r="AC281" i="23"/>
  <c r="AC218" i="23"/>
  <c r="AC137" i="23"/>
  <c r="AC184" i="23"/>
  <c r="AC375" i="23"/>
  <c r="AC258" i="23"/>
  <c r="AC245" i="23"/>
  <c r="AC212" i="23"/>
  <c r="AC221" i="23"/>
  <c r="AC356" i="23"/>
  <c r="AC298" i="23"/>
  <c r="AC295" i="23"/>
  <c r="AC150" i="23"/>
  <c r="AC262" i="23"/>
  <c r="AC352" i="23"/>
  <c r="AC364" i="23"/>
  <c r="AC134" i="23"/>
  <c r="AC227" i="23"/>
  <c r="AC181" i="23"/>
  <c r="AC138" i="23"/>
  <c r="AC228" i="23"/>
  <c r="AC178" i="23"/>
  <c r="AC162" i="23"/>
  <c r="AC362" i="23"/>
  <c r="AC336" i="23"/>
  <c r="AC256" i="23"/>
  <c r="AC145" i="23"/>
  <c r="AC141" i="23"/>
  <c r="AC371" i="23"/>
  <c r="AC276" i="23"/>
  <c r="AC146" i="23"/>
  <c r="AC139" i="23"/>
  <c r="AC155" i="23"/>
  <c r="AC291" i="23"/>
  <c r="AC340" i="23"/>
  <c r="AC196" i="23"/>
  <c r="AC354" i="23"/>
  <c r="AC299" i="23"/>
  <c r="AC348" i="23"/>
  <c r="AC372" i="23"/>
  <c r="AC163" i="23"/>
  <c r="AC240" i="23"/>
  <c r="AC294" i="23"/>
  <c r="AC308" i="23"/>
  <c r="AC314" i="23"/>
  <c r="AC373" i="23"/>
  <c r="AC325" i="23"/>
  <c r="AC189" i="23"/>
  <c r="AC347" i="23"/>
  <c r="AC333" i="23"/>
  <c r="AC209" i="23"/>
  <c r="AC313" i="23"/>
  <c r="AC285" i="23"/>
  <c r="AC326" i="23"/>
  <c r="AC292" i="23"/>
  <c r="AC332" i="23"/>
  <c r="AC152" i="23"/>
  <c r="AC177" i="23"/>
  <c r="AC232" i="23"/>
  <c r="AC331" i="23"/>
  <c r="AC192" i="23"/>
  <c r="AC174" i="23"/>
  <c r="AC248" i="23"/>
  <c r="AC198" i="23"/>
  <c r="AC109" i="24"/>
  <c r="AC123" i="24"/>
  <c r="AC132" i="24"/>
  <c r="AC108" i="24"/>
  <c r="AC51" i="24"/>
  <c r="AC100" i="24"/>
  <c r="AC98" i="24"/>
  <c r="AC103" i="24"/>
  <c r="AC32" i="24"/>
  <c r="AC27" i="24"/>
  <c r="AC130" i="24"/>
  <c r="AC35" i="24"/>
  <c r="AC53" i="24"/>
  <c r="AC77" i="24"/>
  <c r="AC99" i="24"/>
  <c r="AC42" i="24"/>
  <c r="AC96" i="24"/>
  <c r="AC62" i="24"/>
  <c r="AC107" i="24"/>
  <c r="AC39" i="24"/>
  <c r="AC119" i="24"/>
  <c r="AC85" i="24"/>
  <c r="AC20" i="24"/>
  <c r="AC73" i="24"/>
  <c r="AC89" i="24"/>
  <c r="AC129" i="24"/>
  <c r="AC25" i="24"/>
  <c r="AC61" i="24"/>
  <c r="AC82" i="24"/>
  <c r="AC48" i="24"/>
  <c r="AC84" i="24"/>
  <c r="AC111" i="24"/>
  <c r="AC104" i="24"/>
  <c r="AC95" i="24"/>
  <c r="AC66" i="24"/>
  <c r="AC69" i="24"/>
  <c r="AC93" i="24"/>
  <c r="AC114" i="24"/>
  <c r="AC115" i="24"/>
  <c r="AC45" i="24"/>
  <c r="AC76" i="24"/>
  <c r="AC16" i="24"/>
  <c r="AC33" i="24"/>
  <c r="AC37" i="24"/>
  <c r="AC28" i="24"/>
  <c r="AC23" i="24"/>
  <c r="AC19" i="24"/>
  <c r="AC60" i="24"/>
  <c r="AC351" i="23"/>
  <c r="AC235" i="23"/>
  <c r="AC269" i="23"/>
  <c r="AC311" i="23"/>
  <c r="AC213" i="23"/>
  <c r="AC328" i="23"/>
  <c r="AC136" i="23"/>
  <c r="AC338" i="23"/>
  <c r="AC264" i="23"/>
  <c r="AC187" i="23"/>
  <c r="AC217" i="23"/>
  <c r="AC271" i="23"/>
  <c r="AC337" i="23"/>
  <c r="AC160" i="23"/>
  <c r="AC346" i="23"/>
  <c r="AC201" i="23"/>
  <c r="AC224" i="23"/>
  <c r="AC148" i="23"/>
  <c r="AC157" i="23"/>
  <c r="AC261" i="23"/>
  <c r="AC183" i="23"/>
  <c r="AC222" i="23"/>
  <c r="AC334" i="23"/>
  <c r="AC306" i="23"/>
  <c r="AC250" i="23"/>
  <c r="AC229" i="23"/>
  <c r="AC290" i="23"/>
  <c r="AC353" i="23"/>
  <c r="AC357" i="23"/>
  <c r="AC263" i="23"/>
  <c r="AC197" i="23"/>
  <c r="AC199" i="23"/>
  <c r="AC302" i="23"/>
  <c r="AC359" i="23"/>
  <c r="AC185" i="23"/>
  <c r="AC191" i="23"/>
  <c r="AC301" i="23"/>
  <c r="AC239" i="23"/>
  <c r="AC154" i="23"/>
  <c r="AC304" i="23"/>
  <c r="AC273" i="23"/>
  <c r="AC315" i="23"/>
  <c r="AC226" i="23"/>
  <c r="AC194" i="23"/>
  <c r="AC195" i="23"/>
  <c r="AC204" i="23"/>
  <c r="AC303" i="23"/>
  <c r="AC173" i="23"/>
  <c r="AC230" i="23"/>
  <c r="AC339" i="23"/>
  <c r="AC270" i="23"/>
  <c r="AC368" i="23"/>
  <c r="AC278" i="23"/>
  <c r="AC254" i="23"/>
  <c r="AC259" i="23"/>
  <c r="AC205" i="23"/>
  <c r="AC318" i="23"/>
  <c r="AC74" i="24"/>
  <c r="AC87" i="24"/>
  <c r="AC15" i="24"/>
  <c r="AC79" i="24"/>
  <c r="AC50" i="24"/>
  <c r="AC78" i="24"/>
  <c r="AC81" i="24"/>
  <c r="AC131" i="24"/>
  <c r="AC120" i="24"/>
  <c r="AC44" i="24"/>
  <c r="AC30" i="24"/>
  <c r="AC65" i="24"/>
  <c r="AC112" i="24"/>
  <c r="AC58" i="24"/>
  <c r="AC86" i="24"/>
  <c r="AC54" i="24"/>
  <c r="AC29" i="24"/>
  <c r="AC105" i="24"/>
  <c r="AC128" i="24"/>
  <c r="AC113" i="24"/>
  <c r="AC68" i="24"/>
  <c r="AC116" i="24"/>
  <c r="AC17" i="24"/>
  <c r="AC31" i="24"/>
  <c r="AC64" i="24"/>
  <c r="AC94" i="24"/>
  <c r="AC88" i="24"/>
  <c r="AC342" i="23"/>
  <c r="AC257" i="23"/>
  <c r="AC144" i="23"/>
  <c r="AC272" i="23"/>
  <c r="AC151" i="23"/>
  <c r="AC169" i="23"/>
  <c r="AC369" i="23"/>
  <c r="AC365" i="23"/>
  <c r="AC242" i="23"/>
  <c r="AC149" i="23"/>
  <c r="AC234" i="23"/>
  <c r="AC376" i="23"/>
  <c r="AC329" i="23"/>
  <c r="AC223" i="23"/>
  <c r="AC374" i="23"/>
  <c r="AC156" i="23"/>
  <c r="AC179" i="23"/>
  <c r="AC279" i="23"/>
  <c r="AC343" i="23"/>
  <c r="AC255" i="23"/>
  <c r="AC344" i="23"/>
  <c r="AC140" i="23"/>
  <c r="AC244" i="23"/>
  <c r="AC210" i="23"/>
  <c r="AC159" i="23"/>
  <c r="AC237" i="23"/>
  <c r="AC288" i="23"/>
  <c r="AC203" i="23"/>
  <c r="AC243" i="23"/>
  <c r="AC246" i="23"/>
  <c r="AC378" i="23"/>
  <c r="AC293" i="23"/>
  <c r="AC309" i="23"/>
  <c r="AC283" i="23"/>
  <c r="AC324" i="23"/>
  <c r="AC266" i="23"/>
  <c r="AC175" i="23"/>
  <c r="AC164" i="23"/>
  <c r="AC277" i="23"/>
  <c r="AC317" i="23"/>
  <c r="AC190" i="23"/>
  <c r="AC316" i="23"/>
  <c r="AC172" i="23"/>
  <c r="AC220" i="23"/>
  <c r="AC275" i="23"/>
  <c r="AC215" i="23"/>
  <c r="AC165" i="23"/>
  <c r="AC361" i="23"/>
  <c r="AC323" i="23"/>
  <c r="AC208" i="23"/>
  <c r="AC186" i="23"/>
  <c r="AC310" i="23"/>
  <c r="AC188" i="23"/>
  <c r="AC366" i="23"/>
  <c r="AC251" i="23"/>
  <c r="AC252" i="23"/>
  <c r="AC200" i="23"/>
  <c r="AC289" i="23"/>
  <c r="AC52" i="24"/>
  <c r="AC34" i="24"/>
  <c r="AC41" i="24"/>
  <c r="AC22" i="24"/>
  <c r="AC133" i="24"/>
  <c r="AC117" i="24"/>
  <c r="AC110" i="24"/>
  <c r="AC38" i="24"/>
  <c r="AC36" i="24"/>
  <c r="AC56" i="24"/>
  <c r="AC21" i="24"/>
  <c r="AC26" i="24"/>
  <c r="AC63" i="24"/>
  <c r="AC80" i="24"/>
  <c r="AC47" i="24"/>
  <c r="AC106" i="24"/>
  <c r="AC124" i="24"/>
  <c r="AC97" i="24"/>
  <c r="AC55" i="24"/>
  <c r="AC127" i="24"/>
  <c r="AC67" i="24"/>
  <c r="AC83" i="24"/>
  <c r="AC49" i="24"/>
  <c r="AC18" i="24"/>
  <c r="AC72" i="24"/>
  <c r="AC75" i="24"/>
  <c r="AC57" i="24"/>
  <c r="AC92" i="24"/>
  <c r="AC71" i="24"/>
  <c r="AC91" i="24"/>
  <c r="AC118" i="24"/>
  <c r="AC122" i="24"/>
  <c r="AC43" i="24"/>
  <c r="AC102" i="24"/>
  <c r="AC46" i="24"/>
  <c r="AC40" i="24"/>
  <c r="AC24" i="24"/>
  <c r="AC70" i="24"/>
  <c r="AC101" i="24"/>
  <c r="AC121" i="24"/>
  <c r="AC90" i="24"/>
  <c r="AC125" i="24"/>
  <c r="AC59" i="24"/>
  <c r="AC126" i="24"/>
  <c r="AI241" i="18"/>
  <c r="AH241" i="18" s="1"/>
  <c r="AG241" i="18" s="1"/>
  <c r="AF241" i="18" s="1"/>
  <c r="AI267" i="18"/>
  <c r="AH267" i="18" s="1"/>
  <c r="AG267" i="18" s="1"/>
  <c r="AF267" i="18" s="1"/>
  <c r="AD267" i="18" s="1"/>
  <c r="AI175" i="18"/>
  <c r="AH175" i="18" s="1"/>
  <c r="AG175" i="18" s="1"/>
  <c r="AF175" i="18" s="1"/>
  <c r="AD175" i="18" s="1"/>
  <c r="AI211" i="18"/>
  <c r="AH211" i="18" s="1"/>
  <c r="AG211" i="18" s="1"/>
  <c r="AF211" i="18" s="1"/>
  <c r="AD211" i="18" s="1"/>
  <c r="AI157" i="18"/>
  <c r="AH157" i="18" s="1"/>
  <c r="AG157" i="18" s="1"/>
  <c r="AF157" i="18" s="1"/>
  <c r="AD157" i="18" s="1"/>
  <c r="BY15" i="6"/>
  <c r="I364" i="17"/>
  <c r="J162" i="17"/>
  <c r="I136" i="17"/>
  <c r="J22" i="17"/>
  <c r="J326" i="17"/>
  <c r="I368" i="17"/>
  <c r="J377" i="17"/>
  <c r="J170" i="17"/>
  <c r="J77" i="17"/>
  <c r="J257" i="17"/>
  <c r="J301" i="17"/>
  <c r="AC381" i="22"/>
  <c r="AC382" i="22"/>
  <c r="I314" i="17"/>
  <c r="J351" i="17"/>
  <c r="J55" i="17"/>
  <c r="J17" i="17"/>
  <c r="J65" i="17"/>
  <c r="J202" i="17"/>
  <c r="J204" i="17"/>
  <c r="J161" i="17"/>
  <c r="J278" i="17"/>
  <c r="J34" i="17"/>
  <c r="J302" i="17"/>
  <c r="I204" i="17"/>
  <c r="J140" i="17"/>
  <c r="J107" i="17"/>
  <c r="J37" i="17"/>
  <c r="J32" i="17"/>
  <c r="J163" i="17"/>
  <c r="J44" i="17"/>
  <c r="AI373" i="18"/>
  <c r="AH373" i="18" s="1"/>
  <c r="AG373" i="18" s="1"/>
  <c r="AF373" i="18" s="1"/>
  <c r="AD373" i="18" s="1"/>
  <c r="AI118" i="18"/>
  <c r="AH118" i="18" s="1"/>
  <c r="AG118" i="18" s="1"/>
  <c r="AF118" i="18" s="1"/>
  <c r="AD118" i="18" s="1"/>
  <c r="AI191" i="18"/>
  <c r="AH191" i="18" s="1"/>
  <c r="AG191" i="18" s="1"/>
  <c r="AF191" i="18" s="1"/>
  <c r="AD191" i="18" s="1"/>
  <c r="AI238" i="18"/>
  <c r="AH238" i="18" s="1"/>
  <c r="AG238" i="18" s="1"/>
  <c r="AF238" i="18" s="1"/>
  <c r="AI368" i="18"/>
  <c r="AH368" i="18" s="1"/>
  <c r="AG368" i="18" s="1"/>
  <c r="AF368" i="18" s="1"/>
  <c r="AD368" i="18" s="1"/>
  <c r="AI360" i="18"/>
  <c r="AH360" i="18" s="1"/>
  <c r="AG360" i="18" s="1"/>
  <c r="AF360" i="18" s="1"/>
  <c r="AD360" i="18" s="1"/>
  <c r="AI126" i="18"/>
  <c r="AH126" i="18" s="1"/>
  <c r="AG126" i="18" s="1"/>
  <c r="AF126" i="18" s="1"/>
  <c r="AD126" i="18" s="1"/>
  <c r="AI198" i="18"/>
  <c r="AH198" i="18" s="1"/>
  <c r="AG198" i="18" s="1"/>
  <c r="AF198" i="18" s="1"/>
  <c r="AD198" i="18" s="1"/>
  <c r="AI29" i="18"/>
  <c r="AH29" i="18" s="1"/>
  <c r="AG29" i="18" s="1"/>
  <c r="AF29" i="18" s="1"/>
  <c r="AI57" i="18"/>
  <c r="AH57" i="18" s="1"/>
  <c r="AG57" i="18" s="1"/>
  <c r="AF57" i="18" s="1"/>
  <c r="AD57" i="18" s="1"/>
  <c r="J234" i="17"/>
  <c r="J198" i="17"/>
  <c r="J46" i="17"/>
  <c r="J135" i="17"/>
  <c r="J116" i="17"/>
  <c r="AA379" i="17"/>
  <c r="Z379" i="17" s="1"/>
  <c r="Y379" i="17" s="1"/>
  <c r="AI286" i="18"/>
  <c r="AH286" i="18" s="1"/>
  <c r="AG286" i="18" s="1"/>
  <c r="AF286" i="18" s="1"/>
  <c r="AD286" i="18" s="1"/>
  <c r="AI313" i="18"/>
  <c r="AH313" i="18" s="1"/>
  <c r="AG313" i="18" s="1"/>
  <c r="AF313" i="18" s="1"/>
  <c r="AD313" i="18" s="1"/>
  <c r="AI210" i="18"/>
  <c r="AH210" i="18" s="1"/>
  <c r="AG210" i="18" s="1"/>
  <c r="AF210" i="18" s="1"/>
  <c r="AD210" i="18" s="1"/>
  <c r="AI237" i="18"/>
  <c r="AH237" i="18" s="1"/>
  <c r="AG237" i="18" s="1"/>
  <c r="AF237" i="18" s="1"/>
  <c r="AD237" i="18" s="1"/>
  <c r="AI186" i="18"/>
  <c r="AH186" i="18" s="1"/>
  <c r="AG186" i="18" s="1"/>
  <c r="AF186" i="18" s="1"/>
  <c r="AD186" i="18" s="1"/>
  <c r="AI152" i="18"/>
  <c r="AH152" i="18" s="1"/>
  <c r="AG152" i="18" s="1"/>
  <c r="AF152" i="18" s="1"/>
  <c r="AD152" i="18" s="1"/>
  <c r="AI141" i="18"/>
  <c r="AH141" i="18" s="1"/>
  <c r="AG141" i="18" s="1"/>
  <c r="AF141" i="18" s="1"/>
  <c r="AD141" i="18" s="1"/>
  <c r="AI104" i="18"/>
  <c r="AH104" i="18" s="1"/>
  <c r="AG104" i="18" s="1"/>
  <c r="AF104" i="18" s="1"/>
  <c r="AD104" i="18" s="1"/>
  <c r="AI139" i="18"/>
  <c r="AH139" i="18" s="1"/>
  <c r="AG139" i="18" s="1"/>
  <c r="AF139" i="18" s="1"/>
  <c r="AD139" i="18" s="1"/>
  <c r="AI179" i="18"/>
  <c r="AH179" i="18" s="1"/>
  <c r="AG179" i="18" s="1"/>
  <c r="AF179" i="18" s="1"/>
  <c r="AD179" i="18" s="1"/>
  <c r="AI362" i="18"/>
  <c r="AH362" i="18" s="1"/>
  <c r="AG362" i="18" s="1"/>
  <c r="AF362" i="18" s="1"/>
  <c r="AD362" i="18" s="1"/>
  <c r="AI223" i="18"/>
  <c r="AH223" i="18" s="1"/>
  <c r="AG223" i="18" s="1"/>
  <c r="AF223" i="18" s="1"/>
  <c r="AD223" i="18" s="1"/>
  <c r="AI150" i="18"/>
  <c r="AH150" i="18" s="1"/>
  <c r="AG150" i="18" s="1"/>
  <c r="AF150" i="18" s="1"/>
  <c r="AD150" i="18" s="1"/>
  <c r="AI292" i="18"/>
  <c r="AH292" i="18" s="1"/>
  <c r="AG292" i="18" s="1"/>
  <c r="AF292" i="18" s="1"/>
  <c r="AD292" i="18" s="1"/>
  <c r="AI331" i="18"/>
  <c r="AH331" i="18" s="1"/>
  <c r="AG331" i="18" s="1"/>
  <c r="AF331" i="18" s="1"/>
  <c r="AD331" i="18" s="1"/>
  <c r="AI189" i="18"/>
  <c r="AH189" i="18" s="1"/>
  <c r="AG189" i="18" s="1"/>
  <c r="AF189" i="18" s="1"/>
  <c r="AD189" i="18" s="1"/>
  <c r="AI376" i="18"/>
  <c r="AH376" i="18" s="1"/>
  <c r="AG376" i="18" s="1"/>
  <c r="AF376" i="18" s="1"/>
  <c r="AD376" i="18" s="1"/>
  <c r="AI378" i="18"/>
  <c r="AH378" i="18" s="1"/>
  <c r="AG378" i="18" s="1"/>
  <c r="AF378" i="18" s="1"/>
  <c r="AD378" i="18" s="1"/>
  <c r="AI46" i="18"/>
  <c r="AH46" i="18" s="1"/>
  <c r="AG46" i="18" s="1"/>
  <c r="AF46" i="18" s="1"/>
  <c r="AD46" i="18" s="1"/>
  <c r="M64" i="19"/>
  <c r="J352" i="17"/>
  <c r="J267" i="17"/>
  <c r="J307" i="17"/>
  <c r="J108" i="17"/>
  <c r="J41" i="17"/>
  <c r="J232" i="17"/>
  <c r="J276" i="17"/>
  <c r="J261" i="17"/>
  <c r="J50" i="17"/>
  <c r="J337" i="17"/>
  <c r="AE381" i="18"/>
  <c r="AD241" i="18"/>
  <c r="AE382" i="18"/>
  <c r="AC383" i="22"/>
  <c r="AI45" i="18"/>
  <c r="AH45" i="18" s="1"/>
  <c r="AG45" i="18" s="1"/>
  <c r="AF45" i="18" s="1"/>
  <c r="AD45" i="18" s="1"/>
  <c r="AI49" i="18"/>
  <c r="AH49" i="18" s="1"/>
  <c r="AG49" i="18" s="1"/>
  <c r="AF49" i="18" s="1"/>
  <c r="AD49" i="18" s="1"/>
  <c r="AI63" i="18"/>
  <c r="AH63" i="18" s="1"/>
  <c r="AG63" i="18" s="1"/>
  <c r="AF63" i="18" s="1"/>
  <c r="AD63" i="18" s="1"/>
  <c r="AI40" i="18"/>
  <c r="AH40" i="18" s="1"/>
  <c r="AG40" i="18" s="1"/>
  <c r="AF40" i="18" s="1"/>
  <c r="AD40" i="18" s="1"/>
  <c r="AI82" i="18"/>
  <c r="AH82" i="18" s="1"/>
  <c r="AG82" i="18" s="1"/>
  <c r="AF82" i="18" s="1"/>
  <c r="AD82" i="18" s="1"/>
  <c r="AI62" i="18"/>
  <c r="AH62" i="18" s="1"/>
  <c r="AG62" i="18" s="1"/>
  <c r="AF62" i="18" s="1"/>
  <c r="AD62" i="18" s="1"/>
  <c r="AI60" i="18"/>
  <c r="AH60" i="18" s="1"/>
  <c r="AG60" i="18" s="1"/>
  <c r="AF60" i="18" s="1"/>
  <c r="AD60" i="18" s="1"/>
  <c r="AI32" i="18"/>
  <c r="AH32" i="18" s="1"/>
  <c r="AG32" i="18" s="1"/>
  <c r="AF32" i="18" s="1"/>
  <c r="AD32" i="18" s="1"/>
  <c r="AI74" i="18"/>
  <c r="AH74" i="18" s="1"/>
  <c r="AG74" i="18" s="1"/>
  <c r="AF74" i="18" s="1"/>
  <c r="AD74" i="18" s="1"/>
  <c r="AI54" i="18"/>
  <c r="AH54" i="18" s="1"/>
  <c r="AG54" i="18" s="1"/>
  <c r="AF54" i="18" s="1"/>
  <c r="AD54" i="18" s="1"/>
  <c r="AI22" i="18"/>
  <c r="AH22" i="18" s="1"/>
  <c r="AG22" i="18" s="1"/>
  <c r="AF22" i="18" s="1"/>
  <c r="AD22" i="18" s="1"/>
  <c r="AI28" i="18"/>
  <c r="AH28" i="18" s="1"/>
  <c r="AG28" i="18" s="1"/>
  <c r="AF28" i="18" s="1"/>
  <c r="AD28" i="18" s="1"/>
  <c r="AI277" i="18"/>
  <c r="AH277" i="18" s="1"/>
  <c r="AG277" i="18" s="1"/>
  <c r="AF277" i="18" s="1"/>
  <c r="AD277" i="18" s="1"/>
  <c r="AI327" i="18"/>
  <c r="AH327" i="18" s="1"/>
  <c r="AG327" i="18" s="1"/>
  <c r="AF327" i="18" s="1"/>
  <c r="AD327" i="18" s="1"/>
  <c r="AI369" i="18"/>
  <c r="AH369" i="18" s="1"/>
  <c r="AG369" i="18" s="1"/>
  <c r="AF369" i="18" s="1"/>
  <c r="AD369" i="18" s="1"/>
  <c r="AI276" i="18"/>
  <c r="AH276" i="18" s="1"/>
  <c r="AG276" i="18" s="1"/>
  <c r="AF276" i="18" s="1"/>
  <c r="AD276" i="18" s="1"/>
  <c r="AI290" i="18"/>
  <c r="AH290" i="18" s="1"/>
  <c r="AG290" i="18" s="1"/>
  <c r="AF290" i="18" s="1"/>
  <c r="AD290" i="18" s="1"/>
  <c r="AI318" i="18"/>
  <c r="AH318" i="18" s="1"/>
  <c r="AG318" i="18" s="1"/>
  <c r="AF318" i="18" s="1"/>
  <c r="AD318" i="18" s="1"/>
  <c r="AI116" i="18"/>
  <c r="AH116" i="18" s="1"/>
  <c r="AG116" i="18" s="1"/>
  <c r="AF116" i="18" s="1"/>
  <c r="AD116" i="18" s="1"/>
  <c r="AI312" i="18"/>
  <c r="AH312" i="18" s="1"/>
  <c r="AG312" i="18" s="1"/>
  <c r="AF312" i="18" s="1"/>
  <c r="AD312" i="18" s="1"/>
  <c r="AI298" i="18"/>
  <c r="AH298" i="18" s="1"/>
  <c r="AG298" i="18" s="1"/>
  <c r="AF298" i="18" s="1"/>
  <c r="AD298" i="18" s="1"/>
  <c r="AI133" i="18"/>
  <c r="AH133" i="18" s="1"/>
  <c r="AG133" i="18" s="1"/>
  <c r="AF133" i="18" s="1"/>
  <c r="AD133" i="18" s="1"/>
  <c r="AI200" i="18"/>
  <c r="AH200" i="18" s="1"/>
  <c r="AG200" i="18" s="1"/>
  <c r="AF200" i="18" s="1"/>
  <c r="AD200" i="18" s="1"/>
  <c r="AI309" i="18"/>
  <c r="AH309" i="18" s="1"/>
  <c r="AG309" i="18" s="1"/>
  <c r="AF309" i="18" s="1"/>
  <c r="AD309" i="18" s="1"/>
  <c r="AI145" i="18"/>
  <c r="AH145" i="18" s="1"/>
  <c r="AG145" i="18" s="1"/>
  <c r="AF145" i="18" s="1"/>
  <c r="AD145" i="18" s="1"/>
  <c r="AI261" i="18"/>
  <c r="AH261" i="18" s="1"/>
  <c r="AG261" i="18" s="1"/>
  <c r="AF261" i="18" s="1"/>
  <c r="AD261" i="18" s="1"/>
  <c r="AI342" i="18"/>
  <c r="AH342" i="18" s="1"/>
  <c r="AG342" i="18" s="1"/>
  <c r="AF342" i="18" s="1"/>
  <c r="AD342" i="18" s="1"/>
  <c r="AI130" i="18"/>
  <c r="AH130" i="18" s="1"/>
  <c r="AG130" i="18" s="1"/>
  <c r="AF130" i="18" s="1"/>
  <c r="AD130" i="18" s="1"/>
  <c r="AI305" i="18"/>
  <c r="AH305" i="18" s="1"/>
  <c r="AG305" i="18" s="1"/>
  <c r="AF305" i="18" s="1"/>
  <c r="AD305" i="18" s="1"/>
  <c r="AI180" i="18"/>
  <c r="AH180" i="18" s="1"/>
  <c r="AG180" i="18" s="1"/>
  <c r="AF180" i="18" s="1"/>
  <c r="AD180" i="18" s="1"/>
  <c r="AI336" i="18"/>
  <c r="AH336" i="18" s="1"/>
  <c r="AG336" i="18" s="1"/>
  <c r="AF336" i="18" s="1"/>
  <c r="AD336" i="18" s="1"/>
  <c r="AI107" i="18"/>
  <c r="AH107" i="18" s="1"/>
  <c r="AG107" i="18" s="1"/>
  <c r="AF107" i="18" s="1"/>
  <c r="AD107" i="18" s="1"/>
  <c r="AI147" i="18"/>
  <c r="AH147" i="18" s="1"/>
  <c r="AG147" i="18" s="1"/>
  <c r="AF147" i="18" s="1"/>
  <c r="AD147" i="18" s="1"/>
  <c r="AI374" i="18"/>
  <c r="AH374" i="18" s="1"/>
  <c r="AG374" i="18" s="1"/>
  <c r="AF374" i="18" s="1"/>
  <c r="AD374" i="18" s="1"/>
  <c r="AI122" i="18"/>
  <c r="AH122" i="18" s="1"/>
  <c r="AG122" i="18" s="1"/>
  <c r="AF122" i="18" s="1"/>
  <c r="AD122" i="18" s="1"/>
  <c r="AI228" i="18"/>
  <c r="AH228" i="18" s="1"/>
  <c r="AG228" i="18" s="1"/>
  <c r="AF228" i="18" s="1"/>
  <c r="AD228" i="18" s="1"/>
  <c r="AI229" i="18"/>
  <c r="AH229" i="18" s="1"/>
  <c r="AG229" i="18" s="1"/>
  <c r="AF229" i="18" s="1"/>
  <c r="AD229" i="18" s="1"/>
  <c r="AI160" i="18"/>
  <c r="AH160" i="18" s="1"/>
  <c r="AG160" i="18" s="1"/>
  <c r="AF160" i="18" s="1"/>
  <c r="AD160" i="18" s="1"/>
  <c r="AI231" i="18"/>
  <c r="AH231" i="18" s="1"/>
  <c r="AG231" i="18" s="1"/>
  <c r="AF231" i="18" s="1"/>
  <c r="AD231" i="18" s="1"/>
  <c r="AI379" i="18"/>
  <c r="AI12" i="20" s="1"/>
  <c r="AI310" i="18"/>
  <c r="AH310" i="18" s="1"/>
  <c r="AG310" i="18" s="1"/>
  <c r="AF310" i="18" s="1"/>
  <c r="AD310" i="18" s="1"/>
  <c r="AI158" i="18"/>
  <c r="AH158" i="18" s="1"/>
  <c r="AG158" i="18" s="1"/>
  <c r="AF158" i="18" s="1"/>
  <c r="AD158" i="18" s="1"/>
  <c r="AI321" i="18"/>
  <c r="AH321" i="18" s="1"/>
  <c r="AG321" i="18" s="1"/>
  <c r="AF321" i="18" s="1"/>
  <c r="AD321" i="18" s="1"/>
  <c r="AI281" i="18"/>
  <c r="AH281" i="18" s="1"/>
  <c r="AG281" i="18" s="1"/>
  <c r="AF281" i="18" s="1"/>
  <c r="AD281" i="18" s="1"/>
  <c r="AI266" i="18"/>
  <c r="AH266" i="18" s="1"/>
  <c r="AG266" i="18" s="1"/>
  <c r="AF266" i="18" s="1"/>
  <c r="AD266" i="18" s="1"/>
  <c r="AI196" i="18"/>
  <c r="AH196" i="18" s="1"/>
  <c r="AG196" i="18" s="1"/>
  <c r="AF196" i="18" s="1"/>
  <c r="AD196" i="18" s="1"/>
  <c r="AI273" i="18"/>
  <c r="AH273" i="18" s="1"/>
  <c r="AG273" i="18" s="1"/>
  <c r="AF273" i="18" s="1"/>
  <c r="AD273" i="18" s="1"/>
  <c r="AI315" i="18"/>
  <c r="AH315" i="18" s="1"/>
  <c r="AG315" i="18" s="1"/>
  <c r="AF315" i="18" s="1"/>
  <c r="AD315" i="18" s="1"/>
  <c r="AI169" i="18"/>
  <c r="AH169" i="18" s="1"/>
  <c r="AG169" i="18" s="1"/>
  <c r="AF169" i="18" s="1"/>
  <c r="AD169" i="18" s="1"/>
  <c r="AI338" i="18"/>
  <c r="AH338" i="18" s="1"/>
  <c r="AG338" i="18" s="1"/>
  <c r="AF338" i="18" s="1"/>
  <c r="AD338" i="18" s="1"/>
  <c r="AI129" i="18"/>
  <c r="AH129" i="18" s="1"/>
  <c r="AG129" i="18" s="1"/>
  <c r="AF129" i="18" s="1"/>
  <c r="AD129" i="18" s="1"/>
  <c r="AI236" i="18"/>
  <c r="AH236" i="18" s="1"/>
  <c r="AG236" i="18" s="1"/>
  <c r="AF236" i="18" s="1"/>
  <c r="AD236" i="18" s="1"/>
  <c r="AI165" i="18"/>
  <c r="AH165" i="18" s="1"/>
  <c r="AG165" i="18" s="1"/>
  <c r="AF165" i="18" s="1"/>
  <c r="AD165" i="18" s="1"/>
  <c r="AI332" i="18"/>
  <c r="AH332" i="18" s="1"/>
  <c r="AG332" i="18" s="1"/>
  <c r="AF332" i="18" s="1"/>
  <c r="AD332" i="18" s="1"/>
  <c r="AI149" i="18"/>
  <c r="AH149" i="18" s="1"/>
  <c r="AG149" i="18" s="1"/>
  <c r="AF149" i="18" s="1"/>
  <c r="AD149" i="18" s="1"/>
  <c r="AI347" i="18"/>
  <c r="AH347" i="18" s="1"/>
  <c r="AG347" i="18" s="1"/>
  <c r="AF347" i="18" s="1"/>
  <c r="AD347" i="18" s="1"/>
  <c r="AI117" i="18"/>
  <c r="AH117" i="18" s="1"/>
  <c r="AG117" i="18" s="1"/>
  <c r="AF117" i="18" s="1"/>
  <c r="AD117" i="18" s="1"/>
  <c r="AI263" i="18"/>
  <c r="AH263" i="18" s="1"/>
  <c r="AG263" i="18" s="1"/>
  <c r="AF263" i="18" s="1"/>
  <c r="AD263" i="18" s="1"/>
  <c r="AI303" i="18"/>
  <c r="AH303" i="18" s="1"/>
  <c r="AG303" i="18" s="1"/>
  <c r="AF303" i="18" s="1"/>
  <c r="AD303" i="18" s="1"/>
  <c r="AI259" i="18"/>
  <c r="AH259" i="18" s="1"/>
  <c r="AG259" i="18" s="1"/>
  <c r="AF259" i="18" s="1"/>
  <c r="AD259" i="18" s="1"/>
  <c r="AI256" i="18"/>
  <c r="AH256" i="18" s="1"/>
  <c r="AG256" i="18" s="1"/>
  <c r="AF256" i="18" s="1"/>
  <c r="AD256" i="18" s="1"/>
  <c r="AI221" i="18"/>
  <c r="AH221" i="18" s="1"/>
  <c r="AG221" i="18" s="1"/>
  <c r="AF221" i="18" s="1"/>
  <c r="AD221" i="18" s="1"/>
  <c r="AI110" i="18"/>
  <c r="AH110" i="18" s="1"/>
  <c r="AG110" i="18" s="1"/>
  <c r="AF110" i="18" s="1"/>
  <c r="AD110" i="18" s="1"/>
  <c r="AI377" i="18"/>
  <c r="AH377" i="18" s="1"/>
  <c r="AG377" i="18" s="1"/>
  <c r="AF377" i="18" s="1"/>
  <c r="AD377" i="18" s="1"/>
  <c r="AI257" i="18"/>
  <c r="AH257" i="18" s="1"/>
  <c r="AG257" i="18" s="1"/>
  <c r="AF257" i="18" s="1"/>
  <c r="AD257" i="18" s="1"/>
  <c r="AI167" i="18"/>
  <c r="AH167" i="18" s="1"/>
  <c r="AG167" i="18" s="1"/>
  <c r="AF167" i="18" s="1"/>
  <c r="AD167" i="18" s="1"/>
  <c r="AI262" i="18"/>
  <c r="AH262" i="18" s="1"/>
  <c r="AG262" i="18" s="1"/>
  <c r="AF262" i="18" s="1"/>
  <c r="AD262" i="18" s="1"/>
  <c r="AI148" i="18"/>
  <c r="AH148" i="18" s="1"/>
  <c r="AG148" i="18" s="1"/>
  <c r="AF148" i="18" s="1"/>
  <c r="AD148" i="18" s="1"/>
  <c r="AI325" i="18"/>
  <c r="AH325" i="18" s="1"/>
  <c r="AG325" i="18" s="1"/>
  <c r="AF325" i="18" s="1"/>
  <c r="AD325" i="18" s="1"/>
  <c r="AI230" i="18"/>
  <c r="AH230" i="18" s="1"/>
  <c r="AG230" i="18" s="1"/>
  <c r="AF230" i="18" s="1"/>
  <c r="AD230" i="18" s="1"/>
  <c r="AI217" i="18"/>
  <c r="AH217" i="18" s="1"/>
  <c r="AG217" i="18" s="1"/>
  <c r="AF217" i="18" s="1"/>
  <c r="AD217" i="18" s="1"/>
  <c r="AI218" i="18"/>
  <c r="AH218" i="18" s="1"/>
  <c r="AG218" i="18" s="1"/>
  <c r="AF218" i="18" s="1"/>
  <c r="AD218" i="18" s="1"/>
  <c r="AI172" i="18"/>
  <c r="AH172" i="18" s="1"/>
  <c r="AG172" i="18" s="1"/>
  <c r="AF172" i="18" s="1"/>
  <c r="AD172" i="18" s="1"/>
  <c r="AI193" i="18"/>
  <c r="AH193" i="18" s="1"/>
  <c r="AG193" i="18" s="1"/>
  <c r="AF193" i="18" s="1"/>
  <c r="AD193" i="18" s="1"/>
  <c r="AI274" i="18"/>
  <c r="AH274" i="18" s="1"/>
  <c r="AG274" i="18" s="1"/>
  <c r="AF274" i="18" s="1"/>
  <c r="AD274" i="18" s="1"/>
  <c r="AI359" i="18"/>
  <c r="AH359" i="18" s="1"/>
  <c r="AG359" i="18" s="1"/>
  <c r="AF359" i="18" s="1"/>
  <c r="AD359" i="18" s="1"/>
  <c r="AI293" i="18"/>
  <c r="AH293" i="18" s="1"/>
  <c r="AG293" i="18" s="1"/>
  <c r="AF293" i="18" s="1"/>
  <c r="AD293" i="18" s="1"/>
  <c r="AI324" i="18"/>
  <c r="AH324" i="18" s="1"/>
  <c r="AG324" i="18" s="1"/>
  <c r="AF324" i="18" s="1"/>
  <c r="AD324" i="18" s="1"/>
  <c r="AI123" i="18"/>
  <c r="AH123" i="18" s="1"/>
  <c r="AG123" i="18" s="1"/>
  <c r="AF123" i="18" s="1"/>
  <c r="AD123" i="18" s="1"/>
  <c r="AI270" i="18"/>
  <c r="AH270" i="18" s="1"/>
  <c r="AG270" i="18" s="1"/>
  <c r="AF270" i="18" s="1"/>
  <c r="AD270" i="18" s="1"/>
  <c r="AI115" i="18"/>
  <c r="AH115" i="18" s="1"/>
  <c r="AG115" i="18" s="1"/>
  <c r="AF115" i="18" s="1"/>
  <c r="AD115" i="18" s="1"/>
  <c r="AA60" i="17"/>
  <c r="Z60" i="17" s="1"/>
  <c r="Y60" i="17" s="1"/>
  <c r="H379" i="17"/>
  <c r="J379" i="17" s="1"/>
  <c r="AI164" i="18"/>
  <c r="AH164" i="18" s="1"/>
  <c r="AG164" i="18" s="1"/>
  <c r="AF164" i="18" s="1"/>
  <c r="AD164" i="18" s="1"/>
  <c r="AI251" i="18"/>
  <c r="AH251" i="18" s="1"/>
  <c r="AG251" i="18" s="1"/>
  <c r="AF251" i="18" s="1"/>
  <c r="AD251" i="18" s="1"/>
  <c r="AI227" i="18"/>
  <c r="AH227" i="18" s="1"/>
  <c r="AG227" i="18" s="1"/>
  <c r="AF227" i="18" s="1"/>
  <c r="AD227" i="18" s="1"/>
  <c r="AI131" i="18"/>
  <c r="AH131" i="18" s="1"/>
  <c r="AG131" i="18" s="1"/>
  <c r="AF131" i="18" s="1"/>
  <c r="AD131" i="18" s="1"/>
  <c r="AI328" i="18"/>
  <c r="AH328" i="18" s="1"/>
  <c r="AG328" i="18" s="1"/>
  <c r="AF328" i="18" s="1"/>
  <c r="AD328" i="18" s="1"/>
  <c r="AI206" i="18"/>
  <c r="AH206" i="18" s="1"/>
  <c r="AG206" i="18" s="1"/>
  <c r="AF206" i="18" s="1"/>
  <c r="AD206" i="18" s="1"/>
  <c r="AI364" i="18"/>
  <c r="AH364" i="18" s="1"/>
  <c r="AG364" i="18" s="1"/>
  <c r="AF364" i="18" s="1"/>
  <c r="AD364" i="18" s="1"/>
  <c r="AI243" i="18"/>
  <c r="AH243" i="18" s="1"/>
  <c r="AG243" i="18" s="1"/>
  <c r="AF243" i="18" s="1"/>
  <c r="AD243" i="18" s="1"/>
  <c r="AI170" i="18"/>
  <c r="AH170" i="18" s="1"/>
  <c r="AG170" i="18" s="1"/>
  <c r="AF170" i="18" s="1"/>
  <c r="AD170" i="18" s="1"/>
  <c r="AI208" i="18"/>
  <c r="AH208" i="18" s="1"/>
  <c r="AG208" i="18" s="1"/>
  <c r="AF208" i="18" s="1"/>
  <c r="AD208" i="18" s="1"/>
  <c r="AI168" i="18"/>
  <c r="AH168" i="18" s="1"/>
  <c r="AG168" i="18" s="1"/>
  <c r="AF168" i="18" s="1"/>
  <c r="AD168" i="18" s="1"/>
  <c r="AI370" i="18"/>
  <c r="AH370" i="18" s="1"/>
  <c r="AG370" i="18" s="1"/>
  <c r="AF370" i="18" s="1"/>
  <c r="AD370" i="18" s="1"/>
  <c r="AI142" i="18"/>
  <c r="AH142" i="18" s="1"/>
  <c r="AG142" i="18" s="1"/>
  <c r="AF142" i="18" s="1"/>
  <c r="AD142" i="18" s="1"/>
  <c r="AI146" i="18"/>
  <c r="AH146" i="18" s="1"/>
  <c r="AG146" i="18" s="1"/>
  <c r="AF146" i="18" s="1"/>
  <c r="AD146" i="18" s="1"/>
  <c r="AI363" i="18"/>
  <c r="AH363" i="18" s="1"/>
  <c r="AG363" i="18" s="1"/>
  <c r="AF363" i="18" s="1"/>
  <c r="AD363" i="18" s="1"/>
  <c r="AI349" i="18"/>
  <c r="AH349" i="18" s="1"/>
  <c r="AG349" i="18" s="1"/>
  <c r="AF349" i="18" s="1"/>
  <c r="AD349" i="18" s="1"/>
  <c r="AI182" i="18"/>
  <c r="AH182" i="18" s="1"/>
  <c r="AG182" i="18" s="1"/>
  <c r="AF182" i="18" s="1"/>
  <c r="AD182" i="18" s="1"/>
  <c r="AI268" i="18"/>
  <c r="AH268" i="18" s="1"/>
  <c r="AG268" i="18" s="1"/>
  <c r="AF268" i="18" s="1"/>
  <c r="AD268" i="18" s="1"/>
  <c r="AI346" i="18"/>
  <c r="AH346" i="18" s="1"/>
  <c r="AG346" i="18" s="1"/>
  <c r="AF346" i="18" s="1"/>
  <c r="AD346" i="18" s="1"/>
  <c r="AI304" i="18"/>
  <c r="AH304" i="18" s="1"/>
  <c r="AG304" i="18" s="1"/>
  <c r="AF304" i="18" s="1"/>
  <c r="AD304" i="18" s="1"/>
  <c r="AI269" i="18"/>
  <c r="AH269" i="18" s="1"/>
  <c r="AG269" i="18" s="1"/>
  <c r="AF269" i="18" s="1"/>
  <c r="AD269" i="18" s="1"/>
  <c r="AI125" i="18"/>
  <c r="AH125" i="18" s="1"/>
  <c r="AG125" i="18" s="1"/>
  <c r="AF125" i="18" s="1"/>
  <c r="AD125" i="18" s="1"/>
  <c r="AI372" i="18"/>
  <c r="AH372" i="18" s="1"/>
  <c r="AG372" i="18" s="1"/>
  <c r="AF372" i="18" s="1"/>
  <c r="AD372" i="18" s="1"/>
  <c r="AI177" i="18"/>
  <c r="AH177" i="18" s="1"/>
  <c r="AG177" i="18" s="1"/>
  <c r="AF177" i="18" s="1"/>
  <c r="AD177" i="18" s="1"/>
  <c r="AI192" i="18"/>
  <c r="AH192" i="18" s="1"/>
  <c r="AG192" i="18" s="1"/>
  <c r="AF192" i="18" s="1"/>
  <c r="AD192" i="18" s="1"/>
  <c r="AI119" i="18"/>
  <c r="AH119" i="18" s="1"/>
  <c r="AG119" i="18" s="1"/>
  <c r="AF119" i="18" s="1"/>
  <c r="AD119" i="18" s="1"/>
  <c r="AI166" i="18"/>
  <c r="AH166" i="18" s="1"/>
  <c r="AG166" i="18" s="1"/>
  <c r="AF166" i="18" s="1"/>
  <c r="AD166" i="18" s="1"/>
  <c r="AI285" i="18"/>
  <c r="AH285" i="18" s="1"/>
  <c r="AG285" i="18" s="1"/>
  <c r="AF285" i="18" s="1"/>
  <c r="AD285" i="18" s="1"/>
  <c r="AI174" i="18"/>
  <c r="AH174" i="18" s="1"/>
  <c r="AG174" i="18" s="1"/>
  <c r="AF174" i="18" s="1"/>
  <c r="AD174" i="18" s="1"/>
  <c r="AI366" i="18"/>
  <c r="AH366" i="18" s="1"/>
  <c r="AG366" i="18" s="1"/>
  <c r="AF366" i="18" s="1"/>
  <c r="AD366" i="18" s="1"/>
  <c r="AI209" i="18"/>
  <c r="AH209" i="18" s="1"/>
  <c r="AG209" i="18" s="1"/>
  <c r="AF209" i="18" s="1"/>
  <c r="AD209" i="18" s="1"/>
  <c r="AI253" i="18"/>
  <c r="AH253" i="18" s="1"/>
  <c r="AG253" i="18" s="1"/>
  <c r="AF253" i="18" s="1"/>
  <c r="AD253" i="18" s="1"/>
  <c r="AI300" i="18"/>
  <c r="AH300" i="18" s="1"/>
  <c r="AG300" i="18" s="1"/>
  <c r="AF300" i="18" s="1"/>
  <c r="AD300" i="18" s="1"/>
  <c r="AI289" i="18"/>
  <c r="AH289" i="18" s="1"/>
  <c r="AG289" i="18" s="1"/>
  <c r="AF289" i="18" s="1"/>
  <c r="AD289" i="18" s="1"/>
  <c r="AI18" i="18"/>
  <c r="AH18" i="18" s="1"/>
  <c r="AG18" i="18" s="1"/>
  <c r="AF18" i="18" s="1"/>
  <c r="AD18" i="18" s="1"/>
  <c r="AI70" i="18"/>
  <c r="AH70" i="18" s="1"/>
  <c r="AG70" i="18" s="1"/>
  <c r="AF70" i="18" s="1"/>
  <c r="AD70" i="18" s="1"/>
  <c r="AI30" i="18"/>
  <c r="AH30" i="18" s="1"/>
  <c r="AG30" i="18" s="1"/>
  <c r="AF30" i="18" s="1"/>
  <c r="AD30" i="18" s="1"/>
  <c r="AI103" i="18"/>
  <c r="AH103" i="18" s="1"/>
  <c r="AG103" i="18" s="1"/>
  <c r="AF103" i="18" s="1"/>
  <c r="AD103" i="18" s="1"/>
  <c r="AI72" i="18"/>
  <c r="AH72" i="18" s="1"/>
  <c r="AG72" i="18" s="1"/>
  <c r="AF72" i="18" s="1"/>
  <c r="AD72" i="18" s="1"/>
  <c r="AK13" i="16"/>
  <c r="AE383" i="18"/>
  <c r="AB15" i="7"/>
  <c r="Q12" i="20"/>
  <c r="N12" i="19"/>
  <c r="AI297" i="18"/>
  <c r="AH297" i="18" s="1"/>
  <c r="AG297" i="18" s="1"/>
  <c r="AF297" i="18" s="1"/>
  <c r="AD297" i="18" s="1"/>
  <c r="AI219" i="18"/>
  <c r="AH219" i="18" s="1"/>
  <c r="AG219" i="18" s="1"/>
  <c r="AF219" i="18" s="1"/>
  <c r="AD219" i="18" s="1"/>
  <c r="AI203" i="18"/>
  <c r="AH203" i="18" s="1"/>
  <c r="AG203" i="18" s="1"/>
  <c r="AF203" i="18" s="1"/>
  <c r="AD203" i="18" s="1"/>
  <c r="AI311" i="18"/>
  <c r="AH311" i="18" s="1"/>
  <c r="AG311" i="18" s="1"/>
  <c r="AF311" i="18" s="1"/>
  <c r="AD311" i="18" s="1"/>
  <c r="AI320" i="18"/>
  <c r="AH320" i="18" s="1"/>
  <c r="AG320" i="18" s="1"/>
  <c r="AF320" i="18" s="1"/>
  <c r="AD320" i="18" s="1"/>
  <c r="AI254" i="18"/>
  <c r="AH254" i="18" s="1"/>
  <c r="AG254" i="18" s="1"/>
  <c r="AF254" i="18" s="1"/>
  <c r="AD254" i="18" s="1"/>
  <c r="AI358" i="18"/>
  <c r="AH358" i="18" s="1"/>
  <c r="AG358" i="18" s="1"/>
  <c r="AF358" i="18" s="1"/>
  <c r="AD358" i="18" s="1"/>
  <c r="AI306" i="18"/>
  <c r="AH306" i="18" s="1"/>
  <c r="AG306" i="18" s="1"/>
  <c r="AF306" i="18" s="1"/>
  <c r="AD306" i="18" s="1"/>
  <c r="AI216" i="18"/>
  <c r="AH216" i="18" s="1"/>
  <c r="AG216" i="18" s="1"/>
  <c r="AF216" i="18" s="1"/>
  <c r="AD216" i="18" s="1"/>
  <c r="AI322" i="18"/>
  <c r="AH322" i="18" s="1"/>
  <c r="AG322" i="18" s="1"/>
  <c r="AF322" i="18" s="1"/>
  <c r="AD322" i="18" s="1"/>
  <c r="AI295" i="18"/>
  <c r="AH295" i="18" s="1"/>
  <c r="AG295" i="18" s="1"/>
  <c r="AF295" i="18" s="1"/>
  <c r="AD295" i="18" s="1"/>
  <c r="AI163" i="18"/>
  <c r="AH163" i="18" s="1"/>
  <c r="AG163" i="18" s="1"/>
  <c r="AF163" i="18" s="1"/>
  <c r="AD163" i="18" s="1"/>
  <c r="AI234" i="18"/>
  <c r="AH234" i="18" s="1"/>
  <c r="AG234" i="18" s="1"/>
  <c r="AF234" i="18" s="1"/>
  <c r="AD234" i="18" s="1"/>
  <c r="AI108" i="18"/>
  <c r="AH108" i="18" s="1"/>
  <c r="AG108" i="18" s="1"/>
  <c r="AF108" i="18" s="1"/>
  <c r="AD108" i="18" s="1"/>
  <c r="AI249" i="18"/>
  <c r="AH249" i="18" s="1"/>
  <c r="AG249" i="18" s="1"/>
  <c r="AF249" i="18" s="1"/>
  <c r="AD249" i="18" s="1"/>
  <c r="AI187" i="18"/>
  <c r="AH187" i="18" s="1"/>
  <c r="AG187" i="18" s="1"/>
  <c r="AF187" i="18" s="1"/>
  <c r="AD187" i="18" s="1"/>
  <c r="AI344" i="18"/>
  <c r="AH344" i="18" s="1"/>
  <c r="AG344" i="18" s="1"/>
  <c r="AF344" i="18" s="1"/>
  <c r="AD344" i="18" s="1"/>
  <c r="AI201" i="18"/>
  <c r="AH201" i="18" s="1"/>
  <c r="AG201" i="18" s="1"/>
  <c r="AF201" i="18" s="1"/>
  <c r="AD201" i="18" s="1"/>
  <c r="AI294" i="18"/>
  <c r="AH294" i="18" s="1"/>
  <c r="AG294" i="18" s="1"/>
  <c r="AF294" i="18" s="1"/>
  <c r="AD294" i="18" s="1"/>
  <c r="AI284" i="18"/>
  <c r="AH284" i="18" s="1"/>
  <c r="AG284" i="18" s="1"/>
  <c r="AF284" i="18" s="1"/>
  <c r="AD284" i="18" s="1"/>
  <c r="AI214" i="18"/>
  <c r="AH214" i="18" s="1"/>
  <c r="AG214" i="18" s="1"/>
  <c r="AF214" i="18" s="1"/>
  <c r="AD214" i="18" s="1"/>
  <c r="AI138" i="18"/>
  <c r="AH138" i="18" s="1"/>
  <c r="AG138" i="18" s="1"/>
  <c r="AF138" i="18" s="1"/>
  <c r="AD138" i="18" s="1"/>
  <c r="AI282" i="18"/>
  <c r="AH282" i="18" s="1"/>
  <c r="AG282" i="18" s="1"/>
  <c r="AF282" i="18" s="1"/>
  <c r="AD282" i="18" s="1"/>
  <c r="AI341" i="18"/>
  <c r="AH341" i="18" s="1"/>
  <c r="AG341" i="18" s="1"/>
  <c r="AF341" i="18" s="1"/>
  <c r="AD341" i="18" s="1"/>
  <c r="AI105" i="18"/>
  <c r="AH105" i="18" s="1"/>
  <c r="AG105" i="18" s="1"/>
  <c r="AF105" i="18" s="1"/>
  <c r="AD105" i="18" s="1"/>
  <c r="AI317" i="18"/>
  <c r="AH317" i="18" s="1"/>
  <c r="AG317" i="18" s="1"/>
  <c r="AF317" i="18" s="1"/>
  <c r="AD317" i="18" s="1"/>
  <c r="AI154" i="18"/>
  <c r="AH154" i="18" s="1"/>
  <c r="AG154" i="18" s="1"/>
  <c r="AF154" i="18" s="1"/>
  <c r="AD154" i="18" s="1"/>
  <c r="AI351" i="18"/>
  <c r="AH351" i="18" s="1"/>
  <c r="AG351" i="18" s="1"/>
  <c r="AF351" i="18" s="1"/>
  <c r="AD351" i="18" s="1"/>
  <c r="AI136" i="18"/>
  <c r="AH136" i="18" s="1"/>
  <c r="AG136" i="18" s="1"/>
  <c r="AF136" i="18" s="1"/>
  <c r="AD136" i="18" s="1"/>
  <c r="AI113" i="18"/>
  <c r="AH113" i="18" s="1"/>
  <c r="AG113" i="18" s="1"/>
  <c r="AF113" i="18" s="1"/>
  <c r="AD113" i="18" s="1"/>
  <c r="AI155" i="18"/>
  <c r="AH155" i="18" s="1"/>
  <c r="AG155" i="18" s="1"/>
  <c r="AF155" i="18" s="1"/>
  <c r="AD155" i="18" s="1"/>
  <c r="AI215" i="18"/>
  <c r="AH215" i="18" s="1"/>
  <c r="AG215" i="18" s="1"/>
  <c r="AF215" i="18" s="1"/>
  <c r="AD215" i="18" s="1"/>
  <c r="AI176" i="18"/>
  <c r="AH176" i="18" s="1"/>
  <c r="AG176" i="18" s="1"/>
  <c r="AF176" i="18" s="1"/>
  <c r="AD176" i="18" s="1"/>
  <c r="AI233" i="18"/>
  <c r="AH233" i="18" s="1"/>
  <c r="AG233" i="18" s="1"/>
  <c r="AF233" i="18" s="1"/>
  <c r="AD233" i="18" s="1"/>
  <c r="AI143" i="18"/>
  <c r="AH143" i="18" s="1"/>
  <c r="AG143" i="18" s="1"/>
  <c r="AF143" i="18" s="1"/>
  <c r="AD143" i="18" s="1"/>
  <c r="AI302" i="18"/>
  <c r="AH302" i="18" s="1"/>
  <c r="AG302" i="18" s="1"/>
  <c r="AF302" i="18" s="1"/>
  <c r="AD302" i="18" s="1"/>
  <c r="AI279" i="18"/>
  <c r="AH279" i="18" s="1"/>
  <c r="AG279" i="18" s="1"/>
  <c r="AF279" i="18" s="1"/>
  <c r="AD279" i="18" s="1"/>
  <c r="AI207" i="18"/>
  <c r="AH207" i="18" s="1"/>
  <c r="AG207" i="18" s="1"/>
  <c r="AF207" i="18" s="1"/>
  <c r="AD207" i="18" s="1"/>
  <c r="AI278" i="18"/>
  <c r="AH278" i="18" s="1"/>
  <c r="AG278" i="18" s="1"/>
  <c r="AF278" i="18" s="1"/>
  <c r="AD278" i="18" s="1"/>
  <c r="AI212" i="18"/>
  <c r="AH212" i="18" s="1"/>
  <c r="AG212" i="18" s="1"/>
  <c r="AF212" i="18" s="1"/>
  <c r="AD212" i="18" s="1"/>
  <c r="AI199" i="18"/>
  <c r="AH199" i="18" s="1"/>
  <c r="AG199" i="18" s="1"/>
  <c r="AF199" i="18" s="1"/>
  <c r="AD199" i="18" s="1"/>
  <c r="AI111" i="18"/>
  <c r="AH111" i="18" s="1"/>
  <c r="AG111" i="18" s="1"/>
  <c r="AF111" i="18" s="1"/>
  <c r="AD111" i="18" s="1"/>
  <c r="AI220" i="18"/>
  <c r="AH220" i="18" s="1"/>
  <c r="AG220" i="18" s="1"/>
  <c r="AF220" i="18" s="1"/>
  <c r="AD220" i="18" s="1"/>
  <c r="AI127" i="18"/>
  <c r="AH127" i="18" s="1"/>
  <c r="AG127" i="18" s="1"/>
  <c r="AF127" i="18" s="1"/>
  <c r="AD127" i="18" s="1"/>
  <c r="AI283" i="18"/>
  <c r="AH283" i="18" s="1"/>
  <c r="AG283" i="18" s="1"/>
  <c r="AF283" i="18" s="1"/>
  <c r="AD283" i="18" s="1"/>
  <c r="AI299" i="18"/>
  <c r="AH299" i="18" s="1"/>
  <c r="AG299" i="18" s="1"/>
  <c r="AF299" i="18" s="1"/>
  <c r="AD299" i="18" s="1"/>
  <c r="AI354" i="18"/>
  <c r="AH354" i="18" s="1"/>
  <c r="AG354" i="18" s="1"/>
  <c r="AF354" i="18" s="1"/>
  <c r="AD354" i="18" s="1"/>
  <c r="AI329" i="18"/>
  <c r="AH329" i="18" s="1"/>
  <c r="AG329" i="18" s="1"/>
  <c r="AF329" i="18" s="1"/>
  <c r="AD329" i="18" s="1"/>
  <c r="AI371" i="18"/>
  <c r="AH371" i="18" s="1"/>
  <c r="AG371" i="18" s="1"/>
  <c r="AF371" i="18" s="1"/>
  <c r="AD371" i="18" s="1"/>
  <c r="AI140" i="18"/>
  <c r="AH140" i="18" s="1"/>
  <c r="AG140" i="18" s="1"/>
  <c r="AF140" i="18" s="1"/>
  <c r="AD140" i="18" s="1"/>
  <c r="AI184" i="18"/>
  <c r="AH184" i="18" s="1"/>
  <c r="AG184" i="18" s="1"/>
  <c r="AF184" i="18" s="1"/>
  <c r="AD184" i="18" s="1"/>
  <c r="AI144" i="18"/>
  <c r="AH144" i="18" s="1"/>
  <c r="AG144" i="18" s="1"/>
  <c r="AF144" i="18" s="1"/>
  <c r="AD144" i="18" s="1"/>
  <c r="AI288" i="18"/>
  <c r="AH288" i="18" s="1"/>
  <c r="AG288" i="18" s="1"/>
  <c r="AF288" i="18" s="1"/>
  <c r="AD288" i="18" s="1"/>
  <c r="AI353" i="18"/>
  <c r="AH353" i="18" s="1"/>
  <c r="AG353" i="18" s="1"/>
  <c r="AF353" i="18" s="1"/>
  <c r="AD353" i="18" s="1"/>
  <c r="AI250" i="18"/>
  <c r="AH250" i="18" s="1"/>
  <c r="AG250" i="18" s="1"/>
  <c r="AF250" i="18" s="1"/>
  <c r="AD250" i="18" s="1"/>
  <c r="AI183" i="18"/>
  <c r="AH183" i="18" s="1"/>
  <c r="AG183" i="18" s="1"/>
  <c r="AF183" i="18" s="1"/>
  <c r="AD183" i="18" s="1"/>
  <c r="AI134" i="18"/>
  <c r="AH134" i="18" s="1"/>
  <c r="AG134" i="18" s="1"/>
  <c r="AF134" i="18" s="1"/>
  <c r="AD134" i="18" s="1"/>
  <c r="AI361" i="18"/>
  <c r="AH361" i="18" s="1"/>
  <c r="AG361" i="18" s="1"/>
  <c r="AF361" i="18" s="1"/>
  <c r="AD361" i="18" s="1"/>
  <c r="AI308" i="18"/>
  <c r="AH308" i="18" s="1"/>
  <c r="AG308" i="18" s="1"/>
  <c r="AF308" i="18" s="1"/>
  <c r="AD308" i="18" s="1"/>
  <c r="AI224" i="18"/>
  <c r="AH224" i="18" s="1"/>
  <c r="AG224" i="18" s="1"/>
  <c r="AF224" i="18" s="1"/>
  <c r="AD224" i="18" s="1"/>
  <c r="AI185" i="18"/>
  <c r="AH185" i="18" s="1"/>
  <c r="AG185" i="18" s="1"/>
  <c r="AF185" i="18" s="1"/>
  <c r="AD185" i="18" s="1"/>
  <c r="AI301" i="18"/>
  <c r="AH301" i="18" s="1"/>
  <c r="AG301" i="18" s="1"/>
  <c r="AF301" i="18" s="1"/>
  <c r="AD301" i="18" s="1"/>
  <c r="AI245" i="18"/>
  <c r="AH245" i="18" s="1"/>
  <c r="AG245" i="18" s="1"/>
  <c r="AF245" i="18" s="1"/>
  <c r="AD245" i="18" s="1"/>
  <c r="AI248" i="18"/>
  <c r="AH248" i="18" s="1"/>
  <c r="AG248" i="18" s="1"/>
  <c r="AF248" i="18" s="1"/>
  <c r="AD248" i="18" s="1"/>
  <c r="AI246" i="18"/>
  <c r="AH246" i="18" s="1"/>
  <c r="AG246" i="18" s="1"/>
  <c r="AF246" i="18" s="1"/>
  <c r="AD246" i="18" s="1"/>
  <c r="AI195" i="18"/>
  <c r="AH195" i="18" s="1"/>
  <c r="AG195" i="18" s="1"/>
  <c r="AF195" i="18" s="1"/>
  <c r="AD195" i="18" s="1"/>
  <c r="AI323" i="18"/>
  <c r="AH323" i="18" s="1"/>
  <c r="AG323" i="18" s="1"/>
  <c r="AF323" i="18" s="1"/>
  <c r="AD323" i="18" s="1"/>
  <c r="AI334" i="18"/>
  <c r="AH334" i="18" s="1"/>
  <c r="AG334" i="18" s="1"/>
  <c r="AF334" i="18" s="1"/>
  <c r="AD334" i="18" s="1"/>
  <c r="AI240" i="18"/>
  <c r="AH240" i="18" s="1"/>
  <c r="AG240" i="18" s="1"/>
  <c r="AF240" i="18" s="1"/>
  <c r="AD240" i="18" s="1"/>
  <c r="AI265" i="18"/>
  <c r="AH265" i="18" s="1"/>
  <c r="AG265" i="18" s="1"/>
  <c r="AF265" i="18" s="1"/>
  <c r="AD265" i="18" s="1"/>
  <c r="AI178" i="18"/>
  <c r="AH178" i="18" s="1"/>
  <c r="AG178" i="18" s="1"/>
  <c r="AF178" i="18" s="1"/>
  <c r="AD178" i="18" s="1"/>
  <c r="AI314" i="18"/>
  <c r="AH314" i="18" s="1"/>
  <c r="AG314" i="18" s="1"/>
  <c r="AF314" i="18" s="1"/>
  <c r="AD314" i="18" s="1"/>
  <c r="AI352" i="18"/>
  <c r="AH352" i="18" s="1"/>
  <c r="AG352" i="18" s="1"/>
  <c r="AF352" i="18" s="1"/>
  <c r="AD352" i="18" s="1"/>
  <c r="AI333" i="18"/>
  <c r="AH333" i="18" s="1"/>
  <c r="AG333" i="18" s="1"/>
  <c r="AF333" i="18" s="1"/>
  <c r="AD333" i="18" s="1"/>
  <c r="AI124" i="18"/>
  <c r="AH124" i="18" s="1"/>
  <c r="AG124" i="18" s="1"/>
  <c r="AF124" i="18" s="1"/>
  <c r="AD124" i="18" s="1"/>
  <c r="AI114" i="18"/>
  <c r="AH114" i="18" s="1"/>
  <c r="AG114" i="18" s="1"/>
  <c r="AF114" i="18" s="1"/>
  <c r="AD114" i="18" s="1"/>
  <c r="AI340" i="18"/>
  <c r="AH340" i="18" s="1"/>
  <c r="AG340" i="18" s="1"/>
  <c r="AF340" i="18" s="1"/>
  <c r="AD340" i="18" s="1"/>
  <c r="AI343" i="18"/>
  <c r="AH343" i="18" s="1"/>
  <c r="AG343" i="18" s="1"/>
  <c r="AF343" i="18" s="1"/>
  <c r="AD343" i="18" s="1"/>
  <c r="AI244" i="18"/>
  <c r="AH244" i="18" s="1"/>
  <c r="AG244" i="18" s="1"/>
  <c r="AF244" i="18" s="1"/>
  <c r="AD244" i="18" s="1"/>
  <c r="AI326" i="18"/>
  <c r="AH326" i="18" s="1"/>
  <c r="AG326" i="18" s="1"/>
  <c r="AF326" i="18" s="1"/>
  <c r="AD326" i="18" s="1"/>
  <c r="AI316" i="18"/>
  <c r="AH316" i="18" s="1"/>
  <c r="AG316" i="18" s="1"/>
  <c r="AF316" i="18" s="1"/>
  <c r="AD316" i="18" s="1"/>
  <c r="AI153" i="18"/>
  <c r="AH153" i="18" s="1"/>
  <c r="AG153" i="18" s="1"/>
  <c r="AF153" i="18" s="1"/>
  <c r="AD153" i="18" s="1"/>
  <c r="AI109" i="18"/>
  <c r="AH109" i="18" s="1"/>
  <c r="AG109" i="18" s="1"/>
  <c r="AF109" i="18" s="1"/>
  <c r="AD109" i="18" s="1"/>
  <c r="AI190" i="18"/>
  <c r="AH190" i="18" s="1"/>
  <c r="AG190" i="18" s="1"/>
  <c r="AF190" i="18" s="1"/>
  <c r="AD190" i="18" s="1"/>
  <c r="AI296" i="18"/>
  <c r="AH296" i="18" s="1"/>
  <c r="AG296" i="18" s="1"/>
  <c r="AF296" i="18" s="1"/>
  <c r="AD296" i="18" s="1"/>
  <c r="AI135" i="18"/>
  <c r="AH135" i="18" s="1"/>
  <c r="AG135" i="18" s="1"/>
  <c r="AF135" i="18" s="1"/>
  <c r="AD135" i="18" s="1"/>
  <c r="AI319" i="18"/>
  <c r="AH319" i="18" s="1"/>
  <c r="AG319" i="18" s="1"/>
  <c r="AF319" i="18" s="1"/>
  <c r="AD319" i="18" s="1"/>
  <c r="AI222" i="18"/>
  <c r="AH222" i="18" s="1"/>
  <c r="AG222" i="18" s="1"/>
  <c r="AF222" i="18" s="1"/>
  <c r="AD222" i="18" s="1"/>
  <c r="AI345" i="18"/>
  <c r="AH345" i="18" s="1"/>
  <c r="AG345" i="18" s="1"/>
  <c r="AF345" i="18" s="1"/>
  <c r="AD345" i="18" s="1"/>
  <c r="AI181" i="18"/>
  <c r="AH181" i="18" s="1"/>
  <c r="AG181" i="18" s="1"/>
  <c r="AF181" i="18" s="1"/>
  <c r="AD181" i="18" s="1"/>
  <c r="AI271" i="18"/>
  <c r="AH271" i="18" s="1"/>
  <c r="AG271" i="18" s="1"/>
  <c r="AF271" i="18" s="1"/>
  <c r="AD271" i="18" s="1"/>
  <c r="AI197" i="18"/>
  <c r="AH197" i="18" s="1"/>
  <c r="AG197" i="18" s="1"/>
  <c r="AF197" i="18" s="1"/>
  <c r="AD197" i="18" s="1"/>
  <c r="AI120" i="18"/>
  <c r="AH120" i="18" s="1"/>
  <c r="AG120" i="18" s="1"/>
  <c r="AF120" i="18" s="1"/>
  <c r="AD120" i="18" s="1"/>
  <c r="AI247" i="18"/>
  <c r="AH247" i="18" s="1"/>
  <c r="AG247" i="18" s="1"/>
  <c r="AF247" i="18" s="1"/>
  <c r="AD247" i="18" s="1"/>
  <c r="AI188" i="18"/>
  <c r="AH188" i="18" s="1"/>
  <c r="AG188" i="18" s="1"/>
  <c r="AF188" i="18" s="1"/>
  <c r="AD188" i="18" s="1"/>
  <c r="AI339" i="18"/>
  <c r="AH339" i="18" s="1"/>
  <c r="AG339" i="18" s="1"/>
  <c r="AF339" i="18" s="1"/>
  <c r="AD339" i="18" s="1"/>
  <c r="AI213" i="18"/>
  <c r="AH213" i="18" s="1"/>
  <c r="AG213" i="18" s="1"/>
  <c r="AF213" i="18" s="1"/>
  <c r="AD213" i="18" s="1"/>
  <c r="AI173" i="18"/>
  <c r="AH173" i="18" s="1"/>
  <c r="AG173" i="18" s="1"/>
  <c r="AF173" i="18" s="1"/>
  <c r="AD173" i="18" s="1"/>
  <c r="AI375" i="18"/>
  <c r="AH375" i="18" s="1"/>
  <c r="AG375" i="18" s="1"/>
  <c r="AF375" i="18" s="1"/>
  <c r="AD375" i="18" s="1"/>
  <c r="AI356" i="18"/>
  <c r="AH356" i="18" s="1"/>
  <c r="AG356" i="18" s="1"/>
  <c r="AF356" i="18" s="1"/>
  <c r="AD356" i="18" s="1"/>
  <c r="AI307" i="18"/>
  <c r="AH307" i="18" s="1"/>
  <c r="AG307" i="18" s="1"/>
  <c r="AF307" i="18" s="1"/>
  <c r="AD307" i="18" s="1"/>
  <c r="AI272" i="18"/>
  <c r="AH272" i="18" s="1"/>
  <c r="AG272" i="18" s="1"/>
  <c r="AF272" i="18" s="1"/>
  <c r="AD272" i="18" s="1"/>
  <c r="AI204" i="18"/>
  <c r="AH204" i="18" s="1"/>
  <c r="AG204" i="18" s="1"/>
  <c r="AF204" i="18" s="1"/>
  <c r="AD204" i="18" s="1"/>
  <c r="AI161" i="18"/>
  <c r="AH161" i="18" s="1"/>
  <c r="AG161" i="18" s="1"/>
  <c r="AF161" i="18" s="1"/>
  <c r="AD161" i="18" s="1"/>
  <c r="AI258" i="18"/>
  <c r="AH258" i="18" s="1"/>
  <c r="AG258" i="18" s="1"/>
  <c r="AF258" i="18" s="1"/>
  <c r="AD258" i="18" s="1"/>
  <c r="AI252" i="18"/>
  <c r="AH252" i="18" s="1"/>
  <c r="AG252" i="18" s="1"/>
  <c r="AF252" i="18" s="1"/>
  <c r="AD252" i="18" s="1"/>
  <c r="AI171" i="18"/>
  <c r="AH171" i="18" s="1"/>
  <c r="AG171" i="18" s="1"/>
  <c r="AF171" i="18" s="1"/>
  <c r="AD171" i="18" s="1"/>
  <c r="AI291" i="18"/>
  <c r="AH291" i="18" s="1"/>
  <c r="AG291" i="18" s="1"/>
  <c r="AF291" i="18" s="1"/>
  <c r="AD291" i="18" s="1"/>
  <c r="AI121" i="18"/>
  <c r="AH121" i="18" s="1"/>
  <c r="AG121" i="18" s="1"/>
  <c r="AF121" i="18" s="1"/>
  <c r="AD121" i="18" s="1"/>
  <c r="AI260" i="18"/>
  <c r="AH260" i="18" s="1"/>
  <c r="AG260" i="18" s="1"/>
  <c r="AF260" i="18" s="1"/>
  <c r="AD260" i="18" s="1"/>
  <c r="AI367" i="18"/>
  <c r="AH367" i="18" s="1"/>
  <c r="AG367" i="18" s="1"/>
  <c r="AF367" i="18" s="1"/>
  <c r="AD367" i="18" s="1"/>
  <c r="AI365" i="18"/>
  <c r="AH365" i="18" s="1"/>
  <c r="AG365" i="18" s="1"/>
  <c r="AF365" i="18" s="1"/>
  <c r="AD365" i="18" s="1"/>
  <c r="AI287" i="18"/>
  <c r="AH287" i="18" s="1"/>
  <c r="AG287" i="18" s="1"/>
  <c r="AF287" i="18" s="1"/>
  <c r="AD287" i="18" s="1"/>
  <c r="AI132" i="18"/>
  <c r="AH132" i="18" s="1"/>
  <c r="AG132" i="18" s="1"/>
  <c r="AF132" i="18" s="1"/>
  <c r="AD132" i="18" s="1"/>
  <c r="AI202" i="18"/>
  <c r="AH202" i="18" s="1"/>
  <c r="AG202" i="18" s="1"/>
  <c r="AF202" i="18" s="1"/>
  <c r="AD202" i="18" s="1"/>
  <c r="AI194" i="18"/>
  <c r="AH194" i="18" s="1"/>
  <c r="AG194" i="18" s="1"/>
  <c r="AF194" i="18" s="1"/>
  <c r="AD194" i="18" s="1"/>
  <c r="AI275" i="18"/>
  <c r="AH275" i="18" s="1"/>
  <c r="AG275" i="18" s="1"/>
  <c r="AF275" i="18" s="1"/>
  <c r="AD275" i="18" s="1"/>
  <c r="AI242" i="18"/>
  <c r="AH242" i="18" s="1"/>
  <c r="AG242" i="18" s="1"/>
  <c r="AF242" i="18" s="1"/>
  <c r="AD242" i="18" s="1"/>
  <c r="AI156" i="18"/>
  <c r="AH156" i="18" s="1"/>
  <c r="AG156" i="18" s="1"/>
  <c r="AF156" i="18" s="1"/>
  <c r="AD156" i="18" s="1"/>
  <c r="AI350" i="18"/>
  <c r="AH350" i="18" s="1"/>
  <c r="AG350" i="18" s="1"/>
  <c r="AF350" i="18" s="1"/>
  <c r="AD350" i="18" s="1"/>
  <c r="AI128" i="18"/>
  <c r="AH128" i="18" s="1"/>
  <c r="AG128" i="18" s="1"/>
  <c r="AF128" i="18" s="1"/>
  <c r="AD128" i="18" s="1"/>
  <c r="AI162" i="18"/>
  <c r="AH162" i="18" s="1"/>
  <c r="AG162" i="18" s="1"/>
  <c r="AF162" i="18" s="1"/>
  <c r="AD162" i="18" s="1"/>
  <c r="AI151" i="18"/>
  <c r="AH151" i="18" s="1"/>
  <c r="AG151" i="18" s="1"/>
  <c r="AF151" i="18" s="1"/>
  <c r="AD151" i="18" s="1"/>
  <c r="AI239" i="18"/>
  <c r="AH239" i="18" s="1"/>
  <c r="AG239" i="18" s="1"/>
  <c r="AF239" i="18" s="1"/>
  <c r="AD239" i="18" s="1"/>
  <c r="AI330" i="18"/>
  <c r="AH330" i="18" s="1"/>
  <c r="AG330" i="18" s="1"/>
  <c r="AF330" i="18" s="1"/>
  <c r="AD330" i="18" s="1"/>
  <c r="AI235" i="18"/>
  <c r="AH235" i="18" s="1"/>
  <c r="AG235" i="18" s="1"/>
  <c r="AF235" i="18" s="1"/>
  <c r="AD235" i="18" s="1"/>
  <c r="AI337" i="18"/>
  <c r="AH337" i="18" s="1"/>
  <c r="AG337" i="18" s="1"/>
  <c r="AF337" i="18" s="1"/>
  <c r="AD337" i="18" s="1"/>
  <c r="AI137" i="18"/>
  <c r="AH137" i="18" s="1"/>
  <c r="AG137" i="18" s="1"/>
  <c r="AF137" i="18" s="1"/>
  <c r="AD137" i="18" s="1"/>
  <c r="AI357" i="18"/>
  <c r="AH357" i="18" s="1"/>
  <c r="AG357" i="18" s="1"/>
  <c r="AF357" i="18" s="1"/>
  <c r="AD357" i="18" s="1"/>
  <c r="AI355" i="18"/>
  <c r="AH355" i="18" s="1"/>
  <c r="AG355" i="18" s="1"/>
  <c r="AF355" i="18" s="1"/>
  <c r="AD355" i="18" s="1"/>
  <c r="AI232" i="18"/>
  <c r="AH232" i="18" s="1"/>
  <c r="AG232" i="18" s="1"/>
  <c r="AF232" i="18" s="1"/>
  <c r="AD232" i="18" s="1"/>
  <c r="AI264" i="18"/>
  <c r="AH264" i="18" s="1"/>
  <c r="AG264" i="18" s="1"/>
  <c r="AF264" i="18" s="1"/>
  <c r="AD264" i="18" s="1"/>
  <c r="AI106" i="18"/>
  <c r="AH106" i="18" s="1"/>
  <c r="AG106" i="18" s="1"/>
  <c r="AF106" i="18" s="1"/>
  <c r="AD106" i="18" s="1"/>
  <c r="AI335" i="18"/>
  <c r="AH335" i="18" s="1"/>
  <c r="AG335" i="18" s="1"/>
  <c r="AF335" i="18" s="1"/>
  <c r="AD335" i="18" s="1"/>
  <c r="AI280" i="18"/>
  <c r="AH280" i="18" s="1"/>
  <c r="AG280" i="18" s="1"/>
  <c r="AF280" i="18" s="1"/>
  <c r="AD280" i="18" s="1"/>
  <c r="AI348" i="18"/>
  <c r="AH348" i="18" s="1"/>
  <c r="AG348" i="18" s="1"/>
  <c r="AF348" i="18" s="1"/>
  <c r="AD348" i="18" s="1"/>
  <c r="AI226" i="18"/>
  <c r="AH226" i="18" s="1"/>
  <c r="AG226" i="18" s="1"/>
  <c r="AF226" i="18" s="1"/>
  <c r="AD226" i="18" s="1"/>
  <c r="AI255" i="18"/>
  <c r="AH255" i="18" s="1"/>
  <c r="AG255" i="18" s="1"/>
  <c r="AF255" i="18" s="1"/>
  <c r="AD255" i="18" s="1"/>
  <c r="AI88" i="18"/>
  <c r="AH88" i="18" s="1"/>
  <c r="AG88" i="18" s="1"/>
  <c r="AF88" i="18" s="1"/>
  <c r="AD88" i="18" s="1"/>
  <c r="AI17" i="18"/>
  <c r="AH17" i="18" s="1"/>
  <c r="AG17" i="18" s="1"/>
  <c r="AF17" i="18" s="1"/>
  <c r="AD17" i="18" s="1"/>
  <c r="AI93" i="18"/>
  <c r="AH93" i="18" s="1"/>
  <c r="AG93" i="18" s="1"/>
  <c r="AF93" i="18" s="1"/>
  <c r="AD93" i="18" s="1"/>
  <c r="AI20" i="18"/>
  <c r="AH20" i="18" s="1"/>
  <c r="AG20" i="18" s="1"/>
  <c r="AF20" i="18" s="1"/>
  <c r="AD20" i="18" s="1"/>
  <c r="AI47" i="18"/>
  <c r="AH47" i="18" s="1"/>
  <c r="AG47" i="18" s="1"/>
  <c r="AF47" i="18" s="1"/>
  <c r="AD47" i="18" s="1"/>
  <c r="AI36" i="18"/>
  <c r="AH36" i="18" s="1"/>
  <c r="AG36" i="18" s="1"/>
  <c r="AF36" i="18" s="1"/>
  <c r="AD36" i="18" s="1"/>
  <c r="AI56" i="18"/>
  <c r="AH56" i="18" s="1"/>
  <c r="AG56" i="18" s="1"/>
  <c r="AF56" i="18" s="1"/>
  <c r="AD56" i="18" s="1"/>
  <c r="AI31" i="18"/>
  <c r="AH31" i="18" s="1"/>
  <c r="AG31" i="18" s="1"/>
  <c r="AF31" i="18" s="1"/>
  <c r="AD31" i="18" s="1"/>
  <c r="AI37" i="18"/>
  <c r="AH37" i="18" s="1"/>
  <c r="AG37" i="18" s="1"/>
  <c r="AF37" i="18" s="1"/>
  <c r="AD37" i="18" s="1"/>
  <c r="AI78" i="18"/>
  <c r="AH78" i="18" s="1"/>
  <c r="AG78" i="18" s="1"/>
  <c r="AF78" i="18" s="1"/>
  <c r="AD78" i="18" s="1"/>
  <c r="AI39" i="18"/>
  <c r="AH39" i="18" s="1"/>
  <c r="AG39" i="18" s="1"/>
  <c r="AF39" i="18" s="1"/>
  <c r="AD39" i="18" s="1"/>
  <c r="AI33" i="18"/>
  <c r="AH33" i="18" s="1"/>
  <c r="AG33" i="18" s="1"/>
  <c r="AF33" i="18" s="1"/>
  <c r="AD33" i="18" s="1"/>
  <c r="AI90" i="18"/>
  <c r="AH90" i="18" s="1"/>
  <c r="AG90" i="18" s="1"/>
  <c r="AF90" i="18" s="1"/>
  <c r="AD90" i="18" s="1"/>
  <c r="AI68" i="18"/>
  <c r="AH68" i="18" s="1"/>
  <c r="AG68" i="18" s="1"/>
  <c r="AF68" i="18" s="1"/>
  <c r="AD68" i="18" s="1"/>
  <c r="AI92" i="18"/>
  <c r="AH92" i="18" s="1"/>
  <c r="AG92" i="18" s="1"/>
  <c r="AF92" i="18" s="1"/>
  <c r="AD92" i="18" s="1"/>
  <c r="AI89" i="18"/>
  <c r="AH89" i="18" s="1"/>
  <c r="AG89" i="18" s="1"/>
  <c r="AF89" i="18" s="1"/>
  <c r="AD89" i="18" s="1"/>
  <c r="AI94" i="18"/>
  <c r="AH94" i="18" s="1"/>
  <c r="AG94" i="18" s="1"/>
  <c r="AF94" i="18" s="1"/>
  <c r="AD94" i="18" s="1"/>
  <c r="AI87" i="18"/>
  <c r="AH87" i="18" s="1"/>
  <c r="AG87" i="18" s="1"/>
  <c r="AF87" i="18" s="1"/>
  <c r="AD87" i="18" s="1"/>
  <c r="AI24" i="18"/>
  <c r="AH24" i="18" s="1"/>
  <c r="AG24" i="18" s="1"/>
  <c r="AF24" i="18" s="1"/>
  <c r="AD24" i="18" s="1"/>
  <c r="AI58" i="18"/>
  <c r="AH58" i="18" s="1"/>
  <c r="AG58" i="18" s="1"/>
  <c r="AF58" i="18" s="1"/>
  <c r="AD58" i="18" s="1"/>
  <c r="AI38" i="18"/>
  <c r="AH38" i="18" s="1"/>
  <c r="AG38" i="18" s="1"/>
  <c r="AF38" i="18" s="1"/>
  <c r="AD38" i="18" s="1"/>
  <c r="Q383" i="18"/>
  <c r="Q382" i="18"/>
  <c r="Q381" i="18"/>
  <c r="AI53" i="18"/>
  <c r="AH53" i="18" s="1"/>
  <c r="AG53" i="18" s="1"/>
  <c r="AF53" i="18" s="1"/>
  <c r="AD53" i="18" s="1"/>
  <c r="AI85" i="18"/>
  <c r="AH85" i="18" s="1"/>
  <c r="AG85" i="18" s="1"/>
  <c r="AF85" i="18" s="1"/>
  <c r="AD85" i="18" s="1"/>
  <c r="AI50" i="18"/>
  <c r="AH50" i="18" s="1"/>
  <c r="AG50" i="18" s="1"/>
  <c r="AF50" i="18" s="1"/>
  <c r="AD50" i="18" s="1"/>
  <c r="AI44" i="18"/>
  <c r="AH44" i="18" s="1"/>
  <c r="AG44" i="18" s="1"/>
  <c r="AF44" i="18" s="1"/>
  <c r="AD44" i="18" s="1"/>
  <c r="AI65" i="18"/>
  <c r="AH65" i="18" s="1"/>
  <c r="AG65" i="18" s="1"/>
  <c r="AF65" i="18" s="1"/>
  <c r="AD65" i="18" s="1"/>
  <c r="AI79" i="18"/>
  <c r="AH79" i="18" s="1"/>
  <c r="AG79" i="18" s="1"/>
  <c r="AF79" i="18" s="1"/>
  <c r="AD79" i="18" s="1"/>
  <c r="AI100" i="18"/>
  <c r="AH100" i="18" s="1"/>
  <c r="AG100" i="18" s="1"/>
  <c r="AF100" i="18" s="1"/>
  <c r="AD100" i="18" s="1"/>
  <c r="AI25" i="18"/>
  <c r="AH25" i="18" s="1"/>
  <c r="AG25" i="18" s="1"/>
  <c r="AF25" i="18" s="1"/>
  <c r="AD25" i="18" s="1"/>
  <c r="AI27" i="18"/>
  <c r="AH27" i="18" s="1"/>
  <c r="AG27" i="18" s="1"/>
  <c r="AF27" i="18" s="1"/>
  <c r="AD27" i="18" s="1"/>
  <c r="AI42" i="18"/>
  <c r="AH42" i="18" s="1"/>
  <c r="AG42" i="18" s="1"/>
  <c r="AF42" i="18" s="1"/>
  <c r="AD42" i="18" s="1"/>
  <c r="AI66" i="18"/>
  <c r="AH66" i="18" s="1"/>
  <c r="AG66" i="18" s="1"/>
  <c r="AF66" i="18" s="1"/>
  <c r="AD66" i="18" s="1"/>
  <c r="AI64" i="18"/>
  <c r="AH64" i="18" s="1"/>
  <c r="AG64" i="18" s="1"/>
  <c r="AF64" i="18" s="1"/>
  <c r="AD64" i="18" s="1"/>
  <c r="AI21" i="18"/>
  <c r="AH21" i="18" s="1"/>
  <c r="AG21" i="18" s="1"/>
  <c r="AF21" i="18" s="1"/>
  <c r="AD21" i="18" s="1"/>
  <c r="AI61" i="18"/>
  <c r="AH61" i="18" s="1"/>
  <c r="AG61" i="18" s="1"/>
  <c r="AF61" i="18" s="1"/>
  <c r="AD61" i="18" s="1"/>
  <c r="AI26" i="18"/>
  <c r="AH26" i="18" s="1"/>
  <c r="AG26" i="18" s="1"/>
  <c r="AF26" i="18" s="1"/>
  <c r="AD26" i="18" s="1"/>
  <c r="AI102" i="18"/>
  <c r="AH102" i="18" s="1"/>
  <c r="AG102" i="18" s="1"/>
  <c r="AF102" i="18" s="1"/>
  <c r="AD102" i="18" s="1"/>
  <c r="AI99" i="18"/>
  <c r="AH99" i="18" s="1"/>
  <c r="AG99" i="18" s="1"/>
  <c r="AF99" i="18" s="1"/>
  <c r="AD99" i="18" s="1"/>
  <c r="AI59" i="18"/>
  <c r="AH59" i="18" s="1"/>
  <c r="AG59" i="18" s="1"/>
  <c r="AF59" i="18" s="1"/>
  <c r="AD59" i="18" s="1"/>
  <c r="AI15" i="18"/>
  <c r="AH15" i="18" s="1"/>
  <c r="AI81" i="18"/>
  <c r="AH81" i="18" s="1"/>
  <c r="AG81" i="18" s="1"/>
  <c r="AF81" i="18" s="1"/>
  <c r="AD81" i="18" s="1"/>
  <c r="AI41" i="18"/>
  <c r="AH41" i="18" s="1"/>
  <c r="AG41" i="18" s="1"/>
  <c r="AF41" i="18" s="1"/>
  <c r="AD41" i="18" s="1"/>
  <c r="AI75" i="18"/>
  <c r="AH75" i="18" s="1"/>
  <c r="AG75" i="18" s="1"/>
  <c r="AF75" i="18" s="1"/>
  <c r="AD75" i="18" s="1"/>
  <c r="AI23" i="18"/>
  <c r="AH23" i="18" s="1"/>
  <c r="AG23" i="18" s="1"/>
  <c r="AF23" i="18" s="1"/>
  <c r="AD23" i="18" s="1"/>
  <c r="AI43" i="18"/>
  <c r="AH43" i="18" s="1"/>
  <c r="AG43" i="18" s="1"/>
  <c r="AF43" i="18" s="1"/>
  <c r="AD43" i="18" s="1"/>
  <c r="AI77" i="18"/>
  <c r="AH77" i="18" s="1"/>
  <c r="AG77" i="18" s="1"/>
  <c r="AF77" i="18" s="1"/>
  <c r="AD77" i="18" s="1"/>
  <c r="AI84" i="18"/>
  <c r="AH84" i="18" s="1"/>
  <c r="AG84" i="18" s="1"/>
  <c r="AF84" i="18" s="1"/>
  <c r="AD84" i="18" s="1"/>
  <c r="AI48" i="18"/>
  <c r="AH48" i="18" s="1"/>
  <c r="AG48" i="18" s="1"/>
  <c r="AF48" i="18" s="1"/>
  <c r="AD48" i="18" s="1"/>
  <c r="AI51" i="18"/>
  <c r="AH51" i="18" s="1"/>
  <c r="AG51" i="18" s="1"/>
  <c r="AF51" i="18" s="1"/>
  <c r="AD51" i="18" s="1"/>
  <c r="AI73" i="18"/>
  <c r="AH73" i="18" s="1"/>
  <c r="AG73" i="18" s="1"/>
  <c r="AF73" i="18" s="1"/>
  <c r="AD73" i="18" s="1"/>
  <c r="AI69" i="18"/>
  <c r="AH69" i="18" s="1"/>
  <c r="AG69" i="18" s="1"/>
  <c r="AF69" i="18" s="1"/>
  <c r="AD69" i="18" s="1"/>
  <c r="AI80" i="18"/>
  <c r="AH80" i="18" s="1"/>
  <c r="AG80" i="18" s="1"/>
  <c r="AF80" i="18" s="1"/>
  <c r="AD80" i="18" s="1"/>
  <c r="AI16" i="18"/>
  <c r="AH16" i="18" s="1"/>
  <c r="AG16" i="18" s="1"/>
  <c r="AF16" i="18" s="1"/>
  <c r="AD16" i="18" s="1"/>
  <c r="AI101" i="18"/>
  <c r="AH101" i="18" s="1"/>
  <c r="AG101" i="18" s="1"/>
  <c r="AF101" i="18" s="1"/>
  <c r="AD101" i="18" s="1"/>
  <c r="AI96" i="18"/>
  <c r="AH96" i="18" s="1"/>
  <c r="AG96" i="18" s="1"/>
  <c r="AF96" i="18" s="1"/>
  <c r="AD96" i="18" s="1"/>
  <c r="AI95" i="18"/>
  <c r="AH95" i="18" s="1"/>
  <c r="AG95" i="18" s="1"/>
  <c r="AF95" i="18" s="1"/>
  <c r="AD95" i="18" s="1"/>
  <c r="AI97" i="18"/>
  <c r="AH97" i="18" s="1"/>
  <c r="AG97" i="18" s="1"/>
  <c r="AF97" i="18" s="1"/>
  <c r="AD97" i="18" s="1"/>
  <c r="AI86" i="18"/>
  <c r="AH86" i="18" s="1"/>
  <c r="AG86" i="18" s="1"/>
  <c r="AF86" i="18" s="1"/>
  <c r="AD86" i="18" s="1"/>
  <c r="AI76" i="18"/>
  <c r="AH76" i="18" s="1"/>
  <c r="AG76" i="18" s="1"/>
  <c r="AF76" i="18" s="1"/>
  <c r="AD76" i="18" s="1"/>
  <c r="AI67" i="18"/>
  <c r="AH67" i="18" s="1"/>
  <c r="AG67" i="18" s="1"/>
  <c r="AF67" i="18" s="1"/>
  <c r="AD67" i="18" s="1"/>
  <c r="AI35" i="18"/>
  <c r="AH35" i="18" s="1"/>
  <c r="AG35" i="18" s="1"/>
  <c r="AF35" i="18" s="1"/>
  <c r="AD35" i="18" s="1"/>
  <c r="J241" i="17"/>
  <c r="H60" i="17"/>
  <c r="I60" i="17" s="1"/>
  <c r="U224" i="18"/>
  <c r="T224" i="18" s="1"/>
  <c r="S224" i="18" s="1"/>
  <c r="R224" i="18" s="1"/>
  <c r="P224" i="18" s="1"/>
  <c r="V224" i="18" s="1"/>
  <c r="AI71" i="18"/>
  <c r="AH71" i="18" s="1"/>
  <c r="AG71" i="18" s="1"/>
  <c r="AF71" i="18" s="1"/>
  <c r="AD71" i="18" s="1"/>
  <c r="AI55" i="18"/>
  <c r="AH55" i="18" s="1"/>
  <c r="AG55" i="18" s="1"/>
  <c r="AF55" i="18" s="1"/>
  <c r="AD55" i="18" s="1"/>
  <c r="AI19" i="18"/>
  <c r="AH19" i="18" s="1"/>
  <c r="AG19" i="18" s="1"/>
  <c r="AF19" i="18" s="1"/>
  <c r="AD19" i="18" s="1"/>
  <c r="AI98" i="18"/>
  <c r="AH98" i="18" s="1"/>
  <c r="AG98" i="18" s="1"/>
  <c r="AF98" i="18" s="1"/>
  <c r="AD98" i="18" s="1"/>
  <c r="AI52" i="18"/>
  <c r="AH52" i="18" s="1"/>
  <c r="AG52" i="18" s="1"/>
  <c r="AF52" i="18" s="1"/>
  <c r="AD52" i="18" s="1"/>
  <c r="AI83" i="18"/>
  <c r="AH83" i="18" s="1"/>
  <c r="AG83" i="18" s="1"/>
  <c r="AF83" i="18" s="1"/>
  <c r="AD83" i="18" s="1"/>
  <c r="AC16" i="7"/>
  <c r="U148" i="18"/>
  <c r="T148" i="18" s="1"/>
  <c r="S148" i="18" s="1"/>
  <c r="R148" i="18" s="1"/>
  <c r="P148" i="18" s="1"/>
  <c r="V148" i="18" s="1"/>
  <c r="U238" i="18"/>
  <c r="T238" i="18" s="1"/>
  <c r="S238" i="18" s="1"/>
  <c r="R238" i="18" s="1"/>
  <c r="P238" i="18" s="1"/>
  <c r="V238" i="18" s="1"/>
  <c r="U173" i="18"/>
  <c r="T173" i="18" s="1"/>
  <c r="S173" i="18" s="1"/>
  <c r="R173" i="18" s="1"/>
  <c r="P173" i="18" s="1"/>
  <c r="V173" i="18" s="1"/>
  <c r="U345" i="18"/>
  <c r="T345" i="18" s="1"/>
  <c r="S345" i="18" s="1"/>
  <c r="R345" i="18" s="1"/>
  <c r="P345" i="18" s="1"/>
  <c r="V345" i="18" s="1"/>
  <c r="U277" i="18"/>
  <c r="T277" i="18" s="1"/>
  <c r="S277" i="18" s="1"/>
  <c r="R277" i="18" s="1"/>
  <c r="P277" i="18" s="1"/>
  <c r="V277" i="18" s="1"/>
  <c r="U185" i="18"/>
  <c r="T185" i="18" s="1"/>
  <c r="S185" i="18" s="1"/>
  <c r="R185" i="18" s="1"/>
  <c r="P185" i="18" s="1"/>
  <c r="V185" i="18" s="1"/>
  <c r="U104" i="18"/>
  <c r="T104" i="18" s="1"/>
  <c r="S104" i="18" s="1"/>
  <c r="R104" i="18" s="1"/>
  <c r="P104" i="18" s="1"/>
  <c r="V104" i="18" s="1"/>
  <c r="U362" i="18"/>
  <c r="T362" i="18" s="1"/>
  <c r="S362" i="18" s="1"/>
  <c r="R362" i="18" s="1"/>
  <c r="P362" i="18" s="1"/>
  <c r="V362" i="18" s="1"/>
  <c r="U168" i="18"/>
  <c r="T168" i="18" s="1"/>
  <c r="S168" i="18" s="1"/>
  <c r="R168" i="18" s="1"/>
  <c r="P168" i="18" s="1"/>
  <c r="V168" i="18" s="1"/>
  <c r="U262" i="18"/>
  <c r="T262" i="18" s="1"/>
  <c r="S262" i="18" s="1"/>
  <c r="R262" i="18" s="1"/>
  <c r="P262" i="18" s="1"/>
  <c r="V262" i="18" s="1"/>
  <c r="U316" i="18"/>
  <c r="T316" i="18" s="1"/>
  <c r="S316" i="18" s="1"/>
  <c r="R316" i="18" s="1"/>
  <c r="P316" i="18" s="1"/>
  <c r="V316" i="18" s="1"/>
  <c r="U353" i="18"/>
  <c r="T353" i="18" s="1"/>
  <c r="S353" i="18" s="1"/>
  <c r="R353" i="18" s="1"/>
  <c r="P353" i="18" s="1"/>
  <c r="V353" i="18" s="1"/>
  <c r="U175" i="18"/>
  <c r="T175" i="18" s="1"/>
  <c r="S175" i="18" s="1"/>
  <c r="R175" i="18" s="1"/>
  <c r="P175" i="18" s="1"/>
  <c r="V175" i="18" s="1"/>
  <c r="U206" i="18"/>
  <c r="T206" i="18" s="1"/>
  <c r="S206" i="18" s="1"/>
  <c r="R206" i="18" s="1"/>
  <c r="P206" i="18" s="1"/>
  <c r="V206" i="18" s="1"/>
  <c r="U165" i="18"/>
  <c r="T165" i="18" s="1"/>
  <c r="S165" i="18" s="1"/>
  <c r="R165" i="18" s="1"/>
  <c r="P165" i="18" s="1"/>
  <c r="V165" i="18" s="1"/>
  <c r="U333" i="18"/>
  <c r="T333" i="18" s="1"/>
  <c r="S333" i="18" s="1"/>
  <c r="R333" i="18" s="1"/>
  <c r="P333" i="18" s="1"/>
  <c r="V333" i="18" s="1"/>
  <c r="U266" i="18"/>
  <c r="T266" i="18" s="1"/>
  <c r="S266" i="18" s="1"/>
  <c r="R266" i="18" s="1"/>
  <c r="P266" i="18" s="1"/>
  <c r="V266" i="18" s="1"/>
  <c r="U356" i="18"/>
  <c r="T356" i="18" s="1"/>
  <c r="S356" i="18" s="1"/>
  <c r="R356" i="18" s="1"/>
  <c r="P356" i="18" s="1"/>
  <c r="V356" i="18" s="1"/>
  <c r="U179" i="18"/>
  <c r="T179" i="18" s="1"/>
  <c r="S179" i="18" s="1"/>
  <c r="R179" i="18" s="1"/>
  <c r="P179" i="18" s="1"/>
  <c r="V179" i="18" s="1"/>
  <c r="U77" i="18"/>
  <c r="T77" i="18" s="1"/>
  <c r="S77" i="18" s="1"/>
  <c r="R77" i="18" s="1"/>
  <c r="P77" i="18" s="1"/>
  <c r="V77" i="18" s="1"/>
  <c r="U379" i="18"/>
  <c r="U331" i="18"/>
  <c r="T331" i="18" s="1"/>
  <c r="S331" i="18" s="1"/>
  <c r="R331" i="18" s="1"/>
  <c r="P331" i="18" s="1"/>
  <c r="V331" i="18" s="1"/>
  <c r="U310" i="18"/>
  <c r="T310" i="18" s="1"/>
  <c r="S310" i="18" s="1"/>
  <c r="R310" i="18" s="1"/>
  <c r="P310" i="18" s="1"/>
  <c r="V310" i="18" s="1"/>
  <c r="U116" i="18"/>
  <c r="T116" i="18" s="1"/>
  <c r="S116" i="18" s="1"/>
  <c r="R116" i="18" s="1"/>
  <c r="P116" i="18" s="1"/>
  <c r="V116" i="18" s="1"/>
  <c r="U188" i="18"/>
  <c r="T188" i="18" s="1"/>
  <c r="S188" i="18" s="1"/>
  <c r="R188" i="18" s="1"/>
  <c r="P188" i="18" s="1"/>
  <c r="V188" i="18" s="1"/>
  <c r="U279" i="18"/>
  <c r="T279" i="18" s="1"/>
  <c r="S279" i="18" s="1"/>
  <c r="R279" i="18" s="1"/>
  <c r="P279" i="18" s="1"/>
  <c r="V279" i="18" s="1"/>
  <c r="U319" i="18"/>
  <c r="T319" i="18" s="1"/>
  <c r="S319" i="18" s="1"/>
  <c r="R319" i="18" s="1"/>
  <c r="P319" i="18" s="1"/>
  <c r="V319" i="18" s="1"/>
  <c r="U209" i="18"/>
  <c r="T209" i="18" s="1"/>
  <c r="S209" i="18" s="1"/>
  <c r="R209" i="18" s="1"/>
  <c r="P209" i="18" s="1"/>
  <c r="V209" i="18" s="1"/>
  <c r="U227" i="18"/>
  <c r="T227" i="18" s="1"/>
  <c r="S227" i="18" s="1"/>
  <c r="R227" i="18" s="1"/>
  <c r="P227" i="18" s="1"/>
  <c r="V227" i="18" s="1"/>
  <c r="U230" i="18"/>
  <c r="T230" i="18" s="1"/>
  <c r="S230" i="18" s="1"/>
  <c r="R230" i="18" s="1"/>
  <c r="P230" i="18" s="1"/>
  <c r="V230" i="18" s="1"/>
  <c r="U299" i="18"/>
  <c r="T299" i="18" s="1"/>
  <c r="S299" i="18" s="1"/>
  <c r="R299" i="18" s="1"/>
  <c r="P299" i="18" s="1"/>
  <c r="V299" i="18" s="1"/>
  <c r="U372" i="18"/>
  <c r="T372" i="18" s="1"/>
  <c r="S372" i="18" s="1"/>
  <c r="R372" i="18" s="1"/>
  <c r="P372" i="18" s="1"/>
  <c r="V372" i="18" s="1"/>
  <c r="U136" i="18"/>
  <c r="T136" i="18" s="1"/>
  <c r="S136" i="18" s="1"/>
  <c r="R136" i="18" s="1"/>
  <c r="P136" i="18" s="1"/>
  <c r="V136" i="18" s="1"/>
  <c r="U293" i="18"/>
  <c r="T293" i="18" s="1"/>
  <c r="S293" i="18" s="1"/>
  <c r="R293" i="18" s="1"/>
  <c r="P293" i="18" s="1"/>
  <c r="V293" i="18" s="1"/>
  <c r="U334" i="18"/>
  <c r="T334" i="18" s="1"/>
  <c r="S334" i="18" s="1"/>
  <c r="R334" i="18" s="1"/>
  <c r="P334" i="18" s="1"/>
  <c r="V334" i="18" s="1"/>
  <c r="U371" i="18"/>
  <c r="T371" i="18" s="1"/>
  <c r="S371" i="18" s="1"/>
  <c r="R371" i="18" s="1"/>
  <c r="P371" i="18" s="1"/>
  <c r="V371" i="18" s="1"/>
  <c r="U87" i="18"/>
  <c r="T87" i="18" s="1"/>
  <c r="S87" i="18" s="1"/>
  <c r="R87" i="18" s="1"/>
  <c r="P87" i="18" s="1"/>
  <c r="V87" i="18" s="1"/>
  <c r="U23" i="18"/>
  <c r="T23" i="18" s="1"/>
  <c r="S23" i="18" s="1"/>
  <c r="R23" i="18" s="1"/>
  <c r="P23" i="18" s="1"/>
  <c r="V23" i="18" s="1"/>
  <c r="U88" i="18"/>
  <c r="T88" i="18" s="1"/>
  <c r="S88" i="18" s="1"/>
  <c r="R88" i="18" s="1"/>
  <c r="P88" i="18" s="1"/>
  <c r="D70" i="7" s="1"/>
  <c r="U241" i="18"/>
  <c r="T241" i="18" s="1"/>
  <c r="S241" i="18" s="1"/>
  <c r="R241" i="18" s="1"/>
  <c r="P241" i="18" s="1"/>
  <c r="V241" i="18" s="1"/>
  <c r="U243" i="18"/>
  <c r="T243" i="18" s="1"/>
  <c r="S243" i="18" s="1"/>
  <c r="R243" i="18" s="1"/>
  <c r="P243" i="18" s="1"/>
  <c r="V243" i="18" s="1"/>
  <c r="U139" i="18"/>
  <c r="T139" i="18" s="1"/>
  <c r="S139" i="18" s="1"/>
  <c r="R139" i="18" s="1"/>
  <c r="P139" i="18" s="1"/>
  <c r="V139" i="18" s="1"/>
  <c r="U250" i="18"/>
  <c r="T250" i="18" s="1"/>
  <c r="S250" i="18" s="1"/>
  <c r="R250" i="18" s="1"/>
  <c r="P250" i="18" s="1"/>
  <c r="V250" i="18" s="1"/>
  <c r="U260" i="18"/>
  <c r="T260" i="18" s="1"/>
  <c r="S260" i="18" s="1"/>
  <c r="R260" i="18" s="1"/>
  <c r="P260" i="18" s="1"/>
  <c r="V260" i="18" s="1"/>
  <c r="U182" i="18"/>
  <c r="T182" i="18" s="1"/>
  <c r="S182" i="18" s="1"/>
  <c r="R182" i="18" s="1"/>
  <c r="P182" i="18" s="1"/>
  <c r="V182" i="18" s="1"/>
  <c r="U213" i="18"/>
  <c r="T213" i="18" s="1"/>
  <c r="S213" i="18" s="1"/>
  <c r="R213" i="18" s="1"/>
  <c r="P213" i="18" s="1"/>
  <c r="V213" i="18" s="1"/>
  <c r="U141" i="18"/>
  <c r="T141" i="18" s="1"/>
  <c r="S141" i="18" s="1"/>
  <c r="R141" i="18" s="1"/>
  <c r="P141" i="18" s="1"/>
  <c r="V141" i="18" s="1"/>
  <c r="U257" i="18"/>
  <c r="T257" i="18" s="1"/>
  <c r="S257" i="18" s="1"/>
  <c r="R257" i="18" s="1"/>
  <c r="P257" i="18" s="1"/>
  <c r="V257" i="18" s="1"/>
  <c r="U124" i="18"/>
  <c r="T124" i="18" s="1"/>
  <c r="S124" i="18" s="1"/>
  <c r="R124" i="18" s="1"/>
  <c r="P124" i="18" s="1"/>
  <c r="V124" i="18" s="1"/>
  <c r="U280" i="18"/>
  <c r="T280" i="18" s="1"/>
  <c r="S280" i="18" s="1"/>
  <c r="R280" i="18" s="1"/>
  <c r="P280" i="18" s="1"/>
  <c r="V280" i="18" s="1"/>
  <c r="U123" i="18"/>
  <c r="T123" i="18" s="1"/>
  <c r="S123" i="18" s="1"/>
  <c r="R123" i="18" s="1"/>
  <c r="P123" i="18" s="1"/>
  <c r="V123" i="18" s="1"/>
  <c r="U298" i="18"/>
  <c r="T298" i="18" s="1"/>
  <c r="S298" i="18" s="1"/>
  <c r="R298" i="18" s="1"/>
  <c r="P298" i="18" s="1"/>
  <c r="V298" i="18" s="1"/>
  <c r="U154" i="18"/>
  <c r="T154" i="18" s="1"/>
  <c r="S154" i="18" s="1"/>
  <c r="R154" i="18" s="1"/>
  <c r="P154" i="18" s="1"/>
  <c r="V154" i="18" s="1"/>
  <c r="U309" i="18"/>
  <c r="T309" i="18" s="1"/>
  <c r="S309" i="18" s="1"/>
  <c r="R309" i="18" s="1"/>
  <c r="P309" i="18" s="1"/>
  <c r="V309" i="18" s="1"/>
  <c r="U150" i="18"/>
  <c r="T150" i="18" s="1"/>
  <c r="S150" i="18" s="1"/>
  <c r="R150" i="18" s="1"/>
  <c r="P150" i="18" s="1"/>
  <c r="V150" i="18" s="1"/>
  <c r="U321" i="18"/>
  <c r="T321" i="18" s="1"/>
  <c r="S321" i="18" s="1"/>
  <c r="R321" i="18" s="1"/>
  <c r="P321" i="18" s="1"/>
  <c r="V321" i="18" s="1"/>
  <c r="U120" i="18"/>
  <c r="T120" i="18" s="1"/>
  <c r="S120" i="18" s="1"/>
  <c r="R120" i="18" s="1"/>
  <c r="P120" i="18" s="1"/>
  <c r="V120" i="18" s="1"/>
  <c r="U364" i="18"/>
  <c r="T364" i="18" s="1"/>
  <c r="S364" i="18" s="1"/>
  <c r="R364" i="18" s="1"/>
  <c r="P364" i="18" s="1"/>
  <c r="V364" i="18" s="1"/>
  <c r="U375" i="18"/>
  <c r="T375" i="18" s="1"/>
  <c r="S375" i="18" s="1"/>
  <c r="R375" i="18" s="1"/>
  <c r="P375" i="18" s="1"/>
  <c r="V375" i="18" s="1"/>
  <c r="U200" i="18"/>
  <c r="T200" i="18" s="1"/>
  <c r="S200" i="18" s="1"/>
  <c r="R200" i="18" s="1"/>
  <c r="P200" i="18" s="1"/>
  <c r="V200" i="18" s="1"/>
  <c r="U133" i="18"/>
  <c r="T133" i="18" s="1"/>
  <c r="S133" i="18" s="1"/>
  <c r="R133" i="18" s="1"/>
  <c r="P133" i="18" s="1"/>
  <c r="V133" i="18" s="1"/>
  <c r="U73" i="18"/>
  <c r="T73" i="18" s="1"/>
  <c r="S73" i="18" s="1"/>
  <c r="R73" i="18" s="1"/>
  <c r="P73" i="18" s="1"/>
  <c r="V73" i="18" s="1"/>
  <c r="U32" i="18"/>
  <c r="T32" i="18" s="1"/>
  <c r="S32" i="18" s="1"/>
  <c r="R32" i="18" s="1"/>
  <c r="P32" i="18" s="1"/>
  <c r="V32" i="18" s="1"/>
  <c r="U70" i="18"/>
  <c r="T70" i="18" s="1"/>
  <c r="S70" i="18" s="1"/>
  <c r="R70" i="18" s="1"/>
  <c r="P70" i="18" s="1"/>
  <c r="V70" i="18" s="1"/>
  <c r="U113" i="18"/>
  <c r="T113" i="18" s="1"/>
  <c r="S113" i="18" s="1"/>
  <c r="R113" i="18" s="1"/>
  <c r="P113" i="18" s="1"/>
  <c r="V113" i="18" s="1"/>
  <c r="U274" i="18"/>
  <c r="T274" i="18" s="1"/>
  <c r="S274" i="18" s="1"/>
  <c r="R274" i="18" s="1"/>
  <c r="P274" i="18" s="1"/>
  <c r="V274" i="18" s="1"/>
  <c r="U135" i="18"/>
  <c r="T135" i="18" s="1"/>
  <c r="S135" i="18" s="1"/>
  <c r="R135" i="18" s="1"/>
  <c r="P135" i="18" s="1"/>
  <c r="V135" i="18" s="1"/>
  <c r="U204" i="18"/>
  <c r="T204" i="18" s="1"/>
  <c r="S204" i="18" s="1"/>
  <c r="R204" i="18" s="1"/>
  <c r="P204" i="18" s="1"/>
  <c r="V204" i="18" s="1"/>
  <c r="U240" i="18"/>
  <c r="T240" i="18" s="1"/>
  <c r="S240" i="18" s="1"/>
  <c r="R240" i="18" s="1"/>
  <c r="P240" i="18" s="1"/>
  <c r="V240" i="18" s="1"/>
  <c r="U233" i="18"/>
  <c r="T233" i="18" s="1"/>
  <c r="S233" i="18" s="1"/>
  <c r="R233" i="18" s="1"/>
  <c r="P233" i="18" s="1"/>
  <c r="V233" i="18" s="1"/>
  <c r="U284" i="18"/>
  <c r="T284" i="18" s="1"/>
  <c r="S284" i="18" s="1"/>
  <c r="R284" i="18" s="1"/>
  <c r="P284" i="18" s="1"/>
  <c r="V284" i="18" s="1"/>
  <c r="U201" i="18"/>
  <c r="T201" i="18" s="1"/>
  <c r="S201" i="18" s="1"/>
  <c r="R201" i="18" s="1"/>
  <c r="P201" i="18" s="1"/>
  <c r="V201" i="18" s="1"/>
  <c r="U229" i="18"/>
  <c r="T229" i="18" s="1"/>
  <c r="S229" i="18" s="1"/>
  <c r="R229" i="18" s="1"/>
  <c r="P229" i="18" s="1"/>
  <c r="V229" i="18" s="1"/>
  <c r="U269" i="18"/>
  <c r="T269" i="18" s="1"/>
  <c r="S269" i="18" s="1"/>
  <c r="R269" i="18" s="1"/>
  <c r="P269" i="18" s="1"/>
  <c r="V269" i="18" s="1"/>
  <c r="U122" i="18"/>
  <c r="T122" i="18" s="1"/>
  <c r="S122" i="18" s="1"/>
  <c r="R122" i="18" s="1"/>
  <c r="P122" i="18" s="1"/>
  <c r="V122" i="18" s="1"/>
  <c r="U304" i="18"/>
  <c r="T304" i="18" s="1"/>
  <c r="S304" i="18" s="1"/>
  <c r="R304" i="18" s="1"/>
  <c r="P304" i="18" s="1"/>
  <c r="V304" i="18" s="1"/>
  <c r="U110" i="18"/>
  <c r="T110" i="18" s="1"/>
  <c r="S110" i="18" s="1"/>
  <c r="R110" i="18" s="1"/>
  <c r="P110" i="18" s="1"/>
  <c r="V110" i="18" s="1"/>
  <c r="U111" i="18"/>
  <c r="T111" i="18" s="1"/>
  <c r="S111" i="18" s="1"/>
  <c r="R111" i="18" s="1"/>
  <c r="P111" i="18" s="1"/>
  <c r="V111" i="18" s="1"/>
  <c r="U231" i="18"/>
  <c r="T231" i="18" s="1"/>
  <c r="S231" i="18" s="1"/>
  <c r="R231" i="18" s="1"/>
  <c r="P231" i="18" s="1"/>
  <c r="V231" i="18" s="1"/>
  <c r="U314" i="18"/>
  <c r="T314" i="18" s="1"/>
  <c r="S314" i="18" s="1"/>
  <c r="R314" i="18" s="1"/>
  <c r="P314" i="18" s="1"/>
  <c r="V314" i="18" s="1"/>
  <c r="U329" i="18"/>
  <c r="T329" i="18" s="1"/>
  <c r="S329" i="18" s="1"/>
  <c r="R329" i="18" s="1"/>
  <c r="P329" i="18" s="1"/>
  <c r="V329" i="18" s="1"/>
  <c r="U140" i="18"/>
  <c r="T140" i="18" s="1"/>
  <c r="S140" i="18" s="1"/>
  <c r="R140" i="18" s="1"/>
  <c r="P140" i="18" s="1"/>
  <c r="V140" i="18" s="1"/>
  <c r="U147" i="18"/>
  <c r="T147" i="18" s="1"/>
  <c r="S147" i="18" s="1"/>
  <c r="R147" i="18" s="1"/>
  <c r="P147" i="18" s="1"/>
  <c r="V147" i="18" s="1"/>
  <c r="U259" i="18"/>
  <c r="T259" i="18" s="1"/>
  <c r="S259" i="18" s="1"/>
  <c r="R259" i="18" s="1"/>
  <c r="P259" i="18" s="1"/>
  <c r="V259" i="18" s="1"/>
  <c r="U273" i="18"/>
  <c r="T273" i="18" s="1"/>
  <c r="S273" i="18" s="1"/>
  <c r="R273" i="18" s="1"/>
  <c r="P273" i="18" s="1"/>
  <c r="V273" i="18" s="1"/>
  <c r="U239" i="18"/>
  <c r="T239" i="18" s="1"/>
  <c r="S239" i="18" s="1"/>
  <c r="R239" i="18" s="1"/>
  <c r="P239" i="18" s="1"/>
  <c r="V239" i="18" s="1"/>
  <c r="U152" i="18"/>
  <c r="T152" i="18" s="1"/>
  <c r="S152" i="18" s="1"/>
  <c r="R152" i="18" s="1"/>
  <c r="P152" i="18" s="1"/>
  <c r="V152" i="18" s="1"/>
  <c r="U265" i="18"/>
  <c r="T265" i="18" s="1"/>
  <c r="S265" i="18" s="1"/>
  <c r="R265" i="18" s="1"/>
  <c r="P265" i="18" s="1"/>
  <c r="V265" i="18" s="1"/>
  <c r="U296" i="18"/>
  <c r="T296" i="18" s="1"/>
  <c r="S296" i="18" s="1"/>
  <c r="R296" i="18" s="1"/>
  <c r="P296" i="18" s="1"/>
  <c r="V296" i="18" s="1"/>
  <c r="U376" i="18"/>
  <c r="T376" i="18" s="1"/>
  <c r="S376" i="18" s="1"/>
  <c r="R376" i="18" s="1"/>
  <c r="P376" i="18" s="1"/>
  <c r="V376" i="18" s="1"/>
  <c r="U114" i="18"/>
  <c r="T114" i="18" s="1"/>
  <c r="S114" i="18" s="1"/>
  <c r="R114" i="18" s="1"/>
  <c r="P114" i="18" s="1"/>
  <c r="V114" i="18" s="1"/>
  <c r="U343" i="18"/>
  <c r="T343" i="18" s="1"/>
  <c r="S343" i="18" s="1"/>
  <c r="R343" i="18" s="1"/>
  <c r="P343" i="18" s="1"/>
  <c r="V343" i="18" s="1"/>
  <c r="U341" i="18"/>
  <c r="T341" i="18" s="1"/>
  <c r="S341" i="18" s="1"/>
  <c r="R341" i="18" s="1"/>
  <c r="P341" i="18" s="1"/>
  <c r="V341" i="18" s="1"/>
  <c r="U237" i="18"/>
  <c r="T237" i="18" s="1"/>
  <c r="S237" i="18" s="1"/>
  <c r="R237" i="18" s="1"/>
  <c r="P237" i="18" s="1"/>
  <c r="V237" i="18" s="1"/>
  <c r="U361" i="18"/>
  <c r="T361" i="18" s="1"/>
  <c r="S361" i="18" s="1"/>
  <c r="R361" i="18" s="1"/>
  <c r="P361" i="18" s="1"/>
  <c r="V361" i="18" s="1"/>
  <c r="U261" i="18"/>
  <c r="T261" i="18" s="1"/>
  <c r="S261" i="18" s="1"/>
  <c r="R261" i="18" s="1"/>
  <c r="P261" i="18" s="1"/>
  <c r="V261" i="18" s="1"/>
  <c r="U317" i="18"/>
  <c r="T317" i="18" s="1"/>
  <c r="S317" i="18" s="1"/>
  <c r="R317" i="18" s="1"/>
  <c r="P317" i="18" s="1"/>
  <c r="V317" i="18" s="1"/>
  <c r="U300" i="18"/>
  <c r="T300" i="18" s="1"/>
  <c r="S300" i="18" s="1"/>
  <c r="R300" i="18" s="1"/>
  <c r="P300" i="18" s="1"/>
  <c r="V300" i="18" s="1"/>
  <c r="U163" i="18"/>
  <c r="T163" i="18" s="1"/>
  <c r="S163" i="18" s="1"/>
  <c r="R163" i="18" s="1"/>
  <c r="P163" i="18" s="1"/>
  <c r="V163" i="18" s="1"/>
  <c r="U308" i="18"/>
  <c r="T308" i="18" s="1"/>
  <c r="S308" i="18" s="1"/>
  <c r="R308" i="18" s="1"/>
  <c r="P308" i="18" s="1"/>
  <c r="V308" i="18" s="1"/>
  <c r="U351" i="18"/>
  <c r="T351" i="18" s="1"/>
  <c r="S351" i="18" s="1"/>
  <c r="R351" i="18" s="1"/>
  <c r="P351" i="18" s="1"/>
  <c r="V351" i="18" s="1"/>
  <c r="U126" i="18"/>
  <c r="T126" i="18" s="1"/>
  <c r="S126" i="18" s="1"/>
  <c r="R126" i="18" s="1"/>
  <c r="P126" i="18" s="1"/>
  <c r="V126" i="18" s="1"/>
  <c r="U307" i="18"/>
  <c r="T307" i="18" s="1"/>
  <c r="S307" i="18" s="1"/>
  <c r="R307" i="18" s="1"/>
  <c r="P307" i="18" s="1"/>
  <c r="V307" i="18" s="1"/>
  <c r="U368" i="18"/>
  <c r="T368" i="18" s="1"/>
  <c r="S368" i="18" s="1"/>
  <c r="R368" i="18" s="1"/>
  <c r="P368" i="18" s="1"/>
  <c r="V368" i="18" s="1"/>
  <c r="U219" i="18"/>
  <c r="T219" i="18" s="1"/>
  <c r="S219" i="18" s="1"/>
  <c r="R219" i="18" s="1"/>
  <c r="P219" i="18" s="1"/>
  <c r="V219" i="18" s="1"/>
  <c r="U162" i="18"/>
  <c r="T162" i="18" s="1"/>
  <c r="S162" i="18" s="1"/>
  <c r="R162" i="18" s="1"/>
  <c r="P162" i="18" s="1"/>
  <c r="V162" i="18" s="1"/>
  <c r="U106" i="18"/>
  <c r="T106" i="18" s="1"/>
  <c r="S106" i="18" s="1"/>
  <c r="R106" i="18" s="1"/>
  <c r="P106" i="18" s="1"/>
  <c r="V106" i="18" s="1"/>
  <c r="U137" i="18"/>
  <c r="T137" i="18" s="1"/>
  <c r="S137" i="18" s="1"/>
  <c r="R137" i="18" s="1"/>
  <c r="P137" i="18" s="1"/>
  <c r="V137" i="18" s="1"/>
  <c r="U373" i="18"/>
  <c r="T373" i="18" s="1"/>
  <c r="S373" i="18" s="1"/>
  <c r="R373" i="18" s="1"/>
  <c r="P373" i="18" s="1"/>
  <c r="V373" i="18" s="1"/>
  <c r="U339" i="18"/>
  <c r="T339" i="18" s="1"/>
  <c r="S339" i="18" s="1"/>
  <c r="R339" i="18" s="1"/>
  <c r="P339" i="18" s="1"/>
  <c r="V339" i="18" s="1"/>
  <c r="U330" i="18"/>
  <c r="T330" i="18" s="1"/>
  <c r="S330" i="18" s="1"/>
  <c r="R330" i="18" s="1"/>
  <c r="P330" i="18" s="1"/>
  <c r="V330" i="18" s="1"/>
  <c r="U323" i="18"/>
  <c r="T323" i="18" s="1"/>
  <c r="S323" i="18" s="1"/>
  <c r="R323" i="18" s="1"/>
  <c r="P323" i="18" s="1"/>
  <c r="V323" i="18" s="1"/>
  <c r="U211" i="18"/>
  <c r="T211" i="18" s="1"/>
  <c r="S211" i="18" s="1"/>
  <c r="R211" i="18" s="1"/>
  <c r="P211" i="18" s="1"/>
  <c r="V211" i="18" s="1"/>
  <c r="U248" i="18"/>
  <c r="T248" i="18" s="1"/>
  <c r="S248" i="18" s="1"/>
  <c r="R248" i="18" s="1"/>
  <c r="P248" i="18" s="1"/>
  <c r="V248" i="18" s="1"/>
  <c r="U105" i="18"/>
  <c r="T105" i="18" s="1"/>
  <c r="S105" i="18" s="1"/>
  <c r="R105" i="18" s="1"/>
  <c r="P105" i="18" s="1"/>
  <c r="V105" i="18" s="1"/>
  <c r="U197" i="18"/>
  <c r="T197" i="18" s="1"/>
  <c r="S197" i="18" s="1"/>
  <c r="R197" i="18" s="1"/>
  <c r="P197" i="18" s="1"/>
  <c r="V197" i="18" s="1"/>
  <c r="U285" i="18"/>
  <c r="T285" i="18" s="1"/>
  <c r="S285" i="18" s="1"/>
  <c r="R285" i="18" s="1"/>
  <c r="P285" i="18" s="1"/>
  <c r="V285" i="18" s="1"/>
  <c r="U294" i="18"/>
  <c r="T294" i="18" s="1"/>
  <c r="S294" i="18" s="1"/>
  <c r="R294" i="18" s="1"/>
  <c r="P294" i="18" s="1"/>
  <c r="V294" i="18" s="1"/>
  <c r="U149" i="18"/>
  <c r="T149" i="18" s="1"/>
  <c r="S149" i="18" s="1"/>
  <c r="R149" i="18" s="1"/>
  <c r="P149" i="18" s="1"/>
  <c r="D72" i="7" s="1"/>
  <c r="U271" i="18"/>
  <c r="T271" i="18" s="1"/>
  <c r="S271" i="18" s="1"/>
  <c r="R271" i="18" s="1"/>
  <c r="P271" i="18" s="1"/>
  <c r="V271" i="18" s="1"/>
  <c r="U115" i="18"/>
  <c r="T115" i="18" s="1"/>
  <c r="S115" i="18" s="1"/>
  <c r="R115" i="18" s="1"/>
  <c r="P115" i="18" s="1"/>
  <c r="V115" i="18" s="1"/>
  <c r="U246" i="18"/>
  <c r="T246" i="18" s="1"/>
  <c r="S246" i="18" s="1"/>
  <c r="R246" i="18" s="1"/>
  <c r="P246" i="18" s="1"/>
  <c r="V246" i="18" s="1"/>
  <c r="U286" i="18"/>
  <c r="T286" i="18" s="1"/>
  <c r="S286" i="18" s="1"/>
  <c r="R286" i="18" s="1"/>
  <c r="P286" i="18" s="1"/>
  <c r="V286" i="18" s="1"/>
  <c r="U225" i="18"/>
  <c r="T225" i="18" s="1"/>
  <c r="S225" i="18" s="1"/>
  <c r="R225" i="18" s="1"/>
  <c r="P225" i="18" s="1"/>
  <c r="V225" i="18" s="1"/>
  <c r="U129" i="18"/>
  <c r="T129" i="18" s="1"/>
  <c r="S129" i="18" s="1"/>
  <c r="R129" i="18" s="1"/>
  <c r="P129" i="18" s="1"/>
  <c r="V129" i="18" s="1"/>
  <c r="U369" i="18"/>
  <c r="T369" i="18" s="1"/>
  <c r="S369" i="18" s="1"/>
  <c r="R369" i="18" s="1"/>
  <c r="P369" i="18" s="1"/>
  <c r="V369" i="18" s="1"/>
  <c r="U251" i="18"/>
  <c r="T251" i="18" s="1"/>
  <c r="S251" i="18" s="1"/>
  <c r="R251" i="18" s="1"/>
  <c r="P251" i="18" s="1"/>
  <c r="V251" i="18" s="1"/>
  <c r="U270" i="18"/>
  <c r="T270" i="18" s="1"/>
  <c r="S270" i="18" s="1"/>
  <c r="R270" i="18" s="1"/>
  <c r="P270" i="18" s="1"/>
  <c r="V270" i="18" s="1"/>
  <c r="U350" i="18"/>
  <c r="T350" i="18" s="1"/>
  <c r="S350" i="18" s="1"/>
  <c r="R350" i="18" s="1"/>
  <c r="P350" i="18" s="1"/>
  <c r="V350" i="18" s="1"/>
  <c r="U378" i="18"/>
  <c r="T378" i="18" s="1"/>
  <c r="S378" i="18" s="1"/>
  <c r="R378" i="18" s="1"/>
  <c r="P378" i="18" s="1"/>
  <c r="V378" i="18" s="1"/>
  <c r="U164" i="18"/>
  <c r="T164" i="18" s="1"/>
  <c r="S164" i="18" s="1"/>
  <c r="R164" i="18" s="1"/>
  <c r="P164" i="18" s="1"/>
  <c r="V164" i="18" s="1"/>
  <c r="U287" i="18"/>
  <c r="T287" i="18" s="1"/>
  <c r="S287" i="18" s="1"/>
  <c r="R287" i="18" s="1"/>
  <c r="P287" i="18" s="1"/>
  <c r="V287" i="18" s="1"/>
  <c r="U189" i="18"/>
  <c r="T189" i="18" s="1"/>
  <c r="S189" i="18" s="1"/>
  <c r="R189" i="18" s="1"/>
  <c r="P189" i="18" s="1"/>
  <c r="V189" i="18" s="1"/>
  <c r="U223" i="18"/>
  <c r="T223" i="18" s="1"/>
  <c r="S223" i="18" s="1"/>
  <c r="R223" i="18" s="1"/>
  <c r="P223" i="18" s="1"/>
  <c r="V223" i="18" s="1"/>
  <c r="U205" i="18"/>
  <c r="T205" i="18" s="1"/>
  <c r="S205" i="18" s="1"/>
  <c r="R205" i="18" s="1"/>
  <c r="P205" i="18" s="1"/>
  <c r="V205" i="18" s="1"/>
  <c r="U125" i="18"/>
  <c r="T125" i="18" s="1"/>
  <c r="S125" i="18" s="1"/>
  <c r="R125" i="18" s="1"/>
  <c r="P125" i="18" s="1"/>
  <c r="V125" i="18" s="1"/>
  <c r="U203" i="18"/>
  <c r="T203" i="18" s="1"/>
  <c r="S203" i="18" s="1"/>
  <c r="R203" i="18" s="1"/>
  <c r="P203" i="18" s="1"/>
  <c r="V203" i="18" s="1"/>
  <c r="U363" i="18"/>
  <c r="T363" i="18" s="1"/>
  <c r="S363" i="18" s="1"/>
  <c r="R363" i="18" s="1"/>
  <c r="P363" i="18" s="1"/>
  <c r="V363" i="18" s="1"/>
  <c r="U244" i="18"/>
  <c r="T244" i="18" s="1"/>
  <c r="S244" i="18" s="1"/>
  <c r="R244" i="18" s="1"/>
  <c r="P244" i="18" s="1"/>
  <c r="V244" i="18" s="1"/>
  <c r="U258" i="18"/>
  <c r="T258" i="18" s="1"/>
  <c r="S258" i="18" s="1"/>
  <c r="R258" i="18" s="1"/>
  <c r="P258" i="18" s="1"/>
  <c r="V258" i="18" s="1"/>
  <c r="U183" i="18"/>
  <c r="T183" i="18" s="1"/>
  <c r="S183" i="18" s="1"/>
  <c r="R183" i="18" s="1"/>
  <c r="P183" i="18" s="1"/>
  <c r="V183" i="18" s="1"/>
  <c r="U342" i="18"/>
  <c r="T342" i="18" s="1"/>
  <c r="S342" i="18" s="1"/>
  <c r="R342" i="18" s="1"/>
  <c r="P342" i="18" s="1"/>
  <c r="V342" i="18" s="1"/>
  <c r="U242" i="18"/>
  <c r="T242" i="18" s="1"/>
  <c r="S242" i="18" s="1"/>
  <c r="R242" i="18" s="1"/>
  <c r="P242" i="18" s="1"/>
  <c r="V242" i="18" s="1"/>
  <c r="U81" i="18"/>
  <c r="T81" i="18" s="1"/>
  <c r="S81" i="18" s="1"/>
  <c r="R81" i="18" s="1"/>
  <c r="P81" i="18" s="1"/>
  <c r="V81" i="18" s="1"/>
  <c r="U22" i="18"/>
  <c r="T22" i="18" s="1"/>
  <c r="S22" i="18" s="1"/>
  <c r="R22" i="18" s="1"/>
  <c r="P22" i="18" s="1"/>
  <c r="V22" i="18" s="1"/>
  <c r="U46" i="18"/>
  <c r="T46" i="18" s="1"/>
  <c r="S46" i="18" s="1"/>
  <c r="R46" i="18" s="1"/>
  <c r="P46" i="18" s="1"/>
  <c r="V46" i="18" s="1"/>
  <c r="U37" i="18"/>
  <c r="T37" i="18" s="1"/>
  <c r="S37" i="18" s="1"/>
  <c r="R37" i="18" s="1"/>
  <c r="P37" i="18" s="1"/>
  <c r="V37" i="18" s="1"/>
  <c r="U69" i="18"/>
  <c r="T69" i="18" s="1"/>
  <c r="S69" i="18" s="1"/>
  <c r="R69" i="18" s="1"/>
  <c r="P69" i="18" s="1"/>
  <c r="V69" i="18" s="1"/>
  <c r="U40" i="18"/>
  <c r="T40" i="18" s="1"/>
  <c r="S40" i="18" s="1"/>
  <c r="R40" i="18" s="1"/>
  <c r="P40" i="18" s="1"/>
  <c r="V40" i="18" s="1"/>
  <c r="U86" i="18"/>
  <c r="T86" i="18" s="1"/>
  <c r="S86" i="18" s="1"/>
  <c r="R86" i="18" s="1"/>
  <c r="P86" i="18" s="1"/>
  <c r="V86" i="18" s="1"/>
  <c r="U63" i="18"/>
  <c r="T63" i="18" s="1"/>
  <c r="S63" i="18" s="1"/>
  <c r="R63" i="18" s="1"/>
  <c r="P63" i="18" s="1"/>
  <c r="V63" i="18" s="1"/>
  <c r="U55" i="18"/>
  <c r="T55" i="18" s="1"/>
  <c r="S55" i="18" s="1"/>
  <c r="R55" i="18" s="1"/>
  <c r="P55" i="18" s="1"/>
  <c r="V55" i="18" s="1"/>
  <c r="U19" i="18"/>
  <c r="T19" i="18" s="1"/>
  <c r="S19" i="18" s="1"/>
  <c r="R19" i="18" s="1"/>
  <c r="P19" i="18" s="1"/>
  <c r="V19" i="18" s="1"/>
  <c r="U85" i="18"/>
  <c r="T85" i="18" s="1"/>
  <c r="S85" i="18" s="1"/>
  <c r="R85" i="18" s="1"/>
  <c r="P85" i="18" s="1"/>
  <c r="V85" i="18" s="1"/>
  <c r="U21" i="18"/>
  <c r="T21" i="18" s="1"/>
  <c r="S21" i="18" s="1"/>
  <c r="R21" i="18" s="1"/>
  <c r="P21" i="18" s="1"/>
  <c r="V21" i="18" s="1"/>
  <c r="U17" i="18"/>
  <c r="T17" i="18" s="1"/>
  <c r="S17" i="18" s="1"/>
  <c r="R17" i="18" s="1"/>
  <c r="P17" i="18" s="1"/>
  <c r="V17" i="18" s="1"/>
  <c r="U38" i="18"/>
  <c r="T38" i="18" s="1"/>
  <c r="S38" i="18" s="1"/>
  <c r="R38" i="18" s="1"/>
  <c r="P38" i="18" s="1"/>
  <c r="V38" i="18" s="1"/>
  <c r="U59" i="18"/>
  <c r="T59" i="18" s="1"/>
  <c r="S59" i="18" s="1"/>
  <c r="R59" i="18" s="1"/>
  <c r="P59" i="18" s="1"/>
  <c r="V59" i="18" s="1"/>
  <c r="U53" i="18"/>
  <c r="T53" i="18" s="1"/>
  <c r="S53" i="18" s="1"/>
  <c r="R53" i="18" s="1"/>
  <c r="P53" i="18" s="1"/>
  <c r="V53" i="18" s="1"/>
  <c r="U65" i="18"/>
  <c r="T65" i="18" s="1"/>
  <c r="S65" i="18" s="1"/>
  <c r="R65" i="18" s="1"/>
  <c r="P65" i="18" s="1"/>
  <c r="V65" i="18" s="1"/>
  <c r="U102" i="18"/>
  <c r="T102" i="18" s="1"/>
  <c r="S102" i="18" s="1"/>
  <c r="R102" i="18" s="1"/>
  <c r="P102" i="18" s="1"/>
  <c r="V102" i="18" s="1"/>
  <c r="U41" i="18"/>
  <c r="T41" i="18" s="1"/>
  <c r="S41" i="18" s="1"/>
  <c r="R41" i="18" s="1"/>
  <c r="P41" i="18" s="1"/>
  <c r="V41" i="18" s="1"/>
  <c r="U28" i="18"/>
  <c r="T28" i="18" s="1"/>
  <c r="S28" i="18" s="1"/>
  <c r="R28" i="18" s="1"/>
  <c r="P28" i="18" s="1"/>
  <c r="V28" i="18" s="1"/>
  <c r="U62" i="18"/>
  <c r="T62" i="18" s="1"/>
  <c r="S62" i="18" s="1"/>
  <c r="R62" i="18" s="1"/>
  <c r="P62" i="18" s="1"/>
  <c r="V62" i="18" s="1"/>
  <c r="U98" i="18"/>
  <c r="T98" i="18" s="1"/>
  <c r="S98" i="18" s="1"/>
  <c r="R98" i="18" s="1"/>
  <c r="P98" i="18" s="1"/>
  <c r="V98" i="18" s="1"/>
  <c r="U103" i="18"/>
  <c r="T103" i="18" s="1"/>
  <c r="S103" i="18" s="1"/>
  <c r="R103" i="18" s="1"/>
  <c r="P103" i="18" s="1"/>
  <c r="V103" i="18" s="1"/>
  <c r="U34" i="18"/>
  <c r="T34" i="18" s="1"/>
  <c r="S34" i="18" s="1"/>
  <c r="R34" i="18" s="1"/>
  <c r="P34" i="18" s="1"/>
  <c r="V34" i="18" s="1"/>
  <c r="U78" i="18"/>
  <c r="T78" i="18" s="1"/>
  <c r="S78" i="18" s="1"/>
  <c r="R78" i="18" s="1"/>
  <c r="P78" i="18" s="1"/>
  <c r="V78" i="18" s="1"/>
  <c r="U96" i="18"/>
  <c r="T96" i="18" s="1"/>
  <c r="S96" i="18" s="1"/>
  <c r="R96" i="18" s="1"/>
  <c r="P96" i="18" s="1"/>
  <c r="V96" i="18" s="1"/>
  <c r="U58" i="18"/>
  <c r="T58" i="18" s="1"/>
  <c r="S58" i="18" s="1"/>
  <c r="R58" i="18" s="1"/>
  <c r="P58" i="18" s="1"/>
  <c r="V58" i="18" s="1"/>
  <c r="U39" i="18"/>
  <c r="T39" i="18" s="1"/>
  <c r="S39" i="18" s="1"/>
  <c r="R39" i="18" s="1"/>
  <c r="P39" i="18" s="1"/>
  <c r="V39" i="18" s="1"/>
  <c r="U45" i="18"/>
  <c r="T45" i="18" s="1"/>
  <c r="S45" i="18" s="1"/>
  <c r="R45" i="18" s="1"/>
  <c r="P45" i="18" s="1"/>
  <c r="V45" i="18" s="1"/>
  <c r="U60" i="18"/>
  <c r="T60" i="18" s="1"/>
  <c r="S60" i="18" s="1"/>
  <c r="R60" i="18" s="1"/>
  <c r="P60" i="18" s="1"/>
  <c r="V60" i="18" s="1"/>
  <c r="U42" i="18"/>
  <c r="T42" i="18" s="1"/>
  <c r="S42" i="18" s="1"/>
  <c r="R42" i="18" s="1"/>
  <c r="P42" i="18" s="1"/>
  <c r="V42" i="18" s="1"/>
  <c r="U99" i="18"/>
  <c r="T99" i="18" s="1"/>
  <c r="S99" i="18" s="1"/>
  <c r="R99" i="18" s="1"/>
  <c r="P99" i="18" s="1"/>
  <c r="V99" i="18" s="1"/>
  <c r="U61" i="18"/>
  <c r="T61" i="18" s="1"/>
  <c r="S61" i="18" s="1"/>
  <c r="R61" i="18" s="1"/>
  <c r="P61" i="18" s="1"/>
  <c r="V61" i="18" s="1"/>
  <c r="U72" i="18"/>
  <c r="T72" i="18" s="1"/>
  <c r="S72" i="18" s="1"/>
  <c r="R72" i="18" s="1"/>
  <c r="P72" i="18" s="1"/>
  <c r="V72" i="18" s="1"/>
  <c r="U26" i="18"/>
  <c r="T26" i="18" s="1"/>
  <c r="S26" i="18" s="1"/>
  <c r="R26" i="18" s="1"/>
  <c r="P26" i="18" s="1"/>
  <c r="V26" i="18" s="1"/>
  <c r="U47" i="18"/>
  <c r="T47" i="18" s="1"/>
  <c r="S47" i="18" s="1"/>
  <c r="R47" i="18" s="1"/>
  <c r="P47" i="18" s="1"/>
  <c r="V47" i="18" s="1"/>
  <c r="U100" i="18"/>
  <c r="T100" i="18" s="1"/>
  <c r="S100" i="18" s="1"/>
  <c r="R100" i="18" s="1"/>
  <c r="P100" i="18" s="1"/>
  <c r="V100" i="18" s="1"/>
  <c r="U84" i="18"/>
  <c r="T84" i="18" s="1"/>
  <c r="S84" i="18" s="1"/>
  <c r="R84" i="18" s="1"/>
  <c r="P84" i="18" s="1"/>
  <c r="V84" i="18" s="1"/>
  <c r="U91" i="18"/>
  <c r="T91" i="18" s="1"/>
  <c r="S91" i="18" s="1"/>
  <c r="R91" i="18" s="1"/>
  <c r="P91" i="18" s="1"/>
  <c r="V91" i="18" s="1"/>
  <c r="U57" i="18"/>
  <c r="T57" i="18" s="1"/>
  <c r="S57" i="18" s="1"/>
  <c r="R57" i="18" s="1"/>
  <c r="P57" i="18" s="1"/>
  <c r="V57" i="18" s="1"/>
  <c r="U51" i="18"/>
  <c r="T51" i="18" s="1"/>
  <c r="S51" i="18" s="1"/>
  <c r="R51" i="18" s="1"/>
  <c r="P51" i="18" s="1"/>
  <c r="V51" i="18" s="1"/>
  <c r="U207" i="18"/>
  <c r="T207" i="18" s="1"/>
  <c r="S207" i="18" s="1"/>
  <c r="R207" i="18" s="1"/>
  <c r="P207" i="18" s="1"/>
  <c r="V207" i="18" s="1"/>
  <c r="U272" i="18"/>
  <c r="T272" i="18" s="1"/>
  <c r="S272" i="18" s="1"/>
  <c r="R272" i="18" s="1"/>
  <c r="P272" i="18" s="1"/>
  <c r="D76" i="7" s="1"/>
  <c r="U338" i="18"/>
  <c r="T338" i="18" s="1"/>
  <c r="S338" i="18" s="1"/>
  <c r="R338" i="18" s="1"/>
  <c r="P338" i="18" s="1"/>
  <c r="V338" i="18" s="1"/>
  <c r="U194" i="18"/>
  <c r="T194" i="18" s="1"/>
  <c r="S194" i="18" s="1"/>
  <c r="R194" i="18" s="1"/>
  <c r="P194" i="18" s="1"/>
  <c r="V194" i="18" s="1"/>
  <c r="U348" i="18"/>
  <c r="T348" i="18" s="1"/>
  <c r="S348" i="18" s="1"/>
  <c r="R348" i="18" s="1"/>
  <c r="P348" i="18" s="1"/>
  <c r="V348" i="18" s="1"/>
  <c r="U306" i="18"/>
  <c r="T306" i="18" s="1"/>
  <c r="S306" i="18" s="1"/>
  <c r="R306" i="18" s="1"/>
  <c r="P306" i="18" s="1"/>
  <c r="V306" i="18" s="1"/>
  <c r="U336" i="18"/>
  <c r="T336" i="18" s="1"/>
  <c r="S336" i="18" s="1"/>
  <c r="R336" i="18" s="1"/>
  <c r="P336" i="18" s="1"/>
  <c r="V336" i="18" s="1"/>
  <c r="U138" i="18"/>
  <c r="T138" i="18" s="1"/>
  <c r="S138" i="18" s="1"/>
  <c r="R138" i="18" s="1"/>
  <c r="P138" i="18" s="1"/>
  <c r="V138" i="18" s="1"/>
  <c r="U288" i="18"/>
  <c r="T288" i="18" s="1"/>
  <c r="S288" i="18" s="1"/>
  <c r="R288" i="18" s="1"/>
  <c r="P288" i="18" s="1"/>
  <c r="V288" i="18" s="1"/>
  <c r="U214" i="18"/>
  <c r="T214" i="18" s="1"/>
  <c r="S214" i="18" s="1"/>
  <c r="R214" i="18" s="1"/>
  <c r="P214" i="18" s="1"/>
  <c r="V214" i="18" s="1"/>
  <c r="U146" i="18"/>
  <c r="T146" i="18" s="1"/>
  <c r="S146" i="18" s="1"/>
  <c r="R146" i="18" s="1"/>
  <c r="P146" i="18" s="1"/>
  <c r="V146" i="18" s="1"/>
  <c r="U297" i="18"/>
  <c r="T297" i="18" s="1"/>
  <c r="S297" i="18" s="1"/>
  <c r="R297" i="18" s="1"/>
  <c r="P297" i="18" s="1"/>
  <c r="V297" i="18" s="1"/>
  <c r="U186" i="18"/>
  <c r="T186" i="18" s="1"/>
  <c r="S186" i="18" s="1"/>
  <c r="R186" i="18" s="1"/>
  <c r="P186" i="18" s="1"/>
  <c r="V186" i="18" s="1"/>
  <c r="U215" i="18"/>
  <c r="T215" i="18" s="1"/>
  <c r="S215" i="18" s="1"/>
  <c r="R215" i="18" s="1"/>
  <c r="P215" i="18" s="1"/>
  <c r="V215" i="18" s="1"/>
  <c r="U160" i="18"/>
  <c r="T160" i="18" s="1"/>
  <c r="S160" i="18" s="1"/>
  <c r="R160" i="18" s="1"/>
  <c r="P160" i="18" s="1"/>
  <c r="V160" i="18" s="1"/>
  <c r="U153" i="18"/>
  <c r="T153" i="18" s="1"/>
  <c r="S153" i="18" s="1"/>
  <c r="R153" i="18" s="1"/>
  <c r="P153" i="18" s="1"/>
  <c r="V153" i="18" s="1"/>
  <c r="U247" i="18"/>
  <c r="T247" i="18" s="1"/>
  <c r="S247" i="18" s="1"/>
  <c r="R247" i="18" s="1"/>
  <c r="P247" i="18" s="1"/>
  <c r="V247" i="18" s="1"/>
  <c r="U340" i="18"/>
  <c r="T340" i="18" s="1"/>
  <c r="S340" i="18" s="1"/>
  <c r="R340" i="18" s="1"/>
  <c r="P340" i="18" s="1"/>
  <c r="V340" i="18" s="1"/>
  <c r="U196" i="18"/>
  <c r="T196" i="18" s="1"/>
  <c r="S196" i="18" s="1"/>
  <c r="R196" i="18" s="1"/>
  <c r="P196" i="18" s="1"/>
  <c r="V196" i="18" s="1"/>
  <c r="U305" i="18"/>
  <c r="T305" i="18" s="1"/>
  <c r="S305" i="18" s="1"/>
  <c r="R305" i="18" s="1"/>
  <c r="P305" i="18" s="1"/>
  <c r="V305" i="18" s="1"/>
  <c r="U311" i="18"/>
  <c r="T311" i="18" s="1"/>
  <c r="S311" i="18" s="1"/>
  <c r="R311" i="18" s="1"/>
  <c r="P311" i="18" s="1"/>
  <c r="V311" i="18" s="1"/>
  <c r="U365" i="18"/>
  <c r="T365" i="18" s="1"/>
  <c r="S365" i="18" s="1"/>
  <c r="R365" i="18" s="1"/>
  <c r="P365" i="18" s="1"/>
  <c r="V365" i="18" s="1"/>
  <c r="U198" i="18"/>
  <c r="T198" i="18" s="1"/>
  <c r="S198" i="18" s="1"/>
  <c r="R198" i="18" s="1"/>
  <c r="P198" i="18" s="1"/>
  <c r="V198" i="18" s="1"/>
  <c r="U169" i="18"/>
  <c r="T169" i="18" s="1"/>
  <c r="S169" i="18" s="1"/>
  <c r="R169" i="18" s="1"/>
  <c r="P169" i="18" s="1"/>
  <c r="V169" i="18" s="1"/>
  <c r="U254" i="18"/>
  <c r="T254" i="18" s="1"/>
  <c r="S254" i="18" s="1"/>
  <c r="R254" i="18" s="1"/>
  <c r="P254" i="18" s="1"/>
  <c r="V254" i="18" s="1"/>
  <c r="U172" i="18"/>
  <c r="T172" i="18" s="1"/>
  <c r="S172" i="18" s="1"/>
  <c r="R172" i="18" s="1"/>
  <c r="P172" i="18" s="1"/>
  <c r="V172" i="18" s="1"/>
  <c r="U377" i="18"/>
  <c r="T377" i="18" s="1"/>
  <c r="S377" i="18" s="1"/>
  <c r="R377" i="18" s="1"/>
  <c r="P377" i="18" s="1"/>
  <c r="V377" i="18" s="1"/>
  <c r="U236" i="18"/>
  <c r="T236" i="18" s="1"/>
  <c r="S236" i="18" s="1"/>
  <c r="R236" i="18" s="1"/>
  <c r="P236" i="18" s="1"/>
  <c r="V236" i="18" s="1"/>
  <c r="U255" i="18"/>
  <c r="T255" i="18" s="1"/>
  <c r="S255" i="18" s="1"/>
  <c r="R255" i="18" s="1"/>
  <c r="P255" i="18" s="1"/>
  <c r="V255" i="18" s="1"/>
  <c r="U158" i="18"/>
  <c r="T158" i="18" s="1"/>
  <c r="S158" i="18" s="1"/>
  <c r="R158" i="18" s="1"/>
  <c r="P158" i="18" s="1"/>
  <c r="V158" i="18" s="1"/>
  <c r="U335" i="18"/>
  <c r="T335" i="18" s="1"/>
  <c r="S335" i="18" s="1"/>
  <c r="R335" i="18" s="1"/>
  <c r="P335" i="18" s="1"/>
  <c r="V335" i="18" s="1"/>
  <c r="U195" i="18"/>
  <c r="T195" i="18" s="1"/>
  <c r="S195" i="18" s="1"/>
  <c r="R195" i="18" s="1"/>
  <c r="P195" i="18" s="1"/>
  <c r="U208" i="18"/>
  <c r="T208" i="18" s="1"/>
  <c r="S208" i="18" s="1"/>
  <c r="R208" i="18" s="1"/>
  <c r="P208" i="18" s="1"/>
  <c r="V208" i="18" s="1"/>
  <c r="U303" i="18"/>
  <c r="T303" i="18" s="1"/>
  <c r="S303" i="18" s="1"/>
  <c r="R303" i="18" s="1"/>
  <c r="P303" i="18" s="1"/>
  <c r="V303" i="18" s="1"/>
  <c r="U145" i="18"/>
  <c r="T145" i="18" s="1"/>
  <c r="S145" i="18" s="1"/>
  <c r="R145" i="18" s="1"/>
  <c r="P145" i="18" s="1"/>
  <c r="V145" i="18" s="1"/>
  <c r="U235" i="18"/>
  <c r="T235" i="18" s="1"/>
  <c r="S235" i="18" s="1"/>
  <c r="R235" i="18" s="1"/>
  <c r="P235" i="18" s="1"/>
  <c r="V235" i="18" s="1"/>
  <c r="U328" i="18"/>
  <c r="T328" i="18" s="1"/>
  <c r="S328" i="18" s="1"/>
  <c r="R328" i="18" s="1"/>
  <c r="P328" i="18" s="1"/>
  <c r="V328" i="18" s="1"/>
  <c r="U171" i="18"/>
  <c r="T171" i="18" s="1"/>
  <c r="S171" i="18" s="1"/>
  <c r="R171" i="18" s="1"/>
  <c r="P171" i="18" s="1"/>
  <c r="V171" i="18" s="1"/>
  <c r="U181" i="18"/>
  <c r="T181" i="18" s="1"/>
  <c r="S181" i="18" s="1"/>
  <c r="R181" i="18" s="1"/>
  <c r="P181" i="18" s="1"/>
  <c r="V181" i="18" s="1"/>
  <c r="U132" i="18"/>
  <c r="T132" i="18" s="1"/>
  <c r="S132" i="18" s="1"/>
  <c r="R132" i="18" s="1"/>
  <c r="P132" i="18" s="1"/>
  <c r="V132" i="18" s="1"/>
  <c r="U178" i="18"/>
  <c r="T178" i="18" s="1"/>
  <c r="S178" i="18" s="1"/>
  <c r="R178" i="18" s="1"/>
  <c r="P178" i="18" s="1"/>
  <c r="V178" i="18" s="1"/>
  <c r="U190" i="18"/>
  <c r="T190" i="18" s="1"/>
  <c r="S190" i="18" s="1"/>
  <c r="R190" i="18" s="1"/>
  <c r="P190" i="18" s="1"/>
  <c r="V190" i="18" s="1"/>
  <c r="U358" i="18"/>
  <c r="T358" i="18" s="1"/>
  <c r="S358" i="18" s="1"/>
  <c r="R358" i="18" s="1"/>
  <c r="P358" i="18" s="1"/>
  <c r="V358" i="18" s="1"/>
  <c r="U291" i="18"/>
  <c r="T291" i="18" s="1"/>
  <c r="S291" i="18" s="1"/>
  <c r="R291" i="18" s="1"/>
  <c r="P291" i="18" s="1"/>
  <c r="V291" i="18" s="1"/>
  <c r="U20" i="18"/>
  <c r="T20" i="18" s="1"/>
  <c r="S20" i="18" s="1"/>
  <c r="R20" i="18" s="1"/>
  <c r="P20" i="18" s="1"/>
  <c r="V20" i="18" s="1"/>
  <c r="U56" i="18"/>
  <c r="T56" i="18" s="1"/>
  <c r="S56" i="18" s="1"/>
  <c r="R56" i="18" s="1"/>
  <c r="P56" i="18" s="1"/>
  <c r="V56" i="18" s="1"/>
  <c r="U74" i="18"/>
  <c r="T74" i="18" s="1"/>
  <c r="S74" i="18" s="1"/>
  <c r="R74" i="18" s="1"/>
  <c r="P74" i="18" s="1"/>
  <c r="V74" i="18" s="1"/>
  <c r="U93" i="18"/>
  <c r="T93" i="18" s="1"/>
  <c r="S93" i="18" s="1"/>
  <c r="R93" i="18" s="1"/>
  <c r="P93" i="18" s="1"/>
  <c r="V93" i="18" s="1"/>
  <c r="U90" i="18"/>
  <c r="T90" i="18" s="1"/>
  <c r="S90" i="18" s="1"/>
  <c r="R90" i="18" s="1"/>
  <c r="P90" i="18" s="1"/>
  <c r="V90" i="18" s="1"/>
  <c r="U76" i="18"/>
  <c r="T76" i="18" s="1"/>
  <c r="S76" i="18" s="1"/>
  <c r="R76" i="18" s="1"/>
  <c r="P76" i="18" s="1"/>
  <c r="V76" i="18" s="1"/>
  <c r="U36" i="18"/>
  <c r="T36" i="18" s="1"/>
  <c r="S36" i="18" s="1"/>
  <c r="R36" i="18" s="1"/>
  <c r="P36" i="18" s="1"/>
  <c r="V36" i="18" s="1"/>
  <c r="U24" i="18"/>
  <c r="T24" i="18" s="1"/>
  <c r="S24" i="18" s="1"/>
  <c r="R24" i="18" s="1"/>
  <c r="P24" i="18" s="1"/>
  <c r="V24" i="18" s="1"/>
  <c r="U50" i="18"/>
  <c r="T50" i="18" s="1"/>
  <c r="S50" i="18" s="1"/>
  <c r="R50" i="18" s="1"/>
  <c r="P50" i="18" s="1"/>
  <c r="V50" i="18" s="1"/>
  <c r="U75" i="18"/>
  <c r="T75" i="18" s="1"/>
  <c r="S75" i="18" s="1"/>
  <c r="R75" i="18" s="1"/>
  <c r="P75" i="18" s="1"/>
  <c r="V75" i="18" s="1"/>
  <c r="U16" i="18"/>
  <c r="T16" i="18" s="1"/>
  <c r="S16" i="18" s="1"/>
  <c r="R16" i="18" s="1"/>
  <c r="P16" i="18" s="1"/>
  <c r="V16" i="18" s="1"/>
  <c r="U95" i="18"/>
  <c r="T95" i="18" s="1"/>
  <c r="S95" i="18" s="1"/>
  <c r="R95" i="18" s="1"/>
  <c r="P95" i="18" s="1"/>
  <c r="V95" i="18" s="1"/>
  <c r="U27" i="18"/>
  <c r="T27" i="18" s="1"/>
  <c r="S27" i="18" s="1"/>
  <c r="R27" i="18" s="1"/>
  <c r="P27" i="18" s="1"/>
  <c r="V27" i="18" s="1"/>
  <c r="U35" i="18"/>
  <c r="T35" i="18" s="1"/>
  <c r="S35" i="18" s="1"/>
  <c r="R35" i="18" s="1"/>
  <c r="P35" i="18" s="1"/>
  <c r="V35" i="18" s="1"/>
  <c r="U43" i="18"/>
  <c r="T43" i="18" s="1"/>
  <c r="S43" i="18" s="1"/>
  <c r="R43" i="18" s="1"/>
  <c r="P43" i="18" s="1"/>
  <c r="V43" i="18" s="1"/>
  <c r="U80" i="18"/>
  <c r="T80" i="18" s="1"/>
  <c r="S80" i="18" s="1"/>
  <c r="R80" i="18" s="1"/>
  <c r="P80" i="18" s="1"/>
  <c r="V80" i="18" s="1"/>
  <c r="U15" i="18"/>
  <c r="U33" i="18"/>
  <c r="T33" i="18" s="1"/>
  <c r="S33" i="18" s="1"/>
  <c r="R33" i="18" s="1"/>
  <c r="P33" i="18" s="1"/>
  <c r="V33" i="18" s="1"/>
  <c r="U82" i="18"/>
  <c r="T82" i="18" s="1"/>
  <c r="S82" i="18" s="1"/>
  <c r="R82" i="18" s="1"/>
  <c r="P82" i="18" s="1"/>
  <c r="V82" i="18" s="1"/>
  <c r="U48" i="18"/>
  <c r="T48" i="18" s="1"/>
  <c r="S48" i="18" s="1"/>
  <c r="R48" i="18" s="1"/>
  <c r="P48" i="18" s="1"/>
  <c r="V48" i="18" s="1"/>
  <c r="U25" i="18"/>
  <c r="T25" i="18" s="1"/>
  <c r="S25" i="18" s="1"/>
  <c r="R25" i="18" s="1"/>
  <c r="P25" i="18" s="1"/>
  <c r="V25" i="18" s="1"/>
  <c r="U94" i="18"/>
  <c r="T94" i="18" s="1"/>
  <c r="S94" i="18" s="1"/>
  <c r="R94" i="18" s="1"/>
  <c r="P94" i="18" s="1"/>
  <c r="V94" i="18" s="1"/>
  <c r="U54" i="18"/>
  <c r="T54" i="18" s="1"/>
  <c r="S54" i="18" s="1"/>
  <c r="R54" i="18" s="1"/>
  <c r="P54" i="18" s="1"/>
  <c r="V54" i="18" s="1"/>
  <c r="U30" i="18"/>
  <c r="T30" i="18" s="1"/>
  <c r="S30" i="18" s="1"/>
  <c r="R30" i="18" s="1"/>
  <c r="P30" i="18" s="1"/>
  <c r="V30" i="18" s="1"/>
  <c r="U67" i="18"/>
  <c r="T67" i="18" s="1"/>
  <c r="S67" i="18" s="1"/>
  <c r="R67" i="18" s="1"/>
  <c r="P67" i="18" s="1"/>
  <c r="V67" i="18" s="1"/>
  <c r="U101" i="18"/>
  <c r="T101" i="18" s="1"/>
  <c r="S101" i="18" s="1"/>
  <c r="R101" i="18" s="1"/>
  <c r="P101" i="18" s="1"/>
  <c r="V101" i="18" s="1"/>
  <c r="U44" i="18"/>
  <c r="T44" i="18" s="1"/>
  <c r="S44" i="18" s="1"/>
  <c r="R44" i="18" s="1"/>
  <c r="P44" i="18" s="1"/>
  <c r="V44" i="18" s="1"/>
  <c r="U79" i="18"/>
  <c r="T79" i="18" s="1"/>
  <c r="S79" i="18" s="1"/>
  <c r="R79" i="18" s="1"/>
  <c r="P79" i="18" s="1"/>
  <c r="V79" i="18" s="1"/>
  <c r="U97" i="18"/>
  <c r="T97" i="18" s="1"/>
  <c r="S97" i="18" s="1"/>
  <c r="R97" i="18" s="1"/>
  <c r="P97" i="18" s="1"/>
  <c r="V97" i="18" s="1"/>
  <c r="U64" i="18"/>
  <c r="T64" i="18" s="1"/>
  <c r="S64" i="18" s="1"/>
  <c r="R64" i="18" s="1"/>
  <c r="P64" i="18" s="1"/>
  <c r="V64" i="18" s="1"/>
  <c r="U89" i="18"/>
  <c r="T89" i="18" s="1"/>
  <c r="S89" i="18" s="1"/>
  <c r="R89" i="18" s="1"/>
  <c r="P89" i="18" s="1"/>
  <c r="V89" i="18" s="1"/>
  <c r="U83" i="18"/>
  <c r="T83" i="18" s="1"/>
  <c r="S83" i="18" s="1"/>
  <c r="R83" i="18" s="1"/>
  <c r="P83" i="18" s="1"/>
  <c r="V83" i="18" s="1"/>
  <c r="U18" i="18"/>
  <c r="T18" i="18" s="1"/>
  <c r="S18" i="18" s="1"/>
  <c r="R18" i="18" s="1"/>
  <c r="P18" i="18" s="1"/>
  <c r="V18" i="18" s="1"/>
  <c r="U31" i="18"/>
  <c r="T31" i="18" s="1"/>
  <c r="S31" i="18" s="1"/>
  <c r="R31" i="18" s="1"/>
  <c r="P31" i="18" s="1"/>
  <c r="V31" i="18" s="1"/>
  <c r="U52" i="18"/>
  <c r="T52" i="18" s="1"/>
  <c r="S52" i="18" s="1"/>
  <c r="R52" i="18" s="1"/>
  <c r="P52" i="18" s="1"/>
  <c r="V52" i="18" s="1"/>
  <c r="U66" i="18"/>
  <c r="T66" i="18" s="1"/>
  <c r="S66" i="18" s="1"/>
  <c r="R66" i="18" s="1"/>
  <c r="P66" i="18" s="1"/>
  <c r="V66" i="18" s="1"/>
  <c r="U68" i="18"/>
  <c r="T68" i="18" s="1"/>
  <c r="S68" i="18" s="1"/>
  <c r="R68" i="18" s="1"/>
  <c r="P68" i="18" s="1"/>
  <c r="V68" i="18" s="1"/>
  <c r="U92" i="18"/>
  <c r="T92" i="18" s="1"/>
  <c r="S92" i="18" s="1"/>
  <c r="R92" i="18" s="1"/>
  <c r="P92" i="18" s="1"/>
  <c r="V92" i="18" s="1"/>
  <c r="U29" i="18"/>
  <c r="T29" i="18" s="1"/>
  <c r="S29" i="18" s="1"/>
  <c r="R29" i="18" s="1"/>
  <c r="P29" i="18" s="1"/>
  <c r="V29" i="18" s="1"/>
  <c r="U49" i="18"/>
  <c r="T49" i="18" s="1"/>
  <c r="S49" i="18" s="1"/>
  <c r="R49" i="18" s="1"/>
  <c r="P49" i="18" s="1"/>
  <c r="V49" i="18" s="1"/>
  <c r="U71" i="18"/>
  <c r="T71" i="18" s="1"/>
  <c r="S71" i="18" s="1"/>
  <c r="R71" i="18" s="1"/>
  <c r="P71" i="18" s="1"/>
  <c r="V71" i="18" s="1"/>
  <c r="U156" i="18"/>
  <c r="T156" i="18" s="1"/>
  <c r="S156" i="18" s="1"/>
  <c r="R156" i="18" s="1"/>
  <c r="P156" i="18" s="1"/>
  <c r="V156" i="18" s="1"/>
  <c r="U121" i="18"/>
  <c r="T121" i="18" s="1"/>
  <c r="S121" i="18" s="1"/>
  <c r="R121" i="18" s="1"/>
  <c r="P121" i="18" s="1"/>
  <c r="V121" i="18" s="1"/>
  <c r="U216" i="18"/>
  <c r="T216" i="18" s="1"/>
  <c r="S216" i="18" s="1"/>
  <c r="R216" i="18" s="1"/>
  <c r="P216" i="18" s="1"/>
  <c r="V216" i="18" s="1"/>
  <c r="U107" i="18"/>
  <c r="T107" i="18" s="1"/>
  <c r="S107" i="18" s="1"/>
  <c r="R107" i="18" s="1"/>
  <c r="P107" i="18" s="1"/>
  <c r="V107" i="18" s="1"/>
  <c r="U357" i="18"/>
  <c r="T357" i="18" s="1"/>
  <c r="S357" i="18" s="1"/>
  <c r="R357" i="18" s="1"/>
  <c r="P357" i="18" s="1"/>
  <c r="V357" i="18" s="1"/>
  <c r="U221" i="18"/>
  <c r="T221" i="18" s="1"/>
  <c r="S221" i="18" s="1"/>
  <c r="R221" i="18" s="1"/>
  <c r="P221" i="18" s="1"/>
  <c r="V221" i="18" s="1"/>
  <c r="U159" i="18"/>
  <c r="T159" i="18" s="1"/>
  <c r="S159" i="18" s="1"/>
  <c r="R159" i="18" s="1"/>
  <c r="P159" i="18" s="1"/>
  <c r="V159" i="18" s="1"/>
  <c r="U283" i="18"/>
  <c r="T283" i="18" s="1"/>
  <c r="S283" i="18" s="1"/>
  <c r="R283" i="18" s="1"/>
  <c r="P283" i="18" s="1"/>
  <c r="V283" i="18" s="1"/>
  <c r="U193" i="18"/>
  <c r="T193" i="18" s="1"/>
  <c r="S193" i="18" s="1"/>
  <c r="R193" i="18" s="1"/>
  <c r="P193" i="18" s="1"/>
  <c r="V193" i="18" s="1"/>
  <c r="U232" i="18"/>
  <c r="T232" i="18" s="1"/>
  <c r="S232" i="18" s="1"/>
  <c r="R232" i="18" s="1"/>
  <c r="P232" i="18" s="1"/>
  <c r="V232" i="18" s="1"/>
  <c r="U268" i="18"/>
  <c r="T268" i="18" s="1"/>
  <c r="S268" i="18" s="1"/>
  <c r="R268" i="18" s="1"/>
  <c r="P268" i="18" s="1"/>
  <c r="V268" i="18" s="1"/>
  <c r="U366" i="18"/>
  <c r="T366" i="18" s="1"/>
  <c r="S366" i="18" s="1"/>
  <c r="R366" i="18" s="1"/>
  <c r="P366" i="18" s="1"/>
  <c r="V366" i="18" s="1"/>
  <c r="U180" i="18"/>
  <c r="T180" i="18" s="1"/>
  <c r="S180" i="18" s="1"/>
  <c r="R180" i="18" s="1"/>
  <c r="P180" i="18" s="1"/>
  <c r="D73" i="7" s="1"/>
  <c r="U218" i="18"/>
  <c r="T218" i="18" s="1"/>
  <c r="S218" i="18" s="1"/>
  <c r="R218" i="18" s="1"/>
  <c r="P218" i="18" s="1"/>
  <c r="V218" i="18" s="1"/>
  <c r="U166" i="18"/>
  <c r="T166" i="18" s="1"/>
  <c r="S166" i="18" s="1"/>
  <c r="R166" i="18" s="1"/>
  <c r="P166" i="18" s="1"/>
  <c r="V166" i="18" s="1"/>
  <c r="U228" i="18"/>
  <c r="T228" i="18" s="1"/>
  <c r="S228" i="18" s="1"/>
  <c r="R228" i="18" s="1"/>
  <c r="P228" i="18" s="1"/>
  <c r="V228" i="18" s="1"/>
  <c r="U292" i="18"/>
  <c r="T292" i="18" s="1"/>
  <c r="S292" i="18" s="1"/>
  <c r="R292" i="18" s="1"/>
  <c r="P292" i="18" s="1"/>
  <c r="V292" i="18" s="1"/>
  <c r="U155" i="18"/>
  <c r="T155" i="18" s="1"/>
  <c r="S155" i="18" s="1"/>
  <c r="R155" i="18" s="1"/>
  <c r="P155" i="18" s="1"/>
  <c r="V155" i="18" s="1"/>
  <c r="U326" i="18"/>
  <c r="T326" i="18" s="1"/>
  <c r="S326" i="18" s="1"/>
  <c r="R326" i="18" s="1"/>
  <c r="P326" i="18" s="1"/>
  <c r="V326" i="18" s="1"/>
  <c r="U275" i="18"/>
  <c r="T275" i="18" s="1"/>
  <c r="S275" i="18" s="1"/>
  <c r="R275" i="18" s="1"/>
  <c r="P275" i="18" s="1"/>
  <c r="V275" i="18" s="1"/>
  <c r="U256" i="18"/>
  <c r="T256" i="18" s="1"/>
  <c r="S256" i="18" s="1"/>
  <c r="R256" i="18" s="1"/>
  <c r="P256" i="18" s="1"/>
  <c r="V256" i="18" s="1"/>
  <c r="U143" i="18"/>
  <c r="T143" i="18" s="1"/>
  <c r="S143" i="18" s="1"/>
  <c r="R143" i="18" s="1"/>
  <c r="P143" i="18" s="1"/>
  <c r="V143" i="18" s="1"/>
  <c r="U144" i="18"/>
  <c r="T144" i="18" s="1"/>
  <c r="S144" i="18" s="1"/>
  <c r="R144" i="18" s="1"/>
  <c r="P144" i="18" s="1"/>
  <c r="V144" i="18" s="1"/>
  <c r="U118" i="18"/>
  <c r="T118" i="18" s="1"/>
  <c r="S118" i="18" s="1"/>
  <c r="R118" i="18" s="1"/>
  <c r="P118" i="18" s="1"/>
  <c r="V118" i="18" s="1"/>
  <c r="U157" i="18"/>
  <c r="T157" i="18" s="1"/>
  <c r="S157" i="18" s="1"/>
  <c r="R157" i="18" s="1"/>
  <c r="P157" i="18" s="1"/>
  <c r="V157" i="18" s="1"/>
  <c r="U344" i="18"/>
  <c r="T344" i="18" s="1"/>
  <c r="S344" i="18" s="1"/>
  <c r="R344" i="18" s="1"/>
  <c r="P344" i="18" s="1"/>
  <c r="V344" i="18" s="1"/>
  <c r="U312" i="18"/>
  <c r="T312" i="18" s="1"/>
  <c r="S312" i="18" s="1"/>
  <c r="R312" i="18" s="1"/>
  <c r="P312" i="18" s="1"/>
  <c r="V312" i="18" s="1"/>
  <c r="U360" i="18"/>
  <c r="T360" i="18" s="1"/>
  <c r="S360" i="18" s="1"/>
  <c r="R360" i="18" s="1"/>
  <c r="P360" i="18" s="1"/>
  <c r="V360" i="18" s="1"/>
  <c r="U222" i="18"/>
  <c r="T222" i="18" s="1"/>
  <c r="S222" i="18" s="1"/>
  <c r="R222" i="18" s="1"/>
  <c r="P222" i="18" s="1"/>
  <c r="V222" i="18" s="1"/>
  <c r="U109" i="18"/>
  <c r="T109" i="18" s="1"/>
  <c r="S109" i="18" s="1"/>
  <c r="R109" i="18" s="1"/>
  <c r="P109" i="18" s="1"/>
  <c r="V109" i="18" s="1"/>
  <c r="U112" i="18"/>
  <c r="T112" i="18" s="1"/>
  <c r="S112" i="18" s="1"/>
  <c r="R112" i="18" s="1"/>
  <c r="P112" i="18" s="1"/>
  <c r="V112" i="18" s="1"/>
  <c r="U151" i="18"/>
  <c r="T151" i="18" s="1"/>
  <c r="S151" i="18" s="1"/>
  <c r="R151" i="18" s="1"/>
  <c r="P151" i="18" s="1"/>
  <c r="V151" i="18" s="1"/>
  <c r="U325" i="18"/>
  <c r="T325" i="18" s="1"/>
  <c r="S325" i="18" s="1"/>
  <c r="R325" i="18" s="1"/>
  <c r="P325" i="18" s="1"/>
  <c r="V325" i="18" s="1"/>
  <c r="U119" i="18"/>
  <c r="T119" i="18" s="1"/>
  <c r="S119" i="18" s="1"/>
  <c r="R119" i="18" s="1"/>
  <c r="P119" i="18" s="1"/>
  <c r="D71" i="7" s="1"/>
  <c r="U276" i="18"/>
  <c r="T276" i="18" s="1"/>
  <c r="S276" i="18" s="1"/>
  <c r="R276" i="18" s="1"/>
  <c r="P276" i="18" s="1"/>
  <c r="V276" i="18" s="1"/>
  <c r="U249" i="18"/>
  <c r="T249" i="18" s="1"/>
  <c r="S249" i="18" s="1"/>
  <c r="R249" i="18" s="1"/>
  <c r="P249" i="18" s="1"/>
  <c r="V249" i="18" s="1"/>
  <c r="U354" i="18"/>
  <c r="T354" i="18" s="1"/>
  <c r="S354" i="18" s="1"/>
  <c r="R354" i="18" s="1"/>
  <c r="P354" i="18" s="1"/>
  <c r="V354" i="18" s="1"/>
  <c r="U263" i="18"/>
  <c r="T263" i="18" s="1"/>
  <c r="S263" i="18" s="1"/>
  <c r="R263" i="18" s="1"/>
  <c r="P263" i="18" s="1"/>
  <c r="V263" i="18" s="1"/>
  <c r="U108" i="18"/>
  <c r="T108" i="18" s="1"/>
  <c r="S108" i="18" s="1"/>
  <c r="R108" i="18" s="1"/>
  <c r="P108" i="18" s="1"/>
  <c r="V108" i="18" s="1"/>
  <c r="U337" i="18"/>
  <c r="T337" i="18" s="1"/>
  <c r="S337" i="18" s="1"/>
  <c r="R337" i="18" s="1"/>
  <c r="P337" i="18" s="1"/>
  <c r="V337" i="18" s="1"/>
  <c r="U282" i="18"/>
  <c r="T282" i="18" s="1"/>
  <c r="S282" i="18" s="1"/>
  <c r="R282" i="18" s="1"/>
  <c r="P282" i="18" s="1"/>
  <c r="V282" i="18" s="1"/>
  <c r="U295" i="18"/>
  <c r="T295" i="18" s="1"/>
  <c r="S295" i="18" s="1"/>
  <c r="R295" i="18" s="1"/>
  <c r="P295" i="18" s="1"/>
  <c r="V295" i="18" s="1"/>
  <c r="U289" i="18"/>
  <c r="T289" i="18" s="1"/>
  <c r="S289" i="18" s="1"/>
  <c r="R289" i="18" s="1"/>
  <c r="P289" i="18" s="1"/>
  <c r="V289" i="18" s="1"/>
  <c r="U161" i="18"/>
  <c r="T161" i="18" s="1"/>
  <c r="S161" i="18" s="1"/>
  <c r="R161" i="18" s="1"/>
  <c r="P161" i="18" s="1"/>
  <c r="V161" i="18" s="1"/>
  <c r="U210" i="18"/>
  <c r="T210" i="18" s="1"/>
  <c r="S210" i="18" s="1"/>
  <c r="R210" i="18" s="1"/>
  <c r="P210" i="18" s="1"/>
  <c r="V210" i="18" s="1"/>
  <c r="U327" i="18"/>
  <c r="T327" i="18" s="1"/>
  <c r="S327" i="18" s="1"/>
  <c r="R327" i="18" s="1"/>
  <c r="P327" i="18" s="1"/>
  <c r="V327" i="18" s="1"/>
  <c r="U191" i="18"/>
  <c r="T191" i="18" s="1"/>
  <c r="S191" i="18" s="1"/>
  <c r="R191" i="18" s="1"/>
  <c r="P191" i="18" s="1"/>
  <c r="V191" i="18" s="1"/>
  <c r="U347" i="18"/>
  <c r="T347" i="18" s="1"/>
  <c r="S347" i="18" s="1"/>
  <c r="R347" i="18" s="1"/>
  <c r="P347" i="18" s="1"/>
  <c r="V347" i="18" s="1"/>
  <c r="U217" i="18"/>
  <c r="T217" i="18" s="1"/>
  <c r="S217" i="18" s="1"/>
  <c r="R217" i="18" s="1"/>
  <c r="P217" i="18" s="1"/>
  <c r="V217" i="18" s="1"/>
  <c r="U301" i="18"/>
  <c r="T301" i="18" s="1"/>
  <c r="S301" i="18" s="1"/>
  <c r="R301" i="18" s="1"/>
  <c r="P301" i="18" s="1"/>
  <c r="V301" i="18" s="1"/>
  <c r="U174" i="18"/>
  <c r="T174" i="18" s="1"/>
  <c r="S174" i="18" s="1"/>
  <c r="R174" i="18" s="1"/>
  <c r="P174" i="18" s="1"/>
  <c r="V174" i="18" s="1"/>
  <c r="U264" i="18"/>
  <c r="T264" i="18" s="1"/>
  <c r="S264" i="18" s="1"/>
  <c r="R264" i="18" s="1"/>
  <c r="P264" i="18" s="1"/>
  <c r="V264" i="18" s="1"/>
  <c r="U127" i="18"/>
  <c r="T127" i="18" s="1"/>
  <c r="S127" i="18" s="1"/>
  <c r="R127" i="18" s="1"/>
  <c r="P127" i="18" s="1"/>
  <c r="V127" i="18" s="1"/>
  <c r="U320" i="18"/>
  <c r="T320" i="18" s="1"/>
  <c r="S320" i="18" s="1"/>
  <c r="R320" i="18" s="1"/>
  <c r="P320" i="18" s="1"/>
  <c r="V320" i="18" s="1"/>
  <c r="U245" i="18"/>
  <c r="T245" i="18" s="1"/>
  <c r="S245" i="18" s="1"/>
  <c r="R245" i="18" s="1"/>
  <c r="P245" i="18" s="1"/>
  <c r="V245" i="18" s="1"/>
  <c r="U176" i="18"/>
  <c r="T176" i="18" s="1"/>
  <c r="S176" i="18" s="1"/>
  <c r="R176" i="18" s="1"/>
  <c r="P176" i="18" s="1"/>
  <c r="V176" i="18" s="1"/>
  <c r="U370" i="18"/>
  <c r="T370" i="18" s="1"/>
  <c r="S370" i="18" s="1"/>
  <c r="R370" i="18" s="1"/>
  <c r="P370" i="18" s="1"/>
  <c r="V370" i="18" s="1"/>
  <c r="U267" i="18"/>
  <c r="T267" i="18" s="1"/>
  <c r="S267" i="18" s="1"/>
  <c r="R267" i="18" s="1"/>
  <c r="P267" i="18" s="1"/>
  <c r="V267" i="18" s="1"/>
  <c r="U184" i="18"/>
  <c r="T184" i="18" s="1"/>
  <c r="S184" i="18" s="1"/>
  <c r="R184" i="18" s="1"/>
  <c r="P184" i="18" s="1"/>
  <c r="V184" i="18" s="1"/>
  <c r="U134" i="18"/>
  <c r="T134" i="18" s="1"/>
  <c r="S134" i="18" s="1"/>
  <c r="R134" i="18" s="1"/>
  <c r="P134" i="18" s="1"/>
  <c r="V134" i="18" s="1"/>
  <c r="U220" i="18"/>
  <c r="T220" i="18" s="1"/>
  <c r="S220" i="18" s="1"/>
  <c r="R220" i="18" s="1"/>
  <c r="P220" i="18" s="1"/>
  <c r="V220" i="18" s="1"/>
  <c r="U234" i="18"/>
  <c r="T234" i="18" s="1"/>
  <c r="S234" i="18" s="1"/>
  <c r="R234" i="18" s="1"/>
  <c r="P234" i="18" s="1"/>
  <c r="V234" i="18" s="1"/>
  <c r="U278" i="18"/>
  <c r="T278" i="18" s="1"/>
  <c r="S278" i="18" s="1"/>
  <c r="R278" i="18" s="1"/>
  <c r="P278" i="18" s="1"/>
  <c r="V278" i="18" s="1"/>
  <c r="U253" i="18"/>
  <c r="T253" i="18" s="1"/>
  <c r="S253" i="18" s="1"/>
  <c r="R253" i="18" s="1"/>
  <c r="P253" i="18" s="1"/>
  <c r="V253" i="18" s="1"/>
  <c r="U187" i="18"/>
  <c r="T187" i="18" s="1"/>
  <c r="S187" i="18" s="1"/>
  <c r="R187" i="18" s="1"/>
  <c r="P187" i="18" s="1"/>
  <c r="V187" i="18" s="1"/>
  <c r="U359" i="18"/>
  <c r="T359" i="18" s="1"/>
  <c r="S359" i="18" s="1"/>
  <c r="R359" i="18" s="1"/>
  <c r="P359" i="18" s="1"/>
  <c r="V359" i="18" s="1"/>
  <c r="U290" i="18"/>
  <c r="T290" i="18" s="1"/>
  <c r="S290" i="18" s="1"/>
  <c r="R290" i="18" s="1"/>
  <c r="P290" i="18" s="1"/>
  <c r="V290" i="18" s="1"/>
  <c r="U199" i="18"/>
  <c r="T199" i="18" s="1"/>
  <c r="S199" i="18" s="1"/>
  <c r="R199" i="18" s="1"/>
  <c r="P199" i="18" s="1"/>
  <c r="V199" i="18" s="1"/>
  <c r="U313" i="18"/>
  <c r="T313" i="18" s="1"/>
  <c r="S313" i="18" s="1"/>
  <c r="R313" i="18" s="1"/>
  <c r="P313" i="18" s="1"/>
  <c r="V313" i="18" s="1"/>
  <c r="U128" i="18"/>
  <c r="T128" i="18" s="1"/>
  <c r="S128" i="18" s="1"/>
  <c r="R128" i="18" s="1"/>
  <c r="P128" i="18" s="1"/>
  <c r="V128" i="18" s="1"/>
  <c r="U318" i="18"/>
  <c r="T318" i="18" s="1"/>
  <c r="S318" i="18" s="1"/>
  <c r="R318" i="18" s="1"/>
  <c r="P318" i="18" s="1"/>
  <c r="V318" i="18" s="1"/>
  <c r="U252" i="18"/>
  <c r="T252" i="18" s="1"/>
  <c r="S252" i="18" s="1"/>
  <c r="R252" i="18" s="1"/>
  <c r="P252" i="18" s="1"/>
  <c r="V252" i="18" s="1"/>
  <c r="U130" i="18"/>
  <c r="T130" i="18" s="1"/>
  <c r="S130" i="18" s="1"/>
  <c r="R130" i="18" s="1"/>
  <c r="P130" i="18" s="1"/>
  <c r="V130" i="18" s="1"/>
  <c r="U324" i="18"/>
  <c r="T324" i="18" s="1"/>
  <c r="S324" i="18" s="1"/>
  <c r="R324" i="18" s="1"/>
  <c r="P324" i="18" s="1"/>
  <c r="V324" i="18" s="1"/>
  <c r="U332" i="18"/>
  <c r="T332" i="18" s="1"/>
  <c r="S332" i="18" s="1"/>
  <c r="R332" i="18" s="1"/>
  <c r="P332" i="18" s="1"/>
  <c r="V332" i="18" s="1"/>
  <c r="U367" i="18"/>
  <c r="T367" i="18" s="1"/>
  <c r="S367" i="18" s="1"/>
  <c r="R367" i="18" s="1"/>
  <c r="P367" i="18" s="1"/>
  <c r="V367" i="18" s="1"/>
  <c r="U226" i="18"/>
  <c r="T226" i="18" s="1"/>
  <c r="S226" i="18" s="1"/>
  <c r="R226" i="18" s="1"/>
  <c r="P226" i="18" s="1"/>
  <c r="V226" i="18" s="1"/>
  <c r="U302" i="18"/>
  <c r="T302" i="18" s="1"/>
  <c r="S302" i="18" s="1"/>
  <c r="R302" i="18" s="1"/>
  <c r="P302" i="18" s="1"/>
  <c r="D77" i="7" s="1"/>
  <c r="U142" i="18"/>
  <c r="T142" i="18" s="1"/>
  <c r="S142" i="18" s="1"/>
  <c r="R142" i="18" s="1"/>
  <c r="P142" i="18" s="1"/>
  <c r="V142" i="18" s="1"/>
  <c r="U355" i="18"/>
  <c r="T355" i="18" s="1"/>
  <c r="S355" i="18" s="1"/>
  <c r="R355" i="18" s="1"/>
  <c r="P355" i="18" s="1"/>
  <c r="V355" i="18" s="1"/>
  <c r="U131" i="18"/>
  <c r="T131" i="18" s="1"/>
  <c r="S131" i="18" s="1"/>
  <c r="R131" i="18" s="1"/>
  <c r="P131" i="18" s="1"/>
  <c r="V131" i="18" s="1"/>
  <c r="U177" i="18"/>
  <c r="T177" i="18" s="1"/>
  <c r="S177" i="18" s="1"/>
  <c r="R177" i="18" s="1"/>
  <c r="P177" i="18" s="1"/>
  <c r="V177" i="18" s="1"/>
  <c r="U352" i="18"/>
  <c r="T352" i="18" s="1"/>
  <c r="S352" i="18" s="1"/>
  <c r="R352" i="18" s="1"/>
  <c r="P352" i="18" s="1"/>
  <c r="V352" i="18" s="1"/>
  <c r="U202" i="18"/>
  <c r="T202" i="18" s="1"/>
  <c r="S202" i="18" s="1"/>
  <c r="R202" i="18" s="1"/>
  <c r="P202" i="18" s="1"/>
  <c r="V202" i="18" s="1"/>
  <c r="U322" i="18"/>
  <c r="T322" i="18" s="1"/>
  <c r="S322" i="18" s="1"/>
  <c r="R322" i="18" s="1"/>
  <c r="P322" i="18" s="1"/>
  <c r="V322" i="18" s="1"/>
  <c r="U212" i="18"/>
  <c r="T212" i="18" s="1"/>
  <c r="S212" i="18" s="1"/>
  <c r="R212" i="18" s="1"/>
  <c r="P212" i="18" s="1"/>
  <c r="V212" i="18" s="1"/>
  <c r="U167" i="18"/>
  <c r="T167" i="18" s="1"/>
  <c r="S167" i="18" s="1"/>
  <c r="R167" i="18" s="1"/>
  <c r="P167" i="18" s="1"/>
  <c r="V167" i="18" s="1"/>
  <c r="U117" i="18"/>
  <c r="T117" i="18" s="1"/>
  <c r="S117" i="18" s="1"/>
  <c r="R117" i="18" s="1"/>
  <c r="P117" i="18" s="1"/>
  <c r="V117" i="18" s="1"/>
  <c r="U170" i="18"/>
  <c r="T170" i="18" s="1"/>
  <c r="S170" i="18" s="1"/>
  <c r="R170" i="18" s="1"/>
  <c r="P170" i="18" s="1"/>
  <c r="V170" i="18" s="1"/>
  <c r="U192" i="18"/>
  <c r="T192" i="18" s="1"/>
  <c r="S192" i="18" s="1"/>
  <c r="R192" i="18" s="1"/>
  <c r="P192" i="18" s="1"/>
  <c r="V192" i="18" s="1"/>
  <c r="U374" i="18"/>
  <c r="T374" i="18" s="1"/>
  <c r="S374" i="18" s="1"/>
  <c r="R374" i="18" s="1"/>
  <c r="P374" i="18" s="1"/>
  <c r="V374" i="18" s="1"/>
  <c r="U315" i="18"/>
  <c r="T315" i="18" s="1"/>
  <c r="S315" i="18" s="1"/>
  <c r="R315" i="18" s="1"/>
  <c r="P315" i="18" s="1"/>
  <c r="V315" i="18" s="1"/>
  <c r="U281" i="18"/>
  <c r="T281" i="18" s="1"/>
  <c r="S281" i="18" s="1"/>
  <c r="R281" i="18" s="1"/>
  <c r="P281" i="18" s="1"/>
  <c r="V281" i="18" s="1"/>
  <c r="U349" i="18"/>
  <c r="T349" i="18" s="1"/>
  <c r="S349" i="18" s="1"/>
  <c r="R349" i="18" s="1"/>
  <c r="P349" i="18" s="1"/>
  <c r="V349" i="18" s="1"/>
  <c r="U346" i="18"/>
  <c r="T346" i="18" s="1"/>
  <c r="S346" i="18" s="1"/>
  <c r="R346" i="18" s="1"/>
  <c r="P346" i="18" s="1"/>
  <c r="V346" i="18" s="1"/>
  <c r="S383" i="17"/>
  <c r="R15" i="17"/>
  <c r="S382" i="17"/>
  <c r="S381" i="17"/>
  <c r="AG382" i="17"/>
  <c r="AG383" i="17"/>
  <c r="AG381" i="17"/>
  <c r="AF15" i="17"/>
  <c r="X9" i="15"/>
  <c r="Y381" i="15"/>
  <c r="Y382" i="15"/>
  <c r="AL6" i="15"/>
  <c r="AL12" i="15" s="1"/>
  <c r="Y383" i="15"/>
  <c r="AM6" i="15"/>
  <c r="AM12" i="15" s="1"/>
  <c r="D144" i="18"/>
  <c r="E144" i="18" s="1"/>
  <c r="W41" i="18"/>
  <c r="W79" i="18"/>
  <c r="W162" i="18"/>
  <c r="W156" i="18"/>
  <c r="W62" i="18"/>
  <c r="D112" i="18"/>
  <c r="E112" i="18" s="1"/>
  <c r="D65" i="18"/>
  <c r="E65" i="18" s="1"/>
  <c r="D85" i="18"/>
  <c r="E85" i="18" s="1"/>
  <c r="D51" i="18"/>
  <c r="E51" i="18" s="1"/>
  <c r="I347" i="17"/>
  <c r="J347" i="17"/>
  <c r="I300" i="17"/>
  <c r="J300" i="17"/>
  <c r="I103" i="17"/>
  <c r="J103" i="17"/>
  <c r="I335" i="17"/>
  <c r="J335" i="17"/>
  <c r="I118" i="17"/>
  <c r="J118" i="17"/>
  <c r="I24" i="17"/>
  <c r="J24" i="17"/>
  <c r="I291" i="17"/>
  <c r="J291" i="17"/>
  <c r="J201" i="17"/>
  <c r="I201" i="17"/>
  <c r="I375" i="17"/>
  <c r="J375" i="17"/>
  <c r="I104" i="17"/>
  <c r="J104" i="17"/>
  <c r="J126" i="17"/>
  <c r="I126" i="17"/>
  <c r="J97" i="17"/>
  <c r="I97" i="17"/>
  <c r="D68" i="18"/>
  <c r="E68" i="18" s="1"/>
  <c r="D56" i="18"/>
  <c r="E56" i="18" s="1"/>
  <c r="W49" i="18"/>
  <c r="W93" i="18"/>
  <c r="I84" i="17"/>
  <c r="J84" i="17"/>
  <c r="I148" i="17"/>
  <c r="J148" i="17"/>
  <c r="J115" i="17"/>
  <c r="I115" i="17"/>
  <c r="J73" i="17"/>
  <c r="I73" i="17"/>
  <c r="J16" i="17"/>
  <c r="I16" i="17"/>
  <c r="J26" i="17"/>
  <c r="I26" i="17"/>
  <c r="I292" i="17"/>
  <c r="J292" i="17"/>
  <c r="I131" i="17"/>
  <c r="J131" i="17"/>
  <c r="I181" i="17"/>
  <c r="J181" i="17"/>
  <c r="I138" i="17"/>
  <c r="J138" i="17"/>
  <c r="I309" i="17"/>
  <c r="J309" i="17"/>
  <c r="I325" i="17"/>
  <c r="J325" i="17"/>
  <c r="I146" i="17"/>
  <c r="J146" i="17"/>
  <c r="I313" i="17"/>
  <c r="J313" i="17"/>
  <c r="J293" i="17"/>
  <c r="I293" i="17"/>
  <c r="J165" i="17"/>
  <c r="I165" i="17"/>
  <c r="I271" i="17"/>
  <c r="J271" i="17"/>
  <c r="J365" i="17"/>
  <c r="I365" i="17"/>
  <c r="I93" i="17"/>
  <c r="J93" i="17"/>
  <c r="J196" i="17"/>
  <c r="I196" i="17"/>
  <c r="J262" i="17"/>
  <c r="I262" i="17"/>
  <c r="I40" i="17"/>
  <c r="J40" i="17"/>
  <c r="I358" i="17"/>
  <c r="J358" i="17"/>
  <c r="J125" i="17"/>
  <c r="I125" i="17"/>
  <c r="I282" i="17"/>
  <c r="J282" i="17"/>
  <c r="I178" i="17"/>
  <c r="J178" i="17"/>
  <c r="I203" i="17"/>
  <c r="J203" i="17"/>
  <c r="J215" i="17"/>
  <c r="I215" i="17"/>
  <c r="J247" i="17"/>
  <c r="I247" i="17"/>
  <c r="I308" i="17"/>
  <c r="J308" i="17"/>
  <c r="J254" i="17"/>
  <c r="I254" i="17"/>
  <c r="J91" i="17"/>
  <c r="I91" i="17"/>
  <c r="W125" i="18"/>
  <c r="W189" i="18"/>
  <c r="D77" i="18"/>
  <c r="E77" i="18" s="1"/>
  <c r="D152" i="18"/>
  <c r="E152" i="18" s="1"/>
  <c r="W61" i="18"/>
  <c r="D66" i="18"/>
  <c r="E66" i="18" s="1"/>
  <c r="W193" i="18"/>
  <c r="D169" i="18"/>
  <c r="E169" i="18" s="1"/>
  <c r="W158" i="18"/>
  <c r="J18" i="17"/>
  <c r="I18" i="17"/>
  <c r="J19" i="17"/>
  <c r="I19" i="17"/>
  <c r="I176" i="17"/>
  <c r="J176" i="17"/>
  <c r="J288" i="17"/>
  <c r="I288" i="17"/>
  <c r="J109" i="17"/>
  <c r="I109" i="17"/>
  <c r="J245" i="17"/>
  <c r="I245" i="17"/>
  <c r="I68" i="17"/>
  <c r="J68" i="17"/>
  <c r="I130" i="17"/>
  <c r="J130" i="17"/>
  <c r="D171" i="18"/>
  <c r="E171" i="18" s="1"/>
  <c r="D132" i="18"/>
  <c r="E132" i="18" s="1"/>
  <c r="W26" i="18"/>
  <c r="W103" i="18"/>
  <c r="W35" i="18"/>
  <c r="W174" i="18"/>
  <c r="W184" i="18"/>
  <c r="W187" i="18"/>
  <c r="W224" i="18"/>
  <c r="I83" i="17"/>
  <c r="J83" i="17"/>
  <c r="J330" i="17"/>
  <c r="I330" i="17"/>
  <c r="Z124" i="17"/>
  <c r="J112" i="17"/>
  <c r="I112" i="17"/>
  <c r="I357" i="17"/>
  <c r="J357" i="17"/>
  <c r="I287" i="17"/>
  <c r="J287" i="17"/>
  <c r="AB9" i="16"/>
  <c r="F11" i="16"/>
  <c r="G13" i="19"/>
  <c r="AA9" i="16"/>
  <c r="AA382" i="16"/>
  <c r="AL10" i="16"/>
  <c r="AA381" i="16"/>
  <c r="Z15" i="16"/>
  <c r="AA383" i="16"/>
  <c r="AM8" i="16"/>
  <c r="J319" i="17"/>
  <c r="I319" i="17"/>
  <c r="J197" i="17"/>
  <c r="I197" i="17"/>
  <c r="I297" i="17"/>
  <c r="J297" i="17"/>
  <c r="J246" i="17"/>
  <c r="I246" i="17"/>
  <c r="J157" i="17"/>
  <c r="I157" i="17"/>
  <c r="J238" i="17"/>
  <c r="I238" i="17"/>
  <c r="J256" i="17"/>
  <c r="I256" i="17"/>
  <c r="I217" i="17"/>
  <c r="J217" i="17"/>
  <c r="J304" i="17"/>
  <c r="I304" i="17"/>
  <c r="I182" i="17"/>
  <c r="J182" i="17"/>
  <c r="I81" i="17"/>
  <c r="J81" i="17"/>
  <c r="I72" i="17"/>
  <c r="J72" i="17"/>
  <c r="I251" i="17"/>
  <c r="J251" i="17"/>
  <c r="I184" i="17"/>
  <c r="J184" i="17"/>
  <c r="J269" i="17"/>
  <c r="I269" i="17"/>
  <c r="J63" i="17"/>
  <c r="I63" i="17"/>
  <c r="I43" i="17"/>
  <c r="J43" i="17"/>
  <c r="J27" i="17"/>
  <c r="I27" i="17"/>
  <c r="J142" i="17"/>
  <c r="I142" i="17"/>
  <c r="J194" i="17"/>
  <c r="I194" i="17"/>
  <c r="I362" i="17"/>
  <c r="J362" i="17"/>
  <c r="W70" i="18"/>
  <c r="W45" i="18"/>
  <c r="D42" i="18"/>
  <c r="E42" i="18" s="1"/>
  <c r="W86" i="18"/>
  <c r="W139" i="18"/>
  <c r="W18" i="18"/>
  <c r="D126" i="18"/>
  <c r="E126" i="18" s="1"/>
  <c r="D64" i="18"/>
  <c r="E64" i="18" s="1"/>
  <c r="W124" i="18"/>
  <c r="W116" i="18"/>
  <c r="D17" i="18"/>
  <c r="E17" i="18" s="1"/>
  <c r="D145" i="18"/>
  <c r="E145" i="18" s="1"/>
  <c r="I173" i="17"/>
  <c r="J173" i="17"/>
  <c r="J211" i="17"/>
  <c r="I211" i="17"/>
  <c r="J120" i="17"/>
  <c r="I120" i="17"/>
  <c r="I79" i="17"/>
  <c r="J79" i="17"/>
  <c r="J231" i="17"/>
  <c r="I231" i="17"/>
  <c r="I85" i="17"/>
  <c r="J85" i="17"/>
  <c r="J296" i="17"/>
  <c r="I296" i="17"/>
  <c r="J193" i="17"/>
  <c r="I193" i="17"/>
  <c r="J353" i="17"/>
  <c r="I353" i="17"/>
  <c r="I212" i="17"/>
  <c r="J212" i="17"/>
  <c r="I54" i="17"/>
  <c r="J54" i="17"/>
  <c r="I87" i="17"/>
  <c r="J87" i="17"/>
  <c r="I122" i="17"/>
  <c r="J122" i="17"/>
  <c r="I317" i="17"/>
  <c r="J317" i="17"/>
  <c r="I111" i="17"/>
  <c r="J111" i="17"/>
  <c r="I338" i="17"/>
  <c r="J338" i="17"/>
  <c r="I183" i="17"/>
  <c r="J183" i="17"/>
  <c r="I324" i="17"/>
  <c r="J324" i="17"/>
  <c r="J192" i="17"/>
  <c r="I192" i="17"/>
  <c r="I342" i="17"/>
  <c r="J342" i="17"/>
  <c r="J341" i="17"/>
  <c r="I341" i="17"/>
  <c r="I160" i="17"/>
  <c r="J160" i="17"/>
  <c r="I249" i="17"/>
  <c r="J249" i="17"/>
  <c r="J270" i="17"/>
  <c r="I270" i="17"/>
  <c r="J121" i="17"/>
  <c r="I121" i="17"/>
  <c r="I64" i="17"/>
  <c r="J64" i="17"/>
  <c r="J316" i="17"/>
  <c r="I316" i="17"/>
  <c r="I345" i="17"/>
  <c r="J345" i="17"/>
  <c r="I233" i="17"/>
  <c r="J233" i="17"/>
  <c r="I128" i="17"/>
  <c r="J128" i="17"/>
  <c r="I235" i="17"/>
  <c r="J235" i="17"/>
  <c r="I164" i="17"/>
  <c r="J164" i="17"/>
  <c r="J143" i="17"/>
  <c r="I143" i="17"/>
  <c r="I370" i="17"/>
  <c r="J370" i="17"/>
  <c r="J306" i="17"/>
  <c r="I306" i="17"/>
  <c r="I127" i="17"/>
  <c r="J127" i="17"/>
  <c r="J70" i="17"/>
  <c r="I70" i="17"/>
  <c r="I38" i="17"/>
  <c r="J38" i="17"/>
  <c r="J66" i="17"/>
  <c r="I66" i="17"/>
  <c r="I322" i="17"/>
  <c r="J322" i="17"/>
  <c r="J71" i="17"/>
  <c r="I71" i="17"/>
  <c r="I329" i="17"/>
  <c r="J329" i="17"/>
  <c r="I229" i="17"/>
  <c r="J229" i="17"/>
  <c r="J221" i="17"/>
  <c r="I221" i="17"/>
  <c r="I259" i="17"/>
  <c r="J259" i="17"/>
  <c r="B380" i="6"/>
  <c r="BA380" i="6" s="1"/>
  <c r="H380" i="20"/>
  <c r="J225" i="17"/>
  <c r="I225" i="17"/>
  <c r="J75" i="17"/>
  <c r="I75" i="17"/>
  <c r="J299" i="17"/>
  <c r="I299" i="17"/>
  <c r="I49" i="17"/>
  <c r="J49" i="17"/>
  <c r="J369" i="17"/>
  <c r="I369" i="17"/>
  <c r="J260" i="17"/>
  <c r="I260" i="17"/>
  <c r="J89" i="17"/>
  <c r="I89" i="17"/>
  <c r="J200" i="17"/>
  <c r="I200" i="17"/>
  <c r="I139" i="17"/>
  <c r="J139" i="17"/>
  <c r="J244" i="17"/>
  <c r="I244" i="17"/>
  <c r="J114" i="17"/>
  <c r="I114" i="17"/>
  <c r="J124" i="17"/>
  <c r="I124" i="17"/>
  <c r="J153" i="17"/>
  <c r="I153" i="17"/>
  <c r="J223" i="17"/>
  <c r="I223" i="17"/>
  <c r="J350" i="17"/>
  <c r="I350" i="17"/>
  <c r="G382" i="16"/>
  <c r="G383" i="16"/>
  <c r="G12" i="16" s="1"/>
  <c r="G381" i="16"/>
  <c r="I15" i="16"/>
  <c r="J15" i="16"/>
  <c r="I248" i="17"/>
  <c r="J248" i="17"/>
  <c r="I67" i="17"/>
  <c r="J67" i="17"/>
  <c r="I290" i="17"/>
  <c r="J290" i="17"/>
  <c r="I272" i="17"/>
  <c r="J272" i="17"/>
  <c r="I305" i="17"/>
  <c r="J305" i="17"/>
  <c r="J372" i="17"/>
  <c r="I372" i="17"/>
  <c r="J209" i="17"/>
  <c r="I209" i="17"/>
  <c r="I155" i="17"/>
  <c r="J155" i="17"/>
  <c r="J190" i="17"/>
  <c r="I190" i="17"/>
  <c r="J376" i="17"/>
  <c r="I376" i="17"/>
  <c r="J328" i="17"/>
  <c r="I328" i="17"/>
  <c r="J366" i="17"/>
  <c r="I366" i="17"/>
  <c r="J359" i="17"/>
  <c r="I359" i="17"/>
  <c r="J100" i="17"/>
  <c r="I100" i="17"/>
  <c r="J263" i="17"/>
  <c r="I263" i="17"/>
  <c r="I283" i="17"/>
  <c r="J283" i="17"/>
  <c r="I82" i="17"/>
  <c r="J82" i="17"/>
  <c r="J289" i="17"/>
  <c r="I289" i="17"/>
  <c r="J57" i="17"/>
  <c r="I57" i="17"/>
  <c r="J101" i="17"/>
  <c r="I101" i="17"/>
  <c r="J339" i="17"/>
  <c r="I339" i="17"/>
  <c r="J279" i="17"/>
  <c r="I279" i="17"/>
  <c r="J195" i="17"/>
  <c r="I195" i="17"/>
  <c r="J344" i="17"/>
  <c r="I344" i="17"/>
  <c r="J336" i="17"/>
  <c r="I336" i="17"/>
  <c r="J95" i="17"/>
  <c r="I95" i="17"/>
  <c r="J147" i="17"/>
  <c r="I147" i="17"/>
  <c r="J250" i="17"/>
  <c r="I250" i="17"/>
  <c r="J356" i="17"/>
  <c r="I356" i="17"/>
  <c r="I188" i="17"/>
  <c r="J188" i="17"/>
  <c r="J149" i="17"/>
  <c r="I149" i="17"/>
  <c r="I154" i="17"/>
  <c r="J154" i="17"/>
  <c r="J45" i="17"/>
  <c r="I45" i="17"/>
  <c r="I94" i="17"/>
  <c r="J94" i="17"/>
  <c r="AD238" i="18" l="1"/>
  <c r="J37" i="19"/>
  <c r="AD29" i="18"/>
  <c r="AC212" i="24"/>
  <c r="AC233" i="24"/>
  <c r="AC348" i="24"/>
  <c r="AC227" i="24"/>
  <c r="AC180" i="24"/>
  <c r="AC163" i="24"/>
  <c r="AC208" i="24"/>
  <c r="AC198" i="24"/>
  <c r="AC342" i="24"/>
  <c r="AC149" i="24"/>
  <c r="AC207" i="24"/>
  <c r="AC186" i="24"/>
  <c r="AC352" i="24"/>
  <c r="AC371" i="24"/>
  <c r="AC160" i="24"/>
  <c r="AC366" i="24"/>
  <c r="AC189" i="24"/>
  <c r="AC146" i="24"/>
  <c r="AC320" i="24"/>
  <c r="AC219" i="24"/>
  <c r="AC216" i="24"/>
  <c r="AC334" i="24"/>
  <c r="AC210" i="24"/>
  <c r="AC243" i="24"/>
  <c r="AC174" i="24"/>
  <c r="AC283" i="24"/>
  <c r="AC171" i="24"/>
  <c r="AC274" i="24"/>
  <c r="AC140" i="24"/>
  <c r="AC319" i="24"/>
  <c r="AC327" i="24"/>
  <c r="AC272" i="24"/>
  <c r="AC258" i="24"/>
  <c r="AC147" i="24"/>
  <c r="AC337" i="24"/>
  <c r="AC153" i="24"/>
  <c r="AC194" i="24"/>
  <c r="AC305" i="24"/>
  <c r="AC168" i="24"/>
  <c r="AC237" i="24"/>
  <c r="AC265" i="24"/>
  <c r="AC214" i="24"/>
  <c r="AC220" i="24"/>
  <c r="AC359" i="24"/>
  <c r="AC248" i="24"/>
  <c r="AC268" i="24"/>
  <c r="AC242" i="24"/>
  <c r="AC154" i="24"/>
  <c r="AC135" i="24"/>
  <c r="AC187" i="24"/>
  <c r="AC179" i="24"/>
  <c r="AC197" i="24"/>
  <c r="AC379" i="24"/>
  <c r="AC205" i="24"/>
  <c r="AC259" i="24"/>
  <c r="AC316" i="24"/>
  <c r="AC202" i="24"/>
  <c r="AC151" i="24"/>
  <c r="AC231" i="24"/>
  <c r="AC315" i="24"/>
  <c r="AC150" i="24"/>
  <c r="AC345" i="24"/>
  <c r="AC347" i="24"/>
  <c r="AC165" i="24"/>
  <c r="AC253" i="24"/>
  <c r="AC183" i="24"/>
  <c r="AC221" i="24"/>
  <c r="AC222" i="24"/>
  <c r="AC157" i="24"/>
  <c r="AC375" i="24"/>
  <c r="AC206" i="24"/>
  <c r="AC137" i="24"/>
  <c r="AC264" i="24"/>
  <c r="AC249" i="24"/>
  <c r="AC307" i="24"/>
  <c r="AC185" i="24"/>
  <c r="AC355" i="24"/>
  <c r="AC240" i="24"/>
  <c r="AC244" i="24"/>
  <c r="AC378" i="24"/>
  <c r="AC333" i="24"/>
  <c r="AC376" i="24"/>
  <c r="AC255" i="24"/>
  <c r="AC301" i="24"/>
  <c r="AC313" i="24"/>
  <c r="AC218" i="24"/>
  <c r="AC251" i="24"/>
  <c r="AC289" i="24"/>
  <c r="AC144" i="24"/>
  <c r="AC213" i="24"/>
  <c r="AC234" i="24"/>
  <c r="AC173" i="24"/>
  <c r="AC241" i="24"/>
  <c r="AC230" i="24"/>
  <c r="AC181" i="24"/>
  <c r="AC276" i="24"/>
  <c r="AC361" i="24"/>
  <c r="AC270" i="24"/>
  <c r="AC354" i="24"/>
  <c r="AC138" i="24"/>
  <c r="AC166" i="24"/>
  <c r="AC363" i="24"/>
  <c r="AC141" i="24"/>
  <c r="AC152" i="24"/>
  <c r="AC145" i="24"/>
  <c r="AC143" i="24"/>
  <c r="AC360" i="24"/>
  <c r="AC346" i="24"/>
  <c r="AC325" i="24"/>
  <c r="AC303" i="24"/>
  <c r="AC256" i="24"/>
  <c r="AC321" i="24"/>
  <c r="AC330" i="24"/>
  <c r="AC226" i="24"/>
  <c r="AC236" i="24"/>
  <c r="AC365" i="24"/>
  <c r="AC142" i="24"/>
  <c r="AC328" i="24"/>
  <c r="AC304" i="24"/>
  <c r="AC267" i="24"/>
  <c r="AC339" i="24"/>
  <c r="AC162" i="24"/>
  <c r="AC172" i="24"/>
  <c r="AC269" i="24"/>
  <c r="AC336" i="24"/>
  <c r="AC261" i="24"/>
  <c r="AC217" i="24"/>
  <c r="AC273" i="24"/>
  <c r="AC362" i="24"/>
  <c r="AC290" i="24"/>
  <c r="AC204" i="24"/>
  <c r="AC200" i="24"/>
  <c r="AC170" i="24"/>
  <c r="AC136" i="24"/>
  <c r="AC300" i="24"/>
  <c r="AC374" i="24"/>
  <c r="AC225" i="24"/>
  <c r="AC254" i="24"/>
  <c r="AC177" i="24"/>
  <c r="AC293" i="24"/>
  <c r="AC164" i="24"/>
  <c r="AC155" i="24"/>
  <c r="AC340" i="24"/>
  <c r="AC282" i="24"/>
  <c r="AC367" i="24"/>
  <c r="AC295" i="24"/>
  <c r="AC302" i="24"/>
  <c r="AC188" i="24"/>
  <c r="AC285" i="24"/>
  <c r="AC203" i="24"/>
  <c r="AC309" i="24"/>
  <c r="AC193" i="24"/>
  <c r="AC156" i="24"/>
  <c r="AC324" i="24"/>
  <c r="AC224" i="24"/>
  <c r="AC357" i="24"/>
  <c r="AC182" i="24"/>
  <c r="AC297" i="24"/>
  <c r="AC351" i="24"/>
  <c r="AC232" i="24"/>
  <c r="AC148" i="24"/>
  <c r="AC338" i="24"/>
  <c r="AC239" i="24"/>
  <c r="AC353" i="24"/>
  <c r="AC211" i="24"/>
  <c r="AC176" i="24"/>
  <c r="AC280" i="24"/>
  <c r="AC288" i="24"/>
  <c r="AC257" i="24"/>
  <c r="AC271" i="24"/>
  <c r="AC284" i="24"/>
  <c r="AC195" i="24"/>
  <c r="AC281" i="24"/>
  <c r="AC279" i="24"/>
  <c r="AC190" i="24"/>
  <c r="AC322" i="24"/>
  <c r="AC235" i="24"/>
  <c r="AC262" i="24"/>
  <c r="AC369" i="24"/>
  <c r="AC286" i="24"/>
  <c r="AC343" i="24"/>
  <c r="AC287" i="24"/>
  <c r="AC364" i="24"/>
  <c r="AC161" i="24"/>
  <c r="AC370" i="24"/>
  <c r="AC134" i="24"/>
  <c r="AC350" i="24"/>
  <c r="AC199" i="24"/>
  <c r="AC306" i="24"/>
  <c r="AC299" i="24"/>
  <c r="AC373" i="24"/>
  <c r="AC260" i="24"/>
  <c r="AC191" i="24"/>
  <c r="AC277" i="24"/>
  <c r="AC229" i="24"/>
  <c r="AC332" i="24"/>
  <c r="AC184" i="24"/>
  <c r="AC358" i="24"/>
  <c r="AC314" i="24"/>
  <c r="AC238" i="24"/>
  <c r="AC292" i="24"/>
  <c r="AC311" i="24"/>
  <c r="AC167" i="24"/>
  <c r="AC175" i="24"/>
  <c r="AC349" i="24"/>
  <c r="AC201" i="24"/>
  <c r="AC247" i="24"/>
  <c r="AC275" i="24"/>
  <c r="AC215" i="24"/>
  <c r="AC252" i="24"/>
  <c r="AC331" i="24"/>
  <c r="AC312" i="24"/>
  <c r="AC372" i="24"/>
  <c r="AC263" i="24"/>
  <c r="AC317" i="24"/>
  <c r="AC377" i="24"/>
  <c r="AC266" i="24"/>
  <c r="AC228" i="24"/>
  <c r="AC291" i="24"/>
  <c r="AC245" i="24"/>
  <c r="AC169" i="24"/>
  <c r="AC344" i="24"/>
  <c r="AC246" i="24"/>
  <c r="AC139" i="24"/>
  <c r="AC209" i="24"/>
  <c r="AC158" i="24"/>
  <c r="AC368" i="24"/>
  <c r="AC223" i="24"/>
  <c r="AC250" i="24"/>
  <c r="AC278" i="24"/>
  <c r="AC294" i="24"/>
  <c r="AC356" i="24"/>
  <c r="AC318" i="24"/>
  <c r="AC296" i="24"/>
  <c r="AC310" i="24"/>
  <c r="AC192" i="24"/>
  <c r="AC159" i="24"/>
  <c r="AC335" i="24"/>
  <c r="AC298" i="24"/>
  <c r="AC341" i="24"/>
  <c r="AC196" i="24"/>
  <c r="AC323" i="24"/>
  <c r="AC329" i="24"/>
  <c r="AC308" i="24"/>
  <c r="AC326" i="24"/>
  <c r="AC382" i="23"/>
  <c r="AC178" i="24"/>
  <c r="AC89" i="25"/>
  <c r="AC114" i="25"/>
  <c r="AC19" i="25"/>
  <c r="AC95" i="25"/>
  <c r="AC41" i="25"/>
  <c r="AC118" i="25"/>
  <c r="AC31" i="25"/>
  <c r="AC129" i="25"/>
  <c r="AC127" i="25"/>
  <c r="AC115" i="25"/>
  <c r="AC132" i="25"/>
  <c r="AC63" i="25"/>
  <c r="AC77" i="25"/>
  <c r="AC84" i="25"/>
  <c r="AC59" i="25"/>
  <c r="AC61" i="25"/>
  <c r="AC116" i="25"/>
  <c r="AC54" i="25"/>
  <c r="AC100" i="25"/>
  <c r="AC55" i="25"/>
  <c r="AC22" i="25"/>
  <c r="AC68" i="25"/>
  <c r="AC26" i="25"/>
  <c r="AC92" i="25"/>
  <c r="AC81" i="25"/>
  <c r="AC80" i="25"/>
  <c r="AC40" i="25"/>
  <c r="AC16" i="25"/>
  <c r="AC32" i="25"/>
  <c r="AC34" i="25"/>
  <c r="AC37" i="25"/>
  <c r="AC51" i="25"/>
  <c r="AC65" i="25"/>
  <c r="AC21" i="25"/>
  <c r="AC108" i="25"/>
  <c r="AC49" i="25"/>
  <c r="AC93" i="25"/>
  <c r="AC78" i="25"/>
  <c r="AC76" i="25"/>
  <c r="AC98" i="25"/>
  <c r="AC104" i="25"/>
  <c r="AC109" i="25"/>
  <c r="AC97" i="25"/>
  <c r="AC72" i="25"/>
  <c r="AC130" i="25"/>
  <c r="AC46" i="25"/>
  <c r="AC42" i="25"/>
  <c r="AC131" i="25"/>
  <c r="AC28" i="25"/>
  <c r="AC111" i="25"/>
  <c r="AC33" i="25"/>
  <c r="AC73" i="25"/>
  <c r="AC20" i="25"/>
  <c r="AC90" i="25"/>
  <c r="AC112" i="25"/>
  <c r="AC62" i="25"/>
  <c r="AC70" i="25"/>
  <c r="AC113" i="25"/>
  <c r="AC107" i="25"/>
  <c r="AC96" i="25"/>
  <c r="AC121" i="25"/>
  <c r="AC126" i="25"/>
  <c r="AC64" i="25"/>
  <c r="AC29" i="25"/>
  <c r="AC106" i="25"/>
  <c r="AC88" i="25"/>
  <c r="AC45" i="25"/>
  <c r="AC117" i="25"/>
  <c r="AC57" i="25"/>
  <c r="AC47" i="25"/>
  <c r="AC25" i="25"/>
  <c r="AC53" i="25"/>
  <c r="AC18" i="25"/>
  <c r="AC43" i="25"/>
  <c r="AC79" i="25"/>
  <c r="AC24" i="25"/>
  <c r="AC48" i="25"/>
  <c r="AC122" i="25"/>
  <c r="AC110" i="25"/>
  <c r="AC123" i="25"/>
  <c r="AC120" i="25"/>
  <c r="AC86" i="25"/>
  <c r="AC56" i="25"/>
  <c r="AC15" i="25"/>
  <c r="AC125" i="25"/>
  <c r="AC60" i="25"/>
  <c r="AC99" i="25"/>
  <c r="AC124" i="25"/>
  <c r="AC52" i="25"/>
  <c r="AC74" i="25"/>
  <c r="AC82" i="25"/>
  <c r="AC103" i="25"/>
  <c r="AC23" i="25"/>
  <c r="AC38" i="25"/>
  <c r="AC83" i="25"/>
  <c r="AC105" i="25"/>
  <c r="AC30" i="25"/>
  <c r="AC101" i="25"/>
  <c r="AC87" i="25"/>
  <c r="AC102" i="25"/>
  <c r="AC44" i="25"/>
  <c r="AC119" i="25"/>
  <c r="AC75" i="25"/>
  <c r="AC91" i="25"/>
  <c r="AC133" i="25"/>
  <c r="AC66" i="25"/>
  <c r="AC27" i="25"/>
  <c r="AC71" i="25"/>
  <c r="AC69" i="25"/>
  <c r="AC67" i="25"/>
  <c r="AC39" i="25"/>
  <c r="AC128" i="25"/>
  <c r="AC85" i="25"/>
  <c r="AC17" i="25"/>
  <c r="AC35" i="25"/>
  <c r="AC94" i="25"/>
  <c r="AC36" i="25"/>
  <c r="AC58" i="25"/>
  <c r="AC50" i="25"/>
  <c r="O383" i="24"/>
  <c r="O381" i="24"/>
  <c r="O382" i="24"/>
  <c r="E7" i="25"/>
  <c r="E8" i="25"/>
  <c r="K20" i="19" s="1"/>
  <c r="K44" i="19" s="1"/>
  <c r="AC381" i="23"/>
  <c r="AC383" i="23"/>
  <c r="AL10" i="17"/>
  <c r="AH379" i="18"/>
  <c r="AG379" i="18" s="1"/>
  <c r="AF379" i="18" s="1"/>
  <c r="AD379" i="18" s="1"/>
  <c r="D68" i="7"/>
  <c r="I379" i="17"/>
  <c r="D13" i="19"/>
  <c r="G37" i="19"/>
  <c r="V149" i="18"/>
  <c r="F65" i="19" s="1"/>
  <c r="AG15" i="7"/>
  <c r="Q10" i="20"/>
  <c r="Q209" i="20" s="1"/>
  <c r="V195" i="18"/>
  <c r="J60" i="17"/>
  <c r="D201" i="18"/>
  <c r="E201" i="18" s="1"/>
  <c r="F201" i="18" s="1"/>
  <c r="AA201" i="18" s="1"/>
  <c r="Z201" i="18" s="1"/>
  <c r="Y201" i="18" s="1"/>
  <c r="W364" i="18"/>
  <c r="W298" i="18"/>
  <c r="D224" i="18"/>
  <c r="E224" i="18" s="1"/>
  <c r="F224" i="18" s="1"/>
  <c r="H224" i="18" s="1"/>
  <c r="D346" i="18"/>
  <c r="E346" i="18" s="1"/>
  <c r="F346" i="18" s="1"/>
  <c r="H346" i="18" s="1"/>
  <c r="W281" i="18"/>
  <c r="D374" i="18"/>
  <c r="E374" i="18" s="1"/>
  <c r="F374" i="18" s="1"/>
  <c r="H374" i="18" s="1"/>
  <c r="D170" i="18"/>
  <c r="E170" i="18" s="1"/>
  <c r="F170" i="18" s="1"/>
  <c r="H170" i="18" s="1"/>
  <c r="W167" i="18"/>
  <c r="D322" i="18"/>
  <c r="E322" i="18" s="1"/>
  <c r="F322" i="18" s="1"/>
  <c r="G322" i="18" s="1"/>
  <c r="CA322" i="6" s="1"/>
  <c r="D352" i="18"/>
  <c r="E352" i="18" s="1"/>
  <c r="F352" i="18" s="1"/>
  <c r="AA352" i="18" s="1"/>
  <c r="Z352" i="18" s="1"/>
  <c r="Y352" i="18" s="1"/>
  <c r="W131" i="18"/>
  <c r="D226" i="18"/>
  <c r="E226" i="18" s="1"/>
  <c r="F226" i="18" s="1"/>
  <c r="AA226" i="18" s="1"/>
  <c r="Z226" i="18" s="1"/>
  <c r="Y226" i="18" s="1"/>
  <c r="W130" i="18"/>
  <c r="W313" i="18"/>
  <c r="D290" i="18"/>
  <c r="E290" i="18" s="1"/>
  <c r="F290" i="18" s="1"/>
  <c r="G290" i="18" s="1"/>
  <c r="CA290" i="6" s="1"/>
  <c r="D187" i="18"/>
  <c r="E187" i="18" s="1"/>
  <c r="F187" i="18" s="1"/>
  <c r="H187" i="18" s="1"/>
  <c r="W278" i="18"/>
  <c r="D220" i="18"/>
  <c r="E220" i="18" s="1"/>
  <c r="F220" i="18" s="1"/>
  <c r="G220" i="18" s="1"/>
  <c r="CA220" i="6" s="1"/>
  <c r="D184" i="18"/>
  <c r="E184" i="18" s="1"/>
  <c r="F184" i="18" s="1"/>
  <c r="AA184" i="18" s="1"/>
  <c r="Z184" i="18" s="1"/>
  <c r="Y184" i="18" s="1"/>
  <c r="W370" i="18"/>
  <c r="D245" i="18"/>
  <c r="E245" i="18" s="1"/>
  <c r="F245" i="18" s="1"/>
  <c r="AA245" i="18" s="1"/>
  <c r="Z245" i="18" s="1"/>
  <c r="Y245" i="18" s="1"/>
  <c r="D174" i="18"/>
  <c r="E174" i="18" s="1"/>
  <c r="F174" i="18" s="1"/>
  <c r="G174" i="18" s="1"/>
  <c r="CA174" i="6" s="1"/>
  <c r="W217" i="18"/>
  <c r="W191" i="18"/>
  <c r="W354" i="18"/>
  <c r="D276" i="18"/>
  <c r="E276" i="18" s="1"/>
  <c r="F276" i="18" s="1"/>
  <c r="G276" i="18" s="1"/>
  <c r="CA276" i="6" s="1"/>
  <c r="W325" i="18"/>
  <c r="W112" i="18"/>
  <c r="D222" i="18"/>
  <c r="E222" i="18" s="1"/>
  <c r="F222" i="18" s="1"/>
  <c r="G222" i="18" s="1"/>
  <c r="CA222" i="6" s="1"/>
  <c r="W157" i="18"/>
  <c r="W144" i="18"/>
  <c r="D256" i="18"/>
  <c r="E256" i="18" s="1"/>
  <c r="F256" i="18" s="1"/>
  <c r="H256" i="18" s="1"/>
  <c r="D292" i="18"/>
  <c r="E292" i="18" s="1"/>
  <c r="F292" i="18" s="1"/>
  <c r="H292" i="18" s="1"/>
  <c r="D193" i="18"/>
  <c r="E193" i="18" s="1"/>
  <c r="F193" i="18" s="1"/>
  <c r="H193" i="18" s="1"/>
  <c r="D357" i="18"/>
  <c r="E357" i="18" s="1"/>
  <c r="F357" i="18" s="1"/>
  <c r="H357" i="18" s="1"/>
  <c r="D216" i="18"/>
  <c r="E216" i="18" s="1"/>
  <c r="F216" i="18" s="1"/>
  <c r="AA216" i="18" s="1"/>
  <c r="Z216" i="18" s="1"/>
  <c r="Y216" i="18" s="1"/>
  <c r="D156" i="18"/>
  <c r="E156" i="18" s="1"/>
  <c r="F156" i="18" s="1"/>
  <c r="H156" i="18" s="1"/>
  <c r="D49" i="18"/>
  <c r="E49" i="18" s="1"/>
  <c r="F49" i="18" s="1"/>
  <c r="H49" i="18" s="1"/>
  <c r="D92" i="18"/>
  <c r="E92" i="18" s="1"/>
  <c r="F92" i="18" s="1"/>
  <c r="H92" i="18" s="1"/>
  <c r="W66" i="18"/>
  <c r="D31" i="18"/>
  <c r="E31" i="18" s="1"/>
  <c r="F31" i="18" s="1"/>
  <c r="H31" i="18" s="1"/>
  <c r="W64" i="18"/>
  <c r="D79" i="18"/>
  <c r="E79" i="18" s="1"/>
  <c r="F79" i="18" s="1"/>
  <c r="AA79" i="18" s="1"/>
  <c r="Z79" i="18" s="1"/>
  <c r="Y79" i="18" s="1"/>
  <c r="W101" i="18"/>
  <c r="D94" i="18"/>
  <c r="E94" i="18" s="1"/>
  <c r="F94" i="18" s="1"/>
  <c r="G94" i="18" s="1"/>
  <c r="CA94" i="6" s="1"/>
  <c r="D35" i="18"/>
  <c r="E35" i="18" s="1"/>
  <c r="F35" i="18" s="1"/>
  <c r="AA35" i="18" s="1"/>
  <c r="Z35" i="18" s="1"/>
  <c r="Y35" i="18" s="1"/>
  <c r="W24" i="18"/>
  <c r="D93" i="18"/>
  <c r="E93" i="18" s="1"/>
  <c r="F93" i="18" s="1"/>
  <c r="G93" i="18" s="1"/>
  <c r="CA93" i="6" s="1"/>
  <c r="W56" i="18"/>
  <c r="W132" i="18"/>
  <c r="W171" i="18"/>
  <c r="D235" i="18"/>
  <c r="E235" i="18" s="1"/>
  <c r="F235" i="18" s="1"/>
  <c r="AA235" i="18" s="1"/>
  <c r="Z235" i="18" s="1"/>
  <c r="Y235" i="18" s="1"/>
  <c r="D195" i="18"/>
  <c r="E195" i="18" s="1"/>
  <c r="D158" i="18"/>
  <c r="E158" i="18" s="1"/>
  <c r="F158" i="18" s="1"/>
  <c r="H158" i="18" s="1"/>
  <c r="D236" i="18"/>
  <c r="E236" i="18" s="1"/>
  <c r="F236" i="18" s="1"/>
  <c r="AA236" i="18" s="1"/>
  <c r="Z236" i="18" s="1"/>
  <c r="Y236" i="18" s="1"/>
  <c r="W169" i="18"/>
  <c r="W305" i="18"/>
  <c r="W340" i="18"/>
  <c r="D215" i="18"/>
  <c r="E215" i="18" s="1"/>
  <c r="F215" i="18" s="1"/>
  <c r="H215" i="18" s="1"/>
  <c r="W297" i="18"/>
  <c r="D214" i="18"/>
  <c r="E214" i="18" s="1"/>
  <c r="F214" i="18" s="1"/>
  <c r="G214" i="18" s="1"/>
  <c r="CA214" i="6" s="1"/>
  <c r="D138" i="18"/>
  <c r="E138" i="18" s="1"/>
  <c r="F138" i="18" s="1"/>
  <c r="G138" i="18" s="1"/>
  <c r="CA138" i="6" s="1"/>
  <c r="W306" i="18"/>
  <c r="W51" i="18"/>
  <c r="W91" i="18"/>
  <c r="W100" i="18"/>
  <c r="D26" i="18"/>
  <c r="E26" i="18" s="1"/>
  <c r="F26" i="18" s="1"/>
  <c r="G26" i="18" s="1"/>
  <c r="CA26" i="6" s="1"/>
  <c r="D61" i="18"/>
  <c r="E61" i="18" s="1"/>
  <c r="F61" i="18" s="1"/>
  <c r="G61" i="18" s="1"/>
  <c r="CA61" i="6" s="1"/>
  <c r="W42" i="18"/>
  <c r="D45" i="18"/>
  <c r="E45" i="18" s="1"/>
  <c r="F45" i="18" s="1"/>
  <c r="G45" i="18" s="1"/>
  <c r="CA45" i="6" s="1"/>
  <c r="W58" i="18"/>
  <c r="W78" i="18"/>
  <c r="D103" i="18"/>
  <c r="E103" i="18" s="1"/>
  <c r="F103" i="18" s="1"/>
  <c r="G103" i="18" s="1"/>
  <c r="CA103" i="6" s="1"/>
  <c r="D62" i="18"/>
  <c r="E62" i="18" s="1"/>
  <c r="F62" i="18" s="1"/>
  <c r="H62" i="18" s="1"/>
  <c r="D41" i="18"/>
  <c r="E41" i="18" s="1"/>
  <c r="F41" i="18" s="1"/>
  <c r="AA41" i="18" s="1"/>
  <c r="Z41" i="18" s="1"/>
  <c r="Y41" i="18" s="1"/>
  <c r="W65" i="18"/>
  <c r="W59" i="18"/>
  <c r="W17" i="18"/>
  <c r="W85" i="18"/>
  <c r="D86" i="18"/>
  <c r="E86" i="18" s="1"/>
  <c r="F86" i="18" s="1"/>
  <c r="AA86" i="18" s="1"/>
  <c r="Z86" i="18" s="1"/>
  <c r="Y86" i="18" s="1"/>
  <c r="D342" i="18"/>
  <c r="E342" i="18" s="1"/>
  <c r="F342" i="18" s="1"/>
  <c r="AA342" i="18" s="1"/>
  <c r="Z342" i="18" s="1"/>
  <c r="Y342" i="18" s="1"/>
  <c r="D125" i="18"/>
  <c r="E125" i="18" s="1"/>
  <c r="F125" i="18" s="1"/>
  <c r="G125" i="18" s="1"/>
  <c r="CA125" i="6" s="1"/>
  <c r="D378" i="18"/>
  <c r="E378" i="18" s="1"/>
  <c r="F378" i="18" s="1"/>
  <c r="G378" i="18" s="1"/>
  <c r="CA378" i="6" s="1"/>
  <c r="D270" i="18"/>
  <c r="E270" i="18" s="1"/>
  <c r="F270" i="18" s="1"/>
  <c r="AA270" i="18" s="1"/>
  <c r="Z270" i="18" s="1"/>
  <c r="Y270" i="18" s="1"/>
  <c r="W369" i="18"/>
  <c r="D225" i="18"/>
  <c r="E225" i="18" s="1"/>
  <c r="F225" i="18" s="1"/>
  <c r="AA225" i="18" s="1"/>
  <c r="Z225" i="18" s="1"/>
  <c r="Y225" i="18" s="1"/>
  <c r="D246" i="18"/>
  <c r="E246" i="18" s="1"/>
  <c r="F246" i="18" s="1"/>
  <c r="AA246" i="18" s="1"/>
  <c r="Z246" i="18" s="1"/>
  <c r="Y246" i="18" s="1"/>
  <c r="D271" i="18"/>
  <c r="E271" i="18" s="1"/>
  <c r="F271" i="18" s="1"/>
  <c r="G271" i="18" s="1"/>
  <c r="CA271" i="6" s="1"/>
  <c r="W197" i="18"/>
  <c r="W248" i="18"/>
  <c r="D323" i="18"/>
  <c r="E323" i="18" s="1"/>
  <c r="F323" i="18" s="1"/>
  <c r="H323" i="18" s="1"/>
  <c r="W137" i="18"/>
  <c r="D162" i="18"/>
  <c r="E162" i="18" s="1"/>
  <c r="F162" i="18" s="1"/>
  <c r="G162" i="18" s="1"/>
  <c r="CA162" i="6" s="1"/>
  <c r="D368" i="18"/>
  <c r="E368" i="18" s="1"/>
  <c r="F368" i="18" s="1"/>
  <c r="G368" i="18" s="1"/>
  <c r="CA368" i="6" s="1"/>
  <c r="W126" i="18"/>
  <c r="W308" i="18"/>
  <c r="W300" i="18"/>
  <c r="D261" i="18"/>
  <c r="E261" i="18" s="1"/>
  <c r="F261" i="18" s="1"/>
  <c r="G261" i="18" s="1"/>
  <c r="CA261" i="6" s="1"/>
  <c r="D237" i="18"/>
  <c r="E237" i="18" s="1"/>
  <c r="F237" i="18" s="1"/>
  <c r="AA237" i="18" s="1"/>
  <c r="Z237" i="18" s="1"/>
  <c r="Y237" i="18" s="1"/>
  <c r="D343" i="18"/>
  <c r="E343" i="18" s="1"/>
  <c r="F343" i="18" s="1"/>
  <c r="G343" i="18" s="1"/>
  <c r="CA343" i="6" s="1"/>
  <c r="W376" i="18"/>
  <c r="D239" i="18"/>
  <c r="E239" i="18" s="1"/>
  <c r="F239" i="18" s="1"/>
  <c r="G239" i="18" s="1"/>
  <c r="CA239" i="6" s="1"/>
  <c r="W259" i="18"/>
  <c r="D314" i="18"/>
  <c r="E314" i="18" s="1"/>
  <c r="F314" i="18" s="1"/>
  <c r="G314" i="18" s="1"/>
  <c r="CA314" i="6" s="1"/>
  <c r="W269" i="18"/>
  <c r="W201" i="18"/>
  <c r="D204" i="18"/>
  <c r="E204" i="18" s="1"/>
  <c r="F204" i="18" s="1"/>
  <c r="AA204" i="18" s="1"/>
  <c r="Z204" i="18" s="1"/>
  <c r="Y204" i="18" s="1"/>
  <c r="W274" i="18"/>
  <c r="D70" i="18"/>
  <c r="E70" i="18" s="1"/>
  <c r="F70" i="18" s="1"/>
  <c r="AA70" i="18" s="1"/>
  <c r="Z70" i="18" s="1"/>
  <c r="Y70" i="18" s="1"/>
  <c r="W73" i="18"/>
  <c r="D364" i="18"/>
  <c r="E364" i="18" s="1"/>
  <c r="F364" i="18" s="1"/>
  <c r="H364" i="18" s="1"/>
  <c r="W321" i="18"/>
  <c r="D309" i="18"/>
  <c r="E309" i="18" s="1"/>
  <c r="F309" i="18" s="1"/>
  <c r="H309" i="18" s="1"/>
  <c r="D298" i="18"/>
  <c r="E298" i="18" s="1"/>
  <c r="F298" i="18" s="1"/>
  <c r="AA298" i="18" s="1"/>
  <c r="Z298" i="18" s="1"/>
  <c r="Y298" i="18" s="1"/>
  <c r="D280" i="18"/>
  <c r="E280" i="18" s="1"/>
  <c r="F280" i="18" s="1"/>
  <c r="AA280" i="18" s="1"/>
  <c r="Z280" i="18" s="1"/>
  <c r="Y280" i="18" s="1"/>
  <c r="D257" i="18"/>
  <c r="E257" i="18" s="1"/>
  <c r="F257" i="18" s="1"/>
  <c r="AA257" i="18" s="1"/>
  <c r="Z257" i="18" s="1"/>
  <c r="Y257" i="18" s="1"/>
  <c r="D213" i="18"/>
  <c r="E213" i="18" s="1"/>
  <c r="F213" i="18" s="1"/>
  <c r="AA213" i="18" s="1"/>
  <c r="Z213" i="18" s="1"/>
  <c r="Y213" i="18" s="1"/>
  <c r="D260" i="18"/>
  <c r="E260" i="18" s="1"/>
  <c r="F260" i="18" s="1"/>
  <c r="AA260" i="18" s="1"/>
  <c r="Z260" i="18" s="1"/>
  <c r="Y260" i="18" s="1"/>
  <c r="D139" i="18"/>
  <c r="E139" i="18" s="1"/>
  <c r="F139" i="18" s="1"/>
  <c r="AA139" i="18" s="1"/>
  <c r="Z139" i="18" s="1"/>
  <c r="Y139" i="18" s="1"/>
  <c r="D371" i="18"/>
  <c r="E371" i="18" s="1"/>
  <c r="F371" i="18" s="1"/>
  <c r="AA371" i="18" s="1"/>
  <c r="Z371" i="18" s="1"/>
  <c r="Y371" i="18" s="1"/>
  <c r="W293" i="18"/>
  <c r="D372" i="18"/>
  <c r="E372" i="18" s="1"/>
  <c r="F372" i="18" s="1"/>
  <c r="AA372" i="18" s="1"/>
  <c r="Z372" i="18" s="1"/>
  <c r="Y372" i="18" s="1"/>
  <c r="D230" i="18"/>
  <c r="E230" i="18" s="1"/>
  <c r="F230" i="18" s="1"/>
  <c r="G230" i="18" s="1"/>
  <c r="CA230" i="6" s="1"/>
  <c r="W279" i="18"/>
  <c r="D116" i="18"/>
  <c r="E116" i="18" s="1"/>
  <c r="F116" i="18" s="1"/>
  <c r="AA116" i="18" s="1"/>
  <c r="Z116" i="18" s="1"/>
  <c r="Y116" i="18" s="1"/>
  <c r="D331" i="18"/>
  <c r="E331" i="18" s="1"/>
  <c r="F331" i="18" s="1"/>
  <c r="G331" i="18" s="1"/>
  <c r="CA331" i="6" s="1"/>
  <c r="W77" i="18"/>
  <c r="D206" i="18"/>
  <c r="E206" i="18" s="1"/>
  <c r="F206" i="18" s="1"/>
  <c r="AA206" i="18" s="1"/>
  <c r="Z206" i="18" s="1"/>
  <c r="Y206" i="18" s="1"/>
  <c r="D353" i="18"/>
  <c r="E353" i="18" s="1"/>
  <c r="F353" i="18" s="1"/>
  <c r="AA353" i="18" s="1"/>
  <c r="Z353" i="18" s="1"/>
  <c r="Y353" i="18" s="1"/>
  <c r="D262" i="18"/>
  <c r="E262" i="18" s="1"/>
  <c r="F262" i="18" s="1"/>
  <c r="G262" i="18" s="1"/>
  <c r="CA262" i="6" s="1"/>
  <c r="W362" i="18"/>
  <c r="D345" i="18"/>
  <c r="E345" i="18" s="1"/>
  <c r="F345" i="18" s="1"/>
  <c r="AA345" i="18" s="1"/>
  <c r="Z345" i="18" s="1"/>
  <c r="Y345" i="18" s="1"/>
  <c r="D238" i="18"/>
  <c r="E238" i="18" s="1"/>
  <c r="F238" i="18" s="1"/>
  <c r="H238" i="18" s="1"/>
  <c r="W238" i="18"/>
  <c r="W342" i="18"/>
  <c r="D306" i="18"/>
  <c r="E306" i="18" s="1"/>
  <c r="F306" i="18" s="1"/>
  <c r="H306" i="18" s="1"/>
  <c r="D297" i="18"/>
  <c r="E297" i="18" s="1"/>
  <c r="F297" i="18" s="1"/>
  <c r="AA297" i="18" s="1"/>
  <c r="Z297" i="18" s="1"/>
  <c r="Y297" i="18" s="1"/>
  <c r="D315" i="18"/>
  <c r="E315" i="18" s="1"/>
  <c r="F315" i="18" s="1"/>
  <c r="G315" i="18" s="1"/>
  <c r="CA315" i="6" s="1"/>
  <c r="D192" i="18"/>
  <c r="E192" i="18" s="1"/>
  <c r="F192" i="18" s="1"/>
  <c r="H192" i="18" s="1"/>
  <c r="D117" i="18"/>
  <c r="E117" i="18" s="1"/>
  <c r="F117" i="18" s="1"/>
  <c r="AA117" i="18" s="1"/>
  <c r="Z117" i="18" s="1"/>
  <c r="Y117" i="18" s="1"/>
  <c r="D212" i="18"/>
  <c r="E212" i="18" s="1"/>
  <c r="F212" i="18" s="1"/>
  <c r="AA212" i="18" s="1"/>
  <c r="Z212" i="18" s="1"/>
  <c r="Y212" i="18" s="1"/>
  <c r="D202" i="18"/>
  <c r="E202" i="18" s="1"/>
  <c r="F202" i="18" s="1"/>
  <c r="G202" i="18" s="1"/>
  <c r="CA202" i="6" s="1"/>
  <c r="D177" i="18"/>
  <c r="E177" i="18" s="1"/>
  <c r="F177" i="18" s="1"/>
  <c r="AA177" i="18" s="1"/>
  <c r="Z177" i="18" s="1"/>
  <c r="Y177" i="18" s="1"/>
  <c r="D355" i="18"/>
  <c r="E355" i="18" s="1"/>
  <c r="F355" i="18" s="1"/>
  <c r="H355" i="18" s="1"/>
  <c r="W252" i="18"/>
  <c r="W128" i="18"/>
  <c r="D199" i="18"/>
  <c r="E199" i="18" s="1"/>
  <c r="F199" i="18" s="1"/>
  <c r="AA199" i="18" s="1"/>
  <c r="Z199" i="18" s="1"/>
  <c r="Y199" i="18" s="1"/>
  <c r="W253" i="18"/>
  <c r="D234" i="18"/>
  <c r="E234" i="18" s="1"/>
  <c r="F234" i="18" s="1"/>
  <c r="G234" i="18" s="1"/>
  <c r="CA234" i="6" s="1"/>
  <c r="W134" i="18"/>
  <c r="W267" i="18"/>
  <c r="W320" i="18"/>
  <c r="D264" i="18"/>
  <c r="E264" i="18" s="1"/>
  <c r="F264" i="18" s="1"/>
  <c r="H264" i="18" s="1"/>
  <c r="W301" i="18"/>
  <c r="W347" i="18"/>
  <c r="W327" i="18"/>
  <c r="D161" i="18"/>
  <c r="E161" i="18" s="1"/>
  <c r="F161" i="18" s="1"/>
  <c r="G161" i="18" s="1"/>
  <c r="CA161" i="6" s="1"/>
  <c r="D295" i="18"/>
  <c r="E295" i="18" s="1"/>
  <c r="F295" i="18" s="1"/>
  <c r="G295" i="18" s="1"/>
  <c r="CA295" i="6" s="1"/>
  <c r="D337" i="18"/>
  <c r="E337" i="18" s="1"/>
  <c r="F337" i="18" s="1"/>
  <c r="AA337" i="18" s="1"/>
  <c r="Z337" i="18" s="1"/>
  <c r="Y337" i="18" s="1"/>
  <c r="W263" i="18"/>
  <c r="D249" i="18"/>
  <c r="E249" i="18" s="1"/>
  <c r="F249" i="18" s="1"/>
  <c r="G249" i="18" s="1"/>
  <c r="CA249" i="6" s="1"/>
  <c r="D109" i="18"/>
  <c r="E109" i="18" s="1"/>
  <c r="F109" i="18" s="1"/>
  <c r="D118" i="18"/>
  <c r="E118" i="18" s="1"/>
  <c r="F118" i="18" s="1"/>
  <c r="AA118" i="18" s="1"/>
  <c r="Z118" i="18" s="1"/>
  <c r="Y118" i="18" s="1"/>
  <c r="D143" i="18"/>
  <c r="E143" i="18" s="1"/>
  <c r="F143" i="18" s="1"/>
  <c r="G143" i="18" s="1"/>
  <c r="CA143" i="6" s="1"/>
  <c r="D275" i="18"/>
  <c r="E275" i="18" s="1"/>
  <c r="F275" i="18" s="1"/>
  <c r="H275" i="18" s="1"/>
  <c r="D218" i="18"/>
  <c r="E218" i="18" s="1"/>
  <c r="F218" i="18" s="1"/>
  <c r="H218" i="18" s="1"/>
  <c r="D366" i="18"/>
  <c r="E366" i="18" s="1"/>
  <c r="F366" i="18" s="1"/>
  <c r="AA366" i="18" s="1"/>
  <c r="Z366" i="18" s="1"/>
  <c r="Y366" i="18" s="1"/>
  <c r="W283" i="18"/>
  <c r="W221" i="18"/>
  <c r="W71" i="18"/>
  <c r="W68" i="18"/>
  <c r="W52" i="18"/>
  <c r="D18" i="18"/>
  <c r="E18" i="18" s="1"/>
  <c r="F18" i="18" s="1"/>
  <c r="D97" i="18"/>
  <c r="E97" i="18" s="1"/>
  <c r="F97" i="18" s="1"/>
  <c r="H97" i="18" s="1"/>
  <c r="D67" i="18"/>
  <c r="E67" i="18" s="1"/>
  <c r="F67" i="18" s="1"/>
  <c r="AA67" i="18" s="1"/>
  <c r="Z67" i="18" s="1"/>
  <c r="Y67" i="18" s="1"/>
  <c r="D54" i="18"/>
  <c r="E54" i="18" s="1"/>
  <c r="F54" i="18" s="1"/>
  <c r="G54" i="18" s="1"/>
  <c r="CA54" i="6" s="1"/>
  <c r="W25" i="18"/>
  <c r="W82" i="18"/>
  <c r="W43" i="18"/>
  <c r="D27" i="18"/>
  <c r="E27" i="18" s="1"/>
  <c r="F27" i="18" s="1"/>
  <c r="H27" i="18" s="1"/>
  <c r="W16" i="18"/>
  <c r="W50" i="18"/>
  <c r="D36" i="18"/>
  <c r="E36" i="18" s="1"/>
  <c r="F36" i="18" s="1"/>
  <c r="H36" i="18" s="1"/>
  <c r="W90" i="18"/>
  <c r="W178" i="18"/>
  <c r="D328" i="18"/>
  <c r="E328" i="18" s="1"/>
  <c r="F328" i="18" s="1"/>
  <c r="H328" i="18" s="1"/>
  <c r="W145" i="18"/>
  <c r="W208" i="18"/>
  <c r="W335" i="18"/>
  <c r="D255" i="18"/>
  <c r="E255" i="18" s="1"/>
  <c r="F255" i="18" s="1"/>
  <c r="AA255" i="18" s="1"/>
  <c r="Z255" i="18" s="1"/>
  <c r="Y255" i="18" s="1"/>
  <c r="W377" i="18"/>
  <c r="W254" i="18"/>
  <c r="D198" i="18"/>
  <c r="E198" i="18" s="1"/>
  <c r="F198" i="18" s="1"/>
  <c r="G198" i="18" s="1"/>
  <c r="CA198" i="6" s="1"/>
  <c r="D311" i="18"/>
  <c r="E311" i="18" s="1"/>
  <c r="F311" i="18" s="1"/>
  <c r="AA311" i="18" s="1"/>
  <c r="Z311" i="18" s="1"/>
  <c r="Y311" i="18" s="1"/>
  <c r="D247" i="18"/>
  <c r="E247" i="18" s="1"/>
  <c r="F247" i="18" s="1"/>
  <c r="H247" i="18" s="1"/>
  <c r="W160" i="18"/>
  <c r="W146" i="18"/>
  <c r="D348" i="18"/>
  <c r="E348" i="18" s="1"/>
  <c r="F348" i="18" s="1"/>
  <c r="G348" i="18" s="1"/>
  <c r="CA348" i="6" s="1"/>
  <c r="W338" i="18"/>
  <c r="W207" i="18"/>
  <c r="W57" i="18"/>
  <c r="W84" i="18"/>
  <c r="W47" i="18"/>
  <c r="W72" i="18"/>
  <c r="W99" i="18"/>
  <c r="D39" i="18"/>
  <c r="E39" i="18" s="1"/>
  <c r="F39" i="18" s="1"/>
  <c r="G39" i="18" s="1"/>
  <c r="CA39" i="6" s="1"/>
  <c r="D34" i="18"/>
  <c r="E34" i="18" s="1"/>
  <c r="F34" i="18" s="1"/>
  <c r="G34" i="18" s="1"/>
  <c r="CA34" i="6" s="1"/>
  <c r="D28" i="18"/>
  <c r="E28" i="18" s="1"/>
  <c r="F28" i="18" s="1"/>
  <c r="AA28" i="18" s="1"/>
  <c r="Z28" i="18" s="1"/>
  <c r="Y28" i="18" s="1"/>
  <c r="D38" i="18"/>
  <c r="E38" i="18" s="1"/>
  <c r="F38" i="18" s="1"/>
  <c r="AA38" i="18" s="1"/>
  <c r="Z38" i="18" s="1"/>
  <c r="Y38" i="18" s="1"/>
  <c r="D21" i="18"/>
  <c r="E21" i="18" s="1"/>
  <c r="F21" i="18" s="1"/>
  <c r="D19" i="18"/>
  <c r="E19" i="18" s="1"/>
  <c r="F19" i="18" s="1"/>
  <c r="AA19" i="18" s="1"/>
  <c r="Z19" i="18" s="1"/>
  <c r="Y19" i="18" s="1"/>
  <c r="D63" i="18"/>
  <c r="E63" i="18" s="1"/>
  <c r="F63" i="18" s="1"/>
  <c r="W40" i="18"/>
  <c r="D37" i="18"/>
  <c r="E37" i="18" s="1"/>
  <c r="F37" i="18" s="1"/>
  <c r="AA37" i="18" s="1"/>
  <c r="Z37" i="18" s="1"/>
  <c r="Y37" i="18" s="1"/>
  <c r="D22" i="18"/>
  <c r="E22" i="18" s="1"/>
  <c r="F22" i="18" s="1"/>
  <c r="AA22" i="18" s="1"/>
  <c r="Z22" i="18" s="1"/>
  <c r="Y22" i="18" s="1"/>
  <c r="D242" i="18"/>
  <c r="E242" i="18" s="1"/>
  <c r="F242" i="18" s="1"/>
  <c r="H242" i="18" s="1"/>
  <c r="W183" i="18"/>
  <c r="D203" i="18"/>
  <c r="E203" i="18" s="1"/>
  <c r="F203" i="18" s="1"/>
  <c r="G203" i="18" s="1"/>
  <c r="CA203" i="6" s="1"/>
  <c r="W205" i="18"/>
  <c r="D189" i="18"/>
  <c r="E189" i="18" s="1"/>
  <c r="F189" i="18" s="1"/>
  <c r="G189" i="18" s="1"/>
  <c r="CA189" i="6" s="1"/>
  <c r="W164" i="18"/>
  <c r="D350" i="18"/>
  <c r="E350" i="18" s="1"/>
  <c r="F350" i="18" s="1"/>
  <c r="AA350" i="18" s="1"/>
  <c r="Z350" i="18" s="1"/>
  <c r="Y350" i="18" s="1"/>
  <c r="D251" i="18"/>
  <c r="E251" i="18" s="1"/>
  <c r="F251" i="18" s="1"/>
  <c r="H251" i="18" s="1"/>
  <c r="W129" i="18"/>
  <c r="W286" i="18"/>
  <c r="W115" i="18"/>
  <c r="D285" i="18"/>
  <c r="E285" i="18" s="1"/>
  <c r="F285" i="18" s="1"/>
  <c r="AA285" i="18" s="1"/>
  <c r="Z285" i="18" s="1"/>
  <c r="Y285" i="18" s="1"/>
  <c r="D211" i="18"/>
  <c r="E211" i="18" s="1"/>
  <c r="F211" i="18" s="1"/>
  <c r="H211" i="18" s="1"/>
  <c r="D330" i="18"/>
  <c r="E330" i="18" s="1"/>
  <c r="F330" i="18" s="1"/>
  <c r="D373" i="18"/>
  <c r="E373" i="18" s="1"/>
  <c r="F373" i="18" s="1"/>
  <c r="H373" i="18" s="1"/>
  <c r="W219" i="18"/>
  <c r="D307" i="18"/>
  <c r="E307" i="18" s="1"/>
  <c r="F307" i="18" s="1"/>
  <c r="AA307" i="18" s="1"/>
  <c r="Z307" i="18" s="1"/>
  <c r="Y307" i="18" s="1"/>
  <c r="D351" i="18"/>
  <c r="E351" i="18" s="1"/>
  <c r="F351" i="18" s="1"/>
  <c r="AA351" i="18" s="1"/>
  <c r="Z351" i="18" s="1"/>
  <c r="Y351" i="18" s="1"/>
  <c r="W317" i="18"/>
  <c r="W341" i="18"/>
  <c r="W114" i="18"/>
  <c r="D296" i="18"/>
  <c r="E296" i="18" s="1"/>
  <c r="F296" i="18" s="1"/>
  <c r="H296" i="18" s="1"/>
  <c r="W152" i="18"/>
  <c r="D273" i="18"/>
  <c r="E273" i="18" s="1"/>
  <c r="F273" i="18" s="1"/>
  <c r="H273" i="18" s="1"/>
  <c r="W147" i="18"/>
  <c r="W231" i="18"/>
  <c r="D110" i="18"/>
  <c r="E110" i="18" s="1"/>
  <c r="F110" i="18" s="1"/>
  <c r="H110" i="18" s="1"/>
  <c r="W122" i="18"/>
  <c r="D284" i="18"/>
  <c r="E284" i="18" s="1"/>
  <c r="F284" i="18" s="1"/>
  <c r="G284" i="18" s="1"/>
  <c r="CA284" i="6" s="1"/>
  <c r="D113" i="18"/>
  <c r="E113" i="18" s="1"/>
  <c r="F113" i="18" s="1"/>
  <c r="G113" i="18" s="1"/>
  <c r="CA113" i="6" s="1"/>
  <c r="W375" i="18"/>
  <c r="W120" i="18"/>
  <c r="D150" i="18"/>
  <c r="E150" i="18" s="1"/>
  <c r="F150" i="18" s="1"/>
  <c r="AA150" i="18" s="1"/>
  <c r="Z150" i="18" s="1"/>
  <c r="Y150" i="18" s="1"/>
  <c r="W123" i="18"/>
  <c r="D124" i="18"/>
  <c r="E124" i="18" s="1"/>
  <c r="F124" i="18" s="1"/>
  <c r="H124" i="18" s="1"/>
  <c r="W141" i="18"/>
  <c r="W182" i="18"/>
  <c r="D334" i="18"/>
  <c r="E334" i="18" s="1"/>
  <c r="F334" i="18" s="1"/>
  <c r="G334" i="18" s="1"/>
  <c r="CA334" i="6" s="1"/>
  <c r="W136" i="18"/>
  <c r="D299" i="18"/>
  <c r="E299" i="18" s="1"/>
  <c r="F299" i="18" s="1"/>
  <c r="G299" i="18" s="1"/>
  <c r="CA299" i="6" s="1"/>
  <c r="D310" i="18"/>
  <c r="E310" i="18" s="1"/>
  <c r="F310" i="18" s="1"/>
  <c r="G310" i="18" s="1"/>
  <c r="CA310" i="6" s="1"/>
  <c r="W179" i="18"/>
  <c r="W266" i="18"/>
  <c r="D316" i="18"/>
  <c r="E316" i="18" s="1"/>
  <c r="F316" i="18" s="1"/>
  <c r="AA316" i="18" s="1"/>
  <c r="Z316" i="18" s="1"/>
  <c r="Y316" i="18" s="1"/>
  <c r="W168" i="18"/>
  <c r="W104" i="18"/>
  <c r="D277" i="18"/>
  <c r="E277" i="18" s="1"/>
  <c r="F277" i="18" s="1"/>
  <c r="G277" i="18" s="1"/>
  <c r="CA277" i="6" s="1"/>
  <c r="W173" i="18"/>
  <c r="W148" i="18"/>
  <c r="D74" i="7"/>
  <c r="F85" i="18"/>
  <c r="H85" i="18" s="1"/>
  <c r="V272" i="18"/>
  <c r="D272" i="18" s="1"/>
  <c r="E272" i="18" s="1"/>
  <c r="F272" i="18" s="1"/>
  <c r="V88" i="18"/>
  <c r="D65" i="19" s="1"/>
  <c r="W247" i="18"/>
  <c r="V302" i="18"/>
  <c r="V119" i="18"/>
  <c r="D231" i="18"/>
  <c r="E231" i="18" s="1"/>
  <c r="F231" i="18" s="1"/>
  <c r="G231" i="18" s="1"/>
  <c r="CA231" i="6" s="1"/>
  <c r="F68" i="18"/>
  <c r="AA68" i="18" s="1"/>
  <c r="Z68" i="18" s="1"/>
  <c r="Y68" i="18" s="1"/>
  <c r="D283" i="18"/>
  <c r="E283" i="18" s="1"/>
  <c r="F283" i="18" s="1"/>
  <c r="AA283" i="18" s="1"/>
  <c r="Z283" i="18" s="1"/>
  <c r="Y283" i="18" s="1"/>
  <c r="D69" i="7"/>
  <c r="AI381" i="18"/>
  <c r="W218" i="18"/>
  <c r="D335" i="18"/>
  <c r="E335" i="18" s="1"/>
  <c r="F335" i="18" s="1"/>
  <c r="G335" i="18" s="1"/>
  <c r="CA335" i="6" s="1"/>
  <c r="W371" i="18"/>
  <c r="D274" i="18"/>
  <c r="E274" i="18" s="1"/>
  <c r="F274" i="18" s="1"/>
  <c r="H274" i="18" s="1"/>
  <c r="D75" i="7"/>
  <c r="W226" i="18"/>
  <c r="W345" i="18"/>
  <c r="F17" i="18"/>
  <c r="G17" i="18" s="1"/>
  <c r="CA17" i="6" s="1"/>
  <c r="D300" i="18"/>
  <c r="E300" i="18" s="1"/>
  <c r="F300" i="18" s="1"/>
  <c r="G300" i="18" s="1"/>
  <c r="CA300" i="6" s="1"/>
  <c r="W270" i="18"/>
  <c r="W331" i="18"/>
  <c r="W260" i="18"/>
  <c r="F169" i="18"/>
  <c r="G169" i="18" s="1"/>
  <c r="CA169" i="6" s="1"/>
  <c r="F77" i="18"/>
  <c r="G77" i="18" s="1"/>
  <c r="CA77" i="6" s="1"/>
  <c r="W257" i="18"/>
  <c r="D78" i="7"/>
  <c r="W262" i="18"/>
  <c r="V180" i="18"/>
  <c r="W353" i="18"/>
  <c r="W230" i="18"/>
  <c r="D197" i="18"/>
  <c r="E197" i="18" s="1"/>
  <c r="F197" i="18" s="1"/>
  <c r="H197" i="18" s="1"/>
  <c r="F64" i="18"/>
  <c r="H64" i="18" s="1"/>
  <c r="W204" i="18"/>
  <c r="W206" i="18"/>
  <c r="W213" i="18"/>
  <c r="W220" i="18"/>
  <c r="W322" i="18"/>
  <c r="F132" i="18"/>
  <c r="G132" i="18" s="1"/>
  <c r="CA132" i="6" s="1"/>
  <c r="D354" i="18"/>
  <c r="E354" i="18" s="1"/>
  <c r="F354" i="18" s="1"/>
  <c r="AA354" i="18" s="1"/>
  <c r="Z354" i="18" s="1"/>
  <c r="Y354" i="18" s="1"/>
  <c r="D340" i="18"/>
  <c r="E340" i="18" s="1"/>
  <c r="F340" i="18" s="1"/>
  <c r="AA340" i="18" s="1"/>
  <c r="Z340" i="18" s="1"/>
  <c r="Y340" i="18" s="1"/>
  <c r="W357" i="18"/>
  <c r="F66" i="18"/>
  <c r="W246" i="18"/>
  <c r="D79" i="7"/>
  <c r="D293" i="18"/>
  <c r="E293" i="18" s="1"/>
  <c r="F293" i="18" s="1"/>
  <c r="AA293" i="18" s="1"/>
  <c r="Z293" i="18" s="1"/>
  <c r="Y293" i="18" s="1"/>
  <c r="D321" i="18"/>
  <c r="E321" i="18" s="1"/>
  <c r="F321" i="18" s="1"/>
  <c r="AA321" i="18" s="1"/>
  <c r="Z321" i="18" s="1"/>
  <c r="Y321" i="18" s="1"/>
  <c r="F112" i="18"/>
  <c r="H112" i="18" s="1"/>
  <c r="W276" i="18"/>
  <c r="W352" i="18"/>
  <c r="F144" i="18"/>
  <c r="G144" i="18" s="1"/>
  <c r="CA144" i="6" s="1"/>
  <c r="W309" i="18"/>
  <c r="AI382" i="18"/>
  <c r="AI383" i="18"/>
  <c r="W292" i="18"/>
  <c r="W214" i="18"/>
  <c r="D248" i="18"/>
  <c r="E248" i="18" s="1"/>
  <c r="F248" i="18" s="1"/>
  <c r="D369" i="18"/>
  <c r="E369" i="18" s="1"/>
  <c r="F369" i="18" s="1"/>
  <c r="H369" i="18" s="1"/>
  <c r="F126" i="18"/>
  <c r="G126" i="18" s="1"/>
  <c r="CA126" i="6" s="1"/>
  <c r="F42" i="18"/>
  <c r="H42" i="18" s="1"/>
  <c r="W225" i="18"/>
  <c r="W346" i="18"/>
  <c r="D278" i="18"/>
  <c r="E278" i="18" s="1"/>
  <c r="F278" i="18" s="1"/>
  <c r="H278" i="18" s="1"/>
  <c r="D370" i="18"/>
  <c r="E370" i="18" s="1"/>
  <c r="F370" i="18" s="1"/>
  <c r="G370" i="18" s="1"/>
  <c r="CA370" i="6" s="1"/>
  <c r="D217" i="18"/>
  <c r="E217" i="18" s="1"/>
  <c r="F217" i="18" s="1"/>
  <c r="AA217" i="18" s="1"/>
  <c r="Z217" i="18" s="1"/>
  <c r="Y217" i="18" s="1"/>
  <c r="F171" i="18"/>
  <c r="G171" i="18" s="1"/>
  <c r="CA171" i="6" s="1"/>
  <c r="W235" i="18"/>
  <c r="W256" i="18"/>
  <c r="D308" i="18"/>
  <c r="E308" i="18" s="1"/>
  <c r="F308" i="18" s="1"/>
  <c r="G308" i="18" s="1"/>
  <c r="CA308" i="6" s="1"/>
  <c r="F56" i="18"/>
  <c r="H56" i="18" s="1"/>
  <c r="F51" i="18"/>
  <c r="H51" i="18" s="1"/>
  <c r="F65" i="18"/>
  <c r="H65" i="18" s="1"/>
  <c r="W261" i="18"/>
  <c r="W216" i="18"/>
  <c r="W290" i="18"/>
  <c r="W222" i="18"/>
  <c r="F145" i="18"/>
  <c r="D205" i="18"/>
  <c r="E205" i="18" s="1"/>
  <c r="F205" i="18" s="1"/>
  <c r="H205" i="18" s="1"/>
  <c r="W284" i="18"/>
  <c r="W273" i="18"/>
  <c r="D263" i="18"/>
  <c r="E263" i="18" s="1"/>
  <c r="F263" i="18" s="1"/>
  <c r="H263" i="18" s="1"/>
  <c r="D317" i="18"/>
  <c r="E317" i="18" s="1"/>
  <c r="F317" i="18" s="1"/>
  <c r="AA317" i="18" s="1"/>
  <c r="Z317" i="18" s="1"/>
  <c r="Y317" i="18" s="1"/>
  <c r="W330" i="18"/>
  <c r="F152" i="18"/>
  <c r="H152" i="18" s="1"/>
  <c r="W350" i="18"/>
  <c r="W63" i="18"/>
  <c r="D122" i="18"/>
  <c r="E122" i="18" s="1"/>
  <c r="F122" i="18" s="1"/>
  <c r="H122" i="18" s="1"/>
  <c r="D179" i="18"/>
  <c r="E179" i="18" s="1"/>
  <c r="F179" i="18" s="1"/>
  <c r="AA179" i="18" s="1"/>
  <c r="Z179" i="18" s="1"/>
  <c r="Y179" i="18" s="1"/>
  <c r="D25" i="18"/>
  <c r="E25" i="18" s="1"/>
  <c r="F25" i="18" s="1"/>
  <c r="AA25" i="18" s="1"/>
  <c r="Z25" i="18" s="1"/>
  <c r="Y25" i="18" s="1"/>
  <c r="D99" i="18"/>
  <c r="E99" i="18" s="1"/>
  <c r="F99" i="18" s="1"/>
  <c r="H99" i="18" s="1"/>
  <c r="D182" i="18"/>
  <c r="E182" i="18" s="1"/>
  <c r="F182" i="18" s="1"/>
  <c r="G182" i="18" s="1"/>
  <c r="CA182" i="6" s="1"/>
  <c r="W39" i="18"/>
  <c r="D90" i="18"/>
  <c r="E90" i="18" s="1"/>
  <c r="F90" i="18" s="1"/>
  <c r="W192" i="18"/>
  <c r="D134" i="18"/>
  <c r="E134" i="18" s="1"/>
  <c r="F134" i="18" s="1"/>
  <c r="AA134" i="18" s="1"/>
  <c r="Z134" i="18" s="1"/>
  <c r="Y134" i="18" s="1"/>
  <c r="D267" i="18"/>
  <c r="E267" i="18" s="1"/>
  <c r="F267" i="18" s="1"/>
  <c r="AA267" i="18" s="1"/>
  <c r="Z267" i="18" s="1"/>
  <c r="Y267" i="18" s="1"/>
  <c r="W27" i="18"/>
  <c r="W311" i="18"/>
  <c r="D57" i="18"/>
  <c r="E57" i="18" s="1"/>
  <c r="F57" i="18" s="1"/>
  <c r="H57" i="18" s="1"/>
  <c r="W316" i="18"/>
  <c r="D114" i="18"/>
  <c r="E114" i="18" s="1"/>
  <c r="F114" i="18" s="1"/>
  <c r="G114" i="18" s="1"/>
  <c r="CA114" i="6" s="1"/>
  <c r="W373" i="18"/>
  <c r="D253" i="18"/>
  <c r="E253" i="18" s="1"/>
  <c r="F253" i="18" s="1"/>
  <c r="AA253" i="18" s="1"/>
  <c r="Z253" i="18" s="1"/>
  <c r="Y253" i="18" s="1"/>
  <c r="W366" i="18"/>
  <c r="W21" i="18"/>
  <c r="D375" i="18"/>
  <c r="E375" i="18" s="1"/>
  <c r="F375" i="18" s="1"/>
  <c r="AA375" i="18" s="1"/>
  <c r="Z375" i="18" s="1"/>
  <c r="Y375" i="18" s="1"/>
  <c r="W199" i="18"/>
  <c r="D104" i="18"/>
  <c r="E104" i="18" s="1"/>
  <c r="F104" i="18" s="1"/>
  <c r="AA104" i="18" s="1"/>
  <c r="Z104" i="18" s="1"/>
  <c r="Y104" i="18" s="1"/>
  <c r="D281" i="18"/>
  <c r="E281" i="18" s="1"/>
  <c r="F281" i="18" s="1"/>
  <c r="G281" i="18" s="1"/>
  <c r="CA281" i="6" s="1"/>
  <c r="W170" i="18"/>
  <c r="D131" i="18"/>
  <c r="E131" i="18" s="1"/>
  <c r="F131" i="18" s="1"/>
  <c r="AA131" i="18" s="1"/>
  <c r="Z131" i="18" s="1"/>
  <c r="Y131" i="18" s="1"/>
  <c r="D130" i="18"/>
  <c r="E130" i="18" s="1"/>
  <c r="F130" i="18" s="1"/>
  <c r="AA130" i="18" s="1"/>
  <c r="Z130" i="18" s="1"/>
  <c r="Y130" i="18" s="1"/>
  <c r="W31" i="18"/>
  <c r="D157" i="18"/>
  <c r="E157" i="18" s="1"/>
  <c r="F157" i="18" s="1"/>
  <c r="G157" i="18" s="1"/>
  <c r="CA157" i="6" s="1"/>
  <c r="D305" i="18"/>
  <c r="E305" i="18" s="1"/>
  <c r="F305" i="18" s="1"/>
  <c r="H305" i="18" s="1"/>
  <c r="D73" i="18"/>
  <c r="E73" i="18" s="1"/>
  <c r="F73" i="18" s="1"/>
  <c r="G73" i="18" s="1"/>
  <c r="CA73" i="6" s="1"/>
  <c r="W138" i="18"/>
  <c r="D59" i="18"/>
  <c r="E59" i="18" s="1"/>
  <c r="F59" i="18" s="1"/>
  <c r="W343" i="18"/>
  <c r="W378" i="18"/>
  <c r="D101" i="18"/>
  <c r="E101" i="18" s="1"/>
  <c r="F101" i="18" s="1"/>
  <c r="AA101" i="18" s="1"/>
  <c r="Z101" i="18" s="1"/>
  <c r="Y101" i="18" s="1"/>
  <c r="D91" i="18"/>
  <c r="E91" i="18" s="1"/>
  <c r="F91" i="18" s="1"/>
  <c r="H91" i="18" s="1"/>
  <c r="W314" i="18"/>
  <c r="D259" i="18"/>
  <c r="E259" i="18" s="1"/>
  <c r="F259" i="18" s="1"/>
  <c r="G259" i="18" s="1"/>
  <c r="CA259" i="6" s="1"/>
  <c r="D376" i="18"/>
  <c r="E376" i="18" s="1"/>
  <c r="F376" i="18" s="1"/>
  <c r="G376" i="18" s="1"/>
  <c r="CA376" i="6" s="1"/>
  <c r="D100" i="18"/>
  <c r="E100" i="18" s="1"/>
  <c r="F100" i="18" s="1"/>
  <c r="H100" i="18" s="1"/>
  <c r="D279" i="18"/>
  <c r="E279" i="18" s="1"/>
  <c r="F279" i="18" s="1"/>
  <c r="H279" i="18" s="1"/>
  <c r="W368" i="18"/>
  <c r="W280" i="18"/>
  <c r="D78" i="18"/>
  <c r="E78" i="18" s="1"/>
  <c r="F78" i="18" s="1"/>
  <c r="G78" i="18" s="1"/>
  <c r="CA78" i="6" s="1"/>
  <c r="W374" i="18"/>
  <c r="W92" i="18"/>
  <c r="W323" i="18"/>
  <c r="D269" i="18"/>
  <c r="E269" i="18" s="1"/>
  <c r="F269" i="18" s="1"/>
  <c r="G269" i="18" s="1"/>
  <c r="CA269" i="6" s="1"/>
  <c r="D137" i="18"/>
  <c r="E137" i="18" s="1"/>
  <c r="F137" i="18" s="1"/>
  <c r="AA137" i="18" s="1"/>
  <c r="Z137" i="18" s="1"/>
  <c r="Y137" i="18" s="1"/>
  <c r="W215" i="18"/>
  <c r="D58" i="18"/>
  <c r="E58" i="18" s="1"/>
  <c r="F58" i="18" s="1"/>
  <c r="G58" i="18" s="1"/>
  <c r="CA58" i="6" s="1"/>
  <c r="W372" i="18"/>
  <c r="W271" i="18"/>
  <c r="D191" i="18"/>
  <c r="E191" i="18" s="1"/>
  <c r="F191" i="18" s="1"/>
  <c r="H191" i="18" s="1"/>
  <c r="W195" i="18"/>
  <c r="D24" i="18"/>
  <c r="E24" i="18" s="1"/>
  <c r="F24" i="18" s="1"/>
  <c r="H24" i="18" s="1"/>
  <c r="D362" i="18"/>
  <c r="E362" i="18" s="1"/>
  <c r="F362" i="18" s="1"/>
  <c r="G362" i="18" s="1"/>
  <c r="CA362" i="6" s="1"/>
  <c r="D325" i="18"/>
  <c r="E325" i="18" s="1"/>
  <c r="F325" i="18" s="1"/>
  <c r="W239" i="18"/>
  <c r="W94" i="18"/>
  <c r="W236" i="18"/>
  <c r="W237" i="18"/>
  <c r="W255" i="18"/>
  <c r="D50" i="18"/>
  <c r="E50" i="18" s="1"/>
  <c r="F50" i="18" s="1"/>
  <c r="D160" i="18"/>
  <c r="E160" i="18" s="1"/>
  <c r="F160" i="18" s="1"/>
  <c r="H160" i="18" s="1"/>
  <c r="D146" i="18"/>
  <c r="E146" i="18" s="1"/>
  <c r="F146" i="18" s="1"/>
  <c r="H146" i="18" s="1"/>
  <c r="D148" i="18"/>
  <c r="E148" i="18" s="1"/>
  <c r="F148" i="18" s="1"/>
  <c r="H148" i="18" s="1"/>
  <c r="D47" i="18"/>
  <c r="E47" i="18" s="1"/>
  <c r="F47" i="18" s="1"/>
  <c r="H47" i="18" s="1"/>
  <c r="D72" i="18"/>
  <c r="E72" i="18" s="1"/>
  <c r="F72" i="18" s="1"/>
  <c r="H72" i="18" s="1"/>
  <c r="D141" i="18"/>
  <c r="E141" i="18" s="1"/>
  <c r="F141" i="18" s="1"/>
  <c r="G141" i="18" s="1"/>
  <c r="CA141" i="6" s="1"/>
  <c r="D286" i="18"/>
  <c r="E286" i="18" s="1"/>
  <c r="F286" i="18" s="1"/>
  <c r="H286" i="18" s="1"/>
  <c r="D43" i="18"/>
  <c r="E43" i="18" s="1"/>
  <c r="F43" i="18" s="1"/>
  <c r="H43" i="18" s="1"/>
  <c r="W67" i="18"/>
  <c r="W19" i="18"/>
  <c r="D82" i="18"/>
  <c r="E82" i="18" s="1"/>
  <c r="F82" i="18" s="1"/>
  <c r="H82" i="18" s="1"/>
  <c r="W150" i="18"/>
  <c r="W37" i="18"/>
  <c r="W234" i="18"/>
  <c r="W117" i="18"/>
  <c r="W212" i="18"/>
  <c r="D301" i="18"/>
  <c r="E301" i="18" s="1"/>
  <c r="F301" i="18" s="1"/>
  <c r="H301" i="18" s="1"/>
  <c r="D327" i="18"/>
  <c r="E327" i="18" s="1"/>
  <c r="F327" i="18" s="1"/>
  <c r="W161" i="18"/>
  <c r="W328" i="18"/>
  <c r="W38" i="18"/>
  <c r="D173" i="18"/>
  <c r="E173" i="18" s="1"/>
  <c r="F173" i="18" s="1"/>
  <c r="H173" i="18" s="1"/>
  <c r="W113" i="18"/>
  <c r="W307" i="18"/>
  <c r="W177" i="18"/>
  <c r="W264" i="18"/>
  <c r="W54" i="18"/>
  <c r="W285" i="18"/>
  <c r="W242" i="18"/>
  <c r="W355" i="18"/>
  <c r="W351" i="18"/>
  <c r="W296" i="18"/>
  <c r="D183" i="18"/>
  <c r="E183" i="18" s="1"/>
  <c r="F183" i="18" s="1"/>
  <c r="G183" i="18" s="1"/>
  <c r="CA183" i="6" s="1"/>
  <c r="W245" i="18"/>
  <c r="D313" i="18"/>
  <c r="E313" i="18" s="1"/>
  <c r="F313" i="18" s="1"/>
  <c r="G313" i="18" s="1"/>
  <c r="CA313" i="6" s="1"/>
  <c r="D167" i="18"/>
  <c r="E167" i="18" s="1"/>
  <c r="F167" i="18" s="1"/>
  <c r="H167" i="18" s="1"/>
  <c r="D142" i="18"/>
  <c r="E142" i="18" s="1"/>
  <c r="F142" i="18" s="1"/>
  <c r="AA142" i="18" s="1"/>
  <c r="Z142" i="18" s="1"/>
  <c r="Y142" i="18" s="1"/>
  <c r="W142" i="18"/>
  <c r="D332" i="18"/>
  <c r="E332" i="18" s="1"/>
  <c r="F332" i="18" s="1"/>
  <c r="AA332" i="18" s="1"/>
  <c r="Z332" i="18" s="1"/>
  <c r="Y332" i="18" s="1"/>
  <c r="W332" i="18"/>
  <c r="W318" i="18"/>
  <c r="D318" i="18"/>
  <c r="E318" i="18" s="1"/>
  <c r="F318" i="18" s="1"/>
  <c r="AA318" i="18" s="1"/>
  <c r="Z318" i="18" s="1"/>
  <c r="Y318" i="18" s="1"/>
  <c r="W127" i="18"/>
  <c r="D127" i="18"/>
  <c r="E127" i="18" s="1"/>
  <c r="F127" i="18" s="1"/>
  <c r="AA127" i="18" s="1"/>
  <c r="Z127" i="18" s="1"/>
  <c r="Y127" i="18" s="1"/>
  <c r="W289" i="18"/>
  <c r="D289" i="18"/>
  <c r="E289" i="18" s="1"/>
  <c r="F289" i="18" s="1"/>
  <c r="G289" i="18" s="1"/>
  <c r="CA289" i="6" s="1"/>
  <c r="D282" i="18"/>
  <c r="E282" i="18" s="1"/>
  <c r="F282" i="18" s="1"/>
  <c r="G282" i="18" s="1"/>
  <c r="CA282" i="6" s="1"/>
  <c r="W282" i="18"/>
  <c r="W108" i="18"/>
  <c r="D108" i="18"/>
  <c r="E108" i="18" s="1"/>
  <c r="F108" i="18" s="1"/>
  <c r="H108" i="18" s="1"/>
  <c r="D312" i="18"/>
  <c r="E312" i="18" s="1"/>
  <c r="F312" i="18" s="1"/>
  <c r="H312" i="18" s="1"/>
  <c r="W312" i="18"/>
  <c r="D326" i="18"/>
  <c r="E326" i="18" s="1"/>
  <c r="F326" i="18" s="1"/>
  <c r="AA326" i="18" s="1"/>
  <c r="Z326" i="18" s="1"/>
  <c r="Y326" i="18" s="1"/>
  <c r="W326" i="18"/>
  <c r="W268" i="18"/>
  <c r="D268" i="18"/>
  <c r="E268" i="18" s="1"/>
  <c r="F268" i="18" s="1"/>
  <c r="H268" i="18" s="1"/>
  <c r="D159" i="18"/>
  <c r="E159" i="18" s="1"/>
  <c r="F159" i="18" s="1"/>
  <c r="W159" i="18"/>
  <c r="D83" i="18"/>
  <c r="E83" i="18" s="1"/>
  <c r="F83" i="18" s="1"/>
  <c r="AA83" i="18" s="1"/>
  <c r="Z83" i="18" s="1"/>
  <c r="Y83" i="18" s="1"/>
  <c r="W83" i="18"/>
  <c r="W30" i="18"/>
  <c r="D30" i="18"/>
  <c r="E30" i="18" s="1"/>
  <c r="F30" i="18" s="1"/>
  <c r="G30" i="18" s="1"/>
  <c r="CA30" i="6" s="1"/>
  <c r="W48" i="18"/>
  <c r="D48" i="18"/>
  <c r="E48" i="18" s="1"/>
  <c r="F48" i="18" s="1"/>
  <c r="G48" i="18" s="1"/>
  <c r="CA48" i="6" s="1"/>
  <c r="W33" i="18"/>
  <c r="D33" i="18"/>
  <c r="E33" i="18" s="1"/>
  <c r="F33" i="18" s="1"/>
  <c r="AA33" i="18" s="1"/>
  <c r="Z33" i="18" s="1"/>
  <c r="Y33" i="18" s="1"/>
  <c r="D80" i="18"/>
  <c r="E80" i="18" s="1"/>
  <c r="F80" i="18" s="1"/>
  <c r="W80" i="18"/>
  <c r="D95" i="18"/>
  <c r="E95" i="18" s="1"/>
  <c r="F95" i="18" s="1"/>
  <c r="AA95" i="18" s="1"/>
  <c r="Z95" i="18" s="1"/>
  <c r="Y95" i="18" s="1"/>
  <c r="W95" i="18"/>
  <c r="W75" i="18"/>
  <c r="D75" i="18"/>
  <c r="E75" i="18" s="1"/>
  <c r="F75" i="18" s="1"/>
  <c r="G75" i="18" s="1"/>
  <c r="CA75" i="6" s="1"/>
  <c r="W76" i="18"/>
  <c r="D76" i="18"/>
  <c r="E76" i="18" s="1"/>
  <c r="F76" i="18" s="1"/>
  <c r="H76" i="18" s="1"/>
  <c r="W291" i="18"/>
  <c r="D291" i="18"/>
  <c r="E291" i="18" s="1"/>
  <c r="F291" i="18" s="1"/>
  <c r="AA291" i="18" s="1"/>
  <c r="Z291" i="18" s="1"/>
  <c r="Y291" i="18" s="1"/>
  <c r="D190" i="18"/>
  <c r="E190" i="18" s="1"/>
  <c r="F190" i="18" s="1"/>
  <c r="AA190" i="18" s="1"/>
  <c r="Z190" i="18" s="1"/>
  <c r="Y190" i="18" s="1"/>
  <c r="W190" i="18"/>
  <c r="W303" i="18"/>
  <c r="D303" i="18"/>
  <c r="E303" i="18" s="1"/>
  <c r="F303" i="18" s="1"/>
  <c r="G303" i="18" s="1"/>
  <c r="CA303" i="6" s="1"/>
  <c r="W172" i="18"/>
  <c r="D172" i="18"/>
  <c r="E172" i="18" s="1"/>
  <c r="F172" i="18" s="1"/>
  <c r="H172" i="18" s="1"/>
  <c r="D365" i="18"/>
  <c r="E365" i="18" s="1"/>
  <c r="F365" i="18" s="1"/>
  <c r="W365" i="18"/>
  <c r="W153" i="18"/>
  <c r="D153" i="18"/>
  <c r="E153" i="18" s="1"/>
  <c r="F153" i="18" s="1"/>
  <c r="G153" i="18" s="1"/>
  <c r="CA153" i="6" s="1"/>
  <c r="D194" i="18"/>
  <c r="E194" i="18" s="1"/>
  <c r="F194" i="18" s="1"/>
  <c r="AA194" i="18" s="1"/>
  <c r="Z194" i="18" s="1"/>
  <c r="Y194" i="18" s="1"/>
  <c r="W194" i="18"/>
  <c r="W55" i="18"/>
  <c r="D55" i="18"/>
  <c r="E55" i="18" s="1"/>
  <c r="F55" i="18" s="1"/>
  <c r="G55" i="18" s="1"/>
  <c r="CA55" i="6" s="1"/>
  <c r="D69" i="18"/>
  <c r="E69" i="18" s="1"/>
  <c r="F69" i="18" s="1"/>
  <c r="AA69" i="18" s="1"/>
  <c r="Z69" i="18" s="1"/>
  <c r="Y69" i="18" s="1"/>
  <c r="W69" i="18"/>
  <c r="D81" i="18"/>
  <c r="E81" i="18" s="1"/>
  <c r="F81" i="18" s="1"/>
  <c r="H81" i="18" s="1"/>
  <c r="W81" i="18"/>
  <c r="D223" i="18"/>
  <c r="E223" i="18" s="1"/>
  <c r="F223" i="18" s="1"/>
  <c r="G223" i="18" s="1"/>
  <c r="CA223" i="6" s="1"/>
  <c r="W223" i="18"/>
  <c r="W287" i="18"/>
  <c r="D287" i="18"/>
  <c r="E287" i="18" s="1"/>
  <c r="F287" i="18" s="1"/>
  <c r="AA287" i="18" s="1"/>
  <c r="Z287" i="18" s="1"/>
  <c r="Y287" i="18" s="1"/>
  <c r="W294" i="18"/>
  <c r="D294" i="18"/>
  <c r="E294" i="18" s="1"/>
  <c r="F294" i="18" s="1"/>
  <c r="H294" i="18" s="1"/>
  <c r="D339" i="18"/>
  <c r="E339" i="18" s="1"/>
  <c r="F339" i="18" s="1"/>
  <c r="AA339" i="18" s="1"/>
  <c r="Z339" i="18" s="1"/>
  <c r="Y339" i="18" s="1"/>
  <c r="W339" i="18"/>
  <c r="D265" i="18"/>
  <c r="E265" i="18" s="1"/>
  <c r="F265" i="18" s="1"/>
  <c r="W265" i="18"/>
  <c r="D140" i="18"/>
  <c r="E140" i="18" s="1"/>
  <c r="F140" i="18" s="1"/>
  <c r="G140" i="18" s="1"/>
  <c r="CA140" i="6" s="1"/>
  <c r="W140" i="18"/>
  <c r="W111" i="18"/>
  <c r="D111" i="18"/>
  <c r="E111" i="18" s="1"/>
  <c r="F111" i="18" s="1"/>
  <c r="H111" i="18" s="1"/>
  <c r="W304" i="18"/>
  <c r="D304" i="18"/>
  <c r="E304" i="18" s="1"/>
  <c r="F304" i="18" s="1"/>
  <c r="G304" i="18" s="1"/>
  <c r="CA304" i="6" s="1"/>
  <c r="W233" i="18"/>
  <c r="D233" i="18"/>
  <c r="E233" i="18" s="1"/>
  <c r="F233" i="18" s="1"/>
  <c r="AA233" i="18" s="1"/>
  <c r="Z233" i="18" s="1"/>
  <c r="Y233" i="18" s="1"/>
  <c r="W200" i="18"/>
  <c r="D200" i="18"/>
  <c r="E200" i="18" s="1"/>
  <c r="F200" i="18" s="1"/>
  <c r="H200" i="18" s="1"/>
  <c r="W23" i="18"/>
  <c r="D23" i="18"/>
  <c r="E23" i="18" s="1"/>
  <c r="F23" i="18" s="1"/>
  <c r="AA23" i="18" s="1"/>
  <c r="Z23" i="18" s="1"/>
  <c r="Y23" i="18" s="1"/>
  <c r="W209" i="18"/>
  <c r="D209" i="18"/>
  <c r="E209" i="18" s="1"/>
  <c r="F209" i="18" s="1"/>
  <c r="G209" i="18" s="1"/>
  <c r="CA209" i="6" s="1"/>
  <c r="W356" i="18"/>
  <c r="D356" i="18"/>
  <c r="E356" i="18" s="1"/>
  <c r="F356" i="18" s="1"/>
  <c r="G356" i="18" s="1"/>
  <c r="CA356" i="6" s="1"/>
  <c r="W185" i="18"/>
  <c r="D185" i="18"/>
  <c r="E185" i="18" s="1"/>
  <c r="F185" i="18" s="1"/>
  <c r="G185" i="18" s="1"/>
  <c r="CA185" i="6" s="1"/>
  <c r="D367" i="18"/>
  <c r="E367" i="18" s="1"/>
  <c r="F367" i="18" s="1"/>
  <c r="AA367" i="18" s="1"/>
  <c r="Z367" i="18" s="1"/>
  <c r="Y367" i="18" s="1"/>
  <c r="W367" i="18"/>
  <c r="W324" i="18"/>
  <c r="D324" i="18"/>
  <c r="E324" i="18" s="1"/>
  <c r="F324" i="18" s="1"/>
  <c r="G324" i="18" s="1"/>
  <c r="CA324" i="6" s="1"/>
  <c r="D359" i="18"/>
  <c r="E359" i="18" s="1"/>
  <c r="F359" i="18" s="1"/>
  <c r="W359" i="18"/>
  <c r="D176" i="18"/>
  <c r="E176" i="18" s="1"/>
  <c r="F176" i="18" s="1"/>
  <c r="G176" i="18" s="1"/>
  <c r="CA176" i="6" s="1"/>
  <c r="W176" i="18"/>
  <c r="W151" i="18"/>
  <c r="D151" i="18"/>
  <c r="E151" i="18" s="1"/>
  <c r="F151" i="18" s="1"/>
  <c r="G151" i="18" s="1"/>
  <c r="CA151" i="6" s="1"/>
  <c r="W360" i="18"/>
  <c r="D360" i="18"/>
  <c r="E360" i="18" s="1"/>
  <c r="F360" i="18" s="1"/>
  <c r="AA360" i="18" s="1"/>
  <c r="Z360" i="18" s="1"/>
  <c r="Y360" i="18" s="1"/>
  <c r="D344" i="18"/>
  <c r="E344" i="18" s="1"/>
  <c r="F344" i="18" s="1"/>
  <c r="AA344" i="18" s="1"/>
  <c r="Z344" i="18" s="1"/>
  <c r="Y344" i="18" s="1"/>
  <c r="W344" i="18"/>
  <c r="D155" i="18"/>
  <c r="E155" i="18" s="1"/>
  <c r="F155" i="18" s="1"/>
  <c r="G155" i="18" s="1"/>
  <c r="CA155" i="6" s="1"/>
  <c r="W155" i="18"/>
  <c r="W228" i="18"/>
  <c r="D228" i="18"/>
  <c r="E228" i="18" s="1"/>
  <c r="F228" i="18" s="1"/>
  <c r="AA228" i="18" s="1"/>
  <c r="Z228" i="18" s="1"/>
  <c r="Y228" i="18" s="1"/>
  <c r="D232" i="18"/>
  <c r="E232" i="18" s="1"/>
  <c r="F232" i="18" s="1"/>
  <c r="H232" i="18" s="1"/>
  <c r="W232" i="18"/>
  <c r="W107" i="18"/>
  <c r="D107" i="18"/>
  <c r="E107" i="18" s="1"/>
  <c r="F107" i="18" s="1"/>
  <c r="AA107" i="18" s="1"/>
  <c r="Z107" i="18" s="1"/>
  <c r="Y107" i="18" s="1"/>
  <c r="W121" i="18"/>
  <c r="D121" i="18"/>
  <c r="E121" i="18" s="1"/>
  <c r="F121" i="18" s="1"/>
  <c r="G121" i="18" s="1"/>
  <c r="CA121" i="6" s="1"/>
  <c r="W89" i="18"/>
  <c r="D89" i="18"/>
  <c r="E89" i="18" s="1"/>
  <c r="F89" i="18" s="1"/>
  <c r="AA89" i="18" s="1"/>
  <c r="Z89" i="18" s="1"/>
  <c r="Y89" i="18" s="1"/>
  <c r="W44" i="18"/>
  <c r="D44" i="18"/>
  <c r="E44" i="18" s="1"/>
  <c r="F44" i="18" s="1"/>
  <c r="G44" i="18" s="1"/>
  <c r="CA44" i="6" s="1"/>
  <c r="W358" i="18"/>
  <c r="D358" i="18"/>
  <c r="E358" i="18" s="1"/>
  <c r="F358" i="18" s="1"/>
  <c r="H358" i="18" s="1"/>
  <c r="D181" i="18"/>
  <c r="E181" i="18" s="1"/>
  <c r="F181" i="18" s="1"/>
  <c r="W181" i="18"/>
  <c r="W186" i="18"/>
  <c r="D186" i="18"/>
  <c r="E186" i="18" s="1"/>
  <c r="F186" i="18" s="1"/>
  <c r="G186" i="18" s="1"/>
  <c r="CA186" i="6" s="1"/>
  <c r="W336" i="18"/>
  <c r="D336" i="18"/>
  <c r="E336" i="18" s="1"/>
  <c r="F336" i="18" s="1"/>
  <c r="AA336" i="18" s="1"/>
  <c r="Z336" i="18" s="1"/>
  <c r="Y336" i="18" s="1"/>
  <c r="W96" i="18"/>
  <c r="D96" i="18"/>
  <c r="E96" i="18" s="1"/>
  <c r="F96" i="18" s="1"/>
  <c r="G96" i="18" s="1"/>
  <c r="CA96" i="6" s="1"/>
  <c r="D98" i="18"/>
  <c r="E98" i="18" s="1"/>
  <c r="F98" i="18" s="1"/>
  <c r="G98" i="18" s="1"/>
  <c r="CA98" i="6" s="1"/>
  <c r="W98" i="18"/>
  <c r="D102" i="18"/>
  <c r="E102" i="18" s="1"/>
  <c r="F102" i="18" s="1"/>
  <c r="H102" i="18" s="1"/>
  <c r="W102" i="18"/>
  <c r="W53" i="18"/>
  <c r="D53" i="18"/>
  <c r="E53" i="18" s="1"/>
  <c r="F53" i="18" s="1"/>
  <c r="H53" i="18" s="1"/>
  <c r="D244" i="18"/>
  <c r="E244" i="18" s="1"/>
  <c r="F244" i="18" s="1"/>
  <c r="G244" i="18" s="1"/>
  <c r="CA244" i="6" s="1"/>
  <c r="W244" i="18"/>
  <c r="W106" i="18"/>
  <c r="D106" i="18"/>
  <c r="E106" i="18" s="1"/>
  <c r="F106" i="18" s="1"/>
  <c r="G106" i="18" s="1"/>
  <c r="CA106" i="6" s="1"/>
  <c r="D163" i="18"/>
  <c r="E163" i="18" s="1"/>
  <c r="F163" i="18" s="1"/>
  <c r="W163" i="18"/>
  <c r="W361" i="18"/>
  <c r="D361" i="18"/>
  <c r="E361" i="18" s="1"/>
  <c r="F361" i="18" s="1"/>
  <c r="G361" i="18" s="1"/>
  <c r="CA361" i="6" s="1"/>
  <c r="W329" i="18"/>
  <c r="D329" i="18"/>
  <c r="E329" i="18" s="1"/>
  <c r="F329" i="18" s="1"/>
  <c r="H329" i="18" s="1"/>
  <c r="D229" i="18"/>
  <c r="E229" i="18" s="1"/>
  <c r="F229" i="18" s="1"/>
  <c r="AA229" i="18" s="1"/>
  <c r="Z229" i="18" s="1"/>
  <c r="Y229" i="18" s="1"/>
  <c r="W229" i="18"/>
  <c r="D240" i="18"/>
  <c r="E240" i="18" s="1"/>
  <c r="F240" i="18" s="1"/>
  <c r="AA240" i="18" s="1"/>
  <c r="Z240" i="18" s="1"/>
  <c r="Y240" i="18" s="1"/>
  <c r="W240" i="18"/>
  <c r="W32" i="18"/>
  <c r="D32" i="18"/>
  <c r="E32" i="18" s="1"/>
  <c r="F32" i="18" s="1"/>
  <c r="G32" i="18" s="1"/>
  <c r="CA32" i="6" s="1"/>
  <c r="W133" i="18"/>
  <c r="D133" i="18"/>
  <c r="E133" i="18" s="1"/>
  <c r="F133" i="18" s="1"/>
  <c r="G133" i="18" s="1"/>
  <c r="CA133" i="6" s="1"/>
  <c r="W154" i="18"/>
  <c r="D154" i="18"/>
  <c r="E154" i="18" s="1"/>
  <c r="F154" i="18" s="1"/>
  <c r="H154" i="18" s="1"/>
  <c r="W250" i="18"/>
  <c r="D250" i="18"/>
  <c r="E250" i="18" s="1"/>
  <c r="F250" i="18" s="1"/>
  <c r="H250" i="18" s="1"/>
  <c r="W243" i="18"/>
  <c r="D243" i="18"/>
  <c r="E243" i="18" s="1"/>
  <c r="F243" i="18" s="1"/>
  <c r="AA243" i="18" s="1"/>
  <c r="Z243" i="18" s="1"/>
  <c r="Y243" i="18" s="1"/>
  <c r="D87" i="18"/>
  <c r="E87" i="18" s="1"/>
  <c r="F87" i="18" s="1"/>
  <c r="G87" i="18" s="1"/>
  <c r="CA87" i="6" s="1"/>
  <c r="W87" i="18"/>
  <c r="I65" i="19"/>
  <c r="W188" i="18"/>
  <c r="D188" i="18"/>
  <c r="E188" i="18" s="1"/>
  <c r="F188" i="18" s="1"/>
  <c r="AA188" i="18" s="1"/>
  <c r="Z188" i="18" s="1"/>
  <c r="Y188" i="18" s="1"/>
  <c r="W165" i="18"/>
  <c r="D165" i="18"/>
  <c r="E165" i="18" s="1"/>
  <c r="F165" i="18" s="1"/>
  <c r="W175" i="18"/>
  <c r="D175" i="18"/>
  <c r="E175" i="18" s="1"/>
  <c r="F175" i="18" s="1"/>
  <c r="AA175" i="18" s="1"/>
  <c r="Z175" i="18" s="1"/>
  <c r="Y175" i="18" s="1"/>
  <c r="D320" i="18"/>
  <c r="E320" i="18" s="1"/>
  <c r="F320" i="18" s="1"/>
  <c r="H320" i="18" s="1"/>
  <c r="D347" i="18"/>
  <c r="E347" i="18" s="1"/>
  <c r="F347" i="18" s="1"/>
  <c r="D252" i="18"/>
  <c r="E252" i="18" s="1"/>
  <c r="F252" i="18" s="1"/>
  <c r="AA252" i="18" s="1"/>
  <c r="Z252" i="18" s="1"/>
  <c r="Y252" i="18" s="1"/>
  <c r="D128" i="18"/>
  <c r="E128" i="18" s="1"/>
  <c r="F128" i="18" s="1"/>
  <c r="AA128" i="18" s="1"/>
  <c r="Z128" i="18" s="1"/>
  <c r="Y128" i="18" s="1"/>
  <c r="D52" i="18"/>
  <c r="E52" i="18" s="1"/>
  <c r="F52" i="18" s="1"/>
  <c r="H52" i="18" s="1"/>
  <c r="W28" i="18"/>
  <c r="D208" i="18"/>
  <c r="E208" i="18" s="1"/>
  <c r="F208" i="18" s="1"/>
  <c r="G208" i="18" s="1"/>
  <c r="CA208" i="6" s="1"/>
  <c r="W118" i="18"/>
  <c r="W36" i="18"/>
  <c r="D207" i="18"/>
  <c r="E207" i="18" s="1"/>
  <c r="F207" i="18" s="1"/>
  <c r="G207" i="18" s="1"/>
  <c r="CA207" i="6" s="1"/>
  <c r="W110" i="18"/>
  <c r="W211" i="18"/>
  <c r="E71" i="18"/>
  <c r="F71" i="18" s="1"/>
  <c r="H71" i="18" s="1"/>
  <c r="W277" i="18"/>
  <c r="D168" i="18"/>
  <c r="E168" i="18" s="1"/>
  <c r="F168" i="18" s="1"/>
  <c r="G168" i="18" s="1"/>
  <c r="CA168" i="6" s="1"/>
  <c r="D147" i="18"/>
  <c r="E147" i="18" s="1"/>
  <c r="F147" i="18" s="1"/>
  <c r="G147" i="18" s="1"/>
  <c r="CA147" i="6" s="1"/>
  <c r="D266" i="18"/>
  <c r="E266" i="18" s="1"/>
  <c r="F266" i="18" s="1"/>
  <c r="G266" i="18" s="1"/>
  <c r="CA266" i="6" s="1"/>
  <c r="D341" i="18"/>
  <c r="E341" i="18" s="1"/>
  <c r="F341" i="18" s="1"/>
  <c r="G341" i="18" s="1"/>
  <c r="CA341" i="6" s="1"/>
  <c r="D219" i="18"/>
  <c r="E219" i="18" s="1"/>
  <c r="F219" i="18" s="1"/>
  <c r="AA219" i="18" s="1"/>
  <c r="Z219" i="18" s="1"/>
  <c r="Y219" i="18" s="1"/>
  <c r="D115" i="18"/>
  <c r="E115" i="18" s="1"/>
  <c r="F115" i="18" s="1"/>
  <c r="AA115" i="18" s="1"/>
  <c r="Z115" i="18" s="1"/>
  <c r="Y115" i="18" s="1"/>
  <c r="W203" i="18"/>
  <c r="W202" i="18"/>
  <c r="W34" i="18"/>
  <c r="D178" i="18"/>
  <c r="E178" i="18" s="1"/>
  <c r="F178" i="18" s="1"/>
  <c r="G178" i="18" s="1"/>
  <c r="CA178" i="6" s="1"/>
  <c r="W337" i="18"/>
  <c r="W310" i="18"/>
  <c r="D136" i="18"/>
  <c r="E136" i="18" s="1"/>
  <c r="F136" i="18" s="1"/>
  <c r="W334" i="18"/>
  <c r="D123" i="18"/>
  <c r="E123" i="18" s="1"/>
  <c r="F123" i="18" s="1"/>
  <c r="W251" i="18"/>
  <c r="W315" i="18"/>
  <c r="W295" i="18"/>
  <c r="D16" i="18"/>
  <c r="E16" i="18" s="1"/>
  <c r="F16" i="18" s="1"/>
  <c r="H16" i="18" s="1"/>
  <c r="W198" i="18"/>
  <c r="W348" i="18"/>
  <c r="W22" i="18"/>
  <c r="D164" i="18"/>
  <c r="E164" i="18" s="1"/>
  <c r="F164" i="18" s="1"/>
  <c r="H164" i="18" s="1"/>
  <c r="D120" i="18"/>
  <c r="E120" i="18" s="1"/>
  <c r="F120" i="18" s="1"/>
  <c r="AA120" i="18" s="1"/>
  <c r="Z120" i="18" s="1"/>
  <c r="Y120" i="18" s="1"/>
  <c r="W143" i="18"/>
  <c r="D84" i="18"/>
  <c r="E84" i="18" s="1"/>
  <c r="F84" i="18" s="1"/>
  <c r="G84" i="18" s="1"/>
  <c r="CA84" i="6" s="1"/>
  <c r="D129" i="18"/>
  <c r="E129" i="18" s="1"/>
  <c r="F129" i="18" s="1"/>
  <c r="AA129" i="18" s="1"/>
  <c r="Z129" i="18" s="1"/>
  <c r="Y129" i="18" s="1"/>
  <c r="W249" i="18"/>
  <c r="W275" i="18"/>
  <c r="W97" i="18"/>
  <c r="D221" i="18"/>
  <c r="E221" i="18" s="1"/>
  <c r="F221" i="18" s="1"/>
  <c r="G221" i="18" s="1"/>
  <c r="CA221" i="6" s="1"/>
  <c r="D338" i="18"/>
  <c r="E338" i="18" s="1"/>
  <c r="F338" i="18" s="1"/>
  <c r="H338" i="18" s="1"/>
  <c r="W299" i="18"/>
  <c r="W109" i="18"/>
  <c r="D377" i="18"/>
  <c r="E377" i="18" s="1"/>
  <c r="F377" i="18" s="1"/>
  <c r="AA377" i="18" s="1"/>
  <c r="Z377" i="18" s="1"/>
  <c r="Y377" i="18" s="1"/>
  <c r="D254" i="18"/>
  <c r="E254" i="18" s="1"/>
  <c r="F254" i="18" s="1"/>
  <c r="G254" i="18" s="1"/>
  <c r="CA254" i="6" s="1"/>
  <c r="D40" i="18"/>
  <c r="E40" i="18" s="1"/>
  <c r="F40" i="18" s="1"/>
  <c r="G40" i="18" s="1"/>
  <c r="CA40" i="6" s="1"/>
  <c r="T15" i="18"/>
  <c r="U382" i="18"/>
  <c r="U381" i="18"/>
  <c r="U383" i="18"/>
  <c r="U12" i="20"/>
  <c r="T379" i="18"/>
  <c r="S379" i="18" s="1"/>
  <c r="R379" i="18" s="1"/>
  <c r="P379" i="18" s="1"/>
  <c r="AB16" i="7"/>
  <c r="AF381" i="17"/>
  <c r="AD15" i="17"/>
  <c r="AF383" i="17"/>
  <c r="AF382" i="17"/>
  <c r="R382" i="17"/>
  <c r="R381" i="17"/>
  <c r="R383" i="17"/>
  <c r="P15" i="17"/>
  <c r="AG15" i="18"/>
  <c r="L65" i="19"/>
  <c r="C65" i="19"/>
  <c r="AK4" i="15"/>
  <c r="R12" i="19" s="1"/>
  <c r="AM13" i="15"/>
  <c r="AJ4" i="15"/>
  <c r="P12" i="19" s="1"/>
  <c r="M13" i="19" s="1"/>
  <c r="AL13" i="15"/>
  <c r="J12" i="19"/>
  <c r="Z11" i="15"/>
  <c r="Z5" i="15" s="1"/>
  <c r="H12" i="19" s="1"/>
  <c r="AA11" i="15"/>
  <c r="AA5" i="15" s="1"/>
  <c r="I12" i="19" s="1"/>
  <c r="Y11" i="15"/>
  <c r="I382" i="16"/>
  <c r="I381" i="16"/>
  <c r="I383" i="16"/>
  <c r="C7" i="6"/>
  <c r="Q7" i="7"/>
  <c r="J380" i="20"/>
  <c r="I380" i="20"/>
  <c r="W288" i="18"/>
  <c r="D288" i="18"/>
  <c r="E288" i="18" s="1"/>
  <c r="F288" i="18" s="1"/>
  <c r="W135" i="18"/>
  <c r="D135" i="18"/>
  <c r="E135" i="18" s="1"/>
  <c r="F135" i="18" s="1"/>
  <c r="Z9" i="16"/>
  <c r="Z383" i="16"/>
  <c r="AL8" i="16"/>
  <c r="Y15" i="16"/>
  <c r="AM5" i="16" s="1"/>
  <c r="AM11" i="16" s="1"/>
  <c r="AK3" i="16" s="1"/>
  <c r="Q13" i="19" s="1"/>
  <c r="Z381" i="16"/>
  <c r="Z382" i="16"/>
  <c r="W119" i="18"/>
  <c r="D119" i="18"/>
  <c r="E119" i="18" s="1"/>
  <c r="W29" i="18"/>
  <c r="D29" i="18"/>
  <c r="E29" i="18" s="1"/>
  <c r="F29" i="18" s="1"/>
  <c r="D363" i="18"/>
  <c r="E363" i="18" s="1"/>
  <c r="F363" i="18" s="1"/>
  <c r="W363" i="18"/>
  <c r="W210" i="18"/>
  <c r="D210" i="18"/>
  <c r="E210" i="18" s="1"/>
  <c r="F210" i="18" s="1"/>
  <c r="W74" i="18"/>
  <c r="D74" i="18"/>
  <c r="E74" i="18" s="1"/>
  <c r="F74" i="18" s="1"/>
  <c r="W149" i="18"/>
  <c r="D149" i="18"/>
  <c r="E149" i="18" s="1"/>
  <c r="D333" i="18"/>
  <c r="E333" i="18" s="1"/>
  <c r="F333" i="18" s="1"/>
  <c r="W333" i="18"/>
  <c r="W196" i="18"/>
  <c r="D196" i="18"/>
  <c r="E196" i="18" s="1"/>
  <c r="F196" i="18" s="1"/>
  <c r="W180" i="18"/>
  <c r="D180" i="18"/>
  <c r="E180" i="18" s="1"/>
  <c r="J381" i="16"/>
  <c r="J382" i="16"/>
  <c r="J383" i="16"/>
  <c r="D46" i="18"/>
  <c r="E46" i="18" s="1"/>
  <c r="F46" i="18" s="1"/>
  <c r="W46" i="18"/>
  <c r="Y124" i="17"/>
  <c r="AL6" i="17" s="1"/>
  <c r="AL8" i="17"/>
  <c r="D241" i="18"/>
  <c r="E241" i="18" s="1"/>
  <c r="F241" i="18" s="1"/>
  <c r="W241" i="18"/>
  <c r="W319" i="18"/>
  <c r="D319" i="18"/>
  <c r="E319" i="18" s="1"/>
  <c r="F319" i="18" s="1"/>
  <c r="W258" i="18"/>
  <c r="D258" i="18"/>
  <c r="E258" i="18" s="1"/>
  <c r="F258" i="18" s="1"/>
  <c r="D88" i="18"/>
  <c r="E88" i="18" s="1"/>
  <c r="W88" i="18"/>
  <c r="H65" i="19"/>
  <c r="W105" i="18"/>
  <c r="D105" i="18"/>
  <c r="E105" i="18" s="1"/>
  <c r="F105" i="18" s="1"/>
  <c r="D60" i="18"/>
  <c r="E60" i="18" s="1"/>
  <c r="F60" i="18" s="1"/>
  <c r="W60" i="18"/>
  <c r="D349" i="18"/>
  <c r="E349" i="18" s="1"/>
  <c r="F349" i="18" s="1"/>
  <c r="W349" i="18"/>
  <c r="D166" i="18"/>
  <c r="E166" i="18" s="1"/>
  <c r="F166" i="18" s="1"/>
  <c r="W166" i="18"/>
  <c r="AH383" i="18" l="1"/>
  <c r="Q129" i="20"/>
  <c r="Q204" i="20"/>
  <c r="Q29" i="20"/>
  <c r="Q296" i="20"/>
  <c r="Q222" i="20"/>
  <c r="Q321" i="20"/>
  <c r="Q109" i="20"/>
  <c r="Q230" i="20"/>
  <c r="Q233" i="20"/>
  <c r="Q213" i="20"/>
  <c r="Q63" i="20"/>
  <c r="Q261" i="20"/>
  <c r="Q206" i="20"/>
  <c r="Q363" i="20"/>
  <c r="Q59" i="20"/>
  <c r="Q17" i="20"/>
  <c r="Q247" i="20"/>
  <c r="Q152" i="20"/>
  <c r="Q217" i="20"/>
  <c r="Q290" i="20"/>
  <c r="Q306" i="20"/>
  <c r="Q358" i="20"/>
  <c r="Q76" i="20"/>
  <c r="Q349" i="20"/>
  <c r="Q53" i="20"/>
  <c r="Q67" i="20"/>
  <c r="Q297" i="20"/>
  <c r="Q274" i="20"/>
  <c r="Q320" i="20"/>
  <c r="Q348" i="20"/>
  <c r="Q355" i="20"/>
  <c r="Q251" i="20"/>
  <c r="Q47" i="20"/>
  <c r="Q121" i="20"/>
  <c r="Q89" i="20"/>
  <c r="Q242" i="20"/>
  <c r="Q127" i="20"/>
  <c r="Q92" i="20"/>
  <c r="Q52" i="20"/>
  <c r="Q99" i="20"/>
  <c r="Q316" i="20"/>
  <c r="Q54" i="20"/>
  <c r="Q93" i="20"/>
  <c r="Q65" i="20"/>
  <c r="Q353" i="20"/>
  <c r="Q189" i="20"/>
  <c r="Q134" i="20"/>
  <c r="Q362" i="20"/>
  <c r="Q162" i="20"/>
  <c r="Q270" i="20"/>
  <c r="Q35" i="20"/>
  <c r="Q58" i="20"/>
  <c r="Q339" i="20"/>
  <c r="Q224" i="20"/>
  <c r="Q179" i="20"/>
  <c r="Q252" i="20"/>
  <c r="Q303" i="20"/>
  <c r="Q168" i="20"/>
  <c r="Q103" i="20"/>
  <c r="Q174" i="20"/>
  <c r="Q202" i="20"/>
  <c r="Q344" i="20"/>
  <c r="Q175" i="20"/>
  <c r="Q140" i="20"/>
  <c r="Q192" i="20"/>
  <c r="Q308" i="20"/>
  <c r="Q33" i="20"/>
  <c r="Q307" i="20"/>
  <c r="Q149" i="20"/>
  <c r="Q101" i="20"/>
  <c r="Q104" i="20"/>
  <c r="Q370" i="20"/>
  <c r="Q83" i="20"/>
  <c r="Q181" i="20"/>
  <c r="Q50" i="20"/>
  <c r="Q218" i="20"/>
  <c r="Q302" i="20"/>
  <c r="Q250" i="20"/>
  <c r="Q176" i="20"/>
  <c r="Q119" i="20"/>
  <c r="Q190" i="20"/>
  <c r="Q141" i="20"/>
  <c r="Q228" i="20"/>
  <c r="Q207" i="20"/>
  <c r="Q310" i="20"/>
  <c r="Q277" i="20"/>
  <c r="Q170" i="20"/>
  <c r="Q323" i="20"/>
  <c r="Q128" i="20"/>
  <c r="Q178" i="20"/>
  <c r="Q326" i="20"/>
  <c r="Q305" i="20"/>
  <c r="Q31" i="20"/>
  <c r="Q100" i="20"/>
  <c r="Q137" i="20"/>
  <c r="Q327" i="20"/>
  <c r="Q144" i="20"/>
  <c r="Q18" i="20"/>
  <c r="Q136" i="20"/>
  <c r="Q84" i="20"/>
  <c r="Q96" i="20"/>
  <c r="Q27" i="20"/>
  <c r="Q166" i="20"/>
  <c r="Q212" i="20"/>
  <c r="Q199" i="20"/>
  <c r="Q64" i="20"/>
  <c r="Q171" i="20"/>
  <c r="Q287" i="20"/>
  <c r="Q285" i="20"/>
  <c r="Q352" i="20"/>
  <c r="Q139" i="20"/>
  <c r="Q188" i="20"/>
  <c r="Q231" i="20"/>
  <c r="Q246" i="20"/>
  <c r="Q227" i="20"/>
  <c r="Q113" i="20"/>
  <c r="Q98" i="20"/>
  <c r="Q81" i="20"/>
  <c r="Q366" i="20"/>
  <c r="Q215" i="20"/>
  <c r="Q44" i="20"/>
  <c r="Q43" i="20"/>
  <c r="Q77" i="20"/>
  <c r="Q291" i="20"/>
  <c r="Q254" i="20"/>
  <c r="Q19" i="20"/>
  <c r="Q142" i="20"/>
  <c r="Q60" i="20"/>
  <c r="Q126" i="20"/>
  <c r="Q337" i="20"/>
  <c r="Q185" i="20"/>
  <c r="Q375" i="20"/>
  <c r="Q131" i="20"/>
  <c r="Q111" i="20"/>
  <c r="Q133" i="20"/>
  <c r="Q272" i="20"/>
  <c r="Q143" i="20"/>
  <c r="Q194" i="20"/>
  <c r="Q55" i="20"/>
  <c r="Q132" i="20"/>
  <c r="H36" i="19"/>
  <c r="I36" i="19"/>
  <c r="E13" i="19"/>
  <c r="F13" i="19" s="1"/>
  <c r="Q371" i="20"/>
  <c r="Q193" i="20"/>
  <c r="Q279" i="20"/>
  <c r="Q156" i="20"/>
  <c r="Q248" i="20"/>
  <c r="Q145" i="20"/>
  <c r="Q201" i="20"/>
  <c r="Q23" i="20"/>
  <c r="Q330" i="20"/>
  <c r="Q177" i="20"/>
  <c r="Q216" i="20"/>
  <c r="Q72" i="20"/>
  <c r="Q342" i="20"/>
  <c r="Q117" i="20"/>
  <c r="Q300" i="20"/>
  <c r="Q341" i="20"/>
  <c r="Q211" i="20"/>
  <c r="Q26" i="20"/>
  <c r="Q372" i="20"/>
  <c r="Q87" i="20"/>
  <c r="Q281" i="20"/>
  <c r="Q260" i="20"/>
  <c r="Q79" i="20"/>
  <c r="Q234" i="20"/>
  <c r="Q315" i="20"/>
  <c r="Q354" i="20"/>
  <c r="Q80" i="20"/>
  <c r="Q367" i="20"/>
  <c r="Q324" i="20"/>
  <c r="Q22" i="20"/>
  <c r="Q95" i="20"/>
  <c r="Q223" i="20"/>
  <c r="Q51" i="20"/>
  <c r="Q322" i="20"/>
  <c r="Q147" i="20"/>
  <c r="Q78" i="20"/>
  <c r="Q325" i="20"/>
  <c r="Q347" i="20"/>
  <c r="Q293" i="20"/>
  <c r="Q150" i="20"/>
  <c r="Q340" i="20"/>
  <c r="Q155" i="20"/>
  <c r="Q225" i="20"/>
  <c r="Q269" i="20"/>
  <c r="Q28" i="20"/>
  <c r="Q263" i="20"/>
  <c r="Q294" i="20"/>
  <c r="Q379" i="20"/>
  <c r="Q102" i="20"/>
  <c r="Q346" i="20"/>
  <c r="Q85" i="20"/>
  <c r="Q110" i="20"/>
  <c r="Q157" i="20"/>
  <c r="Q229" i="20"/>
  <c r="Q266" i="20"/>
  <c r="AC382" i="24"/>
  <c r="AC383" i="24"/>
  <c r="AC381" i="24"/>
  <c r="O10" i="25"/>
  <c r="AC10" i="25"/>
  <c r="L43" i="19"/>
  <c r="H216" i="18"/>
  <c r="J216" i="18" s="1"/>
  <c r="C216" i="6" s="1"/>
  <c r="H295" i="18"/>
  <c r="J295" i="18" s="1"/>
  <c r="C295" i="6" s="1"/>
  <c r="AH11" i="7"/>
  <c r="U11" i="20" s="1"/>
  <c r="U10" i="20" s="1"/>
  <c r="AI176" i="20" s="1"/>
  <c r="AH176" i="20" s="1"/>
  <c r="AG176" i="20" s="1"/>
  <c r="AF176" i="20" s="1"/>
  <c r="Q183" i="20"/>
  <c r="Q318" i="20"/>
  <c r="Q253" i="20"/>
  <c r="Q309" i="20"/>
  <c r="Q203" i="20"/>
  <c r="Q205" i="20"/>
  <c r="Q338" i="20"/>
  <c r="Q82" i="20"/>
  <c r="Q112" i="20"/>
  <c r="Q368" i="20"/>
  <c r="Q48" i="20"/>
  <c r="Q249" i="20"/>
  <c r="Q74" i="20"/>
  <c r="Q333" i="20"/>
  <c r="Q118" i="20"/>
  <c r="Q243" i="20"/>
  <c r="Q116" i="20"/>
  <c r="Q125" i="20"/>
  <c r="Q377" i="20"/>
  <c r="Q273" i="20"/>
  <c r="Q329" i="20"/>
  <c r="Q265" i="20"/>
  <c r="Q153" i="20"/>
  <c r="Q195" i="20"/>
  <c r="Q160" i="20"/>
  <c r="Q299" i="20"/>
  <c r="Q226" i="20"/>
  <c r="Q278" i="20"/>
  <c r="Q240" i="20"/>
  <c r="Q186" i="20"/>
  <c r="Q286" i="20"/>
  <c r="Q289" i="20"/>
  <c r="Q25" i="20"/>
  <c r="Q331" i="20"/>
  <c r="Q46" i="20"/>
  <c r="Q359" i="20"/>
  <c r="Q40" i="20"/>
  <c r="Q161" i="20"/>
  <c r="Q283" i="20"/>
  <c r="Q42" i="20"/>
  <c r="Q138" i="20"/>
  <c r="Q182" i="20"/>
  <c r="Q257" i="20"/>
  <c r="Q238" i="20"/>
  <c r="Q351" i="20"/>
  <c r="Q357" i="20"/>
  <c r="Q256" i="20"/>
  <c r="Q187" i="20"/>
  <c r="Q105" i="20"/>
  <c r="Q334" i="20"/>
  <c r="Q57" i="20"/>
  <c r="Q369" i="20"/>
  <c r="Q165" i="20"/>
  <c r="Q163" i="20"/>
  <c r="Q62" i="20"/>
  <c r="Q88" i="20"/>
  <c r="Q70" i="20"/>
  <c r="Q164" i="20"/>
  <c r="Q311" i="20"/>
  <c r="Q107" i="20"/>
  <c r="Q37" i="20"/>
  <c r="Q292" i="20"/>
  <c r="Q135" i="20"/>
  <c r="Q94" i="20"/>
  <c r="Q317" i="20"/>
  <c r="Q30" i="20"/>
  <c r="Q345" i="20"/>
  <c r="Q208" i="20"/>
  <c r="Q301" i="20"/>
  <c r="Q73" i="20"/>
  <c r="Q196" i="20"/>
  <c r="Q130" i="20"/>
  <c r="Q259" i="20"/>
  <c r="Q232" i="20"/>
  <c r="Q237" i="20"/>
  <c r="Q374" i="20"/>
  <c r="Q378" i="20"/>
  <c r="Q173" i="20"/>
  <c r="Q365" i="20"/>
  <c r="Q45" i="20"/>
  <c r="Q151" i="20"/>
  <c r="Q75" i="20"/>
  <c r="Q91" i="20"/>
  <c r="Q16" i="20"/>
  <c r="Q191" i="20"/>
  <c r="Q21" i="20"/>
  <c r="Q288" i="20"/>
  <c r="Q241" i="20"/>
  <c r="Q236" i="20"/>
  <c r="Q210" i="20"/>
  <c r="Q360" i="20"/>
  <c r="Q255" i="20"/>
  <c r="Q332" i="20"/>
  <c r="Q336" i="20"/>
  <c r="Q115" i="20"/>
  <c r="Q267" i="20"/>
  <c r="Q295" i="20"/>
  <c r="Q221" i="20"/>
  <c r="Q169" i="20"/>
  <c r="Q114" i="20"/>
  <c r="Q24" i="20"/>
  <c r="Q197" i="20"/>
  <c r="Q39" i="20"/>
  <c r="Q361" i="20"/>
  <c r="Q90" i="20"/>
  <c r="Q86" i="20"/>
  <c r="Q219" i="20"/>
  <c r="Q36" i="20"/>
  <c r="Q214" i="20"/>
  <c r="Q124" i="20"/>
  <c r="Q335" i="20"/>
  <c r="Q198" i="20"/>
  <c r="Q146" i="20"/>
  <c r="Q276" i="20"/>
  <c r="Q356" i="20"/>
  <c r="Q97" i="20"/>
  <c r="Q245" i="20"/>
  <c r="Q71" i="20"/>
  <c r="Q159" i="20"/>
  <c r="Q343" i="20"/>
  <c r="Q34" i="20"/>
  <c r="Q108" i="20"/>
  <c r="Q61" i="20"/>
  <c r="Q268" i="20"/>
  <c r="Q158" i="20"/>
  <c r="Q314" i="20"/>
  <c r="Q280" i="20"/>
  <c r="Q373" i="20"/>
  <c r="Q56" i="20"/>
  <c r="Q298" i="20"/>
  <c r="Q376" i="20"/>
  <c r="Q32" i="20"/>
  <c r="Q122" i="20"/>
  <c r="Q184" i="20"/>
  <c r="Q68" i="20"/>
  <c r="Q120" i="20"/>
  <c r="Q244" i="20"/>
  <c r="Q123" i="20"/>
  <c r="Q38" i="20"/>
  <c r="Q106" i="20"/>
  <c r="Q328" i="20"/>
  <c r="Q200" i="20"/>
  <c r="Q319" i="20"/>
  <c r="Q350" i="20"/>
  <c r="Q271" i="20"/>
  <c r="Q284" i="20"/>
  <c r="Q69" i="20"/>
  <c r="Q312" i="20"/>
  <c r="Q282" i="20"/>
  <c r="Q262" i="20"/>
  <c r="Q66" i="20"/>
  <c r="Q220" i="20"/>
  <c r="Q235" i="20"/>
  <c r="Q180" i="20"/>
  <c r="Q148" i="20"/>
  <c r="Q258" i="20"/>
  <c r="Q41" i="20"/>
  <c r="Q313" i="20"/>
  <c r="AH381" i="18"/>
  <c r="AH382" i="18"/>
  <c r="Q264" i="20"/>
  <c r="AE11" i="20"/>
  <c r="Q154" i="20"/>
  <c r="Q304" i="20"/>
  <c r="Q275" i="20"/>
  <c r="Q364" i="20"/>
  <c r="Q167" i="20"/>
  <c r="Q20" i="20"/>
  <c r="Q239" i="20"/>
  <c r="Q15" i="20"/>
  <c r="Q49" i="20"/>
  <c r="H35" i="18"/>
  <c r="J35" i="18" s="1"/>
  <c r="C35" i="6" s="1"/>
  <c r="F149" i="18"/>
  <c r="G149" i="18" s="1"/>
  <c r="CA149" i="6" s="1"/>
  <c r="H61" i="18"/>
  <c r="I61" i="18" s="1"/>
  <c r="B61" i="6" s="1"/>
  <c r="BA61" i="6" s="1"/>
  <c r="G345" i="18"/>
  <c r="CA345" i="6" s="1"/>
  <c r="H314" i="18"/>
  <c r="I314" i="18" s="1"/>
  <c r="B314" i="6" s="1"/>
  <c r="BA314" i="6" s="1"/>
  <c r="H86" i="18"/>
  <c r="J86" i="18" s="1"/>
  <c r="C86" i="6" s="1"/>
  <c r="AA262" i="18"/>
  <c r="Z262" i="18" s="1"/>
  <c r="Y262" i="18" s="1"/>
  <c r="G235" i="18"/>
  <c r="CA235" i="6" s="1"/>
  <c r="G201" i="18"/>
  <c r="CA201" i="6" s="1"/>
  <c r="F195" i="18"/>
  <c r="H195" i="18" s="1"/>
  <c r="J195" i="18" s="1"/>
  <c r="C195" i="6" s="1"/>
  <c r="Q172" i="20"/>
  <c r="H54" i="18"/>
  <c r="I54" i="18" s="1"/>
  <c r="B54" i="6" s="1"/>
  <c r="BA54" i="6" s="1"/>
  <c r="G158" i="18"/>
  <c r="CA158" i="6" s="1"/>
  <c r="G346" i="18"/>
  <c r="CA346" i="6" s="1"/>
  <c r="H93" i="18"/>
  <c r="I93" i="18" s="1"/>
  <c r="B93" i="6" s="1"/>
  <c r="BA93" i="6" s="1"/>
  <c r="AA256" i="18"/>
  <c r="Z256" i="18" s="1"/>
  <c r="Y256" i="18" s="1"/>
  <c r="H371" i="18"/>
  <c r="I371" i="18" s="1"/>
  <c r="B371" i="6" s="1"/>
  <c r="BA371" i="6" s="1"/>
  <c r="H334" i="18"/>
  <c r="J334" i="18" s="1"/>
  <c r="C334" i="6" s="1"/>
  <c r="AH15" i="7"/>
  <c r="G285" i="18"/>
  <c r="CA285" i="6" s="1"/>
  <c r="H34" i="18"/>
  <c r="I34" i="18" s="1"/>
  <c r="B34" i="6" s="1"/>
  <c r="BA34" i="6" s="1"/>
  <c r="AA169" i="18"/>
  <c r="Z169" i="18" s="1"/>
  <c r="Y169" i="18" s="1"/>
  <c r="AI15" i="7"/>
  <c r="AE31" i="20"/>
  <c r="AE69" i="20"/>
  <c r="AE94" i="20"/>
  <c r="AE59" i="20"/>
  <c r="AE78" i="20"/>
  <c r="AE16" i="20"/>
  <c r="AE71" i="20"/>
  <c r="AE55" i="20"/>
  <c r="AE99" i="20"/>
  <c r="AE92" i="20"/>
  <c r="AE332" i="20"/>
  <c r="AE48" i="20"/>
  <c r="AE229" i="20"/>
  <c r="AE22" i="20"/>
  <c r="AE84" i="20"/>
  <c r="AE85" i="20"/>
  <c r="AE87" i="20"/>
  <c r="AE64" i="20"/>
  <c r="AE18" i="20"/>
  <c r="AE83" i="20"/>
  <c r="AE26" i="20"/>
  <c r="AE54" i="20"/>
  <c r="AE157" i="20"/>
  <c r="AE352" i="20"/>
  <c r="AE60" i="20"/>
  <c r="AE52" i="20"/>
  <c r="AE351" i="20"/>
  <c r="AE15" i="20"/>
  <c r="AE24" i="20"/>
  <c r="AE66" i="20"/>
  <c r="AE19" i="20"/>
  <c r="AE44" i="20"/>
  <c r="AE23" i="20"/>
  <c r="AE39" i="20"/>
  <c r="AE51" i="20"/>
  <c r="AE80" i="20"/>
  <c r="AE34" i="20"/>
  <c r="AE103" i="20"/>
  <c r="AE98" i="20"/>
  <c r="AE30" i="20"/>
  <c r="AE100" i="20"/>
  <c r="AE58" i="20"/>
  <c r="AE76" i="20"/>
  <c r="AE65" i="20"/>
  <c r="AE88" i="20"/>
  <c r="AE28" i="20"/>
  <c r="AE36" i="20"/>
  <c r="AE25" i="20"/>
  <c r="AE62" i="20"/>
  <c r="AE43" i="20"/>
  <c r="AE75" i="20"/>
  <c r="AE79" i="20"/>
  <c r="AE91" i="20"/>
  <c r="AE90" i="20"/>
  <c r="AE93" i="20"/>
  <c r="AE47" i="20"/>
  <c r="AE56" i="20"/>
  <c r="AE21" i="20"/>
  <c r="AE53" i="20"/>
  <c r="AE102" i="20"/>
  <c r="AE68" i="20"/>
  <c r="AE97" i="20"/>
  <c r="AE86" i="20"/>
  <c r="AE95" i="20"/>
  <c r="AE96" i="20"/>
  <c r="AE45" i="20"/>
  <c r="AE63" i="20"/>
  <c r="AE81" i="20"/>
  <c r="AE72" i="20"/>
  <c r="AE61" i="20"/>
  <c r="AE40" i="20"/>
  <c r="AE20" i="20"/>
  <c r="AE37" i="20"/>
  <c r="AE67" i="20"/>
  <c r="AE38" i="20"/>
  <c r="AE42" i="20"/>
  <c r="AE49" i="20"/>
  <c r="AE77" i="20"/>
  <c r="AE50" i="20"/>
  <c r="AE89" i="20"/>
  <c r="AE32" i="20"/>
  <c r="AE33" i="20"/>
  <c r="AE17" i="20"/>
  <c r="AE101" i="20"/>
  <c r="AE73" i="20"/>
  <c r="AE46" i="20"/>
  <c r="AE35" i="20"/>
  <c r="AE27" i="20"/>
  <c r="AE74" i="20"/>
  <c r="AE29" i="20"/>
  <c r="AE82" i="20"/>
  <c r="AE57" i="20"/>
  <c r="AE41" i="20"/>
  <c r="AE70" i="20"/>
  <c r="AE264" i="20"/>
  <c r="AE127" i="20"/>
  <c r="AE248" i="20"/>
  <c r="AE161" i="20"/>
  <c r="AE187" i="20"/>
  <c r="AE253" i="20"/>
  <c r="AE174" i="20"/>
  <c r="AE294" i="20"/>
  <c r="AE200" i="20"/>
  <c r="AE204" i="20"/>
  <c r="AE141" i="20"/>
  <c r="AE144" i="20"/>
  <c r="AE225" i="20"/>
  <c r="AE239" i="20"/>
  <c r="AE125" i="20"/>
  <c r="AE113" i="20"/>
  <c r="AE216" i="20"/>
  <c r="AE333" i="20"/>
  <c r="AE323" i="20"/>
  <c r="AE151" i="20"/>
  <c r="AE123" i="20"/>
  <c r="AE205" i="20"/>
  <c r="AE315" i="20"/>
  <c r="AE198" i="20"/>
  <c r="AE316" i="20"/>
  <c r="AE371" i="20"/>
  <c r="AE194" i="20"/>
  <c r="AE372" i="20"/>
  <c r="AE108" i="20"/>
  <c r="AE261" i="20"/>
  <c r="AE257" i="20"/>
  <c r="AE361" i="20"/>
  <c r="AE377" i="20"/>
  <c r="AE280" i="20"/>
  <c r="AE138" i="20"/>
  <c r="AE242" i="20"/>
  <c r="AE289" i="20"/>
  <c r="AE251" i="20"/>
  <c r="AE357" i="20"/>
  <c r="AE313" i="20"/>
  <c r="AE228" i="20"/>
  <c r="AE365" i="20"/>
  <c r="AE318" i="20"/>
  <c r="AE218" i="20"/>
  <c r="AE272" i="20"/>
  <c r="AE347" i="20"/>
  <c r="AE284" i="20"/>
  <c r="AE252" i="20"/>
  <c r="AE349" i="20"/>
  <c r="AE115" i="20"/>
  <c r="AE173" i="20"/>
  <c r="AE145" i="20"/>
  <c r="AE312" i="20"/>
  <c r="AE163" i="20"/>
  <c r="AE259" i="20"/>
  <c r="AE148" i="20"/>
  <c r="AE175" i="20"/>
  <c r="AE340" i="20"/>
  <c r="AE224" i="20"/>
  <c r="AE359" i="20"/>
  <c r="AE269" i="20"/>
  <c r="AE271" i="20"/>
  <c r="AE279" i="20"/>
  <c r="AE111" i="20"/>
  <c r="AE355" i="20"/>
  <c r="AE321" i="20"/>
  <c r="AE182" i="20"/>
  <c r="AE334" i="20"/>
  <c r="AE226" i="20"/>
  <c r="AE240" i="20"/>
  <c r="AE376" i="20"/>
  <c r="AE366" i="20"/>
  <c r="AE348" i="20"/>
  <c r="AE180" i="20"/>
  <c r="AE322" i="20"/>
  <c r="AE199" i="20"/>
  <c r="AE300" i="20"/>
  <c r="AE196" i="20"/>
  <c r="AE188" i="20"/>
  <c r="AE185" i="20"/>
  <c r="AE368" i="20"/>
  <c r="AE222" i="20"/>
  <c r="AE237" i="20"/>
  <c r="AE338" i="20"/>
  <c r="AE109" i="20"/>
  <c r="AE287" i="20"/>
  <c r="AE324" i="20"/>
  <c r="AE305" i="20"/>
  <c r="AE298" i="20"/>
  <c r="AE282" i="20"/>
  <c r="AE136" i="20"/>
  <c r="AE330" i="20"/>
  <c r="AE374" i="20"/>
  <c r="AE171" i="20"/>
  <c r="AE169" i="20"/>
  <c r="AE167" i="20"/>
  <c r="AE336" i="20"/>
  <c r="AE208" i="20"/>
  <c r="AE107" i="20"/>
  <c r="AE183" i="20"/>
  <c r="AE314" i="20"/>
  <c r="AE129" i="20"/>
  <c r="AE215" i="20"/>
  <c r="AE267" i="20"/>
  <c r="AE254" i="20"/>
  <c r="AE373" i="20"/>
  <c r="AE275" i="20"/>
  <c r="AE202" i="20"/>
  <c r="AE331" i="20"/>
  <c r="AE231" i="20"/>
  <c r="AE162" i="20"/>
  <c r="AE178" i="20"/>
  <c r="AE219" i="20"/>
  <c r="AE328" i="20"/>
  <c r="AE354" i="20"/>
  <c r="AE350" i="20"/>
  <c r="AE133" i="20"/>
  <c r="AE126" i="20"/>
  <c r="AE153" i="20"/>
  <c r="AE139" i="20"/>
  <c r="AE170" i="20"/>
  <c r="AE310" i="20"/>
  <c r="AE186" i="20"/>
  <c r="AE285" i="20"/>
  <c r="AE201" i="20"/>
  <c r="AE119" i="20"/>
  <c r="AE263" i="20"/>
  <c r="AE203" i="20"/>
  <c r="AE117" i="20"/>
  <c r="AE335" i="20"/>
  <c r="AE159" i="20"/>
  <c r="AE232" i="20"/>
  <c r="AE120" i="20"/>
  <c r="AE172" i="20"/>
  <c r="AE168" i="20"/>
  <c r="AE220" i="20"/>
  <c r="AE292" i="20"/>
  <c r="AE370" i="20"/>
  <c r="AE184" i="20"/>
  <c r="AE146" i="20"/>
  <c r="AE233" i="20"/>
  <c r="AE296" i="20"/>
  <c r="AE197" i="20"/>
  <c r="AE244" i="20"/>
  <c r="AE152" i="20"/>
  <c r="AE262" i="20"/>
  <c r="AE223" i="20"/>
  <c r="AE165" i="20"/>
  <c r="AE128" i="20"/>
  <c r="AE339" i="20"/>
  <c r="AE247" i="20"/>
  <c r="AE291" i="20"/>
  <c r="AE346" i="20"/>
  <c r="AE160" i="20"/>
  <c r="AE155" i="20"/>
  <c r="AE369" i="20"/>
  <c r="AE326" i="20"/>
  <c r="AE234" i="20"/>
  <c r="AE302" i="20"/>
  <c r="AE156" i="20"/>
  <c r="AE195" i="20"/>
  <c r="AE106" i="20"/>
  <c r="AE114" i="20"/>
  <c r="AE325" i="20"/>
  <c r="AE217" i="20"/>
  <c r="AE364" i="20"/>
  <c r="AE116" i="20"/>
  <c r="AE221" i="20"/>
  <c r="AE121" i="20"/>
  <c r="AE293" i="20"/>
  <c r="AE132" i="20"/>
  <c r="AE344" i="20"/>
  <c r="AE177" i="20"/>
  <c r="AE327" i="20"/>
  <c r="AE308" i="20"/>
  <c r="AE307" i="20"/>
  <c r="AE118" i="20"/>
  <c r="AE191" i="20"/>
  <c r="AE295" i="20"/>
  <c r="AE250" i="20"/>
  <c r="AE166" i="20"/>
  <c r="AE341" i="20"/>
  <c r="AE245" i="20"/>
  <c r="AE311" i="20"/>
  <c r="AE214" i="20"/>
  <c r="AE353" i="20"/>
  <c r="N13" i="19"/>
  <c r="V379" i="18"/>
  <c r="D379" i="18" s="1"/>
  <c r="E379" i="18" s="1"/>
  <c r="F379" i="18" s="1"/>
  <c r="D39" i="19"/>
  <c r="G352" i="18"/>
  <c r="CA352" i="6" s="1"/>
  <c r="G97" i="18"/>
  <c r="CA97" i="6" s="1"/>
  <c r="H372" i="18"/>
  <c r="J372" i="18" s="1"/>
  <c r="C372" i="6" s="1"/>
  <c r="AA355" i="18"/>
  <c r="Z355" i="18" s="1"/>
  <c r="Y355" i="18" s="1"/>
  <c r="AA374" i="18"/>
  <c r="Z374" i="18" s="1"/>
  <c r="Y374" i="18" s="1"/>
  <c r="H343" i="18"/>
  <c r="J343" i="18" s="1"/>
  <c r="C343" i="6" s="1"/>
  <c r="AA328" i="18"/>
  <c r="Z328" i="18" s="1"/>
  <c r="Y328" i="18" s="1"/>
  <c r="G187" i="18"/>
  <c r="CA187" i="6" s="1"/>
  <c r="H298" i="18"/>
  <c r="J298" i="18" s="1"/>
  <c r="C298" i="6" s="1"/>
  <c r="G206" i="18"/>
  <c r="CA206" i="6" s="1"/>
  <c r="G62" i="18"/>
  <c r="CA62" i="6" s="1"/>
  <c r="AA261" i="18"/>
  <c r="Z261" i="18" s="1"/>
  <c r="Y261" i="18" s="1"/>
  <c r="G23" i="18"/>
  <c r="CA23" i="6" s="1"/>
  <c r="AA304" i="18"/>
  <c r="Z304" i="18" s="1"/>
  <c r="Y304" i="18" s="1"/>
  <c r="AA202" i="18"/>
  <c r="Z202" i="18" s="1"/>
  <c r="Y202" i="18" s="1"/>
  <c r="H257" i="18"/>
  <c r="I257" i="18" s="1"/>
  <c r="B257" i="6" s="1"/>
  <c r="BA257" i="6" s="1"/>
  <c r="AA138" i="18"/>
  <c r="Z138" i="18" s="1"/>
  <c r="Y138" i="18" s="1"/>
  <c r="AA174" i="18"/>
  <c r="Z174" i="18" s="1"/>
  <c r="Y174" i="18" s="1"/>
  <c r="G225" i="18"/>
  <c r="CA225" i="6" s="1"/>
  <c r="H270" i="18"/>
  <c r="J270" i="18" s="1"/>
  <c r="C270" i="6" s="1"/>
  <c r="H345" i="18"/>
  <c r="I345" i="18" s="1"/>
  <c r="B345" i="6" s="1"/>
  <c r="BA345" i="6" s="1"/>
  <c r="H239" i="18"/>
  <c r="I239" i="18" s="1"/>
  <c r="B239" i="6" s="1"/>
  <c r="BA239" i="6" s="1"/>
  <c r="G306" i="18"/>
  <c r="CA306" i="6" s="1"/>
  <c r="AA276" i="18"/>
  <c r="Z276" i="18" s="1"/>
  <c r="Y276" i="18" s="1"/>
  <c r="G372" i="18"/>
  <c r="CA372" i="6" s="1"/>
  <c r="G355" i="18"/>
  <c r="CA355" i="6" s="1"/>
  <c r="AA315" i="18"/>
  <c r="Z315" i="18" s="1"/>
  <c r="Y315" i="18" s="1"/>
  <c r="G374" i="18"/>
  <c r="CA374" i="6" s="1"/>
  <c r="H125" i="18"/>
  <c r="J125" i="18" s="1"/>
  <c r="C125" i="6" s="1"/>
  <c r="AA314" i="18"/>
  <c r="Z314" i="18" s="1"/>
  <c r="Y314" i="18" s="1"/>
  <c r="G311" i="18"/>
  <c r="CA311" i="6" s="1"/>
  <c r="AA27" i="18"/>
  <c r="Z27" i="18" s="1"/>
  <c r="Y27" i="18" s="1"/>
  <c r="G35" i="18"/>
  <c r="CA35" i="6" s="1"/>
  <c r="H117" i="18"/>
  <c r="I117" i="18" s="1"/>
  <c r="B117" i="6" s="1"/>
  <c r="BA117" i="6" s="1"/>
  <c r="AA346" i="18"/>
  <c r="Z346" i="18" s="1"/>
  <c r="Y346" i="18" s="1"/>
  <c r="H45" i="18"/>
  <c r="J45" i="18" s="1"/>
  <c r="C45" i="6" s="1"/>
  <c r="G298" i="18"/>
  <c r="CA298" i="6" s="1"/>
  <c r="G260" i="18"/>
  <c r="CA260" i="6" s="1"/>
  <c r="AA218" i="18"/>
  <c r="Z218" i="18" s="1"/>
  <c r="Y218" i="18" s="1"/>
  <c r="AA62" i="18"/>
  <c r="Z62" i="18" s="1"/>
  <c r="Y62" i="18" s="1"/>
  <c r="H271" i="18"/>
  <c r="J271" i="18" s="1"/>
  <c r="C271" i="6" s="1"/>
  <c r="H261" i="18"/>
  <c r="J261" i="18" s="1"/>
  <c r="C261" i="6" s="1"/>
  <c r="H202" i="18"/>
  <c r="I202" i="18" s="1"/>
  <c r="B202" i="6" s="1"/>
  <c r="BA202" i="6" s="1"/>
  <c r="G257" i="18"/>
  <c r="CA257" i="6" s="1"/>
  <c r="H368" i="18"/>
  <c r="I368" i="18" s="1"/>
  <c r="B368" i="6" s="1"/>
  <c r="BA368" i="6" s="1"/>
  <c r="AA61" i="18"/>
  <c r="Z61" i="18" s="1"/>
  <c r="Y61" i="18" s="1"/>
  <c r="G193" i="18"/>
  <c r="CA193" i="6" s="1"/>
  <c r="H174" i="18"/>
  <c r="I174" i="18" s="1"/>
  <c r="B174" i="6" s="1"/>
  <c r="BA174" i="6" s="1"/>
  <c r="H331" i="18"/>
  <c r="I331" i="18" s="1"/>
  <c r="B331" i="6" s="1"/>
  <c r="BA331" i="6" s="1"/>
  <c r="H201" i="18"/>
  <c r="J201" i="18" s="1"/>
  <c r="C201" i="6" s="1"/>
  <c r="G371" i="18"/>
  <c r="CA371" i="6" s="1"/>
  <c r="H352" i="18"/>
  <c r="J352" i="18" s="1"/>
  <c r="C352" i="6" s="1"/>
  <c r="AA239" i="18"/>
  <c r="Z239" i="18" s="1"/>
  <c r="Y239" i="18" s="1"/>
  <c r="AA97" i="18"/>
  <c r="Z97" i="18" s="1"/>
  <c r="Y97" i="18" s="1"/>
  <c r="AA306" i="18"/>
  <c r="Z306" i="18" s="1"/>
  <c r="Y306" i="18" s="1"/>
  <c r="H276" i="18"/>
  <c r="I276" i="18" s="1"/>
  <c r="B276" i="6" s="1"/>
  <c r="BA276" i="6" s="1"/>
  <c r="G216" i="18"/>
  <c r="CA216" i="6" s="1"/>
  <c r="AA348" i="18"/>
  <c r="Z348" i="18" s="1"/>
  <c r="Y348" i="18" s="1"/>
  <c r="AA295" i="18"/>
  <c r="Z295" i="18" s="1"/>
  <c r="Y295" i="18" s="1"/>
  <c r="H315" i="18"/>
  <c r="J315" i="18" s="1"/>
  <c r="C315" i="6" s="1"/>
  <c r="AA54" i="18"/>
  <c r="Z54" i="18" s="1"/>
  <c r="Y54" i="18" s="1"/>
  <c r="AA125" i="18"/>
  <c r="Z125" i="18" s="1"/>
  <c r="Y125" i="18" s="1"/>
  <c r="AA343" i="18"/>
  <c r="Z343" i="18" s="1"/>
  <c r="Y343" i="18" s="1"/>
  <c r="AA158" i="18"/>
  <c r="Z158" i="18" s="1"/>
  <c r="Y158" i="18" s="1"/>
  <c r="G27" i="18"/>
  <c r="CA27" i="6" s="1"/>
  <c r="H226" i="18"/>
  <c r="J226" i="18" s="1"/>
  <c r="C226" i="6" s="1"/>
  <c r="G117" i="18"/>
  <c r="CA117" i="6" s="1"/>
  <c r="AA187" i="18"/>
  <c r="Z187" i="18" s="1"/>
  <c r="Y187" i="18" s="1"/>
  <c r="AA45" i="18"/>
  <c r="Z45" i="18" s="1"/>
  <c r="Y45" i="18" s="1"/>
  <c r="G86" i="18"/>
  <c r="CA86" i="6" s="1"/>
  <c r="H260" i="18"/>
  <c r="J260" i="18" s="1"/>
  <c r="C260" i="6" s="1"/>
  <c r="H206" i="18"/>
  <c r="I206" i="18" s="1"/>
  <c r="B206" i="6" s="1"/>
  <c r="BA206" i="6" s="1"/>
  <c r="AA271" i="18"/>
  <c r="Z271" i="18" s="1"/>
  <c r="Y271" i="18" s="1"/>
  <c r="H262" i="18"/>
  <c r="I262" i="18" s="1"/>
  <c r="B262" i="6" s="1"/>
  <c r="BA262" i="6" s="1"/>
  <c r="G49" i="18"/>
  <c r="CA49" i="6" s="1"/>
  <c r="AA93" i="18"/>
  <c r="Z93" i="18" s="1"/>
  <c r="Y93" i="18" s="1"/>
  <c r="AA368" i="18"/>
  <c r="Z368" i="18" s="1"/>
  <c r="Y368" i="18" s="1"/>
  <c r="H138" i="18"/>
  <c r="J138" i="18" s="1"/>
  <c r="C138" i="6" s="1"/>
  <c r="AA193" i="18"/>
  <c r="Z193" i="18" s="1"/>
  <c r="Y193" i="18" s="1"/>
  <c r="H235" i="18"/>
  <c r="I235" i="18" s="1"/>
  <c r="B235" i="6" s="1"/>
  <c r="BA235" i="6" s="1"/>
  <c r="H220" i="18"/>
  <c r="I220" i="18" s="1"/>
  <c r="B220" i="6" s="1"/>
  <c r="BA220" i="6" s="1"/>
  <c r="H225" i="18"/>
  <c r="I225" i="18" s="1"/>
  <c r="B225" i="6" s="1"/>
  <c r="BA225" i="6" s="1"/>
  <c r="AA331" i="18"/>
  <c r="Z331" i="18" s="1"/>
  <c r="Y331" i="18" s="1"/>
  <c r="G270" i="18"/>
  <c r="CA270" i="6" s="1"/>
  <c r="G72" i="18"/>
  <c r="CA72" i="6" s="1"/>
  <c r="H289" i="18"/>
  <c r="I289" i="18" s="1"/>
  <c r="B289" i="6" s="1"/>
  <c r="BA289" i="6" s="1"/>
  <c r="G137" i="18"/>
  <c r="CA137" i="6" s="1"/>
  <c r="AA224" i="18"/>
  <c r="Z224" i="18" s="1"/>
  <c r="Y224" i="18" s="1"/>
  <c r="H316" i="18"/>
  <c r="J316" i="18" s="1"/>
  <c r="C316" i="6" s="1"/>
  <c r="H113" i="18"/>
  <c r="J113" i="18" s="1"/>
  <c r="C113" i="6" s="1"/>
  <c r="AA299" i="18"/>
  <c r="Z299" i="18" s="1"/>
  <c r="Y299" i="18" s="1"/>
  <c r="H351" i="18"/>
  <c r="I351" i="18" s="1"/>
  <c r="B351" i="6" s="1"/>
  <c r="BA351" i="6" s="1"/>
  <c r="AA198" i="18"/>
  <c r="Z198" i="18" s="1"/>
  <c r="Y198" i="18" s="1"/>
  <c r="J65" i="19"/>
  <c r="AA251" i="18"/>
  <c r="Z251" i="18" s="1"/>
  <c r="Y251" i="18" s="1"/>
  <c r="W272" i="18"/>
  <c r="H245" i="18"/>
  <c r="I245" i="18" s="1"/>
  <c r="B245" i="6" s="1"/>
  <c r="BA245" i="6" s="1"/>
  <c r="G224" i="18"/>
  <c r="CA224" i="6" s="1"/>
  <c r="AA296" i="18"/>
  <c r="Z296" i="18" s="1"/>
  <c r="Y296" i="18" s="1"/>
  <c r="H299" i="18"/>
  <c r="I299" i="18" s="1"/>
  <c r="B299" i="6" s="1"/>
  <c r="BA299" i="6" s="1"/>
  <c r="G351" i="18"/>
  <c r="CA351" i="6" s="1"/>
  <c r="H198" i="18"/>
  <c r="J198" i="18" s="1"/>
  <c r="C198" i="6" s="1"/>
  <c r="H285" i="18"/>
  <c r="J285" i="18" s="1"/>
  <c r="C285" i="6" s="1"/>
  <c r="AA334" i="18"/>
  <c r="Z334" i="18" s="1"/>
  <c r="Y334" i="18" s="1"/>
  <c r="AA34" i="18"/>
  <c r="Z34" i="18" s="1"/>
  <c r="Y34" i="18" s="1"/>
  <c r="AA171" i="18"/>
  <c r="Z171" i="18" s="1"/>
  <c r="Y171" i="18" s="1"/>
  <c r="G273" i="18"/>
  <c r="CA273" i="6" s="1"/>
  <c r="AA247" i="18"/>
  <c r="Z247" i="18" s="1"/>
  <c r="Y247" i="18" s="1"/>
  <c r="H236" i="18"/>
  <c r="I236" i="18" s="1"/>
  <c r="B236" i="6" s="1"/>
  <c r="BA236" i="6" s="1"/>
  <c r="H79" i="18"/>
  <c r="I79" i="18" s="1"/>
  <c r="B79" i="6" s="1"/>
  <c r="BA79" i="6" s="1"/>
  <c r="G316" i="18"/>
  <c r="CA316" i="6" s="1"/>
  <c r="AA113" i="18"/>
  <c r="Z113" i="18" s="1"/>
  <c r="Y113" i="18" s="1"/>
  <c r="H370" i="18"/>
  <c r="I370" i="18" s="1"/>
  <c r="B370" i="6" s="1"/>
  <c r="BA370" i="6" s="1"/>
  <c r="G296" i="18"/>
  <c r="CA296" i="6" s="1"/>
  <c r="G251" i="18"/>
  <c r="CA251" i="6" s="1"/>
  <c r="G177" i="18"/>
  <c r="CA177" i="6" s="1"/>
  <c r="G293" i="18"/>
  <c r="CA293" i="6" s="1"/>
  <c r="H354" i="18"/>
  <c r="I354" i="18" s="1"/>
  <c r="B354" i="6" s="1"/>
  <c r="BA354" i="6" s="1"/>
  <c r="AA42" i="18"/>
  <c r="Z42" i="18" s="1"/>
  <c r="Y42" i="18" s="1"/>
  <c r="AA273" i="18"/>
  <c r="Z273" i="18" s="1"/>
  <c r="Y273" i="18" s="1"/>
  <c r="AA205" i="18"/>
  <c r="Z205" i="18" s="1"/>
  <c r="Y205" i="18" s="1"/>
  <c r="AA369" i="18"/>
  <c r="Z369" i="18" s="1"/>
  <c r="Y369" i="18" s="1"/>
  <c r="H300" i="18"/>
  <c r="I300" i="18" s="1"/>
  <c r="B300" i="6" s="1"/>
  <c r="BA300" i="6" s="1"/>
  <c r="G247" i="18"/>
  <c r="CA247" i="6" s="1"/>
  <c r="G323" i="18"/>
  <c r="CA323" i="6" s="1"/>
  <c r="AA364" i="18"/>
  <c r="Z364" i="18" s="1"/>
  <c r="Y364" i="18" s="1"/>
  <c r="G139" i="18"/>
  <c r="CA139" i="6" s="1"/>
  <c r="H214" i="18"/>
  <c r="J214" i="18" s="1"/>
  <c r="C214" i="6" s="1"/>
  <c r="G292" i="18"/>
  <c r="CA292" i="6" s="1"/>
  <c r="AA309" i="18"/>
  <c r="Z309" i="18" s="1"/>
  <c r="Y309" i="18" s="1"/>
  <c r="H41" i="18"/>
  <c r="I41" i="18" s="1"/>
  <c r="B41" i="6" s="1"/>
  <c r="BA41" i="6" s="1"/>
  <c r="G350" i="18"/>
  <c r="CA350" i="6" s="1"/>
  <c r="H189" i="18"/>
  <c r="J189" i="18" s="1"/>
  <c r="C189" i="6" s="1"/>
  <c r="H277" i="18"/>
  <c r="J277" i="18" s="1"/>
  <c r="C277" i="6" s="1"/>
  <c r="H28" i="18"/>
  <c r="I28" i="18" s="1"/>
  <c r="B28" i="6" s="1"/>
  <c r="BA28" i="6" s="1"/>
  <c r="H26" i="18"/>
  <c r="J26" i="18" s="1"/>
  <c r="C26" i="6" s="1"/>
  <c r="G212" i="18"/>
  <c r="CA212" i="6" s="1"/>
  <c r="AA170" i="18"/>
  <c r="Z170" i="18" s="1"/>
  <c r="Y170" i="18" s="1"/>
  <c r="G150" i="18"/>
  <c r="CA150" i="6" s="1"/>
  <c r="H249" i="18"/>
  <c r="J249" i="18" s="1"/>
  <c r="C249" i="6" s="1"/>
  <c r="G337" i="18"/>
  <c r="CA337" i="6" s="1"/>
  <c r="G307" i="18"/>
  <c r="CA307" i="6" s="1"/>
  <c r="H246" i="18"/>
  <c r="I246" i="18" s="1"/>
  <c r="B246" i="6" s="1"/>
  <c r="BA246" i="6" s="1"/>
  <c r="AA161" i="18"/>
  <c r="Z161" i="18" s="1"/>
  <c r="Y161" i="18" s="1"/>
  <c r="H184" i="18"/>
  <c r="J184" i="18" s="1"/>
  <c r="C184" i="6" s="1"/>
  <c r="G192" i="18"/>
  <c r="CA192" i="6" s="1"/>
  <c r="AA284" i="18"/>
  <c r="Z284" i="18" s="1"/>
  <c r="Y284" i="18" s="1"/>
  <c r="H230" i="18"/>
  <c r="I230" i="18" s="1"/>
  <c r="B230" i="6" s="1"/>
  <c r="BA230" i="6" s="1"/>
  <c r="G255" i="18"/>
  <c r="CA255" i="6" s="1"/>
  <c r="G237" i="18"/>
  <c r="CA237" i="6" s="1"/>
  <c r="H199" i="18"/>
  <c r="J199" i="18" s="1"/>
  <c r="C199" i="6" s="1"/>
  <c r="G297" i="18"/>
  <c r="CA297" i="6" s="1"/>
  <c r="AA310" i="18"/>
  <c r="Z310" i="18" s="1"/>
  <c r="Y310" i="18" s="1"/>
  <c r="H203" i="18"/>
  <c r="I203" i="18" s="1"/>
  <c r="B203" i="6" s="1"/>
  <c r="BA203" i="6" s="1"/>
  <c r="G211" i="18"/>
  <c r="CA211" i="6" s="1"/>
  <c r="G238" i="18"/>
  <c r="CA238" i="6" s="1"/>
  <c r="AA103" i="18"/>
  <c r="Z103" i="18" s="1"/>
  <c r="Y103" i="18" s="1"/>
  <c r="H322" i="18"/>
  <c r="I322" i="18" s="1"/>
  <c r="B322" i="6" s="1"/>
  <c r="BA322" i="6" s="1"/>
  <c r="H213" i="18"/>
  <c r="J213" i="18" s="1"/>
  <c r="C213" i="6" s="1"/>
  <c r="G236" i="18"/>
  <c r="CA236" i="6" s="1"/>
  <c r="G79" i="18"/>
  <c r="CA79" i="6" s="1"/>
  <c r="AA162" i="18"/>
  <c r="Z162" i="18" s="1"/>
  <c r="Y162" i="18" s="1"/>
  <c r="AA290" i="18"/>
  <c r="Z290" i="18" s="1"/>
  <c r="Y290" i="18" s="1"/>
  <c r="G366" i="18"/>
  <c r="CA366" i="6" s="1"/>
  <c r="G342" i="18"/>
  <c r="CA342" i="6" s="1"/>
  <c r="H337" i="18"/>
  <c r="I337" i="18" s="1"/>
  <c r="B337" i="6" s="1"/>
  <c r="BA337" i="6" s="1"/>
  <c r="AA264" i="18"/>
  <c r="Z264" i="18" s="1"/>
  <c r="Y264" i="18" s="1"/>
  <c r="AA357" i="18"/>
  <c r="Z357" i="18" s="1"/>
  <c r="Y357" i="18" s="1"/>
  <c r="H311" i="18"/>
  <c r="I311" i="18" s="1"/>
  <c r="B311" i="6" s="1"/>
  <c r="BA311" i="6" s="1"/>
  <c r="G31" i="18"/>
  <c r="CA31" i="6" s="1"/>
  <c r="H161" i="18"/>
  <c r="I161" i="18" s="1"/>
  <c r="B161" i="6" s="1"/>
  <c r="BA161" i="6" s="1"/>
  <c r="AA192" i="18"/>
  <c r="Z192" i="18" s="1"/>
  <c r="Y192" i="18" s="1"/>
  <c r="H37" i="18"/>
  <c r="I37" i="18" s="1"/>
  <c r="B37" i="6" s="1"/>
  <c r="BA37" i="6" s="1"/>
  <c r="H70" i="18"/>
  <c r="J70" i="18" s="1"/>
  <c r="C70" i="6" s="1"/>
  <c r="G364" i="18"/>
  <c r="CA364" i="6" s="1"/>
  <c r="H139" i="18"/>
  <c r="I139" i="18" s="1"/>
  <c r="B139" i="6" s="1"/>
  <c r="BA139" i="6" s="1"/>
  <c r="H284" i="18"/>
  <c r="J284" i="18" s="1"/>
  <c r="C284" i="6" s="1"/>
  <c r="AA124" i="18"/>
  <c r="Z124" i="18" s="1"/>
  <c r="Y124" i="18" s="1"/>
  <c r="AA230" i="18"/>
  <c r="Z230" i="18" s="1"/>
  <c r="Y230" i="18" s="1"/>
  <c r="H353" i="18"/>
  <c r="J353" i="18" s="1"/>
  <c r="C353" i="6" s="1"/>
  <c r="AA292" i="18"/>
  <c r="Z292" i="18" s="1"/>
  <c r="Y292" i="18" s="1"/>
  <c r="G309" i="18"/>
  <c r="CA309" i="6" s="1"/>
  <c r="G41" i="18"/>
  <c r="CA41" i="6" s="1"/>
  <c r="G199" i="18"/>
  <c r="CA199" i="6" s="1"/>
  <c r="H297" i="18"/>
  <c r="I297" i="18" s="1"/>
  <c r="B297" i="6" s="1"/>
  <c r="BA297" i="6" s="1"/>
  <c r="H350" i="18"/>
  <c r="I350" i="18" s="1"/>
  <c r="B350" i="6" s="1"/>
  <c r="BA350" i="6" s="1"/>
  <c r="AA222" i="18"/>
  <c r="Z222" i="18" s="1"/>
  <c r="Y222" i="18" s="1"/>
  <c r="G92" i="18"/>
  <c r="CA92" i="6" s="1"/>
  <c r="H177" i="18"/>
  <c r="J177" i="18" s="1"/>
  <c r="C177" i="6" s="1"/>
  <c r="AA189" i="18"/>
  <c r="Z189" i="18" s="1"/>
  <c r="Y189" i="18" s="1"/>
  <c r="H280" i="18"/>
  <c r="I280" i="18" s="1"/>
  <c r="B280" i="6" s="1"/>
  <c r="BA280" i="6" s="1"/>
  <c r="AA277" i="18"/>
  <c r="Z277" i="18" s="1"/>
  <c r="Y277" i="18" s="1"/>
  <c r="AA378" i="18"/>
  <c r="Z378" i="18" s="1"/>
  <c r="Y378" i="18" s="1"/>
  <c r="AA238" i="18"/>
  <c r="Z238" i="18" s="1"/>
  <c r="Y238" i="18" s="1"/>
  <c r="G36" i="18"/>
  <c r="CA36" i="6" s="1"/>
  <c r="H118" i="18"/>
  <c r="I118" i="18" s="1"/>
  <c r="B118" i="6" s="1"/>
  <c r="BA118" i="6" s="1"/>
  <c r="AA26" i="18"/>
  <c r="Z26" i="18" s="1"/>
  <c r="Y26" i="18" s="1"/>
  <c r="H212" i="18"/>
  <c r="J212" i="18" s="1"/>
  <c r="C212" i="6" s="1"/>
  <c r="G170" i="18"/>
  <c r="CA170" i="6" s="1"/>
  <c r="H39" i="18"/>
  <c r="J39" i="18" s="1"/>
  <c r="C39" i="6" s="1"/>
  <c r="H150" i="18"/>
  <c r="I150" i="18" s="1"/>
  <c r="B150" i="6" s="1"/>
  <c r="BA150" i="6" s="1"/>
  <c r="K65" i="19"/>
  <c r="AA341" i="18"/>
  <c r="Z341" i="18" s="1"/>
  <c r="Y341" i="18" s="1"/>
  <c r="H162" i="18"/>
  <c r="J162" i="18" s="1"/>
  <c r="C162" i="6" s="1"/>
  <c r="AA156" i="18"/>
  <c r="Z156" i="18" s="1"/>
  <c r="Y156" i="18" s="1"/>
  <c r="AA249" i="18"/>
  <c r="Z249" i="18" s="1"/>
  <c r="Y249" i="18" s="1"/>
  <c r="H348" i="18"/>
  <c r="J348" i="18" s="1"/>
  <c r="C348" i="6" s="1"/>
  <c r="H366" i="18"/>
  <c r="J366" i="18" s="1"/>
  <c r="C366" i="6" s="1"/>
  <c r="H342" i="18"/>
  <c r="I342" i="18" s="1"/>
  <c r="B342" i="6" s="1"/>
  <c r="BA342" i="6" s="1"/>
  <c r="G85" i="18"/>
  <c r="CA85" i="6" s="1"/>
  <c r="G264" i="18"/>
  <c r="CA264" i="6" s="1"/>
  <c r="G245" i="18"/>
  <c r="CA245" i="6" s="1"/>
  <c r="H307" i="18"/>
  <c r="J307" i="18" s="1"/>
  <c r="C307" i="6" s="1"/>
  <c r="G246" i="18"/>
  <c r="CA246" i="6" s="1"/>
  <c r="G357" i="18"/>
  <c r="CA357" i="6" s="1"/>
  <c r="G328" i="18"/>
  <c r="CA328" i="6" s="1"/>
  <c r="G184" i="18"/>
  <c r="CA184" i="6" s="1"/>
  <c r="AA234" i="18"/>
  <c r="Z234" i="18" s="1"/>
  <c r="Y234" i="18" s="1"/>
  <c r="G70" i="18"/>
  <c r="CA70" i="6" s="1"/>
  <c r="G204" i="18"/>
  <c r="CA204" i="6" s="1"/>
  <c r="H116" i="18"/>
  <c r="J116" i="18" s="1"/>
  <c r="C116" i="6" s="1"/>
  <c r="G353" i="18"/>
  <c r="CA353" i="6" s="1"/>
  <c r="H255" i="18"/>
  <c r="I255" i="18" s="1"/>
  <c r="B255" i="6" s="1"/>
  <c r="BA255" i="6" s="1"/>
  <c r="H237" i="18"/>
  <c r="I237" i="18" s="1"/>
  <c r="B237" i="6" s="1"/>
  <c r="BA237" i="6" s="1"/>
  <c r="H94" i="18"/>
  <c r="J94" i="18" s="1"/>
  <c r="C94" i="6" s="1"/>
  <c r="G275" i="18"/>
  <c r="CA275" i="6" s="1"/>
  <c r="H222" i="18"/>
  <c r="J222" i="18" s="1"/>
  <c r="C222" i="6" s="1"/>
  <c r="AA215" i="18"/>
  <c r="Z215" i="18" s="1"/>
  <c r="Y215" i="18" s="1"/>
  <c r="H310" i="18"/>
  <c r="I310" i="18" s="1"/>
  <c r="B310" i="6" s="1"/>
  <c r="BA310" i="6" s="1"/>
  <c r="AA92" i="18"/>
  <c r="Z92" i="18" s="1"/>
  <c r="Y92" i="18" s="1"/>
  <c r="AA203" i="18"/>
  <c r="Z203" i="18" s="1"/>
  <c r="Y203" i="18" s="1"/>
  <c r="G280" i="18"/>
  <c r="CA280" i="6" s="1"/>
  <c r="H378" i="18"/>
  <c r="I378" i="18" s="1"/>
  <c r="B378" i="6" s="1"/>
  <c r="BA378" i="6" s="1"/>
  <c r="AA211" i="18"/>
  <c r="Z211" i="18" s="1"/>
  <c r="Y211" i="18" s="1"/>
  <c r="AA110" i="18"/>
  <c r="Z110" i="18" s="1"/>
  <c r="Y110" i="18" s="1"/>
  <c r="G28" i="18"/>
  <c r="CA28" i="6" s="1"/>
  <c r="H103" i="18"/>
  <c r="J103" i="18" s="1"/>
  <c r="C103" i="6" s="1"/>
  <c r="AA322" i="18"/>
  <c r="Z322" i="18" s="1"/>
  <c r="Y322" i="18" s="1"/>
  <c r="AA39" i="18"/>
  <c r="Z39" i="18" s="1"/>
  <c r="Y39" i="18" s="1"/>
  <c r="G213" i="18"/>
  <c r="CA213" i="6" s="1"/>
  <c r="D227" i="18"/>
  <c r="E227" i="18" s="1"/>
  <c r="F227" i="18" s="1"/>
  <c r="G227" i="18" s="1"/>
  <c r="CA227" i="6" s="1"/>
  <c r="G65" i="19"/>
  <c r="D302" i="18"/>
  <c r="E302" i="18" s="1"/>
  <c r="F302" i="18" s="1"/>
  <c r="G302" i="18" s="1"/>
  <c r="CA302" i="6" s="1"/>
  <c r="AA330" i="18"/>
  <c r="Z330" i="18" s="1"/>
  <c r="Y330" i="18" s="1"/>
  <c r="G330" i="18"/>
  <c r="CA330" i="6" s="1"/>
  <c r="AA242" i="18"/>
  <c r="Z242" i="18" s="1"/>
  <c r="Y242" i="18" s="1"/>
  <c r="G242" i="18"/>
  <c r="CA242" i="6" s="1"/>
  <c r="H63" i="18"/>
  <c r="I63" i="18" s="1"/>
  <c r="B63" i="6" s="1"/>
  <c r="BA63" i="6" s="1"/>
  <c r="G63" i="18"/>
  <c r="CA63" i="6" s="1"/>
  <c r="G21" i="18"/>
  <c r="CA21" i="6" s="1"/>
  <c r="H21" i="18"/>
  <c r="J21" i="18" s="1"/>
  <c r="C21" i="6" s="1"/>
  <c r="G67" i="18"/>
  <c r="CA67" i="6" s="1"/>
  <c r="H67" i="18"/>
  <c r="J67" i="18" s="1"/>
  <c r="C67" i="6" s="1"/>
  <c r="AA18" i="18"/>
  <c r="Z18" i="18" s="1"/>
  <c r="Y18" i="18" s="1"/>
  <c r="H18" i="18"/>
  <c r="J18" i="18" s="1"/>
  <c r="C18" i="6" s="1"/>
  <c r="AA109" i="18"/>
  <c r="Z109" i="18" s="1"/>
  <c r="Y109" i="18" s="1"/>
  <c r="H109" i="18"/>
  <c r="I109" i="18" s="1"/>
  <c r="B109" i="6" s="1"/>
  <c r="BA109" i="6" s="1"/>
  <c r="AA85" i="18"/>
  <c r="Z85" i="18" s="1"/>
  <c r="Y85" i="18" s="1"/>
  <c r="H330" i="18"/>
  <c r="I330" i="18" s="1"/>
  <c r="B330" i="6" s="1"/>
  <c r="BA330" i="6" s="1"/>
  <c r="H234" i="18"/>
  <c r="I234" i="18" s="1"/>
  <c r="B234" i="6" s="1"/>
  <c r="BA234" i="6" s="1"/>
  <c r="G37" i="18"/>
  <c r="CA37" i="6" s="1"/>
  <c r="G18" i="18"/>
  <c r="CA18" i="6" s="1"/>
  <c r="G124" i="18"/>
  <c r="CA124" i="6" s="1"/>
  <c r="G218" i="18"/>
  <c r="CA218" i="6" s="1"/>
  <c r="G109" i="18"/>
  <c r="CA109" i="6" s="1"/>
  <c r="AA21" i="18"/>
  <c r="Z21" i="18" s="1"/>
  <c r="Y21" i="18" s="1"/>
  <c r="AA275" i="18"/>
  <c r="Z275" i="18" s="1"/>
  <c r="Y275" i="18" s="1"/>
  <c r="G110" i="18"/>
  <c r="CA110" i="6" s="1"/>
  <c r="AA36" i="18"/>
  <c r="Z36" i="18" s="1"/>
  <c r="Y36" i="18" s="1"/>
  <c r="G118" i="18"/>
  <c r="CA118" i="6" s="1"/>
  <c r="AA63" i="18"/>
  <c r="Z63" i="18" s="1"/>
  <c r="Y63" i="18" s="1"/>
  <c r="AA373" i="18"/>
  <c r="Z373" i="18" s="1"/>
  <c r="Y373" i="18" s="1"/>
  <c r="G373" i="18"/>
  <c r="CA373" i="6" s="1"/>
  <c r="G22" i="18"/>
  <c r="CA22" i="6" s="1"/>
  <c r="H22" i="18"/>
  <c r="J22" i="18" s="1"/>
  <c r="C22" i="6" s="1"/>
  <c r="G19" i="18"/>
  <c r="CA19" i="6" s="1"/>
  <c r="H19" i="18"/>
  <c r="I19" i="18" s="1"/>
  <c r="B19" i="6" s="1"/>
  <c r="BA19" i="6" s="1"/>
  <c r="G38" i="18"/>
  <c r="CA38" i="6" s="1"/>
  <c r="H38" i="18"/>
  <c r="J38" i="18" s="1"/>
  <c r="C38" i="6" s="1"/>
  <c r="AA143" i="18"/>
  <c r="Z143" i="18" s="1"/>
  <c r="Y143" i="18" s="1"/>
  <c r="H143" i="18"/>
  <c r="J143" i="18" s="1"/>
  <c r="C143" i="6" s="1"/>
  <c r="G156" i="18"/>
  <c r="CA156" i="6" s="1"/>
  <c r="H290" i="18"/>
  <c r="I290" i="18" s="1"/>
  <c r="B290" i="6" s="1"/>
  <c r="BA290" i="6" s="1"/>
  <c r="F88" i="18"/>
  <c r="G88" i="18" s="1"/>
  <c r="CA88" i="6" s="1"/>
  <c r="AA323" i="18"/>
  <c r="Z323" i="18" s="1"/>
  <c r="Y323" i="18" s="1"/>
  <c r="AA31" i="18"/>
  <c r="Z31" i="18" s="1"/>
  <c r="Y31" i="18" s="1"/>
  <c r="G226" i="18"/>
  <c r="CA226" i="6" s="1"/>
  <c r="H204" i="18"/>
  <c r="J204" i="18" s="1"/>
  <c r="C204" i="6" s="1"/>
  <c r="G116" i="18"/>
  <c r="CA116" i="6" s="1"/>
  <c r="AA214" i="18"/>
  <c r="Z214" i="18" s="1"/>
  <c r="Y214" i="18" s="1"/>
  <c r="AA94" i="18"/>
  <c r="Z94" i="18" s="1"/>
  <c r="Y94" i="18" s="1"/>
  <c r="G215" i="18"/>
  <c r="CA215" i="6" s="1"/>
  <c r="AA49" i="18"/>
  <c r="Z49" i="18" s="1"/>
  <c r="Y49" i="18" s="1"/>
  <c r="G256" i="18"/>
  <c r="CA256" i="6" s="1"/>
  <c r="AA220" i="18"/>
  <c r="Z220" i="18" s="1"/>
  <c r="Y220" i="18" s="1"/>
  <c r="E65" i="19"/>
  <c r="G338" i="18"/>
  <c r="CA338" i="6" s="1"/>
  <c r="G250" i="18"/>
  <c r="CA250" i="6" s="1"/>
  <c r="AA356" i="18"/>
  <c r="Z356" i="18" s="1"/>
  <c r="Y356" i="18" s="1"/>
  <c r="G291" i="18"/>
  <c r="CA291" i="6" s="1"/>
  <c r="H68" i="18"/>
  <c r="I68" i="18" s="1"/>
  <c r="B68" i="6" s="1"/>
  <c r="BA68" i="6" s="1"/>
  <c r="AA56" i="18"/>
  <c r="Z56" i="18" s="1"/>
  <c r="Y56" i="18" s="1"/>
  <c r="G115" i="18"/>
  <c r="CA115" i="6" s="1"/>
  <c r="H317" i="18"/>
  <c r="I317" i="18" s="1"/>
  <c r="B317" i="6" s="1"/>
  <c r="BA317" i="6" s="1"/>
  <c r="G305" i="18"/>
  <c r="CA305" i="6" s="1"/>
  <c r="AA112" i="18"/>
  <c r="Z112" i="18" s="1"/>
  <c r="Y112" i="18" s="1"/>
  <c r="W302" i="18"/>
  <c r="H283" i="18"/>
  <c r="J283" i="18" s="1"/>
  <c r="C283" i="6" s="1"/>
  <c r="AA172" i="18"/>
  <c r="Z172" i="18" s="1"/>
  <c r="Y172" i="18" s="1"/>
  <c r="H336" i="18"/>
  <c r="J336" i="18" s="1"/>
  <c r="C336" i="6" s="1"/>
  <c r="G89" i="18"/>
  <c r="CA89" i="6" s="1"/>
  <c r="G65" i="18"/>
  <c r="CA65" i="6" s="1"/>
  <c r="G68" i="18"/>
  <c r="CA68" i="6" s="1"/>
  <c r="G56" i="18"/>
  <c r="CA56" i="6" s="1"/>
  <c r="AA376" i="18"/>
  <c r="Z376" i="18" s="1"/>
  <c r="Y376" i="18" s="1"/>
  <c r="G317" i="18"/>
  <c r="CA317" i="6" s="1"/>
  <c r="AA370" i="18"/>
  <c r="Z370" i="18" s="1"/>
  <c r="Y370" i="18" s="1"/>
  <c r="G197" i="18"/>
  <c r="CA197" i="6" s="1"/>
  <c r="H179" i="18"/>
  <c r="J179" i="18" s="1"/>
  <c r="C179" i="6" s="1"/>
  <c r="G148" i="18"/>
  <c r="CA148" i="6" s="1"/>
  <c r="AA121" i="18"/>
  <c r="Z121" i="18" s="1"/>
  <c r="Y121" i="18" s="1"/>
  <c r="AA108" i="18"/>
  <c r="Z108" i="18" s="1"/>
  <c r="Y108" i="18" s="1"/>
  <c r="G318" i="18"/>
  <c r="CA318" i="6" s="1"/>
  <c r="H293" i="18"/>
  <c r="I293" i="18" s="1"/>
  <c r="B293" i="6" s="1"/>
  <c r="BA293" i="6" s="1"/>
  <c r="AA152" i="18"/>
  <c r="Z152" i="18" s="1"/>
  <c r="Y152" i="18" s="1"/>
  <c r="H169" i="18"/>
  <c r="J169" i="18" s="1"/>
  <c r="C169" i="6" s="1"/>
  <c r="G354" i="18"/>
  <c r="CA354" i="6" s="1"/>
  <c r="H171" i="18"/>
  <c r="J171" i="18" s="1"/>
  <c r="C171" i="6" s="1"/>
  <c r="G42" i="18"/>
  <c r="CA42" i="6" s="1"/>
  <c r="G82" i="18"/>
  <c r="CA82" i="6" s="1"/>
  <c r="AA99" i="18"/>
  <c r="Z99" i="18" s="1"/>
  <c r="Y99" i="18" s="1"/>
  <c r="AA300" i="18"/>
  <c r="Z300" i="18" s="1"/>
  <c r="Y300" i="18" s="1"/>
  <c r="G294" i="18"/>
  <c r="CA294" i="6" s="1"/>
  <c r="G228" i="18"/>
  <c r="CA228" i="6" s="1"/>
  <c r="AA362" i="18"/>
  <c r="Z362" i="18" s="1"/>
  <c r="Y362" i="18" s="1"/>
  <c r="G360" i="18"/>
  <c r="CA360" i="6" s="1"/>
  <c r="AA65" i="18"/>
  <c r="Z65" i="18" s="1"/>
  <c r="Y65" i="18" s="1"/>
  <c r="H106" i="18"/>
  <c r="I106" i="18" s="1"/>
  <c r="B106" i="6" s="1"/>
  <c r="BA106" i="6" s="1"/>
  <c r="AA209" i="18"/>
  <c r="Z209" i="18" s="1"/>
  <c r="Y209" i="18" s="1"/>
  <c r="AA279" i="18"/>
  <c r="Z279" i="18" s="1"/>
  <c r="Y279" i="18" s="1"/>
  <c r="H267" i="18"/>
  <c r="J267" i="18" s="1"/>
  <c r="C267" i="6" s="1"/>
  <c r="AA197" i="18"/>
  <c r="Z197" i="18" s="1"/>
  <c r="Y197" i="18" s="1"/>
  <c r="G179" i="18"/>
  <c r="CA179" i="6" s="1"/>
  <c r="AA183" i="18"/>
  <c r="Z183" i="18" s="1"/>
  <c r="Y183" i="18" s="1"/>
  <c r="G127" i="18"/>
  <c r="CA127" i="6" s="1"/>
  <c r="G112" i="18"/>
  <c r="CA112" i="6" s="1"/>
  <c r="G243" i="18"/>
  <c r="CA243" i="6" s="1"/>
  <c r="AA313" i="18"/>
  <c r="Z313" i="18" s="1"/>
  <c r="Y313" i="18" s="1"/>
  <c r="G152" i="18"/>
  <c r="CA152" i="6" s="1"/>
  <c r="H101" i="18"/>
  <c r="J101" i="18" s="1"/>
  <c r="C101" i="6" s="1"/>
  <c r="F119" i="18"/>
  <c r="G119" i="18" s="1"/>
  <c r="CA119" i="6" s="1"/>
  <c r="G301" i="18"/>
  <c r="CA301" i="6" s="1"/>
  <c r="H281" i="18"/>
  <c r="I281" i="18" s="1"/>
  <c r="B281" i="6" s="1"/>
  <c r="BA281" i="6" s="1"/>
  <c r="G205" i="18"/>
  <c r="CA205" i="6" s="1"/>
  <c r="G369" i="18"/>
  <c r="CA369" i="6" s="1"/>
  <c r="F180" i="18"/>
  <c r="G180" i="18" s="1"/>
  <c r="CA180" i="6" s="1"/>
  <c r="AA231" i="18"/>
  <c r="Z231" i="18" s="1"/>
  <c r="Y231" i="18" s="1"/>
  <c r="AA335" i="18"/>
  <c r="Z335" i="18" s="1"/>
  <c r="Y335" i="18" s="1"/>
  <c r="AA77" i="18"/>
  <c r="Z77" i="18" s="1"/>
  <c r="Y77" i="18" s="1"/>
  <c r="G274" i="18"/>
  <c r="CA274" i="6" s="1"/>
  <c r="G283" i="18"/>
  <c r="CA283" i="6" s="1"/>
  <c r="AA51" i="18"/>
  <c r="Z51" i="18" s="1"/>
  <c r="Y51" i="18" s="1"/>
  <c r="H231" i="18"/>
  <c r="J231" i="18" s="1"/>
  <c r="C231" i="6" s="1"/>
  <c r="AA73" i="18"/>
  <c r="Z73" i="18" s="1"/>
  <c r="Y73" i="18" s="1"/>
  <c r="H25" i="18"/>
  <c r="I25" i="18" s="1"/>
  <c r="B25" i="6" s="1"/>
  <c r="BA25" i="6" s="1"/>
  <c r="AA17" i="18"/>
  <c r="Z17" i="18" s="1"/>
  <c r="Y17" i="18" s="1"/>
  <c r="AA191" i="18"/>
  <c r="Z191" i="18" s="1"/>
  <c r="Y191" i="18" s="1"/>
  <c r="G104" i="18"/>
  <c r="CA104" i="6" s="1"/>
  <c r="H269" i="18"/>
  <c r="J269" i="18" s="1"/>
  <c r="C269" i="6" s="1"/>
  <c r="G219" i="18"/>
  <c r="CA219" i="6" s="1"/>
  <c r="AA114" i="18"/>
  <c r="Z114" i="18" s="1"/>
  <c r="Y114" i="18" s="1"/>
  <c r="H259" i="18"/>
  <c r="J259" i="18" s="1"/>
  <c r="C259" i="6" s="1"/>
  <c r="AA274" i="18"/>
  <c r="Z274" i="18" s="1"/>
  <c r="Y274" i="18" s="1"/>
  <c r="H335" i="18"/>
  <c r="I335" i="18" s="1"/>
  <c r="B335" i="6" s="1"/>
  <c r="BA335" i="6" s="1"/>
  <c r="H17" i="18"/>
  <c r="J17" i="18" s="1"/>
  <c r="C17" i="6" s="1"/>
  <c r="G83" i="18"/>
  <c r="CA83" i="6" s="1"/>
  <c r="AA87" i="18"/>
  <c r="Z87" i="18" s="1"/>
  <c r="Y87" i="18" s="1"/>
  <c r="G190" i="18"/>
  <c r="CA190" i="6" s="1"/>
  <c r="AA24" i="18"/>
  <c r="Z24" i="18" s="1"/>
  <c r="Y24" i="18" s="1"/>
  <c r="AA57" i="18"/>
  <c r="Z57" i="18" s="1"/>
  <c r="Y57" i="18" s="1"/>
  <c r="G173" i="18"/>
  <c r="CA173" i="6" s="1"/>
  <c r="G375" i="18"/>
  <c r="CA375" i="6" s="1"/>
  <c r="AA81" i="18"/>
  <c r="Z81" i="18" s="1"/>
  <c r="Y81" i="18" s="1"/>
  <c r="H104" i="18"/>
  <c r="J104" i="18" s="1"/>
  <c r="C104" i="6" s="1"/>
  <c r="H144" i="18"/>
  <c r="J144" i="18" s="1"/>
  <c r="C144" i="6" s="1"/>
  <c r="AA167" i="18"/>
  <c r="Z167" i="18" s="1"/>
  <c r="Y167" i="18" s="1"/>
  <c r="G24" i="18"/>
  <c r="CA24" i="6" s="1"/>
  <c r="H142" i="18"/>
  <c r="J142" i="18" s="1"/>
  <c r="C142" i="6" s="1"/>
  <c r="G69" i="18"/>
  <c r="CA69" i="6" s="1"/>
  <c r="G95" i="18"/>
  <c r="CA95" i="6" s="1"/>
  <c r="G229" i="18"/>
  <c r="CA229" i="6" s="1"/>
  <c r="AA78" i="18"/>
  <c r="Z78" i="18" s="1"/>
  <c r="Y78" i="18" s="1"/>
  <c r="G321" i="18"/>
  <c r="CA321" i="6" s="1"/>
  <c r="H77" i="18"/>
  <c r="I77" i="18" s="1"/>
  <c r="B77" i="6" s="1"/>
  <c r="BA77" i="6" s="1"/>
  <c r="H114" i="18"/>
  <c r="J114" i="18" s="1"/>
  <c r="C114" i="6" s="1"/>
  <c r="AA259" i="18"/>
  <c r="Z259" i="18" s="1"/>
  <c r="Y259" i="18" s="1"/>
  <c r="G91" i="18"/>
  <c r="CA91" i="6" s="1"/>
  <c r="G57" i="18"/>
  <c r="CA57" i="6" s="1"/>
  <c r="G340" i="18"/>
  <c r="CA340" i="6" s="1"/>
  <c r="AA132" i="18"/>
  <c r="Z132" i="18" s="1"/>
  <c r="Y132" i="18" s="1"/>
  <c r="H130" i="18"/>
  <c r="J130" i="18" s="1"/>
  <c r="C130" i="6" s="1"/>
  <c r="AA182" i="18"/>
  <c r="Z182" i="18" s="1"/>
  <c r="Y182" i="18" s="1"/>
  <c r="AA126" i="18"/>
  <c r="Z126" i="18" s="1"/>
  <c r="Y126" i="18" s="1"/>
  <c r="G43" i="18"/>
  <c r="CA43" i="6" s="1"/>
  <c r="AA64" i="18"/>
  <c r="Z64" i="18" s="1"/>
  <c r="Y64" i="18" s="1"/>
  <c r="AA40" i="18"/>
  <c r="Z40" i="18" s="1"/>
  <c r="Y40" i="18" s="1"/>
  <c r="G253" i="18"/>
  <c r="CA253" i="6" s="1"/>
  <c r="AA308" i="18"/>
  <c r="Z308" i="18" s="1"/>
  <c r="Y308" i="18" s="1"/>
  <c r="AA100" i="18"/>
  <c r="Z100" i="18" s="1"/>
  <c r="Y100" i="18" s="1"/>
  <c r="W227" i="18"/>
  <c r="H217" i="18"/>
  <c r="I217" i="18" s="1"/>
  <c r="B217" i="6" s="1"/>
  <c r="BA217" i="6" s="1"/>
  <c r="AA278" i="18"/>
  <c r="Z278" i="18" s="1"/>
  <c r="Y278" i="18" s="1"/>
  <c r="AA141" i="18"/>
  <c r="Z141" i="18" s="1"/>
  <c r="Y141" i="18" s="1"/>
  <c r="AA122" i="18"/>
  <c r="Z122" i="18" s="1"/>
  <c r="Y122" i="18" s="1"/>
  <c r="AA207" i="18"/>
  <c r="Z207" i="18" s="1"/>
  <c r="Y207" i="18" s="1"/>
  <c r="AA123" i="18"/>
  <c r="Z123" i="18" s="1"/>
  <c r="Y123" i="18" s="1"/>
  <c r="H123" i="18"/>
  <c r="J123" i="18" s="1"/>
  <c r="C123" i="6" s="1"/>
  <c r="G136" i="18"/>
  <c r="CA136" i="6" s="1"/>
  <c r="H136" i="18"/>
  <c r="J136" i="18" s="1"/>
  <c r="C136" i="6" s="1"/>
  <c r="AA347" i="18"/>
  <c r="Z347" i="18" s="1"/>
  <c r="Y347" i="18" s="1"/>
  <c r="H347" i="18"/>
  <c r="J347" i="18" s="1"/>
  <c r="C347" i="6" s="1"/>
  <c r="G165" i="18"/>
  <c r="CA165" i="6" s="1"/>
  <c r="AA165" i="18"/>
  <c r="Z165" i="18" s="1"/>
  <c r="Y165" i="18" s="1"/>
  <c r="AA163" i="18"/>
  <c r="Z163" i="18" s="1"/>
  <c r="Y163" i="18" s="1"/>
  <c r="H163" i="18"/>
  <c r="J163" i="18" s="1"/>
  <c r="C163" i="6" s="1"/>
  <c r="AA181" i="18"/>
  <c r="Z181" i="18" s="1"/>
  <c r="Y181" i="18" s="1"/>
  <c r="G181" i="18"/>
  <c r="CA181" i="6" s="1"/>
  <c r="AA359" i="18"/>
  <c r="Z359" i="18" s="1"/>
  <c r="Y359" i="18" s="1"/>
  <c r="H359" i="18"/>
  <c r="I359" i="18" s="1"/>
  <c r="B359" i="6" s="1"/>
  <c r="BA359" i="6" s="1"/>
  <c r="AA265" i="18"/>
  <c r="Z265" i="18" s="1"/>
  <c r="Y265" i="18" s="1"/>
  <c r="G265" i="18"/>
  <c r="CA265" i="6" s="1"/>
  <c r="H365" i="18"/>
  <c r="J365" i="18" s="1"/>
  <c r="C365" i="6" s="1"/>
  <c r="AA365" i="18"/>
  <c r="Z365" i="18" s="1"/>
  <c r="Y365" i="18" s="1"/>
  <c r="G80" i="18"/>
  <c r="CA80" i="6" s="1"/>
  <c r="AA80" i="18"/>
  <c r="Z80" i="18" s="1"/>
  <c r="Y80" i="18" s="1"/>
  <c r="H159" i="18"/>
  <c r="J159" i="18" s="1"/>
  <c r="C159" i="6" s="1"/>
  <c r="G159" i="18"/>
  <c r="CA159" i="6" s="1"/>
  <c r="G327" i="18"/>
  <c r="CA327" i="6" s="1"/>
  <c r="AA327" i="18"/>
  <c r="Z327" i="18" s="1"/>
  <c r="Y327" i="18" s="1"/>
  <c r="G146" i="18"/>
  <c r="CA146" i="6" s="1"/>
  <c r="AA146" i="18"/>
  <c r="Z146" i="18" s="1"/>
  <c r="Y146" i="18" s="1"/>
  <c r="G50" i="18"/>
  <c r="CA50" i="6" s="1"/>
  <c r="AA50" i="18"/>
  <c r="Z50" i="18" s="1"/>
  <c r="Y50" i="18" s="1"/>
  <c r="H325" i="18"/>
  <c r="J325" i="18" s="1"/>
  <c r="C325" i="6" s="1"/>
  <c r="AA325" i="18"/>
  <c r="Z325" i="18" s="1"/>
  <c r="Y325" i="18" s="1"/>
  <c r="AA59" i="18"/>
  <c r="Z59" i="18" s="1"/>
  <c r="Y59" i="18" s="1"/>
  <c r="H59" i="18"/>
  <c r="I59" i="18" s="1"/>
  <c r="B59" i="6" s="1"/>
  <c r="BA59" i="6" s="1"/>
  <c r="AA157" i="18"/>
  <c r="Z157" i="18" s="1"/>
  <c r="Y157" i="18" s="1"/>
  <c r="H157" i="18"/>
  <c r="J157" i="18" s="1"/>
  <c r="C157" i="6" s="1"/>
  <c r="G134" i="18"/>
  <c r="CA134" i="6" s="1"/>
  <c r="H134" i="18"/>
  <c r="I134" i="18" s="1"/>
  <c r="B134" i="6" s="1"/>
  <c r="BA134" i="6" s="1"/>
  <c r="G90" i="18"/>
  <c r="CA90" i="6" s="1"/>
  <c r="AA90" i="18"/>
  <c r="Z90" i="18" s="1"/>
  <c r="Y90" i="18" s="1"/>
  <c r="G263" i="18"/>
  <c r="CA263" i="6" s="1"/>
  <c r="AA263" i="18"/>
  <c r="Z263" i="18" s="1"/>
  <c r="Y263" i="18" s="1"/>
  <c r="AA145" i="18"/>
  <c r="Z145" i="18" s="1"/>
  <c r="Y145" i="18" s="1"/>
  <c r="H145" i="18"/>
  <c r="I145" i="18" s="1"/>
  <c r="B145" i="6" s="1"/>
  <c r="BA145" i="6" s="1"/>
  <c r="H248" i="18"/>
  <c r="I248" i="18" s="1"/>
  <c r="B248" i="6" s="1"/>
  <c r="BA248" i="6" s="1"/>
  <c r="G248" i="18"/>
  <c r="CA248" i="6" s="1"/>
  <c r="H66" i="18"/>
  <c r="J66" i="18" s="1"/>
  <c r="C66" i="6" s="1"/>
  <c r="G66" i="18"/>
  <c r="CA66" i="6" s="1"/>
  <c r="G188" i="18"/>
  <c r="CA188" i="6" s="1"/>
  <c r="AA223" i="18"/>
  <c r="Z223" i="18" s="1"/>
  <c r="Y223" i="18" s="1"/>
  <c r="AA140" i="18"/>
  <c r="Z140" i="18" s="1"/>
  <c r="Y140" i="18" s="1"/>
  <c r="AA144" i="18"/>
  <c r="Z144" i="18" s="1"/>
  <c r="Y144" i="18" s="1"/>
  <c r="G194" i="18"/>
  <c r="CA194" i="6" s="1"/>
  <c r="H326" i="18"/>
  <c r="J326" i="18" s="1"/>
  <c r="C326" i="6" s="1"/>
  <c r="G167" i="18"/>
  <c r="CA167" i="6" s="1"/>
  <c r="G312" i="18"/>
  <c r="CA312" i="6" s="1"/>
  <c r="AA16" i="18"/>
  <c r="Z16" i="18" s="1"/>
  <c r="Y16" i="18" s="1"/>
  <c r="H339" i="18"/>
  <c r="J339" i="18" s="1"/>
  <c r="C339" i="6" s="1"/>
  <c r="AA269" i="18"/>
  <c r="Z269" i="18" s="1"/>
  <c r="Y269" i="18" s="1"/>
  <c r="H78" i="18"/>
  <c r="I78" i="18" s="1"/>
  <c r="B78" i="6" s="1"/>
  <c r="BA78" i="6" s="1"/>
  <c r="H321" i="18"/>
  <c r="J321" i="18" s="1"/>
  <c r="C321" i="6" s="1"/>
  <c r="AA91" i="18"/>
  <c r="Z91" i="18" s="1"/>
  <c r="Y91" i="18" s="1"/>
  <c r="G71" i="18"/>
  <c r="CA71" i="6" s="1"/>
  <c r="H340" i="18"/>
  <c r="J340" i="18" s="1"/>
  <c r="C340" i="6" s="1"/>
  <c r="H132" i="18"/>
  <c r="I132" i="18" s="1"/>
  <c r="B132" i="6" s="1"/>
  <c r="BA132" i="6" s="1"/>
  <c r="G130" i="18"/>
  <c r="CA130" i="6" s="1"/>
  <c r="H90" i="18"/>
  <c r="J90" i="18" s="1"/>
  <c r="C90" i="6" s="1"/>
  <c r="H182" i="18"/>
  <c r="I182" i="18" s="1"/>
  <c r="B182" i="6" s="1"/>
  <c r="BA182" i="6" s="1"/>
  <c r="H126" i="18"/>
  <c r="J126" i="18" s="1"/>
  <c r="C126" i="6" s="1"/>
  <c r="G64" i="18"/>
  <c r="CA64" i="6" s="1"/>
  <c r="G377" i="18"/>
  <c r="CA377" i="6" s="1"/>
  <c r="G332" i="18"/>
  <c r="CA332" i="6" s="1"/>
  <c r="H375" i="18"/>
  <c r="J375" i="18" s="1"/>
  <c r="C375" i="6" s="1"/>
  <c r="G325" i="18"/>
  <c r="CA325" i="6" s="1"/>
  <c r="H240" i="18"/>
  <c r="J240" i="18" s="1"/>
  <c r="C240" i="6" s="1"/>
  <c r="G191" i="18"/>
  <c r="CA191" i="6" s="1"/>
  <c r="H175" i="18"/>
  <c r="J175" i="18" s="1"/>
  <c r="C175" i="6" s="1"/>
  <c r="G51" i="18"/>
  <c r="CA51" i="6" s="1"/>
  <c r="H282" i="18"/>
  <c r="I282" i="18" s="1"/>
  <c r="B282" i="6" s="1"/>
  <c r="BA282" i="6" s="1"/>
  <c r="AA98" i="18"/>
  <c r="Z98" i="18" s="1"/>
  <c r="Y98" i="18" s="1"/>
  <c r="H253" i="18"/>
  <c r="I253" i="18" s="1"/>
  <c r="B253" i="6" s="1"/>
  <c r="BA253" i="6" s="1"/>
  <c r="H308" i="18"/>
  <c r="J308" i="18" s="1"/>
  <c r="C308" i="6" s="1"/>
  <c r="G100" i="18"/>
  <c r="CA100" i="6" s="1"/>
  <c r="AA66" i="18"/>
  <c r="Z66" i="18" s="1"/>
  <c r="Y66" i="18" s="1"/>
  <c r="G59" i="18"/>
  <c r="CA59" i="6" s="1"/>
  <c r="H73" i="18"/>
  <c r="I73" i="18" s="1"/>
  <c r="B73" i="6" s="1"/>
  <c r="BA73" i="6" s="1"/>
  <c r="G217" i="18"/>
  <c r="CA217" i="6" s="1"/>
  <c r="G278" i="18"/>
  <c r="CA278" i="6" s="1"/>
  <c r="AA248" i="18"/>
  <c r="Z248" i="18" s="1"/>
  <c r="Y248" i="18" s="1"/>
  <c r="G25" i="18"/>
  <c r="CA25" i="6" s="1"/>
  <c r="AA47" i="18"/>
  <c r="Z47" i="18" s="1"/>
  <c r="Y47" i="18" s="1"/>
  <c r="G122" i="18"/>
  <c r="CA122" i="6" s="1"/>
  <c r="G145" i="18"/>
  <c r="CA145" i="6" s="1"/>
  <c r="AI65" i="20"/>
  <c r="AH65" i="20" s="1"/>
  <c r="AG65" i="20" s="1"/>
  <c r="AF65" i="20" s="1"/>
  <c r="G53" i="18"/>
  <c r="CA53" i="6" s="1"/>
  <c r="AA48" i="18"/>
  <c r="Z48" i="18" s="1"/>
  <c r="Y48" i="18" s="1"/>
  <c r="AA76" i="18"/>
  <c r="Z76" i="18" s="1"/>
  <c r="Y76" i="18" s="1"/>
  <c r="H75" i="18"/>
  <c r="J75" i="18" s="1"/>
  <c r="C75" i="6" s="1"/>
  <c r="H30" i="18"/>
  <c r="I30" i="18" s="1"/>
  <c r="B30" i="6" s="1"/>
  <c r="BA30" i="6" s="1"/>
  <c r="G99" i="18"/>
  <c r="CA99" i="6" s="1"/>
  <c r="H32" i="18"/>
  <c r="J32" i="18" s="1"/>
  <c r="C32" i="6" s="1"/>
  <c r="AA294" i="18"/>
  <c r="Z294" i="18" s="1"/>
  <c r="Y294" i="18" s="1"/>
  <c r="G172" i="18"/>
  <c r="CA172" i="6" s="1"/>
  <c r="AA268" i="18"/>
  <c r="Z268" i="18" s="1"/>
  <c r="Y268" i="18" s="1"/>
  <c r="G154" i="18"/>
  <c r="CA154" i="6" s="1"/>
  <c r="H362" i="18"/>
  <c r="J362" i="18" s="1"/>
  <c r="C362" i="6" s="1"/>
  <c r="G33" i="18"/>
  <c r="CA33" i="6" s="1"/>
  <c r="AA289" i="18"/>
  <c r="Z289" i="18" s="1"/>
  <c r="Y289" i="18" s="1"/>
  <c r="H120" i="18"/>
  <c r="J120" i="18" s="1"/>
  <c r="C120" i="6" s="1"/>
  <c r="H96" i="18"/>
  <c r="I96" i="18" s="1"/>
  <c r="B96" i="6" s="1"/>
  <c r="BA96" i="6" s="1"/>
  <c r="AA58" i="18"/>
  <c r="Z58" i="18" s="1"/>
  <c r="Y58" i="18" s="1"/>
  <c r="AA153" i="18"/>
  <c r="Z153" i="18" s="1"/>
  <c r="Y153" i="18" s="1"/>
  <c r="AA185" i="18"/>
  <c r="Z185" i="18" s="1"/>
  <c r="Y185" i="18" s="1"/>
  <c r="G233" i="18"/>
  <c r="CA233" i="6" s="1"/>
  <c r="H209" i="18"/>
  <c r="J209" i="18" s="1"/>
  <c r="C209" i="6" s="1"/>
  <c r="AA329" i="18"/>
  <c r="Z329" i="18" s="1"/>
  <c r="Y329" i="18" s="1"/>
  <c r="AA151" i="18"/>
  <c r="Z151" i="18" s="1"/>
  <c r="Y151" i="18" s="1"/>
  <c r="H178" i="18"/>
  <c r="I178" i="18" s="1"/>
  <c r="B178" i="6" s="1"/>
  <c r="BA178" i="6" s="1"/>
  <c r="G279" i="18"/>
  <c r="CA279" i="6" s="1"/>
  <c r="AA305" i="18"/>
  <c r="Z305" i="18" s="1"/>
  <c r="Y305" i="18" s="1"/>
  <c r="G131" i="18"/>
  <c r="CA131" i="6" s="1"/>
  <c r="G267" i="18"/>
  <c r="CA267" i="6" s="1"/>
  <c r="AA286" i="18"/>
  <c r="Z286" i="18" s="1"/>
  <c r="Y286" i="18" s="1"/>
  <c r="AA72" i="18"/>
  <c r="Z72" i="18" s="1"/>
  <c r="Y72" i="18" s="1"/>
  <c r="H183" i="18"/>
  <c r="I183" i="18" s="1"/>
  <c r="B183" i="6" s="1"/>
  <c r="BA183" i="6" s="1"/>
  <c r="H303" i="18"/>
  <c r="J303" i="18" s="1"/>
  <c r="C303" i="6" s="1"/>
  <c r="H287" i="18"/>
  <c r="I287" i="18" s="1"/>
  <c r="B287" i="6" s="1"/>
  <c r="BA287" i="6" s="1"/>
  <c r="G111" i="18"/>
  <c r="CA111" i="6" s="1"/>
  <c r="AA84" i="18"/>
  <c r="Z84" i="18" s="1"/>
  <c r="Y84" i="18" s="1"/>
  <c r="H186" i="18"/>
  <c r="J186" i="18" s="1"/>
  <c r="C186" i="6" s="1"/>
  <c r="AA75" i="18"/>
  <c r="Z75" i="18" s="1"/>
  <c r="Y75" i="18" s="1"/>
  <c r="AA55" i="18"/>
  <c r="Z55" i="18" s="1"/>
  <c r="Y55" i="18" s="1"/>
  <c r="G200" i="18"/>
  <c r="CA200" i="6" s="1"/>
  <c r="G107" i="18"/>
  <c r="CA107" i="6" s="1"/>
  <c r="G358" i="18"/>
  <c r="CA358" i="6" s="1"/>
  <c r="H137" i="18"/>
  <c r="I137" i="18" s="1"/>
  <c r="B137" i="6" s="1"/>
  <c r="BA137" i="6" s="1"/>
  <c r="AA133" i="18"/>
  <c r="Z133" i="18" s="1"/>
  <c r="Y133" i="18" s="1"/>
  <c r="H23" i="18"/>
  <c r="J23" i="18" s="1"/>
  <c r="C23" i="6" s="1"/>
  <c r="H304" i="18"/>
  <c r="I304" i="18" s="1"/>
  <c r="B304" i="6" s="1"/>
  <c r="BA304" i="6" s="1"/>
  <c r="H313" i="18"/>
  <c r="I313" i="18" s="1"/>
  <c r="B313" i="6" s="1"/>
  <c r="BA313" i="6" s="1"/>
  <c r="H318" i="18"/>
  <c r="I318" i="18" s="1"/>
  <c r="B318" i="6" s="1"/>
  <c r="BA318" i="6" s="1"/>
  <c r="H147" i="18"/>
  <c r="J147" i="18" s="1"/>
  <c r="C147" i="6" s="1"/>
  <c r="H252" i="18"/>
  <c r="J252" i="18" s="1"/>
  <c r="C252" i="6" s="1"/>
  <c r="AA301" i="18"/>
  <c r="Z301" i="18" s="1"/>
  <c r="Y301" i="18" s="1"/>
  <c r="AA320" i="18"/>
  <c r="Z320" i="18" s="1"/>
  <c r="Y320" i="18" s="1"/>
  <c r="AA82" i="18"/>
  <c r="Z82" i="18" s="1"/>
  <c r="Y82" i="18" s="1"/>
  <c r="AA160" i="18"/>
  <c r="Z160" i="18" s="1"/>
  <c r="Y160" i="18" s="1"/>
  <c r="AA32" i="18"/>
  <c r="Z32" i="18" s="1"/>
  <c r="Y32" i="18" s="1"/>
  <c r="H324" i="18"/>
  <c r="J324" i="18" s="1"/>
  <c r="C324" i="6" s="1"/>
  <c r="AA53" i="18"/>
  <c r="Z53" i="18" s="1"/>
  <c r="Y53" i="18" s="1"/>
  <c r="G336" i="18"/>
  <c r="CA336" i="6" s="1"/>
  <c r="G268" i="18"/>
  <c r="CA268" i="6" s="1"/>
  <c r="H228" i="18"/>
  <c r="J228" i="18" s="1"/>
  <c r="C228" i="6" s="1"/>
  <c r="AA250" i="18"/>
  <c r="Z250" i="18" s="1"/>
  <c r="Y250" i="18" s="1"/>
  <c r="AA361" i="18"/>
  <c r="Z361" i="18" s="1"/>
  <c r="Y361" i="18" s="1"/>
  <c r="AA154" i="18"/>
  <c r="Z154" i="18" s="1"/>
  <c r="Y154" i="18" s="1"/>
  <c r="H89" i="18"/>
  <c r="I89" i="18" s="1"/>
  <c r="B89" i="6" s="1"/>
  <c r="BA89" i="6" s="1"/>
  <c r="H33" i="18"/>
  <c r="J33" i="18" s="1"/>
  <c r="C33" i="6" s="1"/>
  <c r="H360" i="18"/>
  <c r="J360" i="18" s="1"/>
  <c r="C360" i="6" s="1"/>
  <c r="G120" i="18"/>
  <c r="CA120" i="6" s="1"/>
  <c r="H48" i="18"/>
  <c r="J48" i="18" s="1"/>
  <c r="C48" i="6" s="1"/>
  <c r="AA96" i="18"/>
  <c r="Z96" i="18" s="1"/>
  <c r="Y96" i="18" s="1"/>
  <c r="H58" i="18"/>
  <c r="J58" i="18" s="1"/>
  <c r="C58" i="6" s="1"/>
  <c r="H153" i="18"/>
  <c r="I153" i="18" s="1"/>
  <c r="B153" i="6" s="1"/>
  <c r="BA153" i="6" s="1"/>
  <c r="H185" i="18"/>
  <c r="J185" i="18" s="1"/>
  <c r="C185" i="6" s="1"/>
  <c r="H233" i="18"/>
  <c r="I233" i="18" s="1"/>
  <c r="B233" i="6" s="1"/>
  <c r="BA233" i="6" s="1"/>
  <c r="H356" i="18"/>
  <c r="I356" i="18" s="1"/>
  <c r="B356" i="6" s="1"/>
  <c r="BA356" i="6" s="1"/>
  <c r="H291" i="18"/>
  <c r="J291" i="18" s="1"/>
  <c r="C291" i="6" s="1"/>
  <c r="H115" i="18"/>
  <c r="J115" i="18" s="1"/>
  <c r="C115" i="6" s="1"/>
  <c r="H376" i="18"/>
  <c r="I376" i="18" s="1"/>
  <c r="B376" i="6" s="1"/>
  <c r="BA376" i="6" s="1"/>
  <c r="H131" i="18"/>
  <c r="I131" i="18" s="1"/>
  <c r="B131" i="6" s="1"/>
  <c r="BA131" i="6" s="1"/>
  <c r="G286" i="18"/>
  <c r="CA286" i="6" s="1"/>
  <c r="AA148" i="18"/>
  <c r="Z148" i="18" s="1"/>
  <c r="Y148" i="18" s="1"/>
  <c r="H44" i="18"/>
  <c r="J44" i="18" s="1"/>
  <c r="C44" i="6" s="1"/>
  <c r="AA254" i="18"/>
  <c r="Z254" i="18" s="1"/>
  <c r="Y254" i="18" s="1"/>
  <c r="AA303" i="18"/>
  <c r="Z303" i="18" s="1"/>
  <c r="Y303" i="18" s="1"/>
  <c r="G287" i="18"/>
  <c r="CA287" i="6" s="1"/>
  <c r="AA111" i="18"/>
  <c r="Z111" i="18" s="1"/>
  <c r="Y111" i="18" s="1"/>
  <c r="AA338" i="18"/>
  <c r="Z338" i="18" s="1"/>
  <c r="Y338" i="18" s="1"/>
  <c r="H127" i="18"/>
  <c r="I127" i="18" s="1"/>
  <c r="B127" i="6" s="1"/>
  <c r="BA127" i="6" s="1"/>
  <c r="G76" i="18"/>
  <c r="CA76" i="6" s="1"/>
  <c r="H55" i="18"/>
  <c r="I55" i="18" s="1"/>
  <c r="B55" i="6" s="1"/>
  <c r="BA55" i="6" s="1"/>
  <c r="AA200" i="18"/>
  <c r="Z200" i="18" s="1"/>
  <c r="Y200" i="18" s="1"/>
  <c r="H107" i="18"/>
  <c r="J107" i="18" s="1"/>
  <c r="C107" i="6" s="1"/>
  <c r="G108" i="18"/>
  <c r="CA108" i="6" s="1"/>
  <c r="AA358" i="18"/>
  <c r="Z358" i="18" s="1"/>
  <c r="Y358" i="18" s="1"/>
  <c r="H243" i="18"/>
  <c r="J243" i="18" s="1"/>
  <c r="C243" i="6" s="1"/>
  <c r="H133" i="18"/>
  <c r="J133" i="18" s="1"/>
  <c r="C133" i="6" s="1"/>
  <c r="AA30" i="18"/>
  <c r="Z30" i="18" s="1"/>
  <c r="Y30" i="18" s="1"/>
  <c r="H341" i="18"/>
  <c r="J341" i="18" s="1"/>
  <c r="C341" i="6" s="1"/>
  <c r="AA147" i="18"/>
  <c r="Z147" i="18" s="1"/>
  <c r="Y147" i="18" s="1"/>
  <c r="G101" i="18"/>
  <c r="CA101" i="6" s="1"/>
  <c r="AA208" i="18"/>
  <c r="Z208" i="18" s="1"/>
  <c r="Y208" i="18" s="1"/>
  <c r="AA52" i="18"/>
  <c r="Z52" i="18" s="1"/>
  <c r="Y52" i="18" s="1"/>
  <c r="G252" i="18"/>
  <c r="CA252" i="6" s="1"/>
  <c r="AA281" i="18"/>
  <c r="Z281" i="18" s="1"/>
  <c r="Y281" i="18" s="1"/>
  <c r="G160" i="18"/>
  <c r="CA160" i="6" s="1"/>
  <c r="H188" i="18"/>
  <c r="J188" i="18" s="1"/>
  <c r="C188" i="6" s="1"/>
  <c r="H223" i="18"/>
  <c r="I223" i="18" s="1"/>
  <c r="B223" i="6" s="1"/>
  <c r="BA223" i="6" s="1"/>
  <c r="H140" i="18"/>
  <c r="I140" i="18" s="1"/>
  <c r="B140" i="6" s="1"/>
  <c r="BA140" i="6" s="1"/>
  <c r="G326" i="18"/>
  <c r="CA326" i="6" s="1"/>
  <c r="H344" i="18"/>
  <c r="I344" i="18" s="1"/>
  <c r="B344" i="6" s="1"/>
  <c r="BA344" i="6" s="1"/>
  <c r="H87" i="18"/>
  <c r="J87" i="18" s="1"/>
  <c r="C87" i="6" s="1"/>
  <c r="H190" i="18"/>
  <c r="I190" i="18" s="1"/>
  <c r="B190" i="6" s="1"/>
  <c r="BA190" i="6" s="1"/>
  <c r="H367" i="18"/>
  <c r="J367" i="18" s="1"/>
  <c r="C367" i="6" s="1"/>
  <c r="H244" i="18"/>
  <c r="I244" i="18" s="1"/>
  <c r="B244" i="6" s="1"/>
  <c r="BA244" i="6" s="1"/>
  <c r="AA312" i="18"/>
  <c r="Z312" i="18" s="1"/>
  <c r="Y312" i="18" s="1"/>
  <c r="G142" i="18"/>
  <c r="CA142" i="6" s="1"/>
  <c r="AA164" i="18"/>
  <c r="Z164" i="18" s="1"/>
  <c r="Y164" i="18" s="1"/>
  <c r="H69" i="18"/>
  <c r="J69" i="18" s="1"/>
  <c r="C69" i="6" s="1"/>
  <c r="H95" i="18"/>
  <c r="I95" i="18" s="1"/>
  <c r="B95" i="6" s="1"/>
  <c r="BA95" i="6" s="1"/>
  <c r="AA102" i="18"/>
  <c r="Z102" i="18" s="1"/>
  <c r="Y102" i="18" s="1"/>
  <c r="H229" i="18"/>
  <c r="J229" i="18" s="1"/>
  <c r="C229" i="6" s="1"/>
  <c r="AA71" i="18"/>
  <c r="Z71" i="18" s="1"/>
  <c r="Y71" i="18" s="1"/>
  <c r="AA173" i="18"/>
  <c r="Z173" i="18" s="1"/>
  <c r="Y173" i="18" s="1"/>
  <c r="G128" i="18"/>
  <c r="CA128" i="6" s="1"/>
  <c r="G347" i="18"/>
  <c r="CA347" i="6" s="1"/>
  <c r="AA43" i="18"/>
  <c r="Z43" i="18" s="1"/>
  <c r="Y43" i="18" s="1"/>
  <c r="H50" i="18"/>
  <c r="I50" i="18" s="1"/>
  <c r="B50" i="6" s="1"/>
  <c r="BA50" i="6" s="1"/>
  <c r="H332" i="18"/>
  <c r="I332" i="18" s="1"/>
  <c r="B332" i="6" s="1"/>
  <c r="BA332" i="6" s="1"/>
  <c r="H221" i="18"/>
  <c r="J221" i="18" s="1"/>
  <c r="C221" i="6" s="1"/>
  <c r="H129" i="18"/>
  <c r="I129" i="18" s="1"/>
  <c r="B129" i="6" s="1"/>
  <c r="BA129" i="6" s="1"/>
  <c r="G240" i="18"/>
  <c r="CA240" i="6" s="1"/>
  <c r="G163" i="18"/>
  <c r="CA163" i="6" s="1"/>
  <c r="H265" i="18"/>
  <c r="I265" i="18" s="1"/>
  <c r="B265" i="6" s="1"/>
  <c r="BA265" i="6" s="1"/>
  <c r="AA159" i="18"/>
  <c r="Z159" i="18" s="1"/>
  <c r="Y159" i="18" s="1"/>
  <c r="AA232" i="18"/>
  <c r="Z232" i="18" s="1"/>
  <c r="Y232" i="18" s="1"/>
  <c r="AA155" i="18"/>
  <c r="Z155" i="18" s="1"/>
  <c r="Y155" i="18" s="1"/>
  <c r="AA176" i="18"/>
  <c r="Z176" i="18" s="1"/>
  <c r="Y176" i="18" s="1"/>
  <c r="H80" i="18"/>
  <c r="J80" i="18" s="1"/>
  <c r="C80" i="6" s="1"/>
  <c r="G123" i="18"/>
  <c r="CA123" i="6" s="1"/>
  <c r="AA136" i="18"/>
  <c r="Z136" i="18" s="1"/>
  <c r="Y136" i="18" s="1"/>
  <c r="AA282" i="18"/>
  <c r="Z282" i="18" s="1"/>
  <c r="Y282" i="18" s="1"/>
  <c r="H98" i="18"/>
  <c r="I98" i="18" s="1"/>
  <c r="B98" i="6" s="1"/>
  <c r="BA98" i="6" s="1"/>
  <c r="H266" i="18"/>
  <c r="J266" i="18" s="1"/>
  <c r="C266" i="6" s="1"/>
  <c r="H168" i="18"/>
  <c r="I168" i="18" s="1"/>
  <c r="B168" i="6" s="1"/>
  <c r="BA168" i="6" s="1"/>
  <c r="H327" i="18"/>
  <c r="J327" i="18" s="1"/>
  <c r="C327" i="6" s="1"/>
  <c r="H141" i="18"/>
  <c r="J141" i="18" s="1"/>
  <c r="C141" i="6" s="1"/>
  <c r="G47" i="18"/>
  <c r="CA47" i="6" s="1"/>
  <c r="G81" i="18"/>
  <c r="CA81" i="6" s="1"/>
  <c r="H83" i="18"/>
  <c r="I83" i="18" s="1"/>
  <c r="B83" i="6" s="1"/>
  <c r="BA83" i="6" s="1"/>
  <c r="H194" i="18"/>
  <c r="J194" i="18" s="1"/>
  <c r="C194" i="6" s="1"/>
  <c r="G344" i="18"/>
  <c r="CA344" i="6" s="1"/>
  <c r="G367" i="18"/>
  <c r="CA367" i="6" s="1"/>
  <c r="AA244" i="18"/>
  <c r="Z244" i="18" s="1"/>
  <c r="Y244" i="18" s="1"/>
  <c r="G164" i="18"/>
  <c r="CA164" i="6" s="1"/>
  <c r="G16" i="18"/>
  <c r="CA16" i="6" s="1"/>
  <c r="G339" i="18"/>
  <c r="CA339" i="6" s="1"/>
  <c r="G102" i="18"/>
  <c r="CA102" i="6" s="1"/>
  <c r="H219" i="18"/>
  <c r="I219" i="18" s="1"/>
  <c r="B219" i="6" s="1"/>
  <c r="BA219" i="6" s="1"/>
  <c r="H128" i="18"/>
  <c r="I128" i="18" s="1"/>
  <c r="B128" i="6" s="1"/>
  <c r="BA128" i="6" s="1"/>
  <c r="H40" i="18"/>
  <c r="I40" i="18" s="1"/>
  <c r="B40" i="6" s="1"/>
  <c r="BA40" i="6" s="1"/>
  <c r="G365" i="18"/>
  <c r="CA365" i="6" s="1"/>
  <c r="H377" i="18"/>
  <c r="I377" i="18" s="1"/>
  <c r="B377" i="6" s="1"/>
  <c r="BA377" i="6" s="1"/>
  <c r="AA221" i="18"/>
  <c r="Z221" i="18" s="1"/>
  <c r="Y221" i="18" s="1"/>
  <c r="G129" i="18"/>
  <c r="CA129" i="6" s="1"/>
  <c r="H165" i="18"/>
  <c r="I165" i="18" s="1"/>
  <c r="B165" i="6" s="1"/>
  <c r="BA165" i="6" s="1"/>
  <c r="H181" i="18"/>
  <c r="I181" i="18" s="1"/>
  <c r="B181" i="6" s="1"/>
  <c r="BA181" i="6" s="1"/>
  <c r="G359" i="18"/>
  <c r="CA359" i="6" s="1"/>
  <c r="G232" i="18"/>
  <c r="CA232" i="6" s="1"/>
  <c r="H155" i="18"/>
  <c r="I155" i="18" s="1"/>
  <c r="B155" i="6" s="1"/>
  <c r="BA155" i="6" s="1"/>
  <c r="H176" i="18"/>
  <c r="I176" i="18" s="1"/>
  <c r="B176" i="6" s="1"/>
  <c r="BA176" i="6" s="1"/>
  <c r="G175" i="18"/>
  <c r="CA175" i="6" s="1"/>
  <c r="AA266" i="18"/>
  <c r="Z266" i="18" s="1"/>
  <c r="Y266" i="18" s="1"/>
  <c r="AA168" i="18"/>
  <c r="Z168" i="18" s="1"/>
  <c r="Y168" i="18" s="1"/>
  <c r="H207" i="18"/>
  <c r="I207" i="18" s="1"/>
  <c r="B207" i="6" s="1"/>
  <c r="BA207" i="6" s="1"/>
  <c r="AA324" i="18"/>
  <c r="Z324" i="18" s="1"/>
  <c r="Y324" i="18" s="1"/>
  <c r="H361" i="18"/>
  <c r="J361" i="18" s="1"/>
  <c r="C361" i="6" s="1"/>
  <c r="AA106" i="18"/>
  <c r="Z106" i="18" s="1"/>
  <c r="Y106" i="18" s="1"/>
  <c r="G329" i="18"/>
  <c r="CA329" i="6" s="1"/>
  <c r="H151" i="18"/>
  <c r="I151" i="18" s="1"/>
  <c r="B151" i="6" s="1"/>
  <c r="BA151" i="6" s="1"/>
  <c r="AA178" i="18"/>
  <c r="Z178" i="18" s="1"/>
  <c r="Y178" i="18" s="1"/>
  <c r="AA44" i="18"/>
  <c r="Z44" i="18" s="1"/>
  <c r="Y44" i="18" s="1"/>
  <c r="H254" i="18"/>
  <c r="J254" i="18" s="1"/>
  <c r="C254" i="6" s="1"/>
  <c r="H84" i="18"/>
  <c r="J84" i="18" s="1"/>
  <c r="C84" i="6" s="1"/>
  <c r="AA186" i="18"/>
  <c r="Z186" i="18" s="1"/>
  <c r="Y186" i="18" s="1"/>
  <c r="H121" i="18"/>
  <c r="I121" i="18" s="1"/>
  <c r="B121" i="6" s="1"/>
  <c r="BA121" i="6" s="1"/>
  <c r="H208" i="18"/>
  <c r="I208" i="18" s="1"/>
  <c r="B208" i="6" s="1"/>
  <c r="BA208" i="6" s="1"/>
  <c r="G52" i="18"/>
  <c r="CA52" i="6" s="1"/>
  <c r="G320" i="18"/>
  <c r="CA320" i="6" s="1"/>
  <c r="AI331" i="20"/>
  <c r="AH331" i="20" s="1"/>
  <c r="AG331" i="20" s="1"/>
  <c r="AF331" i="20" s="1"/>
  <c r="AI373" i="20"/>
  <c r="AH373" i="20" s="1"/>
  <c r="AG373" i="20" s="1"/>
  <c r="AF373" i="20" s="1"/>
  <c r="AI202" i="20"/>
  <c r="AH202" i="20" s="1"/>
  <c r="AG202" i="20" s="1"/>
  <c r="AF202" i="20" s="1"/>
  <c r="AG16" i="7"/>
  <c r="U145" i="20"/>
  <c r="T145" i="20" s="1"/>
  <c r="S145" i="20" s="1"/>
  <c r="R145" i="20" s="1"/>
  <c r="P145" i="20" s="1"/>
  <c r="V145" i="20" s="1"/>
  <c r="B145" i="20" s="1"/>
  <c r="U39" i="20"/>
  <c r="T39" i="20" s="1"/>
  <c r="S39" i="20" s="1"/>
  <c r="R39" i="20" s="1"/>
  <c r="U239" i="20"/>
  <c r="T239" i="20" s="1"/>
  <c r="S239" i="20" s="1"/>
  <c r="R239" i="20" s="1"/>
  <c r="U46" i="20"/>
  <c r="T46" i="20" s="1"/>
  <c r="S46" i="20" s="1"/>
  <c r="R46" i="20" s="1"/>
  <c r="U67" i="20"/>
  <c r="T67" i="20" s="1"/>
  <c r="S67" i="20" s="1"/>
  <c r="R67" i="20" s="1"/>
  <c r="U81" i="20"/>
  <c r="T81" i="20" s="1"/>
  <c r="S81" i="20" s="1"/>
  <c r="R81" i="20" s="1"/>
  <c r="U43" i="20"/>
  <c r="T43" i="20" s="1"/>
  <c r="S43" i="20" s="1"/>
  <c r="R43" i="20" s="1"/>
  <c r="U279" i="20"/>
  <c r="T279" i="20" s="1"/>
  <c r="S279" i="20" s="1"/>
  <c r="R279" i="20" s="1"/>
  <c r="U147" i="20"/>
  <c r="T147" i="20" s="1"/>
  <c r="S147" i="20" s="1"/>
  <c r="R147" i="20" s="1"/>
  <c r="U114" i="20"/>
  <c r="T114" i="20" s="1"/>
  <c r="S114" i="20" s="1"/>
  <c r="R114" i="20" s="1"/>
  <c r="P114" i="20" s="1"/>
  <c r="V114" i="20" s="1"/>
  <c r="B114" i="20" s="1"/>
  <c r="U64" i="20"/>
  <c r="T64" i="20" s="1"/>
  <c r="S64" i="20" s="1"/>
  <c r="R64" i="20" s="1"/>
  <c r="U236" i="20"/>
  <c r="T236" i="20" s="1"/>
  <c r="S236" i="20" s="1"/>
  <c r="R236" i="20" s="1"/>
  <c r="U354" i="20"/>
  <c r="T354" i="20" s="1"/>
  <c r="S354" i="20" s="1"/>
  <c r="R354" i="20" s="1"/>
  <c r="P354" i="20" s="1"/>
  <c r="V354" i="20" s="1"/>
  <c r="B354" i="20" s="1"/>
  <c r="U285" i="20"/>
  <c r="T285" i="20" s="1"/>
  <c r="S285" i="20" s="1"/>
  <c r="R285" i="20" s="1"/>
  <c r="P285" i="20" s="1"/>
  <c r="V285" i="20" s="1"/>
  <c r="B285" i="20" s="1"/>
  <c r="U116" i="20"/>
  <c r="T116" i="20" s="1"/>
  <c r="S116" i="20" s="1"/>
  <c r="R116" i="20" s="1"/>
  <c r="T383" i="18"/>
  <c r="S15" i="18"/>
  <c r="T381" i="18"/>
  <c r="T382" i="18"/>
  <c r="AI205" i="20"/>
  <c r="AH205" i="20" s="1"/>
  <c r="AG205" i="20" s="1"/>
  <c r="AF205" i="20" s="1"/>
  <c r="AD205" i="20" s="1"/>
  <c r="AG382" i="18"/>
  <c r="AG381" i="18"/>
  <c r="AG383" i="18"/>
  <c r="AF15" i="18"/>
  <c r="V15" i="17"/>
  <c r="P381" i="17"/>
  <c r="P383" i="17"/>
  <c r="P382" i="17"/>
  <c r="F15" i="17"/>
  <c r="AD383" i="17"/>
  <c r="AD381" i="17"/>
  <c r="AD382" i="17"/>
  <c r="AL12" i="17"/>
  <c r="AJ4" i="17" s="1"/>
  <c r="P14" i="19" s="1"/>
  <c r="J172" i="18"/>
  <c r="C172" i="6" s="1"/>
  <c r="I172" i="18"/>
  <c r="B172" i="6" s="1"/>
  <c r="BA172" i="6" s="1"/>
  <c r="G60" i="18"/>
  <c r="CA60" i="6" s="1"/>
  <c r="H60" i="18"/>
  <c r="AA60" i="18"/>
  <c r="Z60" i="18" s="1"/>
  <c r="Y60" i="18" s="1"/>
  <c r="J53" i="18"/>
  <c r="C53" i="6" s="1"/>
  <c r="I53" i="18"/>
  <c r="B53" i="6" s="1"/>
  <c r="BA53" i="6" s="1"/>
  <c r="J306" i="18"/>
  <c r="C306" i="6" s="1"/>
  <c r="I306" i="18"/>
  <c r="B306" i="6" s="1"/>
  <c r="BA306" i="6" s="1"/>
  <c r="J24" i="18"/>
  <c r="C24" i="6" s="1"/>
  <c r="I24" i="18"/>
  <c r="B24" i="6" s="1"/>
  <c r="BA24" i="6" s="1"/>
  <c r="I355" i="18"/>
  <c r="B355" i="6" s="1"/>
  <c r="BA355" i="6" s="1"/>
  <c r="J355" i="18"/>
  <c r="C355" i="6" s="1"/>
  <c r="I242" i="18"/>
  <c r="B242" i="6" s="1"/>
  <c r="BA242" i="6" s="1"/>
  <c r="J242" i="18"/>
  <c r="C242" i="6" s="1"/>
  <c r="J85" i="18"/>
  <c r="C85" i="6" s="1"/>
  <c r="I85" i="18"/>
  <c r="B85" i="6" s="1"/>
  <c r="BA85" i="6" s="1"/>
  <c r="J56" i="18"/>
  <c r="C56" i="6" s="1"/>
  <c r="I56" i="18"/>
  <c r="B56" i="6" s="1"/>
  <c r="BA56" i="6" s="1"/>
  <c r="J374" i="18"/>
  <c r="C374" i="6" s="1"/>
  <c r="I374" i="18"/>
  <c r="B374" i="6" s="1"/>
  <c r="BA374" i="6" s="1"/>
  <c r="AA241" i="18"/>
  <c r="Z241" i="18" s="1"/>
  <c r="Y241" i="18" s="1"/>
  <c r="H241" i="18"/>
  <c r="G241" i="18"/>
  <c r="CA241" i="6" s="1"/>
  <c r="I71" i="18"/>
  <c r="B71" i="6" s="1"/>
  <c r="BA71" i="6" s="1"/>
  <c r="J71" i="18"/>
  <c r="C71" i="6" s="1"/>
  <c r="I364" i="18"/>
  <c r="B364" i="6" s="1"/>
  <c r="BA364" i="6" s="1"/>
  <c r="J364" i="18"/>
  <c r="C364" i="6" s="1"/>
  <c r="I64" i="18"/>
  <c r="B64" i="6" s="1"/>
  <c r="BA64" i="6" s="1"/>
  <c r="J64" i="18"/>
  <c r="C64" i="6" s="1"/>
  <c r="J286" i="18"/>
  <c r="C286" i="6" s="1"/>
  <c r="I286" i="18"/>
  <c r="B286" i="6" s="1"/>
  <c r="BA286" i="6" s="1"/>
  <c r="J124" i="18"/>
  <c r="C124" i="6" s="1"/>
  <c r="I124" i="18"/>
  <c r="B124" i="6" s="1"/>
  <c r="BA124" i="6" s="1"/>
  <c r="J294" i="18"/>
  <c r="C294" i="6" s="1"/>
  <c r="I294" i="18"/>
  <c r="B294" i="6" s="1"/>
  <c r="BA294" i="6" s="1"/>
  <c r="AA166" i="18"/>
  <c r="Z166" i="18" s="1"/>
  <c r="Y166" i="18" s="1"/>
  <c r="H166" i="18"/>
  <c r="G166" i="18"/>
  <c r="CA166" i="6" s="1"/>
  <c r="J156" i="18"/>
  <c r="C156" i="6" s="1"/>
  <c r="I156" i="18"/>
  <c r="B156" i="6" s="1"/>
  <c r="BA156" i="6" s="1"/>
  <c r="AA272" i="18"/>
  <c r="Z272" i="18" s="1"/>
  <c r="Y272" i="18" s="1"/>
  <c r="H272" i="18"/>
  <c r="G272" i="18"/>
  <c r="CA272" i="6" s="1"/>
  <c r="J268" i="18"/>
  <c r="C268" i="6" s="1"/>
  <c r="I268" i="18"/>
  <c r="B268" i="6" s="1"/>
  <c r="BA268" i="6" s="1"/>
  <c r="J97" i="18"/>
  <c r="C97" i="6" s="1"/>
  <c r="I97" i="18"/>
  <c r="B97" i="6" s="1"/>
  <c r="BA97" i="6" s="1"/>
  <c r="J167" i="18"/>
  <c r="C167" i="6" s="1"/>
  <c r="I167" i="18"/>
  <c r="B167" i="6" s="1"/>
  <c r="BA167" i="6" s="1"/>
  <c r="I250" i="18"/>
  <c r="B250" i="6" s="1"/>
  <c r="BA250" i="6" s="1"/>
  <c r="J250" i="18"/>
  <c r="C250" i="6" s="1"/>
  <c r="I154" i="18"/>
  <c r="B154" i="6" s="1"/>
  <c r="BA154" i="6" s="1"/>
  <c r="J154" i="18"/>
  <c r="C154" i="6" s="1"/>
  <c r="G105" i="18"/>
  <c r="CA105" i="6" s="1"/>
  <c r="AA105" i="18"/>
  <c r="Z105" i="18" s="1"/>
  <c r="Y105" i="18" s="1"/>
  <c r="H105" i="18"/>
  <c r="J312" i="18"/>
  <c r="C312" i="6" s="1"/>
  <c r="I312" i="18"/>
  <c r="B312" i="6" s="1"/>
  <c r="BA312" i="6" s="1"/>
  <c r="I16" i="18"/>
  <c r="B16" i="6" s="1"/>
  <c r="BA16" i="6" s="1"/>
  <c r="J16" i="18"/>
  <c r="C16" i="6" s="1"/>
  <c r="I295" i="18"/>
  <c r="B295" i="6" s="1"/>
  <c r="BA295" i="6" s="1"/>
  <c r="AA258" i="18"/>
  <c r="Z258" i="18" s="1"/>
  <c r="Y258" i="18" s="1"/>
  <c r="G258" i="18"/>
  <c r="CA258" i="6" s="1"/>
  <c r="H258" i="18"/>
  <c r="J65" i="18"/>
  <c r="C65" i="6" s="1"/>
  <c r="I65" i="18"/>
  <c r="B65" i="6" s="1"/>
  <c r="BA65" i="6" s="1"/>
  <c r="J323" i="18"/>
  <c r="C323" i="6" s="1"/>
  <c r="I323" i="18"/>
  <c r="B323" i="6" s="1"/>
  <c r="BA323" i="6" s="1"/>
  <c r="I329" i="18"/>
  <c r="B329" i="6" s="1"/>
  <c r="BA329" i="6" s="1"/>
  <c r="J329" i="18"/>
  <c r="C329" i="6" s="1"/>
  <c r="J279" i="18"/>
  <c r="C279" i="6" s="1"/>
  <c r="I279" i="18"/>
  <c r="B279" i="6" s="1"/>
  <c r="BA279" i="6" s="1"/>
  <c r="J91" i="18"/>
  <c r="C91" i="6" s="1"/>
  <c r="I91" i="18"/>
  <c r="B91" i="6" s="1"/>
  <c r="BA91" i="6" s="1"/>
  <c r="J57" i="18"/>
  <c r="C57" i="6" s="1"/>
  <c r="I57" i="18"/>
  <c r="B57" i="6" s="1"/>
  <c r="BA57" i="6" s="1"/>
  <c r="J274" i="18"/>
  <c r="C274" i="6" s="1"/>
  <c r="I274" i="18"/>
  <c r="B274" i="6" s="1"/>
  <c r="BA274" i="6" s="1"/>
  <c r="J173" i="18"/>
  <c r="C173" i="6" s="1"/>
  <c r="I173" i="18"/>
  <c r="B173" i="6" s="1"/>
  <c r="BA173" i="6" s="1"/>
  <c r="J31" i="18"/>
  <c r="C31" i="6" s="1"/>
  <c r="I31" i="18"/>
  <c r="B31" i="6" s="1"/>
  <c r="BA31" i="6" s="1"/>
  <c r="J27" i="18"/>
  <c r="C27" i="6" s="1"/>
  <c r="I27" i="18"/>
  <c r="B27" i="6" s="1"/>
  <c r="BA27" i="6" s="1"/>
  <c r="J328" i="18"/>
  <c r="C328" i="6" s="1"/>
  <c r="I328" i="18"/>
  <c r="B328" i="6" s="1"/>
  <c r="BA328" i="6" s="1"/>
  <c r="I192" i="18"/>
  <c r="B192" i="6" s="1"/>
  <c r="BA192" i="6" s="1"/>
  <c r="J192" i="18"/>
  <c r="C192" i="6" s="1"/>
  <c r="J346" i="18"/>
  <c r="C346" i="6" s="1"/>
  <c r="I346" i="18"/>
  <c r="B346" i="6" s="1"/>
  <c r="BA346" i="6" s="1"/>
  <c r="I43" i="18"/>
  <c r="B43" i="6" s="1"/>
  <c r="BA43" i="6" s="1"/>
  <c r="J43" i="18"/>
  <c r="C43" i="6" s="1"/>
  <c r="I148" i="18"/>
  <c r="B148" i="6" s="1"/>
  <c r="BA148" i="6" s="1"/>
  <c r="J148" i="18"/>
  <c r="C148" i="6" s="1"/>
  <c r="I292" i="18"/>
  <c r="B292" i="6" s="1"/>
  <c r="BA292" i="6" s="1"/>
  <c r="J292" i="18"/>
  <c r="C292" i="6" s="1"/>
  <c r="J76" i="18"/>
  <c r="C76" i="6" s="1"/>
  <c r="I76" i="18"/>
  <c r="B76" i="6" s="1"/>
  <c r="BA76" i="6" s="1"/>
  <c r="I200" i="18"/>
  <c r="B200" i="6" s="1"/>
  <c r="BA200" i="6" s="1"/>
  <c r="J200" i="18"/>
  <c r="C200" i="6" s="1"/>
  <c r="I232" i="18"/>
  <c r="B232" i="6" s="1"/>
  <c r="BA232" i="6" s="1"/>
  <c r="J232" i="18"/>
  <c r="C232" i="6" s="1"/>
  <c r="I108" i="18"/>
  <c r="B108" i="6" s="1"/>
  <c r="BA108" i="6" s="1"/>
  <c r="J108" i="18"/>
  <c r="C108" i="6" s="1"/>
  <c r="I358" i="18"/>
  <c r="B358" i="6" s="1"/>
  <c r="BA358" i="6" s="1"/>
  <c r="J358" i="18"/>
  <c r="C358" i="6" s="1"/>
  <c r="H333" i="18"/>
  <c r="AA333" i="18"/>
  <c r="Z333" i="18" s="1"/>
  <c r="Y333" i="18" s="1"/>
  <c r="G333" i="18"/>
  <c r="CA333" i="6" s="1"/>
  <c r="J251" i="18"/>
  <c r="C251" i="6" s="1"/>
  <c r="I251" i="18"/>
  <c r="B251" i="6" s="1"/>
  <c r="BA251" i="6" s="1"/>
  <c r="J92" i="18"/>
  <c r="C92" i="6" s="1"/>
  <c r="I92" i="18"/>
  <c r="B92" i="6" s="1"/>
  <c r="BA92" i="6" s="1"/>
  <c r="I51" i="18"/>
  <c r="B51" i="6" s="1"/>
  <c r="BA51" i="6" s="1"/>
  <c r="J51" i="18"/>
  <c r="C51" i="6" s="1"/>
  <c r="AA210" i="18"/>
  <c r="Z210" i="18" s="1"/>
  <c r="Y210" i="18" s="1"/>
  <c r="G210" i="18"/>
  <c r="CA210" i="6" s="1"/>
  <c r="H210" i="18"/>
  <c r="J152" i="18"/>
  <c r="C152" i="6" s="1"/>
  <c r="I152" i="18"/>
  <c r="B152" i="6" s="1"/>
  <c r="BA152" i="6" s="1"/>
  <c r="G363" i="18"/>
  <c r="CA363" i="6" s="1"/>
  <c r="H363" i="18"/>
  <c r="AA363" i="18"/>
  <c r="Z363" i="18" s="1"/>
  <c r="Y363" i="18" s="1"/>
  <c r="G29" i="18"/>
  <c r="CA29" i="6" s="1"/>
  <c r="AA29" i="18"/>
  <c r="Z29" i="18" s="1"/>
  <c r="Y29" i="18" s="1"/>
  <c r="H29" i="18"/>
  <c r="J110" i="18"/>
  <c r="C110" i="6" s="1"/>
  <c r="I110" i="18"/>
  <c r="B110" i="6" s="1"/>
  <c r="BA110" i="6" s="1"/>
  <c r="J193" i="18"/>
  <c r="C193" i="6" s="1"/>
  <c r="I193" i="18"/>
  <c r="B193" i="6" s="1"/>
  <c r="BA193" i="6" s="1"/>
  <c r="J52" i="18"/>
  <c r="C52" i="6" s="1"/>
  <c r="I52" i="18"/>
  <c r="B52" i="6" s="1"/>
  <c r="BA52" i="6" s="1"/>
  <c r="I263" i="18"/>
  <c r="B263" i="6" s="1"/>
  <c r="BA263" i="6" s="1"/>
  <c r="J263" i="18"/>
  <c r="C263" i="6" s="1"/>
  <c r="J320" i="18"/>
  <c r="C320" i="6" s="1"/>
  <c r="I320" i="18"/>
  <c r="B320" i="6" s="1"/>
  <c r="BA320" i="6" s="1"/>
  <c r="J170" i="18"/>
  <c r="C170" i="6" s="1"/>
  <c r="I170" i="18"/>
  <c r="B170" i="6" s="1"/>
  <c r="BA170" i="6" s="1"/>
  <c r="Y381" i="16"/>
  <c r="Y383" i="16"/>
  <c r="X9" i="16"/>
  <c r="Y11" i="16" s="1"/>
  <c r="AL6" i="16"/>
  <c r="AL12" i="16" s="1"/>
  <c r="Y382" i="16"/>
  <c r="AM6" i="16"/>
  <c r="AM12" i="16" s="1"/>
  <c r="J42" i="18"/>
  <c r="C42" i="6" s="1"/>
  <c r="I42" i="18"/>
  <c r="B42" i="6" s="1"/>
  <c r="BA42" i="6" s="1"/>
  <c r="J82" i="18"/>
  <c r="C82" i="6" s="1"/>
  <c r="I82" i="18"/>
  <c r="B82" i="6" s="1"/>
  <c r="BA82" i="6" s="1"/>
  <c r="I273" i="18"/>
  <c r="B273" i="6" s="1"/>
  <c r="BA273" i="6" s="1"/>
  <c r="J273" i="18"/>
  <c r="C273" i="6" s="1"/>
  <c r="I205" i="18"/>
  <c r="B205" i="6" s="1"/>
  <c r="BA205" i="6" s="1"/>
  <c r="J205" i="18"/>
  <c r="C205" i="6" s="1"/>
  <c r="I369" i="18"/>
  <c r="B369" i="6" s="1"/>
  <c r="BA369" i="6" s="1"/>
  <c r="J369" i="18"/>
  <c r="C369" i="6" s="1"/>
  <c r="J99" i="18"/>
  <c r="C99" i="6" s="1"/>
  <c r="I99" i="18"/>
  <c r="B99" i="6" s="1"/>
  <c r="BA99" i="6" s="1"/>
  <c r="J122" i="18"/>
  <c r="C122" i="6" s="1"/>
  <c r="I122" i="18"/>
  <c r="B122" i="6" s="1"/>
  <c r="BA122" i="6" s="1"/>
  <c r="I81" i="18"/>
  <c r="B81" i="6" s="1"/>
  <c r="BA81" i="6" s="1"/>
  <c r="J81" i="18"/>
  <c r="C81" i="6" s="1"/>
  <c r="G349" i="18"/>
  <c r="CA349" i="6" s="1"/>
  <c r="AA349" i="18"/>
  <c r="Z349" i="18" s="1"/>
  <c r="Y349" i="18" s="1"/>
  <c r="H349" i="18"/>
  <c r="I164" i="18"/>
  <c r="B164" i="6" s="1"/>
  <c r="BA164" i="6" s="1"/>
  <c r="J164" i="18"/>
  <c r="C164" i="6" s="1"/>
  <c r="I102" i="18"/>
  <c r="B102" i="6" s="1"/>
  <c r="BA102" i="6" s="1"/>
  <c r="J102" i="18"/>
  <c r="C102" i="6" s="1"/>
  <c r="AA319" i="18"/>
  <c r="Z319" i="18" s="1"/>
  <c r="Y319" i="18" s="1"/>
  <c r="H319" i="18"/>
  <c r="G319" i="18"/>
  <c r="CA319" i="6" s="1"/>
  <c r="J264" i="18"/>
  <c r="C264" i="6" s="1"/>
  <c r="I264" i="18"/>
  <c r="B264" i="6" s="1"/>
  <c r="BA264" i="6" s="1"/>
  <c r="I373" i="18"/>
  <c r="B373" i="6" s="1"/>
  <c r="BA373" i="6" s="1"/>
  <c r="J373" i="18"/>
  <c r="C373" i="6" s="1"/>
  <c r="J357" i="18"/>
  <c r="C357" i="6" s="1"/>
  <c r="I357" i="18"/>
  <c r="B357" i="6" s="1"/>
  <c r="BA357" i="6" s="1"/>
  <c r="J305" i="18"/>
  <c r="C305" i="6" s="1"/>
  <c r="I305" i="18"/>
  <c r="B305" i="6" s="1"/>
  <c r="BA305" i="6" s="1"/>
  <c r="J158" i="18"/>
  <c r="C158" i="6" s="1"/>
  <c r="I158" i="18"/>
  <c r="B158" i="6" s="1"/>
  <c r="BA158" i="6" s="1"/>
  <c r="I187" i="18"/>
  <c r="B187" i="6" s="1"/>
  <c r="BA187" i="6" s="1"/>
  <c r="J187" i="18"/>
  <c r="C187" i="6" s="1"/>
  <c r="I224" i="18"/>
  <c r="B224" i="6" s="1"/>
  <c r="BA224" i="6" s="1"/>
  <c r="J224" i="18"/>
  <c r="C224" i="6" s="1"/>
  <c r="J197" i="18"/>
  <c r="C197" i="6" s="1"/>
  <c r="I197" i="18"/>
  <c r="B197" i="6" s="1"/>
  <c r="BA197" i="6" s="1"/>
  <c r="J72" i="18"/>
  <c r="C72" i="6" s="1"/>
  <c r="I72" i="18"/>
  <c r="B72" i="6" s="1"/>
  <c r="BA72" i="6" s="1"/>
  <c r="AA46" i="18"/>
  <c r="Z46" i="18" s="1"/>
  <c r="Y46" i="18" s="1"/>
  <c r="G46" i="18"/>
  <c r="CA46" i="6" s="1"/>
  <c r="H46" i="18"/>
  <c r="I146" i="18"/>
  <c r="B146" i="6" s="1"/>
  <c r="BA146" i="6" s="1"/>
  <c r="J146" i="18"/>
  <c r="C146" i="6" s="1"/>
  <c r="J218" i="18"/>
  <c r="C218" i="6" s="1"/>
  <c r="I218" i="18"/>
  <c r="B218" i="6" s="1"/>
  <c r="BA218" i="6" s="1"/>
  <c r="J309" i="18"/>
  <c r="C309" i="6" s="1"/>
  <c r="I309" i="18"/>
  <c r="B309" i="6" s="1"/>
  <c r="BA309" i="6" s="1"/>
  <c r="J296" i="18"/>
  <c r="C296" i="6" s="1"/>
  <c r="I296" i="18"/>
  <c r="B296" i="6" s="1"/>
  <c r="BA296" i="6" s="1"/>
  <c r="J111" i="18"/>
  <c r="C111" i="6" s="1"/>
  <c r="I111" i="18"/>
  <c r="B111" i="6" s="1"/>
  <c r="BA111" i="6" s="1"/>
  <c r="J338" i="18"/>
  <c r="C338" i="6" s="1"/>
  <c r="I338" i="18"/>
  <c r="B338" i="6" s="1"/>
  <c r="BA338" i="6" s="1"/>
  <c r="I275" i="18"/>
  <c r="B275" i="6" s="1"/>
  <c r="BA275" i="6" s="1"/>
  <c r="J275" i="18"/>
  <c r="C275" i="6" s="1"/>
  <c r="J62" i="18"/>
  <c r="C62" i="6" s="1"/>
  <c r="I62" i="18"/>
  <c r="B62" i="6" s="1"/>
  <c r="BA62" i="6" s="1"/>
  <c r="I191" i="18"/>
  <c r="B191" i="6" s="1"/>
  <c r="BA191" i="6" s="1"/>
  <c r="J191" i="18"/>
  <c r="C191" i="6" s="1"/>
  <c r="I215" i="18"/>
  <c r="B215" i="6" s="1"/>
  <c r="BA215" i="6" s="1"/>
  <c r="J215" i="18"/>
  <c r="C215" i="6" s="1"/>
  <c r="H196" i="18"/>
  <c r="AA196" i="18"/>
  <c r="Z196" i="18" s="1"/>
  <c r="Y196" i="18" s="1"/>
  <c r="G196" i="18"/>
  <c r="CA196" i="6" s="1"/>
  <c r="I112" i="18"/>
  <c r="B112" i="6" s="1"/>
  <c r="BA112" i="6" s="1"/>
  <c r="J112" i="18"/>
  <c r="C112" i="6" s="1"/>
  <c r="G74" i="18"/>
  <c r="CA74" i="6" s="1"/>
  <c r="H74" i="18"/>
  <c r="AA74" i="18"/>
  <c r="Z74" i="18" s="1"/>
  <c r="Y74" i="18" s="1"/>
  <c r="I49" i="18"/>
  <c r="B49" i="6" s="1"/>
  <c r="BA49" i="6" s="1"/>
  <c r="J49" i="18"/>
  <c r="C49" i="6" s="1"/>
  <c r="I100" i="18"/>
  <c r="B100" i="6" s="1"/>
  <c r="BA100" i="6" s="1"/>
  <c r="J100" i="18"/>
  <c r="C100" i="6" s="1"/>
  <c r="I211" i="18"/>
  <c r="B211" i="6" s="1"/>
  <c r="BA211" i="6" s="1"/>
  <c r="J211" i="18"/>
  <c r="C211" i="6" s="1"/>
  <c r="J238" i="18"/>
  <c r="C238" i="6" s="1"/>
  <c r="I238" i="18"/>
  <c r="B238" i="6" s="1"/>
  <c r="BA238" i="6" s="1"/>
  <c r="J36" i="18"/>
  <c r="C36" i="6" s="1"/>
  <c r="I36" i="18"/>
  <c r="B36" i="6" s="1"/>
  <c r="BA36" i="6" s="1"/>
  <c r="J256" i="18"/>
  <c r="C256" i="6" s="1"/>
  <c r="I256" i="18"/>
  <c r="B256" i="6" s="1"/>
  <c r="BA256" i="6" s="1"/>
  <c r="J301" i="18"/>
  <c r="C301" i="6" s="1"/>
  <c r="I301" i="18"/>
  <c r="B301" i="6" s="1"/>
  <c r="BA301" i="6" s="1"/>
  <c r="I278" i="18"/>
  <c r="B278" i="6" s="1"/>
  <c r="BA278" i="6" s="1"/>
  <c r="J278" i="18"/>
  <c r="C278" i="6" s="1"/>
  <c r="G135" i="18"/>
  <c r="CA135" i="6" s="1"/>
  <c r="H135" i="18"/>
  <c r="AA135" i="18"/>
  <c r="Z135" i="18" s="1"/>
  <c r="Y135" i="18" s="1"/>
  <c r="J47" i="18"/>
  <c r="C47" i="6" s="1"/>
  <c r="I47" i="18"/>
  <c r="B47" i="6" s="1"/>
  <c r="BA47" i="6" s="1"/>
  <c r="H288" i="18"/>
  <c r="AA288" i="18"/>
  <c r="Z288" i="18" s="1"/>
  <c r="Y288" i="18" s="1"/>
  <c r="G288" i="18"/>
  <c r="CA288" i="6" s="1"/>
  <c r="I160" i="18"/>
  <c r="B160" i="6" s="1"/>
  <c r="BA160" i="6" s="1"/>
  <c r="J160" i="18"/>
  <c r="C160" i="6" s="1"/>
  <c r="J247" i="18"/>
  <c r="C247" i="6" s="1"/>
  <c r="I247" i="18"/>
  <c r="B247" i="6" s="1"/>
  <c r="BA247" i="6" s="1"/>
  <c r="AD202" i="20" l="1"/>
  <c r="U208" i="20"/>
  <c r="T208" i="20" s="1"/>
  <c r="S208" i="20" s="1"/>
  <c r="R208" i="20" s="1"/>
  <c r="P208" i="20" s="1"/>
  <c r="V208" i="20" s="1"/>
  <c r="B208" i="20" s="1"/>
  <c r="U362" i="20"/>
  <c r="T362" i="20" s="1"/>
  <c r="S362" i="20" s="1"/>
  <c r="R362" i="20" s="1"/>
  <c r="P362" i="20" s="1"/>
  <c r="V362" i="20" s="1"/>
  <c r="B362" i="20" s="1"/>
  <c r="U352" i="20"/>
  <c r="T352" i="20" s="1"/>
  <c r="S352" i="20" s="1"/>
  <c r="R352" i="20" s="1"/>
  <c r="P352" i="20" s="1"/>
  <c r="V352" i="20" s="1"/>
  <c r="B352" i="20" s="1"/>
  <c r="U378" i="20"/>
  <c r="T378" i="20" s="1"/>
  <c r="S378" i="20" s="1"/>
  <c r="R378" i="20" s="1"/>
  <c r="P378" i="20" s="1"/>
  <c r="V378" i="20" s="1"/>
  <c r="B378" i="20" s="1"/>
  <c r="D378" i="20" s="1"/>
  <c r="E378" i="20" s="1"/>
  <c r="F378" i="20" s="1"/>
  <c r="G378" i="20" s="1"/>
  <c r="CB378" i="6" s="1"/>
  <c r="U113" i="20"/>
  <c r="T113" i="20" s="1"/>
  <c r="S113" i="20" s="1"/>
  <c r="R113" i="20" s="1"/>
  <c r="P113" i="20" s="1"/>
  <c r="V113" i="20" s="1"/>
  <c r="B113" i="20" s="1"/>
  <c r="U224" i="20"/>
  <c r="T224" i="20" s="1"/>
  <c r="S224" i="20" s="1"/>
  <c r="R224" i="20" s="1"/>
  <c r="P224" i="20" s="1"/>
  <c r="V224" i="20" s="1"/>
  <c r="B224" i="20" s="1"/>
  <c r="D224" i="20" s="1"/>
  <c r="E224" i="20" s="1"/>
  <c r="F224" i="20" s="1"/>
  <c r="G224" i="20" s="1"/>
  <c r="CB224" i="6" s="1"/>
  <c r="U170" i="20"/>
  <c r="T170" i="20" s="1"/>
  <c r="S170" i="20" s="1"/>
  <c r="R170" i="20" s="1"/>
  <c r="P170" i="20" s="1"/>
  <c r="V170" i="20" s="1"/>
  <c r="B170" i="20" s="1"/>
  <c r="U77" i="20"/>
  <c r="T77" i="20" s="1"/>
  <c r="S77" i="20" s="1"/>
  <c r="R77" i="20" s="1"/>
  <c r="P77" i="20" s="1"/>
  <c r="V77" i="20" s="1"/>
  <c r="B77" i="20" s="1"/>
  <c r="U17" i="20"/>
  <c r="T17" i="20" s="1"/>
  <c r="S17" i="20" s="1"/>
  <c r="R17" i="20" s="1"/>
  <c r="P17" i="20" s="1"/>
  <c r="V17" i="20" s="1"/>
  <c r="B17" i="20" s="1"/>
  <c r="U48" i="20"/>
  <c r="T48" i="20" s="1"/>
  <c r="S48" i="20" s="1"/>
  <c r="R48" i="20" s="1"/>
  <c r="P48" i="20" s="1"/>
  <c r="V48" i="20" s="1"/>
  <c r="B48" i="20" s="1"/>
  <c r="U79" i="20"/>
  <c r="T79" i="20" s="1"/>
  <c r="S79" i="20" s="1"/>
  <c r="R79" i="20" s="1"/>
  <c r="P79" i="20" s="1"/>
  <c r="V79" i="20" s="1"/>
  <c r="B79" i="20" s="1"/>
  <c r="U256" i="20"/>
  <c r="T256" i="20" s="1"/>
  <c r="S256" i="20" s="1"/>
  <c r="R256" i="20" s="1"/>
  <c r="P256" i="20" s="1"/>
  <c r="V256" i="20" s="1"/>
  <c r="B256" i="20" s="1"/>
  <c r="U191" i="20"/>
  <c r="T191" i="20" s="1"/>
  <c r="S191" i="20" s="1"/>
  <c r="R191" i="20" s="1"/>
  <c r="P191" i="20" s="1"/>
  <c r="V191" i="20" s="1"/>
  <c r="B191" i="20" s="1"/>
  <c r="U216" i="20"/>
  <c r="T216" i="20" s="1"/>
  <c r="S216" i="20" s="1"/>
  <c r="R216" i="20" s="1"/>
  <c r="P216" i="20" s="1"/>
  <c r="V216" i="20" s="1"/>
  <c r="B216" i="20" s="1"/>
  <c r="D216" i="20" s="1"/>
  <c r="E216" i="20" s="1"/>
  <c r="F216" i="20" s="1"/>
  <c r="U289" i="20"/>
  <c r="T289" i="20" s="1"/>
  <c r="S289" i="20" s="1"/>
  <c r="R289" i="20" s="1"/>
  <c r="P289" i="20" s="1"/>
  <c r="V289" i="20" s="1"/>
  <c r="B289" i="20" s="1"/>
  <c r="U235" i="20"/>
  <c r="T235" i="20" s="1"/>
  <c r="S235" i="20" s="1"/>
  <c r="R235" i="20" s="1"/>
  <c r="P235" i="20" s="1"/>
  <c r="V235" i="20" s="1"/>
  <c r="B235" i="20" s="1"/>
  <c r="W235" i="20" s="1"/>
  <c r="AI330" i="20"/>
  <c r="AH330" i="20" s="1"/>
  <c r="AG330" i="20" s="1"/>
  <c r="AF330" i="20" s="1"/>
  <c r="AI288" i="20"/>
  <c r="AH288" i="20" s="1"/>
  <c r="AG288" i="20" s="1"/>
  <c r="AF288" i="20" s="1"/>
  <c r="AI147" i="20"/>
  <c r="AH147" i="20" s="1"/>
  <c r="AG147" i="20" s="1"/>
  <c r="AF147" i="20" s="1"/>
  <c r="P116" i="20"/>
  <c r="V116" i="20" s="1"/>
  <c r="B116" i="20" s="1"/>
  <c r="P236" i="20"/>
  <c r="V236" i="20" s="1"/>
  <c r="B236" i="20" s="1"/>
  <c r="P64" i="20"/>
  <c r="V64" i="20" s="1"/>
  <c r="B64" i="20" s="1"/>
  <c r="P147" i="20"/>
  <c r="V147" i="20" s="1"/>
  <c r="B147" i="20" s="1"/>
  <c r="P279" i="20"/>
  <c r="V279" i="20" s="1"/>
  <c r="B279" i="20" s="1"/>
  <c r="W279" i="20" s="1"/>
  <c r="P43" i="20"/>
  <c r="V43" i="20" s="1"/>
  <c r="B43" i="20" s="1"/>
  <c r="D43" i="20" s="1"/>
  <c r="E43" i="20" s="1"/>
  <c r="F43" i="20" s="1"/>
  <c r="H43" i="20" s="1"/>
  <c r="P81" i="20"/>
  <c r="V81" i="20" s="1"/>
  <c r="B81" i="20" s="1"/>
  <c r="W81" i="20" s="1"/>
  <c r="P67" i="20"/>
  <c r="V67" i="20" s="1"/>
  <c r="B67" i="20" s="1"/>
  <c r="W67" i="20" s="1"/>
  <c r="P46" i="20"/>
  <c r="V46" i="20" s="1"/>
  <c r="B46" i="20" s="1"/>
  <c r="W46" i="20" s="1"/>
  <c r="P239" i="20"/>
  <c r="V239" i="20" s="1"/>
  <c r="B239" i="20" s="1"/>
  <c r="D239" i="20" s="1"/>
  <c r="E239" i="20" s="1"/>
  <c r="F239" i="20" s="1"/>
  <c r="P39" i="20"/>
  <c r="V39" i="20" s="1"/>
  <c r="B39" i="20" s="1"/>
  <c r="D39" i="20" s="1"/>
  <c r="E39" i="20" s="1"/>
  <c r="F39" i="20" s="1"/>
  <c r="G39" i="20" s="1"/>
  <c r="CB39" i="6" s="1"/>
  <c r="AI129" i="20"/>
  <c r="AH129" i="20" s="1"/>
  <c r="AG129" i="20" s="1"/>
  <c r="AF129" i="20" s="1"/>
  <c r="Q12" i="22"/>
  <c r="Q10" i="22" s="1"/>
  <c r="U228" i="20"/>
  <c r="T228" i="20" s="1"/>
  <c r="S228" i="20" s="1"/>
  <c r="R228" i="20" s="1"/>
  <c r="P228" i="20" s="1"/>
  <c r="V228" i="20" s="1"/>
  <c r="B228" i="20" s="1"/>
  <c r="U296" i="20"/>
  <c r="T296" i="20" s="1"/>
  <c r="S296" i="20" s="1"/>
  <c r="R296" i="20" s="1"/>
  <c r="P296" i="20" s="1"/>
  <c r="V296" i="20" s="1"/>
  <c r="B296" i="20" s="1"/>
  <c r="U146" i="20"/>
  <c r="T146" i="20" s="1"/>
  <c r="S146" i="20" s="1"/>
  <c r="R146" i="20" s="1"/>
  <c r="P146" i="20" s="1"/>
  <c r="V146" i="20" s="1"/>
  <c r="B146" i="20" s="1"/>
  <c r="D146" i="20" s="1"/>
  <c r="E146" i="20" s="1"/>
  <c r="F146" i="20" s="1"/>
  <c r="G146" i="20" s="1"/>
  <c r="CB146" i="6" s="1"/>
  <c r="U250" i="20"/>
  <c r="T250" i="20" s="1"/>
  <c r="S250" i="20" s="1"/>
  <c r="R250" i="20" s="1"/>
  <c r="P250" i="20" s="1"/>
  <c r="V250" i="20" s="1"/>
  <c r="B250" i="20" s="1"/>
  <c r="U209" i="20"/>
  <c r="T209" i="20" s="1"/>
  <c r="S209" i="20" s="1"/>
  <c r="R209" i="20" s="1"/>
  <c r="P209" i="20" s="1"/>
  <c r="V209" i="20" s="1"/>
  <c r="B209" i="20" s="1"/>
  <c r="U144" i="20"/>
  <c r="T144" i="20" s="1"/>
  <c r="S144" i="20" s="1"/>
  <c r="R144" i="20" s="1"/>
  <c r="P144" i="20" s="1"/>
  <c r="V144" i="20" s="1"/>
  <c r="B144" i="20" s="1"/>
  <c r="W144" i="20" s="1"/>
  <c r="U165" i="20"/>
  <c r="T165" i="20" s="1"/>
  <c r="S165" i="20" s="1"/>
  <c r="R165" i="20" s="1"/>
  <c r="P165" i="20" s="1"/>
  <c r="V165" i="20" s="1"/>
  <c r="B165" i="20" s="1"/>
  <c r="U313" i="20"/>
  <c r="T313" i="20" s="1"/>
  <c r="S313" i="20" s="1"/>
  <c r="R313" i="20" s="1"/>
  <c r="P313" i="20" s="1"/>
  <c r="V313" i="20" s="1"/>
  <c r="B313" i="20" s="1"/>
  <c r="U372" i="20"/>
  <c r="T372" i="20" s="1"/>
  <c r="S372" i="20" s="1"/>
  <c r="R372" i="20" s="1"/>
  <c r="P372" i="20" s="1"/>
  <c r="V372" i="20" s="1"/>
  <c r="B372" i="20" s="1"/>
  <c r="D372" i="20" s="1"/>
  <c r="E372" i="20" s="1"/>
  <c r="F372" i="20" s="1"/>
  <c r="U61" i="20"/>
  <c r="T61" i="20" s="1"/>
  <c r="S61" i="20" s="1"/>
  <c r="R61" i="20" s="1"/>
  <c r="P61" i="20" s="1"/>
  <c r="V61" i="20" s="1"/>
  <c r="B61" i="20" s="1"/>
  <c r="W61" i="20" s="1"/>
  <c r="U101" i="20"/>
  <c r="T101" i="20" s="1"/>
  <c r="S101" i="20" s="1"/>
  <c r="R101" i="20" s="1"/>
  <c r="P101" i="20" s="1"/>
  <c r="V101" i="20" s="1"/>
  <c r="B101" i="20" s="1"/>
  <c r="U243" i="20"/>
  <c r="T243" i="20" s="1"/>
  <c r="S243" i="20" s="1"/>
  <c r="R243" i="20" s="1"/>
  <c r="P243" i="20" s="1"/>
  <c r="V243" i="20" s="1"/>
  <c r="B243" i="20" s="1"/>
  <c r="U220" i="20"/>
  <c r="T220" i="20" s="1"/>
  <c r="S220" i="20" s="1"/>
  <c r="R220" i="20" s="1"/>
  <c r="P220" i="20" s="1"/>
  <c r="V220" i="20" s="1"/>
  <c r="B220" i="20" s="1"/>
  <c r="W220" i="20" s="1"/>
  <c r="U314" i="20"/>
  <c r="T314" i="20" s="1"/>
  <c r="S314" i="20" s="1"/>
  <c r="R314" i="20" s="1"/>
  <c r="P314" i="20" s="1"/>
  <c r="V314" i="20" s="1"/>
  <c r="B314" i="20" s="1"/>
  <c r="W314" i="20" s="1"/>
  <c r="U80" i="20"/>
  <c r="T80" i="20" s="1"/>
  <c r="S80" i="20" s="1"/>
  <c r="R80" i="20" s="1"/>
  <c r="P80" i="20" s="1"/>
  <c r="V80" i="20" s="1"/>
  <c r="B80" i="20" s="1"/>
  <c r="W80" i="20" s="1"/>
  <c r="U183" i="20"/>
  <c r="T183" i="20" s="1"/>
  <c r="S183" i="20" s="1"/>
  <c r="R183" i="20" s="1"/>
  <c r="P183" i="20" s="1"/>
  <c r="V183" i="20" s="1"/>
  <c r="B183" i="20" s="1"/>
  <c r="D183" i="20" s="1"/>
  <c r="E183" i="20" s="1"/>
  <c r="F183" i="20" s="1"/>
  <c r="H183" i="20" s="1"/>
  <c r="U288" i="20"/>
  <c r="T288" i="20" s="1"/>
  <c r="S288" i="20" s="1"/>
  <c r="R288" i="20" s="1"/>
  <c r="P288" i="20" s="1"/>
  <c r="V288" i="20" s="1"/>
  <c r="B288" i="20" s="1"/>
  <c r="D288" i="20" s="1"/>
  <c r="E288" i="20" s="1"/>
  <c r="F288" i="20" s="1"/>
  <c r="U136" i="20"/>
  <c r="T136" i="20" s="1"/>
  <c r="S136" i="20" s="1"/>
  <c r="R136" i="20" s="1"/>
  <c r="P136" i="20" s="1"/>
  <c r="V136" i="20" s="1"/>
  <c r="B136" i="20" s="1"/>
  <c r="U254" i="20"/>
  <c r="T254" i="20" s="1"/>
  <c r="S254" i="20" s="1"/>
  <c r="R254" i="20" s="1"/>
  <c r="P254" i="20" s="1"/>
  <c r="V254" i="20" s="1"/>
  <c r="B254" i="20" s="1"/>
  <c r="D254" i="20" s="1"/>
  <c r="E254" i="20" s="1"/>
  <c r="F254" i="20" s="1"/>
  <c r="G254" i="20" s="1"/>
  <c r="CB254" i="6" s="1"/>
  <c r="U51" i="20"/>
  <c r="T51" i="20" s="1"/>
  <c r="S51" i="20" s="1"/>
  <c r="R51" i="20" s="1"/>
  <c r="P51" i="20" s="1"/>
  <c r="V51" i="20" s="1"/>
  <c r="B51" i="20" s="1"/>
  <c r="U160" i="20"/>
  <c r="T160" i="20" s="1"/>
  <c r="S160" i="20" s="1"/>
  <c r="R160" i="20" s="1"/>
  <c r="P160" i="20" s="1"/>
  <c r="V160" i="20" s="1"/>
  <c r="B160" i="20" s="1"/>
  <c r="U135" i="20"/>
  <c r="T135" i="20" s="1"/>
  <c r="S135" i="20" s="1"/>
  <c r="R135" i="20" s="1"/>
  <c r="P135" i="20" s="1"/>
  <c r="V135" i="20" s="1"/>
  <c r="B135" i="20" s="1"/>
  <c r="W135" i="20" s="1"/>
  <c r="U232" i="20"/>
  <c r="T232" i="20" s="1"/>
  <c r="S232" i="20" s="1"/>
  <c r="R232" i="20" s="1"/>
  <c r="P232" i="20" s="1"/>
  <c r="V232" i="20" s="1"/>
  <c r="B232" i="20" s="1"/>
  <c r="U24" i="20"/>
  <c r="T24" i="20" s="1"/>
  <c r="S24" i="20" s="1"/>
  <c r="R24" i="20" s="1"/>
  <c r="P24" i="20" s="1"/>
  <c r="V24" i="20" s="1"/>
  <c r="B24" i="20" s="1"/>
  <c r="U83" i="20"/>
  <c r="T83" i="20" s="1"/>
  <c r="S83" i="20" s="1"/>
  <c r="R83" i="20" s="1"/>
  <c r="P83" i="20" s="1"/>
  <c r="V83" i="20" s="1"/>
  <c r="B83" i="20" s="1"/>
  <c r="D83" i="20" s="1"/>
  <c r="E83" i="20" s="1"/>
  <c r="F83" i="20" s="1"/>
  <c r="G83" i="20" s="1"/>
  <c r="CB83" i="6" s="1"/>
  <c r="U206" i="20"/>
  <c r="T206" i="20" s="1"/>
  <c r="S206" i="20" s="1"/>
  <c r="R206" i="20" s="1"/>
  <c r="P206" i="20" s="1"/>
  <c r="V206" i="20" s="1"/>
  <c r="B206" i="20" s="1"/>
  <c r="D206" i="20" s="1"/>
  <c r="E206" i="20" s="1"/>
  <c r="F206" i="20" s="1"/>
  <c r="U376" i="20"/>
  <c r="T376" i="20" s="1"/>
  <c r="S376" i="20" s="1"/>
  <c r="R376" i="20" s="1"/>
  <c r="P376" i="20" s="1"/>
  <c r="V376" i="20" s="1"/>
  <c r="B376" i="20" s="1"/>
  <c r="U274" i="20"/>
  <c r="T274" i="20" s="1"/>
  <c r="S274" i="20" s="1"/>
  <c r="R274" i="20" s="1"/>
  <c r="P274" i="20" s="1"/>
  <c r="V274" i="20" s="1"/>
  <c r="B274" i="20" s="1"/>
  <c r="D274" i="20" s="1"/>
  <c r="E274" i="20" s="1"/>
  <c r="F274" i="20" s="1"/>
  <c r="G274" i="20" s="1"/>
  <c r="CB274" i="6" s="1"/>
  <c r="U358" i="20"/>
  <c r="T358" i="20" s="1"/>
  <c r="S358" i="20" s="1"/>
  <c r="R358" i="20" s="1"/>
  <c r="P358" i="20" s="1"/>
  <c r="V358" i="20" s="1"/>
  <c r="B358" i="20" s="1"/>
  <c r="U346" i="20"/>
  <c r="T346" i="20" s="1"/>
  <c r="S346" i="20" s="1"/>
  <c r="R346" i="20" s="1"/>
  <c r="P346" i="20" s="1"/>
  <c r="V346" i="20" s="1"/>
  <c r="B346" i="20" s="1"/>
  <c r="U69" i="20"/>
  <c r="T69" i="20" s="1"/>
  <c r="S69" i="20" s="1"/>
  <c r="R69" i="20" s="1"/>
  <c r="P69" i="20" s="1"/>
  <c r="V69" i="20" s="1"/>
  <c r="B69" i="20" s="1"/>
  <c r="U25" i="20"/>
  <c r="T25" i="20" s="1"/>
  <c r="S25" i="20" s="1"/>
  <c r="R25" i="20" s="1"/>
  <c r="P25" i="20" s="1"/>
  <c r="V25" i="20" s="1"/>
  <c r="B25" i="20" s="1"/>
  <c r="W25" i="20" s="1"/>
  <c r="U15" i="20"/>
  <c r="AI213" i="20"/>
  <c r="AH213" i="20" s="1"/>
  <c r="AG213" i="20" s="1"/>
  <c r="AF213" i="20" s="1"/>
  <c r="AI165" i="20"/>
  <c r="AH165" i="20" s="1"/>
  <c r="AG165" i="20" s="1"/>
  <c r="AF165" i="20" s="1"/>
  <c r="AD165" i="20" s="1"/>
  <c r="AI138" i="20"/>
  <c r="AH138" i="20" s="1"/>
  <c r="AG138" i="20" s="1"/>
  <c r="AF138" i="20" s="1"/>
  <c r="AI18" i="20"/>
  <c r="AH18" i="20" s="1"/>
  <c r="AG18" i="20" s="1"/>
  <c r="AF18" i="20" s="1"/>
  <c r="AI313" i="20"/>
  <c r="AH313" i="20" s="1"/>
  <c r="AG313" i="20" s="1"/>
  <c r="AF313" i="20" s="1"/>
  <c r="AI198" i="20"/>
  <c r="AH198" i="20" s="1"/>
  <c r="AG198" i="20" s="1"/>
  <c r="AF198" i="20" s="1"/>
  <c r="AI300" i="20"/>
  <c r="AH300" i="20" s="1"/>
  <c r="AG300" i="20" s="1"/>
  <c r="AF300" i="20" s="1"/>
  <c r="AD300" i="20" s="1"/>
  <c r="U100" i="20"/>
  <c r="T100" i="20" s="1"/>
  <c r="S100" i="20" s="1"/>
  <c r="R100" i="20" s="1"/>
  <c r="P100" i="20" s="1"/>
  <c r="V100" i="20" s="1"/>
  <c r="B100" i="20" s="1"/>
  <c r="U360" i="20"/>
  <c r="T360" i="20" s="1"/>
  <c r="S360" i="20" s="1"/>
  <c r="R360" i="20" s="1"/>
  <c r="P360" i="20" s="1"/>
  <c r="V360" i="20" s="1"/>
  <c r="B360" i="20" s="1"/>
  <c r="W360" i="20" s="1"/>
  <c r="U348" i="20"/>
  <c r="T348" i="20" s="1"/>
  <c r="S348" i="20" s="1"/>
  <c r="R348" i="20" s="1"/>
  <c r="P348" i="20" s="1"/>
  <c r="V348" i="20" s="1"/>
  <c r="B348" i="20" s="1"/>
  <c r="U142" i="20"/>
  <c r="T142" i="20" s="1"/>
  <c r="S142" i="20" s="1"/>
  <c r="R142" i="20" s="1"/>
  <c r="P142" i="20" s="1"/>
  <c r="V142" i="20" s="1"/>
  <c r="B142" i="20" s="1"/>
  <c r="U111" i="20"/>
  <c r="T111" i="20" s="1"/>
  <c r="S111" i="20" s="1"/>
  <c r="R111" i="20" s="1"/>
  <c r="P111" i="20" s="1"/>
  <c r="V111" i="20" s="1"/>
  <c r="B111" i="20" s="1"/>
  <c r="W111" i="20" s="1"/>
  <c r="U231" i="20"/>
  <c r="T231" i="20" s="1"/>
  <c r="S231" i="20" s="1"/>
  <c r="R231" i="20" s="1"/>
  <c r="P231" i="20" s="1"/>
  <c r="V231" i="20" s="1"/>
  <c r="B231" i="20" s="1"/>
  <c r="W231" i="20" s="1"/>
  <c r="U193" i="20"/>
  <c r="T193" i="20" s="1"/>
  <c r="S193" i="20" s="1"/>
  <c r="R193" i="20" s="1"/>
  <c r="P193" i="20" s="1"/>
  <c r="V193" i="20" s="1"/>
  <c r="B193" i="20" s="1"/>
  <c r="U129" i="20"/>
  <c r="T129" i="20" s="1"/>
  <c r="S129" i="20" s="1"/>
  <c r="R129" i="20" s="1"/>
  <c r="P129" i="20" s="1"/>
  <c r="V129" i="20" s="1"/>
  <c r="B129" i="20" s="1"/>
  <c r="W129" i="20" s="1"/>
  <c r="U29" i="20"/>
  <c r="T29" i="20" s="1"/>
  <c r="S29" i="20" s="1"/>
  <c r="R29" i="20" s="1"/>
  <c r="P29" i="20" s="1"/>
  <c r="AH20" i="7" s="1"/>
  <c r="U57" i="20"/>
  <c r="T57" i="20" s="1"/>
  <c r="S57" i="20" s="1"/>
  <c r="R57" i="20" s="1"/>
  <c r="P57" i="20" s="1"/>
  <c r="V57" i="20" s="1"/>
  <c r="B57" i="20" s="1"/>
  <c r="D57" i="20" s="1"/>
  <c r="E57" i="20" s="1"/>
  <c r="F57" i="20" s="1"/>
  <c r="U342" i="20"/>
  <c r="T342" i="20" s="1"/>
  <c r="S342" i="20" s="1"/>
  <c r="R342" i="20" s="1"/>
  <c r="P342" i="20" s="1"/>
  <c r="V342" i="20" s="1"/>
  <c r="B342" i="20" s="1"/>
  <c r="D342" i="20" s="1"/>
  <c r="E342" i="20" s="1"/>
  <c r="F342" i="20" s="1"/>
  <c r="G342" i="20" s="1"/>
  <c r="CB342" i="6" s="1"/>
  <c r="U21" i="20"/>
  <c r="T21" i="20" s="1"/>
  <c r="S21" i="20" s="1"/>
  <c r="R21" i="20" s="1"/>
  <c r="P21" i="20" s="1"/>
  <c r="V21" i="20" s="1"/>
  <c r="B21" i="20" s="1"/>
  <c r="D21" i="20" s="1"/>
  <c r="E21" i="20" s="1"/>
  <c r="F21" i="20" s="1"/>
  <c r="U190" i="20"/>
  <c r="T190" i="20" s="1"/>
  <c r="S190" i="20" s="1"/>
  <c r="R190" i="20" s="1"/>
  <c r="P190" i="20" s="1"/>
  <c r="V190" i="20" s="1"/>
  <c r="B190" i="20" s="1"/>
  <c r="U281" i="20"/>
  <c r="T281" i="20" s="1"/>
  <c r="S281" i="20" s="1"/>
  <c r="R281" i="20" s="1"/>
  <c r="P281" i="20" s="1"/>
  <c r="V281" i="20" s="1"/>
  <c r="B281" i="20" s="1"/>
  <c r="D281" i="20" s="1"/>
  <c r="E281" i="20" s="1"/>
  <c r="F281" i="20" s="1"/>
  <c r="G281" i="20" s="1"/>
  <c r="CB281" i="6" s="1"/>
  <c r="U230" i="20"/>
  <c r="T230" i="20" s="1"/>
  <c r="S230" i="20" s="1"/>
  <c r="R230" i="20" s="1"/>
  <c r="P230" i="20" s="1"/>
  <c r="V230" i="20" s="1"/>
  <c r="B230" i="20" s="1"/>
  <c r="D230" i="20" s="1"/>
  <c r="E230" i="20" s="1"/>
  <c r="F230" i="20" s="1"/>
  <c r="H230" i="20" s="1"/>
  <c r="U349" i="20"/>
  <c r="T349" i="20" s="1"/>
  <c r="S349" i="20" s="1"/>
  <c r="R349" i="20" s="1"/>
  <c r="P349" i="20" s="1"/>
  <c r="V349" i="20" s="1"/>
  <c r="B349" i="20" s="1"/>
  <c r="D349" i="20" s="1"/>
  <c r="E349" i="20" s="1"/>
  <c r="F349" i="20" s="1"/>
  <c r="U278" i="20"/>
  <c r="T278" i="20" s="1"/>
  <c r="S278" i="20" s="1"/>
  <c r="R278" i="20" s="1"/>
  <c r="P278" i="20" s="1"/>
  <c r="V278" i="20" s="1"/>
  <c r="B278" i="20" s="1"/>
  <c r="D278" i="20" s="1"/>
  <c r="E278" i="20" s="1"/>
  <c r="F278" i="20" s="1"/>
  <c r="H278" i="20" s="1"/>
  <c r="U27" i="20"/>
  <c r="T27" i="20" s="1"/>
  <c r="S27" i="20" s="1"/>
  <c r="R27" i="20" s="1"/>
  <c r="P27" i="20" s="1"/>
  <c r="V27" i="20" s="1"/>
  <c r="B27" i="20" s="1"/>
  <c r="D27" i="20" s="1"/>
  <c r="E27" i="20" s="1"/>
  <c r="F27" i="20" s="1"/>
  <c r="H27" i="20" s="1"/>
  <c r="U117" i="20"/>
  <c r="T117" i="20" s="1"/>
  <c r="S117" i="20" s="1"/>
  <c r="R117" i="20" s="1"/>
  <c r="P117" i="20" s="1"/>
  <c r="V117" i="20" s="1"/>
  <c r="B117" i="20" s="1"/>
  <c r="D117" i="20" s="1"/>
  <c r="E117" i="20" s="1"/>
  <c r="F117" i="20" s="1"/>
  <c r="G117" i="20" s="1"/>
  <c r="CB117" i="6" s="1"/>
  <c r="U305" i="20"/>
  <c r="T305" i="20" s="1"/>
  <c r="S305" i="20" s="1"/>
  <c r="R305" i="20" s="1"/>
  <c r="P305" i="20" s="1"/>
  <c r="V305" i="20" s="1"/>
  <c r="B305" i="20" s="1"/>
  <c r="D305" i="20" s="1"/>
  <c r="E305" i="20" s="1"/>
  <c r="F305" i="20" s="1"/>
  <c r="H305" i="20" s="1"/>
  <c r="U172" i="20"/>
  <c r="T172" i="20" s="1"/>
  <c r="S172" i="20" s="1"/>
  <c r="R172" i="20" s="1"/>
  <c r="P172" i="20" s="1"/>
  <c r="V172" i="20" s="1"/>
  <c r="B172" i="20" s="1"/>
  <c r="U326" i="20"/>
  <c r="T326" i="20" s="1"/>
  <c r="S326" i="20" s="1"/>
  <c r="R326" i="20" s="1"/>
  <c r="P326" i="20" s="1"/>
  <c r="V326" i="20" s="1"/>
  <c r="B326" i="20" s="1"/>
  <c r="W326" i="20" s="1"/>
  <c r="U302" i="20"/>
  <c r="T302" i="20" s="1"/>
  <c r="S302" i="20" s="1"/>
  <c r="R302" i="20" s="1"/>
  <c r="P302" i="20" s="1"/>
  <c r="V302" i="20" s="1"/>
  <c r="B302" i="20" s="1"/>
  <c r="D302" i="20" s="1"/>
  <c r="E302" i="20" s="1"/>
  <c r="F302" i="20" s="1"/>
  <c r="U268" i="20"/>
  <c r="T268" i="20" s="1"/>
  <c r="S268" i="20" s="1"/>
  <c r="R268" i="20" s="1"/>
  <c r="P268" i="20" s="1"/>
  <c r="V268" i="20" s="1"/>
  <c r="B268" i="20" s="1"/>
  <c r="U93" i="20"/>
  <c r="T93" i="20" s="1"/>
  <c r="S93" i="20" s="1"/>
  <c r="R93" i="20" s="1"/>
  <c r="P93" i="20" s="1"/>
  <c r="V93" i="20" s="1"/>
  <c r="B93" i="20" s="1"/>
  <c r="U132" i="20"/>
  <c r="T132" i="20" s="1"/>
  <c r="S132" i="20" s="1"/>
  <c r="R132" i="20" s="1"/>
  <c r="P132" i="20" s="1"/>
  <c r="V132" i="20" s="1"/>
  <c r="B132" i="20" s="1"/>
  <c r="D132" i="20" s="1"/>
  <c r="E132" i="20" s="1"/>
  <c r="F132" i="20" s="1"/>
  <c r="G132" i="20" s="1"/>
  <c r="CB132" i="6" s="1"/>
  <c r="U50" i="20"/>
  <c r="T50" i="20" s="1"/>
  <c r="S50" i="20" s="1"/>
  <c r="R50" i="20" s="1"/>
  <c r="P50" i="20" s="1"/>
  <c r="V50" i="20" s="1"/>
  <c r="B50" i="20" s="1"/>
  <c r="D50" i="20" s="1"/>
  <c r="E50" i="20" s="1"/>
  <c r="F50" i="20" s="1"/>
  <c r="G50" i="20" s="1"/>
  <c r="CB50" i="6" s="1"/>
  <c r="U337" i="20"/>
  <c r="T337" i="20" s="1"/>
  <c r="S337" i="20" s="1"/>
  <c r="R337" i="20" s="1"/>
  <c r="P337" i="20" s="1"/>
  <c r="V337" i="20" s="1"/>
  <c r="B337" i="20" s="1"/>
  <c r="U227" i="20"/>
  <c r="T227" i="20" s="1"/>
  <c r="S227" i="20" s="1"/>
  <c r="R227" i="20" s="1"/>
  <c r="P227" i="20" s="1"/>
  <c r="V227" i="20" s="1"/>
  <c r="B227" i="20" s="1"/>
  <c r="D227" i="20" s="1"/>
  <c r="E227" i="20" s="1"/>
  <c r="F227" i="20" s="1"/>
  <c r="U312" i="20"/>
  <c r="T312" i="20" s="1"/>
  <c r="S312" i="20" s="1"/>
  <c r="R312" i="20" s="1"/>
  <c r="P312" i="20" s="1"/>
  <c r="V312" i="20" s="1"/>
  <c r="B312" i="20" s="1"/>
  <c r="U327" i="20"/>
  <c r="T327" i="20" s="1"/>
  <c r="S327" i="20" s="1"/>
  <c r="R327" i="20" s="1"/>
  <c r="P327" i="20" s="1"/>
  <c r="V327" i="20" s="1"/>
  <c r="B327" i="20" s="1"/>
  <c r="U200" i="20"/>
  <c r="T200" i="20" s="1"/>
  <c r="S200" i="20" s="1"/>
  <c r="R200" i="20" s="1"/>
  <c r="P200" i="20" s="1"/>
  <c r="V200" i="20" s="1"/>
  <c r="B200" i="20" s="1"/>
  <c r="U199" i="20"/>
  <c r="T199" i="20" s="1"/>
  <c r="S199" i="20" s="1"/>
  <c r="R199" i="20" s="1"/>
  <c r="P199" i="20" s="1"/>
  <c r="V199" i="20" s="1"/>
  <c r="B199" i="20" s="1"/>
  <c r="U363" i="20"/>
  <c r="T363" i="20" s="1"/>
  <c r="S363" i="20" s="1"/>
  <c r="R363" i="20" s="1"/>
  <c r="P363" i="20" s="1"/>
  <c r="V363" i="20" s="1"/>
  <c r="B363" i="20" s="1"/>
  <c r="W363" i="20" s="1"/>
  <c r="U344" i="20"/>
  <c r="T344" i="20" s="1"/>
  <c r="S344" i="20" s="1"/>
  <c r="R344" i="20" s="1"/>
  <c r="P344" i="20" s="1"/>
  <c r="V344" i="20" s="1"/>
  <c r="B344" i="20" s="1"/>
  <c r="W344" i="20" s="1"/>
  <c r="U267" i="20"/>
  <c r="T267" i="20" s="1"/>
  <c r="S267" i="20" s="1"/>
  <c r="R267" i="20" s="1"/>
  <c r="P267" i="20" s="1"/>
  <c r="V267" i="20" s="1"/>
  <c r="B267" i="20" s="1"/>
  <c r="U223" i="20"/>
  <c r="T223" i="20" s="1"/>
  <c r="S223" i="20" s="1"/>
  <c r="R223" i="20" s="1"/>
  <c r="P223" i="20" s="1"/>
  <c r="V223" i="20" s="1"/>
  <c r="B223" i="20" s="1"/>
  <c r="U120" i="20"/>
  <c r="T120" i="20" s="1"/>
  <c r="S120" i="20" s="1"/>
  <c r="R120" i="20" s="1"/>
  <c r="P120" i="20" s="1"/>
  <c r="V120" i="20" s="1"/>
  <c r="B120" i="20" s="1"/>
  <c r="W120" i="20" s="1"/>
  <c r="U110" i="20"/>
  <c r="T110" i="20" s="1"/>
  <c r="S110" i="20" s="1"/>
  <c r="R110" i="20" s="1"/>
  <c r="P110" i="20" s="1"/>
  <c r="V110" i="20" s="1"/>
  <c r="B110" i="20" s="1"/>
  <c r="D110" i="20" s="1"/>
  <c r="E110" i="20" s="1"/>
  <c r="F110" i="20" s="1"/>
  <c r="U72" i="20"/>
  <c r="T72" i="20" s="1"/>
  <c r="S72" i="20" s="1"/>
  <c r="R72" i="20" s="1"/>
  <c r="P72" i="20" s="1"/>
  <c r="V72" i="20" s="1"/>
  <c r="B72" i="20" s="1"/>
  <c r="D72" i="20" s="1"/>
  <c r="E72" i="20" s="1"/>
  <c r="F72" i="20" s="1"/>
  <c r="H72" i="20" s="1"/>
  <c r="U37" i="20"/>
  <c r="T37" i="20" s="1"/>
  <c r="S37" i="20" s="1"/>
  <c r="R37" i="20" s="1"/>
  <c r="P37" i="20" s="1"/>
  <c r="V37" i="20" s="1"/>
  <c r="B37" i="20" s="1"/>
  <c r="U122" i="20"/>
  <c r="T122" i="20" s="1"/>
  <c r="S122" i="20" s="1"/>
  <c r="R122" i="20" s="1"/>
  <c r="P122" i="20" s="1"/>
  <c r="V122" i="20" s="1"/>
  <c r="B122" i="20" s="1"/>
  <c r="U196" i="20"/>
  <c r="T196" i="20" s="1"/>
  <c r="S196" i="20" s="1"/>
  <c r="R196" i="20" s="1"/>
  <c r="P196" i="20" s="1"/>
  <c r="V196" i="20" s="1"/>
  <c r="B196" i="20" s="1"/>
  <c r="D196" i="20" s="1"/>
  <c r="E196" i="20" s="1"/>
  <c r="F196" i="20" s="1"/>
  <c r="U257" i="20"/>
  <c r="T257" i="20" s="1"/>
  <c r="S257" i="20" s="1"/>
  <c r="R257" i="20" s="1"/>
  <c r="P257" i="20" s="1"/>
  <c r="V257" i="20" s="1"/>
  <c r="B257" i="20" s="1"/>
  <c r="U325" i="20"/>
  <c r="T325" i="20" s="1"/>
  <c r="S325" i="20" s="1"/>
  <c r="R325" i="20" s="1"/>
  <c r="P325" i="20" s="1"/>
  <c r="V325" i="20" s="1"/>
  <c r="B325" i="20" s="1"/>
  <c r="W325" i="20" s="1"/>
  <c r="U357" i="20"/>
  <c r="T357" i="20" s="1"/>
  <c r="S357" i="20" s="1"/>
  <c r="R357" i="20" s="1"/>
  <c r="P357" i="20" s="1"/>
  <c r="V357" i="20" s="1"/>
  <c r="B357" i="20" s="1"/>
  <c r="D357" i="20" s="1"/>
  <c r="E357" i="20" s="1"/>
  <c r="F357" i="20" s="1"/>
  <c r="G357" i="20" s="1"/>
  <c r="CB357" i="6" s="1"/>
  <c r="U154" i="20"/>
  <c r="T154" i="20" s="1"/>
  <c r="S154" i="20" s="1"/>
  <c r="R154" i="20" s="1"/>
  <c r="P154" i="20" s="1"/>
  <c r="V154" i="20" s="1"/>
  <c r="B154" i="20" s="1"/>
  <c r="W154" i="20" s="1"/>
  <c r="U189" i="20"/>
  <c r="T189" i="20" s="1"/>
  <c r="S189" i="20" s="1"/>
  <c r="R189" i="20" s="1"/>
  <c r="P189" i="20" s="1"/>
  <c r="V189" i="20" s="1"/>
  <c r="B189" i="20" s="1"/>
  <c r="D189" i="20" s="1"/>
  <c r="E189" i="20" s="1"/>
  <c r="F189" i="20" s="1"/>
  <c r="U153" i="20"/>
  <c r="T153" i="20" s="1"/>
  <c r="S153" i="20" s="1"/>
  <c r="R153" i="20" s="1"/>
  <c r="P153" i="20" s="1"/>
  <c r="V153" i="20" s="1"/>
  <c r="B153" i="20" s="1"/>
  <c r="W153" i="20" s="1"/>
  <c r="U133" i="20"/>
  <c r="T133" i="20" s="1"/>
  <c r="S133" i="20" s="1"/>
  <c r="R133" i="20" s="1"/>
  <c r="P133" i="20" s="1"/>
  <c r="V133" i="20" s="1"/>
  <c r="B133" i="20" s="1"/>
  <c r="D133" i="20" s="1"/>
  <c r="E133" i="20" s="1"/>
  <c r="F133" i="20" s="1"/>
  <c r="U112" i="20"/>
  <c r="T112" i="20" s="1"/>
  <c r="S112" i="20" s="1"/>
  <c r="R112" i="20" s="1"/>
  <c r="P112" i="20" s="1"/>
  <c r="V112" i="20" s="1"/>
  <c r="B112" i="20" s="1"/>
  <c r="U226" i="20"/>
  <c r="T226" i="20" s="1"/>
  <c r="S226" i="20" s="1"/>
  <c r="R226" i="20" s="1"/>
  <c r="P226" i="20" s="1"/>
  <c r="V226" i="20" s="1"/>
  <c r="B226" i="20" s="1"/>
  <c r="D226" i="20" s="1"/>
  <c r="E226" i="20" s="1"/>
  <c r="F226" i="20" s="1"/>
  <c r="U102" i="20"/>
  <c r="T102" i="20" s="1"/>
  <c r="S102" i="20" s="1"/>
  <c r="R102" i="20" s="1"/>
  <c r="P102" i="20" s="1"/>
  <c r="V102" i="20" s="1"/>
  <c r="B102" i="20" s="1"/>
  <c r="W102" i="20" s="1"/>
  <c r="U225" i="20"/>
  <c r="T225" i="20" s="1"/>
  <c r="S225" i="20" s="1"/>
  <c r="R225" i="20" s="1"/>
  <c r="P225" i="20" s="1"/>
  <c r="V225" i="20" s="1"/>
  <c r="B225" i="20" s="1"/>
  <c r="W225" i="20" s="1"/>
  <c r="U35" i="20"/>
  <c r="T35" i="20" s="1"/>
  <c r="S35" i="20" s="1"/>
  <c r="R35" i="20" s="1"/>
  <c r="P35" i="20" s="1"/>
  <c r="V35" i="20" s="1"/>
  <c r="B35" i="20" s="1"/>
  <c r="W35" i="20" s="1"/>
  <c r="U164" i="20"/>
  <c r="T164" i="20" s="1"/>
  <c r="S164" i="20" s="1"/>
  <c r="R164" i="20" s="1"/>
  <c r="P164" i="20" s="1"/>
  <c r="V164" i="20" s="1"/>
  <c r="B164" i="20" s="1"/>
  <c r="D164" i="20" s="1"/>
  <c r="E164" i="20" s="1"/>
  <c r="F164" i="20" s="1"/>
  <c r="H164" i="20" s="1"/>
  <c r="U156" i="20"/>
  <c r="T156" i="20" s="1"/>
  <c r="S156" i="20" s="1"/>
  <c r="R156" i="20" s="1"/>
  <c r="P156" i="20" s="1"/>
  <c r="V156" i="20" s="1"/>
  <c r="B156" i="20" s="1"/>
  <c r="U367" i="20"/>
  <c r="T367" i="20" s="1"/>
  <c r="S367" i="20" s="1"/>
  <c r="R367" i="20" s="1"/>
  <c r="P367" i="20" s="1"/>
  <c r="V367" i="20" s="1"/>
  <c r="B367" i="20" s="1"/>
  <c r="W367" i="20" s="1"/>
  <c r="U340" i="20"/>
  <c r="T340" i="20" s="1"/>
  <c r="S340" i="20" s="1"/>
  <c r="R340" i="20" s="1"/>
  <c r="P340" i="20" s="1"/>
  <c r="V340" i="20" s="1"/>
  <c r="B340" i="20" s="1"/>
  <c r="W340" i="20" s="1"/>
  <c r="U38" i="20"/>
  <c r="T38" i="20" s="1"/>
  <c r="S38" i="20" s="1"/>
  <c r="R38" i="20" s="1"/>
  <c r="P38" i="20" s="1"/>
  <c r="V38" i="20" s="1"/>
  <c r="B38" i="20" s="1"/>
  <c r="D38" i="20" s="1"/>
  <c r="E38" i="20" s="1"/>
  <c r="F38" i="20" s="1"/>
  <c r="U178" i="20"/>
  <c r="T178" i="20" s="1"/>
  <c r="S178" i="20" s="1"/>
  <c r="R178" i="20" s="1"/>
  <c r="P178" i="20" s="1"/>
  <c r="V178" i="20" s="1"/>
  <c r="B178" i="20" s="1"/>
  <c r="U131" i="20"/>
  <c r="T131" i="20" s="1"/>
  <c r="S131" i="20" s="1"/>
  <c r="R131" i="20" s="1"/>
  <c r="P131" i="20" s="1"/>
  <c r="V131" i="20" s="1"/>
  <c r="B131" i="20" s="1"/>
  <c r="W131" i="20" s="1"/>
  <c r="U263" i="20"/>
  <c r="T263" i="20" s="1"/>
  <c r="S263" i="20" s="1"/>
  <c r="R263" i="20" s="1"/>
  <c r="P263" i="20" s="1"/>
  <c r="V263" i="20" s="1"/>
  <c r="B263" i="20" s="1"/>
  <c r="W263" i="20" s="1"/>
  <c r="AI135" i="20"/>
  <c r="AH135" i="20" s="1"/>
  <c r="AG135" i="20" s="1"/>
  <c r="AF135" i="20" s="1"/>
  <c r="AI206" i="20"/>
  <c r="AH206" i="20" s="1"/>
  <c r="AG206" i="20" s="1"/>
  <c r="AF206" i="20" s="1"/>
  <c r="AI357" i="20"/>
  <c r="AH357" i="20" s="1"/>
  <c r="AG357" i="20" s="1"/>
  <c r="AF357" i="20" s="1"/>
  <c r="AI305" i="20"/>
  <c r="AH305" i="20" s="1"/>
  <c r="AG305" i="20" s="1"/>
  <c r="AF305" i="20" s="1"/>
  <c r="AD305" i="20" s="1"/>
  <c r="AI336" i="20"/>
  <c r="AH336" i="20" s="1"/>
  <c r="AG336" i="20" s="1"/>
  <c r="AF336" i="20" s="1"/>
  <c r="AI296" i="20"/>
  <c r="AH296" i="20" s="1"/>
  <c r="AG296" i="20" s="1"/>
  <c r="AF296" i="20" s="1"/>
  <c r="AI231" i="20"/>
  <c r="AH231" i="20" s="1"/>
  <c r="AG231" i="20" s="1"/>
  <c r="AF231" i="20" s="1"/>
  <c r="AI351" i="20"/>
  <c r="AH351" i="20" s="1"/>
  <c r="AG351" i="20" s="1"/>
  <c r="AF351" i="20" s="1"/>
  <c r="AI376" i="20"/>
  <c r="AH376" i="20" s="1"/>
  <c r="AG376" i="20" s="1"/>
  <c r="AF376" i="20" s="1"/>
  <c r="AI355" i="20"/>
  <c r="AH355" i="20" s="1"/>
  <c r="AG355" i="20" s="1"/>
  <c r="AF355" i="20" s="1"/>
  <c r="AI370" i="20"/>
  <c r="AH370" i="20" s="1"/>
  <c r="AG370" i="20" s="1"/>
  <c r="AF370" i="20" s="1"/>
  <c r="AI101" i="20"/>
  <c r="AH101" i="20" s="1"/>
  <c r="AG101" i="20" s="1"/>
  <c r="AF101" i="20" s="1"/>
  <c r="AI117" i="20"/>
  <c r="AH117" i="20" s="1"/>
  <c r="AG117" i="20" s="1"/>
  <c r="AF117" i="20" s="1"/>
  <c r="AI168" i="20"/>
  <c r="AH168" i="20" s="1"/>
  <c r="AG168" i="20" s="1"/>
  <c r="AF168" i="20" s="1"/>
  <c r="AD168" i="20" s="1"/>
  <c r="AI19" i="20"/>
  <c r="AH19" i="20" s="1"/>
  <c r="AG19" i="20" s="1"/>
  <c r="AF19" i="20" s="1"/>
  <c r="AD19" i="20" s="1"/>
  <c r="AI99" i="20"/>
  <c r="AH99" i="20" s="1"/>
  <c r="AG99" i="20" s="1"/>
  <c r="AF99" i="20" s="1"/>
  <c r="AD99" i="20" s="1"/>
  <c r="AI17" i="20"/>
  <c r="AH17" i="20" s="1"/>
  <c r="AG17" i="20" s="1"/>
  <c r="AF17" i="20" s="1"/>
  <c r="AD17" i="20" s="1"/>
  <c r="AI372" i="20"/>
  <c r="AH372" i="20" s="1"/>
  <c r="AG372" i="20" s="1"/>
  <c r="AF372" i="20" s="1"/>
  <c r="AD372" i="20" s="1"/>
  <c r="AI177" i="20"/>
  <c r="AH177" i="20" s="1"/>
  <c r="AG177" i="20" s="1"/>
  <c r="AF177" i="20" s="1"/>
  <c r="AD177" i="20" s="1"/>
  <c r="AI304" i="20"/>
  <c r="AH304" i="20" s="1"/>
  <c r="AG304" i="20" s="1"/>
  <c r="AF304" i="20" s="1"/>
  <c r="AI319" i="20"/>
  <c r="AH319" i="20" s="1"/>
  <c r="AG319" i="20" s="1"/>
  <c r="AF319" i="20" s="1"/>
  <c r="AI77" i="20"/>
  <c r="AH77" i="20" s="1"/>
  <c r="AG77" i="20" s="1"/>
  <c r="AF77" i="20" s="1"/>
  <c r="AI298" i="20"/>
  <c r="AH298" i="20" s="1"/>
  <c r="AG298" i="20" s="1"/>
  <c r="AF298" i="20" s="1"/>
  <c r="AI105" i="20"/>
  <c r="AH105" i="20" s="1"/>
  <c r="AG105" i="20" s="1"/>
  <c r="AF105" i="20" s="1"/>
  <c r="AI115" i="20"/>
  <c r="AH115" i="20" s="1"/>
  <c r="AG115" i="20" s="1"/>
  <c r="AF115" i="20" s="1"/>
  <c r="AI338" i="20"/>
  <c r="AH338" i="20" s="1"/>
  <c r="AG338" i="20" s="1"/>
  <c r="AF338" i="20" s="1"/>
  <c r="AD338" i="20" s="1"/>
  <c r="AI160" i="20"/>
  <c r="AH160" i="20" s="1"/>
  <c r="AG160" i="20" s="1"/>
  <c r="AF160" i="20" s="1"/>
  <c r="AD160" i="20" s="1"/>
  <c r="AI335" i="20"/>
  <c r="AH335" i="20" s="1"/>
  <c r="AG335" i="20" s="1"/>
  <c r="AF335" i="20" s="1"/>
  <c r="AD335" i="20" s="1"/>
  <c r="AI194" i="20"/>
  <c r="AH194" i="20" s="1"/>
  <c r="AG194" i="20" s="1"/>
  <c r="AF194" i="20" s="1"/>
  <c r="U334" i="20"/>
  <c r="T334" i="20" s="1"/>
  <c r="S334" i="20" s="1"/>
  <c r="R334" i="20" s="1"/>
  <c r="P334" i="20" s="1"/>
  <c r="V334" i="20" s="1"/>
  <c r="B334" i="20" s="1"/>
  <c r="W334" i="20" s="1"/>
  <c r="AI249" i="20"/>
  <c r="AH249" i="20" s="1"/>
  <c r="AG249" i="20" s="1"/>
  <c r="AF249" i="20" s="1"/>
  <c r="AI186" i="20"/>
  <c r="AH186" i="20" s="1"/>
  <c r="AG186" i="20" s="1"/>
  <c r="AF186" i="20" s="1"/>
  <c r="AI234" i="20"/>
  <c r="AH234" i="20" s="1"/>
  <c r="AG234" i="20" s="1"/>
  <c r="AF234" i="20" s="1"/>
  <c r="AD234" i="20" s="1"/>
  <c r="AI294" i="20"/>
  <c r="AH294" i="20" s="1"/>
  <c r="AG294" i="20" s="1"/>
  <c r="AF294" i="20" s="1"/>
  <c r="AD294" i="20" s="1"/>
  <c r="AI80" i="20"/>
  <c r="AH80" i="20" s="1"/>
  <c r="AG80" i="20" s="1"/>
  <c r="AF80" i="20" s="1"/>
  <c r="AD80" i="20" s="1"/>
  <c r="AI171" i="20"/>
  <c r="AH171" i="20" s="1"/>
  <c r="AG171" i="20" s="1"/>
  <c r="AF171" i="20" s="1"/>
  <c r="AD171" i="20" s="1"/>
  <c r="AI265" i="20"/>
  <c r="AH265" i="20" s="1"/>
  <c r="AG265" i="20" s="1"/>
  <c r="AF265" i="20" s="1"/>
  <c r="AI107" i="20"/>
  <c r="AH107" i="20" s="1"/>
  <c r="AG107" i="20" s="1"/>
  <c r="AF107" i="20" s="1"/>
  <c r="AI145" i="20"/>
  <c r="AH145" i="20" s="1"/>
  <c r="AG145" i="20" s="1"/>
  <c r="AF145" i="20" s="1"/>
  <c r="AD145" i="20" s="1"/>
  <c r="AI191" i="20"/>
  <c r="AH191" i="20" s="1"/>
  <c r="AG191" i="20" s="1"/>
  <c r="AF191" i="20" s="1"/>
  <c r="AD191" i="20" s="1"/>
  <c r="AI306" i="20"/>
  <c r="AH306" i="20" s="1"/>
  <c r="AG306" i="20" s="1"/>
  <c r="AF306" i="20" s="1"/>
  <c r="AI318" i="20"/>
  <c r="AH318" i="20" s="1"/>
  <c r="AG318" i="20" s="1"/>
  <c r="AF318" i="20" s="1"/>
  <c r="AI257" i="20"/>
  <c r="AH257" i="20" s="1"/>
  <c r="AG257" i="20" s="1"/>
  <c r="AF257" i="20" s="1"/>
  <c r="AI310" i="20"/>
  <c r="AH310" i="20" s="1"/>
  <c r="AG310" i="20" s="1"/>
  <c r="AF310" i="20" s="1"/>
  <c r="AD310" i="20" s="1"/>
  <c r="AI259" i="20"/>
  <c r="AH259" i="20" s="1"/>
  <c r="AG259" i="20" s="1"/>
  <c r="AF259" i="20" s="1"/>
  <c r="AI287" i="20"/>
  <c r="AH287" i="20" s="1"/>
  <c r="AG287" i="20" s="1"/>
  <c r="AF287" i="20" s="1"/>
  <c r="AD287" i="20" s="1"/>
  <c r="AI228" i="20"/>
  <c r="AH228" i="20" s="1"/>
  <c r="AG228" i="20" s="1"/>
  <c r="AF228" i="20" s="1"/>
  <c r="AI215" i="20"/>
  <c r="AH215" i="20" s="1"/>
  <c r="AG215" i="20" s="1"/>
  <c r="AF215" i="20" s="1"/>
  <c r="AI94" i="20"/>
  <c r="AH94" i="20" s="1"/>
  <c r="AG94" i="20" s="1"/>
  <c r="AF94" i="20" s="1"/>
  <c r="AD94" i="20" s="1"/>
  <c r="AI187" i="20"/>
  <c r="AH187" i="20" s="1"/>
  <c r="AG187" i="20" s="1"/>
  <c r="AF187" i="20" s="1"/>
  <c r="AI91" i="20"/>
  <c r="AH91" i="20" s="1"/>
  <c r="AG91" i="20" s="1"/>
  <c r="AF91" i="20" s="1"/>
  <c r="AD91" i="20" s="1"/>
  <c r="AI248" i="20"/>
  <c r="AH248" i="20" s="1"/>
  <c r="AG248" i="20" s="1"/>
  <c r="AF248" i="20" s="1"/>
  <c r="AI130" i="20"/>
  <c r="AH130" i="20" s="1"/>
  <c r="AG130" i="20" s="1"/>
  <c r="AF130" i="20" s="1"/>
  <c r="AI33" i="20"/>
  <c r="AH33" i="20" s="1"/>
  <c r="AG33" i="20" s="1"/>
  <c r="AF33" i="20" s="1"/>
  <c r="AD33" i="20" s="1"/>
  <c r="AI320" i="20"/>
  <c r="AH320" i="20" s="1"/>
  <c r="AG320" i="20" s="1"/>
  <c r="AF320" i="20" s="1"/>
  <c r="AI96" i="20"/>
  <c r="AH96" i="20" s="1"/>
  <c r="AG96" i="20" s="1"/>
  <c r="AF96" i="20" s="1"/>
  <c r="AD96" i="20" s="1"/>
  <c r="AI258" i="20"/>
  <c r="AH258" i="20" s="1"/>
  <c r="AG258" i="20" s="1"/>
  <c r="AF258" i="20" s="1"/>
  <c r="AI150" i="20"/>
  <c r="AH150" i="20" s="1"/>
  <c r="AG150" i="20" s="1"/>
  <c r="AF150" i="20" s="1"/>
  <c r="AI200" i="20"/>
  <c r="AH200" i="20" s="1"/>
  <c r="AG200" i="20" s="1"/>
  <c r="AF200" i="20" s="1"/>
  <c r="AI256" i="20"/>
  <c r="AH256" i="20" s="1"/>
  <c r="AG256" i="20" s="1"/>
  <c r="AF256" i="20" s="1"/>
  <c r="AI164" i="20"/>
  <c r="AH164" i="20" s="1"/>
  <c r="AG164" i="20" s="1"/>
  <c r="AF164" i="20" s="1"/>
  <c r="AI40" i="20"/>
  <c r="AH40" i="20" s="1"/>
  <c r="AG40" i="20" s="1"/>
  <c r="AF40" i="20" s="1"/>
  <c r="AD40" i="20" s="1"/>
  <c r="AI233" i="20"/>
  <c r="AH233" i="20" s="1"/>
  <c r="AG233" i="20" s="1"/>
  <c r="AF233" i="20" s="1"/>
  <c r="AI46" i="20"/>
  <c r="AH46" i="20" s="1"/>
  <c r="AG46" i="20" s="1"/>
  <c r="AF46" i="20" s="1"/>
  <c r="AD46" i="20" s="1"/>
  <c r="AI314" i="20"/>
  <c r="AH314" i="20" s="1"/>
  <c r="AG314" i="20" s="1"/>
  <c r="AF314" i="20" s="1"/>
  <c r="AI74" i="20"/>
  <c r="AH74" i="20" s="1"/>
  <c r="AG74" i="20" s="1"/>
  <c r="AF74" i="20" s="1"/>
  <c r="AD74" i="20" s="1"/>
  <c r="AI223" i="20"/>
  <c r="AH223" i="20" s="1"/>
  <c r="AG223" i="20" s="1"/>
  <c r="AF223" i="20" s="1"/>
  <c r="AI244" i="20"/>
  <c r="AH244" i="20" s="1"/>
  <c r="AG244" i="20" s="1"/>
  <c r="AF244" i="20" s="1"/>
  <c r="AD244" i="20" s="1"/>
  <c r="AI358" i="20"/>
  <c r="AH358" i="20" s="1"/>
  <c r="AG358" i="20" s="1"/>
  <c r="AF358" i="20" s="1"/>
  <c r="AI309" i="20"/>
  <c r="AH309" i="20" s="1"/>
  <c r="AG309" i="20" s="1"/>
  <c r="AF309" i="20" s="1"/>
  <c r="AI123" i="20"/>
  <c r="AH123" i="20" s="1"/>
  <c r="AG123" i="20" s="1"/>
  <c r="AF123" i="20" s="1"/>
  <c r="AI184" i="20"/>
  <c r="AH184" i="20" s="1"/>
  <c r="AG184" i="20" s="1"/>
  <c r="AF184" i="20" s="1"/>
  <c r="AI262" i="20"/>
  <c r="AH262" i="20" s="1"/>
  <c r="AG262" i="20" s="1"/>
  <c r="AF262" i="20" s="1"/>
  <c r="AD262" i="20" s="1"/>
  <c r="AI363" i="20"/>
  <c r="AH363" i="20" s="1"/>
  <c r="AG363" i="20" s="1"/>
  <c r="AF363" i="20" s="1"/>
  <c r="AI47" i="20"/>
  <c r="AH47" i="20" s="1"/>
  <c r="AG47" i="20" s="1"/>
  <c r="AF47" i="20" s="1"/>
  <c r="AD47" i="20" s="1"/>
  <c r="AI237" i="20"/>
  <c r="AH237" i="20" s="1"/>
  <c r="AG237" i="20" s="1"/>
  <c r="AF237" i="20" s="1"/>
  <c r="AI366" i="20"/>
  <c r="AH366" i="20" s="1"/>
  <c r="AG366" i="20" s="1"/>
  <c r="AF366" i="20" s="1"/>
  <c r="AD366" i="20" s="1"/>
  <c r="AI240" i="20"/>
  <c r="AH240" i="20" s="1"/>
  <c r="AG240" i="20" s="1"/>
  <c r="AF240" i="20" s="1"/>
  <c r="AD240" i="20" s="1"/>
  <c r="AI140" i="20"/>
  <c r="AH140" i="20" s="1"/>
  <c r="AG140" i="20" s="1"/>
  <c r="AF140" i="20" s="1"/>
  <c r="AI219" i="20"/>
  <c r="AH219" i="20" s="1"/>
  <c r="AG219" i="20" s="1"/>
  <c r="AF219" i="20" s="1"/>
  <c r="AI216" i="20"/>
  <c r="AH216" i="20" s="1"/>
  <c r="AG216" i="20" s="1"/>
  <c r="AF216" i="20" s="1"/>
  <c r="AI275" i="20"/>
  <c r="AH275" i="20" s="1"/>
  <c r="AG275" i="20" s="1"/>
  <c r="AF275" i="20" s="1"/>
  <c r="AI247" i="20"/>
  <c r="AH247" i="20" s="1"/>
  <c r="AG247" i="20" s="1"/>
  <c r="AF247" i="20" s="1"/>
  <c r="AI128" i="20"/>
  <c r="AH128" i="20" s="1"/>
  <c r="AG128" i="20" s="1"/>
  <c r="AF128" i="20" s="1"/>
  <c r="AI181" i="20"/>
  <c r="AH181" i="20" s="1"/>
  <c r="AG181" i="20" s="1"/>
  <c r="AF181" i="20" s="1"/>
  <c r="AI158" i="20"/>
  <c r="AH158" i="20" s="1"/>
  <c r="AG158" i="20" s="1"/>
  <c r="AF158" i="20" s="1"/>
  <c r="AI224" i="20"/>
  <c r="AH224" i="20" s="1"/>
  <c r="AG224" i="20" s="1"/>
  <c r="AF224" i="20" s="1"/>
  <c r="AI273" i="20"/>
  <c r="AH273" i="20" s="1"/>
  <c r="AG273" i="20" s="1"/>
  <c r="AF273" i="20" s="1"/>
  <c r="AI352" i="20"/>
  <c r="AH352" i="20" s="1"/>
  <c r="AG352" i="20" s="1"/>
  <c r="AF352" i="20" s="1"/>
  <c r="AD352" i="20" s="1"/>
  <c r="AI368" i="20"/>
  <c r="AH368" i="20" s="1"/>
  <c r="AG368" i="20" s="1"/>
  <c r="AF368" i="20" s="1"/>
  <c r="AI292" i="20"/>
  <c r="AH292" i="20" s="1"/>
  <c r="AG292" i="20" s="1"/>
  <c r="AF292" i="20" s="1"/>
  <c r="AI121" i="20"/>
  <c r="AH121" i="20" s="1"/>
  <c r="AG121" i="20" s="1"/>
  <c r="AF121" i="20" s="1"/>
  <c r="AI279" i="20"/>
  <c r="AH279" i="20" s="1"/>
  <c r="AG279" i="20" s="1"/>
  <c r="AF279" i="20" s="1"/>
  <c r="AI329" i="20"/>
  <c r="AH329" i="20" s="1"/>
  <c r="AG329" i="20" s="1"/>
  <c r="AF329" i="20" s="1"/>
  <c r="AI239" i="20"/>
  <c r="AH239" i="20" s="1"/>
  <c r="AG239" i="20" s="1"/>
  <c r="AF239" i="20" s="1"/>
  <c r="AD239" i="20" s="1"/>
  <c r="AI379" i="20"/>
  <c r="AH379" i="20" s="1"/>
  <c r="AI359" i="20"/>
  <c r="AH359" i="20" s="1"/>
  <c r="AG359" i="20" s="1"/>
  <c r="AF359" i="20" s="1"/>
  <c r="AD359" i="20" s="1"/>
  <c r="AI131" i="20"/>
  <c r="AH131" i="20" s="1"/>
  <c r="AG131" i="20" s="1"/>
  <c r="AF131" i="20" s="1"/>
  <c r="AI90" i="20"/>
  <c r="AH90" i="20" s="1"/>
  <c r="AG90" i="20" s="1"/>
  <c r="AF90" i="20" s="1"/>
  <c r="AI354" i="20"/>
  <c r="AH354" i="20" s="1"/>
  <c r="AG354" i="20" s="1"/>
  <c r="AF354" i="20" s="1"/>
  <c r="AD354" i="20" s="1"/>
  <c r="AI141" i="20"/>
  <c r="AH141" i="20" s="1"/>
  <c r="AG141" i="20" s="1"/>
  <c r="AF141" i="20" s="1"/>
  <c r="AD141" i="20" s="1"/>
  <c r="AI27" i="20"/>
  <c r="AH27" i="20" s="1"/>
  <c r="AG27" i="20" s="1"/>
  <c r="AF27" i="20" s="1"/>
  <c r="AI203" i="20"/>
  <c r="AH203" i="20" s="1"/>
  <c r="AG203" i="20" s="1"/>
  <c r="AF203" i="20" s="1"/>
  <c r="AI236" i="20"/>
  <c r="AH236" i="20" s="1"/>
  <c r="AG236" i="20" s="1"/>
  <c r="AF236" i="20" s="1"/>
  <c r="AI225" i="20"/>
  <c r="AH225" i="20" s="1"/>
  <c r="AG225" i="20" s="1"/>
  <c r="AF225" i="20" s="1"/>
  <c r="AD225" i="20" s="1"/>
  <c r="AI16" i="7"/>
  <c r="AI371" i="20"/>
  <c r="AH371" i="20" s="1"/>
  <c r="AG371" i="20" s="1"/>
  <c r="AF371" i="20" s="1"/>
  <c r="AI64" i="20"/>
  <c r="AH64" i="20" s="1"/>
  <c r="AG64" i="20" s="1"/>
  <c r="AF64" i="20" s="1"/>
  <c r="AI315" i="20"/>
  <c r="AH315" i="20" s="1"/>
  <c r="AG315" i="20" s="1"/>
  <c r="AF315" i="20" s="1"/>
  <c r="AI264" i="20"/>
  <c r="AH264" i="20" s="1"/>
  <c r="AG264" i="20" s="1"/>
  <c r="AF264" i="20" s="1"/>
  <c r="AI324" i="20"/>
  <c r="AH324" i="20" s="1"/>
  <c r="AG324" i="20" s="1"/>
  <c r="AF324" i="20" s="1"/>
  <c r="AI360" i="20"/>
  <c r="AH360" i="20" s="1"/>
  <c r="AG360" i="20" s="1"/>
  <c r="AF360" i="20" s="1"/>
  <c r="AI285" i="20"/>
  <c r="AH285" i="20" s="1"/>
  <c r="AG285" i="20" s="1"/>
  <c r="AF285" i="20" s="1"/>
  <c r="AI312" i="20"/>
  <c r="AH312" i="20" s="1"/>
  <c r="AG312" i="20" s="1"/>
  <c r="AF312" i="20" s="1"/>
  <c r="AI183" i="20"/>
  <c r="AH183" i="20" s="1"/>
  <c r="AG183" i="20" s="1"/>
  <c r="AF183" i="20" s="1"/>
  <c r="AI339" i="20"/>
  <c r="AH339" i="20" s="1"/>
  <c r="AG339" i="20" s="1"/>
  <c r="AF339" i="20" s="1"/>
  <c r="AI214" i="20"/>
  <c r="AH214" i="20" s="1"/>
  <c r="AG214" i="20" s="1"/>
  <c r="AF214" i="20" s="1"/>
  <c r="AI45" i="20"/>
  <c r="AH45" i="20" s="1"/>
  <c r="AG45" i="20" s="1"/>
  <c r="AF45" i="20" s="1"/>
  <c r="AI156" i="20"/>
  <c r="AH156" i="20" s="1"/>
  <c r="AG156" i="20" s="1"/>
  <c r="AF156" i="20" s="1"/>
  <c r="AI316" i="20"/>
  <c r="AH316" i="20" s="1"/>
  <c r="AG316" i="20" s="1"/>
  <c r="AF316" i="20" s="1"/>
  <c r="AI226" i="20"/>
  <c r="AH226" i="20" s="1"/>
  <c r="AG226" i="20" s="1"/>
  <c r="AF226" i="20" s="1"/>
  <c r="AI334" i="20"/>
  <c r="AH334" i="20" s="1"/>
  <c r="AG334" i="20" s="1"/>
  <c r="AF334" i="20" s="1"/>
  <c r="AI295" i="20"/>
  <c r="AH295" i="20" s="1"/>
  <c r="AG295" i="20" s="1"/>
  <c r="AF295" i="20" s="1"/>
  <c r="AI242" i="20"/>
  <c r="AH242" i="20" s="1"/>
  <c r="AG242" i="20" s="1"/>
  <c r="AF242" i="20" s="1"/>
  <c r="AI220" i="20"/>
  <c r="AH220" i="20" s="1"/>
  <c r="AG220" i="20" s="1"/>
  <c r="AF220" i="20" s="1"/>
  <c r="AI95" i="20"/>
  <c r="AH95" i="20" s="1"/>
  <c r="AG95" i="20" s="1"/>
  <c r="AF95" i="20" s="1"/>
  <c r="AI62" i="20"/>
  <c r="AH62" i="20" s="1"/>
  <c r="AG62" i="20" s="1"/>
  <c r="AF62" i="20" s="1"/>
  <c r="AD62" i="20" s="1"/>
  <c r="AI302" i="20"/>
  <c r="AH302" i="20" s="1"/>
  <c r="AG302" i="20" s="1"/>
  <c r="AF302" i="20" s="1"/>
  <c r="AI293" i="20"/>
  <c r="AH293" i="20" s="1"/>
  <c r="AG293" i="20" s="1"/>
  <c r="AF293" i="20" s="1"/>
  <c r="AI260" i="20"/>
  <c r="AH260" i="20" s="1"/>
  <c r="AG260" i="20" s="1"/>
  <c r="AF260" i="20" s="1"/>
  <c r="AI251" i="20"/>
  <c r="AH251" i="20" s="1"/>
  <c r="AG251" i="20" s="1"/>
  <c r="AF251" i="20" s="1"/>
  <c r="AI250" i="20"/>
  <c r="AH250" i="20" s="1"/>
  <c r="AG250" i="20" s="1"/>
  <c r="AF250" i="20" s="1"/>
  <c r="AI311" i="20"/>
  <c r="AH311" i="20" s="1"/>
  <c r="AG311" i="20" s="1"/>
  <c r="AF311" i="20" s="1"/>
  <c r="AI167" i="20"/>
  <c r="AH167" i="20" s="1"/>
  <c r="AG167" i="20" s="1"/>
  <c r="AF167" i="20" s="1"/>
  <c r="AI63" i="20"/>
  <c r="AH63" i="20" s="1"/>
  <c r="AG63" i="20" s="1"/>
  <c r="AF63" i="20" s="1"/>
  <c r="AD63" i="20" s="1"/>
  <c r="AI178" i="20"/>
  <c r="AH178" i="20" s="1"/>
  <c r="AG178" i="20" s="1"/>
  <c r="AF178" i="20" s="1"/>
  <c r="AI157" i="20"/>
  <c r="AH157" i="20" s="1"/>
  <c r="AG157" i="20" s="1"/>
  <c r="AF157" i="20" s="1"/>
  <c r="AI136" i="20"/>
  <c r="AH136" i="20" s="1"/>
  <c r="AG136" i="20" s="1"/>
  <c r="AF136" i="20" s="1"/>
  <c r="AI169" i="20"/>
  <c r="AH169" i="20" s="1"/>
  <c r="AG169" i="20" s="1"/>
  <c r="AF169" i="20" s="1"/>
  <c r="AI133" i="20"/>
  <c r="AH133" i="20" s="1"/>
  <c r="AG133" i="20" s="1"/>
  <c r="AF133" i="20" s="1"/>
  <c r="AI180" i="20"/>
  <c r="AH180" i="20" s="1"/>
  <c r="AG180" i="20" s="1"/>
  <c r="AF180" i="20" s="1"/>
  <c r="AI126" i="20"/>
  <c r="AH126" i="20" s="1"/>
  <c r="AG126" i="20" s="1"/>
  <c r="AF126" i="20" s="1"/>
  <c r="AI317" i="20"/>
  <c r="AH317" i="20" s="1"/>
  <c r="AG317" i="20" s="1"/>
  <c r="AF317" i="20" s="1"/>
  <c r="AI108" i="20"/>
  <c r="AH108" i="20" s="1"/>
  <c r="AG108" i="20" s="1"/>
  <c r="AF108" i="20" s="1"/>
  <c r="AI114" i="20"/>
  <c r="AH114" i="20" s="1"/>
  <c r="AG114" i="20" s="1"/>
  <c r="AF114" i="20" s="1"/>
  <c r="AI110" i="20"/>
  <c r="AH110" i="20" s="1"/>
  <c r="AG110" i="20" s="1"/>
  <c r="AF110" i="20" s="1"/>
  <c r="AI269" i="20"/>
  <c r="AH269" i="20" s="1"/>
  <c r="AG269" i="20" s="1"/>
  <c r="AF269" i="20" s="1"/>
  <c r="AI153" i="20"/>
  <c r="AH153" i="20" s="1"/>
  <c r="AG153" i="20" s="1"/>
  <c r="AF153" i="20" s="1"/>
  <c r="AI332" i="20"/>
  <c r="AH332" i="20" s="1"/>
  <c r="AG332" i="20" s="1"/>
  <c r="AF332" i="20" s="1"/>
  <c r="AI199" i="20"/>
  <c r="AH199" i="20" s="1"/>
  <c r="AG199" i="20" s="1"/>
  <c r="AF199" i="20" s="1"/>
  <c r="AI146" i="20"/>
  <c r="AH146" i="20" s="1"/>
  <c r="AG146" i="20" s="1"/>
  <c r="AF146" i="20" s="1"/>
  <c r="AI255" i="20"/>
  <c r="AH255" i="20" s="1"/>
  <c r="AG255" i="20" s="1"/>
  <c r="AF255" i="20" s="1"/>
  <c r="AI116" i="20"/>
  <c r="AH116" i="20" s="1"/>
  <c r="AG116" i="20" s="1"/>
  <c r="AF116" i="20" s="1"/>
  <c r="AI307" i="20"/>
  <c r="AH307" i="20" s="1"/>
  <c r="AG307" i="20" s="1"/>
  <c r="AF307" i="20" s="1"/>
  <c r="AI212" i="20"/>
  <c r="AH212" i="20" s="1"/>
  <c r="AG212" i="20" s="1"/>
  <c r="AF212" i="20" s="1"/>
  <c r="AI149" i="20"/>
  <c r="AH149" i="20" s="1"/>
  <c r="AG149" i="20" s="1"/>
  <c r="AF149" i="20" s="1"/>
  <c r="AI367" i="20"/>
  <c r="AH367" i="20" s="1"/>
  <c r="AG367" i="20" s="1"/>
  <c r="AF367" i="20" s="1"/>
  <c r="U103" i="20"/>
  <c r="T103" i="20" s="1"/>
  <c r="S103" i="20" s="1"/>
  <c r="R103" i="20" s="1"/>
  <c r="P103" i="20" s="1"/>
  <c r="V103" i="20" s="1"/>
  <c r="B103" i="20" s="1"/>
  <c r="W103" i="20" s="1"/>
  <c r="U269" i="20"/>
  <c r="T269" i="20" s="1"/>
  <c r="S269" i="20" s="1"/>
  <c r="R269" i="20" s="1"/>
  <c r="P269" i="20" s="1"/>
  <c r="V269" i="20" s="1"/>
  <c r="B269" i="20" s="1"/>
  <c r="U280" i="20"/>
  <c r="T280" i="20" s="1"/>
  <c r="S280" i="20" s="1"/>
  <c r="R280" i="20" s="1"/>
  <c r="P280" i="20" s="1"/>
  <c r="V280" i="20" s="1"/>
  <c r="B280" i="20" s="1"/>
  <c r="U150" i="20"/>
  <c r="T150" i="20" s="1"/>
  <c r="S150" i="20" s="1"/>
  <c r="R150" i="20" s="1"/>
  <c r="P150" i="20" s="1"/>
  <c r="V150" i="20" s="1"/>
  <c r="B150" i="20" s="1"/>
  <c r="U339" i="20"/>
  <c r="T339" i="20" s="1"/>
  <c r="S339" i="20" s="1"/>
  <c r="R339" i="20" s="1"/>
  <c r="P339" i="20" s="1"/>
  <c r="V339" i="20" s="1"/>
  <c r="B339" i="20" s="1"/>
  <c r="U275" i="20"/>
  <c r="T275" i="20" s="1"/>
  <c r="S275" i="20" s="1"/>
  <c r="R275" i="20" s="1"/>
  <c r="P275" i="20" s="1"/>
  <c r="V275" i="20" s="1"/>
  <c r="B275" i="20" s="1"/>
  <c r="D275" i="20" s="1"/>
  <c r="E275" i="20" s="1"/>
  <c r="F275" i="20" s="1"/>
  <c r="U162" i="20"/>
  <c r="T162" i="20" s="1"/>
  <c r="S162" i="20" s="1"/>
  <c r="R162" i="20" s="1"/>
  <c r="P162" i="20" s="1"/>
  <c r="V162" i="20" s="1"/>
  <c r="B162" i="20" s="1"/>
  <c r="D162" i="20" s="1"/>
  <c r="E162" i="20" s="1"/>
  <c r="F162" i="20" s="1"/>
  <c r="U195" i="20"/>
  <c r="T195" i="20" s="1"/>
  <c r="S195" i="20" s="1"/>
  <c r="R195" i="20" s="1"/>
  <c r="P195" i="20" s="1"/>
  <c r="U299" i="20"/>
  <c r="T299" i="20" s="1"/>
  <c r="S299" i="20" s="1"/>
  <c r="R299" i="20" s="1"/>
  <c r="P299" i="20" s="1"/>
  <c r="V299" i="20" s="1"/>
  <c r="B299" i="20" s="1"/>
  <c r="U158" i="20"/>
  <c r="T158" i="20" s="1"/>
  <c r="S158" i="20" s="1"/>
  <c r="R158" i="20" s="1"/>
  <c r="P158" i="20" s="1"/>
  <c r="V158" i="20" s="1"/>
  <c r="B158" i="20" s="1"/>
  <c r="D158" i="20" s="1"/>
  <c r="E158" i="20" s="1"/>
  <c r="F158" i="20" s="1"/>
  <c r="U92" i="20"/>
  <c r="T92" i="20" s="1"/>
  <c r="S92" i="20" s="1"/>
  <c r="R92" i="20" s="1"/>
  <c r="P92" i="20" s="1"/>
  <c r="V92" i="20" s="1"/>
  <c r="B92" i="20" s="1"/>
  <c r="W92" i="20" s="1"/>
  <c r="U324" i="20"/>
  <c r="T324" i="20" s="1"/>
  <c r="S324" i="20" s="1"/>
  <c r="R324" i="20" s="1"/>
  <c r="P324" i="20" s="1"/>
  <c r="V324" i="20" s="1"/>
  <c r="B324" i="20" s="1"/>
  <c r="W324" i="20" s="1"/>
  <c r="U322" i="20"/>
  <c r="T322" i="20" s="1"/>
  <c r="S322" i="20" s="1"/>
  <c r="R322" i="20" s="1"/>
  <c r="P322" i="20" s="1"/>
  <c r="V322" i="20" s="1"/>
  <c r="B322" i="20" s="1"/>
  <c r="W322" i="20" s="1"/>
  <c r="U91" i="20"/>
  <c r="T91" i="20" s="1"/>
  <c r="S91" i="20" s="1"/>
  <c r="R91" i="20" s="1"/>
  <c r="P91" i="20" s="1"/>
  <c r="V91" i="20" s="1"/>
  <c r="B91" i="20" s="1"/>
  <c r="U311" i="20"/>
  <c r="T311" i="20" s="1"/>
  <c r="S311" i="20" s="1"/>
  <c r="R311" i="20" s="1"/>
  <c r="P311" i="20" s="1"/>
  <c r="V311" i="20" s="1"/>
  <c r="B311" i="20" s="1"/>
  <c r="U297" i="20"/>
  <c r="T297" i="20" s="1"/>
  <c r="S297" i="20" s="1"/>
  <c r="R297" i="20" s="1"/>
  <c r="P297" i="20" s="1"/>
  <c r="V297" i="20" s="1"/>
  <c r="B297" i="20" s="1"/>
  <c r="W297" i="20" s="1"/>
  <c r="U179" i="20"/>
  <c r="T179" i="20" s="1"/>
  <c r="S179" i="20" s="1"/>
  <c r="R179" i="20" s="1"/>
  <c r="P179" i="20" s="1"/>
  <c r="V179" i="20" s="1"/>
  <c r="B179" i="20" s="1"/>
  <c r="W179" i="20" s="1"/>
  <c r="U108" i="20"/>
  <c r="T108" i="20" s="1"/>
  <c r="S108" i="20" s="1"/>
  <c r="R108" i="20" s="1"/>
  <c r="P108" i="20" s="1"/>
  <c r="V108" i="20" s="1"/>
  <c r="B108" i="20" s="1"/>
  <c r="W108" i="20" s="1"/>
  <c r="U329" i="20"/>
  <c r="T329" i="20" s="1"/>
  <c r="S329" i="20" s="1"/>
  <c r="R329" i="20" s="1"/>
  <c r="P329" i="20" s="1"/>
  <c r="V329" i="20" s="1"/>
  <c r="B329" i="20" s="1"/>
  <c r="W329" i="20" s="1"/>
  <c r="U252" i="20"/>
  <c r="T252" i="20" s="1"/>
  <c r="S252" i="20" s="1"/>
  <c r="R252" i="20" s="1"/>
  <c r="P252" i="20" s="1"/>
  <c r="V252" i="20" s="1"/>
  <c r="B252" i="20" s="1"/>
  <c r="U49" i="20"/>
  <c r="T49" i="20" s="1"/>
  <c r="S49" i="20" s="1"/>
  <c r="R49" i="20" s="1"/>
  <c r="P49" i="20" s="1"/>
  <c r="V49" i="20" s="1"/>
  <c r="B49" i="20" s="1"/>
  <c r="W49" i="20" s="1"/>
  <c r="U97" i="20"/>
  <c r="T97" i="20" s="1"/>
  <c r="S97" i="20" s="1"/>
  <c r="R97" i="20" s="1"/>
  <c r="P97" i="20" s="1"/>
  <c r="V97" i="20" s="1"/>
  <c r="B97" i="20" s="1"/>
  <c r="U174" i="20"/>
  <c r="T174" i="20" s="1"/>
  <c r="S174" i="20" s="1"/>
  <c r="R174" i="20" s="1"/>
  <c r="P174" i="20" s="1"/>
  <c r="V174" i="20" s="1"/>
  <c r="B174" i="20" s="1"/>
  <c r="U53" i="20"/>
  <c r="T53" i="20" s="1"/>
  <c r="S53" i="20" s="1"/>
  <c r="R53" i="20" s="1"/>
  <c r="P53" i="20" s="1"/>
  <c r="V53" i="20" s="1"/>
  <c r="B53" i="20" s="1"/>
  <c r="W53" i="20" s="1"/>
  <c r="U343" i="20"/>
  <c r="T343" i="20" s="1"/>
  <c r="S343" i="20" s="1"/>
  <c r="R343" i="20" s="1"/>
  <c r="P343" i="20" s="1"/>
  <c r="V343" i="20" s="1"/>
  <c r="B343" i="20" s="1"/>
  <c r="D343" i="20" s="1"/>
  <c r="E343" i="20" s="1"/>
  <c r="F343" i="20" s="1"/>
  <c r="U62" i="20"/>
  <c r="T62" i="20" s="1"/>
  <c r="S62" i="20" s="1"/>
  <c r="R62" i="20" s="1"/>
  <c r="P62" i="20" s="1"/>
  <c r="V62" i="20" s="1"/>
  <c r="B62" i="20" s="1"/>
  <c r="D62" i="20" s="1"/>
  <c r="E62" i="20" s="1"/>
  <c r="F62" i="20" s="1"/>
  <c r="AA62" i="20" s="1"/>
  <c r="Z62" i="20" s="1"/>
  <c r="Y62" i="20" s="1"/>
  <c r="U166" i="20"/>
  <c r="T166" i="20" s="1"/>
  <c r="S166" i="20" s="1"/>
  <c r="R166" i="20" s="1"/>
  <c r="P166" i="20" s="1"/>
  <c r="V166" i="20" s="1"/>
  <c r="B166" i="20" s="1"/>
  <c r="W166" i="20" s="1"/>
  <c r="U187" i="20"/>
  <c r="T187" i="20" s="1"/>
  <c r="S187" i="20" s="1"/>
  <c r="R187" i="20" s="1"/>
  <c r="P187" i="20" s="1"/>
  <c r="V187" i="20" s="1"/>
  <c r="B187" i="20" s="1"/>
  <c r="W187" i="20" s="1"/>
  <c r="U151" i="20"/>
  <c r="T151" i="20" s="1"/>
  <c r="S151" i="20" s="1"/>
  <c r="R151" i="20" s="1"/>
  <c r="P151" i="20" s="1"/>
  <c r="V151" i="20" s="1"/>
  <c r="B151" i="20" s="1"/>
  <c r="D151" i="20" s="1"/>
  <c r="E151" i="20" s="1"/>
  <c r="F151" i="20" s="1"/>
  <c r="U222" i="20"/>
  <c r="T222" i="20" s="1"/>
  <c r="S222" i="20" s="1"/>
  <c r="R222" i="20" s="1"/>
  <c r="P222" i="20" s="1"/>
  <c r="V222" i="20" s="1"/>
  <c r="B222" i="20" s="1"/>
  <c r="W222" i="20" s="1"/>
  <c r="U307" i="20"/>
  <c r="T307" i="20" s="1"/>
  <c r="S307" i="20" s="1"/>
  <c r="R307" i="20" s="1"/>
  <c r="P307" i="20" s="1"/>
  <c r="V307" i="20" s="1"/>
  <c r="B307" i="20" s="1"/>
  <c r="W307" i="20" s="1"/>
  <c r="U128" i="20"/>
  <c r="T128" i="20" s="1"/>
  <c r="S128" i="20" s="1"/>
  <c r="R128" i="20" s="1"/>
  <c r="P128" i="20" s="1"/>
  <c r="V128" i="20" s="1"/>
  <c r="B128" i="20" s="1"/>
  <c r="D128" i="20" s="1"/>
  <c r="E128" i="20" s="1"/>
  <c r="F128" i="20" s="1"/>
  <c r="G128" i="20" s="1"/>
  <c r="CB128" i="6" s="1"/>
  <c r="U248" i="20"/>
  <c r="T248" i="20" s="1"/>
  <c r="S248" i="20" s="1"/>
  <c r="R248" i="20" s="1"/>
  <c r="P248" i="20" s="1"/>
  <c r="V248" i="20" s="1"/>
  <c r="B248" i="20" s="1"/>
  <c r="U347" i="20"/>
  <c r="T347" i="20" s="1"/>
  <c r="S347" i="20" s="1"/>
  <c r="R347" i="20" s="1"/>
  <c r="P347" i="20" s="1"/>
  <c r="V347" i="20" s="1"/>
  <c r="B347" i="20" s="1"/>
  <c r="U317" i="20"/>
  <c r="T317" i="20" s="1"/>
  <c r="S317" i="20" s="1"/>
  <c r="R317" i="20" s="1"/>
  <c r="P317" i="20" s="1"/>
  <c r="V317" i="20" s="1"/>
  <c r="B317" i="20" s="1"/>
  <c r="U176" i="20"/>
  <c r="T176" i="20" s="1"/>
  <c r="S176" i="20" s="1"/>
  <c r="R176" i="20" s="1"/>
  <c r="P176" i="20" s="1"/>
  <c r="V176" i="20" s="1"/>
  <c r="B176" i="20" s="1"/>
  <c r="D176" i="20" s="1"/>
  <c r="E176" i="20" s="1"/>
  <c r="F176" i="20" s="1"/>
  <c r="U87" i="20"/>
  <c r="T87" i="20" s="1"/>
  <c r="S87" i="20" s="1"/>
  <c r="R87" i="20" s="1"/>
  <c r="P87" i="20" s="1"/>
  <c r="V87" i="20" s="1"/>
  <c r="B87" i="20" s="1"/>
  <c r="U258" i="20"/>
  <c r="T258" i="20" s="1"/>
  <c r="S258" i="20" s="1"/>
  <c r="R258" i="20" s="1"/>
  <c r="P258" i="20" s="1"/>
  <c r="V258" i="20" s="1"/>
  <c r="B258" i="20" s="1"/>
  <c r="W258" i="20" s="1"/>
  <c r="U152" i="20"/>
  <c r="T152" i="20" s="1"/>
  <c r="S152" i="20" s="1"/>
  <c r="R152" i="20" s="1"/>
  <c r="P152" i="20" s="1"/>
  <c r="V152" i="20" s="1"/>
  <c r="B152" i="20" s="1"/>
  <c r="D152" i="20" s="1"/>
  <c r="E152" i="20" s="1"/>
  <c r="F152" i="20" s="1"/>
  <c r="U338" i="20"/>
  <c r="T338" i="20" s="1"/>
  <c r="S338" i="20" s="1"/>
  <c r="R338" i="20" s="1"/>
  <c r="P338" i="20" s="1"/>
  <c r="V338" i="20" s="1"/>
  <c r="B338" i="20" s="1"/>
  <c r="W338" i="20" s="1"/>
  <c r="U203" i="20"/>
  <c r="T203" i="20" s="1"/>
  <c r="S203" i="20" s="1"/>
  <c r="R203" i="20" s="1"/>
  <c r="P203" i="20" s="1"/>
  <c r="V203" i="20" s="1"/>
  <c r="B203" i="20" s="1"/>
  <c r="D203" i="20" s="1"/>
  <c r="E203" i="20" s="1"/>
  <c r="F203" i="20" s="1"/>
  <c r="G203" i="20" s="1"/>
  <c r="CB203" i="6" s="1"/>
  <c r="U253" i="20"/>
  <c r="T253" i="20" s="1"/>
  <c r="S253" i="20" s="1"/>
  <c r="R253" i="20" s="1"/>
  <c r="P253" i="20" s="1"/>
  <c r="V253" i="20" s="1"/>
  <c r="B253" i="20" s="1"/>
  <c r="U139" i="20"/>
  <c r="T139" i="20" s="1"/>
  <c r="S139" i="20" s="1"/>
  <c r="R139" i="20" s="1"/>
  <c r="P139" i="20" s="1"/>
  <c r="V139" i="20" s="1"/>
  <c r="B139" i="20" s="1"/>
  <c r="U105" i="20"/>
  <c r="T105" i="20" s="1"/>
  <c r="S105" i="20" s="1"/>
  <c r="R105" i="20" s="1"/>
  <c r="P105" i="20" s="1"/>
  <c r="V105" i="20" s="1"/>
  <c r="B105" i="20" s="1"/>
  <c r="D105" i="20" s="1"/>
  <c r="E105" i="20" s="1"/>
  <c r="F105" i="20" s="1"/>
  <c r="U137" i="20"/>
  <c r="T137" i="20" s="1"/>
  <c r="S137" i="20" s="1"/>
  <c r="R137" i="20" s="1"/>
  <c r="P137" i="20" s="1"/>
  <c r="V137" i="20" s="1"/>
  <c r="B137" i="20" s="1"/>
  <c r="U107" i="20"/>
  <c r="T107" i="20" s="1"/>
  <c r="S107" i="20" s="1"/>
  <c r="R107" i="20" s="1"/>
  <c r="P107" i="20" s="1"/>
  <c r="V107" i="20" s="1"/>
  <c r="B107" i="20" s="1"/>
  <c r="D107" i="20" s="1"/>
  <c r="E107" i="20" s="1"/>
  <c r="F107" i="20" s="1"/>
  <c r="G107" i="20" s="1"/>
  <c r="CB107" i="6" s="1"/>
  <c r="U214" i="20"/>
  <c r="T214" i="20" s="1"/>
  <c r="S214" i="20" s="1"/>
  <c r="R214" i="20" s="1"/>
  <c r="P214" i="20" s="1"/>
  <c r="V214" i="20" s="1"/>
  <c r="B214" i="20" s="1"/>
  <c r="D214" i="20" s="1"/>
  <c r="E214" i="20" s="1"/>
  <c r="F214" i="20" s="1"/>
  <c r="U331" i="20"/>
  <c r="T331" i="20" s="1"/>
  <c r="S331" i="20" s="1"/>
  <c r="R331" i="20" s="1"/>
  <c r="P331" i="20" s="1"/>
  <c r="V331" i="20" s="1"/>
  <c r="B331" i="20" s="1"/>
  <c r="D331" i="20" s="1"/>
  <c r="E331" i="20" s="1"/>
  <c r="F331" i="20" s="1"/>
  <c r="H331" i="20" s="1"/>
  <c r="U328" i="20"/>
  <c r="T328" i="20" s="1"/>
  <c r="S328" i="20" s="1"/>
  <c r="R328" i="20" s="1"/>
  <c r="P328" i="20" s="1"/>
  <c r="V328" i="20" s="1"/>
  <c r="B328" i="20" s="1"/>
  <c r="U309" i="20"/>
  <c r="T309" i="20" s="1"/>
  <c r="S309" i="20" s="1"/>
  <c r="R309" i="20" s="1"/>
  <c r="P309" i="20" s="1"/>
  <c r="V309" i="20" s="1"/>
  <c r="B309" i="20" s="1"/>
  <c r="W309" i="20" s="1"/>
  <c r="U84" i="20"/>
  <c r="T84" i="20" s="1"/>
  <c r="S84" i="20" s="1"/>
  <c r="R84" i="20" s="1"/>
  <c r="P84" i="20" s="1"/>
  <c r="V84" i="20" s="1"/>
  <c r="B84" i="20" s="1"/>
  <c r="D84" i="20" s="1"/>
  <c r="E84" i="20" s="1"/>
  <c r="F84" i="20" s="1"/>
  <c r="U185" i="20"/>
  <c r="T185" i="20" s="1"/>
  <c r="S185" i="20" s="1"/>
  <c r="R185" i="20" s="1"/>
  <c r="P185" i="20" s="1"/>
  <c r="V185" i="20" s="1"/>
  <c r="B185" i="20" s="1"/>
  <c r="U169" i="20"/>
  <c r="T169" i="20" s="1"/>
  <c r="S169" i="20" s="1"/>
  <c r="R169" i="20" s="1"/>
  <c r="P169" i="20" s="1"/>
  <c r="V169" i="20" s="1"/>
  <c r="B169" i="20" s="1"/>
  <c r="U149" i="20"/>
  <c r="T149" i="20" s="1"/>
  <c r="S149" i="20" s="1"/>
  <c r="R149" i="20" s="1"/>
  <c r="P149" i="20" s="1"/>
  <c r="V149" i="20" s="1"/>
  <c r="B149" i="20" s="1"/>
  <c r="D149" i="20" s="1"/>
  <c r="E149" i="20" s="1"/>
  <c r="F149" i="20" s="1"/>
  <c r="U68" i="20"/>
  <c r="T68" i="20" s="1"/>
  <c r="S68" i="20" s="1"/>
  <c r="R68" i="20" s="1"/>
  <c r="P68" i="20" s="1"/>
  <c r="V68" i="20" s="1"/>
  <c r="B68" i="20" s="1"/>
  <c r="W68" i="20" s="1"/>
  <c r="U119" i="20"/>
  <c r="T119" i="20" s="1"/>
  <c r="S119" i="20" s="1"/>
  <c r="R119" i="20" s="1"/>
  <c r="P119" i="20" s="1"/>
  <c r="AH23" i="7" s="1"/>
  <c r="U265" i="20"/>
  <c r="T265" i="20" s="1"/>
  <c r="S265" i="20" s="1"/>
  <c r="R265" i="20" s="1"/>
  <c r="P265" i="20" s="1"/>
  <c r="V265" i="20" s="1"/>
  <c r="B265" i="20" s="1"/>
  <c r="U41" i="20"/>
  <c r="T41" i="20" s="1"/>
  <c r="S41" i="20" s="1"/>
  <c r="R41" i="20" s="1"/>
  <c r="P41" i="20" s="1"/>
  <c r="V41" i="20" s="1"/>
  <c r="B41" i="20" s="1"/>
  <c r="D41" i="20" s="1"/>
  <c r="E41" i="20" s="1"/>
  <c r="F41" i="20" s="1"/>
  <c r="H41" i="20" s="1"/>
  <c r="U293" i="20"/>
  <c r="T293" i="20" s="1"/>
  <c r="S293" i="20" s="1"/>
  <c r="R293" i="20" s="1"/>
  <c r="P293" i="20" s="1"/>
  <c r="V293" i="20" s="1"/>
  <c r="B293" i="20" s="1"/>
  <c r="U86" i="20"/>
  <c r="T86" i="20" s="1"/>
  <c r="S86" i="20" s="1"/>
  <c r="R86" i="20" s="1"/>
  <c r="P86" i="20" s="1"/>
  <c r="V86" i="20" s="1"/>
  <c r="B86" i="20" s="1"/>
  <c r="U238" i="20"/>
  <c r="T238" i="20" s="1"/>
  <c r="S238" i="20" s="1"/>
  <c r="R238" i="20" s="1"/>
  <c r="P238" i="20" s="1"/>
  <c r="V238" i="20" s="1"/>
  <c r="B238" i="20" s="1"/>
  <c r="D238" i="20" s="1"/>
  <c r="E238" i="20" s="1"/>
  <c r="F238" i="20" s="1"/>
  <c r="U350" i="20"/>
  <c r="T350" i="20" s="1"/>
  <c r="S350" i="20" s="1"/>
  <c r="R350" i="20" s="1"/>
  <c r="P350" i="20" s="1"/>
  <c r="V350" i="20" s="1"/>
  <c r="B350" i="20" s="1"/>
  <c r="U36" i="20"/>
  <c r="T36" i="20" s="1"/>
  <c r="S36" i="20" s="1"/>
  <c r="R36" i="20" s="1"/>
  <c r="P36" i="20" s="1"/>
  <c r="V36" i="20" s="1"/>
  <c r="B36" i="20" s="1"/>
  <c r="D36" i="20" s="1"/>
  <c r="E36" i="20" s="1"/>
  <c r="F36" i="20" s="1"/>
  <c r="U138" i="20"/>
  <c r="T138" i="20" s="1"/>
  <c r="S138" i="20" s="1"/>
  <c r="R138" i="20" s="1"/>
  <c r="P138" i="20" s="1"/>
  <c r="V138" i="20" s="1"/>
  <c r="B138" i="20" s="1"/>
  <c r="D138" i="20" s="1"/>
  <c r="E138" i="20" s="1"/>
  <c r="F138" i="20" s="1"/>
  <c r="U163" i="20"/>
  <c r="T163" i="20" s="1"/>
  <c r="S163" i="20" s="1"/>
  <c r="R163" i="20" s="1"/>
  <c r="P163" i="20" s="1"/>
  <c r="V163" i="20" s="1"/>
  <c r="B163" i="20" s="1"/>
  <c r="U294" i="20"/>
  <c r="T294" i="20" s="1"/>
  <c r="S294" i="20" s="1"/>
  <c r="R294" i="20" s="1"/>
  <c r="P294" i="20" s="1"/>
  <c r="V294" i="20" s="1"/>
  <c r="B294" i="20" s="1"/>
  <c r="U320" i="20"/>
  <c r="T320" i="20" s="1"/>
  <c r="S320" i="20" s="1"/>
  <c r="R320" i="20" s="1"/>
  <c r="P320" i="20" s="1"/>
  <c r="V320" i="20" s="1"/>
  <c r="B320" i="20" s="1"/>
  <c r="U247" i="20"/>
  <c r="T247" i="20" s="1"/>
  <c r="S247" i="20" s="1"/>
  <c r="R247" i="20" s="1"/>
  <c r="P247" i="20" s="1"/>
  <c r="V247" i="20" s="1"/>
  <c r="B247" i="20" s="1"/>
  <c r="U205" i="20"/>
  <c r="T205" i="20" s="1"/>
  <c r="S205" i="20" s="1"/>
  <c r="R205" i="20" s="1"/>
  <c r="P205" i="20" s="1"/>
  <c r="V205" i="20" s="1"/>
  <c r="B205" i="20" s="1"/>
  <c r="U237" i="20"/>
  <c r="T237" i="20" s="1"/>
  <c r="S237" i="20" s="1"/>
  <c r="R237" i="20" s="1"/>
  <c r="P237" i="20" s="1"/>
  <c r="V237" i="20" s="1"/>
  <c r="B237" i="20" s="1"/>
  <c r="D237" i="20" s="1"/>
  <c r="E237" i="20" s="1"/>
  <c r="F237" i="20" s="1"/>
  <c r="G237" i="20" s="1"/>
  <c r="CB237" i="6" s="1"/>
  <c r="U335" i="20"/>
  <c r="T335" i="20" s="1"/>
  <c r="S335" i="20" s="1"/>
  <c r="R335" i="20" s="1"/>
  <c r="P335" i="20" s="1"/>
  <c r="V335" i="20" s="1"/>
  <c r="B335" i="20" s="1"/>
  <c r="U303" i="20"/>
  <c r="T303" i="20" s="1"/>
  <c r="S303" i="20" s="1"/>
  <c r="R303" i="20" s="1"/>
  <c r="P303" i="20" s="1"/>
  <c r="V303" i="20" s="1"/>
  <c r="B303" i="20" s="1"/>
  <c r="U318" i="20"/>
  <c r="T318" i="20" s="1"/>
  <c r="S318" i="20" s="1"/>
  <c r="R318" i="20" s="1"/>
  <c r="P318" i="20" s="1"/>
  <c r="V318" i="20" s="1"/>
  <c r="B318" i="20" s="1"/>
  <c r="D318" i="20" s="1"/>
  <c r="E318" i="20" s="1"/>
  <c r="F318" i="20" s="1"/>
  <c r="H318" i="20" s="1"/>
  <c r="U207" i="20"/>
  <c r="T207" i="20" s="1"/>
  <c r="S207" i="20" s="1"/>
  <c r="R207" i="20" s="1"/>
  <c r="P207" i="20" s="1"/>
  <c r="V207" i="20" s="1"/>
  <c r="B207" i="20" s="1"/>
  <c r="W207" i="20" s="1"/>
  <c r="U52" i="20"/>
  <c r="T52" i="20" s="1"/>
  <c r="S52" i="20" s="1"/>
  <c r="R52" i="20" s="1"/>
  <c r="P52" i="20" s="1"/>
  <c r="V52" i="20" s="1"/>
  <c r="B52" i="20" s="1"/>
  <c r="U124" i="20"/>
  <c r="T124" i="20" s="1"/>
  <c r="S124" i="20" s="1"/>
  <c r="R124" i="20" s="1"/>
  <c r="P124" i="20" s="1"/>
  <c r="V124" i="20" s="1"/>
  <c r="B124" i="20" s="1"/>
  <c r="U377" i="20"/>
  <c r="T377" i="20" s="1"/>
  <c r="S377" i="20" s="1"/>
  <c r="R377" i="20" s="1"/>
  <c r="P377" i="20" s="1"/>
  <c r="V377" i="20" s="1"/>
  <c r="B377" i="20" s="1"/>
  <c r="D377" i="20" s="1"/>
  <c r="E377" i="20" s="1"/>
  <c r="F377" i="20" s="1"/>
  <c r="U240" i="20"/>
  <c r="T240" i="20" s="1"/>
  <c r="S240" i="20" s="1"/>
  <c r="R240" i="20" s="1"/>
  <c r="P240" i="20" s="1"/>
  <c r="V240" i="20" s="1"/>
  <c r="B240" i="20" s="1"/>
  <c r="W240" i="20" s="1"/>
  <c r="U369" i="20"/>
  <c r="T369" i="20" s="1"/>
  <c r="S369" i="20" s="1"/>
  <c r="R369" i="20" s="1"/>
  <c r="P369" i="20" s="1"/>
  <c r="V369" i="20" s="1"/>
  <c r="B369" i="20" s="1"/>
  <c r="W369" i="20" s="1"/>
  <c r="U287" i="20"/>
  <c r="T287" i="20" s="1"/>
  <c r="S287" i="20" s="1"/>
  <c r="R287" i="20" s="1"/>
  <c r="P287" i="20" s="1"/>
  <c r="V287" i="20" s="1"/>
  <c r="B287" i="20" s="1"/>
  <c r="U73" i="20"/>
  <c r="T73" i="20" s="1"/>
  <c r="S73" i="20" s="1"/>
  <c r="R73" i="20" s="1"/>
  <c r="P73" i="20" s="1"/>
  <c r="V73" i="20" s="1"/>
  <c r="B73" i="20" s="1"/>
  <c r="U157" i="20"/>
  <c r="T157" i="20" s="1"/>
  <c r="S157" i="20" s="1"/>
  <c r="R157" i="20" s="1"/>
  <c r="P157" i="20" s="1"/>
  <c r="V157" i="20" s="1"/>
  <c r="B157" i="20" s="1"/>
  <c r="W157" i="20" s="1"/>
  <c r="U291" i="20"/>
  <c r="T291" i="20" s="1"/>
  <c r="S291" i="20" s="1"/>
  <c r="R291" i="20" s="1"/>
  <c r="P291" i="20" s="1"/>
  <c r="V291" i="20" s="1"/>
  <c r="B291" i="20" s="1"/>
  <c r="W291" i="20" s="1"/>
  <c r="U31" i="20"/>
  <c r="T31" i="20" s="1"/>
  <c r="S31" i="20" s="1"/>
  <c r="R31" i="20" s="1"/>
  <c r="P31" i="20" s="1"/>
  <c r="V31" i="20" s="1"/>
  <c r="B31" i="20" s="1"/>
  <c r="U374" i="20"/>
  <c r="T374" i="20" s="1"/>
  <c r="S374" i="20" s="1"/>
  <c r="R374" i="20" s="1"/>
  <c r="P374" i="20" s="1"/>
  <c r="V374" i="20" s="1"/>
  <c r="B374" i="20" s="1"/>
  <c r="W374" i="20" s="1"/>
  <c r="U104" i="20"/>
  <c r="T104" i="20" s="1"/>
  <c r="S104" i="20" s="1"/>
  <c r="R104" i="20" s="1"/>
  <c r="P104" i="20" s="1"/>
  <c r="V104" i="20" s="1"/>
  <c r="B104" i="20" s="1"/>
  <c r="D104" i="20" s="1"/>
  <c r="E104" i="20" s="1"/>
  <c r="F104" i="20" s="1"/>
  <c r="U54" i="20"/>
  <c r="T54" i="20" s="1"/>
  <c r="S54" i="20" s="1"/>
  <c r="R54" i="20" s="1"/>
  <c r="P54" i="20" s="1"/>
  <c r="V54" i="20" s="1"/>
  <c r="B54" i="20" s="1"/>
  <c r="U44" i="20"/>
  <c r="T44" i="20" s="1"/>
  <c r="S44" i="20" s="1"/>
  <c r="R44" i="20" s="1"/>
  <c r="P44" i="20" s="1"/>
  <c r="V44" i="20" s="1"/>
  <c r="B44" i="20" s="1"/>
  <c r="U30" i="20"/>
  <c r="T30" i="20" s="1"/>
  <c r="S30" i="20" s="1"/>
  <c r="R30" i="20" s="1"/>
  <c r="P30" i="20" s="1"/>
  <c r="V30" i="20" s="1"/>
  <c r="B30" i="20" s="1"/>
  <c r="D30" i="20" s="1"/>
  <c r="E30" i="20" s="1"/>
  <c r="F30" i="20" s="1"/>
  <c r="G30" i="20" s="1"/>
  <c r="CB30" i="6" s="1"/>
  <c r="U118" i="20"/>
  <c r="T118" i="20" s="1"/>
  <c r="S118" i="20" s="1"/>
  <c r="R118" i="20" s="1"/>
  <c r="P118" i="20" s="1"/>
  <c r="V118" i="20" s="1"/>
  <c r="B118" i="20" s="1"/>
  <c r="D118" i="20" s="1"/>
  <c r="E118" i="20" s="1"/>
  <c r="F118" i="20" s="1"/>
  <c r="G118" i="20" s="1"/>
  <c r="CB118" i="6" s="1"/>
  <c r="U140" i="20"/>
  <c r="T140" i="20" s="1"/>
  <c r="S140" i="20" s="1"/>
  <c r="R140" i="20" s="1"/>
  <c r="P140" i="20" s="1"/>
  <c r="V140" i="20" s="1"/>
  <c r="B140" i="20" s="1"/>
  <c r="U181" i="20"/>
  <c r="T181" i="20" s="1"/>
  <c r="S181" i="20" s="1"/>
  <c r="R181" i="20" s="1"/>
  <c r="P181" i="20" s="1"/>
  <c r="V181" i="20" s="1"/>
  <c r="B181" i="20" s="1"/>
  <c r="U173" i="20"/>
  <c r="T173" i="20" s="1"/>
  <c r="S173" i="20" s="1"/>
  <c r="R173" i="20" s="1"/>
  <c r="P173" i="20" s="1"/>
  <c r="V173" i="20" s="1"/>
  <c r="B173" i="20" s="1"/>
  <c r="U127" i="20"/>
  <c r="T127" i="20" s="1"/>
  <c r="S127" i="20" s="1"/>
  <c r="R127" i="20" s="1"/>
  <c r="P127" i="20" s="1"/>
  <c r="V127" i="20" s="1"/>
  <c r="B127" i="20" s="1"/>
  <c r="W127" i="20" s="1"/>
  <c r="U58" i="20"/>
  <c r="T58" i="20" s="1"/>
  <c r="S58" i="20" s="1"/>
  <c r="R58" i="20" s="1"/>
  <c r="P58" i="20" s="1"/>
  <c r="V58" i="20" s="1"/>
  <c r="B58" i="20" s="1"/>
  <c r="U356" i="20"/>
  <c r="T356" i="20" s="1"/>
  <c r="S356" i="20" s="1"/>
  <c r="R356" i="20" s="1"/>
  <c r="P356" i="20" s="1"/>
  <c r="V356" i="20" s="1"/>
  <c r="B356" i="20" s="1"/>
  <c r="U375" i="20"/>
  <c r="T375" i="20" s="1"/>
  <c r="S375" i="20" s="1"/>
  <c r="R375" i="20" s="1"/>
  <c r="P375" i="20" s="1"/>
  <c r="V375" i="20" s="1"/>
  <c r="B375" i="20" s="1"/>
  <c r="U351" i="20"/>
  <c r="T351" i="20" s="1"/>
  <c r="S351" i="20" s="1"/>
  <c r="R351" i="20" s="1"/>
  <c r="P351" i="20" s="1"/>
  <c r="V351" i="20" s="1"/>
  <c r="B351" i="20" s="1"/>
  <c r="D351" i="20" s="1"/>
  <c r="E351" i="20" s="1"/>
  <c r="F351" i="20" s="1"/>
  <c r="G351" i="20" s="1"/>
  <c r="CB351" i="6" s="1"/>
  <c r="U255" i="20"/>
  <c r="T255" i="20" s="1"/>
  <c r="S255" i="20" s="1"/>
  <c r="R255" i="20" s="1"/>
  <c r="P255" i="20" s="1"/>
  <c r="V255" i="20" s="1"/>
  <c r="B255" i="20" s="1"/>
  <c r="U28" i="20"/>
  <c r="T28" i="20" s="1"/>
  <c r="S28" i="20" s="1"/>
  <c r="R28" i="20" s="1"/>
  <c r="P28" i="20" s="1"/>
  <c r="V28" i="20" s="1"/>
  <c r="B28" i="20" s="1"/>
  <c r="W28" i="20" s="1"/>
  <c r="U60" i="20"/>
  <c r="T60" i="20" s="1"/>
  <c r="S60" i="20" s="1"/>
  <c r="R60" i="20" s="1"/>
  <c r="P60" i="20" s="1"/>
  <c r="AH21" i="7" s="1"/>
  <c r="U143" i="20"/>
  <c r="T143" i="20" s="1"/>
  <c r="S143" i="20" s="1"/>
  <c r="R143" i="20" s="1"/>
  <c r="P143" i="20" s="1"/>
  <c r="V143" i="20" s="1"/>
  <c r="B143" i="20" s="1"/>
  <c r="U171" i="20"/>
  <c r="T171" i="20" s="1"/>
  <c r="S171" i="20" s="1"/>
  <c r="R171" i="20" s="1"/>
  <c r="P171" i="20" s="1"/>
  <c r="V171" i="20" s="1"/>
  <c r="B171" i="20" s="1"/>
  <c r="W171" i="20" s="1"/>
  <c r="U161" i="20"/>
  <c r="T161" i="20" s="1"/>
  <c r="S161" i="20" s="1"/>
  <c r="R161" i="20" s="1"/>
  <c r="P161" i="20" s="1"/>
  <c r="V161" i="20" s="1"/>
  <c r="B161" i="20" s="1"/>
  <c r="D161" i="20" s="1"/>
  <c r="E161" i="20" s="1"/>
  <c r="F161" i="20" s="1"/>
  <c r="U188" i="20"/>
  <c r="T188" i="20" s="1"/>
  <c r="S188" i="20" s="1"/>
  <c r="R188" i="20" s="1"/>
  <c r="P188" i="20" s="1"/>
  <c r="V188" i="20" s="1"/>
  <c r="B188" i="20" s="1"/>
  <c r="W188" i="20" s="1"/>
  <c r="U368" i="20"/>
  <c r="T368" i="20" s="1"/>
  <c r="S368" i="20" s="1"/>
  <c r="R368" i="20" s="1"/>
  <c r="P368" i="20" s="1"/>
  <c r="V368" i="20" s="1"/>
  <c r="B368" i="20" s="1"/>
  <c r="D368" i="20" s="1"/>
  <c r="E368" i="20" s="1"/>
  <c r="F368" i="20" s="1"/>
  <c r="U355" i="20"/>
  <c r="T355" i="20" s="1"/>
  <c r="S355" i="20" s="1"/>
  <c r="R355" i="20" s="1"/>
  <c r="P355" i="20" s="1"/>
  <c r="V355" i="20" s="1"/>
  <c r="B355" i="20" s="1"/>
  <c r="D355" i="20" s="1"/>
  <c r="E355" i="20" s="1"/>
  <c r="F355" i="20" s="1"/>
  <c r="H355" i="20" s="1"/>
  <c r="U211" i="20"/>
  <c r="T211" i="20" s="1"/>
  <c r="S211" i="20" s="1"/>
  <c r="R211" i="20" s="1"/>
  <c r="P211" i="20" s="1"/>
  <c r="V211" i="20" s="1"/>
  <c r="B211" i="20" s="1"/>
  <c r="U310" i="20"/>
  <c r="T310" i="20" s="1"/>
  <c r="S310" i="20" s="1"/>
  <c r="R310" i="20" s="1"/>
  <c r="P310" i="20" s="1"/>
  <c r="V310" i="20" s="1"/>
  <c r="B310" i="20" s="1"/>
  <c r="U229" i="20"/>
  <c r="T229" i="20" s="1"/>
  <c r="S229" i="20" s="1"/>
  <c r="R229" i="20" s="1"/>
  <c r="P229" i="20" s="1"/>
  <c r="V229" i="20" s="1"/>
  <c r="B229" i="20" s="1"/>
  <c r="W229" i="20" s="1"/>
  <c r="U276" i="20"/>
  <c r="T276" i="20" s="1"/>
  <c r="S276" i="20" s="1"/>
  <c r="R276" i="20" s="1"/>
  <c r="P276" i="20" s="1"/>
  <c r="V276" i="20" s="1"/>
  <c r="B276" i="20" s="1"/>
  <c r="AI60" i="20"/>
  <c r="AH60" i="20" s="1"/>
  <c r="AG60" i="20" s="1"/>
  <c r="AF60" i="20" s="1"/>
  <c r="AI163" i="20"/>
  <c r="AH163" i="20" s="1"/>
  <c r="AG163" i="20" s="1"/>
  <c r="AF163" i="20" s="1"/>
  <c r="U26" i="20"/>
  <c r="T26" i="20" s="1"/>
  <c r="S26" i="20" s="1"/>
  <c r="R26" i="20" s="1"/>
  <c r="P26" i="20" s="1"/>
  <c r="V26" i="20" s="1"/>
  <c r="B26" i="20" s="1"/>
  <c r="D26" i="20" s="1"/>
  <c r="E26" i="20" s="1"/>
  <c r="F26" i="20" s="1"/>
  <c r="G26" i="20" s="1"/>
  <c r="CB26" i="6" s="1"/>
  <c r="U364" i="20"/>
  <c r="T364" i="20" s="1"/>
  <c r="S364" i="20" s="1"/>
  <c r="R364" i="20" s="1"/>
  <c r="P364" i="20" s="1"/>
  <c r="V364" i="20" s="1"/>
  <c r="B364" i="20" s="1"/>
  <c r="U259" i="20"/>
  <c r="T259" i="20" s="1"/>
  <c r="S259" i="20" s="1"/>
  <c r="R259" i="20" s="1"/>
  <c r="P259" i="20" s="1"/>
  <c r="V259" i="20" s="1"/>
  <c r="B259" i="20" s="1"/>
  <c r="D259" i="20" s="1"/>
  <c r="E259" i="20" s="1"/>
  <c r="F259" i="20" s="1"/>
  <c r="G259" i="20" s="1"/>
  <c r="CB259" i="6" s="1"/>
  <c r="U273" i="20"/>
  <c r="T273" i="20" s="1"/>
  <c r="S273" i="20" s="1"/>
  <c r="R273" i="20" s="1"/>
  <c r="P273" i="20" s="1"/>
  <c r="V273" i="20" s="1"/>
  <c r="B273" i="20" s="1"/>
  <c r="W273" i="20" s="1"/>
  <c r="U167" i="20"/>
  <c r="T167" i="20" s="1"/>
  <c r="S167" i="20" s="1"/>
  <c r="R167" i="20" s="1"/>
  <c r="P167" i="20" s="1"/>
  <c r="V167" i="20" s="1"/>
  <c r="B167" i="20" s="1"/>
  <c r="U96" i="20"/>
  <c r="T96" i="20" s="1"/>
  <c r="S96" i="20" s="1"/>
  <c r="R96" i="20" s="1"/>
  <c r="P96" i="20" s="1"/>
  <c r="V96" i="20" s="1"/>
  <c r="B96" i="20" s="1"/>
  <c r="U260" i="20"/>
  <c r="T260" i="20" s="1"/>
  <c r="S260" i="20" s="1"/>
  <c r="R260" i="20" s="1"/>
  <c r="P260" i="20" s="1"/>
  <c r="V260" i="20" s="1"/>
  <c r="B260" i="20" s="1"/>
  <c r="W260" i="20" s="1"/>
  <c r="U194" i="20"/>
  <c r="T194" i="20" s="1"/>
  <c r="S194" i="20" s="1"/>
  <c r="R194" i="20" s="1"/>
  <c r="P194" i="20" s="1"/>
  <c r="V194" i="20" s="1"/>
  <c r="B194" i="20" s="1"/>
  <c r="D194" i="20" s="1"/>
  <c r="E194" i="20" s="1"/>
  <c r="F194" i="20" s="1"/>
  <c r="G194" i="20" s="1"/>
  <c r="CB194" i="6" s="1"/>
  <c r="U20" i="20"/>
  <c r="T20" i="20" s="1"/>
  <c r="S20" i="20" s="1"/>
  <c r="R20" i="20" s="1"/>
  <c r="P20" i="20" s="1"/>
  <c r="V20" i="20" s="1"/>
  <c r="U159" i="20"/>
  <c r="T159" i="20" s="1"/>
  <c r="S159" i="20" s="1"/>
  <c r="R159" i="20" s="1"/>
  <c r="P159" i="20" s="1"/>
  <c r="V159" i="20" s="1"/>
  <c r="B159" i="20" s="1"/>
  <c r="D159" i="20" s="1"/>
  <c r="E159" i="20" s="1"/>
  <c r="F159" i="20" s="1"/>
  <c r="G159" i="20" s="1"/>
  <c r="CB159" i="6" s="1"/>
  <c r="U18" i="20"/>
  <c r="T18" i="20" s="1"/>
  <c r="S18" i="20" s="1"/>
  <c r="R18" i="20" s="1"/>
  <c r="P18" i="20" s="1"/>
  <c r="V18" i="20" s="1"/>
  <c r="B18" i="20" s="1"/>
  <c r="W18" i="20" s="1"/>
  <c r="U241" i="20"/>
  <c r="T241" i="20" s="1"/>
  <c r="S241" i="20" s="1"/>
  <c r="R241" i="20" s="1"/>
  <c r="P241" i="20" s="1"/>
  <c r="AH27" i="7" s="1"/>
  <c r="U126" i="20"/>
  <c r="T126" i="20" s="1"/>
  <c r="S126" i="20" s="1"/>
  <c r="R126" i="20" s="1"/>
  <c r="P126" i="20" s="1"/>
  <c r="V126" i="20" s="1"/>
  <c r="B126" i="20" s="1"/>
  <c r="U332" i="20"/>
  <c r="T332" i="20" s="1"/>
  <c r="S332" i="20" s="1"/>
  <c r="R332" i="20" s="1"/>
  <c r="P332" i="20" s="1"/>
  <c r="V332" i="20" s="1"/>
  <c r="B332" i="20" s="1"/>
  <c r="W332" i="20" s="1"/>
  <c r="U315" i="20"/>
  <c r="T315" i="20" s="1"/>
  <c r="S315" i="20" s="1"/>
  <c r="R315" i="20" s="1"/>
  <c r="P315" i="20" s="1"/>
  <c r="V315" i="20" s="1"/>
  <c r="B315" i="20" s="1"/>
  <c r="U366" i="20"/>
  <c r="T366" i="20" s="1"/>
  <c r="S366" i="20" s="1"/>
  <c r="R366" i="20" s="1"/>
  <c r="P366" i="20" s="1"/>
  <c r="V366" i="20" s="1"/>
  <c r="B366" i="20" s="1"/>
  <c r="D366" i="20" s="1"/>
  <c r="E366" i="20" s="1"/>
  <c r="F366" i="20" s="1"/>
  <c r="U130" i="20"/>
  <c r="T130" i="20" s="1"/>
  <c r="S130" i="20" s="1"/>
  <c r="R130" i="20" s="1"/>
  <c r="P130" i="20" s="1"/>
  <c r="V130" i="20" s="1"/>
  <c r="B130" i="20" s="1"/>
  <c r="D130" i="20" s="1"/>
  <c r="E130" i="20" s="1"/>
  <c r="F130" i="20" s="1"/>
  <c r="G130" i="20" s="1"/>
  <c r="CB130" i="6" s="1"/>
  <c r="U177" i="20"/>
  <c r="T177" i="20" s="1"/>
  <c r="S177" i="20" s="1"/>
  <c r="R177" i="20" s="1"/>
  <c r="P177" i="20" s="1"/>
  <c r="V177" i="20" s="1"/>
  <c r="B177" i="20" s="1"/>
  <c r="D177" i="20" s="1"/>
  <c r="E177" i="20" s="1"/>
  <c r="F177" i="20" s="1"/>
  <c r="G177" i="20" s="1"/>
  <c r="CB177" i="6" s="1"/>
  <c r="U217" i="20"/>
  <c r="T217" i="20" s="1"/>
  <c r="S217" i="20" s="1"/>
  <c r="R217" i="20" s="1"/>
  <c r="P217" i="20" s="1"/>
  <c r="V217" i="20" s="1"/>
  <c r="B217" i="20" s="1"/>
  <c r="U168" i="20"/>
  <c r="T168" i="20" s="1"/>
  <c r="S168" i="20" s="1"/>
  <c r="R168" i="20" s="1"/>
  <c r="P168" i="20" s="1"/>
  <c r="V168" i="20" s="1"/>
  <c r="B168" i="20" s="1"/>
  <c r="D168" i="20" s="1"/>
  <c r="E168" i="20" s="1"/>
  <c r="F168" i="20" s="1"/>
  <c r="H168" i="20" s="1"/>
  <c r="U298" i="20"/>
  <c r="T298" i="20" s="1"/>
  <c r="S298" i="20" s="1"/>
  <c r="R298" i="20" s="1"/>
  <c r="P298" i="20" s="1"/>
  <c r="V298" i="20" s="1"/>
  <c r="B298" i="20" s="1"/>
  <c r="D298" i="20" s="1"/>
  <c r="E298" i="20" s="1"/>
  <c r="F298" i="20" s="1"/>
  <c r="U88" i="20"/>
  <c r="T88" i="20" s="1"/>
  <c r="S88" i="20" s="1"/>
  <c r="R88" i="20" s="1"/>
  <c r="P88" i="20" s="1"/>
  <c r="V88" i="20" s="1"/>
  <c r="B88" i="20" s="1"/>
  <c r="D88" i="20" s="1"/>
  <c r="E88" i="20" s="1"/>
  <c r="F88" i="20" s="1"/>
  <c r="U316" i="20"/>
  <c r="T316" i="20" s="1"/>
  <c r="S316" i="20" s="1"/>
  <c r="R316" i="20" s="1"/>
  <c r="P316" i="20" s="1"/>
  <c r="V316" i="20" s="1"/>
  <c r="B316" i="20" s="1"/>
  <c r="U42" i="20"/>
  <c r="T42" i="20" s="1"/>
  <c r="S42" i="20" s="1"/>
  <c r="R42" i="20" s="1"/>
  <c r="P42" i="20" s="1"/>
  <c r="V42" i="20" s="1"/>
  <c r="B42" i="20" s="1"/>
  <c r="U284" i="20"/>
  <c r="T284" i="20" s="1"/>
  <c r="S284" i="20" s="1"/>
  <c r="R284" i="20" s="1"/>
  <c r="P284" i="20" s="1"/>
  <c r="V284" i="20" s="1"/>
  <c r="B284" i="20" s="1"/>
  <c r="W284" i="20" s="1"/>
  <c r="U45" i="20"/>
  <c r="T45" i="20" s="1"/>
  <c r="S45" i="20" s="1"/>
  <c r="R45" i="20" s="1"/>
  <c r="P45" i="20" s="1"/>
  <c r="V45" i="20" s="1"/>
  <c r="B45" i="20" s="1"/>
  <c r="U270" i="20"/>
  <c r="T270" i="20" s="1"/>
  <c r="S270" i="20" s="1"/>
  <c r="R270" i="20" s="1"/>
  <c r="P270" i="20" s="1"/>
  <c r="V270" i="20" s="1"/>
  <c r="B270" i="20" s="1"/>
  <c r="U262" i="20"/>
  <c r="T262" i="20" s="1"/>
  <c r="S262" i="20" s="1"/>
  <c r="R262" i="20" s="1"/>
  <c r="P262" i="20" s="1"/>
  <c r="V262" i="20" s="1"/>
  <c r="B262" i="20" s="1"/>
  <c r="D262" i="20" s="1"/>
  <c r="E262" i="20" s="1"/>
  <c r="F262" i="20" s="1"/>
  <c r="H262" i="20" s="1"/>
  <c r="U22" i="20"/>
  <c r="T22" i="20" s="1"/>
  <c r="S22" i="20" s="1"/>
  <c r="R22" i="20" s="1"/>
  <c r="P22" i="20" s="1"/>
  <c r="V22" i="20" s="1"/>
  <c r="B22" i="20" s="1"/>
  <c r="U74" i="20"/>
  <c r="T74" i="20" s="1"/>
  <c r="S74" i="20" s="1"/>
  <c r="R74" i="20" s="1"/>
  <c r="P74" i="20" s="1"/>
  <c r="V74" i="20" s="1"/>
  <c r="B74" i="20" s="1"/>
  <c r="U295" i="20"/>
  <c r="T295" i="20" s="1"/>
  <c r="S295" i="20" s="1"/>
  <c r="R295" i="20" s="1"/>
  <c r="P295" i="20" s="1"/>
  <c r="V295" i="20" s="1"/>
  <c r="B295" i="20" s="1"/>
  <c r="U125" i="20"/>
  <c r="T125" i="20" s="1"/>
  <c r="S125" i="20" s="1"/>
  <c r="R125" i="20" s="1"/>
  <c r="P125" i="20" s="1"/>
  <c r="V125" i="20" s="1"/>
  <c r="B125" i="20" s="1"/>
  <c r="D125" i="20" s="1"/>
  <c r="E125" i="20" s="1"/>
  <c r="F125" i="20" s="1"/>
  <c r="U32" i="20"/>
  <c r="T32" i="20" s="1"/>
  <c r="S32" i="20" s="1"/>
  <c r="R32" i="20" s="1"/>
  <c r="P32" i="20" s="1"/>
  <c r="V32" i="20" s="1"/>
  <c r="B32" i="20" s="1"/>
  <c r="D32" i="20" s="1"/>
  <c r="E32" i="20" s="1"/>
  <c r="F32" i="20" s="1"/>
  <c r="G32" i="20" s="1"/>
  <c r="CB32" i="6" s="1"/>
  <c r="U82" i="20"/>
  <c r="T82" i="20" s="1"/>
  <c r="S82" i="20" s="1"/>
  <c r="R82" i="20" s="1"/>
  <c r="P82" i="20" s="1"/>
  <c r="V82" i="20" s="1"/>
  <c r="B82" i="20" s="1"/>
  <c r="U204" i="20"/>
  <c r="T204" i="20" s="1"/>
  <c r="S204" i="20" s="1"/>
  <c r="R204" i="20" s="1"/>
  <c r="P204" i="20" s="1"/>
  <c r="V204" i="20" s="1"/>
  <c r="B204" i="20" s="1"/>
  <c r="D204" i="20" s="1"/>
  <c r="E204" i="20" s="1"/>
  <c r="F204" i="20" s="1"/>
  <c r="U90" i="20"/>
  <c r="T90" i="20" s="1"/>
  <c r="S90" i="20" s="1"/>
  <c r="R90" i="20" s="1"/>
  <c r="P90" i="20" s="1"/>
  <c r="V90" i="20" s="1"/>
  <c r="B90" i="20" s="1"/>
  <c r="D90" i="20" s="1"/>
  <c r="E90" i="20" s="1"/>
  <c r="F90" i="20" s="1"/>
  <c r="G90" i="20" s="1"/>
  <c r="CB90" i="6" s="1"/>
  <c r="U148" i="20"/>
  <c r="T148" i="20" s="1"/>
  <c r="S148" i="20" s="1"/>
  <c r="R148" i="20" s="1"/>
  <c r="P148" i="20" s="1"/>
  <c r="V148" i="20" s="1"/>
  <c r="B148" i="20" s="1"/>
  <c r="U277" i="20"/>
  <c r="T277" i="20" s="1"/>
  <c r="S277" i="20" s="1"/>
  <c r="R277" i="20" s="1"/>
  <c r="P277" i="20" s="1"/>
  <c r="V277" i="20" s="1"/>
  <c r="B277" i="20" s="1"/>
  <c r="U141" i="20"/>
  <c r="T141" i="20" s="1"/>
  <c r="S141" i="20" s="1"/>
  <c r="R141" i="20" s="1"/>
  <c r="P141" i="20" s="1"/>
  <c r="V141" i="20" s="1"/>
  <c r="B141" i="20" s="1"/>
  <c r="U341" i="20"/>
  <c r="T341" i="20" s="1"/>
  <c r="S341" i="20" s="1"/>
  <c r="R341" i="20" s="1"/>
  <c r="P341" i="20" s="1"/>
  <c r="V341" i="20" s="1"/>
  <c r="B341" i="20" s="1"/>
  <c r="U264" i="20"/>
  <c r="T264" i="20" s="1"/>
  <c r="S264" i="20" s="1"/>
  <c r="R264" i="20" s="1"/>
  <c r="P264" i="20" s="1"/>
  <c r="V264" i="20" s="1"/>
  <c r="B264" i="20" s="1"/>
  <c r="D264" i="20" s="1"/>
  <c r="E264" i="20" s="1"/>
  <c r="F264" i="20" s="1"/>
  <c r="U370" i="20"/>
  <c r="T370" i="20" s="1"/>
  <c r="S370" i="20" s="1"/>
  <c r="R370" i="20" s="1"/>
  <c r="P370" i="20" s="1"/>
  <c r="V370" i="20" s="1"/>
  <c r="B370" i="20" s="1"/>
  <c r="W370" i="20" s="1"/>
  <c r="U234" i="20"/>
  <c r="T234" i="20" s="1"/>
  <c r="S234" i="20" s="1"/>
  <c r="R234" i="20" s="1"/>
  <c r="P234" i="20" s="1"/>
  <c r="V234" i="20" s="1"/>
  <c r="B234" i="20" s="1"/>
  <c r="W234" i="20" s="1"/>
  <c r="U272" i="20"/>
  <c r="T272" i="20" s="1"/>
  <c r="S272" i="20" s="1"/>
  <c r="R272" i="20" s="1"/>
  <c r="P272" i="20" s="1"/>
  <c r="V272" i="20" s="1"/>
  <c r="B272" i="20" s="1"/>
  <c r="D272" i="20" s="1"/>
  <c r="E272" i="20" s="1"/>
  <c r="F272" i="20" s="1"/>
  <c r="U202" i="20"/>
  <c r="T202" i="20" s="1"/>
  <c r="S202" i="20" s="1"/>
  <c r="R202" i="20" s="1"/>
  <c r="P202" i="20" s="1"/>
  <c r="V202" i="20" s="1"/>
  <c r="B202" i="20" s="1"/>
  <c r="W202" i="20" s="1"/>
  <c r="U246" i="20"/>
  <c r="T246" i="20" s="1"/>
  <c r="S246" i="20" s="1"/>
  <c r="R246" i="20" s="1"/>
  <c r="P246" i="20" s="1"/>
  <c r="V246" i="20" s="1"/>
  <c r="B246" i="20" s="1"/>
  <c r="D246" i="20" s="1"/>
  <c r="E246" i="20" s="1"/>
  <c r="F246" i="20" s="1"/>
  <c r="G246" i="20" s="1"/>
  <c r="CB246" i="6" s="1"/>
  <c r="U333" i="20"/>
  <c r="T333" i="20" s="1"/>
  <c r="S333" i="20" s="1"/>
  <c r="R333" i="20" s="1"/>
  <c r="P333" i="20" s="1"/>
  <c r="AH30" i="7" s="1"/>
  <c r="U345" i="20"/>
  <c r="T345" i="20" s="1"/>
  <c r="S345" i="20" s="1"/>
  <c r="R345" i="20" s="1"/>
  <c r="P345" i="20" s="1"/>
  <c r="V345" i="20" s="1"/>
  <c r="B345" i="20" s="1"/>
  <c r="U336" i="20"/>
  <c r="T336" i="20" s="1"/>
  <c r="S336" i="20" s="1"/>
  <c r="R336" i="20" s="1"/>
  <c r="P336" i="20" s="1"/>
  <c r="V336" i="20" s="1"/>
  <c r="B336" i="20" s="1"/>
  <c r="U19" i="20"/>
  <c r="T19" i="20" s="1"/>
  <c r="S19" i="20" s="1"/>
  <c r="R19" i="20" s="1"/>
  <c r="P19" i="20" s="1"/>
  <c r="V19" i="20" s="1"/>
  <c r="B19" i="20" s="1"/>
  <c r="W19" i="20" s="1"/>
  <c r="U192" i="20"/>
  <c r="T192" i="20" s="1"/>
  <c r="S192" i="20" s="1"/>
  <c r="R192" i="20" s="1"/>
  <c r="P192" i="20" s="1"/>
  <c r="V192" i="20" s="1"/>
  <c r="B192" i="20" s="1"/>
  <c r="D192" i="20" s="1"/>
  <c r="E192" i="20" s="1"/>
  <c r="F192" i="20" s="1"/>
  <c r="U365" i="20"/>
  <c r="T365" i="20" s="1"/>
  <c r="S365" i="20" s="1"/>
  <c r="R365" i="20" s="1"/>
  <c r="P365" i="20" s="1"/>
  <c r="V365" i="20" s="1"/>
  <c r="B365" i="20" s="1"/>
  <c r="U184" i="20"/>
  <c r="T184" i="20" s="1"/>
  <c r="S184" i="20" s="1"/>
  <c r="R184" i="20" s="1"/>
  <c r="P184" i="20" s="1"/>
  <c r="V184" i="20" s="1"/>
  <c r="B184" i="20" s="1"/>
  <c r="U218" i="20"/>
  <c r="T218" i="20" s="1"/>
  <c r="S218" i="20" s="1"/>
  <c r="R218" i="20" s="1"/>
  <c r="P218" i="20" s="1"/>
  <c r="V218" i="20" s="1"/>
  <c r="B218" i="20" s="1"/>
  <c r="D218" i="20" s="1"/>
  <c r="E218" i="20" s="1"/>
  <c r="F218" i="20" s="1"/>
  <c r="G218" i="20" s="1"/>
  <c r="CB218" i="6" s="1"/>
  <c r="U290" i="20"/>
  <c r="T290" i="20" s="1"/>
  <c r="S290" i="20" s="1"/>
  <c r="R290" i="20" s="1"/>
  <c r="P290" i="20" s="1"/>
  <c r="V290" i="20" s="1"/>
  <c r="B290" i="20" s="1"/>
  <c r="U98" i="20"/>
  <c r="T98" i="20" s="1"/>
  <c r="S98" i="20" s="1"/>
  <c r="R98" i="20" s="1"/>
  <c r="P98" i="20" s="1"/>
  <c r="V98" i="20" s="1"/>
  <c r="B98" i="20" s="1"/>
  <c r="W98" i="20" s="1"/>
  <c r="U75" i="20"/>
  <c r="T75" i="20" s="1"/>
  <c r="S75" i="20" s="1"/>
  <c r="R75" i="20" s="1"/>
  <c r="P75" i="20" s="1"/>
  <c r="V75" i="20" s="1"/>
  <c r="B75" i="20" s="1"/>
  <c r="D75" i="20" s="1"/>
  <c r="E75" i="20" s="1"/>
  <c r="F75" i="20" s="1"/>
  <c r="U76" i="20"/>
  <c r="T76" i="20" s="1"/>
  <c r="S76" i="20" s="1"/>
  <c r="R76" i="20" s="1"/>
  <c r="P76" i="20" s="1"/>
  <c r="V76" i="20" s="1"/>
  <c r="B76" i="20" s="1"/>
  <c r="U182" i="20"/>
  <c r="T182" i="20" s="1"/>
  <c r="S182" i="20" s="1"/>
  <c r="R182" i="20" s="1"/>
  <c r="P182" i="20" s="1"/>
  <c r="V182" i="20" s="1"/>
  <c r="B182" i="20" s="1"/>
  <c r="D182" i="20" s="1"/>
  <c r="E182" i="20" s="1"/>
  <c r="F182" i="20" s="1"/>
  <c r="G182" i="20" s="1"/>
  <c r="CB182" i="6" s="1"/>
  <c r="U155" i="20"/>
  <c r="T155" i="20" s="1"/>
  <c r="S155" i="20" s="1"/>
  <c r="R155" i="20" s="1"/>
  <c r="P155" i="20" s="1"/>
  <c r="V155" i="20" s="1"/>
  <c r="B155" i="20" s="1"/>
  <c r="U56" i="20"/>
  <c r="T56" i="20" s="1"/>
  <c r="S56" i="20" s="1"/>
  <c r="R56" i="20" s="1"/>
  <c r="P56" i="20" s="1"/>
  <c r="V56" i="20" s="1"/>
  <c r="B56" i="20" s="1"/>
  <c r="W56" i="20" s="1"/>
  <c r="U106" i="20"/>
  <c r="T106" i="20" s="1"/>
  <c r="S106" i="20" s="1"/>
  <c r="R106" i="20" s="1"/>
  <c r="P106" i="20" s="1"/>
  <c r="V106" i="20" s="1"/>
  <c r="B106" i="20" s="1"/>
  <c r="U282" i="20"/>
  <c r="T282" i="20" s="1"/>
  <c r="S282" i="20" s="1"/>
  <c r="R282" i="20" s="1"/>
  <c r="P282" i="20" s="1"/>
  <c r="V282" i="20" s="1"/>
  <c r="B282" i="20" s="1"/>
  <c r="U283" i="20"/>
  <c r="T283" i="20" s="1"/>
  <c r="S283" i="20" s="1"/>
  <c r="R283" i="20" s="1"/>
  <c r="P283" i="20" s="1"/>
  <c r="V283" i="20" s="1"/>
  <c r="B283" i="20" s="1"/>
  <c r="U361" i="20"/>
  <c r="T361" i="20" s="1"/>
  <c r="S361" i="20" s="1"/>
  <c r="R361" i="20" s="1"/>
  <c r="P361" i="20" s="1"/>
  <c r="V361" i="20" s="1"/>
  <c r="B361" i="20" s="1"/>
  <c r="U115" i="20"/>
  <c r="T115" i="20" s="1"/>
  <c r="S115" i="20" s="1"/>
  <c r="R115" i="20" s="1"/>
  <c r="P115" i="20" s="1"/>
  <c r="V115" i="20" s="1"/>
  <c r="B115" i="20" s="1"/>
  <c r="U308" i="20"/>
  <c r="T308" i="20" s="1"/>
  <c r="S308" i="20" s="1"/>
  <c r="R308" i="20" s="1"/>
  <c r="P308" i="20" s="1"/>
  <c r="V308" i="20" s="1"/>
  <c r="B308" i="20" s="1"/>
  <c r="U359" i="20"/>
  <c r="T359" i="20" s="1"/>
  <c r="S359" i="20" s="1"/>
  <c r="R359" i="20" s="1"/>
  <c r="P359" i="20" s="1"/>
  <c r="V359" i="20" s="1"/>
  <c r="B359" i="20" s="1"/>
  <c r="U99" i="20"/>
  <c r="T99" i="20" s="1"/>
  <c r="S99" i="20" s="1"/>
  <c r="R99" i="20" s="1"/>
  <c r="P99" i="20" s="1"/>
  <c r="V99" i="20" s="1"/>
  <c r="B99" i="20" s="1"/>
  <c r="D99" i="20" s="1"/>
  <c r="E99" i="20" s="1"/>
  <c r="F99" i="20" s="1"/>
  <c r="H99" i="20" s="1"/>
  <c r="U210" i="20"/>
  <c r="T210" i="20" s="1"/>
  <c r="S210" i="20" s="1"/>
  <c r="R210" i="20" s="1"/>
  <c r="P210" i="20" s="1"/>
  <c r="V210" i="20" s="1"/>
  <c r="B210" i="20" s="1"/>
  <c r="D210" i="20" s="1"/>
  <c r="E210" i="20" s="1"/>
  <c r="F210" i="20" s="1"/>
  <c r="U266" i="20"/>
  <c r="T266" i="20" s="1"/>
  <c r="S266" i="20" s="1"/>
  <c r="R266" i="20" s="1"/>
  <c r="P266" i="20" s="1"/>
  <c r="V266" i="20" s="1"/>
  <c r="B266" i="20" s="1"/>
  <c r="U271" i="20"/>
  <c r="T271" i="20" s="1"/>
  <c r="S271" i="20" s="1"/>
  <c r="R271" i="20" s="1"/>
  <c r="P271" i="20" s="1"/>
  <c r="V271" i="20" s="1"/>
  <c r="B271" i="20" s="1"/>
  <c r="U16" i="20"/>
  <c r="T16" i="20" s="1"/>
  <c r="S16" i="20" s="1"/>
  <c r="R16" i="20" s="1"/>
  <c r="P16" i="20" s="1"/>
  <c r="V16" i="20" s="1"/>
  <c r="B16" i="20" s="1"/>
  <c r="D16" i="20" s="1"/>
  <c r="E16" i="20" s="1"/>
  <c r="F16" i="20" s="1"/>
  <c r="U261" i="20"/>
  <c r="T261" i="20" s="1"/>
  <c r="S261" i="20" s="1"/>
  <c r="R261" i="20" s="1"/>
  <c r="P261" i="20" s="1"/>
  <c r="V261" i="20" s="1"/>
  <c r="B261" i="20" s="1"/>
  <c r="W261" i="20" s="1"/>
  <c r="U221" i="20"/>
  <c r="T221" i="20" s="1"/>
  <c r="S221" i="20" s="1"/>
  <c r="R221" i="20" s="1"/>
  <c r="P221" i="20" s="1"/>
  <c r="V221" i="20" s="1"/>
  <c r="B221" i="20" s="1"/>
  <c r="W221" i="20" s="1"/>
  <c r="U213" i="20"/>
  <c r="T213" i="20" s="1"/>
  <c r="S213" i="20" s="1"/>
  <c r="R213" i="20" s="1"/>
  <c r="P213" i="20" s="1"/>
  <c r="V213" i="20" s="1"/>
  <c r="B213" i="20" s="1"/>
  <c r="D213" i="20" s="1"/>
  <c r="E213" i="20" s="1"/>
  <c r="F213" i="20" s="1"/>
  <c r="U301" i="20"/>
  <c r="T301" i="20" s="1"/>
  <c r="S301" i="20" s="1"/>
  <c r="R301" i="20" s="1"/>
  <c r="P301" i="20" s="1"/>
  <c r="V301" i="20" s="1"/>
  <c r="B301" i="20" s="1"/>
  <c r="D301" i="20" s="1"/>
  <c r="E301" i="20" s="1"/>
  <c r="F301" i="20" s="1"/>
  <c r="H301" i="20" s="1"/>
  <c r="U34" i="20"/>
  <c r="T34" i="20" s="1"/>
  <c r="S34" i="20" s="1"/>
  <c r="R34" i="20" s="1"/>
  <c r="P34" i="20" s="1"/>
  <c r="V34" i="20" s="1"/>
  <c r="B34" i="20" s="1"/>
  <c r="U286" i="20"/>
  <c r="T286" i="20" s="1"/>
  <c r="S286" i="20" s="1"/>
  <c r="R286" i="20" s="1"/>
  <c r="P286" i="20" s="1"/>
  <c r="V286" i="20" s="1"/>
  <c r="B286" i="20" s="1"/>
  <c r="W286" i="20" s="1"/>
  <c r="U198" i="20"/>
  <c r="T198" i="20" s="1"/>
  <c r="S198" i="20" s="1"/>
  <c r="R198" i="20" s="1"/>
  <c r="P198" i="20" s="1"/>
  <c r="V198" i="20" s="1"/>
  <c r="B198" i="20" s="1"/>
  <c r="D198" i="20" s="1"/>
  <c r="E198" i="20" s="1"/>
  <c r="F198" i="20" s="1"/>
  <c r="U353" i="20"/>
  <c r="T353" i="20" s="1"/>
  <c r="S353" i="20" s="1"/>
  <c r="R353" i="20" s="1"/>
  <c r="P353" i="20" s="1"/>
  <c r="V353" i="20" s="1"/>
  <c r="B353" i="20" s="1"/>
  <c r="U323" i="20"/>
  <c r="T323" i="20" s="1"/>
  <c r="S323" i="20" s="1"/>
  <c r="R323" i="20" s="1"/>
  <c r="P323" i="20" s="1"/>
  <c r="V323" i="20" s="1"/>
  <c r="B323" i="20" s="1"/>
  <c r="U85" i="20"/>
  <c r="T85" i="20" s="1"/>
  <c r="S85" i="20" s="1"/>
  <c r="R85" i="20" s="1"/>
  <c r="P85" i="20" s="1"/>
  <c r="V85" i="20" s="1"/>
  <c r="B85" i="20" s="1"/>
  <c r="D85" i="20" s="1"/>
  <c r="E85" i="20" s="1"/>
  <c r="F85" i="20" s="1"/>
  <c r="H85" i="20" s="1"/>
  <c r="U89" i="20"/>
  <c r="T89" i="20" s="1"/>
  <c r="S89" i="20" s="1"/>
  <c r="R89" i="20" s="1"/>
  <c r="P89" i="20" s="1"/>
  <c r="V89" i="20" s="1"/>
  <c r="B89" i="20" s="1"/>
  <c r="U70" i="20"/>
  <c r="T70" i="20" s="1"/>
  <c r="S70" i="20" s="1"/>
  <c r="R70" i="20" s="1"/>
  <c r="P70" i="20" s="1"/>
  <c r="V70" i="20" s="1"/>
  <c r="B70" i="20" s="1"/>
  <c r="U245" i="20"/>
  <c r="T245" i="20" s="1"/>
  <c r="S245" i="20" s="1"/>
  <c r="R245" i="20" s="1"/>
  <c r="P245" i="20" s="1"/>
  <c r="V245" i="20" s="1"/>
  <c r="B245" i="20" s="1"/>
  <c r="U94" i="20"/>
  <c r="T94" i="20" s="1"/>
  <c r="S94" i="20" s="1"/>
  <c r="R94" i="20" s="1"/>
  <c r="P94" i="20" s="1"/>
  <c r="V94" i="20" s="1"/>
  <c r="B94" i="20" s="1"/>
  <c r="D94" i="20" s="1"/>
  <c r="E94" i="20" s="1"/>
  <c r="F94" i="20" s="1"/>
  <c r="AA94" i="20" s="1"/>
  <c r="Z94" i="20" s="1"/>
  <c r="Y94" i="20" s="1"/>
  <c r="U23" i="20"/>
  <c r="T23" i="20" s="1"/>
  <c r="S23" i="20" s="1"/>
  <c r="R23" i="20" s="1"/>
  <c r="P23" i="20" s="1"/>
  <c r="V23" i="20" s="1"/>
  <c r="B23" i="20" s="1"/>
  <c r="U78" i="20"/>
  <c r="T78" i="20" s="1"/>
  <c r="S78" i="20" s="1"/>
  <c r="R78" i="20" s="1"/>
  <c r="P78" i="20" s="1"/>
  <c r="V78" i="20" s="1"/>
  <c r="B78" i="20" s="1"/>
  <c r="U373" i="20"/>
  <c r="T373" i="20" s="1"/>
  <c r="S373" i="20" s="1"/>
  <c r="R373" i="20" s="1"/>
  <c r="P373" i="20" s="1"/>
  <c r="V373" i="20" s="1"/>
  <c r="B373" i="20" s="1"/>
  <c r="U249" i="20"/>
  <c r="T249" i="20" s="1"/>
  <c r="S249" i="20" s="1"/>
  <c r="R249" i="20" s="1"/>
  <c r="P249" i="20" s="1"/>
  <c r="V249" i="20" s="1"/>
  <c r="B249" i="20" s="1"/>
  <c r="W249" i="20" s="1"/>
  <c r="U321" i="20"/>
  <c r="T321" i="20" s="1"/>
  <c r="S321" i="20" s="1"/>
  <c r="R321" i="20" s="1"/>
  <c r="P321" i="20" s="1"/>
  <c r="V321" i="20" s="1"/>
  <c r="B321" i="20" s="1"/>
  <c r="D321" i="20" s="1"/>
  <c r="E321" i="20" s="1"/>
  <c r="F321" i="20" s="1"/>
  <c r="U242" i="20"/>
  <c r="T242" i="20" s="1"/>
  <c r="S242" i="20" s="1"/>
  <c r="R242" i="20" s="1"/>
  <c r="P242" i="20" s="1"/>
  <c r="V242" i="20" s="1"/>
  <c r="B242" i="20" s="1"/>
  <c r="U379" i="20"/>
  <c r="U306" i="20"/>
  <c r="T306" i="20" s="1"/>
  <c r="S306" i="20" s="1"/>
  <c r="R306" i="20" s="1"/>
  <c r="P306" i="20" s="1"/>
  <c r="V306" i="20" s="1"/>
  <c r="B306" i="20" s="1"/>
  <c r="D306" i="20" s="1"/>
  <c r="E306" i="20" s="1"/>
  <c r="F306" i="20" s="1"/>
  <c r="U215" i="20"/>
  <c r="T215" i="20" s="1"/>
  <c r="S215" i="20" s="1"/>
  <c r="R215" i="20" s="1"/>
  <c r="P215" i="20" s="1"/>
  <c r="V215" i="20" s="1"/>
  <c r="B215" i="20" s="1"/>
  <c r="W215" i="20" s="1"/>
  <c r="U121" i="20"/>
  <c r="T121" i="20" s="1"/>
  <c r="S121" i="20" s="1"/>
  <c r="R121" i="20" s="1"/>
  <c r="P121" i="20" s="1"/>
  <c r="V121" i="20" s="1"/>
  <c r="B121" i="20" s="1"/>
  <c r="U95" i="20"/>
  <c r="T95" i="20" s="1"/>
  <c r="S95" i="20" s="1"/>
  <c r="R95" i="20" s="1"/>
  <c r="P95" i="20" s="1"/>
  <c r="V95" i="20" s="1"/>
  <c r="B95" i="20" s="1"/>
  <c r="W95" i="20" s="1"/>
  <c r="U212" i="20"/>
  <c r="T212" i="20" s="1"/>
  <c r="S212" i="20" s="1"/>
  <c r="R212" i="20" s="1"/>
  <c r="P212" i="20" s="1"/>
  <c r="V212" i="20" s="1"/>
  <c r="B212" i="20" s="1"/>
  <c r="W212" i="20" s="1"/>
  <c r="U233" i="20"/>
  <c r="T233" i="20" s="1"/>
  <c r="S233" i="20" s="1"/>
  <c r="R233" i="20" s="1"/>
  <c r="P233" i="20" s="1"/>
  <c r="V233" i="20" s="1"/>
  <c r="B233" i="20" s="1"/>
  <c r="D233" i="20" s="1"/>
  <c r="E233" i="20" s="1"/>
  <c r="F233" i="20" s="1"/>
  <c r="G233" i="20" s="1"/>
  <c r="CB233" i="6" s="1"/>
  <c r="U186" i="20"/>
  <c r="T186" i="20" s="1"/>
  <c r="S186" i="20" s="1"/>
  <c r="R186" i="20" s="1"/>
  <c r="P186" i="20" s="1"/>
  <c r="V186" i="20" s="1"/>
  <c r="B186" i="20" s="1"/>
  <c r="W186" i="20" s="1"/>
  <c r="U109" i="20"/>
  <c r="T109" i="20" s="1"/>
  <c r="S109" i="20" s="1"/>
  <c r="R109" i="20" s="1"/>
  <c r="P109" i="20" s="1"/>
  <c r="V109" i="20" s="1"/>
  <c r="B109" i="20" s="1"/>
  <c r="W109" i="20" s="1"/>
  <c r="U123" i="20"/>
  <c r="T123" i="20" s="1"/>
  <c r="S123" i="20" s="1"/>
  <c r="R123" i="20" s="1"/>
  <c r="P123" i="20" s="1"/>
  <c r="V123" i="20" s="1"/>
  <c r="B123" i="20" s="1"/>
  <c r="D123" i="20" s="1"/>
  <c r="E123" i="20" s="1"/>
  <c r="F123" i="20" s="1"/>
  <c r="U66" i="20"/>
  <c r="T66" i="20" s="1"/>
  <c r="S66" i="20" s="1"/>
  <c r="R66" i="20" s="1"/>
  <c r="P66" i="20" s="1"/>
  <c r="V66" i="20" s="1"/>
  <c r="B66" i="20" s="1"/>
  <c r="U251" i="20"/>
  <c r="T251" i="20" s="1"/>
  <c r="S251" i="20" s="1"/>
  <c r="R251" i="20" s="1"/>
  <c r="P251" i="20" s="1"/>
  <c r="V251" i="20" s="1"/>
  <c r="B251" i="20" s="1"/>
  <c r="U304" i="20"/>
  <c r="T304" i="20" s="1"/>
  <c r="S304" i="20" s="1"/>
  <c r="R304" i="20" s="1"/>
  <c r="P304" i="20" s="1"/>
  <c r="V304" i="20" s="1"/>
  <c r="B304" i="20" s="1"/>
  <c r="U371" i="20"/>
  <c r="T371" i="20" s="1"/>
  <c r="S371" i="20" s="1"/>
  <c r="R371" i="20" s="1"/>
  <c r="P371" i="20" s="1"/>
  <c r="V371" i="20" s="1"/>
  <c r="B371" i="20" s="1"/>
  <c r="U33" i="20"/>
  <c r="T33" i="20" s="1"/>
  <c r="S33" i="20" s="1"/>
  <c r="R33" i="20" s="1"/>
  <c r="P33" i="20" s="1"/>
  <c r="V33" i="20" s="1"/>
  <c r="B33" i="20" s="1"/>
  <c r="W33" i="20" s="1"/>
  <c r="U55" i="20"/>
  <c r="T55" i="20" s="1"/>
  <c r="S55" i="20" s="1"/>
  <c r="R55" i="20" s="1"/>
  <c r="P55" i="20" s="1"/>
  <c r="V55" i="20" s="1"/>
  <c r="B55" i="20" s="1"/>
  <c r="W55" i="20" s="1"/>
  <c r="U319" i="20"/>
  <c r="T319" i="20" s="1"/>
  <c r="S319" i="20" s="1"/>
  <c r="R319" i="20" s="1"/>
  <c r="P319" i="20" s="1"/>
  <c r="V319" i="20" s="1"/>
  <c r="B319" i="20" s="1"/>
  <c r="D319" i="20" s="1"/>
  <c r="E319" i="20" s="1"/>
  <c r="F319" i="20" s="1"/>
  <c r="U71" i="20"/>
  <c r="T71" i="20" s="1"/>
  <c r="S71" i="20" s="1"/>
  <c r="R71" i="20" s="1"/>
  <c r="P71" i="20" s="1"/>
  <c r="V71" i="20" s="1"/>
  <c r="B71" i="20" s="1"/>
  <c r="U244" i="20"/>
  <c r="T244" i="20" s="1"/>
  <c r="S244" i="20" s="1"/>
  <c r="R244" i="20" s="1"/>
  <c r="P244" i="20" s="1"/>
  <c r="V244" i="20" s="1"/>
  <c r="B244" i="20" s="1"/>
  <c r="D244" i="20" s="1"/>
  <c r="E244" i="20" s="1"/>
  <c r="F244" i="20" s="1"/>
  <c r="AA244" i="20" s="1"/>
  <c r="Z244" i="20" s="1"/>
  <c r="Y244" i="20" s="1"/>
  <c r="U47" i="20"/>
  <c r="T47" i="20" s="1"/>
  <c r="S47" i="20" s="1"/>
  <c r="R47" i="20" s="1"/>
  <c r="P47" i="20" s="1"/>
  <c r="V47" i="20" s="1"/>
  <c r="B47" i="20" s="1"/>
  <c r="D47" i="20" s="1"/>
  <c r="E47" i="20" s="1"/>
  <c r="F47" i="20" s="1"/>
  <c r="G47" i="20" s="1"/>
  <c r="CB47" i="6" s="1"/>
  <c r="U197" i="20"/>
  <c r="T197" i="20" s="1"/>
  <c r="S197" i="20" s="1"/>
  <c r="R197" i="20" s="1"/>
  <c r="P197" i="20" s="1"/>
  <c r="V197" i="20" s="1"/>
  <c r="B197" i="20" s="1"/>
  <c r="D197" i="20" s="1"/>
  <c r="E197" i="20" s="1"/>
  <c r="F197" i="20" s="1"/>
  <c r="H197" i="20" s="1"/>
  <c r="U65" i="20"/>
  <c r="T65" i="20" s="1"/>
  <c r="S65" i="20" s="1"/>
  <c r="R65" i="20" s="1"/>
  <c r="P65" i="20" s="1"/>
  <c r="V65" i="20" s="1"/>
  <c r="B65" i="20" s="1"/>
  <c r="W65" i="20" s="1"/>
  <c r="U63" i="20"/>
  <c r="T63" i="20" s="1"/>
  <c r="S63" i="20" s="1"/>
  <c r="R63" i="20" s="1"/>
  <c r="P63" i="20" s="1"/>
  <c r="V63" i="20" s="1"/>
  <c r="B63" i="20" s="1"/>
  <c r="W63" i="20" s="1"/>
  <c r="U201" i="20"/>
  <c r="T201" i="20" s="1"/>
  <c r="S201" i="20" s="1"/>
  <c r="R201" i="20" s="1"/>
  <c r="P201" i="20" s="1"/>
  <c r="V201" i="20" s="1"/>
  <c r="B201" i="20" s="1"/>
  <c r="U219" i="20"/>
  <c r="T219" i="20" s="1"/>
  <c r="S219" i="20" s="1"/>
  <c r="R219" i="20" s="1"/>
  <c r="P219" i="20" s="1"/>
  <c r="V219" i="20" s="1"/>
  <c r="B219" i="20" s="1"/>
  <c r="D219" i="20" s="1"/>
  <c r="E219" i="20" s="1"/>
  <c r="F219" i="20" s="1"/>
  <c r="H219" i="20" s="1"/>
  <c r="U59" i="20"/>
  <c r="T59" i="20" s="1"/>
  <c r="S59" i="20" s="1"/>
  <c r="R59" i="20" s="1"/>
  <c r="P59" i="20" s="1"/>
  <c r="V59" i="20" s="1"/>
  <c r="B59" i="20" s="1"/>
  <c r="D59" i="20" s="1"/>
  <c r="E59" i="20" s="1"/>
  <c r="F59" i="20" s="1"/>
  <c r="H59" i="20" s="1"/>
  <c r="U175" i="20"/>
  <c r="T175" i="20" s="1"/>
  <c r="S175" i="20" s="1"/>
  <c r="R175" i="20" s="1"/>
  <c r="P175" i="20" s="1"/>
  <c r="V175" i="20" s="1"/>
  <c r="B175" i="20" s="1"/>
  <c r="D175" i="20" s="1"/>
  <c r="E175" i="20" s="1"/>
  <c r="F175" i="20" s="1"/>
  <c r="U330" i="20"/>
  <c r="T330" i="20" s="1"/>
  <c r="S330" i="20" s="1"/>
  <c r="R330" i="20" s="1"/>
  <c r="P330" i="20" s="1"/>
  <c r="V330" i="20" s="1"/>
  <c r="B330" i="20" s="1"/>
  <c r="W330" i="20" s="1"/>
  <c r="U180" i="20"/>
  <c r="T180" i="20" s="1"/>
  <c r="S180" i="20" s="1"/>
  <c r="R180" i="20" s="1"/>
  <c r="P180" i="20" s="1"/>
  <c r="V180" i="20" s="1"/>
  <c r="B180" i="20" s="1"/>
  <c r="W180" i="20" s="1"/>
  <c r="U292" i="20"/>
  <c r="T292" i="20" s="1"/>
  <c r="S292" i="20" s="1"/>
  <c r="R292" i="20" s="1"/>
  <c r="P292" i="20" s="1"/>
  <c r="V292" i="20" s="1"/>
  <c r="B292" i="20" s="1"/>
  <c r="D292" i="20" s="1"/>
  <c r="E292" i="20" s="1"/>
  <c r="F292" i="20" s="1"/>
  <c r="H292" i="20" s="1"/>
  <c r="U40" i="20"/>
  <c r="T40" i="20" s="1"/>
  <c r="S40" i="20" s="1"/>
  <c r="R40" i="20" s="1"/>
  <c r="P40" i="20" s="1"/>
  <c r="V40" i="20" s="1"/>
  <c r="B40" i="20" s="1"/>
  <c r="U134" i="20"/>
  <c r="T134" i="20" s="1"/>
  <c r="S134" i="20" s="1"/>
  <c r="R134" i="20" s="1"/>
  <c r="P134" i="20" s="1"/>
  <c r="V134" i="20" s="1"/>
  <c r="B134" i="20" s="1"/>
  <c r="W134" i="20" s="1"/>
  <c r="U300" i="20"/>
  <c r="T300" i="20" s="1"/>
  <c r="S300" i="20" s="1"/>
  <c r="R300" i="20" s="1"/>
  <c r="P300" i="20" s="1"/>
  <c r="V300" i="20" s="1"/>
  <c r="B300" i="20" s="1"/>
  <c r="D300" i="20" s="1"/>
  <c r="E300" i="20" s="1"/>
  <c r="F300" i="20" s="1"/>
  <c r="AI365" i="20"/>
  <c r="AH365" i="20" s="1"/>
  <c r="AG365" i="20" s="1"/>
  <c r="AF365" i="20" s="1"/>
  <c r="AD365" i="20" s="1"/>
  <c r="AI125" i="20"/>
  <c r="AH125" i="20" s="1"/>
  <c r="AG125" i="20" s="1"/>
  <c r="AF125" i="20" s="1"/>
  <c r="AI41" i="20"/>
  <c r="AH41" i="20" s="1"/>
  <c r="AG41" i="20" s="1"/>
  <c r="AF41" i="20" s="1"/>
  <c r="AD41" i="20" s="1"/>
  <c r="AI210" i="20"/>
  <c r="AH210" i="20" s="1"/>
  <c r="AG210" i="20" s="1"/>
  <c r="AF210" i="20" s="1"/>
  <c r="AI277" i="20"/>
  <c r="AH277" i="20" s="1"/>
  <c r="AG277" i="20" s="1"/>
  <c r="AF277" i="20" s="1"/>
  <c r="AI154" i="20"/>
  <c r="AH154" i="20" s="1"/>
  <c r="AG154" i="20" s="1"/>
  <c r="AF154" i="20" s="1"/>
  <c r="AI104" i="20"/>
  <c r="AH104" i="20" s="1"/>
  <c r="AG104" i="20" s="1"/>
  <c r="AF104" i="20" s="1"/>
  <c r="AI15" i="20"/>
  <c r="AH15" i="20" s="1"/>
  <c r="AG15" i="20" s="1"/>
  <c r="AI185" i="20"/>
  <c r="AH185" i="20" s="1"/>
  <c r="AG185" i="20" s="1"/>
  <c r="AF185" i="20" s="1"/>
  <c r="AI301" i="20"/>
  <c r="AH301" i="20" s="1"/>
  <c r="AG301" i="20" s="1"/>
  <c r="AF301" i="20" s="1"/>
  <c r="AI230" i="20"/>
  <c r="AH230" i="20" s="1"/>
  <c r="AG230" i="20" s="1"/>
  <c r="AF230" i="20" s="1"/>
  <c r="AI375" i="20"/>
  <c r="AH375" i="20" s="1"/>
  <c r="AG375" i="20" s="1"/>
  <c r="AF375" i="20" s="1"/>
  <c r="AI86" i="20"/>
  <c r="AH86" i="20" s="1"/>
  <c r="AG86" i="20" s="1"/>
  <c r="AF86" i="20" s="1"/>
  <c r="AD86" i="20" s="1"/>
  <c r="AI192" i="20"/>
  <c r="AH192" i="20" s="1"/>
  <c r="AG192" i="20" s="1"/>
  <c r="AF192" i="20" s="1"/>
  <c r="AI139" i="20"/>
  <c r="AH139" i="20" s="1"/>
  <c r="AG139" i="20" s="1"/>
  <c r="AF139" i="20" s="1"/>
  <c r="AI254" i="20"/>
  <c r="AH254" i="20" s="1"/>
  <c r="AG254" i="20" s="1"/>
  <c r="AF254" i="20" s="1"/>
  <c r="AI204" i="20"/>
  <c r="AH204" i="20" s="1"/>
  <c r="AG204" i="20" s="1"/>
  <c r="AF204" i="20" s="1"/>
  <c r="AI241" i="20"/>
  <c r="AH241" i="20" s="1"/>
  <c r="AG241" i="20" s="1"/>
  <c r="AF241" i="20" s="1"/>
  <c r="AI344" i="20"/>
  <c r="AH344" i="20" s="1"/>
  <c r="AG344" i="20" s="1"/>
  <c r="AF344" i="20" s="1"/>
  <c r="AI326" i="20"/>
  <c r="AH326" i="20" s="1"/>
  <c r="AG326" i="20" s="1"/>
  <c r="AF326" i="20" s="1"/>
  <c r="AI81" i="20"/>
  <c r="AH81" i="20" s="1"/>
  <c r="AG81" i="20" s="1"/>
  <c r="AF81" i="20" s="1"/>
  <c r="AI278" i="20"/>
  <c r="AH278" i="20" s="1"/>
  <c r="AG278" i="20" s="1"/>
  <c r="AF278" i="20" s="1"/>
  <c r="AI348" i="20"/>
  <c r="AH348" i="20" s="1"/>
  <c r="AG348" i="20" s="1"/>
  <c r="AF348" i="20" s="1"/>
  <c r="AI122" i="20"/>
  <c r="AH122" i="20" s="1"/>
  <c r="AG122" i="20" s="1"/>
  <c r="AF122" i="20" s="1"/>
  <c r="AI274" i="20"/>
  <c r="AH274" i="20" s="1"/>
  <c r="AG274" i="20" s="1"/>
  <c r="AF274" i="20" s="1"/>
  <c r="AI341" i="20"/>
  <c r="AH341" i="20" s="1"/>
  <c r="AG341" i="20" s="1"/>
  <c r="AF341" i="20" s="1"/>
  <c r="AI290" i="20"/>
  <c r="AH290" i="20" s="1"/>
  <c r="AG290" i="20" s="1"/>
  <c r="AF290" i="20" s="1"/>
  <c r="AI53" i="20"/>
  <c r="AH53" i="20" s="1"/>
  <c r="AG53" i="20" s="1"/>
  <c r="AF53" i="20" s="1"/>
  <c r="AD53" i="20" s="1"/>
  <c r="AI143" i="20"/>
  <c r="AH143" i="20" s="1"/>
  <c r="AG143" i="20" s="1"/>
  <c r="AF143" i="20" s="1"/>
  <c r="AC239" i="25"/>
  <c r="AC241" i="25"/>
  <c r="AC285" i="25"/>
  <c r="AC247" i="25"/>
  <c r="AC150" i="25"/>
  <c r="AC216" i="25"/>
  <c r="AC274" i="25"/>
  <c r="AC183" i="25"/>
  <c r="AC280" i="25"/>
  <c r="AC266" i="25"/>
  <c r="AC250" i="25"/>
  <c r="AC234" i="25"/>
  <c r="AC159" i="25"/>
  <c r="AC355" i="25"/>
  <c r="AC140" i="25"/>
  <c r="AC189" i="25"/>
  <c r="AC291" i="25"/>
  <c r="AC180" i="25"/>
  <c r="AC327" i="25"/>
  <c r="AC188" i="25"/>
  <c r="AC329" i="25"/>
  <c r="AC200" i="25"/>
  <c r="AC309" i="25"/>
  <c r="AC177" i="25"/>
  <c r="AC359" i="25"/>
  <c r="AC195" i="25"/>
  <c r="AC194" i="25"/>
  <c r="AC218" i="25"/>
  <c r="AC260" i="25"/>
  <c r="AC364" i="25"/>
  <c r="AC148" i="25"/>
  <c r="AC303" i="25"/>
  <c r="AC287" i="25"/>
  <c r="AC341" i="25"/>
  <c r="AC256" i="25"/>
  <c r="AC318" i="25"/>
  <c r="AC146" i="25"/>
  <c r="AC330" i="25"/>
  <c r="AC227" i="25"/>
  <c r="AC144" i="25"/>
  <c r="AC353" i="25"/>
  <c r="AC259" i="25"/>
  <c r="AC368" i="25"/>
  <c r="AC352" i="25"/>
  <c r="AC249" i="25"/>
  <c r="AC263" i="25"/>
  <c r="AC282" i="25"/>
  <c r="AC215" i="25"/>
  <c r="AC317" i="25"/>
  <c r="AC331" i="25"/>
  <c r="AC198" i="25"/>
  <c r="AC203" i="25"/>
  <c r="AC155" i="25"/>
  <c r="AC369" i="25"/>
  <c r="AC379" i="25"/>
  <c r="AC306" i="25"/>
  <c r="AC295" i="25"/>
  <c r="AC157" i="25"/>
  <c r="AC174" i="25"/>
  <c r="AC238" i="25"/>
  <c r="AC231" i="25"/>
  <c r="AC270" i="25"/>
  <c r="AC145" i="25"/>
  <c r="AC179" i="25"/>
  <c r="AC290" i="25"/>
  <c r="AC298" i="25"/>
  <c r="AC138" i="25"/>
  <c r="AC246" i="25"/>
  <c r="AC324" i="25"/>
  <c r="AC243" i="25"/>
  <c r="AC338" i="25"/>
  <c r="AC307" i="25"/>
  <c r="AC165" i="25"/>
  <c r="AC169" i="25"/>
  <c r="AC321" i="25"/>
  <c r="AC201" i="25"/>
  <c r="AC213" i="25"/>
  <c r="AC346" i="25"/>
  <c r="AC348" i="25"/>
  <c r="AC210" i="25"/>
  <c r="AC299" i="25"/>
  <c r="AC251" i="25"/>
  <c r="AC334" i="25"/>
  <c r="AC206" i="25"/>
  <c r="AC220" i="25"/>
  <c r="AC350" i="25"/>
  <c r="AC139" i="25"/>
  <c r="AC264" i="25"/>
  <c r="AC257" i="25"/>
  <c r="AC153" i="25"/>
  <c r="AC193" i="25"/>
  <c r="AC322" i="25"/>
  <c r="AC233" i="25"/>
  <c r="AC199" i="25"/>
  <c r="AC173" i="25"/>
  <c r="AC152" i="25"/>
  <c r="AC333" i="25"/>
  <c r="AC354" i="25"/>
  <c r="AC276" i="25"/>
  <c r="AC197" i="25"/>
  <c r="AC374" i="25"/>
  <c r="AC143" i="25"/>
  <c r="AC225" i="25"/>
  <c r="AC275" i="25"/>
  <c r="AC268" i="25"/>
  <c r="AC219" i="25"/>
  <c r="AC362" i="25"/>
  <c r="AC363" i="25"/>
  <c r="AC171" i="25"/>
  <c r="AC356" i="25"/>
  <c r="AC205" i="25"/>
  <c r="AC196" i="25"/>
  <c r="AC293" i="25"/>
  <c r="AC305" i="25"/>
  <c r="AC300" i="25"/>
  <c r="AC160" i="25"/>
  <c r="AC332" i="25"/>
  <c r="AC237" i="25"/>
  <c r="AC289" i="25"/>
  <c r="AC204" i="25"/>
  <c r="AC175" i="25"/>
  <c r="AC229" i="25"/>
  <c r="AC186" i="25"/>
  <c r="AC339" i="25"/>
  <c r="AC240" i="25"/>
  <c r="AC168" i="25"/>
  <c r="AC357" i="25"/>
  <c r="AC255" i="25"/>
  <c r="AC235" i="25"/>
  <c r="AC361" i="25"/>
  <c r="AC370" i="25"/>
  <c r="AC142" i="25"/>
  <c r="AC286" i="25"/>
  <c r="AC187" i="25"/>
  <c r="AC373" i="25"/>
  <c r="AC377" i="25"/>
  <c r="AC277" i="25"/>
  <c r="AC360" i="25"/>
  <c r="AC162" i="25"/>
  <c r="AC345" i="25"/>
  <c r="AC343" i="25"/>
  <c r="AC342" i="25"/>
  <c r="AC182" i="25"/>
  <c r="AC134" i="25"/>
  <c r="AC141" i="25"/>
  <c r="AC245" i="25"/>
  <c r="AC297" i="25"/>
  <c r="AC176" i="25"/>
  <c r="AC221" i="25"/>
  <c r="AC292" i="25"/>
  <c r="AC284" i="25"/>
  <c r="AC163" i="25"/>
  <c r="AC242" i="25"/>
  <c r="AC337" i="25"/>
  <c r="AC192" i="25"/>
  <c r="AC184" i="25"/>
  <c r="AC164" i="25"/>
  <c r="AC378" i="25"/>
  <c r="AC236" i="25"/>
  <c r="AC167" i="25"/>
  <c r="AC372" i="25"/>
  <c r="AC156" i="25"/>
  <c r="AC253" i="25"/>
  <c r="AC328" i="25"/>
  <c r="AC224" i="25"/>
  <c r="AC271" i="25"/>
  <c r="AC158" i="25"/>
  <c r="AC172" i="25"/>
  <c r="AC279" i="25"/>
  <c r="AC208" i="25"/>
  <c r="AC191" i="25"/>
  <c r="AC349" i="25"/>
  <c r="AC320" i="25"/>
  <c r="AC365" i="25"/>
  <c r="AC262" i="25"/>
  <c r="AC202" i="25"/>
  <c r="AC340" i="25"/>
  <c r="AC312" i="25"/>
  <c r="AC323" i="25"/>
  <c r="AC315" i="25"/>
  <c r="AC190" i="25"/>
  <c r="AC316" i="25"/>
  <c r="AC310" i="25"/>
  <c r="AC366" i="25"/>
  <c r="AC281" i="25"/>
  <c r="AC304" i="25"/>
  <c r="AC278" i="25"/>
  <c r="AC313" i="25"/>
  <c r="AC367" i="25"/>
  <c r="AC358" i="25"/>
  <c r="AC228" i="25"/>
  <c r="AC217" i="25"/>
  <c r="AC252" i="25"/>
  <c r="AC222" i="25"/>
  <c r="AC344" i="25"/>
  <c r="AC244" i="25"/>
  <c r="AC166" i="25"/>
  <c r="AC135" i="25"/>
  <c r="AC265" i="25"/>
  <c r="AC137" i="25"/>
  <c r="AC212" i="25"/>
  <c r="AC288" i="25"/>
  <c r="AC230" i="25"/>
  <c r="AC178" i="25"/>
  <c r="AC273" i="25"/>
  <c r="AC283" i="25"/>
  <c r="AC209" i="25"/>
  <c r="AC261" i="25"/>
  <c r="AC149" i="25"/>
  <c r="AC170" i="25"/>
  <c r="AC294" i="25"/>
  <c r="AC325" i="25"/>
  <c r="AC254" i="25"/>
  <c r="AC301" i="25"/>
  <c r="AC248" i="25"/>
  <c r="AC267" i="25"/>
  <c r="AC302" i="25"/>
  <c r="AC336" i="25"/>
  <c r="AC376" i="25"/>
  <c r="AC151" i="25"/>
  <c r="AC308" i="25"/>
  <c r="AC326" i="25"/>
  <c r="AC296" i="25"/>
  <c r="AC226" i="25"/>
  <c r="AC371" i="25"/>
  <c r="AC223" i="25"/>
  <c r="AC258" i="25"/>
  <c r="AC232" i="25"/>
  <c r="AC207" i="25"/>
  <c r="AC319" i="25"/>
  <c r="AC351" i="25"/>
  <c r="AC211" i="25"/>
  <c r="AC272" i="25"/>
  <c r="AC347" i="25"/>
  <c r="AC375" i="25"/>
  <c r="AC214" i="25"/>
  <c r="AC161" i="25"/>
  <c r="AC154" i="25"/>
  <c r="AC181" i="25"/>
  <c r="AC335" i="25"/>
  <c r="AC185" i="25"/>
  <c r="AC147" i="25"/>
  <c r="AC136" i="25"/>
  <c r="AC314" i="25"/>
  <c r="AC311" i="25"/>
  <c r="AC269" i="25"/>
  <c r="I216" i="18"/>
  <c r="B216" i="6" s="1"/>
  <c r="BA216" i="6" s="1"/>
  <c r="O270" i="25"/>
  <c r="O368" i="25"/>
  <c r="O266" i="25"/>
  <c r="O288" i="25"/>
  <c r="O124" i="25"/>
  <c r="O19" i="25"/>
  <c r="O145" i="25"/>
  <c r="O199" i="25"/>
  <c r="O273" i="25"/>
  <c r="O200" i="25"/>
  <c r="O256" i="25"/>
  <c r="O154" i="25"/>
  <c r="O314" i="25"/>
  <c r="O36" i="25"/>
  <c r="O136" i="25"/>
  <c r="O297" i="25"/>
  <c r="O298" i="25"/>
  <c r="O349" i="25"/>
  <c r="O156" i="25"/>
  <c r="O327" i="25"/>
  <c r="O322" i="25"/>
  <c r="O44" i="25"/>
  <c r="O170" i="25"/>
  <c r="O69" i="25"/>
  <c r="O23" i="25"/>
  <c r="O250" i="25"/>
  <c r="O278" i="25"/>
  <c r="O311" i="25"/>
  <c r="O214" i="25"/>
  <c r="O323" i="25"/>
  <c r="O150" i="25"/>
  <c r="O32" i="25"/>
  <c r="O204" i="25"/>
  <c r="O207" i="25"/>
  <c r="O45" i="25"/>
  <c r="O178" i="25"/>
  <c r="O374" i="25"/>
  <c r="O275" i="25"/>
  <c r="O284" i="25"/>
  <c r="O61" i="25"/>
  <c r="O77" i="25"/>
  <c r="O15" i="25"/>
  <c r="O100" i="25"/>
  <c r="O260" i="25"/>
  <c r="O316" i="25"/>
  <c r="O187" i="25"/>
  <c r="O262" i="25"/>
  <c r="O325" i="25"/>
  <c r="O22" i="25"/>
  <c r="BE13" i="7"/>
  <c r="O56" i="25"/>
  <c r="O263" i="25"/>
  <c r="O125" i="25"/>
  <c r="O236" i="25"/>
  <c r="O245" i="25"/>
  <c r="O264" i="25"/>
  <c r="O153" i="25"/>
  <c r="O91" i="25"/>
  <c r="O112" i="25"/>
  <c r="O165" i="25"/>
  <c r="O29" i="25"/>
  <c r="AG68" i="7" s="1"/>
  <c r="O119" i="25"/>
  <c r="AG71" i="7" s="1"/>
  <c r="O233" i="25"/>
  <c r="O75" i="25"/>
  <c r="O196" i="25"/>
  <c r="O299" i="25"/>
  <c r="O27" i="25"/>
  <c r="O147" i="25"/>
  <c r="O157" i="25"/>
  <c r="O313" i="25"/>
  <c r="O206" i="25"/>
  <c r="O43" i="25"/>
  <c r="O229" i="25"/>
  <c r="O269" i="25"/>
  <c r="O247" i="25"/>
  <c r="O286" i="25"/>
  <c r="O109" i="25"/>
  <c r="O151" i="25"/>
  <c r="O97" i="25"/>
  <c r="O82" i="25"/>
  <c r="O39" i="25"/>
  <c r="O25" i="25"/>
  <c r="O279" i="25"/>
  <c r="O89" i="25"/>
  <c r="O60" i="25"/>
  <c r="AG69" i="7" s="1"/>
  <c r="O126" i="25"/>
  <c r="O108" i="25"/>
  <c r="O92" i="25"/>
  <c r="O184" i="25"/>
  <c r="O81" i="25"/>
  <c r="O68" i="25"/>
  <c r="O99" i="25"/>
  <c r="O111" i="25"/>
  <c r="O334" i="25"/>
  <c r="O139" i="25"/>
  <c r="O88" i="25"/>
  <c r="AG70" i="7" s="1"/>
  <c r="O188" i="25"/>
  <c r="O72" i="25"/>
  <c r="O364" i="25"/>
  <c r="O217" i="25"/>
  <c r="O35" i="25"/>
  <c r="O360" i="25"/>
  <c r="O226" i="25"/>
  <c r="O41" i="25"/>
  <c r="O95" i="25"/>
  <c r="O173" i="25"/>
  <c r="O303" i="25"/>
  <c r="O291" i="25"/>
  <c r="O73" i="25"/>
  <c r="O239" i="25"/>
  <c r="O175" i="25"/>
  <c r="O326" i="25"/>
  <c r="O130" i="25"/>
  <c r="O194" i="25"/>
  <c r="O373" i="25"/>
  <c r="O372" i="25"/>
  <c r="O174" i="25"/>
  <c r="O133" i="25"/>
  <c r="O332" i="25"/>
  <c r="O140" i="25"/>
  <c r="O70" i="25"/>
  <c r="O306" i="25"/>
  <c r="O240" i="25"/>
  <c r="O337" i="25"/>
  <c r="O371" i="25"/>
  <c r="O353" i="25"/>
  <c r="O345" i="25"/>
  <c r="O113" i="25"/>
  <c r="O342" i="25"/>
  <c r="O352" i="25"/>
  <c r="O24" i="25"/>
  <c r="O321" i="25"/>
  <c r="O376" i="25"/>
  <c r="O216" i="25"/>
  <c r="O159" i="25"/>
  <c r="O86" i="25"/>
  <c r="O104" i="25"/>
  <c r="O225" i="25"/>
  <c r="O230" i="25"/>
  <c r="O57" i="25"/>
  <c r="O76" i="25"/>
  <c r="O333" i="25"/>
  <c r="AG78" i="7" s="1"/>
  <c r="O137" i="25"/>
  <c r="O330" i="25"/>
  <c r="O358" i="25"/>
  <c r="O198" i="25"/>
  <c r="O285" i="25"/>
  <c r="O155" i="25"/>
  <c r="O58" i="25"/>
  <c r="O251" i="25"/>
  <c r="O195" i="25"/>
  <c r="O354" i="25"/>
  <c r="O320" i="25"/>
  <c r="O176" i="25"/>
  <c r="O171" i="25"/>
  <c r="O341" i="25"/>
  <c r="O98" i="25"/>
  <c r="O272" i="25"/>
  <c r="AG76" i="7" s="1"/>
  <c r="O158" i="25"/>
  <c r="O296" i="25"/>
  <c r="O30" i="25"/>
  <c r="O365" i="25"/>
  <c r="O205" i="25"/>
  <c r="O78" i="25"/>
  <c r="O94" i="25"/>
  <c r="O232" i="25"/>
  <c r="O304" i="25"/>
  <c r="O324" i="25"/>
  <c r="O123" i="25"/>
  <c r="O237" i="25"/>
  <c r="O51" i="25"/>
  <c r="O193" i="25"/>
  <c r="O79" i="25"/>
  <c r="O50" i="25"/>
  <c r="O310" i="25"/>
  <c r="O164" i="25"/>
  <c r="O129" i="25"/>
  <c r="O152" i="25"/>
  <c r="O282" i="25"/>
  <c r="O201" i="25"/>
  <c r="O197" i="25"/>
  <c r="O241" i="25"/>
  <c r="AG75" i="7" s="1"/>
  <c r="O31" i="25"/>
  <c r="O117" i="25"/>
  <c r="O340" i="25"/>
  <c r="O131" i="25"/>
  <c r="O37" i="25"/>
  <c r="O121" i="25"/>
  <c r="O47" i="25"/>
  <c r="O281" i="25"/>
  <c r="O212" i="25"/>
  <c r="O93" i="25"/>
  <c r="O336" i="25"/>
  <c r="O346" i="25"/>
  <c r="O168" i="25"/>
  <c r="O116" i="25"/>
  <c r="O180" i="25"/>
  <c r="AG73" i="7" s="1"/>
  <c r="O74" i="25"/>
  <c r="O228" i="25"/>
  <c r="O210" i="25"/>
  <c r="AG74" i="7" s="1"/>
  <c r="O356" i="25"/>
  <c r="O234" i="25"/>
  <c r="O224" i="25"/>
  <c r="O62" i="25"/>
  <c r="O283" i="25"/>
  <c r="O258" i="25"/>
  <c r="O103" i="25"/>
  <c r="O219" i="25"/>
  <c r="O28" i="25"/>
  <c r="O105" i="25"/>
  <c r="O17" i="25"/>
  <c r="O162" i="25"/>
  <c r="O344" i="25"/>
  <c r="O134" i="25"/>
  <c r="O138" i="25"/>
  <c r="O289" i="25"/>
  <c r="O338" i="25"/>
  <c r="O102" i="25"/>
  <c r="O238" i="25"/>
  <c r="O248" i="25"/>
  <c r="O191" i="25"/>
  <c r="O179" i="25"/>
  <c r="O339" i="25"/>
  <c r="O235" i="25"/>
  <c r="O359" i="25"/>
  <c r="O49" i="25"/>
  <c r="O203" i="25"/>
  <c r="O261" i="25"/>
  <c r="O54" i="25"/>
  <c r="O189" i="25"/>
  <c r="O143" i="25"/>
  <c r="O115" i="25"/>
  <c r="O366" i="25"/>
  <c r="O244" i="25"/>
  <c r="O370" i="25"/>
  <c r="O218" i="25"/>
  <c r="O242" i="25"/>
  <c r="O379" i="25"/>
  <c r="C44" i="19" s="1"/>
  <c r="O252" i="25"/>
  <c r="O268" i="25"/>
  <c r="O307" i="25"/>
  <c r="O347" i="25"/>
  <c r="O172" i="25"/>
  <c r="O265" i="25"/>
  <c r="O146" i="25"/>
  <c r="O249" i="25"/>
  <c r="O253" i="25"/>
  <c r="O101" i="25"/>
  <c r="O361" i="25"/>
  <c r="O215" i="25"/>
  <c r="O223" i="25"/>
  <c r="O83" i="25"/>
  <c r="O375" i="25"/>
  <c r="O227" i="25"/>
  <c r="O110" i="25"/>
  <c r="O52" i="25"/>
  <c r="O319" i="25"/>
  <c r="O290" i="25"/>
  <c r="O144" i="25"/>
  <c r="O301" i="25"/>
  <c r="O21" i="25"/>
  <c r="O190" i="25"/>
  <c r="O85" i="25"/>
  <c r="O128" i="25"/>
  <c r="O350" i="25"/>
  <c r="O142" i="25"/>
  <c r="O211" i="25"/>
  <c r="O122" i="25"/>
  <c r="O160" i="25"/>
  <c r="O246" i="25"/>
  <c r="O65" i="25"/>
  <c r="O106" i="25"/>
  <c r="O317" i="25"/>
  <c r="O71" i="25"/>
  <c r="O293" i="25"/>
  <c r="O213" i="25"/>
  <c r="O292" i="25"/>
  <c r="O192" i="25"/>
  <c r="O335" i="25"/>
  <c r="O181" i="25"/>
  <c r="O312" i="25"/>
  <c r="O231" i="25"/>
  <c r="O209" i="25"/>
  <c r="O16" i="25"/>
  <c r="O300" i="25"/>
  <c r="O186" i="25"/>
  <c r="O220" i="25"/>
  <c r="O96" i="25"/>
  <c r="O208" i="25"/>
  <c r="O66" i="25"/>
  <c r="O348" i="25"/>
  <c r="O276" i="25"/>
  <c r="O257" i="25"/>
  <c r="O274" i="25"/>
  <c r="O351" i="25"/>
  <c r="O294" i="25"/>
  <c r="O221" i="25"/>
  <c r="O305" i="25"/>
  <c r="O118" i="25"/>
  <c r="O46" i="25"/>
  <c r="O355" i="25"/>
  <c r="O309" i="25"/>
  <c r="O132" i="25"/>
  <c r="O183" i="25"/>
  <c r="O148" i="25"/>
  <c r="O267" i="25"/>
  <c r="O114" i="25"/>
  <c r="O318" i="25"/>
  <c r="O107" i="25"/>
  <c r="O90" i="25"/>
  <c r="O287" i="25"/>
  <c r="O259" i="25"/>
  <c r="O295" i="25"/>
  <c r="O177" i="25"/>
  <c r="O55" i="25"/>
  <c r="O369" i="25"/>
  <c r="O328" i="25"/>
  <c r="O331" i="25"/>
  <c r="O271" i="25"/>
  <c r="O308" i="25"/>
  <c r="O243" i="25"/>
  <c r="O20" i="25"/>
  <c r="O202" i="25"/>
  <c r="O120" i="25"/>
  <c r="O38" i="25"/>
  <c r="O59" i="25"/>
  <c r="O302" i="25"/>
  <c r="AG77" i="7" s="1"/>
  <c r="O33" i="25"/>
  <c r="O315" i="25"/>
  <c r="O255" i="25"/>
  <c r="O377" i="25"/>
  <c r="O84" i="25"/>
  <c r="O357" i="25"/>
  <c r="O135" i="25"/>
  <c r="O64" i="25"/>
  <c r="O222" i="25"/>
  <c r="O185" i="25"/>
  <c r="O182" i="25"/>
  <c r="O362" i="25"/>
  <c r="O18" i="25"/>
  <c r="O363" i="25"/>
  <c r="AG79" i="7" s="1"/>
  <c r="O42" i="25"/>
  <c r="O343" i="25"/>
  <c r="O40" i="25"/>
  <c r="O166" i="25"/>
  <c r="O167" i="25"/>
  <c r="O26" i="25"/>
  <c r="O80" i="25"/>
  <c r="O367" i="25"/>
  <c r="O53" i="25"/>
  <c r="O127" i="25"/>
  <c r="O161" i="25"/>
  <c r="O378" i="25"/>
  <c r="O280" i="25"/>
  <c r="O48" i="25"/>
  <c r="O87" i="25"/>
  <c r="O63" i="25"/>
  <c r="O67" i="25"/>
  <c r="O163" i="25"/>
  <c r="O149" i="25"/>
  <c r="AG72" i="7" s="1"/>
  <c r="O169" i="25"/>
  <c r="O329" i="25"/>
  <c r="O34" i="25"/>
  <c r="O254" i="25"/>
  <c r="O141" i="25"/>
  <c r="O277" i="25"/>
  <c r="I195" i="18"/>
  <c r="B195" i="6" s="1"/>
  <c r="BA195" i="6" s="1"/>
  <c r="AA149" i="18"/>
  <c r="Z149" i="18" s="1"/>
  <c r="Y149" i="18" s="1"/>
  <c r="I86" i="18"/>
  <c r="B86" i="6" s="1"/>
  <c r="BA86" i="6" s="1"/>
  <c r="AD307" i="20"/>
  <c r="AD146" i="20"/>
  <c r="AD126" i="20"/>
  <c r="AD185" i="20"/>
  <c r="AD296" i="20"/>
  <c r="AD311" i="20"/>
  <c r="AD373" i="20"/>
  <c r="AD129" i="20"/>
  <c r="AD65" i="20"/>
  <c r="Q382" i="20"/>
  <c r="AI11" i="20"/>
  <c r="AI263" i="20"/>
  <c r="AH263" i="20" s="1"/>
  <c r="AG263" i="20" s="1"/>
  <c r="AF263" i="20" s="1"/>
  <c r="AI68" i="20"/>
  <c r="AH68" i="20" s="1"/>
  <c r="AG68" i="20" s="1"/>
  <c r="AF68" i="20" s="1"/>
  <c r="AI175" i="20"/>
  <c r="AH175" i="20" s="1"/>
  <c r="AG175" i="20" s="1"/>
  <c r="AF175" i="20" s="1"/>
  <c r="AI52" i="20"/>
  <c r="AH52" i="20" s="1"/>
  <c r="AG52" i="20" s="1"/>
  <c r="AF52" i="20" s="1"/>
  <c r="AD52" i="20" s="1"/>
  <c r="AI23" i="20"/>
  <c r="AH23" i="20" s="1"/>
  <c r="AG23" i="20" s="1"/>
  <c r="AF23" i="20" s="1"/>
  <c r="AD23" i="20" s="1"/>
  <c r="AI61" i="20"/>
  <c r="AH61" i="20" s="1"/>
  <c r="AG61" i="20" s="1"/>
  <c r="AF61" i="20" s="1"/>
  <c r="AD61" i="20" s="1"/>
  <c r="AI267" i="20"/>
  <c r="AH267" i="20" s="1"/>
  <c r="AG267" i="20" s="1"/>
  <c r="AF267" i="20" s="1"/>
  <c r="AD267" i="20" s="1"/>
  <c r="AI238" i="20"/>
  <c r="AH238" i="20" s="1"/>
  <c r="AG238" i="20" s="1"/>
  <c r="AF238" i="20" s="1"/>
  <c r="AI58" i="20"/>
  <c r="AH58" i="20" s="1"/>
  <c r="AG58" i="20" s="1"/>
  <c r="AF58" i="20" s="1"/>
  <c r="AD58" i="20" s="1"/>
  <c r="AI127" i="20"/>
  <c r="AH127" i="20" s="1"/>
  <c r="AG127" i="20" s="1"/>
  <c r="AF127" i="20" s="1"/>
  <c r="AD127" i="20" s="1"/>
  <c r="AI120" i="20"/>
  <c r="AH120" i="20" s="1"/>
  <c r="AG120" i="20" s="1"/>
  <c r="AF120" i="20" s="1"/>
  <c r="AD120" i="20" s="1"/>
  <c r="AI144" i="20"/>
  <c r="AH144" i="20" s="1"/>
  <c r="AG144" i="20" s="1"/>
  <c r="AF144" i="20" s="1"/>
  <c r="AD144" i="20" s="1"/>
  <c r="AI286" i="20"/>
  <c r="AH286" i="20" s="1"/>
  <c r="AG286" i="20" s="1"/>
  <c r="AF286" i="20" s="1"/>
  <c r="AI24" i="20"/>
  <c r="AH24" i="20" s="1"/>
  <c r="AG24" i="20" s="1"/>
  <c r="AF24" i="20" s="1"/>
  <c r="AD24" i="20" s="1"/>
  <c r="AI270" i="20"/>
  <c r="AH270" i="20" s="1"/>
  <c r="AG270" i="20" s="1"/>
  <c r="AF270" i="20" s="1"/>
  <c r="AI350" i="20"/>
  <c r="AH350" i="20" s="1"/>
  <c r="AG350" i="20" s="1"/>
  <c r="AF350" i="20" s="1"/>
  <c r="AD350" i="20" s="1"/>
  <c r="AI245" i="20"/>
  <c r="AH245" i="20" s="1"/>
  <c r="AG245" i="20" s="1"/>
  <c r="AF245" i="20" s="1"/>
  <c r="AD245" i="20" s="1"/>
  <c r="AI179" i="20"/>
  <c r="AH179" i="20" s="1"/>
  <c r="AG179" i="20" s="1"/>
  <c r="AF179" i="20" s="1"/>
  <c r="AI100" i="20"/>
  <c r="AH100" i="20" s="1"/>
  <c r="AG100" i="20" s="1"/>
  <c r="AF100" i="20" s="1"/>
  <c r="AD100" i="20" s="1"/>
  <c r="AI30" i="20"/>
  <c r="AH30" i="20" s="1"/>
  <c r="AG30" i="20" s="1"/>
  <c r="AF30" i="20" s="1"/>
  <c r="AD30" i="20" s="1"/>
  <c r="AI49" i="20"/>
  <c r="AH49" i="20" s="1"/>
  <c r="AG49" i="20" s="1"/>
  <c r="AF49" i="20" s="1"/>
  <c r="AD49" i="20" s="1"/>
  <c r="AI36" i="20"/>
  <c r="AH36" i="20" s="1"/>
  <c r="AG36" i="20" s="1"/>
  <c r="AF36" i="20" s="1"/>
  <c r="AD36" i="20" s="1"/>
  <c r="AI92" i="20"/>
  <c r="AH92" i="20" s="1"/>
  <c r="AG92" i="20" s="1"/>
  <c r="AF92" i="20" s="1"/>
  <c r="AD92" i="20" s="1"/>
  <c r="AI39" i="20"/>
  <c r="AH39" i="20" s="1"/>
  <c r="AG39" i="20" s="1"/>
  <c r="AF39" i="20" s="1"/>
  <c r="AD39" i="20" s="1"/>
  <c r="AI83" i="20"/>
  <c r="AH83" i="20" s="1"/>
  <c r="AG83" i="20" s="1"/>
  <c r="AF83" i="20" s="1"/>
  <c r="AD83" i="20" s="1"/>
  <c r="AI84" i="20"/>
  <c r="AH84" i="20" s="1"/>
  <c r="AG84" i="20" s="1"/>
  <c r="AF84" i="20" s="1"/>
  <c r="AD84" i="20" s="1"/>
  <c r="AI124" i="20"/>
  <c r="AH124" i="20" s="1"/>
  <c r="AG124" i="20" s="1"/>
  <c r="AF124" i="20" s="1"/>
  <c r="AI229" i="20"/>
  <c r="AH229" i="20" s="1"/>
  <c r="AG229" i="20" s="1"/>
  <c r="AF229" i="20" s="1"/>
  <c r="AD229" i="20" s="1"/>
  <c r="AI303" i="20"/>
  <c r="AH303" i="20" s="1"/>
  <c r="AG303" i="20" s="1"/>
  <c r="AF303" i="20" s="1"/>
  <c r="AI271" i="20"/>
  <c r="AH271" i="20" s="1"/>
  <c r="AG271" i="20" s="1"/>
  <c r="AF271" i="20" s="1"/>
  <c r="AD271" i="20" s="1"/>
  <c r="AI337" i="20"/>
  <c r="AH337" i="20" s="1"/>
  <c r="AG337" i="20" s="1"/>
  <c r="AF337" i="20" s="1"/>
  <c r="AI152" i="20"/>
  <c r="AH152" i="20" s="1"/>
  <c r="AG152" i="20" s="1"/>
  <c r="AF152" i="20" s="1"/>
  <c r="AD152" i="20" s="1"/>
  <c r="AI283" i="20"/>
  <c r="AH283" i="20" s="1"/>
  <c r="AG283" i="20" s="1"/>
  <c r="AF283" i="20" s="1"/>
  <c r="AI193" i="20"/>
  <c r="AH193" i="20" s="1"/>
  <c r="AG193" i="20" s="1"/>
  <c r="AF193" i="20" s="1"/>
  <c r="AI323" i="20"/>
  <c r="AH323" i="20" s="1"/>
  <c r="AG323" i="20" s="1"/>
  <c r="AF323" i="20" s="1"/>
  <c r="AD323" i="20" s="1"/>
  <c r="AI327" i="20"/>
  <c r="AH327" i="20" s="1"/>
  <c r="AG327" i="20" s="1"/>
  <c r="AF327" i="20" s="1"/>
  <c r="AD327" i="20" s="1"/>
  <c r="AI261" i="20"/>
  <c r="AH261" i="20" s="1"/>
  <c r="AG261" i="20" s="1"/>
  <c r="AF261" i="20" s="1"/>
  <c r="AD261" i="20" s="1"/>
  <c r="AI132" i="20"/>
  <c r="AH132" i="20" s="1"/>
  <c r="AG132" i="20" s="1"/>
  <c r="AF132" i="20" s="1"/>
  <c r="AD132" i="20" s="1"/>
  <c r="AI159" i="20"/>
  <c r="AH159" i="20" s="1"/>
  <c r="AG159" i="20" s="1"/>
  <c r="AF159" i="20" s="1"/>
  <c r="AD159" i="20" s="1"/>
  <c r="AI189" i="20"/>
  <c r="AH189" i="20" s="1"/>
  <c r="AG189" i="20" s="1"/>
  <c r="AF189" i="20" s="1"/>
  <c r="AI377" i="20"/>
  <c r="AH377" i="20" s="1"/>
  <c r="AG377" i="20" s="1"/>
  <c r="AF377" i="20" s="1"/>
  <c r="AD377" i="20" s="1"/>
  <c r="AI106" i="20"/>
  <c r="AH106" i="20" s="1"/>
  <c r="AG106" i="20" s="1"/>
  <c r="AF106" i="20" s="1"/>
  <c r="AD106" i="20" s="1"/>
  <c r="AI308" i="20"/>
  <c r="AH308" i="20" s="1"/>
  <c r="AG308" i="20" s="1"/>
  <c r="AF308" i="20" s="1"/>
  <c r="AD308" i="20" s="1"/>
  <c r="AI174" i="20"/>
  <c r="AH174" i="20" s="1"/>
  <c r="AG174" i="20" s="1"/>
  <c r="AF174" i="20" s="1"/>
  <c r="AD174" i="20" s="1"/>
  <c r="AI369" i="20"/>
  <c r="AH369" i="20" s="1"/>
  <c r="AG369" i="20" s="1"/>
  <c r="AF369" i="20" s="1"/>
  <c r="AD369" i="20" s="1"/>
  <c r="AI57" i="20"/>
  <c r="AH57" i="20" s="1"/>
  <c r="AG57" i="20" s="1"/>
  <c r="AF57" i="20" s="1"/>
  <c r="AD57" i="20" s="1"/>
  <c r="AI28" i="20"/>
  <c r="AH28" i="20" s="1"/>
  <c r="AG28" i="20" s="1"/>
  <c r="AF28" i="20" s="1"/>
  <c r="AD28" i="20" s="1"/>
  <c r="AI56" i="20"/>
  <c r="AH56" i="20" s="1"/>
  <c r="AG56" i="20" s="1"/>
  <c r="AF56" i="20" s="1"/>
  <c r="AD56" i="20" s="1"/>
  <c r="AI97" i="20"/>
  <c r="AH97" i="20" s="1"/>
  <c r="AG97" i="20" s="1"/>
  <c r="AF97" i="20" s="1"/>
  <c r="AD97" i="20" s="1"/>
  <c r="AI113" i="20"/>
  <c r="AH113" i="20" s="1"/>
  <c r="AG113" i="20" s="1"/>
  <c r="AF113" i="20" s="1"/>
  <c r="AD113" i="20" s="1"/>
  <c r="AI182" i="20"/>
  <c r="AH182" i="20" s="1"/>
  <c r="AG182" i="20" s="1"/>
  <c r="AF182" i="20" s="1"/>
  <c r="AD182" i="20" s="1"/>
  <c r="AI268" i="20"/>
  <c r="AH268" i="20" s="1"/>
  <c r="AG268" i="20" s="1"/>
  <c r="AF268" i="20" s="1"/>
  <c r="AI109" i="20"/>
  <c r="AH109" i="20" s="1"/>
  <c r="AG109" i="20" s="1"/>
  <c r="AF109" i="20" s="1"/>
  <c r="AD109" i="20" s="1"/>
  <c r="AI170" i="20"/>
  <c r="AH170" i="20" s="1"/>
  <c r="AG170" i="20" s="1"/>
  <c r="AF170" i="20" s="1"/>
  <c r="AD170" i="20" s="1"/>
  <c r="AI276" i="20"/>
  <c r="AH276" i="20" s="1"/>
  <c r="AG276" i="20" s="1"/>
  <c r="AF276" i="20" s="1"/>
  <c r="AI378" i="20"/>
  <c r="AH378" i="20" s="1"/>
  <c r="AG378" i="20" s="1"/>
  <c r="AF378" i="20" s="1"/>
  <c r="AI280" i="20"/>
  <c r="AH280" i="20" s="1"/>
  <c r="AG280" i="20" s="1"/>
  <c r="AF280" i="20" s="1"/>
  <c r="AD280" i="20" s="1"/>
  <c r="AI321" i="20"/>
  <c r="AH321" i="20" s="1"/>
  <c r="AG321" i="20" s="1"/>
  <c r="AF321" i="20" s="1"/>
  <c r="AD321" i="20" s="1"/>
  <c r="AI253" i="20"/>
  <c r="AH253" i="20" s="1"/>
  <c r="AG253" i="20" s="1"/>
  <c r="AF253" i="20" s="1"/>
  <c r="AD253" i="20" s="1"/>
  <c r="AI155" i="20"/>
  <c r="AH155" i="20" s="1"/>
  <c r="AG155" i="20" s="1"/>
  <c r="AF155" i="20" s="1"/>
  <c r="AD155" i="20" s="1"/>
  <c r="AI235" i="20"/>
  <c r="AH235" i="20" s="1"/>
  <c r="AG235" i="20" s="1"/>
  <c r="AF235" i="20" s="1"/>
  <c r="AI217" i="20"/>
  <c r="AH217" i="20" s="1"/>
  <c r="AG217" i="20" s="1"/>
  <c r="AF217" i="20" s="1"/>
  <c r="AD217" i="20" s="1"/>
  <c r="AI361" i="20"/>
  <c r="AH361" i="20" s="1"/>
  <c r="AG361" i="20" s="1"/>
  <c r="AF361" i="20" s="1"/>
  <c r="AD361" i="20" s="1"/>
  <c r="AI325" i="20"/>
  <c r="AH325" i="20" s="1"/>
  <c r="AG325" i="20" s="1"/>
  <c r="AF325" i="20" s="1"/>
  <c r="AD325" i="20" s="1"/>
  <c r="AI353" i="20"/>
  <c r="AH353" i="20" s="1"/>
  <c r="AG353" i="20" s="1"/>
  <c r="AF353" i="20" s="1"/>
  <c r="AD353" i="20" s="1"/>
  <c r="AI102" i="20"/>
  <c r="AH102" i="20" s="1"/>
  <c r="AG102" i="20" s="1"/>
  <c r="AF102" i="20" s="1"/>
  <c r="AD102" i="20" s="1"/>
  <c r="AI54" i="20"/>
  <c r="AH54" i="20" s="1"/>
  <c r="AG54" i="20" s="1"/>
  <c r="AF54" i="20" s="1"/>
  <c r="AD54" i="20" s="1"/>
  <c r="AI55" i="20"/>
  <c r="AH55" i="20" s="1"/>
  <c r="AG55" i="20" s="1"/>
  <c r="AF55" i="20" s="1"/>
  <c r="AD55" i="20" s="1"/>
  <c r="AI22" i="20"/>
  <c r="AH22" i="20" s="1"/>
  <c r="AG22" i="20" s="1"/>
  <c r="AF22" i="20" s="1"/>
  <c r="AD22" i="20" s="1"/>
  <c r="AI35" i="20"/>
  <c r="AH35" i="20" s="1"/>
  <c r="AG35" i="20" s="1"/>
  <c r="AF35" i="20" s="1"/>
  <c r="AD35" i="20" s="1"/>
  <c r="AI93" i="20"/>
  <c r="AH93" i="20" s="1"/>
  <c r="AG93" i="20" s="1"/>
  <c r="AF93" i="20" s="1"/>
  <c r="AD93" i="20" s="1"/>
  <c r="AI70" i="20"/>
  <c r="AH70" i="20" s="1"/>
  <c r="AG70" i="20" s="1"/>
  <c r="AF70" i="20" s="1"/>
  <c r="AD70" i="20" s="1"/>
  <c r="AI87" i="20"/>
  <c r="AH87" i="20" s="1"/>
  <c r="AG87" i="20" s="1"/>
  <c r="AF87" i="20" s="1"/>
  <c r="AD87" i="20" s="1"/>
  <c r="AI16" i="20"/>
  <c r="AH16" i="20" s="1"/>
  <c r="AG16" i="20" s="1"/>
  <c r="AF16" i="20" s="1"/>
  <c r="AD16" i="20" s="1"/>
  <c r="AI76" i="20"/>
  <c r="AH76" i="20" s="1"/>
  <c r="AG76" i="20" s="1"/>
  <c r="AF76" i="20" s="1"/>
  <c r="AD76" i="20" s="1"/>
  <c r="AI89" i="20"/>
  <c r="AH89" i="20" s="1"/>
  <c r="AG89" i="20" s="1"/>
  <c r="AF89" i="20" s="1"/>
  <c r="AD89" i="20" s="1"/>
  <c r="AI31" i="20"/>
  <c r="AH31" i="20" s="1"/>
  <c r="AG31" i="20" s="1"/>
  <c r="AF31" i="20" s="1"/>
  <c r="AD31" i="20" s="1"/>
  <c r="AI78" i="20"/>
  <c r="AH78" i="20" s="1"/>
  <c r="AG78" i="20" s="1"/>
  <c r="AF78" i="20" s="1"/>
  <c r="AI282" i="20"/>
  <c r="AH282" i="20" s="1"/>
  <c r="AG282" i="20" s="1"/>
  <c r="AF282" i="20" s="1"/>
  <c r="AI347" i="20"/>
  <c r="AH347" i="20" s="1"/>
  <c r="AG347" i="20" s="1"/>
  <c r="AF347" i="20" s="1"/>
  <c r="AI134" i="20"/>
  <c r="AH134" i="20" s="1"/>
  <c r="AG134" i="20" s="1"/>
  <c r="AF134" i="20" s="1"/>
  <c r="AI322" i="20"/>
  <c r="AH322" i="20" s="1"/>
  <c r="AG322" i="20" s="1"/>
  <c r="AF322" i="20" s="1"/>
  <c r="AI356" i="20"/>
  <c r="AH356" i="20" s="1"/>
  <c r="AG356" i="20" s="1"/>
  <c r="AF356" i="20" s="1"/>
  <c r="AI112" i="20"/>
  <c r="AH112" i="20" s="1"/>
  <c r="AG112" i="20" s="1"/>
  <c r="AF112" i="20" s="1"/>
  <c r="AI362" i="20"/>
  <c r="AH362" i="20" s="1"/>
  <c r="AG362" i="20" s="1"/>
  <c r="AF362" i="20" s="1"/>
  <c r="AI21" i="20"/>
  <c r="AH21" i="20" s="1"/>
  <c r="AG21" i="20" s="1"/>
  <c r="AF21" i="20" s="1"/>
  <c r="AI142" i="20"/>
  <c r="AH142" i="20" s="1"/>
  <c r="AG142" i="20" s="1"/>
  <c r="AF142" i="20" s="1"/>
  <c r="AI284" i="20"/>
  <c r="AH284" i="20" s="1"/>
  <c r="AG284" i="20" s="1"/>
  <c r="AF284" i="20" s="1"/>
  <c r="AI349" i="20"/>
  <c r="AH349" i="20" s="1"/>
  <c r="AG349" i="20" s="1"/>
  <c r="AF349" i="20" s="1"/>
  <c r="AI172" i="20"/>
  <c r="AH172" i="20" s="1"/>
  <c r="AG172" i="20" s="1"/>
  <c r="AF172" i="20" s="1"/>
  <c r="AI42" i="20"/>
  <c r="AH42" i="20" s="1"/>
  <c r="AG42" i="20" s="1"/>
  <c r="AF42" i="20" s="1"/>
  <c r="AI69" i="20"/>
  <c r="AH69" i="20" s="1"/>
  <c r="AG69" i="20" s="1"/>
  <c r="AF69" i="20" s="1"/>
  <c r="AI51" i="20"/>
  <c r="AH51" i="20" s="1"/>
  <c r="AG51" i="20" s="1"/>
  <c r="AF51" i="20" s="1"/>
  <c r="AI66" i="20"/>
  <c r="AH66" i="20" s="1"/>
  <c r="AG66" i="20" s="1"/>
  <c r="AF66" i="20" s="1"/>
  <c r="AI37" i="20"/>
  <c r="AH37" i="20" s="1"/>
  <c r="AG37" i="20" s="1"/>
  <c r="AF37" i="20" s="1"/>
  <c r="AI38" i="20"/>
  <c r="AH38" i="20" s="1"/>
  <c r="AG38" i="20" s="1"/>
  <c r="AF38" i="20" s="1"/>
  <c r="AI82" i="20"/>
  <c r="AH82" i="20" s="1"/>
  <c r="AG82" i="20" s="1"/>
  <c r="AF82" i="20" s="1"/>
  <c r="AI195" i="20"/>
  <c r="AH195" i="20" s="1"/>
  <c r="AG195" i="20" s="1"/>
  <c r="AF195" i="20" s="1"/>
  <c r="AI297" i="20"/>
  <c r="AH297" i="20" s="1"/>
  <c r="AG297" i="20" s="1"/>
  <c r="AF297" i="20" s="1"/>
  <c r="AI291" i="20"/>
  <c r="AH291" i="20" s="1"/>
  <c r="AG291" i="20" s="1"/>
  <c r="AF291" i="20" s="1"/>
  <c r="AI166" i="20"/>
  <c r="AH166" i="20" s="1"/>
  <c r="AG166" i="20" s="1"/>
  <c r="AF166" i="20" s="1"/>
  <c r="AI111" i="20"/>
  <c r="AH111" i="20" s="1"/>
  <c r="AG111" i="20" s="1"/>
  <c r="AF111" i="20" s="1"/>
  <c r="AI232" i="20"/>
  <c r="AH232" i="20" s="1"/>
  <c r="AG232" i="20" s="1"/>
  <c r="AF232" i="20" s="1"/>
  <c r="AI197" i="20"/>
  <c r="AH197" i="20" s="1"/>
  <c r="AG197" i="20" s="1"/>
  <c r="AF197" i="20" s="1"/>
  <c r="AI340" i="20"/>
  <c r="AH340" i="20" s="1"/>
  <c r="AG340" i="20" s="1"/>
  <c r="AF340" i="20" s="1"/>
  <c r="AI196" i="20"/>
  <c r="AH196" i="20" s="1"/>
  <c r="AG196" i="20" s="1"/>
  <c r="AF196" i="20" s="1"/>
  <c r="AI281" i="20"/>
  <c r="AH281" i="20" s="1"/>
  <c r="AG281" i="20" s="1"/>
  <c r="AF281" i="20" s="1"/>
  <c r="AI208" i="20"/>
  <c r="AH208" i="20" s="1"/>
  <c r="AG208" i="20" s="1"/>
  <c r="AF208" i="20" s="1"/>
  <c r="AI201" i="20"/>
  <c r="AH201" i="20" s="1"/>
  <c r="AG201" i="20" s="1"/>
  <c r="AF201" i="20" s="1"/>
  <c r="AI211" i="20"/>
  <c r="AH211" i="20" s="1"/>
  <c r="AG211" i="20" s="1"/>
  <c r="AF211" i="20" s="1"/>
  <c r="AI148" i="20"/>
  <c r="AH148" i="20" s="1"/>
  <c r="AG148" i="20" s="1"/>
  <c r="AF148" i="20" s="1"/>
  <c r="AI118" i="20"/>
  <c r="AH118" i="20" s="1"/>
  <c r="AG118" i="20" s="1"/>
  <c r="AF118" i="20" s="1"/>
  <c r="AI364" i="20"/>
  <c r="AH364" i="20" s="1"/>
  <c r="AG364" i="20" s="1"/>
  <c r="AF364" i="20" s="1"/>
  <c r="AI218" i="20"/>
  <c r="AH218" i="20" s="1"/>
  <c r="AG218" i="20" s="1"/>
  <c r="AF218" i="20" s="1"/>
  <c r="AI151" i="20"/>
  <c r="AH151" i="20" s="1"/>
  <c r="AG151" i="20" s="1"/>
  <c r="AF151" i="20" s="1"/>
  <c r="AI252" i="20"/>
  <c r="AH252" i="20" s="1"/>
  <c r="AG252" i="20" s="1"/>
  <c r="AF252" i="20" s="1"/>
  <c r="AI88" i="20"/>
  <c r="AH88" i="20" s="1"/>
  <c r="AG88" i="20" s="1"/>
  <c r="AF88" i="20" s="1"/>
  <c r="AD88" i="20" s="1"/>
  <c r="AI71" i="20"/>
  <c r="AH71" i="20" s="1"/>
  <c r="AG71" i="20" s="1"/>
  <c r="AF71" i="20" s="1"/>
  <c r="AD71" i="20" s="1"/>
  <c r="AI48" i="20"/>
  <c r="AH48" i="20" s="1"/>
  <c r="AG48" i="20" s="1"/>
  <c r="AF48" i="20" s="1"/>
  <c r="AD48" i="20" s="1"/>
  <c r="AI59" i="20"/>
  <c r="AH59" i="20" s="1"/>
  <c r="AG59" i="20" s="1"/>
  <c r="AF59" i="20" s="1"/>
  <c r="AI328" i="20"/>
  <c r="AH328" i="20" s="1"/>
  <c r="AG328" i="20" s="1"/>
  <c r="AF328" i="20" s="1"/>
  <c r="AI374" i="20"/>
  <c r="AH374" i="20" s="1"/>
  <c r="AG374" i="20" s="1"/>
  <c r="AF374" i="20" s="1"/>
  <c r="AI289" i="20"/>
  <c r="AH289" i="20" s="1"/>
  <c r="AG289" i="20" s="1"/>
  <c r="AF289" i="20" s="1"/>
  <c r="AI119" i="20"/>
  <c r="AH119" i="20" s="1"/>
  <c r="AG119" i="20" s="1"/>
  <c r="AF119" i="20" s="1"/>
  <c r="AI188" i="20"/>
  <c r="AH188" i="20" s="1"/>
  <c r="AG188" i="20" s="1"/>
  <c r="AF188" i="20" s="1"/>
  <c r="AI222" i="20"/>
  <c r="AH222" i="20" s="1"/>
  <c r="AG222" i="20" s="1"/>
  <c r="AF222" i="20" s="1"/>
  <c r="AI299" i="20"/>
  <c r="AH299" i="20" s="1"/>
  <c r="AG299" i="20" s="1"/>
  <c r="AF299" i="20" s="1"/>
  <c r="AI209" i="20"/>
  <c r="AH209" i="20" s="1"/>
  <c r="AG209" i="20" s="1"/>
  <c r="AF209" i="20" s="1"/>
  <c r="AI342" i="20"/>
  <c r="AH342" i="20" s="1"/>
  <c r="AG342" i="20" s="1"/>
  <c r="AF342" i="20" s="1"/>
  <c r="AI137" i="20"/>
  <c r="AH137" i="20" s="1"/>
  <c r="AG137" i="20" s="1"/>
  <c r="AF137" i="20" s="1"/>
  <c r="AI243" i="20"/>
  <c r="AH243" i="20" s="1"/>
  <c r="AG243" i="20" s="1"/>
  <c r="AF243" i="20" s="1"/>
  <c r="AI272" i="20"/>
  <c r="AH272" i="20" s="1"/>
  <c r="AG272" i="20" s="1"/>
  <c r="AF272" i="20" s="1"/>
  <c r="AI333" i="20"/>
  <c r="AH333" i="20" s="1"/>
  <c r="AG333" i="20" s="1"/>
  <c r="AF333" i="20" s="1"/>
  <c r="AI162" i="20"/>
  <c r="AH162" i="20" s="1"/>
  <c r="AG162" i="20" s="1"/>
  <c r="AF162" i="20" s="1"/>
  <c r="AI161" i="20"/>
  <c r="AH161" i="20" s="1"/>
  <c r="AG161" i="20" s="1"/>
  <c r="AF161" i="20" s="1"/>
  <c r="AI221" i="20"/>
  <c r="AH221" i="20" s="1"/>
  <c r="AG221" i="20" s="1"/>
  <c r="AF221" i="20" s="1"/>
  <c r="AI246" i="20"/>
  <c r="AH246" i="20" s="1"/>
  <c r="AG246" i="20" s="1"/>
  <c r="AF246" i="20" s="1"/>
  <c r="AI103" i="20"/>
  <c r="AH103" i="20" s="1"/>
  <c r="AG103" i="20" s="1"/>
  <c r="AF103" i="20" s="1"/>
  <c r="AI25" i="20"/>
  <c r="AH25" i="20" s="1"/>
  <c r="AG25" i="20" s="1"/>
  <c r="AF25" i="20" s="1"/>
  <c r="AI72" i="20"/>
  <c r="AH72" i="20" s="1"/>
  <c r="AG72" i="20" s="1"/>
  <c r="AF72" i="20" s="1"/>
  <c r="AD72" i="20" s="1"/>
  <c r="AI34" i="20"/>
  <c r="AH34" i="20" s="1"/>
  <c r="AG34" i="20" s="1"/>
  <c r="AF34" i="20" s="1"/>
  <c r="AD34" i="20" s="1"/>
  <c r="AI29" i="20"/>
  <c r="AH29" i="20" s="1"/>
  <c r="AG29" i="20" s="1"/>
  <c r="AF29" i="20" s="1"/>
  <c r="AI79" i="20"/>
  <c r="AH79" i="20" s="1"/>
  <c r="AG79" i="20" s="1"/>
  <c r="AF79" i="20" s="1"/>
  <c r="AI75" i="20"/>
  <c r="AH75" i="20" s="1"/>
  <c r="AG75" i="20" s="1"/>
  <c r="AF75" i="20" s="1"/>
  <c r="AD75" i="20" s="1"/>
  <c r="AI98" i="20"/>
  <c r="AH98" i="20" s="1"/>
  <c r="AG98" i="20" s="1"/>
  <c r="AF98" i="20" s="1"/>
  <c r="AD98" i="20" s="1"/>
  <c r="AI20" i="20"/>
  <c r="AH20" i="20" s="1"/>
  <c r="AG20" i="20" s="1"/>
  <c r="AF20" i="20" s="1"/>
  <c r="AI26" i="20"/>
  <c r="AH26" i="20" s="1"/>
  <c r="AG26" i="20" s="1"/>
  <c r="AF26" i="20" s="1"/>
  <c r="AI44" i="20"/>
  <c r="AH44" i="20" s="1"/>
  <c r="AG44" i="20" s="1"/>
  <c r="AF44" i="20" s="1"/>
  <c r="AI50" i="20"/>
  <c r="AH50" i="20" s="1"/>
  <c r="AG50" i="20" s="1"/>
  <c r="AF50" i="20" s="1"/>
  <c r="AD50" i="20" s="1"/>
  <c r="AI85" i="20"/>
  <c r="AH85" i="20" s="1"/>
  <c r="AG85" i="20" s="1"/>
  <c r="AF85" i="20" s="1"/>
  <c r="AD85" i="20" s="1"/>
  <c r="AI43" i="20"/>
  <c r="AH43" i="20" s="1"/>
  <c r="AG43" i="20" s="1"/>
  <c r="AF43" i="20" s="1"/>
  <c r="AI67" i="20"/>
  <c r="AH67" i="20" s="1"/>
  <c r="AG67" i="20" s="1"/>
  <c r="AF67" i="20" s="1"/>
  <c r="AI73" i="20"/>
  <c r="AH73" i="20" s="1"/>
  <c r="AG73" i="20" s="1"/>
  <c r="AF73" i="20" s="1"/>
  <c r="AD73" i="20" s="1"/>
  <c r="AI346" i="20"/>
  <c r="AH346" i="20" s="1"/>
  <c r="AG346" i="20" s="1"/>
  <c r="AF346" i="20" s="1"/>
  <c r="AI207" i="20"/>
  <c r="AH207" i="20" s="1"/>
  <c r="AG207" i="20" s="1"/>
  <c r="AF207" i="20" s="1"/>
  <c r="AI345" i="20"/>
  <c r="AH345" i="20" s="1"/>
  <c r="AG345" i="20" s="1"/>
  <c r="AF345" i="20" s="1"/>
  <c r="AI227" i="20"/>
  <c r="AH227" i="20" s="1"/>
  <c r="AG227" i="20" s="1"/>
  <c r="AF227" i="20" s="1"/>
  <c r="AI266" i="20"/>
  <c r="AH266" i="20" s="1"/>
  <c r="AG266" i="20" s="1"/>
  <c r="AF266" i="20" s="1"/>
  <c r="AI173" i="20"/>
  <c r="AH173" i="20" s="1"/>
  <c r="AG173" i="20" s="1"/>
  <c r="AF173" i="20" s="1"/>
  <c r="AI343" i="20"/>
  <c r="AH343" i="20" s="1"/>
  <c r="AG343" i="20" s="1"/>
  <c r="AF343" i="20" s="1"/>
  <c r="AI190" i="20"/>
  <c r="AH190" i="20" s="1"/>
  <c r="AG190" i="20" s="1"/>
  <c r="AF190" i="20" s="1"/>
  <c r="AI32" i="20"/>
  <c r="AH32" i="20" s="1"/>
  <c r="AG32" i="20" s="1"/>
  <c r="AF32" i="20" s="1"/>
  <c r="AD32" i="20" s="1"/>
  <c r="AD263" i="20"/>
  <c r="AD68" i="20"/>
  <c r="J93" i="18"/>
  <c r="C93" i="6" s="1"/>
  <c r="J289" i="18"/>
  <c r="C289" i="6" s="1"/>
  <c r="H149" i="18"/>
  <c r="I149" i="18" s="1"/>
  <c r="B149" i="6" s="1"/>
  <c r="BA149" i="6" s="1"/>
  <c r="J61" i="18"/>
  <c r="C61" i="6" s="1"/>
  <c r="I201" i="18"/>
  <c r="B201" i="6" s="1"/>
  <c r="BA201" i="6" s="1"/>
  <c r="J174" i="18"/>
  <c r="C174" i="6" s="1"/>
  <c r="AD125" i="20"/>
  <c r="AD336" i="20"/>
  <c r="AD121" i="20"/>
  <c r="AD219" i="20"/>
  <c r="AD223" i="20"/>
  <c r="AD248" i="20"/>
  <c r="AD215" i="20"/>
  <c r="AD107" i="20"/>
  <c r="AE149" i="20"/>
  <c r="AD149" i="20" s="1"/>
  <c r="AE281" i="20"/>
  <c r="AE378" i="20"/>
  <c r="AE189" i="20"/>
  <c r="AE268" i="20"/>
  <c r="AE181" i="20"/>
  <c r="AD181" i="20" s="1"/>
  <c r="AE258" i="20"/>
  <c r="AE230" i="20"/>
  <c r="AD230" i="20" s="1"/>
  <c r="AE207" i="20"/>
  <c r="AE306" i="20"/>
  <c r="AD306" i="20" s="1"/>
  <c r="AE367" i="20"/>
  <c r="AE290" i="20"/>
  <c r="AD290" i="20" s="1"/>
  <c r="AE317" i="20"/>
  <c r="AE342" i="20"/>
  <c r="AE266" i="20"/>
  <c r="AE309" i="20"/>
  <c r="AE243" i="20"/>
  <c r="AE238" i="20"/>
  <c r="AE360" i="20"/>
  <c r="AD360" i="20" s="1"/>
  <c r="AE193" i="20"/>
  <c r="AE192" i="20"/>
  <c r="AD192" i="20" s="1"/>
  <c r="AE345" i="20"/>
  <c r="AE329" i="20"/>
  <c r="AD329" i="20" s="1"/>
  <c r="AE274" i="20"/>
  <c r="AD274" i="20" s="1"/>
  <c r="AE303" i="20"/>
  <c r="AE164" i="20"/>
  <c r="AD164" i="20" s="1"/>
  <c r="AE362" i="20"/>
  <c r="AE212" i="20"/>
  <c r="AD212" i="20" s="1"/>
  <c r="AE337" i="20"/>
  <c r="AE363" i="20"/>
  <c r="AE379" i="20"/>
  <c r="AE12" i="22" s="1"/>
  <c r="AE255" i="20"/>
  <c r="AE304" i="20"/>
  <c r="AD304" i="20" s="1"/>
  <c r="AE124" i="20"/>
  <c r="AE246" i="20"/>
  <c r="AE283" i="20"/>
  <c r="AE343" i="20"/>
  <c r="AE286" i="20"/>
  <c r="AE265" i="20"/>
  <c r="AE150" i="20"/>
  <c r="AE299" i="20"/>
  <c r="AE278" i="20"/>
  <c r="AE270" i="20"/>
  <c r="AE358" i="20"/>
  <c r="AD358" i="20" s="1"/>
  <c r="AE104" i="20"/>
  <c r="AE140" i="20"/>
  <c r="AD140" i="20" s="1"/>
  <c r="AE301" i="20"/>
  <c r="AD301" i="20" s="1"/>
  <c r="AE288" i="20"/>
  <c r="AD288" i="20" s="1"/>
  <c r="AE179" i="20"/>
  <c r="AE110" i="20"/>
  <c r="AE375" i="20"/>
  <c r="AD375" i="20" s="1"/>
  <c r="AE131" i="20"/>
  <c r="AE235" i="20"/>
  <c r="AE249" i="20"/>
  <c r="AD249" i="20" s="1"/>
  <c r="AE176" i="20"/>
  <c r="AD176" i="20" s="1"/>
  <c r="AE134" i="20"/>
  <c r="AE273" i="20"/>
  <c r="AD273" i="20" s="1"/>
  <c r="AE206" i="20"/>
  <c r="AE105" i="20"/>
  <c r="AD105" i="20" s="1"/>
  <c r="AE210" i="20"/>
  <c r="AE135" i="20"/>
  <c r="AE147" i="20"/>
  <c r="AE137" i="20"/>
  <c r="AE227" i="20"/>
  <c r="AE236" i="20"/>
  <c r="AD236" i="20" s="1"/>
  <c r="AE211" i="20"/>
  <c r="AE260" i="20"/>
  <c r="AD260" i="20" s="1"/>
  <c r="AE241" i="20"/>
  <c r="AE112" i="20"/>
  <c r="AE142" i="20"/>
  <c r="AE143" i="20"/>
  <c r="AE319" i="20"/>
  <c r="AD319" i="20" s="1"/>
  <c r="AE297" i="20"/>
  <c r="AE320" i="20"/>
  <c r="AD320" i="20" s="1"/>
  <c r="AE122" i="20"/>
  <c r="AD122" i="20" s="1"/>
  <c r="AE213" i="20"/>
  <c r="AD213" i="20" s="1"/>
  <c r="AE356" i="20"/>
  <c r="AE256" i="20"/>
  <c r="AE130" i="20"/>
  <c r="AE276" i="20"/>
  <c r="AE277" i="20"/>
  <c r="AE154" i="20"/>
  <c r="AE158" i="20"/>
  <c r="AD158" i="20" s="1"/>
  <c r="AE209" i="20"/>
  <c r="AE190" i="20"/>
  <c r="J371" i="18"/>
  <c r="C371" i="6" s="1"/>
  <c r="I143" i="18"/>
  <c r="B143" i="6" s="1"/>
  <c r="BA143" i="6" s="1"/>
  <c r="G195" i="18"/>
  <c r="CA195" i="6" s="1"/>
  <c r="Q381" i="20"/>
  <c r="Q383" i="20"/>
  <c r="M65" i="19"/>
  <c r="AA195" i="18"/>
  <c r="Z195" i="18" s="1"/>
  <c r="Y195" i="18" s="1"/>
  <c r="I35" i="18"/>
  <c r="B35" i="6" s="1"/>
  <c r="BA35" i="6" s="1"/>
  <c r="I125" i="18"/>
  <c r="B125" i="6" s="1"/>
  <c r="BA125" i="6" s="1"/>
  <c r="J331" i="18"/>
  <c r="C331" i="6" s="1"/>
  <c r="J220" i="18"/>
  <c r="C220" i="6" s="1"/>
  <c r="I334" i="18"/>
  <c r="B334" i="6" s="1"/>
  <c r="BA334" i="6" s="1"/>
  <c r="I365" i="18"/>
  <c r="B365" i="6" s="1"/>
  <c r="BA365" i="6" s="1"/>
  <c r="J314" i="18"/>
  <c r="C314" i="6" s="1"/>
  <c r="J54" i="18"/>
  <c r="C54" i="6" s="1"/>
  <c r="J368" i="18"/>
  <c r="C368" i="6" s="1"/>
  <c r="I298" i="18"/>
  <c r="B298" i="6" s="1"/>
  <c r="BA298" i="6" s="1"/>
  <c r="I372" i="18"/>
  <c r="B372" i="6" s="1"/>
  <c r="BA372" i="6" s="1"/>
  <c r="J345" i="18"/>
  <c r="C345" i="6" s="1"/>
  <c r="J236" i="18"/>
  <c r="C236" i="6" s="1"/>
  <c r="W379" i="18"/>
  <c r="J202" i="18"/>
  <c r="C202" i="6" s="1"/>
  <c r="I271" i="18"/>
  <c r="B271" i="6" s="1"/>
  <c r="BA271" i="6" s="1"/>
  <c r="J257" i="18"/>
  <c r="C257" i="6" s="1"/>
  <c r="J225" i="18"/>
  <c r="C225" i="6" s="1"/>
  <c r="J34" i="18"/>
  <c r="C34" i="6" s="1"/>
  <c r="J117" i="18"/>
  <c r="C117" i="6" s="1"/>
  <c r="I138" i="18"/>
  <c r="B138" i="6" s="1"/>
  <c r="BA138" i="6" s="1"/>
  <c r="I261" i="18"/>
  <c r="B261" i="6" s="1"/>
  <c r="BA261" i="6" s="1"/>
  <c r="I113" i="18"/>
  <c r="B113" i="6" s="1"/>
  <c r="BA113" i="6" s="1"/>
  <c r="J239" i="18"/>
  <c r="C239" i="6" s="1"/>
  <c r="I270" i="18"/>
  <c r="B270" i="6" s="1"/>
  <c r="BA270" i="6" s="1"/>
  <c r="J351" i="18"/>
  <c r="C351" i="6" s="1"/>
  <c r="I45" i="18"/>
  <c r="B45" i="6" s="1"/>
  <c r="BA45" i="6" s="1"/>
  <c r="I343" i="18"/>
  <c r="B343" i="6" s="1"/>
  <c r="BA343" i="6" s="1"/>
  <c r="I352" i="18"/>
  <c r="B352" i="6" s="1"/>
  <c r="BA352" i="6" s="1"/>
  <c r="J206" i="18"/>
  <c r="C206" i="6" s="1"/>
  <c r="AD163" i="20"/>
  <c r="AD133" i="20"/>
  <c r="AD351" i="20"/>
  <c r="AD18" i="20"/>
  <c r="AD334" i="20"/>
  <c r="AD316" i="20"/>
  <c r="AD326" i="20"/>
  <c r="AD331" i="20"/>
  <c r="AD312" i="20"/>
  <c r="AD198" i="20"/>
  <c r="AD298" i="20"/>
  <c r="J235" i="18"/>
  <c r="C235" i="6" s="1"/>
  <c r="J262" i="18"/>
  <c r="C262" i="6" s="1"/>
  <c r="I315" i="18"/>
  <c r="B315" i="6" s="1"/>
  <c r="BA315" i="6" s="1"/>
  <c r="J276" i="18"/>
  <c r="C276" i="6" s="1"/>
  <c r="I226" i="18"/>
  <c r="B226" i="6" s="1"/>
  <c r="BA226" i="6" s="1"/>
  <c r="AM15" i="7"/>
  <c r="V195" i="20"/>
  <c r="B195" i="20" s="1"/>
  <c r="I353" i="18"/>
  <c r="B353" i="6" s="1"/>
  <c r="BA353" i="6" s="1"/>
  <c r="I260" i="18"/>
  <c r="B260" i="6" s="1"/>
  <c r="BA260" i="6" s="1"/>
  <c r="I189" i="18"/>
  <c r="B189" i="6" s="1"/>
  <c r="BA189" i="6" s="1"/>
  <c r="J41" i="18"/>
  <c r="C41" i="6" s="1"/>
  <c r="J245" i="18"/>
  <c r="C245" i="6" s="1"/>
  <c r="I39" i="18"/>
  <c r="B39" i="6" s="1"/>
  <c r="BA39" i="6" s="1"/>
  <c r="I212" i="18"/>
  <c r="B212" i="6" s="1"/>
  <c r="BA212" i="6" s="1"/>
  <c r="I162" i="18"/>
  <c r="B162" i="6" s="1"/>
  <c r="BA162" i="6" s="1"/>
  <c r="I18" i="18"/>
  <c r="B18" i="6" s="1"/>
  <c r="BA18" i="6" s="1"/>
  <c r="I214" i="18"/>
  <c r="B214" i="6" s="1"/>
  <c r="BA214" i="6" s="1"/>
  <c r="I284" i="18"/>
  <c r="B284" i="6" s="1"/>
  <c r="BA284" i="6" s="1"/>
  <c r="I198" i="18"/>
  <c r="B198" i="6" s="1"/>
  <c r="BA198" i="6" s="1"/>
  <c r="J299" i="18"/>
  <c r="C299" i="6" s="1"/>
  <c r="J246" i="18"/>
  <c r="C246" i="6" s="1"/>
  <c r="J28" i="18"/>
  <c r="C28" i="6" s="1"/>
  <c r="J203" i="18"/>
  <c r="C203" i="6" s="1"/>
  <c r="I285" i="18"/>
  <c r="B285" i="6" s="1"/>
  <c r="BA285" i="6" s="1"/>
  <c r="J350" i="18"/>
  <c r="C350" i="6" s="1"/>
  <c r="I316" i="18"/>
  <c r="B316" i="6" s="1"/>
  <c r="BA316" i="6" s="1"/>
  <c r="J300" i="18"/>
  <c r="C300" i="6" s="1"/>
  <c r="I103" i="18"/>
  <c r="B103" i="6" s="1"/>
  <c r="BA103" i="6" s="1"/>
  <c r="J310" i="18"/>
  <c r="C310" i="6" s="1"/>
  <c r="I21" i="18"/>
  <c r="B21" i="6" s="1"/>
  <c r="BA21" i="6" s="1"/>
  <c r="J370" i="18"/>
  <c r="C370" i="6" s="1"/>
  <c r="I179" i="18"/>
  <c r="B179" i="6" s="1"/>
  <c r="BA179" i="6" s="1"/>
  <c r="I38" i="18"/>
  <c r="B38" i="6" s="1"/>
  <c r="BA38" i="6" s="1"/>
  <c r="J109" i="18"/>
  <c r="C109" i="6" s="1"/>
  <c r="J237" i="18"/>
  <c r="C237" i="6" s="1"/>
  <c r="J79" i="18"/>
  <c r="C79" i="6" s="1"/>
  <c r="J378" i="18"/>
  <c r="C378" i="6" s="1"/>
  <c r="J330" i="18"/>
  <c r="C330" i="6" s="1"/>
  <c r="J19" i="18"/>
  <c r="C19" i="6" s="1"/>
  <c r="J322" i="18"/>
  <c r="C322" i="6" s="1"/>
  <c r="J118" i="18"/>
  <c r="C118" i="6" s="1"/>
  <c r="AA227" i="18"/>
  <c r="Z227" i="18" s="1"/>
  <c r="Y227" i="18" s="1"/>
  <c r="I222" i="18"/>
  <c r="B222" i="6" s="1"/>
  <c r="BA222" i="6" s="1"/>
  <c r="I94" i="18"/>
  <c r="B94" i="6" s="1"/>
  <c r="BA94" i="6" s="1"/>
  <c r="J139" i="18"/>
  <c r="C139" i="6" s="1"/>
  <c r="J337" i="18"/>
  <c r="C337" i="6" s="1"/>
  <c r="I348" i="18"/>
  <c r="B348" i="6" s="1"/>
  <c r="BA348" i="6" s="1"/>
  <c r="I116" i="18"/>
  <c r="B116" i="6" s="1"/>
  <c r="BA116" i="6" s="1"/>
  <c r="I70" i="18"/>
  <c r="B70" i="6" s="1"/>
  <c r="BA70" i="6" s="1"/>
  <c r="J342" i="18"/>
  <c r="C342" i="6" s="1"/>
  <c r="J106" i="18"/>
  <c r="C106" i="6" s="1"/>
  <c r="I366" i="18"/>
  <c r="B366" i="6" s="1"/>
  <c r="BA366" i="6" s="1"/>
  <c r="J311" i="18"/>
  <c r="C311" i="6" s="1"/>
  <c r="I336" i="18"/>
  <c r="B336" i="6" s="1"/>
  <c r="BA336" i="6" s="1"/>
  <c r="J255" i="18"/>
  <c r="C255" i="6" s="1"/>
  <c r="J230" i="18"/>
  <c r="C230" i="6" s="1"/>
  <c r="H227" i="18"/>
  <c r="I227" i="18" s="1"/>
  <c r="B227" i="6" s="1"/>
  <c r="BA227" i="6" s="1"/>
  <c r="J63" i="18"/>
  <c r="C63" i="6" s="1"/>
  <c r="I213" i="18"/>
  <c r="B213" i="6" s="1"/>
  <c r="BA213" i="6" s="1"/>
  <c r="J354" i="18"/>
  <c r="C354" i="6" s="1"/>
  <c r="J293" i="18"/>
  <c r="C293" i="6" s="1"/>
  <c r="I240" i="18"/>
  <c r="B240" i="6" s="1"/>
  <c r="BA240" i="6" s="1"/>
  <c r="I199" i="18"/>
  <c r="B199" i="6" s="1"/>
  <c r="BA199" i="6" s="1"/>
  <c r="I184" i="18"/>
  <c r="B184" i="6" s="1"/>
  <c r="BA184" i="6" s="1"/>
  <c r="J150" i="18"/>
  <c r="C150" i="6" s="1"/>
  <c r="I26" i="18"/>
  <c r="B26" i="6" s="1"/>
  <c r="BA26" i="6" s="1"/>
  <c r="J280" i="18"/>
  <c r="C280" i="6" s="1"/>
  <c r="I177" i="18"/>
  <c r="B177" i="6" s="1"/>
  <c r="BA177" i="6" s="1"/>
  <c r="J297" i="18"/>
  <c r="C297" i="6" s="1"/>
  <c r="J161" i="18"/>
  <c r="C161" i="6" s="1"/>
  <c r="I277" i="18"/>
  <c r="B277" i="6" s="1"/>
  <c r="BA277" i="6" s="1"/>
  <c r="AA180" i="18"/>
  <c r="Z180" i="18" s="1"/>
  <c r="Y180" i="18" s="1"/>
  <c r="J37" i="18"/>
  <c r="C37" i="6" s="1"/>
  <c r="J317" i="18"/>
  <c r="C317" i="6" s="1"/>
  <c r="I204" i="18"/>
  <c r="B204" i="6" s="1"/>
  <c r="BA204" i="6" s="1"/>
  <c r="AA88" i="18"/>
  <c r="Z88" i="18" s="1"/>
  <c r="Y88" i="18" s="1"/>
  <c r="I249" i="18"/>
  <c r="B249" i="6" s="1"/>
  <c r="BA249" i="6" s="1"/>
  <c r="I169" i="18"/>
  <c r="B169" i="6" s="1"/>
  <c r="BA169" i="6" s="1"/>
  <c r="I283" i="18"/>
  <c r="B283" i="6" s="1"/>
  <c r="BA283" i="6" s="1"/>
  <c r="I171" i="18"/>
  <c r="B171" i="6" s="1"/>
  <c r="BA171" i="6" s="1"/>
  <c r="I101" i="18"/>
  <c r="B101" i="6" s="1"/>
  <c r="BA101" i="6" s="1"/>
  <c r="J234" i="18"/>
  <c r="C234" i="6" s="1"/>
  <c r="H88" i="18"/>
  <c r="J88" i="18" s="1"/>
  <c r="C88" i="6" s="1"/>
  <c r="I67" i="18"/>
  <c r="B67" i="6" s="1"/>
  <c r="BA67" i="6" s="1"/>
  <c r="AA302" i="18"/>
  <c r="Z302" i="18" s="1"/>
  <c r="Y302" i="18" s="1"/>
  <c r="I307" i="18"/>
  <c r="B307" i="6" s="1"/>
  <c r="BA307" i="6" s="1"/>
  <c r="I22" i="18"/>
  <c r="B22" i="6" s="1"/>
  <c r="BA22" i="6" s="1"/>
  <c r="J290" i="18"/>
  <c r="C290" i="6" s="1"/>
  <c r="AA119" i="18"/>
  <c r="Z119" i="18" s="1"/>
  <c r="Y119" i="18" s="1"/>
  <c r="H302" i="18"/>
  <c r="I302" i="18" s="1"/>
  <c r="B302" i="6" s="1"/>
  <c r="BA302" i="6" s="1"/>
  <c r="J68" i="18"/>
  <c r="C68" i="6" s="1"/>
  <c r="J217" i="18"/>
  <c r="C217" i="6" s="1"/>
  <c r="J335" i="18"/>
  <c r="C335" i="6" s="1"/>
  <c r="J253" i="18"/>
  <c r="C253" i="6" s="1"/>
  <c r="J282" i="18"/>
  <c r="C282" i="6" s="1"/>
  <c r="H180" i="18"/>
  <c r="J180" i="18" s="1"/>
  <c r="C180" i="6" s="1"/>
  <c r="I185" i="18"/>
  <c r="B185" i="6" s="1"/>
  <c r="BA185" i="6" s="1"/>
  <c r="W354" i="20"/>
  <c r="W17" i="20"/>
  <c r="I231" i="18"/>
  <c r="B231" i="6" s="1"/>
  <c r="BA231" i="6" s="1"/>
  <c r="J281" i="18"/>
  <c r="C281" i="6" s="1"/>
  <c r="H119" i="18"/>
  <c r="I119" i="18" s="1"/>
  <c r="B119" i="6" s="1"/>
  <c r="BA119" i="6" s="1"/>
  <c r="I267" i="18"/>
  <c r="B267" i="6" s="1"/>
  <c r="BA267" i="6" s="1"/>
  <c r="J376" i="18"/>
  <c r="C376" i="6" s="1"/>
  <c r="J244" i="18"/>
  <c r="C244" i="6" s="1"/>
  <c r="I243" i="18"/>
  <c r="B243" i="6" s="1"/>
  <c r="BA243" i="6" s="1"/>
  <c r="J145" i="18"/>
  <c r="C145" i="6" s="1"/>
  <c r="I163" i="18"/>
  <c r="B163" i="6" s="1"/>
  <c r="BA163" i="6" s="1"/>
  <c r="I221" i="18"/>
  <c r="B221" i="6" s="1"/>
  <c r="BA221" i="6" s="1"/>
  <c r="J182" i="18"/>
  <c r="C182" i="6" s="1"/>
  <c r="I142" i="18"/>
  <c r="B142" i="6" s="1"/>
  <c r="BA142" i="6" s="1"/>
  <c r="I259" i="18"/>
  <c r="B259" i="6" s="1"/>
  <c r="BA259" i="6" s="1"/>
  <c r="I17" i="18"/>
  <c r="B17" i="6" s="1"/>
  <c r="BA17" i="6" s="1"/>
  <c r="J98" i="18"/>
  <c r="C98" i="6" s="1"/>
  <c r="J137" i="18"/>
  <c r="C137" i="6" s="1"/>
  <c r="J25" i="18"/>
  <c r="C25" i="6" s="1"/>
  <c r="I147" i="18"/>
  <c r="B147" i="6" s="1"/>
  <c r="BA147" i="6" s="1"/>
  <c r="I75" i="18"/>
  <c r="B75" i="6" s="1"/>
  <c r="BA75" i="6" s="1"/>
  <c r="J248" i="18"/>
  <c r="C248" i="6" s="1"/>
  <c r="J207" i="18"/>
  <c r="C207" i="6" s="1"/>
  <c r="J313" i="18"/>
  <c r="C313" i="6" s="1"/>
  <c r="I375" i="18"/>
  <c r="B375" i="6" s="1"/>
  <c r="BA375" i="6" s="1"/>
  <c r="J40" i="18"/>
  <c r="C40" i="6" s="1"/>
  <c r="I114" i="18"/>
  <c r="B114" i="6" s="1"/>
  <c r="BA114" i="6" s="1"/>
  <c r="I362" i="18"/>
  <c r="B362" i="6" s="1"/>
  <c r="BA362" i="6" s="1"/>
  <c r="I308" i="18"/>
  <c r="B308" i="6" s="1"/>
  <c r="BA308" i="6" s="1"/>
  <c r="I107" i="18"/>
  <c r="B107" i="6" s="1"/>
  <c r="BA107" i="6" s="1"/>
  <c r="I130" i="18"/>
  <c r="B130" i="6" s="1"/>
  <c r="BA130" i="6" s="1"/>
  <c r="I291" i="18"/>
  <c r="B291" i="6" s="1"/>
  <c r="BA291" i="6" s="1"/>
  <c r="I269" i="18"/>
  <c r="B269" i="6" s="1"/>
  <c r="BA269" i="6" s="1"/>
  <c r="I194" i="18"/>
  <c r="B194" i="6" s="1"/>
  <c r="BA194" i="6" s="1"/>
  <c r="I144" i="18"/>
  <c r="B144" i="6" s="1"/>
  <c r="BA144" i="6" s="1"/>
  <c r="J140" i="18"/>
  <c r="C140" i="6" s="1"/>
  <c r="J219" i="18"/>
  <c r="C219" i="6" s="1"/>
  <c r="J134" i="18"/>
  <c r="C134" i="6" s="1"/>
  <c r="I175" i="18"/>
  <c r="B175" i="6" s="1"/>
  <c r="BA175" i="6" s="1"/>
  <c r="I123" i="18"/>
  <c r="B123" i="6" s="1"/>
  <c r="BA123" i="6" s="1"/>
  <c r="I340" i="18"/>
  <c r="B340" i="6" s="1"/>
  <c r="BA340" i="6" s="1"/>
  <c r="J78" i="18"/>
  <c r="C78" i="6" s="1"/>
  <c r="I339" i="18"/>
  <c r="B339" i="6" s="1"/>
  <c r="BA339" i="6" s="1"/>
  <c r="I326" i="18"/>
  <c r="B326" i="6" s="1"/>
  <c r="BA326" i="6" s="1"/>
  <c r="I104" i="18"/>
  <c r="B104" i="6" s="1"/>
  <c r="BA104" i="6" s="1"/>
  <c r="I327" i="18"/>
  <c r="B327" i="6" s="1"/>
  <c r="BA327" i="6" s="1"/>
  <c r="J59" i="18"/>
  <c r="C59" i="6" s="1"/>
  <c r="J30" i="18"/>
  <c r="C30" i="6" s="1"/>
  <c r="I136" i="18"/>
  <c r="B136" i="6" s="1"/>
  <c r="BA136" i="6" s="1"/>
  <c r="J359" i="18"/>
  <c r="C359" i="6" s="1"/>
  <c r="I157" i="18"/>
  <c r="B157" i="6" s="1"/>
  <c r="BA157" i="6" s="1"/>
  <c r="J77" i="18"/>
  <c r="C77" i="6" s="1"/>
  <c r="J356" i="18"/>
  <c r="C356" i="6" s="1"/>
  <c r="I120" i="18"/>
  <c r="B120" i="6" s="1"/>
  <c r="BA120" i="6" s="1"/>
  <c r="J89" i="18"/>
  <c r="C89" i="6" s="1"/>
  <c r="I324" i="18"/>
  <c r="B324" i="6" s="1"/>
  <c r="BA324" i="6" s="1"/>
  <c r="I347" i="18"/>
  <c r="B347" i="6" s="1"/>
  <c r="BA347" i="6" s="1"/>
  <c r="I48" i="18"/>
  <c r="B48" i="6" s="1"/>
  <c r="BA48" i="6" s="1"/>
  <c r="I228" i="18"/>
  <c r="B228" i="6" s="1"/>
  <c r="BA228" i="6" s="1"/>
  <c r="AH26" i="7"/>
  <c r="J73" i="18"/>
  <c r="C73" i="6" s="1"/>
  <c r="I66" i="18"/>
  <c r="B66" i="6" s="1"/>
  <c r="BA66" i="6" s="1"/>
  <c r="I341" i="18"/>
  <c r="B341" i="6" s="1"/>
  <c r="BA341" i="6" s="1"/>
  <c r="J181" i="18"/>
  <c r="C181" i="6" s="1"/>
  <c r="I325" i="18"/>
  <c r="B325" i="6" s="1"/>
  <c r="BA325" i="6" s="1"/>
  <c r="I303" i="18"/>
  <c r="B303" i="6" s="1"/>
  <c r="BA303" i="6" s="1"/>
  <c r="I44" i="18"/>
  <c r="B44" i="6" s="1"/>
  <c r="BA44" i="6" s="1"/>
  <c r="J132" i="18"/>
  <c r="C132" i="6" s="1"/>
  <c r="I321" i="18"/>
  <c r="B321" i="6" s="1"/>
  <c r="BA321" i="6" s="1"/>
  <c r="J190" i="18"/>
  <c r="C190" i="6" s="1"/>
  <c r="I23" i="18"/>
  <c r="B23" i="6" s="1"/>
  <c r="BA23" i="6" s="1"/>
  <c r="I159" i="18"/>
  <c r="B159" i="6" s="1"/>
  <c r="BA159" i="6" s="1"/>
  <c r="I186" i="18"/>
  <c r="B186" i="6" s="1"/>
  <c r="BA186" i="6" s="1"/>
  <c r="J129" i="18"/>
  <c r="C129" i="6" s="1"/>
  <c r="I254" i="18"/>
  <c r="B254" i="6" s="1"/>
  <c r="BA254" i="6" s="1"/>
  <c r="I126" i="18"/>
  <c r="B126" i="6" s="1"/>
  <c r="BA126" i="6" s="1"/>
  <c r="I90" i="18"/>
  <c r="B90" i="6" s="1"/>
  <c r="BA90" i="6" s="1"/>
  <c r="J178" i="18"/>
  <c r="C178" i="6" s="1"/>
  <c r="J96" i="18"/>
  <c r="C96" i="6" s="1"/>
  <c r="V29" i="20"/>
  <c r="B29" i="20" s="1"/>
  <c r="V60" i="20"/>
  <c r="V241" i="20"/>
  <c r="B241" i="20" s="1"/>
  <c r="AH25" i="7"/>
  <c r="AH29" i="7"/>
  <c r="AH22" i="7"/>
  <c r="AH28" i="7"/>
  <c r="I252" i="18"/>
  <c r="B252" i="6" s="1"/>
  <c r="BA252" i="6" s="1"/>
  <c r="J318" i="18"/>
  <c r="C318" i="6" s="1"/>
  <c r="J183" i="18"/>
  <c r="C183" i="6" s="1"/>
  <c r="J304" i="18"/>
  <c r="C304" i="6" s="1"/>
  <c r="J287" i="18"/>
  <c r="C287" i="6" s="1"/>
  <c r="J128" i="18"/>
  <c r="C128" i="6" s="1"/>
  <c r="I115" i="18"/>
  <c r="B115" i="6" s="1"/>
  <c r="BA115" i="6" s="1"/>
  <c r="I360" i="18"/>
  <c r="B360" i="6" s="1"/>
  <c r="BA360" i="6" s="1"/>
  <c r="J131" i="18"/>
  <c r="C131" i="6" s="1"/>
  <c r="I209" i="18"/>
  <c r="B209" i="6" s="1"/>
  <c r="BA209" i="6" s="1"/>
  <c r="AH31" i="7"/>
  <c r="I141" i="18"/>
  <c r="B141" i="6" s="1"/>
  <c r="BA141" i="6" s="1"/>
  <c r="J168" i="18"/>
  <c r="C168" i="6" s="1"/>
  <c r="I133" i="18"/>
  <c r="B133" i="6" s="1"/>
  <c r="BA133" i="6" s="1"/>
  <c r="J127" i="18"/>
  <c r="C127" i="6" s="1"/>
  <c r="J153" i="18"/>
  <c r="C153" i="6" s="1"/>
  <c r="J344" i="18"/>
  <c r="C344" i="6" s="1"/>
  <c r="I80" i="18"/>
  <c r="B80" i="6" s="1"/>
  <c r="BA80" i="6" s="1"/>
  <c r="J176" i="18"/>
  <c r="C176" i="6" s="1"/>
  <c r="J55" i="18"/>
  <c r="C55" i="6" s="1"/>
  <c r="J332" i="18"/>
  <c r="C332" i="6" s="1"/>
  <c r="J233" i="18"/>
  <c r="C233" i="6" s="1"/>
  <c r="I69" i="18"/>
  <c r="B69" i="6" s="1"/>
  <c r="BA69" i="6" s="1"/>
  <c r="I188" i="18"/>
  <c r="B188" i="6" s="1"/>
  <c r="BA188" i="6" s="1"/>
  <c r="I33" i="18"/>
  <c r="B33" i="6" s="1"/>
  <c r="BA33" i="6" s="1"/>
  <c r="I84" i="18"/>
  <c r="B84" i="6" s="1"/>
  <c r="BA84" i="6" s="1"/>
  <c r="J50" i="18"/>
  <c r="C50" i="6" s="1"/>
  <c r="J83" i="18"/>
  <c r="C83" i="6" s="1"/>
  <c r="I58" i="18"/>
  <c r="B58" i="6" s="1"/>
  <c r="BA58" i="6" s="1"/>
  <c r="I32" i="18"/>
  <c r="B32" i="6" s="1"/>
  <c r="BA32" i="6" s="1"/>
  <c r="J121" i="18"/>
  <c r="C121" i="6" s="1"/>
  <c r="J165" i="18"/>
  <c r="C165" i="6" s="1"/>
  <c r="I229" i="18"/>
  <c r="B229" i="6" s="1"/>
  <c r="BA229" i="6" s="1"/>
  <c r="I367" i="18"/>
  <c r="B367" i="6" s="1"/>
  <c r="BA367" i="6" s="1"/>
  <c r="I87" i="18"/>
  <c r="B87" i="6" s="1"/>
  <c r="BA87" i="6" s="1"/>
  <c r="I266" i="18"/>
  <c r="B266" i="6" s="1"/>
  <c r="BA266" i="6" s="1"/>
  <c r="J155" i="18"/>
  <c r="C155" i="6" s="1"/>
  <c r="J265" i="18"/>
  <c r="C265" i="6" s="1"/>
  <c r="J151" i="18"/>
  <c r="C151" i="6" s="1"/>
  <c r="J223" i="18"/>
  <c r="C223" i="6" s="1"/>
  <c r="J95" i="18"/>
  <c r="C95" i="6" s="1"/>
  <c r="J208" i="18"/>
  <c r="C208" i="6" s="1"/>
  <c r="J377" i="18"/>
  <c r="C377" i="6" s="1"/>
  <c r="I361" i="18"/>
  <c r="B361" i="6" s="1"/>
  <c r="BA361" i="6" s="1"/>
  <c r="W224" i="20"/>
  <c r="D285" i="20"/>
  <c r="E285" i="20" s="1"/>
  <c r="F285" i="20" s="1"/>
  <c r="W285" i="20"/>
  <c r="G379" i="18"/>
  <c r="CA379" i="6" s="1"/>
  <c r="H379" i="18"/>
  <c r="AA379" i="18"/>
  <c r="Z379" i="18" s="1"/>
  <c r="Y379" i="18" s="1"/>
  <c r="S383" i="18"/>
  <c r="S381" i="18"/>
  <c r="S382" i="18"/>
  <c r="R15" i="18"/>
  <c r="U12" i="22"/>
  <c r="T379" i="20"/>
  <c r="S379" i="20" s="1"/>
  <c r="R379" i="20" s="1"/>
  <c r="P379" i="20" s="1"/>
  <c r="AH16" i="7"/>
  <c r="AN11" i="7" s="1"/>
  <c r="U11" i="22" s="1"/>
  <c r="U10" i="22" s="1"/>
  <c r="T15" i="20"/>
  <c r="U381" i="20"/>
  <c r="AI12" i="22"/>
  <c r="AF383" i="18"/>
  <c r="AD15" i="18"/>
  <c r="AF381" i="18"/>
  <c r="AF382" i="18"/>
  <c r="F9" i="17"/>
  <c r="AA15" i="17"/>
  <c r="F383" i="17"/>
  <c r="AK10" i="17"/>
  <c r="AK12" i="17" s="1"/>
  <c r="AK13" i="17" s="1"/>
  <c r="F382" i="17"/>
  <c r="F381" i="17"/>
  <c r="G15" i="17"/>
  <c r="BZ15" i="6" s="1"/>
  <c r="H15" i="17"/>
  <c r="AM10" i="17"/>
  <c r="V381" i="17"/>
  <c r="V382" i="17"/>
  <c r="V383" i="17"/>
  <c r="B64" i="19"/>
  <c r="N64" i="19" s="1"/>
  <c r="I288" i="18"/>
  <c r="B288" i="6" s="1"/>
  <c r="BA288" i="6" s="1"/>
  <c r="J288" i="18"/>
  <c r="C288" i="6" s="1"/>
  <c r="AJ4" i="16"/>
  <c r="P13" i="19" s="1"/>
  <c r="AL13" i="16"/>
  <c r="I74" i="18"/>
  <c r="B74" i="6" s="1"/>
  <c r="BA74" i="6" s="1"/>
  <c r="J74" i="18"/>
  <c r="C74" i="6" s="1"/>
  <c r="J196" i="18"/>
  <c r="C196" i="6" s="1"/>
  <c r="I196" i="18"/>
  <c r="B196" i="6" s="1"/>
  <c r="BA196" i="6" s="1"/>
  <c r="AK4" i="16"/>
  <c r="R13" i="19" s="1"/>
  <c r="N14" i="19" s="1"/>
  <c r="AM13" i="16"/>
  <c r="J29" i="18"/>
  <c r="C29" i="6" s="1"/>
  <c r="I29" i="18"/>
  <c r="B29" i="6" s="1"/>
  <c r="BA29" i="6" s="1"/>
  <c r="J333" i="18"/>
  <c r="C333" i="6" s="1"/>
  <c r="I333" i="18"/>
  <c r="B333" i="6" s="1"/>
  <c r="BA333" i="6" s="1"/>
  <c r="J258" i="18"/>
  <c r="C258" i="6" s="1"/>
  <c r="I258" i="18"/>
  <c r="B258" i="6" s="1"/>
  <c r="BA258" i="6" s="1"/>
  <c r="I105" i="18"/>
  <c r="B105" i="6" s="1"/>
  <c r="BA105" i="6" s="1"/>
  <c r="J105" i="18"/>
  <c r="C105" i="6" s="1"/>
  <c r="I272" i="18"/>
  <c r="B272" i="6" s="1"/>
  <c r="BA272" i="6" s="1"/>
  <c r="J272" i="18"/>
  <c r="C272" i="6" s="1"/>
  <c r="J135" i="18"/>
  <c r="C135" i="6" s="1"/>
  <c r="I135" i="18"/>
  <c r="B135" i="6" s="1"/>
  <c r="BA135" i="6" s="1"/>
  <c r="I46" i="18"/>
  <c r="B46" i="6" s="1"/>
  <c r="BA46" i="6" s="1"/>
  <c r="J46" i="18"/>
  <c r="C46" i="6" s="1"/>
  <c r="J319" i="18"/>
  <c r="C319" i="6" s="1"/>
  <c r="I319" i="18"/>
  <c r="B319" i="6" s="1"/>
  <c r="BA319" i="6" s="1"/>
  <c r="I349" i="18"/>
  <c r="B349" i="6" s="1"/>
  <c r="BA349" i="6" s="1"/>
  <c r="J349" i="18"/>
  <c r="C349" i="6" s="1"/>
  <c r="J13" i="19"/>
  <c r="Z11" i="16"/>
  <c r="Z5" i="16" s="1"/>
  <c r="H13" i="19" s="1"/>
  <c r="AA11" i="16"/>
  <c r="AA5" i="16" s="1"/>
  <c r="I13" i="19" s="1"/>
  <c r="J363" i="18"/>
  <c r="C363" i="6" s="1"/>
  <c r="I363" i="18"/>
  <c r="B363" i="6" s="1"/>
  <c r="BA363" i="6" s="1"/>
  <c r="I210" i="18"/>
  <c r="B210" i="6" s="1"/>
  <c r="BA210" i="6" s="1"/>
  <c r="J210" i="18"/>
  <c r="C210" i="6" s="1"/>
  <c r="J166" i="18"/>
  <c r="C166" i="6" s="1"/>
  <c r="I166" i="18"/>
  <c r="B166" i="6" s="1"/>
  <c r="BA166" i="6" s="1"/>
  <c r="J241" i="18"/>
  <c r="C241" i="6" s="1"/>
  <c r="I241" i="18"/>
  <c r="B241" i="6" s="1"/>
  <c r="BA241" i="6" s="1"/>
  <c r="J60" i="18"/>
  <c r="C60" i="6" s="1"/>
  <c r="I60" i="18"/>
  <c r="B60" i="6" s="1"/>
  <c r="BA60" i="6" s="1"/>
  <c r="AF15" i="20" l="1"/>
  <c r="AD15" i="20" s="1"/>
  <c r="AD254" i="20"/>
  <c r="AD153" i="20"/>
  <c r="AD184" i="20"/>
  <c r="AD128" i="20"/>
  <c r="AD341" i="20"/>
  <c r="AD339" i="20"/>
  <c r="AD250" i="20"/>
  <c r="AD167" i="20"/>
  <c r="AD77" i="20"/>
  <c r="AD264" i="20"/>
  <c r="AD101" i="20"/>
  <c r="AD45" i="20"/>
  <c r="AD355" i="20"/>
  <c r="AD242" i="20"/>
  <c r="AD95" i="20"/>
  <c r="AD302" i="20"/>
  <c r="AA302" i="20" s="1"/>
  <c r="Z302" i="20" s="1"/>
  <c r="Y302" i="20" s="1"/>
  <c r="AD136" i="20"/>
  <c r="AD108" i="20"/>
  <c r="AD199" i="20"/>
  <c r="AD256" i="20"/>
  <c r="AD147" i="20"/>
  <c r="AD206" i="20"/>
  <c r="AD131" i="20"/>
  <c r="AD110" i="20"/>
  <c r="AA110" i="20" s="1"/>
  <c r="Z110" i="20" s="1"/>
  <c r="Y110" i="20" s="1"/>
  <c r="AD150" i="20"/>
  <c r="AD255" i="20"/>
  <c r="AD363" i="20"/>
  <c r="AD309" i="20"/>
  <c r="AD186" i="20"/>
  <c r="AD318" i="20"/>
  <c r="AD187" i="20"/>
  <c r="AD237" i="20"/>
  <c r="AD275" i="20"/>
  <c r="AA275" i="20" s="1"/>
  <c r="Z275" i="20" s="1"/>
  <c r="Y275" i="20" s="1"/>
  <c r="AD368" i="20"/>
  <c r="AA368" i="20" s="1"/>
  <c r="Z368" i="20" s="1"/>
  <c r="Y368" i="20" s="1"/>
  <c r="AD27" i="20"/>
  <c r="AD64" i="20"/>
  <c r="AD178" i="20"/>
  <c r="AD330" i="20"/>
  <c r="AD20" i="20"/>
  <c r="AD284" i="20"/>
  <c r="AD117" i="20"/>
  <c r="AA117" i="20" s="1"/>
  <c r="Z117" i="20" s="1"/>
  <c r="Y117" i="20" s="1"/>
  <c r="AD226" i="20"/>
  <c r="AD295" i="20"/>
  <c r="AA300" i="20"/>
  <c r="Z300" i="20" s="1"/>
  <c r="Y300" i="20" s="1"/>
  <c r="AD218" i="20"/>
  <c r="AA218" i="20" s="1"/>
  <c r="Z218" i="20" s="1"/>
  <c r="Y218" i="20" s="1"/>
  <c r="AD112" i="20"/>
  <c r="D340" i="20"/>
  <c r="E340" i="20" s="1"/>
  <c r="F340" i="20" s="1"/>
  <c r="G340" i="20" s="1"/>
  <c r="CB340" i="6" s="1"/>
  <c r="D120" i="20"/>
  <c r="E120" i="20" s="1"/>
  <c r="F120" i="20" s="1"/>
  <c r="AA120" i="20" s="1"/>
  <c r="Z120" i="20" s="1"/>
  <c r="Y120" i="20" s="1"/>
  <c r="W302" i="20"/>
  <c r="W210" i="20"/>
  <c r="W319" i="20"/>
  <c r="W175" i="20"/>
  <c r="W230" i="20"/>
  <c r="D291" i="20"/>
  <c r="E291" i="20" s="1"/>
  <c r="F291" i="20" s="1"/>
  <c r="G291" i="20" s="1"/>
  <c r="CB291" i="6" s="1"/>
  <c r="D363" i="20"/>
  <c r="E363" i="20" s="1"/>
  <c r="F363" i="20" s="1"/>
  <c r="AA363" i="20" s="1"/>
  <c r="Z363" i="20" s="1"/>
  <c r="Y363" i="20" s="1"/>
  <c r="W349" i="20"/>
  <c r="W72" i="20"/>
  <c r="D135" i="20"/>
  <c r="E135" i="20" s="1"/>
  <c r="F135" i="20" s="1"/>
  <c r="W183" i="20"/>
  <c r="D61" i="20"/>
  <c r="E61" i="20" s="1"/>
  <c r="F61" i="20" s="1"/>
  <c r="H61" i="20" s="1"/>
  <c r="I61" i="20" s="1"/>
  <c r="AD137" i="20"/>
  <c r="AD154" i="20"/>
  <c r="AD276" i="20"/>
  <c r="AD142" i="20"/>
  <c r="AD241" i="20"/>
  <c r="AD227" i="20"/>
  <c r="AD210" i="20"/>
  <c r="AD134" i="20"/>
  <c r="AD278" i="20"/>
  <c r="AA278" i="20" s="1"/>
  <c r="Z278" i="20" s="1"/>
  <c r="Y278" i="20" s="1"/>
  <c r="AD286" i="20"/>
  <c r="AD283" i="20"/>
  <c r="AD124" i="20"/>
  <c r="AD342" i="20"/>
  <c r="AD281" i="20"/>
  <c r="AA281" i="20" s="1"/>
  <c r="Z281" i="20" s="1"/>
  <c r="Y281" i="20" s="1"/>
  <c r="D263" i="20"/>
  <c r="E263" i="20" s="1"/>
  <c r="F263" i="20" s="1"/>
  <c r="G263" i="20" s="1"/>
  <c r="CB263" i="6" s="1"/>
  <c r="W197" i="20"/>
  <c r="D95" i="20"/>
  <c r="E95" i="20" s="1"/>
  <c r="F95" i="20" s="1"/>
  <c r="AA95" i="20" s="1"/>
  <c r="Z95" i="20" s="1"/>
  <c r="Y95" i="20" s="1"/>
  <c r="W105" i="20"/>
  <c r="W149" i="20"/>
  <c r="W357" i="20"/>
  <c r="W132" i="20"/>
  <c r="W161" i="20"/>
  <c r="W128" i="20"/>
  <c r="D180" i="20"/>
  <c r="E180" i="20" s="1"/>
  <c r="F180" i="20" s="1"/>
  <c r="W196" i="20"/>
  <c r="W88" i="20"/>
  <c r="W288" i="20"/>
  <c r="W227" i="20"/>
  <c r="W272" i="20"/>
  <c r="W198" i="20"/>
  <c r="D334" i="20"/>
  <c r="E334" i="20" s="1"/>
  <c r="F334" i="20" s="1"/>
  <c r="AA334" i="20" s="1"/>
  <c r="Z334" i="20" s="1"/>
  <c r="Y334" i="20" s="1"/>
  <c r="W219" i="20"/>
  <c r="D63" i="20"/>
  <c r="E63" i="20" s="1"/>
  <c r="F63" i="20" s="1"/>
  <c r="G63" i="20" s="1"/>
  <c r="CB63" i="6" s="1"/>
  <c r="W244" i="20"/>
  <c r="W239" i="20"/>
  <c r="W321" i="20"/>
  <c r="D80" i="20"/>
  <c r="E80" i="20" s="1"/>
  <c r="F80" i="20" s="1"/>
  <c r="AA80" i="20" s="1"/>
  <c r="Z80" i="20" s="1"/>
  <c r="Y80" i="20" s="1"/>
  <c r="D171" i="20"/>
  <c r="E171" i="20" s="1"/>
  <c r="F171" i="20" s="1"/>
  <c r="G171" i="20" s="1"/>
  <c r="CB171" i="6" s="1"/>
  <c r="D68" i="20"/>
  <c r="E68" i="20" s="1"/>
  <c r="F68" i="20" s="1"/>
  <c r="H68" i="20" s="1"/>
  <c r="I68" i="20" s="1"/>
  <c r="W36" i="20"/>
  <c r="W110" i="20"/>
  <c r="W366" i="20"/>
  <c r="D332" i="20"/>
  <c r="E332" i="20" s="1"/>
  <c r="F332" i="20" s="1"/>
  <c r="H332" i="20" s="1"/>
  <c r="I332" i="20" s="1"/>
  <c r="W246" i="20"/>
  <c r="W262" i="20"/>
  <c r="W59" i="20"/>
  <c r="D367" i="20"/>
  <c r="E367" i="20" s="1"/>
  <c r="F367" i="20" s="1"/>
  <c r="G367" i="20" s="1"/>
  <c r="CB367" i="6" s="1"/>
  <c r="W47" i="20"/>
  <c r="W164" i="20"/>
  <c r="D225" i="20"/>
  <c r="E225" i="20" s="1"/>
  <c r="F225" i="20" s="1"/>
  <c r="H225" i="20" s="1"/>
  <c r="I225" i="20" s="1"/>
  <c r="D360" i="20"/>
  <c r="E360" i="20" s="1"/>
  <c r="F360" i="20" s="1"/>
  <c r="H360" i="20" s="1"/>
  <c r="I360" i="20" s="1"/>
  <c r="W43" i="20"/>
  <c r="W62" i="20"/>
  <c r="AD111" i="20"/>
  <c r="AD272" i="20"/>
  <c r="AD194" i="20"/>
  <c r="AA194" i="20" s="1"/>
  <c r="Z194" i="20" s="1"/>
  <c r="Y194" i="20" s="1"/>
  <c r="AD324" i="20"/>
  <c r="AD214" i="20"/>
  <c r="AA214" i="20" s="1"/>
  <c r="Z214" i="20" s="1"/>
  <c r="Y214" i="20" s="1"/>
  <c r="AD138" i="20"/>
  <c r="AA138" i="20" s="1"/>
  <c r="Z138" i="20" s="1"/>
  <c r="Y138" i="20" s="1"/>
  <c r="AD269" i="20"/>
  <c r="AD332" i="20"/>
  <c r="AD116" i="20"/>
  <c r="AD208" i="20"/>
  <c r="AD259" i="20"/>
  <c r="AA259" i="20" s="1"/>
  <c r="Z259" i="20" s="1"/>
  <c r="Y259" i="20" s="1"/>
  <c r="AD233" i="20"/>
  <c r="AA233" i="20" s="1"/>
  <c r="Z233" i="20" s="1"/>
  <c r="Y233" i="20" s="1"/>
  <c r="AD90" i="20"/>
  <c r="AA90" i="20" s="1"/>
  <c r="Z90" i="20" s="1"/>
  <c r="Y90" i="20" s="1"/>
  <c r="AD156" i="20"/>
  <c r="AA321" i="20"/>
  <c r="Z321" i="20" s="1"/>
  <c r="Y321" i="20" s="1"/>
  <c r="AA152" i="20"/>
  <c r="Z152" i="20" s="1"/>
  <c r="Y152" i="20" s="1"/>
  <c r="AA372" i="20"/>
  <c r="Z372" i="20" s="1"/>
  <c r="Y372" i="20" s="1"/>
  <c r="J66" i="19"/>
  <c r="W342" i="20"/>
  <c r="D153" i="20"/>
  <c r="E153" i="20" s="1"/>
  <c r="F153" i="20" s="1"/>
  <c r="AA153" i="20" s="1"/>
  <c r="Z153" i="20" s="1"/>
  <c r="Y153" i="20" s="1"/>
  <c r="D33" i="20"/>
  <c r="E33" i="20" s="1"/>
  <c r="F33" i="20" s="1"/>
  <c r="G33" i="20" s="1"/>
  <c r="CB33" i="6" s="1"/>
  <c r="W377" i="20"/>
  <c r="AA16" i="20"/>
  <c r="Z16" i="20" s="1"/>
  <c r="Y16" i="20" s="1"/>
  <c r="F66" i="19"/>
  <c r="D18" i="20"/>
  <c r="E18" i="20" s="1"/>
  <c r="F18" i="20" s="1"/>
  <c r="AA18" i="20" s="1"/>
  <c r="Z18" i="20" s="1"/>
  <c r="Y18" i="20" s="1"/>
  <c r="D240" i="20"/>
  <c r="E240" i="20" s="1"/>
  <c r="F240" i="20" s="1"/>
  <c r="AA240" i="20" s="1"/>
  <c r="Z240" i="20" s="1"/>
  <c r="Y240" i="20" s="1"/>
  <c r="W138" i="20"/>
  <c r="AH24" i="7"/>
  <c r="AA84" i="20"/>
  <c r="Z84" i="20" s="1"/>
  <c r="Y84" i="20" s="1"/>
  <c r="AA36" i="20"/>
  <c r="Z36" i="20" s="1"/>
  <c r="Y36" i="20" s="1"/>
  <c r="W264" i="20"/>
  <c r="W306" i="20"/>
  <c r="AD322" i="20"/>
  <c r="AD66" i="20"/>
  <c r="AD196" i="20"/>
  <c r="AD59" i="20"/>
  <c r="AD103" i="20"/>
  <c r="AD67" i="20"/>
  <c r="AD78" i="20"/>
  <c r="AD38" i="20"/>
  <c r="AA38" i="20" s="1"/>
  <c r="Z38" i="20" s="1"/>
  <c r="Y38" i="20" s="1"/>
  <c r="AD222" i="20"/>
  <c r="AD179" i="20"/>
  <c r="AD343" i="20"/>
  <c r="AA343" i="20" s="1"/>
  <c r="Z343" i="20" s="1"/>
  <c r="Y343" i="20" s="1"/>
  <c r="AD266" i="20"/>
  <c r="AD268" i="20"/>
  <c r="AD378" i="20"/>
  <c r="AA378" i="20" s="1"/>
  <c r="Z378" i="20" s="1"/>
  <c r="Y378" i="20" s="1"/>
  <c r="D249" i="20"/>
  <c r="E249" i="20" s="1"/>
  <c r="F249" i="20" s="1"/>
  <c r="AA249" i="20" s="1"/>
  <c r="Z249" i="20" s="1"/>
  <c r="Y249" i="20" s="1"/>
  <c r="D258" i="20"/>
  <c r="E258" i="20" s="1"/>
  <c r="F258" i="20" s="1"/>
  <c r="G258" i="20" s="1"/>
  <c r="CB258" i="6" s="1"/>
  <c r="W176" i="20"/>
  <c r="H162" i="20"/>
  <c r="I162" i="20" s="1"/>
  <c r="H213" i="20"/>
  <c r="J213" i="20" s="1"/>
  <c r="K66" i="19"/>
  <c r="H66" i="19"/>
  <c r="D66" i="19"/>
  <c r="U382" i="20"/>
  <c r="D134" i="20"/>
  <c r="E134" i="20" s="1"/>
  <c r="F134" i="20" s="1"/>
  <c r="G134" i="20" s="1"/>
  <c r="CB134" i="6" s="1"/>
  <c r="D65" i="20"/>
  <c r="E65" i="20" s="1"/>
  <c r="F65" i="20" s="1"/>
  <c r="AA65" i="20" s="1"/>
  <c r="Z65" i="20" s="1"/>
  <c r="Y65" i="20" s="1"/>
  <c r="D55" i="20"/>
  <c r="E55" i="20" s="1"/>
  <c r="F55" i="20" s="1"/>
  <c r="H55" i="20" s="1"/>
  <c r="I55" i="20" s="1"/>
  <c r="AA239" i="20"/>
  <c r="Z239" i="20" s="1"/>
  <c r="Y239" i="20" s="1"/>
  <c r="W94" i="20"/>
  <c r="W38" i="20"/>
  <c r="W305" i="20"/>
  <c r="AI383" i="20"/>
  <c r="D284" i="20"/>
  <c r="E284" i="20" s="1"/>
  <c r="F284" i="20" s="1"/>
  <c r="W26" i="20"/>
  <c r="AI381" i="20"/>
  <c r="V119" i="20"/>
  <c r="B119" i="20" s="1"/>
  <c r="D119" i="20" s="1"/>
  <c r="E119" i="20" s="1"/>
  <c r="F119" i="20" s="1"/>
  <c r="D309" i="20"/>
  <c r="E309" i="20" s="1"/>
  <c r="F309" i="20" s="1"/>
  <c r="H309" i="20" s="1"/>
  <c r="J309" i="20" s="1"/>
  <c r="V333" i="20"/>
  <c r="B333" i="20" s="1"/>
  <c r="W333" i="20" s="1"/>
  <c r="AA377" i="20"/>
  <c r="Z377" i="20" s="1"/>
  <c r="Y377" i="20" s="1"/>
  <c r="W99" i="20"/>
  <c r="AA125" i="20"/>
  <c r="Z125" i="20" s="1"/>
  <c r="Y125" i="20" s="1"/>
  <c r="AE383" i="20"/>
  <c r="AD175" i="20"/>
  <c r="AA175" i="20" s="1"/>
  <c r="Z175" i="20" s="1"/>
  <c r="Y175" i="20" s="1"/>
  <c r="AD115" i="20"/>
  <c r="AD371" i="20"/>
  <c r="AD315" i="20"/>
  <c r="AD348" i="20"/>
  <c r="AD81" i="20"/>
  <c r="AD313" i="20"/>
  <c r="AD204" i="20"/>
  <c r="AD376" i="20"/>
  <c r="AD251" i="20"/>
  <c r="AD157" i="20"/>
  <c r="AD169" i="20"/>
  <c r="AD180" i="20"/>
  <c r="AD114" i="20"/>
  <c r="AD130" i="20"/>
  <c r="AD135" i="20"/>
  <c r="AD265" i="20"/>
  <c r="AD258" i="20"/>
  <c r="AD257" i="20"/>
  <c r="AD228" i="20"/>
  <c r="AD200" i="20"/>
  <c r="AD314" i="20"/>
  <c r="AD123" i="20"/>
  <c r="AA123" i="20" s="1"/>
  <c r="Z123" i="20" s="1"/>
  <c r="Y123" i="20" s="1"/>
  <c r="AD216" i="20"/>
  <c r="AA216" i="20" s="1"/>
  <c r="Z216" i="20" s="1"/>
  <c r="Y216" i="20" s="1"/>
  <c r="AD247" i="20"/>
  <c r="AD224" i="20"/>
  <c r="AA224" i="20" s="1"/>
  <c r="Z224" i="20" s="1"/>
  <c r="Y224" i="20" s="1"/>
  <c r="AD292" i="20"/>
  <c r="AD279" i="20"/>
  <c r="AD357" i="20"/>
  <c r="AA357" i="20" s="1"/>
  <c r="Z357" i="20" s="1"/>
  <c r="Y357" i="20" s="1"/>
  <c r="AD293" i="20"/>
  <c r="U383" i="20"/>
  <c r="W85" i="20"/>
  <c r="D56" i="20"/>
  <c r="E56" i="20" s="1"/>
  <c r="F56" i="20" s="1"/>
  <c r="H56" i="20" s="1"/>
  <c r="J56" i="20" s="1"/>
  <c r="AD282" i="20"/>
  <c r="AD317" i="20"/>
  <c r="AD367" i="20"/>
  <c r="AD285" i="20"/>
  <c r="AA285" i="20" s="1"/>
  <c r="Z285" i="20" s="1"/>
  <c r="Y285" i="20" s="1"/>
  <c r="AD370" i="20"/>
  <c r="AD220" i="20"/>
  <c r="AD231" i="20"/>
  <c r="AA75" i="20"/>
  <c r="Z75" i="20" s="1"/>
  <c r="Y75" i="20" s="1"/>
  <c r="AA57" i="20"/>
  <c r="Z57" i="20" s="1"/>
  <c r="Y57" i="20" s="1"/>
  <c r="AD347" i="20"/>
  <c r="AD21" i="20"/>
  <c r="AA21" i="20" s="1"/>
  <c r="Z21" i="20" s="1"/>
  <c r="Y21" i="20" s="1"/>
  <c r="AD69" i="20"/>
  <c r="AD195" i="20"/>
  <c r="AD197" i="20"/>
  <c r="AA197" i="20" s="1"/>
  <c r="Z197" i="20" s="1"/>
  <c r="Y197" i="20" s="1"/>
  <c r="AD118" i="20"/>
  <c r="AA118" i="20" s="1"/>
  <c r="Z118" i="20" s="1"/>
  <c r="Y118" i="20" s="1"/>
  <c r="AD252" i="20"/>
  <c r="AD374" i="20"/>
  <c r="AD162" i="20"/>
  <c r="AD29" i="20"/>
  <c r="AD44" i="20"/>
  <c r="AD346" i="20"/>
  <c r="AD172" i="20"/>
  <c r="AD291" i="20"/>
  <c r="AD119" i="20"/>
  <c r="AD209" i="20"/>
  <c r="AD221" i="20"/>
  <c r="AD211" i="20"/>
  <c r="AD345" i="20"/>
  <c r="AD193" i="20"/>
  <c r="AD238" i="20"/>
  <c r="AA238" i="20" s="1"/>
  <c r="Z238" i="20" s="1"/>
  <c r="Y238" i="20" s="1"/>
  <c r="AD189" i="20"/>
  <c r="AA189" i="20" s="1"/>
  <c r="Z189" i="20" s="1"/>
  <c r="Y189" i="20" s="1"/>
  <c r="AD42" i="20"/>
  <c r="AD166" i="20"/>
  <c r="AD148" i="20"/>
  <c r="AD188" i="20"/>
  <c r="AD333" i="20"/>
  <c r="AD161" i="20"/>
  <c r="AA161" i="20" s="1"/>
  <c r="Z161" i="20" s="1"/>
  <c r="Y161" i="20" s="1"/>
  <c r="AD25" i="20"/>
  <c r="AD79" i="20"/>
  <c r="AD26" i="20"/>
  <c r="AA26" i="20" s="1"/>
  <c r="Z26" i="20" s="1"/>
  <c r="Y26" i="20" s="1"/>
  <c r="AD43" i="20"/>
  <c r="AA43" i="20" s="1"/>
  <c r="Z43" i="20" s="1"/>
  <c r="Y43" i="20" s="1"/>
  <c r="AD60" i="20"/>
  <c r="AD37" i="20"/>
  <c r="AD82" i="20"/>
  <c r="AD232" i="20"/>
  <c r="AD364" i="20"/>
  <c r="AD277" i="20"/>
  <c r="AD143" i="20"/>
  <c r="AD104" i="20"/>
  <c r="AA104" i="20" s="1"/>
  <c r="Z104" i="20" s="1"/>
  <c r="Y104" i="20" s="1"/>
  <c r="AD203" i="20"/>
  <c r="AA203" i="20" s="1"/>
  <c r="Z203" i="20" s="1"/>
  <c r="Y203" i="20" s="1"/>
  <c r="AD183" i="20"/>
  <c r="AD344" i="20"/>
  <c r="AD139" i="20"/>
  <c r="I37" i="19"/>
  <c r="H37" i="19"/>
  <c r="AC382" i="25"/>
  <c r="AC383" i="25"/>
  <c r="AC381" i="25"/>
  <c r="J149" i="18"/>
  <c r="C149" i="6" s="1"/>
  <c r="O381" i="25"/>
  <c r="O382" i="25"/>
  <c r="O383" i="25"/>
  <c r="L44" i="19" s="1"/>
  <c r="G66" i="19"/>
  <c r="AI382" i="20"/>
  <c r="AD349" i="20"/>
  <c r="AA349" i="20" s="1"/>
  <c r="Z349" i="20" s="1"/>
  <c r="Y349" i="20" s="1"/>
  <c r="AD340" i="20"/>
  <c r="AA340" i="20" s="1"/>
  <c r="Z340" i="20" s="1"/>
  <c r="Y340" i="20" s="1"/>
  <c r="AD201" i="20"/>
  <c r="AD151" i="20"/>
  <c r="AA151" i="20" s="1"/>
  <c r="Z151" i="20" s="1"/>
  <c r="Y151" i="20" s="1"/>
  <c r="AD289" i="20"/>
  <c r="AD173" i="20"/>
  <c r="AD51" i="20"/>
  <c r="AD328" i="20"/>
  <c r="AD190" i="20"/>
  <c r="AD356" i="20"/>
  <c r="AD297" i="20"/>
  <c r="AD235" i="20"/>
  <c r="AD270" i="20"/>
  <c r="AD299" i="20"/>
  <c r="AD246" i="20"/>
  <c r="AA246" i="20" s="1"/>
  <c r="Z246" i="20" s="1"/>
  <c r="Y246" i="20" s="1"/>
  <c r="AD337" i="20"/>
  <c r="AD362" i="20"/>
  <c r="AD303" i="20"/>
  <c r="AD243" i="20"/>
  <c r="AD207" i="20"/>
  <c r="AE382" i="20"/>
  <c r="R4" i="6"/>
  <c r="AA298" i="20"/>
  <c r="Z298" i="20" s="1"/>
  <c r="Y298" i="20" s="1"/>
  <c r="AA226" i="20"/>
  <c r="Z226" i="20" s="1"/>
  <c r="Y226" i="20" s="1"/>
  <c r="AA133" i="20"/>
  <c r="Z133" i="20" s="1"/>
  <c r="Y133" i="20" s="1"/>
  <c r="AA192" i="20"/>
  <c r="Z192" i="20" s="1"/>
  <c r="Y192" i="20" s="1"/>
  <c r="AA158" i="20"/>
  <c r="Z158" i="20" s="1"/>
  <c r="Y158" i="20" s="1"/>
  <c r="AA176" i="20"/>
  <c r="Z176" i="20" s="1"/>
  <c r="Y176" i="20" s="1"/>
  <c r="AA319" i="20"/>
  <c r="Z319" i="20" s="1"/>
  <c r="Y319" i="20" s="1"/>
  <c r="AA206" i="20"/>
  <c r="Z206" i="20" s="1"/>
  <c r="Y206" i="20" s="1"/>
  <c r="AE381" i="20"/>
  <c r="AI11" i="22"/>
  <c r="AI299" i="22" s="1"/>
  <c r="AH299" i="22" s="1"/>
  <c r="AG299" i="22" s="1"/>
  <c r="AF299" i="22" s="1"/>
  <c r="Q212" i="22"/>
  <c r="AE11" i="22"/>
  <c r="AE256" i="22" s="1"/>
  <c r="G57" i="20"/>
  <c r="CB57" i="6" s="1"/>
  <c r="AE193" i="22"/>
  <c r="AE312" i="22"/>
  <c r="AE289" i="22"/>
  <c r="AE207" i="22"/>
  <c r="AE323" i="22"/>
  <c r="AE257" i="22"/>
  <c r="AE237" i="22"/>
  <c r="AE365" i="22"/>
  <c r="AE124" i="22"/>
  <c r="AE244" i="22"/>
  <c r="AE216" i="22"/>
  <c r="AE348" i="22"/>
  <c r="AE300" i="22"/>
  <c r="AE258" i="22"/>
  <c r="AE260" i="22"/>
  <c r="AE158" i="22"/>
  <c r="AE375" i="22"/>
  <c r="AE302" i="22"/>
  <c r="AE115" i="22"/>
  <c r="AE371" i="22"/>
  <c r="AE347" i="22"/>
  <c r="AE240" i="22"/>
  <c r="AE202" i="22"/>
  <c r="AE354" i="22"/>
  <c r="AE130" i="22"/>
  <c r="AE279" i="22"/>
  <c r="AE307" i="22"/>
  <c r="AE280" i="22"/>
  <c r="AE350" i="22"/>
  <c r="AE322" i="22"/>
  <c r="AE219" i="22"/>
  <c r="AE125" i="22"/>
  <c r="AE349" i="22"/>
  <c r="AE308" i="22"/>
  <c r="AE172" i="22"/>
  <c r="AE320" i="22"/>
  <c r="AE195" i="22"/>
  <c r="AE150" i="22"/>
  <c r="AE109" i="22"/>
  <c r="AE265" i="22"/>
  <c r="AE116" i="22"/>
  <c r="AE321" i="22"/>
  <c r="AE336" i="22"/>
  <c r="AE220" i="22"/>
  <c r="AE201" i="22"/>
  <c r="AE376" i="22"/>
  <c r="AE374" i="22"/>
  <c r="AE337" i="22"/>
  <c r="AE254" i="22"/>
  <c r="AE233" i="22"/>
  <c r="AE284" i="22"/>
  <c r="AE148" i="22"/>
  <c r="AE184" i="22"/>
  <c r="AE326" i="22"/>
  <c r="AE352" i="22"/>
  <c r="AE203" i="22"/>
  <c r="AE293" i="22"/>
  <c r="AE227" i="22"/>
  <c r="AE180" i="22"/>
  <c r="AE346" i="22"/>
  <c r="AE234" i="22"/>
  <c r="AE171" i="22"/>
  <c r="AA264" i="20"/>
  <c r="Z264" i="20" s="1"/>
  <c r="Y264" i="20" s="1"/>
  <c r="AI316" i="22"/>
  <c r="AH316" i="22" s="1"/>
  <c r="AG316" i="22" s="1"/>
  <c r="AF316" i="22" s="1"/>
  <c r="Q33" i="22"/>
  <c r="Q191" i="22"/>
  <c r="Q61" i="22"/>
  <c r="Q317" i="22"/>
  <c r="Q357" i="22"/>
  <c r="Q100" i="22"/>
  <c r="Q71" i="22"/>
  <c r="Q155" i="22"/>
  <c r="Q164" i="22"/>
  <c r="Q185" i="22"/>
  <c r="Q49" i="22"/>
  <c r="Q122" i="22"/>
  <c r="Q154" i="22"/>
  <c r="Q126" i="22"/>
  <c r="Q380" i="22"/>
  <c r="Q316" i="22"/>
  <c r="Q140" i="22"/>
  <c r="Q182" i="22"/>
  <c r="Q78" i="22"/>
  <c r="Q174" i="22"/>
  <c r="Q306" i="22"/>
  <c r="Q327" i="22"/>
  <c r="Q352" i="22"/>
  <c r="Q65" i="22"/>
  <c r="Q107" i="22"/>
  <c r="Q208" i="22"/>
  <c r="Q366" i="22"/>
  <c r="Q32" i="22"/>
  <c r="Q371" i="22"/>
  <c r="Q112" i="22"/>
  <c r="Q204" i="22"/>
  <c r="Q137" i="22"/>
  <c r="Q206" i="22"/>
  <c r="Q31" i="22"/>
  <c r="Q338" i="22"/>
  <c r="Q360" i="22"/>
  <c r="Q324" i="22"/>
  <c r="Q74" i="22"/>
  <c r="Q146" i="22"/>
  <c r="Q178" i="22"/>
  <c r="Q226" i="22"/>
  <c r="Q286" i="22"/>
  <c r="Q376" i="22"/>
  <c r="Q364" i="22"/>
  <c r="Q283" i="22"/>
  <c r="Q211" i="22"/>
  <c r="Q88" i="22"/>
  <c r="Q264" i="22"/>
  <c r="Q282" i="22"/>
  <c r="Q50" i="22"/>
  <c r="Q39" i="22"/>
  <c r="Q23" i="22"/>
  <c r="Q225" i="22"/>
  <c r="Q246" i="22"/>
  <c r="Q302" i="22"/>
  <c r="Q96" i="22"/>
  <c r="Q171" i="22"/>
  <c r="Q159" i="22"/>
  <c r="Q339" i="22"/>
  <c r="Q17" i="22"/>
  <c r="Q138" i="22"/>
  <c r="Q55" i="22"/>
  <c r="Q378" i="22"/>
  <c r="Q134" i="22"/>
  <c r="Q83" i="22"/>
  <c r="Q348" i="22"/>
  <c r="Q168" i="22"/>
  <c r="Q29" i="22"/>
  <c r="Q150" i="22"/>
  <c r="Q345" i="22"/>
  <c r="Q75" i="22"/>
  <c r="Q21" i="22"/>
  <c r="Q42" i="22"/>
  <c r="Q45" i="22"/>
  <c r="Q297" i="22"/>
  <c r="Q116" i="22"/>
  <c r="Q56" i="22"/>
  <c r="Q290" i="22"/>
  <c r="Q245" i="22"/>
  <c r="Q79" i="22"/>
  <c r="Q115" i="22"/>
  <c r="Q255" i="22"/>
  <c r="Q358" i="22"/>
  <c r="Q217" i="22"/>
  <c r="Q15" i="22"/>
  <c r="Q343" i="22"/>
  <c r="Q322" i="22"/>
  <c r="Q318" i="22"/>
  <c r="Q58" i="22"/>
  <c r="Q48" i="22"/>
  <c r="Q128" i="22"/>
  <c r="Q362" i="22"/>
  <c r="Q221" i="22"/>
  <c r="Q370" i="22"/>
  <c r="Q329" i="22"/>
  <c r="Q114" i="22"/>
  <c r="Q129" i="22"/>
  <c r="Q374" i="22"/>
  <c r="Q377" i="22"/>
  <c r="Q230" i="22"/>
  <c r="Q228" i="22"/>
  <c r="Q81" i="22"/>
  <c r="Q243" i="22"/>
  <c r="Q105" i="22"/>
  <c r="Q109" i="22"/>
  <c r="Q305" i="22"/>
  <c r="Q278" i="22"/>
  <c r="Q224" i="22"/>
  <c r="Q294" i="22"/>
  <c r="Q133" i="22"/>
  <c r="Q108" i="22"/>
  <c r="Q242" i="22"/>
  <c r="Q235" i="22"/>
  <c r="Q344" i="22"/>
  <c r="Q274" i="22"/>
  <c r="Q186" i="22"/>
  <c r="Q35" i="22"/>
  <c r="Q149" i="22"/>
  <c r="Q350" i="22"/>
  <c r="Q328" i="22"/>
  <c r="Q259" i="22"/>
  <c r="Q86" i="22"/>
  <c r="Q38" i="22"/>
  <c r="Q311" i="22"/>
  <c r="Q132" i="22"/>
  <c r="Q261" i="22"/>
  <c r="Q269" i="22"/>
  <c r="Q20" i="22"/>
  <c r="Q102" i="22"/>
  <c r="Q340" i="22"/>
  <c r="Q312" i="22"/>
  <c r="Q237" i="22"/>
  <c r="Q99" i="22"/>
  <c r="Q46" i="22"/>
  <c r="Q266" i="22"/>
  <c r="Q210" i="22"/>
  <c r="Q249" i="22"/>
  <c r="Q304" i="22"/>
  <c r="Q94" i="22"/>
  <c r="Q73" i="22"/>
  <c r="Q166" i="22"/>
  <c r="Q223" i="22"/>
  <c r="Q258" i="22"/>
  <c r="Q19" i="22"/>
  <c r="Q40" i="22"/>
  <c r="Q353" i="22"/>
  <c r="Q335" i="22"/>
  <c r="Q296" i="22"/>
  <c r="Q273" i="22"/>
  <c r="Q179" i="22"/>
  <c r="Q104" i="22"/>
  <c r="Q202" i="22"/>
  <c r="Q349" i="22"/>
  <c r="Q369" i="22"/>
  <c r="Q310" i="22"/>
  <c r="Q279" i="22"/>
  <c r="Q66" i="22"/>
  <c r="Q95" i="22"/>
  <c r="Q76" i="22"/>
  <c r="Q22" i="22"/>
  <c r="Q27" i="22"/>
  <c r="Q54" i="22"/>
  <c r="Q198" i="22"/>
  <c r="Q28" i="22"/>
  <c r="Q325" i="22"/>
  <c r="Q87" i="22"/>
  <c r="Q320" i="22"/>
  <c r="Q289" i="22"/>
  <c r="Q359" i="22"/>
  <c r="Q205" i="22"/>
  <c r="Q24" i="22"/>
  <c r="Q363" i="22"/>
  <c r="Q26" i="22"/>
  <c r="Q131" i="22"/>
  <c r="Q267" i="22"/>
  <c r="Q285" i="22"/>
  <c r="Q319" i="22"/>
  <c r="Q326" i="22"/>
  <c r="Q251" i="22"/>
  <c r="Q284" i="22"/>
  <c r="Q90" i="22"/>
  <c r="Q199" i="22"/>
  <c r="Q190" i="22"/>
  <c r="Q111" i="22"/>
  <c r="AO15" i="7"/>
  <c r="AE282" i="22"/>
  <c r="AE62" i="22"/>
  <c r="AE334" i="22"/>
  <c r="AE252" i="22"/>
  <c r="AE146" i="22"/>
  <c r="AE309" i="22"/>
  <c r="AE85" i="22"/>
  <c r="AE77" i="22"/>
  <c r="AE101" i="22"/>
  <c r="AE222" i="22"/>
  <c r="AE311" i="22"/>
  <c r="AE206" i="22"/>
  <c r="AE86" i="22"/>
  <c r="AE29" i="22"/>
  <c r="AE83" i="22"/>
  <c r="AE50" i="22"/>
  <c r="AE223" i="22"/>
  <c r="AE110" i="22"/>
  <c r="AE54" i="22"/>
  <c r="AE360" i="22"/>
  <c r="AE229" i="22"/>
  <c r="AE129" i="22"/>
  <c r="AE292" i="22"/>
  <c r="AE167" i="22"/>
  <c r="AE87" i="22"/>
  <c r="AE295" i="22"/>
  <c r="AE36" i="22"/>
  <c r="AE205" i="22"/>
  <c r="AE52" i="22"/>
  <c r="AE30" i="22"/>
  <c r="AE230" i="22"/>
  <c r="AE250" i="22"/>
  <c r="AE75" i="22"/>
  <c r="AE89" i="22"/>
  <c r="AE16" i="22"/>
  <c r="AE217" i="22"/>
  <c r="AE231" i="22"/>
  <c r="AE140" i="22"/>
  <c r="AE197" i="22"/>
  <c r="AE145" i="22"/>
  <c r="AE181" i="22"/>
  <c r="AE294" i="22"/>
  <c r="AE194" i="22"/>
  <c r="AE15" i="22"/>
  <c r="AE40" i="22"/>
  <c r="AE165" i="22"/>
  <c r="AE351" i="22"/>
  <c r="AE96" i="22"/>
  <c r="AE117" i="22"/>
  <c r="AE67" i="22"/>
  <c r="AE367" i="22"/>
  <c r="AE72" i="22"/>
  <c r="AE98" i="22"/>
  <c r="AE327" i="22"/>
  <c r="AE133" i="22"/>
  <c r="AE187" i="22"/>
  <c r="AE315" i="22"/>
  <c r="AE303" i="22"/>
  <c r="AE135" i="22"/>
  <c r="AE361" i="22"/>
  <c r="AE296" i="22"/>
  <c r="AE105" i="22"/>
  <c r="AE212" i="22"/>
  <c r="AE276" i="22"/>
  <c r="AE153" i="22"/>
  <c r="AE357" i="22"/>
  <c r="AE71" i="22"/>
  <c r="AE314" i="22"/>
  <c r="AE186" i="22"/>
  <c r="AE226" i="22"/>
  <c r="AE266" i="22"/>
  <c r="AE277" i="22"/>
  <c r="AE177" i="22"/>
  <c r="AE363" i="22"/>
  <c r="AE267" i="22"/>
  <c r="AE243" i="22"/>
  <c r="AE154" i="22"/>
  <c r="AE179" i="22"/>
  <c r="AE20" i="22"/>
  <c r="AE91" i="22"/>
  <c r="AE58" i="22"/>
  <c r="AE69" i="22"/>
  <c r="AE114" i="22"/>
  <c r="AE174" i="22"/>
  <c r="AE344" i="22"/>
  <c r="AE32" i="22"/>
  <c r="AE19" i="22"/>
  <c r="AE339" i="22"/>
  <c r="AE90" i="22"/>
  <c r="AE143" i="22"/>
  <c r="AE107" i="22"/>
  <c r="AE225" i="22"/>
  <c r="AE155" i="22"/>
  <c r="AE200" i="22"/>
  <c r="AE340" i="22"/>
  <c r="AE70" i="22"/>
  <c r="AE291" i="22"/>
  <c r="AE88" i="22"/>
  <c r="AE310" i="22"/>
  <c r="AE273" i="22"/>
  <c r="AE28" i="22"/>
  <c r="AE369" i="22"/>
  <c r="AE241" i="22"/>
  <c r="AE364" i="22"/>
  <c r="AE137" i="22"/>
  <c r="AE317" i="22"/>
  <c r="AE108" i="22"/>
  <c r="AE274" i="22"/>
  <c r="AE228" i="22"/>
  <c r="AE285" i="22"/>
  <c r="AE51" i="22"/>
  <c r="AE362" i="22"/>
  <c r="AE316" i="22"/>
  <c r="AD316" i="22" s="1"/>
  <c r="AE81" i="22"/>
  <c r="AE23" i="22"/>
  <c r="Q148" i="22"/>
  <c r="Q18" i="22"/>
  <c r="Q298" i="22"/>
  <c r="Q253" i="22"/>
  <c r="Q347" i="22"/>
  <c r="Q307" i="22"/>
  <c r="Q372" i="22"/>
  <c r="Q156" i="22"/>
  <c r="Q173" i="22"/>
  <c r="Q177" i="22"/>
  <c r="Q375" i="22"/>
  <c r="Q135" i="22"/>
  <c r="Q77" i="22"/>
  <c r="Q162" i="22"/>
  <c r="Q130" i="22"/>
  <c r="Q160" i="22"/>
  <c r="Q180" i="22"/>
  <c r="Q218" i="22"/>
  <c r="Q288" i="22"/>
  <c r="Q163" i="22"/>
  <c r="Q260" i="22"/>
  <c r="Q194" i="22"/>
  <c r="Q167" i="22"/>
  <c r="Q142" i="22"/>
  <c r="Q214" i="22"/>
  <c r="Q127" i="22"/>
  <c r="Q231" i="22"/>
  <c r="Q151" i="22"/>
  <c r="Q270" i="22"/>
  <c r="Q93" i="22"/>
  <c r="Q117" i="22"/>
  <c r="Q44" i="22"/>
  <c r="Q272" i="22"/>
  <c r="Q300" i="22"/>
  <c r="Q123" i="22"/>
  <c r="Q118" i="22"/>
  <c r="Q92" i="22"/>
  <c r="Q36" i="22"/>
  <c r="Q309" i="22"/>
  <c r="Q256" i="22"/>
  <c r="Q281" i="22"/>
  <c r="Q207" i="22"/>
  <c r="Q106" i="22"/>
  <c r="Q219" i="22"/>
  <c r="Q113" i="22"/>
  <c r="Q301" i="22"/>
  <c r="Q257" i="22"/>
  <c r="Q268" i="22"/>
  <c r="Q373" i="22"/>
  <c r="Q82" i="22"/>
  <c r="Q287" i="22"/>
  <c r="Q119" i="22"/>
  <c r="Q101" i="22"/>
  <c r="Q295" i="22"/>
  <c r="Q141" i="22"/>
  <c r="Q336" i="22"/>
  <c r="Q209" i="22"/>
  <c r="Q144" i="22"/>
  <c r="Q187" i="22"/>
  <c r="Q181" i="22"/>
  <c r="Q157" i="22"/>
  <c r="Q276" i="22"/>
  <c r="Q147" i="22"/>
  <c r="Q200" i="22"/>
  <c r="Q47" i="22"/>
  <c r="Q69" i="22"/>
  <c r="Q351" i="22"/>
  <c r="Q265" i="22"/>
  <c r="Q189" i="22"/>
  <c r="Q98" i="22"/>
  <c r="Q62" i="22"/>
  <c r="Q356" i="22"/>
  <c r="Q67" i="22"/>
  <c r="Q215" i="22"/>
  <c r="Q110" i="22"/>
  <c r="Q220" i="22"/>
  <c r="Q193" i="22"/>
  <c r="Q277" i="22"/>
  <c r="Q192" i="22"/>
  <c r="Q293" i="22"/>
  <c r="Q16" i="22"/>
  <c r="Q291" i="22"/>
  <c r="Q342" i="22"/>
  <c r="Q201" i="22"/>
  <c r="Q250" i="22"/>
  <c r="Q120" i="22"/>
  <c r="Q145" i="22"/>
  <c r="Q161" i="22"/>
  <c r="Q139" i="22"/>
  <c r="Q354" i="22"/>
  <c r="Q313" i="22"/>
  <c r="Q252" i="22"/>
  <c r="Q172" i="22"/>
  <c r="Q97" i="22"/>
  <c r="Q176" i="22"/>
  <c r="Q53" i="22"/>
  <c r="Q216" i="22"/>
  <c r="Q346" i="22"/>
  <c r="Q332" i="22"/>
  <c r="Q275" i="22"/>
  <c r="Q341" i="22"/>
  <c r="Q355" i="22"/>
  <c r="Q239" i="22"/>
  <c r="Q292" i="22"/>
  <c r="Q143" i="22"/>
  <c r="Q175" i="22"/>
  <c r="Q91" i="22"/>
  <c r="Q238" i="22"/>
  <c r="Q60" i="22"/>
  <c r="Q197" i="22"/>
  <c r="Q337" i="22"/>
  <c r="Q222" i="22"/>
  <c r="Q158" i="22"/>
  <c r="Q152" i="22"/>
  <c r="Q331" i="22"/>
  <c r="Q303" i="22"/>
  <c r="Q37" i="22"/>
  <c r="Q136" i="22"/>
  <c r="Q170" i="22"/>
  <c r="Q72" i="22"/>
  <c r="Q334" i="22"/>
  <c r="Q234" i="22"/>
  <c r="Q368" i="22"/>
  <c r="Q280" i="22"/>
  <c r="Q121" i="22"/>
  <c r="Q183" i="22"/>
  <c r="Q247" i="22"/>
  <c r="Q64" i="22"/>
  <c r="Q196" i="22"/>
  <c r="Q153" i="22"/>
  <c r="Q63" i="22"/>
  <c r="Q308" i="22"/>
  <c r="Q333" i="22"/>
  <c r="Q52" i="22"/>
  <c r="Q330" i="22"/>
  <c r="Q51" i="22"/>
  <c r="Q241" i="22"/>
  <c r="Q379" i="22"/>
  <c r="Q367" i="22"/>
  <c r="Q34" i="22"/>
  <c r="Q227" i="22"/>
  <c r="Q315" i="22"/>
  <c r="Q314" i="22"/>
  <c r="Q299" i="22"/>
  <c r="Q262" i="22"/>
  <c r="Q323" i="22"/>
  <c r="Q203" i="22"/>
  <c r="Q244" i="22"/>
  <c r="Q165" i="22"/>
  <c r="Q232" i="22"/>
  <c r="Q85" i="22"/>
  <c r="Q68" i="22"/>
  <c r="Q41" i="22"/>
  <c r="Q195" i="22"/>
  <c r="Q213" i="22"/>
  <c r="Q59" i="22"/>
  <c r="Q25" i="22"/>
  <c r="Q89" i="22"/>
  <c r="Q188" i="22"/>
  <c r="Q169" i="22"/>
  <c r="Q236" i="22"/>
  <c r="Q271" i="22"/>
  <c r="Q248" i="22"/>
  <c r="Q184" i="22"/>
  <c r="Q70" i="22"/>
  <c r="Q57" i="22"/>
  <c r="Q233" i="22"/>
  <c r="Q43" i="22"/>
  <c r="Q125" i="22"/>
  <c r="Q124" i="22"/>
  <c r="Q321" i="22"/>
  <c r="Q84" i="22"/>
  <c r="Q365" i="22"/>
  <c r="Q263" i="22"/>
  <c r="Q254" i="22"/>
  <c r="Q30" i="22"/>
  <c r="Q361" i="22"/>
  <c r="Q240" i="22"/>
  <c r="Q80" i="22"/>
  <c r="Q103" i="22"/>
  <c r="Q229" i="22"/>
  <c r="AE149" i="22"/>
  <c r="AE31" i="22"/>
  <c r="AE164" i="22"/>
  <c r="AE60" i="22"/>
  <c r="AE377" i="22"/>
  <c r="AE139" i="22"/>
  <c r="AE68" i="22"/>
  <c r="AE269" i="22"/>
  <c r="AE99" i="22"/>
  <c r="AE380" i="22"/>
  <c r="AE46" i="22"/>
  <c r="AE238" i="22"/>
  <c r="AE168" i="22"/>
  <c r="AE78" i="22"/>
  <c r="AE341" i="22"/>
  <c r="AE333" i="22"/>
  <c r="AE306" i="22"/>
  <c r="AE53" i="22"/>
  <c r="AE59" i="22"/>
  <c r="AE92" i="22"/>
  <c r="AE232" i="22"/>
  <c r="AE94" i="22"/>
  <c r="AE35" i="22"/>
  <c r="AE373" i="22"/>
  <c r="AE218" i="22"/>
  <c r="AE134" i="22"/>
  <c r="AE24" i="22"/>
  <c r="AE343" i="22"/>
  <c r="AE122" i="22"/>
  <c r="AE368" i="22"/>
  <c r="AE43" i="22"/>
  <c r="AE166" i="22"/>
  <c r="AE61" i="22"/>
  <c r="AE355" i="22"/>
  <c r="AE111" i="22"/>
  <c r="AE136" i="22"/>
  <c r="AE144" i="22"/>
  <c r="AE236" i="22"/>
  <c r="AE297" i="22"/>
  <c r="AE102" i="22"/>
  <c r="AE248" i="22"/>
  <c r="AE63" i="22"/>
  <c r="AE329" i="22"/>
  <c r="AE17" i="22"/>
  <c r="AE318" i="22"/>
  <c r="AE34" i="22"/>
  <c r="AE249" i="22"/>
  <c r="AE41" i="22"/>
  <c r="AE253" i="22"/>
  <c r="AE79" i="22"/>
  <c r="AE127" i="22"/>
  <c r="AE65" i="22"/>
  <c r="AE76" i="22"/>
  <c r="AE44" i="22"/>
  <c r="AE26" i="22"/>
  <c r="AE338" i="22"/>
  <c r="AE42" i="22"/>
  <c r="AE198" i="22"/>
  <c r="AE113" i="22"/>
  <c r="AE278" i="22"/>
  <c r="AE147" i="22"/>
  <c r="AE163" i="22"/>
  <c r="AE271" i="22"/>
  <c r="AE95" i="22"/>
  <c r="AE270" i="22"/>
  <c r="AE263" i="22"/>
  <c r="AE378" i="22"/>
  <c r="AE93" i="22"/>
  <c r="AE74" i="22"/>
  <c r="AE161" i="22"/>
  <c r="AE288" i="22"/>
  <c r="AE80" i="22"/>
  <c r="AE84" i="22"/>
  <c r="AE104" i="22"/>
  <c r="AE22" i="22"/>
  <c r="AE39" i="22"/>
  <c r="AE55" i="22"/>
  <c r="AE141" i="22"/>
  <c r="AE37" i="22"/>
  <c r="AE73" i="22"/>
  <c r="AE359" i="22"/>
  <c r="AE47" i="22"/>
  <c r="AE245" i="22"/>
  <c r="AE48" i="22"/>
  <c r="AE33" i="22"/>
  <c r="AE56" i="22"/>
  <c r="AE57" i="22"/>
  <c r="AE268" i="22"/>
  <c r="AE119" i="22"/>
  <c r="AE215" i="22"/>
  <c r="AE189" i="22"/>
  <c r="AE66" i="22"/>
  <c r="AE49" i="22"/>
  <c r="AE25" i="22"/>
  <c r="AE38" i="22"/>
  <c r="AE100" i="22"/>
  <c r="AE199" i="22"/>
  <c r="AE235" i="22"/>
  <c r="AE176" i="22"/>
  <c r="AE185" i="22"/>
  <c r="AE45" i="22"/>
  <c r="AE103" i="22"/>
  <c r="AE21" i="22"/>
  <c r="AE221" i="22"/>
  <c r="AE97" i="22"/>
  <c r="AE18" i="22"/>
  <c r="AE27" i="22"/>
  <c r="AE64" i="22"/>
  <c r="AE106" i="22"/>
  <c r="AE299" i="22"/>
  <c r="AE82" i="22"/>
  <c r="AE159" i="22"/>
  <c r="AE324" i="22"/>
  <c r="AE313" i="22"/>
  <c r="AE275" i="22"/>
  <c r="AE301" i="22"/>
  <c r="AE366" i="22"/>
  <c r="V379" i="20"/>
  <c r="B379" i="20" s="1"/>
  <c r="D40" i="19"/>
  <c r="H21" i="20"/>
  <c r="I21" i="20" s="1"/>
  <c r="H214" i="20"/>
  <c r="I214" i="20" s="1"/>
  <c r="H198" i="20"/>
  <c r="J198" i="20" s="1"/>
  <c r="G275" i="20"/>
  <c r="CB275" i="6" s="1"/>
  <c r="AA132" i="20"/>
  <c r="Z132" i="20" s="1"/>
  <c r="Y132" i="20" s="1"/>
  <c r="I88" i="18"/>
  <c r="B88" i="6" s="1"/>
  <c r="BA88" i="6" s="1"/>
  <c r="S4" i="6" s="1"/>
  <c r="J227" i="18"/>
  <c r="C227" i="6" s="1"/>
  <c r="G189" i="20"/>
  <c r="CB189" i="6" s="1"/>
  <c r="J302" i="18"/>
  <c r="C302" i="6" s="1"/>
  <c r="AA182" i="20"/>
  <c r="Z182" i="20" s="1"/>
  <c r="Y182" i="20" s="1"/>
  <c r="G238" i="20"/>
  <c r="CB238" i="6" s="1"/>
  <c r="H192" i="20"/>
  <c r="J192" i="20" s="1"/>
  <c r="H366" i="20"/>
  <c r="I366" i="20" s="1"/>
  <c r="H204" i="20"/>
  <c r="I204" i="20" s="1"/>
  <c r="AA198" i="20"/>
  <c r="Z198" i="20" s="1"/>
  <c r="Y198" i="20" s="1"/>
  <c r="H238" i="20"/>
  <c r="I238" i="20" s="1"/>
  <c r="H16" i="20"/>
  <c r="J16" i="20" s="1"/>
  <c r="H342" i="20"/>
  <c r="I342" i="20" s="1"/>
  <c r="I180" i="18"/>
  <c r="B180" i="6" s="1"/>
  <c r="BA180" i="6" s="1"/>
  <c r="H110" i="20"/>
  <c r="J110" i="20" s="1"/>
  <c r="AA318" i="20"/>
  <c r="Z318" i="20" s="1"/>
  <c r="Y318" i="20" s="1"/>
  <c r="G123" i="20"/>
  <c r="CB123" i="6" s="1"/>
  <c r="G158" i="20"/>
  <c r="CB158" i="6" s="1"/>
  <c r="H39" i="20"/>
  <c r="I39" i="20" s="1"/>
  <c r="H176" i="20"/>
  <c r="I176" i="20" s="1"/>
  <c r="G368" i="20"/>
  <c r="CB368" i="6" s="1"/>
  <c r="H38" i="20"/>
  <c r="I38" i="20" s="1"/>
  <c r="H26" i="20"/>
  <c r="J26" i="20" s="1"/>
  <c r="AA32" i="20"/>
  <c r="Z32" i="20" s="1"/>
  <c r="Y32" i="20" s="1"/>
  <c r="G198" i="20"/>
  <c r="CB198" i="6" s="1"/>
  <c r="G204" i="20"/>
  <c r="CB204" i="6" s="1"/>
  <c r="C66" i="19"/>
  <c r="B60" i="20"/>
  <c r="W60" i="20" s="1"/>
  <c r="AA274" i="20"/>
  <c r="Z274" i="20" s="1"/>
  <c r="Y274" i="20" s="1"/>
  <c r="H50" i="20"/>
  <c r="J50" i="20" s="1"/>
  <c r="H368" i="20"/>
  <c r="J368" i="20" s="1"/>
  <c r="H36" i="20"/>
  <c r="I36" i="20" s="1"/>
  <c r="H177" i="20"/>
  <c r="J177" i="20" s="1"/>
  <c r="H30" i="20"/>
  <c r="J30" i="20" s="1"/>
  <c r="H237" i="20"/>
  <c r="I237" i="20" s="1"/>
  <c r="AA366" i="20"/>
  <c r="Z366" i="20" s="1"/>
  <c r="Y366" i="20" s="1"/>
  <c r="D207" i="20"/>
  <c r="E207" i="20" s="1"/>
  <c r="F207" i="20" s="1"/>
  <c r="G207" i="20" s="1"/>
  <c r="CB207" i="6" s="1"/>
  <c r="W104" i="20"/>
  <c r="G84" i="20"/>
  <c r="CB84" i="6" s="1"/>
  <c r="D374" i="20"/>
  <c r="E374" i="20" s="1"/>
  <c r="F374" i="20" s="1"/>
  <c r="H374" i="20" s="1"/>
  <c r="J374" i="20" s="1"/>
  <c r="D260" i="20"/>
  <c r="E260" i="20" s="1"/>
  <c r="F260" i="20" s="1"/>
  <c r="G260" i="20" s="1"/>
  <c r="CB260" i="6" s="1"/>
  <c r="AA213" i="20"/>
  <c r="Z213" i="20" s="1"/>
  <c r="Y213" i="20" s="1"/>
  <c r="G152" i="20"/>
  <c r="CB152" i="6" s="1"/>
  <c r="H218" i="20"/>
  <c r="I218" i="20" s="1"/>
  <c r="H151" i="20"/>
  <c r="J151" i="20" s="1"/>
  <c r="H133" i="20"/>
  <c r="J133" i="20" s="1"/>
  <c r="H203" i="20"/>
  <c r="I203" i="20" s="1"/>
  <c r="H254" i="20"/>
  <c r="I254" i="20" s="1"/>
  <c r="AA301" i="20"/>
  <c r="Z301" i="20" s="1"/>
  <c r="Y301" i="20" s="1"/>
  <c r="W301" i="20"/>
  <c r="W278" i="20"/>
  <c r="D314" i="20"/>
  <c r="E314" i="20" s="1"/>
  <c r="F314" i="20" s="1"/>
  <c r="W16" i="20"/>
  <c r="D98" i="20"/>
  <c r="E98" i="20" s="1"/>
  <c r="F98" i="20" s="1"/>
  <c r="AA98" i="20" s="1"/>
  <c r="Z98" i="20" s="1"/>
  <c r="Y98" i="20" s="1"/>
  <c r="D370" i="20"/>
  <c r="E370" i="20" s="1"/>
  <c r="F370" i="20" s="1"/>
  <c r="G370" i="20" s="1"/>
  <c r="CB370" i="6" s="1"/>
  <c r="D28" i="20"/>
  <c r="E28" i="20" s="1"/>
  <c r="F28" i="20" s="1"/>
  <c r="G28" i="20" s="1"/>
  <c r="CB28" i="6" s="1"/>
  <c r="D144" i="20"/>
  <c r="E144" i="20" s="1"/>
  <c r="F144" i="20" s="1"/>
  <c r="AA144" i="20" s="1"/>
  <c r="Z144" i="20" s="1"/>
  <c r="Y144" i="20" s="1"/>
  <c r="W226" i="20"/>
  <c r="D188" i="20"/>
  <c r="E188" i="20" s="1"/>
  <c r="F188" i="20" s="1"/>
  <c r="G188" i="20" s="1"/>
  <c r="CB188" i="6" s="1"/>
  <c r="G213" i="20"/>
  <c r="CB213" i="6" s="1"/>
  <c r="H152" i="20"/>
  <c r="J152" i="20" s="1"/>
  <c r="AA107" i="20"/>
  <c r="Z107" i="20" s="1"/>
  <c r="Y107" i="20" s="1"/>
  <c r="G300" i="20"/>
  <c r="CB300" i="6" s="1"/>
  <c r="G151" i="20"/>
  <c r="CB151" i="6" s="1"/>
  <c r="G133" i="20"/>
  <c r="CB133" i="6" s="1"/>
  <c r="G125" i="20"/>
  <c r="CB125" i="6" s="1"/>
  <c r="G16" i="20"/>
  <c r="CB16" i="6" s="1"/>
  <c r="AA130" i="20"/>
  <c r="Z130" i="20" s="1"/>
  <c r="Y130" i="20" s="1"/>
  <c r="H351" i="20"/>
  <c r="I351" i="20" s="1"/>
  <c r="G104" i="20"/>
  <c r="CB104" i="6" s="1"/>
  <c r="D221" i="20"/>
  <c r="E221" i="20" s="1"/>
  <c r="F221" i="20" s="1"/>
  <c r="G221" i="20" s="1"/>
  <c r="CB221" i="6" s="1"/>
  <c r="W206" i="20"/>
  <c r="D325" i="20"/>
  <c r="E325" i="20" s="1"/>
  <c r="F325" i="20" s="1"/>
  <c r="AA325" i="20" s="1"/>
  <c r="Z325" i="20" s="1"/>
  <c r="Y325" i="20" s="1"/>
  <c r="D154" i="20"/>
  <c r="E154" i="20" s="1"/>
  <c r="F154" i="20" s="1"/>
  <c r="H154" i="20" s="1"/>
  <c r="I154" i="20" s="1"/>
  <c r="W117" i="20"/>
  <c r="D81" i="20"/>
  <c r="E81" i="20" s="1"/>
  <c r="F81" i="20" s="1"/>
  <c r="D202" i="20"/>
  <c r="E202" i="20" s="1"/>
  <c r="F202" i="20" s="1"/>
  <c r="AA202" i="20" s="1"/>
  <c r="Z202" i="20" s="1"/>
  <c r="Y202" i="20" s="1"/>
  <c r="W125" i="20"/>
  <c r="D273" i="20"/>
  <c r="E273" i="20" s="1"/>
  <c r="F273" i="20" s="1"/>
  <c r="G273" i="20" s="1"/>
  <c r="CB273" i="6" s="1"/>
  <c r="W203" i="20"/>
  <c r="H175" i="20"/>
  <c r="J175" i="20" s="1"/>
  <c r="H182" i="20"/>
  <c r="J182" i="20" s="1"/>
  <c r="AA50" i="20"/>
  <c r="Z50" i="20" s="1"/>
  <c r="Y50" i="20" s="1"/>
  <c r="H275" i="20"/>
  <c r="I275" i="20" s="1"/>
  <c r="AA128" i="20"/>
  <c r="Z128" i="20" s="1"/>
  <c r="Y128" i="20" s="1"/>
  <c r="G38" i="20"/>
  <c r="CB38" i="6" s="1"/>
  <c r="G192" i="20"/>
  <c r="CB192" i="6" s="1"/>
  <c r="AA342" i="20"/>
  <c r="Z342" i="20" s="1"/>
  <c r="Y342" i="20" s="1"/>
  <c r="G36" i="20"/>
  <c r="CB36" i="6" s="1"/>
  <c r="G21" i="20"/>
  <c r="CB21" i="6" s="1"/>
  <c r="H189" i="20"/>
  <c r="J189" i="20" s="1"/>
  <c r="AA177" i="20"/>
  <c r="Z177" i="20" s="1"/>
  <c r="Y177" i="20" s="1"/>
  <c r="H274" i="20"/>
  <c r="I274" i="20" s="1"/>
  <c r="G110" i="20"/>
  <c r="CB110" i="6" s="1"/>
  <c r="G318" i="20"/>
  <c r="CB318" i="6" s="1"/>
  <c r="AA30" i="20"/>
  <c r="Z30" i="20" s="1"/>
  <c r="Y30" i="20" s="1"/>
  <c r="AA254" i="20"/>
  <c r="Z254" i="20" s="1"/>
  <c r="Y254" i="20" s="1"/>
  <c r="H132" i="20"/>
  <c r="I132" i="20" s="1"/>
  <c r="H158" i="20"/>
  <c r="I158" i="20" s="1"/>
  <c r="G75" i="20"/>
  <c r="CB75" i="6" s="1"/>
  <c r="G366" i="20"/>
  <c r="CB366" i="6" s="1"/>
  <c r="AA39" i="20"/>
  <c r="Z39" i="20" s="1"/>
  <c r="Y39" i="20" s="1"/>
  <c r="AA204" i="20"/>
  <c r="Z204" i="20" s="1"/>
  <c r="Y204" i="20" s="1"/>
  <c r="H57" i="20"/>
  <c r="J57" i="20" s="1"/>
  <c r="G176" i="20"/>
  <c r="CB176" i="6" s="1"/>
  <c r="D212" i="20"/>
  <c r="E212" i="20" s="1"/>
  <c r="F212" i="20" s="1"/>
  <c r="H212" i="20" s="1"/>
  <c r="I212" i="20" s="1"/>
  <c r="D344" i="20"/>
  <c r="E344" i="20" s="1"/>
  <c r="F344" i="20" s="1"/>
  <c r="H344" i="20" s="1"/>
  <c r="I344" i="20" s="1"/>
  <c r="D46" i="20"/>
  <c r="E46" i="20" s="1"/>
  <c r="F46" i="20" s="1"/>
  <c r="G46" i="20" s="1"/>
  <c r="CB46" i="6" s="1"/>
  <c r="D286" i="20"/>
  <c r="E286" i="20" s="1"/>
  <c r="F286" i="20" s="1"/>
  <c r="G286" i="20" s="1"/>
  <c r="CB286" i="6" s="1"/>
  <c r="W50" i="20"/>
  <c r="D111" i="20"/>
  <c r="E111" i="20" s="1"/>
  <c r="F111" i="20" s="1"/>
  <c r="H111" i="20" s="1"/>
  <c r="J111" i="20" s="1"/>
  <c r="W21" i="20"/>
  <c r="D102" i="20"/>
  <c r="E102" i="20" s="1"/>
  <c r="F102" i="20" s="1"/>
  <c r="H102" i="20" s="1"/>
  <c r="J102" i="20" s="1"/>
  <c r="D330" i="20"/>
  <c r="E330" i="20" s="1"/>
  <c r="F330" i="20" s="1"/>
  <c r="H330" i="20" s="1"/>
  <c r="J330" i="20" s="1"/>
  <c r="D186" i="20"/>
  <c r="E186" i="20" s="1"/>
  <c r="F186" i="20" s="1"/>
  <c r="H186" i="20" s="1"/>
  <c r="I186" i="20" s="1"/>
  <c r="W189" i="20"/>
  <c r="W274" i="20"/>
  <c r="D109" i="20"/>
  <c r="E109" i="20" s="1"/>
  <c r="F109" i="20" s="1"/>
  <c r="AA109" i="20" s="1"/>
  <c r="Z109" i="20" s="1"/>
  <c r="Y109" i="20" s="1"/>
  <c r="W233" i="20"/>
  <c r="W372" i="20"/>
  <c r="D129" i="20"/>
  <c r="E129" i="20" s="1"/>
  <c r="F129" i="20" s="1"/>
  <c r="W123" i="20"/>
  <c r="W39" i="20"/>
  <c r="D25" i="20"/>
  <c r="E25" i="20" s="1"/>
  <c r="F25" i="20" s="1"/>
  <c r="W57" i="20"/>
  <c r="D131" i="20"/>
  <c r="E131" i="20" s="1"/>
  <c r="F131" i="20" s="1"/>
  <c r="H131" i="20" s="1"/>
  <c r="I131" i="20" s="1"/>
  <c r="D235" i="20"/>
  <c r="E235" i="20" s="1"/>
  <c r="F235" i="20" s="1"/>
  <c r="G235" i="20" s="1"/>
  <c r="CB235" i="6" s="1"/>
  <c r="D231" i="20"/>
  <c r="E231" i="20" s="1"/>
  <c r="F231" i="20" s="1"/>
  <c r="W281" i="20"/>
  <c r="W254" i="20"/>
  <c r="W182" i="20"/>
  <c r="D229" i="20"/>
  <c r="E229" i="20" s="1"/>
  <c r="F229" i="20" s="1"/>
  <c r="G229" i="20" s="1"/>
  <c r="CB229" i="6" s="1"/>
  <c r="D369" i="20"/>
  <c r="E369" i="20" s="1"/>
  <c r="F369" i="20" s="1"/>
  <c r="AA369" i="20" s="1"/>
  <c r="Z369" i="20" s="1"/>
  <c r="Y369" i="20" s="1"/>
  <c r="W368" i="20"/>
  <c r="W192" i="20"/>
  <c r="W75" i="20"/>
  <c r="W177" i="20"/>
  <c r="W214" i="20"/>
  <c r="W204" i="20"/>
  <c r="W168" i="20"/>
  <c r="D234" i="20"/>
  <c r="E234" i="20" s="1"/>
  <c r="F234" i="20" s="1"/>
  <c r="AA234" i="20" s="1"/>
  <c r="Z234" i="20" s="1"/>
  <c r="Y234" i="20" s="1"/>
  <c r="W259" i="20"/>
  <c r="W32" i="20"/>
  <c r="W83" i="20"/>
  <c r="W30" i="20"/>
  <c r="D338" i="20"/>
  <c r="E338" i="20" s="1"/>
  <c r="F338" i="20" s="1"/>
  <c r="H338" i="20" s="1"/>
  <c r="J338" i="20" s="1"/>
  <c r="AO16" i="7"/>
  <c r="D322" i="20"/>
  <c r="E322" i="20" s="1"/>
  <c r="F322" i="20" s="1"/>
  <c r="W152" i="20"/>
  <c r="D157" i="20"/>
  <c r="E157" i="20" s="1"/>
  <c r="F157" i="20" s="1"/>
  <c r="G157" i="20" s="1"/>
  <c r="CB157" i="6" s="1"/>
  <c r="D53" i="20"/>
  <c r="E53" i="20" s="1"/>
  <c r="F53" i="20" s="1"/>
  <c r="AA53" i="20" s="1"/>
  <c r="Z53" i="20" s="1"/>
  <c r="Y53" i="20" s="1"/>
  <c r="D324" i="20"/>
  <c r="E324" i="20" s="1"/>
  <c r="F324" i="20" s="1"/>
  <c r="G324" i="20" s="1"/>
  <c r="CB324" i="6" s="1"/>
  <c r="D297" i="20"/>
  <c r="E297" i="20" s="1"/>
  <c r="F297" i="20" s="1"/>
  <c r="H300" i="20"/>
  <c r="H125" i="20"/>
  <c r="J125" i="20" s="1"/>
  <c r="AA159" i="20"/>
  <c r="Z159" i="20" s="1"/>
  <c r="Y159" i="20" s="1"/>
  <c r="H378" i="20"/>
  <c r="J378" i="20" s="1"/>
  <c r="AA351" i="20"/>
  <c r="Z351" i="20" s="1"/>
  <c r="Y351" i="20" s="1"/>
  <c r="AA237" i="20"/>
  <c r="Z237" i="20" s="1"/>
  <c r="Y237" i="20" s="1"/>
  <c r="G301" i="20"/>
  <c r="CB301" i="6" s="1"/>
  <c r="H117" i="20"/>
  <c r="I117" i="20" s="1"/>
  <c r="W213" i="20"/>
  <c r="D279" i="20"/>
  <c r="E279" i="20" s="1"/>
  <c r="F279" i="20" s="1"/>
  <c r="AA279" i="20" s="1"/>
  <c r="Z279" i="20" s="1"/>
  <c r="Y279" i="20" s="1"/>
  <c r="W146" i="20"/>
  <c r="D354" i="20"/>
  <c r="E354" i="20" s="1"/>
  <c r="F354" i="20" s="1"/>
  <c r="AA354" i="20" s="1"/>
  <c r="Z354" i="20" s="1"/>
  <c r="Y354" i="20" s="1"/>
  <c r="W300" i="20"/>
  <c r="W133" i="20"/>
  <c r="D215" i="20"/>
  <c r="E215" i="20" s="1"/>
  <c r="F215" i="20" s="1"/>
  <c r="G215" i="20" s="1"/>
  <c r="CB215" i="6" s="1"/>
  <c r="W378" i="20"/>
  <c r="D326" i="20"/>
  <c r="E326" i="20" s="1"/>
  <c r="F326" i="20" s="1"/>
  <c r="AA326" i="20" s="1"/>
  <c r="Z326" i="20" s="1"/>
  <c r="Y326" i="20" s="1"/>
  <c r="D67" i="20"/>
  <c r="E67" i="20" s="1"/>
  <c r="F67" i="20" s="1"/>
  <c r="AA67" i="20" s="1"/>
  <c r="Z67" i="20" s="1"/>
  <c r="Y67" i="20" s="1"/>
  <c r="W292" i="20"/>
  <c r="W216" i="20"/>
  <c r="D220" i="20"/>
  <c r="E220" i="20" s="1"/>
  <c r="F220" i="20" s="1"/>
  <c r="AA220" i="20" s="1"/>
  <c r="Z220" i="20" s="1"/>
  <c r="Y220" i="20" s="1"/>
  <c r="W27" i="20"/>
  <c r="D35" i="20"/>
  <c r="E35" i="20" s="1"/>
  <c r="F35" i="20" s="1"/>
  <c r="G35" i="20" s="1"/>
  <c r="CB35" i="6" s="1"/>
  <c r="D329" i="20"/>
  <c r="E329" i="20" s="1"/>
  <c r="F329" i="20" s="1"/>
  <c r="W218" i="20"/>
  <c r="W151" i="20"/>
  <c r="W343" i="20"/>
  <c r="W130" i="20"/>
  <c r="W159" i="20"/>
  <c r="W41" i="20"/>
  <c r="D92" i="20"/>
  <c r="E92" i="20" s="1"/>
  <c r="F92" i="20" s="1"/>
  <c r="AA92" i="20" s="1"/>
  <c r="Z92" i="20" s="1"/>
  <c r="Y92" i="20" s="1"/>
  <c r="D103" i="20"/>
  <c r="E103" i="20" s="1"/>
  <c r="F103" i="20" s="1"/>
  <c r="G103" i="20" s="1"/>
  <c r="CB103" i="6" s="1"/>
  <c r="W118" i="20"/>
  <c r="D49" i="20"/>
  <c r="E49" i="20" s="1"/>
  <c r="F49" i="20" s="1"/>
  <c r="AA49" i="20" s="1"/>
  <c r="Z49" i="20" s="1"/>
  <c r="Y49" i="20" s="1"/>
  <c r="W355" i="20"/>
  <c r="D127" i="20"/>
  <c r="E127" i="20" s="1"/>
  <c r="F127" i="20" s="1"/>
  <c r="D261" i="20"/>
  <c r="E261" i="20" s="1"/>
  <c r="F261" i="20" s="1"/>
  <c r="G261" i="20" s="1"/>
  <c r="CB261" i="6" s="1"/>
  <c r="W237" i="20"/>
  <c r="W107" i="20"/>
  <c r="W162" i="20"/>
  <c r="D307" i="20"/>
  <c r="E307" i="20" s="1"/>
  <c r="F307" i="20" s="1"/>
  <c r="H307" i="20" s="1"/>
  <c r="J307" i="20" s="1"/>
  <c r="D166" i="20"/>
  <c r="E166" i="20" s="1"/>
  <c r="F166" i="20" s="1"/>
  <c r="AA166" i="20" s="1"/>
  <c r="Z166" i="20" s="1"/>
  <c r="Y166" i="20" s="1"/>
  <c r="D179" i="20"/>
  <c r="E179" i="20" s="1"/>
  <c r="F179" i="20" s="1"/>
  <c r="W90" i="20"/>
  <c r="D19" i="20"/>
  <c r="E19" i="20" s="1"/>
  <c r="F19" i="20" s="1"/>
  <c r="H19" i="20" s="1"/>
  <c r="W351" i="20"/>
  <c r="D17" i="20"/>
  <c r="E17" i="20" s="1"/>
  <c r="F17" i="20" s="1"/>
  <c r="H17" i="20" s="1"/>
  <c r="J17" i="20" s="1"/>
  <c r="W331" i="20"/>
  <c r="W194" i="20"/>
  <c r="W298" i="20"/>
  <c r="D187" i="20"/>
  <c r="E187" i="20" s="1"/>
  <c r="F187" i="20" s="1"/>
  <c r="AA187" i="20" s="1"/>
  <c r="Z187" i="20" s="1"/>
  <c r="Y187" i="20" s="1"/>
  <c r="D108" i="20"/>
  <c r="E108" i="20" s="1"/>
  <c r="F108" i="20" s="1"/>
  <c r="H108" i="20" s="1"/>
  <c r="J108" i="20" s="1"/>
  <c r="W275" i="20"/>
  <c r="W84" i="20"/>
  <c r="W238" i="20"/>
  <c r="D222" i="20"/>
  <c r="E222" i="20" s="1"/>
  <c r="F222" i="20" s="1"/>
  <c r="W318" i="20"/>
  <c r="W158" i="20"/>
  <c r="D280" i="20"/>
  <c r="E280" i="20" s="1"/>
  <c r="F280" i="20" s="1"/>
  <c r="W280" i="20"/>
  <c r="D339" i="20"/>
  <c r="E339" i="20" s="1"/>
  <c r="F339" i="20" s="1"/>
  <c r="W339" i="20"/>
  <c r="AA162" i="20"/>
  <c r="Z162" i="20" s="1"/>
  <c r="Y162" i="20" s="1"/>
  <c r="G162" i="20"/>
  <c r="CB162" i="6" s="1"/>
  <c r="W299" i="20"/>
  <c r="D299" i="20"/>
  <c r="E299" i="20" s="1"/>
  <c r="F299" i="20" s="1"/>
  <c r="W311" i="20"/>
  <c r="D311" i="20"/>
  <c r="E311" i="20" s="1"/>
  <c r="F311" i="20" s="1"/>
  <c r="H311" i="20" s="1"/>
  <c r="J311" i="20" s="1"/>
  <c r="W174" i="20"/>
  <c r="D174" i="20"/>
  <c r="E174" i="20" s="1"/>
  <c r="F174" i="20" s="1"/>
  <c r="H174" i="20" s="1"/>
  <c r="J174" i="20" s="1"/>
  <c r="H343" i="20"/>
  <c r="I343" i="20" s="1"/>
  <c r="G343" i="20"/>
  <c r="CB343" i="6" s="1"/>
  <c r="D248" i="20"/>
  <c r="E248" i="20" s="1"/>
  <c r="F248" i="20" s="1"/>
  <c r="W248" i="20"/>
  <c r="D317" i="20"/>
  <c r="E317" i="20" s="1"/>
  <c r="F317" i="20" s="1"/>
  <c r="W317" i="20"/>
  <c r="W87" i="20"/>
  <c r="D87" i="20"/>
  <c r="E87" i="20" s="1"/>
  <c r="F87" i="20" s="1"/>
  <c r="G87" i="20" s="1"/>
  <c r="CB87" i="6" s="1"/>
  <c r="W139" i="20"/>
  <c r="D139" i="20"/>
  <c r="E139" i="20" s="1"/>
  <c r="F139" i="20" s="1"/>
  <c r="H139" i="20" s="1"/>
  <c r="AA331" i="20"/>
  <c r="Z331" i="20" s="1"/>
  <c r="Y331" i="20" s="1"/>
  <c r="G331" i="20"/>
  <c r="CB331" i="6" s="1"/>
  <c r="W185" i="20"/>
  <c r="D185" i="20"/>
  <c r="E185" i="20" s="1"/>
  <c r="F185" i="20" s="1"/>
  <c r="H185" i="20" s="1"/>
  <c r="AA41" i="20"/>
  <c r="Z41" i="20" s="1"/>
  <c r="Y41" i="20" s="1"/>
  <c r="G41" i="20"/>
  <c r="CB41" i="6" s="1"/>
  <c r="W86" i="20"/>
  <c r="D86" i="20"/>
  <c r="E86" i="20" s="1"/>
  <c r="F86" i="20" s="1"/>
  <c r="AA86" i="20" s="1"/>
  <c r="Z86" i="20" s="1"/>
  <c r="Y86" i="20" s="1"/>
  <c r="W350" i="20"/>
  <c r="D350" i="20"/>
  <c r="E350" i="20" s="1"/>
  <c r="F350" i="20" s="1"/>
  <c r="AA350" i="20" s="1"/>
  <c r="Z350" i="20" s="1"/>
  <c r="Y350" i="20" s="1"/>
  <c r="G138" i="20"/>
  <c r="CB138" i="6" s="1"/>
  <c r="H138" i="20"/>
  <c r="J138" i="20" s="1"/>
  <c r="W294" i="20"/>
  <c r="D294" i="20"/>
  <c r="E294" i="20" s="1"/>
  <c r="F294" i="20" s="1"/>
  <c r="W247" i="20"/>
  <c r="D247" i="20"/>
  <c r="E247" i="20" s="1"/>
  <c r="F247" i="20" s="1"/>
  <c r="D303" i="20"/>
  <c r="E303" i="20" s="1"/>
  <c r="F303" i="20" s="1"/>
  <c r="W303" i="20"/>
  <c r="D124" i="20"/>
  <c r="E124" i="20" s="1"/>
  <c r="F124" i="20" s="1"/>
  <c r="W124" i="20"/>
  <c r="W287" i="20"/>
  <c r="D287" i="20"/>
  <c r="E287" i="20" s="1"/>
  <c r="F287" i="20" s="1"/>
  <c r="W31" i="20"/>
  <c r="D31" i="20"/>
  <c r="E31" i="20" s="1"/>
  <c r="F31" i="20" s="1"/>
  <c r="H31" i="20" s="1"/>
  <c r="J31" i="20" s="1"/>
  <c r="W44" i="20"/>
  <c r="D44" i="20"/>
  <c r="E44" i="20" s="1"/>
  <c r="F44" i="20" s="1"/>
  <c r="G44" i="20" s="1"/>
  <c r="CB44" i="6" s="1"/>
  <c r="H118" i="20"/>
  <c r="J118" i="20" s="1"/>
  <c r="W181" i="20"/>
  <c r="D181" i="20"/>
  <c r="E181" i="20" s="1"/>
  <c r="F181" i="20" s="1"/>
  <c r="G181" i="20" s="1"/>
  <c r="CB181" i="6" s="1"/>
  <c r="D356" i="20"/>
  <c r="E356" i="20" s="1"/>
  <c r="F356" i="20" s="1"/>
  <c r="W356" i="20"/>
  <c r="AA355" i="20"/>
  <c r="Z355" i="20" s="1"/>
  <c r="Y355" i="20" s="1"/>
  <c r="G355" i="20"/>
  <c r="CB355" i="6" s="1"/>
  <c r="W310" i="20"/>
  <c r="D310" i="20"/>
  <c r="E310" i="20" s="1"/>
  <c r="F310" i="20" s="1"/>
  <c r="H310" i="20" s="1"/>
  <c r="I310" i="20" s="1"/>
  <c r="D276" i="20"/>
  <c r="E276" i="20" s="1"/>
  <c r="F276" i="20" s="1"/>
  <c r="W276" i="20"/>
  <c r="D359" i="20"/>
  <c r="E359" i="20" s="1"/>
  <c r="F359" i="20" s="1"/>
  <c r="W359" i="20"/>
  <c r="W115" i="20"/>
  <c r="D115" i="20"/>
  <c r="E115" i="20" s="1"/>
  <c r="F115" i="20" s="1"/>
  <c r="G115" i="20" s="1"/>
  <c r="CB115" i="6" s="1"/>
  <c r="D283" i="20"/>
  <c r="E283" i="20" s="1"/>
  <c r="F283" i="20" s="1"/>
  <c r="W283" i="20"/>
  <c r="W106" i="20"/>
  <c r="D106" i="20"/>
  <c r="E106" i="20" s="1"/>
  <c r="F106" i="20" s="1"/>
  <c r="AA106" i="20" s="1"/>
  <c r="Z106" i="20" s="1"/>
  <c r="Y106" i="20" s="1"/>
  <c r="D155" i="20"/>
  <c r="E155" i="20" s="1"/>
  <c r="F155" i="20" s="1"/>
  <c r="W155" i="20"/>
  <c r="W76" i="20"/>
  <c r="D76" i="20"/>
  <c r="E76" i="20" s="1"/>
  <c r="F76" i="20" s="1"/>
  <c r="D365" i="20"/>
  <c r="E365" i="20" s="1"/>
  <c r="F365" i="20" s="1"/>
  <c r="W365" i="20"/>
  <c r="W345" i="20"/>
  <c r="D345" i="20"/>
  <c r="E345" i="20" s="1"/>
  <c r="F345" i="20" s="1"/>
  <c r="H345" i="20" s="1"/>
  <c r="J345" i="20" s="1"/>
  <c r="D341" i="20"/>
  <c r="E341" i="20" s="1"/>
  <c r="F341" i="20" s="1"/>
  <c r="W341" i="20"/>
  <c r="W277" i="20"/>
  <c r="D277" i="20"/>
  <c r="E277" i="20" s="1"/>
  <c r="F277" i="20" s="1"/>
  <c r="D82" i="20"/>
  <c r="E82" i="20" s="1"/>
  <c r="F82" i="20" s="1"/>
  <c r="W82" i="20"/>
  <c r="D74" i="20"/>
  <c r="E74" i="20" s="1"/>
  <c r="F74" i="20" s="1"/>
  <c r="H74" i="20" s="1"/>
  <c r="J74" i="20" s="1"/>
  <c r="W74" i="20"/>
  <c r="D45" i="20"/>
  <c r="E45" i="20" s="1"/>
  <c r="F45" i="20" s="1"/>
  <c r="W45" i="20"/>
  <c r="D42" i="20"/>
  <c r="E42" i="20" s="1"/>
  <c r="F42" i="20" s="1"/>
  <c r="W42" i="20"/>
  <c r="G298" i="20"/>
  <c r="CB298" i="6" s="1"/>
  <c r="H298" i="20"/>
  <c r="J298" i="20" s="1"/>
  <c r="D217" i="20"/>
  <c r="E217" i="20" s="1"/>
  <c r="F217" i="20" s="1"/>
  <c r="W217" i="20"/>
  <c r="D315" i="20"/>
  <c r="E315" i="20" s="1"/>
  <c r="F315" i="20" s="1"/>
  <c r="W315" i="20"/>
  <c r="W126" i="20"/>
  <c r="D126" i="20"/>
  <c r="E126" i="20" s="1"/>
  <c r="F126" i="20" s="1"/>
  <c r="H126" i="20" s="1"/>
  <c r="J126" i="20" s="1"/>
  <c r="W96" i="20"/>
  <c r="D96" i="20"/>
  <c r="E96" i="20" s="1"/>
  <c r="F96" i="20" s="1"/>
  <c r="H96" i="20" s="1"/>
  <c r="J96" i="20" s="1"/>
  <c r="W364" i="20"/>
  <c r="D364" i="20"/>
  <c r="E364" i="20" s="1"/>
  <c r="F364" i="20" s="1"/>
  <c r="W40" i="20"/>
  <c r="D40" i="20"/>
  <c r="E40" i="20" s="1"/>
  <c r="F40" i="20" s="1"/>
  <c r="G40" i="20" s="1"/>
  <c r="CB40" i="6" s="1"/>
  <c r="G292" i="20"/>
  <c r="CB292" i="6" s="1"/>
  <c r="AA292" i="20"/>
  <c r="Z292" i="20" s="1"/>
  <c r="Y292" i="20" s="1"/>
  <c r="W69" i="20"/>
  <c r="D69" i="20"/>
  <c r="E69" i="20" s="1"/>
  <c r="F69" i="20" s="1"/>
  <c r="AA69" i="20" s="1"/>
  <c r="Z69" i="20" s="1"/>
  <c r="Y69" i="20" s="1"/>
  <c r="D178" i="20"/>
  <c r="E178" i="20" s="1"/>
  <c r="F178" i="20" s="1"/>
  <c r="W178" i="20"/>
  <c r="W145" i="20"/>
  <c r="D145" i="20"/>
  <c r="E145" i="20" s="1"/>
  <c r="F145" i="20" s="1"/>
  <c r="G145" i="20" s="1"/>
  <c r="CB145" i="6" s="1"/>
  <c r="W346" i="20"/>
  <c r="D346" i="20"/>
  <c r="E346" i="20" s="1"/>
  <c r="F346" i="20" s="1"/>
  <c r="G346" i="20" s="1"/>
  <c r="CB346" i="6" s="1"/>
  <c r="W289" i="20"/>
  <c r="D289" i="20"/>
  <c r="E289" i="20" s="1"/>
  <c r="F289" i="20" s="1"/>
  <c r="D156" i="20"/>
  <c r="E156" i="20" s="1"/>
  <c r="F156" i="20" s="1"/>
  <c r="W156" i="20"/>
  <c r="W71" i="20"/>
  <c r="D71" i="20"/>
  <c r="E71" i="20" s="1"/>
  <c r="F71" i="20" s="1"/>
  <c r="AA71" i="20" s="1"/>
  <c r="Z71" i="20" s="1"/>
  <c r="Y71" i="20" s="1"/>
  <c r="G216" i="20"/>
  <c r="CB216" i="6" s="1"/>
  <c r="H216" i="20"/>
  <c r="I216" i="20" s="1"/>
  <c r="D304" i="20"/>
  <c r="E304" i="20" s="1"/>
  <c r="F304" i="20" s="1"/>
  <c r="W304" i="20"/>
  <c r="W251" i="20"/>
  <c r="D251" i="20"/>
  <c r="E251" i="20" s="1"/>
  <c r="F251" i="20" s="1"/>
  <c r="D66" i="20"/>
  <c r="E66" i="20" s="1"/>
  <c r="F66" i="20" s="1"/>
  <c r="H66" i="20" s="1"/>
  <c r="I66" i="20" s="1"/>
  <c r="W66" i="20"/>
  <c r="G226" i="20"/>
  <c r="CB226" i="6" s="1"/>
  <c r="H226" i="20"/>
  <c r="I226" i="20" s="1"/>
  <c r="H206" i="20"/>
  <c r="J206" i="20" s="1"/>
  <c r="G206" i="20"/>
  <c r="CB206" i="6" s="1"/>
  <c r="D112" i="20"/>
  <c r="E112" i="20" s="1"/>
  <c r="F112" i="20" s="1"/>
  <c r="W112" i="20"/>
  <c r="D191" i="20"/>
  <c r="E191" i="20" s="1"/>
  <c r="F191" i="20" s="1"/>
  <c r="W191" i="20"/>
  <c r="D121" i="20"/>
  <c r="E121" i="20" s="1"/>
  <c r="F121" i="20" s="1"/>
  <c r="W121" i="20"/>
  <c r="W24" i="20"/>
  <c r="D24" i="20"/>
  <c r="E24" i="20" s="1"/>
  <c r="F24" i="20" s="1"/>
  <c r="H357" i="20"/>
  <c r="I357" i="20" s="1"/>
  <c r="W232" i="20"/>
  <c r="D232" i="20"/>
  <c r="E232" i="20" s="1"/>
  <c r="F232" i="20" s="1"/>
  <c r="D245" i="20"/>
  <c r="E245" i="20" s="1"/>
  <c r="F245" i="20" s="1"/>
  <c r="W245" i="20"/>
  <c r="D70" i="20"/>
  <c r="E70" i="20" s="1"/>
  <c r="F70" i="20" s="1"/>
  <c r="W70" i="20"/>
  <c r="W79" i="20"/>
  <c r="D79" i="20"/>
  <c r="E79" i="20" s="1"/>
  <c r="F79" i="20" s="1"/>
  <c r="H79" i="20" s="1"/>
  <c r="I79" i="20" s="1"/>
  <c r="W122" i="20"/>
  <c r="D122" i="20"/>
  <c r="E122" i="20" s="1"/>
  <c r="F122" i="20" s="1"/>
  <c r="H122" i="20" s="1"/>
  <c r="J122" i="20" s="1"/>
  <c r="D160" i="20"/>
  <c r="E160" i="20" s="1"/>
  <c r="F160" i="20" s="1"/>
  <c r="W160" i="20"/>
  <c r="D37" i="20"/>
  <c r="E37" i="20" s="1"/>
  <c r="F37" i="20" s="1"/>
  <c r="W37" i="20"/>
  <c r="D34" i="20"/>
  <c r="E34" i="20" s="1"/>
  <c r="F34" i="20" s="1"/>
  <c r="W34" i="20"/>
  <c r="W271" i="20"/>
  <c r="D271" i="20"/>
  <c r="E271" i="20" s="1"/>
  <c r="F271" i="20" s="1"/>
  <c r="W266" i="20"/>
  <c r="D266" i="20"/>
  <c r="E266" i="20" s="1"/>
  <c r="F266" i="20" s="1"/>
  <c r="D136" i="20"/>
  <c r="E136" i="20" s="1"/>
  <c r="F136" i="20" s="1"/>
  <c r="W136" i="20"/>
  <c r="W77" i="20"/>
  <c r="D77" i="20"/>
  <c r="E77" i="20" s="1"/>
  <c r="F77" i="20" s="1"/>
  <c r="W147" i="20"/>
  <c r="D147" i="20"/>
  <c r="E147" i="20" s="1"/>
  <c r="F147" i="20" s="1"/>
  <c r="W170" i="20"/>
  <c r="D170" i="20"/>
  <c r="E170" i="20" s="1"/>
  <c r="F170" i="20" s="1"/>
  <c r="H170" i="20" s="1"/>
  <c r="I170" i="20" s="1"/>
  <c r="D114" i="20"/>
  <c r="E114" i="20" s="1"/>
  <c r="F114" i="20" s="1"/>
  <c r="H114" i="20" s="1"/>
  <c r="W114" i="20"/>
  <c r="D243" i="20"/>
  <c r="E243" i="20" s="1"/>
  <c r="F243" i="20" s="1"/>
  <c r="H243" i="20" s="1"/>
  <c r="W243" i="20"/>
  <c r="W172" i="20"/>
  <c r="D172" i="20"/>
  <c r="E172" i="20" s="1"/>
  <c r="F172" i="20" s="1"/>
  <c r="G305" i="20"/>
  <c r="CB305" i="6" s="1"/>
  <c r="AA305" i="20"/>
  <c r="Z305" i="20" s="1"/>
  <c r="Y305" i="20" s="1"/>
  <c r="AA27" i="20"/>
  <c r="Z27" i="20" s="1"/>
  <c r="Y27" i="20" s="1"/>
  <c r="G27" i="20"/>
  <c r="CB27" i="6" s="1"/>
  <c r="G278" i="20"/>
  <c r="CB278" i="6" s="1"/>
  <c r="D313" i="20"/>
  <c r="E313" i="20" s="1"/>
  <c r="F313" i="20" s="1"/>
  <c r="W313" i="20"/>
  <c r="W165" i="20"/>
  <c r="D165" i="20"/>
  <c r="E165" i="20" s="1"/>
  <c r="F165" i="20" s="1"/>
  <c r="G165" i="20" s="1"/>
  <c r="CB165" i="6" s="1"/>
  <c r="D352" i="20"/>
  <c r="E352" i="20" s="1"/>
  <c r="F352" i="20" s="1"/>
  <c r="W352" i="20"/>
  <c r="D209" i="20"/>
  <c r="E209" i="20" s="1"/>
  <c r="F209" i="20" s="1"/>
  <c r="H209" i="20" s="1"/>
  <c r="J209" i="20" s="1"/>
  <c r="W209" i="20"/>
  <c r="D250" i="20"/>
  <c r="E250" i="20" s="1"/>
  <c r="F250" i="20" s="1"/>
  <c r="W250" i="20"/>
  <c r="D362" i="20"/>
  <c r="E362" i="20" s="1"/>
  <c r="F362" i="20" s="1"/>
  <c r="H362" i="20" s="1"/>
  <c r="W362" i="20"/>
  <c r="AA146" i="20"/>
  <c r="Z146" i="20" s="1"/>
  <c r="Y146" i="20" s="1"/>
  <c r="H146" i="20"/>
  <c r="J146" i="20" s="1"/>
  <c r="D116" i="20"/>
  <c r="E116" i="20" s="1"/>
  <c r="F116" i="20" s="1"/>
  <c r="W116" i="20"/>
  <c r="W296" i="20"/>
  <c r="D296" i="20"/>
  <c r="E296" i="20" s="1"/>
  <c r="F296" i="20" s="1"/>
  <c r="AA296" i="20" s="1"/>
  <c r="Z296" i="20" s="1"/>
  <c r="Y296" i="20" s="1"/>
  <c r="W208" i="20"/>
  <c r="D208" i="20"/>
  <c r="E208" i="20" s="1"/>
  <c r="F208" i="20" s="1"/>
  <c r="D228" i="20"/>
  <c r="E228" i="20" s="1"/>
  <c r="F228" i="20" s="1"/>
  <c r="W228" i="20"/>
  <c r="H306" i="20"/>
  <c r="J306" i="20" s="1"/>
  <c r="AA306" i="20"/>
  <c r="Z306" i="20" s="1"/>
  <c r="Y306" i="20" s="1"/>
  <c r="W269" i="20"/>
  <c r="D269" i="20"/>
  <c r="E269" i="20" s="1"/>
  <c r="F269" i="20" s="1"/>
  <c r="W150" i="20"/>
  <c r="D150" i="20"/>
  <c r="E150" i="20" s="1"/>
  <c r="F150" i="20" s="1"/>
  <c r="G150" i="20" s="1"/>
  <c r="CB150" i="6" s="1"/>
  <c r="D195" i="20"/>
  <c r="E195" i="20" s="1"/>
  <c r="F195" i="20" s="1"/>
  <c r="W195" i="20"/>
  <c r="D91" i="20"/>
  <c r="E91" i="20" s="1"/>
  <c r="F91" i="20" s="1"/>
  <c r="W91" i="20"/>
  <c r="D252" i="20"/>
  <c r="E252" i="20" s="1"/>
  <c r="F252" i="20" s="1"/>
  <c r="W252" i="20"/>
  <c r="D97" i="20"/>
  <c r="E97" i="20" s="1"/>
  <c r="F97" i="20" s="1"/>
  <c r="W97" i="20"/>
  <c r="D347" i="20"/>
  <c r="E347" i="20" s="1"/>
  <c r="F347" i="20" s="1"/>
  <c r="H347" i="20" s="1"/>
  <c r="J347" i="20" s="1"/>
  <c r="W347" i="20"/>
  <c r="W253" i="20"/>
  <c r="D253" i="20"/>
  <c r="E253" i="20" s="1"/>
  <c r="F253" i="20" s="1"/>
  <c r="AA253" i="20" s="1"/>
  <c r="Z253" i="20" s="1"/>
  <c r="Y253" i="20" s="1"/>
  <c r="W137" i="20"/>
  <c r="D137" i="20"/>
  <c r="E137" i="20" s="1"/>
  <c r="F137" i="20" s="1"/>
  <c r="G214" i="20"/>
  <c r="CB214" i="6" s="1"/>
  <c r="D328" i="20"/>
  <c r="E328" i="20" s="1"/>
  <c r="F328" i="20" s="1"/>
  <c r="W328" i="20"/>
  <c r="W169" i="20"/>
  <c r="D169" i="20"/>
  <c r="E169" i="20" s="1"/>
  <c r="F169" i="20" s="1"/>
  <c r="D265" i="20"/>
  <c r="E265" i="20" s="1"/>
  <c r="F265" i="20" s="1"/>
  <c r="W265" i="20"/>
  <c r="W293" i="20"/>
  <c r="D293" i="20"/>
  <c r="E293" i="20" s="1"/>
  <c r="F293" i="20" s="1"/>
  <c r="H293" i="20" s="1"/>
  <c r="J293" i="20" s="1"/>
  <c r="W163" i="20"/>
  <c r="D163" i="20"/>
  <c r="E163" i="20" s="1"/>
  <c r="F163" i="20" s="1"/>
  <c r="AA163" i="20" s="1"/>
  <c r="Z163" i="20" s="1"/>
  <c r="Y163" i="20" s="1"/>
  <c r="W320" i="20"/>
  <c r="D320" i="20"/>
  <c r="E320" i="20" s="1"/>
  <c r="F320" i="20" s="1"/>
  <c r="G320" i="20" s="1"/>
  <c r="CB320" i="6" s="1"/>
  <c r="W205" i="20"/>
  <c r="D205" i="20"/>
  <c r="E205" i="20" s="1"/>
  <c r="F205" i="20" s="1"/>
  <c r="AA205" i="20" s="1"/>
  <c r="Z205" i="20" s="1"/>
  <c r="Y205" i="20" s="1"/>
  <c r="W335" i="20"/>
  <c r="D335" i="20"/>
  <c r="E335" i="20" s="1"/>
  <c r="F335" i="20" s="1"/>
  <c r="G335" i="20" s="1"/>
  <c r="CB335" i="6" s="1"/>
  <c r="W52" i="20"/>
  <c r="D52" i="20"/>
  <c r="E52" i="20" s="1"/>
  <c r="F52" i="20" s="1"/>
  <c r="H52" i="20" s="1"/>
  <c r="J52" i="20" s="1"/>
  <c r="H377" i="20"/>
  <c r="I377" i="20" s="1"/>
  <c r="G377" i="20"/>
  <c r="CB377" i="6" s="1"/>
  <c r="D73" i="20"/>
  <c r="E73" i="20" s="1"/>
  <c r="F73" i="20" s="1"/>
  <c r="W73" i="20"/>
  <c r="D54" i="20"/>
  <c r="E54" i="20" s="1"/>
  <c r="F54" i="20" s="1"/>
  <c r="W54" i="20"/>
  <c r="D140" i="20"/>
  <c r="E140" i="20" s="1"/>
  <c r="F140" i="20" s="1"/>
  <c r="W140" i="20"/>
  <c r="W173" i="20"/>
  <c r="D173" i="20"/>
  <c r="E173" i="20" s="1"/>
  <c r="F173" i="20" s="1"/>
  <c r="D58" i="20"/>
  <c r="E58" i="20" s="1"/>
  <c r="F58" i="20" s="1"/>
  <c r="H58" i="20" s="1"/>
  <c r="J58" i="20" s="1"/>
  <c r="W58" i="20"/>
  <c r="D375" i="20"/>
  <c r="E375" i="20" s="1"/>
  <c r="F375" i="20" s="1"/>
  <c r="H375" i="20" s="1"/>
  <c r="J375" i="20" s="1"/>
  <c r="W375" i="20"/>
  <c r="D255" i="20"/>
  <c r="E255" i="20" s="1"/>
  <c r="F255" i="20" s="1"/>
  <c r="W255" i="20"/>
  <c r="W143" i="20"/>
  <c r="D143" i="20"/>
  <c r="E143" i="20" s="1"/>
  <c r="F143" i="20" s="1"/>
  <c r="H161" i="20"/>
  <c r="J161" i="20" s="1"/>
  <c r="G161" i="20"/>
  <c r="CB161" i="6" s="1"/>
  <c r="D211" i="20"/>
  <c r="E211" i="20" s="1"/>
  <c r="F211" i="20" s="1"/>
  <c r="W211" i="20"/>
  <c r="W308" i="20"/>
  <c r="D308" i="20"/>
  <c r="E308" i="20" s="1"/>
  <c r="F308" i="20" s="1"/>
  <c r="G308" i="20" s="1"/>
  <c r="CB308" i="6" s="1"/>
  <c r="W361" i="20"/>
  <c r="D361" i="20"/>
  <c r="E361" i="20" s="1"/>
  <c r="F361" i="20" s="1"/>
  <c r="G361" i="20" s="1"/>
  <c r="CB361" i="6" s="1"/>
  <c r="D282" i="20"/>
  <c r="E282" i="20" s="1"/>
  <c r="F282" i="20" s="1"/>
  <c r="W282" i="20"/>
  <c r="D290" i="20"/>
  <c r="E290" i="20" s="1"/>
  <c r="F290" i="20" s="1"/>
  <c r="W290" i="20"/>
  <c r="D184" i="20"/>
  <c r="E184" i="20" s="1"/>
  <c r="F184" i="20" s="1"/>
  <c r="W184" i="20"/>
  <c r="D336" i="20"/>
  <c r="E336" i="20" s="1"/>
  <c r="F336" i="20" s="1"/>
  <c r="W336" i="20"/>
  <c r="D141" i="20"/>
  <c r="E141" i="20" s="1"/>
  <c r="F141" i="20" s="1"/>
  <c r="W141" i="20"/>
  <c r="W148" i="20"/>
  <c r="D148" i="20"/>
  <c r="E148" i="20" s="1"/>
  <c r="F148" i="20" s="1"/>
  <c r="G148" i="20" s="1"/>
  <c r="CB148" i="6" s="1"/>
  <c r="D295" i="20"/>
  <c r="E295" i="20" s="1"/>
  <c r="F295" i="20" s="1"/>
  <c r="W295" i="20"/>
  <c r="D22" i="20"/>
  <c r="E22" i="20" s="1"/>
  <c r="F22" i="20" s="1"/>
  <c r="W22" i="20"/>
  <c r="D270" i="20"/>
  <c r="E270" i="20" s="1"/>
  <c r="F270" i="20" s="1"/>
  <c r="W270" i="20"/>
  <c r="D316" i="20"/>
  <c r="E316" i="20" s="1"/>
  <c r="F316" i="20" s="1"/>
  <c r="W316" i="20"/>
  <c r="AA168" i="20"/>
  <c r="Z168" i="20" s="1"/>
  <c r="Y168" i="20" s="1"/>
  <c r="G168" i="20"/>
  <c r="CB168" i="6" s="1"/>
  <c r="D167" i="20"/>
  <c r="E167" i="20" s="1"/>
  <c r="F167" i="20" s="1"/>
  <c r="W167" i="20"/>
  <c r="H259" i="20"/>
  <c r="J259" i="20" s="1"/>
  <c r="G175" i="20"/>
  <c r="CB175" i="6" s="1"/>
  <c r="W201" i="20"/>
  <c r="D201" i="20"/>
  <c r="E201" i="20" s="1"/>
  <c r="F201" i="20" s="1"/>
  <c r="W358" i="20"/>
  <c r="D358" i="20"/>
  <c r="E358" i="20" s="1"/>
  <c r="F358" i="20" s="1"/>
  <c r="G358" i="20" s="1"/>
  <c r="CB358" i="6" s="1"/>
  <c r="D371" i="20"/>
  <c r="E371" i="20" s="1"/>
  <c r="F371" i="20" s="1"/>
  <c r="W371" i="20"/>
  <c r="W376" i="20"/>
  <c r="D376" i="20"/>
  <c r="E376" i="20" s="1"/>
  <c r="F376" i="20" s="1"/>
  <c r="G376" i="20" s="1"/>
  <c r="CB376" i="6" s="1"/>
  <c r="H233" i="20"/>
  <c r="J233" i="20" s="1"/>
  <c r="AA83" i="20"/>
  <c r="Z83" i="20" s="1"/>
  <c r="Y83" i="20" s="1"/>
  <c r="H83" i="20"/>
  <c r="J83" i="20" s="1"/>
  <c r="W242" i="20"/>
  <c r="D242" i="20"/>
  <c r="E242" i="20" s="1"/>
  <c r="F242" i="20" s="1"/>
  <c r="W256" i="20"/>
  <c r="D256" i="20"/>
  <c r="E256" i="20" s="1"/>
  <c r="F256" i="20" s="1"/>
  <c r="D373" i="20"/>
  <c r="E373" i="20" s="1"/>
  <c r="F373" i="20" s="1"/>
  <c r="W373" i="20"/>
  <c r="W78" i="20"/>
  <c r="D78" i="20"/>
  <c r="E78" i="20" s="1"/>
  <c r="F78" i="20" s="1"/>
  <c r="G78" i="20" s="1"/>
  <c r="CB78" i="6" s="1"/>
  <c r="W23" i="20"/>
  <c r="D23" i="20"/>
  <c r="E23" i="20" s="1"/>
  <c r="F23" i="20" s="1"/>
  <c r="G23" i="20" s="1"/>
  <c r="CB23" i="6" s="1"/>
  <c r="D257" i="20"/>
  <c r="E257" i="20" s="1"/>
  <c r="F257" i="20" s="1"/>
  <c r="W257" i="20"/>
  <c r="W89" i="20"/>
  <c r="D89" i="20"/>
  <c r="E89" i="20" s="1"/>
  <c r="F89" i="20" s="1"/>
  <c r="G89" i="20" s="1"/>
  <c r="CB89" i="6" s="1"/>
  <c r="G85" i="20"/>
  <c r="CB85" i="6" s="1"/>
  <c r="AA85" i="20"/>
  <c r="Z85" i="20" s="1"/>
  <c r="Y85" i="20" s="1"/>
  <c r="W323" i="20"/>
  <c r="D323" i="20"/>
  <c r="E323" i="20" s="1"/>
  <c r="F323" i="20" s="1"/>
  <c r="G323" i="20" s="1"/>
  <c r="CB323" i="6" s="1"/>
  <c r="W353" i="20"/>
  <c r="D353" i="20"/>
  <c r="E353" i="20" s="1"/>
  <c r="F353" i="20" s="1"/>
  <c r="G353" i="20" s="1"/>
  <c r="CB353" i="6" s="1"/>
  <c r="D51" i="20"/>
  <c r="E51" i="20" s="1"/>
  <c r="F51" i="20" s="1"/>
  <c r="W51" i="20"/>
  <c r="D48" i="20"/>
  <c r="E48" i="20" s="1"/>
  <c r="F48" i="20" s="1"/>
  <c r="W48" i="20"/>
  <c r="W223" i="20"/>
  <c r="D223" i="20"/>
  <c r="E223" i="20" s="1"/>
  <c r="F223" i="20" s="1"/>
  <c r="AA223" i="20" s="1"/>
  <c r="Z223" i="20" s="1"/>
  <c r="Y223" i="20" s="1"/>
  <c r="G43" i="20"/>
  <c r="CB43" i="6" s="1"/>
  <c r="D267" i="20"/>
  <c r="E267" i="20" s="1"/>
  <c r="F267" i="20" s="1"/>
  <c r="W267" i="20"/>
  <c r="D199" i="20"/>
  <c r="E199" i="20" s="1"/>
  <c r="F199" i="20" s="1"/>
  <c r="W199" i="20"/>
  <c r="W200" i="20"/>
  <c r="D200" i="20"/>
  <c r="E200" i="20" s="1"/>
  <c r="F200" i="20" s="1"/>
  <c r="H200" i="20" s="1"/>
  <c r="J200" i="20" s="1"/>
  <c r="D327" i="20"/>
  <c r="E327" i="20" s="1"/>
  <c r="F327" i="20" s="1"/>
  <c r="H327" i="20" s="1"/>
  <c r="J327" i="20" s="1"/>
  <c r="W327" i="20"/>
  <c r="W312" i="20"/>
  <c r="D312" i="20"/>
  <c r="E312" i="20" s="1"/>
  <c r="F312" i="20" s="1"/>
  <c r="AA312" i="20" s="1"/>
  <c r="Z312" i="20" s="1"/>
  <c r="Y312" i="20" s="1"/>
  <c r="W337" i="20"/>
  <c r="D337" i="20"/>
  <c r="E337" i="20" s="1"/>
  <c r="F337" i="20" s="1"/>
  <c r="D93" i="20"/>
  <c r="E93" i="20" s="1"/>
  <c r="F93" i="20" s="1"/>
  <c r="W93" i="20"/>
  <c r="D268" i="20"/>
  <c r="E268" i="20" s="1"/>
  <c r="F268" i="20" s="1"/>
  <c r="W268" i="20"/>
  <c r="H224" i="20"/>
  <c r="I224" i="20" s="1"/>
  <c r="W101" i="20"/>
  <c r="D101" i="20"/>
  <c r="E101" i="20" s="1"/>
  <c r="F101" i="20" s="1"/>
  <c r="H101" i="20" s="1"/>
  <c r="I101" i="20" s="1"/>
  <c r="W64" i="20"/>
  <c r="D64" i="20"/>
  <c r="E64" i="20" s="1"/>
  <c r="F64" i="20" s="1"/>
  <c r="G64" i="20" s="1"/>
  <c r="CB64" i="6" s="1"/>
  <c r="D113" i="20"/>
  <c r="E113" i="20" s="1"/>
  <c r="F113" i="20" s="1"/>
  <c r="W113" i="20"/>
  <c r="H372" i="20"/>
  <c r="I372" i="20" s="1"/>
  <c r="G372" i="20"/>
  <c r="CB372" i="6" s="1"/>
  <c r="W236" i="20"/>
  <c r="D236" i="20"/>
  <c r="E236" i="20" s="1"/>
  <c r="F236" i="20" s="1"/>
  <c r="H236" i="20" s="1"/>
  <c r="I236" i="20" s="1"/>
  <c r="AA230" i="20"/>
  <c r="Z230" i="20" s="1"/>
  <c r="Y230" i="20" s="1"/>
  <c r="G230" i="20"/>
  <c r="CB230" i="6" s="1"/>
  <c r="H281" i="20"/>
  <c r="I281" i="20" s="1"/>
  <c r="W190" i="20"/>
  <c r="D190" i="20"/>
  <c r="E190" i="20" s="1"/>
  <c r="F190" i="20" s="1"/>
  <c r="D193" i="20"/>
  <c r="E193" i="20" s="1"/>
  <c r="F193" i="20" s="1"/>
  <c r="W193" i="20"/>
  <c r="D142" i="20"/>
  <c r="E142" i="20" s="1"/>
  <c r="F142" i="20" s="1"/>
  <c r="W142" i="20"/>
  <c r="W348" i="20"/>
  <c r="D348" i="20"/>
  <c r="E348" i="20" s="1"/>
  <c r="F348" i="20" s="1"/>
  <c r="W100" i="20"/>
  <c r="D100" i="20"/>
  <c r="E100" i="20" s="1"/>
  <c r="F100" i="20" s="1"/>
  <c r="H100" i="20" s="1"/>
  <c r="I100" i="20" s="1"/>
  <c r="D241" i="20"/>
  <c r="E241" i="20" s="1"/>
  <c r="F241" i="20" s="1"/>
  <c r="W29" i="20"/>
  <c r="AA262" i="20"/>
  <c r="Z262" i="20" s="1"/>
  <c r="Y262" i="20" s="1"/>
  <c r="J119" i="18"/>
  <c r="C119" i="6" s="1"/>
  <c r="H130" i="20"/>
  <c r="J130" i="20" s="1"/>
  <c r="G306" i="20"/>
  <c r="CB306" i="6" s="1"/>
  <c r="H104" i="20"/>
  <c r="J104" i="20" s="1"/>
  <c r="H75" i="20"/>
  <c r="I75" i="20" s="1"/>
  <c r="H90" i="20"/>
  <c r="J90" i="20" s="1"/>
  <c r="AB4" i="6"/>
  <c r="H107" i="20"/>
  <c r="J107" i="20" s="1"/>
  <c r="I66" i="19"/>
  <c r="H194" i="20"/>
  <c r="I194" i="20" s="1"/>
  <c r="H123" i="20"/>
  <c r="J123" i="20" s="1"/>
  <c r="H159" i="20"/>
  <c r="I159" i="20" s="1"/>
  <c r="AI256" i="22"/>
  <c r="AH256" i="22" s="1"/>
  <c r="AG256" i="22" s="1"/>
  <c r="AF256" i="22" s="1"/>
  <c r="AI251" i="22"/>
  <c r="AH251" i="22" s="1"/>
  <c r="AG251" i="22" s="1"/>
  <c r="AF251" i="22" s="1"/>
  <c r="AI159" i="22"/>
  <c r="AH159" i="22" s="1"/>
  <c r="AG159" i="22" s="1"/>
  <c r="AF159" i="22" s="1"/>
  <c r="AD159" i="22" s="1"/>
  <c r="AI235" i="22"/>
  <c r="AH235" i="22" s="1"/>
  <c r="AG235" i="22" s="1"/>
  <c r="AF235" i="22" s="1"/>
  <c r="AI325" i="22"/>
  <c r="AH325" i="22" s="1"/>
  <c r="AG325" i="22" s="1"/>
  <c r="AF325" i="22" s="1"/>
  <c r="AI155" i="22"/>
  <c r="AH155" i="22" s="1"/>
  <c r="AG155" i="22" s="1"/>
  <c r="AF155" i="22" s="1"/>
  <c r="AI243" i="22"/>
  <c r="AH243" i="22" s="1"/>
  <c r="AG243" i="22" s="1"/>
  <c r="AF243" i="22" s="1"/>
  <c r="AD243" i="22" s="1"/>
  <c r="AI194" i="22"/>
  <c r="AH194" i="22" s="1"/>
  <c r="AG194" i="22" s="1"/>
  <c r="AF194" i="22" s="1"/>
  <c r="AI182" i="22"/>
  <c r="AH182" i="22" s="1"/>
  <c r="AG182" i="22" s="1"/>
  <c r="AF182" i="22" s="1"/>
  <c r="AI119" i="22"/>
  <c r="AH119" i="22" s="1"/>
  <c r="AG119" i="22" s="1"/>
  <c r="AF119" i="22" s="1"/>
  <c r="AI332" i="22"/>
  <c r="AH332" i="22" s="1"/>
  <c r="AG332" i="22" s="1"/>
  <c r="AF332" i="22" s="1"/>
  <c r="AI178" i="22"/>
  <c r="AH178" i="22" s="1"/>
  <c r="AG178" i="22" s="1"/>
  <c r="AF178" i="22" s="1"/>
  <c r="AI120" i="22"/>
  <c r="AH120" i="22" s="1"/>
  <c r="AG120" i="22" s="1"/>
  <c r="AF120" i="22" s="1"/>
  <c r="AI305" i="22"/>
  <c r="AH305" i="22" s="1"/>
  <c r="AG305" i="22" s="1"/>
  <c r="AF305" i="22" s="1"/>
  <c r="AI264" i="22"/>
  <c r="AH264" i="22" s="1"/>
  <c r="AG264" i="22" s="1"/>
  <c r="AF264" i="22" s="1"/>
  <c r="H128" i="20"/>
  <c r="J128" i="20" s="1"/>
  <c r="G62" i="20"/>
  <c r="CB62" i="6" s="1"/>
  <c r="G262" i="20"/>
  <c r="CB262" i="6" s="1"/>
  <c r="H32" i="20"/>
  <c r="I32" i="20" s="1"/>
  <c r="G264" i="20"/>
  <c r="CB264" i="6" s="1"/>
  <c r="AI259" i="22"/>
  <c r="AH259" i="22" s="1"/>
  <c r="AG259" i="22" s="1"/>
  <c r="AF259" i="22" s="1"/>
  <c r="AI367" i="22"/>
  <c r="AH367" i="22" s="1"/>
  <c r="AG367" i="22" s="1"/>
  <c r="AF367" i="22" s="1"/>
  <c r="AI304" i="22"/>
  <c r="AH304" i="22" s="1"/>
  <c r="AG304" i="22" s="1"/>
  <c r="AF304" i="22" s="1"/>
  <c r="AI222" i="22"/>
  <c r="AH222" i="22" s="1"/>
  <c r="AG222" i="22" s="1"/>
  <c r="AF222" i="22" s="1"/>
  <c r="AI313" i="22"/>
  <c r="AH313" i="22" s="1"/>
  <c r="AG313" i="22" s="1"/>
  <c r="AF313" i="22" s="1"/>
  <c r="AI262" i="22"/>
  <c r="AH262" i="22" s="1"/>
  <c r="AG262" i="22" s="1"/>
  <c r="AF262" i="22" s="1"/>
  <c r="AI198" i="22"/>
  <c r="AH198" i="22" s="1"/>
  <c r="AG198" i="22" s="1"/>
  <c r="AF198" i="22" s="1"/>
  <c r="AI326" i="22"/>
  <c r="AH326" i="22" s="1"/>
  <c r="AG326" i="22" s="1"/>
  <c r="AF326" i="22" s="1"/>
  <c r="AI126" i="22"/>
  <c r="AH126" i="22" s="1"/>
  <c r="AG126" i="22" s="1"/>
  <c r="AF126" i="22" s="1"/>
  <c r="AI230" i="22"/>
  <c r="AH230" i="22" s="1"/>
  <c r="AG230" i="22" s="1"/>
  <c r="AF230" i="22" s="1"/>
  <c r="AI354" i="22"/>
  <c r="AH354" i="22" s="1"/>
  <c r="AG354" i="22" s="1"/>
  <c r="AF354" i="22" s="1"/>
  <c r="AI334" i="22"/>
  <c r="AH334" i="22" s="1"/>
  <c r="AG334" i="22" s="1"/>
  <c r="AF334" i="22" s="1"/>
  <c r="AI152" i="22"/>
  <c r="AH152" i="22" s="1"/>
  <c r="AG152" i="22" s="1"/>
  <c r="AF152" i="22" s="1"/>
  <c r="AI340" i="22"/>
  <c r="AH340" i="22" s="1"/>
  <c r="AG340" i="22" s="1"/>
  <c r="AF340" i="22" s="1"/>
  <c r="AI211" i="22"/>
  <c r="AH211" i="22" s="1"/>
  <c r="AG211" i="22" s="1"/>
  <c r="AF211" i="22" s="1"/>
  <c r="AI223" i="22"/>
  <c r="AH223" i="22" s="1"/>
  <c r="AG223" i="22" s="1"/>
  <c r="AF223" i="22" s="1"/>
  <c r="AI323" i="22"/>
  <c r="AH323" i="22" s="1"/>
  <c r="AG323" i="22" s="1"/>
  <c r="AF323" i="22" s="1"/>
  <c r="AI338" i="22"/>
  <c r="AH338" i="22" s="1"/>
  <c r="AG338" i="22" s="1"/>
  <c r="AF338" i="22" s="1"/>
  <c r="AI364" i="22"/>
  <c r="AH364" i="22" s="1"/>
  <c r="AG364" i="22" s="1"/>
  <c r="AF364" i="22" s="1"/>
  <c r="AI184" i="22"/>
  <c r="AH184" i="22" s="1"/>
  <c r="AG184" i="22" s="1"/>
  <c r="AF184" i="22" s="1"/>
  <c r="AI168" i="22"/>
  <c r="AH168" i="22" s="1"/>
  <c r="AG168" i="22" s="1"/>
  <c r="AF168" i="22" s="1"/>
  <c r="AI216" i="22"/>
  <c r="AH216" i="22" s="1"/>
  <c r="AG216" i="22" s="1"/>
  <c r="AF216" i="22" s="1"/>
  <c r="AI135" i="22"/>
  <c r="AH135" i="22" s="1"/>
  <c r="AG135" i="22" s="1"/>
  <c r="AF135" i="22" s="1"/>
  <c r="AI295" i="22"/>
  <c r="AH295" i="22" s="1"/>
  <c r="AG295" i="22" s="1"/>
  <c r="AF295" i="22" s="1"/>
  <c r="AI263" i="22"/>
  <c r="AH263" i="22" s="1"/>
  <c r="AG263" i="22" s="1"/>
  <c r="AF263" i="22" s="1"/>
  <c r="AI337" i="22"/>
  <c r="AH337" i="22" s="1"/>
  <c r="AG337" i="22" s="1"/>
  <c r="AF337" i="22" s="1"/>
  <c r="AI322" i="22"/>
  <c r="AH322" i="22" s="1"/>
  <c r="AG322" i="22" s="1"/>
  <c r="AF322" i="22" s="1"/>
  <c r="AI272" i="22"/>
  <c r="AH272" i="22" s="1"/>
  <c r="AG272" i="22" s="1"/>
  <c r="AF272" i="22" s="1"/>
  <c r="AI146" i="22"/>
  <c r="AH146" i="22" s="1"/>
  <c r="AG146" i="22" s="1"/>
  <c r="AF146" i="22" s="1"/>
  <c r="AI312" i="22"/>
  <c r="AH312" i="22" s="1"/>
  <c r="AG312" i="22" s="1"/>
  <c r="AF312" i="22" s="1"/>
  <c r="AI175" i="22"/>
  <c r="AH175" i="22" s="1"/>
  <c r="AG175" i="22" s="1"/>
  <c r="AF175" i="22" s="1"/>
  <c r="AI109" i="22"/>
  <c r="AH109" i="22" s="1"/>
  <c r="AG109" i="22" s="1"/>
  <c r="AF109" i="22" s="1"/>
  <c r="AI111" i="22"/>
  <c r="AH111" i="22" s="1"/>
  <c r="AG111" i="22" s="1"/>
  <c r="AF111" i="22" s="1"/>
  <c r="AI217" i="22"/>
  <c r="AH217" i="22" s="1"/>
  <c r="AG217" i="22" s="1"/>
  <c r="AF217" i="22" s="1"/>
  <c r="AI228" i="22"/>
  <c r="AH228" i="22" s="1"/>
  <c r="AG228" i="22" s="1"/>
  <c r="AF228" i="22" s="1"/>
  <c r="AI300" i="22"/>
  <c r="AH300" i="22" s="1"/>
  <c r="AG300" i="22" s="1"/>
  <c r="AF300" i="22" s="1"/>
  <c r="AI220" i="22"/>
  <c r="AH220" i="22" s="1"/>
  <c r="AG220" i="22" s="1"/>
  <c r="AF220" i="22" s="1"/>
  <c r="AI288" i="22"/>
  <c r="AH288" i="22" s="1"/>
  <c r="AG288" i="22" s="1"/>
  <c r="AF288" i="22" s="1"/>
  <c r="AI291" i="22"/>
  <c r="AH291" i="22" s="1"/>
  <c r="AG291" i="22" s="1"/>
  <c r="AF291" i="22" s="1"/>
  <c r="AI174" i="22"/>
  <c r="AH174" i="22" s="1"/>
  <c r="AG174" i="22" s="1"/>
  <c r="AF174" i="22" s="1"/>
  <c r="AI170" i="22"/>
  <c r="AH170" i="22" s="1"/>
  <c r="AG170" i="22" s="1"/>
  <c r="AF170" i="22" s="1"/>
  <c r="AI252" i="22"/>
  <c r="AH252" i="22" s="1"/>
  <c r="AG252" i="22" s="1"/>
  <c r="AF252" i="22" s="1"/>
  <c r="AI192" i="22"/>
  <c r="AH192" i="22" s="1"/>
  <c r="AG192" i="22" s="1"/>
  <c r="AF192" i="22" s="1"/>
  <c r="AI145" i="22"/>
  <c r="AH145" i="22" s="1"/>
  <c r="AG145" i="22" s="1"/>
  <c r="AF145" i="22" s="1"/>
  <c r="AI207" i="22"/>
  <c r="AH207" i="22" s="1"/>
  <c r="AG207" i="22" s="1"/>
  <c r="AF207" i="22" s="1"/>
  <c r="AI333" i="22"/>
  <c r="AH333" i="22" s="1"/>
  <c r="AG333" i="22" s="1"/>
  <c r="AF333" i="22" s="1"/>
  <c r="AI193" i="22"/>
  <c r="AH193" i="22" s="1"/>
  <c r="AG193" i="22" s="1"/>
  <c r="AF193" i="22" s="1"/>
  <c r="AI151" i="22"/>
  <c r="AH151" i="22" s="1"/>
  <c r="AG151" i="22" s="1"/>
  <c r="AF151" i="22" s="1"/>
  <c r="AI241" i="22"/>
  <c r="AH241" i="22" s="1"/>
  <c r="AG241" i="22" s="1"/>
  <c r="AF241" i="22" s="1"/>
  <c r="AI234" i="22"/>
  <c r="AH234" i="22" s="1"/>
  <c r="AG234" i="22" s="1"/>
  <c r="AF234" i="22" s="1"/>
  <c r="AI315" i="22"/>
  <c r="AH315" i="22" s="1"/>
  <c r="AG315" i="22" s="1"/>
  <c r="AF315" i="22" s="1"/>
  <c r="AI366" i="22"/>
  <c r="AH366" i="22" s="1"/>
  <c r="AG366" i="22" s="1"/>
  <c r="AF366" i="22" s="1"/>
  <c r="AI180" i="22"/>
  <c r="AH180" i="22" s="1"/>
  <c r="AG180" i="22" s="1"/>
  <c r="AF180" i="22" s="1"/>
  <c r="AI200" i="22"/>
  <c r="AH200" i="22" s="1"/>
  <c r="AG200" i="22" s="1"/>
  <c r="AF200" i="22" s="1"/>
  <c r="AI321" i="22"/>
  <c r="AH321" i="22" s="1"/>
  <c r="AG321" i="22" s="1"/>
  <c r="AF321" i="22" s="1"/>
  <c r="AI141" i="22"/>
  <c r="AH141" i="22" s="1"/>
  <c r="AG141" i="22" s="1"/>
  <c r="AF141" i="22" s="1"/>
  <c r="AI279" i="22"/>
  <c r="AH279" i="22" s="1"/>
  <c r="AG279" i="22" s="1"/>
  <c r="AF279" i="22" s="1"/>
  <c r="AI209" i="22"/>
  <c r="AH209" i="22" s="1"/>
  <c r="AG209" i="22" s="1"/>
  <c r="AF209" i="22" s="1"/>
  <c r="AI339" i="22"/>
  <c r="AH339" i="22" s="1"/>
  <c r="AG339" i="22" s="1"/>
  <c r="AF339" i="22" s="1"/>
  <c r="AI150" i="22"/>
  <c r="AH150" i="22" s="1"/>
  <c r="AG150" i="22" s="1"/>
  <c r="AF150" i="22" s="1"/>
  <c r="AI277" i="22"/>
  <c r="AH277" i="22" s="1"/>
  <c r="AG277" i="22" s="1"/>
  <c r="AF277" i="22" s="1"/>
  <c r="AI238" i="22"/>
  <c r="AH238" i="22" s="1"/>
  <c r="AG238" i="22" s="1"/>
  <c r="AF238" i="22" s="1"/>
  <c r="AI265" i="22"/>
  <c r="AH265" i="22" s="1"/>
  <c r="AG265" i="22" s="1"/>
  <c r="AF265" i="22" s="1"/>
  <c r="AI185" i="22"/>
  <c r="AH185" i="22" s="1"/>
  <c r="AG185" i="22" s="1"/>
  <c r="AF185" i="22" s="1"/>
  <c r="AI261" i="22"/>
  <c r="AH261" i="22" s="1"/>
  <c r="AG261" i="22" s="1"/>
  <c r="AF261" i="22" s="1"/>
  <c r="AI210" i="22"/>
  <c r="AH210" i="22" s="1"/>
  <c r="AG210" i="22" s="1"/>
  <c r="AF210" i="22" s="1"/>
  <c r="AI205" i="22"/>
  <c r="AH205" i="22" s="1"/>
  <c r="AG205" i="22" s="1"/>
  <c r="AF205" i="22" s="1"/>
  <c r="AI257" i="22"/>
  <c r="AH257" i="22" s="1"/>
  <c r="AG257" i="22" s="1"/>
  <c r="AF257" i="22" s="1"/>
  <c r="AI156" i="22"/>
  <c r="AH156" i="22" s="1"/>
  <c r="AG156" i="22" s="1"/>
  <c r="AF156" i="22" s="1"/>
  <c r="AI149" i="22"/>
  <c r="AH149" i="22" s="1"/>
  <c r="AG149" i="22" s="1"/>
  <c r="AF149" i="22" s="1"/>
  <c r="AI139" i="22"/>
  <c r="AH139" i="22" s="1"/>
  <c r="AG139" i="22" s="1"/>
  <c r="AF139" i="22" s="1"/>
  <c r="AI237" i="22"/>
  <c r="AH237" i="22" s="1"/>
  <c r="AG237" i="22" s="1"/>
  <c r="AF237" i="22" s="1"/>
  <c r="AI244" i="22"/>
  <c r="AH244" i="22" s="1"/>
  <c r="AG244" i="22" s="1"/>
  <c r="AF244" i="22" s="1"/>
  <c r="AI363" i="22"/>
  <c r="AH363" i="22" s="1"/>
  <c r="AG363" i="22" s="1"/>
  <c r="AF363" i="22" s="1"/>
  <c r="AI346" i="22"/>
  <c r="AH346" i="22" s="1"/>
  <c r="AG346" i="22" s="1"/>
  <c r="AF346" i="22" s="1"/>
  <c r="AI329" i="22"/>
  <c r="AH329" i="22" s="1"/>
  <c r="AG329" i="22" s="1"/>
  <c r="AF329" i="22" s="1"/>
  <c r="AI269" i="22"/>
  <c r="AH269" i="22" s="1"/>
  <c r="AG269" i="22" s="1"/>
  <c r="AF269" i="22" s="1"/>
  <c r="AI306" i="22"/>
  <c r="AH306" i="22" s="1"/>
  <c r="AG306" i="22" s="1"/>
  <c r="AF306" i="22" s="1"/>
  <c r="AI318" i="22"/>
  <c r="AH318" i="22" s="1"/>
  <c r="AG318" i="22" s="1"/>
  <c r="AF318" i="22" s="1"/>
  <c r="AI167" i="22"/>
  <c r="AH167" i="22" s="1"/>
  <c r="AG167" i="22" s="1"/>
  <c r="AF167" i="22" s="1"/>
  <c r="AI108" i="22"/>
  <c r="AH108" i="22" s="1"/>
  <c r="AG108" i="22" s="1"/>
  <c r="AF108" i="22" s="1"/>
  <c r="AI107" i="22"/>
  <c r="AH107" i="22" s="1"/>
  <c r="AG107" i="22" s="1"/>
  <c r="AF107" i="22" s="1"/>
  <c r="AI186" i="22"/>
  <c r="AH186" i="22" s="1"/>
  <c r="AG186" i="22" s="1"/>
  <c r="AF186" i="22" s="1"/>
  <c r="AI266" i="22"/>
  <c r="AH266" i="22" s="1"/>
  <c r="AG266" i="22" s="1"/>
  <c r="AF266" i="22" s="1"/>
  <c r="AI369" i="22"/>
  <c r="AH369" i="22" s="1"/>
  <c r="AG369" i="22" s="1"/>
  <c r="AF369" i="22" s="1"/>
  <c r="AI247" i="22"/>
  <c r="AH247" i="22" s="1"/>
  <c r="AG247" i="22" s="1"/>
  <c r="AF247" i="22" s="1"/>
  <c r="AI161" i="22"/>
  <c r="AH161" i="22" s="1"/>
  <c r="AG161" i="22" s="1"/>
  <c r="AF161" i="22" s="1"/>
  <c r="AI197" i="22"/>
  <c r="AH197" i="22" s="1"/>
  <c r="AG197" i="22" s="1"/>
  <c r="AF197" i="22" s="1"/>
  <c r="AI380" i="22"/>
  <c r="AH380" i="22" s="1"/>
  <c r="AG380" i="22" s="1"/>
  <c r="AF380" i="22" s="1"/>
  <c r="AI240" i="22"/>
  <c r="AH240" i="22" s="1"/>
  <c r="AG240" i="22" s="1"/>
  <c r="AF240" i="22" s="1"/>
  <c r="AI201" i="22"/>
  <c r="AH201" i="22" s="1"/>
  <c r="AG201" i="22" s="1"/>
  <c r="AF201" i="22" s="1"/>
  <c r="AI347" i="22"/>
  <c r="AH347" i="22" s="1"/>
  <c r="AG347" i="22" s="1"/>
  <c r="AF347" i="22" s="1"/>
  <c r="AI131" i="22"/>
  <c r="AH131" i="22" s="1"/>
  <c r="AG131" i="22" s="1"/>
  <c r="AF131" i="22" s="1"/>
  <c r="AI154" i="22"/>
  <c r="AH154" i="22" s="1"/>
  <c r="AG154" i="22" s="1"/>
  <c r="AF154" i="22" s="1"/>
  <c r="AA183" i="20"/>
  <c r="Z183" i="20" s="1"/>
  <c r="Y183" i="20" s="1"/>
  <c r="AI348" i="22"/>
  <c r="AH348" i="22" s="1"/>
  <c r="AG348" i="22" s="1"/>
  <c r="AF348" i="22" s="1"/>
  <c r="AI317" i="22"/>
  <c r="AH317" i="22" s="1"/>
  <c r="AG317" i="22" s="1"/>
  <c r="AF317" i="22" s="1"/>
  <c r="AI292" i="22"/>
  <c r="AH292" i="22" s="1"/>
  <c r="AG292" i="22" s="1"/>
  <c r="AF292" i="22" s="1"/>
  <c r="AI176" i="22"/>
  <c r="AH176" i="22" s="1"/>
  <c r="AG176" i="22" s="1"/>
  <c r="AF176" i="22" s="1"/>
  <c r="AI147" i="22"/>
  <c r="AH147" i="22" s="1"/>
  <c r="AG147" i="22" s="1"/>
  <c r="AF147" i="22" s="1"/>
  <c r="AI255" i="22"/>
  <c r="AH255" i="22" s="1"/>
  <c r="AG255" i="22" s="1"/>
  <c r="AF255" i="22" s="1"/>
  <c r="AI372" i="22"/>
  <c r="AH372" i="22" s="1"/>
  <c r="AG372" i="22" s="1"/>
  <c r="AF372" i="22" s="1"/>
  <c r="AI328" i="22"/>
  <c r="AH328" i="22" s="1"/>
  <c r="AG328" i="22" s="1"/>
  <c r="AF328" i="22" s="1"/>
  <c r="AI375" i="22"/>
  <c r="AH375" i="22" s="1"/>
  <c r="AG375" i="22" s="1"/>
  <c r="AF375" i="22" s="1"/>
  <c r="AI249" i="22"/>
  <c r="AH249" i="22" s="1"/>
  <c r="AG249" i="22" s="1"/>
  <c r="AF249" i="22" s="1"/>
  <c r="AI358" i="22"/>
  <c r="AH358" i="22" s="1"/>
  <c r="AG358" i="22" s="1"/>
  <c r="AF358" i="22" s="1"/>
  <c r="AI314" i="22"/>
  <c r="AH314" i="22" s="1"/>
  <c r="AG314" i="22" s="1"/>
  <c r="AF314" i="22" s="1"/>
  <c r="AI171" i="22"/>
  <c r="AH171" i="22" s="1"/>
  <c r="AG171" i="22" s="1"/>
  <c r="AF171" i="22" s="1"/>
  <c r="AI219" i="22"/>
  <c r="AH219" i="22" s="1"/>
  <c r="AG219" i="22" s="1"/>
  <c r="AF219" i="22" s="1"/>
  <c r="AI250" i="22"/>
  <c r="AH250" i="22" s="1"/>
  <c r="AG250" i="22" s="1"/>
  <c r="AF250" i="22" s="1"/>
  <c r="AI224" i="22"/>
  <c r="AH224" i="22" s="1"/>
  <c r="AG224" i="22" s="1"/>
  <c r="AF224" i="22" s="1"/>
  <c r="AI352" i="22"/>
  <c r="AH352" i="22" s="1"/>
  <c r="AG352" i="22" s="1"/>
  <c r="AF352" i="22" s="1"/>
  <c r="AI112" i="22"/>
  <c r="AH112" i="22" s="1"/>
  <c r="AG112" i="22" s="1"/>
  <c r="AF112" i="22" s="1"/>
  <c r="AI331" i="22"/>
  <c r="AH331" i="22" s="1"/>
  <c r="AG331" i="22" s="1"/>
  <c r="AF331" i="22" s="1"/>
  <c r="AI127" i="22"/>
  <c r="AH127" i="22" s="1"/>
  <c r="AG127" i="22" s="1"/>
  <c r="AF127" i="22" s="1"/>
  <c r="AI370" i="22"/>
  <c r="AH370" i="22" s="1"/>
  <c r="AG370" i="22" s="1"/>
  <c r="AF370" i="22" s="1"/>
  <c r="AI125" i="22"/>
  <c r="AH125" i="22" s="1"/>
  <c r="AG125" i="22" s="1"/>
  <c r="AF125" i="22" s="1"/>
  <c r="AI287" i="22"/>
  <c r="AH287" i="22" s="1"/>
  <c r="AG287" i="22" s="1"/>
  <c r="AF287" i="22" s="1"/>
  <c r="AI165" i="22"/>
  <c r="AH165" i="22" s="1"/>
  <c r="AG165" i="22" s="1"/>
  <c r="AF165" i="22" s="1"/>
  <c r="AI285" i="22"/>
  <c r="AH285" i="22" s="1"/>
  <c r="AG285" i="22" s="1"/>
  <c r="AF285" i="22" s="1"/>
  <c r="AI258" i="22"/>
  <c r="AH258" i="22" s="1"/>
  <c r="AG258" i="22" s="1"/>
  <c r="AF258" i="22" s="1"/>
  <c r="AI307" i="22"/>
  <c r="AH307" i="22" s="1"/>
  <c r="AG307" i="22" s="1"/>
  <c r="AF307" i="22" s="1"/>
  <c r="AI273" i="22"/>
  <c r="AH273" i="22" s="1"/>
  <c r="AG273" i="22" s="1"/>
  <c r="AF273" i="22" s="1"/>
  <c r="AI164" i="22"/>
  <c r="AH164" i="22" s="1"/>
  <c r="AG164" i="22" s="1"/>
  <c r="AF164" i="22" s="1"/>
  <c r="AI361" i="22"/>
  <c r="AH361" i="22" s="1"/>
  <c r="AG361" i="22" s="1"/>
  <c r="AF361" i="22" s="1"/>
  <c r="AI115" i="22"/>
  <c r="AH115" i="22" s="1"/>
  <c r="AG115" i="22" s="1"/>
  <c r="AF115" i="22" s="1"/>
  <c r="AI181" i="22"/>
  <c r="AH181" i="22" s="1"/>
  <c r="AG181" i="22" s="1"/>
  <c r="AF181" i="22" s="1"/>
  <c r="AI350" i="22"/>
  <c r="AH350" i="22" s="1"/>
  <c r="AG350" i="22" s="1"/>
  <c r="AF350" i="22" s="1"/>
  <c r="AI163" i="22"/>
  <c r="AH163" i="22" s="1"/>
  <c r="AG163" i="22" s="1"/>
  <c r="AF163" i="22" s="1"/>
  <c r="AI148" i="22"/>
  <c r="AH148" i="22" s="1"/>
  <c r="AG148" i="22" s="1"/>
  <c r="AF148" i="22" s="1"/>
  <c r="AI335" i="22"/>
  <c r="AH335" i="22" s="1"/>
  <c r="AG335" i="22" s="1"/>
  <c r="AF335" i="22" s="1"/>
  <c r="AI271" i="22"/>
  <c r="AH271" i="22" s="1"/>
  <c r="AG271" i="22" s="1"/>
  <c r="AF271" i="22" s="1"/>
  <c r="AI275" i="22"/>
  <c r="AH275" i="22" s="1"/>
  <c r="AG275" i="22" s="1"/>
  <c r="AF275" i="22" s="1"/>
  <c r="AI270" i="22"/>
  <c r="AH270" i="22" s="1"/>
  <c r="AG270" i="22" s="1"/>
  <c r="AF270" i="22" s="1"/>
  <c r="AI177" i="22"/>
  <c r="AH177" i="22" s="1"/>
  <c r="AG177" i="22" s="1"/>
  <c r="AF177" i="22" s="1"/>
  <c r="AI293" i="22"/>
  <c r="AH293" i="22" s="1"/>
  <c r="AG293" i="22" s="1"/>
  <c r="AF293" i="22" s="1"/>
  <c r="AI188" i="22"/>
  <c r="AH188" i="22" s="1"/>
  <c r="AG188" i="22" s="1"/>
  <c r="AF188" i="22" s="1"/>
  <c r="AI356" i="22"/>
  <c r="AH356" i="22" s="1"/>
  <c r="AG356" i="22" s="1"/>
  <c r="AF356" i="22" s="1"/>
  <c r="AI253" i="22"/>
  <c r="AH253" i="22" s="1"/>
  <c r="AG253" i="22" s="1"/>
  <c r="AF253" i="22" s="1"/>
  <c r="AI376" i="22"/>
  <c r="AH376" i="22" s="1"/>
  <c r="AG376" i="22" s="1"/>
  <c r="AF376" i="22" s="1"/>
  <c r="AI298" i="22"/>
  <c r="AH298" i="22" s="1"/>
  <c r="AG298" i="22" s="1"/>
  <c r="AF298" i="22" s="1"/>
  <c r="AI342" i="22"/>
  <c r="AH342" i="22" s="1"/>
  <c r="AG342" i="22" s="1"/>
  <c r="AF342" i="22" s="1"/>
  <c r="AI368" i="22"/>
  <c r="AH368" i="22" s="1"/>
  <c r="AG368" i="22" s="1"/>
  <c r="AF368" i="22" s="1"/>
  <c r="AI343" i="22"/>
  <c r="AH343" i="22" s="1"/>
  <c r="AG343" i="22" s="1"/>
  <c r="AF343" i="22" s="1"/>
  <c r="AI308" i="22"/>
  <c r="AH308" i="22" s="1"/>
  <c r="AG308" i="22" s="1"/>
  <c r="AF308" i="22" s="1"/>
  <c r="AI117" i="22"/>
  <c r="AH117" i="22" s="1"/>
  <c r="AG117" i="22" s="1"/>
  <c r="AF117" i="22" s="1"/>
  <c r="AI140" i="22"/>
  <c r="AH140" i="22" s="1"/>
  <c r="AG140" i="22" s="1"/>
  <c r="AF140" i="22" s="1"/>
  <c r="AI227" i="22"/>
  <c r="AH227" i="22" s="1"/>
  <c r="AG227" i="22" s="1"/>
  <c r="AF227" i="22" s="1"/>
  <c r="G197" i="20"/>
  <c r="CB197" i="6" s="1"/>
  <c r="AI142" i="22"/>
  <c r="AH142" i="22" s="1"/>
  <c r="AG142" i="22" s="1"/>
  <c r="AF142" i="22" s="1"/>
  <c r="AI260" i="22"/>
  <c r="AH260" i="22" s="1"/>
  <c r="AG260" i="22" s="1"/>
  <c r="AF260" i="22" s="1"/>
  <c r="AI282" i="22"/>
  <c r="AH282" i="22" s="1"/>
  <c r="AG282" i="22" s="1"/>
  <c r="AF282" i="22" s="1"/>
  <c r="AI345" i="22"/>
  <c r="AH345" i="22" s="1"/>
  <c r="AG345" i="22" s="1"/>
  <c r="AF345" i="22" s="1"/>
  <c r="AI144" i="22"/>
  <c r="AH144" i="22" s="1"/>
  <c r="AG144" i="22" s="1"/>
  <c r="AF144" i="22" s="1"/>
  <c r="AI124" i="22"/>
  <c r="AH124" i="22" s="1"/>
  <c r="AG124" i="22" s="1"/>
  <c r="AF124" i="22" s="1"/>
  <c r="AI173" i="22"/>
  <c r="AH173" i="22" s="1"/>
  <c r="AG173" i="22" s="1"/>
  <c r="AF173" i="22" s="1"/>
  <c r="AI232" i="22"/>
  <c r="AH232" i="22" s="1"/>
  <c r="AG232" i="22" s="1"/>
  <c r="AF232" i="22" s="1"/>
  <c r="AI280" i="22"/>
  <c r="AH280" i="22" s="1"/>
  <c r="AG280" i="22" s="1"/>
  <c r="AF280" i="22" s="1"/>
  <c r="AI357" i="22"/>
  <c r="AH357" i="22" s="1"/>
  <c r="AG357" i="22" s="1"/>
  <c r="AF357" i="22" s="1"/>
  <c r="AI212" i="22"/>
  <c r="AH212" i="22" s="1"/>
  <c r="AG212" i="22" s="1"/>
  <c r="AF212" i="22" s="1"/>
  <c r="AI221" i="22"/>
  <c r="AH221" i="22" s="1"/>
  <c r="AG221" i="22" s="1"/>
  <c r="AF221" i="22" s="1"/>
  <c r="AI349" i="22"/>
  <c r="AH349" i="22" s="1"/>
  <c r="AG349" i="22" s="1"/>
  <c r="AF349" i="22" s="1"/>
  <c r="AI278" i="22"/>
  <c r="AH278" i="22" s="1"/>
  <c r="AG278" i="22" s="1"/>
  <c r="AF278" i="22" s="1"/>
  <c r="AI283" i="22"/>
  <c r="AH283" i="22" s="1"/>
  <c r="AG283" i="22" s="1"/>
  <c r="AF283" i="22" s="1"/>
  <c r="AI290" i="22"/>
  <c r="AH290" i="22" s="1"/>
  <c r="AG290" i="22" s="1"/>
  <c r="AF290" i="22" s="1"/>
  <c r="AI143" i="22"/>
  <c r="AH143" i="22" s="1"/>
  <c r="AG143" i="22" s="1"/>
  <c r="AF143" i="22" s="1"/>
  <c r="AI160" i="22"/>
  <c r="AH160" i="22" s="1"/>
  <c r="AG160" i="22" s="1"/>
  <c r="AF160" i="22" s="1"/>
  <c r="AI196" i="22"/>
  <c r="AH196" i="22" s="1"/>
  <c r="AG196" i="22" s="1"/>
  <c r="AF196" i="22" s="1"/>
  <c r="AA164" i="20"/>
  <c r="Z164" i="20" s="1"/>
  <c r="Y164" i="20" s="1"/>
  <c r="AI351" i="22"/>
  <c r="AH351" i="22" s="1"/>
  <c r="AG351" i="22" s="1"/>
  <c r="AF351" i="22" s="1"/>
  <c r="AI122" i="22"/>
  <c r="AH122" i="22" s="1"/>
  <c r="AG122" i="22" s="1"/>
  <c r="AF122" i="22" s="1"/>
  <c r="AD122" i="22" s="1"/>
  <c r="AI214" i="22"/>
  <c r="AH214" i="22" s="1"/>
  <c r="AG214" i="22" s="1"/>
  <c r="AF214" i="22" s="1"/>
  <c r="AI179" i="22"/>
  <c r="AH179" i="22" s="1"/>
  <c r="AG179" i="22" s="1"/>
  <c r="AF179" i="22" s="1"/>
  <c r="AI274" i="22"/>
  <c r="AH274" i="22" s="1"/>
  <c r="AG274" i="22" s="1"/>
  <c r="AF274" i="22" s="1"/>
  <c r="AI116" i="22"/>
  <c r="AH116" i="22" s="1"/>
  <c r="AG116" i="22" s="1"/>
  <c r="AF116" i="22" s="1"/>
  <c r="AD116" i="22" s="1"/>
  <c r="AI302" i="22"/>
  <c r="AH302" i="22" s="1"/>
  <c r="AG302" i="22" s="1"/>
  <c r="AF302" i="22" s="1"/>
  <c r="AD302" i="22" s="1"/>
  <c r="AI309" i="22"/>
  <c r="AH309" i="22" s="1"/>
  <c r="AG309" i="22" s="1"/>
  <c r="AF309" i="22" s="1"/>
  <c r="AI327" i="22"/>
  <c r="AH327" i="22" s="1"/>
  <c r="AG327" i="22" s="1"/>
  <c r="AF327" i="22" s="1"/>
  <c r="AI130" i="22"/>
  <c r="AH130" i="22" s="1"/>
  <c r="AG130" i="22" s="1"/>
  <c r="AF130" i="22" s="1"/>
  <c r="AD130" i="22" s="1"/>
  <c r="AI319" i="22"/>
  <c r="AH319" i="22" s="1"/>
  <c r="AG319" i="22" s="1"/>
  <c r="AF319" i="22" s="1"/>
  <c r="AI281" i="22"/>
  <c r="AH281" i="22" s="1"/>
  <c r="AG281" i="22" s="1"/>
  <c r="AF281" i="22" s="1"/>
  <c r="AI136" i="22"/>
  <c r="AH136" i="22" s="1"/>
  <c r="AG136" i="22" s="1"/>
  <c r="AF136" i="22" s="1"/>
  <c r="AI254" i="22"/>
  <c r="AH254" i="22" s="1"/>
  <c r="AG254" i="22" s="1"/>
  <c r="AF254" i="22" s="1"/>
  <c r="AD254" i="22" s="1"/>
  <c r="AI359" i="22"/>
  <c r="AH359" i="22" s="1"/>
  <c r="AG359" i="22" s="1"/>
  <c r="AF359" i="22" s="1"/>
  <c r="AI341" i="22"/>
  <c r="AH341" i="22" s="1"/>
  <c r="AG341" i="22" s="1"/>
  <c r="AF341" i="22" s="1"/>
  <c r="AD341" i="22" s="1"/>
  <c r="AI344" i="22"/>
  <c r="AH344" i="22" s="1"/>
  <c r="AG344" i="22" s="1"/>
  <c r="AF344" i="22" s="1"/>
  <c r="AI362" i="22"/>
  <c r="AH362" i="22" s="1"/>
  <c r="AG362" i="22" s="1"/>
  <c r="AF362" i="22" s="1"/>
  <c r="AI218" i="22"/>
  <c r="AH218" i="22" s="1"/>
  <c r="AG218" i="22" s="1"/>
  <c r="AF218" i="22" s="1"/>
  <c r="AI114" i="22"/>
  <c r="AH114" i="22" s="1"/>
  <c r="AG114" i="22" s="1"/>
  <c r="AF114" i="22" s="1"/>
  <c r="AD114" i="22" s="1"/>
  <c r="AI239" i="22"/>
  <c r="AH239" i="22" s="1"/>
  <c r="AG239" i="22" s="1"/>
  <c r="AF239" i="22" s="1"/>
  <c r="AI284" i="22"/>
  <c r="AH284" i="22" s="1"/>
  <c r="AG284" i="22" s="1"/>
  <c r="AF284" i="22" s="1"/>
  <c r="AI215" i="22"/>
  <c r="AH215" i="22" s="1"/>
  <c r="AG215" i="22" s="1"/>
  <c r="AF215" i="22" s="1"/>
  <c r="AI355" i="22"/>
  <c r="AH355" i="22" s="1"/>
  <c r="AG355" i="22" s="1"/>
  <c r="AF355" i="22" s="1"/>
  <c r="AI106" i="22"/>
  <c r="AH106" i="22" s="1"/>
  <c r="AG106" i="22" s="1"/>
  <c r="AF106" i="22" s="1"/>
  <c r="AA99" i="20"/>
  <c r="Z99" i="20" s="1"/>
  <c r="Y99" i="20" s="1"/>
  <c r="H62" i="20"/>
  <c r="I62" i="20" s="1"/>
  <c r="AA68" i="20"/>
  <c r="Z68" i="20" s="1"/>
  <c r="Y68" i="20" s="1"/>
  <c r="H84" i="20"/>
  <c r="I84" i="20" s="1"/>
  <c r="AA47" i="20"/>
  <c r="Z47" i="20" s="1"/>
  <c r="Y47" i="20" s="1"/>
  <c r="G99" i="20"/>
  <c r="CB99" i="6" s="1"/>
  <c r="G219" i="20"/>
  <c r="CB219" i="6" s="1"/>
  <c r="H246" i="20"/>
  <c r="J246" i="20" s="1"/>
  <c r="G183" i="20"/>
  <c r="CB183" i="6" s="1"/>
  <c r="H94" i="20"/>
  <c r="J94" i="20" s="1"/>
  <c r="H264" i="20"/>
  <c r="J264" i="20" s="1"/>
  <c r="G239" i="20"/>
  <c r="CB239" i="6" s="1"/>
  <c r="AA59" i="20"/>
  <c r="Z59" i="20" s="1"/>
  <c r="Y59" i="20" s="1"/>
  <c r="G72" i="20"/>
  <c r="CB72" i="6" s="1"/>
  <c r="G244" i="20"/>
  <c r="CB244" i="6" s="1"/>
  <c r="H47" i="20"/>
  <c r="I47" i="20" s="1"/>
  <c r="H321" i="20"/>
  <c r="I321" i="20" s="1"/>
  <c r="AA219" i="20"/>
  <c r="Z219" i="20" s="1"/>
  <c r="Y219" i="20" s="1"/>
  <c r="H285" i="20"/>
  <c r="J285" i="20" s="1"/>
  <c r="H239" i="20"/>
  <c r="J239" i="20" s="1"/>
  <c r="G59" i="20"/>
  <c r="CB59" i="6" s="1"/>
  <c r="H244" i="20"/>
  <c r="J244" i="20" s="1"/>
  <c r="AI268" i="22"/>
  <c r="AH268" i="22" s="1"/>
  <c r="AG268" i="22" s="1"/>
  <c r="AF268" i="22" s="1"/>
  <c r="AI133" i="22"/>
  <c r="AH133" i="22" s="1"/>
  <c r="AG133" i="22" s="1"/>
  <c r="AF133" i="22" s="1"/>
  <c r="AI303" i="22"/>
  <c r="AH303" i="22" s="1"/>
  <c r="AG303" i="22" s="1"/>
  <c r="AF303" i="22" s="1"/>
  <c r="G164" i="20"/>
  <c r="CB164" i="6" s="1"/>
  <c r="H134" i="20"/>
  <c r="J134" i="20" s="1"/>
  <c r="G319" i="20"/>
  <c r="CB319" i="6" s="1"/>
  <c r="G321" i="20"/>
  <c r="CB321" i="6" s="1"/>
  <c r="G285" i="20"/>
  <c r="CB285" i="6" s="1"/>
  <c r="AA72" i="20"/>
  <c r="Z72" i="20" s="1"/>
  <c r="Y72" i="20" s="1"/>
  <c r="G94" i="20"/>
  <c r="CB94" i="6" s="1"/>
  <c r="AI137" i="22"/>
  <c r="AH137" i="22" s="1"/>
  <c r="AG137" i="22" s="1"/>
  <c r="AF137" i="22" s="1"/>
  <c r="AI374" i="22"/>
  <c r="AH374" i="22" s="1"/>
  <c r="AG374" i="22" s="1"/>
  <c r="AF374" i="22" s="1"/>
  <c r="AI378" i="22"/>
  <c r="AH378" i="22" s="1"/>
  <c r="AG378" i="22" s="1"/>
  <c r="AF378" i="22" s="1"/>
  <c r="AG379" i="20"/>
  <c r="AH381" i="20"/>
  <c r="AH382" i="20"/>
  <c r="AH383" i="20"/>
  <c r="S15" i="20"/>
  <c r="T382" i="20"/>
  <c r="T381" i="20"/>
  <c r="T383" i="20"/>
  <c r="R383" i="18"/>
  <c r="P15" i="18"/>
  <c r="R381" i="18"/>
  <c r="R382" i="18"/>
  <c r="AI29" i="22"/>
  <c r="AH29" i="22" s="1"/>
  <c r="AG29" i="22" s="1"/>
  <c r="AF29" i="22" s="1"/>
  <c r="AI22" i="22"/>
  <c r="AH22" i="22" s="1"/>
  <c r="AG22" i="22" s="1"/>
  <c r="AF22" i="22" s="1"/>
  <c r="AI68" i="22"/>
  <c r="AH68" i="22" s="1"/>
  <c r="AG68" i="22" s="1"/>
  <c r="AF68" i="22" s="1"/>
  <c r="AI69" i="22"/>
  <c r="AH69" i="22" s="1"/>
  <c r="AG69" i="22" s="1"/>
  <c r="AF69" i="22" s="1"/>
  <c r="AI65" i="22"/>
  <c r="AH65" i="22" s="1"/>
  <c r="AG65" i="22" s="1"/>
  <c r="AF65" i="22" s="1"/>
  <c r="AI37" i="22"/>
  <c r="AH37" i="22" s="1"/>
  <c r="AG37" i="22" s="1"/>
  <c r="AF37" i="22" s="1"/>
  <c r="AI17" i="22"/>
  <c r="AH17" i="22" s="1"/>
  <c r="AG17" i="22" s="1"/>
  <c r="AF17" i="22" s="1"/>
  <c r="AI202" i="22"/>
  <c r="AH202" i="22" s="1"/>
  <c r="AG202" i="22" s="1"/>
  <c r="AF202" i="22" s="1"/>
  <c r="AI226" i="22"/>
  <c r="AH226" i="22" s="1"/>
  <c r="AG226" i="22" s="1"/>
  <c r="AF226" i="22" s="1"/>
  <c r="AI245" i="22"/>
  <c r="AH245" i="22" s="1"/>
  <c r="AG245" i="22" s="1"/>
  <c r="AF245" i="22" s="1"/>
  <c r="AI99" i="22"/>
  <c r="AH99" i="22" s="1"/>
  <c r="AG99" i="22" s="1"/>
  <c r="AF99" i="22" s="1"/>
  <c r="AI18" i="22"/>
  <c r="AH18" i="22" s="1"/>
  <c r="AG18" i="22" s="1"/>
  <c r="AF18" i="22" s="1"/>
  <c r="AI187" i="22"/>
  <c r="AH187" i="22" s="1"/>
  <c r="AG187" i="22" s="1"/>
  <c r="AF187" i="22" s="1"/>
  <c r="AI91" i="22"/>
  <c r="AH91" i="22" s="1"/>
  <c r="AG91" i="22" s="1"/>
  <c r="AF91" i="22" s="1"/>
  <c r="AI16" i="22"/>
  <c r="AH16" i="22" s="1"/>
  <c r="AG16" i="22" s="1"/>
  <c r="AF16" i="22" s="1"/>
  <c r="AI118" i="22"/>
  <c r="AH118" i="22" s="1"/>
  <c r="AG118" i="22" s="1"/>
  <c r="AF118" i="22" s="1"/>
  <c r="AI132" i="22"/>
  <c r="AH132" i="22" s="1"/>
  <c r="AG132" i="22" s="1"/>
  <c r="AF132" i="22" s="1"/>
  <c r="AI30" i="22"/>
  <c r="AH30" i="22" s="1"/>
  <c r="AG30" i="22" s="1"/>
  <c r="AF30" i="22" s="1"/>
  <c r="AI39" i="22"/>
  <c r="AH39" i="22" s="1"/>
  <c r="AG39" i="22" s="1"/>
  <c r="AF39" i="22" s="1"/>
  <c r="AI80" i="22"/>
  <c r="AH80" i="22" s="1"/>
  <c r="AG80" i="22" s="1"/>
  <c r="AF80" i="22" s="1"/>
  <c r="AI236" i="22"/>
  <c r="AH236" i="22" s="1"/>
  <c r="AG236" i="22" s="1"/>
  <c r="AF236" i="22" s="1"/>
  <c r="AI71" i="22"/>
  <c r="AH71" i="22" s="1"/>
  <c r="AG71" i="22" s="1"/>
  <c r="AF71" i="22" s="1"/>
  <c r="AI85" i="22"/>
  <c r="AH85" i="22" s="1"/>
  <c r="AG85" i="22" s="1"/>
  <c r="AF85" i="22" s="1"/>
  <c r="AI67" i="22"/>
  <c r="AH67" i="22" s="1"/>
  <c r="AG67" i="22" s="1"/>
  <c r="AF67" i="22" s="1"/>
  <c r="AI45" i="22"/>
  <c r="AH45" i="22" s="1"/>
  <c r="AG45" i="22" s="1"/>
  <c r="AF45" i="22" s="1"/>
  <c r="AI246" i="22"/>
  <c r="AH246" i="22" s="1"/>
  <c r="AG246" i="22" s="1"/>
  <c r="AF246" i="22" s="1"/>
  <c r="AI66" i="22"/>
  <c r="AH66" i="22" s="1"/>
  <c r="AG66" i="22" s="1"/>
  <c r="AF66" i="22" s="1"/>
  <c r="AI138" i="22"/>
  <c r="AH138" i="22" s="1"/>
  <c r="AG138" i="22" s="1"/>
  <c r="AF138" i="22" s="1"/>
  <c r="AI294" i="22"/>
  <c r="AH294" i="22" s="1"/>
  <c r="AG294" i="22" s="1"/>
  <c r="AF294" i="22" s="1"/>
  <c r="AI59" i="22"/>
  <c r="AH59" i="22" s="1"/>
  <c r="AG59" i="22" s="1"/>
  <c r="AF59" i="22" s="1"/>
  <c r="AI24" i="22"/>
  <c r="AH24" i="22" s="1"/>
  <c r="AG24" i="22" s="1"/>
  <c r="AF24" i="22" s="1"/>
  <c r="AI103" i="22"/>
  <c r="AH103" i="22" s="1"/>
  <c r="AG103" i="22" s="1"/>
  <c r="AF103" i="22" s="1"/>
  <c r="AI320" i="22"/>
  <c r="AH320" i="22" s="1"/>
  <c r="AG320" i="22" s="1"/>
  <c r="AF320" i="22" s="1"/>
  <c r="AI50" i="22"/>
  <c r="AH50" i="22" s="1"/>
  <c r="AG50" i="22" s="1"/>
  <c r="AF50" i="22" s="1"/>
  <c r="AI379" i="22"/>
  <c r="AI169" i="22"/>
  <c r="AH169" i="22" s="1"/>
  <c r="AG169" i="22" s="1"/>
  <c r="AF169" i="22" s="1"/>
  <c r="AI76" i="22"/>
  <c r="AH76" i="22" s="1"/>
  <c r="AG76" i="22" s="1"/>
  <c r="AF76" i="22" s="1"/>
  <c r="AI44" i="22"/>
  <c r="AH44" i="22" s="1"/>
  <c r="AG44" i="22" s="1"/>
  <c r="AF44" i="22" s="1"/>
  <c r="AI123" i="22"/>
  <c r="AH123" i="22" s="1"/>
  <c r="AG123" i="22" s="1"/>
  <c r="AF123" i="22" s="1"/>
  <c r="AI297" i="22"/>
  <c r="AH297" i="22" s="1"/>
  <c r="AG297" i="22" s="1"/>
  <c r="AF297" i="22" s="1"/>
  <c r="AI90" i="22"/>
  <c r="AH90" i="22" s="1"/>
  <c r="AG90" i="22" s="1"/>
  <c r="AF90" i="22" s="1"/>
  <c r="AI82" i="22"/>
  <c r="AH82" i="22" s="1"/>
  <c r="AG82" i="22" s="1"/>
  <c r="AF82" i="22" s="1"/>
  <c r="AI301" i="22"/>
  <c r="AH301" i="22" s="1"/>
  <c r="AG301" i="22" s="1"/>
  <c r="AF301" i="22" s="1"/>
  <c r="AI102" i="22"/>
  <c r="AH102" i="22" s="1"/>
  <c r="AG102" i="22" s="1"/>
  <c r="AF102" i="22" s="1"/>
  <c r="AI43" i="22"/>
  <c r="AH43" i="22" s="1"/>
  <c r="AG43" i="22" s="1"/>
  <c r="AF43" i="22" s="1"/>
  <c r="AI233" i="22"/>
  <c r="AH233" i="22" s="1"/>
  <c r="AG233" i="22" s="1"/>
  <c r="AF233" i="22" s="1"/>
  <c r="AI153" i="22"/>
  <c r="AH153" i="22" s="1"/>
  <c r="AG153" i="22" s="1"/>
  <c r="AF153" i="22" s="1"/>
  <c r="AI94" i="22"/>
  <c r="AH94" i="22" s="1"/>
  <c r="AG94" i="22" s="1"/>
  <c r="AF94" i="22" s="1"/>
  <c r="AI55" i="22"/>
  <c r="AH55" i="22" s="1"/>
  <c r="AG55" i="22" s="1"/>
  <c r="AF55" i="22" s="1"/>
  <c r="AI365" i="22"/>
  <c r="AH365" i="22" s="1"/>
  <c r="AG365" i="22" s="1"/>
  <c r="AF365" i="22" s="1"/>
  <c r="AI248" i="22"/>
  <c r="AH248" i="22" s="1"/>
  <c r="AG248" i="22" s="1"/>
  <c r="AF248" i="22" s="1"/>
  <c r="AI23" i="22"/>
  <c r="AH23" i="22" s="1"/>
  <c r="AG23" i="22" s="1"/>
  <c r="AF23" i="22" s="1"/>
  <c r="AI100" i="22"/>
  <c r="AH100" i="22" s="1"/>
  <c r="AG100" i="22" s="1"/>
  <c r="AF100" i="22" s="1"/>
  <c r="AI28" i="22"/>
  <c r="AH28" i="22" s="1"/>
  <c r="AG28" i="22" s="1"/>
  <c r="AF28" i="22" s="1"/>
  <c r="AI87" i="22"/>
  <c r="AH87" i="22" s="1"/>
  <c r="AG87" i="22" s="1"/>
  <c r="AF87" i="22" s="1"/>
  <c r="AI101" i="22"/>
  <c r="AH101" i="22" s="1"/>
  <c r="AG101" i="22" s="1"/>
  <c r="AF101" i="22" s="1"/>
  <c r="AI162" i="22"/>
  <c r="AH162" i="22" s="1"/>
  <c r="AG162" i="22" s="1"/>
  <c r="AF162" i="22" s="1"/>
  <c r="AI242" i="22"/>
  <c r="AH242" i="22" s="1"/>
  <c r="AG242" i="22" s="1"/>
  <c r="AF242" i="22" s="1"/>
  <c r="AI77" i="22"/>
  <c r="AH77" i="22" s="1"/>
  <c r="AG77" i="22" s="1"/>
  <c r="AF77" i="22" s="1"/>
  <c r="AI42" i="22"/>
  <c r="AH42" i="22" s="1"/>
  <c r="AG42" i="22" s="1"/>
  <c r="AF42" i="22" s="1"/>
  <c r="AI129" i="22"/>
  <c r="AH129" i="22" s="1"/>
  <c r="AG129" i="22" s="1"/>
  <c r="AF129" i="22" s="1"/>
  <c r="AI360" i="22"/>
  <c r="AH360" i="22" s="1"/>
  <c r="AG360" i="22" s="1"/>
  <c r="AF360" i="22" s="1"/>
  <c r="AI38" i="22"/>
  <c r="AH38" i="22" s="1"/>
  <c r="AG38" i="22" s="1"/>
  <c r="AF38" i="22" s="1"/>
  <c r="AI88" i="22"/>
  <c r="AH88" i="22" s="1"/>
  <c r="AG88" i="22" s="1"/>
  <c r="AF88" i="22" s="1"/>
  <c r="AI64" i="22"/>
  <c r="AH64" i="22" s="1"/>
  <c r="AG64" i="22" s="1"/>
  <c r="AF64" i="22" s="1"/>
  <c r="AI157" i="22"/>
  <c r="AH157" i="22" s="1"/>
  <c r="AG157" i="22" s="1"/>
  <c r="AF157" i="22" s="1"/>
  <c r="AI377" i="22"/>
  <c r="AH377" i="22" s="1"/>
  <c r="AG377" i="22" s="1"/>
  <c r="AF377" i="22" s="1"/>
  <c r="AI20" i="22"/>
  <c r="AH20" i="22" s="1"/>
  <c r="AG20" i="22" s="1"/>
  <c r="AF20" i="22" s="1"/>
  <c r="AI213" i="22"/>
  <c r="AH213" i="22" s="1"/>
  <c r="AG213" i="22" s="1"/>
  <c r="AF213" i="22" s="1"/>
  <c r="AI121" i="22"/>
  <c r="AH121" i="22" s="1"/>
  <c r="AG121" i="22" s="1"/>
  <c r="AF121" i="22" s="1"/>
  <c r="AI371" i="22"/>
  <c r="AH371" i="22" s="1"/>
  <c r="AG371" i="22" s="1"/>
  <c r="AF371" i="22" s="1"/>
  <c r="AI15" i="22"/>
  <c r="AI97" i="22"/>
  <c r="AH97" i="22" s="1"/>
  <c r="AG97" i="22" s="1"/>
  <c r="AF97" i="22" s="1"/>
  <c r="AI330" i="22"/>
  <c r="AH330" i="22" s="1"/>
  <c r="AG330" i="22" s="1"/>
  <c r="AF330" i="22" s="1"/>
  <c r="AI190" i="22"/>
  <c r="AH190" i="22" s="1"/>
  <c r="AG190" i="22" s="1"/>
  <c r="AF190" i="22" s="1"/>
  <c r="AI113" i="22"/>
  <c r="AH113" i="22" s="1"/>
  <c r="AG113" i="22" s="1"/>
  <c r="AF113" i="22" s="1"/>
  <c r="AI35" i="22"/>
  <c r="AH35" i="22" s="1"/>
  <c r="AG35" i="22" s="1"/>
  <c r="AF35" i="22" s="1"/>
  <c r="AI61" i="22"/>
  <c r="AH61" i="22" s="1"/>
  <c r="AG61" i="22" s="1"/>
  <c r="AF61" i="22" s="1"/>
  <c r="AI51" i="22"/>
  <c r="AH51" i="22" s="1"/>
  <c r="AG51" i="22" s="1"/>
  <c r="AF51" i="22" s="1"/>
  <c r="AI104" i="22"/>
  <c r="AH104" i="22" s="1"/>
  <c r="AG104" i="22" s="1"/>
  <c r="AF104" i="22" s="1"/>
  <c r="AI95" i="22"/>
  <c r="AH95" i="22" s="1"/>
  <c r="AG95" i="22" s="1"/>
  <c r="AF95" i="22" s="1"/>
  <c r="AI58" i="22"/>
  <c r="AH58" i="22" s="1"/>
  <c r="AG58" i="22" s="1"/>
  <c r="AF58" i="22" s="1"/>
  <c r="AI83" i="22"/>
  <c r="AH83" i="22" s="1"/>
  <c r="AG83" i="22" s="1"/>
  <c r="AF83" i="22" s="1"/>
  <c r="AI60" i="22"/>
  <c r="AH60" i="22" s="1"/>
  <c r="AG60" i="22" s="1"/>
  <c r="AF60" i="22" s="1"/>
  <c r="AI70" i="22"/>
  <c r="AH70" i="22" s="1"/>
  <c r="AG70" i="22" s="1"/>
  <c r="AF70" i="22" s="1"/>
  <c r="AI75" i="22"/>
  <c r="AH75" i="22" s="1"/>
  <c r="AG75" i="22" s="1"/>
  <c r="AF75" i="22" s="1"/>
  <c r="AI31" i="22"/>
  <c r="AH31" i="22" s="1"/>
  <c r="AG31" i="22" s="1"/>
  <c r="AF31" i="22" s="1"/>
  <c r="AI189" i="22"/>
  <c r="AH189" i="22" s="1"/>
  <c r="AG189" i="22" s="1"/>
  <c r="AF189" i="22" s="1"/>
  <c r="AI36" i="22"/>
  <c r="AH36" i="22" s="1"/>
  <c r="AG36" i="22" s="1"/>
  <c r="AF36" i="22" s="1"/>
  <c r="AI183" i="22"/>
  <c r="AH183" i="22" s="1"/>
  <c r="AG183" i="22" s="1"/>
  <c r="AF183" i="22" s="1"/>
  <c r="AI229" i="22"/>
  <c r="AH229" i="22" s="1"/>
  <c r="AG229" i="22" s="1"/>
  <c r="AF229" i="22" s="1"/>
  <c r="AI195" i="22"/>
  <c r="AH195" i="22" s="1"/>
  <c r="AG195" i="22" s="1"/>
  <c r="AF195" i="22" s="1"/>
  <c r="AI336" i="22"/>
  <c r="AH336" i="22" s="1"/>
  <c r="AG336" i="22" s="1"/>
  <c r="AF336" i="22" s="1"/>
  <c r="AI289" i="22"/>
  <c r="AH289" i="22" s="1"/>
  <c r="AG289" i="22" s="1"/>
  <c r="AF289" i="22" s="1"/>
  <c r="AI53" i="22"/>
  <c r="AH53" i="22" s="1"/>
  <c r="AG53" i="22" s="1"/>
  <c r="AF53" i="22" s="1"/>
  <c r="AI92" i="22"/>
  <c r="AH92" i="22" s="1"/>
  <c r="AG92" i="22" s="1"/>
  <c r="AF92" i="22" s="1"/>
  <c r="AI86" i="22"/>
  <c r="AH86" i="22" s="1"/>
  <c r="AG86" i="22" s="1"/>
  <c r="AF86" i="22" s="1"/>
  <c r="AI204" i="22"/>
  <c r="AH204" i="22" s="1"/>
  <c r="AG204" i="22" s="1"/>
  <c r="AF204" i="22" s="1"/>
  <c r="AI47" i="22"/>
  <c r="AH47" i="22" s="1"/>
  <c r="AG47" i="22" s="1"/>
  <c r="AF47" i="22" s="1"/>
  <c r="AI34" i="22"/>
  <c r="AH34" i="22" s="1"/>
  <c r="AG34" i="22" s="1"/>
  <c r="AF34" i="22" s="1"/>
  <c r="AI26" i="22"/>
  <c r="AH26" i="22" s="1"/>
  <c r="AG26" i="22" s="1"/>
  <c r="AF26" i="22" s="1"/>
  <c r="AI199" i="22"/>
  <c r="AH199" i="22" s="1"/>
  <c r="AG199" i="22" s="1"/>
  <c r="AF199" i="22" s="1"/>
  <c r="AI172" i="22"/>
  <c r="AH172" i="22" s="1"/>
  <c r="AG172" i="22" s="1"/>
  <c r="AF172" i="22" s="1"/>
  <c r="AI286" i="22"/>
  <c r="AH286" i="22" s="1"/>
  <c r="AG286" i="22" s="1"/>
  <c r="AF286" i="22" s="1"/>
  <c r="AI33" i="22"/>
  <c r="AH33" i="22" s="1"/>
  <c r="AG33" i="22" s="1"/>
  <c r="AF33" i="22" s="1"/>
  <c r="AI79" i="22"/>
  <c r="AH79" i="22" s="1"/>
  <c r="AG79" i="22" s="1"/>
  <c r="AF79" i="22" s="1"/>
  <c r="AI89" i="22"/>
  <c r="AH89" i="22" s="1"/>
  <c r="AG89" i="22" s="1"/>
  <c r="AF89" i="22" s="1"/>
  <c r="AI19" i="22"/>
  <c r="AH19" i="22" s="1"/>
  <c r="AG19" i="22" s="1"/>
  <c r="AF19" i="22" s="1"/>
  <c r="AI267" i="22"/>
  <c r="AH267" i="22" s="1"/>
  <c r="AG267" i="22" s="1"/>
  <c r="AF267" i="22" s="1"/>
  <c r="AI78" i="22"/>
  <c r="AH78" i="22" s="1"/>
  <c r="AG78" i="22" s="1"/>
  <c r="AF78" i="22" s="1"/>
  <c r="AI98" i="22"/>
  <c r="AH98" i="22" s="1"/>
  <c r="AG98" i="22" s="1"/>
  <c r="AF98" i="22" s="1"/>
  <c r="AI32" i="22"/>
  <c r="AH32" i="22" s="1"/>
  <c r="AG32" i="22" s="1"/>
  <c r="AF32" i="22" s="1"/>
  <c r="AI25" i="22"/>
  <c r="AH25" i="22" s="1"/>
  <c r="AG25" i="22" s="1"/>
  <c r="AF25" i="22" s="1"/>
  <c r="AI54" i="22"/>
  <c r="AH54" i="22" s="1"/>
  <c r="AG54" i="22" s="1"/>
  <c r="AF54" i="22" s="1"/>
  <c r="AI96" i="22"/>
  <c r="AH96" i="22" s="1"/>
  <c r="AG96" i="22" s="1"/>
  <c r="AF96" i="22" s="1"/>
  <c r="AI203" i="22"/>
  <c r="AH203" i="22" s="1"/>
  <c r="AG203" i="22" s="1"/>
  <c r="AF203" i="22" s="1"/>
  <c r="AI56" i="22"/>
  <c r="AH56" i="22" s="1"/>
  <c r="AG56" i="22" s="1"/>
  <c r="AF56" i="22" s="1"/>
  <c r="AI74" i="22"/>
  <c r="AH74" i="22" s="1"/>
  <c r="AG74" i="22" s="1"/>
  <c r="AF74" i="22" s="1"/>
  <c r="AI57" i="22"/>
  <c r="AH57" i="22" s="1"/>
  <c r="AG57" i="22" s="1"/>
  <c r="AF57" i="22" s="1"/>
  <c r="AI105" i="22"/>
  <c r="AH105" i="22" s="1"/>
  <c r="AG105" i="22" s="1"/>
  <c r="AF105" i="22" s="1"/>
  <c r="AI166" i="22"/>
  <c r="AH166" i="22" s="1"/>
  <c r="AG166" i="22" s="1"/>
  <c r="AF166" i="22" s="1"/>
  <c r="AI276" i="22"/>
  <c r="AH276" i="22" s="1"/>
  <c r="AG276" i="22" s="1"/>
  <c r="AF276" i="22" s="1"/>
  <c r="AI311" i="22"/>
  <c r="AH311" i="22" s="1"/>
  <c r="AG311" i="22" s="1"/>
  <c r="AF311" i="22" s="1"/>
  <c r="AI41" i="22"/>
  <c r="AH41" i="22" s="1"/>
  <c r="AG41" i="22" s="1"/>
  <c r="AF41" i="22" s="1"/>
  <c r="AI93" i="22"/>
  <c r="AH93" i="22" s="1"/>
  <c r="AG93" i="22" s="1"/>
  <c r="AF93" i="22" s="1"/>
  <c r="AI72" i="22"/>
  <c r="AH72" i="22" s="1"/>
  <c r="AG72" i="22" s="1"/>
  <c r="AF72" i="22" s="1"/>
  <c r="AI206" i="22"/>
  <c r="AH206" i="22" s="1"/>
  <c r="AG206" i="22" s="1"/>
  <c r="AF206" i="22" s="1"/>
  <c r="AI191" i="22"/>
  <c r="AH191" i="22" s="1"/>
  <c r="AG191" i="22" s="1"/>
  <c r="AF191" i="22" s="1"/>
  <c r="AI62" i="22"/>
  <c r="AH62" i="22" s="1"/>
  <c r="AG62" i="22" s="1"/>
  <c r="AF62" i="22" s="1"/>
  <c r="AI27" i="22"/>
  <c r="AH27" i="22" s="1"/>
  <c r="AG27" i="22" s="1"/>
  <c r="AF27" i="22" s="1"/>
  <c r="AI84" i="22"/>
  <c r="AH84" i="22" s="1"/>
  <c r="AG84" i="22" s="1"/>
  <c r="AF84" i="22" s="1"/>
  <c r="AI63" i="22"/>
  <c r="AH63" i="22" s="1"/>
  <c r="AG63" i="22" s="1"/>
  <c r="AF63" i="22" s="1"/>
  <c r="AI353" i="22"/>
  <c r="AH353" i="22" s="1"/>
  <c r="AG353" i="22" s="1"/>
  <c r="AF353" i="22" s="1"/>
  <c r="AI81" i="22"/>
  <c r="AH81" i="22" s="1"/>
  <c r="AG81" i="22" s="1"/>
  <c r="AF81" i="22" s="1"/>
  <c r="AI324" i="22"/>
  <c r="AH324" i="22" s="1"/>
  <c r="AG324" i="22" s="1"/>
  <c r="AF324" i="22" s="1"/>
  <c r="AI296" i="22"/>
  <c r="AH296" i="22" s="1"/>
  <c r="AG296" i="22" s="1"/>
  <c r="AF296" i="22" s="1"/>
  <c r="AI110" i="22"/>
  <c r="AH110" i="22" s="1"/>
  <c r="AG110" i="22" s="1"/>
  <c r="AF110" i="22" s="1"/>
  <c r="AI48" i="22"/>
  <c r="AH48" i="22" s="1"/>
  <c r="AG48" i="22" s="1"/>
  <c r="AF48" i="22" s="1"/>
  <c r="AI49" i="22"/>
  <c r="AH49" i="22" s="1"/>
  <c r="AG49" i="22" s="1"/>
  <c r="AF49" i="22" s="1"/>
  <c r="AI225" i="22"/>
  <c r="AH225" i="22" s="1"/>
  <c r="AG225" i="22" s="1"/>
  <c r="AF225" i="22" s="1"/>
  <c r="AI134" i="22"/>
  <c r="AH134" i="22" s="1"/>
  <c r="AG134" i="22" s="1"/>
  <c r="AF134" i="22" s="1"/>
  <c r="AI21" i="22"/>
  <c r="AH21" i="22" s="1"/>
  <c r="AG21" i="22" s="1"/>
  <c r="AF21" i="22" s="1"/>
  <c r="AI40" i="22"/>
  <c r="AH40" i="22" s="1"/>
  <c r="AG40" i="22" s="1"/>
  <c r="AF40" i="22" s="1"/>
  <c r="AI208" i="22"/>
  <c r="AH208" i="22" s="1"/>
  <c r="AG208" i="22" s="1"/>
  <c r="AF208" i="22" s="1"/>
  <c r="AI373" i="22"/>
  <c r="AH373" i="22" s="1"/>
  <c r="AG373" i="22" s="1"/>
  <c r="AF373" i="22" s="1"/>
  <c r="AI310" i="22"/>
  <c r="AH310" i="22" s="1"/>
  <c r="AG310" i="22" s="1"/>
  <c r="AF310" i="22" s="1"/>
  <c r="AI46" i="22"/>
  <c r="AH46" i="22" s="1"/>
  <c r="AG46" i="22" s="1"/>
  <c r="AF46" i="22" s="1"/>
  <c r="AI52" i="22"/>
  <c r="AH52" i="22" s="1"/>
  <c r="AG52" i="22" s="1"/>
  <c r="AF52" i="22" s="1"/>
  <c r="AI231" i="22"/>
  <c r="AH231" i="22" s="1"/>
  <c r="AG231" i="22" s="1"/>
  <c r="AF231" i="22" s="1"/>
  <c r="AI73" i="22"/>
  <c r="AH73" i="22" s="1"/>
  <c r="AG73" i="22" s="1"/>
  <c r="AF73" i="22" s="1"/>
  <c r="U30" i="22"/>
  <c r="T30" i="22" s="1"/>
  <c r="S30" i="22" s="1"/>
  <c r="R30" i="22" s="1"/>
  <c r="U52" i="22"/>
  <c r="T52" i="22" s="1"/>
  <c r="S52" i="22" s="1"/>
  <c r="R52" i="22" s="1"/>
  <c r="U77" i="22"/>
  <c r="T77" i="22" s="1"/>
  <c r="S77" i="22" s="1"/>
  <c r="R77" i="22" s="1"/>
  <c r="P77" i="22" s="1"/>
  <c r="V77" i="22" s="1"/>
  <c r="B77" i="22" s="1"/>
  <c r="D77" i="22" s="1"/>
  <c r="E77" i="22" s="1"/>
  <c r="F77" i="22" s="1"/>
  <c r="U291" i="22"/>
  <c r="T291" i="22" s="1"/>
  <c r="S291" i="22" s="1"/>
  <c r="R291" i="22" s="1"/>
  <c r="U127" i="22"/>
  <c r="T127" i="22" s="1"/>
  <c r="S127" i="22" s="1"/>
  <c r="R127" i="22" s="1"/>
  <c r="U255" i="22"/>
  <c r="T255" i="22" s="1"/>
  <c r="S255" i="22" s="1"/>
  <c r="R255" i="22" s="1"/>
  <c r="U163" i="22"/>
  <c r="T163" i="22" s="1"/>
  <c r="S163" i="22" s="1"/>
  <c r="R163" i="22" s="1"/>
  <c r="U66" i="22"/>
  <c r="T66" i="22" s="1"/>
  <c r="S66" i="22" s="1"/>
  <c r="R66" i="22" s="1"/>
  <c r="U75" i="22"/>
  <c r="T75" i="22" s="1"/>
  <c r="S75" i="22" s="1"/>
  <c r="R75" i="22" s="1"/>
  <c r="P75" i="22" s="1"/>
  <c r="V75" i="22" s="1"/>
  <c r="B75" i="22" s="1"/>
  <c r="D75" i="22" s="1"/>
  <c r="E75" i="22" s="1"/>
  <c r="F75" i="22" s="1"/>
  <c r="U131" i="22"/>
  <c r="T131" i="22" s="1"/>
  <c r="S131" i="22" s="1"/>
  <c r="R131" i="22" s="1"/>
  <c r="U360" i="22"/>
  <c r="T360" i="22" s="1"/>
  <c r="S360" i="22" s="1"/>
  <c r="R360" i="22" s="1"/>
  <c r="U65" i="22"/>
  <c r="T65" i="22" s="1"/>
  <c r="S65" i="22" s="1"/>
  <c r="R65" i="22" s="1"/>
  <c r="P65" i="22" s="1"/>
  <c r="V65" i="22" s="1"/>
  <c r="B65" i="22" s="1"/>
  <c r="U136" i="22"/>
  <c r="T136" i="22" s="1"/>
  <c r="S136" i="22" s="1"/>
  <c r="R136" i="22" s="1"/>
  <c r="U367" i="22"/>
  <c r="T367" i="22" s="1"/>
  <c r="S367" i="22" s="1"/>
  <c r="R367" i="22" s="1"/>
  <c r="U160" i="22"/>
  <c r="T160" i="22" s="1"/>
  <c r="S160" i="22" s="1"/>
  <c r="R160" i="22" s="1"/>
  <c r="U19" i="22"/>
  <c r="T19" i="22" s="1"/>
  <c r="S19" i="22" s="1"/>
  <c r="R19" i="22" s="1"/>
  <c r="U304" i="22"/>
  <c r="T304" i="22" s="1"/>
  <c r="S304" i="22" s="1"/>
  <c r="R304" i="22" s="1"/>
  <c r="U210" i="22"/>
  <c r="T210" i="22" s="1"/>
  <c r="S210" i="22" s="1"/>
  <c r="R210" i="22" s="1"/>
  <c r="U76" i="22"/>
  <c r="T76" i="22" s="1"/>
  <c r="S76" i="22" s="1"/>
  <c r="R76" i="22" s="1"/>
  <c r="P76" i="22" s="1"/>
  <c r="V76" i="22" s="1"/>
  <c r="B76" i="22" s="1"/>
  <c r="W76" i="22" s="1"/>
  <c r="U329" i="22"/>
  <c r="T329" i="22" s="1"/>
  <c r="S329" i="22" s="1"/>
  <c r="R329" i="22" s="1"/>
  <c r="U241" i="22"/>
  <c r="T241" i="22" s="1"/>
  <c r="S241" i="22" s="1"/>
  <c r="R241" i="22" s="1"/>
  <c r="P241" i="22" s="1"/>
  <c r="AH39" i="7" s="1"/>
  <c r="U101" i="22"/>
  <c r="T101" i="22" s="1"/>
  <c r="S101" i="22" s="1"/>
  <c r="R101" i="22" s="1"/>
  <c r="U164" i="22"/>
  <c r="T164" i="22" s="1"/>
  <c r="S164" i="22" s="1"/>
  <c r="R164" i="22" s="1"/>
  <c r="P164" i="22" s="1"/>
  <c r="V164" i="22" s="1"/>
  <c r="B164" i="22" s="1"/>
  <c r="W164" i="22" s="1"/>
  <c r="U39" i="22"/>
  <c r="T39" i="22" s="1"/>
  <c r="S39" i="22" s="1"/>
  <c r="R39" i="22" s="1"/>
  <c r="U15" i="22"/>
  <c r="U25" i="22"/>
  <c r="T25" i="22" s="1"/>
  <c r="S25" i="22" s="1"/>
  <c r="R25" i="22" s="1"/>
  <c r="U49" i="22"/>
  <c r="T49" i="22" s="1"/>
  <c r="S49" i="22" s="1"/>
  <c r="R49" i="22" s="1"/>
  <c r="P49" i="22" s="1"/>
  <c r="V49" i="22" s="1"/>
  <c r="B49" i="22" s="1"/>
  <c r="D49" i="22" s="1"/>
  <c r="E49" i="22" s="1"/>
  <c r="F49" i="22" s="1"/>
  <c r="U245" i="22"/>
  <c r="T245" i="22" s="1"/>
  <c r="S245" i="22" s="1"/>
  <c r="R245" i="22" s="1"/>
  <c r="AM16" i="7"/>
  <c r="U109" i="22"/>
  <c r="T109" i="22" s="1"/>
  <c r="S109" i="22" s="1"/>
  <c r="R109" i="22" s="1"/>
  <c r="U60" i="22"/>
  <c r="T60" i="22" s="1"/>
  <c r="S60" i="22" s="1"/>
  <c r="R60" i="22" s="1"/>
  <c r="P60" i="22" s="1"/>
  <c r="V60" i="22" s="1"/>
  <c r="U59" i="22"/>
  <c r="T59" i="22" s="1"/>
  <c r="S59" i="22" s="1"/>
  <c r="R59" i="22" s="1"/>
  <c r="U340" i="22"/>
  <c r="T340" i="22" s="1"/>
  <c r="S340" i="22" s="1"/>
  <c r="R340" i="22" s="1"/>
  <c r="U345" i="22"/>
  <c r="T345" i="22" s="1"/>
  <c r="S345" i="22" s="1"/>
  <c r="R345" i="22" s="1"/>
  <c r="U339" i="22"/>
  <c r="T339" i="22" s="1"/>
  <c r="S339" i="22" s="1"/>
  <c r="R339" i="22" s="1"/>
  <c r="P339" i="22" s="1"/>
  <c r="V339" i="22" s="1"/>
  <c r="B339" i="22" s="1"/>
  <c r="W339" i="22" s="1"/>
  <c r="U280" i="22"/>
  <c r="T280" i="22" s="1"/>
  <c r="S280" i="22" s="1"/>
  <c r="R280" i="22" s="1"/>
  <c r="U148" i="22"/>
  <c r="T148" i="22" s="1"/>
  <c r="S148" i="22" s="1"/>
  <c r="R148" i="22" s="1"/>
  <c r="P148" i="22" s="1"/>
  <c r="V148" i="22" s="1"/>
  <c r="B148" i="22" s="1"/>
  <c r="W148" i="22" s="1"/>
  <c r="U81" i="22"/>
  <c r="T81" i="22" s="1"/>
  <c r="S81" i="22" s="1"/>
  <c r="R81" i="22" s="1"/>
  <c r="U158" i="22"/>
  <c r="T158" i="22" s="1"/>
  <c r="S158" i="22" s="1"/>
  <c r="R158" i="22" s="1"/>
  <c r="P158" i="22" s="1"/>
  <c r="V158" i="22" s="1"/>
  <c r="B158" i="22" s="1"/>
  <c r="D158" i="22" s="1"/>
  <c r="E158" i="22" s="1"/>
  <c r="F158" i="22" s="1"/>
  <c r="U213" i="22"/>
  <c r="T213" i="22" s="1"/>
  <c r="S213" i="22" s="1"/>
  <c r="R213" i="22" s="1"/>
  <c r="U199" i="22"/>
  <c r="T199" i="22" s="1"/>
  <c r="S199" i="22" s="1"/>
  <c r="R199" i="22" s="1"/>
  <c r="U247" i="22"/>
  <c r="T247" i="22" s="1"/>
  <c r="S247" i="22" s="1"/>
  <c r="R247" i="22" s="1"/>
  <c r="U68" i="22"/>
  <c r="T68" i="22" s="1"/>
  <c r="S68" i="22" s="1"/>
  <c r="R68" i="22" s="1"/>
  <c r="U254" i="22"/>
  <c r="T254" i="22" s="1"/>
  <c r="S254" i="22" s="1"/>
  <c r="R254" i="22" s="1"/>
  <c r="U293" i="22"/>
  <c r="T293" i="22" s="1"/>
  <c r="S293" i="22" s="1"/>
  <c r="R293" i="22" s="1"/>
  <c r="U344" i="22"/>
  <c r="T344" i="22" s="1"/>
  <c r="S344" i="22" s="1"/>
  <c r="R344" i="22" s="1"/>
  <c r="U289" i="22"/>
  <c r="T289" i="22" s="1"/>
  <c r="S289" i="22" s="1"/>
  <c r="R289" i="22" s="1"/>
  <c r="U17" i="22"/>
  <c r="T17" i="22" s="1"/>
  <c r="S17" i="22" s="1"/>
  <c r="R17" i="22" s="1"/>
  <c r="U299" i="22"/>
  <c r="T299" i="22" s="1"/>
  <c r="S299" i="22" s="1"/>
  <c r="R299" i="22" s="1"/>
  <c r="U251" i="22"/>
  <c r="T251" i="22" s="1"/>
  <c r="S251" i="22" s="1"/>
  <c r="R251" i="22" s="1"/>
  <c r="U63" i="22"/>
  <c r="T63" i="22" s="1"/>
  <c r="S63" i="22" s="1"/>
  <c r="R63" i="22" s="1"/>
  <c r="P63" i="22" s="1"/>
  <c r="V63" i="22" s="1"/>
  <c r="B63" i="22" s="1"/>
  <c r="D63" i="22" s="1"/>
  <c r="E63" i="22" s="1"/>
  <c r="F63" i="22" s="1"/>
  <c r="U32" i="22"/>
  <c r="T32" i="22" s="1"/>
  <c r="S32" i="22" s="1"/>
  <c r="R32" i="22" s="1"/>
  <c r="P32" i="22" s="1"/>
  <c r="V32" i="22" s="1"/>
  <c r="B32" i="22" s="1"/>
  <c r="W32" i="22" s="1"/>
  <c r="U362" i="22"/>
  <c r="T362" i="22" s="1"/>
  <c r="S362" i="22" s="1"/>
  <c r="R362" i="22" s="1"/>
  <c r="U113" i="22"/>
  <c r="T113" i="22" s="1"/>
  <c r="S113" i="22" s="1"/>
  <c r="R113" i="22" s="1"/>
  <c r="U294" i="22"/>
  <c r="T294" i="22" s="1"/>
  <c r="S294" i="22" s="1"/>
  <c r="R294" i="22" s="1"/>
  <c r="P294" i="22" s="1"/>
  <c r="V294" i="22" s="1"/>
  <c r="B294" i="22" s="1"/>
  <c r="D294" i="22" s="1"/>
  <c r="E294" i="22" s="1"/>
  <c r="F294" i="22" s="1"/>
  <c r="U232" i="22"/>
  <c r="T232" i="22" s="1"/>
  <c r="S232" i="22" s="1"/>
  <c r="R232" i="22" s="1"/>
  <c r="U346" i="22"/>
  <c r="T346" i="22" s="1"/>
  <c r="S346" i="22" s="1"/>
  <c r="R346" i="22" s="1"/>
  <c r="U230" i="22"/>
  <c r="T230" i="22" s="1"/>
  <c r="S230" i="22" s="1"/>
  <c r="R230" i="22" s="1"/>
  <c r="U219" i="22"/>
  <c r="T219" i="22" s="1"/>
  <c r="S219" i="22" s="1"/>
  <c r="R219" i="22" s="1"/>
  <c r="U170" i="22"/>
  <c r="T170" i="22" s="1"/>
  <c r="S170" i="22" s="1"/>
  <c r="R170" i="22" s="1"/>
  <c r="U374" i="22"/>
  <c r="T374" i="22" s="1"/>
  <c r="S374" i="22" s="1"/>
  <c r="R374" i="22" s="1"/>
  <c r="U350" i="22"/>
  <c r="T350" i="22" s="1"/>
  <c r="S350" i="22" s="1"/>
  <c r="R350" i="22" s="1"/>
  <c r="U135" i="22"/>
  <c r="T135" i="22" s="1"/>
  <c r="S135" i="22" s="1"/>
  <c r="R135" i="22" s="1"/>
  <c r="P135" i="22" s="1"/>
  <c r="V135" i="22" s="1"/>
  <c r="B135" i="22" s="1"/>
  <c r="U123" i="22"/>
  <c r="T123" i="22" s="1"/>
  <c r="S123" i="22" s="1"/>
  <c r="R123" i="22" s="1"/>
  <c r="U266" i="22"/>
  <c r="T266" i="22" s="1"/>
  <c r="S266" i="22" s="1"/>
  <c r="R266" i="22" s="1"/>
  <c r="P266" i="22" s="1"/>
  <c r="V266" i="22" s="1"/>
  <c r="B266" i="22" s="1"/>
  <c r="D266" i="22" s="1"/>
  <c r="E266" i="22" s="1"/>
  <c r="F266" i="22" s="1"/>
  <c r="U206" i="22"/>
  <c r="T206" i="22" s="1"/>
  <c r="S206" i="22" s="1"/>
  <c r="R206" i="22" s="1"/>
  <c r="U332" i="22"/>
  <c r="T332" i="22" s="1"/>
  <c r="S332" i="22" s="1"/>
  <c r="R332" i="22" s="1"/>
  <c r="P332" i="22" s="1"/>
  <c r="V332" i="22" s="1"/>
  <c r="B332" i="22" s="1"/>
  <c r="D332" i="22" s="1"/>
  <c r="E332" i="22" s="1"/>
  <c r="F332" i="22" s="1"/>
  <c r="U286" i="22"/>
  <c r="T286" i="22" s="1"/>
  <c r="S286" i="22" s="1"/>
  <c r="R286" i="22" s="1"/>
  <c r="U298" i="22"/>
  <c r="T298" i="22" s="1"/>
  <c r="S298" i="22" s="1"/>
  <c r="R298" i="22" s="1"/>
  <c r="P298" i="22" s="1"/>
  <c r="V298" i="22" s="1"/>
  <c r="B298" i="22" s="1"/>
  <c r="D298" i="22" s="1"/>
  <c r="E298" i="22" s="1"/>
  <c r="F298" i="22" s="1"/>
  <c r="U124" i="22"/>
  <c r="T124" i="22" s="1"/>
  <c r="S124" i="22" s="1"/>
  <c r="R124" i="22" s="1"/>
  <c r="U132" i="22"/>
  <c r="T132" i="22" s="1"/>
  <c r="S132" i="22" s="1"/>
  <c r="R132" i="22" s="1"/>
  <c r="P132" i="22" s="1"/>
  <c r="V132" i="22" s="1"/>
  <c r="B132" i="22" s="1"/>
  <c r="D132" i="22" s="1"/>
  <c r="E132" i="22" s="1"/>
  <c r="F132" i="22" s="1"/>
  <c r="U368" i="22"/>
  <c r="T368" i="22" s="1"/>
  <c r="S368" i="22" s="1"/>
  <c r="R368" i="22" s="1"/>
  <c r="U349" i="22"/>
  <c r="T349" i="22" s="1"/>
  <c r="S349" i="22" s="1"/>
  <c r="R349" i="22" s="1"/>
  <c r="P349" i="22" s="1"/>
  <c r="V349" i="22" s="1"/>
  <c r="B349" i="22" s="1"/>
  <c r="D349" i="22" s="1"/>
  <c r="E349" i="22" s="1"/>
  <c r="F349" i="22" s="1"/>
  <c r="U318" i="22"/>
  <c r="T318" i="22" s="1"/>
  <c r="S318" i="22" s="1"/>
  <c r="R318" i="22" s="1"/>
  <c r="U238" i="22"/>
  <c r="T238" i="22" s="1"/>
  <c r="S238" i="22" s="1"/>
  <c r="R238" i="22" s="1"/>
  <c r="P238" i="22" s="1"/>
  <c r="V238" i="22" s="1"/>
  <c r="B238" i="22" s="1"/>
  <c r="W238" i="22" s="1"/>
  <c r="U331" i="22"/>
  <c r="T331" i="22" s="1"/>
  <c r="S331" i="22" s="1"/>
  <c r="R331" i="22" s="1"/>
  <c r="U317" i="22"/>
  <c r="T317" i="22" s="1"/>
  <c r="S317" i="22" s="1"/>
  <c r="R317" i="22" s="1"/>
  <c r="P317" i="22" s="1"/>
  <c r="V317" i="22" s="1"/>
  <c r="B317" i="22" s="1"/>
  <c r="W317" i="22" s="1"/>
  <c r="U226" i="22"/>
  <c r="T226" i="22" s="1"/>
  <c r="S226" i="22" s="1"/>
  <c r="R226" i="22" s="1"/>
  <c r="U99" i="22"/>
  <c r="T99" i="22" s="1"/>
  <c r="S99" i="22" s="1"/>
  <c r="R99" i="22" s="1"/>
  <c r="P99" i="22" s="1"/>
  <c r="V99" i="22" s="1"/>
  <c r="B99" i="22" s="1"/>
  <c r="D99" i="22" s="1"/>
  <c r="E99" i="22" s="1"/>
  <c r="F99" i="22" s="1"/>
  <c r="U93" i="22"/>
  <c r="T93" i="22" s="1"/>
  <c r="S93" i="22" s="1"/>
  <c r="R93" i="22" s="1"/>
  <c r="U297" i="22"/>
  <c r="T297" i="22" s="1"/>
  <c r="S297" i="22" s="1"/>
  <c r="R297" i="22" s="1"/>
  <c r="P297" i="22" s="1"/>
  <c r="V297" i="22" s="1"/>
  <c r="B297" i="22" s="1"/>
  <c r="W297" i="22" s="1"/>
  <c r="U234" i="22"/>
  <c r="T234" i="22" s="1"/>
  <c r="S234" i="22" s="1"/>
  <c r="R234" i="22" s="1"/>
  <c r="U28" i="22"/>
  <c r="T28" i="22" s="1"/>
  <c r="S28" i="22" s="1"/>
  <c r="R28" i="22" s="1"/>
  <c r="P28" i="22" s="1"/>
  <c r="V28" i="22" s="1"/>
  <c r="B28" i="22" s="1"/>
  <c r="D28" i="22" s="1"/>
  <c r="E28" i="22" s="1"/>
  <c r="F28" i="22" s="1"/>
  <c r="U273" i="22"/>
  <c r="T273" i="22" s="1"/>
  <c r="S273" i="22" s="1"/>
  <c r="R273" i="22" s="1"/>
  <c r="U278" i="22"/>
  <c r="T278" i="22" s="1"/>
  <c r="S278" i="22" s="1"/>
  <c r="R278" i="22" s="1"/>
  <c r="P278" i="22" s="1"/>
  <c r="V278" i="22" s="1"/>
  <c r="B278" i="22" s="1"/>
  <c r="W278" i="22" s="1"/>
  <c r="U53" i="22"/>
  <c r="T53" i="22" s="1"/>
  <c r="S53" i="22" s="1"/>
  <c r="R53" i="22" s="1"/>
  <c r="U179" i="22"/>
  <c r="T179" i="22" s="1"/>
  <c r="S179" i="22" s="1"/>
  <c r="R179" i="22" s="1"/>
  <c r="P179" i="22" s="1"/>
  <c r="V179" i="22" s="1"/>
  <c r="B179" i="22" s="1"/>
  <c r="W179" i="22" s="1"/>
  <c r="U64" i="22"/>
  <c r="T64" i="22" s="1"/>
  <c r="S64" i="22" s="1"/>
  <c r="R64" i="22" s="1"/>
  <c r="U108" i="22"/>
  <c r="T108" i="22" s="1"/>
  <c r="S108" i="22" s="1"/>
  <c r="R108" i="22" s="1"/>
  <c r="P108" i="22" s="1"/>
  <c r="V108" i="22" s="1"/>
  <c r="B108" i="22" s="1"/>
  <c r="D108" i="22" s="1"/>
  <c r="E108" i="22" s="1"/>
  <c r="F108" i="22" s="1"/>
  <c r="U313" i="22"/>
  <c r="T313" i="22" s="1"/>
  <c r="S313" i="22" s="1"/>
  <c r="R313" i="22" s="1"/>
  <c r="U79" i="22"/>
  <c r="T79" i="22" s="1"/>
  <c r="S79" i="22" s="1"/>
  <c r="R79" i="22" s="1"/>
  <c r="P79" i="22" s="1"/>
  <c r="V79" i="22" s="1"/>
  <c r="B79" i="22" s="1"/>
  <c r="D79" i="22" s="1"/>
  <c r="E79" i="22" s="1"/>
  <c r="F79" i="22" s="1"/>
  <c r="U275" i="22"/>
  <c r="T275" i="22" s="1"/>
  <c r="S275" i="22" s="1"/>
  <c r="R275" i="22" s="1"/>
  <c r="U264" i="22"/>
  <c r="T264" i="22" s="1"/>
  <c r="S264" i="22" s="1"/>
  <c r="R264" i="22" s="1"/>
  <c r="P264" i="22" s="1"/>
  <c r="V264" i="22" s="1"/>
  <c r="B264" i="22" s="1"/>
  <c r="W264" i="22" s="1"/>
  <c r="U212" i="22"/>
  <c r="T212" i="22" s="1"/>
  <c r="S212" i="22" s="1"/>
  <c r="R212" i="22" s="1"/>
  <c r="U208" i="22"/>
  <c r="T208" i="22" s="1"/>
  <c r="S208" i="22" s="1"/>
  <c r="R208" i="22" s="1"/>
  <c r="P208" i="22" s="1"/>
  <c r="V208" i="22" s="1"/>
  <c r="B208" i="22" s="1"/>
  <c r="D208" i="22" s="1"/>
  <c r="E208" i="22" s="1"/>
  <c r="F208" i="22" s="1"/>
  <c r="U45" i="22"/>
  <c r="T45" i="22" s="1"/>
  <c r="S45" i="22" s="1"/>
  <c r="R45" i="22" s="1"/>
  <c r="U265" i="22"/>
  <c r="T265" i="22" s="1"/>
  <c r="S265" i="22" s="1"/>
  <c r="R265" i="22" s="1"/>
  <c r="P265" i="22" s="1"/>
  <c r="V265" i="22" s="1"/>
  <c r="B265" i="22" s="1"/>
  <c r="D265" i="22" s="1"/>
  <c r="E265" i="22" s="1"/>
  <c r="F265" i="22" s="1"/>
  <c r="U29" i="22"/>
  <c r="T29" i="22" s="1"/>
  <c r="S29" i="22" s="1"/>
  <c r="R29" i="22" s="1"/>
  <c r="U83" i="22"/>
  <c r="T83" i="22" s="1"/>
  <c r="S83" i="22" s="1"/>
  <c r="R83" i="22" s="1"/>
  <c r="P83" i="22" s="1"/>
  <c r="V83" i="22" s="1"/>
  <c r="B83" i="22" s="1"/>
  <c r="D83" i="22" s="1"/>
  <c r="E83" i="22" s="1"/>
  <c r="F83" i="22" s="1"/>
  <c r="U182" i="22"/>
  <c r="T182" i="22" s="1"/>
  <c r="S182" i="22" s="1"/>
  <c r="R182" i="22" s="1"/>
  <c r="P182" i="22" s="1"/>
  <c r="V182" i="22" s="1"/>
  <c r="B182" i="22" s="1"/>
  <c r="D182" i="22" s="1"/>
  <c r="E182" i="22" s="1"/>
  <c r="F182" i="22" s="1"/>
  <c r="U229" i="22"/>
  <c r="T229" i="22" s="1"/>
  <c r="S229" i="22" s="1"/>
  <c r="R229" i="22" s="1"/>
  <c r="P229" i="22" s="1"/>
  <c r="V229" i="22" s="1"/>
  <c r="B229" i="22" s="1"/>
  <c r="W229" i="22" s="1"/>
  <c r="U21" i="22"/>
  <c r="T21" i="22" s="1"/>
  <c r="S21" i="22" s="1"/>
  <c r="R21" i="22" s="1"/>
  <c r="U117" i="22"/>
  <c r="T117" i="22" s="1"/>
  <c r="S117" i="22" s="1"/>
  <c r="R117" i="22" s="1"/>
  <c r="P117" i="22" s="1"/>
  <c r="V117" i="22" s="1"/>
  <c r="B117" i="22" s="1"/>
  <c r="D117" i="22" s="1"/>
  <c r="E117" i="22" s="1"/>
  <c r="F117" i="22" s="1"/>
  <c r="U263" i="22"/>
  <c r="T263" i="22" s="1"/>
  <c r="S263" i="22" s="1"/>
  <c r="R263" i="22" s="1"/>
  <c r="U287" i="22"/>
  <c r="T287" i="22" s="1"/>
  <c r="S287" i="22" s="1"/>
  <c r="R287" i="22" s="1"/>
  <c r="P287" i="22" s="1"/>
  <c r="V287" i="22" s="1"/>
  <c r="B287" i="22" s="1"/>
  <c r="D287" i="22" s="1"/>
  <c r="E287" i="22" s="1"/>
  <c r="F287" i="22" s="1"/>
  <c r="U236" i="22"/>
  <c r="T236" i="22" s="1"/>
  <c r="S236" i="22" s="1"/>
  <c r="R236" i="22" s="1"/>
  <c r="U168" i="22"/>
  <c r="T168" i="22" s="1"/>
  <c r="S168" i="22" s="1"/>
  <c r="R168" i="22" s="1"/>
  <c r="P168" i="22" s="1"/>
  <c r="V168" i="22" s="1"/>
  <c r="B168" i="22" s="1"/>
  <c r="W168" i="22" s="1"/>
  <c r="U342" i="22"/>
  <c r="T342" i="22" s="1"/>
  <c r="S342" i="22" s="1"/>
  <c r="R342" i="22" s="1"/>
  <c r="U24" i="22"/>
  <c r="T24" i="22" s="1"/>
  <c r="S24" i="22" s="1"/>
  <c r="R24" i="22" s="1"/>
  <c r="P24" i="22" s="1"/>
  <c r="V24" i="22" s="1"/>
  <c r="B24" i="22" s="1"/>
  <c r="W24" i="22" s="1"/>
  <c r="U187" i="22"/>
  <c r="T187" i="22" s="1"/>
  <c r="S187" i="22" s="1"/>
  <c r="R187" i="22" s="1"/>
  <c r="U69" i="22"/>
  <c r="T69" i="22" s="1"/>
  <c r="S69" i="22" s="1"/>
  <c r="R69" i="22" s="1"/>
  <c r="P69" i="22" s="1"/>
  <c r="V69" i="22" s="1"/>
  <c r="B69" i="22" s="1"/>
  <c r="D69" i="22" s="1"/>
  <c r="E69" i="22" s="1"/>
  <c r="F69" i="22" s="1"/>
  <c r="U167" i="22"/>
  <c r="T167" i="22" s="1"/>
  <c r="S167" i="22" s="1"/>
  <c r="R167" i="22" s="1"/>
  <c r="U22" i="22"/>
  <c r="T22" i="22" s="1"/>
  <c r="S22" i="22" s="1"/>
  <c r="R22" i="22" s="1"/>
  <c r="P22" i="22" s="1"/>
  <c r="V22" i="22" s="1"/>
  <c r="B22" i="22" s="1"/>
  <c r="D22" i="22" s="1"/>
  <c r="E22" i="22" s="1"/>
  <c r="F22" i="22" s="1"/>
  <c r="U91" i="22"/>
  <c r="T91" i="22" s="1"/>
  <c r="S91" i="22" s="1"/>
  <c r="R91" i="22" s="1"/>
  <c r="U240" i="22"/>
  <c r="T240" i="22" s="1"/>
  <c r="S240" i="22" s="1"/>
  <c r="R240" i="22" s="1"/>
  <c r="P240" i="22" s="1"/>
  <c r="V240" i="22" s="1"/>
  <c r="B240" i="22" s="1"/>
  <c r="W240" i="22" s="1"/>
  <c r="U104" i="22"/>
  <c r="T104" i="22" s="1"/>
  <c r="S104" i="22" s="1"/>
  <c r="R104" i="22" s="1"/>
  <c r="U147" i="22"/>
  <c r="T147" i="22" s="1"/>
  <c r="S147" i="22" s="1"/>
  <c r="R147" i="22" s="1"/>
  <c r="P147" i="22" s="1"/>
  <c r="V147" i="22" s="1"/>
  <c r="B147" i="22" s="1"/>
  <c r="W147" i="22" s="1"/>
  <c r="U125" i="22"/>
  <c r="T125" i="22" s="1"/>
  <c r="S125" i="22" s="1"/>
  <c r="R125" i="22" s="1"/>
  <c r="U162" i="22"/>
  <c r="T162" i="22" s="1"/>
  <c r="S162" i="22" s="1"/>
  <c r="R162" i="22" s="1"/>
  <c r="P162" i="22" s="1"/>
  <c r="V162" i="22" s="1"/>
  <c r="B162" i="22" s="1"/>
  <c r="D162" i="22" s="1"/>
  <c r="E162" i="22" s="1"/>
  <c r="F162" i="22" s="1"/>
  <c r="U320" i="22"/>
  <c r="T320" i="22" s="1"/>
  <c r="S320" i="22" s="1"/>
  <c r="R320" i="22" s="1"/>
  <c r="U243" i="22"/>
  <c r="T243" i="22" s="1"/>
  <c r="S243" i="22" s="1"/>
  <c r="R243" i="22" s="1"/>
  <c r="P243" i="22" s="1"/>
  <c r="V243" i="22" s="1"/>
  <c r="B243" i="22" s="1"/>
  <c r="D243" i="22" s="1"/>
  <c r="E243" i="22" s="1"/>
  <c r="F243" i="22" s="1"/>
  <c r="U272" i="22"/>
  <c r="T272" i="22" s="1"/>
  <c r="S272" i="22" s="1"/>
  <c r="R272" i="22" s="1"/>
  <c r="U20" i="22"/>
  <c r="T20" i="22" s="1"/>
  <c r="S20" i="22" s="1"/>
  <c r="R20" i="22" s="1"/>
  <c r="P20" i="22" s="1"/>
  <c r="V20" i="22" s="1"/>
  <c r="U352" i="22"/>
  <c r="T352" i="22" s="1"/>
  <c r="S352" i="22" s="1"/>
  <c r="R352" i="22" s="1"/>
  <c r="U377" i="22"/>
  <c r="T377" i="22" s="1"/>
  <c r="S377" i="22" s="1"/>
  <c r="R377" i="22" s="1"/>
  <c r="P377" i="22" s="1"/>
  <c r="V377" i="22" s="1"/>
  <c r="B377" i="22" s="1"/>
  <c r="W377" i="22" s="1"/>
  <c r="U195" i="22"/>
  <c r="T195" i="22" s="1"/>
  <c r="S195" i="22" s="1"/>
  <c r="R195" i="22" s="1"/>
  <c r="U166" i="22"/>
  <c r="T166" i="22" s="1"/>
  <c r="S166" i="22" s="1"/>
  <c r="R166" i="22" s="1"/>
  <c r="P166" i="22" s="1"/>
  <c r="V166" i="22" s="1"/>
  <c r="B166" i="22" s="1"/>
  <c r="U322" i="22"/>
  <c r="T322" i="22" s="1"/>
  <c r="S322" i="22" s="1"/>
  <c r="R322" i="22" s="1"/>
  <c r="U327" i="22"/>
  <c r="T327" i="22" s="1"/>
  <c r="S327" i="22" s="1"/>
  <c r="R327" i="22" s="1"/>
  <c r="P327" i="22" s="1"/>
  <c r="V327" i="22" s="1"/>
  <c r="B327" i="22" s="1"/>
  <c r="D327" i="22" s="1"/>
  <c r="E327" i="22" s="1"/>
  <c r="F327" i="22" s="1"/>
  <c r="U41" i="22"/>
  <c r="T41" i="22" s="1"/>
  <c r="S41" i="22" s="1"/>
  <c r="R41" i="22" s="1"/>
  <c r="U211" i="22"/>
  <c r="T211" i="22" s="1"/>
  <c r="S211" i="22" s="1"/>
  <c r="R211" i="22" s="1"/>
  <c r="P211" i="22" s="1"/>
  <c r="V211" i="22" s="1"/>
  <c r="B211" i="22" s="1"/>
  <c r="W211" i="22" s="1"/>
  <c r="U358" i="22"/>
  <c r="T358" i="22" s="1"/>
  <c r="S358" i="22" s="1"/>
  <c r="R358" i="22" s="1"/>
  <c r="U94" i="22"/>
  <c r="T94" i="22" s="1"/>
  <c r="S94" i="22" s="1"/>
  <c r="R94" i="22" s="1"/>
  <c r="P94" i="22" s="1"/>
  <c r="V94" i="22" s="1"/>
  <c r="B94" i="22" s="1"/>
  <c r="D94" i="22" s="1"/>
  <c r="E94" i="22" s="1"/>
  <c r="F94" i="22" s="1"/>
  <c r="U88" i="22"/>
  <c r="T88" i="22" s="1"/>
  <c r="S88" i="22" s="1"/>
  <c r="R88" i="22" s="1"/>
  <c r="U161" i="22"/>
  <c r="T161" i="22" s="1"/>
  <c r="S161" i="22" s="1"/>
  <c r="R161" i="22" s="1"/>
  <c r="P161" i="22" s="1"/>
  <c r="V161" i="22" s="1"/>
  <c r="B161" i="22" s="1"/>
  <c r="D161" i="22" s="1"/>
  <c r="E161" i="22" s="1"/>
  <c r="F161" i="22" s="1"/>
  <c r="U369" i="22"/>
  <c r="T369" i="22" s="1"/>
  <c r="S369" i="22" s="1"/>
  <c r="R369" i="22" s="1"/>
  <c r="U47" i="22"/>
  <c r="T47" i="22" s="1"/>
  <c r="S47" i="22" s="1"/>
  <c r="R47" i="22" s="1"/>
  <c r="P47" i="22" s="1"/>
  <c r="V47" i="22" s="1"/>
  <c r="B47" i="22" s="1"/>
  <c r="D47" i="22" s="1"/>
  <c r="E47" i="22" s="1"/>
  <c r="F47" i="22" s="1"/>
  <c r="U26" i="22"/>
  <c r="T26" i="22" s="1"/>
  <c r="S26" i="22" s="1"/>
  <c r="R26" i="22" s="1"/>
  <c r="U128" i="22"/>
  <c r="T128" i="22" s="1"/>
  <c r="S128" i="22" s="1"/>
  <c r="R128" i="22" s="1"/>
  <c r="P128" i="22" s="1"/>
  <c r="V128" i="22" s="1"/>
  <c r="B128" i="22" s="1"/>
  <c r="W128" i="22" s="1"/>
  <c r="U138" i="22"/>
  <c r="T138" i="22" s="1"/>
  <c r="S138" i="22" s="1"/>
  <c r="R138" i="22" s="1"/>
  <c r="U365" i="22"/>
  <c r="T365" i="22" s="1"/>
  <c r="S365" i="22" s="1"/>
  <c r="R365" i="22" s="1"/>
  <c r="P365" i="22" s="1"/>
  <c r="V365" i="22" s="1"/>
  <c r="B365" i="22" s="1"/>
  <c r="D365" i="22" s="1"/>
  <c r="E365" i="22" s="1"/>
  <c r="F365" i="22" s="1"/>
  <c r="U335" i="22"/>
  <c r="T335" i="22" s="1"/>
  <c r="S335" i="22" s="1"/>
  <c r="R335" i="22" s="1"/>
  <c r="U18" i="22"/>
  <c r="T18" i="22" s="1"/>
  <c r="S18" i="22" s="1"/>
  <c r="R18" i="22" s="1"/>
  <c r="P18" i="22" s="1"/>
  <c r="V18" i="22" s="1"/>
  <c r="B18" i="22" s="1"/>
  <c r="D18" i="22" s="1"/>
  <c r="E18" i="22" s="1"/>
  <c r="F18" i="22" s="1"/>
  <c r="U347" i="22"/>
  <c r="T347" i="22" s="1"/>
  <c r="S347" i="22" s="1"/>
  <c r="R347" i="22" s="1"/>
  <c r="U71" i="22"/>
  <c r="T71" i="22" s="1"/>
  <c r="S71" i="22" s="1"/>
  <c r="R71" i="22" s="1"/>
  <c r="P71" i="22" s="1"/>
  <c r="V71" i="22" s="1"/>
  <c r="B71" i="22" s="1"/>
  <c r="W71" i="22" s="1"/>
  <c r="U222" i="22"/>
  <c r="T222" i="22" s="1"/>
  <c r="S222" i="22" s="1"/>
  <c r="R222" i="22" s="1"/>
  <c r="U204" i="22"/>
  <c r="T204" i="22" s="1"/>
  <c r="S204" i="22" s="1"/>
  <c r="R204" i="22" s="1"/>
  <c r="P204" i="22" s="1"/>
  <c r="V204" i="22" s="1"/>
  <c r="B204" i="22" s="1"/>
  <c r="W204" i="22" s="1"/>
  <c r="U43" i="22"/>
  <c r="T43" i="22" s="1"/>
  <c r="S43" i="22" s="1"/>
  <c r="R43" i="22" s="1"/>
  <c r="U376" i="22"/>
  <c r="T376" i="22" s="1"/>
  <c r="S376" i="22" s="1"/>
  <c r="R376" i="22" s="1"/>
  <c r="P376" i="22" s="1"/>
  <c r="V376" i="22" s="1"/>
  <c r="B376" i="22" s="1"/>
  <c r="D376" i="22" s="1"/>
  <c r="E376" i="22" s="1"/>
  <c r="F376" i="22" s="1"/>
  <c r="U33" i="22"/>
  <c r="T33" i="22" s="1"/>
  <c r="S33" i="22" s="1"/>
  <c r="R33" i="22" s="1"/>
  <c r="U98" i="22"/>
  <c r="T98" i="22" s="1"/>
  <c r="S98" i="22" s="1"/>
  <c r="R98" i="22" s="1"/>
  <c r="P98" i="22" s="1"/>
  <c r="V98" i="22" s="1"/>
  <c r="B98" i="22" s="1"/>
  <c r="W98" i="22" s="1"/>
  <c r="U308" i="22"/>
  <c r="T308" i="22" s="1"/>
  <c r="S308" i="22" s="1"/>
  <c r="R308" i="22" s="1"/>
  <c r="U311" i="22"/>
  <c r="T311" i="22" s="1"/>
  <c r="S311" i="22" s="1"/>
  <c r="R311" i="22" s="1"/>
  <c r="P311" i="22" s="1"/>
  <c r="V311" i="22" s="1"/>
  <c r="B311" i="22" s="1"/>
  <c r="D311" i="22" s="1"/>
  <c r="E311" i="22" s="1"/>
  <c r="F311" i="22" s="1"/>
  <c r="U115" i="22"/>
  <c r="T115" i="22" s="1"/>
  <c r="S115" i="22" s="1"/>
  <c r="R115" i="22" s="1"/>
  <c r="U80" i="22"/>
  <c r="T80" i="22" s="1"/>
  <c r="S80" i="22" s="1"/>
  <c r="R80" i="22" s="1"/>
  <c r="P80" i="22" s="1"/>
  <c r="V80" i="22" s="1"/>
  <c r="B80" i="22" s="1"/>
  <c r="D80" i="22" s="1"/>
  <c r="E80" i="22" s="1"/>
  <c r="F80" i="22" s="1"/>
  <c r="U157" i="22"/>
  <c r="T157" i="22" s="1"/>
  <c r="S157" i="22" s="1"/>
  <c r="R157" i="22" s="1"/>
  <c r="U257" i="22"/>
  <c r="T257" i="22" s="1"/>
  <c r="S257" i="22" s="1"/>
  <c r="R257" i="22" s="1"/>
  <c r="P257" i="22" s="1"/>
  <c r="V257" i="22" s="1"/>
  <c r="B257" i="22" s="1"/>
  <c r="W257" i="22" s="1"/>
  <c r="U97" i="22"/>
  <c r="T97" i="22" s="1"/>
  <c r="S97" i="22" s="1"/>
  <c r="R97" i="22" s="1"/>
  <c r="U181" i="22"/>
  <c r="T181" i="22" s="1"/>
  <c r="S181" i="22" s="1"/>
  <c r="R181" i="22" s="1"/>
  <c r="P181" i="22" s="1"/>
  <c r="V181" i="22" s="1"/>
  <c r="B181" i="22" s="1"/>
  <c r="D181" i="22" s="1"/>
  <c r="E181" i="22" s="1"/>
  <c r="F181" i="22" s="1"/>
  <c r="U197" i="22"/>
  <c r="T197" i="22" s="1"/>
  <c r="S197" i="22" s="1"/>
  <c r="R197" i="22" s="1"/>
  <c r="U315" i="22"/>
  <c r="T315" i="22" s="1"/>
  <c r="S315" i="22" s="1"/>
  <c r="R315" i="22" s="1"/>
  <c r="P315" i="22" s="1"/>
  <c r="V315" i="22" s="1"/>
  <c r="B315" i="22" s="1"/>
  <c r="D315" i="22" s="1"/>
  <c r="E315" i="22" s="1"/>
  <c r="F315" i="22" s="1"/>
  <c r="U371" i="22"/>
  <c r="T371" i="22" s="1"/>
  <c r="S371" i="22" s="1"/>
  <c r="R371" i="22" s="1"/>
  <c r="U196" i="22"/>
  <c r="T196" i="22" s="1"/>
  <c r="S196" i="22" s="1"/>
  <c r="R196" i="22" s="1"/>
  <c r="P196" i="22" s="1"/>
  <c r="V196" i="22" s="1"/>
  <c r="B196" i="22" s="1"/>
  <c r="D196" i="22" s="1"/>
  <c r="E196" i="22" s="1"/>
  <c r="F196" i="22" s="1"/>
  <c r="U324" i="22"/>
  <c r="T324" i="22" s="1"/>
  <c r="S324" i="22" s="1"/>
  <c r="R324" i="22" s="1"/>
  <c r="U130" i="22"/>
  <c r="T130" i="22" s="1"/>
  <c r="S130" i="22" s="1"/>
  <c r="R130" i="22" s="1"/>
  <c r="P130" i="22" s="1"/>
  <c r="V130" i="22" s="1"/>
  <c r="B130" i="22" s="1"/>
  <c r="W130" i="22" s="1"/>
  <c r="U145" i="22"/>
  <c r="T145" i="22" s="1"/>
  <c r="S145" i="22" s="1"/>
  <c r="R145" i="22" s="1"/>
  <c r="U172" i="22"/>
  <c r="T172" i="22" s="1"/>
  <c r="S172" i="22" s="1"/>
  <c r="R172" i="22" s="1"/>
  <c r="P172" i="22" s="1"/>
  <c r="V172" i="22" s="1"/>
  <c r="B172" i="22" s="1"/>
  <c r="D172" i="22" s="1"/>
  <c r="E172" i="22" s="1"/>
  <c r="F172" i="22" s="1"/>
  <c r="U363" i="22"/>
  <c r="T363" i="22" s="1"/>
  <c r="S363" i="22" s="1"/>
  <c r="R363" i="22" s="1"/>
  <c r="U268" i="22"/>
  <c r="T268" i="22" s="1"/>
  <c r="S268" i="22" s="1"/>
  <c r="R268" i="22" s="1"/>
  <c r="P268" i="22" s="1"/>
  <c r="V268" i="22" s="1"/>
  <c r="B268" i="22" s="1"/>
  <c r="D268" i="22" s="1"/>
  <c r="E268" i="22" s="1"/>
  <c r="F268" i="22" s="1"/>
  <c r="U58" i="22"/>
  <c r="T58" i="22" s="1"/>
  <c r="S58" i="22" s="1"/>
  <c r="R58" i="22" s="1"/>
  <c r="U102" i="22"/>
  <c r="T102" i="22" s="1"/>
  <c r="S102" i="22" s="1"/>
  <c r="R102" i="22" s="1"/>
  <c r="P102" i="22" s="1"/>
  <c r="V102" i="22" s="1"/>
  <c r="B102" i="22" s="1"/>
  <c r="D102" i="22" s="1"/>
  <c r="E102" i="22" s="1"/>
  <c r="F102" i="22" s="1"/>
  <c r="U228" i="22"/>
  <c r="T228" i="22" s="1"/>
  <c r="S228" i="22" s="1"/>
  <c r="R228" i="22" s="1"/>
  <c r="U217" i="22"/>
  <c r="T217" i="22" s="1"/>
  <c r="S217" i="22" s="1"/>
  <c r="R217" i="22" s="1"/>
  <c r="P217" i="22" s="1"/>
  <c r="V217" i="22" s="1"/>
  <c r="B217" i="22" s="1"/>
  <c r="W217" i="22" s="1"/>
  <c r="U354" i="22"/>
  <c r="T354" i="22" s="1"/>
  <c r="S354" i="22" s="1"/>
  <c r="R354" i="22" s="1"/>
  <c r="U373" i="22"/>
  <c r="T373" i="22" s="1"/>
  <c r="S373" i="22" s="1"/>
  <c r="R373" i="22" s="1"/>
  <c r="P373" i="22" s="1"/>
  <c r="V373" i="22" s="1"/>
  <c r="B373" i="22" s="1"/>
  <c r="W373" i="22" s="1"/>
  <c r="U220" i="22"/>
  <c r="T220" i="22" s="1"/>
  <c r="S220" i="22" s="1"/>
  <c r="R220" i="22" s="1"/>
  <c r="U46" i="22"/>
  <c r="T46" i="22" s="1"/>
  <c r="S46" i="22" s="1"/>
  <c r="R46" i="22" s="1"/>
  <c r="P46" i="22" s="1"/>
  <c r="V46" i="22" s="1"/>
  <c r="B46" i="22" s="1"/>
  <c r="U174" i="22"/>
  <c r="T174" i="22" s="1"/>
  <c r="S174" i="22" s="1"/>
  <c r="R174" i="22" s="1"/>
  <c r="P174" i="22" s="1"/>
  <c r="V174" i="22" s="1"/>
  <c r="B174" i="22" s="1"/>
  <c r="D174" i="22" s="1"/>
  <c r="E174" i="22" s="1"/>
  <c r="F174" i="22" s="1"/>
  <c r="U86" i="22"/>
  <c r="T86" i="22" s="1"/>
  <c r="S86" i="22" s="1"/>
  <c r="R86" i="22" s="1"/>
  <c r="P86" i="22" s="1"/>
  <c r="V86" i="22" s="1"/>
  <c r="B86" i="22" s="1"/>
  <c r="D86" i="22" s="1"/>
  <c r="E86" i="22" s="1"/>
  <c r="F86" i="22" s="1"/>
  <c r="U242" i="22"/>
  <c r="T242" i="22" s="1"/>
  <c r="S242" i="22" s="1"/>
  <c r="R242" i="22" s="1"/>
  <c r="U137" i="22"/>
  <c r="T137" i="22" s="1"/>
  <c r="S137" i="22" s="1"/>
  <c r="R137" i="22" s="1"/>
  <c r="P137" i="22" s="1"/>
  <c r="V137" i="22" s="1"/>
  <c r="B137" i="22" s="1"/>
  <c r="W137" i="22" s="1"/>
  <c r="U70" i="22"/>
  <c r="T70" i="22" s="1"/>
  <c r="S70" i="22" s="1"/>
  <c r="R70" i="22" s="1"/>
  <c r="U192" i="22"/>
  <c r="T192" i="22" s="1"/>
  <c r="S192" i="22" s="1"/>
  <c r="R192" i="22" s="1"/>
  <c r="P192" i="22" s="1"/>
  <c r="V192" i="22" s="1"/>
  <c r="B192" i="22" s="1"/>
  <c r="W192" i="22" s="1"/>
  <c r="U31" i="22"/>
  <c r="T31" i="22" s="1"/>
  <c r="S31" i="22" s="1"/>
  <c r="R31" i="22" s="1"/>
  <c r="P31" i="22" s="1"/>
  <c r="V31" i="22" s="1"/>
  <c r="B31" i="22" s="1"/>
  <c r="U323" i="22"/>
  <c r="T323" i="22" s="1"/>
  <c r="S323" i="22" s="1"/>
  <c r="R323" i="22" s="1"/>
  <c r="P323" i="22" s="1"/>
  <c r="V323" i="22" s="1"/>
  <c r="B323" i="22" s="1"/>
  <c r="W323" i="22" s="1"/>
  <c r="U188" i="22"/>
  <c r="T188" i="22" s="1"/>
  <c r="S188" i="22" s="1"/>
  <c r="R188" i="22" s="1"/>
  <c r="U150" i="22"/>
  <c r="T150" i="22" s="1"/>
  <c r="S150" i="22" s="1"/>
  <c r="R150" i="22" s="1"/>
  <c r="P150" i="22" s="1"/>
  <c r="V150" i="22" s="1"/>
  <c r="B150" i="22" s="1"/>
  <c r="D150" i="22" s="1"/>
  <c r="E150" i="22" s="1"/>
  <c r="F150" i="22" s="1"/>
  <c r="U302" i="22"/>
  <c r="T302" i="22" s="1"/>
  <c r="S302" i="22" s="1"/>
  <c r="R302" i="22" s="1"/>
  <c r="U193" i="22"/>
  <c r="T193" i="22" s="1"/>
  <c r="S193" i="22" s="1"/>
  <c r="R193" i="22" s="1"/>
  <c r="P193" i="22" s="1"/>
  <c r="V193" i="22" s="1"/>
  <c r="B193" i="22" s="1"/>
  <c r="W193" i="22" s="1"/>
  <c r="U333" i="22"/>
  <c r="T333" i="22" s="1"/>
  <c r="S333" i="22" s="1"/>
  <c r="R333" i="22" s="1"/>
  <c r="U61" i="22"/>
  <c r="T61" i="22" s="1"/>
  <c r="S61" i="22" s="1"/>
  <c r="R61" i="22" s="1"/>
  <c r="P61" i="22" s="1"/>
  <c r="V61" i="22" s="1"/>
  <c r="B61" i="22" s="1"/>
  <c r="W61" i="22" s="1"/>
  <c r="U370" i="22"/>
  <c r="T370" i="22" s="1"/>
  <c r="S370" i="22" s="1"/>
  <c r="R370" i="22" s="1"/>
  <c r="U224" i="22"/>
  <c r="T224" i="22" s="1"/>
  <c r="S224" i="22" s="1"/>
  <c r="R224" i="22" s="1"/>
  <c r="P224" i="22" s="1"/>
  <c r="V224" i="22" s="1"/>
  <c r="B224" i="22" s="1"/>
  <c r="W224" i="22" s="1"/>
  <c r="U48" i="22"/>
  <c r="T48" i="22" s="1"/>
  <c r="S48" i="22" s="1"/>
  <c r="R48" i="22" s="1"/>
  <c r="U143" i="22"/>
  <c r="T143" i="22" s="1"/>
  <c r="S143" i="22" s="1"/>
  <c r="R143" i="22" s="1"/>
  <c r="P143" i="22" s="1"/>
  <c r="V143" i="22" s="1"/>
  <c r="B143" i="22" s="1"/>
  <c r="W143" i="22" s="1"/>
  <c r="U319" i="22"/>
  <c r="T319" i="22" s="1"/>
  <c r="S319" i="22" s="1"/>
  <c r="R319" i="22" s="1"/>
  <c r="U114" i="22"/>
  <c r="T114" i="22" s="1"/>
  <c r="S114" i="22" s="1"/>
  <c r="R114" i="22" s="1"/>
  <c r="P114" i="22" s="1"/>
  <c r="V114" i="22" s="1"/>
  <c r="B114" i="22" s="1"/>
  <c r="D114" i="22" s="1"/>
  <c r="E114" i="22" s="1"/>
  <c r="F114" i="22" s="1"/>
  <c r="U105" i="22"/>
  <c r="T105" i="22" s="1"/>
  <c r="S105" i="22" s="1"/>
  <c r="R105" i="22" s="1"/>
  <c r="U23" i="22"/>
  <c r="T23" i="22" s="1"/>
  <c r="S23" i="22" s="1"/>
  <c r="R23" i="22" s="1"/>
  <c r="P23" i="22" s="1"/>
  <c r="V23" i="22" s="1"/>
  <c r="B23" i="22" s="1"/>
  <c r="W23" i="22" s="1"/>
  <c r="U134" i="22"/>
  <c r="T134" i="22" s="1"/>
  <c r="S134" i="22" s="1"/>
  <c r="R134" i="22" s="1"/>
  <c r="U283" i="22"/>
  <c r="T283" i="22" s="1"/>
  <c r="S283" i="22" s="1"/>
  <c r="R283" i="22" s="1"/>
  <c r="P283" i="22" s="1"/>
  <c r="V283" i="22" s="1"/>
  <c r="B283" i="22" s="1"/>
  <c r="D283" i="22" s="1"/>
  <c r="E283" i="22" s="1"/>
  <c r="F283" i="22" s="1"/>
  <c r="U141" i="22"/>
  <c r="T141" i="22" s="1"/>
  <c r="S141" i="22" s="1"/>
  <c r="R141" i="22" s="1"/>
  <c r="U62" i="22"/>
  <c r="T62" i="22" s="1"/>
  <c r="S62" i="22" s="1"/>
  <c r="R62" i="22" s="1"/>
  <c r="P62" i="22" s="1"/>
  <c r="V62" i="22" s="1"/>
  <c r="B62" i="22" s="1"/>
  <c r="D62" i="22" s="1"/>
  <c r="E62" i="22" s="1"/>
  <c r="F62" i="22" s="1"/>
  <c r="U144" i="22"/>
  <c r="T144" i="22" s="1"/>
  <c r="S144" i="22" s="1"/>
  <c r="R144" i="22" s="1"/>
  <c r="U314" i="22"/>
  <c r="T314" i="22" s="1"/>
  <c r="S314" i="22" s="1"/>
  <c r="R314" i="22" s="1"/>
  <c r="P314" i="22" s="1"/>
  <c r="V314" i="22" s="1"/>
  <c r="B314" i="22" s="1"/>
  <c r="D314" i="22" s="1"/>
  <c r="E314" i="22" s="1"/>
  <c r="F314" i="22" s="1"/>
  <c r="U276" i="22"/>
  <c r="T276" i="22" s="1"/>
  <c r="S276" i="22" s="1"/>
  <c r="R276" i="22" s="1"/>
  <c r="U359" i="22"/>
  <c r="T359" i="22" s="1"/>
  <c r="S359" i="22" s="1"/>
  <c r="R359" i="22" s="1"/>
  <c r="P359" i="22" s="1"/>
  <c r="V359" i="22" s="1"/>
  <c r="B359" i="22" s="1"/>
  <c r="D359" i="22" s="1"/>
  <c r="E359" i="22" s="1"/>
  <c r="F359" i="22" s="1"/>
  <c r="U16" i="22"/>
  <c r="T16" i="22" s="1"/>
  <c r="S16" i="22" s="1"/>
  <c r="R16" i="22" s="1"/>
  <c r="U351" i="22"/>
  <c r="T351" i="22" s="1"/>
  <c r="S351" i="22" s="1"/>
  <c r="R351" i="22" s="1"/>
  <c r="P351" i="22" s="1"/>
  <c r="V351" i="22" s="1"/>
  <c r="B351" i="22" s="1"/>
  <c r="W351" i="22" s="1"/>
  <c r="U110" i="22"/>
  <c r="T110" i="22" s="1"/>
  <c r="S110" i="22" s="1"/>
  <c r="R110" i="22" s="1"/>
  <c r="U152" i="22"/>
  <c r="T152" i="22" s="1"/>
  <c r="S152" i="22" s="1"/>
  <c r="R152" i="22" s="1"/>
  <c r="P152" i="22" s="1"/>
  <c r="V152" i="22" s="1"/>
  <c r="B152" i="22" s="1"/>
  <c r="W152" i="22" s="1"/>
  <c r="U142" i="22"/>
  <c r="T142" i="22" s="1"/>
  <c r="S142" i="22" s="1"/>
  <c r="R142" i="22" s="1"/>
  <c r="U106" i="22"/>
  <c r="T106" i="22" s="1"/>
  <c r="S106" i="22" s="1"/>
  <c r="R106" i="22" s="1"/>
  <c r="P106" i="22" s="1"/>
  <c r="V106" i="22" s="1"/>
  <c r="B106" i="22" s="1"/>
  <c r="D106" i="22" s="1"/>
  <c r="E106" i="22" s="1"/>
  <c r="F106" i="22" s="1"/>
  <c r="U295" i="22"/>
  <c r="T295" i="22" s="1"/>
  <c r="S295" i="22" s="1"/>
  <c r="R295" i="22" s="1"/>
  <c r="U227" i="22"/>
  <c r="T227" i="22" s="1"/>
  <c r="S227" i="22" s="1"/>
  <c r="R227" i="22" s="1"/>
  <c r="P227" i="22" s="1"/>
  <c r="V227" i="22" s="1"/>
  <c r="B227" i="22" s="1"/>
  <c r="U154" i="22"/>
  <c r="T154" i="22" s="1"/>
  <c r="S154" i="22" s="1"/>
  <c r="R154" i="22" s="1"/>
  <c r="U186" i="22"/>
  <c r="T186" i="22" s="1"/>
  <c r="S186" i="22" s="1"/>
  <c r="R186" i="22" s="1"/>
  <c r="P186" i="22" s="1"/>
  <c r="V186" i="22" s="1"/>
  <c r="B186" i="22" s="1"/>
  <c r="D186" i="22" s="1"/>
  <c r="E186" i="22" s="1"/>
  <c r="F186" i="22" s="1"/>
  <c r="U271" i="22"/>
  <c r="T271" i="22" s="1"/>
  <c r="S271" i="22" s="1"/>
  <c r="R271" i="22" s="1"/>
  <c r="U120" i="22"/>
  <c r="T120" i="22" s="1"/>
  <c r="S120" i="22" s="1"/>
  <c r="R120" i="22" s="1"/>
  <c r="P120" i="22" s="1"/>
  <c r="V120" i="22" s="1"/>
  <c r="B120" i="22" s="1"/>
  <c r="W120" i="22" s="1"/>
  <c r="U300" i="22"/>
  <c r="T300" i="22" s="1"/>
  <c r="S300" i="22" s="1"/>
  <c r="R300" i="22" s="1"/>
  <c r="U200" i="22"/>
  <c r="T200" i="22" s="1"/>
  <c r="S200" i="22" s="1"/>
  <c r="R200" i="22" s="1"/>
  <c r="P200" i="22" s="1"/>
  <c r="V200" i="22" s="1"/>
  <c r="B200" i="22" s="1"/>
  <c r="D200" i="22" s="1"/>
  <c r="E200" i="22" s="1"/>
  <c r="F200" i="22" s="1"/>
  <c r="U285" i="22"/>
  <c r="T285" i="22" s="1"/>
  <c r="S285" i="22" s="1"/>
  <c r="R285" i="22" s="1"/>
  <c r="U151" i="22"/>
  <c r="T151" i="22" s="1"/>
  <c r="S151" i="22" s="1"/>
  <c r="R151" i="22" s="1"/>
  <c r="P151" i="22" s="1"/>
  <c r="V151" i="22" s="1"/>
  <c r="B151" i="22" s="1"/>
  <c r="W151" i="22" s="1"/>
  <c r="U288" i="22"/>
  <c r="T288" i="22" s="1"/>
  <c r="S288" i="22" s="1"/>
  <c r="R288" i="22" s="1"/>
  <c r="U357" i="22"/>
  <c r="T357" i="22" s="1"/>
  <c r="S357" i="22" s="1"/>
  <c r="R357" i="22" s="1"/>
  <c r="P357" i="22" s="1"/>
  <c r="V357" i="22" s="1"/>
  <c r="B357" i="22" s="1"/>
  <c r="D357" i="22" s="1"/>
  <c r="E357" i="22" s="1"/>
  <c r="F357" i="22" s="1"/>
  <c r="U248" i="22"/>
  <c r="T248" i="22" s="1"/>
  <c r="S248" i="22" s="1"/>
  <c r="R248" i="22" s="1"/>
  <c r="U111" i="22"/>
  <c r="T111" i="22" s="1"/>
  <c r="S111" i="22" s="1"/>
  <c r="R111" i="22" s="1"/>
  <c r="P111" i="22" s="1"/>
  <c r="V111" i="22" s="1"/>
  <c r="B111" i="22" s="1"/>
  <c r="D111" i="22" s="1"/>
  <c r="E111" i="22" s="1"/>
  <c r="F111" i="22" s="1"/>
  <c r="U139" i="22"/>
  <c r="T139" i="22" s="1"/>
  <c r="S139" i="22" s="1"/>
  <c r="R139" i="22" s="1"/>
  <c r="U159" i="22"/>
  <c r="T159" i="22" s="1"/>
  <c r="S159" i="22" s="1"/>
  <c r="R159" i="22" s="1"/>
  <c r="P159" i="22" s="1"/>
  <c r="V159" i="22" s="1"/>
  <c r="B159" i="22" s="1"/>
  <c r="W159" i="22" s="1"/>
  <c r="U244" i="22"/>
  <c r="T244" i="22" s="1"/>
  <c r="S244" i="22" s="1"/>
  <c r="R244" i="22" s="1"/>
  <c r="U309" i="22"/>
  <c r="T309" i="22" s="1"/>
  <c r="S309" i="22" s="1"/>
  <c r="R309" i="22" s="1"/>
  <c r="P309" i="22" s="1"/>
  <c r="V309" i="22" s="1"/>
  <c r="B309" i="22" s="1"/>
  <c r="W309" i="22" s="1"/>
  <c r="U274" i="22"/>
  <c r="T274" i="22" s="1"/>
  <c r="S274" i="22" s="1"/>
  <c r="R274" i="22" s="1"/>
  <c r="U37" i="22"/>
  <c r="T37" i="22" s="1"/>
  <c r="S37" i="22" s="1"/>
  <c r="R37" i="22" s="1"/>
  <c r="P37" i="22" s="1"/>
  <c r="V37" i="22" s="1"/>
  <c r="B37" i="22" s="1"/>
  <c r="D37" i="22" s="1"/>
  <c r="E37" i="22" s="1"/>
  <c r="F37" i="22" s="1"/>
  <c r="U55" i="22"/>
  <c r="T55" i="22" s="1"/>
  <c r="S55" i="22" s="1"/>
  <c r="R55" i="22" s="1"/>
  <c r="U375" i="22"/>
  <c r="T375" i="22" s="1"/>
  <c r="S375" i="22" s="1"/>
  <c r="R375" i="22" s="1"/>
  <c r="P375" i="22" s="1"/>
  <c r="V375" i="22" s="1"/>
  <c r="B375" i="22" s="1"/>
  <c r="D375" i="22" s="1"/>
  <c r="E375" i="22" s="1"/>
  <c r="F375" i="22" s="1"/>
  <c r="U82" i="22"/>
  <c r="T82" i="22" s="1"/>
  <c r="S82" i="22" s="1"/>
  <c r="R82" i="22" s="1"/>
  <c r="U116" i="22"/>
  <c r="T116" i="22" s="1"/>
  <c r="S116" i="22" s="1"/>
  <c r="R116" i="22" s="1"/>
  <c r="P116" i="22" s="1"/>
  <c r="V116" i="22" s="1"/>
  <c r="B116" i="22" s="1"/>
  <c r="D116" i="22" s="1"/>
  <c r="E116" i="22" s="1"/>
  <c r="F116" i="22" s="1"/>
  <c r="U133" i="22"/>
  <c r="T133" i="22" s="1"/>
  <c r="S133" i="22" s="1"/>
  <c r="R133" i="22" s="1"/>
  <c r="U378" i="22"/>
  <c r="T378" i="22" s="1"/>
  <c r="S378" i="22" s="1"/>
  <c r="R378" i="22" s="1"/>
  <c r="P378" i="22" s="1"/>
  <c r="V378" i="22" s="1"/>
  <c r="B378" i="22" s="1"/>
  <c r="D378" i="22" s="1"/>
  <c r="E378" i="22" s="1"/>
  <c r="F378" i="22" s="1"/>
  <c r="U316" i="22"/>
  <c r="T316" i="22" s="1"/>
  <c r="S316" i="22" s="1"/>
  <c r="R316" i="22" s="1"/>
  <c r="P316" i="22" s="1"/>
  <c r="V316" i="22" s="1"/>
  <c r="B316" i="22" s="1"/>
  <c r="D316" i="22" s="1"/>
  <c r="E316" i="22" s="1"/>
  <c r="F316" i="22" s="1"/>
  <c r="U171" i="22"/>
  <c r="T171" i="22" s="1"/>
  <c r="S171" i="22" s="1"/>
  <c r="R171" i="22" s="1"/>
  <c r="P171" i="22" s="1"/>
  <c r="V171" i="22" s="1"/>
  <c r="B171" i="22" s="1"/>
  <c r="D171" i="22" s="1"/>
  <c r="E171" i="22" s="1"/>
  <c r="F171" i="22" s="1"/>
  <c r="U215" i="22"/>
  <c r="T215" i="22" s="1"/>
  <c r="S215" i="22" s="1"/>
  <c r="R215" i="22" s="1"/>
  <c r="U95" i="22"/>
  <c r="T95" i="22" s="1"/>
  <c r="S95" i="22" s="1"/>
  <c r="R95" i="22" s="1"/>
  <c r="P95" i="22" s="1"/>
  <c r="V95" i="22" s="1"/>
  <c r="B95" i="22" s="1"/>
  <c r="W95" i="22" s="1"/>
  <c r="U364" i="22"/>
  <c r="T364" i="22" s="1"/>
  <c r="S364" i="22" s="1"/>
  <c r="R364" i="22" s="1"/>
  <c r="U328" i="22"/>
  <c r="T328" i="22" s="1"/>
  <c r="S328" i="22" s="1"/>
  <c r="R328" i="22" s="1"/>
  <c r="P328" i="22" s="1"/>
  <c r="V328" i="22" s="1"/>
  <c r="B328" i="22" s="1"/>
  <c r="D328" i="22" s="1"/>
  <c r="E328" i="22" s="1"/>
  <c r="F328" i="22" s="1"/>
  <c r="U310" i="22"/>
  <c r="T310" i="22" s="1"/>
  <c r="S310" i="22" s="1"/>
  <c r="R310" i="22" s="1"/>
  <c r="U258" i="22"/>
  <c r="T258" i="22" s="1"/>
  <c r="S258" i="22" s="1"/>
  <c r="R258" i="22" s="1"/>
  <c r="P258" i="22" s="1"/>
  <c r="V258" i="22" s="1"/>
  <c r="B258" i="22" s="1"/>
  <c r="U336" i="22"/>
  <c r="T336" i="22" s="1"/>
  <c r="S336" i="22" s="1"/>
  <c r="R336" i="22" s="1"/>
  <c r="U119" i="22"/>
  <c r="T119" i="22" s="1"/>
  <c r="S119" i="22" s="1"/>
  <c r="R119" i="22" s="1"/>
  <c r="P119" i="22" s="1"/>
  <c r="V119" i="22" s="1"/>
  <c r="B119" i="22" s="1"/>
  <c r="U284" i="22"/>
  <c r="T284" i="22" s="1"/>
  <c r="S284" i="22" s="1"/>
  <c r="R284" i="22" s="1"/>
  <c r="U54" i="22"/>
  <c r="T54" i="22" s="1"/>
  <c r="S54" i="22" s="1"/>
  <c r="R54" i="22" s="1"/>
  <c r="P54" i="22" s="1"/>
  <c r="V54" i="22" s="1"/>
  <c r="B54" i="22" s="1"/>
  <c r="W54" i="22" s="1"/>
  <c r="U183" i="22"/>
  <c r="T183" i="22" s="1"/>
  <c r="S183" i="22" s="1"/>
  <c r="R183" i="22" s="1"/>
  <c r="U103" i="22"/>
  <c r="T103" i="22" s="1"/>
  <c r="S103" i="22" s="1"/>
  <c r="R103" i="22" s="1"/>
  <c r="P103" i="22" s="1"/>
  <c r="V103" i="22" s="1"/>
  <c r="B103" i="22" s="1"/>
  <c r="W103" i="22" s="1"/>
  <c r="U42" i="22"/>
  <c r="T42" i="22" s="1"/>
  <c r="S42" i="22" s="1"/>
  <c r="R42" i="22" s="1"/>
  <c r="U178" i="22"/>
  <c r="T178" i="22" s="1"/>
  <c r="S178" i="22" s="1"/>
  <c r="R178" i="22" s="1"/>
  <c r="P178" i="22" s="1"/>
  <c r="V178" i="22" s="1"/>
  <c r="B178" i="22" s="1"/>
  <c r="W178" i="22" s="1"/>
  <c r="U121" i="22"/>
  <c r="T121" i="22" s="1"/>
  <c r="S121" i="22" s="1"/>
  <c r="R121" i="22" s="1"/>
  <c r="U307" i="22"/>
  <c r="T307" i="22" s="1"/>
  <c r="S307" i="22" s="1"/>
  <c r="R307" i="22" s="1"/>
  <c r="P307" i="22" s="1"/>
  <c r="V307" i="22" s="1"/>
  <c r="B307" i="22" s="1"/>
  <c r="D307" i="22" s="1"/>
  <c r="E307" i="22" s="1"/>
  <c r="F307" i="22" s="1"/>
  <c r="U305" i="22"/>
  <c r="T305" i="22" s="1"/>
  <c r="S305" i="22" s="1"/>
  <c r="R305" i="22" s="1"/>
  <c r="U85" i="22"/>
  <c r="T85" i="22" s="1"/>
  <c r="S85" i="22" s="1"/>
  <c r="R85" i="22" s="1"/>
  <c r="P85" i="22" s="1"/>
  <c r="V85" i="22" s="1"/>
  <c r="B85" i="22" s="1"/>
  <c r="D85" i="22" s="1"/>
  <c r="E85" i="22" s="1"/>
  <c r="F85" i="22" s="1"/>
  <c r="U35" i="22"/>
  <c r="T35" i="22" s="1"/>
  <c r="S35" i="22" s="1"/>
  <c r="R35" i="22" s="1"/>
  <c r="U223" i="22"/>
  <c r="T223" i="22" s="1"/>
  <c r="S223" i="22" s="1"/>
  <c r="R223" i="22" s="1"/>
  <c r="P223" i="22" s="1"/>
  <c r="V223" i="22" s="1"/>
  <c r="B223" i="22" s="1"/>
  <c r="D223" i="22" s="1"/>
  <c r="E223" i="22" s="1"/>
  <c r="F223" i="22" s="1"/>
  <c r="U261" i="22"/>
  <c r="T261" i="22" s="1"/>
  <c r="S261" i="22" s="1"/>
  <c r="R261" i="22" s="1"/>
  <c r="U40" i="22"/>
  <c r="T40" i="22" s="1"/>
  <c r="S40" i="22" s="1"/>
  <c r="R40" i="22" s="1"/>
  <c r="P40" i="22" s="1"/>
  <c r="V40" i="22" s="1"/>
  <c r="B40" i="22" s="1"/>
  <c r="D40" i="22" s="1"/>
  <c r="E40" i="22" s="1"/>
  <c r="F40" i="22" s="1"/>
  <c r="U343" i="22"/>
  <c r="T343" i="22" s="1"/>
  <c r="S343" i="22" s="1"/>
  <c r="R343" i="22" s="1"/>
  <c r="U379" i="22"/>
  <c r="U252" i="22"/>
  <c r="T252" i="22" s="1"/>
  <c r="S252" i="22" s="1"/>
  <c r="R252" i="22" s="1"/>
  <c r="U326" i="22"/>
  <c r="T326" i="22" s="1"/>
  <c r="S326" i="22" s="1"/>
  <c r="R326" i="22" s="1"/>
  <c r="P326" i="22" s="1"/>
  <c r="V326" i="22" s="1"/>
  <c r="B326" i="22" s="1"/>
  <c r="D326" i="22" s="1"/>
  <c r="E326" i="22" s="1"/>
  <c r="F326" i="22" s="1"/>
  <c r="U149" i="22"/>
  <c r="T149" i="22" s="1"/>
  <c r="S149" i="22" s="1"/>
  <c r="R149" i="22" s="1"/>
  <c r="U277" i="22"/>
  <c r="T277" i="22" s="1"/>
  <c r="S277" i="22" s="1"/>
  <c r="R277" i="22" s="1"/>
  <c r="P277" i="22" s="1"/>
  <c r="V277" i="22" s="1"/>
  <c r="B277" i="22" s="1"/>
  <c r="W277" i="22" s="1"/>
  <c r="U198" i="22"/>
  <c r="T198" i="22" s="1"/>
  <c r="S198" i="22" s="1"/>
  <c r="R198" i="22" s="1"/>
  <c r="U89" i="22"/>
  <c r="T89" i="22" s="1"/>
  <c r="S89" i="22" s="1"/>
  <c r="R89" i="22" s="1"/>
  <c r="P89" i="22" s="1"/>
  <c r="V89" i="22" s="1"/>
  <c r="B89" i="22" s="1"/>
  <c r="W89" i="22" s="1"/>
  <c r="U290" i="22"/>
  <c r="T290" i="22" s="1"/>
  <c r="S290" i="22" s="1"/>
  <c r="R290" i="22" s="1"/>
  <c r="U235" i="22"/>
  <c r="T235" i="22" s="1"/>
  <c r="S235" i="22" s="1"/>
  <c r="R235" i="22" s="1"/>
  <c r="P235" i="22" s="1"/>
  <c r="V235" i="22" s="1"/>
  <c r="B235" i="22" s="1"/>
  <c r="D235" i="22" s="1"/>
  <c r="E235" i="22" s="1"/>
  <c r="F235" i="22" s="1"/>
  <c r="U146" i="22"/>
  <c r="T146" i="22" s="1"/>
  <c r="S146" i="22" s="1"/>
  <c r="R146" i="22" s="1"/>
  <c r="U279" i="22"/>
  <c r="T279" i="22" s="1"/>
  <c r="S279" i="22" s="1"/>
  <c r="R279" i="22" s="1"/>
  <c r="P279" i="22" s="1"/>
  <c r="V279" i="22" s="1"/>
  <c r="B279" i="22" s="1"/>
  <c r="D279" i="22" s="1"/>
  <c r="E279" i="22" s="1"/>
  <c r="F279" i="22" s="1"/>
  <c r="U221" i="22"/>
  <c r="T221" i="22" s="1"/>
  <c r="S221" i="22" s="1"/>
  <c r="R221" i="22" s="1"/>
  <c r="U87" i="22"/>
  <c r="T87" i="22" s="1"/>
  <c r="S87" i="22" s="1"/>
  <c r="R87" i="22" s="1"/>
  <c r="P87" i="22" s="1"/>
  <c r="V87" i="22" s="1"/>
  <c r="B87" i="22" s="1"/>
  <c r="W87" i="22" s="1"/>
  <c r="U270" i="22"/>
  <c r="T270" i="22" s="1"/>
  <c r="S270" i="22" s="1"/>
  <c r="R270" i="22" s="1"/>
  <c r="U296" i="22"/>
  <c r="T296" i="22" s="1"/>
  <c r="S296" i="22" s="1"/>
  <c r="R296" i="22" s="1"/>
  <c r="P296" i="22" s="1"/>
  <c r="V296" i="22" s="1"/>
  <c r="B296" i="22" s="1"/>
  <c r="W296" i="22" s="1"/>
  <c r="U51" i="22"/>
  <c r="T51" i="22" s="1"/>
  <c r="S51" i="22" s="1"/>
  <c r="R51" i="22" s="1"/>
  <c r="U281" i="22"/>
  <c r="T281" i="22" s="1"/>
  <c r="S281" i="22" s="1"/>
  <c r="R281" i="22" s="1"/>
  <c r="P281" i="22" s="1"/>
  <c r="V281" i="22" s="1"/>
  <c r="B281" i="22" s="1"/>
  <c r="D281" i="22" s="1"/>
  <c r="E281" i="22" s="1"/>
  <c r="F281" i="22" s="1"/>
  <c r="U107" i="22"/>
  <c r="T107" i="22" s="1"/>
  <c r="S107" i="22" s="1"/>
  <c r="R107" i="22" s="1"/>
  <c r="U92" i="22"/>
  <c r="T92" i="22" s="1"/>
  <c r="S92" i="22" s="1"/>
  <c r="R92" i="22" s="1"/>
  <c r="P92" i="22" s="1"/>
  <c r="V92" i="22" s="1"/>
  <c r="B92" i="22" s="1"/>
  <c r="D92" i="22" s="1"/>
  <c r="E92" i="22" s="1"/>
  <c r="F92" i="22" s="1"/>
  <c r="U189" i="22"/>
  <c r="T189" i="22" s="1"/>
  <c r="S189" i="22" s="1"/>
  <c r="R189" i="22" s="1"/>
  <c r="U207" i="22"/>
  <c r="T207" i="22" s="1"/>
  <c r="S207" i="22" s="1"/>
  <c r="R207" i="22" s="1"/>
  <c r="P207" i="22" s="1"/>
  <c r="V207" i="22" s="1"/>
  <c r="B207" i="22" s="1"/>
  <c r="D207" i="22" s="1"/>
  <c r="E207" i="22" s="1"/>
  <c r="F207" i="22" s="1"/>
  <c r="U239" i="22"/>
  <c r="T239" i="22" s="1"/>
  <c r="S239" i="22" s="1"/>
  <c r="R239" i="22" s="1"/>
  <c r="U34" i="22"/>
  <c r="T34" i="22" s="1"/>
  <c r="S34" i="22" s="1"/>
  <c r="R34" i="22" s="1"/>
  <c r="P34" i="22" s="1"/>
  <c r="V34" i="22" s="1"/>
  <c r="B34" i="22" s="1"/>
  <c r="D34" i="22" s="1"/>
  <c r="E34" i="22" s="1"/>
  <c r="F34" i="22" s="1"/>
  <c r="U194" i="22"/>
  <c r="T194" i="22" s="1"/>
  <c r="S194" i="22" s="1"/>
  <c r="R194" i="22" s="1"/>
  <c r="U177" i="22"/>
  <c r="T177" i="22" s="1"/>
  <c r="S177" i="22" s="1"/>
  <c r="R177" i="22" s="1"/>
  <c r="P177" i="22" s="1"/>
  <c r="V177" i="22" s="1"/>
  <c r="B177" i="22" s="1"/>
  <c r="W177" i="22" s="1"/>
  <c r="U180" i="22"/>
  <c r="T180" i="22" s="1"/>
  <c r="S180" i="22" s="1"/>
  <c r="R180" i="22" s="1"/>
  <c r="U72" i="22"/>
  <c r="T72" i="22" s="1"/>
  <c r="S72" i="22" s="1"/>
  <c r="R72" i="22" s="1"/>
  <c r="P72" i="22" s="1"/>
  <c r="V72" i="22" s="1"/>
  <c r="B72" i="22" s="1"/>
  <c r="D72" i="22" s="1"/>
  <c r="E72" i="22" s="1"/>
  <c r="F72" i="22" s="1"/>
  <c r="U73" i="22"/>
  <c r="T73" i="22" s="1"/>
  <c r="S73" i="22" s="1"/>
  <c r="R73" i="22" s="1"/>
  <c r="U334" i="22"/>
  <c r="T334" i="22" s="1"/>
  <c r="S334" i="22" s="1"/>
  <c r="R334" i="22" s="1"/>
  <c r="P334" i="22" s="1"/>
  <c r="V334" i="22" s="1"/>
  <c r="B334" i="22" s="1"/>
  <c r="W334" i="22" s="1"/>
  <c r="U306" i="22"/>
  <c r="T306" i="22" s="1"/>
  <c r="S306" i="22" s="1"/>
  <c r="R306" i="22" s="1"/>
  <c r="U353" i="22"/>
  <c r="T353" i="22" s="1"/>
  <c r="S353" i="22" s="1"/>
  <c r="R353" i="22" s="1"/>
  <c r="P353" i="22" s="1"/>
  <c r="V353" i="22" s="1"/>
  <c r="B353" i="22" s="1"/>
  <c r="W353" i="22" s="1"/>
  <c r="U156" i="22"/>
  <c r="T156" i="22" s="1"/>
  <c r="S156" i="22" s="1"/>
  <c r="R156" i="22" s="1"/>
  <c r="U78" i="22"/>
  <c r="T78" i="22" s="1"/>
  <c r="S78" i="22" s="1"/>
  <c r="R78" i="22" s="1"/>
  <c r="P78" i="22" s="1"/>
  <c r="V78" i="22" s="1"/>
  <c r="B78" i="22" s="1"/>
  <c r="D78" i="22" s="1"/>
  <c r="E78" i="22" s="1"/>
  <c r="F78" i="22" s="1"/>
  <c r="U260" i="22"/>
  <c r="T260" i="22" s="1"/>
  <c r="S260" i="22" s="1"/>
  <c r="R260" i="22" s="1"/>
  <c r="U233" i="22"/>
  <c r="T233" i="22" s="1"/>
  <c r="S233" i="22" s="1"/>
  <c r="R233" i="22" s="1"/>
  <c r="P233" i="22" s="1"/>
  <c r="V233" i="22" s="1"/>
  <c r="B233" i="22" s="1"/>
  <c r="W233" i="22" s="1"/>
  <c r="U237" i="22"/>
  <c r="T237" i="22" s="1"/>
  <c r="S237" i="22" s="1"/>
  <c r="R237" i="22" s="1"/>
  <c r="U173" i="22"/>
  <c r="T173" i="22" s="1"/>
  <c r="S173" i="22" s="1"/>
  <c r="R173" i="22" s="1"/>
  <c r="P173" i="22" s="1"/>
  <c r="V173" i="22" s="1"/>
  <c r="B173" i="22" s="1"/>
  <c r="D173" i="22" s="1"/>
  <c r="E173" i="22" s="1"/>
  <c r="F173" i="22" s="1"/>
  <c r="U203" i="22"/>
  <c r="T203" i="22" s="1"/>
  <c r="S203" i="22" s="1"/>
  <c r="R203" i="22" s="1"/>
  <c r="U282" i="22"/>
  <c r="T282" i="22" s="1"/>
  <c r="S282" i="22" s="1"/>
  <c r="R282" i="22" s="1"/>
  <c r="P282" i="22" s="1"/>
  <c r="V282" i="22" s="1"/>
  <c r="B282" i="22" s="1"/>
  <c r="W282" i="22" s="1"/>
  <c r="U201" i="22"/>
  <c r="T201" i="22" s="1"/>
  <c r="S201" i="22" s="1"/>
  <c r="R201" i="22" s="1"/>
  <c r="U169" i="22"/>
  <c r="T169" i="22" s="1"/>
  <c r="S169" i="22" s="1"/>
  <c r="R169" i="22" s="1"/>
  <c r="P169" i="22" s="1"/>
  <c r="V169" i="22" s="1"/>
  <c r="B169" i="22" s="1"/>
  <c r="D169" i="22" s="1"/>
  <c r="E169" i="22" s="1"/>
  <c r="F169" i="22" s="1"/>
  <c r="U175" i="22"/>
  <c r="T175" i="22" s="1"/>
  <c r="S175" i="22" s="1"/>
  <c r="R175" i="22" s="1"/>
  <c r="U321" i="22"/>
  <c r="T321" i="22" s="1"/>
  <c r="S321" i="22" s="1"/>
  <c r="R321" i="22" s="1"/>
  <c r="P321" i="22" s="1"/>
  <c r="V321" i="22" s="1"/>
  <c r="B321" i="22" s="1"/>
  <c r="W321" i="22" s="1"/>
  <c r="U100" i="22"/>
  <c r="T100" i="22" s="1"/>
  <c r="S100" i="22" s="1"/>
  <c r="R100" i="22" s="1"/>
  <c r="P100" i="22" s="1"/>
  <c r="V100" i="22" s="1"/>
  <c r="B100" i="22" s="1"/>
  <c r="D100" i="22" s="1"/>
  <c r="E100" i="22" s="1"/>
  <c r="F100" i="22" s="1"/>
  <c r="U246" i="22"/>
  <c r="T246" i="22" s="1"/>
  <c r="S246" i="22" s="1"/>
  <c r="R246" i="22" s="1"/>
  <c r="P246" i="22" s="1"/>
  <c r="V246" i="22" s="1"/>
  <c r="B246" i="22" s="1"/>
  <c r="D246" i="22" s="1"/>
  <c r="E246" i="22" s="1"/>
  <c r="F246" i="22" s="1"/>
  <c r="U262" i="22"/>
  <c r="T262" i="22" s="1"/>
  <c r="S262" i="22" s="1"/>
  <c r="R262" i="22" s="1"/>
  <c r="U50" i="22"/>
  <c r="T50" i="22" s="1"/>
  <c r="S50" i="22" s="1"/>
  <c r="R50" i="22" s="1"/>
  <c r="P50" i="22" s="1"/>
  <c r="V50" i="22" s="1"/>
  <c r="B50" i="22" s="1"/>
  <c r="D50" i="22" s="1"/>
  <c r="E50" i="22" s="1"/>
  <c r="F50" i="22" s="1"/>
  <c r="U338" i="22"/>
  <c r="T338" i="22" s="1"/>
  <c r="S338" i="22" s="1"/>
  <c r="R338" i="22" s="1"/>
  <c r="U231" i="22"/>
  <c r="T231" i="22" s="1"/>
  <c r="S231" i="22" s="1"/>
  <c r="R231" i="22" s="1"/>
  <c r="P231" i="22" s="1"/>
  <c r="V231" i="22" s="1"/>
  <c r="B231" i="22" s="1"/>
  <c r="D231" i="22" s="1"/>
  <c r="E231" i="22" s="1"/>
  <c r="F231" i="22" s="1"/>
  <c r="U36" i="22"/>
  <c r="T36" i="22" s="1"/>
  <c r="S36" i="22" s="1"/>
  <c r="R36" i="22" s="1"/>
  <c r="U218" i="22"/>
  <c r="T218" i="22" s="1"/>
  <c r="S218" i="22" s="1"/>
  <c r="R218" i="22" s="1"/>
  <c r="P218" i="22" s="1"/>
  <c r="V218" i="22" s="1"/>
  <c r="B218" i="22" s="1"/>
  <c r="D218" i="22" s="1"/>
  <c r="E218" i="22" s="1"/>
  <c r="F218" i="22" s="1"/>
  <c r="U126" i="22"/>
  <c r="T126" i="22" s="1"/>
  <c r="S126" i="22" s="1"/>
  <c r="R126" i="22" s="1"/>
  <c r="P126" i="22" s="1"/>
  <c r="V126" i="22" s="1"/>
  <c r="B126" i="22" s="1"/>
  <c r="U337" i="22"/>
  <c r="T337" i="22" s="1"/>
  <c r="S337" i="22" s="1"/>
  <c r="R337" i="22" s="1"/>
  <c r="P337" i="22" s="1"/>
  <c r="V337" i="22" s="1"/>
  <c r="B337" i="22" s="1"/>
  <c r="D337" i="22" s="1"/>
  <c r="E337" i="22" s="1"/>
  <c r="F337" i="22" s="1"/>
  <c r="U348" i="22"/>
  <c r="T348" i="22" s="1"/>
  <c r="S348" i="22" s="1"/>
  <c r="R348" i="22" s="1"/>
  <c r="U38" i="22"/>
  <c r="T38" i="22" s="1"/>
  <c r="S38" i="22" s="1"/>
  <c r="R38" i="22" s="1"/>
  <c r="P38" i="22" s="1"/>
  <c r="V38" i="22" s="1"/>
  <c r="B38" i="22" s="1"/>
  <c r="W38" i="22" s="1"/>
  <c r="U356" i="22"/>
  <c r="T356" i="22" s="1"/>
  <c r="S356" i="22" s="1"/>
  <c r="R356" i="22" s="1"/>
  <c r="U372" i="22"/>
  <c r="T372" i="22" s="1"/>
  <c r="S372" i="22" s="1"/>
  <c r="R372" i="22" s="1"/>
  <c r="P372" i="22" s="1"/>
  <c r="V372" i="22" s="1"/>
  <c r="B372" i="22" s="1"/>
  <c r="W372" i="22" s="1"/>
  <c r="U256" i="22"/>
  <c r="T256" i="22" s="1"/>
  <c r="S256" i="22" s="1"/>
  <c r="R256" i="22" s="1"/>
  <c r="U184" i="22"/>
  <c r="T184" i="22" s="1"/>
  <c r="S184" i="22" s="1"/>
  <c r="R184" i="22" s="1"/>
  <c r="P184" i="22" s="1"/>
  <c r="V184" i="22" s="1"/>
  <c r="B184" i="22" s="1"/>
  <c r="W184" i="22" s="1"/>
  <c r="U56" i="22"/>
  <c r="T56" i="22" s="1"/>
  <c r="S56" i="22" s="1"/>
  <c r="R56" i="22" s="1"/>
  <c r="U250" i="22"/>
  <c r="T250" i="22" s="1"/>
  <c r="S250" i="22" s="1"/>
  <c r="R250" i="22" s="1"/>
  <c r="P250" i="22" s="1"/>
  <c r="V250" i="22" s="1"/>
  <c r="B250" i="22" s="1"/>
  <c r="W250" i="22" s="1"/>
  <c r="U129" i="22"/>
  <c r="T129" i="22" s="1"/>
  <c r="S129" i="22" s="1"/>
  <c r="R129" i="22" s="1"/>
  <c r="U341" i="22"/>
  <c r="T341" i="22" s="1"/>
  <c r="S341" i="22" s="1"/>
  <c r="R341" i="22" s="1"/>
  <c r="P341" i="22" s="1"/>
  <c r="V341" i="22" s="1"/>
  <c r="B341" i="22" s="1"/>
  <c r="W341" i="22" s="1"/>
  <c r="U84" i="22"/>
  <c r="T84" i="22" s="1"/>
  <c r="S84" i="22" s="1"/>
  <c r="R84" i="22" s="1"/>
  <c r="U74" i="22"/>
  <c r="T74" i="22" s="1"/>
  <c r="S74" i="22" s="1"/>
  <c r="R74" i="22" s="1"/>
  <c r="P74" i="22" s="1"/>
  <c r="V74" i="22" s="1"/>
  <c r="B74" i="22" s="1"/>
  <c r="U90" i="22"/>
  <c r="T90" i="22" s="1"/>
  <c r="S90" i="22" s="1"/>
  <c r="R90" i="22" s="1"/>
  <c r="U122" i="22"/>
  <c r="T122" i="22" s="1"/>
  <c r="S122" i="22" s="1"/>
  <c r="R122" i="22" s="1"/>
  <c r="P122" i="22" s="1"/>
  <c r="V122" i="22" s="1"/>
  <c r="B122" i="22" s="1"/>
  <c r="D122" i="22" s="1"/>
  <c r="E122" i="22" s="1"/>
  <c r="F122" i="22" s="1"/>
  <c r="U190" i="22"/>
  <c r="T190" i="22" s="1"/>
  <c r="S190" i="22" s="1"/>
  <c r="R190" i="22" s="1"/>
  <c r="U57" i="22"/>
  <c r="T57" i="22" s="1"/>
  <c r="S57" i="22" s="1"/>
  <c r="R57" i="22" s="1"/>
  <c r="P57" i="22" s="1"/>
  <c r="V57" i="22" s="1"/>
  <c r="B57" i="22" s="1"/>
  <c r="D57" i="22" s="1"/>
  <c r="E57" i="22" s="1"/>
  <c r="F57" i="22" s="1"/>
  <c r="U253" i="22"/>
  <c r="T253" i="22" s="1"/>
  <c r="S253" i="22" s="1"/>
  <c r="R253" i="22" s="1"/>
  <c r="U155" i="22"/>
  <c r="T155" i="22" s="1"/>
  <c r="S155" i="22" s="1"/>
  <c r="R155" i="22" s="1"/>
  <c r="P155" i="22" s="1"/>
  <c r="V155" i="22" s="1"/>
  <c r="B155" i="22" s="1"/>
  <c r="D155" i="22" s="1"/>
  <c r="E155" i="22" s="1"/>
  <c r="F155" i="22" s="1"/>
  <c r="U165" i="22"/>
  <c r="T165" i="22" s="1"/>
  <c r="S165" i="22" s="1"/>
  <c r="R165" i="22" s="1"/>
  <c r="U269" i="22"/>
  <c r="T269" i="22" s="1"/>
  <c r="S269" i="22" s="1"/>
  <c r="R269" i="22" s="1"/>
  <c r="P269" i="22" s="1"/>
  <c r="V269" i="22" s="1"/>
  <c r="B269" i="22" s="1"/>
  <c r="W269" i="22" s="1"/>
  <c r="U27" i="22"/>
  <c r="T27" i="22" s="1"/>
  <c r="S27" i="22" s="1"/>
  <c r="R27" i="22" s="1"/>
  <c r="U185" i="22"/>
  <c r="T185" i="22" s="1"/>
  <c r="S185" i="22" s="1"/>
  <c r="R185" i="22" s="1"/>
  <c r="P185" i="22" s="1"/>
  <c r="V185" i="22" s="1"/>
  <c r="B185" i="22" s="1"/>
  <c r="D185" i="22" s="1"/>
  <c r="E185" i="22" s="1"/>
  <c r="F185" i="22" s="1"/>
  <c r="U191" i="22"/>
  <c r="T191" i="22" s="1"/>
  <c r="S191" i="22" s="1"/>
  <c r="R191" i="22" s="1"/>
  <c r="P191" i="22" s="1"/>
  <c r="V191" i="22" s="1"/>
  <c r="B191" i="22" s="1"/>
  <c r="D191" i="22" s="1"/>
  <c r="E191" i="22" s="1"/>
  <c r="F191" i="22" s="1"/>
  <c r="U366" i="22"/>
  <c r="T366" i="22" s="1"/>
  <c r="S366" i="22" s="1"/>
  <c r="R366" i="22" s="1"/>
  <c r="P366" i="22" s="1"/>
  <c r="V366" i="22" s="1"/>
  <c r="B366" i="22" s="1"/>
  <c r="D366" i="22" s="1"/>
  <c r="E366" i="22" s="1"/>
  <c r="F366" i="22" s="1"/>
  <c r="U112" i="22"/>
  <c r="T112" i="22" s="1"/>
  <c r="S112" i="22" s="1"/>
  <c r="R112" i="22" s="1"/>
  <c r="P112" i="22" s="1"/>
  <c r="V112" i="22" s="1"/>
  <c r="B112" i="22" s="1"/>
  <c r="D112" i="22" s="1"/>
  <c r="E112" i="22" s="1"/>
  <c r="F112" i="22" s="1"/>
  <c r="U67" i="22"/>
  <c r="T67" i="22" s="1"/>
  <c r="S67" i="22" s="1"/>
  <c r="R67" i="22" s="1"/>
  <c r="P67" i="22" s="1"/>
  <c r="V67" i="22" s="1"/>
  <c r="B67" i="22" s="1"/>
  <c r="W67" i="22" s="1"/>
  <c r="U330" i="22"/>
  <c r="T330" i="22" s="1"/>
  <c r="S330" i="22" s="1"/>
  <c r="R330" i="22" s="1"/>
  <c r="U355" i="22"/>
  <c r="T355" i="22" s="1"/>
  <c r="S355" i="22" s="1"/>
  <c r="R355" i="22" s="1"/>
  <c r="P355" i="22" s="1"/>
  <c r="V355" i="22" s="1"/>
  <c r="B355" i="22" s="1"/>
  <c r="W355" i="22" s="1"/>
  <c r="U118" i="22"/>
  <c r="T118" i="22" s="1"/>
  <c r="S118" i="22" s="1"/>
  <c r="R118" i="22" s="1"/>
  <c r="U325" i="22"/>
  <c r="T325" i="22" s="1"/>
  <c r="S325" i="22" s="1"/>
  <c r="R325" i="22" s="1"/>
  <c r="P325" i="22" s="1"/>
  <c r="V325" i="22" s="1"/>
  <c r="B325" i="22" s="1"/>
  <c r="D325" i="22" s="1"/>
  <c r="E325" i="22" s="1"/>
  <c r="F325" i="22" s="1"/>
  <c r="U202" i="22"/>
  <c r="T202" i="22" s="1"/>
  <c r="S202" i="22" s="1"/>
  <c r="R202" i="22" s="1"/>
  <c r="U44" i="22"/>
  <c r="T44" i="22" s="1"/>
  <c r="S44" i="22" s="1"/>
  <c r="R44" i="22" s="1"/>
  <c r="P44" i="22" s="1"/>
  <c r="V44" i="22" s="1"/>
  <c r="B44" i="22" s="1"/>
  <c r="W44" i="22" s="1"/>
  <c r="U249" i="22"/>
  <c r="T249" i="22" s="1"/>
  <c r="S249" i="22" s="1"/>
  <c r="R249" i="22" s="1"/>
  <c r="U214" i="22"/>
  <c r="T214" i="22" s="1"/>
  <c r="S214" i="22" s="1"/>
  <c r="R214" i="22" s="1"/>
  <c r="P214" i="22" s="1"/>
  <c r="V214" i="22" s="1"/>
  <c r="B214" i="22" s="1"/>
  <c r="D214" i="22" s="1"/>
  <c r="E214" i="22" s="1"/>
  <c r="F214" i="22" s="1"/>
  <c r="U225" i="22"/>
  <c r="T225" i="22" s="1"/>
  <c r="S225" i="22" s="1"/>
  <c r="R225" i="22" s="1"/>
  <c r="U259" i="22"/>
  <c r="T259" i="22" s="1"/>
  <c r="S259" i="22" s="1"/>
  <c r="R259" i="22" s="1"/>
  <c r="P259" i="22" s="1"/>
  <c r="V259" i="22" s="1"/>
  <c r="B259" i="22" s="1"/>
  <c r="D259" i="22" s="1"/>
  <c r="E259" i="22" s="1"/>
  <c r="F259" i="22" s="1"/>
  <c r="U292" i="22"/>
  <c r="T292" i="22" s="1"/>
  <c r="S292" i="22" s="1"/>
  <c r="R292" i="22" s="1"/>
  <c r="U205" i="22"/>
  <c r="T205" i="22" s="1"/>
  <c r="S205" i="22" s="1"/>
  <c r="R205" i="22" s="1"/>
  <c r="P205" i="22" s="1"/>
  <c r="V205" i="22" s="1"/>
  <c r="B205" i="22" s="1"/>
  <c r="D205" i="22" s="1"/>
  <c r="E205" i="22" s="1"/>
  <c r="F205" i="22" s="1"/>
  <c r="U96" i="22"/>
  <c r="T96" i="22" s="1"/>
  <c r="S96" i="22" s="1"/>
  <c r="R96" i="22" s="1"/>
  <c r="U380" i="22"/>
  <c r="T380" i="22" s="1"/>
  <c r="S380" i="22" s="1"/>
  <c r="R380" i="22" s="1"/>
  <c r="P380" i="22" s="1"/>
  <c r="V380" i="22" s="1"/>
  <c r="U303" i="22"/>
  <c r="T303" i="22" s="1"/>
  <c r="S303" i="22" s="1"/>
  <c r="R303" i="22" s="1"/>
  <c r="U301" i="22"/>
  <c r="T301" i="22" s="1"/>
  <c r="S301" i="22" s="1"/>
  <c r="R301" i="22" s="1"/>
  <c r="P301" i="22" s="1"/>
  <c r="V301" i="22" s="1"/>
  <c r="B301" i="22" s="1"/>
  <c r="W301" i="22" s="1"/>
  <c r="U216" i="22"/>
  <c r="T216" i="22" s="1"/>
  <c r="S216" i="22" s="1"/>
  <c r="R216" i="22" s="1"/>
  <c r="U209" i="22"/>
  <c r="T209" i="22" s="1"/>
  <c r="S209" i="22" s="1"/>
  <c r="R209" i="22" s="1"/>
  <c r="P209" i="22" s="1"/>
  <c r="V209" i="22" s="1"/>
  <c r="B209" i="22" s="1"/>
  <c r="W209" i="22" s="1"/>
  <c r="U153" i="22"/>
  <c r="T153" i="22" s="1"/>
  <c r="S153" i="22" s="1"/>
  <c r="R153" i="22" s="1"/>
  <c r="U361" i="22"/>
  <c r="T361" i="22" s="1"/>
  <c r="S361" i="22" s="1"/>
  <c r="R361" i="22" s="1"/>
  <c r="P361" i="22" s="1"/>
  <c r="V361" i="22" s="1"/>
  <c r="B361" i="22" s="1"/>
  <c r="D361" i="22" s="1"/>
  <c r="E361" i="22" s="1"/>
  <c r="F361" i="22" s="1"/>
  <c r="U312" i="22"/>
  <c r="T312" i="22" s="1"/>
  <c r="S312" i="22" s="1"/>
  <c r="R312" i="22" s="1"/>
  <c r="U267" i="22"/>
  <c r="T267" i="22" s="1"/>
  <c r="S267" i="22" s="1"/>
  <c r="R267" i="22" s="1"/>
  <c r="P267" i="22" s="1"/>
  <c r="V267" i="22" s="1"/>
  <c r="B267" i="22" s="1"/>
  <c r="D267" i="22" s="1"/>
  <c r="E267" i="22" s="1"/>
  <c r="F267" i="22" s="1"/>
  <c r="U140" i="22"/>
  <c r="T140" i="22" s="1"/>
  <c r="S140" i="22" s="1"/>
  <c r="R140" i="22" s="1"/>
  <c r="U176" i="22"/>
  <c r="T176" i="22" s="1"/>
  <c r="S176" i="22" s="1"/>
  <c r="R176" i="22" s="1"/>
  <c r="P176" i="22" s="1"/>
  <c r="V176" i="22" s="1"/>
  <c r="B176" i="22" s="1"/>
  <c r="W176" i="22" s="1"/>
  <c r="I379" i="18"/>
  <c r="B379" i="6" s="1"/>
  <c r="BA379" i="6" s="1"/>
  <c r="J379" i="18"/>
  <c r="C379" i="6" s="1"/>
  <c r="AI128" i="22"/>
  <c r="AH128" i="22" s="1"/>
  <c r="AG128" i="22" s="1"/>
  <c r="AF128" i="22" s="1"/>
  <c r="AG4" i="6"/>
  <c r="AL4" i="6"/>
  <c r="P4" i="6"/>
  <c r="J15" i="17"/>
  <c r="I15" i="17"/>
  <c r="Z15" i="17"/>
  <c r="AA381" i="17"/>
  <c r="AA383" i="17"/>
  <c r="AM8" i="17"/>
  <c r="AL9" i="17"/>
  <c r="AA382" i="17"/>
  <c r="AA9" i="17"/>
  <c r="AD382" i="18"/>
  <c r="AD381" i="18"/>
  <c r="AD383" i="18"/>
  <c r="AK5" i="18"/>
  <c r="G381" i="17"/>
  <c r="G382" i="17"/>
  <c r="G383" i="17"/>
  <c r="G12" i="17" s="1"/>
  <c r="F11" i="17"/>
  <c r="G14" i="19"/>
  <c r="AB9" i="17"/>
  <c r="AK4" i="6"/>
  <c r="AF4" i="6"/>
  <c r="AH4" i="6"/>
  <c r="W4" i="6"/>
  <c r="AA4" i="6"/>
  <c r="AC4" i="6"/>
  <c r="AI4" i="6"/>
  <c r="V4" i="6"/>
  <c r="AE4" i="6"/>
  <c r="AJ4" i="6"/>
  <c r="Z4" i="6"/>
  <c r="Q4" i="6"/>
  <c r="X4" i="6"/>
  <c r="U4" i="6"/>
  <c r="AD4" i="6"/>
  <c r="T4" i="6"/>
  <c r="O4" i="6"/>
  <c r="I99" i="20"/>
  <c r="J99" i="20"/>
  <c r="J305" i="20"/>
  <c r="I305" i="20"/>
  <c r="I318" i="20"/>
  <c r="J318" i="20"/>
  <c r="I230" i="20"/>
  <c r="J230" i="20"/>
  <c r="I292" i="20"/>
  <c r="J292" i="20"/>
  <c r="AA288" i="20"/>
  <c r="Z288" i="20" s="1"/>
  <c r="Y288" i="20" s="1"/>
  <c r="G288" i="20"/>
  <c r="CB288" i="6" s="1"/>
  <c r="H288" i="20"/>
  <c r="H105" i="20"/>
  <c r="AA105" i="20"/>
  <c r="Z105" i="20" s="1"/>
  <c r="Y105" i="20" s="1"/>
  <c r="G105" i="20"/>
  <c r="CB105" i="6" s="1"/>
  <c r="J59" i="20"/>
  <c r="I59" i="20"/>
  <c r="AA227" i="20"/>
  <c r="Z227" i="20" s="1"/>
  <c r="Y227" i="20" s="1"/>
  <c r="G227" i="20"/>
  <c r="CB227" i="6" s="1"/>
  <c r="H227" i="20"/>
  <c r="G272" i="20"/>
  <c r="CB272" i="6" s="1"/>
  <c r="AA272" i="20"/>
  <c r="Z272" i="20" s="1"/>
  <c r="Y272" i="20" s="1"/>
  <c r="H272" i="20"/>
  <c r="H149" i="20"/>
  <c r="AA149" i="20"/>
  <c r="Z149" i="20" s="1"/>
  <c r="Y149" i="20" s="1"/>
  <c r="G149" i="20"/>
  <c r="CB149" i="6" s="1"/>
  <c r="J41" i="20"/>
  <c r="I41" i="20"/>
  <c r="J27" i="20"/>
  <c r="I27" i="20"/>
  <c r="J197" i="20"/>
  <c r="I197" i="20"/>
  <c r="J219" i="20"/>
  <c r="I219" i="20"/>
  <c r="G88" i="20"/>
  <c r="CB88" i="6" s="1"/>
  <c r="AA88" i="20"/>
  <c r="Z88" i="20" s="1"/>
  <c r="Y88" i="20" s="1"/>
  <c r="H302" i="20"/>
  <c r="G302" i="20"/>
  <c r="CB302" i="6" s="1"/>
  <c r="I164" i="20"/>
  <c r="J164" i="20"/>
  <c r="G196" i="20"/>
  <c r="CB196" i="6" s="1"/>
  <c r="H196" i="20"/>
  <c r="AA196" i="20"/>
  <c r="Z196" i="20" s="1"/>
  <c r="Y196" i="20" s="1"/>
  <c r="J168" i="20"/>
  <c r="I168" i="20"/>
  <c r="J262" i="20"/>
  <c r="I262" i="20"/>
  <c r="I183" i="20"/>
  <c r="J183" i="20"/>
  <c r="J278" i="20"/>
  <c r="I278" i="20"/>
  <c r="G349" i="20"/>
  <c r="CB349" i="6" s="1"/>
  <c r="H349" i="20"/>
  <c r="J331" i="20"/>
  <c r="I331" i="20"/>
  <c r="I72" i="20"/>
  <c r="J72" i="20"/>
  <c r="H319" i="20"/>
  <c r="G210" i="20"/>
  <c r="CB210" i="6" s="1"/>
  <c r="H210" i="20"/>
  <c r="AA210" i="20"/>
  <c r="Z210" i="20" s="1"/>
  <c r="Y210" i="20" s="1"/>
  <c r="I301" i="20"/>
  <c r="J301" i="20"/>
  <c r="J85" i="20"/>
  <c r="I85" i="20"/>
  <c r="I43" i="20"/>
  <c r="J43" i="20"/>
  <c r="J355" i="20"/>
  <c r="I355" i="20"/>
  <c r="AA61" i="20" l="1"/>
  <c r="Z61" i="20" s="1"/>
  <c r="Y61" i="20" s="1"/>
  <c r="AA63" i="20"/>
  <c r="Z63" i="20" s="1"/>
  <c r="Y63" i="20" s="1"/>
  <c r="AD215" i="22"/>
  <c r="AD136" i="22"/>
  <c r="AD327" i="22"/>
  <c r="AD274" i="22"/>
  <c r="AD180" i="22"/>
  <c r="AD260" i="22"/>
  <c r="AA256" i="20"/>
  <c r="Z256" i="20" s="1"/>
  <c r="Y256" i="20" s="1"/>
  <c r="AA242" i="20"/>
  <c r="Z242" i="20" s="1"/>
  <c r="Y242" i="20" s="1"/>
  <c r="AA269" i="20"/>
  <c r="Z269" i="20" s="1"/>
  <c r="Y269" i="20" s="1"/>
  <c r="P374" i="22"/>
  <c r="V374" i="22" s="1"/>
  <c r="B374" i="22" s="1"/>
  <c r="D374" i="22" s="1"/>
  <c r="E374" i="22" s="1"/>
  <c r="F374" i="22" s="1"/>
  <c r="P219" i="22"/>
  <c r="V219" i="22" s="1"/>
  <c r="B219" i="22" s="1"/>
  <c r="W219" i="22" s="1"/>
  <c r="P346" i="22"/>
  <c r="V346" i="22" s="1"/>
  <c r="B346" i="22" s="1"/>
  <c r="D346" i="22" s="1"/>
  <c r="E346" i="22" s="1"/>
  <c r="F346" i="22" s="1"/>
  <c r="P362" i="22"/>
  <c r="V362" i="22" s="1"/>
  <c r="B362" i="22" s="1"/>
  <c r="W362" i="22" s="1"/>
  <c r="P299" i="22"/>
  <c r="V299" i="22" s="1"/>
  <c r="B299" i="22" s="1"/>
  <c r="D299" i="22" s="1"/>
  <c r="E299" i="22" s="1"/>
  <c r="F299" i="22" s="1"/>
  <c r="P289" i="22"/>
  <c r="V289" i="22" s="1"/>
  <c r="B289" i="22" s="1"/>
  <c r="W289" i="22" s="1"/>
  <c r="P293" i="22"/>
  <c r="V293" i="22" s="1"/>
  <c r="B293" i="22" s="1"/>
  <c r="D293" i="22" s="1"/>
  <c r="E293" i="22" s="1"/>
  <c r="F293" i="22" s="1"/>
  <c r="P68" i="22"/>
  <c r="V68" i="22" s="1"/>
  <c r="B68" i="22" s="1"/>
  <c r="W68" i="22" s="1"/>
  <c r="P199" i="22"/>
  <c r="V199" i="22" s="1"/>
  <c r="B199" i="22" s="1"/>
  <c r="W199" i="22" s="1"/>
  <c r="P340" i="22"/>
  <c r="V340" i="22" s="1"/>
  <c r="B340" i="22" s="1"/>
  <c r="D340" i="22" s="1"/>
  <c r="E340" i="22" s="1"/>
  <c r="F340" i="22" s="1"/>
  <c r="P304" i="22"/>
  <c r="V304" i="22" s="1"/>
  <c r="B304" i="22" s="1"/>
  <c r="D304" i="22" s="1"/>
  <c r="E304" i="22" s="1"/>
  <c r="F304" i="22" s="1"/>
  <c r="P160" i="22"/>
  <c r="V160" i="22" s="1"/>
  <c r="B160" i="22" s="1"/>
  <c r="W160" i="22" s="1"/>
  <c r="P136" i="22"/>
  <c r="V136" i="22" s="1"/>
  <c r="B136" i="22" s="1"/>
  <c r="D136" i="22" s="1"/>
  <c r="E136" i="22" s="1"/>
  <c r="F136" i="22" s="1"/>
  <c r="P360" i="22"/>
  <c r="V360" i="22" s="1"/>
  <c r="B360" i="22" s="1"/>
  <c r="W360" i="22" s="1"/>
  <c r="P163" i="22"/>
  <c r="V163" i="22" s="1"/>
  <c r="B163" i="22" s="1"/>
  <c r="D163" i="22" s="1"/>
  <c r="E163" i="22" s="1"/>
  <c r="F163" i="22" s="1"/>
  <c r="P127" i="22"/>
  <c r="V127" i="22" s="1"/>
  <c r="B127" i="22" s="1"/>
  <c r="W127" i="22" s="1"/>
  <c r="P30" i="22"/>
  <c r="V30" i="22" s="1"/>
  <c r="B30" i="22" s="1"/>
  <c r="W30" i="22" s="1"/>
  <c r="AD231" i="22"/>
  <c r="AD46" i="22"/>
  <c r="AD40" i="22"/>
  <c r="AA40" i="22" s="1"/>
  <c r="Z40" i="22" s="1"/>
  <c r="Y40" i="22" s="1"/>
  <c r="AD49" i="22"/>
  <c r="AD324" i="22"/>
  <c r="AD84" i="22"/>
  <c r="AD311" i="22"/>
  <c r="AD57" i="22"/>
  <c r="AD98" i="22"/>
  <c r="AD267" i="22"/>
  <c r="AD33" i="22"/>
  <c r="AD26" i="22"/>
  <c r="AD86" i="22"/>
  <c r="AD229" i="22"/>
  <c r="AD36" i="22"/>
  <c r="AD83" i="22"/>
  <c r="AA83" i="22" s="1"/>
  <c r="Z83" i="22" s="1"/>
  <c r="Y83" i="22" s="1"/>
  <c r="AD51" i="22"/>
  <c r="AD35" i="22"/>
  <c r="AD97" i="22"/>
  <c r="AD377" i="22"/>
  <c r="AD38" i="22"/>
  <c r="AD87" i="22"/>
  <c r="AD248" i="22"/>
  <c r="AD55" i="22"/>
  <c r="AD153" i="22"/>
  <c r="AD43" i="22"/>
  <c r="AD90" i="22"/>
  <c r="AD76" i="22"/>
  <c r="AD24" i="22"/>
  <c r="AD45" i="22"/>
  <c r="AD85" i="22"/>
  <c r="AD16" i="22"/>
  <c r="AD99" i="22"/>
  <c r="AA99" i="22" s="1"/>
  <c r="Z99" i="22" s="1"/>
  <c r="Y99" i="22" s="1"/>
  <c r="AD68" i="22"/>
  <c r="AD133" i="22"/>
  <c r="AD212" i="22"/>
  <c r="AD144" i="22"/>
  <c r="AD282" i="22"/>
  <c r="AD117" i="22"/>
  <c r="AD270" i="22"/>
  <c r="AD271" i="22"/>
  <c r="AD350" i="22"/>
  <c r="AD164" i="22"/>
  <c r="AD352" i="22"/>
  <c r="AD147" i="22"/>
  <c r="AD292" i="22"/>
  <c r="AD154" i="22"/>
  <c r="AD347" i="22"/>
  <c r="AD197" i="22"/>
  <c r="AD266" i="22"/>
  <c r="AD107" i="22"/>
  <c r="AD306" i="22"/>
  <c r="AD329" i="22"/>
  <c r="AD237" i="22"/>
  <c r="AD149" i="22"/>
  <c r="AD234" i="22"/>
  <c r="AD184" i="22"/>
  <c r="AD223" i="22"/>
  <c r="AA223" i="22" s="1"/>
  <c r="Z223" i="22" s="1"/>
  <c r="Y223" i="22" s="1"/>
  <c r="AD340" i="22"/>
  <c r="AD334" i="22"/>
  <c r="AD230" i="22"/>
  <c r="AD367" i="22"/>
  <c r="AA137" i="20"/>
  <c r="Z137" i="20" s="1"/>
  <c r="Y137" i="20" s="1"/>
  <c r="AA322" i="20"/>
  <c r="Z322" i="20" s="1"/>
  <c r="Y322" i="20" s="1"/>
  <c r="AA25" i="20"/>
  <c r="Z25" i="20" s="1"/>
  <c r="Y25" i="20" s="1"/>
  <c r="G363" i="20"/>
  <c r="CB363" i="6" s="1"/>
  <c r="J68" i="20"/>
  <c r="H340" i="20"/>
  <c r="I340" i="20" s="1"/>
  <c r="H263" i="20"/>
  <c r="J263" i="20" s="1"/>
  <c r="AA284" i="20"/>
  <c r="Z284" i="20" s="1"/>
  <c r="Y284" i="20" s="1"/>
  <c r="AD193" i="22"/>
  <c r="AD289" i="22"/>
  <c r="AD202" i="22"/>
  <c r="AD124" i="22"/>
  <c r="AD201" i="22"/>
  <c r="AD323" i="22"/>
  <c r="AA348" i="20"/>
  <c r="Z348" i="20" s="1"/>
  <c r="Y348" i="20" s="1"/>
  <c r="AA337" i="20"/>
  <c r="Z337" i="20" s="1"/>
  <c r="Y337" i="20" s="1"/>
  <c r="AA143" i="20"/>
  <c r="Z143" i="20" s="1"/>
  <c r="Y143" i="20" s="1"/>
  <c r="AA173" i="20"/>
  <c r="Z173" i="20" s="1"/>
  <c r="Y173" i="20" s="1"/>
  <c r="AA299" i="20"/>
  <c r="Z299" i="20" s="1"/>
  <c r="Y299" i="20" s="1"/>
  <c r="AD299" i="22"/>
  <c r="AA299" i="22" s="1"/>
  <c r="Z299" i="22" s="1"/>
  <c r="Y299" i="22" s="1"/>
  <c r="AD257" i="22"/>
  <c r="AD195" i="22"/>
  <c r="AD244" i="22"/>
  <c r="AD207" i="22"/>
  <c r="AD219" i="22"/>
  <c r="AD373" i="22"/>
  <c r="AD134" i="22"/>
  <c r="AD110" i="22"/>
  <c r="AD62" i="22"/>
  <c r="AD206" i="22"/>
  <c r="AD93" i="22"/>
  <c r="AD166" i="22"/>
  <c r="AD56" i="22"/>
  <c r="AD96" i="22"/>
  <c r="AD25" i="22"/>
  <c r="AD89" i="22"/>
  <c r="AD47" i="22"/>
  <c r="AD53" i="22"/>
  <c r="AD31" i="22"/>
  <c r="AD70" i="22"/>
  <c r="AD95" i="22"/>
  <c r="AD64" i="22"/>
  <c r="AD129" i="22"/>
  <c r="AD77" i="22"/>
  <c r="AA77" i="22" s="1"/>
  <c r="Z77" i="22" s="1"/>
  <c r="Y77" i="22" s="1"/>
  <c r="AD100" i="22"/>
  <c r="AA100" i="22" s="1"/>
  <c r="Z100" i="22" s="1"/>
  <c r="Y100" i="22" s="1"/>
  <c r="AD301" i="22"/>
  <c r="AD320" i="22"/>
  <c r="AD294" i="22"/>
  <c r="AA294" i="22" s="1"/>
  <c r="Z294" i="22" s="1"/>
  <c r="Y294" i="22" s="1"/>
  <c r="AD66" i="22"/>
  <c r="AD236" i="22"/>
  <c r="AD39" i="22"/>
  <c r="AD187" i="22"/>
  <c r="AD226" i="22"/>
  <c r="AD17" i="22"/>
  <c r="AD65" i="22"/>
  <c r="AD29" i="22"/>
  <c r="AD278" i="22"/>
  <c r="AD343" i="22"/>
  <c r="AD148" i="22"/>
  <c r="AD285" i="22"/>
  <c r="AD250" i="22"/>
  <c r="AD240" i="22"/>
  <c r="AD167" i="22"/>
  <c r="AD363" i="22"/>
  <c r="AD185" i="22"/>
  <c r="AA185" i="22" s="1"/>
  <c r="Z185" i="22" s="1"/>
  <c r="Y185" i="22" s="1"/>
  <c r="AD238" i="22"/>
  <c r="AD150" i="22"/>
  <c r="AA150" i="22" s="1"/>
  <c r="Z150" i="22" s="1"/>
  <c r="Y150" i="22" s="1"/>
  <c r="AD141" i="22"/>
  <c r="AD200" i="22"/>
  <c r="AD333" i="22"/>
  <c r="AD145" i="22"/>
  <c r="AD252" i="22"/>
  <c r="AD174" i="22"/>
  <c r="AA174" i="22" s="1"/>
  <c r="Z174" i="22" s="1"/>
  <c r="Y174" i="22" s="1"/>
  <c r="AD217" i="22"/>
  <c r="AD312" i="22"/>
  <c r="AD337" i="22"/>
  <c r="AD295" i="22"/>
  <c r="AD338" i="22"/>
  <c r="AD326" i="22"/>
  <c r="AA326" i="22" s="1"/>
  <c r="Z326" i="22" s="1"/>
  <c r="Y326" i="22" s="1"/>
  <c r="AD222" i="22"/>
  <c r="AA179" i="20"/>
  <c r="Z179" i="20" s="1"/>
  <c r="Y179" i="20" s="1"/>
  <c r="AD293" i="22"/>
  <c r="AA293" i="22" s="1"/>
  <c r="Z293" i="22" s="1"/>
  <c r="Y293" i="22" s="1"/>
  <c r="P153" i="22"/>
  <c r="V153" i="22" s="1"/>
  <c r="B153" i="22" s="1"/>
  <c r="W153" i="22" s="1"/>
  <c r="P303" i="22"/>
  <c r="V303" i="22" s="1"/>
  <c r="B303" i="22" s="1"/>
  <c r="W303" i="22" s="1"/>
  <c r="P96" i="22"/>
  <c r="V96" i="22" s="1"/>
  <c r="B96" i="22" s="1"/>
  <c r="W96" i="22" s="1"/>
  <c r="P292" i="22"/>
  <c r="V292" i="22" s="1"/>
  <c r="B292" i="22" s="1"/>
  <c r="W292" i="22" s="1"/>
  <c r="P202" i="22"/>
  <c r="V202" i="22" s="1"/>
  <c r="B202" i="22" s="1"/>
  <c r="D202" i="22" s="1"/>
  <c r="E202" i="22" s="1"/>
  <c r="F202" i="22" s="1"/>
  <c r="P118" i="22"/>
  <c r="V118" i="22" s="1"/>
  <c r="B118" i="22" s="1"/>
  <c r="D118" i="22" s="1"/>
  <c r="E118" i="22" s="1"/>
  <c r="F118" i="22" s="1"/>
  <c r="P253" i="22"/>
  <c r="V253" i="22" s="1"/>
  <c r="B253" i="22" s="1"/>
  <c r="W253" i="22" s="1"/>
  <c r="P84" i="22"/>
  <c r="V84" i="22" s="1"/>
  <c r="B84" i="22" s="1"/>
  <c r="P256" i="22"/>
  <c r="V256" i="22" s="1"/>
  <c r="B256" i="22" s="1"/>
  <c r="D256" i="22" s="1"/>
  <c r="E256" i="22" s="1"/>
  <c r="F256" i="22" s="1"/>
  <c r="G256" i="22" s="1"/>
  <c r="CC256" i="6" s="1"/>
  <c r="P356" i="22"/>
  <c r="V356" i="22" s="1"/>
  <c r="B356" i="22" s="1"/>
  <c r="D356" i="22" s="1"/>
  <c r="E356" i="22" s="1"/>
  <c r="F356" i="22" s="1"/>
  <c r="P348" i="22"/>
  <c r="V348" i="22" s="1"/>
  <c r="B348" i="22" s="1"/>
  <c r="D348" i="22" s="1"/>
  <c r="E348" i="22" s="1"/>
  <c r="F348" i="22" s="1"/>
  <c r="P36" i="22"/>
  <c r="V36" i="22" s="1"/>
  <c r="B36" i="22" s="1"/>
  <c r="P175" i="22"/>
  <c r="V175" i="22" s="1"/>
  <c r="B175" i="22" s="1"/>
  <c r="D175" i="22" s="1"/>
  <c r="E175" i="22" s="1"/>
  <c r="F175" i="22" s="1"/>
  <c r="P201" i="22"/>
  <c r="V201" i="22" s="1"/>
  <c r="B201" i="22" s="1"/>
  <c r="P237" i="22"/>
  <c r="V237" i="22" s="1"/>
  <c r="B237" i="22" s="1"/>
  <c r="D237" i="22" s="1"/>
  <c r="E237" i="22" s="1"/>
  <c r="F237" i="22" s="1"/>
  <c r="H237" i="22" s="1"/>
  <c r="P156" i="22"/>
  <c r="V156" i="22" s="1"/>
  <c r="B156" i="22" s="1"/>
  <c r="P73" i="22"/>
  <c r="V73" i="22" s="1"/>
  <c r="B73" i="22" s="1"/>
  <c r="W73" i="22" s="1"/>
  <c r="P194" i="22"/>
  <c r="V194" i="22" s="1"/>
  <c r="B194" i="22" s="1"/>
  <c r="D194" i="22" s="1"/>
  <c r="E194" i="22" s="1"/>
  <c r="F194" i="22" s="1"/>
  <c r="P51" i="22"/>
  <c r="V51" i="22" s="1"/>
  <c r="B51" i="22" s="1"/>
  <c r="W51" i="22" s="1"/>
  <c r="P290" i="22"/>
  <c r="V290" i="22" s="1"/>
  <c r="B290" i="22" s="1"/>
  <c r="W290" i="22" s="1"/>
  <c r="P149" i="22"/>
  <c r="V149" i="22" s="1"/>
  <c r="B149" i="22" s="1"/>
  <c r="D149" i="22" s="1"/>
  <c r="E149" i="22" s="1"/>
  <c r="F149" i="22" s="1"/>
  <c r="P252" i="22"/>
  <c r="V252" i="22" s="1"/>
  <c r="B252" i="22" s="1"/>
  <c r="D252" i="22" s="1"/>
  <c r="E252" i="22" s="1"/>
  <c r="F252" i="22" s="1"/>
  <c r="P343" i="22"/>
  <c r="V343" i="22" s="1"/>
  <c r="B343" i="22" s="1"/>
  <c r="D343" i="22" s="1"/>
  <c r="E343" i="22" s="1"/>
  <c r="F343" i="22" s="1"/>
  <c r="P261" i="22"/>
  <c r="V261" i="22" s="1"/>
  <c r="B261" i="22" s="1"/>
  <c r="P305" i="22"/>
  <c r="V305" i="22" s="1"/>
  <c r="B305" i="22" s="1"/>
  <c r="D305" i="22" s="1"/>
  <c r="E305" i="22" s="1"/>
  <c r="F305" i="22" s="1"/>
  <c r="G305" i="22" s="1"/>
  <c r="CC305" i="6" s="1"/>
  <c r="P183" i="22"/>
  <c r="V183" i="22" s="1"/>
  <c r="B183" i="22" s="1"/>
  <c r="P284" i="22"/>
  <c r="V284" i="22" s="1"/>
  <c r="B284" i="22" s="1"/>
  <c r="D284" i="22" s="1"/>
  <c r="E284" i="22" s="1"/>
  <c r="F284" i="22" s="1"/>
  <c r="P336" i="22"/>
  <c r="V336" i="22" s="1"/>
  <c r="B336" i="22" s="1"/>
  <c r="P364" i="22"/>
  <c r="V364" i="22" s="1"/>
  <c r="B364" i="22" s="1"/>
  <c r="D364" i="22" s="1"/>
  <c r="E364" i="22" s="1"/>
  <c r="F364" i="22" s="1"/>
  <c r="G364" i="22" s="1"/>
  <c r="CC364" i="6" s="1"/>
  <c r="P215" i="22"/>
  <c r="V215" i="22" s="1"/>
  <c r="B215" i="22" s="1"/>
  <c r="P133" i="22"/>
  <c r="V133" i="22" s="1"/>
  <c r="B133" i="22" s="1"/>
  <c r="W133" i="22" s="1"/>
  <c r="P82" i="22"/>
  <c r="V82" i="22" s="1"/>
  <c r="B82" i="22" s="1"/>
  <c r="W82" i="22" s="1"/>
  <c r="P55" i="22"/>
  <c r="V55" i="22" s="1"/>
  <c r="B55" i="22" s="1"/>
  <c r="D55" i="22" s="1"/>
  <c r="E55" i="22" s="1"/>
  <c r="F55" i="22" s="1"/>
  <c r="G55" i="22" s="1"/>
  <c r="CC55" i="6" s="1"/>
  <c r="P244" i="22"/>
  <c r="V244" i="22" s="1"/>
  <c r="B244" i="22" s="1"/>
  <c r="D244" i="22" s="1"/>
  <c r="E244" i="22" s="1"/>
  <c r="F244" i="22" s="1"/>
  <c r="P285" i="22"/>
  <c r="V285" i="22" s="1"/>
  <c r="B285" i="22" s="1"/>
  <c r="D285" i="22" s="1"/>
  <c r="E285" i="22" s="1"/>
  <c r="F285" i="22" s="1"/>
  <c r="G285" i="22" s="1"/>
  <c r="CC285" i="6" s="1"/>
  <c r="P300" i="22"/>
  <c r="V300" i="22" s="1"/>
  <c r="B300" i="22" s="1"/>
  <c r="D300" i="22" s="1"/>
  <c r="E300" i="22" s="1"/>
  <c r="F300" i="22" s="1"/>
  <c r="P271" i="22"/>
  <c r="V271" i="22" s="1"/>
  <c r="B271" i="22" s="1"/>
  <c r="D271" i="22" s="1"/>
  <c r="E271" i="22" s="1"/>
  <c r="F271" i="22" s="1"/>
  <c r="G271" i="22" s="1"/>
  <c r="CC271" i="6" s="1"/>
  <c r="P295" i="22"/>
  <c r="V295" i="22" s="1"/>
  <c r="B295" i="22" s="1"/>
  <c r="D295" i="22" s="1"/>
  <c r="E295" i="22" s="1"/>
  <c r="F295" i="22" s="1"/>
  <c r="P142" i="22"/>
  <c r="V142" i="22" s="1"/>
  <c r="B142" i="22" s="1"/>
  <c r="W142" i="22" s="1"/>
  <c r="P276" i="22"/>
  <c r="V276" i="22" s="1"/>
  <c r="B276" i="22" s="1"/>
  <c r="W276" i="22" s="1"/>
  <c r="P144" i="22"/>
  <c r="V144" i="22" s="1"/>
  <c r="B144" i="22" s="1"/>
  <c r="D144" i="22" s="1"/>
  <c r="E144" i="22" s="1"/>
  <c r="F144" i="22" s="1"/>
  <c r="AA144" i="22" s="1"/>
  <c r="Z144" i="22" s="1"/>
  <c r="Y144" i="22" s="1"/>
  <c r="P134" i="22"/>
  <c r="V134" i="22" s="1"/>
  <c r="B134" i="22" s="1"/>
  <c r="D134" i="22" s="1"/>
  <c r="E134" i="22" s="1"/>
  <c r="F134" i="22" s="1"/>
  <c r="P105" i="22"/>
  <c r="V105" i="22" s="1"/>
  <c r="B105" i="22" s="1"/>
  <c r="D105" i="22" s="1"/>
  <c r="E105" i="22" s="1"/>
  <c r="F105" i="22" s="1"/>
  <c r="P48" i="22"/>
  <c r="V48" i="22" s="1"/>
  <c r="B48" i="22" s="1"/>
  <c r="D48" i="22" s="1"/>
  <c r="E48" i="22" s="1"/>
  <c r="F48" i="22" s="1"/>
  <c r="P370" i="22"/>
  <c r="V370" i="22" s="1"/>
  <c r="B370" i="22" s="1"/>
  <c r="D370" i="22" s="1"/>
  <c r="E370" i="22" s="1"/>
  <c r="F370" i="22" s="1"/>
  <c r="P242" i="22"/>
  <c r="V242" i="22" s="1"/>
  <c r="B242" i="22" s="1"/>
  <c r="W242" i="22" s="1"/>
  <c r="P220" i="22"/>
  <c r="V220" i="22" s="1"/>
  <c r="B220" i="22" s="1"/>
  <c r="W220" i="22" s="1"/>
  <c r="P354" i="22"/>
  <c r="V354" i="22" s="1"/>
  <c r="B354" i="22" s="1"/>
  <c r="W354" i="22" s="1"/>
  <c r="P363" i="22"/>
  <c r="V363" i="22" s="1"/>
  <c r="B363" i="22" s="1"/>
  <c r="W363" i="22" s="1"/>
  <c r="P197" i="22"/>
  <c r="V197" i="22" s="1"/>
  <c r="B197" i="22" s="1"/>
  <c r="W197" i="22" s="1"/>
  <c r="P97" i="22"/>
  <c r="V97" i="22" s="1"/>
  <c r="B97" i="22" s="1"/>
  <c r="D97" i="22" s="1"/>
  <c r="E97" i="22" s="1"/>
  <c r="F97" i="22" s="1"/>
  <c r="G97" i="22" s="1"/>
  <c r="CC97" i="6" s="1"/>
  <c r="P308" i="22"/>
  <c r="V308" i="22" s="1"/>
  <c r="B308" i="22" s="1"/>
  <c r="D308" i="22" s="1"/>
  <c r="E308" i="22" s="1"/>
  <c r="F308" i="22" s="1"/>
  <c r="P43" i="22"/>
  <c r="V43" i="22" s="1"/>
  <c r="B43" i="22" s="1"/>
  <c r="W43" i="22" s="1"/>
  <c r="P222" i="22"/>
  <c r="V222" i="22" s="1"/>
  <c r="B222" i="22" s="1"/>
  <c r="D222" i="22" s="1"/>
  <c r="E222" i="22" s="1"/>
  <c r="F222" i="22" s="1"/>
  <c r="P369" i="22"/>
  <c r="V369" i="22" s="1"/>
  <c r="B369" i="22" s="1"/>
  <c r="W369" i="22" s="1"/>
  <c r="P195" i="22"/>
  <c r="P263" i="22"/>
  <c r="V263" i="22" s="1"/>
  <c r="B263" i="22" s="1"/>
  <c r="D263" i="22" s="1"/>
  <c r="E263" i="22" s="1"/>
  <c r="F263" i="22" s="1"/>
  <c r="G263" i="22" s="1"/>
  <c r="CC263" i="6" s="1"/>
  <c r="P21" i="22"/>
  <c r="V21" i="22" s="1"/>
  <c r="B21" i="22" s="1"/>
  <c r="D21" i="22" s="1"/>
  <c r="E21" i="22" s="1"/>
  <c r="F21" i="22" s="1"/>
  <c r="P29" i="22"/>
  <c r="AH32" i="7" s="1"/>
  <c r="P45" i="22"/>
  <c r="V45" i="22" s="1"/>
  <c r="B45" i="22" s="1"/>
  <c r="W45" i="22" s="1"/>
  <c r="P275" i="22"/>
  <c r="V275" i="22" s="1"/>
  <c r="B275" i="22" s="1"/>
  <c r="W275" i="22" s="1"/>
  <c r="P64" i="22"/>
  <c r="V64" i="22" s="1"/>
  <c r="B64" i="22" s="1"/>
  <c r="W64" i="22" s="1"/>
  <c r="P53" i="22"/>
  <c r="V53" i="22" s="1"/>
  <c r="B53" i="22" s="1"/>
  <c r="W53" i="22" s="1"/>
  <c r="P234" i="22"/>
  <c r="V234" i="22" s="1"/>
  <c r="B234" i="22" s="1"/>
  <c r="D234" i="22" s="1"/>
  <c r="E234" i="22" s="1"/>
  <c r="F234" i="22" s="1"/>
  <c r="P93" i="22"/>
  <c r="V93" i="22" s="1"/>
  <c r="B93" i="22" s="1"/>
  <c r="W93" i="22" s="1"/>
  <c r="P318" i="22"/>
  <c r="V318" i="22" s="1"/>
  <c r="B318" i="22" s="1"/>
  <c r="D318" i="22" s="1"/>
  <c r="E318" i="22" s="1"/>
  <c r="F318" i="22" s="1"/>
  <c r="P124" i="22"/>
  <c r="V124" i="22" s="1"/>
  <c r="B124" i="22" s="1"/>
  <c r="W124" i="22" s="1"/>
  <c r="P286" i="22"/>
  <c r="V286" i="22" s="1"/>
  <c r="B286" i="22" s="1"/>
  <c r="W286" i="22" s="1"/>
  <c r="P230" i="22"/>
  <c r="V230" i="22" s="1"/>
  <c r="B230" i="22" s="1"/>
  <c r="D230" i="22" s="1"/>
  <c r="E230" i="22" s="1"/>
  <c r="F230" i="22" s="1"/>
  <c r="AA230" i="22" s="1"/>
  <c r="Z230" i="22" s="1"/>
  <c r="Y230" i="22" s="1"/>
  <c r="P232" i="22"/>
  <c r="V232" i="22" s="1"/>
  <c r="B232" i="22" s="1"/>
  <c r="D232" i="22" s="1"/>
  <c r="E232" i="22" s="1"/>
  <c r="F232" i="22" s="1"/>
  <c r="P17" i="22"/>
  <c r="V17" i="22" s="1"/>
  <c r="B17" i="22" s="1"/>
  <c r="W17" i="22" s="1"/>
  <c r="P344" i="22"/>
  <c r="V344" i="22" s="1"/>
  <c r="B344" i="22" s="1"/>
  <c r="W344" i="22" s="1"/>
  <c r="P81" i="22"/>
  <c r="V81" i="22" s="1"/>
  <c r="B81" i="22" s="1"/>
  <c r="D81" i="22" s="1"/>
  <c r="E81" i="22" s="1"/>
  <c r="F81" i="22" s="1"/>
  <c r="G81" i="22" s="1"/>
  <c r="CC81" i="6" s="1"/>
  <c r="P280" i="22"/>
  <c r="V280" i="22" s="1"/>
  <c r="B280" i="22" s="1"/>
  <c r="D280" i="22" s="1"/>
  <c r="E280" i="22" s="1"/>
  <c r="F280" i="22" s="1"/>
  <c r="P345" i="22"/>
  <c r="V345" i="22" s="1"/>
  <c r="B345" i="22" s="1"/>
  <c r="W345" i="22" s="1"/>
  <c r="P59" i="22"/>
  <c r="V59" i="22" s="1"/>
  <c r="B59" i="22" s="1"/>
  <c r="P210" i="22"/>
  <c r="V210" i="22" s="1"/>
  <c r="B210" i="22" s="1"/>
  <c r="D210" i="22" s="1"/>
  <c r="E210" i="22" s="1"/>
  <c r="F210" i="22" s="1"/>
  <c r="P19" i="22"/>
  <c r="V19" i="22" s="1"/>
  <c r="B19" i="22" s="1"/>
  <c r="D19" i="22" s="1"/>
  <c r="E19" i="22" s="1"/>
  <c r="F19" i="22" s="1"/>
  <c r="P131" i="22"/>
  <c r="V131" i="22" s="1"/>
  <c r="B131" i="22" s="1"/>
  <c r="D131" i="22" s="1"/>
  <c r="E131" i="22" s="1"/>
  <c r="F131" i="22" s="1"/>
  <c r="G131" i="22" s="1"/>
  <c r="CC131" i="6" s="1"/>
  <c r="P255" i="22"/>
  <c r="V255" i="22" s="1"/>
  <c r="B255" i="22" s="1"/>
  <c r="W255" i="22" s="1"/>
  <c r="P291" i="22"/>
  <c r="V291" i="22" s="1"/>
  <c r="B291" i="22" s="1"/>
  <c r="D291" i="22" s="1"/>
  <c r="E291" i="22" s="1"/>
  <c r="F291" i="22" s="1"/>
  <c r="G291" i="22" s="1"/>
  <c r="CC291" i="6" s="1"/>
  <c r="P52" i="22"/>
  <c r="V52" i="22" s="1"/>
  <c r="B52" i="22" s="1"/>
  <c r="W52" i="22" s="1"/>
  <c r="AD52" i="22"/>
  <c r="AD310" i="22"/>
  <c r="AD21" i="22"/>
  <c r="AD296" i="22"/>
  <c r="AD27" i="22"/>
  <c r="AD74" i="22"/>
  <c r="AD54" i="22"/>
  <c r="AD19" i="22"/>
  <c r="AD199" i="22"/>
  <c r="AD189" i="22"/>
  <c r="AD75" i="22"/>
  <c r="AA75" i="22" s="1"/>
  <c r="Z75" i="22" s="1"/>
  <c r="Y75" i="22" s="1"/>
  <c r="AD58" i="22"/>
  <c r="AD61" i="22"/>
  <c r="AD113" i="22"/>
  <c r="AD20" i="22"/>
  <c r="AD42" i="22"/>
  <c r="AD101" i="22"/>
  <c r="AD28" i="22"/>
  <c r="AA28" i="22" s="1"/>
  <c r="Z28" i="22" s="1"/>
  <c r="Y28" i="22" s="1"/>
  <c r="AD23" i="22"/>
  <c r="AD82" i="22"/>
  <c r="AD297" i="22"/>
  <c r="AD59" i="22"/>
  <c r="AD71" i="22"/>
  <c r="AD245" i="22"/>
  <c r="AD37" i="22"/>
  <c r="AA37" i="22" s="1"/>
  <c r="Z37" i="22" s="1"/>
  <c r="Y37" i="22" s="1"/>
  <c r="AD22" i="22"/>
  <c r="AD378" i="22"/>
  <c r="AA378" i="22" s="1"/>
  <c r="Z378" i="22" s="1"/>
  <c r="Y378" i="22" s="1"/>
  <c r="AD137" i="22"/>
  <c r="AD106" i="22"/>
  <c r="AA106" i="22" s="1"/>
  <c r="Z106" i="22" s="1"/>
  <c r="Y106" i="22" s="1"/>
  <c r="AD218" i="22"/>
  <c r="AA218" i="22" s="1"/>
  <c r="Z218" i="22" s="1"/>
  <c r="Y218" i="22" s="1"/>
  <c r="AD344" i="22"/>
  <c r="AD359" i="22"/>
  <c r="AA359" i="22" s="1"/>
  <c r="Z359" i="22" s="1"/>
  <c r="Y359" i="22" s="1"/>
  <c r="AD351" i="22"/>
  <c r="AD232" i="22"/>
  <c r="AD253" i="22"/>
  <c r="AD177" i="22"/>
  <c r="AD275" i="22"/>
  <c r="AD181" i="22"/>
  <c r="AA181" i="22" s="1"/>
  <c r="Z181" i="22" s="1"/>
  <c r="Y181" i="22" s="1"/>
  <c r="AD127" i="22"/>
  <c r="AD249" i="22"/>
  <c r="AD186" i="22"/>
  <c r="AA186" i="22" s="1"/>
  <c r="Z186" i="22" s="1"/>
  <c r="Y186" i="22" s="1"/>
  <c r="AD108" i="22"/>
  <c r="AA108" i="22" s="1"/>
  <c r="Z108" i="22" s="1"/>
  <c r="Y108" i="22" s="1"/>
  <c r="AD315" i="22"/>
  <c r="AA315" i="22" s="1"/>
  <c r="Z315" i="22" s="1"/>
  <c r="Y315" i="22" s="1"/>
  <c r="AD241" i="22"/>
  <c r="AD291" i="22"/>
  <c r="AD228" i="22"/>
  <c r="AD146" i="22"/>
  <c r="AD135" i="22"/>
  <c r="AA180" i="20"/>
  <c r="Z180" i="20" s="1"/>
  <c r="Y180" i="20" s="1"/>
  <c r="J61" i="20"/>
  <c r="G180" i="20"/>
  <c r="CB180" i="6" s="1"/>
  <c r="J225" i="20"/>
  <c r="J162" i="20"/>
  <c r="H291" i="20"/>
  <c r="J291" i="20" s="1"/>
  <c r="H95" i="20"/>
  <c r="I95" i="20" s="1"/>
  <c r="G95" i="20"/>
  <c r="CB95" i="6" s="1"/>
  <c r="H258" i="20"/>
  <c r="J258" i="20" s="1"/>
  <c r="G225" i="20"/>
  <c r="CB225" i="6" s="1"/>
  <c r="AA134" i="20"/>
  <c r="Z134" i="20" s="1"/>
  <c r="Y134" i="20" s="1"/>
  <c r="AA33" i="20"/>
  <c r="Z33" i="20" s="1"/>
  <c r="Y33" i="20" s="1"/>
  <c r="H240" i="20"/>
  <c r="I240" i="20" s="1"/>
  <c r="H120" i="20"/>
  <c r="I120" i="20" s="1"/>
  <c r="G120" i="20"/>
  <c r="CB120" i="6" s="1"/>
  <c r="AA225" i="20"/>
  <c r="Z225" i="20" s="1"/>
  <c r="Y225" i="20" s="1"/>
  <c r="H171" i="20"/>
  <c r="I171" i="20" s="1"/>
  <c r="AA171" i="20"/>
  <c r="Z171" i="20" s="1"/>
  <c r="Y171" i="20" s="1"/>
  <c r="AA291" i="20"/>
  <c r="Z291" i="20" s="1"/>
  <c r="Y291" i="20" s="1"/>
  <c r="I56" i="20"/>
  <c r="H363" i="20"/>
  <c r="I363" i="20" s="1"/>
  <c r="I309" i="20"/>
  <c r="J332" i="20"/>
  <c r="AA360" i="20"/>
  <c r="Z360" i="20" s="1"/>
  <c r="Y360" i="20" s="1"/>
  <c r="H334" i="20"/>
  <c r="J334" i="20" s="1"/>
  <c r="G68" i="20"/>
  <c r="CB68" i="6" s="1"/>
  <c r="AA332" i="20"/>
  <c r="Z332" i="20" s="1"/>
  <c r="Y332" i="20" s="1"/>
  <c r="AA135" i="20"/>
  <c r="Z135" i="20" s="1"/>
  <c r="Y135" i="20" s="1"/>
  <c r="I110" i="20"/>
  <c r="I213" i="20"/>
  <c r="H135" i="20"/>
  <c r="I135" i="20" s="1"/>
  <c r="H63" i="20"/>
  <c r="J63" i="20" s="1"/>
  <c r="G334" i="20"/>
  <c r="CB334" i="6" s="1"/>
  <c r="AA263" i="20"/>
  <c r="Z263" i="20" s="1"/>
  <c r="Y263" i="20" s="1"/>
  <c r="H80" i="20"/>
  <c r="I80" i="20" s="1"/>
  <c r="H80" i="22" s="1"/>
  <c r="G80" i="20"/>
  <c r="CB80" i="6" s="1"/>
  <c r="AA367" i="20"/>
  <c r="Z367" i="20" s="1"/>
  <c r="Y367" i="20" s="1"/>
  <c r="G153" i="20"/>
  <c r="CB153" i="6" s="1"/>
  <c r="AA56" i="20"/>
  <c r="Z56" i="20" s="1"/>
  <c r="Y56" i="20" s="1"/>
  <c r="H18" i="20"/>
  <c r="I18" i="20" s="1"/>
  <c r="H18" i="22" s="1"/>
  <c r="G332" i="20"/>
  <c r="CB332" i="6" s="1"/>
  <c r="G61" i="20"/>
  <c r="CB61" i="6" s="1"/>
  <c r="G135" i="20"/>
  <c r="CB135" i="6" s="1"/>
  <c r="I175" i="20"/>
  <c r="H28" i="20"/>
  <c r="I28" i="20" s="1"/>
  <c r="H28" i="22" s="1"/>
  <c r="J55" i="20"/>
  <c r="I307" i="20"/>
  <c r="H307" i="22" s="1"/>
  <c r="J275" i="20"/>
  <c r="H284" i="20"/>
  <c r="J284" i="20" s="1"/>
  <c r="G284" i="20"/>
  <c r="CB284" i="6" s="1"/>
  <c r="AA309" i="20"/>
  <c r="Z309" i="20" s="1"/>
  <c r="Y309" i="20" s="1"/>
  <c r="G18" i="20"/>
  <c r="CB18" i="6" s="1"/>
  <c r="AA55" i="20"/>
  <c r="Z55" i="20" s="1"/>
  <c r="Y55" i="20" s="1"/>
  <c r="AA207" i="20"/>
  <c r="Z207" i="20" s="1"/>
  <c r="Y207" i="20" s="1"/>
  <c r="H229" i="20"/>
  <c r="I229" i="20" s="1"/>
  <c r="H92" i="20"/>
  <c r="J92" i="20" s="1"/>
  <c r="G249" i="20"/>
  <c r="CB249" i="6" s="1"/>
  <c r="H367" i="20"/>
  <c r="J367" i="20" s="1"/>
  <c r="G55" i="20"/>
  <c r="CB55" i="6" s="1"/>
  <c r="G360" i="20"/>
  <c r="CB360" i="6" s="1"/>
  <c r="H153" i="20"/>
  <c r="J153" i="20" s="1"/>
  <c r="H249" i="20"/>
  <c r="J249" i="20" s="1"/>
  <c r="L66" i="19"/>
  <c r="G65" i="20"/>
  <c r="CB65" i="6" s="1"/>
  <c r="H65" i="20"/>
  <c r="I65" i="20" s="1"/>
  <c r="H33" i="20"/>
  <c r="I33" i="20" s="1"/>
  <c r="G240" i="20"/>
  <c r="CB240" i="6" s="1"/>
  <c r="G56" i="20"/>
  <c r="CB56" i="6" s="1"/>
  <c r="H370" i="20"/>
  <c r="J370" i="20" s="1"/>
  <c r="G309" i="20"/>
  <c r="CB309" i="6" s="1"/>
  <c r="AA258" i="20"/>
  <c r="Z258" i="20" s="1"/>
  <c r="Y258" i="20" s="1"/>
  <c r="AD346" i="22"/>
  <c r="AD220" i="22"/>
  <c r="AD171" i="22"/>
  <c r="E66" i="19"/>
  <c r="AA190" i="20"/>
  <c r="Z190" i="20" s="1"/>
  <c r="Y190" i="20" s="1"/>
  <c r="AA201" i="20"/>
  <c r="Z201" i="20" s="1"/>
  <c r="Y201" i="20" s="1"/>
  <c r="AA169" i="20"/>
  <c r="Z169" i="20" s="1"/>
  <c r="Y169" i="20" s="1"/>
  <c r="AA231" i="20"/>
  <c r="Z231" i="20" s="1"/>
  <c r="Y231" i="20" s="1"/>
  <c r="AA314" i="20"/>
  <c r="Z314" i="20" s="1"/>
  <c r="Y314" i="20" s="1"/>
  <c r="J38" i="19"/>
  <c r="AD307" i="22"/>
  <c r="AD280" i="22"/>
  <c r="AD109" i="22"/>
  <c r="AD115" i="22"/>
  <c r="I330" i="20"/>
  <c r="V29" i="22"/>
  <c r="B29" i="22" s="1"/>
  <c r="D29" i="22" s="1"/>
  <c r="E29" i="22" s="1"/>
  <c r="F29" i="22" s="1"/>
  <c r="V241" i="22"/>
  <c r="B241" i="22" s="1"/>
  <c r="D241" i="22" s="1"/>
  <c r="E241" i="22" s="1"/>
  <c r="F241" i="22" s="1"/>
  <c r="J366" i="20"/>
  <c r="I368" i="20"/>
  <c r="I125" i="20"/>
  <c r="H88" i="20"/>
  <c r="I88" i="20" s="1"/>
  <c r="J28" i="20"/>
  <c r="I57" i="20"/>
  <c r="H57" i="22" s="1"/>
  <c r="J212" i="20"/>
  <c r="AD308" i="22"/>
  <c r="AA308" i="22" s="1"/>
  <c r="Z308" i="22" s="1"/>
  <c r="Y308" i="22" s="1"/>
  <c r="AD279" i="22"/>
  <c r="AA279" i="22" s="1"/>
  <c r="Z279" i="22" s="1"/>
  <c r="Y279" i="22" s="1"/>
  <c r="AD354" i="22"/>
  <c r="AD349" i="22"/>
  <c r="AA349" i="22" s="1"/>
  <c r="Z349" i="22" s="1"/>
  <c r="Y349" i="22" s="1"/>
  <c r="AD375" i="22"/>
  <c r="AA375" i="22" s="1"/>
  <c r="Z375" i="22" s="1"/>
  <c r="Y375" i="22" s="1"/>
  <c r="AD376" i="22"/>
  <c r="AA376" i="22" s="1"/>
  <c r="Z376" i="22" s="1"/>
  <c r="Y376" i="22" s="1"/>
  <c r="AD336" i="22"/>
  <c r="AD216" i="22"/>
  <c r="AD374" i="22"/>
  <c r="AA374" i="22" s="1"/>
  <c r="Z374" i="22" s="1"/>
  <c r="Y374" i="22" s="1"/>
  <c r="AD172" i="22"/>
  <c r="AA172" i="22" s="1"/>
  <c r="Z172" i="22" s="1"/>
  <c r="Y172" i="22" s="1"/>
  <c r="AD348" i="22"/>
  <c r="AD300" i="22"/>
  <c r="AD227" i="22"/>
  <c r="P140" i="22"/>
  <c r="V140" i="22" s="1"/>
  <c r="B140" i="22" s="1"/>
  <c r="W140" i="22" s="1"/>
  <c r="P312" i="22"/>
  <c r="V312" i="22" s="1"/>
  <c r="B312" i="22" s="1"/>
  <c r="W312" i="22" s="1"/>
  <c r="P216" i="22"/>
  <c r="V216" i="22" s="1"/>
  <c r="B216" i="22" s="1"/>
  <c r="D216" i="22" s="1"/>
  <c r="E216" i="22" s="1"/>
  <c r="F216" i="22" s="1"/>
  <c r="G216" i="22" s="1"/>
  <c r="CC216" i="6" s="1"/>
  <c r="P225" i="22"/>
  <c r="V225" i="22" s="1"/>
  <c r="B225" i="22" s="1"/>
  <c r="D225" i="22" s="1"/>
  <c r="E225" i="22" s="1"/>
  <c r="F225" i="22" s="1"/>
  <c r="G225" i="22" s="1"/>
  <c r="CC225" i="6" s="1"/>
  <c r="P249" i="22"/>
  <c r="V249" i="22" s="1"/>
  <c r="B249" i="22" s="1"/>
  <c r="D249" i="22" s="1"/>
  <c r="E249" i="22" s="1"/>
  <c r="F249" i="22" s="1"/>
  <c r="G249" i="22" s="1"/>
  <c r="CC249" i="6" s="1"/>
  <c r="P330" i="22"/>
  <c r="V330" i="22" s="1"/>
  <c r="B330" i="22" s="1"/>
  <c r="W330" i="22" s="1"/>
  <c r="P27" i="22"/>
  <c r="V27" i="22" s="1"/>
  <c r="B27" i="22" s="1"/>
  <c r="W27" i="22" s="1"/>
  <c r="P165" i="22"/>
  <c r="V165" i="22" s="1"/>
  <c r="B165" i="22" s="1"/>
  <c r="W165" i="22" s="1"/>
  <c r="P190" i="22"/>
  <c r="V190" i="22" s="1"/>
  <c r="B190" i="22" s="1"/>
  <c r="D190" i="22" s="1"/>
  <c r="E190" i="22" s="1"/>
  <c r="F190" i="22" s="1"/>
  <c r="G190" i="22" s="1"/>
  <c r="CC190" i="6" s="1"/>
  <c r="P90" i="22"/>
  <c r="V90" i="22" s="1"/>
  <c r="B90" i="22" s="1"/>
  <c r="D90" i="22" s="1"/>
  <c r="E90" i="22" s="1"/>
  <c r="F90" i="22" s="1"/>
  <c r="P129" i="22"/>
  <c r="V129" i="22" s="1"/>
  <c r="B129" i="22" s="1"/>
  <c r="W129" i="22" s="1"/>
  <c r="P56" i="22"/>
  <c r="V56" i="22" s="1"/>
  <c r="B56" i="22" s="1"/>
  <c r="D56" i="22" s="1"/>
  <c r="E56" i="22" s="1"/>
  <c r="F56" i="22" s="1"/>
  <c r="G56" i="22" s="1"/>
  <c r="CC56" i="6" s="1"/>
  <c r="P338" i="22"/>
  <c r="V338" i="22" s="1"/>
  <c r="B338" i="22" s="1"/>
  <c r="W338" i="22" s="1"/>
  <c r="P262" i="22"/>
  <c r="V262" i="22" s="1"/>
  <c r="B262" i="22" s="1"/>
  <c r="D262" i="22" s="1"/>
  <c r="E262" i="22" s="1"/>
  <c r="F262" i="22" s="1"/>
  <c r="P203" i="22"/>
  <c r="V203" i="22" s="1"/>
  <c r="B203" i="22" s="1"/>
  <c r="W203" i="22" s="1"/>
  <c r="P260" i="22"/>
  <c r="V260" i="22" s="1"/>
  <c r="B260" i="22" s="1"/>
  <c r="W260" i="22" s="1"/>
  <c r="P306" i="22"/>
  <c r="V306" i="22" s="1"/>
  <c r="B306" i="22" s="1"/>
  <c r="D306" i="22" s="1"/>
  <c r="E306" i="22" s="1"/>
  <c r="F306" i="22" s="1"/>
  <c r="P180" i="22"/>
  <c r="AH37" i="7" s="1"/>
  <c r="P239" i="22"/>
  <c r="V239" i="22" s="1"/>
  <c r="B239" i="22" s="1"/>
  <c r="W239" i="22" s="1"/>
  <c r="P189" i="22"/>
  <c r="V189" i="22" s="1"/>
  <c r="B189" i="22" s="1"/>
  <c r="W189" i="22" s="1"/>
  <c r="P107" i="22"/>
  <c r="V107" i="22" s="1"/>
  <c r="B107" i="22" s="1"/>
  <c r="W107" i="22" s="1"/>
  <c r="P270" i="22"/>
  <c r="V270" i="22" s="1"/>
  <c r="B270" i="22" s="1"/>
  <c r="W270" i="22" s="1"/>
  <c r="P221" i="22"/>
  <c r="V221" i="22" s="1"/>
  <c r="B221" i="22" s="1"/>
  <c r="D221" i="22" s="1"/>
  <c r="E221" i="22" s="1"/>
  <c r="F221" i="22" s="1"/>
  <c r="P146" i="22"/>
  <c r="V146" i="22" s="1"/>
  <c r="B146" i="22" s="1"/>
  <c r="W146" i="22" s="1"/>
  <c r="P198" i="22"/>
  <c r="V198" i="22" s="1"/>
  <c r="B198" i="22" s="1"/>
  <c r="W198" i="22" s="1"/>
  <c r="P35" i="22"/>
  <c r="V35" i="22" s="1"/>
  <c r="B35" i="22" s="1"/>
  <c r="D35" i="22" s="1"/>
  <c r="E35" i="22" s="1"/>
  <c r="F35" i="22" s="1"/>
  <c r="G35" i="22" s="1"/>
  <c r="CC35" i="6" s="1"/>
  <c r="P121" i="22"/>
  <c r="V121" i="22" s="1"/>
  <c r="B121" i="22" s="1"/>
  <c r="D121" i="22" s="1"/>
  <c r="E121" i="22" s="1"/>
  <c r="F121" i="22" s="1"/>
  <c r="P42" i="22"/>
  <c r="V42" i="22" s="1"/>
  <c r="B42" i="22" s="1"/>
  <c r="D42" i="22" s="1"/>
  <c r="E42" i="22" s="1"/>
  <c r="F42" i="22" s="1"/>
  <c r="G42" i="22" s="1"/>
  <c r="CC42" i="6" s="1"/>
  <c r="P310" i="22"/>
  <c r="V310" i="22" s="1"/>
  <c r="B310" i="22" s="1"/>
  <c r="D310" i="22" s="1"/>
  <c r="E310" i="22" s="1"/>
  <c r="F310" i="22" s="1"/>
  <c r="G310" i="22" s="1"/>
  <c r="CC310" i="6" s="1"/>
  <c r="P274" i="22"/>
  <c r="V274" i="22" s="1"/>
  <c r="B274" i="22" s="1"/>
  <c r="W274" i="22" s="1"/>
  <c r="P139" i="22"/>
  <c r="V139" i="22" s="1"/>
  <c r="B139" i="22" s="1"/>
  <c r="W139" i="22" s="1"/>
  <c r="P248" i="22"/>
  <c r="V248" i="22" s="1"/>
  <c r="B248" i="22" s="1"/>
  <c r="D248" i="22" s="1"/>
  <c r="E248" i="22" s="1"/>
  <c r="F248" i="22" s="1"/>
  <c r="P288" i="22"/>
  <c r="V288" i="22" s="1"/>
  <c r="B288" i="22" s="1"/>
  <c r="W288" i="22" s="1"/>
  <c r="P154" i="22"/>
  <c r="V154" i="22" s="1"/>
  <c r="B154" i="22" s="1"/>
  <c r="W154" i="22" s="1"/>
  <c r="P110" i="22"/>
  <c r="V110" i="22" s="1"/>
  <c r="B110" i="22" s="1"/>
  <c r="D110" i="22" s="1"/>
  <c r="E110" i="22" s="1"/>
  <c r="F110" i="22" s="1"/>
  <c r="H110" i="22" s="1"/>
  <c r="P16" i="22"/>
  <c r="V16" i="22" s="1"/>
  <c r="B16" i="22" s="1"/>
  <c r="W16" i="22" s="1"/>
  <c r="P141" i="22"/>
  <c r="V141" i="22" s="1"/>
  <c r="B141" i="22" s="1"/>
  <c r="D141" i="22" s="1"/>
  <c r="E141" i="22" s="1"/>
  <c r="F141" i="22" s="1"/>
  <c r="P319" i="22"/>
  <c r="V319" i="22" s="1"/>
  <c r="B319" i="22" s="1"/>
  <c r="D319" i="22" s="1"/>
  <c r="E319" i="22" s="1"/>
  <c r="F319" i="22" s="1"/>
  <c r="P333" i="22"/>
  <c r="V333" i="22" s="1"/>
  <c r="B333" i="22" s="1"/>
  <c r="D333" i="22" s="1"/>
  <c r="E333" i="22" s="1"/>
  <c r="F333" i="22" s="1"/>
  <c r="P302" i="22"/>
  <c r="V302" i="22" s="1"/>
  <c r="B302" i="22" s="1"/>
  <c r="D302" i="22" s="1"/>
  <c r="E302" i="22" s="1"/>
  <c r="F302" i="22" s="1"/>
  <c r="P188" i="22"/>
  <c r="V188" i="22" s="1"/>
  <c r="B188" i="22" s="1"/>
  <c r="D188" i="22" s="1"/>
  <c r="E188" i="22" s="1"/>
  <c r="F188" i="22" s="1"/>
  <c r="G188" i="22" s="1"/>
  <c r="CC188" i="6" s="1"/>
  <c r="P70" i="22"/>
  <c r="V70" i="22" s="1"/>
  <c r="B70" i="22" s="1"/>
  <c r="D70" i="22" s="1"/>
  <c r="E70" i="22" s="1"/>
  <c r="F70" i="22" s="1"/>
  <c r="AA70" i="22" s="1"/>
  <c r="Z70" i="22" s="1"/>
  <c r="Y70" i="22" s="1"/>
  <c r="P228" i="22"/>
  <c r="V228" i="22" s="1"/>
  <c r="B228" i="22" s="1"/>
  <c r="D228" i="22" s="1"/>
  <c r="E228" i="22" s="1"/>
  <c r="F228" i="22" s="1"/>
  <c r="G228" i="22" s="1"/>
  <c r="CC228" i="6" s="1"/>
  <c r="P58" i="22"/>
  <c r="V58" i="22" s="1"/>
  <c r="B58" i="22" s="1"/>
  <c r="D58" i="22" s="1"/>
  <c r="E58" i="22" s="1"/>
  <c r="F58" i="22" s="1"/>
  <c r="G58" i="22" s="1"/>
  <c r="CC58" i="6" s="1"/>
  <c r="P145" i="22"/>
  <c r="V145" i="22" s="1"/>
  <c r="B145" i="22" s="1"/>
  <c r="D145" i="22" s="1"/>
  <c r="E145" i="22" s="1"/>
  <c r="F145" i="22" s="1"/>
  <c r="AA145" i="22" s="1"/>
  <c r="Z145" i="22" s="1"/>
  <c r="Y145" i="22" s="1"/>
  <c r="P324" i="22"/>
  <c r="V324" i="22" s="1"/>
  <c r="B324" i="22" s="1"/>
  <c r="W324" i="22" s="1"/>
  <c r="P371" i="22"/>
  <c r="V371" i="22" s="1"/>
  <c r="B371" i="22" s="1"/>
  <c r="D371" i="22" s="1"/>
  <c r="E371" i="22" s="1"/>
  <c r="F371" i="22" s="1"/>
  <c r="G371" i="22" s="1"/>
  <c r="CC371" i="6" s="1"/>
  <c r="P157" i="22"/>
  <c r="V157" i="22" s="1"/>
  <c r="B157" i="22" s="1"/>
  <c r="D157" i="22" s="1"/>
  <c r="E157" i="22" s="1"/>
  <c r="F157" i="22" s="1"/>
  <c r="G157" i="22" s="1"/>
  <c r="CC157" i="6" s="1"/>
  <c r="P115" i="22"/>
  <c r="V115" i="22" s="1"/>
  <c r="B115" i="22" s="1"/>
  <c r="W115" i="22" s="1"/>
  <c r="P33" i="22"/>
  <c r="V33" i="22" s="1"/>
  <c r="B33" i="22" s="1"/>
  <c r="W33" i="22" s="1"/>
  <c r="P347" i="22"/>
  <c r="V347" i="22" s="1"/>
  <c r="B347" i="22" s="1"/>
  <c r="W347" i="22" s="1"/>
  <c r="P335" i="22"/>
  <c r="V335" i="22" s="1"/>
  <c r="B335" i="22" s="1"/>
  <c r="D335" i="22" s="1"/>
  <c r="E335" i="22" s="1"/>
  <c r="F335" i="22" s="1"/>
  <c r="G335" i="22" s="1"/>
  <c r="CC335" i="6" s="1"/>
  <c r="P138" i="22"/>
  <c r="V138" i="22" s="1"/>
  <c r="B138" i="22" s="1"/>
  <c r="D138" i="22" s="1"/>
  <c r="E138" i="22" s="1"/>
  <c r="F138" i="22" s="1"/>
  <c r="P26" i="22"/>
  <c r="V26" i="22" s="1"/>
  <c r="B26" i="22" s="1"/>
  <c r="D26" i="22" s="1"/>
  <c r="E26" i="22" s="1"/>
  <c r="F26" i="22" s="1"/>
  <c r="AA26" i="22" s="1"/>
  <c r="Z26" i="22" s="1"/>
  <c r="Y26" i="22" s="1"/>
  <c r="P88" i="22"/>
  <c r="V88" i="22" s="1"/>
  <c r="B88" i="22" s="1"/>
  <c r="W88" i="22" s="1"/>
  <c r="P358" i="22"/>
  <c r="V358" i="22" s="1"/>
  <c r="B358" i="22" s="1"/>
  <c r="D358" i="22" s="1"/>
  <c r="E358" i="22" s="1"/>
  <c r="F358" i="22" s="1"/>
  <c r="P41" i="22"/>
  <c r="V41" i="22" s="1"/>
  <c r="B41" i="22" s="1"/>
  <c r="W41" i="22" s="1"/>
  <c r="P322" i="22"/>
  <c r="V322" i="22" s="1"/>
  <c r="B322" i="22" s="1"/>
  <c r="W322" i="22" s="1"/>
  <c r="P352" i="22"/>
  <c r="V352" i="22" s="1"/>
  <c r="B352" i="22" s="1"/>
  <c r="D352" i="22" s="1"/>
  <c r="E352" i="22" s="1"/>
  <c r="F352" i="22" s="1"/>
  <c r="P272" i="22"/>
  <c r="AH40" i="7" s="1"/>
  <c r="P320" i="22"/>
  <c r="V320" i="22" s="1"/>
  <c r="B320" i="22" s="1"/>
  <c r="W320" i="22" s="1"/>
  <c r="P125" i="22"/>
  <c r="V125" i="22" s="1"/>
  <c r="B125" i="22" s="1"/>
  <c r="W125" i="22" s="1"/>
  <c r="P104" i="22"/>
  <c r="V104" i="22" s="1"/>
  <c r="B104" i="22" s="1"/>
  <c r="W104" i="22" s="1"/>
  <c r="P91" i="22"/>
  <c r="V91" i="22" s="1"/>
  <c r="B91" i="22" s="1"/>
  <c r="D91" i="22" s="1"/>
  <c r="E91" i="22" s="1"/>
  <c r="F91" i="22" s="1"/>
  <c r="G91" i="22" s="1"/>
  <c r="CC91" i="6" s="1"/>
  <c r="P167" i="22"/>
  <c r="V167" i="22" s="1"/>
  <c r="B167" i="22" s="1"/>
  <c r="W167" i="22" s="1"/>
  <c r="P187" i="22"/>
  <c r="V187" i="22" s="1"/>
  <c r="B187" i="22" s="1"/>
  <c r="W187" i="22" s="1"/>
  <c r="P342" i="22"/>
  <c r="V342" i="22" s="1"/>
  <c r="B342" i="22" s="1"/>
  <c r="D342" i="22" s="1"/>
  <c r="E342" i="22" s="1"/>
  <c r="F342" i="22" s="1"/>
  <c r="H342" i="22" s="1"/>
  <c r="P236" i="22"/>
  <c r="V236" i="22" s="1"/>
  <c r="B236" i="22" s="1"/>
  <c r="D236" i="22" s="1"/>
  <c r="E236" i="22" s="1"/>
  <c r="F236" i="22" s="1"/>
  <c r="H236" i="22" s="1"/>
  <c r="P212" i="22"/>
  <c r="V212" i="22" s="1"/>
  <c r="B212" i="22" s="1"/>
  <c r="W212" i="22" s="1"/>
  <c r="P313" i="22"/>
  <c r="V313" i="22" s="1"/>
  <c r="B313" i="22" s="1"/>
  <c r="D313" i="22" s="1"/>
  <c r="E313" i="22" s="1"/>
  <c r="F313" i="22" s="1"/>
  <c r="G313" i="22" s="1"/>
  <c r="CC313" i="6" s="1"/>
  <c r="P273" i="22"/>
  <c r="V273" i="22" s="1"/>
  <c r="B273" i="22" s="1"/>
  <c r="W273" i="22" s="1"/>
  <c r="P226" i="22"/>
  <c r="V226" i="22" s="1"/>
  <c r="B226" i="22" s="1"/>
  <c r="D226" i="22" s="1"/>
  <c r="E226" i="22" s="1"/>
  <c r="F226" i="22" s="1"/>
  <c r="G226" i="22" s="1"/>
  <c r="CC226" i="6" s="1"/>
  <c r="P331" i="22"/>
  <c r="V331" i="22" s="1"/>
  <c r="B331" i="22" s="1"/>
  <c r="D331" i="22" s="1"/>
  <c r="E331" i="22" s="1"/>
  <c r="F331" i="22" s="1"/>
  <c r="G331" i="22" s="1"/>
  <c r="CC331" i="6" s="1"/>
  <c r="P368" i="22"/>
  <c r="V368" i="22" s="1"/>
  <c r="B368" i="22" s="1"/>
  <c r="D368" i="22" s="1"/>
  <c r="E368" i="22" s="1"/>
  <c r="F368" i="22" s="1"/>
  <c r="G368" i="22" s="1"/>
  <c r="CC368" i="6" s="1"/>
  <c r="P206" i="22"/>
  <c r="V206" i="22" s="1"/>
  <c r="B206" i="22" s="1"/>
  <c r="W206" i="22" s="1"/>
  <c r="P123" i="22"/>
  <c r="V123" i="22" s="1"/>
  <c r="B123" i="22" s="1"/>
  <c r="W123" i="22" s="1"/>
  <c r="P350" i="22"/>
  <c r="V350" i="22" s="1"/>
  <c r="B350" i="22" s="1"/>
  <c r="W350" i="22" s="1"/>
  <c r="P170" i="22"/>
  <c r="V170" i="22" s="1"/>
  <c r="B170" i="22" s="1"/>
  <c r="D170" i="22" s="1"/>
  <c r="E170" i="22" s="1"/>
  <c r="F170" i="22" s="1"/>
  <c r="H170" i="22" s="1"/>
  <c r="P113" i="22"/>
  <c r="V113" i="22" s="1"/>
  <c r="B113" i="22" s="1"/>
  <c r="W113" i="22" s="1"/>
  <c r="P251" i="22"/>
  <c r="V251" i="22" s="1"/>
  <c r="B251" i="22" s="1"/>
  <c r="D251" i="22" s="1"/>
  <c r="E251" i="22" s="1"/>
  <c r="F251" i="22" s="1"/>
  <c r="G251" i="22" s="1"/>
  <c r="CC251" i="6" s="1"/>
  <c r="P254" i="22"/>
  <c r="V254" i="22" s="1"/>
  <c r="B254" i="22" s="1"/>
  <c r="D254" i="22" s="1"/>
  <c r="E254" i="22" s="1"/>
  <c r="F254" i="22" s="1"/>
  <c r="G254" i="22" s="1"/>
  <c r="CC254" i="6" s="1"/>
  <c r="P247" i="22"/>
  <c r="V247" i="22" s="1"/>
  <c r="B247" i="22" s="1"/>
  <c r="W247" i="22" s="1"/>
  <c r="P213" i="22"/>
  <c r="V213" i="22" s="1"/>
  <c r="B213" i="22" s="1"/>
  <c r="W213" i="22" s="1"/>
  <c r="P109" i="22"/>
  <c r="V109" i="22" s="1"/>
  <c r="B109" i="22" s="1"/>
  <c r="D109" i="22" s="1"/>
  <c r="E109" i="22" s="1"/>
  <c r="F109" i="22" s="1"/>
  <c r="AA109" i="22" s="1"/>
  <c r="Z109" i="22" s="1"/>
  <c r="Y109" i="22" s="1"/>
  <c r="P245" i="22"/>
  <c r="V245" i="22" s="1"/>
  <c r="B245" i="22" s="1"/>
  <c r="W245" i="22" s="1"/>
  <c r="P25" i="22"/>
  <c r="V25" i="22" s="1"/>
  <c r="B25" i="22" s="1"/>
  <c r="D25" i="22" s="1"/>
  <c r="E25" i="22" s="1"/>
  <c r="F25" i="22" s="1"/>
  <c r="G25" i="22" s="1"/>
  <c r="CC25" i="6" s="1"/>
  <c r="P39" i="22"/>
  <c r="V39" i="22" s="1"/>
  <c r="B39" i="22" s="1"/>
  <c r="D39" i="22" s="1"/>
  <c r="E39" i="22" s="1"/>
  <c r="F39" i="22" s="1"/>
  <c r="AA39" i="22" s="1"/>
  <c r="Z39" i="22" s="1"/>
  <c r="Y39" i="22" s="1"/>
  <c r="P101" i="22"/>
  <c r="V101" i="22" s="1"/>
  <c r="B101" i="22" s="1"/>
  <c r="W101" i="22" s="1"/>
  <c r="P329" i="22"/>
  <c r="V329" i="22" s="1"/>
  <c r="B329" i="22" s="1"/>
  <c r="W329" i="22" s="1"/>
  <c r="P367" i="22"/>
  <c r="V367" i="22" s="1"/>
  <c r="B367" i="22" s="1"/>
  <c r="D367" i="22" s="1"/>
  <c r="E367" i="22" s="1"/>
  <c r="F367" i="22" s="1"/>
  <c r="AA367" i="22" s="1"/>
  <c r="Z367" i="22" s="1"/>
  <c r="Y367" i="22" s="1"/>
  <c r="P66" i="22"/>
  <c r="V66" i="22" s="1"/>
  <c r="B66" i="22" s="1"/>
  <c r="D66" i="22" s="1"/>
  <c r="E66" i="22" s="1"/>
  <c r="F66" i="22" s="1"/>
  <c r="AA66" i="22" s="1"/>
  <c r="Z66" i="22" s="1"/>
  <c r="Y66" i="22" s="1"/>
  <c r="AD73" i="22"/>
  <c r="AD225" i="22"/>
  <c r="AD48" i="22"/>
  <c r="AA48" i="22" s="1"/>
  <c r="Z48" i="22" s="1"/>
  <c r="Y48" i="22" s="1"/>
  <c r="AD81" i="22"/>
  <c r="AA81" i="22" s="1"/>
  <c r="Z81" i="22" s="1"/>
  <c r="Y81" i="22" s="1"/>
  <c r="AD63" i="22"/>
  <c r="AA63" i="22" s="1"/>
  <c r="Z63" i="22" s="1"/>
  <c r="Y63" i="22" s="1"/>
  <c r="AD72" i="22"/>
  <c r="AA72" i="22" s="1"/>
  <c r="Z72" i="22" s="1"/>
  <c r="Y72" i="22" s="1"/>
  <c r="AD41" i="22"/>
  <c r="AD276" i="22"/>
  <c r="AD105" i="22"/>
  <c r="AD203" i="22"/>
  <c r="AD32" i="22"/>
  <c r="AD78" i="22"/>
  <c r="AA78" i="22" s="1"/>
  <c r="Z78" i="22" s="1"/>
  <c r="Y78" i="22" s="1"/>
  <c r="AD79" i="22"/>
  <c r="AA79" i="22" s="1"/>
  <c r="Z79" i="22" s="1"/>
  <c r="Y79" i="22" s="1"/>
  <c r="AD34" i="22"/>
  <c r="AA34" i="22" s="1"/>
  <c r="Z34" i="22" s="1"/>
  <c r="Y34" i="22" s="1"/>
  <c r="AD92" i="22"/>
  <c r="AA92" i="22" s="1"/>
  <c r="Z92" i="22" s="1"/>
  <c r="Y92" i="22" s="1"/>
  <c r="AD60" i="22"/>
  <c r="AD104" i="22"/>
  <c r="AD88" i="22"/>
  <c r="AD360" i="22"/>
  <c r="AD94" i="22"/>
  <c r="AA94" i="22" s="1"/>
  <c r="Z94" i="22" s="1"/>
  <c r="Y94" i="22" s="1"/>
  <c r="AD102" i="22"/>
  <c r="AD44" i="22"/>
  <c r="AD50" i="22"/>
  <c r="AA50" i="22" s="1"/>
  <c r="Z50" i="22" s="1"/>
  <c r="Y50" i="22" s="1"/>
  <c r="AD103" i="22"/>
  <c r="AD67" i="22"/>
  <c r="AD80" i="22"/>
  <c r="AA80" i="22" s="1"/>
  <c r="Z80" i="22" s="1"/>
  <c r="Y80" i="22" s="1"/>
  <c r="AD30" i="22"/>
  <c r="AD91" i="22"/>
  <c r="AD18" i="22"/>
  <c r="AA18" i="22" s="1"/>
  <c r="Z18" i="22" s="1"/>
  <c r="Y18" i="22" s="1"/>
  <c r="AD69" i="22"/>
  <c r="AA69" i="22" s="1"/>
  <c r="Z69" i="22" s="1"/>
  <c r="Y69" i="22" s="1"/>
  <c r="AD303" i="22"/>
  <c r="AD268" i="22"/>
  <c r="AA268" i="22" s="1"/>
  <c r="Z268" i="22" s="1"/>
  <c r="Y268" i="22" s="1"/>
  <c r="AD355" i="22"/>
  <c r="AD362" i="22"/>
  <c r="AD309" i="22"/>
  <c r="AD179" i="22"/>
  <c r="AD143" i="22"/>
  <c r="AD221" i="22"/>
  <c r="AD357" i="22"/>
  <c r="AA357" i="22" s="1"/>
  <c r="Z357" i="22" s="1"/>
  <c r="Y357" i="22" s="1"/>
  <c r="AD140" i="22"/>
  <c r="AD368" i="22"/>
  <c r="AD163" i="22"/>
  <c r="AA163" i="22" s="1"/>
  <c r="Z163" i="22" s="1"/>
  <c r="Y163" i="22" s="1"/>
  <c r="AD361" i="22"/>
  <c r="AA361" i="22" s="1"/>
  <c r="Z361" i="22" s="1"/>
  <c r="Y361" i="22" s="1"/>
  <c r="AD273" i="22"/>
  <c r="AD258" i="22"/>
  <c r="AD165" i="22"/>
  <c r="AD125" i="22"/>
  <c r="AD314" i="22"/>
  <c r="AA314" i="22" s="1"/>
  <c r="Z314" i="22" s="1"/>
  <c r="Y314" i="22" s="1"/>
  <c r="AD317" i="22"/>
  <c r="AD380" i="22"/>
  <c r="AD161" i="22"/>
  <c r="AA161" i="22" s="1"/>
  <c r="Z161" i="22" s="1"/>
  <c r="Y161" i="22" s="1"/>
  <c r="AD369" i="22"/>
  <c r="AD269" i="22"/>
  <c r="AD139" i="22"/>
  <c r="AD205" i="22"/>
  <c r="AA205" i="22" s="1"/>
  <c r="Z205" i="22" s="1"/>
  <c r="Y205" i="22" s="1"/>
  <c r="AD265" i="22"/>
  <c r="AA265" i="22" s="1"/>
  <c r="Z265" i="22" s="1"/>
  <c r="Y265" i="22" s="1"/>
  <c r="AD277" i="22"/>
  <c r="AD339" i="22"/>
  <c r="AD321" i="22"/>
  <c r="AD322" i="22"/>
  <c r="AD263" i="22"/>
  <c r="AD364" i="22"/>
  <c r="AA364" i="22" s="1"/>
  <c r="Z364" i="22" s="1"/>
  <c r="Y364" i="22" s="1"/>
  <c r="AD198" i="22"/>
  <c r="AD313" i="22"/>
  <c r="AD235" i="22"/>
  <c r="AA235" i="22" s="1"/>
  <c r="Z235" i="22" s="1"/>
  <c r="Y235" i="22" s="1"/>
  <c r="AD366" i="22"/>
  <c r="AA366" i="22" s="1"/>
  <c r="Z366" i="22" s="1"/>
  <c r="Y366" i="22" s="1"/>
  <c r="AD288" i="22"/>
  <c r="AD256" i="22"/>
  <c r="AA256" i="22" s="1"/>
  <c r="Z256" i="22" s="1"/>
  <c r="Y256" i="22" s="1"/>
  <c r="AE372" i="22"/>
  <c r="AD372" i="22" s="1"/>
  <c r="AE224" i="22"/>
  <c r="AD224" i="22" s="1"/>
  <c r="AE286" i="22"/>
  <c r="AD286" i="22" s="1"/>
  <c r="AE319" i="22"/>
  <c r="AD319" i="22" s="1"/>
  <c r="AE305" i="22"/>
  <c r="AD305" i="22" s="1"/>
  <c r="AE152" i="22"/>
  <c r="AD152" i="22" s="1"/>
  <c r="AE192" i="22"/>
  <c r="AD192" i="22" s="1"/>
  <c r="AE123" i="22"/>
  <c r="AD123" i="22" s="1"/>
  <c r="AE242" i="22"/>
  <c r="AD242" i="22" s="1"/>
  <c r="AE142" i="22"/>
  <c r="AD142" i="22" s="1"/>
  <c r="AE157" i="22"/>
  <c r="AD157" i="22" s="1"/>
  <c r="AE358" i="22"/>
  <c r="AD358" i="22" s="1"/>
  <c r="AE151" i="22"/>
  <c r="AD151" i="22" s="1"/>
  <c r="AE173" i="22"/>
  <c r="AD173" i="22" s="1"/>
  <c r="AA173" i="22" s="1"/>
  <c r="Z173" i="22" s="1"/>
  <c r="Y173" i="22" s="1"/>
  <c r="AE255" i="22"/>
  <c r="AD255" i="22" s="1"/>
  <c r="AE208" i="22"/>
  <c r="AD208" i="22" s="1"/>
  <c r="AA208" i="22" s="1"/>
  <c r="Z208" i="22" s="1"/>
  <c r="Y208" i="22" s="1"/>
  <c r="AE328" i="22"/>
  <c r="AD328" i="22" s="1"/>
  <c r="AA328" i="22" s="1"/>
  <c r="Z328" i="22" s="1"/>
  <c r="Y328" i="22" s="1"/>
  <c r="AE183" i="22"/>
  <c r="AD183" i="22" s="1"/>
  <c r="AE121" i="22"/>
  <c r="AD121" i="22" s="1"/>
  <c r="AE118" i="22"/>
  <c r="AD118" i="22" s="1"/>
  <c r="AA118" i="22" s="1"/>
  <c r="Z118" i="22" s="1"/>
  <c r="Y118" i="22" s="1"/>
  <c r="AE182" i="22"/>
  <c r="AD182" i="22" s="1"/>
  <c r="AA182" i="22" s="1"/>
  <c r="Z182" i="22" s="1"/>
  <c r="Y182" i="22" s="1"/>
  <c r="AE239" i="22"/>
  <c r="AD239" i="22" s="1"/>
  <c r="AE128" i="22"/>
  <c r="AD128" i="22" s="1"/>
  <c r="AE247" i="22"/>
  <c r="AD247" i="22" s="1"/>
  <c r="AE379" i="22"/>
  <c r="AE12" i="23" s="1"/>
  <c r="AE370" i="22"/>
  <c r="AD370" i="22" s="1"/>
  <c r="AE335" i="22"/>
  <c r="AD335" i="22" s="1"/>
  <c r="AE304" i="22"/>
  <c r="AD304" i="22" s="1"/>
  <c r="AA304" i="22" s="1"/>
  <c r="Z304" i="22" s="1"/>
  <c r="Y304" i="22" s="1"/>
  <c r="AE131" i="22"/>
  <c r="AD131" i="22" s="1"/>
  <c r="AE287" i="22"/>
  <c r="AD287" i="22" s="1"/>
  <c r="AA287" i="22" s="1"/>
  <c r="Z287" i="22" s="1"/>
  <c r="Y287" i="22" s="1"/>
  <c r="AE196" i="22"/>
  <c r="AD196" i="22" s="1"/>
  <c r="AA196" i="22" s="1"/>
  <c r="Z196" i="22" s="1"/>
  <c r="Y196" i="22" s="1"/>
  <c r="AE331" i="22"/>
  <c r="AD331" i="22" s="1"/>
  <c r="AE214" i="22"/>
  <c r="AD214" i="22" s="1"/>
  <c r="AA214" i="22" s="1"/>
  <c r="Z214" i="22" s="1"/>
  <c r="Y214" i="22" s="1"/>
  <c r="AE298" i="22"/>
  <c r="AD298" i="22" s="1"/>
  <c r="AA298" i="22" s="1"/>
  <c r="Z298" i="22" s="1"/>
  <c r="Y298" i="22" s="1"/>
  <c r="AE262" i="22"/>
  <c r="AD262" i="22" s="1"/>
  <c r="AE332" i="22"/>
  <c r="AD332" i="22" s="1"/>
  <c r="AA332" i="22" s="1"/>
  <c r="Z332" i="22" s="1"/>
  <c r="Y332" i="22" s="1"/>
  <c r="AE342" i="22"/>
  <c r="AD342" i="22" s="1"/>
  <c r="AE210" i="22"/>
  <c r="AD210" i="22" s="1"/>
  <c r="AE160" i="22"/>
  <c r="AD160" i="22" s="1"/>
  <c r="AE259" i="22"/>
  <c r="AD259" i="22" s="1"/>
  <c r="AA259" i="22" s="1"/>
  <c r="Z259" i="22" s="1"/>
  <c r="Y259" i="22" s="1"/>
  <c r="AE162" i="22"/>
  <c r="AD162" i="22" s="1"/>
  <c r="AA162" i="22" s="1"/>
  <c r="Z162" i="22" s="1"/>
  <c r="Y162" i="22" s="1"/>
  <c r="AE170" i="22"/>
  <c r="AD170" i="22" s="1"/>
  <c r="AE178" i="22"/>
  <c r="AD178" i="22" s="1"/>
  <c r="AE191" i="22"/>
  <c r="AD191" i="22" s="1"/>
  <c r="AA191" i="22" s="1"/>
  <c r="Z191" i="22" s="1"/>
  <c r="Y191" i="22" s="1"/>
  <c r="AE112" i="22"/>
  <c r="AE251" i="22"/>
  <c r="AD251" i="22" s="1"/>
  <c r="AE353" i="22"/>
  <c r="AD353" i="22" s="1"/>
  <c r="AE204" i="22"/>
  <c r="AD204" i="22" s="1"/>
  <c r="AE156" i="22"/>
  <c r="AD156" i="22" s="1"/>
  <c r="AE213" i="22"/>
  <c r="AD213" i="22" s="1"/>
  <c r="AE330" i="22"/>
  <c r="AD330" i="22" s="1"/>
  <c r="AE175" i="22"/>
  <c r="AD175" i="22" s="1"/>
  <c r="AA175" i="22" s="1"/>
  <c r="Z175" i="22" s="1"/>
  <c r="Y175" i="22" s="1"/>
  <c r="AE345" i="22"/>
  <c r="AD345" i="22" s="1"/>
  <c r="AE209" i="22"/>
  <c r="AD209" i="22" s="1"/>
  <c r="AE246" i="22"/>
  <c r="AD246" i="22" s="1"/>
  <c r="AA246" i="22" s="1"/>
  <c r="Z246" i="22" s="1"/>
  <c r="Y246" i="22" s="1"/>
  <c r="AE211" i="22"/>
  <c r="AD211" i="22" s="1"/>
  <c r="AE283" i="22"/>
  <c r="AD283" i="22" s="1"/>
  <c r="AA283" i="22" s="1"/>
  <c r="Z283" i="22" s="1"/>
  <c r="Y283" i="22" s="1"/>
  <c r="AE261" i="22"/>
  <c r="AD261" i="22" s="1"/>
  <c r="AE188" i="22"/>
  <c r="AD188" i="22" s="1"/>
  <c r="AE132" i="22"/>
  <c r="AD132" i="22" s="1"/>
  <c r="AA132" i="22" s="1"/>
  <c r="Z132" i="22" s="1"/>
  <c r="Y132" i="22" s="1"/>
  <c r="AE281" i="22"/>
  <c r="AD281" i="22" s="1"/>
  <c r="AA281" i="22" s="1"/>
  <c r="Z281" i="22" s="1"/>
  <c r="Y281" i="22" s="1"/>
  <c r="AE290" i="22"/>
  <c r="AD290" i="22" s="1"/>
  <c r="AE264" i="22"/>
  <c r="AD264" i="22" s="1"/>
  <c r="AE120" i="22"/>
  <c r="AD120" i="22" s="1"/>
  <c r="AE190" i="22"/>
  <c r="AD190" i="22" s="1"/>
  <c r="AE138" i="22"/>
  <c r="AD138" i="22" s="1"/>
  <c r="AE272" i="22"/>
  <c r="AD272" i="22" s="1"/>
  <c r="AE169" i="22"/>
  <c r="AD169" i="22" s="1"/>
  <c r="AA169" i="22" s="1"/>
  <c r="Z169" i="22" s="1"/>
  <c r="Y169" i="22" s="1"/>
  <c r="AE126" i="22"/>
  <c r="AD126" i="22" s="1"/>
  <c r="AE356" i="22"/>
  <c r="AD356" i="22" s="1"/>
  <c r="AA356" i="22" s="1"/>
  <c r="Z356" i="22" s="1"/>
  <c r="Y356" i="22" s="1"/>
  <c r="AE325" i="22"/>
  <c r="AD325" i="22" s="1"/>
  <c r="AA325" i="22" s="1"/>
  <c r="Z325" i="22" s="1"/>
  <c r="Y325" i="22" s="1"/>
  <c r="AI158" i="22"/>
  <c r="AH158" i="22" s="1"/>
  <c r="I126" i="20"/>
  <c r="J132" i="20"/>
  <c r="I26" i="20"/>
  <c r="I177" i="20"/>
  <c r="J342" i="20"/>
  <c r="I16" i="20"/>
  <c r="J203" i="20"/>
  <c r="I151" i="20"/>
  <c r="J39" i="20"/>
  <c r="J237" i="20"/>
  <c r="J214" i="20"/>
  <c r="H46" i="20"/>
  <c r="I46" i="20" s="1"/>
  <c r="H314" i="20"/>
  <c r="J314" i="20" s="1"/>
  <c r="G326" i="20"/>
  <c r="CB326" i="6" s="1"/>
  <c r="H325" i="20"/>
  <c r="I325" i="20" s="1"/>
  <c r="H325" i="22" s="1"/>
  <c r="G330" i="20"/>
  <c r="CB330" i="6" s="1"/>
  <c r="G109" i="20"/>
  <c r="CB109" i="6" s="1"/>
  <c r="I138" i="20"/>
  <c r="I293" i="20"/>
  <c r="H293" i="22" s="1"/>
  <c r="I31" i="20"/>
  <c r="I200" i="20"/>
  <c r="H200" i="22" s="1"/>
  <c r="J226" i="20"/>
  <c r="AA46" i="20"/>
  <c r="Z46" i="20" s="1"/>
  <c r="Y46" i="20" s="1"/>
  <c r="G202" i="20"/>
  <c r="CB202" i="6" s="1"/>
  <c r="G325" i="20"/>
  <c r="CB325" i="6" s="1"/>
  <c r="H98" i="20"/>
  <c r="J98" i="20" s="1"/>
  <c r="J21" i="20"/>
  <c r="I198" i="20"/>
  <c r="M66" i="19"/>
  <c r="AD176" i="22"/>
  <c r="H207" i="20"/>
  <c r="I207" i="20" s="1"/>
  <c r="H207" i="22" s="1"/>
  <c r="G131" i="20"/>
  <c r="CB131" i="6" s="1"/>
  <c r="AD318" i="22"/>
  <c r="AA318" i="22" s="1"/>
  <c r="Z318" i="22" s="1"/>
  <c r="Y318" i="22" s="1"/>
  <c r="AD111" i="22"/>
  <c r="AA111" i="22" s="1"/>
  <c r="Z111" i="22" s="1"/>
  <c r="Y111" i="22" s="1"/>
  <c r="AD168" i="22"/>
  <c r="AD119" i="22"/>
  <c r="AD194" i="22"/>
  <c r="AA194" i="22" s="1"/>
  <c r="Z194" i="22" s="1"/>
  <c r="Y194" i="22" s="1"/>
  <c r="AD155" i="22"/>
  <c r="AA155" i="22" s="1"/>
  <c r="Z155" i="22" s="1"/>
  <c r="Y155" i="22" s="1"/>
  <c r="H260" i="20"/>
  <c r="I260" i="20" s="1"/>
  <c r="D14" i="19"/>
  <c r="G38" i="19"/>
  <c r="AN15" i="7"/>
  <c r="Q12" i="23"/>
  <c r="Q381" i="22"/>
  <c r="Q383" i="22"/>
  <c r="Q382" i="22"/>
  <c r="V195" i="22"/>
  <c r="B195" i="22" s="1"/>
  <c r="D195" i="22" s="1"/>
  <c r="E195" i="22" s="1"/>
  <c r="F195" i="22" s="1"/>
  <c r="AA195" i="22" s="1"/>
  <c r="Z195" i="22" s="1"/>
  <c r="Y195" i="22" s="1"/>
  <c r="I192" i="20"/>
  <c r="J204" i="20"/>
  <c r="J38" i="20"/>
  <c r="J176" i="20"/>
  <c r="B60" i="22"/>
  <c r="W60" i="22" s="1"/>
  <c r="I30" i="20"/>
  <c r="AA370" i="20"/>
  <c r="Z370" i="20" s="1"/>
  <c r="Y370" i="20" s="1"/>
  <c r="H326" i="20"/>
  <c r="I326" i="20" s="1"/>
  <c r="H326" i="22" s="1"/>
  <c r="AA35" i="20"/>
  <c r="Z35" i="20" s="1"/>
  <c r="Y35" i="20" s="1"/>
  <c r="I108" i="20"/>
  <c r="H108" i="22" s="1"/>
  <c r="I104" i="20"/>
  <c r="AA108" i="20"/>
  <c r="Z108" i="20" s="1"/>
  <c r="Y108" i="20" s="1"/>
  <c r="H221" i="20"/>
  <c r="I221" i="20" s="1"/>
  <c r="G212" i="20"/>
  <c r="CB212" i="6" s="1"/>
  <c r="H109" i="20"/>
  <c r="I109" i="20" s="1"/>
  <c r="AA215" i="20"/>
  <c r="Z215" i="20" s="1"/>
  <c r="Y215" i="20" s="1"/>
  <c r="AA131" i="20"/>
  <c r="Z131" i="20" s="1"/>
  <c r="Y131" i="20" s="1"/>
  <c r="H25" i="20"/>
  <c r="I25" i="20" s="1"/>
  <c r="AA212" i="20"/>
  <c r="Z212" i="20" s="1"/>
  <c r="Y212" i="20" s="1"/>
  <c r="AA330" i="20"/>
  <c r="Z330" i="20" s="1"/>
  <c r="Y330" i="20" s="1"/>
  <c r="AA221" i="20"/>
  <c r="Z221" i="20" s="1"/>
  <c r="Y221" i="20" s="1"/>
  <c r="G98" i="20"/>
  <c r="CB98" i="6" s="1"/>
  <c r="H220" i="20"/>
  <c r="I220" i="20" s="1"/>
  <c r="H35" i="20"/>
  <c r="J35" i="20" s="1"/>
  <c r="G314" i="20"/>
  <c r="CB314" i="6" s="1"/>
  <c r="AA28" i="20"/>
  <c r="Z28" i="20" s="1"/>
  <c r="Y28" i="20" s="1"/>
  <c r="H157" i="20"/>
  <c r="H286" i="20"/>
  <c r="J286" i="20" s="1"/>
  <c r="AA186" i="20"/>
  <c r="Z186" i="20" s="1"/>
  <c r="Y186" i="20" s="1"/>
  <c r="G279" i="20"/>
  <c r="CB279" i="6" s="1"/>
  <c r="AA374" i="20"/>
  <c r="Z374" i="20" s="1"/>
  <c r="Y374" i="20" s="1"/>
  <c r="G374" i="20"/>
  <c r="CB374" i="6" s="1"/>
  <c r="G144" i="20"/>
  <c r="CB144" i="6" s="1"/>
  <c r="H215" i="20"/>
  <c r="I215" i="20" s="1"/>
  <c r="G92" i="20"/>
  <c r="CB92" i="6" s="1"/>
  <c r="AA87" i="20"/>
  <c r="Z87" i="20" s="1"/>
  <c r="Y87" i="20" s="1"/>
  <c r="AA126" i="20"/>
  <c r="Z126" i="20" s="1"/>
  <c r="Y126" i="20" s="1"/>
  <c r="AA324" i="20"/>
  <c r="Z324" i="20" s="1"/>
  <c r="Y324" i="20" s="1"/>
  <c r="G322" i="20"/>
  <c r="CB322" i="6" s="1"/>
  <c r="H231" i="20"/>
  <c r="J231" i="20" s="1"/>
  <c r="G25" i="20"/>
  <c r="CB25" i="6" s="1"/>
  <c r="H324" i="20"/>
  <c r="I324" i="20" s="1"/>
  <c r="AA229" i="20"/>
  <c r="Z229" i="20" s="1"/>
  <c r="Y229" i="20" s="1"/>
  <c r="G231" i="20"/>
  <c r="CB231" i="6" s="1"/>
  <c r="G31" i="20"/>
  <c r="CB31" i="6" s="1"/>
  <c r="AA157" i="20"/>
  <c r="Z157" i="20" s="1"/>
  <c r="Y157" i="20" s="1"/>
  <c r="H179" i="20"/>
  <c r="AA260" i="20"/>
  <c r="Z260" i="20" s="1"/>
  <c r="Y260" i="20" s="1"/>
  <c r="G201" i="20"/>
  <c r="CB201" i="6" s="1"/>
  <c r="H89" i="20"/>
  <c r="J89" i="20" s="1"/>
  <c r="AA101" i="20"/>
  <c r="Z101" i="20" s="1"/>
  <c r="Y101" i="20" s="1"/>
  <c r="G312" i="20"/>
  <c r="CB312" i="6" s="1"/>
  <c r="H361" i="20"/>
  <c r="I361" i="20" s="1"/>
  <c r="H361" i="22" s="1"/>
  <c r="AA100" i="20"/>
  <c r="Z100" i="20" s="1"/>
  <c r="Y100" i="20" s="1"/>
  <c r="H23" i="20"/>
  <c r="J23" i="20" s="1"/>
  <c r="G337" i="20"/>
  <c r="CB337" i="6" s="1"/>
  <c r="H308" i="20"/>
  <c r="I308" i="20" s="1"/>
  <c r="H308" i="22" s="1"/>
  <c r="H320" i="20"/>
  <c r="I320" i="20" s="1"/>
  <c r="AA78" i="20"/>
  <c r="Z78" i="20" s="1"/>
  <c r="Y78" i="20" s="1"/>
  <c r="H165" i="20"/>
  <c r="J165" i="20" s="1"/>
  <c r="H87" i="20"/>
  <c r="I87" i="20" s="1"/>
  <c r="AA165" i="20"/>
  <c r="Z165" i="20" s="1"/>
  <c r="Y165" i="20" s="1"/>
  <c r="G169" i="20"/>
  <c r="CB169" i="6" s="1"/>
  <c r="H44" i="20"/>
  <c r="I44" i="20" s="1"/>
  <c r="AA361" i="20"/>
  <c r="Z361" i="20" s="1"/>
  <c r="Y361" i="20" s="1"/>
  <c r="H261" i="20"/>
  <c r="J261" i="20" s="1"/>
  <c r="G220" i="20"/>
  <c r="CB220" i="6" s="1"/>
  <c r="G307" i="20"/>
  <c r="CB307" i="6" s="1"/>
  <c r="AA31" i="20"/>
  <c r="Z31" i="20" s="1"/>
  <c r="Y31" i="20" s="1"/>
  <c r="G19" i="20"/>
  <c r="CB19" i="6" s="1"/>
  <c r="H312" i="20"/>
  <c r="I312" i="20" s="1"/>
  <c r="H205" i="20"/>
  <c r="J205" i="20" s="1"/>
  <c r="H150" i="20"/>
  <c r="I150" i="20" s="1"/>
  <c r="H150" i="22" s="1"/>
  <c r="H163" i="20"/>
  <c r="I163" i="20" s="1"/>
  <c r="H163" i="22" s="1"/>
  <c r="J36" i="20"/>
  <c r="J343" i="20"/>
  <c r="J238" i="20"/>
  <c r="I306" i="20"/>
  <c r="J75" i="20"/>
  <c r="J310" i="20"/>
  <c r="Y4" i="6"/>
  <c r="G179" i="20"/>
  <c r="CB179" i="6" s="1"/>
  <c r="H202" i="20"/>
  <c r="J202" i="20" s="1"/>
  <c r="AA320" i="20"/>
  <c r="Z320" i="20" s="1"/>
  <c r="Y320" i="20" s="1"/>
  <c r="G205" i="20"/>
  <c r="CB205" i="6" s="1"/>
  <c r="H148" i="20"/>
  <c r="J148" i="20" s="1"/>
  <c r="G293" i="20"/>
  <c r="CB293" i="6" s="1"/>
  <c r="H137" i="20"/>
  <c r="H353" i="20"/>
  <c r="I353" i="20" s="1"/>
  <c r="G269" i="20"/>
  <c r="CB269" i="6" s="1"/>
  <c r="G242" i="20"/>
  <c r="CB242" i="6" s="1"/>
  <c r="AA150" i="20"/>
  <c r="Z150" i="20" s="1"/>
  <c r="Y150" i="20" s="1"/>
  <c r="G163" i="20"/>
  <c r="CB163" i="6" s="1"/>
  <c r="H322" i="20"/>
  <c r="J322" i="20" s="1"/>
  <c r="AA307" i="20"/>
  <c r="Z307" i="20" s="1"/>
  <c r="Y307" i="20" s="1"/>
  <c r="G137" i="20"/>
  <c r="CB137" i="6" s="1"/>
  <c r="H64" i="20"/>
  <c r="J64" i="20" s="1"/>
  <c r="AA261" i="20"/>
  <c r="Z261" i="20" s="1"/>
  <c r="Y261" i="20" s="1"/>
  <c r="J224" i="20"/>
  <c r="J158" i="20"/>
  <c r="I52" i="20"/>
  <c r="H180" i="20"/>
  <c r="I180" i="20" s="1"/>
  <c r="J218" i="20"/>
  <c r="I133" i="20"/>
  <c r="J101" i="20"/>
  <c r="J254" i="20"/>
  <c r="J281" i="20"/>
  <c r="I50" i="20"/>
  <c r="H50" i="22" s="1"/>
  <c r="G256" i="20"/>
  <c r="CB256" i="6" s="1"/>
  <c r="G53" i="20"/>
  <c r="CB53" i="6" s="1"/>
  <c r="H201" i="20"/>
  <c r="I201" i="20" s="1"/>
  <c r="H335" i="20"/>
  <c r="J335" i="20" s="1"/>
  <c r="H169" i="20"/>
  <c r="J169" i="20" s="1"/>
  <c r="H256" i="20"/>
  <c r="I256" i="20" s="1"/>
  <c r="AA335" i="20"/>
  <c r="Z335" i="20" s="1"/>
  <c r="Y335" i="20" s="1"/>
  <c r="AA52" i="20"/>
  <c r="Z52" i="20" s="1"/>
  <c r="Y52" i="20" s="1"/>
  <c r="H269" i="20"/>
  <c r="H144" i="20"/>
  <c r="I144" i="20" s="1"/>
  <c r="H188" i="20"/>
  <c r="I188" i="20" s="1"/>
  <c r="H253" i="20"/>
  <c r="J253" i="20" s="1"/>
  <c r="G253" i="20"/>
  <c r="CB253" i="6" s="1"/>
  <c r="AA293" i="20"/>
  <c r="Z293" i="20" s="1"/>
  <c r="Y293" i="20" s="1"/>
  <c r="AA188" i="20"/>
  <c r="Z188" i="20" s="1"/>
  <c r="Y188" i="20" s="1"/>
  <c r="H348" i="20"/>
  <c r="I348" i="20" s="1"/>
  <c r="AA308" i="20"/>
  <c r="Z308" i="20" s="1"/>
  <c r="Y308" i="20" s="1"/>
  <c r="AA376" i="20"/>
  <c r="Z376" i="20" s="1"/>
  <c r="Y376" i="20" s="1"/>
  <c r="AA353" i="20"/>
  <c r="Z353" i="20" s="1"/>
  <c r="Y353" i="20" s="1"/>
  <c r="I259" i="20"/>
  <c r="H259" i="22" s="1"/>
  <c r="J351" i="20"/>
  <c r="I206" i="20"/>
  <c r="I83" i="20"/>
  <c r="H83" i="22" s="1"/>
  <c r="J236" i="20"/>
  <c r="J100" i="20"/>
  <c r="I90" i="20"/>
  <c r="J360" i="20"/>
  <c r="I233" i="20"/>
  <c r="I338" i="20"/>
  <c r="J32" i="20"/>
  <c r="G190" i="20"/>
  <c r="CB190" i="6" s="1"/>
  <c r="G223" i="20"/>
  <c r="CB223" i="6" s="1"/>
  <c r="AA200" i="20"/>
  <c r="Z200" i="20" s="1"/>
  <c r="Y200" i="20" s="1"/>
  <c r="H223" i="20"/>
  <c r="J223" i="20" s="1"/>
  <c r="AA236" i="20"/>
  <c r="Z236" i="20" s="1"/>
  <c r="Y236" i="20" s="1"/>
  <c r="H376" i="20"/>
  <c r="AA23" i="20"/>
  <c r="Z23" i="20" s="1"/>
  <c r="Y23" i="20" s="1"/>
  <c r="H337" i="20"/>
  <c r="J337" i="20" s="1"/>
  <c r="G100" i="20"/>
  <c r="CB100" i="6" s="1"/>
  <c r="G101" i="20"/>
  <c r="CB101" i="6" s="1"/>
  <c r="G173" i="20"/>
  <c r="CB173" i="6" s="1"/>
  <c r="G200" i="20"/>
  <c r="CB200" i="6" s="1"/>
  <c r="H190" i="20"/>
  <c r="J190" i="20" s="1"/>
  <c r="AA89" i="20"/>
  <c r="Z89" i="20" s="1"/>
  <c r="Y89" i="20" s="1"/>
  <c r="AA323" i="20"/>
  <c r="Z323" i="20" s="1"/>
  <c r="Y323" i="20" s="1"/>
  <c r="H173" i="20"/>
  <c r="I173" i="20" s="1"/>
  <c r="H173" i="22" s="1"/>
  <c r="AA148" i="20"/>
  <c r="Z148" i="20" s="1"/>
  <c r="Y148" i="20" s="1"/>
  <c r="AA358" i="20"/>
  <c r="Z358" i="20" s="1"/>
  <c r="Y358" i="20" s="1"/>
  <c r="G236" i="20"/>
  <c r="CB236" i="6" s="1"/>
  <c r="G52" i="20"/>
  <c r="CB52" i="6" s="1"/>
  <c r="H358" i="20"/>
  <c r="G143" i="20"/>
  <c r="CB143" i="6" s="1"/>
  <c r="H323" i="20"/>
  <c r="J323" i="20" s="1"/>
  <c r="H143" i="20"/>
  <c r="H242" i="20"/>
  <c r="J242" i="20" s="1"/>
  <c r="J216" i="20"/>
  <c r="I146" i="20"/>
  <c r="J357" i="20"/>
  <c r="I378" i="20"/>
  <c r="H378" i="22" s="1"/>
  <c r="I128" i="20"/>
  <c r="W293" i="22"/>
  <c r="AH33" i="7"/>
  <c r="I102" i="20"/>
  <c r="H102" i="22" s="1"/>
  <c r="G354" i="20"/>
  <c r="CB354" i="6" s="1"/>
  <c r="G186" i="20"/>
  <c r="CB186" i="6" s="1"/>
  <c r="G102" i="20"/>
  <c r="CB102" i="6" s="1"/>
  <c r="AA102" i="20"/>
  <c r="Z102" i="20" s="1"/>
  <c r="Y102" i="20" s="1"/>
  <c r="G69" i="20"/>
  <c r="CB69" i="6" s="1"/>
  <c r="G108" i="20"/>
  <c r="CB108" i="6" s="1"/>
  <c r="AA19" i="20"/>
  <c r="Z19" i="20" s="1"/>
  <c r="Y19" i="20" s="1"/>
  <c r="J185" i="20"/>
  <c r="I185" i="20"/>
  <c r="H185" i="22" s="1"/>
  <c r="J362" i="20"/>
  <c r="I362" i="20"/>
  <c r="I139" i="20"/>
  <c r="J139" i="20"/>
  <c r="W379" i="20"/>
  <c r="D379" i="20"/>
  <c r="E379" i="20" s="1"/>
  <c r="F379" i="20" s="1"/>
  <c r="G379" i="20" s="1"/>
  <c r="CB379" i="6" s="1"/>
  <c r="H208" i="20"/>
  <c r="G208" i="20"/>
  <c r="CB208" i="6" s="1"/>
  <c r="H296" i="20"/>
  <c r="G296" i="20"/>
  <c r="CB296" i="6" s="1"/>
  <c r="AA172" i="20"/>
  <c r="Z172" i="20" s="1"/>
  <c r="Y172" i="20" s="1"/>
  <c r="G172" i="20"/>
  <c r="CB172" i="6" s="1"/>
  <c r="G170" i="20"/>
  <c r="CB170" i="6" s="1"/>
  <c r="AA170" i="20"/>
  <c r="Z170" i="20" s="1"/>
  <c r="Y170" i="20" s="1"/>
  <c r="G147" i="20"/>
  <c r="CB147" i="6" s="1"/>
  <c r="H147" i="20"/>
  <c r="H77" i="20"/>
  <c r="G77" i="20"/>
  <c r="CB77" i="6" s="1"/>
  <c r="G266" i="20"/>
  <c r="CB266" i="6" s="1"/>
  <c r="AA266" i="20"/>
  <c r="Z266" i="20" s="1"/>
  <c r="Y266" i="20" s="1"/>
  <c r="H266" i="20"/>
  <c r="H271" i="20"/>
  <c r="AA271" i="20"/>
  <c r="Z271" i="20" s="1"/>
  <c r="Y271" i="20" s="1"/>
  <c r="G271" i="20"/>
  <c r="CB271" i="6" s="1"/>
  <c r="G122" i="20"/>
  <c r="CB122" i="6" s="1"/>
  <c r="AA122" i="20"/>
  <c r="Z122" i="20" s="1"/>
  <c r="Y122" i="20" s="1"/>
  <c r="G79" i="20"/>
  <c r="CB79" i="6" s="1"/>
  <c r="AA79" i="20"/>
  <c r="Z79" i="20" s="1"/>
  <c r="Y79" i="20" s="1"/>
  <c r="AA232" i="20"/>
  <c r="Z232" i="20" s="1"/>
  <c r="Y232" i="20" s="1"/>
  <c r="G232" i="20"/>
  <c r="CB232" i="6" s="1"/>
  <c r="H232" i="20"/>
  <c r="J232" i="20" s="1"/>
  <c r="AA24" i="20"/>
  <c r="Z24" i="20" s="1"/>
  <c r="Y24" i="20" s="1"/>
  <c r="G24" i="20"/>
  <c r="CB24" i="6" s="1"/>
  <c r="G251" i="20"/>
  <c r="CB251" i="6" s="1"/>
  <c r="H251" i="20"/>
  <c r="J251" i="20" s="1"/>
  <c r="AA251" i="20"/>
  <c r="Z251" i="20" s="1"/>
  <c r="Y251" i="20" s="1"/>
  <c r="H71" i="20"/>
  <c r="G71" i="20"/>
  <c r="CB71" i="6" s="1"/>
  <c r="G289" i="20"/>
  <c r="CB289" i="6" s="1"/>
  <c r="AA289" i="20"/>
  <c r="Z289" i="20" s="1"/>
  <c r="Y289" i="20" s="1"/>
  <c r="AA346" i="20"/>
  <c r="Z346" i="20" s="1"/>
  <c r="Y346" i="20" s="1"/>
  <c r="H346" i="20"/>
  <c r="J346" i="20" s="1"/>
  <c r="AA145" i="20"/>
  <c r="Z145" i="20" s="1"/>
  <c r="Y145" i="20" s="1"/>
  <c r="H145" i="20"/>
  <c r="I145" i="20" s="1"/>
  <c r="AA40" i="20"/>
  <c r="Z40" i="20" s="1"/>
  <c r="Y40" i="20" s="1"/>
  <c r="H40" i="20"/>
  <c r="I40" i="20" s="1"/>
  <c r="H40" i="22" s="1"/>
  <c r="H364" i="20"/>
  <c r="AA364" i="20"/>
  <c r="Z364" i="20" s="1"/>
  <c r="Y364" i="20" s="1"/>
  <c r="G364" i="20"/>
  <c r="CB364" i="6" s="1"/>
  <c r="AA277" i="20"/>
  <c r="Z277" i="20" s="1"/>
  <c r="Y277" i="20" s="1"/>
  <c r="G277" i="20"/>
  <c r="CB277" i="6" s="1"/>
  <c r="H277" i="20"/>
  <c r="J277" i="20" s="1"/>
  <c r="G345" i="20"/>
  <c r="CB345" i="6" s="1"/>
  <c r="AA345" i="20"/>
  <c r="Z345" i="20" s="1"/>
  <c r="Y345" i="20" s="1"/>
  <c r="G76" i="20"/>
  <c r="CB76" i="6" s="1"/>
  <c r="AA76" i="20"/>
  <c r="Z76" i="20" s="1"/>
  <c r="Y76" i="20" s="1"/>
  <c r="G106" i="20"/>
  <c r="CB106" i="6" s="1"/>
  <c r="H106" i="20"/>
  <c r="I106" i="20" s="1"/>
  <c r="H106" i="22" s="1"/>
  <c r="AA115" i="20"/>
  <c r="Z115" i="20" s="1"/>
  <c r="Y115" i="20" s="1"/>
  <c r="H115" i="20"/>
  <c r="G310" i="20"/>
  <c r="CB310" i="6" s="1"/>
  <c r="AA310" i="20"/>
  <c r="Z310" i="20" s="1"/>
  <c r="Y310" i="20" s="1"/>
  <c r="AA181" i="20"/>
  <c r="Z181" i="20" s="1"/>
  <c r="Y181" i="20" s="1"/>
  <c r="H181" i="20"/>
  <c r="I181" i="20" s="1"/>
  <c r="H181" i="22" s="1"/>
  <c r="G287" i="20"/>
  <c r="CB287" i="6" s="1"/>
  <c r="H287" i="20"/>
  <c r="J287" i="20" s="1"/>
  <c r="H247" i="20"/>
  <c r="AA247" i="20"/>
  <c r="Z247" i="20" s="1"/>
  <c r="Y247" i="20" s="1"/>
  <c r="H294" i="20"/>
  <c r="G294" i="20"/>
  <c r="CB294" i="6" s="1"/>
  <c r="H350" i="20"/>
  <c r="G350" i="20"/>
  <c r="CB350" i="6" s="1"/>
  <c r="AA185" i="20"/>
  <c r="Z185" i="20" s="1"/>
  <c r="Y185" i="20" s="1"/>
  <c r="G185" i="20"/>
  <c r="CB185" i="6" s="1"/>
  <c r="G139" i="20"/>
  <c r="CB139" i="6" s="1"/>
  <c r="AA139" i="20"/>
  <c r="Z139" i="20" s="1"/>
  <c r="Y139" i="20" s="1"/>
  <c r="G174" i="20"/>
  <c r="CB174" i="6" s="1"/>
  <c r="AA174" i="20"/>
  <c r="Z174" i="20" s="1"/>
  <c r="Y174" i="20" s="1"/>
  <c r="H299" i="20"/>
  <c r="G299" i="20"/>
  <c r="CB299" i="6" s="1"/>
  <c r="H329" i="20"/>
  <c r="G329" i="20"/>
  <c r="CB329" i="6" s="1"/>
  <c r="I300" i="20"/>
  <c r="H300" i="22" s="1"/>
  <c r="J300" i="20"/>
  <c r="AA297" i="20"/>
  <c r="Z297" i="20" s="1"/>
  <c r="Y297" i="20" s="1"/>
  <c r="G297" i="20"/>
  <c r="CB297" i="6" s="1"/>
  <c r="H297" i="20"/>
  <c r="G234" i="20"/>
  <c r="CB234" i="6" s="1"/>
  <c r="H234" i="20"/>
  <c r="J234" i="20" s="1"/>
  <c r="AA129" i="20"/>
  <c r="Z129" i="20" s="1"/>
  <c r="Y129" i="20" s="1"/>
  <c r="H129" i="20"/>
  <c r="J129" i="20" s="1"/>
  <c r="G129" i="20"/>
  <c r="CB129" i="6" s="1"/>
  <c r="AA111" i="20"/>
  <c r="Z111" i="20" s="1"/>
  <c r="Y111" i="20" s="1"/>
  <c r="G111" i="20"/>
  <c r="CB111" i="6" s="1"/>
  <c r="AA81" i="20"/>
  <c r="Z81" i="20" s="1"/>
  <c r="Y81" i="20" s="1"/>
  <c r="H81" i="20"/>
  <c r="J81" i="20" s="1"/>
  <c r="G154" i="20"/>
  <c r="CB154" i="6" s="1"/>
  <c r="AA154" i="20"/>
  <c r="Z154" i="20" s="1"/>
  <c r="Y154" i="20" s="1"/>
  <c r="J194" i="20"/>
  <c r="J117" i="20"/>
  <c r="J79" i="20"/>
  <c r="I118" i="20"/>
  <c r="H118" i="22" s="1"/>
  <c r="I189" i="20"/>
  <c r="J377" i="20"/>
  <c r="J274" i="20"/>
  <c r="J186" i="20"/>
  <c r="I182" i="20"/>
  <c r="H182" i="22" s="1"/>
  <c r="I298" i="20"/>
  <c r="H298" i="22" s="1"/>
  <c r="I161" i="20"/>
  <c r="H161" i="22" s="1"/>
  <c r="J372" i="20"/>
  <c r="I96" i="20"/>
  <c r="I152" i="20"/>
  <c r="AA208" i="20"/>
  <c r="Z208" i="20" s="1"/>
  <c r="Y208" i="20" s="1"/>
  <c r="AA286" i="20"/>
  <c r="Z286" i="20" s="1"/>
  <c r="Y286" i="20" s="1"/>
  <c r="G81" i="20"/>
  <c r="CB81" i="6" s="1"/>
  <c r="H69" i="20"/>
  <c r="J69" i="20" s="1"/>
  <c r="H172" i="20"/>
  <c r="I172" i="20" s="1"/>
  <c r="H172" i="22" s="1"/>
  <c r="H235" i="20"/>
  <c r="J235" i="20" s="1"/>
  <c r="G369" i="20"/>
  <c r="CB369" i="6" s="1"/>
  <c r="H67" i="20"/>
  <c r="J67" i="20" s="1"/>
  <c r="H86" i="20"/>
  <c r="J86" i="20" s="1"/>
  <c r="AA147" i="20"/>
  <c r="Z147" i="20" s="1"/>
  <c r="Y147" i="20" s="1"/>
  <c r="H289" i="20"/>
  <c r="I289" i="20" s="1"/>
  <c r="H24" i="20"/>
  <c r="J24" i="20" s="1"/>
  <c r="AA96" i="20"/>
  <c r="Z96" i="20" s="1"/>
  <c r="Y96" i="20" s="1"/>
  <c r="H76" i="20"/>
  <c r="J76" i="20" s="1"/>
  <c r="G126" i="20"/>
  <c r="CB126" i="6" s="1"/>
  <c r="AA44" i="20"/>
  <c r="Z44" i="20" s="1"/>
  <c r="Y44" i="20" s="1"/>
  <c r="G96" i="20"/>
  <c r="CB96" i="6" s="1"/>
  <c r="AA294" i="20"/>
  <c r="Z294" i="20" s="1"/>
  <c r="Y294" i="20" s="1"/>
  <c r="AA235" i="20"/>
  <c r="Z235" i="20" s="1"/>
  <c r="Y235" i="20" s="1"/>
  <c r="G86" i="20"/>
  <c r="CB86" i="6" s="1"/>
  <c r="G247" i="20"/>
  <c r="CB247" i="6" s="1"/>
  <c r="AA77" i="20"/>
  <c r="Z77" i="20" s="1"/>
  <c r="Y77" i="20" s="1"/>
  <c r="H369" i="20"/>
  <c r="I369" i="20" s="1"/>
  <c r="AA329" i="20"/>
  <c r="Z329" i="20" s="1"/>
  <c r="Y329" i="20" s="1"/>
  <c r="AA287" i="20"/>
  <c r="Z287" i="20" s="1"/>
  <c r="Y287" i="20" s="1"/>
  <c r="J243" i="20"/>
  <c r="I243" i="20"/>
  <c r="H243" i="22" s="1"/>
  <c r="G166" i="20"/>
  <c r="CB166" i="6" s="1"/>
  <c r="H53" i="20"/>
  <c r="H273" i="20"/>
  <c r="AA273" i="20"/>
  <c r="Z273" i="20" s="1"/>
  <c r="Y273" i="20" s="1"/>
  <c r="AA64" i="20"/>
  <c r="Z64" i="20" s="1"/>
  <c r="Y64" i="20" s="1"/>
  <c r="G338" i="20"/>
  <c r="CB338" i="6" s="1"/>
  <c r="AA338" i="20"/>
  <c r="Z338" i="20" s="1"/>
  <c r="Y338" i="20" s="1"/>
  <c r="AA344" i="20"/>
  <c r="Z344" i="20" s="1"/>
  <c r="Y344" i="20" s="1"/>
  <c r="G344" i="20"/>
  <c r="CB344" i="6" s="1"/>
  <c r="I114" i="20"/>
  <c r="H114" i="22" s="1"/>
  <c r="J114" i="20"/>
  <c r="G348" i="20"/>
  <c r="CB348" i="6" s="1"/>
  <c r="W241" i="20"/>
  <c r="D333" i="20"/>
  <c r="E333" i="20" s="1"/>
  <c r="F333" i="20" s="1"/>
  <c r="G333" i="20" s="1"/>
  <c r="CB333" i="6" s="1"/>
  <c r="W119" i="20"/>
  <c r="AA119" i="20"/>
  <c r="Z119" i="20" s="1"/>
  <c r="Y119" i="20" s="1"/>
  <c r="H119" i="20"/>
  <c r="J119" i="20" s="1"/>
  <c r="G119" i="20"/>
  <c r="CB119" i="6" s="1"/>
  <c r="AA241" i="20"/>
  <c r="Z241" i="20" s="1"/>
  <c r="Y241" i="20" s="1"/>
  <c r="H241" i="20"/>
  <c r="I241" i="20" s="1"/>
  <c r="G241" i="20"/>
  <c r="CB241" i="6" s="1"/>
  <c r="J19" i="20"/>
  <c r="I19" i="20"/>
  <c r="H19" i="22" s="1"/>
  <c r="D60" i="20"/>
  <c r="E60" i="20" s="1"/>
  <c r="F60" i="20" s="1"/>
  <c r="G60" i="20" s="1"/>
  <c r="CB60" i="6" s="1"/>
  <c r="H78" i="20"/>
  <c r="D29" i="20"/>
  <c r="E29" i="20" s="1"/>
  <c r="F29" i="20" s="1"/>
  <c r="G29" i="20" s="1"/>
  <c r="CB29" i="6" s="1"/>
  <c r="H127" i="20"/>
  <c r="AA127" i="20"/>
  <c r="Z127" i="20" s="1"/>
  <c r="Y127" i="20" s="1"/>
  <c r="I374" i="20"/>
  <c r="H374" i="22" s="1"/>
  <c r="J84" i="20"/>
  <c r="I17" i="20"/>
  <c r="I130" i="20"/>
  <c r="H166" i="20"/>
  <c r="I166" i="20" s="1"/>
  <c r="G67" i="20"/>
  <c r="CB67" i="6" s="1"/>
  <c r="H354" i="20"/>
  <c r="I354" i="20" s="1"/>
  <c r="H103" i="20"/>
  <c r="I103" i="20" s="1"/>
  <c r="H279" i="20"/>
  <c r="J279" i="20" s="1"/>
  <c r="G49" i="20"/>
  <c r="CB49" i="6" s="1"/>
  <c r="AA103" i="20"/>
  <c r="Z103" i="20" s="1"/>
  <c r="Y103" i="20" s="1"/>
  <c r="G127" i="20"/>
  <c r="CB127" i="6" s="1"/>
  <c r="H49" i="20"/>
  <c r="AA17" i="20"/>
  <c r="Z17" i="20" s="1"/>
  <c r="Y17" i="20" s="1"/>
  <c r="G17" i="20"/>
  <c r="CB17" i="6" s="1"/>
  <c r="G142" i="20"/>
  <c r="CB142" i="6" s="1"/>
  <c r="AA142" i="20"/>
  <c r="Z142" i="20" s="1"/>
  <c r="Y142" i="20" s="1"/>
  <c r="AA193" i="20"/>
  <c r="Z193" i="20" s="1"/>
  <c r="Y193" i="20" s="1"/>
  <c r="H193" i="20"/>
  <c r="G193" i="20"/>
  <c r="CB193" i="6" s="1"/>
  <c r="H113" i="20"/>
  <c r="G113" i="20"/>
  <c r="CB113" i="6" s="1"/>
  <c r="AA113" i="20"/>
  <c r="Z113" i="20" s="1"/>
  <c r="Y113" i="20" s="1"/>
  <c r="G268" i="20"/>
  <c r="CB268" i="6" s="1"/>
  <c r="AA268" i="20"/>
  <c r="Z268" i="20" s="1"/>
  <c r="Y268" i="20" s="1"/>
  <c r="H268" i="20"/>
  <c r="AA93" i="20"/>
  <c r="Z93" i="20" s="1"/>
  <c r="Y93" i="20" s="1"/>
  <c r="G93" i="20"/>
  <c r="CB93" i="6" s="1"/>
  <c r="H93" i="20"/>
  <c r="G327" i="20"/>
  <c r="CB327" i="6" s="1"/>
  <c r="AA327" i="20"/>
  <c r="Z327" i="20" s="1"/>
  <c r="Y327" i="20" s="1"/>
  <c r="H199" i="20"/>
  <c r="AA199" i="20"/>
  <c r="Z199" i="20" s="1"/>
  <c r="Y199" i="20" s="1"/>
  <c r="G199" i="20"/>
  <c r="CB199" i="6" s="1"/>
  <c r="G267" i="20"/>
  <c r="CB267" i="6" s="1"/>
  <c r="AA267" i="20"/>
  <c r="Z267" i="20" s="1"/>
  <c r="Y267" i="20" s="1"/>
  <c r="AA48" i="20"/>
  <c r="Z48" i="20" s="1"/>
  <c r="Y48" i="20" s="1"/>
  <c r="G48" i="20"/>
  <c r="CB48" i="6" s="1"/>
  <c r="G51" i="20"/>
  <c r="CB51" i="6" s="1"/>
  <c r="AA51" i="20"/>
  <c r="Z51" i="20" s="1"/>
  <c r="Y51" i="20" s="1"/>
  <c r="H51" i="20"/>
  <c r="AA257" i="20"/>
  <c r="Z257" i="20" s="1"/>
  <c r="Y257" i="20" s="1"/>
  <c r="H257" i="20"/>
  <c r="G257" i="20"/>
  <c r="CB257" i="6" s="1"/>
  <c r="G373" i="20"/>
  <c r="CB373" i="6" s="1"/>
  <c r="AA373" i="20"/>
  <c r="Z373" i="20" s="1"/>
  <c r="Y373" i="20" s="1"/>
  <c r="H373" i="20"/>
  <c r="G371" i="20"/>
  <c r="CB371" i="6" s="1"/>
  <c r="AA371" i="20"/>
  <c r="Z371" i="20" s="1"/>
  <c r="Y371" i="20" s="1"/>
  <c r="H371" i="20"/>
  <c r="G167" i="20"/>
  <c r="CB167" i="6" s="1"/>
  <c r="H167" i="20"/>
  <c r="AA167" i="20"/>
  <c r="Z167" i="20" s="1"/>
  <c r="Y167" i="20" s="1"/>
  <c r="AA316" i="20"/>
  <c r="Z316" i="20" s="1"/>
  <c r="Y316" i="20" s="1"/>
  <c r="H316" i="20"/>
  <c r="G316" i="20"/>
  <c r="CB316" i="6" s="1"/>
  <c r="AA270" i="20"/>
  <c r="Z270" i="20" s="1"/>
  <c r="Y270" i="20" s="1"/>
  <c r="G270" i="20"/>
  <c r="CB270" i="6" s="1"/>
  <c r="H270" i="20"/>
  <c r="H22" i="20"/>
  <c r="G22" i="20"/>
  <c r="CB22" i="6" s="1"/>
  <c r="AA22" i="20"/>
  <c r="Z22" i="20" s="1"/>
  <c r="Y22" i="20" s="1"/>
  <c r="H295" i="20"/>
  <c r="AA295" i="20"/>
  <c r="Z295" i="20" s="1"/>
  <c r="Y295" i="20" s="1"/>
  <c r="G295" i="20"/>
  <c r="CB295" i="6" s="1"/>
  <c r="AA141" i="20"/>
  <c r="Z141" i="20" s="1"/>
  <c r="Y141" i="20" s="1"/>
  <c r="G141" i="20"/>
  <c r="CB141" i="6" s="1"/>
  <c r="G336" i="20"/>
  <c r="CB336" i="6" s="1"/>
  <c r="H336" i="20"/>
  <c r="AA336" i="20"/>
  <c r="Z336" i="20" s="1"/>
  <c r="Y336" i="20" s="1"/>
  <c r="AA184" i="20"/>
  <c r="Z184" i="20" s="1"/>
  <c r="Y184" i="20" s="1"/>
  <c r="H184" i="20"/>
  <c r="G184" i="20"/>
  <c r="CB184" i="6" s="1"/>
  <c r="G290" i="20"/>
  <c r="CB290" i="6" s="1"/>
  <c r="H290" i="20"/>
  <c r="AA290" i="20"/>
  <c r="Z290" i="20" s="1"/>
  <c r="Y290" i="20" s="1"/>
  <c r="G282" i="20"/>
  <c r="CB282" i="6" s="1"/>
  <c r="AA282" i="20"/>
  <c r="Z282" i="20" s="1"/>
  <c r="Y282" i="20" s="1"/>
  <c r="H282" i="20"/>
  <c r="G211" i="20"/>
  <c r="CB211" i="6" s="1"/>
  <c r="AA211" i="20"/>
  <c r="Z211" i="20" s="1"/>
  <c r="Y211" i="20" s="1"/>
  <c r="H211" i="20"/>
  <c r="AA255" i="20"/>
  <c r="Z255" i="20" s="1"/>
  <c r="Y255" i="20" s="1"/>
  <c r="H255" i="20"/>
  <c r="G255" i="20"/>
  <c r="CB255" i="6" s="1"/>
  <c r="G375" i="20"/>
  <c r="CB375" i="6" s="1"/>
  <c r="AA375" i="20"/>
  <c r="Z375" i="20" s="1"/>
  <c r="Y375" i="20" s="1"/>
  <c r="G58" i="20"/>
  <c r="CB58" i="6" s="1"/>
  <c r="AA58" i="20"/>
  <c r="Z58" i="20" s="1"/>
  <c r="Y58" i="20" s="1"/>
  <c r="H140" i="20"/>
  <c r="G140" i="20"/>
  <c r="CB140" i="6" s="1"/>
  <c r="AA140" i="20"/>
  <c r="Z140" i="20" s="1"/>
  <c r="Y140" i="20" s="1"/>
  <c r="G54" i="20"/>
  <c r="CB54" i="6" s="1"/>
  <c r="H54" i="20"/>
  <c r="AA54" i="20"/>
  <c r="Z54" i="20" s="1"/>
  <c r="Y54" i="20" s="1"/>
  <c r="G73" i="20"/>
  <c r="CB73" i="6" s="1"/>
  <c r="H73" i="20"/>
  <c r="AA73" i="20"/>
  <c r="Z73" i="20" s="1"/>
  <c r="Y73" i="20" s="1"/>
  <c r="H265" i="20"/>
  <c r="AA265" i="20"/>
  <c r="Z265" i="20" s="1"/>
  <c r="Y265" i="20" s="1"/>
  <c r="G265" i="20"/>
  <c r="CB265" i="6" s="1"/>
  <c r="G328" i="20"/>
  <c r="CB328" i="6" s="1"/>
  <c r="AA328" i="20"/>
  <c r="Z328" i="20" s="1"/>
  <c r="Y328" i="20" s="1"/>
  <c r="H328" i="20"/>
  <c r="AA347" i="20"/>
  <c r="Z347" i="20" s="1"/>
  <c r="Y347" i="20" s="1"/>
  <c r="G347" i="20"/>
  <c r="CB347" i="6" s="1"/>
  <c r="G97" i="20"/>
  <c r="CB97" i="6" s="1"/>
  <c r="H97" i="20"/>
  <c r="AA97" i="20"/>
  <c r="Z97" i="20" s="1"/>
  <c r="Y97" i="20" s="1"/>
  <c r="AA252" i="20"/>
  <c r="Z252" i="20" s="1"/>
  <c r="Y252" i="20" s="1"/>
  <c r="G252" i="20"/>
  <c r="CB252" i="6" s="1"/>
  <c r="H91" i="20"/>
  <c r="AA91" i="20"/>
  <c r="Z91" i="20" s="1"/>
  <c r="Y91" i="20" s="1"/>
  <c r="G91" i="20"/>
  <c r="CB91" i="6" s="1"/>
  <c r="AA195" i="20"/>
  <c r="Z195" i="20" s="1"/>
  <c r="Y195" i="20" s="1"/>
  <c r="H195" i="20"/>
  <c r="G195" i="20"/>
  <c r="CB195" i="6" s="1"/>
  <c r="G228" i="20"/>
  <c r="CB228" i="6" s="1"/>
  <c r="H228" i="20"/>
  <c r="AA228" i="20"/>
  <c r="Z228" i="20" s="1"/>
  <c r="Y228" i="20" s="1"/>
  <c r="H116" i="20"/>
  <c r="AA116" i="20"/>
  <c r="Z116" i="20" s="1"/>
  <c r="Y116" i="20" s="1"/>
  <c r="G116" i="20"/>
  <c r="CB116" i="6" s="1"/>
  <c r="G362" i="20"/>
  <c r="CB362" i="6" s="1"/>
  <c r="AA362" i="20"/>
  <c r="Z362" i="20" s="1"/>
  <c r="Y362" i="20" s="1"/>
  <c r="AA250" i="20"/>
  <c r="Z250" i="20" s="1"/>
  <c r="Y250" i="20" s="1"/>
  <c r="G250" i="20"/>
  <c r="CB250" i="6" s="1"/>
  <c r="H250" i="20"/>
  <c r="G209" i="20"/>
  <c r="CB209" i="6" s="1"/>
  <c r="AA209" i="20"/>
  <c r="Z209" i="20" s="1"/>
  <c r="Y209" i="20" s="1"/>
  <c r="AA352" i="20"/>
  <c r="Z352" i="20" s="1"/>
  <c r="Y352" i="20" s="1"/>
  <c r="H352" i="20"/>
  <c r="G352" i="20"/>
  <c r="CB352" i="6" s="1"/>
  <c r="AA313" i="20"/>
  <c r="Z313" i="20" s="1"/>
  <c r="Y313" i="20" s="1"/>
  <c r="H313" i="20"/>
  <c r="G313" i="20"/>
  <c r="CB313" i="6" s="1"/>
  <c r="AA243" i="20"/>
  <c r="Z243" i="20" s="1"/>
  <c r="Y243" i="20" s="1"/>
  <c r="G243" i="20"/>
  <c r="CB243" i="6" s="1"/>
  <c r="AA114" i="20"/>
  <c r="Z114" i="20" s="1"/>
  <c r="Y114" i="20" s="1"/>
  <c r="G114" i="20"/>
  <c r="CB114" i="6" s="1"/>
  <c r="AA136" i="20"/>
  <c r="Z136" i="20" s="1"/>
  <c r="Y136" i="20" s="1"/>
  <c r="H136" i="20"/>
  <c r="G136" i="20"/>
  <c r="CB136" i="6" s="1"/>
  <c r="AA34" i="20"/>
  <c r="Z34" i="20" s="1"/>
  <c r="Y34" i="20" s="1"/>
  <c r="H34" i="20"/>
  <c r="G34" i="20"/>
  <c r="CB34" i="6" s="1"/>
  <c r="H37" i="20"/>
  <c r="G37" i="20"/>
  <c r="CB37" i="6" s="1"/>
  <c r="AA37" i="20"/>
  <c r="Z37" i="20" s="1"/>
  <c r="Y37" i="20" s="1"/>
  <c r="AA160" i="20"/>
  <c r="Z160" i="20" s="1"/>
  <c r="Y160" i="20" s="1"/>
  <c r="G160" i="20"/>
  <c r="CB160" i="6" s="1"/>
  <c r="H160" i="20"/>
  <c r="H70" i="20"/>
  <c r="G70" i="20"/>
  <c r="CB70" i="6" s="1"/>
  <c r="AA70" i="20"/>
  <c r="Z70" i="20" s="1"/>
  <c r="Y70" i="20" s="1"/>
  <c r="G245" i="20"/>
  <c r="CB245" i="6" s="1"/>
  <c r="H245" i="20"/>
  <c r="AA245" i="20"/>
  <c r="Z245" i="20" s="1"/>
  <c r="Y245" i="20" s="1"/>
  <c r="AA121" i="20"/>
  <c r="Z121" i="20" s="1"/>
  <c r="Y121" i="20" s="1"/>
  <c r="G121" i="20"/>
  <c r="CB121" i="6" s="1"/>
  <c r="H121" i="20"/>
  <c r="H191" i="20"/>
  <c r="G191" i="20"/>
  <c r="CB191" i="6" s="1"/>
  <c r="AA191" i="20"/>
  <c r="Z191" i="20" s="1"/>
  <c r="Y191" i="20" s="1"/>
  <c r="AA112" i="20"/>
  <c r="Z112" i="20" s="1"/>
  <c r="Y112" i="20" s="1"/>
  <c r="H112" i="20"/>
  <c r="G112" i="20"/>
  <c r="CB112" i="6" s="1"/>
  <c r="G66" i="20"/>
  <c r="CB66" i="6" s="1"/>
  <c r="AA66" i="20"/>
  <c r="Z66" i="20" s="1"/>
  <c r="Y66" i="20" s="1"/>
  <c r="G304" i="20"/>
  <c r="CB304" i="6" s="1"/>
  <c r="H304" i="20"/>
  <c r="AA304" i="20"/>
  <c r="Z304" i="20" s="1"/>
  <c r="Y304" i="20" s="1"/>
  <c r="AA156" i="20"/>
  <c r="Z156" i="20" s="1"/>
  <c r="Y156" i="20" s="1"/>
  <c r="G156" i="20"/>
  <c r="CB156" i="6" s="1"/>
  <c r="H156" i="20"/>
  <c r="G178" i="20"/>
  <c r="CB178" i="6" s="1"/>
  <c r="H178" i="20"/>
  <c r="AA178" i="20"/>
  <c r="Z178" i="20" s="1"/>
  <c r="Y178" i="20" s="1"/>
  <c r="G315" i="20"/>
  <c r="CB315" i="6" s="1"/>
  <c r="H315" i="20"/>
  <c r="AA315" i="20"/>
  <c r="Z315" i="20" s="1"/>
  <c r="Y315" i="20" s="1"/>
  <c r="G217" i="20"/>
  <c r="CB217" i="6" s="1"/>
  <c r="AA217" i="20"/>
  <c r="Z217" i="20" s="1"/>
  <c r="Y217" i="20" s="1"/>
  <c r="H217" i="20"/>
  <c r="AA42" i="20"/>
  <c r="Z42" i="20" s="1"/>
  <c r="Y42" i="20" s="1"/>
  <c r="G42" i="20"/>
  <c r="CB42" i="6" s="1"/>
  <c r="H42" i="20"/>
  <c r="H45" i="20"/>
  <c r="AA45" i="20"/>
  <c r="Z45" i="20" s="1"/>
  <c r="Y45" i="20" s="1"/>
  <c r="G45" i="20"/>
  <c r="CB45" i="6" s="1"/>
  <c r="G74" i="20"/>
  <c r="CB74" i="6" s="1"/>
  <c r="AA74" i="20"/>
  <c r="Z74" i="20" s="1"/>
  <c r="Y74" i="20" s="1"/>
  <c r="AA82" i="20"/>
  <c r="Z82" i="20" s="1"/>
  <c r="Y82" i="20" s="1"/>
  <c r="G82" i="20"/>
  <c r="CB82" i="6" s="1"/>
  <c r="H82" i="20"/>
  <c r="H341" i="20"/>
  <c r="G341" i="20"/>
  <c r="CB341" i="6" s="1"/>
  <c r="AA341" i="20"/>
  <c r="Z341" i="20" s="1"/>
  <c r="Y341" i="20" s="1"/>
  <c r="AA365" i="20"/>
  <c r="Z365" i="20" s="1"/>
  <c r="Y365" i="20" s="1"/>
  <c r="G365" i="20"/>
  <c r="CB365" i="6" s="1"/>
  <c r="H365" i="20"/>
  <c r="H155" i="20"/>
  <c r="G155" i="20"/>
  <c r="CB155" i="6" s="1"/>
  <c r="AA155" i="20"/>
  <c r="Z155" i="20" s="1"/>
  <c r="Y155" i="20" s="1"/>
  <c r="G283" i="20"/>
  <c r="CB283" i="6" s="1"/>
  <c r="H283" i="20"/>
  <c r="AA283" i="20"/>
  <c r="Z283" i="20" s="1"/>
  <c r="Y283" i="20" s="1"/>
  <c r="H359" i="20"/>
  <c r="G359" i="20"/>
  <c r="CB359" i="6" s="1"/>
  <c r="AA359" i="20"/>
  <c r="Z359" i="20" s="1"/>
  <c r="Y359" i="20" s="1"/>
  <c r="G276" i="20"/>
  <c r="CB276" i="6" s="1"/>
  <c r="H276" i="20"/>
  <c r="AA276" i="20"/>
  <c r="Z276" i="20" s="1"/>
  <c r="Y276" i="20" s="1"/>
  <c r="AA356" i="20"/>
  <c r="Z356" i="20" s="1"/>
  <c r="Y356" i="20" s="1"/>
  <c r="H356" i="20"/>
  <c r="G356" i="20"/>
  <c r="CB356" i="6" s="1"/>
  <c r="G124" i="20"/>
  <c r="CB124" i="6" s="1"/>
  <c r="H124" i="20"/>
  <c r="AA124" i="20"/>
  <c r="Z124" i="20" s="1"/>
  <c r="Y124" i="20" s="1"/>
  <c r="AA303" i="20"/>
  <c r="Z303" i="20" s="1"/>
  <c r="Y303" i="20" s="1"/>
  <c r="G303" i="20"/>
  <c r="CB303" i="6" s="1"/>
  <c r="H317" i="20"/>
  <c r="G317" i="20"/>
  <c r="CB317" i="6" s="1"/>
  <c r="AA317" i="20"/>
  <c r="Z317" i="20" s="1"/>
  <c r="Y317" i="20" s="1"/>
  <c r="G248" i="20"/>
  <c r="CB248" i="6" s="1"/>
  <c r="AA248" i="20"/>
  <c r="Z248" i="20" s="1"/>
  <c r="Y248" i="20" s="1"/>
  <c r="H248" i="20"/>
  <c r="G339" i="20"/>
  <c r="CB339" i="6" s="1"/>
  <c r="H339" i="20"/>
  <c r="AA339" i="20"/>
  <c r="Z339" i="20" s="1"/>
  <c r="Y339" i="20" s="1"/>
  <c r="G280" i="20"/>
  <c r="CB280" i="6" s="1"/>
  <c r="H280" i="20"/>
  <c r="AA280" i="20"/>
  <c r="Z280" i="20" s="1"/>
  <c r="Y280" i="20" s="1"/>
  <c r="H187" i="20"/>
  <c r="J187" i="20" s="1"/>
  <c r="H141" i="20"/>
  <c r="I141" i="20" s="1"/>
  <c r="G187" i="20"/>
  <c r="CB187" i="6" s="1"/>
  <c r="H48" i="20"/>
  <c r="H303" i="20"/>
  <c r="H142" i="20"/>
  <c r="H267" i="20"/>
  <c r="H252" i="20"/>
  <c r="AA311" i="20"/>
  <c r="Z311" i="20" s="1"/>
  <c r="Y311" i="20" s="1"/>
  <c r="G311" i="20"/>
  <c r="CB311" i="6" s="1"/>
  <c r="AA222" i="20"/>
  <c r="Z222" i="20" s="1"/>
  <c r="Y222" i="20" s="1"/>
  <c r="G222" i="20"/>
  <c r="CB222" i="6" s="1"/>
  <c r="H222" i="20"/>
  <c r="J66" i="20"/>
  <c r="I246" i="20"/>
  <c r="H246" i="22" s="1"/>
  <c r="J340" i="20"/>
  <c r="I264" i="20"/>
  <c r="J170" i="20"/>
  <c r="J62" i="20"/>
  <c r="I311" i="20"/>
  <c r="H311" i="22" s="1"/>
  <c r="I347" i="20"/>
  <c r="I209" i="20"/>
  <c r="I174" i="20"/>
  <c r="H174" i="22" s="1"/>
  <c r="I244" i="20"/>
  <c r="H244" i="22" s="1"/>
  <c r="I375" i="20"/>
  <c r="H375" i="22" s="1"/>
  <c r="J159" i="20"/>
  <c r="I291" i="20"/>
  <c r="I345" i="20"/>
  <c r="J131" i="20"/>
  <c r="I123" i="20"/>
  <c r="J154" i="20"/>
  <c r="J344" i="20"/>
  <c r="D344" i="22"/>
  <c r="E344" i="22" s="1"/>
  <c r="F344" i="22" s="1"/>
  <c r="G344" i="22" s="1"/>
  <c r="CC344" i="6" s="1"/>
  <c r="I327" i="20"/>
  <c r="H327" i="22" s="1"/>
  <c r="AH43" i="7"/>
  <c r="I107" i="20"/>
  <c r="AH38" i="7"/>
  <c r="J33" i="20"/>
  <c r="I134" i="20"/>
  <c r="H134" i="22" s="1"/>
  <c r="I111" i="20"/>
  <c r="H111" i="22" s="1"/>
  <c r="D32" i="22"/>
  <c r="E32" i="22" s="1"/>
  <c r="F32" i="22" s="1"/>
  <c r="G32" i="22" s="1"/>
  <c r="CC32" i="6" s="1"/>
  <c r="I58" i="20"/>
  <c r="I94" i="20"/>
  <c r="H94" i="22" s="1"/>
  <c r="D317" i="22"/>
  <c r="E317" i="22" s="1"/>
  <c r="F317" i="22" s="1"/>
  <c r="G317" i="22" s="1"/>
  <c r="CC317" i="6" s="1"/>
  <c r="W263" i="22"/>
  <c r="D45" i="22"/>
  <c r="E45" i="22" s="1"/>
  <c r="F45" i="22" s="1"/>
  <c r="G45" i="22" s="1"/>
  <c r="CC45" i="6" s="1"/>
  <c r="W305" i="22"/>
  <c r="W280" i="22"/>
  <c r="W230" i="22"/>
  <c r="D255" i="22"/>
  <c r="E255" i="22" s="1"/>
  <c r="F255" i="22" s="1"/>
  <c r="W81" i="22"/>
  <c r="D286" i="22"/>
  <c r="E286" i="22" s="1"/>
  <c r="F286" i="22" s="1"/>
  <c r="G286" i="22" s="1"/>
  <c r="CC286" i="6" s="1"/>
  <c r="D275" i="22"/>
  <c r="E275" i="22" s="1"/>
  <c r="F275" i="22" s="1"/>
  <c r="H275" i="22" s="1"/>
  <c r="W174" i="22"/>
  <c r="AH36" i="7"/>
  <c r="AD284" i="22"/>
  <c r="AD365" i="22"/>
  <c r="AA365" i="22" s="1"/>
  <c r="Z365" i="22" s="1"/>
  <c r="Y365" i="22" s="1"/>
  <c r="AD233" i="22"/>
  <c r="AH35" i="7"/>
  <c r="W106" i="22"/>
  <c r="D290" i="22"/>
  <c r="E290" i="22" s="1"/>
  <c r="F290" i="22" s="1"/>
  <c r="W244" i="22"/>
  <c r="W284" i="22"/>
  <c r="D193" i="22"/>
  <c r="E193" i="22" s="1"/>
  <c r="F193" i="22" s="1"/>
  <c r="D71" i="22"/>
  <c r="E71" i="22" s="1"/>
  <c r="F71" i="22" s="1"/>
  <c r="AA71" i="22" s="1"/>
  <c r="Z71" i="22" s="1"/>
  <c r="Y71" i="22" s="1"/>
  <c r="D164" i="22"/>
  <c r="E164" i="22" s="1"/>
  <c r="F164" i="22" s="1"/>
  <c r="W80" i="22"/>
  <c r="AD371" i="22"/>
  <c r="W78" i="22"/>
  <c r="I122" i="20"/>
  <c r="H122" i="22" s="1"/>
  <c r="D17" i="22"/>
  <c r="E17" i="22" s="1"/>
  <c r="F17" i="22" s="1"/>
  <c r="D82" i="22"/>
  <c r="E82" i="22" s="1"/>
  <c r="F82" i="22" s="1"/>
  <c r="G82" i="22" s="1"/>
  <c r="CC82" i="6" s="1"/>
  <c r="D153" i="22"/>
  <c r="E153" i="22" s="1"/>
  <c r="F153" i="22" s="1"/>
  <c r="G153" i="22" s="1"/>
  <c r="CC153" i="6" s="1"/>
  <c r="W100" i="22"/>
  <c r="W332" i="22"/>
  <c r="W266" i="22"/>
  <c r="W328" i="22"/>
  <c r="W163" i="22"/>
  <c r="W83" i="22"/>
  <c r="D152" i="22"/>
  <c r="E152" i="22" s="1"/>
  <c r="F152" i="22" s="1"/>
  <c r="W62" i="22"/>
  <c r="D128" i="22"/>
  <c r="E128" i="22" s="1"/>
  <c r="F128" i="22" s="1"/>
  <c r="G128" i="22" s="1"/>
  <c r="CC128" i="6" s="1"/>
  <c r="J321" i="20"/>
  <c r="W340" i="22"/>
  <c r="I239" i="20"/>
  <c r="W349" i="22"/>
  <c r="I285" i="20"/>
  <c r="J47" i="20"/>
  <c r="D278" i="22"/>
  <c r="E278" i="22" s="1"/>
  <c r="F278" i="22" s="1"/>
  <c r="G278" i="22" s="1"/>
  <c r="CC278" i="6" s="1"/>
  <c r="I74" i="20"/>
  <c r="W132" i="22"/>
  <c r="W357" i="22"/>
  <c r="W223" i="22"/>
  <c r="W117" i="22"/>
  <c r="D151" i="22"/>
  <c r="E151" i="22" s="1"/>
  <c r="F151" i="22" s="1"/>
  <c r="D95" i="22"/>
  <c r="E95" i="22" s="1"/>
  <c r="F95" i="22" s="1"/>
  <c r="D297" i="22"/>
  <c r="E297" i="22" s="1"/>
  <c r="F297" i="22" s="1"/>
  <c r="D373" i="22"/>
  <c r="E373" i="22" s="1"/>
  <c r="F373" i="22" s="1"/>
  <c r="W49" i="22"/>
  <c r="W327" i="22"/>
  <c r="W304" i="22"/>
  <c r="W346" i="22"/>
  <c r="W69" i="22"/>
  <c r="D296" i="22"/>
  <c r="E296" i="22" s="1"/>
  <c r="F296" i="22" s="1"/>
  <c r="W378" i="22"/>
  <c r="W194" i="22"/>
  <c r="D345" i="22"/>
  <c r="E345" i="22" s="1"/>
  <c r="F345" i="22" s="1"/>
  <c r="W21" i="22"/>
  <c r="W19" i="22"/>
  <c r="W300" i="22"/>
  <c r="D64" i="22"/>
  <c r="E64" i="22" s="1"/>
  <c r="F64" i="22" s="1"/>
  <c r="G64" i="22" s="1"/>
  <c r="CC64" i="6" s="1"/>
  <c r="W234" i="22"/>
  <c r="D242" i="22"/>
  <c r="E242" i="22" s="1"/>
  <c r="F242" i="22" s="1"/>
  <c r="W295" i="22"/>
  <c r="W222" i="22"/>
  <c r="W182" i="22"/>
  <c r="W232" i="22"/>
  <c r="D276" i="22"/>
  <c r="E276" i="22" s="1"/>
  <c r="F276" i="22" s="1"/>
  <c r="W134" i="22"/>
  <c r="D369" i="22"/>
  <c r="E369" i="22" s="1"/>
  <c r="F369" i="22" s="1"/>
  <c r="D52" i="22"/>
  <c r="E52" i="22" s="1"/>
  <c r="F52" i="22" s="1"/>
  <c r="W318" i="22"/>
  <c r="W252" i="22"/>
  <c r="D292" i="22"/>
  <c r="E292" i="22" s="1"/>
  <c r="F292" i="22" s="1"/>
  <c r="H292" i="22" s="1"/>
  <c r="W84" i="22"/>
  <c r="D84" i="22"/>
  <c r="E84" i="22" s="1"/>
  <c r="F84" i="22" s="1"/>
  <c r="H84" i="22" s="1"/>
  <c r="W348" i="22"/>
  <c r="D126" i="22"/>
  <c r="E126" i="22" s="1"/>
  <c r="F126" i="22" s="1"/>
  <c r="W126" i="22"/>
  <c r="D36" i="22"/>
  <c r="E36" i="22" s="1"/>
  <c r="F36" i="22" s="1"/>
  <c r="G36" i="22" s="1"/>
  <c r="CC36" i="6" s="1"/>
  <c r="W36" i="22"/>
  <c r="D201" i="22"/>
  <c r="E201" i="22" s="1"/>
  <c r="F201" i="22" s="1"/>
  <c r="W201" i="22"/>
  <c r="D156" i="22"/>
  <c r="E156" i="22" s="1"/>
  <c r="F156" i="22" s="1"/>
  <c r="G156" i="22" s="1"/>
  <c r="CC156" i="6" s="1"/>
  <c r="W156" i="22"/>
  <c r="D51" i="22"/>
  <c r="E51" i="22" s="1"/>
  <c r="F51" i="22" s="1"/>
  <c r="D261" i="22"/>
  <c r="E261" i="22" s="1"/>
  <c r="F261" i="22" s="1"/>
  <c r="G261" i="22" s="1"/>
  <c r="CC261" i="6" s="1"/>
  <c r="W261" i="22"/>
  <c r="D183" i="22"/>
  <c r="E183" i="22" s="1"/>
  <c r="F183" i="22" s="1"/>
  <c r="H183" i="22" s="1"/>
  <c r="W183" i="22"/>
  <c r="W336" i="22"/>
  <c r="D336" i="22"/>
  <c r="E336" i="22" s="1"/>
  <c r="F336" i="22" s="1"/>
  <c r="W215" i="22"/>
  <c r="D215" i="22"/>
  <c r="E215" i="22" s="1"/>
  <c r="F215" i="22" s="1"/>
  <c r="G215" i="22" s="1"/>
  <c r="CC215" i="6" s="1"/>
  <c r="D133" i="22"/>
  <c r="E133" i="22" s="1"/>
  <c r="F133" i="22" s="1"/>
  <c r="W285" i="22"/>
  <c r="W370" i="22"/>
  <c r="D31" i="22"/>
  <c r="E31" i="22" s="1"/>
  <c r="F31" i="22" s="1"/>
  <c r="W31" i="22"/>
  <c r="W59" i="22"/>
  <c r="D59" i="22"/>
  <c r="E59" i="22" s="1"/>
  <c r="F59" i="22" s="1"/>
  <c r="H59" i="22" s="1"/>
  <c r="D65" i="22"/>
  <c r="E65" i="22" s="1"/>
  <c r="F65" i="22" s="1"/>
  <c r="G65" i="22" s="1"/>
  <c r="CC65" i="6" s="1"/>
  <c r="W65" i="22"/>
  <c r="D103" i="22"/>
  <c r="E103" i="22" s="1"/>
  <c r="F103" i="22" s="1"/>
  <c r="G103" i="22" s="1"/>
  <c r="CC103" i="6" s="1"/>
  <c r="W200" i="22"/>
  <c r="W28" i="22"/>
  <c r="D309" i="22"/>
  <c r="E309" i="22" s="1"/>
  <c r="F309" i="22" s="1"/>
  <c r="G309" i="22" s="1"/>
  <c r="CC309" i="6" s="1"/>
  <c r="D38" i="22"/>
  <c r="E38" i="22" s="1"/>
  <c r="F38" i="22" s="1"/>
  <c r="H38" i="22" s="1"/>
  <c r="W47" i="22"/>
  <c r="D177" i="22"/>
  <c r="E177" i="22" s="1"/>
  <c r="F177" i="22" s="1"/>
  <c r="D87" i="22"/>
  <c r="E87" i="22" s="1"/>
  <c r="F87" i="22" s="1"/>
  <c r="W162" i="22"/>
  <c r="D238" i="22"/>
  <c r="E238" i="22" s="1"/>
  <c r="F238" i="22" s="1"/>
  <c r="G238" i="22" s="1"/>
  <c r="CC238" i="6" s="1"/>
  <c r="D159" i="22"/>
  <c r="E159" i="22" s="1"/>
  <c r="F159" i="22" s="1"/>
  <c r="AA159" i="22" s="1"/>
  <c r="Z159" i="22" s="1"/>
  <c r="Y159" i="22" s="1"/>
  <c r="D277" i="22"/>
  <c r="E277" i="22" s="1"/>
  <c r="F277" i="22" s="1"/>
  <c r="D148" i="22"/>
  <c r="E148" i="22" s="1"/>
  <c r="F148" i="22" s="1"/>
  <c r="G148" i="22" s="1"/>
  <c r="CC148" i="6" s="1"/>
  <c r="W85" i="22"/>
  <c r="D199" i="22"/>
  <c r="E199" i="22" s="1"/>
  <c r="F199" i="22" s="1"/>
  <c r="AA199" i="22" s="1"/>
  <c r="Z199" i="22" s="1"/>
  <c r="Y199" i="22" s="1"/>
  <c r="W79" i="22"/>
  <c r="D76" i="22"/>
  <c r="E76" i="22" s="1"/>
  <c r="F76" i="22" s="1"/>
  <c r="AA76" i="22" s="1"/>
  <c r="Z76" i="22" s="1"/>
  <c r="Y76" i="22" s="1"/>
  <c r="W186" i="22"/>
  <c r="W116" i="22"/>
  <c r="W155" i="22"/>
  <c r="W169" i="22"/>
  <c r="D211" i="22"/>
  <c r="E211" i="22" s="1"/>
  <c r="F211" i="22" s="1"/>
  <c r="G211" i="22" s="1"/>
  <c r="CC211" i="6" s="1"/>
  <c r="W208" i="22"/>
  <c r="W375" i="22"/>
  <c r="D339" i="22"/>
  <c r="E339" i="22" s="1"/>
  <c r="F339" i="22" s="1"/>
  <c r="W298" i="22"/>
  <c r="W359" i="22"/>
  <c r="D23" i="22"/>
  <c r="E23" i="22" s="1"/>
  <c r="F23" i="22" s="1"/>
  <c r="G23" i="22" s="1"/>
  <c r="CC23" i="6" s="1"/>
  <c r="W114" i="22"/>
  <c r="D44" i="22"/>
  <c r="E44" i="22" s="1"/>
  <c r="F44" i="22" s="1"/>
  <c r="W337" i="22"/>
  <c r="W50" i="22"/>
  <c r="D98" i="22"/>
  <c r="E98" i="22" s="1"/>
  <c r="F98" i="22" s="1"/>
  <c r="G98" i="22" s="1"/>
  <c r="CC98" i="6" s="1"/>
  <c r="D130" i="22"/>
  <c r="E130" i="22" s="1"/>
  <c r="F130" i="22" s="1"/>
  <c r="AA130" i="22" s="1"/>
  <c r="Z130" i="22" s="1"/>
  <c r="Y130" i="22" s="1"/>
  <c r="W267" i="22"/>
  <c r="D209" i="22"/>
  <c r="E209" i="22" s="1"/>
  <c r="F209" i="22" s="1"/>
  <c r="D61" i="22"/>
  <c r="E61" i="22" s="1"/>
  <c r="F61" i="22" s="1"/>
  <c r="D323" i="22"/>
  <c r="E323" i="22" s="1"/>
  <c r="F323" i="22" s="1"/>
  <c r="D137" i="22"/>
  <c r="E137" i="22" s="1"/>
  <c r="F137" i="22" s="1"/>
  <c r="G137" i="22" s="1"/>
  <c r="CC137" i="6" s="1"/>
  <c r="D217" i="22"/>
  <c r="E217" i="22" s="1"/>
  <c r="F217" i="22" s="1"/>
  <c r="G217" i="22" s="1"/>
  <c r="CC217" i="6" s="1"/>
  <c r="W172" i="22"/>
  <c r="W315" i="22"/>
  <c r="D204" i="22"/>
  <c r="E204" i="22" s="1"/>
  <c r="F204" i="22" s="1"/>
  <c r="G204" i="22" s="1"/>
  <c r="CC204" i="6" s="1"/>
  <c r="D96" i="22"/>
  <c r="E96" i="22" s="1"/>
  <c r="F96" i="22" s="1"/>
  <c r="G96" i="22" s="1"/>
  <c r="CC96" i="6" s="1"/>
  <c r="D355" i="22"/>
  <c r="E355" i="22" s="1"/>
  <c r="F355" i="22" s="1"/>
  <c r="D233" i="22"/>
  <c r="E233" i="22" s="1"/>
  <c r="F233" i="22" s="1"/>
  <c r="W235" i="22"/>
  <c r="W366" i="22"/>
  <c r="D269" i="22"/>
  <c r="E269" i="22" s="1"/>
  <c r="F269" i="22" s="1"/>
  <c r="W122" i="22"/>
  <c r="D250" i="22"/>
  <c r="E250" i="22" s="1"/>
  <c r="F250" i="22" s="1"/>
  <c r="W205" i="22"/>
  <c r="W214" i="22"/>
  <c r="D353" i="22"/>
  <c r="E353" i="22" s="1"/>
  <c r="F353" i="22" s="1"/>
  <c r="W207" i="22"/>
  <c r="W118" i="22"/>
  <c r="W112" i="22"/>
  <c r="W191" i="22"/>
  <c r="D354" i="22"/>
  <c r="E354" i="22" s="1"/>
  <c r="F354" i="22" s="1"/>
  <c r="W356" i="22"/>
  <c r="W308" i="22"/>
  <c r="W316" i="22"/>
  <c r="D197" i="22"/>
  <c r="E197" i="22" s="1"/>
  <c r="F197" i="22" s="1"/>
  <c r="W271" i="22"/>
  <c r="D303" i="22"/>
  <c r="E303" i="22" s="1"/>
  <c r="F303" i="22" s="1"/>
  <c r="W48" i="22"/>
  <c r="W37" i="22"/>
  <c r="D341" i="22"/>
  <c r="E341" i="22" s="1"/>
  <c r="F341" i="22" s="1"/>
  <c r="W181" i="22"/>
  <c r="W18" i="22"/>
  <c r="D334" i="22"/>
  <c r="E334" i="22" s="1"/>
  <c r="F334" i="22" s="1"/>
  <c r="G334" i="22" s="1"/>
  <c r="CC334" i="6" s="1"/>
  <c r="W72" i="22"/>
  <c r="W94" i="22"/>
  <c r="D30" i="22"/>
  <c r="E30" i="22" s="1"/>
  <c r="F30" i="22" s="1"/>
  <c r="W77" i="22"/>
  <c r="D89" i="22"/>
  <c r="E89" i="22" s="1"/>
  <c r="F89" i="22" s="1"/>
  <c r="G89" i="22" s="1"/>
  <c r="CC89" i="6" s="1"/>
  <c r="D240" i="22"/>
  <c r="E240" i="22" s="1"/>
  <c r="F240" i="22" s="1"/>
  <c r="W22" i="22"/>
  <c r="W40" i="22"/>
  <c r="D168" i="22"/>
  <c r="E168" i="22" s="1"/>
  <c r="F168" i="22" s="1"/>
  <c r="G168" i="22" s="1"/>
  <c r="CC168" i="6" s="1"/>
  <c r="W75" i="22"/>
  <c r="W158" i="22"/>
  <c r="W307" i="22"/>
  <c r="D229" i="22"/>
  <c r="E229" i="22" s="1"/>
  <c r="F229" i="22" s="1"/>
  <c r="W136" i="22"/>
  <c r="D178" i="22"/>
  <c r="E178" i="22" s="1"/>
  <c r="F178" i="22" s="1"/>
  <c r="D54" i="22"/>
  <c r="E54" i="22" s="1"/>
  <c r="F54" i="22" s="1"/>
  <c r="G54" i="22" s="1"/>
  <c r="CC54" i="6" s="1"/>
  <c r="D264" i="22"/>
  <c r="E264" i="22" s="1"/>
  <c r="F264" i="22" s="1"/>
  <c r="D120" i="22"/>
  <c r="E120" i="22" s="1"/>
  <c r="F120" i="22" s="1"/>
  <c r="W108" i="22"/>
  <c r="D179" i="22"/>
  <c r="E179" i="22" s="1"/>
  <c r="F179" i="22" s="1"/>
  <c r="W374" i="22"/>
  <c r="D362" i="22"/>
  <c r="E362" i="22" s="1"/>
  <c r="F362" i="22" s="1"/>
  <c r="G362" i="22" s="1"/>
  <c r="CC362" i="6" s="1"/>
  <c r="D143" i="22"/>
  <c r="E143" i="22" s="1"/>
  <c r="F143" i="22" s="1"/>
  <c r="G143" i="22" s="1"/>
  <c r="CC143" i="6" s="1"/>
  <c r="D67" i="22"/>
  <c r="E67" i="22" s="1"/>
  <c r="F67" i="22" s="1"/>
  <c r="G67" i="22" s="1"/>
  <c r="CC67" i="6" s="1"/>
  <c r="W311" i="22"/>
  <c r="W376" i="22"/>
  <c r="D377" i="22"/>
  <c r="E377" i="22" s="1"/>
  <c r="F377" i="22" s="1"/>
  <c r="H377" i="22" s="1"/>
  <c r="W265" i="22"/>
  <c r="W299" i="22"/>
  <c r="W99" i="22"/>
  <c r="W196" i="22"/>
  <c r="W218" i="22"/>
  <c r="W279" i="22"/>
  <c r="D147" i="22"/>
  <c r="E147" i="22" s="1"/>
  <c r="F147" i="22" s="1"/>
  <c r="W111" i="22"/>
  <c r="D24" i="22"/>
  <c r="E24" i="22" s="1"/>
  <c r="F24" i="22" s="1"/>
  <c r="G24" i="22" s="1"/>
  <c r="CC24" i="6" s="1"/>
  <c r="D351" i="22"/>
  <c r="E351" i="22" s="1"/>
  <c r="F351" i="22" s="1"/>
  <c r="W314" i="22"/>
  <c r="W283" i="22"/>
  <c r="W325" i="22"/>
  <c r="W185" i="22"/>
  <c r="W86" i="22"/>
  <c r="W102" i="22"/>
  <c r="D184" i="22"/>
  <c r="E184" i="22" s="1"/>
  <c r="F184" i="22" s="1"/>
  <c r="W231" i="22"/>
  <c r="W246" i="22"/>
  <c r="D282" i="22"/>
  <c r="E282" i="22" s="1"/>
  <c r="F282" i="22" s="1"/>
  <c r="G282" i="22" s="1"/>
  <c r="CC282" i="6" s="1"/>
  <c r="W161" i="22"/>
  <c r="W281" i="22"/>
  <c r="W243" i="22"/>
  <c r="W63" i="22"/>
  <c r="W294" i="22"/>
  <c r="W365" i="22"/>
  <c r="W326" i="22"/>
  <c r="W287" i="22"/>
  <c r="D176" i="22"/>
  <c r="E176" i="22" s="1"/>
  <c r="F176" i="22" s="1"/>
  <c r="W361" i="22"/>
  <c r="D301" i="22"/>
  <c r="E301" i="22" s="1"/>
  <c r="F301" i="22" s="1"/>
  <c r="G301" i="22" s="1"/>
  <c r="CC301" i="6" s="1"/>
  <c r="W259" i="22"/>
  <c r="D224" i="22"/>
  <c r="E224" i="22" s="1"/>
  <c r="F224" i="22" s="1"/>
  <c r="H224" i="22" s="1"/>
  <c r="W150" i="22"/>
  <c r="D192" i="22"/>
  <c r="E192" i="22" s="1"/>
  <c r="F192" i="22" s="1"/>
  <c r="W57" i="22"/>
  <c r="W268" i="22"/>
  <c r="D372" i="22"/>
  <c r="E372" i="22" s="1"/>
  <c r="F372" i="22" s="1"/>
  <c r="H372" i="22" s="1"/>
  <c r="D257" i="22"/>
  <c r="E257" i="22" s="1"/>
  <c r="F257" i="22" s="1"/>
  <c r="D321" i="22"/>
  <c r="E321" i="22" s="1"/>
  <c r="F321" i="22" s="1"/>
  <c r="H321" i="22" s="1"/>
  <c r="W173" i="22"/>
  <c r="W34" i="22"/>
  <c r="W92" i="22"/>
  <c r="W171" i="22"/>
  <c r="U12" i="23"/>
  <c r="T379" i="22"/>
  <c r="S379" i="22" s="1"/>
  <c r="R379" i="22" s="1"/>
  <c r="P379" i="22" s="1"/>
  <c r="AN16" i="7"/>
  <c r="AT11" i="7" s="1"/>
  <c r="U11" i="23" s="1"/>
  <c r="U10" i="23" s="1"/>
  <c r="T15" i="22"/>
  <c r="U383" i="22"/>
  <c r="U381" i="22"/>
  <c r="U382" i="22"/>
  <c r="AI12" i="23"/>
  <c r="AH379" i="22"/>
  <c r="AG379" i="22" s="1"/>
  <c r="AF379" i="22" s="1"/>
  <c r="S381" i="20"/>
  <c r="R15" i="20"/>
  <c r="S383" i="20"/>
  <c r="S382" i="20"/>
  <c r="AF379" i="20"/>
  <c r="AG381" i="20"/>
  <c r="AG382" i="20"/>
  <c r="AG383" i="20"/>
  <c r="AM4" i="6"/>
  <c r="AH15" i="22"/>
  <c r="P381" i="18"/>
  <c r="V15" i="18"/>
  <c r="P383" i="18"/>
  <c r="P382" i="18"/>
  <c r="I381" i="17"/>
  <c r="I383" i="17"/>
  <c r="I382" i="17"/>
  <c r="D7" i="6"/>
  <c r="W7" i="7"/>
  <c r="AL7" i="17"/>
  <c r="Z383" i="17"/>
  <c r="Z9" i="17"/>
  <c r="Y15" i="17"/>
  <c r="Z381" i="17"/>
  <c r="Z382" i="17"/>
  <c r="J383" i="17"/>
  <c r="J382" i="17"/>
  <c r="J381" i="17"/>
  <c r="I349" i="20"/>
  <c r="H349" i="22" s="1"/>
  <c r="J349" i="20"/>
  <c r="I302" i="20"/>
  <c r="J302" i="20"/>
  <c r="G280" i="22"/>
  <c r="CC280" i="6" s="1"/>
  <c r="G200" i="22"/>
  <c r="CC200" i="6" s="1"/>
  <c r="AA200" i="22"/>
  <c r="Z200" i="22" s="1"/>
  <c r="Y200" i="22" s="1"/>
  <c r="G28" i="22"/>
  <c r="CC28" i="6" s="1"/>
  <c r="G181" i="22"/>
  <c r="CC181" i="6" s="1"/>
  <c r="AA47" i="22"/>
  <c r="Z47" i="22" s="1"/>
  <c r="Y47" i="22" s="1"/>
  <c r="H47" i="22"/>
  <c r="G47" i="22"/>
  <c r="CC47" i="6" s="1"/>
  <c r="G94" i="22"/>
  <c r="CC94" i="6" s="1"/>
  <c r="H194" i="22"/>
  <c r="G194" i="22"/>
  <c r="CC194" i="6" s="1"/>
  <c r="J149" i="20"/>
  <c r="I149" i="20"/>
  <c r="G77" i="22"/>
  <c r="CC77" i="6" s="1"/>
  <c r="AA340" i="22"/>
  <c r="Z340" i="22" s="1"/>
  <c r="Y340" i="22" s="1"/>
  <c r="G340" i="22"/>
  <c r="CC340" i="6" s="1"/>
  <c r="AA22" i="22"/>
  <c r="Z22" i="22" s="1"/>
  <c r="Y22" i="22" s="1"/>
  <c r="G22" i="22"/>
  <c r="CC22" i="6" s="1"/>
  <c r="G132" i="22"/>
  <c r="CC132" i="6" s="1"/>
  <c r="H132" i="22"/>
  <c r="G40" i="22"/>
  <c r="CC40" i="6" s="1"/>
  <c r="G75" i="22"/>
  <c r="CC75" i="6" s="1"/>
  <c r="H75" i="22"/>
  <c r="G85" i="22"/>
  <c r="CC85" i="6" s="1"/>
  <c r="AA85" i="22"/>
  <c r="Z85" i="22" s="1"/>
  <c r="Y85" i="22" s="1"/>
  <c r="H85" i="22"/>
  <c r="H117" i="22"/>
  <c r="G117" i="22"/>
  <c r="CC117" i="6" s="1"/>
  <c r="AA117" i="22"/>
  <c r="Z117" i="22" s="1"/>
  <c r="Y117" i="22" s="1"/>
  <c r="H21" i="22"/>
  <c r="G21" i="22"/>
  <c r="CC21" i="6" s="1"/>
  <c r="G307" i="22"/>
  <c r="CC307" i="6" s="1"/>
  <c r="AA307" i="22"/>
  <c r="Z307" i="22" s="1"/>
  <c r="Y307" i="22" s="1"/>
  <c r="H332" i="22"/>
  <c r="G332" i="22"/>
  <c r="CC332" i="6" s="1"/>
  <c r="G19" i="22"/>
  <c r="CC19" i="6" s="1"/>
  <c r="AA19" i="22"/>
  <c r="Z19" i="22" s="1"/>
  <c r="Y19" i="22" s="1"/>
  <c r="D119" i="22"/>
  <c r="E119" i="22" s="1"/>
  <c r="F119" i="22" s="1"/>
  <c r="W119" i="22"/>
  <c r="G300" i="22"/>
  <c r="CC300" i="6" s="1"/>
  <c r="W135" i="22"/>
  <c r="D135" i="22"/>
  <c r="E135" i="22" s="1"/>
  <c r="F135" i="22" s="1"/>
  <c r="J227" i="20"/>
  <c r="I227" i="20"/>
  <c r="J288" i="20"/>
  <c r="I288" i="20"/>
  <c r="D46" i="22"/>
  <c r="E46" i="22" s="1"/>
  <c r="F46" i="22" s="1"/>
  <c r="W46" i="22"/>
  <c r="D363" i="22"/>
  <c r="E363" i="22" s="1"/>
  <c r="F363" i="22" s="1"/>
  <c r="G169" i="22"/>
  <c r="CC169" i="6" s="1"/>
  <c r="G265" i="22"/>
  <c r="CC265" i="6" s="1"/>
  <c r="G299" i="22"/>
  <c r="CC299" i="6" s="1"/>
  <c r="G375" i="22"/>
  <c r="CC375" i="6" s="1"/>
  <c r="AA49" i="22"/>
  <c r="Z49" i="22" s="1"/>
  <c r="Y49" i="22" s="1"/>
  <c r="G49" i="22"/>
  <c r="CC49" i="6" s="1"/>
  <c r="G235" i="22"/>
  <c r="CC235" i="6" s="1"/>
  <c r="G163" i="22"/>
  <c r="CC163" i="6" s="1"/>
  <c r="H131" i="22"/>
  <c r="G83" i="22"/>
  <c r="CC83" i="6" s="1"/>
  <c r="G232" i="22"/>
  <c r="CC232" i="6" s="1"/>
  <c r="AA232" i="22"/>
  <c r="Z232" i="22" s="1"/>
  <c r="Y232" i="22" s="1"/>
  <c r="G359" i="22"/>
  <c r="CC359" i="6" s="1"/>
  <c r="G283" i="22"/>
  <c r="CC283" i="6" s="1"/>
  <c r="G118" i="22"/>
  <c r="CC118" i="6" s="1"/>
  <c r="G112" i="22"/>
  <c r="CC112" i="6" s="1"/>
  <c r="H366" i="22"/>
  <c r="G366" i="22"/>
  <c r="CC366" i="6" s="1"/>
  <c r="G185" i="22"/>
  <c r="CC185" i="6" s="1"/>
  <c r="AA122" i="22"/>
  <c r="Z122" i="22" s="1"/>
  <c r="Y122" i="22" s="1"/>
  <c r="G122" i="22"/>
  <c r="CC122" i="6" s="1"/>
  <c r="G102" i="22"/>
  <c r="CC102" i="6" s="1"/>
  <c r="AA102" i="22"/>
  <c r="Z102" i="22" s="1"/>
  <c r="Y102" i="22" s="1"/>
  <c r="G50" i="22"/>
  <c r="CC50" i="6" s="1"/>
  <c r="G246" i="22"/>
  <c r="CC246" i="6" s="1"/>
  <c r="G327" i="22"/>
  <c r="CC327" i="6" s="1"/>
  <c r="AA327" i="22"/>
  <c r="Z327" i="22" s="1"/>
  <c r="Y327" i="22" s="1"/>
  <c r="W166" i="22"/>
  <c r="D166" i="22"/>
  <c r="E166" i="22" s="1"/>
  <c r="F166" i="22" s="1"/>
  <c r="G281" i="22"/>
  <c r="CC281" i="6" s="1"/>
  <c r="H281" i="22"/>
  <c r="G304" i="22"/>
  <c r="CC304" i="6" s="1"/>
  <c r="AA316" i="22"/>
  <c r="Z316" i="22" s="1"/>
  <c r="Y316" i="22" s="1"/>
  <c r="G316" i="22"/>
  <c r="CC316" i="6" s="1"/>
  <c r="G294" i="22"/>
  <c r="CC294" i="6" s="1"/>
  <c r="G237" i="22"/>
  <c r="CC237" i="6" s="1"/>
  <c r="G244" i="22"/>
  <c r="CC244" i="6" s="1"/>
  <c r="H318" i="22"/>
  <c r="G318" i="22"/>
  <c r="CC318" i="6" s="1"/>
  <c r="W149" i="22"/>
  <c r="G69" i="22"/>
  <c r="CC69" i="6" s="1"/>
  <c r="G287" i="22"/>
  <c r="CC287" i="6" s="1"/>
  <c r="G106" i="22"/>
  <c r="CC106" i="6" s="1"/>
  <c r="G205" i="22"/>
  <c r="CC205" i="6" s="1"/>
  <c r="G259" i="22"/>
  <c r="CC259" i="6" s="1"/>
  <c r="G214" i="22"/>
  <c r="CC214" i="6" s="1"/>
  <c r="H214" i="22"/>
  <c r="G172" i="22"/>
  <c r="CC172" i="6" s="1"/>
  <c r="G315" i="22"/>
  <c r="CC315" i="6" s="1"/>
  <c r="G173" i="22"/>
  <c r="CC173" i="6" s="1"/>
  <c r="G34" i="22"/>
  <c r="CC34" i="6" s="1"/>
  <c r="J210" i="20"/>
  <c r="I210" i="20"/>
  <c r="I319" i="20"/>
  <c r="J319" i="20"/>
  <c r="J196" i="20"/>
  <c r="I196" i="20"/>
  <c r="H196" i="22" s="1"/>
  <c r="G293" i="22"/>
  <c r="CC293" i="6" s="1"/>
  <c r="G37" i="22"/>
  <c r="CC37" i="6" s="1"/>
  <c r="AA97" i="22"/>
  <c r="Z97" i="22" s="1"/>
  <c r="Y97" i="22" s="1"/>
  <c r="G18" i="22"/>
  <c r="CC18" i="6" s="1"/>
  <c r="G78" i="22"/>
  <c r="CC78" i="6" s="1"/>
  <c r="H72" i="22"/>
  <c r="G72" i="22"/>
  <c r="CC72" i="6" s="1"/>
  <c r="G162" i="22"/>
  <c r="CC162" i="6" s="1"/>
  <c r="H162" i="22"/>
  <c r="G357" i="22"/>
  <c r="CC357" i="6" s="1"/>
  <c r="H357" i="22"/>
  <c r="G223" i="22"/>
  <c r="CC223" i="6" s="1"/>
  <c r="H158" i="22"/>
  <c r="G158" i="22"/>
  <c r="CC158" i="6" s="1"/>
  <c r="G136" i="22"/>
  <c r="CC136" i="6" s="1"/>
  <c r="AA136" i="22"/>
  <c r="Z136" i="22" s="1"/>
  <c r="Y136" i="22" s="1"/>
  <c r="AA266" i="22"/>
  <c r="Z266" i="22" s="1"/>
  <c r="Y266" i="22" s="1"/>
  <c r="G266" i="22"/>
  <c r="CC266" i="6" s="1"/>
  <c r="D258" i="22"/>
  <c r="E258" i="22" s="1"/>
  <c r="F258" i="22" s="1"/>
  <c r="W258" i="22"/>
  <c r="G79" i="22"/>
  <c r="CC79" i="6" s="1"/>
  <c r="H79" i="22"/>
  <c r="G328" i="22"/>
  <c r="CC328" i="6" s="1"/>
  <c r="G108" i="22"/>
  <c r="CC108" i="6" s="1"/>
  <c r="G186" i="22"/>
  <c r="CC186" i="6" s="1"/>
  <c r="H186" i="22"/>
  <c r="G374" i="22"/>
  <c r="CC374" i="6" s="1"/>
  <c r="G234" i="22"/>
  <c r="CC234" i="6" s="1"/>
  <c r="AA116" i="22"/>
  <c r="Z116" i="22" s="1"/>
  <c r="Y116" i="22" s="1"/>
  <c r="G116" i="22"/>
  <c r="CC116" i="6" s="1"/>
  <c r="I272" i="20"/>
  <c r="J272" i="20"/>
  <c r="I105" i="20"/>
  <c r="J105" i="20"/>
  <c r="G349" i="22"/>
  <c r="CC349" i="6" s="1"/>
  <c r="G155" i="22"/>
  <c r="CC155" i="6" s="1"/>
  <c r="D74" i="22"/>
  <c r="E74" i="22" s="1"/>
  <c r="F74" i="22" s="1"/>
  <c r="W74" i="22"/>
  <c r="G311" i="22"/>
  <c r="CC311" i="6" s="1"/>
  <c r="AA311" i="22"/>
  <c r="Z311" i="22" s="1"/>
  <c r="Y311" i="22" s="1"/>
  <c r="G376" i="22"/>
  <c r="CC376" i="6" s="1"/>
  <c r="G208" i="22"/>
  <c r="CC208" i="6" s="1"/>
  <c r="G99" i="22"/>
  <c r="CC99" i="6" s="1"/>
  <c r="H99" i="22"/>
  <c r="G295" i="22"/>
  <c r="CC295" i="6" s="1"/>
  <c r="G196" i="22"/>
  <c r="CC196" i="6" s="1"/>
  <c r="G218" i="22"/>
  <c r="CC218" i="6" s="1"/>
  <c r="H218" i="22"/>
  <c r="G222" i="22"/>
  <c r="CC222" i="6" s="1"/>
  <c r="G279" i="22"/>
  <c r="CC279" i="6" s="1"/>
  <c r="G111" i="22"/>
  <c r="CC111" i="6" s="1"/>
  <c r="G298" i="22"/>
  <c r="CC298" i="6" s="1"/>
  <c r="G182" i="22"/>
  <c r="CC182" i="6" s="1"/>
  <c r="G314" i="22"/>
  <c r="CC314" i="6" s="1"/>
  <c r="H62" i="22"/>
  <c r="AA62" i="22"/>
  <c r="Z62" i="22" s="1"/>
  <c r="Y62" i="22" s="1"/>
  <c r="G62" i="22"/>
  <c r="CC62" i="6" s="1"/>
  <c r="AA134" i="22"/>
  <c r="Z134" i="22" s="1"/>
  <c r="Y134" i="22" s="1"/>
  <c r="G134" i="22"/>
  <c r="CC134" i="6" s="1"/>
  <c r="W105" i="22"/>
  <c r="AA114" i="22"/>
  <c r="Z114" i="22" s="1"/>
  <c r="Y114" i="22" s="1"/>
  <c r="G114" i="22"/>
  <c r="CC114" i="6" s="1"/>
  <c r="G325" i="22"/>
  <c r="CC325" i="6" s="1"/>
  <c r="G191" i="22"/>
  <c r="CC191" i="6" s="1"/>
  <c r="AA86" i="22"/>
  <c r="Z86" i="22" s="1"/>
  <c r="Y86" i="22" s="1"/>
  <c r="G86" i="22"/>
  <c r="CC86" i="6" s="1"/>
  <c r="G174" i="22"/>
  <c r="CC174" i="6" s="1"/>
  <c r="G356" i="22"/>
  <c r="CC356" i="6" s="1"/>
  <c r="AA337" i="22"/>
  <c r="Z337" i="22" s="1"/>
  <c r="Y337" i="22" s="1"/>
  <c r="G337" i="22"/>
  <c r="CC337" i="6" s="1"/>
  <c r="AA231" i="22"/>
  <c r="Z231" i="22" s="1"/>
  <c r="Y231" i="22" s="1"/>
  <c r="G231" i="22"/>
  <c r="CC231" i="6" s="1"/>
  <c r="G308" i="22"/>
  <c r="CC308" i="6" s="1"/>
  <c r="G161" i="22"/>
  <c r="CC161" i="6" s="1"/>
  <c r="AA243" i="22"/>
  <c r="Z243" i="22" s="1"/>
  <c r="Y243" i="22" s="1"/>
  <c r="G243" i="22"/>
  <c r="CC243" i="6" s="1"/>
  <c r="G63" i="22"/>
  <c r="CC63" i="6" s="1"/>
  <c r="G365" i="22"/>
  <c r="CC365" i="6" s="1"/>
  <c r="AA346" i="22"/>
  <c r="Z346" i="22" s="1"/>
  <c r="Y346" i="22" s="1"/>
  <c r="G346" i="22"/>
  <c r="CC346" i="6" s="1"/>
  <c r="G326" i="22"/>
  <c r="CC326" i="6" s="1"/>
  <c r="G252" i="22"/>
  <c r="CC252" i="6" s="1"/>
  <c r="AA271" i="22"/>
  <c r="Z271" i="22" s="1"/>
  <c r="Y271" i="22" s="1"/>
  <c r="AA267" i="22"/>
  <c r="Z267" i="22" s="1"/>
  <c r="Y267" i="22" s="1"/>
  <c r="G267" i="22"/>
  <c r="CC267" i="6" s="1"/>
  <c r="G361" i="22"/>
  <c r="CC361" i="6" s="1"/>
  <c r="G48" i="22"/>
  <c r="CC48" i="6" s="1"/>
  <c r="G150" i="22"/>
  <c r="CC150" i="6" s="1"/>
  <c r="G57" i="22"/>
  <c r="CC57" i="6" s="1"/>
  <c r="AA57" i="22"/>
  <c r="Z57" i="22" s="1"/>
  <c r="Y57" i="22" s="1"/>
  <c r="G268" i="22"/>
  <c r="CC268" i="6" s="1"/>
  <c r="G80" i="22"/>
  <c r="CC80" i="6" s="1"/>
  <c r="G100" i="22"/>
  <c r="CC100" i="6" s="1"/>
  <c r="H100" i="22"/>
  <c r="G175" i="22"/>
  <c r="CC175" i="6" s="1"/>
  <c r="AA207" i="22"/>
  <c r="Z207" i="22" s="1"/>
  <c r="Y207" i="22" s="1"/>
  <c r="G207" i="22"/>
  <c r="CC207" i="6" s="1"/>
  <c r="G92" i="22"/>
  <c r="CC92" i="6" s="1"/>
  <c r="G284" i="22"/>
  <c r="CC284" i="6" s="1"/>
  <c r="G171" i="22"/>
  <c r="CC171" i="6" s="1"/>
  <c r="H171" i="22"/>
  <c r="AA171" i="22"/>
  <c r="Z171" i="22" s="1"/>
  <c r="Y171" i="22" s="1"/>
  <c r="G378" i="22"/>
  <c r="CC378" i="6" s="1"/>
  <c r="D227" i="22"/>
  <c r="E227" i="22" s="1"/>
  <c r="F227" i="22" s="1"/>
  <c r="W227" i="22"/>
  <c r="AA300" i="22" l="1"/>
  <c r="Z300" i="22" s="1"/>
  <c r="Y300" i="22" s="1"/>
  <c r="AA280" i="22"/>
  <c r="Z280" i="22" s="1"/>
  <c r="Y280" i="22" s="1"/>
  <c r="AA222" i="22"/>
  <c r="Z222" i="22" s="1"/>
  <c r="Y222" i="22" s="1"/>
  <c r="AA252" i="22"/>
  <c r="Z252" i="22" s="1"/>
  <c r="Y252" i="22" s="1"/>
  <c r="AA234" i="22"/>
  <c r="Z234" i="22" s="1"/>
  <c r="Y234" i="22" s="1"/>
  <c r="AA323" i="22"/>
  <c r="Z323" i="22" s="1"/>
  <c r="Y323" i="22" s="1"/>
  <c r="AA141" i="22"/>
  <c r="Z141" i="22" s="1"/>
  <c r="Y141" i="22" s="1"/>
  <c r="AA306" i="22"/>
  <c r="Z306" i="22" s="1"/>
  <c r="Y306" i="22" s="1"/>
  <c r="H340" i="22"/>
  <c r="W210" i="22"/>
  <c r="H305" i="22"/>
  <c r="AA131" i="22"/>
  <c r="Z131" i="22" s="1"/>
  <c r="Y131" i="22" s="1"/>
  <c r="H230" i="22"/>
  <c r="AA184" i="22"/>
  <c r="Z184" i="22" s="1"/>
  <c r="Y184" i="22" s="1"/>
  <c r="D289" i="22"/>
  <c r="E289" i="22" s="1"/>
  <c r="F289" i="22" s="1"/>
  <c r="AA289" i="22" s="1"/>
  <c r="Z289" i="22" s="1"/>
  <c r="Y289" i="22" s="1"/>
  <c r="D360" i="22"/>
  <c r="E360" i="22" s="1"/>
  <c r="F360" i="22" s="1"/>
  <c r="H360" i="22" s="1"/>
  <c r="J360" i="22" s="1"/>
  <c r="D127" i="22"/>
  <c r="E127" i="22" s="1"/>
  <c r="F127" i="22" s="1"/>
  <c r="AA127" i="22" s="1"/>
  <c r="Z127" i="22" s="1"/>
  <c r="Y127" i="22" s="1"/>
  <c r="W175" i="22"/>
  <c r="AA197" i="22"/>
  <c r="Z197" i="22" s="1"/>
  <c r="Y197" i="22" s="1"/>
  <c r="D160" i="22"/>
  <c r="E160" i="22" s="1"/>
  <c r="F160" i="22" s="1"/>
  <c r="AA160" i="22" s="1"/>
  <c r="Z160" i="22" s="1"/>
  <c r="Y160" i="22" s="1"/>
  <c r="W291" i="22"/>
  <c r="AA31" i="22"/>
  <c r="Z31" i="22" s="1"/>
  <c r="Y31" i="22" s="1"/>
  <c r="W144" i="22"/>
  <c r="W55" i="22"/>
  <c r="W343" i="22"/>
  <c r="D73" i="22"/>
  <c r="E73" i="22" s="1"/>
  <c r="F73" i="22" s="1"/>
  <c r="G73" i="22" s="1"/>
  <c r="CC73" i="6" s="1"/>
  <c r="W202" i="22"/>
  <c r="W131" i="22"/>
  <c r="D68" i="22"/>
  <c r="E68" i="22" s="1"/>
  <c r="F68" i="22" s="1"/>
  <c r="G68" i="22" s="1"/>
  <c r="CC68" i="6" s="1"/>
  <c r="D219" i="22"/>
  <c r="E219" i="22" s="1"/>
  <c r="F219" i="22" s="1"/>
  <c r="H219" i="22" s="1"/>
  <c r="I219" i="22" s="1"/>
  <c r="AA164" i="22"/>
  <c r="Z164" i="22" s="1"/>
  <c r="Y164" i="22" s="1"/>
  <c r="AA193" i="22"/>
  <c r="Z193" i="22" s="1"/>
  <c r="Y193" i="22" s="1"/>
  <c r="AA248" i="22"/>
  <c r="Z248" i="22" s="1"/>
  <c r="Y248" i="22" s="1"/>
  <c r="AA90" i="22"/>
  <c r="Z90" i="22" s="1"/>
  <c r="Y90" i="22" s="1"/>
  <c r="AA21" i="22"/>
  <c r="Z21" i="22" s="1"/>
  <c r="Y21" i="22" s="1"/>
  <c r="AA343" i="22"/>
  <c r="Z343" i="22" s="1"/>
  <c r="Y343" i="22" s="1"/>
  <c r="AA237" i="22"/>
  <c r="Z237" i="22" s="1"/>
  <c r="Y237" i="22" s="1"/>
  <c r="G230" i="22"/>
  <c r="CC230" i="6" s="1"/>
  <c r="I258" i="20"/>
  <c r="H240" i="22"/>
  <c r="I240" i="22" s="1"/>
  <c r="D253" i="22"/>
  <c r="E253" i="22" s="1"/>
  <c r="F253" i="22" s="1"/>
  <c r="W237" i="22"/>
  <c r="D93" i="22"/>
  <c r="E93" i="22" s="1"/>
  <c r="F93" i="22" s="1"/>
  <c r="D220" i="22"/>
  <c r="E220" i="22" s="1"/>
  <c r="F220" i="22" s="1"/>
  <c r="AA220" i="22" s="1"/>
  <c r="Z220" i="22" s="1"/>
  <c r="Y220" i="22" s="1"/>
  <c r="W256" i="22"/>
  <c r="D53" i="22"/>
  <c r="E53" i="22" s="1"/>
  <c r="F53" i="22" s="1"/>
  <c r="G53" i="22" s="1"/>
  <c r="CC53" i="6" s="1"/>
  <c r="W364" i="22"/>
  <c r="D124" i="22"/>
  <c r="E124" i="22" s="1"/>
  <c r="F124" i="22" s="1"/>
  <c r="AA124" i="22" s="1"/>
  <c r="Z124" i="22" s="1"/>
  <c r="Y124" i="22" s="1"/>
  <c r="D142" i="22"/>
  <c r="E142" i="22" s="1"/>
  <c r="F142" i="22" s="1"/>
  <c r="D43" i="22"/>
  <c r="E43" i="22" s="1"/>
  <c r="F43" i="22" s="1"/>
  <c r="G43" i="22" s="1"/>
  <c r="CC43" i="6" s="1"/>
  <c r="AA284" i="22"/>
  <c r="Z284" i="22" s="1"/>
  <c r="Y284" i="22" s="1"/>
  <c r="W97" i="22"/>
  <c r="I263" i="20"/>
  <c r="H263" i="22" s="1"/>
  <c r="H256" i="22"/>
  <c r="AA305" i="22"/>
  <c r="Z305" i="22" s="1"/>
  <c r="Y305" i="22" s="1"/>
  <c r="AA263" i="22"/>
  <c r="Z263" i="22" s="1"/>
  <c r="Y263" i="22" s="1"/>
  <c r="H175" i="22"/>
  <c r="AA295" i="22"/>
  <c r="Z295" i="22" s="1"/>
  <c r="Y295" i="22" s="1"/>
  <c r="AA244" i="22"/>
  <c r="Z244" i="22" s="1"/>
  <c r="Y244" i="22" s="1"/>
  <c r="AA351" i="22"/>
  <c r="Z351" i="22" s="1"/>
  <c r="Y351" i="22" s="1"/>
  <c r="AA253" i="22"/>
  <c r="Z253" i="22" s="1"/>
  <c r="Y253" i="22" s="1"/>
  <c r="AA93" i="22"/>
  <c r="Z93" i="22" s="1"/>
  <c r="Y93" i="22" s="1"/>
  <c r="AA250" i="22"/>
  <c r="Z250" i="22" s="1"/>
  <c r="Y250" i="22" s="1"/>
  <c r="AA61" i="22"/>
  <c r="Z61" i="22" s="1"/>
  <c r="Y61" i="22" s="1"/>
  <c r="AA52" i="22"/>
  <c r="Z52" i="22" s="1"/>
  <c r="Y52" i="22" s="1"/>
  <c r="J363" i="20"/>
  <c r="J95" i="20"/>
  <c r="H95" i="22"/>
  <c r="I95" i="22" s="1"/>
  <c r="J80" i="20"/>
  <c r="J229" i="20"/>
  <c r="J135" i="20"/>
  <c r="J171" i="20"/>
  <c r="J120" i="20"/>
  <c r="I334" i="20"/>
  <c r="H334" i="22" s="1"/>
  <c r="I334" i="22" s="1"/>
  <c r="J240" i="20"/>
  <c r="AA151" i="22"/>
  <c r="Z151" i="22" s="1"/>
  <c r="Y151" i="22" s="1"/>
  <c r="H229" i="22"/>
  <c r="I63" i="20"/>
  <c r="H63" i="22" s="1"/>
  <c r="I63" i="22" s="1"/>
  <c r="J18" i="20"/>
  <c r="J18" i="22" s="1"/>
  <c r="I153" i="20"/>
  <c r="H153" i="22" s="1"/>
  <c r="J153" i="22" s="1"/>
  <c r="J65" i="20"/>
  <c r="I284" i="20"/>
  <c r="H284" i="22" s="1"/>
  <c r="J284" i="22" s="1"/>
  <c r="AI381" i="22"/>
  <c r="AI383" i="22"/>
  <c r="I367" i="20"/>
  <c r="I249" i="20"/>
  <c r="J163" i="20"/>
  <c r="J320" i="20"/>
  <c r="I322" i="20"/>
  <c r="I202" i="20"/>
  <c r="I92" i="20"/>
  <c r="H92" i="22" s="1"/>
  <c r="I92" i="22" s="1"/>
  <c r="I370" i="20"/>
  <c r="E14" i="19"/>
  <c r="W319" i="22"/>
  <c r="G26" i="22"/>
  <c r="CC26" i="6" s="1"/>
  <c r="AA226" i="22"/>
  <c r="Z226" i="22" s="1"/>
  <c r="Y226" i="22" s="1"/>
  <c r="AA236" i="22"/>
  <c r="Z236" i="22" s="1"/>
  <c r="Y236" i="22" s="1"/>
  <c r="W241" i="22"/>
  <c r="D247" i="22"/>
  <c r="E247" i="22" s="1"/>
  <c r="F247" i="22" s="1"/>
  <c r="G247" i="22" s="1"/>
  <c r="CC247" i="6" s="1"/>
  <c r="D123" i="22"/>
  <c r="E123" i="22" s="1"/>
  <c r="F123" i="22" s="1"/>
  <c r="H123" i="22" s="1"/>
  <c r="I123" i="22" s="1"/>
  <c r="D189" i="22"/>
  <c r="E189" i="22" s="1"/>
  <c r="F189" i="22" s="1"/>
  <c r="AA189" i="22" s="1"/>
  <c r="Z189" i="22" s="1"/>
  <c r="Y189" i="22" s="1"/>
  <c r="H90" i="22"/>
  <c r="I90" i="22" s="1"/>
  <c r="H25" i="22"/>
  <c r="I25" i="22" s="1"/>
  <c r="W302" i="22"/>
  <c r="D270" i="22"/>
  <c r="E270" i="22" s="1"/>
  <c r="F270" i="22" s="1"/>
  <c r="AA270" i="22" s="1"/>
  <c r="Z270" i="22" s="1"/>
  <c r="Y270" i="22" s="1"/>
  <c r="W371" i="22"/>
  <c r="AA310" i="22"/>
  <c r="Z310" i="22" s="1"/>
  <c r="Y310" i="22" s="1"/>
  <c r="W29" i="22"/>
  <c r="D206" i="22"/>
  <c r="E206" i="22" s="1"/>
  <c r="F206" i="22" s="1"/>
  <c r="H206" i="22" s="1"/>
  <c r="J206" i="22" s="1"/>
  <c r="D115" i="22"/>
  <c r="E115" i="22" s="1"/>
  <c r="F115" i="22" s="1"/>
  <c r="G115" i="22" s="1"/>
  <c r="CC115" i="6" s="1"/>
  <c r="D167" i="22"/>
  <c r="E167" i="22" s="1"/>
  <c r="F167" i="22" s="1"/>
  <c r="AA167" i="22" s="1"/>
  <c r="Z167" i="22" s="1"/>
  <c r="Y167" i="22" s="1"/>
  <c r="G70" i="22"/>
  <c r="CC70" i="6" s="1"/>
  <c r="AA368" i="22"/>
  <c r="Z368" i="22" s="1"/>
  <c r="Y368" i="22" s="1"/>
  <c r="AA25" i="22"/>
  <c r="Z25" i="22" s="1"/>
  <c r="Y25" i="22" s="1"/>
  <c r="AA176" i="22"/>
  <c r="Z176" i="22" s="1"/>
  <c r="Y176" i="22" s="1"/>
  <c r="AA264" i="22"/>
  <c r="Z264" i="22" s="1"/>
  <c r="Y264" i="22" s="1"/>
  <c r="AA178" i="22"/>
  <c r="Z178" i="22" s="1"/>
  <c r="Y178" i="22" s="1"/>
  <c r="AA30" i="22"/>
  <c r="Z30" i="22" s="1"/>
  <c r="Y30" i="22" s="1"/>
  <c r="D322" i="22"/>
  <c r="E322" i="22" s="1"/>
  <c r="F322" i="22" s="1"/>
  <c r="G322" i="22" s="1"/>
  <c r="CC322" i="6" s="1"/>
  <c r="W58" i="22"/>
  <c r="W56" i="22"/>
  <c r="D146" i="22"/>
  <c r="E146" i="22" s="1"/>
  <c r="F146" i="22" s="1"/>
  <c r="AA146" i="22" s="1"/>
  <c r="Z146" i="22" s="1"/>
  <c r="Y146" i="22" s="1"/>
  <c r="W226" i="22"/>
  <c r="G90" i="22"/>
  <c r="CC90" i="6" s="1"/>
  <c r="H225" i="22"/>
  <c r="I225" i="22" s="1"/>
  <c r="AA35" i="22"/>
  <c r="Z35" i="22" s="1"/>
  <c r="Y35" i="22" s="1"/>
  <c r="AA251" i="22"/>
  <c r="Z251" i="22" s="1"/>
  <c r="Y251" i="22" s="1"/>
  <c r="G236" i="22"/>
  <c r="CC236" i="6" s="1"/>
  <c r="G248" i="22"/>
  <c r="CC248" i="6" s="1"/>
  <c r="AA42" i="22"/>
  <c r="Z42" i="22" s="1"/>
  <c r="Y42" i="22" s="1"/>
  <c r="G109" i="22"/>
  <c r="CC109" i="6" s="1"/>
  <c r="H226" i="22"/>
  <c r="I226" i="22" s="1"/>
  <c r="W157" i="22"/>
  <c r="AA303" i="22"/>
  <c r="Z303" i="22" s="1"/>
  <c r="Y303" i="22" s="1"/>
  <c r="W35" i="22"/>
  <c r="W367" i="22"/>
  <c r="W358" i="22"/>
  <c r="D16" i="22"/>
  <c r="E16" i="22" s="1"/>
  <c r="F16" i="22" s="1"/>
  <c r="AA16" i="22" s="1"/>
  <c r="Z16" i="22" s="1"/>
  <c r="Y16" i="22" s="1"/>
  <c r="W262" i="22"/>
  <c r="D165" i="22"/>
  <c r="E165" i="22" s="1"/>
  <c r="F165" i="22" s="1"/>
  <c r="AA165" i="22" s="1"/>
  <c r="Z165" i="22" s="1"/>
  <c r="Y165" i="22" s="1"/>
  <c r="D101" i="22"/>
  <c r="E101" i="22" s="1"/>
  <c r="F101" i="22" s="1"/>
  <c r="H101" i="22" s="1"/>
  <c r="J101" i="22" s="1"/>
  <c r="W368" i="22"/>
  <c r="W91" i="22"/>
  <c r="D260" i="22"/>
  <c r="E260" i="22" s="1"/>
  <c r="F260" i="22" s="1"/>
  <c r="H260" i="22" s="1"/>
  <c r="I260" i="22" s="1"/>
  <c r="W26" i="22"/>
  <c r="W25" i="22"/>
  <c r="AH41" i="7"/>
  <c r="V180" i="22"/>
  <c r="B180" i="22" s="1"/>
  <c r="W180" i="22" s="1"/>
  <c r="AA247" i="22"/>
  <c r="Z247" i="22" s="1"/>
  <c r="Y247" i="22" s="1"/>
  <c r="G110" i="22"/>
  <c r="CC110" i="6" s="1"/>
  <c r="H39" i="22"/>
  <c r="J39" i="22" s="1"/>
  <c r="G342" i="22"/>
  <c r="CC342" i="6" s="1"/>
  <c r="D88" i="22"/>
  <c r="E88" i="22" s="1"/>
  <c r="F88" i="22" s="1"/>
  <c r="G88" i="22" s="1"/>
  <c r="CC88" i="6" s="1"/>
  <c r="AA249" i="22"/>
  <c r="Z249" i="22" s="1"/>
  <c r="Y249" i="22" s="1"/>
  <c r="D320" i="22"/>
  <c r="E320" i="22" s="1"/>
  <c r="F320" i="22" s="1"/>
  <c r="G320" i="22" s="1"/>
  <c r="CC320" i="6" s="1"/>
  <c r="AA152" i="22"/>
  <c r="Z152" i="22" s="1"/>
  <c r="Y152" i="22" s="1"/>
  <c r="W39" i="22"/>
  <c r="W110" i="22"/>
  <c r="AA138" i="22"/>
  <c r="Z138" i="22" s="1"/>
  <c r="Y138" i="22" s="1"/>
  <c r="W352" i="22"/>
  <c r="W138" i="22"/>
  <c r="W141" i="22"/>
  <c r="W121" i="22"/>
  <c r="W306" i="22"/>
  <c r="D27" i="22"/>
  <c r="E27" i="22" s="1"/>
  <c r="F27" i="22" s="1"/>
  <c r="AA27" i="22" s="1"/>
  <c r="Z27" i="22" s="1"/>
  <c r="Y27" i="22" s="1"/>
  <c r="D129" i="22"/>
  <c r="E129" i="22" s="1"/>
  <c r="F129" i="22" s="1"/>
  <c r="AA129" i="22" s="1"/>
  <c r="Z129" i="22" s="1"/>
  <c r="Y129" i="22" s="1"/>
  <c r="D329" i="22"/>
  <c r="E329" i="22" s="1"/>
  <c r="F329" i="22" s="1"/>
  <c r="AA329" i="22" s="1"/>
  <c r="Z329" i="22" s="1"/>
  <c r="Y329" i="22" s="1"/>
  <c r="D212" i="22"/>
  <c r="E212" i="22" s="1"/>
  <c r="F212" i="22" s="1"/>
  <c r="AA212" i="22" s="1"/>
  <c r="Z212" i="22" s="1"/>
  <c r="Y212" i="22" s="1"/>
  <c r="W249" i="22"/>
  <c r="H26" i="22"/>
  <c r="I26" i="22" s="1"/>
  <c r="AA313" i="22"/>
  <c r="Z313" i="22" s="1"/>
  <c r="Y313" i="22" s="1"/>
  <c r="AA91" i="22"/>
  <c r="Z91" i="22" s="1"/>
  <c r="Y91" i="22" s="1"/>
  <c r="AA331" i="22"/>
  <c r="Z331" i="22" s="1"/>
  <c r="Y331" i="22" s="1"/>
  <c r="W333" i="22"/>
  <c r="AA110" i="22"/>
  <c r="Z110" i="22" s="1"/>
  <c r="Y110" i="22" s="1"/>
  <c r="G145" i="22"/>
  <c r="CC145" i="6" s="1"/>
  <c r="H331" i="22"/>
  <c r="I331" i="22" s="1"/>
  <c r="AA228" i="22"/>
  <c r="Z228" i="22" s="1"/>
  <c r="Y228" i="22" s="1"/>
  <c r="D288" i="22"/>
  <c r="E288" i="22" s="1"/>
  <c r="F288" i="22" s="1"/>
  <c r="H288" i="22" s="1"/>
  <c r="H254" i="22"/>
  <c r="J254" i="22" s="1"/>
  <c r="H67" i="19"/>
  <c r="AA179" i="22"/>
  <c r="Z179" i="22" s="1"/>
  <c r="Y179" i="22" s="1"/>
  <c r="D347" i="22"/>
  <c r="E347" i="22" s="1"/>
  <c r="F347" i="22" s="1"/>
  <c r="AA347" i="22" s="1"/>
  <c r="Z347" i="22" s="1"/>
  <c r="Y347" i="22" s="1"/>
  <c r="W190" i="22"/>
  <c r="W66" i="22"/>
  <c r="D273" i="22"/>
  <c r="E273" i="22" s="1"/>
  <c r="F273" i="22" s="1"/>
  <c r="AA273" i="22" s="1"/>
  <c r="Z273" i="22" s="1"/>
  <c r="Y273" i="22" s="1"/>
  <c r="D104" i="22"/>
  <c r="E104" i="22" s="1"/>
  <c r="F104" i="22" s="1"/>
  <c r="G104" i="22" s="1"/>
  <c r="CC104" i="6" s="1"/>
  <c r="W221" i="22"/>
  <c r="D107" i="22"/>
  <c r="E107" i="22" s="1"/>
  <c r="F107" i="22" s="1"/>
  <c r="H107" i="22" s="1"/>
  <c r="I107" i="22" s="1"/>
  <c r="W216" i="22"/>
  <c r="D139" i="22"/>
  <c r="E139" i="22" s="1"/>
  <c r="F139" i="22" s="1"/>
  <c r="AA139" i="22" s="1"/>
  <c r="Z139" i="22" s="1"/>
  <c r="Y139" i="22" s="1"/>
  <c r="W254" i="22"/>
  <c r="D245" i="22"/>
  <c r="E245" i="22" s="1"/>
  <c r="F245" i="22" s="1"/>
  <c r="AA245" i="22" s="1"/>
  <c r="Z245" i="22" s="1"/>
  <c r="Y245" i="22" s="1"/>
  <c r="W342" i="22"/>
  <c r="H221" i="22"/>
  <c r="I221" i="22" s="1"/>
  <c r="G39" i="22"/>
  <c r="CC39" i="6" s="1"/>
  <c r="H310" i="22"/>
  <c r="J310" i="22" s="1"/>
  <c r="E67" i="19"/>
  <c r="AA254" i="22"/>
  <c r="Z254" i="22" s="1"/>
  <c r="Y254" i="22" s="1"/>
  <c r="L67" i="19"/>
  <c r="D350" i="22"/>
  <c r="E350" i="22" s="1"/>
  <c r="F350" i="22" s="1"/>
  <c r="G350" i="22" s="1"/>
  <c r="CC350" i="6" s="1"/>
  <c r="W228" i="22"/>
  <c r="D140" i="22"/>
  <c r="E140" i="22" s="1"/>
  <c r="F140" i="22" s="1"/>
  <c r="G140" i="22" s="1"/>
  <c r="CC140" i="6" s="1"/>
  <c r="D239" i="22"/>
  <c r="E239" i="22" s="1"/>
  <c r="F239" i="22" s="1"/>
  <c r="G239" i="22" s="1"/>
  <c r="CC239" i="6" s="1"/>
  <c r="AA370" i="22"/>
  <c r="Z370" i="22" s="1"/>
  <c r="Y370" i="22" s="1"/>
  <c r="AA126" i="22"/>
  <c r="Z126" i="22" s="1"/>
  <c r="Y126" i="22" s="1"/>
  <c r="D203" i="22"/>
  <c r="E203" i="22" s="1"/>
  <c r="F203" i="22" s="1"/>
  <c r="AA203" i="22" s="1"/>
  <c r="Z203" i="22" s="1"/>
  <c r="Y203" i="22" s="1"/>
  <c r="D41" i="22"/>
  <c r="E41" i="22" s="1"/>
  <c r="F41" i="22" s="1"/>
  <c r="AA41" i="22" s="1"/>
  <c r="Z41" i="22" s="1"/>
  <c r="Y41" i="22" s="1"/>
  <c r="W310" i="22"/>
  <c r="D198" i="22"/>
  <c r="E198" i="22" s="1"/>
  <c r="F198" i="22" s="1"/>
  <c r="G198" i="22" s="1"/>
  <c r="CC198" i="6" s="1"/>
  <c r="D113" i="22"/>
  <c r="E113" i="22" s="1"/>
  <c r="F113" i="22" s="1"/>
  <c r="AA113" i="22" s="1"/>
  <c r="Z113" i="22" s="1"/>
  <c r="Y113" i="22" s="1"/>
  <c r="AA371" i="22"/>
  <c r="Z371" i="22" s="1"/>
  <c r="Y371" i="22" s="1"/>
  <c r="W188" i="22"/>
  <c r="W145" i="22"/>
  <c r="W331" i="22"/>
  <c r="D213" i="22"/>
  <c r="E213" i="22" s="1"/>
  <c r="F213" i="22" s="1"/>
  <c r="H213" i="22" s="1"/>
  <c r="I213" i="22" s="1"/>
  <c r="D338" i="22"/>
  <c r="E338" i="22" s="1"/>
  <c r="F338" i="22" s="1"/>
  <c r="AA338" i="22" s="1"/>
  <c r="Z338" i="22" s="1"/>
  <c r="Y338" i="22" s="1"/>
  <c r="AH34" i="7"/>
  <c r="AH42" i="7"/>
  <c r="H249" i="22"/>
  <c r="I249" i="22" s="1"/>
  <c r="H145" i="22"/>
  <c r="I145" i="22" s="1"/>
  <c r="H188" i="22"/>
  <c r="I188" i="22" s="1"/>
  <c r="AA190" i="22"/>
  <c r="Z190" i="22" s="1"/>
  <c r="Y190" i="22" s="1"/>
  <c r="AA188" i="22"/>
  <c r="Z188" i="22" s="1"/>
  <c r="Y188" i="22" s="1"/>
  <c r="AA342" i="22"/>
  <c r="Z342" i="22" s="1"/>
  <c r="Y342" i="22" s="1"/>
  <c r="H368" i="22"/>
  <c r="J368" i="22" s="1"/>
  <c r="J88" i="20"/>
  <c r="J325" i="20"/>
  <c r="J325" i="22" s="1"/>
  <c r="AA170" i="22"/>
  <c r="Z170" i="22" s="1"/>
  <c r="Y170" i="22" s="1"/>
  <c r="AA335" i="22"/>
  <c r="Z335" i="22" s="1"/>
  <c r="Y335" i="22" s="1"/>
  <c r="AA157" i="22"/>
  <c r="Z157" i="22" s="1"/>
  <c r="Y157" i="22" s="1"/>
  <c r="AA225" i="22"/>
  <c r="Z225" i="22" s="1"/>
  <c r="Y225" i="22" s="1"/>
  <c r="K67" i="19"/>
  <c r="C67" i="19"/>
  <c r="I67" i="19"/>
  <c r="G170" i="22"/>
  <c r="CC170" i="6" s="1"/>
  <c r="F67" i="19"/>
  <c r="D67" i="19"/>
  <c r="AI382" i="22"/>
  <c r="AD379" i="22"/>
  <c r="W90" i="22"/>
  <c r="W70" i="22"/>
  <c r="W225" i="22"/>
  <c r="D312" i="22"/>
  <c r="E312" i="22" s="1"/>
  <c r="F312" i="22" s="1"/>
  <c r="AA312" i="22" s="1"/>
  <c r="Z312" i="22" s="1"/>
  <c r="Y312" i="22" s="1"/>
  <c r="D187" i="22"/>
  <c r="E187" i="22" s="1"/>
  <c r="F187" i="22" s="1"/>
  <c r="G187" i="22" s="1"/>
  <c r="CC187" i="6" s="1"/>
  <c r="D33" i="22"/>
  <c r="E33" i="22" s="1"/>
  <c r="F33" i="22" s="1"/>
  <c r="H33" i="22" s="1"/>
  <c r="J33" i="22" s="1"/>
  <c r="AA355" i="22"/>
  <c r="Z355" i="22" s="1"/>
  <c r="Y355" i="22" s="1"/>
  <c r="W335" i="22"/>
  <c r="D330" i="22"/>
  <c r="E330" i="22" s="1"/>
  <c r="F330" i="22" s="1"/>
  <c r="H330" i="22" s="1"/>
  <c r="I330" i="22" s="1"/>
  <c r="D274" i="22"/>
  <c r="E274" i="22" s="1"/>
  <c r="F274" i="22" s="1"/>
  <c r="AA274" i="22" s="1"/>
  <c r="Z274" i="22" s="1"/>
  <c r="Y274" i="22" s="1"/>
  <c r="W170" i="22"/>
  <c r="W236" i="22"/>
  <c r="W248" i="22"/>
  <c r="D125" i="22"/>
  <c r="E125" i="22" s="1"/>
  <c r="F125" i="22" s="1"/>
  <c r="AA125" i="22" s="1"/>
  <c r="Z125" i="22" s="1"/>
  <c r="Y125" i="22" s="1"/>
  <c r="D154" i="22"/>
  <c r="E154" i="22" s="1"/>
  <c r="F154" i="22" s="1"/>
  <c r="AA154" i="22" s="1"/>
  <c r="Z154" i="22" s="1"/>
  <c r="Y154" i="22" s="1"/>
  <c r="W42" i="22"/>
  <c r="W109" i="22"/>
  <c r="AA255" i="22"/>
  <c r="Z255" i="22" s="1"/>
  <c r="Y255" i="22" s="1"/>
  <c r="D324" i="22"/>
  <c r="E324" i="22" s="1"/>
  <c r="F324" i="22" s="1"/>
  <c r="G324" i="22" s="1"/>
  <c r="CC324" i="6" s="1"/>
  <c r="W251" i="22"/>
  <c r="W313" i="22"/>
  <c r="V272" i="22"/>
  <c r="B272" i="22" s="1"/>
  <c r="W272" i="22" s="1"/>
  <c r="H109" i="22"/>
  <c r="I109" i="22" s="1"/>
  <c r="G195" i="22"/>
  <c r="CC195" i="6" s="1"/>
  <c r="I314" i="20"/>
  <c r="H314" i="22" s="1"/>
  <c r="I314" i="22" s="1"/>
  <c r="AA345" i="22"/>
  <c r="Z345" i="22" s="1"/>
  <c r="Y345" i="22" s="1"/>
  <c r="AA192" i="22"/>
  <c r="Z192" i="22" s="1"/>
  <c r="Y192" i="22" s="1"/>
  <c r="AI11" i="23"/>
  <c r="AI198" i="23" s="1"/>
  <c r="AH198" i="23" s="1"/>
  <c r="AG198" i="23" s="1"/>
  <c r="AF198" i="23" s="1"/>
  <c r="AA120" i="22"/>
  <c r="Z120" i="22" s="1"/>
  <c r="Y120" i="22" s="1"/>
  <c r="AA358" i="22"/>
  <c r="Z358" i="22" s="1"/>
  <c r="Y358" i="22" s="1"/>
  <c r="AA262" i="22"/>
  <c r="Z262" i="22" s="1"/>
  <c r="Y262" i="22" s="1"/>
  <c r="AG158" i="22"/>
  <c r="AF158" i="22" s="1"/>
  <c r="AD158" i="22" s="1"/>
  <c r="AA158" i="22" s="1"/>
  <c r="Z158" i="22" s="1"/>
  <c r="Y158" i="22" s="1"/>
  <c r="AA353" i="22"/>
  <c r="Z353" i="22" s="1"/>
  <c r="Y353" i="22" s="1"/>
  <c r="AA123" i="22"/>
  <c r="Z123" i="22" s="1"/>
  <c r="Y123" i="22" s="1"/>
  <c r="AD112" i="22"/>
  <c r="AA112" i="22" s="1"/>
  <c r="Z112" i="22" s="1"/>
  <c r="Y112" i="22" s="1"/>
  <c r="AE382" i="22"/>
  <c r="AE383" i="22"/>
  <c r="AE381" i="22"/>
  <c r="J46" i="20"/>
  <c r="H177" i="22"/>
  <c r="J177" i="22" s="1"/>
  <c r="I98" i="20"/>
  <c r="H98" i="22" s="1"/>
  <c r="I98" i="22" s="1"/>
  <c r="D60" i="22"/>
  <c r="E60" i="22" s="1"/>
  <c r="F60" i="22" s="1"/>
  <c r="AA60" i="22" s="1"/>
  <c r="Z60" i="22" s="1"/>
  <c r="Y60" i="22" s="1"/>
  <c r="W195" i="22"/>
  <c r="J109" i="20"/>
  <c r="J207" i="20"/>
  <c r="J207" i="22" s="1"/>
  <c r="J260" i="20"/>
  <c r="I286" i="20"/>
  <c r="H286" i="22" s="1"/>
  <c r="J286" i="22" s="1"/>
  <c r="I261" i="20"/>
  <c r="H261" i="22" s="1"/>
  <c r="J261" i="22" s="1"/>
  <c r="Q10" i="23"/>
  <c r="Q317" i="23" s="1"/>
  <c r="AS15" i="7"/>
  <c r="V379" i="22"/>
  <c r="D41" i="19"/>
  <c r="F14" i="19"/>
  <c r="I205" i="20"/>
  <c r="H205" i="22" s="1"/>
  <c r="J205" i="22" s="1"/>
  <c r="J324" i="20"/>
  <c r="I165" i="20"/>
  <c r="I148" i="20"/>
  <c r="H148" i="22" s="1"/>
  <c r="J148" i="22" s="1"/>
  <c r="J326" i="20"/>
  <c r="J326" i="22" s="1"/>
  <c r="J44" i="20"/>
  <c r="H201" i="22"/>
  <c r="I201" i="22" s="1"/>
  <c r="I89" i="20"/>
  <c r="H89" i="22" s="1"/>
  <c r="J89" i="22" s="1"/>
  <c r="J25" i="20"/>
  <c r="J215" i="20"/>
  <c r="I242" i="20"/>
  <c r="H242" i="22" s="1"/>
  <c r="J242" i="22" s="1"/>
  <c r="I231" i="20"/>
  <c r="H231" i="22" s="1"/>
  <c r="J231" i="22" s="1"/>
  <c r="I35" i="20"/>
  <c r="H35" i="22" s="1"/>
  <c r="J35" i="22" s="1"/>
  <c r="J221" i="20"/>
  <c r="J220" i="20"/>
  <c r="J157" i="20"/>
  <c r="I157" i="20"/>
  <c r="H157" i="22" s="1"/>
  <c r="I157" i="22" s="1"/>
  <c r="I179" i="20"/>
  <c r="H179" i="22" s="1"/>
  <c r="I179" i="22" s="1"/>
  <c r="J179" i="20"/>
  <c r="I335" i="20"/>
  <c r="H335" i="22" s="1"/>
  <c r="J335" i="22" s="1"/>
  <c r="J361" i="20"/>
  <c r="J361" i="22" s="1"/>
  <c r="J180" i="20"/>
  <c r="H87" i="22"/>
  <c r="I87" i="22" s="1"/>
  <c r="H348" i="22"/>
  <c r="I348" i="22" s="1"/>
  <c r="I23" i="20"/>
  <c r="H23" i="22" s="1"/>
  <c r="I23" i="22" s="1"/>
  <c r="J312" i="20"/>
  <c r="I119" i="20"/>
  <c r="H119" i="22" s="1"/>
  <c r="H44" i="22"/>
  <c r="H133" i="22"/>
  <c r="J133" i="22" s="1"/>
  <c r="I234" i="20"/>
  <c r="H234" i="22" s="1"/>
  <c r="J234" i="22" s="1"/>
  <c r="J308" i="20"/>
  <c r="J308" i="22" s="1"/>
  <c r="J144" i="20"/>
  <c r="J150" i="20"/>
  <c r="J150" i="22" s="1"/>
  <c r="I64" i="20"/>
  <c r="H64" i="22" s="1"/>
  <c r="J64" i="22" s="1"/>
  <c r="I253" i="20"/>
  <c r="H253" i="22" s="1"/>
  <c r="I253" i="22" s="1"/>
  <c r="J353" i="20"/>
  <c r="J87" i="20"/>
  <c r="J256" i="20"/>
  <c r="J348" i="20"/>
  <c r="J201" i="20"/>
  <c r="J137" i="20"/>
  <c r="I137" i="20"/>
  <c r="H137" i="22" s="1"/>
  <c r="I137" i="22" s="1"/>
  <c r="J188" i="20"/>
  <c r="I269" i="20"/>
  <c r="J269" i="20"/>
  <c r="H269" i="22"/>
  <c r="I269" i="22" s="1"/>
  <c r="H202" i="22"/>
  <c r="J202" i="22" s="1"/>
  <c r="I129" i="20"/>
  <c r="I232" i="20"/>
  <c r="H232" i="22" s="1"/>
  <c r="I232" i="22" s="1"/>
  <c r="I337" i="20"/>
  <c r="H337" i="22" s="1"/>
  <c r="I337" i="22" s="1"/>
  <c r="I67" i="20"/>
  <c r="H67" i="22" s="1"/>
  <c r="I67" i="22" s="1"/>
  <c r="I69" i="20"/>
  <c r="H69" i="22" s="1"/>
  <c r="J69" i="22" s="1"/>
  <c r="I76" i="20"/>
  <c r="H76" i="22" s="1"/>
  <c r="J76" i="22" s="1"/>
  <c r="I24" i="20"/>
  <c r="H24" i="22" s="1"/>
  <c r="I24" i="22" s="1"/>
  <c r="I251" i="20"/>
  <c r="H251" i="22" s="1"/>
  <c r="J251" i="22" s="1"/>
  <c r="I223" i="20"/>
  <c r="H223" i="22" s="1"/>
  <c r="I223" i="22" s="1"/>
  <c r="J173" i="20"/>
  <c r="J173" i="22" s="1"/>
  <c r="I169" i="20"/>
  <c r="H169" i="22" s="1"/>
  <c r="J169" i="22" s="1"/>
  <c r="I190" i="20"/>
  <c r="H190" i="22" s="1"/>
  <c r="J190" i="22" s="1"/>
  <c r="I323" i="20"/>
  <c r="H323" i="22" s="1"/>
  <c r="I323" i="22" s="1"/>
  <c r="J358" i="20"/>
  <c r="I358" i="20"/>
  <c r="H358" i="22" s="1"/>
  <c r="I358" i="22" s="1"/>
  <c r="J143" i="20"/>
  <c r="I143" i="20"/>
  <c r="H143" i="22" s="1"/>
  <c r="I143" i="22" s="1"/>
  <c r="I376" i="20"/>
  <c r="H376" i="22" s="1"/>
  <c r="I376" i="22" s="1"/>
  <c r="J376" i="20"/>
  <c r="J241" i="20"/>
  <c r="H354" i="22"/>
  <c r="I354" i="22" s="1"/>
  <c r="I235" i="20"/>
  <c r="H235" i="22" s="1"/>
  <c r="I235" i="22" s="1"/>
  <c r="I346" i="20"/>
  <c r="H346" i="22" s="1"/>
  <c r="J346" i="22" s="1"/>
  <c r="I86" i="20"/>
  <c r="H86" i="22" s="1"/>
  <c r="J86" i="22" s="1"/>
  <c r="J172" i="20"/>
  <c r="J172" i="22" s="1"/>
  <c r="I277" i="20"/>
  <c r="H277" i="22" s="1"/>
  <c r="J181" i="20"/>
  <c r="J181" i="22" s="1"/>
  <c r="J106" i="20"/>
  <c r="J106" i="22" s="1"/>
  <c r="J53" i="20"/>
  <c r="I53" i="20"/>
  <c r="H53" i="22" s="1"/>
  <c r="J53" i="22" s="1"/>
  <c r="J115" i="20"/>
  <c r="I115" i="20"/>
  <c r="I271" i="20"/>
  <c r="H271" i="22" s="1"/>
  <c r="I271" i="22" s="1"/>
  <c r="J271" i="20"/>
  <c r="I147" i="20"/>
  <c r="H147" i="22" s="1"/>
  <c r="J147" i="20"/>
  <c r="H379" i="20"/>
  <c r="I379" i="20" s="1"/>
  <c r="H369" i="22"/>
  <c r="I369" i="22" s="1"/>
  <c r="I81" i="20"/>
  <c r="H81" i="22" s="1"/>
  <c r="I81" i="22" s="1"/>
  <c r="I287" i="20"/>
  <c r="H287" i="22" s="1"/>
  <c r="J287" i="22" s="1"/>
  <c r="J289" i="20"/>
  <c r="J40" i="20"/>
  <c r="J40" i="22" s="1"/>
  <c r="J369" i="20"/>
  <c r="J145" i="20"/>
  <c r="J273" i="20"/>
  <c r="I273" i="20"/>
  <c r="J297" i="20"/>
  <c r="I297" i="20"/>
  <c r="H297" i="22" s="1"/>
  <c r="I329" i="20"/>
  <c r="J329" i="20"/>
  <c r="J299" i="20"/>
  <c r="I299" i="20"/>
  <c r="H299" i="22" s="1"/>
  <c r="I299" i="22" s="1"/>
  <c r="I350" i="20"/>
  <c r="J350" i="20"/>
  <c r="J294" i="20"/>
  <c r="I294" i="20"/>
  <c r="H294" i="22" s="1"/>
  <c r="J247" i="20"/>
  <c r="I247" i="20"/>
  <c r="I364" i="20"/>
  <c r="H364" i="22" s="1"/>
  <c r="I364" i="22" s="1"/>
  <c r="J364" i="20"/>
  <c r="J71" i="20"/>
  <c r="I71" i="20"/>
  <c r="H71" i="22" s="1"/>
  <c r="I71" i="22" s="1"/>
  <c r="I266" i="20"/>
  <c r="H266" i="22" s="1"/>
  <c r="I266" i="22" s="1"/>
  <c r="J266" i="20"/>
  <c r="I77" i="20"/>
  <c r="H77" i="22" s="1"/>
  <c r="I77" i="22" s="1"/>
  <c r="J77" i="20"/>
  <c r="J296" i="20"/>
  <c r="I296" i="20"/>
  <c r="H296" i="22" s="1"/>
  <c r="J208" i="20"/>
  <c r="I208" i="20"/>
  <c r="H208" i="22" s="1"/>
  <c r="I208" i="22" s="1"/>
  <c r="AA45" i="22"/>
  <c r="Z45" i="22" s="1"/>
  <c r="Y45" i="22" s="1"/>
  <c r="H164" i="22"/>
  <c r="J164" i="22" s="1"/>
  <c r="AA128" i="22"/>
  <c r="Z128" i="22" s="1"/>
  <c r="Y128" i="22" s="1"/>
  <c r="H344" i="22"/>
  <c r="I344" i="22" s="1"/>
  <c r="I187" i="20"/>
  <c r="H209" i="22"/>
  <c r="I209" i="22" s="1"/>
  <c r="J354" i="20"/>
  <c r="H17" i="22"/>
  <c r="J17" i="22" s="1"/>
  <c r="I279" i="20"/>
  <c r="H279" i="22" s="1"/>
  <c r="J279" i="22" s="1"/>
  <c r="G17" i="22"/>
  <c r="CC17" i="6" s="1"/>
  <c r="J166" i="20"/>
  <c r="AA344" i="22"/>
  <c r="Z344" i="22" s="1"/>
  <c r="Y344" i="22" s="1"/>
  <c r="H333" i="20"/>
  <c r="J103" i="20"/>
  <c r="AA333" i="20"/>
  <c r="Z333" i="20" s="1"/>
  <c r="Y333" i="20" s="1"/>
  <c r="J78" i="20"/>
  <c r="I78" i="20"/>
  <c r="H78" i="22" s="1"/>
  <c r="I78" i="22" s="1"/>
  <c r="AA29" i="20"/>
  <c r="Z29" i="20" s="1"/>
  <c r="Y29" i="20" s="1"/>
  <c r="H29" i="20"/>
  <c r="H60" i="20"/>
  <c r="AA60" i="20"/>
  <c r="Z60" i="20" s="1"/>
  <c r="Y60" i="20" s="1"/>
  <c r="J141" i="20"/>
  <c r="I49" i="20"/>
  <c r="H49" i="22" s="1"/>
  <c r="I49" i="22" s="1"/>
  <c r="J49" i="20"/>
  <c r="I127" i="20"/>
  <c r="H127" i="22" s="1"/>
  <c r="J127" i="20"/>
  <c r="I222" i="20"/>
  <c r="H222" i="22" s="1"/>
  <c r="I222" i="22" s="1"/>
  <c r="J222" i="20"/>
  <c r="J267" i="20"/>
  <c r="I267" i="20"/>
  <c r="H267" i="22" s="1"/>
  <c r="I267" i="22" s="1"/>
  <c r="I303" i="20"/>
  <c r="H303" i="22" s="1"/>
  <c r="J303" i="20"/>
  <c r="I280" i="20"/>
  <c r="H280" i="22" s="1"/>
  <c r="I280" i="22" s="1"/>
  <c r="J280" i="20"/>
  <c r="J317" i="20"/>
  <c r="I317" i="20"/>
  <c r="H317" i="22" s="1"/>
  <c r="I317" i="22" s="1"/>
  <c r="I124" i="20"/>
  <c r="J124" i="20"/>
  <c r="J276" i="20"/>
  <c r="I276" i="20"/>
  <c r="H276" i="22" s="1"/>
  <c r="I276" i="22" s="1"/>
  <c r="I359" i="20"/>
  <c r="H359" i="22" s="1"/>
  <c r="I359" i="22" s="1"/>
  <c r="J359" i="20"/>
  <c r="I283" i="20"/>
  <c r="H283" i="22" s="1"/>
  <c r="I283" i="22" s="1"/>
  <c r="J283" i="20"/>
  <c r="I155" i="20"/>
  <c r="H155" i="22" s="1"/>
  <c r="I155" i="22" s="1"/>
  <c r="J155" i="20"/>
  <c r="J341" i="20"/>
  <c r="I341" i="20"/>
  <c r="H341" i="22" s="1"/>
  <c r="J45" i="20"/>
  <c r="I45" i="20"/>
  <c r="H45" i="22" s="1"/>
  <c r="J217" i="20"/>
  <c r="I217" i="20"/>
  <c r="H217" i="22" s="1"/>
  <c r="I315" i="20"/>
  <c r="H315" i="22" s="1"/>
  <c r="I315" i="22" s="1"/>
  <c r="J315" i="20"/>
  <c r="J112" i="20"/>
  <c r="I112" i="20"/>
  <c r="H112" i="22" s="1"/>
  <c r="I112" i="22" s="1"/>
  <c r="J191" i="20"/>
  <c r="I191" i="20"/>
  <c r="H191" i="22" s="1"/>
  <c r="I191" i="22" s="1"/>
  <c r="I160" i="20"/>
  <c r="J160" i="20"/>
  <c r="I136" i="20"/>
  <c r="H136" i="22" s="1"/>
  <c r="I136" i="22" s="1"/>
  <c r="J136" i="20"/>
  <c r="J352" i="20"/>
  <c r="I352" i="20"/>
  <c r="H352" i="22" s="1"/>
  <c r="J250" i="20"/>
  <c r="I250" i="20"/>
  <c r="H250" i="22" s="1"/>
  <c r="I250" i="22" s="1"/>
  <c r="J195" i="20"/>
  <c r="I195" i="20"/>
  <c r="H195" i="22" s="1"/>
  <c r="I195" i="22" s="1"/>
  <c r="J91" i="20"/>
  <c r="I91" i="20"/>
  <c r="H91" i="22" s="1"/>
  <c r="I91" i="22" s="1"/>
  <c r="I97" i="20"/>
  <c r="H97" i="22" s="1"/>
  <c r="I97" i="22" s="1"/>
  <c r="J97" i="20"/>
  <c r="J328" i="20"/>
  <c r="I328" i="20"/>
  <c r="H328" i="22" s="1"/>
  <c r="I328" i="22" s="1"/>
  <c r="I54" i="20"/>
  <c r="H54" i="22" s="1"/>
  <c r="J54" i="22" s="1"/>
  <c r="J54" i="20"/>
  <c r="J140" i="20"/>
  <c r="I140" i="20"/>
  <c r="J255" i="20"/>
  <c r="I255" i="20"/>
  <c r="H255" i="22" s="1"/>
  <c r="I255" i="22" s="1"/>
  <c r="J211" i="20"/>
  <c r="I211" i="20"/>
  <c r="H211" i="22" s="1"/>
  <c r="J184" i="20"/>
  <c r="I184" i="20"/>
  <c r="H184" i="22" s="1"/>
  <c r="I184" i="22" s="1"/>
  <c r="I22" i="20"/>
  <c r="H22" i="22" s="1"/>
  <c r="I22" i="22" s="1"/>
  <c r="J22" i="20"/>
  <c r="I373" i="20"/>
  <c r="J373" i="20"/>
  <c r="I257" i="20"/>
  <c r="H257" i="22" s="1"/>
  <c r="J257" i="20"/>
  <c r="I51" i="20"/>
  <c r="H51" i="22" s="1"/>
  <c r="J51" i="20"/>
  <c r="J93" i="20"/>
  <c r="I93" i="20"/>
  <c r="H93" i="22" s="1"/>
  <c r="J113" i="20"/>
  <c r="I113" i="20"/>
  <c r="J193" i="20"/>
  <c r="I193" i="20"/>
  <c r="H193" i="22" s="1"/>
  <c r="H373" i="22"/>
  <c r="I373" i="22" s="1"/>
  <c r="I252" i="20"/>
  <c r="H252" i="22" s="1"/>
  <c r="I252" i="22" s="1"/>
  <c r="J252" i="20"/>
  <c r="J142" i="20"/>
  <c r="I142" i="20"/>
  <c r="H142" i="22" s="1"/>
  <c r="J48" i="20"/>
  <c r="I48" i="20"/>
  <c r="H48" i="22" s="1"/>
  <c r="I48" i="22" s="1"/>
  <c r="J339" i="20"/>
  <c r="I339" i="20"/>
  <c r="H339" i="22" s="1"/>
  <c r="J248" i="20"/>
  <c r="I248" i="20"/>
  <c r="H248" i="22" s="1"/>
  <c r="I248" i="22" s="1"/>
  <c r="J356" i="20"/>
  <c r="I356" i="20"/>
  <c r="H356" i="22" s="1"/>
  <c r="I356" i="22" s="1"/>
  <c r="J365" i="20"/>
  <c r="I365" i="20"/>
  <c r="H365" i="22" s="1"/>
  <c r="I365" i="22" s="1"/>
  <c r="I82" i="20"/>
  <c r="H82" i="22" s="1"/>
  <c r="J82" i="20"/>
  <c r="J42" i="20"/>
  <c r="I42" i="20"/>
  <c r="H42" i="22" s="1"/>
  <c r="I178" i="20"/>
  <c r="H178" i="22" s="1"/>
  <c r="J178" i="20"/>
  <c r="J156" i="20"/>
  <c r="I156" i="20"/>
  <c r="H156" i="22" s="1"/>
  <c r="J304" i="20"/>
  <c r="I304" i="20"/>
  <c r="H304" i="22" s="1"/>
  <c r="I304" i="22" s="1"/>
  <c r="J121" i="20"/>
  <c r="I121" i="20"/>
  <c r="H121" i="22" s="1"/>
  <c r="I245" i="20"/>
  <c r="J245" i="20"/>
  <c r="I70" i="20"/>
  <c r="H70" i="22" s="1"/>
  <c r="I70" i="22" s="1"/>
  <c r="J70" i="20"/>
  <c r="I37" i="20"/>
  <c r="H37" i="22" s="1"/>
  <c r="I37" i="22" s="1"/>
  <c r="J37" i="20"/>
  <c r="I34" i="20"/>
  <c r="H34" i="22" s="1"/>
  <c r="I34" i="22" s="1"/>
  <c r="J34" i="20"/>
  <c r="J313" i="20"/>
  <c r="I313" i="20"/>
  <c r="H313" i="22" s="1"/>
  <c r="I313" i="22" s="1"/>
  <c r="I116" i="20"/>
  <c r="H116" i="22" s="1"/>
  <c r="I116" i="22" s="1"/>
  <c r="J116" i="20"/>
  <c r="J228" i="20"/>
  <c r="I228" i="20"/>
  <c r="H228" i="22" s="1"/>
  <c r="I228" i="22" s="1"/>
  <c r="J265" i="20"/>
  <c r="I265" i="20"/>
  <c r="H265" i="22" s="1"/>
  <c r="I265" i="22" s="1"/>
  <c r="I73" i="20"/>
  <c r="H73" i="22" s="1"/>
  <c r="J73" i="20"/>
  <c r="J282" i="20"/>
  <c r="I282" i="20"/>
  <c r="H282" i="22" s="1"/>
  <c r="I282" i="22" s="1"/>
  <c r="I290" i="20"/>
  <c r="H290" i="22" s="1"/>
  <c r="J290" i="20"/>
  <c r="J336" i="20"/>
  <c r="I336" i="20"/>
  <c r="H336" i="22" s="1"/>
  <c r="I295" i="20"/>
  <c r="H295" i="22" s="1"/>
  <c r="I295" i="22" s="1"/>
  <c r="J295" i="20"/>
  <c r="J270" i="20"/>
  <c r="I270" i="20"/>
  <c r="J316" i="20"/>
  <c r="I316" i="20"/>
  <c r="H316" i="22" s="1"/>
  <c r="I316" i="22" s="1"/>
  <c r="J167" i="20"/>
  <c r="I167" i="20"/>
  <c r="J371" i="20"/>
  <c r="I371" i="20"/>
  <c r="H371" i="22" s="1"/>
  <c r="I199" i="20"/>
  <c r="H199" i="22" s="1"/>
  <c r="J199" i="20"/>
  <c r="I268" i="20"/>
  <c r="H268" i="22" s="1"/>
  <c r="I268" i="22" s="1"/>
  <c r="J268" i="20"/>
  <c r="AA17" i="22"/>
  <c r="Z17" i="22" s="1"/>
  <c r="Y17" i="22" s="1"/>
  <c r="G189" i="22"/>
  <c r="CC189" i="6" s="1"/>
  <c r="G152" i="22"/>
  <c r="CC152" i="6" s="1"/>
  <c r="AA82" i="22"/>
  <c r="Z82" i="22" s="1"/>
  <c r="Y82" i="22" s="1"/>
  <c r="G193" i="22"/>
  <c r="CC193" i="6" s="1"/>
  <c r="AA32" i="22"/>
  <c r="Z32" i="22" s="1"/>
  <c r="Y32" i="22" s="1"/>
  <c r="AA292" i="22"/>
  <c r="Z292" i="22" s="1"/>
  <c r="Y292" i="22" s="1"/>
  <c r="G59" i="22"/>
  <c r="CC59" i="6" s="1"/>
  <c r="AA215" i="22"/>
  <c r="Z215" i="22" s="1"/>
  <c r="Y215" i="22" s="1"/>
  <c r="G352" i="22"/>
  <c r="CC352" i="6" s="1"/>
  <c r="AA84" i="22"/>
  <c r="Z84" i="22" s="1"/>
  <c r="Y84" i="22" s="1"/>
  <c r="G290" i="22"/>
  <c r="CC290" i="6" s="1"/>
  <c r="H32" i="22"/>
  <c r="I32" i="22" s="1"/>
  <c r="AA275" i="22"/>
  <c r="Z275" i="22" s="1"/>
  <c r="Y275" i="22" s="1"/>
  <c r="AA286" i="22"/>
  <c r="Z286" i="22" s="1"/>
  <c r="Y286" i="22" s="1"/>
  <c r="G142" i="22"/>
  <c r="CC142" i="6" s="1"/>
  <c r="G219" i="22"/>
  <c r="CC219" i="6" s="1"/>
  <c r="H278" i="22"/>
  <c r="I278" i="22" s="1"/>
  <c r="AA290" i="22"/>
  <c r="Z290" i="22" s="1"/>
  <c r="Y290" i="22" s="1"/>
  <c r="AA373" i="22"/>
  <c r="Z373" i="22" s="1"/>
  <c r="Y373" i="22" s="1"/>
  <c r="G71" i="22"/>
  <c r="CC71" i="6" s="1"/>
  <c r="AA317" i="22"/>
  <c r="Z317" i="22" s="1"/>
  <c r="Y317" i="22" s="1"/>
  <c r="H370" i="22"/>
  <c r="J370" i="22" s="1"/>
  <c r="AA142" i="22"/>
  <c r="Z142" i="22" s="1"/>
  <c r="Y142" i="22" s="1"/>
  <c r="AA68" i="22"/>
  <c r="Z68" i="22" s="1"/>
  <c r="Y68" i="22" s="1"/>
  <c r="AA362" i="22"/>
  <c r="Z362" i="22" s="1"/>
  <c r="Y362" i="22" s="1"/>
  <c r="G179" i="22"/>
  <c r="CC179" i="6" s="1"/>
  <c r="G275" i="22"/>
  <c r="CC275" i="6" s="1"/>
  <c r="G277" i="22"/>
  <c r="CC277" i="6" s="1"/>
  <c r="AA334" i="22"/>
  <c r="Z334" i="22" s="1"/>
  <c r="Y334" i="22" s="1"/>
  <c r="G296" i="22"/>
  <c r="CC296" i="6" s="1"/>
  <c r="H306" i="22"/>
  <c r="I306" i="22" s="1"/>
  <c r="G358" i="22"/>
  <c r="CC358" i="6" s="1"/>
  <c r="G348" i="22"/>
  <c r="CC348" i="6" s="1"/>
  <c r="AA202" i="22"/>
  <c r="Z202" i="22" s="1"/>
  <c r="Y202" i="22" s="1"/>
  <c r="G297" i="22"/>
  <c r="CC297" i="6" s="1"/>
  <c r="G336" i="22"/>
  <c r="CC336" i="6" s="1"/>
  <c r="H343" i="22"/>
  <c r="I343" i="22" s="1"/>
  <c r="G255" i="22"/>
  <c r="CC255" i="6" s="1"/>
  <c r="H345" i="22"/>
  <c r="J345" i="22" s="1"/>
  <c r="AA233" i="22"/>
  <c r="Z233" i="22" s="1"/>
  <c r="Y233" i="22" s="1"/>
  <c r="G138" i="22"/>
  <c r="CC138" i="6" s="1"/>
  <c r="H233" i="22"/>
  <c r="J233" i="22" s="1"/>
  <c r="G164" i="22"/>
  <c r="CC164" i="6" s="1"/>
  <c r="H128" i="22"/>
  <c r="I128" i="22" s="1"/>
  <c r="H152" i="22"/>
  <c r="I152" i="22" s="1"/>
  <c r="G30" i="22"/>
  <c r="CC30" i="6" s="1"/>
  <c r="G370" i="22"/>
  <c r="CC370" i="6" s="1"/>
  <c r="AA291" i="22"/>
  <c r="Z291" i="22" s="1"/>
  <c r="Y291" i="22" s="1"/>
  <c r="H215" i="22"/>
  <c r="AA352" i="22"/>
  <c r="Z352" i="22" s="1"/>
  <c r="Y352" i="22" s="1"/>
  <c r="H262" i="22"/>
  <c r="I262" i="22" s="1"/>
  <c r="H141" i="22"/>
  <c r="I141" i="22" s="1"/>
  <c r="H144" i="22"/>
  <c r="I144" i="22" s="1"/>
  <c r="AA276" i="22"/>
  <c r="Z276" i="22" s="1"/>
  <c r="Y276" i="22" s="1"/>
  <c r="G76" i="22"/>
  <c r="CC76" i="6" s="1"/>
  <c r="AA278" i="22"/>
  <c r="Z278" i="22" s="1"/>
  <c r="Y278" i="22" s="1"/>
  <c r="AA296" i="22"/>
  <c r="Z296" i="22" s="1"/>
  <c r="Y296" i="22" s="1"/>
  <c r="G306" i="22"/>
  <c r="CC306" i="6" s="1"/>
  <c r="G321" i="22"/>
  <c r="CC321" i="6" s="1"/>
  <c r="AA58" i="22"/>
  <c r="Z58" i="22" s="1"/>
  <c r="Y58" i="22" s="1"/>
  <c r="G253" i="22"/>
  <c r="CC253" i="6" s="1"/>
  <c r="H367" i="22"/>
  <c r="I367" i="22" s="1"/>
  <c r="G52" i="22"/>
  <c r="CC52" i="6" s="1"/>
  <c r="AA339" i="22"/>
  <c r="Z339" i="22" s="1"/>
  <c r="Y339" i="22" s="1"/>
  <c r="AA55" i="22"/>
  <c r="Z55" i="22" s="1"/>
  <c r="Y55" i="22" s="1"/>
  <c r="AA43" i="22"/>
  <c r="Z43" i="22" s="1"/>
  <c r="Y43" i="22" s="1"/>
  <c r="AA297" i="22"/>
  <c r="Z297" i="22" s="1"/>
  <c r="Y297" i="22" s="1"/>
  <c r="AA285" i="22"/>
  <c r="Z285" i="22" s="1"/>
  <c r="Y285" i="22" s="1"/>
  <c r="G151" i="22"/>
  <c r="CC151" i="6" s="1"/>
  <c r="G343" i="22"/>
  <c r="CC343" i="6" s="1"/>
  <c r="G345" i="22"/>
  <c r="CC345" i="6" s="1"/>
  <c r="AA238" i="22"/>
  <c r="Z238" i="22" s="1"/>
  <c r="Y238" i="22" s="1"/>
  <c r="G87" i="22"/>
  <c r="CC87" i="6" s="1"/>
  <c r="AA133" i="22"/>
  <c r="Z133" i="22" s="1"/>
  <c r="Y133" i="22" s="1"/>
  <c r="AA229" i="22"/>
  <c r="Z229" i="22" s="1"/>
  <c r="Y229" i="22" s="1"/>
  <c r="G353" i="22"/>
  <c r="CC353" i="6" s="1"/>
  <c r="G201" i="22"/>
  <c r="CC201" i="6" s="1"/>
  <c r="AA301" i="22"/>
  <c r="Z301" i="22" s="1"/>
  <c r="Y301" i="22" s="1"/>
  <c r="AA153" i="22"/>
  <c r="Z153" i="22" s="1"/>
  <c r="Y153" i="22" s="1"/>
  <c r="AA59" i="22"/>
  <c r="Z59" i="22" s="1"/>
  <c r="Y59" i="22" s="1"/>
  <c r="G93" i="22"/>
  <c r="CC93" i="6" s="1"/>
  <c r="G84" i="22"/>
  <c r="CC84" i="6" s="1"/>
  <c r="AA54" i="22"/>
  <c r="Z54" i="22" s="1"/>
  <c r="Y54" i="22" s="1"/>
  <c r="G160" i="22"/>
  <c r="CC160" i="6" s="1"/>
  <c r="H55" i="22"/>
  <c r="J55" i="22" s="1"/>
  <c r="H43" i="22"/>
  <c r="J43" i="22" s="1"/>
  <c r="H56" i="22"/>
  <c r="J56" i="22" s="1"/>
  <c r="AA53" i="22"/>
  <c r="Z53" i="22" s="1"/>
  <c r="Y53" i="22" s="1"/>
  <c r="H151" i="22"/>
  <c r="J151" i="22" s="1"/>
  <c r="AI159" i="23"/>
  <c r="AH159" i="23" s="1"/>
  <c r="AG159" i="23" s="1"/>
  <c r="AF159" i="23" s="1"/>
  <c r="H36" i="22"/>
  <c r="J36" i="22" s="1"/>
  <c r="AA44" i="22"/>
  <c r="Z44" i="22" s="1"/>
  <c r="Y44" i="22" s="1"/>
  <c r="H285" i="22"/>
  <c r="J285" i="22" s="1"/>
  <c r="AA369" i="22"/>
  <c r="Z369" i="22" s="1"/>
  <c r="Y369" i="22" s="1"/>
  <c r="G197" i="22"/>
  <c r="CC197" i="6" s="1"/>
  <c r="AA23" i="22"/>
  <c r="Z23" i="22" s="1"/>
  <c r="Y23" i="22" s="1"/>
  <c r="G242" i="22"/>
  <c r="CC242" i="6" s="1"/>
  <c r="G95" i="22"/>
  <c r="CC95" i="6" s="1"/>
  <c r="G199" i="22"/>
  <c r="CC199" i="6" s="1"/>
  <c r="AA148" i="22"/>
  <c r="Z148" i="22" s="1"/>
  <c r="Y148" i="22" s="1"/>
  <c r="H159" i="22"/>
  <c r="I159" i="22" s="1"/>
  <c r="AA204" i="22"/>
  <c r="Z204" i="22" s="1"/>
  <c r="Y204" i="22" s="1"/>
  <c r="AA372" i="22"/>
  <c r="Z372" i="22" s="1"/>
  <c r="Y372" i="22" s="1"/>
  <c r="H61" i="22"/>
  <c r="I61" i="22" s="1"/>
  <c r="G292" i="22"/>
  <c r="CC292" i="6" s="1"/>
  <c r="H291" i="22"/>
  <c r="J291" i="22" s="1"/>
  <c r="G262" i="22"/>
  <c r="CC262" i="6" s="1"/>
  <c r="G141" i="22"/>
  <c r="CC141" i="6" s="1"/>
  <c r="G144" i="22"/>
  <c r="CC144" i="6" s="1"/>
  <c r="G276" i="22"/>
  <c r="CC276" i="6" s="1"/>
  <c r="G147" i="22"/>
  <c r="CC147" i="6" s="1"/>
  <c r="H68" i="22"/>
  <c r="J68" i="22" s="1"/>
  <c r="AA168" i="22"/>
  <c r="Z168" i="22" s="1"/>
  <c r="Y168" i="22" s="1"/>
  <c r="AA277" i="22"/>
  <c r="Z277" i="22" s="1"/>
  <c r="Y277" i="22" s="1"/>
  <c r="H58" i="22"/>
  <c r="J58" i="22" s="1"/>
  <c r="G367" i="22"/>
  <c r="CC367" i="6" s="1"/>
  <c r="H52" i="22"/>
  <c r="I52" i="22" s="1"/>
  <c r="AA348" i="22"/>
  <c r="Z348" i="22" s="1"/>
  <c r="Y348" i="22" s="1"/>
  <c r="G202" i="22"/>
  <c r="CC202" i="6" s="1"/>
  <c r="G351" i="22"/>
  <c r="CC351" i="6" s="1"/>
  <c r="AA56" i="22"/>
  <c r="Z56" i="22" s="1"/>
  <c r="Y56" i="22" s="1"/>
  <c r="G373" i="22"/>
  <c r="CC373" i="6" s="1"/>
  <c r="H120" i="22"/>
  <c r="J120" i="22" s="1"/>
  <c r="AA336" i="22"/>
  <c r="Z336" i="22" s="1"/>
  <c r="Y336" i="22" s="1"/>
  <c r="H238" i="22"/>
  <c r="I238" i="22" s="1"/>
  <c r="AA87" i="22"/>
  <c r="Z87" i="22" s="1"/>
  <c r="Y87" i="22" s="1"/>
  <c r="H309" i="22"/>
  <c r="I309" i="22" s="1"/>
  <c r="H192" i="22"/>
  <c r="I192" i="22" s="1"/>
  <c r="H96" i="22"/>
  <c r="I96" i="22" s="1"/>
  <c r="AA65" i="22"/>
  <c r="Z65" i="22" s="1"/>
  <c r="Y65" i="22" s="1"/>
  <c r="H66" i="22"/>
  <c r="I66" i="22" s="1"/>
  <c r="H130" i="22"/>
  <c r="AA64" i="22"/>
  <c r="Z64" i="22" s="1"/>
  <c r="Y64" i="22" s="1"/>
  <c r="AA261" i="22"/>
  <c r="Z261" i="22" s="1"/>
  <c r="Y261" i="22" s="1"/>
  <c r="AA177" i="22"/>
  <c r="Z177" i="22" s="1"/>
  <c r="Y177" i="22" s="1"/>
  <c r="AA224" i="22"/>
  <c r="Z224" i="22" s="1"/>
  <c r="Y224" i="22" s="1"/>
  <c r="G126" i="22"/>
  <c r="CC126" i="6" s="1"/>
  <c r="AA377" i="22"/>
  <c r="Z377" i="22" s="1"/>
  <c r="Y377" i="22" s="1"/>
  <c r="AA211" i="22"/>
  <c r="Z211" i="22" s="1"/>
  <c r="Y211" i="22" s="1"/>
  <c r="AA242" i="22"/>
  <c r="Z242" i="22" s="1"/>
  <c r="Y242" i="22" s="1"/>
  <c r="AA95" i="22"/>
  <c r="Z95" i="22" s="1"/>
  <c r="Y95" i="22" s="1"/>
  <c r="H204" i="22"/>
  <c r="J204" i="22" s="1"/>
  <c r="G372" i="22"/>
  <c r="CC372" i="6" s="1"/>
  <c r="G61" i="22"/>
  <c r="CC61" i="6" s="1"/>
  <c r="AA24" i="22"/>
  <c r="Z24" i="22" s="1"/>
  <c r="Y24" i="22" s="1"/>
  <c r="H362" i="22"/>
  <c r="J362" i="22" s="1"/>
  <c r="H168" i="22"/>
  <c r="J168" i="22" s="1"/>
  <c r="G240" i="22"/>
  <c r="CC240" i="6" s="1"/>
  <c r="G303" i="22"/>
  <c r="CC303" i="6" s="1"/>
  <c r="AA282" i="22"/>
  <c r="Z282" i="22" s="1"/>
  <c r="Y282" i="22" s="1"/>
  <c r="AA98" i="22"/>
  <c r="Z98" i="22" s="1"/>
  <c r="Y98" i="22" s="1"/>
  <c r="AA354" i="22"/>
  <c r="Z354" i="22" s="1"/>
  <c r="Y354" i="22" s="1"/>
  <c r="AA269" i="22"/>
  <c r="Z269" i="22" s="1"/>
  <c r="Y269" i="22" s="1"/>
  <c r="H351" i="22"/>
  <c r="I351" i="22" s="1"/>
  <c r="AA67" i="22"/>
  <c r="Z67" i="22" s="1"/>
  <c r="Y67" i="22" s="1"/>
  <c r="G355" i="22"/>
  <c r="CC355" i="6" s="1"/>
  <c r="G120" i="22"/>
  <c r="CC120" i="6" s="1"/>
  <c r="G133" i="22"/>
  <c r="CC133" i="6" s="1"/>
  <c r="H31" i="22"/>
  <c r="I31" i="22" s="1"/>
  <c r="G323" i="22"/>
  <c r="CC323" i="6" s="1"/>
  <c r="AA96" i="22"/>
  <c r="Z96" i="22" s="1"/>
  <c r="Y96" i="22" s="1"/>
  <c r="AA209" i="22"/>
  <c r="Z209" i="22" s="1"/>
  <c r="Y209" i="22" s="1"/>
  <c r="G176" i="22"/>
  <c r="CC176" i="6" s="1"/>
  <c r="H65" i="22"/>
  <c r="I65" i="22" s="1"/>
  <c r="G66" i="22"/>
  <c r="CC66" i="6" s="1"/>
  <c r="G130" i="22"/>
  <c r="CC130" i="6" s="1"/>
  <c r="H138" i="22"/>
  <c r="I138" i="22" s="1"/>
  <c r="G184" i="22"/>
  <c r="CC184" i="6" s="1"/>
  <c r="H289" i="22"/>
  <c r="I289" i="22" s="1"/>
  <c r="G121" i="22"/>
  <c r="CC121" i="6" s="1"/>
  <c r="G221" i="22"/>
  <c r="CC221" i="6" s="1"/>
  <c r="G177" i="22"/>
  <c r="CC177" i="6" s="1"/>
  <c r="AA73" i="22"/>
  <c r="Z73" i="22" s="1"/>
  <c r="Y73" i="22" s="1"/>
  <c r="AA341" i="22"/>
  <c r="Z341" i="22" s="1"/>
  <c r="Y341" i="22" s="1"/>
  <c r="G51" i="22"/>
  <c r="CC51" i="6" s="1"/>
  <c r="H353" i="22"/>
  <c r="I353" i="22" s="1"/>
  <c r="AA201" i="22"/>
  <c r="Z201" i="22" s="1"/>
  <c r="Y201" i="22" s="1"/>
  <c r="G257" i="22"/>
  <c r="CC257" i="6" s="1"/>
  <c r="AA217" i="22"/>
  <c r="Z217" i="22" s="1"/>
  <c r="Y217" i="22" s="1"/>
  <c r="AA216" i="22"/>
  <c r="Z216" i="22" s="1"/>
  <c r="Y216" i="22" s="1"/>
  <c r="G369" i="22"/>
  <c r="CC369" i="6" s="1"/>
  <c r="H197" i="22"/>
  <c r="I197" i="22" s="1"/>
  <c r="AA183" i="22"/>
  <c r="Z183" i="22" s="1"/>
  <c r="Y183" i="22" s="1"/>
  <c r="H126" i="22"/>
  <c r="I126" i="22" s="1"/>
  <c r="G178" i="22"/>
  <c r="CC178" i="6" s="1"/>
  <c r="G127" i="22"/>
  <c r="CC127" i="6" s="1"/>
  <c r="G159" i="22"/>
  <c r="CC159" i="6" s="1"/>
  <c r="G38" i="22"/>
  <c r="CC38" i="6" s="1"/>
  <c r="H103" i="22"/>
  <c r="G192" i="22"/>
  <c r="CC192" i="6" s="1"/>
  <c r="G31" i="22"/>
  <c r="CC31" i="6" s="1"/>
  <c r="G209" i="22"/>
  <c r="CC209" i="6" s="1"/>
  <c r="H176" i="22"/>
  <c r="I176" i="22" s="1"/>
  <c r="AA36" i="22"/>
  <c r="Z36" i="22" s="1"/>
  <c r="Y36" i="22" s="1"/>
  <c r="G44" i="22"/>
  <c r="CC44" i="6" s="1"/>
  <c r="G289" i="22"/>
  <c r="CC289" i="6" s="1"/>
  <c r="G233" i="22"/>
  <c r="CC233" i="6" s="1"/>
  <c r="H264" i="22"/>
  <c r="J264" i="22" s="1"/>
  <c r="AA121" i="22"/>
  <c r="Z121" i="22" s="1"/>
  <c r="Y121" i="22" s="1"/>
  <c r="G229" i="22"/>
  <c r="CC229" i="6" s="1"/>
  <c r="AA89" i="22"/>
  <c r="Z89" i="22" s="1"/>
  <c r="Y89" i="22" s="1"/>
  <c r="AA221" i="22"/>
  <c r="Z221" i="22" s="1"/>
  <c r="Y221" i="22" s="1"/>
  <c r="G341" i="22"/>
  <c r="CC341" i="6" s="1"/>
  <c r="AA51" i="22"/>
  <c r="Z51" i="22" s="1"/>
  <c r="Y51" i="22" s="1"/>
  <c r="AA257" i="22"/>
  <c r="Z257" i="22" s="1"/>
  <c r="Y257" i="22" s="1"/>
  <c r="G224" i="22"/>
  <c r="CC224" i="6" s="1"/>
  <c r="H216" i="22"/>
  <c r="J216" i="22" s="1"/>
  <c r="G183" i="22"/>
  <c r="CC183" i="6" s="1"/>
  <c r="AA156" i="22"/>
  <c r="Z156" i="22" s="1"/>
  <c r="Y156" i="22" s="1"/>
  <c r="G377" i="22"/>
  <c r="CC377" i="6" s="1"/>
  <c r="AA38" i="22"/>
  <c r="Z38" i="22" s="1"/>
  <c r="Y38" i="22" s="1"/>
  <c r="AA103" i="22"/>
  <c r="Z103" i="22" s="1"/>
  <c r="Y103" i="22" s="1"/>
  <c r="AA137" i="22"/>
  <c r="Z137" i="22" s="1"/>
  <c r="Y137" i="22" s="1"/>
  <c r="AA147" i="22"/>
  <c r="Z147" i="22" s="1"/>
  <c r="Y147" i="22" s="1"/>
  <c r="AA240" i="22"/>
  <c r="Z240" i="22" s="1"/>
  <c r="Y240" i="22" s="1"/>
  <c r="AA321" i="22"/>
  <c r="Z321" i="22" s="1"/>
  <c r="Y321" i="22" s="1"/>
  <c r="G250" i="22"/>
  <c r="CC250" i="6" s="1"/>
  <c r="G354" i="22"/>
  <c r="CC354" i="6" s="1"/>
  <c r="G269" i="22"/>
  <c r="CC269" i="6" s="1"/>
  <c r="G339" i="22"/>
  <c r="CC339" i="6" s="1"/>
  <c r="H355" i="22"/>
  <c r="I355" i="22" s="1"/>
  <c r="AA309" i="22"/>
  <c r="Z309" i="22" s="1"/>
  <c r="Y309" i="22" s="1"/>
  <c r="H30" i="22"/>
  <c r="J30" i="22" s="1"/>
  <c r="AA143" i="22"/>
  <c r="Z143" i="22" s="1"/>
  <c r="Y143" i="22" s="1"/>
  <c r="G264" i="22"/>
  <c r="CC264" i="6" s="1"/>
  <c r="H301" i="22"/>
  <c r="J301" i="22" s="1"/>
  <c r="V382" i="18"/>
  <c r="V381" i="18"/>
  <c r="B65" i="19"/>
  <c r="V383" i="18"/>
  <c r="R381" i="20"/>
  <c r="P15" i="20"/>
  <c r="R382" i="20"/>
  <c r="R383" i="20"/>
  <c r="AI42" i="23"/>
  <c r="AH42" i="23" s="1"/>
  <c r="AG42" i="23" s="1"/>
  <c r="AF42" i="23" s="1"/>
  <c r="AU16" i="7"/>
  <c r="U155" i="23"/>
  <c r="T155" i="23" s="1"/>
  <c r="S155" i="23" s="1"/>
  <c r="R155" i="23" s="1"/>
  <c r="U28" i="23"/>
  <c r="T28" i="23" s="1"/>
  <c r="S28" i="23" s="1"/>
  <c r="R28" i="23" s="1"/>
  <c r="U23" i="23"/>
  <c r="T23" i="23" s="1"/>
  <c r="AS16" i="7"/>
  <c r="U77" i="23"/>
  <c r="T77" i="23" s="1"/>
  <c r="S77" i="23" s="1"/>
  <c r="R77" i="23" s="1"/>
  <c r="U294" i="23"/>
  <c r="T294" i="23" s="1"/>
  <c r="S294" i="23" s="1"/>
  <c r="R294" i="23" s="1"/>
  <c r="U359" i="23"/>
  <c r="T359" i="23" s="1"/>
  <c r="S359" i="23" s="1"/>
  <c r="R359" i="23" s="1"/>
  <c r="U88" i="23"/>
  <c r="T88" i="23" s="1"/>
  <c r="S88" i="23" s="1"/>
  <c r="R88" i="23" s="1"/>
  <c r="U240" i="23"/>
  <c r="T240" i="23" s="1"/>
  <c r="U355" i="23"/>
  <c r="T355" i="23" s="1"/>
  <c r="S355" i="23" s="1"/>
  <c r="R355" i="23" s="1"/>
  <c r="U257" i="23"/>
  <c r="T257" i="23" s="1"/>
  <c r="S257" i="23" s="1"/>
  <c r="R257" i="23" s="1"/>
  <c r="U378" i="23"/>
  <c r="T378" i="23" s="1"/>
  <c r="S378" i="23" s="1"/>
  <c r="R378" i="23" s="1"/>
  <c r="U364" i="23"/>
  <c r="T364" i="23" s="1"/>
  <c r="S364" i="23" s="1"/>
  <c r="R364" i="23" s="1"/>
  <c r="U76" i="23"/>
  <c r="T76" i="23" s="1"/>
  <c r="S76" i="23" s="1"/>
  <c r="R76" i="23" s="1"/>
  <c r="U159" i="23"/>
  <c r="T159" i="23" s="1"/>
  <c r="U353" i="23"/>
  <c r="T353" i="23" s="1"/>
  <c r="S353" i="23" s="1"/>
  <c r="R353" i="23" s="1"/>
  <c r="U104" i="23"/>
  <c r="T104" i="23" s="1"/>
  <c r="S104" i="23" s="1"/>
  <c r="R104" i="23" s="1"/>
  <c r="U66" i="23"/>
  <c r="T66" i="23" s="1"/>
  <c r="S66" i="23" s="1"/>
  <c r="R66" i="23" s="1"/>
  <c r="U198" i="23"/>
  <c r="T198" i="23" s="1"/>
  <c r="S198" i="23" s="1"/>
  <c r="R198" i="23" s="1"/>
  <c r="U48" i="23"/>
  <c r="T48" i="23" s="1"/>
  <c r="S48" i="23" s="1"/>
  <c r="R48" i="23" s="1"/>
  <c r="U223" i="23"/>
  <c r="T223" i="23" s="1"/>
  <c r="U276" i="23"/>
  <c r="T276" i="23" s="1"/>
  <c r="S276" i="23" s="1"/>
  <c r="R276" i="23" s="1"/>
  <c r="U379" i="23"/>
  <c r="U87" i="23"/>
  <c r="T87" i="23" s="1"/>
  <c r="S87" i="23" s="1"/>
  <c r="R87" i="23" s="1"/>
  <c r="U255" i="23"/>
  <c r="T255" i="23" s="1"/>
  <c r="S255" i="23" s="1"/>
  <c r="R255" i="23" s="1"/>
  <c r="U374" i="23"/>
  <c r="T374" i="23" s="1"/>
  <c r="S374" i="23" s="1"/>
  <c r="R374" i="23" s="1"/>
  <c r="U202" i="23"/>
  <c r="T202" i="23" s="1"/>
  <c r="S202" i="23" s="1"/>
  <c r="R202" i="23" s="1"/>
  <c r="U132" i="23"/>
  <c r="T132" i="23" s="1"/>
  <c r="S132" i="23" s="1"/>
  <c r="R132" i="23" s="1"/>
  <c r="U350" i="23"/>
  <c r="T350" i="23" s="1"/>
  <c r="S350" i="23" s="1"/>
  <c r="R350" i="23" s="1"/>
  <c r="U26" i="23"/>
  <c r="T26" i="23" s="1"/>
  <c r="S26" i="23" s="1"/>
  <c r="R26" i="23" s="1"/>
  <c r="U300" i="23"/>
  <c r="T300" i="23" s="1"/>
  <c r="S300" i="23" s="1"/>
  <c r="R300" i="23" s="1"/>
  <c r="U317" i="23"/>
  <c r="T317" i="23" s="1"/>
  <c r="S317" i="23" s="1"/>
  <c r="R317" i="23" s="1"/>
  <c r="U208" i="23"/>
  <c r="T208" i="23" s="1"/>
  <c r="S208" i="23" s="1"/>
  <c r="R208" i="23" s="1"/>
  <c r="U152" i="23"/>
  <c r="T152" i="23" s="1"/>
  <c r="S152" i="23" s="1"/>
  <c r="R152" i="23" s="1"/>
  <c r="U157" i="23"/>
  <c r="T157" i="23" s="1"/>
  <c r="U315" i="23"/>
  <c r="T315" i="23" s="1"/>
  <c r="S315" i="23" s="1"/>
  <c r="R315" i="23" s="1"/>
  <c r="U254" i="23"/>
  <c r="T254" i="23" s="1"/>
  <c r="S254" i="23" s="1"/>
  <c r="R254" i="23" s="1"/>
  <c r="U338" i="23"/>
  <c r="T338" i="23" s="1"/>
  <c r="S338" i="23" s="1"/>
  <c r="R338" i="23" s="1"/>
  <c r="U123" i="23"/>
  <c r="T123" i="23" s="1"/>
  <c r="S123" i="23" s="1"/>
  <c r="R123" i="23" s="1"/>
  <c r="U311" i="23"/>
  <c r="T311" i="23" s="1"/>
  <c r="S311" i="23" s="1"/>
  <c r="R311" i="23" s="1"/>
  <c r="U281" i="23"/>
  <c r="T281" i="23" s="1"/>
  <c r="S281" i="23" s="1"/>
  <c r="R281" i="23" s="1"/>
  <c r="U308" i="23"/>
  <c r="T308" i="23" s="1"/>
  <c r="S308" i="23" s="1"/>
  <c r="R308" i="23" s="1"/>
  <c r="U278" i="23"/>
  <c r="T278" i="23" s="1"/>
  <c r="U348" i="23"/>
  <c r="T348" i="23" s="1"/>
  <c r="S348" i="23" s="1"/>
  <c r="R348" i="23" s="1"/>
  <c r="U127" i="23"/>
  <c r="T127" i="23" s="1"/>
  <c r="U230" i="23"/>
  <c r="T230" i="23" s="1"/>
  <c r="S230" i="23" s="1"/>
  <c r="R230" i="23" s="1"/>
  <c r="U363" i="23"/>
  <c r="T363" i="23" s="1"/>
  <c r="S363" i="23" s="1"/>
  <c r="R363" i="23" s="1"/>
  <c r="U168" i="23"/>
  <c r="T168" i="23" s="1"/>
  <c r="S168" i="23" s="1"/>
  <c r="R168" i="23" s="1"/>
  <c r="U170" i="23"/>
  <c r="T170" i="23" s="1"/>
  <c r="S170" i="23" s="1"/>
  <c r="R170" i="23" s="1"/>
  <c r="U201" i="23"/>
  <c r="T201" i="23" s="1"/>
  <c r="S201" i="23" s="1"/>
  <c r="R201" i="23" s="1"/>
  <c r="U193" i="23"/>
  <c r="T193" i="23" s="1"/>
  <c r="S193" i="23" s="1"/>
  <c r="R193" i="23" s="1"/>
  <c r="U297" i="23"/>
  <c r="T297" i="23" s="1"/>
  <c r="S297" i="23" s="1"/>
  <c r="R297" i="23" s="1"/>
  <c r="U158" i="23"/>
  <c r="T158" i="23" s="1"/>
  <c r="S158" i="23" s="1"/>
  <c r="R158" i="23" s="1"/>
  <c r="U136" i="23"/>
  <c r="T136" i="23" s="1"/>
  <c r="S136" i="23" s="1"/>
  <c r="R136" i="23" s="1"/>
  <c r="U302" i="23"/>
  <c r="T302" i="23" s="1"/>
  <c r="S302" i="23" s="1"/>
  <c r="R302" i="23" s="1"/>
  <c r="U40" i="23"/>
  <c r="T40" i="23" s="1"/>
  <c r="S40" i="23" s="1"/>
  <c r="R40" i="23" s="1"/>
  <c r="U207" i="23"/>
  <c r="T207" i="23" s="1"/>
  <c r="S207" i="23" s="1"/>
  <c r="R207" i="23" s="1"/>
  <c r="U107" i="23"/>
  <c r="T107" i="23" s="1"/>
  <c r="S107" i="23" s="1"/>
  <c r="R107" i="23" s="1"/>
  <c r="U334" i="23"/>
  <c r="T334" i="23" s="1"/>
  <c r="S334" i="23" s="1"/>
  <c r="R334" i="23" s="1"/>
  <c r="U190" i="23"/>
  <c r="T190" i="23" s="1"/>
  <c r="S190" i="23" s="1"/>
  <c r="R190" i="23" s="1"/>
  <c r="U97" i="23"/>
  <c r="T97" i="23" s="1"/>
  <c r="S97" i="23" s="1"/>
  <c r="R97" i="23" s="1"/>
  <c r="U134" i="23"/>
  <c r="T134" i="23" s="1"/>
  <c r="S134" i="23" s="1"/>
  <c r="R134" i="23" s="1"/>
  <c r="U263" i="23"/>
  <c r="T263" i="23" s="1"/>
  <c r="U31" i="23"/>
  <c r="T31" i="23" s="1"/>
  <c r="S31" i="23" s="1"/>
  <c r="R31" i="23" s="1"/>
  <c r="U116" i="23"/>
  <c r="T116" i="23" s="1"/>
  <c r="S116" i="23" s="1"/>
  <c r="R116" i="23" s="1"/>
  <c r="U264" i="23"/>
  <c r="T264" i="23" s="1"/>
  <c r="S264" i="23" s="1"/>
  <c r="R264" i="23" s="1"/>
  <c r="U354" i="23"/>
  <c r="T354" i="23" s="1"/>
  <c r="S354" i="23" s="1"/>
  <c r="R354" i="23" s="1"/>
  <c r="U345" i="23"/>
  <c r="T345" i="23" s="1"/>
  <c r="S345" i="23" s="1"/>
  <c r="R345" i="23" s="1"/>
  <c r="U154" i="23"/>
  <c r="T154" i="23" s="1"/>
  <c r="S154" i="23" s="1"/>
  <c r="R154" i="23" s="1"/>
  <c r="U177" i="23"/>
  <c r="T177" i="23" s="1"/>
  <c r="S177" i="23" s="1"/>
  <c r="R177" i="23" s="1"/>
  <c r="U44" i="23"/>
  <c r="T44" i="23" s="1"/>
  <c r="S44" i="23" s="1"/>
  <c r="R44" i="23" s="1"/>
  <c r="U342" i="23"/>
  <c r="T342" i="23" s="1"/>
  <c r="S342" i="23" s="1"/>
  <c r="R342" i="23" s="1"/>
  <c r="U243" i="23"/>
  <c r="T243" i="23" s="1"/>
  <c r="S243" i="23" s="1"/>
  <c r="R243" i="23" s="1"/>
  <c r="U180" i="23"/>
  <c r="T180" i="23" s="1"/>
  <c r="S180" i="23" s="1"/>
  <c r="R180" i="23" s="1"/>
  <c r="U323" i="23"/>
  <c r="T323" i="23" s="1"/>
  <c r="S323" i="23" s="1"/>
  <c r="R323" i="23" s="1"/>
  <c r="U145" i="23"/>
  <c r="T145" i="23" s="1"/>
  <c r="S145" i="23" s="1"/>
  <c r="R145" i="23" s="1"/>
  <c r="U128" i="23"/>
  <c r="T128" i="23" s="1"/>
  <c r="S128" i="23" s="1"/>
  <c r="R128" i="23" s="1"/>
  <c r="U213" i="23"/>
  <c r="T213" i="23" s="1"/>
  <c r="S213" i="23" s="1"/>
  <c r="R213" i="23" s="1"/>
  <c r="U20" i="23"/>
  <c r="T20" i="23" s="1"/>
  <c r="S20" i="23" s="1"/>
  <c r="R20" i="23" s="1"/>
  <c r="U218" i="23"/>
  <c r="T218" i="23" s="1"/>
  <c r="S218" i="23" s="1"/>
  <c r="R218" i="23" s="1"/>
  <c r="U133" i="23"/>
  <c r="T133" i="23" s="1"/>
  <c r="U372" i="23"/>
  <c r="T372" i="23" s="1"/>
  <c r="S372" i="23" s="1"/>
  <c r="R372" i="23" s="1"/>
  <c r="U172" i="23"/>
  <c r="T172" i="23" s="1"/>
  <c r="U209" i="23"/>
  <c r="T209" i="23" s="1"/>
  <c r="S209" i="23" s="1"/>
  <c r="R209" i="23" s="1"/>
  <c r="U131" i="23"/>
  <c r="T131" i="23" s="1"/>
  <c r="S131" i="23" s="1"/>
  <c r="R131" i="23" s="1"/>
  <c r="U149" i="23"/>
  <c r="T149" i="23" s="1"/>
  <c r="S149" i="23" s="1"/>
  <c r="R149" i="23" s="1"/>
  <c r="U187" i="23"/>
  <c r="T187" i="23" s="1"/>
  <c r="S187" i="23" s="1"/>
  <c r="R187" i="23" s="1"/>
  <c r="U357" i="23"/>
  <c r="T357" i="23" s="1"/>
  <c r="S357" i="23" s="1"/>
  <c r="R357" i="23" s="1"/>
  <c r="U282" i="23"/>
  <c r="T282" i="23" s="1"/>
  <c r="S282" i="23" s="1"/>
  <c r="R282" i="23" s="1"/>
  <c r="U108" i="23"/>
  <c r="T108" i="23" s="1"/>
  <c r="S108" i="23" s="1"/>
  <c r="R108" i="23" s="1"/>
  <c r="U43" i="23"/>
  <c r="T43" i="23" s="1"/>
  <c r="S43" i="23" s="1"/>
  <c r="R43" i="23" s="1"/>
  <c r="U329" i="23"/>
  <c r="T329" i="23" s="1"/>
  <c r="S329" i="23" s="1"/>
  <c r="R329" i="23" s="1"/>
  <c r="U339" i="23"/>
  <c r="T339" i="23" s="1"/>
  <c r="S339" i="23" s="1"/>
  <c r="R339" i="23" s="1"/>
  <c r="U178" i="23"/>
  <c r="T178" i="23" s="1"/>
  <c r="S178" i="23" s="1"/>
  <c r="R178" i="23" s="1"/>
  <c r="U212" i="23"/>
  <c r="T212" i="23" s="1"/>
  <c r="U269" i="23"/>
  <c r="T269" i="23" s="1"/>
  <c r="S269" i="23" s="1"/>
  <c r="R269" i="23" s="1"/>
  <c r="U237" i="23"/>
  <c r="T237" i="23" s="1"/>
  <c r="S237" i="23" s="1"/>
  <c r="R237" i="23" s="1"/>
  <c r="U279" i="23"/>
  <c r="T279" i="23" s="1"/>
  <c r="S279" i="23" s="1"/>
  <c r="R279" i="23" s="1"/>
  <c r="U232" i="23"/>
  <c r="T232" i="23" s="1"/>
  <c r="U360" i="23"/>
  <c r="T360" i="23" s="1"/>
  <c r="S360" i="23" s="1"/>
  <c r="R360" i="23" s="1"/>
  <c r="U309" i="23"/>
  <c r="T309" i="23" s="1"/>
  <c r="U115" i="23"/>
  <c r="T115" i="23" s="1"/>
  <c r="S115" i="23" s="1"/>
  <c r="R115" i="23" s="1"/>
  <c r="U371" i="23"/>
  <c r="T371" i="23" s="1"/>
  <c r="S371" i="23" s="1"/>
  <c r="R371" i="23" s="1"/>
  <c r="U361" i="23"/>
  <c r="T361" i="23" s="1"/>
  <c r="S361" i="23" s="1"/>
  <c r="R361" i="23" s="1"/>
  <c r="U262" i="23"/>
  <c r="T262" i="23" s="1"/>
  <c r="S262" i="23" s="1"/>
  <c r="R262" i="23" s="1"/>
  <c r="U277" i="23"/>
  <c r="T277" i="23" s="1"/>
  <c r="S277" i="23" s="1"/>
  <c r="R277" i="23" s="1"/>
  <c r="U197" i="23"/>
  <c r="T197" i="23" s="1"/>
  <c r="S197" i="23" s="1"/>
  <c r="R197" i="23" s="1"/>
  <c r="U55" i="23"/>
  <c r="T55" i="23" s="1"/>
  <c r="S55" i="23" s="1"/>
  <c r="R55" i="23" s="1"/>
  <c r="U74" i="23"/>
  <c r="T74" i="23" s="1"/>
  <c r="S74" i="23" s="1"/>
  <c r="R74" i="23" s="1"/>
  <c r="U143" i="23"/>
  <c r="T143" i="23" s="1"/>
  <c r="S143" i="23" s="1"/>
  <c r="R143" i="23" s="1"/>
  <c r="U274" i="23"/>
  <c r="T274" i="23" s="1"/>
  <c r="S274" i="23" s="1"/>
  <c r="R274" i="23" s="1"/>
  <c r="U292" i="23"/>
  <c r="T292" i="23" s="1"/>
  <c r="S292" i="23" s="1"/>
  <c r="R292" i="23" s="1"/>
  <c r="U214" i="23"/>
  <c r="T214" i="23" s="1"/>
  <c r="U80" i="23"/>
  <c r="T80" i="23" s="1"/>
  <c r="S80" i="23" s="1"/>
  <c r="R80" i="23" s="1"/>
  <c r="U233" i="23"/>
  <c r="T233" i="23" s="1"/>
  <c r="S233" i="23" s="1"/>
  <c r="R233" i="23" s="1"/>
  <c r="U358" i="23"/>
  <c r="T358" i="23" s="1"/>
  <c r="S358" i="23" s="1"/>
  <c r="R358" i="23" s="1"/>
  <c r="U96" i="23"/>
  <c r="T96" i="23" s="1"/>
  <c r="S96" i="23" s="1"/>
  <c r="R96" i="23" s="1"/>
  <c r="U228" i="23"/>
  <c r="T228" i="23" s="1"/>
  <c r="S228" i="23" s="1"/>
  <c r="R228" i="23" s="1"/>
  <c r="U140" i="23"/>
  <c r="T140" i="23" s="1"/>
  <c r="S140" i="23" s="1"/>
  <c r="R140" i="23" s="1"/>
  <c r="U241" i="23"/>
  <c r="T241" i="23" s="1"/>
  <c r="S241" i="23" s="1"/>
  <c r="R241" i="23" s="1"/>
  <c r="U86" i="23"/>
  <c r="T86" i="23" s="1"/>
  <c r="S86" i="23" s="1"/>
  <c r="R86" i="23" s="1"/>
  <c r="U244" i="23"/>
  <c r="T244" i="23" s="1"/>
  <c r="S244" i="23" s="1"/>
  <c r="R244" i="23" s="1"/>
  <c r="U366" i="23"/>
  <c r="T366" i="23" s="1"/>
  <c r="S366" i="23" s="1"/>
  <c r="R366" i="23" s="1"/>
  <c r="U186" i="23"/>
  <c r="T186" i="23" s="1"/>
  <c r="S186" i="23" s="1"/>
  <c r="R186" i="23" s="1"/>
  <c r="U319" i="23"/>
  <c r="T319" i="23" s="1"/>
  <c r="S319" i="23" s="1"/>
  <c r="R319" i="23" s="1"/>
  <c r="U235" i="23"/>
  <c r="T235" i="23" s="1"/>
  <c r="S235" i="23" s="1"/>
  <c r="R235" i="23" s="1"/>
  <c r="U298" i="23"/>
  <c r="T298" i="23" s="1"/>
  <c r="U52" i="23"/>
  <c r="T52" i="23" s="1"/>
  <c r="S52" i="23" s="1"/>
  <c r="R52" i="23" s="1"/>
  <c r="U370" i="23"/>
  <c r="T370" i="23" s="1"/>
  <c r="S370" i="23" s="1"/>
  <c r="R370" i="23" s="1"/>
  <c r="U189" i="23"/>
  <c r="T189" i="23" s="1"/>
  <c r="S189" i="23" s="1"/>
  <c r="R189" i="23" s="1"/>
  <c r="U351" i="23"/>
  <c r="T351" i="23" s="1"/>
  <c r="U165" i="23"/>
  <c r="T165" i="23" s="1"/>
  <c r="S165" i="23" s="1"/>
  <c r="R165" i="23" s="1"/>
  <c r="U265" i="23"/>
  <c r="T265" i="23" s="1"/>
  <c r="S265" i="23" s="1"/>
  <c r="R265" i="23" s="1"/>
  <c r="U287" i="23"/>
  <c r="T287" i="23" s="1"/>
  <c r="S287" i="23" s="1"/>
  <c r="R287" i="23" s="1"/>
  <c r="U176" i="23"/>
  <c r="T176" i="23" s="1"/>
  <c r="S176" i="23" s="1"/>
  <c r="R176" i="23" s="1"/>
  <c r="U112" i="23"/>
  <c r="T112" i="23" s="1"/>
  <c r="S112" i="23" s="1"/>
  <c r="R112" i="23" s="1"/>
  <c r="U318" i="23"/>
  <c r="T318" i="23" s="1"/>
  <c r="S318" i="23" s="1"/>
  <c r="R318" i="23" s="1"/>
  <c r="U171" i="23"/>
  <c r="T171" i="23" s="1"/>
  <c r="S171" i="23" s="1"/>
  <c r="R171" i="23" s="1"/>
  <c r="U102" i="23"/>
  <c r="T102" i="23" s="1"/>
  <c r="U183" i="23"/>
  <c r="T183" i="23" s="1"/>
  <c r="S183" i="23" s="1"/>
  <c r="R183" i="23" s="1"/>
  <c r="U376" i="23"/>
  <c r="T376" i="23" s="1"/>
  <c r="S376" i="23" s="1"/>
  <c r="R376" i="23" s="1"/>
  <c r="U211" i="23"/>
  <c r="T211" i="23" s="1"/>
  <c r="S211" i="23" s="1"/>
  <c r="R211" i="23" s="1"/>
  <c r="U124" i="23"/>
  <c r="T124" i="23" s="1"/>
  <c r="S124" i="23" s="1"/>
  <c r="R124" i="23" s="1"/>
  <c r="U268" i="23"/>
  <c r="T268" i="23" s="1"/>
  <c r="S268" i="23" s="1"/>
  <c r="R268" i="23" s="1"/>
  <c r="U56" i="23"/>
  <c r="T56" i="23" s="1"/>
  <c r="U234" i="23"/>
  <c r="T234" i="23" s="1"/>
  <c r="S234" i="23" s="1"/>
  <c r="R234" i="23" s="1"/>
  <c r="U313" i="23"/>
  <c r="T313" i="23" s="1"/>
  <c r="S313" i="23" s="1"/>
  <c r="R313" i="23" s="1"/>
  <c r="U231" i="23"/>
  <c r="T231" i="23" s="1"/>
  <c r="S231" i="23" s="1"/>
  <c r="R231" i="23" s="1"/>
  <c r="U69" i="23"/>
  <c r="T69" i="23" s="1"/>
  <c r="S69" i="23" s="1"/>
  <c r="R69" i="23" s="1"/>
  <c r="U29" i="23"/>
  <c r="T29" i="23" s="1"/>
  <c r="S29" i="23" s="1"/>
  <c r="R29" i="23" s="1"/>
  <c r="U142" i="23"/>
  <c r="T142" i="23" s="1"/>
  <c r="S142" i="23" s="1"/>
  <c r="R142" i="23" s="1"/>
  <c r="U98" i="23"/>
  <c r="T98" i="23" s="1"/>
  <c r="S98" i="23" s="1"/>
  <c r="R98" i="23" s="1"/>
  <c r="U39" i="23"/>
  <c r="T39" i="23" s="1"/>
  <c r="S39" i="23" s="1"/>
  <c r="R39" i="23" s="1"/>
  <c r="U290" i="23"/>
  <c r="T290" i="23" s="1"/>
  <c r="S290" i="23" s="1"/>
  <c r="R290" i="23" s="1"/>
  <c r="U194" i="23"/>
  <c r="T194" i="23" s="1"/>
  <c r="U82" i="23"/>
  <c r="T82" i="23" s="1"/>
  <c r="S82" i="23" s="1"/>
  <c r="R82" i="23" s="1"/>
  <c r="U367" i="23"/>
  <c r="T367" i="23" s="1"/>
  <c r="S367" i="23" s="1"/>
  <c r="R367" i="23" s="1"/>
  <c r="U327" i="23"/>
  <c r="T327" i="23" s="1"/>
  <c r="S327" i="23" s="1"/>
  <c r="R327" i="23" s="1"/>
  <c r="U256" i="23"/>
  <c r="T256" i="23" s="1"/>
  <c r="S256" i="23" s="1"/>
  <c r="R256" i="23" s="1"/>
  <c r="U291" i="23"/>
  <c r="T291" i="23" s="1"/>
  <c r="S291" i="23" s="1"/>
  <c r="R291" i="23" s="1"/>
  <c r="U247" i="23"/>
  <c r="T247" i="23" s="1"/>
  <c r="U322" i="23"/>
  <c r="T322" i="23" s="1"/>
  <c r="S322" i="23" s="1"/>
  <c r="R322" i="23" s="1"/>
  <c r="U219" i="23"/>
  <c r="T219" i="23" s="1"/>
  <c r="S219" i="23" s="1"/>
  <c r="R219" i="23" s="1"/>
  <c r="U162" i="23"/>
  <c r="T162" i="23" s="1"/>
  <c r="S162" i="23" s="1"/>
  <c r="R162" i="23" s="1"/>
  <c r="U377" i="23"/>
  <c r="T377" i="23" s="1"/>
  <c r="S377" i="23" s="1"/>
  <c r="R377" i="23" s="1"/>
  <c r="U126" i="23"/>
  <c r="T126" i="23" s="1"/>
  <c r="S126" i="23" s="1"/>
  <c r="R126" i="23" s="1"/>
  <c r="U250" i="23"/>
  <c r="T250" i="23" s="1"/>
  <c r="U67" i="23"/>
  <c r="T67" i="23" s="1"/>
  <c r="S67" i="23" s="1"/>
  <c r="R67" i="23" s="1"/>
  <c r="U81" i="23"/>
  <c r="T81" i="23" s="1"/>
  <c r="S81" i="23" s="1"/>
  <c r="R81" i="23" s="1"/>
  <c r="U135" i="23"/>
  <c r="T135" i="23" s="1"/>
  <c r="S135" i="23" s="1"/>
  <c r="R135" i="23" s="1"/>
  <c r="U68" i="23"/>
  <c r="T68" i="23" s="1"/>
  <c r="S68" i="23" s="1"/>
  <c r="R68" i="23" s="1"/>
  <c r="U84" i="23"/>
  <c r="T84" i="23" s="1"/>
  <c r="S84" i="23" s="1"/>
  <c r="R84" i="23" s="1"/>
  <c r="U229" i="23"/>
  <c r="T229" i="23" s="1"/>
  <c r="U222" i="23"/>
  <c r="T222" i="23" s="1"/>
  <c r="S222" i="23" s="1"/>
  <c r="R222" i="23" s="1"/>
  <c r="U259" i="23"/>
  <c r="T259" i="23" s="1"/>
  <c r="S259" i="23" s="1"/>
  <c r="R259" i="23" s="1"/>
  <c r="U27" i="23"/>
  <c r="T27" i="23" s="1"/>
  <c r="S27" i="23" s="1"/>
  <c r="R27" i="23" s="1"/>
  <c r="U117" i="23"/>
  <c r="T117" i="23" s="1"/>
  <c r="U330" i="23"/>
  <c r="T330" i="23" s="1"/>
  <c r="S330" i="23" s="1"/>
  <c r="R330" i="23" s="1"/>
  <c r="U15" i="23"/>
  <c r="U100" i="23"/>
  <c r="T100" i="23" s="1"/>
  <c r="S100" i="23" s="1"/>
  <c r="R100" i="23" s="1"/>
  <c r="U344" i="23"/>
  <c r="T344" i="23" s="1"/>
  <c r="S344" i="23" s="1"/>
  <c r="R344" i="23" s="1"/>
  <c r="U47" i="23"/>
  <c r="T47" i="23" s="1"/>
  <c r="S47" i="23" s="1"/>
  <c r="R47" i="23" s="1"/>
  <c r="U249" i="23"/>
  <c r="T249" i="23" s="1"/>
  <c r="S249" i="23" s="1"/>
  <c r="R249" i="23" s="1"/>
  <c r="U164" i="23"/>
  <c r="T164" i="23" s="1"/>
  <c r="S164" i="23" s="1"/>
  <c r="R164" i="23" s="1"/>
  <c r="U324" i="23"/>
  <c r="T324" i="23" s="1"/>
  <c r="S324" i="23" s="1"/>
  <c r="R324" i="23" s="1"/>
  <c r="U151" i="23"/>
  <c r="T151" i="23" s="1"/>
  <c r="S151" i="23" s="1"/>
  <c r="R151" i="23" s="1"/>
  <c r="U73" i="23"/>
  <c r="T73" i="23" s="1"/>
  <c r="S73" i="23" s="1"/>
  <c r="R73" i="23" s="1"/>
  <c r="U19" i="23"/>
  <c r="T19" i="23" s="1"/>
  <c r="S19" i="23" s="1"/>
  <c r="R19" i="23" s="1"/>
  <c r="U175" i="23"/>
  <c r="T175" i="23" s="1"/>
  <c r="S175" i="23" s="1"/>
  <c r="R175" i="23" s="1"/>
  <c r="U217" i="23"/>
  <c r="T217" i="23" s="1"/>
  <c r="S217" i="23" s="1"/>
  <c r="R217" i="23" s="1"/>
  <c r="U50" i="23"/>
  <c r="T50" i="23" s="1"/>
  <c r="S50" i="23" s="1"/>
  <c r="R50" i="23" s="1"/>
  <c r="U336" i="23"/>
  <c r="T336" i="23" s="1"/>
  <c r="S336" i="23" s="1"/>
  <c r="R336" i="23" s="1"/>
  <c r="U284" i="23"/>
  <c r="T284" i="23" s="1"/>
  <c r="U305" i="23"/>
  <c r="T305" i="23" s="1"/>
  <c r="S305" i="23" s="1"/>
  <c r="R305" i="23" s="1"/>
  <c r="U24" i="23"/>
  <c r="T24" i="23" s="1"/>
  <c r="S24" i="23" s="1"/>
  <c r="R24" i="23" s="1"/>
  <c r="U301" i="23"/>
  <c r="T301" i="23" s="1"/>
  <c r="S301" i="23" s="1"/>
  <c r="R301" i="23" s="1"/>
  <c r="U71" i="23"/>
  <c r="T71" i="23" s="1"/>
  <c r="U150" i="23"/>
  <c r="T150" i="23" s="1"/>
  <c r="S150" i="23" s="1"/>
  <c r="R150" i="23" s="1"/>
  <c r="U36" i="23"/>
  <c r="T36" i="23" s="1"/>
  <c r="S36" i="23" s="1"/>
  <c r="R36" i="23" s="1"/>
  <c r="U54" i="23"/>
  <c r="T54" i="23" s="1"/>
  <c r="S54" i="23" s="1"/>
  <c r="R54" i="23" s="1"/>
  <c r="U335" i="23"/>
  <c r="T335" i="23" s="1"/>
  <c r="S335" i="23" s="1"/>
  <c r="R335" i="23" s="1"/>
  <c r="U129" i="23"/>
  <c r="T129" i="23" s="1"/>
  <c r="S129" i="23" s="1"/>
  <c r="R129" i="23" s="1"/>
  <c r="U267" i="23"/>
  <c r="T267" i="23" s="1"/>
  <c r="S267" i="23" s="1"/>
  <c r="R267" i="23" s="1"/>
  <c r="U34" i="23"/>
  <c r="T34" i="23" s="1"/>
  <c r="S34" i="23" s="1"/>
  <c r="R34" i="23" s="1"/>
  <c r="U60" i="23"/>
  <c r="T60" i="23" s="1"/>
  <c r="U83" i="23"/>
  <c r="T83" i="23" s="1"/>
  <c r="S83" i="23" s="1"/>
  <c r="R83" i="23" s="1"/>
  <c r="U347" i="23"/>
  <c r="T347" i="23" s="1"/>
  <c r="U181" i="23"/>
  <c r="T181" i="23" s="1"/>
  <c r="S181" i="23" s="1"/>
  <c r="R181" i="23" s="1"/>
  <c r="U121" i="23"/>
  <c r="T121" i="23" s="1"/>
  <c r="S121" i="23" s="1"/>
  <c r="R121" i="23" s="1"/>
  <c r="U91" i="23"/>
  <c r="T91" i="23" s="1"/>
  <c r="S91" i="23" s="1"/>
  <c r="R91" i="23" s="1"/>
  <c r="U195" i="23"/>
  <c r="T195" i="23" s="1"/>
  <c r="S195" i="23" s="1"/>
  <c r="R195" i="23" s="1"/>
  <c r="U285" i="23"/>
  <c r="T285" i="23" s="1"/>
  <c r="S285" i="23" s="1"/>
  <c r="R285" i="23" s="1"/>
  <c r="U30" i="23"/>
  <c r="T30" i="23" s="1"/>
  <c r="S30" i="23" s="1"/>
  <c r="R30" i="23" s="1"/>
  <c r="U92" i="23"/>
  <c r="T92" i="23" s="1"/>
  <c r="S92" i="23" s="1"/>
  <c r="R92" i="23" s="1"/>
  <c r="U57" i="23"/>
  <c r="T57" i="23" s="1"/>
  <c r="S57" i="23" s="1"/>
  <c r="R57" i="23" s="1"/>
  <c r="U179" i="23"/>
  <c r="T179" i="23" s="1"/>
  <c r="S179" i="23" s="1"/>
  <c r="R179" i="23" s="1"/>
  <c r="U72" i="23"/>
  <c r="T72" i="23" s="1"/>
  <c r="S72" i="23" s="1"/>
  <c r="R72" i="23" s="1"/>
  <c r="U89" i="23"/>
  <c r="T89" i="23" s="1"/>
  <c r="S89" i="23" s="1"/>
  <c r="R89" i="23" s="1"/>
  <c r="U303" i="23"/>
  <c r="T303" i="23" s="1"/>
  <c r="S303" i="23" s="1"/>
  <c r="R303" i="23" s="1"/>
  <c r="U138" i="23"/>
  <c r="T138" i="23" s="1"/>
  <c r="S138" i="23" s="1"/>
  <c r="R138" i="23" s="1"/>
  <c r="U206" i="23"/>
  <c r="T206" i="23" s="1"/>
  <c r="S206" i="23" s="1"/>
  <c r="R206" i="23" s="1"/>
  <c r="U286" i="23"/>
  <c r="T286" i="23" s="1"/>
  <c r="S286" i="23" s="1"/>
  <c r="R286" i="23" s="1"/>
  <c r="U356" i="23"/>
  <c r="T356" i="23" s="1"/>
  <c r="S356" i="23" s="1"/>
  <c r="R356" i="23" s="1"/>
  <c r="U37" i="23"/>
  <c r="T37" i="23" s="1"/>
  <c r="S37" i="23" s="1"/>
  <c r="R37" i="23" s="1"/>
  <c r="U196" i="23"/>
  <c r="T196" i="23" s="1"/>
  <c r="S196" i="23" s="1"/>
  <c r="R196" i="23" s="1"/>
  <c r="U306" i="23"/>
  <c r="T306" i="23" s="1"/>
  <c r="S306" i="23" s="1"/>
  <c r="R306" i="23" s="1"/>
  <c r="U369" i="23"/>
  <c r="T369" i="23" s="1"/>
  <c r="S369" i="23" s="1"/>
  <c r="R369" i="23" s="1"/>
  <c r="U25" i="23"/>
  <c r="T25" i="23" s="1"/>
  <c r="S25" i="23" s="1"/>
  <c r="R25" i="23" s="1"/>
  <c r="U137" i="23"/>
  <c r="T137" i="23" s="1"/>
  <c r="S137" i="23" s="1"/>
  <c r="R137" i="23" s="1"/>
  <c r="U110" i="23"/>
  <c r="T110" i="23" s="1"/>
  <c r="S110" i="23" s="1"/>
  <c r="R110" i="23" s="1"/>
  <c r="U167" i="23"/>
  <c r="T167" i="23" s="1"/>
  <c r="S167" i="23" s="1"/>
  <c r="R167" i="23" s="1"/>
  <c r="U160" i="23"/>
  <c r="T160" i="23" s="1"/>
  <c r="S160" i="23" s="1"/>
  <c r="R160" i="23" s="1"/>
  <c r="U45" i="23"/>
  <c r="T45" i="23" s="1"/>
  <c r="S45" i="23" s="1"/>
  <c r="R45" i="23" s="1"/>
  <c r="U295" i="23"/>
  <c r="T295" i="23" s="1"/>
  <c r="S295" i="23" s="1"/>
  <c r="R295" i="23" s="1"/>
  <c r="U114" i="23"/>
  <c r="T114" i="23" s="1"/>
  <c r="S114" i="23" s="1"/>
  <c r="R114" i="23" s="1"/>
  <c r="U153" i="23"/>
  <c r="T153" i="23" s="1"/>
  <c r="S153" i="23" s="1"/>
  <c r="R153" i="23" s="1"/>
  <c r="U326" i="23"/>
  <c r="T326" i="23" s="1"/>
  <c r="S326" i="23" s="1"/>
  <c r="R326" i="23" s="1"/>
  <c r="U199" i="23"/>
  <c r="T199" i="23" s="1"/>
  <c r="S199" i="23" s="1"/>
  <c r="R199" i="23" s="1"/>
  <c r="U191" i="23"/>
  <c r="T191" i="23" s="1"/>
  <c r="S191" i="23" s="1"/>
  <c r="R191" i="23" s="1"/>
  <c r="U21" i="23"/>
  <c r="T21" i="23" s="1"/>
  <c r="S21" i="23" s="1"/>
  <c r="R21" i="23" s="1"/>
  <c r="U221" i="23"/>
  <c r="T221" i="23" s="1"/>
  <c r="S221" i="23" s="1"/>
  <c r="R221" i="23" s="1"/>
  <c r="U215" i="23"/>
  <c r="T215" i="23" s="1"/>
  <c r="S215" i="23" s="1"/>
  <c r="R215" i="23" s="1"/>
  <c r="U41" i="23"/>
  <c r="T41" i="23" s="1"/>
  <c r="U53" i="23"/>
  <c r="T53" i="23" s="1"/>
  <c r="S53" i="23" s="1"/>
  <c r="R53" i="23" s="1"/>
  <c r="U321" i="23"/>
  <c r="T321" i="23" s="1"/>
  <c r="S321" i="23" s="1"/>
  <c r="R321" i="23" s="1"/>
  <c r="U141" i="23"/>
  <c r="T141" i="23" s="1"/>
  <c r="S141" i="23" s="1"/>
  <c r="R141" i="23" s="1"/>
  <c r="U35" i="23"/>
  <c r="T35" i="23" s="1"/>
  <c r="S35" i="23" s="1"/>
  <c r="R35" i="23" s="1"/>
  <c r="U261" i="23"/>
  <c r="T261" i="23" s="1"/>
  <c r="S261" i="23" s="1"/>
  <c r="R261" i="23" s="1"/>
  <c r="U205" i="23"/>
  <c r="T205" i="23" s="1"/>
  <c r="S205" i="23" s="1"/>
  <c r="R205" i="23" s="1"/>
  <c r="U192" i="23"/>
  <c r="T192" i="23" s="1"/>
  <c r="S192" i="23" s="1"/>
  <c r="R192" i="23" s="1"/>
  <c r="U260" i="23"/>
  <c r="T260" i="23" s="1"/>
  <c r="U314" i="23"/>
  <c r="T314" i="23" s="1"/>
  <c r="S314" i="23" s="1"/>
  <c r="R314" i="23" s="1"/>
  <c r="U271" i="23"/>
  <c r="T271" i="23" s="1"/>
  <c r="S271" i="23" s="1"/>
  <c r="R271" i="23" s="1"/>
  <c r="U169" i="23"/>
  <c r="T169" i="23" s="1"/>
  <c r="S169" i="23" s="1"/>
  <c r="R169" i="23" s="1"/>
  <c r="U130" i="23"/>
  <c r="T130" i="23" s="1"/>
  <c r="S130" i="23" s="1"/>
  <c r="R130" i="23" s="1"/>
  <c r="U109" i="23"/>
  <c r="T109" i="23" s="1"/>
  <c r="S109" i="23" s="1"/>
  <c r="R109" i="23" s="1"/>
  <c r="U341" i="23"/>
  <c r="T341" i="23" s="1"/>
  <c r="S341" i="23" s="1"/>
  <c r="R341" i="23" s="1"/>
  <c r="U270" i="23"/>
  <c r="T270" i="23" s="1"/>
  <c r="S270" i="23" s="1"/>
  <c r="R270" i="23" s="1"/>
  <c r="U224" i="23"/>
  <c r="T224" i="23" s="1"/>
  <c r="S224" i="23" s="1"/>
  <c r="R224" i="23" s="1"/>
  <c r="U288" i="23"/>
  <c r="T288" i="23" s="1"/>
  <c r="S288" i="23" s="1"/>
  <c r="R288" i="23" s="1"/>
  <c r="U173" i="23"/>
  <c r="T173" i="23" s="1"/>
  <c r="S173" i="23" s="1"/>
  <c r="R173" i="23" s="1"/>
  <c r="U75" i="23"/>
  <c r="T75" i="23" s="1"/>
  <c r="S75" i="23" s="1"/>
  <c r="R75" i="23" s="1"/>
  <c r="U280" i="23"/>
  <c r="T280" i="23" s="1"/>
  <c r="S280" i="23" s="1"/>
  <c r="R280" i="23" s="1"/>
  <c r="U22" i="23"/>
  <c r="T22" i="23" s="1"/>
  <c r="S22" i="23" s="1"/>
  <c r="R22" i="23" s="1"/>
  <c r="U266" i="23"/>
  <c r="T266" i="23" s="1"/>
  <c r="S266" i="23" s="1"/>
  <c r="R266" i="23" s="1"/>
  <c r="U18" i="23"/>
  <c r="T18" i="23" s="1"/>
  <c r="S18" i="23" s="1"/>
  <c r="R18" i="23" s="1"/>
  <c r="U352" i="23"/>
  <c r="T352" i="23" s="1"/>
  <c r="S352" i="23" s="1"/>
  <c r="R352" i="23" s="1"/>
  <c r="U78" i="23"/>
  <c r="T78" i="23" s="1"/>
  <c r="S78" i="23" s="1"/>
  <c r="R78" i="23" s="1"/>
  <c r="U248" i="23"/>
  <c r="T248" i="23" s="1"/>
  <c r="S248" i="23" s="1"/>
  <c r="R248" i="23" s="1"/>
  <c r="U17" i="23"/>
  <c r="T17" i="23" s="1"/>
  <c r="S17" i="23" s="1"/>
  <c r="R17" i="23" s="1"/>
  <c r="U182" i="23"/>
  <c r="T182" i="23" s="1"/>
  <c r="U325" i="23"/>
  <c r="T325" i="23" s="1"/>
  <c r="S325" i="23" s="1"/>
  <c r="R325" i="23" s="1"/>
  <c r="U296" i="23"/>
  <c r="T296" i="23" s="1"/>
  <c r="U146" i="23"/>
  <c r="T146" i="23" s="1"/>
  <c r="S146" i="23" s="1"/>
  <c r="R146" i="23" s="1"/>
  <c r="U307" i="23"/>
  <c r="T307" i="23" s="1"/>
  <c r="S307" i="23" s="1"/>
  <c r="R307" i="23" s="1"/>
  <c r="U49" i="23"/>
  <c r="T49" i="23" s="1"/>
  <c r="S49" i="23" s="1"/>
  <c r="R49" i="23" s="1"/>
  <c r="U94" i="23"/>
  <c r="T94" i="23" s="1"/>
  <c r="S94" i="23" s="1"/>
  <c r="R94" i="23" s="1"/>
  <c r="U63" i="23"/>
  <c r="T63" i="23" s="1"/>
  <c r="S63" i="23" s="1"/>
  <c r="R63" i="23" s="1"/>
  <c r="U331" i="23"/>
  <c r="T331" i="23" s="1"/>
  <c r="U125" i="23"/>
  <c r="T125" i="23" s="1"/>
  <c r="S125" i="23" s="1"/>
  <c r="R125" i="23" s="1"/>
  <c r="U101" i="23"/>
  <c r="T101" i="23" s="1"/>
  <c r="U340" i="23"/>
  <c r="T340" i="23" s="1"/>
  <c r="S340" i="23" s="1"/>
  <c r="R340" i="23" s="1"/>
  <c r="U163" i="23"/>
  <c r="T163" i="23" s="1"/>
  <c r="S163" i="23" s="1"/>
  <c r="R163" i="23" s="1"/>
  <c r="U216" i="23"/>
  <c r="T216" i="23" s="1"/>
  <c r="S216" i="23" s="1"/>
  <c r="R216" i="23" s="1"/>
  <c r="U16" i="23"/>
  <c r="T16" i="23" s="1"/>
  <c r="S16" i="23" s="1"/>
  <c r="R16" i="23" s="1"/>
  <c r="U184" i="23"/>
  <c r="T184" i="23" s="1"/>
  <c r="S184" i="23" s="1"/>
  <c r="R184" i="23" s="1"/>
  <c r="U139" i="23"/>
  <c r="T139" i="23" s="1"/>
  <c r="S139" i="23" s="1"/>
  <c r="R139" i="23" s="1"/>
  <c r="U58" i="23"/>
  <c r="T58" i="23" s="1"/>
  <c r="S58" i="23" s="1"/>
  <c r="R58" i="23" s="1"/>
  <c r="U316" i="23"/>
  <c r="T316" i="23" s="1"/>
  <c r="S316" i="23" s="1"/>
  <c r="R316" i="23" s="1"/>
  <c r="U238" i="23"/>
  <c r="T238" i="23" s="1"/>
  <c r="S238" i="23" s="1"/>
  <c r="R238" i="23" s="1"/>
  <c r="U144" i="23"/>
  <c r="T144" i="23" s="1"/>
  <c r="S144" i="23" s="1"/>
  <c r="R144" i="23" s="1"/>
  <c r="U349" i="23"/>
  <c r="T349" i="23" s="1"/>
  <c r="S349" i="23" s="1"/>
  <c r="R349" i="23" s="1"/>
  <c r="U289" i="23"/>
  <c r="T289" i="23" s="1"/>
  <c r="S289" i="23" s="1"/>
  <c r="R289" i="23" s="1"/>
  <c r="U304" i="23"/>
  <c r="T304" i="23" s="1"/>
  <c r="S304" i="23" s="1"/>
  <c r="R304" i="23" s="1"/>
  <c r="U210" i="23"/>
  <c r="T210" i="23" s="1"/>
  <c r="S210" i="23" s="1"/>
  <c r="R210" i="23" s="1"/>
  <c r="U38" i="23"/>
  <c r="T38" i="23" s="1"/>
  <c r="S38" i="23" s="1"/>
  <c r="R38" i="23" s="1"/>
  <c r="U65" i="23"/>
  <c r="T65" i="23" s="1"/>
  <c r="S65" i="23" s="1"/>
  <c r="R65" i="23" s="1"/>
  <c r="U33" i="23"/>
  <c r="T33" i="23" s="1"/>
  <c r="S33" i="23" s="1"/>
  <c r="R33" i="23" s="1"/>
  <c r="U148" i="23"/>
  <c r="T148" i="23" s="1"/>
  <c r="S148" i="23" s="1"/>
  <c r="R148" i="23" s="1"/>
  <c r="U253" i="23"/>
  <c r="T253" i="23" s="1"/>
  <c r="S253" i="23" s="1"/>
  <c r="R253" i="23" s="1"/>
  <c r="U95" i="23"/>
  <c r="T95" i="23" s="1"/>
  <c r="S95" i="23" s="1"/>
  <c r="R95" i="23" s="1"/>
  <c r="U283" i="23"/>
  <c r="T283" i="23" s="1"/>
  <c r="S283" i="23" s="1"/>
  <c r="R283" i="23" s="1"/>
  <c r="U174" i="23"/>
  <c r="T174" i="23" s="1"/>
  <c r="S174" i="23" s="1"/>
  <c r="R174" i="23" s="1"/>
  <c r="U236" i="23"/>
  <c r="T236" i="23" s="1"/>
  <c r="S236" i="23" s="1"/>
  <c r="R236" i="23" s="1"/>
  <c r="U185" i="23"/>
  <c r="T185" i="23" s="1"/>
  <c r="S185" i="23" s="1"/>
  <c r="R185" i="23" s="1"/>
  <c r="U103" i="23"/>
  <c r="T103" i="23" s="1"/>
  <c r="S103" i="23" s="1"/>
  <c r="R103" i="23" s="1"/>
  <c r="U161" i="23"/>
  <c r="T161" i="23" s="1"/>
  <c r="S161" i="23" s="1"/>
  <c r="R161" i="23" s="1"/>
  <c r="U328" i="23"/>
  <c r="T328" i="23" s="1"/>
  <c r="S328" i="23" s="1"/>
  <c r="R328" i="23" s="1"/>
  <c r="U59" i="23"/>
  <c r="T59" i="23" s="1"/>
  <c r="U105" i="23"/>
  <c r="T105" i="23" s="1"/>
  <c r="S105" i="23" s="1"/>
  <c r="R105" i="23" s="1"/>
  <c r="U85" i="23"/>
  <c r="T85" i="23" s="1"/>
  <c r="S85" i="23" s="1"/>
  <c r="R85" i="23" s="1"/>
  <c r="U200" i="23"/>
  <c r="T200" i="23" s="1"/>
  <c r="S200" i="23" s="1"/>
  <c r="R200" i="23" s="1"/>
  <c r="U333" i="23"/>
  <c r="T333" i="23" s="1"/>
  <c r="U93" i="23"/>
  <c r="T93" i="23" s="1"/>
  <c r="S93" i="23" s="1"/>
  <c r="R93" i="23" s="1"/>
  <c r="U337" i="23"/>
  <c r="T337" i="23" s="1"/>
  <c r="S337" i="23" s="1"/>
  <c r="R337" i="23" s="1"/>
  <c r="U32" i="23"/>
  <c r="T32" i="23" s="1"/>
  <c r="S32" i="23" s="1"/>
  <c r="R32" i="23" s="1"/>
  <c r="U118" i="23"/>
  <c r="T118" i="23" s="1"/>
  <c r="S118" i="23" s="1"/>
  <c r="R118" i="23" s="1"/>
  <c r="U273" i="23"/>
  <c r="T273" i="23" s="1"/>
  <c r="S273" i="23" s="1"/>
  <c r="R273" i="23" s="1"/>
  <c r="U375" i="23"/>
  <c r="T375" i="23" s="1"/>
  <c r="S375" i="23" s="1"/>
  <c r="R375" i="23" s="1"/>
  <c r="U239" i="23"/>
  <c r="T239" i="23" s="1"/>
  <c r="S239" i="23" s="1"/>
  <c r="R239" i="23" s="1"/>
  <c r="U147" i="23"/>
  <c r="T147" i="23" s="1"/>
  <c r="U275" i="23"/>
  <c r="T275" i="23" s="1"/>
  <c r="S275" i="23" s="1"/>
  <c r="R275" i="23" s="1"/>
  <c r="U204" i="23"/>
  <c r="T204" i="23" s="1"/>
  <c r="S204" i="23" s="1"/>
  <c r="R204" i="23" s="1"/>
  <c r="U99" i="23"/>
  <c r="T99" i="23" s="1"/>
  <c r="S99" i="23" s="1"/>
  <c r="R99" i="23" s="1"/>
  <c r="U343" i="23"/>
  <c r="T343" i="23" s="1"/>
  <c r="U251" i="23"/>
  <c r="T251" i="23" s="1"/>
  <c r="S251" i="23" s="1"/>
  <c r="R251" i="23" s="1"/>
  <c r="U362" i="23"/>
  <c r="T362" i="23" s="1"/>
  <c r="S362" i="23" s="1"/>
  <c r="R362" i="23" s="1"/>
  <c r="U346" i="23"/>
  <c r="T346" i="23" s="1"/>
  <c r="S346" i="23" s="1"/>
  <c r="R346" i="23" s="1"/>
  <c r="U220" i="23"/>
  <c r="T220" i="23" s="1"/>
  <c r="S220" i="23" s="1"/>
  <c r="R220" i="23" s="1"/>
  <c r="U368" i="23"/>
  <c r="T368" i="23" s="1"/>
  <c r="S368" i="23" s="1"/>
  <c r="R368" i="23" s="1"/>
  <c r="U122" i="23"/>
  <c r="T122" i="23" s="1"/>
  <c r="S122" i="23" s="1"/>
  <c r="R122" i="23" s="1"/>
  <c r="U320" i="23"/>
  <c r="T320" i="23" s="1"/>
  <c r="S320" i="23" s="1"/>
  <c r="R320" i="23" s="1"/>
  <c r="U64" i="23"/>
  <c r="T64" i="23" s="1"/>
  <c r="S64" i="23" s="1"/>
  <c r="R64" i="23" s="1"/>
  <c r="U119" i="23"/>
  <c r="T119" i="23" s="1"/>
  <c r="S119" i="23" s="1"/>
  <c r="R119" i="23" s="1"/>
  <c r="U42" i="23"/>
  <c r="T42" i="23" s="1"/>
  <c r="U373" i="23"/>
  <c r="T373" i="23" s="1"/>
  <c r="S373" i="23" s="1"/>
  <c r="R373" i="23" s="1"/>
  <c r="U113" i="23"/>
  <c r="T113" i="23" s="1"/>
  <c r="S113" i="23" s="1"/>
  <c r="R113" i="23" s="1"/>
  <c r="U120" i="23"/>
  <c r="T120" i="23" s="1"/>
  <c r="S120" i="23" s="1"/>
  <c r="R120" i="23" s="1"/>
  <c r="U252" i="23"/>
  <c r="T252" i="23" s="1"/>
  <c r="S252" i="23" s="1"/>
  <c r="R252" i="23" s="1"/>
  <c r="U246" i="23"/>
  <c r="T246" i="23" s="1"/>
  <c r="S246" i="23" s="1"/>
  <c r="R246" i="23" s="1"/>
  <c r="U62" i="23"/>
  <c r="T62" i="23" s="1"/>
  <c r="U61" i="23"/>
  <c r="T61" i="23" s="1"/>
  <c r="S61" i="23" s="1"/>
  <c r="R61" i="23" s="1"/>
  <c r="U156" i="23"/>
  <c r="T156" i="23" s="1"/>
  <c r="S156" i="23" s="1"/>
  <c r="R156" i="23" s="1"/>
  <c r="U70" i="23"/>
  <c r="T70" i="23" s="1"/>
  <c r="S70" i="23" s="1"/>
  <c r="R70" i="23" s="1"/>
  <c r="U299" i="23"/>
  <c r="T299" i="23" s="1"/>
  <c r="S299" i="23" s="1"/>
  <c r="R299" i="23" s="1"/>
  <c r="U272" i="23"/>
  <c r="T272" i="23" s="1"/>
  <c r="S272" i="23" s="1"/>
  <c r="R272" i="23" s="1"/>
  <c r="U79" i="23"/>
  <c r="T79" i="23" s="1"/>
  <c r="S79" i="23" s="1"/>
  <c r="R79" i="23" s="1"/>
  <c r="U227" i="23"/>
  <c r="T227" i="23" s="1"/>
  <c r="S227" i="23" s="1"/>
  <c r="R227" i="23" s="1"/>
  <c r="U310" i="23"/>
  <c r="T310" i="23" s="1"/>
  <c r="U46" i="23"/>
  <c r="T46" i="23" s="1"/>
  <c r="S46" i="23" s="1"/>
  <c r="R46" i="23" s="1"/>
  <c r="U225" i="23"/>
  <c r="T225" i="23" s="1"/>
  <c r="S225" i="23" s="1"/>
  <c r="R225" i="23" s="1"/>
  <c r="U203" i="23"/>
  <c r="T203" i="23" s="1"/>
  <c r="S203" i="23" s="1"/>
  <c r="R203" i="23" s="1"/>
  <c r="U90" i="23"/>
  <c r="T90" i="23" s="1"/>
  <c r="U51" i="23"/>
  <c r="T51" i="23" s="1"/>
  <c r="S51" i="23" s="1"/>
  <c r="R51" i="23" s="1"/>
  <c r="U242" i="23"/>
  <c r="T242" i="23" s="1"/>
  <c r="S242" i="23" s="1"/>
  <c r="R242" i="23" s="1"/>
  <c r="U312" i="23"/>
  <c r="T312" i="23" s="1"/>
  <c r="S312" i="23" s="1"/>
  <c r="R312" i="23" s="1"/>
  <c r="U258" i="23"/>
  <c r="T258" i="23" s="1"/>
  <c r="S258" i="23" s="1"/>
  <c r="R258" i="23" s="1"/>
  <c r="U245" i="23"/>
  <c r="T245" i="23" s="1"/>
  <c r="S245" i="23" s="1"/>
  <c r="R245" i="23" s="1"/>
  <c r="U226" i="23"/>
  <c r="T226" i="23" s="1"/>
  <c r="U111" i="23"/>
  <c r="T111" i="23" s="1"/>
  <c r="S111" i="23" s="1"/>
  <c r="R111" i="23" s="1"/>
  <c r="U365" i="23"/>
  <c r="T365" i="23" s="1"/>
  <c r="U332" i="23"/>
  <c r="T332" i="23" s="1"/>
  <c r="S332" i="23" s="1"/>
  <c r="R332" i="23" s="1"/>
  <c r="U166" i="23"/>
  <c r="T166" i="23" s="1"/>
  <c r="S166" i="23" s="1"/>
  <c r="R166" i="23" s="1"/>
  <c r="U106" i="23"/>
  <c r="T106" i="23" s="1"/>
  <c r="S106" i="23" s="1"/>
  <c r="R106" i="23" s="1"/>
  <c r="U293" i="23"/>
  <c r="T293" i="23" s="1"/>
  <c r="S293" i="23" s="1"/>
  <c r="R293" i="23" s="1"/>
  <c r="U188" i="23"/>
  <c r="T188" i="23" s="1"/>
  <c r="S188" i="23" s="1"/>
  <c r="R188" i="23" s="1"/>
  <c r="AG15" i="22"/>
  <c r="AH382" i="22"/>
  <c r="AH381" i="22"/>
  <c r="AH383" i="22"/>
  <c r="AD379" i="20"/>
  <c r="AF381" i="20"/>
  <c r="AF383" i="20"/>
  <c r="AF382" i="20"/>
  <c r="AI24" i="23"/>
  <c r="AH24" i="23" s="1"/>
  <c r="AG24" i="23" s="1"/>
  <c r="AF24" i="23" s="1"/>
  <c r="AI92" i="23"/>
  <c r="AH92" i="23" s="1"/>
  <c r="AG92" i="23" s="1"/>
  <c r="AF92" i="23" s="1"/>
  <c r="AI83" i="23"/>
  <c r="AH83" i="23" s="1"/>
  <c r="AI79" i="23"/>
  <c r="AH79" i="23" s="1"/>
  <c r="AG79" i="23" s="1"/>
  <c r="AF79" i="23" s="1"/>
  <c r="AI65" i="23"/>
  <c r="AH65" i="23" s="1"/>
  <c r="AI64" i="23"/>
  <c r="AH64" i="23" s="1"/>
  <c r="AG64" i="23" s="1"/>
  <c r="AF64" i="23" s="1"/>
  <c r="AI99" i="23"/>
  <c r="AH99" i="23" s="1"/>
  <c r="AG99" i="23" s="1"/>
  <c r="AF99" i="23" s="1"/>
  <c r="AI100" i="23"/>
  <c r="AH100" i="23" s="1"/>
  <c r="AG100" i="23" s="1"/>
  <c r="AF100" i="23" s="1"/>
  <c r="AI84" i="23"/>
  <c r="AH84" i="23" s="1"/>
  <c r="AG84" i="23" s="1"/>
  <c r="AF84" i="23" s="1"/>
  <c r="AI87" i="23"/>
  <c r="AH87" i="23" s="1"/>
  <c r="AG87" i="23" s="1"/>
  <c r="AF87" i="23" s="1"/>
  <c r="AI50" i="23"/>
  <c r="AH50" i="23" s="1"/>
  <c r="AG50" i="23" s="1"/>
  <c r="AF50" i="23" s="1"/>
  <c r="AI68" i="23"/>
  <c r="AH68" i="23" s="1"/>
  <c r="AG68" i="23" s="1"/>
  <c r="AF68" i="23" s="1"/>
  <c r="AI70" i="23"/>
  <c r="AH70" i="23" s="1"/>
  <c r="AG70" i="23" s="1"/>
  <c r="AF70" i="23" s="1"/>
  <c r="AI39" i="23"/>
  <c r="AH39" i="23" s="1"/>
  <c r="AG39" i="23" s="1"/>
  <c r="AF39" i="23" s="1"/>
  <c r="AI86" i="23"/>
  <c r="AH86" i="23" s="1"/>
  <c r="AG86" i="23" s="1"/>
  <c r="AF86" i="23" s="1"/>
  <c r="AI91" i="23"/>
  <c r="AH91" i="23" s="1"/>
  <c r="AG91" i="23" s="1"/>
  <c r="AF91" i="23" s="1"/>
  <c r="AI43" i="23"/>
  <c r="AH43" i="23" s="1"/>
  <c r="AG43" i="23" s="1"/>
  <c r="AF43" i="23" s="1"/>
  <c r="AI45" i="23"/>
  <c r="AH45" i="23" s="1"/>
  <c r="AG45" i="23" s="1"/>
  <c r="AF45" i="23" s="1"/>
  <c r="AI258" i="23"/>
  <c r="AH258" i="23" s="1"/>
  <c r="AG258" i="23" s="1"/>
  <c r="AF258" i="23" s="1"/>
  <c r="AI56" i="23"/>
  <c r="AH56" i="23" s="1"/>
  <c r="AG56" i="23" s="1"/>
  <c r="AF56" i="23" s="1"/>
  <c r="AI20" i="23"/>
  <c r="AH20" i="23" s="1"/>
  <c r="AG20" i="23" s="1"/>
  <c r="AF20" i="23" s="1"/>
  <c r="AI55" i="23"/>
  <c r="AH55" i="23" s="1"/>
  <c r="AG55" i="23" s="1"/>
  <c r="AF55" i="23" s="1"/>
  <c r="AI78" i="23"/>
  <c r="AH78" i="23" s="1"/>
  <c r="AG78" i="23" s="1"/>
  <c r="AF78" i="23" s="1"/>
  <c r="AI62" i="23"/>
  <c r="AH62" i="23" s="1"/>
  <c r="AG62" i="23" s="1"/>
  <c r="AF62" i="23" s="1"/>
  <c r="AI21" i="23"/>
  <c r="AH21" i="23" s="1"/>
  <c r="AG21" i="23" s="1"/>
  <c r="AF21" i="23" s="1"/>
  <c r="AI15" i="23"/>
  <c r="AI90" i="23"/>
  <c r="AH90" i="23" s="1"/>
  <c r="AG90" i="23" s="1"/>
  <c r="AF90" i="23" s="1"/>
  <c r="AI98" i="23"/>
  <c r="AH98" i="23" s="1"/>
  <c r="AG98" i="23" s="1"/>
  <c r="AF98" i="23" s="1"/>
  <c r="AI33" i="23"/>
  <c r="AH33" i="23" s="1"/>
  <c r="AG33" i="23" s="1"/>
  <c r="AF33" i="23" s="1"/>
  <c r="AI29" i="23"/>
  <c r="AH29" i="23" s="1"/>
  <c r="AI37" i="23"/>
  <c r="AH37" i="23" s="1"/>
  <c r="AG37" i="23" s="1"/>
  <c r="AF37" i="23" s="1"/>
  <c r="AI97" i="23"/>
  <c r="AH97" i="23" s="1"/>
  <c r="AG97" i="23" s="1"/>
  <c r="AF97" i="23" s="1"/>
  <c r="AI30" i="23"/>
  <c r="AH30" i="23" s="1"/>
  <c r="AG30" i="23" s="1"/>
  <c r="AF30" i="23" s="1"/>
  <c r="AI16" i="23"/>
  <c r="AH16" i="23" s="1"/>
  <c r="AG16" i="23" s="1"/>
  <c r="AF16" i="23" s="1"/>
  <c r="AI94" i="23"/>
  <c r="AH94" i="23" s="1"/>
  <c r="AG94" i="23" s="1"/>
  <c r="AF94" i="23" s="1"/>
  <c r="AI114" i="23"/>
  <c r="AH114" i="23" s="1"/>
  <c r="AG114" i="23" s="1"/>
  <c r="AF114" i="23" s="1"/>
  <c r="AI61" i="23"/>
  <c r="AH61" i="23" s="1"/>
  <c r="AG61" i="23" s="1"/>
  <c r="AF61" i="23" s="1"/>
  <c r="AI53" i="23"/>
  <c r="AH53" i="23" s="1"/>
  <c r="AG53" i="23" s="1"/>
  <c r="AF53" i="23" s="1"/>
  <c r="AI32" i="23"/>
  <c r="AH32" i="23" s="1"/>
  <c r="AG32" i="23" s="1"/>
  <c r="AF32" i="23" s="1"/>
  <c r="AI36" i="23"/>
  <c r="AH36" i="23" s="1"/>
  <c r="AG36" i="23" s="1"/>
  <c r="AF36" i="23" s="1"/>
  <c r="AI46" i="23"/>
  <c r="AH46" i="23" s="1"/>
  <c r="AG46" i="23" s="1"/>
  <c r="AF46" i="23" s="1"/>
  <c r="AI81" i="23"/>
  <c r="AH81" i="23" s="1"/>
  <c r="AG81" i="23" s="1"/>
  <c r="AF81" i="23" s="1"/>
  <c r="AI103" i="23"/>
  <c r="AH103" i="23" s="1"/>
  <c r="AG103" i="23" s="1"/>
  <c r="AF103" i="23" s="1"/>
  <c r="AI51" i="23"/>
  <c r="AH51" i="23" s="1"/>
  <c r="AG51" i="23" s="1"/>
  <c r="AF51" i="23" s="1"/>
  <c r="AI75" i="23"/>
  <c r="AH75" i="23" s="1"/>
  <c r="AG75" i="23" s="1"/>
  <c r="AF75" i="23" s="1"/>
  <c r="AI40" i="23"/>
  <c r="AH40" i="23" s="1"/>
  <c r="AI27" i="23"/>
  <c r="AH27" i="23" s="1"/>
  <c r="AG27" i="23" s="1"/>
  <c r="AF27" i="23" s="1"/>
  <c r="AI57" i="23"/>
  <c r="AH57" i="23" s="1"/>
  <c r="AG57" i="23" s="1"/>
  <c r="AF57" i="23" s="1"/>
  <c r="AI96" i="23"/>
  <c r="AH96" i="23" s="1"/>
  <c r="AG96" i="23" s="1"/>
  <c r="AF96" i="23" s="1"/>
  <c r="AI69" i="23"/>
  <c r="AH69" i="23" s="1"/>
  <c r="AG69" i="23" s="1"/>
  <c r="AF69" i="23" s="1"/>
  <c r="AI48" i="23"/>
  <c r="AH48" i="23" s="1"/>
  <c r="AI85" i="23"/>
  <c r="AH85" i="23" s="1"/>
  <c r="AG85" i="23" s="1"/>
  <c r="AF85" i="23" s="1"/>
  <c r="AI71" i="23"/>
  <c r="AH71" i="23" s="1"/>
  <c r="AG71" i="23" s="1"/>
  <c r="AF71" i="23" s="1"/>
  <c r="AI63" i="23"/>
  <c r="AH63" i="23" s="1"/>
  <c r="AI22" i="23"/>
  <c r="AH22" i="23" s="1"/>
  <c r="AG22" i="23" s="1"/>
  <c r="AF22" i="23" s="1"/>
  <c r="AI41" i="23"/>
  <c r="AH41" i="23" s="1"/>
  <c r="AG41" i="23" s="1"/>
  <c r="AF41" i="23" s="1"/>
  <c r="AI18" i="23"/>
  <c r="AH18" i="23" s="1"/>
  <c r="AG18" i="23" s="1"/>
  <c r="AF18" i="23" s="1"/>
  <c r="AI28" i="23"/>
  <c r="AH28" i="23" s="1"/>
  <c r="AG28" i="23" s="1"/>
  <c r="AF28" i="23" s="1"/>
  <c r="AI49" i="23"/>
  <c r="AH49" i="23" s="1"/>
  <c r="AG49" i="23" s="1"/>
  <c r="AF49" i="23" s="1"/>
  <c r="AI237" i="23"/>
  <c r="AH237" i="23" s="1"/>
  <c r="AG237" i="23" s="1"/>
  <c r="AF237" i="23" s="1"/>
  <c r="AI66" i="23"/>
  <c r="AH66" i="23" s="1"/>
  <c r="AG66" i="23" s="1"/>
  <c r="AF66" i="23" s="1"/>
  <c r="AI38" i="23"/>
  <c r="AH38" i="23" s="1"/>
  <c r="AG38" i="23" s="1"/>
  <c r="AF38" i="23" s="1"/>
  <c r="AI17" i="23"/>
  <c r="AH17" i="23" s="1"/>
  <c r="AG17" i="23" s="1"/>
  <c r="AF17" i="23" s="1"/>
  <c r="AI89" i="23"/>
  <c r="AH89" i="23" s="1"/>
  <c r="AG89" i="23" s="1"/>
  <c r="AF89" i="23" s="1"/>
  <c r="AI77" i="23"/>
  <c r="AH77" i="23" s="1"/>
  <c r="AG77" i="23" s="1"/>
  <c r="AF77" i="23" s="1"/>
  <c r="AI88" i="23"/>
  <c r="AH88" i="23" s="1"/>
  <c r="AG88" i="23" s="1"/>
  <c r="AF88" i="23" s="1"/>
  <c r="AI25" i="23"/>
  <c r="AH25" i="23" s="1"/>
  <c r="AG25" i="23" s="1"/>
  <c r="AF25" i="23" s="1"/>
  <c r="AI59" i="23"/>
  <c r="AH59" i="23" s="1"/>
  <c r="AG59" i="23" s="1"/>
  <c r="AF59" i="23" s="1"/>
  <c r="AI72" i="23"/>
  <c r="AH72" i="23" s="1"/>
  <c r="AG72" i="23" s="1"/>
  <c r="AF72" i="23" s="1"/>
  <c r="AI101" i="23"/>
  <c r="AH101" i="23" s="1"/>
  <c r="AG101" i="23" s="1"/>
  <c r="AF101" i="23" s="1"/>
  <c r="AI23" i="23"/>
  <c r="AH23" i="23" s="1"/>
  <c r="AG23" i="23" s="1"/>
  <c r="AF23" i="23" s="1"/>
  <c r="AI35" i="23"/>
  <c r="AH35" i="23" s="1"/>
  <c r="AG35" i="23" s="1"/>
  <c r="AF35" i="23" s="1"/>
  <c r="AI272" i="23"/>
  <c r="AH272" i="23" s="1"/>
  <c r="AG272" i="23" s="1"/>
  <c r="AF272" i="23" s="1"/>
  <c r="AI54" i="23"/>
  <c r="AH54" i="23" s="1"/>
  <c r="AG54" i="23" s="1"/>
  <c r="AF54" i="23" s="1"/>
  <c r="AI34" i="23"/>
  <c r="AH34" i="23" s="1"/>
  <c r="AG34" i="23" s="1"/>
  <c r="AF34" i="23" s="1"/>
  <c r="AI74" i="23"/>
  <c r="AH74" i="23" s="1"/>
  <c r="AG74" i="23" s="1"/>
  <c r="AF74" i="23" s="1"/>
  <c r="AI67" i="23"/>
  <c r="AH67" i="23" s="1"/>
  <c r="AG67" i="23" s="1"/>
  <c r="AF67" i="23" s="1"/>
  <c r="AI60" i="23"/>
  <c r="AH60" i="23" s="1"/>
  <c r="AG60" i="23" s="1"/>
  <c r="AF60" i="23" s="1"/>
  <c r="AI26" i="23"/>
  <c r="AH26" i="23" s="1"/>
  <c r="AG26" i="23" s="1"/>
  <c r="AF26" i="23" s="1"/>
  <c r="AI47" i="23"/>
  <c r="AH47" i="23" s="1"/>
  <c r="AG47" i="23" s="1"/>
  <c r="AF47" i="23" s="1"/>
  <c r="AI19" i="23"/>
  <c r="AH19" i="23" s="1"/>
  <c r="AG19" i="23" s="1"/>
  <c r="AF19" i="23" s="1"/>
  <c r="AI44" i="23"/>
  <c r="AH44" i="23" s="1"/>
  <c r="AG44" i="23" s="1"/>
  <c r="AF44" i="23" s="1"/>
  <c r="AI80" i="23"/>
  <c r="AH80" i="23" s="1"/>
  <c r="AG80" i="23" s="1"/>
  <c r="AF80" i="23" s="1"/>
  <c r="AI31" i="23"/>
  <c r="AH31" i="23" s="1"/>
  <c r="AG31" i="23" s="1"/>
  <c r="AF31" i="23" s="1"/>
  <c r="AI93" i="23"/>
  <c r="AH93" i="23" s="1"/>
  <c r="AG93" i="23" s="1"/>
  <c r="AF93" i="23" s="1"/>
  <c r="AI82" i="23"/>
  <c r="AH82" i="23" s="1"/>
  <c r="AG82" i="23" s="1"/>
  <c r="AF82" i="23" s="1"/>
  <c r="AI58" i="23"/>
  <c r="AH58" i="23" s="1"/>
  <c r="AG58" i="23" s="1"/>
  <c r="AF58" i="23" s="1"/>
  <c r="AI73" i="23"/>
  <c r="AH73" i="23" s="1"/>
  <c r="AG73" i="23" s="1"/>
  <c r="AF73" i="23" s="1"/>
  <c r="AI266" i="23"/>
  <c r="AH266" i="23" s="1"/>
  <c r="AG266" i="23" s="1"/>
  <c r="AF266" i="23" s="1"/>
  <c r="AI102" i="23"/>
  <c r="AH102" i="23" s="1"/>
  <c r="AG102" i="23" s="1"/>
  <c r="AF102" i="23" s="1"/>
  <c r="AI52" i="23"/>
  <c r="AH52" i="23" s="1"/>
  <c r="AG52" i="23" s="1"/>
  <c r="AF52" i="23" s="1"/>
  <c r="AI95" i="23"/>
  <c r="AH95" i="23" s="1"/>
  <c r="AG95" i="23" s="1"/>
  <c r="AF95" i="23" s="1"/>
  <c r="AI76" i="23"/>
  <c r="AH76" i="23" s="1"/>
  <c r="AG76" i="23" s="1"/>
  <c r="AF76" i="23" s="1"/>
  <c r="T383" i="22"/>
  <c r="S15" i="22"/>
  <c r="T381" i="22"/>
  <c r="T382" i="22"/>
  <c r="AK7" i="18"/>
  <c r="Y382" i="17"/>
  <c r="Y381" i="17"/>
  <c r="AM6" i="17"/>
  <c r="AM12" i="17" s="1"/>
  <c r="X9" i="17"/>
  <c r="Y383" i="17"/>
  <c r="AL5" i="17"/>
  <c r="AL11" i="17" s="1"/>
  <c r="I196" i="22"/>
  <c r="J196" i="22"/>
  <c r="I207" i="22"/>
  <c r="I57" i="22"/>
  <c r="J57" i="22"/>
  <c r="I150" i="22"/>
  <c r="G333" i="22"/>
  <c r="CC333" i="6" s="1"/>
  <c r="AA333" i="22"/>
  <c r="Z333" i="22" s="1"/>
  <c r="Y333" i="22" s="1"/>
  <c r="I308" i="22"/>
  <c r="I84" i="22"/>
  <c r="J84" i="22"/>
  <c r="I114" i="22"/>
  <c r="J114" i="22"/>
  <c r="J134" i="22"/>
  <c r="I134" i="22"/>
  <c r="J62" i="22"/>
  <c r="I62" i="22"/>
  <c r="I110" i="22"/>
  <c r="J110" i="22"/>
  <c r="J182" i="22"/>
  <c r="I182" i="22"/>
  <c r="J186" i="22"/>
  <c r="I186" i="22"/>
  <c r="I108" i="22"/>
  <c r="J108" i="22"/>
  <c r="G258" i="22"/>
  <c r="CC258" i="6" s="1"/>
  <c r="H258" i="22"/>
  <c r="AA258" i="22"/>
  <c r="Z258" i="22" s="1"/>
  <c r="Y258" i="22" s="1"/>
  <c r="J263" i="22"/>
  <c r="I263" i="22"/>
  <c r="J236" i="22"/>
  <c r="I236" i="22"/>
  <c r="J219" i="22"/>
  <c r="H241" i="22"/>
  <c r="G241" i="22"/>
  <c r="CC241" i="6" s="1"/>
  <c r="AA241" i="22"/>
  <c r="Z241" i="22" s="1"/>
  <c r="Y241" i="22" s="1"/>
  <c r="AA227" i="22"/>
  <c r="Z227" i="22" s="1"/>
  <c r="Y227" i="22" s="1"/>
  <c r="H227" i="22"/>
  <c r="G227" i="22"/>
  <c r="CC227" i="6" s="1"/>
  <c r="J378" i="22"/>
  <c r="I378" i="22"/>
  <c r="I171" i="22"/>
  <c r="J171" i="22"/>
  <c r="J92" i="22"/>
  <c r="I175" i="22"/>
  <c r="J175" i="22"/>
  <c r="J100" i="22"/>
  <c r="I100" i="22"/>
  <c r="I80" i="22"/>
  <c r="J80" i="22"/>
  <c r="J372" i="22"/>
  <c r="I372" i="22"/>
  <c r="I361" i="22"/>
  <c r="I326" i="22"/>
  <c r="I59" i="22"/>
  <c r="J59" i="22"/>
  <c r="J161" i="22"/>
  <c r="I161" i="22"/>
  <c r="J174" i="22"/>
  <c r="I174" i="22"/>
  <c r="G105" i="22"/>
  <c r="CC105" i="6" s="1"/>
  <c r="AA105" i="22"/>
  <c r="Z105" i="22" s="1"/>
  <c r="Y105" i="22" s="1"/>
  <c r="H105" i="22"/>
  <c r="AA210" i="22"/>
  <c r="Z210" i="22" s="1"/>
  <c r="Y210" i="22" s="1"/>
  <c r="H210" i="22"/>
  <c r="G210" i="22"/>
  <c r="CC210" i="6" s="1"/>
  <c r="J298" i="22"/>
  <c r="I298" i="22"/>
  <c r="I99" i="22"/>
  <c r="J99" i="22"/>
  <c r="H74" i="22"/>
  <c r="AA74" i="22"/>
  <c r="Z74" i="22" s="1"/>
  <c r="Y74" i="22" s="1"/>
  <c r="G74" i="22"/>
  <c r="CC74" i="6" s="1"/>
  <c r="H302" i="22"/>
  <c r="AA302" i="22"/>
  <c r="Z302" i="22" s="1"/>
  <c r="Y302" i="22" s="1"/>
  <c r="G302" i="22"/>
  <c r="CC302" i="6" s="1"/>
  <c r="I349" i="22"/>
  <c r="J349" i="22"/>
  <c r="J374" i="22"/>
  <c r="I374" i="22"/>
  <c r="J79" i="22"/>
  <c r="I79" i="22"/>
  <c r="I275" i="22"/>
  <c r="J275" i="22"/>
  <c r="AA29" i="22"/>
  <c r="Z29" i="22" s="1"/>
  <c r="Y29" i="22" s="1"/>
  <c r="G29" i="22"/>
  <c r="CC29" i="6" s="1"/>
  <c r="I360" i="22"/>
  <c r="I158" i="22"/>
  <c r="J158" i="22"/>
  <c r="I357" i="22"/>
  <c r="J357" i="22"/>
  <c r="I342" i="22"/>
  <c r="J342" i="22"/>
  <c r="J240" i="22"/>
  <c r="J162" i="22"/>
  <c r="I162" i="22"/>
  <c r="I72" i="22"/>
  <c r="J72" i="22"/>
  <c r="I293" i="22"/>
  <c r="J293" i="22"/>
  <c r="I172" i="22"/>
  <c r="J259" i="22"/>
  <c r="I259" i="22"/>
  <c r="I106" i="22"/>
  <c r="AA149" i="22"/>
  <c r="Z149" i="22" s="1"/>
  <c r="Y149" i="22" s="1"/>
  <c r="G149" i="22"/>
  <c r="CC149" i="6" s="1"/>
  <c r="H149" i="22"/>
  <c r="I318" i="22"/>
  <c r="J318" i="22"/>
  <c r="J237" i="22"/>
  <c r="I237" i="22"/>
  <c r="I183" i="22"/>
  <c r="J183" i="22"/>
  <c r="J281" i="22"/>
  <c r="I281" i="22"/>
  <c r="G166" i="22"/>
  <c r="CC166" i="6" s="1"/>
  <c r="AA166" i="22"/>
  <c r="Z166" i="22" s="1"/>
  <c r="Y166" i="22" s="1"/>
  <c r="H166" i="22"/>
  <c r="J327" i="22"/>
  <c r="I327" i="22"/>
  <c r="I246" i="22"/>
  <c r="J246" i="22"/>
  <c r="J118" i="22"/>
  <c r="I118" i="22"/>
  <c r="I131" i="22"/>
  <c r="J131" i="22"/>
  <c r="I375" i="22"/>
  <c r="J375" i="22"/>
  <c r="AA363" i="22"/>
  <c r="Z363" i="22" s="1"/>
  <c r="Y363" i="22" s="1"/>
  <c r="H363" i="22"/>
  <c r="G363" i="22"/>
  <c r="CC363" i="6" s="1"/>
  <c r="H135" i="22"/>
  <c r="AA135" i="22"/>
  <c r="Z135" i="22" s="1"/>
  <c r="Y135" i="22" s="1"/>
  <c r="G135" i="22"/>
  <c r="CC135" i="6" s="1"/>
  <c r="J332" i="22"/>
  <c r="I332" i="22"/>
  <c r="J307" i="22"/>
  <c r="I307" i="22"/>
  <c r="I21" i="22"/>
  <c r="J21" i="22"/>
  <c r="I117" i="22"/>
  <c r="J117" i="22"/>
  <c r="I75" i="22"/>
  <c r="J75" i="22"/>
  <c r="I194" i="22"/>
  <c r="J194" i="22"/>
  <c r="I47" i="22"/>
  <c r="J47" i="22"/>
  <c r="I181" i="22"/>
  <c r="J200" i="22"/>
  <c r="I200" i="22"/>
  <c r="I292" i="22"/>
  <c r="J292" i="22"/>
  <c r="J243" i="22"/>
  <c r="I243" i="22"/>
  <c r="I325" i="22"/>
  <c r="I111" i="22"/>
  <c r="J111" i="22"/>
  <c r="I218" i="22"/>
  <c r="J218" i="22"/>
  <c r="J311" i="22"/>
  <c r="I311" i="22"/>
  <c r="I18" i="22"/>
  <c r="I173" i="22"/>
  <c r="J321" i="22"/>
  <c r="I321" i="22"/>
  <c r="I224" i="22"/>
  <c r="J224" i="22"/>
  <c r="I214" i="22"/>
  <c r="J214" i="22"/>
  <c r="J305" i="22"/>
  <c r="I305" i="22"/>
  <c r="I244" i="22"/>
  <c r="J244" i="22"/>
  <c r="J50" i="22"/>
  <c r="I50" i="22"/>
  <c r="I256" i="22"/>
  <c r="J102" i="22"/>
  <c r="I102" i="22"/>
  <c r="J122" i="22"/>
  <c r="I122" i="22"/>
  <c r="I185" i="22"/>
  <c r="J185" i="22"/>
  <c r="I366" i="22"/>
  <c r="J366" i="22"/>
  <c r="G319" i="22"/>
  <c r="CC319" i="6" s="1"/>
  <c r="AA319" i="22"/>
  <c r="Z319" i="22" s="1"/>
  <c r="Y319" i="22" s="1"/>
  <c r="H319" i="22"/>
  <c r="I83" i="22"/>
  <c r="J83" i="22"/>
  <c r="J163" i="22"/>
  <c r="I163" i="22"/>
  <c r="I170" i="22"/>
  <c r="J170" i="22"/>
  <c r="I377" i="22"/>
  <c r="J377" i="22"/>
  <c r="H46" i="22"/>
  <c r="G46" i="22"/>
  <c r="CC46" i="6" s="1"/>
  <c r="AA46" i="22"/>
  <c r="Z46" i="22" s="1"/>
  <c r="Y46" i="22" s="1"/>
  <c r="J300" i="22"/>
  <c r="I300" i="22"/>
  <c r="G119" i="22"/>
  <c r="CC119" i="6" s="1"/>
  <c r="AA119" i="22"/>
  <c r="Z119" i="22" s="1"/>
  <c r="Y119" i="22" s="1"/>
  <c r="J19" i="22"/>
  <c r="I19" i="22"/>
  <c r="J85" i="22"/>
  <c r="I85" i="22"/>
  <c r="I40" i="22"/>
  <c r="J132" i="22"/>
  <c r="I132" i="22"/>
  <c r="I340" i="22"/>
  <c r="J340" i="22"/>
  <c r="I94" i="22"/>
  <c r="J94" i="22"/>
  <c r="J38" i="22"/>
  <c r="I38" i="22"/>
  <c r="J230" i="22"/>
  <c r="I230" i="22"/>
  <c r="J28" i="22"/>
  <c r="I28" i="22"/>
  <c r="I284" i="22" l="1"/>
  <c r="AI327" i="23"/>
  <c r="AH327" i="23" s="1"/>
  <c r="AG327" i="23" s="1"/>
  <c r="AF327" i="23" s="1"/>
  <c r="AI229" i="23"/>
  <c r="AH229" i="23" s="1"/>
  <c r="AG229" i="23" s="1"/>
  <c r="AF229" i="23" s="1"/>
  <c r="AI314" i="23"/>
  <c r="AH314" i="23" s="1"/>
  <c r="AG314" i="23" s="1"/>
  <c r="AF314" i="23" s="1"/>
  <c r="AI307" i="23"/>
  <c r="AH307" i="23" s="1"/>
  <c r="AG307" i="23" s="1"/>
  <c r="AF307" i="23" s="1"/>
  <c r="AI370" i="23"/>
  <c r="AH370" i="23" s="1"/>
  <c r="AG370" i="23" s="1"/>
  <c r="AF370" i="23" s="1"/>
  <c r="AI252" i="23"/>
  <c r="AH252" i="23" s="1"/>
  <c r="AG252" i="23" s="1"/>
  <c r="AF252" i="23" s="1"/>
  <c r="AI149" i="23"/>
  <c r="AH149" i="23" s="1"/>
  <c r="AG149" i="23" s="1"/>
  <c r="AF149" i="23" s="1"/>
  <c r="AI315" i="23"/>
  <c r="AH315" i="23" s="1"/>
  <c r="AG315" i="23" s="1"/>
  <c r="AF315" i="23" s="1"/>
  <c r="AI226" i="23"/>
  <c r="AH226" i="23" s="1"/>
  <c r="AG226" i="23" s="1"/>
  <c r="AF226" i="23" s="1"/>
  <c r="H220" i="22"/>
  <c r="I220" i="22" s="1"/>
  <c r="H160" i="22"/>
  <c r="I160" i="22" s="1"/>
  <c r="AI175" i="23"/>
  <c r="AH175" i="23" s="1"/>
  <c r="AG175" i="23" s="1"/>
  <c r="AF175" i="23" s="1"/>
  <c r="AI138" i="23"/>
  <c r="AH138" i="23" s="1"/>
  <c r="AG138" i="23" s="1"/>
  <c r="AF138" i="23" s="1"/>
  <c r="AI233" i="23"/>
  <c r="AH233" i="23" s="1"/>
  <c r="AG233" i="23" s="1"/>
  <c r="AF233" i="23" s="1"/>
  <c r="AI118" i="23"/>
  <c r="AH118" i="23" s="1"/>
  <c r="AG118" i="23" s="1"/>
  <c r="AF118" i="23" s="1"/>
  <c r="AI238" i="23"/>
  <c r="AH238" i="23" s="1"/>
  <c r="AG238" i="23" s="1"/>
  <c r="AF238" i="23" s="1"/>
  <c r="AI242" i="23"/>
  <c r="AH242" i="23" s="1"/>
  <c r="AG242" i="23" s="1"/>
  <c r="AF242" i="23" s="1"/>
  <c r="AI350" i="23"/>
  <c r="AH350" i="23" s="1"/>
  <c r="AG350" i="23" s="1"/>
  <c r="AF350" i="23" s="1"/>
  <c r="AI361" i="23"/>
  <c r="AH361" i="23" s="1"/>
  <c r="AG361" i="23" s="1"/>
  <c r="AF361" i="23" s="1"/>
  <c r="AI108" i="23"/>
  <c r="AH108" i="23" s="1"/>
  <c r="AG108" i="23" s="1"/>
  <c r="AF108" i="23" s="1"/>
  <c r="AI249" i="23"/>
  <c r="AH249" i="23" s="1"/>
  <c r="AI212" i="23"/>
  <c r="AH212" i="23" s="1"/>
  <c r="AG212" i="23" s="1"/>
  <c r="AF212" i="23" s="1"/>
  <c r="AI112" i="23"/>
  <c r="AH112" i="23" s="1"/>
  <c r="AG112" i="23" s="1"/>
  <c r="AF112" i="23" s="1"/>
  <c r="AI232" i="23"/>
  <c r="AH232" i="23" s="1"/>
  <c r="AG232" i="23" s="1"/>
  <c r="AF232" i="23" s="1"/>
  <c r="AI346" i="23"/>
  <c r="AH346" i="23" s="1"/>
  <c r="AG346" i="23" s="1"/>
  <c r="AF346" i="23" s="1"/>
  <c r="AI253" i="23"/>
  <c r="AH253" i="23" s="1"/>
  <c r="AG253" i="23" s="1"/>
  <c r="AF253" i="23" s="1"/>
  <c r="AI291" i="23"/>
  <c r="AH291" i="23" s="1"/>
  <c r="AG291" i="23" s="1"/>
  <c r="AF291" i="23" s="1"/>
  <c r="AI160" i="23"/>
  <c r="AH160" i="23" s="1"/>
  <c r="AG160" i="23" s="1"/>
  <c r="AF160" i="23" s="1"/>
  <c r="AI166" i="23"/>
  <c r="AH166" i="23" s="1"/>
  <c r="AG166" i="23" s="1"/>
  <c r="AF166" i="23" s="1"/>
  <c r="AI298" i="23"/>
  <c r="AH298" i="23" s="1"/>
  <c r="AG298" i="23" s="1"/>
  <c r="AF298" i="23" s="1"/>
  <c r="AI225" i="23"/>
  <c r="AH225" i="23" s="1"/>
  <c r="AG225" i="23" s="1"/>
  <c r="AF225" i="23" s="1"/>
  <c r="AI144" i="23"/>
  <c r="AH144" i="23" s="1"/>
  <c r="AG144" i="23" s="1"/>
  <c r="AF144" i="23" s="1"/>
  <c r="AI365" i="23"/>
  <c r="AH365" i="23" s="1"/>
  <c r="AG365" i="23" s="1"/>
  <c r="AF365" i="23" s="1"/>
  <c r="AI165" i="23"/>
  <c r="AH165" i="23" s="1"/>
  <c r="AG165" i="23" s="1"/>
  <c r="AF165" i="23" s="1"/>
  <c r="AI145" i="23"/>
  <c r="AH145" i="23" s="1"/>
  <c r="AG145" i="23" s="1"/>
  <c r="AF145" i="23" s="1"/>
  <c r="AI322" i="23"/>
  <c r="AH322" i="23" s="1"/>
  <c r="AG322" i="23" s="1"/>
  <c r="AF322" i="23" s="1"/>
  <c r="AI239" i="23"/>
  <c r="AH239" i="23" s="1"/>
  <c r="AG239" i="23" s="1"/>
  <c r="AF239" i="23" s="1"/>
  <c r="AI338" i="23"/>
  <c r="AH338" i="23" s="1"/>
  <c r="AG338" i="23" s="1"/>
  <c r="AF338" i="23" s="1"/>
  <c r="AI340" i="23"/>
  <c r="AH340" i="23" s="1"/>
  <c r="AG340" i="23" s="1"/>
  <c r="AF340" i="23" s="1"/>
  <c r="AI210" i="23"/>
  <c r="AH210" i="23" s="1"/>
  <c r="AG210" i="23" s="1"/>
  <c r="AF210" i="23" s="1"/>
  <c r="AI313" i="23"/>
  <c r="AH313" i="23" s="1"/>
  <c r="AG313" i="23" s="1"/>
  <c r="AF313" i="23" s="1"/>
  <c r="G360" i="22"/>
  <c r="CC360" i="6" s="1"/>
  <c r="AA360" i="22"/>
  <c r="Z360" i="22" s="1"/>
  <c r="Y360" i="22" s="1"/>
  <c r="G124" i="22"/>
  <c r="CC124" i="6" s="1"/>
  <c r="AA219" i="22"/>
  <c r="Z219" i="22" s="1"/>
  <c r="Y219" i="22" s="1"/>
  <c r="G220" i="22"/>
  <c r="CC220" i="6" s="1"/>
  <c r="H124" i="22"/>
  <c r="I124" i="22" s="1"/>
  <c r="J256" i="22"/>
  <c r="AI228" i="23"/>
  <c r="AH228" i="23" s="1"/>
  <c r="AG228" i="23" s="1"/>
  <c r="AF228" i="23" s="1"/>
  <c r="AI156" i="23"/>
  <c r="AH156" i="23" s="1"/>
  <c r="AG156" i="23" s="1"/>
  <c r="AF156" i="23" s="1"/>
  <c r="AI328" i="23"/>
  <c r="AH328" i="23" s="1"/>
  <c r="AG328" i="23" s="1"/>
  <c r="AF328" i="23" s="1"/>
  <c r="AI363" i="23"/>
  <c r="AH363" i="23" s="1"/>
  <c r="AG363" i="23" s="1"/>
  <c r="AF363" i="23" s="1"/>
  <c r="AI343" i="23"/>
  <c r="AH343" i="23" s="1"/>
  <c r="AG343" i="23" s="1"/>
  <c r="AF343" i="23" s="1"/>
  <c r="AI354" i="23"/>
  <c r="AH354" i="23" s="1"/>
  <c r="AG354" i="23" s="1"/>
  <c r="AF354" i="23" s="1"/>
  <c r="AI277" i="23"/>
  <c r="AH277" i="23" s="1"/>
  <c r="AI201" i="23"/>
  <c r="AH201" i="23" s="1"/>
  <c r="AG201" i="23" s="1"/>
  <c r="AF201" i="23" s="1"/>
  <c r="AI134" i="23"/>
  <c r="AH134" i="23" s="1"/>
  <c r="AG134" i="23" s="1"/>
  <c r="AF134" i="23" s="1"/>
  <c r="AI281" i="23"/>
  <c r="AH281" i="23" s="1"/>
  <c r="AG281" i="23" s="1"/>
  <c r="AF281" i="23" s="1"/>
  <c r="AI287" i="23"/>
  <c r="AH287" i="23" s="1"/>
  <c r="AG287" i="23" s="1"/>
  <c r="AF287" i="23" s="1"/>
  <c r="AI152" i="23"/>
  <c r="AH152" i="23" s="1"/>
  <c r="AG152" i="23" s="1"/>
  <c r="AF152" i="23" s="1"/>
  <c r="AI373" i="23"/>
  <c r="AH373" i="23" s="1"/>
  <c r="AG373" i="23" s="1"/>
  <c r="AF373" i="23" s="1"/>
  <c r="AI297" i="23"/>
  <c r="AH297" i="23" s="1"/>
  <c r="AG297" i="23" s="1"/>
  <c r="AF297" i="23" s="1"/>
  <c r="AI177" i="23"/>
  <c r="AH177" i="23" s="1"/>
  <c r="AG177" i="23" s="1"/>
  <c r="AF177" i="23" s="1"/>
  <c r="AI251" i="23"/>
  <c r="AH251" i="23" s="1"/>
  <c r="AG251" i="23" s="1"/>
  <c r="AF251" i="23" s="1"/>
  <c r="AI107" i="23"/>
  <c r="AH107" i="23" s="1"/>
  <c r="AG107" i="23" s="1"/>
  <c r="AF107" i="23" s="1"/>
  <c r="AI273" i="23"/>
  <c r="AH273" i="23" s="1"/>
  <c r="AG273" i="23" s="1"/>
  <c r="AF273" i="23" s="1"/>
  <c r="AI356" i="23"/>
  <c r="AH356" i="23" s="1"/>
  <c r="AG356" i="23" s="1"/>
  <c r="AF356" i="23" s="1"/>
  <c r="AI243" i="23"/>
  <c r="AH243" i="23" s="1"/>
  <c r="AG243" i="23" s="1"/>
  <c r="AF243" i="23" s="1"/>
  <c r="AI104" i="23"/>
  <c r="AH104" i="23" s="1"/>
  <c r="AG104" i="23" s="1"/>
  <c r="AF104" i="23" s="1"/>
  <c r="AI244" i="23"/>
  <c r="AH244" i="23" s="1"/>
  <c r="AG244" i="23" s="1"/>
  <c r="AF244" i="23" s="1"/>
  <c r="AI167" i="23"/>
  <c r="AH167" i="23" s="1"/>
  <c r="AG167" i="23" s="1"/>
  <c r="AF167" i="23" s="1"/>
  <c r="AI121" i="23"/>
  <c r="AH121" i="23" s="1"/>
  <c r="AG121" i="23" s="1"/>
  <c r="AF121" i="23" s="1"/>
  <c r="AI367" i="23"/>
  <c r="AH367" i="23" s="1"/>
  <c r="AG367" i="23" s="1"/>
  <c r="AF367" i="23" s="1"/>
  <c r="AI127" i="23"/>
  <c r="AH127" i="23" s="1"/>
  <c r="AG127" i="23" s="1"/>
  <c r="AF127" i="23" s="1"/>
  <c r="AI139" i="23"/>
  <c r="AH139" i="23" s="1"/>
  <c r="AG139" i="23" s="1"/>
  <c r="AF139" i="23" s="1"/>
  <c r="AI211" i="23"/>
  <c r="AH211" i="23" s="1"/>
  <c r="AG211" i="23" s="1"/>
  <c r="AF211" i="23" s="1"/>
  <c r="AI150" i="23"/>
  <c r="AH150" i="23" s="1"/>
  <c r="AG150" i="23" s="1"/>
  <c r="AF150" i="23" s="1"/>
  <c r="AI209" i="23"/>
  <c r="AH209" i="23" s="1"/>
  <c r="AG209" i="23" s="1"/>
  <c r="AF209" i="23" s="1"/>
  <c r="AI133" i="23"/>
  <c r="AH133" i="23" s="1"/>
  <c r="AG133" i="23" s="1"/>
  <c r="AF133" i="23" s="1"/>
  <c r="AI119" i="23"/>
  <c r="AH119" i="23" s="1"/>
  <c r="AG119" i="23" s="1"/>
  <c r="AF119" i="23" s="1"/>
  <c r="AI283" i="23"/>
  <c r="AH283" i="23" s="1"/>
  <c r="AG283" i="23" s="1"/>
  <c r="AF283" i="23" s="1"/>
  <c r="AI292" i="23"/>
  <c r="AH292" i="23" s="1"/>
  <c r="AG292" i="23" s="1"/>
  <c r="AF292" i="23" s="1"/>
  <c r="AI306" i="23"/>
  <c r="AH306" i="23" s="1"/>
  <c r="AG306" i="23" s="1"/>
  <c r="AF306" i="23" s="1"/>
  <c r="AI162" i="23"/>
  <c r="AH162" i="23" s="1"/>
  <c r="AG162" i="23" s="1"/>
  <c r="AF162" i="23" s="1"/>
  <c r="AI351" i="23"/>
  <c r="AH351" i="23" s="1"/>
  <c r="AG351" i="23" s="1"/>
  <c r="AF351" i="23" s="1"/>
  <c r="AI185" i="23"/>
  <c r="AH185" i="23" s="1"/>
  <c r="AG185" i="23" s="1"/>
  <c r="AF185" i="23" s="1"/>
  <c r="AI289" i="23"/>
  <c r="AH289" i="23" s="1"/>
  <c r="AG289" i="23" s="1"/>
  <c r="AF289" i="23" s="1"/>
  <c r="AI255" i="23"/>
  <c r="AH255" i="23" s="1"/>
  <c r="AG255" i="23" s="1"/>
  <c r="AF255" i="23" s="1"/>
  <c r="AI240" i="23"/>
  <c r="AH240" i="23" s="1"/>
  <c r="AG240" i="23" s="1"/>
  <c r="AF240" i="23" s="1"/>
  <c r="AI135" i="23"/>
  <c r="AH135" i="23" s="1"/>
  <c r="AG135" i="23" s="1"/>
  <c r="AF135" i="23" s="1"/>
  <c r="AI148" i="23"/>
  <c r="AH148" i="23" s="1"/>
  <c r="AG148" i="23" s="1"/>
  <c r="AF148" i="23" s="1"/>
  <c r="AI216" i="23"/>
  <c r="AH216" i="23" s="1"/>
  <c r="AG216" i="23" s="1"/>
  <c r="AF216" i="23" s="1"/>
  <c r="AI265" i="23"/>
  <c r="AH265" i="23" s="1"/>
  <c r="AG265" i="23" s="1"/>
  <c r="AF265" i="23" s="1"/>
  <c r="AI369" i="23"/>
  <c r="AH369" i="23" s="1"/>
  <c r="AG369" i="23" s="1"/>
  <c r="AF369" i="23" s="1"/>
  <c r="AI136" i="23"/>
  <c r="AH136" i="23" s="1"/>
  <c r="AG136" i="23" s="1"/>
  <c r="AI337" i="23"/>
  <c r="AH337" i="23" s="1"/>
  <c r="AG337" i="23" s="1"/>
  <c r="AF337" i="23" s="1"/>
  <c r="AI262" i="23"/>
  <c r="AH262" i="23" s="1"/>
  <c r="AG262" i="23" s="1"/>
  <c r="AF262" i="23" s="1"/>
  <c r="AI180" i="23"/>
  <c r="AH180" i="23" s="1"/>
  <c r="AG180" i="23" s="1"/>
  <c r="AF180" i="23" s="1"/>
  <c r="AI324" i="23"/>
  <c r="AH324" i="23" s="1"/>
  <c r="AG324" i="23" s="1"/>
  <c r="AF324" i="23" s="1"/>
  <c r="AI223" i="23"/>
  <c r="AH223" i="23" s="1"/>
  <c r="AG223" i="23" s="1"/>
  <c r="AF223" i="23" s="1"/>
  <c r="AI379" i="23"/>
  <c r="AH379" i="23" s="1"/>
  <c r="AI264" i="23"/>
  <c r="AH264" i="23" s="1"/>
  <c r="AG264" i="23" s="1"/>
  <c r="AF264" i="23" s="1"/>
  <c r="AI260" i="23"/>
  <c r="AH260" i="23" s="1"/>
  <c r="AG260" i="23" s="1"/>
  <c r="AF260" i="23" s="1"/>
  <c r="AI129" i="23"/>
  <c r="AH129" i="23" s="1"/>
  <c r="AG129" i="23" s="1"/>
  <c r="AF129" i="23" s="1"/>
  <c r="AI374" i="23"/>
  <c r="AH374" i="23" s="1"/>
  <c r="AG374" i="23" s="1"/>
  <c r="AF374" i="23" s="1"/>
  <c r="AI234" i="23"/>
  <c r="AH234" i="23" s="1"/>
  <c r="AG234" i="23" s="1"/>
  <c r="AF234" i="23" s="1"/>
  <c r="AI357" i="23"/>
  <c r="AH357" i="23" s="1"/>
  <c r="AG357" i="23" s="1"/>
  <c r="AF357" i="23" s="1"/>
  <c r="AI222" i="23"/>
  <c r="AH222" i="23" s="1"/>
  <c r="AG222" i="23" s="1"/>
  <c r="AF222" i="23" s="1"/>
  <c r="AI171" i="23"/>
  <c r="AH171" i="23" s="1"/>
  <c r="AG171" i="23" s="1"/>
  <c r="AF171" i="23" s="1"/>
  <c r="AI280" i="23"/>
  <c r="AH280" i="23" s="1"/>
  <c r="AG280" i="23" s="1"/>
  <c r="AF280" i="23" s="1"/>
  <c r="AI362" i="23"/>
  <c r="AH362" i="23" s="1"/>
  <c r="AG362" i="23" s="1"/>
  <c r="AF362" i="23" s="1"/>
  <c r="AI132" i="23"/>
  <c r="AH132" i="23" s="1"/>
  <c r="AG132" i="23" s="1"/>
  <c r="AF132" i="23" s="1"/>
  <c r="AI293" i="23"/>
  <c r="AH293" i="23" s="1"/>
  <c r="AG293" i="23" s="1"/>
  <c r="AF293" i="23" s="1"/>
  <c r="AI330" i="23"/>
  <c r="AH330" i="23" s="1"/>
  <c r="AG330" i="23" s="1"/>
  <c r="AF330" i="23" s="1"/>
  <c r="AI215" i="23"/>
  <c r="AH215" i="23" s="1"/>
  <c r="AI336" i="23"/>
  <c r="AH336" i="23" s="1"/>
  <c r="AG336" i="23" s="1"/>
  <c r="AF336" i="23" s="1"/>
  <c r="AI309" i="23"/>
  <c r="AH309" i="23" s="1"/>
  <c r="AG309" i="23" s="1"/>
  <c r="AF309" i="23" s="1"/>
  <c r="AI300" i="23"/>
  <c r="AH300" i="23" s="1"/>
  <c r="AG300" i="23" s="1"/>
  <c r="AF300" i="23" s="1"/>
  <c r="AI235" i="23"/>
  <c r="AH235" i="23" s="1"/>
  <c r="AG235" i="23" s="1"/>
  <c r="AF235" i="23" s="1"/>
  <c r="AI128" i="23"/>
  <c r="AH128" i="23" s="1"/>
  <c r="AG128" i="23" s="1"/>
  <c r="AF128" i="23" s="1"/>
  <c r="AI319" i="23"/>
  <c r="AH319" i="23" s="1"/>
  <c r="AG319" i="23" s="1"/>
  <c r="AF319" i="23" s="1"/>
  <c r="AI116" i="23"/>
  <c r="AH116" i="23" s="1"/>
  <c r="AG116" i="23" s="1"/>
  <c r="AF116" i="23" s="1"/>
  <c r="AI299" i="23"/>
  <c r="AH299" i="23" s="1"/>
  <c r="AG299" i="23" s="1"/>
  <c r="AF299" i="23" s="1"/>
  <c r="AI345" i="23"/>
  <c r="AH345" i="23" s="1"/>
  <c r="AG345" i="23" s="1"/>
  <c r="AF345" i="23" s="1"/>
  <c r="AI352" i="23"/>
  <c r="AH352" i="23" s="1"/>
  <c r="AG352" i="23" s="1"/>
  <c r="AF352" i="23" s="1"/>
  <c r="AI320" i="23"/>
  <c r="AH320" i="23" s="1"/>
  <c r="AI178" i="23"/>
  <c r="AH178" i="23" s="1"/>
  <c r="AG178" i="23" s="1"/>
  <c r="AF178" i="23" s="1"/>
  <c r="AI285" i="23"/>
  <c r="AH285" i="23" s="1"/>
  <c r="AG285" i="23" s="1"/>
  <c r="AF285" i="23" s="1"/>
  <c r="AI172" i="23"/>
  <c r="AH172" i="23" s="1"/>
  <c r="AG172" i="23" s="1"/>
  <c r="AF172" i="23" s="1"/>
  <c r="AI335" i="23"/>
  <c r="AH335" i="23" s="1"/>
  <c r="AG335" i="23" s="1"/>
  <c r="AF335" i="23" s="1"/>
  <c r="AI196" i="23"/>
  <c r="AH196" i="23" s="1"/>
  <c r="AG196" i="23" s="1"/>
  <c r="AF196" i="23" s="1"/>
  <c r="AI220" i="23"/>
  <c r="AH220" i="23" s="1"/>
  <c r="AG220" i="23" s="1"/>
  <c r="AF220" i="23" s="1"/>
  <c r="AI207" i="23"/>
  <c r="AH207" i="23" s="1"/>
  <c r="AG207" i="23" s="1"/>
  <c r="AF207" i="23" s="1"/>
  <c r="AI110" i="23"/>
  <c r="AH110" i="23" s="1"/>
  <c r="AG110" i="23" s="1"/>
  <c r="AF110" i="23" s="1"/>
  <c r="AI274" i="23"/>
  <c r="AH274" i="23" s="1"/>
  <c r="AG274" i="23" s="1"/>
  <c r="AF274" i="23" s="1"/>
  <c r="AI290" i="23"/>
  <c r="AH290" i="23" s="1"/>
  <c r="AG290" i="23" s="1"/>
  <c r="AF290" i="23" s="1"/>
  <c r="AI213" i="23"/>
  <c r="AH213" i="23" s="1"/>
  <c r="AI183" i="23"/>
  <c r="AH183" i="23" s="1"/>
  <c r="AG183" i="23" s="1"/>
  <c r="AF183" i="23" s="1"/>
  <c r="AI247" i="23"/>
  <c r="AH247" i="23" s="1"/>
  <c r="AG247" i="23" s="1"/>
  <c r="AF247" i="23" s="1"/>
  <c r="AI161" i="23"/>
  <c r="AH161" i="23" s="1"/>
  <c r="AG161" i="23" s="1"/>
  <c r="AF161" i="23" s="1"/>
  <c r="AI377" i="23"/>
  <c r="AH377" i="23" s="1"/>
  <c r="AG377" i="23" s="1"/>
  <c r="AF377" i="23" s="1"/>
  <c r="AI147" i="23"/>
  <c r="AH147" i="23" s="1"/>
  <c r="AG147" i="23" s="1"/>
  <c r="AF147" i="23" s="1"/>
  <c r="AI275" i="23"/>
  <c r="AH275" i="23" s="1"/>
  <c r="AG275" i="23" s="1"/>
  <c r="AF275" i="23" s="1"/>
  <c r="AI205" i="23"/>
  <c r="AH205" i="23" s="1"/>
  <c r="AG205" i="23" s="1"/>
  <c r="AF205" i="23" s="1"/>
  <c r="AI192" i="23"/>
  <c r="AH192" i="23" s="1"/>
  <c r="AG192" i="23" s="1"/>
  <c r="AF192" i="23" s="1"/>
  <c r="AI248" i="23"/>
  <c r="AH248" i="23" s="1"/>
  <c r="AG248" i="23" s="1"/>
  <c r="AF248" i="23" s="1"/>
  <c r="AI208" i="23"/>
  <c r="AH208" i="23" s="1"/>
  <c r="AG208" i="23" s="1"/>
  <c r="AF208" i="23" s="1"/>
  <c r="AI157" i="23"/>
  <c r="AH157" i="23" s="1"/>
  <c r="AG157" i="23" s="1"/>
  <c r="AF157" i="23" s="1"/>
  <c r="AI193" i="23"/>
  <c r="AH193" i="23" s="1"/>
  <c r="AG193" i="23" s="1"/>
  <c r="AF193" i="23" s="1"/>
  <c r="AI227" i="23"/>
  <c r="AH227" i="23" s="1"/>
  <c r="AG227" i="23" s="1"/>
  <c r="AF227" i="23" s="1"/>
  <c r="AI169" i="23"/>
  <c r="AH169" i="23" s="1"/>
  <c r="AG169" i="23" s="1"/>
  <c r="AF169" i="23" s="1"/>
  <c r="AI214" i="23"/>
  <c r="AH214" i="23" s="1"/>
  <c r="AI206" i="23"/>
  <c r="AH206" i="23" s="1"/>
  <c r="AG206" i="23" s="1"/>
  <c r="AF206" i="23" s="1"/>
  <c r="AI109" i="23"/>
  <c r="AH109" i="23" s="1"/>
  <c r="AG109" i="23" s="1"/>
  <c r="AF109" i="23" s="1"/>
  <c r="AI326" i="23"/>
  <c r="AH326" i="23" s="1"/>
  <c r="AG326" i="23" s="1"/>
  <c r="AF326" i="23" s="1"/>
  <c r="AI368" i="23"/>
  <c r="AH368" i="23" s="1"/>
  <c r="AG368" i="23" s="1"/>
  <c r="AF368" i="23" s="1"/>
  <c r="AI174" i="23"/>
  <c r="AH174" i="23" s="1"/>
  <c r="AG174" i="23" s="1"/>
  <c r="AF174" i="23" s="1"/>
  <c r="AI269" i="23"/>
  <c r="AH269" i="23" s="1"/>
  <c r="AG269" i="23" s="1"/>
  <c r="AF269" i="23" s="1"/>
  <c r="AI358" i="23"/>
  <c r="AH358" i="23" s="1"/>
  <c r="AG358" i="23" s="1"/>
  <c r="AF358" i="23" s="1"/>
  <c r="AI302" i="23"/>
  <c r="AH302" i="23" s="1"/>
  <c r="AG302" i="23" s="1"/>
  <c r="AF302" i="23" s="1"/>
  <c r="AI301" i="23"/>
  <c r="AH301" i="23" s="1"/>
  <c r="AG301" i="23" s="1"/>
  <c r="AF301" i="23" s="1"/>
  <c r="AI295" i="23"/>
  <c r="AH295" i="23" s="1"/>
  <c r="AG295" i="23" s="1"/>
  <c r="AF295" i="23" s="1"/>
  <c r="AI312" i="23"/>
  <c r="AH312" i="23" s="1"/>
  <c r="AG312" i="23" s="1"/>
  <c r="AF312" i="23" s="1"/>
  <c r="AI194" i="23"/>
  <c r="AH194" i="23" s="1"/>
  <c r="AG194" i="23" s="1"/>
  <c r="AF194" i="23" s="1"/>
  <c r="AI140" i="23"/>
  <c r="AH140" i="23" s="1"/>
  <c r="AG140" i="23" s="1"/>
  <c r="AF140" i="23" s="1"/>
  <c r="AI294" i="23"/>
  <c r="AH294" i="23" s="1"/>
  <c r="AG294" i="23" s="1"/>
  <c r="AF294" i="23" s="1"/>
  <c r="AI189" i="23"/>
  <c r="AH189" i="23" s="1"/>
  <c r="AG189" i="23" s="1"/>
  <c r="AF189" i="23" s="1"/>
  <c r="AI179" i="23"/>
  <c r="AH179" i="23" s="1"/>
  <c r="AG179" i="23" s="1"/>
  <c r="AF179" i="23" s="1"/>
  <c r="AI250" i="23"/>
  <c r="AH250" i="23" s="1"/>
  <c r="AG250" i="23" s="1"/>
  <c r="AF250" i="23" s="1"/>
  <c r="AI200" i="23"/>
  <c r="AH200" i="23" s="1"/>
  <c r="AG200" i="23" s="1"/>
  <c r="AF200" i="23" s="1"/>
  <c r="AI184" i="23"/>
  <c r="AH184" i="23" s="1"/>
  <c r="AG184" i="23" s="1"/>
  <c r="AF184" i="23" s="1"/>
  <c r="AI187" i="23"/>
  <c r="AH187" i="23" s="1"/>
  <c r="AG187" i="23" s="1"/>
  <c r="AF187" i="23" s="1"/>
  <c r="AI261" i="23"/>
  <c r="AH261" i="23" s="1"/>
  <c r="AG261" i="23" s="1"/>
  <c r="AF261" i="23" s="1"/>
  <c r="AI117" i="23"/>
  <c r="AH117" i="23" s="1"/>
  <c r="AG117" i="23" s="1"/>
  <c r="AF117" i="23" s="1"/>
  <c r="AI186" i="23"/>
  <c r="AH186" i="23" s="1"/>
  <c r="AG186" i="23" s="1"/>
  <c r="AF186" i="23" s="1"/>
  <c r="AI231" i="23"/>
  <c r="AH231" i="23" s="1"/>
  <c r="AG231" i="23" s="1"/>
  <c r="AF231" i="23" s="1"/>
  <c r="AI236" i="23"/>
  <c r="AH236" i="23" s="1"/>
  <c r="AG236" i="23" s="1"/>
  <c r="AF236" i="23" s="1"/>
  <c r="AI241" i="23"/>
  <c r="AH241" i="23" s="1"/>
  <c r="AG241" i="23" s="1"/>
  <c r="AF241" i="23" s="1"/>
  <c r="AI329" i="23"/>
  <c r="AH329" i="23" s="1"/>
  <c r="AG329" i="23" s="1"/>
  <c r="AF329" i="23" s="1"/>
  <c r="AI188" i="23"/>
  <c r="AH188" i="23" s="1"/>
  <c r="AG188" i="23" s="1"/>
  <c r="AF188" i="23" s="1"/>
  <c r="AI288" i="23"/>
  <c r="AH288" i="23" s="1"/>
  <c r="AG288" i="23" s="1"/>
  <c r="AF288" i="23" s="1"/>
  <c r="AI182" i="23"/>
  <c r="AH182" i="23" s="1"/>
  <c r="AG182" i="23" s="1"/>
  <c r="AF182" i="23" s="1"/>
  <c r="AI321" i="23"/>
  <c r="AH321" i="23" s="1"/>
  <c r="AG321" i="23" s="1"/>
  <c r="AF321" i="23" s="1"/>
  <c r="AI163" i="23"/>
  <c r="AH163" i="23" s="1"/>
  <c r="AG163" i="23" s="1"/>
  <c r="AF163" i="23" s="1"/>
  <c r="AI164" i="23"/>
  <c r="AH164" i="23" s="1"/>
  <c r="AG164" i="23" s="1"/>
  <c r="AF164" i="23" s="1"/>
  <c r="AI219" i="23"/>
  <c r="AH219" i="23" s="1"/>
  <c r="AG219" i="23" s="1"/>
  <c r="AF219" i="23" s="1"/>
  <c r="AI143" i="23"/>
  <c r="AH143" i="23" s="1"/>
  <c r="AG143" i="23" s="1"/>
  <c r="AF143" i="23" s="1"/>
  <c r="AI348" i="23"/>
  <c r="AH348" i="23" s="1"/>
  <c r="AG348" i="23" s="1"/>
  <c r="AF348" i="23" s="1"/>
  <c r="AI115" i="23"/>
  <c r="AH115" i="23" s="1"/>
  <c r="AG115" i="23" s="1"/>
  <c r="AF115" i="23" s="1"/>
  <c r="AI341" i="23"/>
  <c r="AH341" i="23" s="1"/>
  <c r="AG341" i="23" s="1"/>
  <c r="AF341" i="23" s="1"/>
  <c r="AI333" i="23"/>
  <c r="AH333" i="23" s="1"/>
  <c r="AG333" i="23" s="1"/>
  <c r="AF333" i="23" s="1"/>
  <c r="AI202" i="23"/>
  <c r="AH202" i="23" s="1"/>
  <c r="AG202" i="23" s="1"/>
  <c r="AF202" i="23" s="1"/>
  <c r="AI304" i="23"/>
  <c r="AH304" i="23" s="1"/>
  <c r="AG304" i="23" s="1"/>
  <c r="AF304" i="23" s="1"/>
  <c r="AI279" i="23"/>
  <c r="AH279" i="23" s="1"/>
  <c r="AG279" i="23" s="1"/>
  <c r="AF279" i="23" s="1"/>
  <c r="AI130" i="23"/>
  <c r="AH130" i="23" s="1"/>
  <c r="AG130" i="23" s="1"/>
  <c r="AF130" i="23" s="1"/>
  <c r="AI111" i="23"/>
  <c r="AH111" i="23" s="1"/>
  <c r="AG111" i="23" s="1"/>
  <c r="AF111" i="23" s="1"/>
  <c r="AI137" i="23"/>
  <c r="AH137" i="23" s="1"/>
  <c r="AG137" i="23" s="1"/>
  <c r="AF137" i="23" s="1"/>
  <c r="AI376" i="23"/>
  <c r="AH376" i="23" s="1"/>
  <c r="AG376" i="23" s="1"/>
  <c r="AF376" i="23" s="1"/>
  <c r="AI349" i="23"/>
  <c r="AH349" i="23" s="1"/>
  <c r="AG349" i="23" s="1"/>
  <c r="AF349" i="23" s="1"/>
  <c r="AI332" i="23"/>
  <c r="AH332" i="23" s="1"/>
  <c r="AG332" i="23" s="1"/>
  <c r="AF332" i="23" s="1"/>
  <c r="AI366" i="23"/>
  <c r="AH366" i="23" s="1"/>
  <c r="AG366" i="23" s="1"/>
  <c r="AF366" i="23" s="1"/>
  <c r="AI339" i="23"/>
  <c r="AH339" i="23" s="1"/>
  <c r="AG339" i="23" s="1"/>
  <c r="AF339" i="23" s="1"/>
  <c r="AI359" i="23"/>
  <c r="AH359" i="23" s="1"/>
  <c r="AG359" i="23" s="1"/>
  <c r="AF359" i="23" s="1"/>
  <c r="AI325" i="23"/>
  <c r="AH325" i="23" s="1"/>
  <c r="AG325" i="23" s="1"/>
  <c r="AF325" i="23" s="1"/>
  <c r="AI331" i="23"/>
  <c r="AH331" i="23" s="1"/>
  <c r="AG331" i="23" s="1"/>
  <c r="AF331" i="23" s="1"/>
  <c r="AI268" i="23"/>
  <c r="AH268" i="23" s="1"/>
  <c r="AG268" i="23" s="1"/>
  <c r="AF268" i="23" s="1"/>
  <c r="AI181" i="23"/>
  <c r="AH181" i="23" s="1"/>
  <c r="AG181" i="23" s="1"/>
  <c r="AF181" i="23" s="1"/>
  <c r="AI278" i="23"/>
  <c r="AH278" i="23" s="1"/>
  <c r="AG278" i="23" s="1"/>
  <c r="AF278" i="23" s="1"/>
  <c r="AI323" i="23"/>
  <c r="AH323" i="23" s="1"/>
  <c r="AG323" i="23" s="1"/>
  <c r="AF323" i="23" s="1"/>
  <c r="AI197" i="23"/>
  <c r="AH197" i="23" s="1"/>
  <c r="AG197" i="23" s="1"/>
  <c r="AF197" i="23" s="1"/>
  <c r="AI123" i="23"/>
  <c r="AH123" i="23" s="1"/>
  <c r="AG123" i="23" s="1"/>
  <c r="AF123" i="23" s="1"/>
  <c r="AI270" i="23"/>
  <c r="AH270" i="23" s="1"/>
  <c r="AG270" i="23" s="1"/>
  <c r="AF270" i="23" s="1"/>
  <c r="AI263" i="23"/>
  <c r="AH263" i="23" s="1"/>
  <c r="AG263" i="23" s="1"/>
  <c r="AF263" i="23" s="1"/>
  <c r="AI276" i="23"/>
  <c r="AH276" i="23" s="1"/>
  <c r="AG276" i="23" s="1"/>
  <c r="AF276" i="23" s="1"/>
  <c r="AI342" i="23"/>
  <c r="AH342" i="23" s="1"/>
  <c r="AG342" i="23" s="1"/>
  <c r="AF342" i="23" s="1"/>
  <c r="AI218" i="23"/>
  <c r="AH218" i="23" s="1"/>
  <c r="AG218" i="23" s="1"/>
  <c r="AF218" i="23" s="1"/>
  <c r="AI316" i="23"/>
  <c r="AH316" i="23" s="1"/>
  <c r="AG316" i="23" s="1"/>
  <c r="AF316" i="23" s="1"/>
  <c r="AI151" i="23"/>
  <c r="AH151" i="23" s="1"/>
  <c r="AG151" i="23" s="1"/>
  <c r="AF151" i="23" s="1"/>
  <c r="AI257" i="23"/>
  <c r="AH257" i="23" s="1"/>
  <c r="AG257" i="23" s="1"/>
  <c r="AF257" i="23" s="1"/>
  <c r="AI364" i="23"/>
  <c r="AH364" i="23" s="1"/>
  <c r="AG364" i="23" s="1"/>
  <c r="AF364" i="23" s="1"/>
  <c r="AI259" i="23"/>
  <c r="AH259" i="23" s="1"/>
  <c r="AG259" i="23" s="1"/>
  <c r="AF259" i="23" s="1"/>
  <c r="AI217" i="23"/>
  <c r="AH217" i="23" s="1"/>
  <c r="AG217" i="23" s="1"/>
  <c r="AF217" i="23" s="1"/>
  <c r="AI360" i="23"/>
  <c r="AH360" i="23" s="1"/>
  <c r="AG360" i="23" s="1"/>
  <c r="AF360" i="23" s="1"/>
  <c r="AI245" i="23"/>
  <c r="AH245" i="23" s="1"/>
  <c r="AG245" i="23" s="1"/>
  <c r="AF245" i="23" s="1"/>
  <c r="AI246" i="23"/>
  <c r="AH246" i="23" s="1"/>
  <c r="AG246" i="23" s="1"/>
  <c r="AF246" i="23" s="1"/>
  <c r="AI303" i="23"/>
  <c r="AH303" i="23" s="1"/>
  <c r="AG303" i="23" s="1"/>
  <c r="AF303" i="23" s="1"/>
  <c r="AI375" i="23"/>
  <c r="AH375" i="23" s="1"/>
  <c r="AG375" i="23" s="1"/>
  <c r="AF375" i="23" s="1"/>
  <c r="AI305" i="23"/>
  <c r="AH305" i="23" s="1"/>
  <c r="AG305" i="23" s="1"/>
  <c r="AF305" i="23" s="1"/>
  <c r="AI308" i="23"/>
  <c r="AH308" i="23" s="1"/>
  <c r="AG308" i="23" s="1"/>
  <c r="AF308" i="23" s="1"/>
  <c r="AI113" i="23"/>
  <c r="AH113" i="23" s="1"/>
  <c r="AG113" i="23" s="1"/>
  <c r="AF113" i="23" s="1"/>
  <c r="AI317" i="23"/>
  <c r="AH317" i="23" s="1"/>
  <c r="AG317" i="23" s="1"/>
  <c r="AF317" i="23" s="1"/>
  <c r="AI344" i="23"/>
  <c r="AH344" i="23" s="1"/>
  <c r="AG344" i="23" s="1"/>
  <c r="AF344" i="23" s="1"/>
  <c r="AI271" i="23"/>
  <c r="AH271" i="23" s="1"/>
  <c r="AG271" i="23" s="1"/>
  <c r="AF271" i="23" s="1"/>
  <c r="AI106" i="23"/>
  <c r="AH106" i="23" s="1"/>
  <c r="AG106" i="23" s="1"/>
  <c r="AF106" i="23" s="1"/>
  <c r="AI230" i="23"/>
  <c r="AH230" i="23" s="1"/>
  <c r="AG230" i="23" s="1"/>
  <c r="AF230" i="23" s="1"/>
  <c r="AI124" i="23"/>
  <c r="AH124" i="23" s="1"/>
  <c r="AG124" i="23" s="1"/>
  <c r="AF124" i="23" s="1"/>
  <c r="AI168" i="23"/>
  <c r="AH168" i="23" s="1"/>
  <c r="AG168" i="23" s="1"/>
  <c r="AF168" i="23" s="1"/>
  <c r="AI142" i="23"/>
  <c r="AH142" i="23" s="1"/>
  <c r="AG142" i="23" s="1"/>
  <c r="AF142" i="23" s="1"/>
  <c r="AI141" i="23"/>
  <c r="AH141" i="23" s="1"/>
  <c r="AG141" i="23" s="1"/>
  <c r="AF141" i="23" s="1"/>
  <c r="AI158" i="23"/>
  <c r="AH158" i="23" s="1"/>
  <c r="AG158" i="23" s="1"/>
  <c r="AF158" i="23" s="1"/>
  <c r="AI155" i="23"/>
  <c r="AH155" i="23" s="1"/>
  <c r="AG155" i="23" s="1"/>
  <c r="AF155" i="23" s="1"/>
  <c r="AI173" i="23"/>
  <c r="AH173" i="23" s="1"/>
  <c r="AG173" i="23" s="1"/>
  <c r="AF173" i="23" s="1"/>
  <c r="AI176" i="23"/>
  <c r="AH176" i="23" s="1"/>
  <c r="AG176" i="23" s="1"/>
  <c r="AF176" i="23" s="1"/>
  <c r="AI191" i="23"/>
  <c r="AH191" i="23" s="1"/>
  <c r="AG191" i="23" s="1"/>
  <c r="AF191" i="23" s="1"/>
  <c r="AI190" i="23"/>
  <c r="AH190" i="23" s="1"/>
  <c r="AG190" i="23" s="1"/>
  <c r="AF190" i="23" s="1"/>
  <c r="AI146" i="23"/>
  <c r="AH146" i="23" s="1"/>
  <c r="AG146" i="23" s="1"/>
  <c r="AF146" i="23" s="1"/>
  <c r="AI355" i="23"/>
  <c r="AH355" i="23" s="1"/>
  <c r="AG355" i="23" s="1"/>
  <c r="AF355" i="23" s="1"/>
  <c r="AI371" i="23"/>
  <c r="AH371" i="23" s="1"/>
  <c r="AG371" i="23" s="1"/>
  <c r="AF371" i="23" s="1"/>
  <c r="AI372" i="23"/>
  <c r="AH372" i="23" s="1"/>
  <c r="AG372" i="23" s="1"/>
  <c r="AF372" i="23" s="1"/>
  <c r="AI122" i="23"/>
  <c r="AH122" i="23" s="1"/>
  <c r="AG122" i="23" s="1"/>
  <c r="AF122" i="23" s="1"/>
  <c r="AI221" i="23"/>
  <c r="AH221" i="23" s="1"/>
  <c r="AG221" i="23" s="1"/>
  <c r="AF221" i="23" s="1"/>
  <c r="AI286" i="23"/>
  <c r="AH286" i="23" s="1"/>
  <c r="AG286" i="23" s="1"/>
  <c r="AF286" i="23" s="1"/>
  <c r="AI131" i="23"/>
  <c r="AH131" i="23" s="1"/>
  <c r="AG131" i="23" s="1"/>
  <c r="AF131" i="23" s="1"/>
  <c r="AI126" i="23"/>
  <c r="AH126" i="23" s="1"/>
  <c r="AG126" i="23" s="1"/>
  <c r="AF126" i="23" s="1"/>
  <c r="AI153" i="23"/>
  <c r="AH153" i="23" s="1"/>
  <c r="AG153" i="23" s="1"/>
  <c r="AF153" i="23" s="1"/>
  <c r="AI154" i="23"/>
  <c r="AH154" i="23" s="1"/>
  <c r="AG154" i="23" s="1"/>
  <c r="AF154" i="23" s="1"/>
  <c r="AI125" i="23"/>
  <c r="AH125" i="23" s="1"/>
  <c r="AG125" i="23" s="1"/>
  <c r="AF125" i="23" s="1"/>
  <c r="AI195" i="23"/>
  <c r="AH195" i="23" s="1"/>
  <c r="AG195" i="23" s="1"/>
  <c r="AF195" i="23" s="1"/>
  <c r="AI318" i="23"/>
  <c r="AH318" i="23" s="1"/>
  <c r="AG318" i="23" s="1"/>
  <c r="AF318" i="23" s="1"/>
  <c r="AI204" i="23"/>
  <c r="AH204" i="23" s="1"/>
  <c r="AG204" i="23" s="1"/>
  <c r="AF204" i="23" s="1"/>
  <c r="AI203" i="23"/>
  <c r="AH203" i="23" s="1"/>
  <c r="AG203" i="23" s="1"/>
  <c r="AF203" i="23" s="1"/>
  <c r="AI378" i="23"/>
  <c r="AH378" i="23" s="1"/>
  <c r="AG378" i="23" s="1"/>
  <c r="AF378" i="23" s="1"/>
  <c r="AI256" i="23"/>
  <c r="AH256" i="23" s="1"/>
  <c r="AG256" i="23" s="1"/>
  <c r="AF256" i="23" s="1"/>
  <c r="AI296" i="23"/>
  <c r="AH296" i="23" s="1"/>
  <c r="AG296" i="23" s="1"/>
  <c r="AF296" i="23" s="1"/>
  <c r="AI120" i="23"/>
  <c r="AH120" i="23" s="1"/>
  <c r="AG120" i="23" s="1"/>
  <c r="AF120" i="23" s="1"/>
  <c r="AI347" i="23"/>
  <c r="AH347" i="23" s="1"/>
  <c r="AG347" i="23" s="1"/>
  <c r="AF347" i="23" s="1"/>
  <c r="AI224" i="23"/>
  <c r="AH224" i="23" s="1"/>
  <c r="AG224" i="23" s="1"/>
  <c r="AF224" i="23" s="1"/>
  <c r="AI199" i="23"/>
  <c r="AH199" i="23" s="1"/>
  <c r="AG199" i="23" s="1"/>
  <c r="AF199" i="23" s="1"/>
  <c r="AI311" i="23"/>
  <c r="AH311" i="23" s="1"/>
  <c r="AG311" i="23" s="1"/>
  <c r="AF311" i="23" s="1"/>
  <c r="AI105" i="23"/>
  <c r="AH105" i="23" s="1"/>
  <c r="AG105" i="23" s="1"/>
  <c r="AF105" i="23" s="1"/>
  <c r="AI254" i="23"/>
  <c r="AH254" i="23" s="1"/>
  <c r="AG254" i="23" s="1"/>
  <c r="AF254" i="23" s="1"/>
  <c r="AI282" i="23"/>
  <c r="AH282" i="23" s="1"/>
  <c r="AG282" i="23" s="1"/>
  <c r="AF282" i="23" s="1"/>
  <c r="AI170" i="23"/>
  <c r="AH170" i="23" s="1"/>
  <c r="AG170" i="23" s="1"/>
  <c r="AF170" i="23" s="1"/>
  <c r="AI310" i="23"/>
  <c r="AH310" i="23" s="1"/>
  <c r="AG310" i="23" s="1"/>
  <c r="AF310" i="23" s="1"/>
  <c r="AI353" i="23"/>
  <c r="AH353" i="23" s="1"/>
  <c r="AG353" i="23" s="1"/>
  <c r="AF353" i="23" s="1"/>
  <c r="AI284" i="23"/>
  <c r="AH284" i="23" s="1"/>
  <c r="AG284" i="23" s="1"/>
  <c r="AF284" i="23" s="1"/>
  <c r="AI334" i="23"/>
  <c r="AH334" i="23" s="1"/>
  <c r="AG334" i="23" s="1"/>
  <c r="AF334" i="23" s="1"/>
  <c r="AI267" i="23"/>
  <c r="AH267" i="23" s="1"/>
  <c r="AG267" i="23" s="1"/>
  <c r="AF267" i="23" s="1"/>
  <c r="J95" i="22"/>
  <c r="J229" i="22"/>
  <c r="I229" i="22"/>
  <c r="J63" i="22"/>
  <c r="J90" i="22"/>
  <c r="G123" i="22"/>
  <c r="CC123" i="6" s="1"/>
  <c r="AA260" i="22"/>
  <c r="Z260" i="22" s="1"/>
  <c r="Y260" i="22" s="1"/>
  <c r="J25" i="22"/>
  <c r="H189" i="22"/>
  <c r="I189" i="22" s="1"/>
  <c r="H247" i="22"/>
  <c r="I247" i="22" s="1"/>
  <c r="H198" i="22"/>
  <c r="J198" i="22" s="1"/>
  <c r="AA115" i="22"/>
  <c r="Z115" i="22" s="1"/>
  <c r="Y115" i="22" s="1"/>
  <c r="G270" i="22"/>
  <c r="CC270" i="6" s="1"/>
  <c r="H270" i="22"/>
  <c r="J270" i="22" s="1"/>
  <c r="G167" i="22"/>
  <c r="CC167" i="6" s="1"/>
  <c r="G338" i="22"/>
  <c r="CC338" i="6" s="1"/>
  <c r="I101" i="22"/>
  <c r="H88" i="22"/>
  <c r="J88" i="22" s="1"/>
  <c r="I310" i="22"/>
  <c r="G101" i="22"/>
  <c r="CC101" i="6" s="1"/>
  <c r="J44" i="22"/>
  <c r="H322" i="22"/>
  <c r="I322" i="22" s="1"/>
  <c r="G288" i="22"/>
  <c r="CC288" i="6" s="1"/>
  <c r="J331" i="22"/>
  <c r="J225" i="22"/>
  <c r="AA206" i="22"/>
  <c r="Z206" i="22" s="1"/>
  <c r="Y206" i="22" s="1"/>
  <c r="AA104" i="22"/>
  <c r="Z104" i="22" s="1"/>
  <c r="Y104" i="22" s="1"/>
  <c r="AA322" i="22"/>
  <c r="Z322" i="22" s="1"/>
  <c r="Y322" i="22" s="1"/>
  <c r="G206" i="22"/>
  <c r="CC206" i="6" s="1"/>
  <c r="AA101" i="22"/>
  <c r="Z101" i="22" s="1"/>
  <c r="Y101" i="22" s="1"/>
  <c r="H167" i="22"/>
  <c r="J167" i="22" s="1"/>
  <c r="H139" i="22"/>
  <c r="J139" i="22" s="1"/>
  <c r="H115" i="22"/>
  <c r="I115" i="22" s="1"/>
  <c r="H129" i="22"/>
  <c r="J129" i="22" s="1"/>
  <c r="J226" i="22"/>
  <c r="I254" i="22"/>
  <c r="I368" i="22"/>
  <c r="G16" i="22"/>
  <c r="CC16" i="6" s="1"/>
  <c r="G260" i="22"/>
  <c r="CC260" i="6" s="1"/>
  <c r="H146" i="22"/>
  <c r="J146" i="22" s="1"/>
  <c r="G67" i="19"/>
  <c r="G146" i="22"/>
  <c r="CC146" i="6" s="1"/>
  <c r="J188" i="22"/>
  <c r="H16" i="22"/>
  <c r="J16" i="22" s="1"/>
  <c r="J354" i="22"/>
  <c r="J26" i="22"/>
  <c r="G165" i="22"/>
  <c r="CC165" i="6" s="1"/>
  <c r="H239" i="22"/>
  <c r="I239" i="22" s="1"/>
  <c r="H324" i="22"/>
  <c r="I324" i="22" s="1"/>
  <c r="H212" i="22"/>
  <c r="J212" i="22" s="1"/>
  <c r="J294" i="22"/>
  <c r="D180" i="22"/>
  <c r="E180" i="22" s="1"/>
  <c r="F180" i="22" s="1"/>
  <c r="AA180" i="22" s="1"/>
  <c r="Z180" i="22" s="1"/>
  <c r="Y180" i="22" s="1"/>
  <c r="H165" i="22"/>
  <c r="J165" i="22" s="1"/>
  <c r="AA288" i="22"/>
  <c r="Z288" i="22" s="1"/>
  <c r="Y288" i="22" s="1"/>
  <c r="J213" i="22"/>
  <c r="AA88" i="22"/>
  <c r="Z88" i="22" s="1"/>
  <c r="Y88" i="22" s="1"/>
  <c r="I39" i="22"/>
  <c r="J249" i="22"/>
  <c r="G347" i="22"/>
  <c r="CC347" i="6" s="1"/>
  <c r="H41" i="22"/>
  <c r="J41" i="22" s="1"/>
  <c r="G33" i="22"/>
  <c r="CC33" i="6" s="1"/>
  <c r="H312" i="22"/>
  <c r="I312" i="22" s="1"/>
  <c r="AA107" i="22"/>
  <c r="Z107" i="22" s="1"/>
  <c r="Y107" i="22" s="1"/>
  <c r="AA320" i="22"/>
  <c r="Z320" i="22" s="1"/>
  <c r="Y320" i="22" s="1"/>
  <c r="G107" i="22"/>
  <c r="CC107" i="6" s="1"/>
  <c r="AA140" i="22"/>
  <c r="Z140" i="22" s="1"/>
  <c r="Y140" i="22" s="1"/>
  <c r="G125" i="22"/>
  <c r="CC125" i="6" s="1"/>
  <c r="H320" i="22"/>
  <c r="I320" i="22" s="1"/>
  <c r="D272" i="22"/>
  <c r="E272" i="22" s="1"/>
  <c r="F272" i="22" s="1"/>
  <c r="G272" i="22" s="1"/>
  <c r="CC272" i="6" s="1"/>
  <c r="H27" i="22"/>
  <c r="J27" i="22" s="1"/>
  <c r="G329" i="22"/>
  <c r="CC329" i="6" s="1"/>
  <c r="G245" i="22"/>
  <c r="CC245" i="6" s="1"/>
  <c r="H245" i="22"/>
  <c r="I245" i="22" s="1"/>
  <c r="H347" i="22"/>
  <c r="I347" i="22" s="1"/>
  <c r="AA33" i="22"/>
  <c r="Z33" i="22" s="1"/>
  <c r="Y33" i="22" s="1"/>
  <c r="G312" i="22"/>
  <c r="CC312" i="6" s="1"/>
  <c r="H104" i="22"/>
  <c r="J104" i="22" s="1"/>
  <c r="G139" i="22"/>
  <c r="CC139" i="6" s="1"/>
  <c r="G27" i="22"/>
  <c r="CC27" i="6" s="1"/>
  <c r="H329" i="22"/>
  <c r="I329" i="22" s="1"/>
  <c r="G129" i="22"/>
  <c r="CC129" i="6" s="1"/>
  <c r="H203" i="22"/>
  <c r="J203" i="22" s="1"/>
  <c r="G212" i="22"/>
  <c r="CC212" i="6" s="1"/>
  <c r="G113" i="22"/>
  <c r="CC113" i="6" s="1"/>
  <c r="J221" i="22"/>
  <c r="J322" i="22"/>
  <c r="I346" i="22"/>
  <c r="J330" i="22"/>
  <c r="AA187" i="22"/>
  <c r="Z187" i="22" s="1"/>
  <c r="Y187" i="22" s="1"/>
  <c r="AA239" i="22"/>
  <c r="Z239" i="22" s="1"/>
  <c r="Y239" i="22" s="1"/>
  <c r="G273" i="22"/>
  <c r="CC273" i="6" s="1"/>
  <c r="G203" i="22"/>
  <c r="CC203" i="6" s="1"/>
  <c r="AA330" i="22"/>
  <c r="Z330" i="22" s="1"/>
  <c r="Y330" i="22" s="1"/>
  <c r="H338" i="22"/>
  <c r="J338" i="22" s="1"/>
  <c r="H113" i="22"/>
  <c r="I113" i="22" s="1"/>
  <c r="H273" i="22"/>
  <c r="J273" i="22" s="1"/>
  <c r="J145" i="22"/>
  <c r="AA198" i="22"/>
  <c r="Z198" i="22" s="1"/>
  <c r="Y198" i="22" s="1"/>
  <c r="G41" i="22"/>
  <c r="CC41" i="6" s="1"/>
  <c r="AA350" i="22"/>
  <c r="Z350" i="22" s="1"/>
  <c r="Y350" i="22" s="1"/>
  <c r="AA213" i="22"/>
  <c r="Z213" i="22" s="1"/>
  <c r="Y213" i="22" s="1"/>
  <c r="H140" i="22"/>
  <c r="J140" i="22" s="1"/>
  <c r="G213" i="22"/>
  <c r="CC213" i="6" s="1"/>
  <c r="H350" i="22"/>
  <c r="J350" i="22" s="1"/>
  <c r="H125" i="22"/>
  <c r="J125" i="22" s="1"/>
  <c r="G274" i="22"/>
  <c r="CC274" i="6" s="1"/>
  <c r="H274" i="22"/>
  <c r="J274" i="22" s="1"/>
  <c r="J67" i="19"/>
  <c r="I33" i="22"/>
  <c r="I177" i="22"/>
  <c r="J260" i="22"/>
  <c r="J109" i="22"/>
  <c r="J223" i="22"/>
  <c r="I234" i="22"/>
  <c r="J314" i="22"/>
  <c r="G60" i="22"/>
  <c r="CC60" i="6" s="1"/>
  <c r="I335" i="22"/>
  <c r="I231" i="22"/>
  <c r="G154" i="22"/>
  <c r="CC154" i="6" s="1"/>
  <c r="G330" i="22"/>
  <c r="CC330" i="6" s="1"/>
  <c r="H154" i="22"/>
  <c r="AA324" i="22"/>
  <c r="Z324" i="22" s="1"/>
  <c r="Y324" i="22" s="1"/>
  <c r="H187" i="22"/>
  <c r="Q47" i="23"/>
  <c r="P47" i="23" s="1"/>
  <c r="V47" i="23" s="1"/>
  <c r="B47" i="23" s="1"/>
  <c r="I206" i="22"/>
  <c r="J107" i="22"/>
  <c r="J215" i="22"/>
  <c r="I205" i="22"/>
  <c r="I35" i="22"/>
  <c r="I69" i="22"/>
  <c r="J81" i="22"/>
  <c r="I44" i="22"/>
  <c r="J337" i="22"/>
  <c r="P317" i="23"/>
  <c r="V317" i="23" s="1"/>
  <c r="B317" i="23" s="1"/>
  <c r="W317" i="23" s="1"/>
  <c r="AE11" i="23"/>
  <c r="AE263" i="23" s="1"/>
  <c r="AD263" i="23" s="1"/>
  <c r="AE60" i="23"/>
  <c r="AD60" i="23" s="1"/>
  <c r="AE34" i="23"/>
  <c r="AD34" i="23" s="1"/>
  <c r="Q72" i="23"/>
  <c r="P72" i="23" s="1"/>
  <c r="V72" i="23" s="1"/>
  <c r="B72" i="23" s="1"/>
  <c r="Q179" i="23"/>
  <c r="P179" i="23" s="1"/>
  <c r="V179" i="23" s="1"/>
  <c r="B179" i="23" s="1"/>
  <c r="Q266" i="23"/>
  <c r="P266" i="23" s="1"/>
  <c r="V266" i="23" s="1"/>
  <c r="B266" i="23" s="1"/>
  <c r="Q289" i="23"/>
  <c r="P289" i="23" s="1"/>
  <c r="V289" i="23" s="1"/>
  <c r="B289" i="23" s="1"/>
  <c r="Q82" i="23"/>
  <c r="P82" i="23" s="1"/>
  <c r="V82" i="23" s="1"/>
  <c r="B82" i="23" s="1"/>
  <c r="AE25" i="23"/>
  <c r="AD25" i="23" s="1"/>
  <c r="Q318" i="23"/>
  <c r="P318" i="23" s="1"/>
  <c r="V318" i="23" s="1"/>
  <c r="B318" i="23" s="1"/>
  <c r="AE19" i="23"/>
  <c r="AD19" i="23" s="1"/>
  <c r="Q77" i="23"/>
  <c r="P77" i="23" s="1"/>
  <c r="V77" i="23" s="1"/>
  <c r="B77" i="23" s="1"/>
  <c r="Q73" i="23"/>
  <c r="P73" i="23" s="1"/>
  <c r="V73" i="23" s="1"/>
  <c r="B73" i="23" s="1"/>
  <c r="Q323" i="23"/>
  <c r="P323" i="23" s="1"/>
  <c r="V323" i="23" s="1"/>
  <c r="B323" i="23" s="1"/>
  <c r="AE50" i="23"/>
  <c r="AD50" i="23" s="1"/>
  <c r="Q281" i="23"/>
  <c r="P281" i="23" s="1"/>
  <c r="V281" i="23" s="1"/>
  <c r="B281" i="23" s="1"/>
  <c r="Q37" i="23"/>
  <c r="P37" i="23" s="1"/>
  <c r="V37" i="23" s="1"/>
  <c r="B37" i="23" s="1"/>
  <c r="Q107" i="23"/>
  <c r="P107" i="23" s="1"/>
  <c r="V107" i="23" s="1"/>
  <c r="B107" i="23" s="1"/>
  <c r="AE56" i="23"/>
  <c r="AD56" i="23" s="1"/>
  <c r="Q99" i="23"/>
  <c r="P99" i="23" s="1"/>
  <c r="V99" i="23" s="1"/>
  <c r="B99" i="23" s="1"/>
  <c r="Q225" i="23"/>
  <c r="P225" i="23" s="1"/>
  <c r="V225" i="23" s="1"/>
  <c r="B225" i="23" s="1"/>
  <c r="Q301" i="23"/>
  <c r="P301" i="23" s="1"/>
  <c r="V301" i="23" s="1"/>
  <c r="B301" i="23" s="1"/>
  <c r="Q34" i="23"/>
  <c r="P34" i="23" s="1"/>
  <c r="V34" i="23" s="1"/>
  <c r="B34" i="23" s="1"/>
  <c r="Q165" i="23"/>
  <c r="P165" i="23" s="1"/>
  <c r="V165" i="23" s="1"/>
  <c r="B165" i="23" s="1"/>
  <c r="Q326" i="23"/>
  <c r="P326" i="23" s="1"/>
  <c r="V326" i="23" s="1"/>
  <c r="B326" i="23" s="1"/>
  <c r="Q248" i="23"/>
  <c r="P248" i="23" s="1"/>
  <c r="V248" i="23" s="1"/>
  <c r="B248" i="23" s="1"/>
  <c r="Q341" i="23"/>
  <c r="P341" i="23" s="1"/>
  <c r="V341" i="23" s="1"/>
  <c r="B341" i="23" s="1"/>
  <c r="Q314" i="23"/>
  <c r="P314" i="23" s="1"/>
  <c r="V314" i="23" s="1"/>
  <c r="B314" i="23" s="1"/>
  <c r="AE86" i="23"/>
  <c r="AD86" i="23" s="1"/>
  <c r="AE68" i="23"/>
  <c r="AD68" i="23" s="1"/>
  <c r="AE55" i="23"/>
  <c r="AD55" i="23" s="1"/>
  <c r="Q151" i="23"/>
  <c r="P151" i="23" s="1"/>
  <c r="V151" i="23" s="1"/>
  <c r="B151" i="23" s="1"/>
  <c r="Q154" i="23"/>
  <c r="P154" i="23" s="1"/>
  <c r="V154" i="23" s="1"/>
  <c r="B154" i="23" s="1"/>
  <c r="Q227" i="23"/>
  <c r="P227" i="23" s="1"/>
  <c r="V227" i="23" s="1"/>
  <c r="B227" i="23" s="1"/>
  <c r="Q355" i="23"/>
  <c r="P355" i="23" s="1"/>
  <c r="V355" i="23" s="1"/>
  <c r="B355" i="23" s="1"/>
  <c r="AE78" i="23"/>
  <c r="AD78" i="23" s="1"/>
  <c r="AE46" i="23"/>
  <c r="AD46" i="23" s="1"/>
  <c r="AE23" i="23"/>
  <c r="AD23" i="23" s="1"/>
  <c r="AE80" i="23"/>
  <c r="AD80" i="23" s="1"/>
  <c r="Q180" i="23"/>
  <c r="P180" i="23" s="1"/>
  <c r="Q350" i="23"/>
  <c r="P350" i="23" s="1"/>
  <c r="V350" i="23" s="1"/>
  <c r="B350" i="23" s="1"/>
  <c r="Q131" i="23"/>
  <c r="P131" i="23" s="1"/>
  <c r="V131" i="23" s="1"/>
  <c r="B131" i="23" s="1"/>
  <c r="Q25" i="23"/>
  <c r="P25" i="23" s="1"/>
  <c r="V25" i="23" s="1"/>
  <c r="B25" i="23" s="1"/>
  <c r="Q153" i="23"/>
  <c r="P153" i="23" s="1"/>
  <c r="V153" i="23" s="1"/>
  <c r="B153" i="23" s="1"/>
  <c r="Q22" i="23"/>
  <c r="P22" i="23" s="1"/>
  <c r="V22" i="23" s="1"/>
  <c r="B22" i="23" s="1"/>
  <c r="Q70" i="23"/>
  <c r="P70" i="23" s="1"/>
  <c r="V70" i="23" s="1"/>
  <c r="B70" i="23" s="1"/>
  <c r="Q221" i="23"/>
  <c r="P221" i="23" s="1"/>
  <c r="V221" i="23" s="1"/>
  <c r="B221" i="23" s="1"/>
  <c r="Q364" i="23"/>
  <c r="P364" i="23" s="1"/>
  <c r="V364" i="23" s="1"/>
  <c r="B364" i="23" s="1"/>
  <c r="Q374" i="23"/>
  <c r="P374" i="23" s="1"/>
  <c r="V374" i="23" s="1"/>
  <c r="B374" i="23" s="1"/>
  <c r="Q275" i="23"/>
  <c r="P275" i="23" s="1"/>
  <c r="V275" i="23" s="1"/>
  <c r="B275" i="23" s="1"/>
  <c r="Q113" i="23"/>
  <c r="P113" i="23" s="1"/>
  <c r="V113" i="23" s="1"/>
  <c r="B113" i="23" s="1"/>
  <c r="Q130" i="23"/>
  <c r="P130" i="23" s="1"/>
  <c r="V130" i="23" s="1"/>
  <c r="B130" i="23" s="1"/>
  <c r="Q192" i="23"/>
  <c r="P192" i="23" s="1"/>
  <c r="V192" i="23" s="1"/>
  <c r="B192" i="23" s="1"/>
  <c r="Q290" i="23"/>
  <c r="P290" i="23" s="1"/>
  <c r="V290" i="23" s="1"/>
  <c r="B290" i="23" s="1"/>
  <c r="Q76" i="23"/>
  <c r="P76" i="23" s="1"/>
  <c r="V76" i="23" s="1"/>
  <c r="B76" i="23" s="1"/>
  <c r="Q156" i="23"/>
  <c r="P156" i="23" s="1"/>
  <c r="V156" i="23" s="1"/>
  <c r="B156" i="23" s="1"/>
  <c r="AE313" i="23"/>
  <c r="AD313" i="23" s="1"/>
  <c r="AE250" i="23"/>
  <c r="AD250" i="23" s="1"/>
  <c r="AE362" i="23"/>
  <c r="AD362" i="23" s="1"/>
  <c r="Q64" i="23"/>
  <c r="P64" i="23" s="1"/>
  <c r="V64" i="23" s="1"/>
  <c r="B64" i="23" s="1"/>
  <c r="Q104" i="23"/>
  <c r="P104" i="23" s="1"/>
  <c r="V104" i="23" s="1"/>
  <c r="B104" i="23" s="1"/>
  <c r="Q243" i="23"/>
  <c r="P243" i="23" s="1"/>
  <c r="V243" i="23" s="1"/>
  <c r="B243" i="23" s="1"/>
  <c r="Q100" i="23"/>
  <c r="P100" i="23" s="1"/>
  <c r="V100" i="23" s="1"/>
  <c r="B100" i="23" s="1"/>
  <c r="Q57" i="23"/>
  <c r="P57" i="23" s="1"/>
  <c r="V57" i="23" s="1"/>
  <c r="B57" i="23" s="1"/>
  <c r="Q259" i="23"/>
  <c r="P259" i="23" s="1"/>
  <c r="V259" i="23" s="1"/>
  <c r="B259" i="23" s="1"/>
  <c r="Q120" i="23"/>
  <c r="P120" i="23" s="1"/>
  <c r="V120" i="23" s="1"/>
  <c r="B120" i="23" s="1"/>
  <c r="Q369" i="23"/>
  <c r="P369" i="23" s="1"/>
  <c r="V369" i="23" s="1"/>
  <c r="B369" i="23" s="1"/>
  <c r="Q158" i="23"/>
  <c r="P158" i="23" s="1"/>
  <c r="V158" i="23" s="1"/>
  <c r="B158" i="23" s="1"/>
  <c r="Q268" i="23"/>
  <c r="P268" i="23" s="1"/>
  <c r="V268" i="23" s="1"/>
  <c r="B268" i="23" s="1"/>
  <c r="Q128" i="23"/>
  <c r="P128" i="23" s="1"/>
  <c r="V128" i="23" s="1"/>
  <c r="B128" i="23" s="1"/>
  <c r="Q228" i="23"/>
  <c r="P228" i="23" s="1"/>
  <c r="V228" i="23" s="1"/>
  <c r="B228" i="23" s="1"/>
  <c r="Q292" i="23"/>
  <c r="P292" i="23" s="1"/>
  <c r="V292" i="23" s="1"/>
  <c r="B292" i="23" s="1"/>
  <c r="Q140" i="23"/>
  <c r="P140" i="23" s="1"/>
  <c r="V140" i="23" s="1"/>
  <c r="B140" i="23" s="1"/>
  <c r="Q335" i="23"/>
  <c r="P335" i="23" s="1"/>
  <c r="V335" i="23" s="1"/>
  <c r="B335" i="23" s="1"/>
  <c r="Q32" i="23"/>
  <c r="P32" i="23" s="1"/>
  <c r="V32" i="23" s="1"/>
  <c r="B32" i="23" s="1"/>
  <c r="Q274" i="23"/>
  <c r="P274" i="23" s="1"/>
  <c r="V274" i="23" s="1"/>
  <c r="B274" i="23" s="1"/>
  <c r="Q63" i="23"/>
  <c r="P63" i="23" s="1"/>
  <c r="V63" i="23" s="1"/>
  <c r="B63" i="23" s="1"/>
  <c r="Q24" i="23"/>
  <c r="P24" i="23" s="1"/>
  <c r="V24" i="23" s="1"/>
  <c r="B24" i="23" s="1"/>
  <c r="Q285" i="23"/>
  <c r="P285" i="23" s="1"/>
  <c r="V285" i="23" s="1"/>
  <c r="B285" i="23" s="1"/>
  <c r="Q86" i="23"/>
  <c r="P86" i="23" s="1"/>
  <c r="V86" i="23" s="1"/>
  <c r="B86" i="23" s="1"/>
  <c r="Q237" i="23"/>
  <c r="P237" i="23" s="1"/>
  <c r="V237" i="23" s="1"/>
  <c r="B237" i="23" s="1"/>
  <c r="Q114" i="23"/>
  <c r="P114" i="23" s="1"/>
  <c r="V114" i="23" s="1"/>
  <c r="B114" i="23" s="1"/>
  <c r="Q257" i="23"/>
  <c r="P257" i="23" s="1"/>
  <c r="V257" i="23" s="1"/>
  <c r="B257" i="23" s="1"/>
  <c r="Q137" i="23"/>
  <c r="P137" i="23" s="1"/>
  <c r="V137" i="23" s="1"/>
  <c r="B137" i="23" s="1"/>
  <c r="Q359" i="23"/>
  <c r="P359" i="23" s="1"/>
  <c r="V359" i="23" s="1"/>
  <c r="B359" i="23" s="1"/>
  <c r="Q134" i="23"/>
  <c r="P134" i="23" s="1"/>
  <c r="V134" i="23" s="1"/>
  <c r="B134" i="23" s="1"/>
  <c r="Q125" i="23"/>
  <c r="P125" i="23" s="1"/>
  <c r="V125" i="23" s="1"/>
  <c r="B125" i="23" s="1"/>
  <c r="Q339" i="23"/>
  <c r="P339" i="23" s="1"/>
  <c r="V339" i="23" s="1"/>
  <c r="B339" i="23" s="1"/>
  <c r="Q222" i="23"/>
  <c r="P222" i="23" s="1"/>
  <c r="V222" i="23" s="1"/>
  <c r="B222" i="23" s="1"/>
  <c r="Q98" i="23"/>
  <c r="P98" i="23" s="1"/>
  <c r="V98" i="23" s="1"/>
  <c r="B98" i="23" s="1"/>
  <c r="Q258" i="23"/>
  <c r="P258" i="23" s="1"/>
  <c r="V258" i="23" s="1"/>
  <c r="B258" i="23" s="1"/>
  <c r="Q142" i="23"/>
  <c r="P142" i="23" s="1"/>
  <c r="V142" i="23" s="1"/>
  <c r="B142" i="23" s="1"/>
  <c r="Q129" i="23"/>
  <c r="P129" i="23" s="1"/>
  <c r="V129" i="23" s="1"/>
  <c r="B129" i="23" s="1"/>
  <c r="Q319" i="23"/>
  <c r="P319" i="23" s="1"/>
  <c r="V319" i="23" s="1"/>
  <c r="B319" i="23" s="1"/>
  <c r="AE194" i="23"/>
  <c r="AE89" i="23"/>
  <c r="AD89" i="23" s="1"/>
  <c r="AE59" i="23"/>
  <c r="AD59" i="23" s="1"/>
  <c r="AE20" i="23"/>
  <c r="AD20" i="23" s="1"/>
  <c r="AE99" i="23"/>
  <c r="AD99" i="23" s="1"/>
  <c r="AE44" i="23"/>
  <c r="AD44" i="23" s="1"/>
  <c r="AE49" i="23"/>
  <c r="AD49" i="23" s="1"/>
  <c r="Q191" i="23"/>
  <c r="P191" i="23" s="1"/>
  <c r="V191" i="23" s="1"/>
  <c r="B191" i="23" s="1"/>
  <c r="Q378" i="23"/>
  <c r="P378" i="23" s="1"/>
  <c r="V378" i="23" s="1"/>
  <c r="B378" i="23" s="1"/>
  <c r="Q87" i="23"/>
  <c r="P87" i="23" s="1"/>
  <c r="V87" i="23" s="1"/>
  <c r="B87" i="23" s="1"/>
  <c r="Q231" i="23"/>
  <c r="P231" i="23" s="1"/>
  <c r="V231" i="23" s="1"/>
  <c r="B231" i="23" s="1"/>
  <c r="Q155" i="23"/>
  <c r="P155" i="23" s="1"/>
  <c r="V155" i="23" s="1"/>
  <c r="B155" i="23" s="1"/>
  <c r="Q96" i="23"/>
  <c r="P96" i="23" s="1"/>
  <c r="V96" i="23" s="1"/>
  <c r="B96" i="23" s="1"/>
  <c r="Q145" i="23"/>
  <c r="P145" i="23" s="1"/>
  <c r="V145" i="23" s="1"/>
  <c r="B145" i="23" s="1"/>
  <c r="Q337" i="23"/>
  <c r="P337" i="23" s="1"/>
  <c r="V337" i="23" s="1"/>
  <c r="B337" i="23" s="1"/>
  <c r="AE37" i="23"/>
  <c r="AD37" i="23" s="1"/>
  <c r="AE66" i="23"/>
  <c r="AD66" i="23" s="1"/>
  <c r="AE39" i="23"/>
  <c r="AD39" i="23" s="1"/>
  <c r="AE58" i="23"/>
  <c r="AD58" i="23" s="1"/>
  <c r="AE349" i="23"/>
  <c r="AD349" i="23" s="1"/>
  <c r="Q196" i="23"/>
  <c r="P196" i="23" s="1"/>
  <c r="V196" i="23" s="1"/>
  <c r="B196" i="23" s="1"/>
  <c r="D196" i="23" s="1"/>
  <c r="E196" i="23" s="1"/>
  <c r="F196" i="23" s="1"/>
  <c r="Q26" i="23"/>
  <c r="P26" i="23" s="1"/>
  <c r="V26" i="23" s="1"/>
  <c r="B26" i="23" s="1"/>
  <c r="Q171" i="23"/>
  <c r="P171" i="23" s="1"/>
  <c r="V171" i="23" s="1"/>
  <c r="B171" i="23" s="1"/>
  <c r="Q50" i="23"/>
  <c r="P50" i="23" s="1"/>
  <c r="V50" i="23" s="1"/>
  <c r="B50" i="23" s="1"/>
  <c r="Q308" i="23"/>
  <c r="P308" i="23" s="1"/>
  <c r="V308" i="23" s="1"/>
  <c r="B308" i="23" s="1"/>
  <c r="W308" i="23" s="1"/>
  <c r="Q20" i="23"/>
  <c r="P20" i="23" s="1"/>
  <c r="V20" i="23" s="1"/>
  <c r="Q17" i="23"/>
  <c r="P17" i="23" s="1"/>
  <c r="V17" i="23" s="1"/>
  <c r="B17" i="23" s="1"/>
  <c r="D17" i="23" s="1"/>
  <c r="E17" i="23" s="1"/>
  <c r="F17" i="23" s="1"/>
  <c r="G17" i="23" s="1"/>
  <c r="CD17" i="6" s="1"/>
  <c r="Q211" i="23"/>
  <c r="P211" i="23" s="1"/>
  <c r="V211" i="23" s="1"/>
  <c r="B211" i="23" s="1"/>
  <c r="Q170" i="23"/>
  <c r="P170" i="23" s="1"/>
  <c r="V170" i="23" s="1"/>
  <c r="B170" i="23" s="1"/>
  <c r="D170" i="23" s="1"/>
  <c r="E170" i="23" s="1"/>
  <c r="F170" i="23" s="1"/>
  <c r="G170" i="23" s="1"/>
  <c r="CD170" i="6" s="1"/>
  <c r="Q320" i="23"/>
  <c r="P320" i="23" s="1"/>
  <c r="V320" i="23" s="1"/>
  <c r="B320" i="23" s="1"/>
  <c r="Q58" i="23"/>
  <c r="P58" i="23" s="1"/>
  <c r="V58" i="23" s="1"/>
  <c r="B58" i="23" s="1"/>
  <c r="Q147" i="23"/>
  <c r="Q68" i="23"/>
  <c r="P68" i="23" s="1"/>
  <c r="V68" i="23" s="1"/>
  <c r="B68" i="23" s="1"/>
  <c r="Q347" i="23"/>
  <c r="Q311" i="23"/>
  <c r="P311" i="23" s="1"/>
  <c r="V311" i="23" s="1"/>
  <c r="B311" i="23" s="1"/>
  <c r="W311" i="23" s="1"/>
  <c r="Q234" i="23"/>
  <c r="P234" i="23" s="1"/>
  <c r="V234" i="23" s="1"/>
  <c r="B234" i="23" s="1"/>
  <c r="W234" i="23" s="1"/>
  <c r="Q204" i="23"/>
  <c r="P204" i="23" s="1"/>
  <c r="V204" i="23" s="1"/>
  <c r="B204" i="23" s="1"/>
  <c r="D204" i="23" s="1"/>
  <c r="E204" i="23" s="1"/>
  <c r="F204" i="23" s="1"/>
  <c r="Q288" i="23"/>
  <c r="P288" i="23" s="1"/>
  <c r="V288" i="23" s="1"/>
  <c r="B288" i="23" s="1"/>
  <c r="Q42" i="23"/>
  <c r="Q19" i="23"/>
  <c r="P19" i="23" s="1"/>
  <c r="V19" i="23" s="1"/>
  <c r="B19" i="23" s="1"/>
  <c r="Q108" i="23"/>
  <c r="P108" i="23" s="1"/>
  <c r="V108" i="23" s="1"/>
  <c r="B108" i="23" s="1"/>
  <c r="D108" i="23" s="1"/>
  <c r="E108" i="23" s="1"/>
  <c r="F108" i="23" s="1"/>
  <c r="G108" i="23" s="1"/>
  <c r="CD108" i="6" s="1"/>
  <c r="Q181" i="23"/>
  <c r="P181" i="23" s="1"/>
  <c r="V181" i="23" s="1"/>
  <c r="B181" i="23" s="1"/>
  <c r="D181" i="23" s="1"/>
  <c r="E181" i="23" s="1"/>
  <c r="F181" i="23" s="1"/>
  <c r="H181" i="23" s="1"/>
  <c r="Q224" i="23"/>
  <c r="P224" i="23" s="1"/>
  <c r="V224" i="23" s="1"/>
  <c r="B224" i="23" s="1"/>
  <c r="Q235" i="23"/>
  <c r="P235" i="23" s="1"/>
  <c r="V235" i="23" s="1"/>
  <c r="B235" i="23" s="1"/>
  <c r="W235" i="23" s="1"/>
  <c r="Q174" i="23"/>
  <c r="P174" i="23" s="1"/>
  <c r="V174" i="23" s="1"/>
  <c r="B174" i="23" s="1"/>
  <c r="D174" i="23" s="1"/>
  <c r="E174" i="23" s="1"/>
  <c r="F174" i="23" s="1"/>
  <c r="H174" i="23" s="1"/>
  <c r="Q343" i="23"/>
  <c r="Q241" i="23"/>
  <c r="P241" i="23" s="1"/>
  <c r="Q377" i="23"/>
  <c r="P377" i="23" s="1"/>
  <c r="V377" i="23" s="1"/>
  <c r="B377" i="23" s="1"/>
  <c r="W377" i="23" s="1"/>
  <c r="Q74" i="23"/>
  <c r="P74" i="23" s="1"/>
  <c r="V74" i="23" s="1"/>
  <c r="B74" i="23" s="1"/>
  <c r="D74" i="23" s="1"/>
  <c r="E74" i="23" s="1"/>
  <c r="F74" i="23" s="1"/>
  <c r="G74" i="23" s="1"/>
  <c r="CD74" i="6" s="1"/>
  <c r="Q35" i="23"/>
  <c r="P35" i="23" s="1"/>
  <c r="V35" i="23" s="1"/>
  <c r="B35" i="23" s="1"/>
  <c r="Q166" i="23"/>
  <c r="P166" i="23" s="1"/>
  <c r="V166" i="23" s="1"/>
  <c r="B166" i="23" s="1"/>
  <c r="Q29" i="23"/>
  <c r="P29" i="23" s="1"/>
  <c r="AH44" i="7" s="1"/>
  <c r="Q48" i="23"/>
  <c r="P48" i="23" s="1"/>
  <c r="V48" i="23" s="1"/>
  <c r="B48" i="23" s="1"/>
  <c r="Q357" i="23"/>
  <c r="P357" i="23" s="1"/>
  <c r="V357" i="23" s="1"/>
  <c r="B357" i="23" s="1"/>
  <c r="Q305" i="23"/>
  <c r="P305" i="23" s="1"/>
  <c r="V305" i="23" s="1"/>
  <c r="B305" i="23" s="1"/>
  <c r="W305" i="23" s="1"/>
  <c r="Q132" i="23"/>
  <c r="P132" i="23" s="1"/>
  <c r="V132" i="23" s="1"/>
  <c r="B132" i="23" s="1"/>
  <c r="Q372" i="23"/>
  <c r="P372" i="23" s="1"/>
  <c r="V372" i="23" s="1"/>
  <c r="B372" i="23" s="1"/>
  <c r="W372" i="23" s="1"/>
  <c r="Q168" i="23"/>
  <c r="P168" i="23" s="1"/>
  <c r="V168" i="23" s="1"/>
  <c r="B168" i="23" s="1"/>
  <c r="Q270" i="23"/>
  <c r="P270" i="23" s="1"/>
  <c r="V270" i="23" s="1"/>
  <c r="B270" i="23" s="1"/>
  <c r="Q279" i="23"/>
  <c r="P279" i="23" s="1"/>
  <c r="V279" i="23" s="1"/>
  <c r="B279" i="23" s="1"/>
  <c r="Q264" i="23"/>
  <c r="P264" i="23" s="1"/>
  <c r="V264" i="23" s="1"/>
  <c r="B264" i="23" s="1"/>
  <c r="Q249" i="23"/>
  <c r="P249" i="23" s="1"/>
  <c r="V249" i="23" s="1"/>
  <c r="B249" i="23" s="1"/>
  <c r="Q327" i="23"/>
  <c r="P327" i="23" s="1"/>
  <c r="V327" i="23" s="1"/>
  <c r="B327" i="23" s="1"/>
  <c r="Q121" i="23"/>
  <c r="P121" i="23" s="1"/>
  <c r="V121" i="23" s="1"/>
  <c r="B121" i="23" s="1"/>
  <c r="Q79" i="23"/>
  <c r="P79" i="23" s="1"/>
  <c r="V79" i="23" s="1"/>
  <c r="B79" i="23" s="1"/>
  <c r="Q286" i="23"/>
  <c r="P286" i="23" s="1"/>
  <c r="V286" i="23" s="1"/>
  <c r="B286" i="23" s="1"/>
  <c r="D286" i="23" s="1"/>
  <c r="E286" i="23" s="1"/>
  <c r="F286" i="23" s="1"/>
  <c r="G286" i="23" s="1"/>
  <c r="CD286" i="6" s="1"/>
  <c r="Q213" i="23"/>
  <c r="P213" i="23" s="1"/>
  <c r="V213" i="23" s="1"/>
  <c r="B213" i="23" s="1"/>
  <c r="Q118" i="23"/>
  <c r="P118" i="23" s="1"/>
  <c r="V118" i="23" s="1"/>
  <c r="B118" i="23" s="1"/>
  <c r="W118" i="23" s="1"/>
  <c r="Q216" i="23"/>
  <c r="Q187" i="23"/>
  <c r="P187" i="23" s="1"/>
  <c r="V187" i="23" s="1"/>
  <c r="B187" i="23" s="1"/>
  <c r="Q360" i="23"/>
  <c r="P360" i="23" s="1"/>
  <c r="V360" i="23" s="1"/>
  <c r="B360" i="23" s="1"/>
  <c r="Q160" i="23"/>
  <c r="P160" i="23" s="1"/>
  <c r="V160" i="23" s="1"/>
  <c r="B160" i="23" s="1"/>
  <c r="D160" i="23" s="1"/>
  <c r="E160" i="23" s="1"/>
  <c r="F160" i="23" s="1"/>
  <c r="G160" i="23" s="1"/>
  <c r="CD160" i="6" s="1"/>
  <c r="Q115" i="23"/>
  <c r="P115" i="23" s="1"/>
  <c r="V115" i="23" s="1"/>
  <c r="B115" i="23" s="1"/>
  <c r="W115" i="23" s="1"/>
  <c r="Q348" i="23"/>
  <c r="P348" i="23" s="1"/>
  <c r="V348" i="23" s="1"/>
  <c r="B348" i="23" s="1"/>
  <c r="Q49" i="23"/>
  <c r="Q322" i="23"/>
  <c r="P322" i="23" s="1"/>
  <c r="V322" i="23" s="1"/>
  <c r="B322" i="23" s="1"/>
  <c r="Q230" i="23"/>
  <c r="P230" i="23" s="1"/>
  <c r="V230" i="23" s="1"/>
  <c r="B230" i="23" s="1"/>
  <c r="W230" i="23" s="1"/>
  <c r="Q60" i="23"/>
  <c r="Q61" i="23"/>
  <c r="P61" i="23" s="1"/>
  <c r="V61" i="23" s="1"/>
  <c r="B61" i="23" s="1"/>
  <c r="D61" i="23" s="1"/>
  <c r="E61" i="23" s="1"/>
  <c r="F61" i="23" s="1"/>
  <c r="H61" i="23" s="1"/>
  <c r="Q283" i="23"/>
  <c r="P283" i="23" s="1"/>
  <c r="V283" i="23" s="1"/>
  <c r="B283" i="23" s="1"/>
  <c r="Q313" i="23"/>
  <c r="P313" i="23" s="1"/>
  <c r="V313" i="23" s="1"/>
  <c r="B313" i="23" s="1"/>
  <c r="Q351" i="23"/>
  <c r="Q188" i="23"/>
  <c r="P188" i="23" s="1"/>
  <c r="V188" i="23" s="1"/>
  <c r="B188" i="23" s="1"/>
  <c r="D188" i="23" s="1"/>
  <c r="E188" i="23" s="1"/>
  <c r="F188" i="23" s="1"/>
  <c r="Q110" i="23"/>
  <c r="P110" i="23" s="1"/>
  <c r="V110" i="23" s="1"/>
  <c r="B110" i="23" s="1"/>
  <c r="W110" i="23" s="1"/>
  <c r="Q328" i="23"/>
  <c r="P328" i="23" s="1"/>
  <c r="V328" i="23" s="1"/>
  <c r="B328" i="23" s="1"/>
  <c r="W328" i="23" s="1"/>
  <c r="Q123" i="23"/>
  <c r="P123" i="23" s="1"/>
  <c r="V123" i="23" s="1"/>
  <c r="B123" i="23" s="1"/>
  <c r="Q267" i="23"/>
  <c r="P267" i="23" s="1"/>
  <c r="V267" i="23" s="1"/>
  <c r="B267" i="23" s="1"/>
  <c r="W267" i="23" s="1"/>
  <c r="Q36" i="23"/>
  <c r="P36" i="23" s="1"/>
  <c r="V36" i="23" s="1"/>
  <c r="B36" i="23" s="1"/>
  <c r="D36" i="23" s="1"/>
  <c r="E36" i="23" s="1"/>
  <c r="F36" i="23" s="1"/>
  <c r="G36" i="23" s="1"/>
  <c r="CD36" i="6" s="1"/>
  <c r="Q183" i="23"/>
  <c r="P183" i="23" s="1"/>
  <c r="V183" i="23" s="1"/>
  <c r="B183" i="23" s="1"/>
  <c r="Q116" i="23"/>
  <c r="P116" i="23" s="1"/>
  <c r="V116" i="23" s="1"/>
  <c r="B116" i="23" s="1"/>
  <c r="Q186" i="23"/>
  <c r="P186" i="23" s="1"/>
  <c r="V186" i="23" s="1"/>
  <c r="B186" i="23" s="1"/>
  <c r="Q232" i="23"/>
  <c r="Q92" i="23"/>
  <c r="P92" i="23" s="1"/>
  <c r="V92" i="23" s="1"/>
  <c r="B92" i="23" s="1"/>
  <c r="Q176" i="23"/>
  <c r="P176" i="23" s="1"/>
  <c r="V176" i="23" s="1"/>
  <c r="B176" i="23" s="1"/>
  <c r="D176" i="23" s="1"/>
  <c r="E176" i="23" s="1"/>
  <c r="F176" i="23" s="1"/>
  <c r="G176" i="23" s="1"/>
  <c r="CD176" i="6" s="1"/>
  <c r="Q178" i="23"/>
  <c r="P178" i="23" s="1"/>
  <c r="V178" i="23" s="1"/>
  <c r="B178" i="23" s="1"/>
  <c r="Q91" i="23"/>
  <c r="P91" i="23" s="1"/>
  <c r="V91" i="23" s="1"/>
  <c r="B91" i="23" s="1"/>
  <c r="D91" i="23" s="1"/>
  <c r="E91" i="23" s="1"/>
  <c r="F91" i="23" s="1"/>
  <c r="H91" i="23" s="1"/>
  <c r="Q362" i="23"/>
  <c r="P362" i="23" s="1"/>
  <c r="V362" i="23" s="1"/>
  <c r="B362" i="23" s="1"/>
  <c r="Q67" i="23"/>
  <c r="P67" i="23" s="1"/>
  <c r="V67" i="23" s="1"/>
  <c r="B67" i="23" s="1"/>
  <c r="D67" i="23" s="1"/>
  <c r="E67" i="23" s="1"/>
  <c r="F67" i="23" s="1"/>
  <c r="H67" i="23" s="1"/>
  <c r="Q373" i="23"/>
  <c r="P373" i="23" s="1"/>
  <c r="V373" i="23" s="1"/>
  <c r="B373" i="23" s="1"/>
  <c r="AE70" i="23"/>
  <c r="AD70" i="23" s="1"/>
  <c r="AE51" i="23"/>
  <c r="AD51" i="23" s="1"/>
  <c r="AE81" i="23"/>
  <c r="AD81" i="23" s="1"/>
  <c r="AE103" i="23"/>
  <c r="AD103" i="23" s="1"/>
  <c r="AE93" i="23"/>
  <c r="AD93" i="23" s="1"/>
  <c r="AE40" i="23"/>
  <c r="AE87" i="23"/>
  <c r="AD87" i="23" s="1"/>
  <c r="AE28" i="23"/>
  <c r="AD28" i="23" s="1"/>
  <c r="AE92" i="23"/>
  <c r="AD92" i="23" s="1"/>
  <c r="AE356" i="23"/>
  <c r="AD356" i="23" s="1"/>
  <c r="AE100" i="23"/>
  <c r="AD100" i="23" s="1"/>
  <c r="AE84" i="23"/>
  <c r="AD84" i="23" s="1"/>
  <c r="AE73" i="23"/>
  <c r="AD73" i="23" s="1"/>
  <c r="AE145" i="23"/>
  <c r="AD145" i="23" s="1"/>
  <c r="AE29" i="23"/>
  <c r="AE15" i="23"/>
  <c r="AE32" i="23"/>
  <c r="AD32" i="23" s="1"/>
  <c r="AE323" i="23"/>
  <c r="AD323" i="23" s="1"/>
  <c r="Q33" i="23"/>
  <c r="P33" i="23" s="1"/>
  <c r="V33" i="23" s="1"/>
  <c r="B33" i="23" s="1"/>
  <c r="W33" i="23" s="1"/>
  <c r="Q253" i="23"/>
  <c r="P253" i="23" s="1"/>
  <c r="V253" i="23" s="1"/>
  <c r="B253" i="23" s="1"/>
  <c r="W253" i="23" s="1"/>
  <c r="Q197" i="23"/>
  <c r="P197" i="23" s="1"/>
  <c r="V197" i="23" s="1"/>
  <c r="B197" i="23" s="1"/>
  <c r="Q354" i="23"/>
  <c r="P354" i="23" s="1"/>
  <c r="V354" i="23" s="1"/>
  <c r="B354" i="23" s="1"/>
  <c r="Q316" i="23"/>
  <c r="P316" i="23" s="1"/>
  <c r="V316" i="23" s="1"/>
  <c r="B316" i="23" s="1"/>
  <c r="Q210" i="23"/>
  <c r="P210" i="23" s="1"/>
  <c r="Q18" i="23"/>
  <c r="P18" i="23" s="1"/>
  <c r="V18" i="23" s="1"/>
  <c r="B18" i="23" s="1"/>
  <c r="Q65" i="23"/>
  <c r="P65" i="23" s="1"/>
  <c r="V65" i="23" s="1"/>
  <c r="B65" i="23" s="1"/>
  <c r="Q336" i="23"/>
  <c r="P336" i="23" s="1"/>
  <c r="V336" i="23" s="1"/>
  <c r="B336" i="23" s="1"/>
  <c r="Q75" i="23"/>
  <c r="P75" i="23" s="1"/>
  <c r="V75" i="23" s="1"/>
  <c r="B75" i="23" s="1"/>
  <c r="D75" i="23" s="1"/>
  <c r="E75" i="23" s="1"/>
  <c r="F75" i="23" s="1"/>
  <c r="H75" i="23" s="1"/>
  <c r="Q338" i="23"/>
  <c r="P338" i="23" s="1"/>
  <c r="V338" i="23" s="1"/>
  <c r="B338" i="23" s="1"/>
  <c r="Q84" i="23"/>
  <c r="P84" i="23" s="1"/>
  <c r="V84" i="23" s="1"/>
  <c r="B84" i="23" s="1"/>
  <c r="D84" i="23" s="1"/>
  <c r="E84" i="23" s="1"/>
  <c r="F84" i="23" s="1"/>
  <c r="G84" i="23" s="1"/>
  <c r="CD84" i="6" s="1"/>
  <c r="Q252" i="23"/>
  <c r="P252" i="23" s="1"/>
  <c r="V252" i="23" s="1"/>
  <c r="B252" i="23" s="1"/>
  <c r="Q66" i="23"/>
  <c r="P66" i="23" s="1"/>
  <c r="V66" i="23" s="1"/>
  <c r="B66" i="23" s="1"/>
  <c r="W66" i="23" s="1"/>
  <c r="Q345" i="23"/>
  <c r="P345" i="23" s="1"/>
  <c r="V345" i="23" s="1"/>
  <c r="B345" i="23" s="1"/>
  <c r="Q95" i="23"/>
  <c r="P95" i="23" s="1"/>
  <c r="V95" i="23" s="1"/>
  <c r="B95" i="23" s="1"/>
  <c r="Q15" i="23"/>
  <c r="AE186" i="23"/>
  <c r="AD186" i="23" s="1"/>
  <c r="AE262" i="23"/>
  <c r="AE363" i="23"/>
  <c r="AE71" i="23"/>
  <c r="AD71" i="23" s="1"/>
  <c r="AE33" i="23"/>
  <c r="AD33" i="23" s="1"/>
  <c r="AE26" i="23"/>
  <c r="AD26" i="23" s="1"/>
  <c r="AE170" i="23"/>
  <c r="AD170" i="23" s="1"/>
  <c r="AE17" i="23"/>
  <c r="AD17" i="23" s="1"/>
  <c r="AE72" i="23"/>
  <c r="AD72" i="23" s="1"/>
  <c r="AE21" i="23"/>
  <c r="AD21" i="23" s="1"/>
  <c r="AE67" i="23"/>
  <c r="AD67" i="23" s="1"/>
  <c r="AE144" i="23"/>
  <c r="Q53" i="23"/>
  <c r="P53" i="23" s="1"/>
  <c r="V53" i="23" s="1"/>
  <c r="B53" i="23" s="1"/>
  <c r="W53" i="23" s="1"/>
  <c r="Q81" i="23"/>
  <c r="P81" i="23" s="1"/>
  <c r="V81" i="23" s="1"/>
  <c r="B81" i="23" s="1"/>
  <c r="Q376" i="23"/>
  <c r="P376" i="23" s="1"/>
  <c r="V376" i="23" s="1"/>
  <c r="B376" i="23" s="1"/>
  <c r="AE16" i="23"/>
  <c r="AD16" i="23" s="1"/>
  <c r="Q277" i="23"/>
  <c r="P277" i="23" s="1"/>
  <c r="V277" i="23" s="1"/>
  <c r="B277" i="23" s="1"/>
  <c r="Q106" i="23"/>
  <c r="P106" i="23" s="1"/>
  <c r="V106" i="23" s="1"/>
  <c r="B106" i="23" s="1"/>
  <c r="Q122" i="23"/>
  <c r="P122" i="23" s="1"/>
  <c r="V122" i="23" s="1"/>
  <c r="B122" i="23" s="1"/>
  <c r="AE30" i="23"/>
  <c r="AD30" i="23" s="1"/>
  <c r="Q265" i="23"/>
  <c r="P265" i="23" s="1"/>
  <c r="V265" i="23" s="1"/>
  <c r="B265" i="23" s="1"/>
  <c r="Q167" i="23"/>
  <c r="P167" i="23" s="1"/>
  <c r="V167" i="23" s="1"/>
  <c r="B167" i="23" s="1"/>
  <c r="Q83" i="23"/>
  <c r="P83" i="23" s="1"/>
  <c r="V83" i="23" s="1"/>
  <c r="B83" i="23" s="1"/>
  <c r="AE79" i="23"/>
  <c r="AD79" i="23" s="1"/>
  <c r="AE101" i="23"/>
  <c r="AD101" i="23" s="1"/>
  <c r="Q119" i="23"/>
  <c r="P119" i="23" s="1"/>
  <c r="Q175" i="23"/>
  <c r="P175" i="23" s="1"/>
  <c r="V175" i="23" s="1"/>
  <c r="B175" i="23" s="1"/>
  <c r="AE85" i="23"/>
  <c r="AD85" i="23" s="1"/>
  <c r="AE31" i="23"/>
  <c r="AD31" i="23" s="1"/>
  <c r="Q218" i="23"/>
  <c r="P218" i="23" s="1"/>
  <c r="V218" i="23" s="1"/>
  <c r="B218" i="23" s="1"/>
  <c r="Q361" i="23"/>
  <c r="P361" i="23" s="1"/>
  <c r="V361" i="23" s="1"/>
  <c r="B361" i="23" s="1"/>
  <c r="Q169" i="23"/>
  <c r="P169" i="23" s="1"/>
  <c r="V169" i="23" s="1"/>
  <c r="B169" i="23" s="1"/>
  <c r="Q103" i="23"/>
  <c r="P103" i="23" s="1"/>
  <c r="V103" i="23" s="1"/>
  <c r="B103" i="23" s="1"/>
  <c r="Q366" i="23"/>
  <c r="P366" i="23" s="1"/>
  <c r="V366" i="23" s="1"/>
  <c r="B366" i="23" s="1"/>
  <c r="Q16" i="23"/>
  <c r="P16" i="23" s="1"/>
  <c r="V16" i="23" s="1"/>
  <c r="B16" i="23" s="1"/>
  <c r="Q324" i="23"/>
  <c r="P324" i="23" s="1"/>
  <c r="V324" i="23" s="1"/>
  <c r="B324" i="23" s="1"/>
  <c r="Q195" i="23"/>
  <c r="P195" i="23" s="1"/>
  <c r="Q379" i="23"/>
  <c r="AE91" i="23"/>
  <c r="AD91" i="23" s="1"/>
  <c r="AE62" i="23"/>
  <c r="AD62" i="23" s="1"/>
  <c r="AE61" i="23"/>
  <c r="AD61" i="23" s="1"/>
  <c r="Q93" i="23"/>
  <c r="P93" i="23" s="1"/>
  <c r="V93" i="23" s="1"/>
  <c r="B93" i="23" s="1"/>
  <c r="Q185" i="23"/>
  <c r="P185" i="23" s="1"/>
  <c r="V185" i="23" s="1"/>
  <c r="B185" i="23" s="1"/>
  <c r="Q78" i="23"/>
  <c r="P78" i="23" s="1"/>
  <c r="V78" i="23" s="1"/>
  <c r="B78" i="23" s="1"/>
  <c r="Q202" i="23"/>
  <c r="P202" i="23" s="1"/>
  <c r="V202" i="23" s="1"/>
  <c r="B202" i="23" s="1"/>
  <c r="AE54" i="23"/>
  <c r="AD54" i="23" s="1"/>
  <c r="AE95" i="23"/>
  <c r="AD95" i="23" s="1"/>
  <c r="AE102" i="23"/>
  <c r="AD102" i="23" s="1"/>
  <c r="Q368" i="23"/>
  <c r="P368" i="23" s="1"/>
  <c r="V368" i="23" s="1"/>
  <c r="B368" i="23" s="1"/>
  <c r="Q208" i="23"/>
  <c r="P208" i="23" s="1"/>
  <c r="V208" i="23" s="1"/>
  <c r="B208" i="23" s="1"/>
  <c r="Q97" i="23"/>
  <c r="P97" i="23" s="1"/>
  <c r="V97" i="23" s="1"/>
  <c r="B97" i="23" s="1"/>
  <c r="Q28" i="23"/>
  <c r="P28" i="23" s="1"/>
  <c r="V28" i="23" s="1"/>
  <c r="B28" i="23" s="1"/>
  <c r="Q21" i="23"/>
  <c r="P21" i="23" s="1"/>
  <c r="V21" i="23" s="1"/>
  <c r="B21" i="23" s="1"/>
  <c r="Q54" i="23"/>
  <c r="P54" i="23" s="1"/>
  <c r="V54" i="23" s="1"/>
  <c r="B54" i="23" s="1"/>
  <c r="Q162" i="23"/>
  <c r="P162" i="23" s="1"/>
  <c r="V162" i="23" s="1"/>
  <c r="B162" i="23" s="1"/>
  <c r="Q207" i="23"/>
  <c r="P207" i="23" s="1"/>
  <c r="V207" i="23" s="1"/>
  <c r="B207" i="23" s="1"/>
  <c r="Q271" i="23"/>
  <c r="P271" i="23" s="1"/>
  <c r="V271" i="23" s="1"/>
  <c r="B271" i="23" s="1"/>
  <c r="Q144" i="23"/>
  <c r="P144" i="23" s="1"/>
  <c r="V144" i="23" s="1"/>
  <c r="B144" i="23" s="1"/>
  <c r="Q199" i="23"/>
  <c r="P199" i="23" s="1"/>
  <c r="V199" i="23" s="1"/>
  <c r="B199" i="23" s="1"/>
  <c r="Q112" i="23"/>
  <c r="P112" i="23" s="1"/>
  <c r="V112" i="23" s="1"/>
  <c r="B112" i="23" s="1"/>
  <c r="Q340" i="23"/>
  <c r="P340" i="23" s="1"/>
  <c r="V340" i="23" s="1"/>
  <c r="B340" i="23" s="1"/>
  <c r="Q126" i="23"/>
  <c r="P126" i="23" s="1"/>
  <c r="V126" i="23" s="1"/>
  <c r="B126" i="23" s="1"/>
  <c r="Q205" i="23"/>
  <c r="P205" i="23" s="1"/>
  <c r="V205" i="23" s="1"/>
  <c r="B205" i="23" s="1"/>
  <c r="Q43" i="23"/>
  <c r="P43" i="23" s="1"/>
  <c r="V43" i="23" s="1"/>
  <c r="B43" i="23" s="1"/>
  <c r="Q46" i="23"/>
  <c r="P46" i="23" s="1"/>
  <c r="V46" i="23" s="1"/>
  <c r="B46" i="23" s="1"/>
  <c r="Q315" i="23"/>
  <c r="P315" i="23" s="1"/>
  <c r="V315" i="23" s="1"/>
  <c r="B315" i="23" s="1"/>
  <c r="AE169" i="23"/>
  <c r="AD169" i="23" s="1"/>
  <c r="AE304" i="23"/>
  <c r="AD304" i="23" s="1"/>
  <c r="AE197" i="23"/>
  <c r="AE120" i="23"/>
  <c r="AD120" i="23" s="1"/>
  <c r="Q307" i="23"/>
  <c r="P307" i="23" s="1"/>
  <c r="V307" i="23" s="1"/>
  <c r="B307" i="23" s="1"/>
  <c r="D307" i="23" s="1"/>
  <c r="E307" i="23" s="1"/>
  <c r="F307" i="23" s="1"/>
  <c r="H307" i="23" s="1"/>
  <c r="Q190" i="23"/>
  <c r="P190" i="23" s="1"/>
  <c r="V190" i="23" s="1"/>
  <c r="B190" i="23" s="1"/>
  <c r="D190" i="23" s="1"/>
  <c r="E190" i="23" s="1"/>
  <c r="F190" i="23" s="1"/>
  <c r="G190" i="23" s="1"/>
  <c r="CD190" i="6" s="1"/>
  <c r="Q143" i="23"/>
  <c r="P143" i="23" s="1"/>
  <c r="V143" i="23" s="1"/>
  <c r="B143" i="23" s="1"/>
  <c r="W143" i="23" s="1"/>
  <c r="Q71" i="23"/>
  <c r="Q242" i="23"/>
  <c r="P242" i="23" s="1"/>
  <c r="V242" i="23" s="1"/>
  <c r="B242" i="23" s="1"/>
  <c r="W242" i="23" s="1"/>
  <c r="Q251" i="23"/>
  <c r="Q299" i="23"/>
  <c r="P299" i="23" s="1"/>
  <c r="V299" i="23" s="1"/>
  <c r="B299" i="23" s="1"/>
  <c r="W299" i="23" s="1"/>
  <c r="Q69" i="23"/>
  <c r="P69" i="23" s="1"/>
  <c r="V69" i="23" s="1"/>
  <c r="B69" i="23" s="1"/>
  <c r="D69" i="23" s="1"/>
  <c r="E69" i="23" s="1"/>
  <c r="F69" i="23" s="1"/>
  <c r="Q62" i="23"/>
  <c r="Q312" i="23"/>
  <c r="P312" i="23" s="1"/>
  <c r="V312" i="23" s="1"/>
  <c r="B312" i="23" s="1"/>
  <c r="D312" i="23" s="1"/>
  <c r="E312" i="23" s="1"/>
  <c r="F312" i="23" s="1"/>
  <c r="Q263" i="23"/>
  <c r="Q297" i="23"/>
  <c r="P297" i="23" s="1"/>
  <c r="V297" i="23" s="1"/>
  <c r="B297" i="23" s="1"/>
  <c r="W297" i="23" s="1"/>
  <c r="Q182" i="23"/>
  <c r="Q198" i="23"/>
  <c r="P198" i="23" s="1"/>
  <c r="V198" i="23" s="1"/>
  <c r="B198" i="23" s="1"/>
  <c r="D198" i="23" s="1"/>
  <c r="E198" i="23" s="1"/>
  <c r="F198" i="23" s="1"/>
  <c r="G198" i="23" s="1"/>
  <c r="CD198" i="6" s="1"/>
  <c r="Q111" i="23"/>
  <c r="P111" i="23" s="1"/>
  <c r="V111" i="23" s="1"/>
  <c r="B111" i="23" s="1"/>
  <c r="D111" i="23" s="1"/>
  <c r="E111" i="23" s="1"/>
  <c r="F111" i="23" s="1"/>
  <c r="G111" i="23" s="1"/>
  <c r="CD111" i="6" s="1"/>
  <c r="Q240" i="23"/>
  <c r="Q39" i="23"/>
  <c r="P39" i="23" s="1"/>
  <c r="V39" i="23" s="1"/>
  <c r="B39" i="23" s="1"/>
  <c r="D39" i="23" s="1"/>
  <c r="E39" i="23" s="1"/>
  <c r="F39" i="23" s="1"/>
  <c r="Q247" i="23"/>
  <c r="Q302" i="23"/>
  <c r="P302" i="23" s="1"/>
  <c r="Q44" i="23"/>
  <c r="P44" i="23" s="1"/>
  <c r="V44" i="23" s="1"/>
  <c r="B44" i="23" s="1"/>
  <c r="D44" i="23" s="1"/>
  <c r="E44" i="23" s="1"/>
  <c r="F44" i="23" s="1"/>
  <c r="Q38" i="23"/>
  <c r="P38" i="23" s="1"/>
  <c r="V38" i="23" s="1"/>
  <c r="B38" i="23" s="1"/>
  <c r="D38" i="23" s="1"/>
  <c r="E38" i="23" s="1"/>
  <c r="F38" i="23" s="1"/>
  <c r="H38" i="23" s="1"/>
  <c r="Q200" i="23"/>
  <c r="P200" i="23" s="1"/>
  <c r="V200" i="23" s="1"/>
  <c r="B200" i="23" s="1"/>
  <c r="D200" i="23" s="1"/>
  <c r="E200" i="23" s="1"/>
  <c r="F200" i="23" s="1"/>
  <c r="H200" i="23" s="1"/>
  <c r="Q272" i="23"/>
  <c r="P272" i="23" s="1"/>
  <c r="Q262" i="23"/>
  <c r="P262" i="23" s="1"/>
  <c r="V262" i="23" s="1"/>
  <c r="B262" i="23" s="1"/>
  <c r="D262" i="23" s="1"/>
  <c r="E262" i="23" s="1"/>
  <c r="F262" i="23" s="1"/>
  <c r="G262" i="23" s="1"/>
  <c r="CD262" i="6" s="1"/>
  <c r="Q159" i="23"/>
  <c r="Q332" i="23"/>
  <c r="P332" i="23" s="1"/>
  <c r="V332" i="23" s="1"/>
  <c r="B332" i="23" s="1"/>
  <c r="D332" i="23" s="1"/>
  <c r="E332" i="23" s="1"/>
  <c r="F332" i="23" s="1"/>
  <c r="AU15" i="7"/>
  <c r="Q27" i="23"/>
  <c r="Q254" i="23"/>
  <c r="P254" i="23" s="1"/>
  <c r="V254" i="23" s="1"/>
  <c r="B254" i="23" s="1"/>
  <c r="W254" i="23" s="1"/>
  <c r="Q88" i="23"/>
  <c r="P88" i="23" s="1"/>
  <c r="V88" i="23" s="1"/>
  <c r="B88" i="23" s="1"/>
  <c r="W88" i="23" s="1"/>
  <c r="Q238" i="23"/>
  <c r="P238" i="23" s="1"/>
  <c r="V238" i="23" s="1"/>
  <c r="B238" i="23" s="1"/>
  <c r="D238" i="23" s="1"/>
  <c r="E238" i="23" s="1"/>
  <c r="F238" i="23" s="1"/>
  <c r="H238" i="23" s="1"/>
  <c r="Q117" i="23"/>
  <c r="Q295" i="23"/>
  <c r="P295" i="23" s="1"/>
  <c r="V295" i="23" s="1"/>
  <c r="B295" i="23" s="1"/>
  <c r="W295" i="23" s="1"/>
  <c r="Q233" i="23"/>
  <c r="P233" i="23" s="1"/>
  <c r="V233" i="23" s="1"/>
  <c r="B233" i="23" s="1"/>
  <c r="D233" i="23" s="1"/>
  <c r="E233" i="23" s="1"/>
  <c r="F233" i="23" s="1"/>
  <c r="G233" i="23" s="1"/>
  <c r="CD233" i="6" s="1"/>
  <c r="Q90" i="23"/>
  <c r="AE18" i="23"/>
  <c r="AD18" i="23" s="1"/>
  <c r="AE77" i="23"/>
  <c r="AD77" i="23" s="1"/>
  <c r="AE97" i="23"/>
  <c r="AD97" i="23" s="1"/>
  <c r="AE69" i="23"/>
  <c r="AD69" i="23" s="1"/>
  <c r="AE94" i="23"/>
  <c r="AD94" i="23" s="1"/>
  <c r="AE83" i="23"/>
  <c r="AE36" i="23"/>
  <c r="AD36" i="23" s="1"/>
  <c r="AE242" i="23"/>
  <c r="Q282" i="23"/>
  <c r="P282" i="23" s="1"/>
  <c r="V282" i="23" s="1"/>
  <c r="B282" i="23" s="1"/>
  <c r="D282" i="23" s="1"/>
  <c r="E282" i="23" s="1"/>
  <c r="F282" i="23" s="1"/>
  <c r="G282" i="23" s="1"/>
  <c r="CD282" i="6" s="1"/>
  <c r="Q109" i="23"/>
  <c r="P109" i="23" s="1"/>
  <c r="V109" i="23" s="1"/>
  <c r="B109" i="23" s="1"/>
  <c r="D109" i="23" s="1"/>
  <c r="E109" i="23" s="1"/>
  <c r="F109" i="23" s="1"/>
  <c r="G109" i="23" s="1"/>
  <c r="CD109" i="6" s="1"/>
  <c r="Q261" i="23"/>
  <c r="Q304" i="23"/>
  <c r="P304" i="23" s="1"/>
  <c r="V304" i="23" s="1"/>
  <c r="B304" i="23" s="1"/>
  <c r="D304" i="23" s="1"/>
  <c r="E304" i="23" s="1"/>
  <c r="F304" i="23" s="1"/>
  <c r="Q209" i="23"/>
  <c r="P209" i="23" s="1"/>
  <c r="V209" i="23" s="1"/>
  <c r="B209" i="23" s="1"/>
  <c r="D209" i="23" s="1"/>
  <c r="E209" i="23" s="1"/>
  <c r="F209" i="23" s="1"/>
  <c r="G209" i="23" s="1"/>
  <c r="CD209" i="6" s="1"/>
  <c r="Q30" i="23"/>
  <c r="P30" i="23" s="1"/>
  <c r="V30" i="23" s="1"/>
  <c r="B30" i="23" s="1"/>
  <c r="D30" i="23" s="1"/>
  <c r="E30" i="23" s="1"/>
  <c r="F30" i="23" s="1"/>
  <c r="G30" i="23" s="1"/>
  <c r="CD30" i="6" s="1"/>
  <c r="Q358" i="23"/>
  <c r="P358" i="23" s="1"/>
  <c r="V358" i="23" s="1"/>
  <c r="B358" i="23" s="1"/>
  <c r="D358" i="23" s="1"/>
  <c r="E358" i="23" s="1"/>
  <c r="F358" i="23" s="1"/>
  <c r="H358" i="23" s="1"/>
  <c r="Q245" i="23"/>
  <c r="P245" i="23" s="1"/>
  <c r="V245" i="23" s="1"/>
  <c r="B245" i="23" s="1"/>
  <c r="W245" i="23" s="1"/>
  <c r="Q215" i="23"/>
  <c r="P215" i="23" s="1"/>
  <c r="V215" i="23" s="1"/>
  <c r="B215" i="23" s="1"/>
  <c r="W215" i="23" s="1"/>
  <c r="AE75" i="23"/>
  <c r="AD75" i="23" s="1"/>
  <c r="AE158" i="23"/>
  <c r="AE45" i="23"/>
  <c r="AD45" i="23" s="1"/>
  <c r="AE357" i="23"/>
  <c r="AD357" i="23" s="1"/>
  <c r="AE38" i="23"/>
  <c r="AD38" i="23" s="1"/>
  <c r="AE358" i="23"/>
  <c r="AD358" i="23" s="1"/>
  <c r="AE24" i="23"/>
  <c r="AD24" i="23" s="1"/>
  <c r="AE48" i="23"/>
  <c r="Q45" i="23"/>
  <c r="P45" i="23" s="1"/>
  <c r="V45" i="23" s="1"/>
  <c r="B45" i="23" s="1"/>
  <c r="Q346" i="23"/>
  <c r="P346" i="23" s="1"/>
  <c r="V346" i="23" s="1"/>
  <c r="B346" i="23" s="1"/>
  <c r="Q229" i="23"/>
  <c r="Q85" i="23"/>
  <c r="P85" i="23" s="1"/>
  <c r="V85" i="23" s="1"/>
  <c r="B85" i="23" s="1"/>
  <c r="Q146" i="23"/>
  <c r="P146" i="23" s="1"/>
  <c r="V146" i="23" s="1"/>
  <c r="B146" i="23" s="1"/>
  <c r="W146" i="23" s="1"/>
  <c r="Q291" i="23"/>
  <c r="Q94" i="23"/>
  <c r="P94" i="23" s="1"/>
  <c r="V94" i="23" s="1"/>
  <c r="B94" i="23" s="1"/>
  <c r="D94" i="23" s="1"/>
  <c r="E94" i="23" s="1"/>
  <c r="F94" i="23" s="1"/>
  <c r="G94" i="23" s="1"/>
  <c r="CD94" i="6" s="1"/>
  <c r="Q352" i="23"/>
  <c r="P352" i="23" s="1"/>
  <c r="V352" i="23" s="1"/>
  <c r="B352" i="23" s="1"/>
  <c r="W352" i="23" s="1"/>
  <c r="Q127" i="23"/>
  <c r="Q244" i="23"/>
  <c r="P244" i="23" s="1"/>
  <c r="V244" i="23" s="1"/>
  <c r="B244" i="23" s="1"/>
  <c r="W244" i="23" s="1"/>
  <c r="Q331" i="23"/>
  <c r="Q55" i="23"/>
  <c r="Q194" i="23"/>
  <c r="Q255" i="23"/>
  <c r="P255" i="23" s="1"/>
  <c r="V255" i="23" s="1"/>
  <c r="B255" i="23" s="1"/>
  <c r="W255" i="23" s="1"/>
  <c r="Q273" i="23"/>
  <c r="P273" i="23" s="1"/>
  <c r="V273" i="23" s="1"/>
  <c r="B273" i="23" s="1"/>
  <c r="W273" i="23" s="1"/>
  <c r="Q163" i="23"/>
  <c r="P163" i="23" s="1"/>
  <c r="V163" i="23" s="1"/>
  <c r="B163" i="23" s="1"/>
  <c r="W163" i="23" s="1"/>
  <c r="Q280" i="23"/>
  <c r="P280" i="23" s="1"/>
  <c r="V280" i="23" s="1"/>
  <c r="B280" i="23" s="1"/>
  <c r="W280" i="23" s="1"/>
  <c r="Q59" i="23"/>
  <c r="Q356" i="23"/>
  <c r="P356" i="23" s="1"/>
  <c r="V356" i="23" s="1"/>
  <c r="B356" i="23" s="1"/>
  <c r="D356" i="23" s="1"/>
  <c r="E356" i="23" s="1"/>
  <c r="F356" i="23" s="1"/>
  <c r="G356" i="23" s="1"/>
  <c r="CD356" i="6" s="1"/>
  <c r="Q212" i="23"/>
  <c r="Q150" i="23"/>
  <c r="P150" i="23" s="1"/>
  <c r="V150" i="23" s="1"/>
  <c r="B150" i="23" s="1"/>
  <c r="D150" i="23" s="1"/>
  <c r="E150" i="23" s="1"/>
  <c r="F150" i="23" s="1"/>
  <c r="H150" i="23" s="1"/>
  <c r="Q333" i="23"/>
  <c r="Q56" i="23"/>
  <c r="Q370" i="23"/>
  <c r="P370" i="23" s="1"/>
  <c r="V370" i="23" s="1"/>
  <c r="B370" i="23" s="1"/>
  <c r="W370" i="23" s="1"/>
  <c r="Q342" i="23"/>
  <c r="P342" i="23" s="1"/>
  <c r="V342" i="23" s="1"/>
  <c r="B342" i="23" s="1"/>
  <c r="D342" i="23" s="1"/>
  <c r="E342" i="23" s="1"/>
  <c r="F342" i="23" s="1"/>
  <c r="Q298" i="23"/>
  <c r="Q214" i="23"/>
  <c r="Q41" i="23"/>
  <c r="Q256" i="23"/>
  <c r="P256" i="23" s="1"/>
  <c r="V256" i="23" s="1"/>
  <c r="B256" i="23" s="1"/>
  <c r="D256" i="23" s="1"/>
  <c r="E256" i="23" s="1"/>
  <c r="F256" i="23" s="1"/>
  <c r="H256" i="23" s="1"/>
  <c r="Q102" i="23"/>
  <c r="Q135" i="23"/>
  <c r="P135" i="23" s="1"/>
  <c r="V135" i="23" s="1"/>
  <c r="B135" i="23" s="1"/>
  <c r="W135" i="23" s="1"/>
  <c r="Q330" i="23"/>
  <c r="P330" i="23" s="1"/>
  <c r="V330" i="23" s="1"/>
  <c r="B330" i="23" s="1"/>
  <c r="Q310" i="23"/>
  <c r="Q306" i="23"/>
  <c r="P306" i="23" s="1"/>
  <c r="V306" i="23" s="1"/>
  <c r="B306" i="23" s="1"/>
  <c r="W306" i="23" s="1"/>
  <c r="Q161" i="23"/>
  <c r="P161" i="23" s="1"/>
  <c r="V161" i="23" s="1"/>
  <c r="B161" i="23" s="1"/>
  <c r="D161" i="23" s="1"/>
  <c r="E161" i="23" s="1"/>
  <c r="F161" i="23" s="1"/>
  <c r="G161" i="23" s="1"/>
  <c r="CD161" i="6" s="1"/>
  <c r="Q260" i="23"/>
  <c r="Q278" i="23"/>
  <c r="Q220" i="23"/>
  <c r="Q40" i="23"/>
  <c r="P40" i="23" s="1"/>
  <c r="V40" i="23" s="1"/>
  <c r="B40" i="23" s="1"/>
  <c r="W40" i="23" s="1"/>
  <c r="Q157" i="23"/>
  <c r="Q300" i="23"/>
  <c r="P300" i="23" s="1"/>
  <c r="V300" i="23" s="1"/>
  <c r="B300" i="23" s="1"/>
  <c r="Q226" i="23"/>
  <c r="Q101" i="23"/>
  <c r="Q138" i="23"/>
  <c r="P138" i="23" s="1"/>
  <c r="V138" i="23" s="1"/>
  <c r="B138" i="23" s="1"/>
  <c r="D138" i="23" s="1"/>
  <c r="E138" i="23" s="1"/>
  <c r="F138" i="23" s="1"/>
  <c r="H138" i="23" s="1"/>
  <c r="Q152" i="23"/>
  <c r="P152" i="23" s="1"/>
  <c r="V152" i="23" s="1"/>
  <c r="B152" i="23" s="1"/>
  <c r="W152" i="23" s="1"/>
  <c r="Q203" i="23"/>
  <c r="P203" i="23" s="1"/>
  <c r="V203" i="23" s="1"/>
  <c r="B203" i="23" s="1"/>
  <c r="D203" i="23" s="1"/>
  <c r="E203" i="23" s="1"/>
  <c r="F203" i="23" s="1"/>
  <c r="Q189" i="23"/>
  <c r="P189" i="23" s="1"/>
  <c r="V189" i="23" s="1"/>
  <c r="B189" i="23" s="1"/>
  <c r="W189" i="23" s="1"/>
  <c r="Q269" i="23"/>
  <c r="P269" i="23" s="1"/>
  <c r="V269" i="23" s="1"/>
  <c r="B269" i="23" s="1"/>
  <c r="D269" i="23" s="1"/>
  <c r="E269" i="23" s="1"/>
  <c r="F269" i="23" s="1"/>
  <c r="G269" i="23" s="1"/>
  <c r="CD269" i="6" s="1"/>
  <c r="Q287" i="23"/>
  <c r="P287" i="23" s="1"/>
  <c r="V287" i="23" s="1"/>
  <c r="B287" i="23" s="1"/>
  <c r="D287" i="23" s="1"/>
  <c r="E287" i="23" s="1"/>
  <c r="F287" i="23" s="1"/>
  <c r="G287" i="23" s="1"/>
  <c r="CD287" i="6" s="1"/>
  <c r="Q124" i="23"/>
  <c r="P124" i="23" s="1"/>
  <c r="V124" i="23" s="1"/>
  <c r="B124" i="23" s="1"/>
  <c r="D124" i="23" s="1"/>
  <c r="E124" i="23" s="1"/>
  <c r="F124" i="23" s="1"/>
  <c r="G124" i="23" s="1"/>
  <c r="CD124" i="6" s="1"/>
  <c r="Q139" i="23"/>
  <c r="P139" i="23" s="1"/>
  <c r="V139" i="23" s="1"/>
  <c r="B139" i="23" s="1"/>
  <c r="D139" i="23" s="1"/>
  <c r="E139" i="23" s="1"/>
  <c r="F139" i="23" s="1"/>
  <c r="G139" i="23" s="1"/>
  <c r="CD139" i="6" s="1"/>
  <c r="Q353" i="23"/>
  <c r="P353" i="23" s="1"/>
  <c r="V353" i="23" s="1"/>
  <c r="B353" i="23" s="1"/>
  <c r="D353" i="23" s="1"/>
  <c r="E353" i="23" s="1"/>
  <c r="F353" i="23" s="1"/>
  <c r="Q309" i="23"/>
  <c r="Q246" i="23"/>
  <c r="P246" i="23" s="1"/>
  <c r="V246" i="23" s="1"/>
  <c r="B246" i="23" s="1"/>
  <c r="Q325" i="23"/>
  <c r="P325" i="23" s="1"/>
  <c r="V325" i="23" s="1"/>
  <c r="B325" i="23" s="1"/>
  <c r="Q294" i="23"/>
  <c r="P294" i="23" s="1"/>
  <c r="V294" i="23" s="1"/>
  <c r="B294" i="23" s="1"/>
  <c r="W294" i="23" s="1"/>
  <c r="Q329" i="23"/>
  <c r="P329" i="23" s="1"/>
  <c r="V329" i="23" s="1"/>
  <c r="B329" i="23" s="1"/>
  <c r="W329" i="23" s="1"/>
  <c r="Q334" i="23"/>
  <c r="P334" i="23" s="1"/>
  <c r="V334" i="23" s="1"/>
  <c r="B334" i="23" s="1"/>
  <c r="W334" i="23" s="1"/>
  <c r="Q375" i="23"/>
  <c r="P375" i="23" s="1"/>
  <c r="V375" i="23" s="1"/>
  <c r="B375" i="23" s="1"/>
  <c r="D375" i="23" s="1"/>
  <c r="E375" i="23" s="1"/>
  <c r="F375" i="23" s="1"/>
  <c r="Q293" i="23"/>
  <c r="P293" i="23" s="1"/>
  <c r="V293" i="23" s="1"/>
  <c r="B293" i="23" s="1"/>
  <c r="W293" i="23" s="1"/>
  <c r="AE96" i="23"/>
  <c r="AD96" i="23" s="1"/>
  <c r="Q89" i="23"/>
  <c r="Q250" i="23"/>
  <c r="Q136" i="23"/>
  <c r="P136" i="23" s="1"/>
  <c r="V136" i="23" s="1"/>
  <c r="B136" i="23" s="1"/>
  <c r="W136" i="23" s="1"/>
  <c r="Q276" i="23"/>
  <c r="P276" i="23" s="1"/>
  <c r="V276" i="23" s="1"/>
  <c r="B276" i="23" s="1"/>
  <c r="D276" i="23" s="1"/>
  <c r="E276" i="23" s="1"/>
  <c r="F276" i="23" s="1"/>
  <c r="G276" i="23" s="1"/>
  <c r="CD276" i="6" s="1"/>
  <c r="Q193" i="23"/>
  <c r="P193" i="23" s="1"/>
  <c r="V193" i="23" s="1"/>
  <c r="B193" i="23" s="1"/>
  <c r="Q296" i="23"/>
  <c r="Q219" i="23"/>
  <c r="P219" i="23" s="1"/>
  <c r="V219" i="23" s="1"/>
  <c r="B219" i="23" s="1"/>
  <c r="D219" i="23" s="1"/>
  <c r="E219" i="23" s="1"/>
  <c r="F219" i="23" s="1"/>
  <c r="H219" i="23" s="1"/>
  <c r="Q206" i="23"/>
  <c r="P206" i="23" s="1"/>
  <c r="V206" i="23" s="1"/>
  <c r="B206" i="23" s="1"/>
  <c r="D206" i="23" s="1"/>
  <c r="E206" i="23" s="1"/>
  <c r="F206" i="23" s="1"/>
  <c r="Q141" i="23"/>
  <c r="P141" i="23" s="1"/>
  <c r="V141" i="23" s="1"/>
  <c r="B141" i="23" s="1"/>
  <c r="Q133" i="23"/>
  <c r="Q80" i="23"/>
  <c r="P80" i="23" s="1"/>
  <c r="V80" i="23" s="1"/>
  <c r="B80" i="23" s="1"/>
  <c r="W80" i="23" s="1"/>
  <c r="Q371" i="23"/>
  <c r="P371" i="23" s="1"/>
  <c r="V371" i="23" s="1"/>
  <c r="B371" i="23" s="1"/>
  <c r="W371" i="23" s="1"/>
  <c r="Q173" i="23"/>
  <c r="P173" i="23" s="1"/>
  <c r="V173" i="23" s="1"/>
  <c r="B173" i="23" s="1"/>
  <c r="D173" i="23" s="1"/>
  <c r="E173" i="23" s="1"/>
  <c r="F173" i="23" s="1"/>
  <c r="G173" i="23" s="1"/>
  <c r="CD173" i="6" s="1"/>
  <c r="Q303" i="23"/>
  <c r="P303" i="23" s="1"/>
  <c r="V303" i="23" s="1"/>
  <c r="B303" i="23" s="1"/>
  <c r="W303" i="23" s="1"/>
  <c r="Q321" i="23"/>
  <c r="P321" i="23" s="1"/>
  <c r="V321" i="23" s="1"/>
  <c r="B321" i="23" s="1"/>
  <c r="W321" i="23" s="1"/>
  <c r="Q177" i="23"/>
  <c r="P177" i="23" s="1"/>
  <c r="V177" i="23" s="1"/>
  <c r="B177" i="23" s="1"/>
  <c r="D177" i="23" s="1"/>
  <c r="E177" i="23" s="1"/>
  <c r="F177" i="23" s="1"/>
  <c r="G177" i="23" s="1"/>
  <c r="CD177" i="6" s="1"/>
  <c r="Q23" i="23"/>
  <c r="Q148" i="23"/>
  <c r="P148" i="23" s="1"/>
  <c r="V148" i="23" s="1"/>
  <c r="B148" i="23" s="1"/>
  <c r="D148" i="23" s="1"/>
  <c r="E148" i="23" s="1"/>
  <c r="F148" i="23" s="1"/>
  <c r="AE63" i="23"/>
  <c r="AE191" i="23"/>
  <c r="AE88" i="23"/>
  <c r="AD88" i="23" s="1"/>
  <c r="AE222" i="23"/>
  <c r="AE52" i="23"/>
  <c r="AD52" i="23" s="1"/>
  <c r="AE220" i="23"/>
  <c r="AE98" i="23"/>
  <c r="AD98" i="23" s="1"/>
  <c r="AE146" i="23"/>
  <c r="AE74" i="23"/>
  <c r="AD74" i="23" s="1"/>
  <c r="AE217" i="23"/>
  <c r="AE47" i="23"/>
  <c r="AD47" i="23" s="1"/>
  <c r="AE161" i="23"/>
  <c r="AE35" i="23"/>
  <c r="AD35" i="23" s="1"/>
  <c r="Q236" i="23"/>
  <c r="P236" i="23" s="1"/>
  <c r="V236" i="23" s="1"/>
  <c r="B236" i="23" s="1"/>
  <c r="W236" i="23" s="1"/>
  <c r="Q367" i="23"/>
  <c r="P367" i="23" s="1"/>
  <c r="V367" i="23" s="1"/>
  <c r="B367" i="23" s="1"/>
  <c r="W367" i="23" s="1"/>
  <c r="Q363" i="23"/>
  <c r="P363" i="23" s="1"/>
  <c r="AH55" i="7" s="1"/>
  <c r="Q349" i="23"/>
  <c r="P349" i="23" s="1"/>
  <c r="V349" i="23" s="1"/>
  <c r="B349" i="23" s="1"/>
  <c r="D349" i="23" s="1"/>
  <c r="E349" i="23" s="1"/>
  <c r="F349" i="23" s="1"/>
  <c r="Q223" i="23"/>
  <c r="Q217" i="23"/>
  <c r="P217" i="23" s="1"/>
  <c r="V217" i="23" s="1"/>
  <c r="B217" i="23" s="1"/>
  <c r="D217" i="23" s="1"/>
  <c r="E217" i="23" s="1"/>
  <c r="F217" i="23" s="1"/>
  <c r="G217" i="23" s="1"/>
  <c r="CD217" i="6" s="1"/>
  <c r="Q31" i="23"/>
  <c r="P31" i="23" s="1"/>
  <c r="V31" i="23" s="1"/>
  <c r="B31" i="23" s="1"/>
  <c r="W31" i="23" s="1"/>
  <c r="Q184" i="23"/>
  <c r="P184" i="23" s="1"/>
  <c r="V184" i="23" s="1"/>
  <c r="B184" i="23" s="1"/>
  <c r="Q365" i="23"/>
  <c r="Q239" i="23"/>
  <c r="P239" i="23" s="1"/>
  <c r="V239" i="23" s="1"/>
  <c r="B239" i="23" s="1"/>
  <c r="D239" i="23" s="1"/>
  <c r="E239" i="23" s="1"/>
  <c r="F239" i="23" s="1"/>
  <c r="G239" i="23" s="1"/>
  <c r="CD239" i="6" s="1"/>
  <c r="Q52" i="23"/>
  <c r="P52" i="23" s="1"/>
  <c r="V52" i="23" s="1"/>
  <c r="B52" i="23" s="1"/>
  <c r="D52" i="23" s="1"/>
  <c r="E52" i="23" s="1"/>
  <c r="F52" i="23" s="1"/>
  <c r="G52" i="23" s="1"/>
  <c r="CD52" i="6" s="1"/>
  <c r="Q344" i="23"/>
  <c r="P344" i="23" s="1"/>
  <c r="V344" i="23" s="1"/>
  <c r="B344" i="23" s="1"/>
  <c r="W344" i="23" s="1"/>
  <c r="Q105" i="23"/>
  <c r="P105" i="23" s="1"/>
  <c r="V105" i="23" s="1"/>
  <c r="B105" i="23" s="1"/>
  <c r="D105" i="23" s="1"/>
  <c r="E105" i="23" s="1"/>
  <c r="F105" i="23" s="1"/>
  <c r="Q164" i="23"/>
  <c r="P164" i="23" s="1"/>
  <c r="V164" i="23" s="1"/>
  <c r="B164" i="23" s="1"/>
  <c r="W164" i="23" s="1"/>
  <c r="Q51" i="23"/>
  <c r="P51" i="23" s="1"/>
  <c r="V51" i="23" s="1"/>
  <c r="B51" i="23" s="1"/>
  <c r="W51" i="23" s="1"/>
  <c r="Q149" i="23"/>
  <c r="P149" i="23" s="1"/>
  <c r="AH48" i="7" s="1"/>
  <c r="Q172" i="23"/>
  <c r="AE64" i="23"/>
  <c r="AD64" i="23" s="1"/>
  <c r="AE139" i="23"/>
  <c r="AD139" i="23" s="1"/>
  <c r="AE43" i="23"/>
  <c r="AD43" i="23" s="1"/>
  <c r="AE238" i="23"/>
  <c r="AE76" i="23"/>
  <c r="AD76" i="23" s="1"/>
  <c r="AE41" i="23"/>
  <c r="AD41" i="23" s="1"/>
  <c r="AE57" i="23"/>
  <c r="AD57" i="23" s="1"/>
  <c r="AE27" i="23"/>
  <c r="AD27" i="23" s="1"/>
  <c r="AE285" i="23"/>
  <c r="AE22" i="23"/>
  <c r="AD22" i="23" s="1"/>
  <c r="AE82" i="23"/>
  <c r="AD82" i="23" s="1"/>
  <c r="AE90" i="23"/>
  <c r="AD90" i="23" s="1"/>
  <c r="AE324" i="23"/>
  <c r="AE65" i="23"/>
  <c r="AE53" i="23"/>
  <c r="AD53" i="23" s="1"/>
  <c r="AE42" i="23"/>
  <c r="AD42" i="23" s="1"/>
  <c r="Q284" i="23"/>
  <c r="Q201" i="23"/>
  <c r="P201" i="23" s="1"/>
  <c r="V201" i="23" s="1"/>
  <c r="B201" i="23" s="1"/>
  <c r="W201" i="23" s="1"/>
  <c r="P216" i="23"/>
  <c r="V216" i="23" s="1"/>
  <c r="B216" i="23" s="1"/>
  <c r="D216" i="23" s="1"/>
  <c r="E216" i="23" s="1"/>
  <c r="F216" i="23" s="1"/>
  <c r="G216" i="23" s="1"/>
  <c r="CD216" i="6" s="1"/>
  <c r="B379" i="22"/>
  <c r="M67" i="19"/>
  <c r="J201" i="22"/>
  <c r="J232" i="22"/>
  <c r="I202" i="22"/>
  <c r="J348" i="22"/>
  <c r="J157" i="22"/>
  <c r="J87" i="22"/>
  <c r="I251" i="22"/>
  <c r="I86" i="22"/>
  <c r="I133" i="22"/>
  <c r="I294" i="22"/>
  <c r="I190" i="22"/>
  <c r="I169" i="22"/>
  <c r="J193" i="22"/>
  <c r="J209" i="22"/>
  <c r="J379" i="20"/>
  <c r="J269" i="22"/>
  <c r="I287" i="22"/>
  <c r="J222" i="22"/>
  <c r="J376" i="22"/>
  <c r="J235" i="22"/>
  <c r="J71" i="22"/>
  <c r="J299" i="22"/>
  <c r="I279" i="22"/>
  <c r="J266" i="22"/>
  <c r="J271" i="22"/>
  <c r="I277" i="22"/>
  <c r="J277" i="22"/>
  <c r="J369" i="22"/>
  <c r="J208" i="22"/>
  <c r="I370" i="22"/>
  <c r="J262" i="22"/>
  <c r="J356" i="22"/>
  <c r="I164" i="22"/>
  <c r="I17" i="22"/>
  <c r="J144" i="22"/>
  <c r="J371" i="22"/>
  <c r="J156" i="22"/>
  <c r="J42" i="22"/>
  <c r="J280" i="22"/>
  <c r="J77" i="22"/>
  <c r="J364" i="22"/>
  <c r="J22" i="22"/>
  <c r="J147" i="22"/>
  <c r="I147" i="22"/>
  <c r="I296" i="22"/>
  <c r="J296" i="22"/>
  <c r="I297" i="22"/>
  <c r="J297" i="22"/>
  <c r="I42" i="22"/>
  <c r="J141" i="22"/>
  <c r="I371" i="22"/>
  <c r="I285" i="22"/>
  <c r="J103" i="22"/>
  <c r="I345" i="22"/>
  <c r="I56" i="22"/>
  <c r="J278" i="22"/>
  <c r="J32" i="22"/>
  <c r="J217" i="22"/>
  <c r="J276" i="22"/>
  <c r="J199" i="22"/>
  <c r="J316" i="22"/>
  <c r="J73" i="22"/>
  <c r="J304" i="22"/>
  <c r="J365" i="22"/>
  <c r="J373" i="22"/>
  <c r="J97" i="22"/>
  <c r="J136" i="22"/>
  <c r="J283" i="22"/>
  <c r="J49" i="22"/>
  <c r="J344" i="22"/>
  <c r="J78" i="22"/>
  <c r="I64" i="22"/>
  <c r="J252" i="22"/>
  <c r="I193" i="22"/>
  <c r="J328" i="22"/>
  <c r="J61" i="22"/>
  <c r="J137" i="22"/>
  <c r="J127" i="22"/>
  <c r="J268" i="22"/>
  <c r="J295" i="22"/>
  <c r="J265" i="22"/>
  <c r="J228" i="22"/>
  <c r="J116" i="22"/>
  <c r="J313" i="22"/>
  <c r="J34" i="22"/>
  <c r="J37" i="22"/>
  <c r="J70" i="22"/>
  <c r="J178" i="22"/>
  <c r="J48" i="22"/>
  <c r="J93" i="22"/>
  <c r="J91" i="22"/>
  <c r="J195" i="22"/>
  <c r="J191" i="22"/>
  <c r="J112" i="22"/>
  <c r="J315" i="22"/>
  <c r="J359" i="22"/>
  <c r="J267" i="22"/>
  <c r="J248" i="22"/>
  <c r="J155" i="22"/>
  <c r="N65" i="19"/>
  <c r="J160" i="22"/>
  <c r="J211" i="22"/>
  <c r="I211" i="22"/>
  <c r="J333" i="20"/>
  <c r="I333" i="20"/>
  <c r="H333" i="22" s="1"/>
  <c r="I333" i="22" s="1"/>
  <c r="J303" i="22"/>
  <c r="J29" i="20"/>
  <c r="I29" i="20"/>
  <c r="H29" i="22" s="1"/>
  <c r="I29" i="22" s="1"/>
  <c r="J60" i="20"/>
  <c r="I60" i="20"/>
  <c r="H60" i="22" s="1"/>
  <c r="I60" i="22" s="1"/>
  <c r="J352" i="22"/>
  <c r="I352" i="22"/>
  <c r="I142" i="22"/>
  <c r="J142" i="22"/>
  <c r="J336" i="22"/>
  <c r="I336" i="22"/>
  <c r="J121" i="22"/>
  <c r="I121" i="22"/>
  <c r="I339" i="22"/>
  <c r="J339" i="22"/>
  <c r="J45" i="22"/>
  <c r="I45" i="22"/>
  <c r="I341" i="22"/>
  <c r="J341" i="22"/>
  <c r="I290" i="22"/>
  <c r="J290" i="22"/>
  <c r="J82" i="22"/>
  <c r="I82" i="22"/>
  <c r="I51" i="22"/>
  <c r="J51" i="22"/>
  <c r="J257" i="22"/>
  <c r="I257" i="22"/>
  <c r="J306" i="22"/>
  <c r="J52" i="22"/>
  <c r="I286" i="22"/>
  <c r="I242" i="22"/>
  <c r="J367" i="22"/>
  <c r="I120" i="22"/>
  <c r="I233" i="22"/>
  <c r="J343" i="22"/>
  <c r="I55" i="22"/>
  <c r="I153" i="22"/>
  <c r="J128" i="22"/>
  <c r="I303" i="22"/>
  <c r="J317" i="22"/>
  <c r="J123" i="22"/>
  <c r="I148" i="22"/>
  <c r="J179" i="22"/>
  <c r="I93" i="22"/>
  <c r="I89" i="22"/>
  <c r="J159" i="22"/>
  <c r="J152" i="22"/>
  <c r="J98" i="22"/>
  <c r="I217" i="22"/>
  <c r="J309" i="22"/>
  <c r="J255" i="22"/>
  <c r="I215" i="22"/>
  <c r="J323" i="22"/>
  <c r="I151" i="22"/>
  <c r="I43" i="22"/>
  <c r="I156" i="22"/>
  <c r="J358" i="22"/>
  <c r="I58" i="22"/>
  <c r="J220" i="22"/>
  <c r="J238" i="22"/>
  <c r="J67" i="22"/>
  <c r="I68" i="22"/>
  <c r="J96" i="22"/>
  <c r="I73" i="22"/>
  <c r="I36" i="22"/>
  <c r="AG277" i="23"/>
  <c r="AF277" i="23" s="1"/>
  <c r="AG63" i="23"/>
  <c r="AF63" i="23" s="1"/>
  <c r="AG29" i="23"/>
  <c r="AF29" i="23" s="1"/>
  <c r="AG215" i="23"/>
  <c r="AF215" i="23" s="1"/>
  <c r="AG65" i="23"/>
  <c r="AF65" i="23" s="1"/>
  <c r="AG83" i="23"/>
  <c r="AF83" i="23" s="1"/>
  <c r="S365" i="23"/>
  <c r="R365" i="23" s="1"/>
  <c r="S226" i="23"/>
  <c r="R226" i="23" s="1"/>
  <c r="S90" i="23"/>
  <c r="R90" i="23" s="1"/>
  <c r="P90" i="23" s="1"/>
  <c r="V90" i="23" s="1"/>
  <c r="B90" i="23" s="1"/>
  <c r="D90" i="23" s="1"/>
  <c r="E90" i="23" s="1"/>
  <c r="F90" i="23" s="1"/>
  <c r="G90" i="23" s="1"/>
  <c r="CD90" i="6" s="1"/>
  <c r="S310" i="23"/>
  <c r="R310" i="23" s="1"/>
  <c r="S62" i="23"/>
  <c r="R62" i="23" s="1"/>
  <c r="P62" i="23" s="1"/>
  <c r="V62" i="23" s="1"/>
  <c r="B62" i="23" s="1"/>
  <c r="D62" i="23" s="1"/>
  <c r="E62" i="23" s="1"/>
  <c r="F62" i="23" s="1"/>
  <c r="S42" i="23"/>
  <c r="R42" i="23" s="1"/>
  <c r="S343" i="23"/>
  <c r="R343" i="23" s="1"/>
  <c r="P343" i="23" s="1"/>
  <c r="V343" i="23" s="1"/>
  <c r="B343" i="23" s="1"/>
  <c r="S147" i="23"/>
  <c r="R147" i="23" s="1"/>
  <c r="S333" i="23"/>
  <c r="R333" i="23" s="1"/>
  <c r="S59" i="23"/>
  <c r="R59" i="23" s="1"/>
  <c r="S101" i="23"/>
  <c r="R101" i="23" s="1"/>
  <c r="S331" i="23"/>
  <c r="R331" i="23" s="1"/>
  <c r="S296" i="23"/>
  <c r="R296" i="23" s="1"/>
  <c r="S182" i="23"/>
  <c r="R182" i="23" s="1"/>
  <c r="S260" i="23"/>
  <c r="R260" i="23" s="1"/>
  <c r="S41" i="23"/>
  <c r="R41" i="23" s="1"/>
  <c r="S347" i="23"/>
  <c r="R347" i="23" s="1"/>
  <c r="P347" i="23" s="1"/>
  <c r="V347" i="23" s="1"/>
  <c r="B347" i="23" s="1"/>
  <c r="W347" i="23" s="1"/>
  <c r="S60" i="23"/>
  <c r="R60" i="23" s="1"/>
  <c r="S71" i="23"/>
  <c r="R71" i="23" s="1"/>
  <c r="P71" i="23" s="1"/>
  <c r="V71" i="23" s="1"/>
  <c r="B71" i="23" s="1"/>
  <c r="W71" i="23" s="1"/>
  <c r="S284" i="23"/>
  <c r="R284" i="23" s="1"/>
  <c r="S117" i="23"/>
  <c r="R117" i="23" s="1"/>
  <c r="P117" i="23" s="1"/>
  <c r="V117" i="23" s="1"/>
  <c r="B117" i="23" s="1"/>
  <c r="W117" i="23" s="1"/>
  <c r="S229" i="23"/>
  <c r="R229" i="23" s="1"/>
  <c r="S250" i="23"/>
  <c r="R250" i="23" s="1"/>
  <c r="S247" i="23"/>
  <c r="R247" i="23" s="1"/>
  <c r="S194" i="23"/>
  <c r="R194" i="23" s="1"/>
  <c r="P194" i="23" s="1"/>
  <c r="V194" i="23" s="1"/>
  <c r="B194" i="23" s="1"/>
  <c r="D194" i="23" s="1"/>
  <c r="E194" i="23" s="1"/>
  <c r="F194" i="23" s="1"/>
  <c r="G194" i="23" s="1"/>
  <c r="CD194" i="6" s="1"/>
  <c r="S56" i="23"/>
  <c r="R56" i="23" s="1"/>
  <c r="S102" i="23"/>
  <c r="R102" i="23" s="1"/>
  <c r="P102" i="23" s="1"/>
  <c r="V102" i="23" s="1"/>
  <c r="B102" i="23" s="1"/>
  <c r="W102" i="23" s="1"/>
  <c r="S351" i="23"/>
  <c r="R351" i="23" s="1"/>
  <c r="S298" i="23"/>
  <c r="R298" i="23" s="1"/>
  <c r="P298" i="23" s="1"/>
  <c r="V298" i="23" s="1"/>
  <c r="B298" i="23" s="1"/>
  <c r="W298" i="23" s="1"/>
  <c r="S214" i="23"/>
  <c r="R214" i="23" s="1"/>
  <c r="S309" i="23"/>
  <c r="R309" i="23" s="1"/>
  <c r="S232" i="23"/>
  <c r="R232" i="23" s="1"/>
  <c r="S212" i="23"/>
  <c r="R212" i="23" s="1"/>
  <c r="P212" i="23" s="1"/>
  <c r="V212" i="23" s="1"/>
  <c r="B212" i="23" s="1"/>
  <c r="D212" i="23" s="1"/>
  <c r="E212" i="23" s="1"/>
  <c r="F212" i="23" s="1"/>
  <c r="S172" i="23"/>
  <c r="R172" i="23" s="1"/>
  <c r="S133" i="23"/>
  <c r="R133" i="23" s="1"/>
  <c r="S263" i="23"/>
  <c r="R263" i="23" s="1"/>
  <c r="S127" i="23"/>
  <c r="R127" i="23" s="1"/>
  <c r="P127" i="23" s="1"/>
  <c r="V127" i="23" s="1"/>
  <c r="B127" i="23" s="1"/>
  <c r="W127" i="23" s="1"/>
  <c r="S278" i="23"/>
  <c r="R278" i="23" s="1"/>
  <c r="S157" i="23"/>
  <c r="R157" i="23" s="1"/>
  <c r="P157" i="23" s="1"/>
  <c r="V157" i="23" s="1"/>
  <c r="B157" i="23" s="1"/>
  <c r="W157" i="23" s="1"/>
  <c r="S223" i="23"/>
  <c r="R223" i="23" s="1"/>
  <c r="S159" i="23"/>
  <c r="R159" i="23" s="1"/>
  <c r="P159" i="23" s="1"/>
  <c r="V159" i="23" s="1"/>
  <c r="B159" i="23" s="1"/>
  <c r="D159" i="23" s="1"/>
  <c r="E159" i="23" s="1"/>
  <c r="F159" i="23" s="1"/>
  <c r="G159" i="23" s="1"/>
  <c r="CD159" i="6" s="1"/>
  <c r="S240" i="23"/>
  <c r="R240" i="23" s="1"/>
  <c r="S23" i="23"/>
  <c r="R23" i="23" s="1"/>
  <c r="I130" i="22"/>
  <c r="J130" i="22"/>
  <c r="AG249" i="23"/>
  <c r="AF249" i="23" s="1"/>
  <c r="AG48" i="23"/>
  <c r="AF48" i="23" s="1"/>
  <c r="AG40" i="23"/>
  <c r="AF40" i="23" s="1"/>
  <c r="AG214" i="23"/>
  <c r="AF214" i="23" s="1"/>
  <c r="AG213" i="23"/>
  <c r="AF213" i="23" s="1"/>
  <c r="AG320" i="23"/>
  <c r="AF320" i="23" s="1"/>
  <c r="P220" i="23"/>
  <c r="V220" i="23" s="1"/>
  <c r="B220" i="23" s="1"/>
  <c r="D220" i="23" s="1"/>
  <c r="E220" i="23" s="1"/>
  <c r="F220" i="23" s="1"/>
  <c r="G220" i="23" s="1"/>
  <c r="CD220" i="6" s="1"/>
  <c r="P49" i="23"/>
  <c r="V49" i="23" s="1"/>
  <c r="B49" i="23" s="1"/>
  <c r="D49" i="23" s="1"/>
  <c r="E49" i="23" s="1"/>
  <c r="F49" i="23" s="1"/>
  <c r="H49" i="23" s="1"/>
  <c r="P291" i="23"/>
  <c r="V291" i="23" s="1"/>
  <c r="B291" i="23" s="1"/>
  <c r="D291" i="23" s="1"/>
  <c r="E291" i="23" s="1"/>
  <c r="F291" i="23" s="1"/>
  <c r="G291" i="23" s="1"/>
  <c r="CD291" i="6" s="1"/>
  <c r="P89" i="23"/>
  <c r="V89" i="23" s="1"/>
  <c r="B89" i="23" s="1"/>
  <c r="W89" i="23" s="1"/>
  <c r="P261" i="23"/>
  <c r="V261" i="23" s="1"/>
  <c r="B261" i="23" s="1"/>
  <c r="D261" i="23" s="1"/>
  <c r="E261" i="23" s="1"/>
  <c r="F261" i="23" s="1"/>
  <c r="G261" i="23" s="1"/>
  <c r="CD261" i="6" s="1"/>
  <c r="P251" i="23"/>
  <c r="V251" i="23" s="1"/>
  <c r="B251" i="23" s="1"/>
  <c r="D251" i="23" s="1"/>
  <c r="E251" i="23" s="1"/>
  <c r="F251" i="23" s="1"/>
  <c r="P27" i="23"/>
  <c r="V27" i="23" s="1"/>
  <c r="B27" i="23" s="1"/>
  <c r="P55" i="23"/>
  <c r="V55" i="23" s="1"/>
  <c r="B55" i="23" s="1"/>
  <c r="D55" i="23" s="1"/>
  <c r="E55" i="23" s="1"/>
  <c r="F55" i="23" s="1"/>
  <c r="I53" i="22"/>
  <c r="J282" i="22"/>
  <c r="I103" i="22"/>
  <c r="I216" i="22"/>
  <c r="I76" i="22"/>
  <c r="I291" i="22"/>
  <c r="J31" i="22"/>
  <c r="J184" i="22"/>
  <c r="J176" i="22"/>
  <c r="J23" i="22"/>
  <c r="I168" i="22"/>
  <c r="J66" i="22"/>
  <c r="J351" i="22"/>
  <c r="J334" i="22"/>
  <c r="J143" i="22"/>
  <c r="J192" i="22"/>
  <c r="I261" i="22"/>
  <c r="I204" i="22"/>
  <c r="J250" i="22"/>
  <c r="I54" i="22"/>
  <c r="I362" i="22"/>
  <c r="I178" i="22"/>
  <c r="J253" i="22"/>
  <c r="J65" i="22"/>
  <c r="I199" i="22"/>
  <c r="J355" i="22"/>
  <c r="I30" i="22"/>
  <c r="I127" i="22"/>
  <c r="J126" i="22"/>
  <c r="J197" i="22"/>
  <c r="I301" i="22"/>
  <c r="J353" i="22"/>
  <c r="I264" i="22"/>
  <c r="J289" i="22"/>
  <c r="J138" i="22"/>
  <c r="J24" i="22"/>
  <c r="AH15" i="23"/>
  <c r="AG15" i="23" s="1"/>
  <c r="AF15" i="23" s="1"/>
  <c r="U381" i="23"/>
  <c r="U383" i="23"/>
  <c r="U382" i="23"/>
  <c r="T15" i="23"/>
  <c r="T379" i="23"/>
  <c r="S379" i="23" s="1"/>
  <c r="R379" i="23" s="1"/>
  <c r="U12" i="24"/>
  <c r="AT16" i="7"/>
  <c r="AZ11" i="7" s="1"/>
  <c r="U11" i="24" s="1"/>
  <c r="S382" i="22"/>
  <c r="S383" i="22"/>
  <c r="S381" i="22"/>
  <c r="R15" i="22"/>
  <c r="AD383" i="20"/>
  <c r="AD381" i="20"/>
  <c r="AA379" i="20"/>
  <c r="Z379" i="20" s="1"/>
  <c r="Y379" i="20" s="1"/>
  <c r="AD382" i="20"/>
  <c r="AG381" i="22"/>
  <c r="AG382" i="22"/>
  <c r="AG383" i="22"/>
  <c r="AF15" i="22"/>
  <c r="P382" i="20"/>
  <c r="V15" i="20"/>
  <c r="B15" i="20" s="1"/>
  <c r="P381" i="20"/>
  <c r="P383" i="20"/>
  <c r="W15" i="18"/>
  <c r="D15" i="18"/>
  <c r="AJ6" i="18"/>
  <c r="AJ3" i="17"/>
  <c r="O14" i="19" s="1"/>
  <c r="M14" i="19" s="1"/>
  <c r="AL13" i="17"/>
  <c r="J14" i="19"/>
  <c r="AA11" i="17"/>
  <c r="AA5" i="17" s="1"/>
  <c r="I14" i="19" s="1"/>
  <c r="Z11" i="17"/>
  <c r="Z5" i="17" s="1"/>
  <c r="H14" i="19" s="1"/>
  <c r="Y11" i="17"/>
  <c r="AM9" i="18"/>
  <c r="AK9" i="18"/>
  <c r="AK11" i="18" s="1"/>
  <c r="AM13" i="17"/>
  <c r="AK4" i="17"/>
  <c r="R14" i="19" s="1"/>
  <c r="J119" i="22"/>
  <c r="I119" i="22"/>
  <c r="J288" i="22"/>
  <c r="I288" i="22"/>
  <c r="J166" i="22"/>
  <c r="I166" i="22"/>
  <c r="J302" i="22"/>
  <c r="I302" i="22"/>
  <c r="I227" i="22"/>
  <c r="J227" i="22"/>
  <c r="I46" i="22"/>
  <c r="J46" i="22"/>
  <c r="J319" i="22"/>
  <c r="I319" i="22"/>
  <c r="I135" i="22"/>
  <c r="J135" i="22"/>
  <c r="I363" i="22"/>
  <c r="J363" i="22"/>
  <c r="J149" i="22"/>
  <c r="I149" i="22"/>
  <c r="J74" i="22"/>
  <c r="I74" i="22"/>
  <c r="I210" i="22"/>
  <c r="J210" i="22"/>
  <c r="I105" i="22"/>
  <c r="J105" i="22"/>
  <c r="I241" i="22"/>
  <c r="J241" i="22"/>
  <c r="J258" i="22"/>
  <c r="I258" i="22"/>
  <c r="V29" i="23" l="1"/>
  <c r="B29" i="23" s="1"/>
  <c r="W29" i="23" s="1"/>
  <c r="AI12" i="24"/>
  <c r="P147" i="23"/>
  <c r="V147" i="23" s="1"/>
  <c r="B147" i="23" s="1"/>
  <c r="W147" i="23" s="1"/>
  <c r="AD83" i="23"/>
  <c r="AE163" i="23"/>
  <c r="AD163" i="23" s="1"/>
  <c r="AE341" i="23"/>
  <c r="AD341" i="23" s="1"/>
  <c r="AE282" i="23"/>
  <c r="AD282" i="23" s="1"/>
  <c r="AE168" i="23"/>
  <c r="AD168" i="23" s="1"/>
  <c r="AE209" i="23"/>
  <c r="AD209" i="23" s="1"/>
  <c r="AE211" i="23"/>
  <c r="AD211" i="23" s="1"/>
  <c r="AE162" i="23"/>
  <c r="AD162" i="23" s="1"/>
  <c r="AE287" i="23"/>
  <c r="AD287" i="23" s="1"/>
  <c r="AE318" i="23"/>
  <c r="AD318" i="23" s="1"/>
  <c r="AE140" i="23"/>
  <c r="AD140" i="23" s="1"/>
  <c r="AE134" i="23"/>
  <c r="AD134" i="23" s="1"/>
  <c r="AE199" i="23"/>
  <c r="AD199" i="23" s="1"/>
  <c r="AE225" i="23"/>
  <c r="AD225" i="23" s="1"/>
  <c r="AE243" i="23"/>
  <c r="AD243" i="23" s="1"/>
  <c r="AE230" i="23"/>
  <c r="AD230" i="23" s="1"/>
  <c r="AE327" i="23"/>
  <c r="AD327" i="23" s="1"/>
  <c r="AE347" i="23"/>
  <c r="AD347" i="23" s="1"/>
  <c r="AE366" i="23"/>
  <c r="AD366" i="23" s="1"/>
  <c r="AE334" i="23"/>
  <c r="AD334" i="23" s="1"/>
  <c r="AE157" i="23"/>
  <c r="AD157" i="23" s="1"/>
  <c r="AE205" i="23"/>
  <c r="AE219" i="23"/>
  <c r="AD219" i="23" s="1"/>
  <c r="AE171" i="23"/>
  <c r="AD171" i="23" s="1"/>
  <c r="AE322" i="23"/>
  <c r="AE196" i="23"/>
  <c r="AD196" i="23" s="1"/>
  <c r="AE200" i="23"/>
  <c r="AE136" i="23"/>
  <c r="J124" i="22"/>
  <c r="AA67" i="23"/>
  <c r="Z67" i="23" s="1"/>
  <c r="Y67" i="23" s="1"/>
  <c r="AE115" i="23"/>
  <c r="AD115" i="23" s="1"/>
  <c r="AE110" i="23"/>
  <c r="AD110" i="23" s="1"/>
  <c r="AE207" i="23"/>
  <c r="AD207" i="23" s="1"/>
  <c r="AE352" i="23"/>
  <c r="AD352" i="23" s="1"/>
  <c r="AE253" i="23"/>
  <c r="AD253" i="23" s="1"/>
  <c r="AE246" i="23"/>
  <c r="AD246" i="23" s="1"/>
  <c r="AE278" i="23"/>
  <c r="AD278" i="23" s="1"/>
  <c r="AE344" i="23"/>
  <c r="AD344" i="23" s="1"/>
  <c r="AE155" i="23"/>
  <c r="AD155" i="23" s="1"/>
  <c r="AE346" i="23"/>
  <c r="AD346" i="23" s="1"/>
  <c r="AE105" i="23"/>
  <c r="AD105" i="23" s="1"/>
  <c r="AE224" i="23"/>
  <c r="AD224" i="23" s="1"/>
  <c r="AI382" i="23"/>
  <c r="AD217" i="23"/>
  <c r="AD322" i="23"/>
  <c r="AD238" i="23"/>
  <c r="AD144" i="23"/>
  <c r="AI381" i="23"/>
  <c r="AD197" i="23"/>
  <c r="AD48" i="23"/>
  <c r="AD205" i="23"/>
  <c r="AD161" i="23"/>
  <c r="AD146" i="23"/>
  <c r="AD220" i="23"/>
  <c r="AD191" i="23"/>
  <c r="AD158" i="23"/>
  <c r="AD363" i="23"/>
  <c r="AD194" i="23"/>
  <c r="AD200" i="23"/>
  <c r="AA200" i="23" s="1"/>
  <c r="Z200" i="23" s="1"/>
  <c r="Y200" i="23" s="1"/>
  <c r="AI383" i="23"/>
  <c r="AE121" i="23"/>
  <c r="AD121" i="23" s="1"/>
  <c r="AE239" i="23"/>
  <c r="AD239" i="23" s="1"/>
  <c r="AE257" i="23"/>
  <c r="AD257" i="23" s="1"/>
  <c r="AE326" i="23"/>
  <c r="AE283" i="23"/>
  <c r="AD283" i="23" s="1"/>
  <c r="AE172" i="23"/>
  <c r="AD172" i="23" s="1"/>
  <c r="AE276" i="23"/>
  <c r="AD276" i="23" s="1"/>
  <c r="AA276" i="23" s="1"/>
  <c r="Z276" i="23" s="1"/>
  <c r="Y276" i="23" s="1"/>
  <c r="AE264" i="23"/>
  <c r="AE360" i="23"/>
  <c r="AD360" i="23" s="1"/>
  <c r="AE345" i="23"/>
  <c r="AD345" i="23" s="1"/>
  <c r="AE374" i="23"/>
  <c r="AD374" i="23" s="1"/>
  <c r="AE295" i="23"/>
  <c r="AE183" i="23"/>
  <c r="AD183" i="23" s="1"/>
  <c r="AE179" i="23"/>
  <c r="AD179" i="23" s="1"/>
  <c r="AE106" i="23"/>
  <c r="AD106" i="23" s="1"/>
  <c r="AE159" i="23"/>
  <c r="AD159" i="23" s="1"/>
  <c r="AE137" i="23"/>
  <c r="AD137" i="23" s="1"/>
  <c r="AE204" i="23"/>
  <c r="AD204" i="23" s="1"/>
  <c r="AE107" i="23"/>
  <c r="AD107" i="23" s="1"/>
  <c r="AE210" i="23"/>
  <c r="AD210" i="23" s="1"/>
  <c r="AE148" i="23"/>
  <c r="AD148" i="23" s="1"/>
  <c r="AA148" i="23" s="1"/>
  <c r="Z148" i="23" s="1"/>
  <c r="Y148" i="23" s="1"/>
  <c r="AE212" i="23"/>
  <c r="AD212" i="23" s="1"/>
  <c r="AE311" i="23"/>
  <c r="AD311" i="23" s="1"/>
  <c r="AE340" i="23"/>
  <c r="AD340" i="23" s="1"/>
  <c r="AE272" i="23"/>
  <c r="AD272" i="23" s="1"/>
  <c r="AE317" i="23"/>
  <c r="AD317" i="23" s="1"/>
  <c r="AE291" i="23"/>
  <c r="AD291" i="23" s="1"/>
  <c r="AA291" i="23" s="1"/>
  <c r="Z291" i="23" s="1"/>
  <c r="Y291" i="23" s="1"/>
  <c r="AE255" i="23"/>
  <c r="AD255" i="23" s="1"/>
  <c r="AE300" i="23"/>
  <c r="AD300" i="23" s="1"/>
  <c r="AE203" i="23"/>
  <c r="AD203" i="23" s="1"/>
  <c r="AA203" i="23" s="1"/>
  <c r="Z203" i="23" s="1"/>
  <c r="Y203" i="23" s="1"/>
  <c r="AE118" i="23"/>
  <c r="AD118" i="23" s="1"/>
  <c r="AE376" i="23"/>
  <c r="AD376" i="23" s="1"/>
  <c r="AE331" i="23"/>
  <c r="AD331" i="23" s="1"/>
  <c r="AE337" i="23"/>
  <c r="AD337" i="23" s="1"/>
  <c r="AE284" i="23"/>
  <c r="AD284" i="23" s="1"/>
  <c r="AE133" i="23"/>
  <c r="AD133" i="23" s="1"/>
  <c r="AE180" i="23"/>
  <c r="AD180" i="23" s="1"/>
  <c r="AE198" i="23"/>
  <c r="AD198" i="23" s="1"/>
  <c r="AA198" i="23" s="1"/>
  <c r="Z198" i="23" s="1"/>
  <c r="Y198" i="23" s="1"/>
  <c r="AE166" i="23"/>
  <c r="AD166" i="23" s="1"/>
  <c r="AE119" i="23"/>
  <c r="AD119" i="23" s="1"/>
  <c r="AE258" i="23"/>
  <c r="AD258" i="23" s="1"/>
  <c r="AE108" i="23"/>
  <c r="AD108" i="23" s="1"/>
  <c r="AA108" i="23" s="1"/>
  <c r="Z108" i="23" s="1"/>
  <c r="Y108" i="23" s="1"/>
  <c r="AE223" i="23"/>
  <c r="AD223" i="23" s="1"/>
  <c r="AE153" i="23"/>
  <c r="AD153" i="23" s="1"/>
  <c r="AE378" i="23"/>
  <c r="AD378" i="23" s="1"/>
  <c r="AE240" i="23"/>
  <c r="AD240" i="23" s="1"/>
  <c r="AE316" i="23"/>
  <c r="AD316" i="23" s="1"/>
  <c r="AE122" i="23"/>
  <c r="AD122" i="23" s="1"/>
  <c r="AE348" i="23"/>
  <c r="AD348" i="23" s="1"/>
  <c r="AE286" i="23"/>
  <c r="AD286" i="23" s="1"/>
  <c r="AE176" i="23"/>
  <c r="AD176" i="23" s="1"/>
  <c r="AA176" i="23" s="1"/>
  <c r="Z176" i="23" s="1"/>
  <c r="Y176" i="23" s="1"/>
  <c r="AE369" i="23"/>
  <c r="AD369" i="23" s="1"/>
  <c r="AE132" i="23"/>
  <c r="AD132" i="23" s="1"/>
  <c r="AE342" i="23"/>
  <c r="AD342" i="23" s="1"/>
  <c r="AE251" i="23"/>
  <c r="AD251" i="23" s="1"/>
  <c r="AA251" i="23" s="1"/>
  <c r="Z251" i="23" s="1"/>
  <c r="Y251" i="23" s="1"/>
  <c r="AE150" i="23"/>
  <c r="AD150" i="23" s="1"/>
  <c r="AA150" i="23" s="1"/>
  <c r="Z150" i="23" s="1"/>
  <c r="Y150" i="23" s="1"/>
  <c r="AE165" i="23"/>
  <c r="AD165" i="23" s="1"/>
  <c r="AE192" i="23"/>
  <c r="AD192" i="23" s="1"/>
  <c r="AE189" i="23"/>
  <c r="AD189" i="23" s="1"/>
  <c r="AE351" i="23"/>
  <c r="AD351" i="23" s="1"/>
  <c r="AE114" i="23"/>
  <c r="AD114" i="23" s="1"/>
  <c r="AE312" i="23"/>
  <c r="AD312" i="23" s="1"/>
  <c r="AE190" i="23"/>
  <c r="AD190" i="23" s="1"/>
  <c r="AA190" i="23" s="1"/>
  <c r="Z190" i="23" s="1"/>
  <c r="Y190" i="23" s="1"/>
  <c r="H44" i="23"/>
  <c r="J44" i="23" s="1"/>
  <c r="I167" i="22"/>
  <c r="J324" i="22"/>
  <c r="J245" i="22"/>
  <c r="J189" i="22"/>
  <c r="J247" i="22"/>
  <c r="P23" i="23"/>
  <c r="V23" i="23" s="1"/>
  <c r="B23" i="23" s="1"/>
  <c r="W23" i="23" s="1"/>
  <c r="P260" i="23"/>
  <c r="V260" i="23" s="1"/>
  <c r="B260" i="23" s="1"/>
  <c r="W260" i="23" s="1"/>
  <c r="P333" i="23"/>
  <c r="V333" i="23" s="1"/>
  <c r="B333" i="23" s="1"/>
  <c r="W333" i="23" s="1"/>
  <c r="H160" i="23"/>
  <c r="J160" i="23" s="1"/>
  <c r="AA272" i="22"/>
  <c r="Z272" i="22" s="1"/>
  <c r="Y272" i="22" s="1"/>
  <c r="I165" i="22"/>
  <c r="J113" i="22"/>
  <c r="W217" i="23"/>
  <c r="I104" i="22"/>
  <c r="I125" i="22"/>
  <c r="H272" i="22"/>
  <c r="J272" i="22" s="1"/>
  <c r="I198" i="22"/>
  <c r="H198" i="23" s="1"/>
  <c r="I198" i="23" s="1"/>
  <c r="I274" i="22"/>
  <c r="J115" i="22"/>
  <c r="I88" i="22"/>
  <c r="I270" i="22"/>
  <c r="J320" i="22"/>
  <c r="J239" i="22"/>
  <c r="I41" i="22"/>
  <c r="I140" i="22"/>
  <c r="I338" i="22"/>
  <c r="I27" i="22"/>
  <c r="J329" i="22"/>
  <c r="I203" i="22"/>
  <c r="H203" i="23" s="1"/>
  <c r="J203" i="23" s="1"/>
  <c r="I146" i="22"/>
  <c r="J312" i="22"/>
  <c r="I129" i="22"/>
  <c r="I212" i="22"/>
  <c r="H212" i="23" s="1"/>
  <c r="J212" i="23" s="1"/>
  <c r="J347" i="22"/>
  <c r="G180" i="22"/>
  <c r="CC180" i="6" s="1"/>
  <c r="H180" i="22"/>
  <c r="I180" i="22" s="1"/>
  <c r="I139" i="22"/>
  <c r="H139" i="23" s="1"/>
  <c r="J139" i="23" s="1"/>
  <c r="I16" i="22"/>
  <c r="H30" i="23"/>
  <c r="J30" i="23" s="1"/>
  <c r="H282" i="23"/>
  <c r="I282" i="23" s="1"/>
  <c r="I350" i="22"/>
  <c r="I273" i="22"/>
  <c r="H176" i="23"/>
  <c r="J176" i="23" s="1"/>
  <c r="G91" i="23"/>
  <c r="CD91" i="6" s="1"/>
  <c r="W160" i="23"/>
  <c r="W200" i="23"/>
  <c r="H111" i="23"/>
  <c r="I111" i="23" s="1"/>
  <c r="AA170" i="23"/>
  <c r="Z170" i="23" s="1"/>
  <c r="Y170" i="23" s="1"/>
  <c r="H69" i="23"/>
  <c r="J69" i="23" s="1"/>
  <c r="H206" i="23"/>
  <c r="J206" i="23" s="1"/>
  <c r="W249" i="23"/>
  <c r="D249" i="23"/>
  <c r="E249" i="23" s="1"/>
  <c r="F249" i="23" s="1"/>
  <c r="H249" i="23" s="1"/>
  <c r="I249" i="23" s="1"/>
  <c r="W246" i="23"/>
  <c r="D246" i="23"/>
  <c r="E246" i="23" s="1"/>
  <c r="F246" i="23" s="1"/>
  <c r="H246" i="23" s="1"/>
  <c r="I246" i="23" s="1"/>
  <c r="H173" i="23"/>
  <c r="I173" i="23" s="1"/>
  <c r="G200" i="23"/>
  <c r="CD200" i="6" s="1"/>
  <c r="H109" i="23"/>
  <c r="I109" i="23" s="1"/>
  <c r="AH46" i="7"/>
  <c r="D66" i="23"/>
  <c r="E66" i="23" s="1"/>
  <c r="F66" i="23" s="1"/>
  <c r="AA66" i="23" s="1"/>
  <c r="Z66" i="23" s="1"/>
  <c r="Y66" i="23" s="1"/>
  <c r="P379" i="23"/>
  <c r="D42" i="19" s="1"/>
  <c r="W69" i="23"/>
  <c r="W44" i="23"/>
  <c r="AD40" i="23"/>
  <c r="P240" i="23"/>
  <c r="V240" i="23" s="1"/>
  <c r="B240" i="23" s="1"/>
  <c r="W240" i="23" s="1"/>
  <c r="P232" i="23"/>
  <c r="V232" i="23" s="1"/>
  <c r="B232" i="23" s="1"/>
  <c r="D232" i="23" s="1"/>
  <c r="E232" i="23" s="1"/>
  <c r="F232" i="23" s="1"/>
  <c r="G232" i="23" s="1"/>
  <c r="CD232" i="6" s="1"/>
  <c r="P351" i="23"/>
  <c r="V351" i="23" s="1"/>
  <c r="B351" i="23" s="1"/>
  <c r="D351" i="23" s="1"/>
  <c r="E351" i="23" s="1"/>
  <c r="F351" i="23" s="1"/>
  <c r="G351" i="23" s="1"/>
  <c r="CD351" i="6" s="1"/>
  <c r="P247" i="23"/>
  <c r="V247" i="23" s="1"/>
  <c r="B247" i="23" s="1"/>
  <c r="D247" i="23" s="1"/>
  <c r="E247" i="23" s="1"/>
  <c r="F247" i="23" s="1"/>
  <c r="P60" i="23"/>
  <c r="V60" i="23" s="1"/>
  <c r="B60" i="23" s="1"/>
  <c r="W60" i="23" s="1"/>
  <c r="P41" i="23"/>
  <c r="V41" i="23" s="1"/>
  <c r="B41" i="23" s="1"/>
  <c r="D41" i="23" s="1"/>
  <c r="E41" i="23" s="1"/>
  <c r="F41" i="23" s="1"/>
  <c r="G41" i="23" s="1"/>
  <c r="CD41" i="6" s="1"/>
  <c r="P59" i="23"/>
  <c r="V59" i="23" s="1"/>
  <c r="B59" i="23" s="1"/>
  <c r="D59" i="23" s="1"/>
  <c r="E59" i="23" s="1"/>
  <c r="F59" i="23" s="1"/>
  <c r="AA59" i="23" s="1"/>
  <c r="Z59" i="23" s="1"/>
  <c r="Y59" i="23" s="1"/>
  <c r="P226" i="23"/>
  <c r="V226" i="23" s="1"/>
  <c r="B226" i="23" s="1"/>
  <c r="D226" i="23" s="1"/>
  <c r="E226" i="23" s="1"/>
  <c r="F226" i="23" s="1"/>
  <c r="H226" i="23" s="1"/>
  <c r="J226" i="23" s="1"/>
  <c r="AA91" i="23"/>
  <c r="Z91" i="23" s="1"/>
  <c r="Y91" i="23" s="1"/>
  <c r="P133" i="23"/>
  <c r="V133" i="23" s="1"/>
  <c r="B133" i="23" s="1"/>
  <c r="D133" i="23" s="1"/>
  <c r="E133" i="23" s="1"/>
  <c r="F133" i="23" s="1"/>
  <c r="H133" i="23" s="1"/>
  <c r="J133" i="23" s="1"/>
  <c r="P309" i="23"/>
  <c r="V309" i="23" s="1"/>
  <c r="B309" i="23" s="1"/>
  <c r="D309" i="23" s="1"/>
  <c r="E309" i="23" s="1"/>
  <c r="F309" i="23" s="1"/>
  <c r="G309" i="23" s="1"/>
  <c r="CD309" i="6" s="1"/>
  <c r="P250" i="23"/>
  <c r="V250" i="23" s="1"/>
  <c r="B250" i="23" s="1"/>
  <c r="D250" i="23" s="1"/>
  <c r="E250" i="23" s="1"/>
  <c r="F250" i="23" s="1"/>
  <c r="H250" i="23" s="1"/>
  <c r="I250" i="23" s="1"/>
  <c r="P296" i="23"/>
  <c r="V296" i="23" s="1"/>
  <c r="B296" i="23" s="1"/>
  <c r="D296" i="23" s="1"/>
  <c r="E296" i="23" s="1"/>
  <c r="F296" i="23" s="1"/>
  <c r="G296" i="23" s="1"/>
  <c r="CD296" i="6" s="1"/>
  <c r="P101" i="23"/>
  <c r="V101" i="23" s="1"/>
  <c r="B101" i="23" s="1"/>
  <c r="D101" i="23" s="1"/>
  <c r="E101" i="23" s="1"/>
  <c r="F101" i="23" s="1"/>
  <c r="G101" i="23" s="1"/>
  <c r="CD101" i="6" s="1"/>
  <c r="AA282" i="23"/>
  <c r="Z282" i="23" s="1"/>
  <c r="Y282" i="23" s="1"/>
  <c r="AA358" i="23"/>
  <c r="Z358" i="23" s="1"/>
  <c r="Y358" i="23" s="1"/>
  <c r="AE147" i="23"/>
  <c r="AD147" i="23" s="1"/>
  <c r="AE185" i="23"/>
  <c r="AD185" i="23" s="1"/>
  <c r="AE241" i="23"/>
  <c r="AD241" i="23" s="1"/>
  <c r="AE234" i="23"/>
  <c r="AD234" i="23" s="1"/>
  <c r="AE177" i="23"/>
  <c r="AD177" i="23" s="1"/>
  <c r="AA177" i="23" s="1"/>
  <c r="Z177" i="23" s="1"/>
  <c r="Y177" i="23" s="1"/>
  <c r="AE275" i="23"/>
  <c r="AD275" i="23" s="1"/>
  <c r="AE156" i="23"/>
  <c r="AD156" i="23" s="1"/>
  <c r="AE125" i="23"/>
  <c r="AD125" i="23" s="1"/>
  <c r="AE135" i="23"/>
  <c r="AD135" i="23" s="1"/>
  <c r="AE184" i="23"/>
  <c r="AD184" i="23" s="1"/>
  <c r="AE104" i="23"/>
  <c r="AD104" i="23" s="1"/>
  <c r="AE274" i="23"/>
  <c r="AD274" i="23" s="1"/>
  <c r="AE299" i="23"/>
  <c r="AD299" i="23" s="1"/>
  <c r="AE343" i="23"/>
  <c r="AD343" i="23" s="1"/>
  <c r="AE221" i="23"/>
  <c r="AD221" i="23" s="1"/>
  <c r="AE375" i="23"/>
  <c r="AD375" i="23" s="1"/>
  <c r="AA375" i="23" s="1"/>
  <c r="Z375" i="23" s="1"/>
  <c r="Y375" i="23" s="1"/>
  <c r="AE335" i="23"/>
  <c r="AD335" i="23" s="1"/>
  <c r="AE127" i="23"/>
  <c r="AD127" i="23" s="1"/>
  <c r="AE310" i="23"/>
  <c r="AD310" i="23" s="1"/>
  <c r="AE195" i="23"/>
  <c r="AD195" i="23" s="1"/>
  <c r="AE143" i="23"/>
  <c r="AD143" i="23" s="1"/>
  <c r="AE142" i="23"/>
  <c r="AD142" i="23" s="1"/>
  <c r="AE319" i="23"/>
  <c r="AD319" i="23" s="1"/>
  <c r="AE235" i="23"/>
  <c r="AD235" i="23" s="1"/>
  <c r="AE368" i="23"/>
  <c r="AD368" i="23" s="1"/>
  <c r="AE188" i="23"/>
  <c r="AD188" i="23" s="1"/>
  <c r="AA188" i="23" s="1"/>
  <c r="Z188" i="23" s="1"/>
  <c r="Y188" i="23" s="1"/>
  <c r="AE181" i="23"/>
  <c r="AD181" i="23" s="1"/>
  <c r="AA181" i="23" s="1"/>
  <c r="Z181" i="23" s="1"/>
  <c r="Y181" i="23" s="1"/>
  <c r="AE288" i="23"/>
  <c r="AD288" i="23" s="1"/>
  <c r="AE314" i="23"/>
  <c r="AD314" i="23" s="1"/>
  <c r="AE202" i="23"/>
  <c r="AD202" i="23" s="1"/>
  <c r="AE333" i="23"/>
  <c r="AD333" i="23" s="1"/>
  <c r="AE298" i="23"/>
  <c r="AD298" i="23" s="1"/>
  <c r="AE309" i="23"/>
  <c r="AD309" i="23" s="1"/>
  <c r="AE208" i="23"/>
  <c r="AD208" i="23" s="1"/>
  <c r="AE305" i="23"/>
  <c r="AD305" i="23" s="1"/>
  <c r="AE267" i="23"/>
  <c r="AD267" i="23" s="1"/>
  <c r="AE216" i="23"/>
  <c r="AD216" i="23" s="1"/>
  <c r="AA216" i="23" s="1"/>
  <c r="Z216" i="23" s="1"/>
  <c r="Y216" i="23" s="1"/>
  <c r="AE355" i="23"/>
  <c r="AD355" i="23" s="1"/>
  <c r="AE292" i="23"/>
  <c r="AD292" i="23" s="1"/>
  <c r="AE306" i="23"/>
  <c r="AD306" i="23" s="1"/>
  <c r="AE182" i="23"/>
  <c r="AD182" i="23" s="1"/>
  <c r="AE248" i="23"/>
  <c r="AD248" i="23" s="1"/>
  <c r="AE123" i="23"/>
  <c r="AD123" i="23" s="1"/>
  <c r="AE206" i="23"/>
  <c r="AE193" i="23"/>
  <c r="AD193" i="23" s="1"/>
  <c r="AE302" i="23"/>
  <c r="AD302" i="23" s="1"/>
  <c r="AE218" i="23"/>
  <c r="AD218" i="23" s="1"/>
  <c r="AE289" i="23"/>
  <c r="AD289" i="23" s="1"/>
  <c r="AE124" i="23"/>
  <c r="AD124" i="23" s="1"/>
  <c r="AA124" i="23" s="1"/>
  <c r="Z124" i="23" s="1"/>
  <c r="Y124" i="23" s="1"/>
  <c r="AE296" i="23"/>
  <c r="AD296" i="23" s="1"/>
  <c r="AE152" i="23"/>
  <c r="AD152" i="23" s="1"/>
  <c r="AE126" i="23"/>
  <c r="AD126" i="23" s="1"/>
  <c r="AE325" i="23"/>
  <c r="AD325" i="23" s="1"/>
  <c r="AE229" i="23"/>
  <c r="AD229" i="23" s="1"/>
  <c r="AE359" i="23"/>
  <c r="AD359" i="23" s="1"/>
  <c r="AE370" i="23"/>
  <c r="AD370" i="23" s="1"/>
  <c r="AE187" i="23"/>
  <c r="AD187" i="23" s="1"/>
  <c r="AE361" i="23"/>
  <c r="AD361" i="23" s="1"/>
  <c r="AE154" i="23"/>
  <c r="AD154" i="23" s="1"/>
  <c r="AE245" i="23"/>
  <c r="AD245" i="23" s="1"/>
  <c r="AE231" i="23"/>
  <c r="AD231" i="23" s="1"/>
  <c r="AE236" i="23"/>
  <c r="AD236" i="23" s="1"/>
  <c r="AE261" i="23"/>
  <c r="AD261" i="23" s="1"/>
  <c r="AA261" i="23" s="1"/>
  <c r="Z261" i="23" s="1"/>
  <c r="Y261" i="23" s="1"/>
  <c r="AE350" i="23"/>
  <c r="AD350" i="23" s="1"/>
  <c r="AE294" i="23"/>
  <c r="AD294" i="23" s="1"/>
  <c r="AE112" i="23"/>
  <c r="AD112" i="23" s="1"/>
  <c r="AE301" i="23"/>
  <c r="AE117" i="23"/>
  <c r="AD117" i="23" s="1"/>
  <c r="AE308" i="23"/>
  <c r="AD308" i="23" s="1"/>
  <c r="AE332" i="23"/>
  <c r="AD332" i="23" s="1"/>
  <c r="AA332" i="23" s="1"/>
  <c r="Z332" i="23" s="1"/>
  <c r="Y332" i="23" s="1"/>
  <c r="AE321" i="23"/>
  <c r="AD321" i="23" s="1"/>
  <c r="AE138" i="23"/>
  <c r="AD138" i="23" s="1"/>
  <c r="AA138" i="23" s="1"/>
  <c r="Z138" i="23" s="1"/>
  <c r="Y138" i="23" s="1"/>
  <c r="AE280" i="23"/>
  <c r="AD280" i="23" s="1"/>
  <c r="AE228" i="23"/>
  <c r="AD228" i="23" s="1"/>
  <c r="AE175" i="23"/>
  <c r="AD175" i="23" s="1"/>
  <c r="AE290" i="23"/>
  <c r="AD290" i="23" s="1"/>
  <c r="AE330" i="23"/>
  <c r="AD330" i="23" s="1"/>
  <c r="AE270" i="23"/>
  <c r="AD270" i="23" s="1"/>
  <c r="AE214" i="23"/>
  <c r="AD214" i="23" s="1"/>
  <c r="AE277" i="23"/>
  <c r="AD277" i="23" s="1"/>
  <c r="AE373" i="23"/>
  <c r="AD373" i="23" s="1"/>
  <c r="AE167" i="23"/>
  <c r="AD167" i="23" s="1"/>
  <c r="AE377" i="23"/>
  <c r="AD377" i="23" s="1"/>
  <c r="AE268" i="23"/>
  <c r="AD268" i="23" s="1"/>
  <c r="AE259" i="23"/>
  <c r="AD259" i="23" s="1"/>
  <c r="AE336" i="23"/>
  <c r="AD336" i="23" s="1"/>
  <c r="AE129" i="23"/>
  <c r="AD129" i="23" s="1"/>
  <c r="AE256" i="23"/>
  <c r="AD256" i="23" s="1"/>
  <c r="AA256" i="23" s="1"/>
  <c r="Z256" i="23" s="1"/>
  <c r="Y256" i="23" s="1"/>
  <c r="AE247" i="23"/>
  <c r="AD247" i="23" s="1"/>
  <c r="AE265" i="23"/>
  <c r="AD265" i="23" s="1"/>
  <c r="AE244" i="23"/>
  <c r="AD244" i="23" s="1"/>
  <c r="AE109" i="23"/>
  <c r="AD109" i="23" s="1"/>
  <c r="AA109" i="23" s="1"/>
  <c r="Z109" i="23" s="1"/>
  <c r="Y109" i="23" s="1"/>
  <c r="AE151" i="23"/>
  <c r="AD151" i="23" s="1"/>
  <c r="AE160" i="23"/>
  <c r="AD160" i="23" s="1"/>
  <c r="AA160" i="23" s="1"/>
  <c r="Z160" i="23" s="1"/>
  <c r="Y160" i="23" s="1"/>
  <c r="AE178" i="23"/>
  <c r="AE371" i="23"/>
  <c r="AD371" i="23" s="1"/>
  <c r="AE174" i="23"/>
  <c r="AD174" i="23" s="1"/>
  <c r="AA174" i="23" s="1"/>
  <c r="Z174" i="23" s="1"/>
  <c r="Y174" i="23" s="1"/>
  <c r="AE328" i="23"/>
  <c r="AD328" i="23" s="1"/>
  <c r="AE339" i="23"/>
  <c r="AD339" i="23" s="1"/>
  <c r="AE130" i="23"/>
  <c r="AD130" i="23" s="1"/>
  <c r="AE201" i="23"/>
  <c r="AD201" i="23" s="1"/>
  <c r="AE297" i="23"/>
  <c r="AD297" i="23" s="1"/>
  <c r="AE213" i="23"/>
  <c r="AD213" i="23" s="1"/>
  <c r="AE329" i="23"/>
  <c r="AD329" i="23" s="1"/>
  <c r="AE353" i="23"/>
  <c r="AD353" i="23" s="1"/>
  <c r="AA353" i="23" s="1"/>
  <c r="Z353" i="23" s="1"/>
  <c r="Y353" i="23" s="1"/>
  <c r="AE338" i="23"/>
  <c r="AD338" i="23" s="1"/>
  <c r="AE307" i="23"/>
  <c r="AD307" i="23" s="1"/>
  <c r="AA307" i="23" s="1"/>
  <c r="Z307" i="23" s="1"/>
  <c r="Y307" i="23" s="1"/>
  <c r="AE372" i="23"/>
  <c r="AD372" i="23" s="1"/>
  <c r="AE233" i="23"/>
  <c r="AD233" i="23" s="1"/>
  <c r="AA233" i="23" s="1"/>
  <c r="Z233" i="23" s="1"/>
  <c r="Y233" i="23" s="1"/>
  <c r="AE365" i="23"/>
  <c r="AD365" i="23" s="1"/>
  <c r="AE249" i="23"/>
  <c r="AD249" i="23" s="1"/>
  <c r="AE164" i="23"/>
  <c r="AD164" i="23" s="1"/>
  <c r="AE237" i="23"/>
  <c r="AD237" i="23" s="1"/>
  <c r="AE279" i="23"/>
  <c r="AD279" i="23" s="1"/>
  <c r="AE111" i="23"/>
  <c r="AD111" i="23" s="1"/>
  <c r="AA111" i="23" s="1"/>
  <c r="Z111" i="23" s="1"/>
  <c r="Y111" i="23" s="1"/>
  <c r="AE215" i="23"/>
  <c r="AD215" i="23" s="1"/>
  <c r="AE364" i="23"/>
  <c r="AD364" i="23" s="1"/>
  <c r="AE128" i="23"/>
  <c r="AD128" i="23" s="1"/>
  <c r="AE293" i="23"/>
  <c r="AD293" i="23" s="1"/>
  <c r="AE273" i="23"/>
  <c r="AD273" i="23" s="1"/>
  <c r="AE266" i="23"/>
  <c r="AD266" i="23" s="1"/>
  <c r="AE254" i="23"/>
  <c r="AD254" i="23" s="1"/>
  <c r="AE227" i="23"/>
  <c r="AD227" i="23" s="1"/>
  <c r="AE141" i="23"/>
  <c r="AD141" i="23" s="1"/>
  <c r="AE116" i="23"/>
  <c r="AD116" i="23" s="1"/>
  <c r="AE226" i="23"/>
  <c r="AD226" i="23" s="1"/>
  <c r="AE260" i="23"/>
  <c r="AD260" i="23" s="1"/>
  <c r="AE320" i="23"/>
  <c r="AD320" i="23" s="1"/>
  <c r="AE315" i="23"/>
  <c r="AD315" i="23" s="1"/>
  <c r="AE354" i="23"/>
  <c r="AD354" i="23" s="1"/>
  <c r="AE232" i="23"/>
  <c r="AD232" i="23" s="1"/>
  <c r="AE379" i="23"/>
  <c r="AE12" i="24" s="1"/>
  <c r="AE303" i="23"/>
  <c r="AD303" i="23" s="1"/>
  <c r="AE367" i="23"/>
  <c r="AD367" i="23" s="1"/>
  <c r="AE252" i="23"/>
  <c r="AD252" i="23" s="1"/>
  <c r="AE281" i="23"/>
  <c r="AD281" i="23" s="1"/>
  <c r="AE113" i="23"/>
  <c r="AD113" i="23" s="1"/>
  <c r="AE269" i="23"/>
  <c r="AD269" i="23" s="1"/>
  <c r="AA269" i="23" s="1"/>
  <c r="Z269" i="23" s="1"/>
  <c r="Y269" i="23" s="1"/>
  <c r="AE271" i="23"/>
  <c r="AD271" i="23" s="1"/>
  <c r="AE149" i="23"/>
  <c r="AD149" i="23" s="1"/>
  <c r="AE131" i="23"/>
  <c r="AD131" i="23" s="1"/>
  <c r="AE173" i="23"/>
  <c r="AD173" i="23" s="1"/>
  <c r="AA173" i="23" s="1"/>
  <c r="Z173" i="23" s="1"/>
  <c r="Y173" i="23" s="1"/>
  <c r="I187" i="22"/>
  <c r="J187" i="22"/>
  <c r="I154" i="22"/>
  <c r="J154" i="22"/>
  <c r="AD178" i="23"/>
  <c r="AD206" i="23"/>
  <c r="AA206" i="23" s="1"/>
  <c r="Z206" i="23" s="1"/>
  <c r="Y206" i="23" s="1"/>
  <c r="AD301" i="23"/>
  <c r="D163" i="23"/>
  <c r="E163" i="23" s="1"/>
  <c r="F163" i="23" s="1"/>
  <c r="H163" i="23" s="1"/>
  <c r="I163" i="23" s="1"/>
  <c r="AA94" i="23"/>
  <c r="Z94" i="23" s="1"/>
  <c r="Y94" i="23" s="1"/>
  <c r="AA204" i="23"/>
  <c r="Z204" i="23" s="1"/>
  <c r="Y204" i="23" s="1"/>
  <c r="D58" i="23"/>
  <c r="E58" i="23" s="1"/>
  <c r="F58" i="23" s="1"/>
  <c r="G58" i="23" s="1"/>
  <c r="CD58" i="6" s="1"/>
  <c r="W58" i="23"/>
  <c r="H52" i="23"/>
  <c r="J52" i="23" s="1"/>
  <c r="AD15" i="23"/>
  <c r="H276" i="23"/>
  <c r="I276" i="23" s="1"/>
  <c r="H170" i="23"/>
  <c r="I170" i="23" s="1"/>
  <c r="G358" i="23"/>
  <c r="CD358" i="6" s="1"/>
  <c r="H84" i="23"/>
  <c r="I84" i="23" s="1"/>
  <c r="H108" i="23"/>
  <c r="I108" i="23" s="1"/>
  <c r="H124" i="23"/>
  <c r="D305" i="23"/>
  <c r="E305" i="23" s="1"/>
  <c r="F305" i="23" s="1"/>
  <c r="G305" i="23" s="1"/>
  <c r="CD305" i="6" s="1"/>
  <c r="W307" i="23"/>
  <c r="D371" i="23"/>
  <c r="E371" i="23" s="1"/>
  <c r="F371" i="23" s="1"/>
  <c r="G371" i="23" s="1"/>
  <c r="CD371" i="6" s="1"/>
  <c r="D273" i="23"/>
  <c r="E273" i="23" s="1"/>
  <c r="F273" i="23" s="1"/>
  <c r="G273" i="23" s="1"/>
  <c r="CD273" i="6" s="1"/>
  <c r="D308" i="23"/>
  <c r="E308" i="23" s="1"/>
  <c r="F308" i="23" s="1"/>
  <c r="H308" i="23" s="1"/>
  <c r="I308" i="23" s="1"/>
  <c r="V363" i="23"/>
  <c r="B363" i="23" s="1"/>
  <c r="D363" i="23" s="1"/>
  <c r="E363" i="23" s="1"/>
  <c r="F363" i="23" s="1"/>
  <c r="H363" i="23" s="1"/>
  <c r="AA74" i="23"/>
  <c r="Z74" i="23" s="1"/>
  <c r="Y74" i="23" s="1"/>
  <c r="AD326" i="23"/>
  <c r="AD242" i="23"/>
  <c r="AD262" i="23"/>
  <c r="AA262" i="23" s="1"/>
  <c r="Z262" i="23" s="1"/>
  <c r="Y262" i="23" s="1"/>
  <c r="P223" i="23"/>
  <c r="V223" i="23" s="1"/>
  <c r="B223" i="23" s="1"/>
  <c r="W223" i="23" s="1"/>
  <c r="P278" i="23"/>
  <c r="V278" i="23" s="1"/>
  <c r="B278" i="23" s="1"/>
  <c r="W278" i="23" s="1"/>
  <c r="P263" i="23"/>
  <c r="V263" i="23" s="1"/>
  <c r="B263" i="23" s="1"/>
  <c r="W263" i="23" s="1"/>
  <c r="P172" i="23"/>
  <c r="V172" i="23" s="1"/>
  <c r="B172" i="23" s="1"/>
  <c r="D172" i="23" s="1"/>
  <c r="E172" i="23" s="1"/>
  <c r="F172" i="23" s="1"/>
  <c r="H172" i="23" s="1"/>
  <c r="I172" i="23" s="1"/>
  <c r="P214" i="23"/>
  <c r="V214" i="23" s="1"/>
  <c r="B214" i="23" s="1"/>
  <c r="D214" i="23" s="1"/>
  <c r="E214" i="23" s="1"/>
  <c r="F214" i="23" s="1"/>
  <c r="G214" i="23" s="1"/>
  <c r="CD214" i="6" s="1"/>
  <c r="P56" i="23"/>
  <c r="V56" i="23" s="1"/>
  <c r="B56" i="23" s="1"/>
  <c r="W56" i="23" s="1"/>
  <c r="P229" i="23"/>
  <c r="V229" i="23" s="1"/>
  <c r="B229" i="23" s="1"/>
  <c r="D229" i="23" s="1"/>
  <c r="E229" i="23" s="1"/>
  <c r="F229" i="23" s="1"/>
  <c r="H229" i="23" s="1"/>
  <c r="I229" i="23" s="1"/>
  <c r="P284" i="23"/>
  <c r="V284" i="23" s="1"/>
  <c r="B284" i="23" s="1"/>
  <c r="W284" i="23" s="1"/>
  <c r="P182" i="23"/>
  <c r="V182" i="23" s="1"/>
  <c r="B182" i="23" s="1"/>
  <c r="W182" i="23" s="1"/>
  <c r="P331" i="23"/>
  <c r="V331" i="23" s="1"/>
  <c r="B331" i="23" s="1"/>
  <c r="D331" i="23" s="1"/>
  <c r="E331" i="23" s="1"/>
  <c r="F331" i="23" s="1"/>
  <c r="H331" i="23" s="1"/>
  <c r="J331" i="23" s="1"/>
  <c r="P42" i="23"/>
  <c r="V42" i="23" s="1"/>
  <c r="B42" i="23" s="1"/>
  <c r="D42" i="23" s="1"/>
  <c r="E42" i="23" s="1"/>
  <c r="F42" i="23" s="1"/>
  <c r="G42" i="23" s="1"/>
  <c r="CD42" i="6" s="1"/>
  <c r="P310" i="23"/>
  <c r="V310" i="23" s="1"/>
  <c r="B310" i="23" s="1"/>
  <c r="D310" i="23" s="1"/>
  <c r="E310" i="23" s="1"/>
  <c r="F310" i="23" s="1"/>
  <c r="H310" i="23" s="1"/>
  <c r="J310" i="23" s="1"/>
  <c r="AD264" i="23"/>
  <c r="AD222" i="23"/>
  <c r="AD29" i="23"/>
  <c r="AD63" i="23"/>
  <c r="D47" i="23"/>
  <c r="E47" i="23" s="1"/>
  <c r="F47" i="23" s="1"/>
  <c r="W47" i="23"/>
  <c r="AA47" i="23"/>
  <c r="Z47" i="23" s="1"/>
  <c r="Y47" i="23" s="1"/>
  <c r="P365" i="23"/>
  <c r="V365" i="23" s="1"/>
  <c r="B365" i="23" s="1"/>
  <c r="W365" i="23" s="1"/>
  <c r="AD285" i="23"/>
  <c r="AD295" i="23"/>
  <c r="G181" i="23"/>
  <c r="CD181" i="6" s="1"/>
  <c r="H353" i="23"/>
  <c r="I353" i="23" s="1"/>
  <c r="G69" i="23"/>
  <c r="CD69" i="6" s="1"/>
  <c r="D234" i="23"/>
  <c r="E234" i="23" s="1"/>
  <c r="F234" i="23" s="1"/>
  <c r="G234" i="23" s="1"/>
  <c r="CD234" i="6" s="1"/>
  <c r="W67" i="23"/>
  <c r="W269" i="23"/>
  <c r="W181" i="23"/>
  <c r="D244" i="23"/>
  <c r="E244" i="23" s="1"/>
  <c r="F244" i="23" s="1"/>
  <c r="G244" i="23" s="1"/>
  <c r="CD244" i="6" s="1"/>
  <c r="D294" i="23"/>
  <c r="E294" i="23" s="1"/>
  <c r="F294" i="23" s="1"/>
  <c r="G294" i="23" s="1"/>
  <c r="CD294" i="6" s="1"/>
  <c r="W262" i="23"/>
  <c r="D88" i="23"/>
  <c r="E88" i="23" s="1"/>
  <c r="F88" i="23" s="1"/>
  <c r="AA88" i="23" s="1"/>
  <c r="Z88" i="23" s="1"/>
  <c r="Y88" i="23" s="1"/>
  <c r="G67" i="23"/>
  <c r="CD67" i="6" s="1"/>
  <c r="G44" i="23"/>
  <c r="CD44" i="6" s="1"/>
  <c r="G150" i="23"/>
  <c r="CD150" i="6" s="1"/>
  <c r="G353" i="23"/>
  <c r="CD353" i="6" s="1"/>
  <c r="H269" i="23"/>
  <c r="J269" i="23" s="1"/>
  <c r="AA69" i="23"/>
  <c r="Z69" i="23" s="1"/>
  <c r="Y69" i="23" s="1"/>
  <c r="H262" i="23"/>
  <c r="I262" i="23" s="1"/>
  <c r="W349" i="23"/>
  <c r="G206" i="23"/>
  <c r="CD206" i="6" s="1"/>
  <c r="W36" i="23"/>
  <c r="D255" i="23"/>
  <c r="E255" i="23" s="1"/>
  <c r="F255" i="23" s="1"/>
  <c r="G255" i="23" s="1"/>
  <c r="CD255" i="6" s="1"/>
  <c r="D235" i="23"/>
  <c r="E235" i="23" s="1"/>
  <c r="F235" i="23" s="1"/>
  <c r="H235" i="23" s="1"/>
  <c r="I235" i="23" s="1"/>
  <c r="W286" i="23"/>
  <c r="W139" i="23"/>
  <c r="W173" i="23"/>
  <c r="W206" i="23"/>
  <c r="D370" i="23"/>
  <c r="E370" i="23" s="1"/>
  <c r="F370" i="23" s="1"/>
  <c r="H370" i="23" s="1"/>
  <c r="I370" i="23" s="1"/>
  <c r="D352" i="23"/>
  <c r="E352" i="23" s="1"/>
  <c r="F352" i="23" s="1"/>
  <c r="AA352" i="23" s="1"/>
  <c r="Z352" i="23" s="1"/>
  <c r="Y352" i="23" s="1"/>
  <c r="D344" i="23"/>
  <c r="E344" i="23" s="1"/>
  <c r="F344" i="23" s="1"/>
  <c r="G344" i="23" s="1"/>
  <c r="CD344" i="6" s="1"/>
  <c r="AA36" i="23"/>
  <c r="Z36" i="23" s="1"/>
  <c r="Y36" i="23" s="1"/>
  <c r="G38" i="23"/>
  <c r="CD38" i="6" s="1"/>
  <c r="H177" i="23"/>
  <c r="J177" i="23" s="1"/>
  <c r="H356" i="23"/>
  <c r="I356" i="23" s="1"/>
  <c r="G307" i="23"/>
  <c r="CD307" i="6" s="1"/>
  <c r="G203" i="23"/>
  <c r="CD203" i="6" s="1"/>
  <c r="G75" i="23"/>
  <c r="CD75" i="6" s="1"/>
  <c r="H94" i="23"/>
  <c r="I94" i="23" s="1"/>
  <c r="G256" i="23"/>
  <c r="CD256" i="6" s="1"/>
  <c r="D189" i="23"/>
  <c r="E189" i="23" s="1"/>
  <c r="F189" i="23" s="1"/>
  <c r="H189" i="23" s="1"/>
  <c r="J189" i="23" s="1"/>
  <c r="W108" i="23"/>
  <c r="D31" i="23"/>
  <c r="E31" i="23" s="1"/>
  <c r="F31" i="23" s="1"/>
  <c r="H31" i="23" s="1"/>
  <c r="I31" i="23" s="1"/>
  <c r="D51" i="23"/>
  <c r="E51" i="23" s="1"/>
  <c r="F51" i="23" s="1"/>
  <c r="AA51" i="23" s="1"/>
  <c r="Z51" i="23" s="1"/>
  <c r="Y51" i="23" s="1"/>
  <c r="D236" i="23"/>
  <c r="E236" i="23" s="1"/>
  <c r="F236" i="23" s="1"/>
  <c r="H236" i="23" s="1"/>
  <c r="I236" i="23" s="1"/>
  <c r="D110" i="23"/>
  <c r="E110" i="23" s="1"/>
  <c r="F110" i="23" s="1"/>
  <c r="G110" i="23" s="1"/>
  <c r="CD110" i="6" s="1"/>
  <c r="W17" i="23"/>
  <c r="W91" i="23"/>
  <c r="W176" i="23"/>
  <c r="D53" i="23"/>
  <c r="E53" i="23" s="1"/>
  <c r="F53" i="23" s="1"/>
  <c r="G53" i="23" s="1"/>
  <c r="CD53" i="6" s="1"/>
  <c r="W353" i="23"/>
  <c r="D118" i="23"/>
  <c r="E118" i="23" s="1"/>
  <c r="F118" i="23" s="1"/>
  <c r="H118" i="23" s="1"/>
  <c r="J118" i="23" s="1"/>
  <c r="W109" i="23"/>
  <c r="D377" i="23"/>
  <c r="E377" i="23" s="1"/>
  <c r="F377" i="23" s="1"/>
  <c r="D367" i="23"/>
  <c r="E367" i="23" s="1"/>
  <c r="F367" i="23" s="1"/>
  <c r="H367" i="23" s="1"/>
  <c r="J367" i="23" s="1"/>
  <c r="W150" i="23"/>
  <c r="D80" i="23"/>
  <c r="E80" i="23" s="1"/>
  <c r="F80" i="23" s="1"/>
  <c r="H80" i="23" s="1"/>
  <c r="J80" i="23" s="1"/>
  <c r="W190" i="23"/>
  <c r="D334" i="23"/>
  <c r="E334" i="23" s="1"/>
  <c r="F334" i="23" s="1"/>
  <c r="H334" i="23" s="1"/>
  <c r="I334" i="23" s="1"/>
  <c r="D297" i="23"/>
  <c r="E297" i="23" s="1"/>
  <c r="F297" i="23" s="1"/>
  <c r="H297" i="23" s="1"/>
  <c r="J297" i="23" s="1"/>
  <c r="W198" i="23"/>
  <c r="D317" i="23"/>
  <c r="E317" i="23" s="1"/>
  <c r="F317" i="23" s="1"/>
  <c r="AA317" i="23" s="1"/>
  <c r="Z317" i="23" s="1"/>
  <c r="Y317" i="23" s="1"/>
  <c r="D321" i="23"/>
  <c r="E321" i="23" s="1"/>
  <c r="F321" i="23" s="1"/>
  <c r="H321" i="23" s="1"/>
  <c r="J321" i="23" s="1"/>
  <c r="D201" i="23"/>
  <c r="E201" i="23" s="1"/>
  <c r="F201" i="23" s="1"/>
  <c r="G201" i="23" s="1"/>
  <c r="CD201" i="6" s="1"/>
  <c r="AA217" i="23"/>
  <c r="Z217" i="23" s="1"/>
  <c r="Y217" i="23" s="1"/>
  <c r="H36" i="23"/>
  <c r="I36" i="23" s="1"/>
  <c r="W30" i="23"/>
  <c r="H217" i="23"/>
  <c r="I217" i="23" s="1"/>
  <c r="H286" i="23"/>
  <c r="I286" i="23" s="1"/>
  <c r="H190" i="23"/>
  <c r="J190" i="23" s="1"/>
  <c r="W38" i="23"/>
  <c r="W177" i="23"/>
  <c r="D152" i="23"/>
  <c r="E152" i="23" s="1"/>
  <c r="F152" i="23" s="1"/>
  <c r="H152" i="23" s="1"/>
  <c r="J152" i="23" s="1"/>
  <c r="W94" i="23"/>
  <c r="W287" i="23"/>
  <c r="D329" i="23"/>
  <c r="E329" i="23" s="1"/>
  <c r="F329" i="23" s="1"/>
  <c r="G329" i="23" s="1"/>
  <c r="CD329" i="6" s="1"/>
  <c r="W282" i="23"/>
  <c r="D146" i="23"/>
  <c r="E146" i="23" s="1"/>
  <c r="F146" i="23" s="1"/>
  <c r="D254" i="23"/>
  <c r="E254" i="23" s="1"/>
  <c r="F254" i="23" s="1"/>
  <c r="H254" i="23" s="1"/>
  <c r="I254" i="23" s="1"/>
  <c r="W124" i="23"/>
  <c r="W233" i="23"/>
  <c r="H74" i="23"/>
  <c r="I74" i="23" s="1"/>
  <c r="W74" i="23"/>
  <c r="W84" i="23"/>
  <c r="W75" i="23"/>
  <c r="D115" i="23"/>
  <c r="E115" i="23" s="1"/>
  <c r="F115" i="23" s="1"/>
  <c r="G115" i="23" s="1"/>
  <c r="CD115" i="6" s="1"/>
  <c r="D253" i="23"/>
  <c r="E253" i="23" s="1"/>
  <c r="F253" i="23" s="1"/>
  <c r="H253" i="23" s="1"/>
  <c r="I253" i="23" s="1"/>
  <c r="D143" i="23"/>
  <c r="E143" i="23" s="1"/>
  <c r="F143" i="23" s="1"/>
  <c r="G143" i="23" s="1"/>
  <c r="CD143" i="6" s="1"/>
  <c r="D328" i="23"/>
  <c r="E328" i="23" s="1"/>
  <c r="F328" i="23" s="1"/>
  <c r="H328" i="23" s="1"/>
  <c r="J328" i="23" s="1"/>
  <c r="D267" i="23"/>
  <c r="E267" i="23" s="1"/>
  <c r="F267" i="23" s="1"/>
  <c r="G267" i="23" s="1"/>
  <c r="CD267" i="6" s="1"/>
  <c r="D230" i="23"/>
  <c r="E230" i="23" s="1"/>
  <c r="F230" i="23" s="1"/>
  <c r="H230" i="23" s="1"/>
  <c r="I230" i="23" s="1"/>
  <c r="W111" i="23"/>
  <c r="D372" i="23"/>
  <c r="E372" i="23" s="1"/>
  <c r="F372" i="23" s="1"/>
  <c r="H372" i="23" s="1"/>
  <c r="J372" i="23" s="1"/>
  <c r="W170" i="23"/>
  <c r="D40" i="23"/>
  <c r="E40" i="23" s="1"/>
  <c r="F40" i="23" s="1"/>
  <c r="H40" i="23" s="1"/>
  <c r="I40" i="23" s="1"/>
  <c r="W356" i="23"/>
  <c r="D299" i="23"/>
  <c r="E299" i="23" s="1"/>
  <c r="F299" i="23" s="1"/>
  <c r="G299" i="23" s="1"/>
  <c r="CD299" i="6" s="1"/>
  <c r="W52" i="23"/>
  <c r="W203" i="23"/>
  <c r="D215" i="23"/>
  <c r="E215" i="23" s="1"/>
  <c r="F215" i="23" s="1"/>
  <c r="G215" i="23" s="1"/>
  <c r="CD215" i="6" s="1"/>
  <c r="W276" i="23"/>
  <c r="D311" i="23"/>
  <c r="E311" i="23" s="1"/>
  <c r="F311" i="23" s="1"/>
  <c r="G311" i="23" s="1"/>
  <c r="CD311" i="6" s="1"/>
  <c r="D295" i="23"/>
  <c r="E295" i="23" s="1"/>
  <c r="F295" i="23" s="1"/>
  <c r="H295" i="23" s="1"/>
  <c r="I295" i="23" s="1"/>
  <c r="W358" i="23"/>
  <c r="W216" i="23"/>
  <c r="H216" i="23"/>
  <c r="I216" i="23" s="1"/>
  <c r="AA38" i="23"/>
  <c r="Z38" i="23" s="1"/>
  <c r="Y38" i="23" s="1"/>
  <c r="AA287" i="23"/>
  <c r="Z287" i="23" s="1"/>
  <c r="Y287" i="23" s="1"/>
  <c r="AA75" i="23"/>
  <c r="Z75" i="23" s="1"/>
  <c r="Y75" i="23" s="1"/>
  <c r="W256" i="23"/>
  <c r="D184" i="23"/>
  <c r="E184" i="23" s="1"/>
  <c r="F184" i="23" s="1"/>
  <c r="W184" i="23"/>
  <c r="H17" i="23"/>
  <c r="I17" i="23" s="1"/>
  <c r="I38" i="19"/>
  <c r="H38" i="19"/>
  <c r="D141" i="23"/>
  <c r="E141" i="23" s="1"/>
  <c r="F141" i="23" s="1"/>
  <c r="W141" i="23"/>
  <c r="D193" i="23"/>
  <c r="E193" i="23" s="1"/>
  <c r="F193" i="23" s="1"/>
  <c r="W193" i="23"/>
  <c r="D330" i="23"/>
  <c r="E330" i="23" s="1"/>
  <c r="F330" i="23" s="1"/>
  <c r="W330" i="23"/>
  <c r="D85" i="23"/>
  <c r="E85" i="23" s="1"/>
  <c r="F85" i="23" s="1"/>
  <c r="AA85" i="23" s="1"/>
  <c r="Z85" i="23" s="1"/>
  <c r="Y85" i="23" s="1"/>
  <c r="W85" i="23"/>
  <c r="W346" i="23"/>
  <c r="D346" i="23"/>
  <c r="E346" i="23" s="1"/>
  <c r="F346" i="23" s="1"/>
  <c r="G346" i="23" s="1"/>
  <c r="CD346" i="6" s="1"/>
  <c r="AD65" i="23"/>
  <c r="V149" i="23"/>
  <c r="B149" i="23" s="1"/>
  <c r="W149" i="23" s="1"/>
  <c r="AH382" i="23"/>
  <c r="AA17" i="23"/>
  <c r="Z17" i="23" s="1"/>
  <c r="Y17" i="23" s="1"/>
  <c r="AA44" i="23"/>
  <c r="Z44" i="23" s="1"/>
  <c r="Y44" i="23" s="1"/>
  <c r="AA139" i="23"/>
  <c r="Z139" i="23" s="1"/>
  <c r="Y139" i="23" s="1"/>
  <c r="AA52" i="23"/>
  <c r="Z52" i="23" s="1"/>
  <c r="Y52" i="23" s="1"/>
  <c r="AA30" i="23"/>
  <c r="Z30" i="23" s="1"/>
  <c r="Y30" i="23" s="1"/>
  <c r="AA84" i="23"/>
  <c r="Z84" i="23" s="1"/>
  <c r="Y84" i="23" s="1"/>
  <c r="AA356" i="23"/>
  <c r="Z356" i="23" s="1"/>
  <c r="Y356" i="23" s="1"/>
  <c r="AA286" i="23"/>
  <c r="Z286" i="23" s="1"/>
  <c r="Y286" i="23" s="1"/>
  <c r="W46" i="23"/>
  <c r="D46" i="23"/>
  <c r="E46" i="23" s="1"/>
  <c r="F46" i="23" s="1"/>
  <c r="AA46" i="23" s="1"/>
  <c r="Z46" i="23" s="1"/>
  <c r="Y46" i="23" s="1"/>
  <c r="D205" i="23"/>
  <c r="E205" i="23" s="1"/>
  <c r="F205" i="23" s="1"/>
  <c r="W205" i="23"/>
  <c r="D340" i="23"/>
  <c r="E340" i="23" s="1"/>
  <c r="F340" i="23" s="1"/>
  <c r="W340" i="23"/>
  <c r="D199" i="23"/>
  <c r="E199" i="23" s="1"/>
  <c r="F199" i="23" s="1"/>
  <c r="H199" i="23" s="1"/>
  <c r="J199" i="23" s="1"/>
  <c r="W199" i="23"/>
  <c r="D271" i="23"/>
  <c r="E271" i="23" s="1"/>
  <c r="F271" i="23" s="1"/>
  <c r="W271" i="23"/>
  <c r="W162" i="23"/>
  <c r="D162" i="23"/>
  <c r="E162" i="23" s="1"/>
  <c r="F162" i="23" s="1"/>
  <c r="H162" i="23" s="1"/>
  <c r="J162" i="23" s="1"/>
  <c r="D21" i="23"/>
  <c r="E21" i="23" s="1"/>
  <c r="F21" i="23" s="1"/>
  <c r="W21" i="23"/>
  <c r="W97" i="23"/>
  <c r="D97" i="23"/>
  <c r="E97" i="23" s="1"/>
  <c r="F97" i="23" s="1"/>
  <c r="G97" i="23" s="1"/>
  <c r="CD97" i="6" s="1"/>
  <c r="W368" i="23"/>
  <c r="D368" i="23"/>
  <c r="E368" i="23" s="1"/>
  <c r="F368" i="23" s="1"/>
  <c r="G368" i="23" s="1"/>
  <c r="CD368" i="6" s="1"/>
  <c r="W202" i="23"/>
  <c r="D202" i="23"/>
  <c r="E202" i="23" s="1"/>
  <c r="F202" i="23" s="1"/>
  <c r="G202" i="23" s="1"/>
  <c r="CD202" i="6" s="1"/>
  <c r="D185" i="23"/>
  <c r="E185" i="23" s="1"/>
  <c r="F185" i="23" s="1"/>
  <c r="W185" i="23"/>
  <c r="V195" i="23"/>
  <c r="D16" i="23"/>
  <c r="E16" i="23" s="1"/>
  <c r="F16" i="23" s="1"/>
  <c r="W16" i="23"/>
  <c r="W103" i="23"/>
  <c r="D103" i="23"/>
  <c r="E103" i="23" s="1"/>
  <c r="F103" i="23" s="1"/>
  <c r="W361" i="23"/>
  <c r="D361" i="23"/>
  <c r="E361" i="23" s="1"/>
  <c r="F361" i="23" s="1"/>
  <c r="W175" i="23"/>
  <c r="D175" i="23"/>
  <c r="E175" i="23" s="1"/>
  <c r="F175" i="23" s="1"/>
  <c r="G175" i="23" s="1"/>
  <c r="CD175" i="6" s="1"/>
  <c r="W83" i="23"/>
  <c r="D83" i="23"/>
  <c r="E83" i="23" s="1"/>
  <c r="F83" i="23" s="1"/>
  <c r="W265" i="23"/>
  <c r="D265" i="23"/>
  <c r="E265" i="23" s="1"/>
  <c r="F265" i="23" s="1"/>
  <c r="G265" i="23" s="1"/>
  <c r="CD265" i="6" s="1"/>
  <c r="D122" i="23"/>
  <c r="E122" i="23" s="1"/>
  <c r="F122" i="23" s="1"/>
  <c r="W122" i="23"/>
  <c r="W277" i="23"/>
  <c r="D277" i="23"/>
  <c r="E277" i="23" s="1"/>
  <c r="F277" i="23" s="1"/>
  <c r="W376" i="23"/>
  <c r="D376" i="23"/>
  <c r="E376" i="23" s="1"/>
  <c r="F376" i="23" s="1"/>
  <c r="H376" i="23" s="1"/>
  <c r="J376" i="23" s="1"/>
  <c r="D345" i="23"/>
  <c r="E345" i="23" s="1"/>
  <c r="F345" i="23" s="1"/>
  <c r="G345" i="23" s="1"/>
  <c r="CD345" i="6" s="1"/>
  <c r="W345" i="23"/>
  <c r="D252" i="23"/>
  <c r="E252" i="23" s="1"/>
  <c r="F252" i="23" s="1"/>
  <c r="W252" i="23"/>
  <c r="W338" i="23"/>
  <c r="D338" i="23"/>
  <c r="E338" i="23" s="1"/>
  <c r="F338" i="23" s="1"/>
  <c r="W336" i="23"/>
  <c r="D336" i="23"/>
  <c r="E336" i="23" s="1"/>
  <c r="F336" i="23" s="1"/>
  <c r="G336" i="23" s="1"/>
  <c r="CD336" i="6" s="1"/>
  <c r="D18" i="23"/>
  <c r="E18" i="23" s="1"/>
  <c r="F18" i="23" s="1"/>
  <c r="W18" i="23"/>
  <c r="D316" i="23"/>
  <c r="E316" i="23" s="1"/>
  <c r="F316" i="23" s="1"/>
  <c r="W316" i="23"/>
  <c r="D197" i="23"/>
  <c r="E197" i="23" s="1"/>
  <c r="F197" i="23" s="1"/>
  <c r="W197" i="23"/>
  <c r="W116" i="23"/>
  <c r="D116" i="23"/>
  <c r="E116" i="23" s="1"/>
  <c r="F116" i="23" s="1"/>
  <c r="W123" i="23"/>
  <c r="D123" i="23"/>
  <c r="E123" i="23" s="1"/>
  <c r="F123" i="23" s="1"/>
  <c r="G123" i="23" s="1"/>
  <c r="CD123" i="6" s="1"/>
  <c r="D283" i="23"/>
  <c r="E283" i="23" s="1"/>
  <c r="F283" i="23" s="1"/>
  <c r="W283" i="23"/>
  <c r="W322" i="23"/>
  <c r="D322" i="23"/>
  <c r="E322" i="23" s="1"/>
  <c r="F322" i="23" s="1"/>
  <c r="H322" i="23" s="1"/>
  <c r="J322" i="23" s="1"/>
  <c r="D348" i="23"/>
  <c r="E348" i="23" s="1"/>
  <c r="F348" i="23" s="1"/>
  <c r="W348" i="23"/>
  <c r="D187" i="23"/>
  <c r="E187" i="23" s="1"/>
  <c r="F187" i="23" s="1"/>
  <c r="W187" i="23"/>
  <c r="D121" i="23"/>
  <c r="E121" i="23" s="1"/>
  <c r="F121" i="23" s="1"/>
  <c r="H121" i="23" s="1"/>
  <c r="J121" i="23" s="1"/>
  <c r="W121" i="23"/>
  <c r="W279" i="23"/>
  <c r="D279" i="23"/>
  <c r="E279" i="23" s="1"/>
  <c r="F279" i="23" s="1"/>
  <c r="G279" i="23" s="1"/>
  <c r="CD279" i="6" s="1"/>
  <c r="W168" i="23"/>
  <c r="D168" i="23"/>
  <c r="E168" i="23" s="1"/>
  <c r="F168" i="23" s="1"/>
  <c r="AA168" i="23" s="1"/>
  <c r="Z168" i="23" s="1"/>
  <c r="Y168" i="23" s="1"/>
  <c r="W132" i="23"/>
  <c r="D132" i="23"/>
  <c r="E132" i="23" s="1"/>
  <c r="F132" i="23" s="1"/>
  <c r="D357" i="23"/>
  <c r="E357" i="23" s="1"/>
  <c r="F357" i="23" s="1"/>
  <c r="W357" i="23"/>
  <c r="D35" i="23"/>
  <c r="E35" i="23" s="1"/>
  <c r="F35" i="23" s="1"/>
  <c r="W35" i="23"/>
  <c r="W19" i="23"/>
  <c r="D19" i="23"/>
  <c r="E19" i="23" s="1"/>
  <c r="F19" i="23" s="1"/>
  <c r="AA19" i="23" s="1"/>
  <c r="Z19" i="23" s="1"/>
  <c r="Y19" i="23" s="1"/>
  <c r="W288" i="23"/>
  <c r="D288" i="23"/>
  <c r="E288" i="23" s="1"/>
  <c r="F288" i="23" s="1"/>
  <c r="H288" i="23" s="1"/>
  <c r="W320" i="23"/>
  <c r="D320" i="23"/>
  <c r="E320" i="23" s="1"/>
  <c r="F320" i="23" s="1"/>
  <c r="H320" i="23" s="1"/>
  <c r="I320" i="23" s="1"/>
  <c r="W211" i="23"/>
  <c r="D211" i="23"/>
  <c r="E211" i="23" s="1"/>
  <c r="F211" i="23" s="1"/>
  <c r="D50" i="23"/>
  <c r="E50" i="23" s="1"/>
  <c r="F50" i="23" s="1"/>
  <c r="W50" i="23"/>
  <c r="D26" i="23"/>
  <c r="E26" i="23" s="1"/>
  <c r="F26" i="23" s="1"/>
  <c r="AA26" i="23" s="1"/>
  <c r="Z26" i="23" s="1"/>
  <c r="Y26" i="23" s="1"/>
  <c r="W26" i="23"/>
  <c r="W145" i="23"/>
  <c r="D145" i="23"/>
  <c r="E145" i="23" s="1"/>
  <c r="F145" i="23" s="1"/>
  <c r="G145" i="23" s="1"/>
  <c r="CD145" i="6" s="1"/>
  <c r="D155" i="23"/>
  <c r="E155" i="23" s="1"/>
  <c r="F155" i="23" s="1"/>
  <c r="W155" i="23"/>
  <c r="W87" i="23"/>
  <c r="D87" i="23"/>
  <c r="E87" i="23" s="1"/>
  <c r="F87" i="23" s="1"/>
  <c r="W191" i="23"/>
  <c r="D191" i="23"/>
  <c r="E191" i="23" s="1"/>
  <c r="F191" i="23" s="1"/>
  <c r="D319" i="23"/>
  <c r="E319" i="23" s="1"/>
  <c r="F319" i="23" s="1"/>
  <c r="W319" i="23"/>
  <c r="W142" i="23"/>
  <c r="D142" i="23"/>
  <c r="E142" i="23" s="1"/>
  <c r="F142" i="23" s="1"/>
  <c r="D98" i="23"/>
  <c r="E98" i="23" s="1"/>
  <c r="F98" i="23" s="1"/>
  <c r="W98" i="23"/>
  <c r="D339" i="23"/>
  <c r="E339" i="23" s="1"/>
  <c r="F339" i="23" s="1"/>
  <c r="H339" i="23" s="1"/>
  <c r="W339" i="23"/>
  <c r="W134" i="23"/>
  <c r="D134" i="23"/>
  <c r="E134" i="23" s="1"/>
  <c r="F134" i="23" s="1"/>
  <c r="W137" i="23"/>
  <c r="D137" i="23"/>
  <c r="E137" i="23" s="1"/>
  <c r="F137" i="23" s="1"/>
  <c r="H137" i="23" s="1"/>
  <c r="J137" i="23" s="1"/>
  <c r="D114" i="23"/>
  <c r="E114" i="23" s="1"/>
  <c r="F114" i="23" s="1"/>
  <c r="W114" i="23"/>
  <c r="D86" i="23"/>
  <c r="E86" i="23" s="1"/>
  <c r="F86" i="23" s="1"/>
  <c r="W86" i="23"/>
  <c r="W24" i="23"/>
  <c r="D24" i="23"/>
  <c r="E24" i="23" s="1"/>
  <c r="F24" i="23" s="1"/>
  <c r="AA24" i="23" s="1"/>
  <c r="Z24" i="23" s="1"/>
  <c r="Y24" i="23" s="1"/>
  <c r="D274" i="23"/>
  <c r="E274" i="23" s="1"/>
  <c r="F274" i="23" s="1"/>
  <c r="W274" i="23"/>
  <c r="D335" i="23"/>
  <c r="E335" i="23" s="1"/>
  <c r="F335" i="23" s="1"/>
  <c r="W335" i="23"/>
  <c r="D292" i="23"/>
  <c r="E292" i="23" s="1"/>
  <c r="F292" i="23" s="1"/>
  <c r="W292" i="23"/>
  <c r="D128" i="23"/>
  <c r="E128" i="23" s="1"/>
  <c r="F128" i="23" s="1"/>
  <c r="W128" i="23"/>
  <c r="W158" i="23"/>
  <c r="D158" i="23"/>
  <c r="E158" i="23" s="1"/>
  <c r="F158" i="23" s="1"/>
  <c r="D120" i="23"/>
  <c r="E120" i="23" s="1"/>
  <c r="F120" i="23" s="1"/>
  <c r="H120" i="23" s="1"/>
  <c r="W120" i="23"/>
  <c r="W57" i="23"/>
  <c r="D57" i="23"/>
  <c r="E57" i="23" s="1"/>
  <c r="F57" i="23" s="1"/>
  <c r="D243" i="23"/>
  <c r="E243" i="23" s="1"/>
  <c r="F243" i="23" s="1"/>
  <c r="W243" i="23"/>
  <c r="W64" i="23"/>
  <c r="D64" i="23"/>
  <c r="E64" i="23" s="1"/>
  <c r="F64" i="23" s="1"/>
  <c r="G64" i="23" s="1"/>
  <c r="CD64" i="6" s="1"/>
  <c r="W156" i="23"/>
  <c r="D156" i="23"/>
  <c r="E156" i="23" s="1"/>
  <c r="F156" i="23" s="1"/>
  <c r="G156" i="23" s="1"/>
  <c r="CD156" i="6" s="1"/>
  <c r="W290" i="23"/>
  <c r="D290" i="23"/>
  <c r="E290" i="23" s="1"/>
  <c r="F290" i="23" s="1"/>
  <c r="H290" i="23" s="1"/>
  <c r="I290" i="23" s="1"/>
  <c r="W130" i="23"/>
  <c r="D130" i="23"/>
  <c r="E130" i="23" s="1"/>
  <c r="F130" i="23" s="1"/>
  <c r="W275" i="23"/>
  <c r="D275" i="23"/>
  <c r="E275" i="23" s="1"/>
  <c r="F275" i="23" s="1"/>
  <c r="D364" i="23"/>
  <c r="E364" i="23" s="1"/>
  <c r="F364" i="23" s="1"/>
  <c r="W364" i="23"/>
  <c r="W70" i="23"/>
  <c r="D70" i="23"/>
  <c r="E70" i="23" s="1"/>
  <c r="F70" i="23" s="1"/>
  <c r="AA70" i="23" s="1"/>
  <c r="Z70" i="23" s="1"/>
  <c r="Y70" i="23" s="1"/>
  <c r="D153" i="23"/>
  <c r="E153" i="23" s="1"/>
  <c r="F153" i="23" s="1"/>
  <c r="G153" i="23" s="1"/>
  <c r="CD153" i="6" s="1"/>
  <c r="W153" i="23"/>
  <c r="D131" i="23"/>
  <c r="E131" i="23" s="1"/>
  <c r="F131" i="23" s="1"/>
  <c r="W131" i="23"/>
  <c r="V180" i="23"/>
  <c r="B180" i="23" s="1"/>
  <c r="AH49" i="7"/>
  <c r="D227" i="23"/>
  <c r="E227" i="23" s="1"/>
  <c r="F227" i="23" s="1"/>
  <c r="G227" i="23" s="1"/>
  <c r="CD227" i="6" s="1"/>
  <c r="W227" i="23"/>
  <c r="W151" i="23"/>
  <c r="D151" i="23"/>
  <c r="E151" i="23" s="1"/>
  <c r="F151" i="23" s="1"/>
  <c r="D314" i="23"/>
  <c r="E314" i="23" s="1"/>
  <c r="F314" i="23" s="1"/>
  <c r="W314" i="23"/>
  <c r="D248" i="23"/>
  <c r="E248" i="23" s="1"/>
  <c r="F248" i="23" s="1"/>
  <c r="W248" i="23"/>
  <c r="D165" i="23"/>
  <c r="E165" i="23" s="1"/>
  <c r="F165" i="23" s="1"/>
  <c r="W165" i="23"/>
  <c r="W301" i="23"/>
  <c r="D301" i="23"/>
  <c r="E301" i="23" s="1"/>
  <c r="F301" i="23" s="1"/>
  <c r="W99" i="23"/>
  <c r="D99" i="23"/>
  <c r="E99" i="23" s="1"/>
  <c r="F99" i="23" s="1"/>
  <c r="AA99" i="23" s="1"/>
  <c r="Z99" i="23" s="1"/>
  <c r="Y99" i="23" s="1"/>
  <c r="W107" i="23"/>
  <c r="D107" i="23"/>
  <c r="E107" i="23" s="1"/>
  <c r="F107" i="23" s="1"/>
  <c r="W281" i="23"/>
  <c r="D281" i="23"/>
  <c r="E281" i="23" s="1"/>
  <c r="F281" i="23" s="1"/>
  <c r="D323" i="23"/>
  <c r="E323" i="23" s="1"/>
  <c r="F323" i="23" s="1"/>
  <c r="W323" i="23"/>
  <c r="W77" i="23"/>
  <c r="D77" i="23"/>
  <c r="E77" i="23" s="1"/>
  <c r="F77" i="23" s="1"/>
  <c r="H77" i="23" s="1"/>
  <c r="J77" i="23" s="1"/>
  <c r="W318" i="23"/>
  <c r="D318" i="23"/>
  <c r="E318" i="23" s="1"/>
  <c r="F318" i="23" s="1"/>
  <c r="W82" i="23"/>
  <c r="D82" i="23"/>
  <c r="E82" i="23" s="1"/>
  <c r="F82" i="23" s="1"/>
  <c r="W266" i="23"/>
  <c r="D266" i="23"/>
  <c r="E266" i="23" s="1"/>
  <c r="F266" i="23" s="1"/>
  <c r="H266" i="23" s="1"/>
  <c r="J266" i="23" s="1"/>
  <c r="W72" i="23"/>
  <c r="D72" i="23"/>
  <c r="E72" i="23" s="1"/>
  <c r="F72" i="23" s="1"/>
  <c r="H72" i="23" s="1"/>
  <c r="J72" i="23" s="1"/>
  <c r="W325" i="23"/>
  <c r="D325" i="23"/>
  <c r="E325" i="23" s="1"/>
  <c r="F325" i="23" s="1"/>
  <c r="W300" i="23"/>
  <c r="D300" i="23"/>
  <c r="E300" i="23" s="1"/>
  <c r="F300" i="23" s="1"/>
  <c r="D45" i="23"/>
  <c r="E45" i="23" s="1"/>
  <c r="F45" i="23" s="1"/>
  <c r="G45" i="23" s="1"/>
  <c r="CD45" i="6" s="1"/>
  <c r="W45" i="23"/>
  <c r="W315" i="23"/>
  <c r="D315" i="23"/>
  <c r="E315" i="23" s="1"/>
  <c r="F315" i="23" s="1"/>
  <c r="D43" i="23"/>
  <c r="E43" i="23" s="1"/>
  <c r="F43" i="23" s="1"/>
  <c r="H43" i="23" s="1"/>
  <c r="W43" i="23"/>
  <c r="W126" i="23"/>
  <c r="D126" i="23"/>
  <c r="E126" i="23" s="1"/>
  <c r="F126" i="23" s="1"/>
  <c r="G126" i="23" s="1"/>
  <c r="CD126" i="6" s="1"/>
  <c r="W112" i="23"/>
  <c r="D112" i="23"/>
  <c r="E112" i="23" s="1"/>
  <c r="F112" i="23" s="1"/>
  <c r="D144" i="23"/>
  <c r="E144" i="23" s="1"/>
  <c r="F144" i="23" s="1"/>
  <c r="W144" i="23"/>
  <c r="D207" i="23"/>
  <c r="E207" i="23" s="1"/>
  <c r="F207" i="23" s="1"/>
  <c r="W207" i="23"/>
  <c r="W54" i="23"/>
  <c r="D54" i="23"/>
  <c r="E54" i="23" s="1"/>
  <c r="F54" i="23" s="1"/>
  <c r="G54" i="23" s="1"/>
  <c r="CD54" i="6" s="1"/>
  <c r="D28" i="23"/>
  <c r="E28" i="23" s="1"/>
  <c r="F28" i="23" s="1"/>
  <c r="W28" i="23"/>
  <c r="D208" i="23"/>
  <c r="E208" i="23" s="1"/>
  <c r="F208" i="23" s="1"/>
  <c r="W208" i="23"/>
  <c r="W78" i="23"/>
  <c r="D78" i="23"/>
  <c r="E78" i="23" s="1"/>
  <c r="F78" i="23" s="1"/>
  <c r="H78" i="23" s="1"/>
  <c r="I78" i="23" s="1"/>
  <c r="D93" i="23"/>
  <c r="E93" i="23" s="1"/>
  <c r="F93" i="23" s="1"/>
  <c r="H93" i="23" s="1"/>
  <c r="W93" i="23"/>
  <c r="W324" i="23"/>
  <c r="D324" i="23"/>
  <c r="E324" i="23" s="1"/>
  <c r="F324" i="23" s="1"/>
  <c r="W366" i="23"/>
  <c r="D366" i="23"/>
  <c r="E366" i="23" s="1"/>
  <c r="F366" i="23" s="1"/>
  <c r="G366" i="23" s="1"/>
  <c r="CD366" i="6" s="1"/>
  <c r="W169" i="23"/>
  <c r="D169" i="23"/>
  <c r="E169" i="23" s="1"/>
  <c r="F169" i="23" s="1"/>
  <c r="AA169" i="23" s="1"/>
  <c r="Z169" i="23" s="1"/>
  <c r="Y169" i="23" s="1"/>
  <c r="D218" i="23"/>
  <c r="E218" i="23" s="1"/>
  <c r="F218" i="23" s="1"/>
  <c r="W218" i="23"/>
  <c r="AH47" i="7"/>
  <c r="V119" i="23"/>
  <c r="B119" i="23" s="1"/>
  <c r="D167" i="23"/>
  <c r="E167" i="23" s="1"/>
  <c r="F167" i="23" s="1"/>
  <c r="G167" i="23" s="1"/>
  <c r="CD167" i="6" s="1"/>
  <c r="W167" i="23"/>
  <c r="W106" i="23"/>
  <c r="D106" i="23"/>
  <c r="E106" i="23" s="1"/>
  <c r="F106" i="23" s="1"/>
  <c r="D81" i="23"/>
  <c r="E81" i="23" s="1"/>
  <c r="F81" i="23" s="1"/>
  <c r="W81" i="23"/>
  <c r="W95" i="23"/>
  <c r="D95" i="23"/>
  <c r="E95" i="23" s="1"/>
  <c r="F95" i="23" s="1"/>
  <c r="W65" i="23"/>
  <c r="D65" i="23"/>
  <c r="E65" i="23" s="1"/>
  <c r="F65" i="23" s="1"/>
  <c r="AH50" i="7"/>
  <c r="V210" i="23"/>
  <c r="B210" i="23" s="1"/>
  <c r="W210" i="23" s="1"/>
  <c r="D354" i="23"/>
  <c r="E354" i="23" s="1"/>
  <c r="F354" i="23" s="1"/>
  <c r="W354" i="23"/>
  <c r="W373" i="23"/>
  <c r="D373" i="23"/>
  <c r="E373" i="23" s="1"/>
  <c r="F373" i="23" s="1"/>
  <c r="W362" i="23"/>
  <c r="D362" i="23"/>
  <c r="E362" i="23" s="1"/>
  <c r="F362" i="23" s="1"/>
  <c r="AA362" i="23" s="1"/>
  <c r="Z362" i="23" s="1"/>
  <c r="Y362" i="23" s="1"/>
  <c r="W178" i="23"/>
  <c r="D178" i="23"/>
  <c r="E178" i="23" s="1"/>
  <c r="F178" i="23" s="1"/>
  <c r="G178" i="23" s="1"/>
  <c r="CD178" i="6" s="1"/>
  <c r="D92" i="23"/>
  <c r="E92" i="23" s="1"/>
  <c r="F92" i="23" s="1"/>
  <c r="W92" i="23"/>
  <c r="W186" i="23"/>
  <c r="D186" i="23"/>
  <c r="E186" i="23" s="1"/>
  <c r="F186" i="23" s="1"/>
  <c r="W183" i="23"/>
  <c r="D183" i="23"/>
  <c r="E183" i="23" s="1"/>
  <c r="F183" i="23" s="1"/>
  <c r="D313" i="23"/>
  <c r="E313" i="23" s="1"/>
  <c r="F313" i="23" s="1"/>
  <c r="W313" i="23"/>
  <c r="D360" i="23"/>
  <c r="E360" i="23" s="1"/>
  <c r="F360" i="23" s="1"/>
  <c r="W360" i="23"/>
  <c r="D213" i="23"/>
  <c r="E213" i="23" s="1"/>
  <c r="F213" i="23" s="1"/>
  <c r="W213" i="23"/>
  <c r="W79" i="23"/>
  <c r="D79" i="23"/>
  <c r="E79" i="23" s="1"/>
  <c r="F79" i="23" s="1"/>
  <c r="W327" i="23"/>
  <c r="D327" i="23"/>
  <c r="E327" i="23" s="1"/>
  <c r="F327" i="23" s="1"/>
  <c r="H327" i="23" s="1"/>
  <c r="I327" i="23" s="1"/>
  <c r="D264" i="23"/>
  <c r="E264" i="23" s="1"/>
  <c r="F264" i="23" s="1"/>
  <c r="G264" i="23" s="1"/>
  <c r="CD264" i="6" s="1"/>
  <c r="W264" i="23"/>
  <c r="D270" i="23"/>
  <c r="E270" i="23" s="1"/>
  <c r="F270" i="23" s="1"/>
  <c r="W270" i="23"/>
  <c r="D48" i="23"/>
  <c r="E48" i="23" s="1"/>
  <c r="F48" i="23" s="1"/>
  <c r="AA48" i="23" s="1"/>
  <c r="Z48" i="23" s="1"/>
  <c r="Y48" i="23" s="1"/>
  <c r="W48" i="23"/>
  <c r="W166" i="23"/>
  <c r="D166" i="23"/>
  <c r="E166" i="23" s="1"/>
  <c r="F166" i="23" s="1"/>
  <c r="H166" i="23" s="1"/>
  <c r="V241" i="23"/>
  <c r="B241" i="23" s="1"/>
  <c r="AH51" i="7"/>
  <c r="W224" i="23"/>
  <c r="D224" i="23"/>
  <c r="E224" i="23" s="1"/>
  <c r="F224" i="23" s="1"/>
  <c r="D68" i="23"/>
  <c r="E68" i="23" s="1"/>
  <c r="F68" i="23" s="1"/>
  <c r="H68" i="23" s="1"/>
  <c r="W68" i="23"/>
  <c r="D171" i="23"/>
  <c r="E171" i="23" s="1"/>
  <c r="F171" i="23" s="1"/>
  <c r="W171" i="23"/>
  <c r="D337" i="23"/>
  <c r="E337" i="23" s="1"/>
  <c r="F337" i="23" s="1"/>
  <c r="W337" i="23"/>
  <c r="W96" i="23"/>
  <c r="D96" i="23"/>
  <c r="E96" i="23" s="1"/>
  <c r="F96" i="23" s="1"/>
  <c r="H96" i="23" s="1"/>
  <c r="I96" i="23" s="1"/>
  <c r="D231" i="23"/>
  <c r="E231" i="23" s="1"/>
  <c r="F231" i="23" s="1"/>
  <c r="W231" i="23"/>
  <c r="D378" i="23"/>
  <c r="E378" i="23" s="1"/>
  <c r="F378" i="23" s="1"/>
  <c r="W378" i="23"/>
  <c r="W129" i="23"/>
  <c r="D129" i="23"/>
  <c r="E129" i="23" s="1"/>
  <c r="F129" i="23" s="1"/>
  <c r="W258" i="23"/>
  <c r="D258" i="23"/>
  <c r="E258" i="23" s="1"/>
  <c r="F258" i="23" s="1"/>
  <c r="W222" i="23"/>
  <c r="D222" i="23"/>
  <c r="E222" i="23" s="1"/>
  <c r="F222" i="23" s="1"/>
  <c r="D125" i="23"/>
  <c r="E125" i="23" s="1"/>
  <c r="F125" i="23" s="1"/>
  <c r="W125" i="23"/>
  <c r="D359" i="23"/>
  <c r="E359" i="23" s="1"/>
  <c r="F359" i="23" s="1"/>
  <c r="W359" i="23"/>
  <c r="W257" i="23"/>
  <c r="D257" i="23"/>
  <c r="E257" i="23" s="1"/>
  <c r="F257" i="23" s="1"/>
  <c r="H257" i="23" s="1"/>
  <c r="J257" i="23" s="1"/>
  <c r="W237" i="23"/>
  <c r="D237" i="23"/>
  <c r="E237" i="23" s="1"/>
  <c r="F237" i="23" s="1"/>
  <c r="H237" i="23" s="1"/>
  <c r="I237" i="23" s="1"/>
  <c r="W285" i="23"/>
  <c r="D285" i="23"/>
  <c r="E285" i="23" s="1"/>
  <c r="F285" i="23" s="1"/>
  <c r="W63" i="23"/>
  <c r="D63" i="23"/>
  <c r="E63" i="23" s="1"/>
  <c r="F63" i="23" s="1"/>
  <c r="W32" i="23"/>
  <c r="D32" i="23"/>
  <c r="E32" i="23" s="1"/>
  <c r="F32" i="23" s="1"/>
  <c r="H32" i="23" s="1"/>
  <c r="J32" i="23" s="1"/>
  <c r="W140" i="23"/>
  <c r="D140" i="23"/>
  <c r="E140" i="23" s="1"/>
  <c r="F140" i="23" s="1"/>
  <c r="G140" i="23" s="1"/>
  <c r="CD140" i="6" s="1"/>
  <c r="D228" i="23"/>
  <c r="E228" i="23" s="1"/>
  <c r="F228" i="23" s="1"/>
  <c r="W228" i="23"/>
  <c r="W268" i="23"/>
  <c r="D268" i="23"/>
  <c r="E268" i="23" s="1"/>
  <c r="F268" i="23" s="1"/>
  <c r="D369" i="23"/>
  <c r="E369" i="23" s="1"/>
  <c r="F369" i="23" s="1"/>
  <c r="W369" i="23"/>
  <c r="D259" i="23"/>
  <c r="E259" i="23" s="1"/>
  <c r="F259" i="23" s="1"/>
  <c r="W259" i="23"/>
  <c r="W100" i="23"/>
  <c r="D100" i="23"/>
  <c r="E100" i="23" s="1"/>
  <c r="F100" i="23" s="1"/>
  <c r="D104" i="23"/>
  <c r="E104" i="23" s="1"/>
  <c r="F104" i="23" s="1"/>
  <c r="W104" i="23"/>
  <c r="W76" i="23"/>
  <c r="D76" i="23"/>
  <c r="E76" i="23" s="1"/>
  <c r="F76" i="23" s="1"/>
  <c r="AA76" i="23" s="1"/>
  <c r="Z76" i="23" s="1"/>
  <c r="Y76" i="23" s="1"/>
  <c r="D192" i="23"/>
  <c r="E192" i="23" s="1"/>
  <c r="F192" i="23" s="1"/>
  <c r="W192" i="23"/>
  <c r="D113" i="23"/>
  <c r="E113" i="23" s="1"/>
  <c r="F113" i="23" s="1"/>
  <c r="H113" i="23" s="1"/>
  <c r="W113" i="23"/>
  <c r="D374" i="23"/>
  <c r="E374" i="23" s="1"/>
  <c r="F374" i="23" s="1"/>
  <c r="W374" i="23"/>
  <c r="D221" i="23"/>
  <c r="E221" i="23" s="1"/>
  <c r="F221" i="23" s="1"/>
  <c r="W221" i="23"/>
  <c r="D22" i="23"/>
  <c r="E22" i="23" s="1"/>
  <c r="F22" i="23" s="1"/>
  <c r="AA22" i="23" s="1"/>
  <c r="Z22" i="23" s="1"/>
  <c r="Y22" i="23" s="1"/>
  <c r="W22" i="23"/>
  <c r="D25" i="23"/>
  <c r="E25" i="23" s="1"/>
  <c r="F25" i="23" s="1"/>
  <c r="W25" i="23"/>
  <c r="D350" i="23"/>
  <c r="E350" i="23" s="1"/>
  <c r="F350" i="23" s="1"/>
  <c r="W350" i="23"/>
  <c r="D355" i="23"/>
  <c r="E355" i="23" s="1"/>
  <c r="F355" i="23" s="1"/>
  <c r="W355" i="23"/>
  <c r="W154" i="23"/>
  <c r="D154" i="23"/>
  <c r="E154" i="23" s="1"/>
  <c r="F154" i="23" s="1"/>
  <c r="W341" i="23"/>
  <c r="D341" i="23"/>
  <c r="E341" i="23" s="1"/>
  <c r="F341" i="23" s="1"/>
  <c r="W326" i="23"/>
  <c r="D326" i="23"/>
  <c r="E326" i="23" s="1"/>
  <c r="F326" i="23" s="1"/>
  <c r="D34" i="23"/>
  <c r="E34" i="23" s="1"/>
  <c r="F34" i="23" s="1"/>
  <c r="W34" i="23"/>
  <c r="D225" i="23"/>
  <c r="E225" i="23" s="1"/>
  <c r="F225" i="23" s="1"/>
  <c r="AA225" i="23" s="1"/>
  <c r="Z225" i="23" s="1"/>
  <c r="Y225" i="23" s="1"/>
  <c r="W225" i="23"/>
  <c r="D37" i="23"/>
  <c r="E37" i="23" s="1"/>
  <c r="F37" i="23" s="1"/>
  <c r="W37" i="23"/>
  <c r="D73" i="23"/>
  <c r="E73" i="23" s="1"/>
  <c r="F73" i="23" s="1"/>
  <c r="H73" i="23" s="1"/>
  <c r="W73" i="23"/>
  <c r="W289" i="23"/>
  <c r="D289" i="23"/>
  <c r="E289" i="23" s="1"/>
  <c r="F289" i="23" s="1"/>
  <c r="W179" i="23"/>
  <c r="D179" i="23"/>
  <c r="E179" i="23" s="1"/>
  <c r="F179" i="23" s="1"/>
  <c r="AA179" i="23" s="1"/>
  <c r="Z179" i="23" s="1"/>
  <c r="Y179" i="23" s="1"/>
  <c r="AA312" i="23"/>
  <c r="Z312" i="23" s="1"/>
  <c r="Y312" i="23" s="1"/>
  <c r="Q12" i="24"/>
  <c r="AT15" i="7"/>
  <c r="AA55" i="23"/>
  <c r="Z55" i="23" s="1"/>
  <c r="Y55" i="23" s="1"/>
  <c r="AA342" i="23"/>
  <c r="Z342" i="23" s="1"/>
  <c r="Y342" i="23" s="1"/>
  <c r="AA105" i="23"/>
  <c r="Z105" i="23" s="1"/>
  <c r="Y105" i="23" s="1"/>
  <c r="AA39" i="23"/>
  <c r="Z39" i="23" s="1"/>
  <c r="Y39" i="23" s="1"/>
  <c r="AD324" i="23"/>
  <c r="H287" i="23"/>
  <c r="I287" i="23" s="1"/>
  <c r="Q383" i="23"/>
  <c r="Q381" i="23"/>
  <c r="Q382" i="23"/>
  <c r="H233" i="23"/>
  <c r="I233" i="23" s="1"/>
  <c r="B380" i="22"/>
  <c r="W379" i="22"/>
  <c r="D379" i="22"/>
  <c r="E379" i="22" s="1"/>
  <c r="F379" i="22" s="1"/>
  <c r="V302" i="23"/>
  <c r="AH53" i="7"/>
  <c r="G174" i="23"/>
  <c r="CD174" i="6" s="1"/>
  <c r="AA219" i="23"/>
  <c r="Z219" i="23" s="1"/>
  <c r="Y219" i="23" s="1"/>
  <c r="H220" i="23"/>
  <c r="I220" i="23" s="1"/>
  <c r="J333" i="22"/>
  <c r="J29" i="22"/>
  <c r="D343" i="23"/>
  <c r="E343" i="23" s="1"/>
  <c r="F343" i="23" s="1"/>
  <c r="H343" i="23" s="1"/>
  <c r="I343" i="23" s="1"/>
  <c r="W343" i="23"/>
  <c r="G62" i="23"/>
  <c r="CD62" i="6" s="1"/>
  <c r="AA62" i="23"/>
  <c r="Z62" i="23" s="1"/>
  <c r="Y62" i="23" s="1"/>
  <c r="J60" i="22"/>
  <c r="H148" i="23"/>
  <c r="I148" i="23" s="1"/>
  <c r="H105" i="23"/>
  <c r="I105" i="23" s="1"/>
  <c r="H39" i="23"/>
  <c r="J39" i="23" s="1"/>
  <c r="G148" i="23"/>
  <c r="CD148" i="6" s="1"/>
  <c r="H375" i="23"/>
  <c r="I375" i="23" s="1"/>
  <c r="G55" i="23"/>
  <c r="CD55" i="6" s="1"/>
  <c r="G204" i="23"/>
  <c r="CD204" i="6" s="1"/>
  <c r="W174" i="23"/>
  <c r="W39" i="23"/>
  <c r="W220" i="23"/>
  <c r="W148" i="23"/>
  <c r="W219" i="23"/>
  <c r="G39" i="23"/>
  <c r="CD39" i="6" s="1"/>
  <c r="AA220" i="23"/>
  <c r="Z220" i="23" s="1"/>
  <c r="Y220" i="23" s="1"/>
  <c r="G375" i="23"/>
  <c r="CD375" i="6" s="1"/>
  <c r="G105" i="23"/>
  <c r="CD105" i="6" s="1"/>
  <c r="H342" i="23"/>
  <c r="J342" i="23" s="1"/>
  <c r="G219" i="23"/>
  <c r="CD219" i="6" s="1"/>
  <c r="W188" i="23"/>
  <c r="W204" i="23"/>
  <c r="D280" i="23"/>
  <c r="E280" i="23" s="1"/>
  <c r="F280" i="23" s="1"/>
  <c r="W375" i="23"/>
  <c r="D242" i="23"/>
  <c r="E242" i="23" s="1"/>
  <c r="F242" i="23" s="1"/>
  <c r="G242" i="23" s="1"/>
  <c r="CD242" i="6" s="1"/>
  <c r="W342" i="23"/>
  <c r="H204" i="23"/>
  <c r="I204" i="23" s="1"/>
  <c r="AA212" i="23"/>
  <c r="Z212" i="23" s="1"/>
  <c r="Y212" i="23" s="1"/>
  <c r="AA194" i="23"/>
  <c r="Z194" i="23" s="1"/>
  <c r="Y194" i="23" s="1"/>
  <c r="W196" i="23"/>
  <c r="AA90" i="23"/>
  <c r="Z90" i="23" s="1"/>
  <c r="Y90" i="23" s="1"/>
  <c r="D71" i="23"/>
  <c r="E71" i="23" s="1"/>
  <c r="F71" i="23" s="1"/>
  <c r="AA71" i="23" s="1"/>
  <c r="Z71" i="23" s="1"/>
  <c r="Y71" i="23" s="1"/>
  <c r="D102" i="23"/>
  <c r="E102" i="23" s="1"/>
  <c r="F102" i="23" s="1"/>
  <c r="AA102" i="23" s="1"/>
  <c r="Z102" i="23" s="1"/>
  <c r="Y102" i="23" s="1"/>
  <c r="D298" i="23"/>
  <c r="E298" i="23" s="1"/>
  <c r="F298" i="23" s="1"/>
  <c r="W159" i="23"/>
  <c r="H312" i="23"/>
  <c r="I312" i="23" s="1"/>
  <c r="D293" i="23"/>
  <c r="E293" i="23" s="1"/>
  <c r="F293" i="23" s="1"/>
  <c r="H293" i="23" s="1"/>
  <c r="J293" i="23" s="1"/>
  <c r="D127" i="23"/>
  <c r="E127" i="23" s="1"/>
  <c r="F127" i="23" s="1"/>
  <c r="G127" i="23" s="1"/>
  <c r="CD127" i="6" s="1"/>
  <c r="W304" i="23"/>
  <c r="D157" i="23"/>
  <c r="E157" i="23" s="1"/>
  <c r="F157" i="23" s="1"/>
  <c r="H157" i="23" s="1"/>
  <c r="I157" i="23" s="1"/>
  <c r="H194" i="23"/>
  <c r="I194" i="23" s="1"/>
  <c r="G138" i="23"/>
  <c r="CD138" i="6" s="1"/>
  <c r="H188" i="23"/>
  <c r="I188" i="23" s="1"/>
  <c r="H159" i="23"/>
  <c r="I159" i="23" s="1"/>
  <c r="AA161" i="23"/>
  <c r="Z161" i="23" s="1"/>
  <c r="Y161" i="23" s="1"/>
  <c r="G212" i="23"/>
  <c r="CD212" i="6" s="1"/>
  <c r="AA49" i="23"/>
  <c r="Z49" i="23" s="1"/>
  <c r="Y49" i="23" s="1"/>
  <c r="G332" i="23"/>
  <c r="CD332" i="6" s="1"/>
  <c r="G342" i="23"/>
  <c r="CD342" i="6" s="1"/>
  <c r="H90" i="23"/>
  <c r="J90" i="23" s="1"/>
  <c r="W212" i="23"/>
  <c r="W49" i="23"/>
  <c r="W62" i="23"/>
  <c r="W332" i="23"/>
  <c r="D117" i="23"/>
  <c r="E117" i="23" s="1"/>
  <c r="F117" i="23" s="1"/>
  <c r="H117" i="23" s="1"/>
  <c r="J117" i="23" s="1"/>
  <c r="D245" i="23"/>
  <c r="E245" i="23" s="1"/>
  <c r="F245" i="23" s="1"/>
  <c r="H62" i="23"/>
  <c r="I62" i="23" s="1"/>
  <c r="G188" i="23"/>
  <c r="CD188" i="6" s="1"/>
  <c r="AA159" i="23"/>
  <c r="Z159" i="23" s="1"/>
  <c r="Y159" i="23" s="1"/>
  <c r="H161" i="23"/>
  <c r="I161" i="23" s="1"/>
  <c r="H55" i="23"/>
  <c r="J55" i="23" s="1"/>
  <c r="G49" i="23"/>
  <c r="CD49" i="6" s="1"/>
  <c r="H332" i="23"/>
  <c r="J332" i="23" s="1"/>
  <c r="W138" i="23"/>
  <c r="D147" i="23"/>
  <c r="E147" i="23" s="1"/>
  <c r="F147" i="23" s="1"/>
  <c r="W261" i="23"/>
  <c r="W161" i="23"/>
  <c r="D347" i="23"/>
  <c r="E347" i="23" s="1"/>
  <c r="F347" i="23" s="1"/>
  <c r="G347" i="23" s="1"/>
  <c r="CD347" i="6" s="1"/>
  <c r="D164" i="23"/>
  <c r="E164" i="23" s="1"/>
  <c r="F164" i="23" s="1"/>
  <c r="W291" i="23"/>
  <c r="D303" i="23"/>
  <c r="E303" i="23" s="1"/>
  <c r="F303" i="23" s="1"/>
  <c r="H303" i="23" s="1"/>
  <c r="I303" i="23" s="1"/>
  <c r="W90" i="23"/>
  <c r="W105" i="23"/>
  <c r="W194" i="23"/>
  <c r="H239" i="23"/>
  <c r="W239" i="23"/>
  <c r="W238" i="23"/>
  <c r="W55" i="23"/>
  <c r="AA304" i="23"/>
  <c r="Z304" i="23" s="1"/>
  <c r="Y304" i="23" s="1"/>
  <c r="G61" i="23"/>
  <c r="CD61" i="6" s="1"/>
  <c r="H209" i="23"/>
  <c r="I209" i="23" s="1"/>
  <c r="AH381" i="23"/>
  <c r="AH383" i="23"/>
  <c r="H261" i="23"/>
  <c r="J261" i="23" s="1"/>
  <c r="H291" i="23"/>
  <c r="I291" i="23" s="1"/>
  <c r="AA209" i="23"/>
  <c r="Z209" i="23" s="1"/>
  <c r="Y209" i="23" s="1"/>
  <c r="H304" i="23"/>
  <c r="I304" i="23" s="1"/>
  <c r="D135" i="23"/>
  <c r="E135" i="23" s="1"/>
  <c r="F135" i="23" s="1"/>
  <c r="H135" i="23" s="1"/>
  <c r="G251" i="23"/>
  <c r="CD251" i="6" s="1"/>
  <c r="AA238" i="23"/>
  <c r="Z238" i="23" s="1"/>
  <c r="Y238" i="23" s="1"/>
  <c r="G312" i="23"/>
  <c r="CD312" i="6" s="1"/>
  <c r="AA239" i="23"/>
  <c r="Z239" i="23" s="1"/>
  <c r="Y239" i="23" s="1"/>
  <c r="D306" i="23"/>
  <c r="E306" i="23" s="1"/>
  <c r="F306" i="23" s="1"/>
  <c r="D33" i="23"/>
  <c r="E33" i="23" s="1"/>
  <c r="F33" i="23" s="1"/>
  <c r="H33" i="23" s="1"/>
  <c r="I33" i="23" s="1"/>
  <c r="V272" i="23"/>
  <c r="AH52" i="7"/>
  <c r="AA61" i="23"/>
  <c r="Z61" i="23" s="1"/>
  <c r="Y61" i="23" s="1"/>
  <c r="G304" i="23"/>
  <c r="CD304" i="6" s="1"/>
  <c r="H251" i="23"/>
  <c r="J251" i="23" s="1"/>
  <c r="G238" i="23"/>
  <c r="CD238" i="6" s="1"/>
  <c r="W61" i="23"/>
  <c r="D89" i="23"/>
  <c r="E89" i="23" s="1"/>
  <c r="F89" i="23" s="1"/>
  <c r="G89" i="23" s="1"/>
  <c r="CD89" i="6" s="1"/>
  <c r="W251" i="23"/>
  <c r="W312" i="23"/>
  <c r="D136" i="23"/>
  <c r="E136" i="23" s="1"/>
  <c r="F136" i="23" s="1"/>
  <c r="W209" i="23"/>
  <c r="W27" i="23"/>
  <c r="D27" i="23"/>
  <c r="E27" i="23" s="1"/>
  <c r="F27" i="23" s="1"/>
  <c r="U10" i="24"/>
  <c r="U153" i="24" s="1"/>
  <c r="T153" i="24" s="1"/>
  <c r="S153" i="24" s="1"/>
  <c r="R153" i="24" s="1"/>
  <c r="D29" i="23"/>
  <c r="E29" i="23" s="1"/>
  <c r="F29" i="23" s="1"/>
  <c r="G29" i="23" s="1"/>
  <c r="CD29" i="6" s="1"/>
  <c r="E15" i="18"/>
  <c r="AJ8" i="18"/>
  <c r="B66" i="19"/>
  <c r="V380" i="20"/>
  <c r="AF382" i="22"/>
  <c r="AD15" i="22"/>
  <c r="AF381" i="22"/>
  <c r="AF383" i="22"/>
  <c r="AI46" i="24"/>
  <c r="AH46" i="24" s="1"/>
  <c r="AG46" i="24" s="1"/>
  <c r="AF46" i="24" s="1"/>
  <c r="R381" i="22"/>
  <c r="P15" i="22"/>
  <c r="R382" i="22"/>
  <c r="R383" i="22"/>
  <c r="AY16" i="7"/>
  <c r="U373" i="24"/>
  <c r="T373" i="24" s="1"/>
  <c r="S373" i="24" s="1"/>
  <c r="R373" i="24" s="1"/>
  <c r="S15" i="23"/>
  <c r="T382" i="23"/>
  <c r="T383" i="23"/>
  <c r="T381" i="23"/>
  <c r="AG379" i="23"/>
  <c r="AF379" i="23" s="1"/>
  <c r="AM7" i="18"/>
  <c r="AF136" i="23"/>
  <c r="J138" i="23"/>
  <c r="I138" i="23"/>
  <c r="I38" i="23"/>
  <c r="J38" i="23"/>
  <c r="I67" i="23"/>
  <c r="J67" i="23"/>
  <c r="I181" i="23"/>
  <c r="J181" i="23"/>
  <c r="I150" i="23"/>
  <c r="J150" i="23"/>
  <c r="I307" i="23"/>
  <c r="J307" i="23"/>
  <c r="J358" i="23"/>
  <c r="I358" i="23"/>
  <c r="J91" i="23"/>
  <c r="I91" i="23"/>
  <c r="I49" i="23"/>
  <c r="J49" i="23"/>
  <c r="J174" i="23"/>
  <c r="I174" i="23"/>
  <c r="J238" i="23"/>
  <c r="I238" i="23"/>
  <c r="I61" i="23"/>
  <c r="J61" i="23"/>
  <c r="I44" i="23"/>
  <c r="G196" i="23"/>
  <c r="CD196" i="6" s="1"/>
  <c r="H196" i="23"/>
  <c r="AA196" i="23"/>
  <c r="Z196" i="23" s="1"/>
  <c r="Y196" i="23" s="1"/>
  <c r="AA349" i="23"/>
  <c r="Z349" i="23" s="1"/>
  <c r="Y349" i="23" s="1"/>
  <c r="H349" i="23"/>
  <c r="G349" i="23"/>
  <c r="CD349" i="6" s="1"/>
  <c r="I75" i="23"/>
  <c r="J75" i="23"/>
  <c r="J256" i="23"/>
  <c r="I256" i="23"/>
  <c r="I219" i="23"/>
  <c r="J219" i="23"/>
  <c r="J200" i="23"/>
  <c r="I200" i="23"/>
  <c r="D260" i="23" l="1"/>
  <c r="E260" i="23" s="1"/>
  <c r="F260" i="23" s="1"/>
  <c r="AA144" i="23"/>
  <c r="Z144" i="23" s="1"/>
  <c r="Y144" i="23" s="1"/>
  <c r="AA243" i="23"/>
  <c r="Z243" i="23" s="1"/>
  <c r="Y243" i="23" s="1"/>
  <c r="J124" i="23"/>
  <c r="AH54" i="7"/>
  <c r="U336" i="24"/>
  <c r="T336" i="24" s="1"/>
  <c r="S336" i="24" s="1"/>
  <c r="R336" i="24" s="1"/>
  <c r="AA360" i="23"/>
  <c r="Z360" i="23" s="1"/>
  <c r="Y360" i="23" s="1"/>
  <c r="AA283" i="23"/>
  <c r="Z283" i="23" s="1"/>
  <c r="Y283" i="23" s="1"/>
  <c r="AA337" i="23"/>
  <c r="Z337" i="23" s="1"/>
  <c r="Y337" i="23" s="1"/>
  <c r="AD379" i="23"/>
  <c r="AA258" i="23"/>
  <c r="Z258" i="23" s="1"/>
  <c r="Y258" i="23" s="1"/>
  <c r="AA107" i="23"/>
  <c r="Z107" i="23" s="1"/>
  <c r="Y107" i="23" s="1"/>
  <c r="U34" i="24"/>
  <c r="T34" i="24" s="1"/>
  <c r="S34" i="24" s="1"/>
  <c r="R34" i="24" s="1"/>
  <c r="D23" i="23"/>
  <c r="E23" i="23" s="1"/>
  <c r="F23" i="23" s="1"/>
  <c r="AA23" i="23" s="1"/>
  <c r="Z23" i="23" s="1"/>
  <c r="Y23" i="23" s="1"/>
  <c r="U45" i="24"/>
  <c r="T45" i="24" s="1"/>
  <c r="S45" i="24" s="1"/>
  <c r="R45" i="24" s="1"/>
  <c r="U83" i="24"/>
  <c r="T83" i="24" s="1"/>
  <c r="S83" i="24" s="1"/>
  <c r="R83" i="24" s="1"/>
  <c r="U316" i="24"/>
  <c r="T316" i="24" s="1"/>
  <c r="S316" i="24" s="1"/>
  <c r="R316" i="24" s="1"/>
  <c r="U249" i="24"/>
  <c r="T249" i="24" s="1"/>
  <c r="S249" i="24" s="1"/>
  <c r="R249" i="24" s="1"/>
  <c r="U195" i="24"/>
  <c r="T195" i="24" s="1"/>
  <c r="S195" i="24" s="1"/>
  <c r="R195" i="24" s="1"/>
  <c r="U26" i="24"/>
  <c r="T26" i="24" s="1"/>
  <c r="S26" i="24" s="1"/>
  <c r="R26" i="24" s="1"/>
  <c r="U261" i="24"/>
  <c r="T261" i="24" s="1"/>
  <c r="S261" i="24" s="1"/>
  <c r="R261" i="24" s="1"/>
  <c r="U178" i="24"/>
  <c r="T178" i="24" s="1"/>
  <c r="S178" i="24" s="1"/>
  <c r="R178" i="24" s="1"/>
  <c r="U299" i="24"/>
  <c r="T299" i="24" s="1"/>
  <c r="S299" i="24" s="1"/>
  <c r="R299" i="24" s="1"/>
  <c r="U129" i="24"/>
  <c r="T129" i="24" s="1"/>
  <c r="S129" i="24" s="1"/>
  <c r="R129" i="24" s="1"/>
  <c r="U99" i="24"/>
  <c r="T99" i="24" s="1"/>
  <c r="S99" i="24" s="1"/>
  <c r="R99" i="24" s="1"/>
  <c r="I160" i="23"/>
  <c r="D333" i="23"/>
  <c r="E333" i="23" s="1"/>
  <c r="F333" i="23" s="1"/>
  <c r="G333" i="23" s="1"/>
  <c r="CD333" i="6" s="1"/>
  <c r="H125" i="23"/>
  <c r="J125" i="23" s="1"/>
  <c r="H270" i="23"/>
  <c r="I270" i="23" s="1"/>
  <c r="H165" i="23"/>
  <c r="I165" i="23" s="1"/>
  <c r="N66" i="19"/>
  <c r="AI31" i="24"/>
  <c r="AH31" i="24" s="1"/>
  <c r="AG31" i="24" s="1"/>
  <c r="AF31" i="24" s="1"/>
  <c r="U302" i="24"/>
  <c r="T302" i="24" s="1"/>
  <c r="S302" i="24" s="1"/>
  <c r="R302" i="24" s="1"/>
  <c r="U369" i="24"/>
  <c r="T369" i="24" s="1"/>
  <c r="S369" i="24" s="1"/>
  <c r="R369" i="24" s="1"/>
  <c r="U200" i="24"/>
  <c r="T200" i="24" s="1"/>
  <c r="S200" i="24" s="1"/>
  <c r="R200" i="24" s="1"/>
  <c r="U78" i="24"/>
  <c r="T78" i="24" s="1"/>
  <c r="S78" i="24" s="1"/>
  <c r="R78" i="24" s="1"/>
  <c r="U208" i="24"/>
  <c r="T208" i="24" s="1"/>
  <c r="S208" i="24" s="1"/>
  <c r="R208" i="24" s="1"/>
  <c r="U27" i="24"/>
  <c r="T27" i="24" s="1"/>
  <c r="S27" i="24" s="1"/>
  <c r="R27" i="24" s="1"/>
  <c r="U377" i="24"/>
  <c r="T377" i="24" s="1"/>
  <c r="S377" i="24" s="1"/>
  <c r="R377" i="24" s="1"/>
  <c r="U169" i="24"/>
  <c r="T169" i="24" s="1"/>
  <c r="S169" i="24" s="1"/>
  <c r="R169" i="24" s="1"/>
  <c r="U220" i="24"/>
  <c r="T220" i="24" s="1"/>
  <c r="S220" i="24" s="1"/>
  <c r="R220" i="24" s="1"/>
  <c r="U163" i="24"/>
  <c r="T163" i="24" s="1"/>
  <c r="S163" i="24" s="1"/>
  <c r="R163" i="24" s="1"/>
  <c r="U24" i="24"/>
  <c r="T24" i="24" s="1"/>
  <c r="S24" i="24" s="1"/>
  <c r="R24" i="24" s="1"/>
  <c r="U324" i="24"/>
  <c r="T324" i="24" s="1"/>
  <c r="S324" i="24" s="1"/>
  <c r="R324" i="24" s="1"/>
  <c r="U152" i="24"/>
  <c r="T152" i="24" s="1"/>
  <c r="S152" i="24" s="1"/>
  <c r="R152" i="24" s="1"/>
  <c r="U86" i="24"/>
  <c r="T86" i="24" s="1"/>
  <c r="S86" i="24" s="1"/>
  <c r="R86" i="24" s="1"/>
  <c r="AE381" i="23"/>
  <c r="U92" i="24"/>
  <c r="T92" i="24" s="1"/>
  <c r="S92" i="24" s="1"/>
  <c r="R92" i="24" s="1"/>
  <c r="U338" i="24"/>
  <c r="T338" i="24" s="1"/>
  <c r="S338" i="24" s="1"/>
  <c r="R338" i="24" s="1"/>
  <c r="U139" i="24"/>
  <c r="T139" i="24" s="1"/>
  <c r="S139" i="24" s="1"/>
  <c r="R139" i="24" s="1"/>
  <c r="U61" i="24"/>
  <c r="T61" i="24" s="1"/>
  <c r="S61" i="24" s="1"/>
  <c r="R61" i="24" s="1"/>
  <c r="U156" i="24"/>
  <c r="T156" i="24" s="1"/>
  <c r="S156" i="24" s="1"/>
  <c r="R156" i="24" s="1"/>
  <c r="U170" i="24"/>
  <c r="T170" i="24" s="1"/>
  <c r="S170" i="24" s="1"/>
  <c r="R170" i="24" s="1"/>
  <c r="U231" i="24"/>
  <c r="T231" i="24" s="1"/>
  <c r="S231" i="24" s="1"/>
  <c r="R231" i="24" s="1"/>
  <c r="U98" i="24"/>
  <c r="T98" i="24" s="1"/>
  <c r="S98" i="24" s="1"/>
  <c r="R98" i="24" s="1"/>
  <c r="U374" i="24"/>
  <c r="T374" i="24" s="1"/>
  <c r="S374" i="24" s="1"/>
  <c r="R374" i="24" s="1"/>
  <c r="U177" i="24"/>
  <c r="T177" i="24" s="1"/>
  <c r="S177" i="24" s="1"/>
  <c r="R177" i="24" s="1"/>
  <c r="U260" i="24"/>
  <c r="T260" i="24" s="1"/>
  <c r="S260" i="24" s="1"/>
  <c r="R260" i="24" s="1"/>
  <c r="U194" i="24"/>
  <c r="T194" i="24" s="1"/>
  <c r="S194" i="24" s="1"/>
  <c r="R194" i="24" s="1"/>
  <c r="U85" i="24"/>
  <c r="T85" i="24" s="1"/>
  <c r="S85" i="24" s="1"/>
  <c r="R85" i="24" s="1"/>
  <c r="U214" i="24"/>
  <c r="T214" i="24" s="1"/>
  <c r="S214" i="24" s="1"/>
  <c r="R214" i="24" s="1"/>
  <c r="U157" i="24"/>
  <c r="T157" i="24" s="1"/>
  <c r="S157" i="24" s="1"/>
  <c r="R157" i="24" s="1"/>
  <c r="U240" i="24"/>
  <c r="T240" i="24" s="1"/>
  <c r="S240" i="24" s="1"/>
  <c r="R240" i="24" s="1"/>
  <c r="U53" i="24"/>
  <c r="T53" i="24" s="1"/>
  <c r="S53" i="24" s="1"/>
  <c r="R53" i="24" s="1"/>
  <c r="U224" i="24"/>
  <c r="T224" i="24" s="1"/>
  <c r="S224" i="24" s="1"/>
  <c r="R224" i="24" s="1"/>
  <c r="U264" i="24"/>
  <c r="T264" i="24" s="1"/>
  <c r="S264" i="24" s="1"/>
  <c r="R264" i="24" s="1"/>
  <c r="U279" i="24"/>
  <c r="T279" i="24" s="1"/>
  <c r="S279" i="24" s="1"/>
  <c r="R279" i="24" s="1"/>
  <c r="U90" i="24"/>
  <c r="T90" i="24" s="1"/>
  <c r="S90" i="24" s="1"/>
  <c r="R90" i="24" s="1"/>
  <c r="U215" i="24"/>
  <c r="T215" i="24" s="1"/>
  <c r="S215" i="24" s="1"/>
  <c r="R215" i="24" s="1"/>
  <c r="U142" i="24"/>
  <c r="T142" i="24" s="1"/>
  <c r="S142" i="24" s="1"/>
  <c r="R142" i="24" s="1"/>
  <c r="U366" i="24"/>
  <c r="T366" i="24" s="1"/>
  <c r="S366" i="24" s="1"/>
  <c r="R366" i="24" s="1"/>
  <c r="U275" i="24"/>
  <c r="T275" i="24" s="1"/>
  <c r="S275" i="24" s="1"/>
  <c r="R275" i="24" s="1"/>
  <c r="U35" i="24"/>
  <c r="T35" i="24" s="1"/>
  <c r="S35" i="24" s="1"/>
  <c r="R35" i="24" s="1"/>
  <c r="U364" i="24"/>
  <c r="T364" i="24" s="1"/>
  <c r="S364" i="24" s="1"/>
  <c r="R364" i="24" s="1"/>
  <c r="U278" i="24"/>
  <c r="T278" i="24" s="1"/>
  <c r="S278" i="24" s="1"/>
  <c r="R278" i="24" s="1"/>
  <c r="U96" i="24"/>
  <c r="T96" i="24" s="1"/>
  <c r="S96" i="24" s="1"/>
  <c r="R96" i="24" s="1"/>
  <c r="AE382" i="23"/>
  <c r="AE383" i="23"/>
  <c r="AI34" i="24"/>
  <c r="AH34" i="24" s="1"/>
  <c r="AG34" i="24" s="1"/>
  <c r="AF34" i="24" s="1"/>
  <c r="H338" i="23"/>
  <c r="I338" i="23" s="1"/>
  <c r="J180" i="22"/>
  <c r="AI80" i="24"/>
  <c r="AH80" i="24" s="1"/>
  <c r="AG80" i="24" s="1"/>
  <c r="AF80" i="24" s="1"/>
  <c r="U303" i="24"/>
  <c r="T303" i="24" s="1"/>
  <c r="S303" i="24" s="1"/>
  <c r="R303" i="24" s="1"/>
  <c r="U216" i="24"/>
  <c r="T216" i="24" s="1"/>
  <c r="S216" i="24" s="1"/>
  <c r="R216" i="24" s="1"/>
  <c r="U141" i="24"/>
  <c r="T141" i="24" s="1"/>
  <c r="S141" i="24" s="1"/>
  <c r="R141" i="24" s="1"/>
  <c r="U133" i="24"/>
  <c r="T133" i="24" s="1"/>
  <c r="S133" i="24" s="1"/>
  <c r="R133" i="24" s="1"/>
  <c r="U136" i="24"/>
  <c r="T136" i="24" s="1"/>
  <c r="S136" i="24" s="1"/>
  <c r="R136" i="24" s="1"/>
  <c r="U135" i="24"/>
  <c r="T135" i="24" s="1"/>
  <c r="S135" i="24" s="1"/>
  <c r="R135" i="24" s="1"/>
  <c r="U102" i="24"/>
  <c r="T102" i="24" s="1"/>
  <c r="S102" i="24" s="1"/>
  <c r="R102" i="24" s="1"/>
  <c r="U149" i="24"/>
  <c r="T149" i="24" s="1"/>
  <c r="S149" i="24" s="1"/>
  <c r="R149" i="24" s="1"/>
  <c r="U151" i="24"/>
  <c r="T151" i="24" s="1"/>
  <c r="S151" i="24" s="1"/>
  <c r="R151" i="24" s="1"/>
  <c r="U351" i="24"/>
  <c r="T351" i="24" s="1"/>
  <c r="S351" i="24" s="1"/>
  <c r="R351" i="24" s="1"/>
  <c r="U212" i="24"/>
  <c r="T212" i="24" s="1"/>
  <c r="S212" i="24" s="1"/>
  <c r="R212" i="24" s="1"/>
  <c r="U75" i="24"/>
  <c r="T75" i="24" s="1"/>
  <c r="S75" i="24" s="1"/>
  <c r="R75" i="24" s="1"/>
  <c r="U251" i="24"/>
  <c r="T251" i="24" s="1"/>
  <c r="S251" i="24" s="1"/>
  <c r="R251" i="24" s="1"/>
  <c r="U298" i="24"/>
  <c r="T298" i="24" s="1"/>
  <c r="S298" i="24" s="1"/>
  <c r="R298" i="24" s="1"/>
  <c r="U176" i="24"/>
  <c r="T176" i="24" s="1"/>
  <c r="S176" i="24" s="1"/>
  <c r="R176" i="24" s="1"/>
  <c r="U48" i="24"/>
  <c r="T48" i="24" s="1"/>
  <c r="S48" i="24" s="1"/>
  <c r="R48" i="24" s="1"/>
  <c r="U130" i="24"/>
  <c r="T130" i="24" s="1"/>
  <c r="S130" i="24" s="1"/>
  <c r="R130" i="24" s="1"/>
  <c r="U246" i="24"/>
  <c r="T246" i="24" s="1"/>
  <c r="S246" i="24" s="1"/>
  <c r="R246" i="24" s="1"/>
  <c r="U290" i="24"/>
  <c r="T290" i="24" s="1"/>
  <c r="S290" i="24" s="1"/>
  <c r="R290" i="24" s="1"/>
  <c r="U379" i="24"/>
  <c r="T379" i="24" s="1"/>
  <c r="S379" i="24" s="1"/>
  <c r="R379" i="24" s="1"/>
  <c r="U356" i="24"/>
  <c r="T356" i="24" s="1"/>
  <c r="S356" i="24" s="1"/>
  <c r="R356" i="24" s="1"/>
  <c r="U187" i="24"/>
  <c r="T187" i="24" s="1"/>
  <c r="S187" i="24" s="1"/>
  <c r="R187" i="24" s="1"/>
  <c r="U197" i="24"/>
  <c r="T197" i="24" s="1"/>
  <c r="S197" i="24" s="1"/>
  <c r="R197" i="24" s="1"/>
  <c r="U41" i="24"/>
  <c r="T41" i="24" s="1"/>
  <c r="S41" i="24" s="1"/>
  <c r="R41" i="24" s="1"/>
  <c r="U280" i="24"/>
  <c r="T280" i="24" s="1"/>
  <c r="S280" i="24" s="1"/>
  <c r="R280" i="24" s="1"/>
  <c r="U105" i="24"/>
  <c r="T105" i="24" s="1"/>
  <c r="S105" i="24" s="1"/>
  <c r="R105" i="24" s="1"/>
  <c r="U166" i="24"/>
  <c r="T166" i="24" s="1"/>
  <c r="S166" i="24" s="1"/>
  <c r="R166" i="24" s="1"/>
  <c r="U76" i="24"/>
  <c r="T76" i="24" s="1"/>
  <c r="S76" i="24" s="1"/>
  <c r="R76" i="24" s="1"/>
  <c r="U236" i="24"/>
  <c r="T236" i="24" s="1"/>
  <c r="S236" i="24" s="1"/>
  <c r="R236" i="24" s="1"/>
  <c r="U371" i="24"/>
  <c r="T371" i="24" s="1"/>
  <c r="S371" i="24" s="1"/>
  <c r="R371" i="24" s="1"/>
  <c r="U137" i="24"/>
  <c r="T137" i="24" s="1"/>
  <c r="S137" i="24" s="1"/>
  <c r="R137" i="24" s="1"/>
  <c r="U204" i="24"/>
  <c r="T204" i="24" s="1"/>
  <c r="S204" i="24" s="1"/>
  <c r="R204" i="24" s="1"/>
  <c r="U18" i="24"/>
  <c r="T18" i="24" s="1"/>
  <c r="S18" i="24" s="1"/>
  <c r="R18" i="24" s="1"/>
  <c r="U281" i="24"/>
  <c r="T281" i="24" s="1"/>
  <c r="S281" i="24" s="1"/>
  <c r="R281" i="24" s="1"/>
  <c r="U55" i="24"/>
  <c r="T55" i="24" s="1"/>
  <c r="S55" i="24" s="1"/>
  <c r="R55" i="24" s="1"/>
  <c r="U119" i="24"/>
  <c r="T119" i="24" s="1"/>
  <c r="S119" i="24" s="1"/>
  <c r="R119" i="24" s="1"/>
  <c r="U305" i="24"/>
  <c r="T305" i="24" s="1"/>
  <c r="S305" i="24" s="1"/>
  <c r="R305" i="24" s="1"/>
  <c r="U132" i="24"/>
  <c r="T132" i="24" s="1"/>
  <c r="S132" i="24" s="1"/>
  <c r="R132" i="24" s="1"/>
  <c r="U250" i="24"/>
  <c r="T250" i="24" s="1"/>
  <c r="S250" i="24" s="1"/>
  <c r="R250" i="24" s="1"/>
  <c r="U207" i="24"/>
  <c r="T207" i="24" s="1"/>
  <c r="S207" i="24" s="1"/>
  <c r="R207" i="24" s="1"/>
  <c r="U134" i="24"/>
  <c r="T134" i="24" s="1"/>
  <c r="S134" i="24" s="1"/>
  <c r="R134" i="24" s="1"/>
  <c r="U73" i="24"/>
  <c r="T73" i="24" s="1"/>
  <c r="S73" i="24" s="1"/>
  <c r="R73" i="24" s="1"/>
  <c r="U131" i="24"/>
  <c r="T131" i="24" s="1"/>
  <c r="S131" i="24" s="1"/>
  <c r="R131" i="24" s="1"/>
  <c r="U209" i="24"/>
  <c r="T209" i="24" s="1"/>
  <c r="S209" i="24" s="1"/>
  <c r="R209" i="24" s="1"/>
  <c r="U25" i="24"/>
  <c r="T25" i="24" s="1"/>
  <c r="S25" i="24" s="1"/>
  <c r="R25" i="24" s="1"/>
  <c r="U241" i="24"/>
  <c r="T241" i="24" s="1"/>
  <c r="S241" i="24" s="1"/>
  <c r="R241" i="24" s="1"/>
  <c r="U101" i="24"/>
  <c r="T101" i="24" s="1"/>
  <c r="S101" i="24" s="1"/>
  <c r="R101" i="24" s="1"/>
  <c r="U326" i="24"/>
  <c r="T326" i="24" s="1"/>
  <c r="S326" i="24" s="1"/>
  <c r="R326" i="24" s="1"/>
  <c r="U256" i="24"/>
  <c r="T256" i="24" s="1"/>
  <c r="S256" i="24" s="1"/>
  <c r="R256" i="24" s="1"/>
  <c r="U313" i="24"/>
  <c r="T313" i="24" s="1"/>
  <c r="S313" i="24" s="1"/>
  <c r="R313" i="24" s="1"/>
  <c r="U358" i="24"/>
  <c r="T358" i="24" s="1"/>
  <c r="S358" i="24" s="1"/>
  <c r="R358" i="24" s="1"/>
  <c r="U161" i="24"/>
  <c r="T161" i="24" s="1"/>
  <c r="S161" i="24" s="1"/>
  <c r="R161" i="24" s="1"/>
  <c r="U295" i="24"/>
  <c r="T295" i="24" s="1"/>
  <c r="S295" i="24" s="1"/>
  <c r="R295" i="24" s="1"/>
  <c r="U121" i="24"/>
  <c r="T121" i="24" s="1"/>
  <c r="S121" i="24" s="1"/>
  <c r="R121" i="24" s="1"/>
  <c r="U266" i="24"/>
  <c r="T266" i="24" s="1"/>
  <c r="S266" i="24" s="1"/>
  <c r="R266" i="24" s="1"/>
  <c r="U331" i="24"/>
  <c r="T331" i="24" s="1"/>
  <c r="S331" i="24" s="1"/>
  <c r="R331" i="24" s="1"/>
  <c r="U181" i="24"/>
  <c r="T181" i="24" s="1"/>
  <c r="S181" i="24" s="1"/>
  <c r="R181" i="24" s="1"/>
  <c r="U179" i="24"/>
  <c r="T179" i="24" s="1"/>
  <c r="S179" i="24" s="1"/>
  <c r="R179" i="24" s="1"/>
  <c r="U234" i="24"/>
  <c r="T234" i="24" s="1"/>
  <c r="S234" i="24" s="1"/>
  <c r="R234" i="24" s="1"/>
  <c r="AI67" i="24"/>
  <c r="AH67" i="24" s="1"/>
  <c r="AG67" i="24" s="1"/>
  <c r="AF67" i="24" s="1"/>
  <c r="AI74" i="24"/>
  <c r="AH74" i="24" s="1"/>
  <c r="AG74" i="24" s="1"/>
  <c r="AF74" i="24" s="1"/>
  <c r="I272" i="22"/>
  <c r="H104" i="23"/>
  <c r="I104" i="23" s="1"/>
  <c r="H274" i="23"/>
  <c r="I274" i="23" s="1"/>
  <c r="J111" i="23"/>
  <c r="I30" i="23"/>
  <c r="G249" i="23"/>
  <c r="CD249" i="6" s="1"/>
  <c r="AA260" i="23"/>
  <c r="Z260" i="23" s="1"/>
  <c r="Y260" i="23" s="1"/>
  <c r="G59" i="23"/>
  <c r="CD59" i="6" s="1"/>
  <c r="AA298" i="23"/>
  <c r="Z298" i="23" s="1"/>
  <c r="Y298" i="23" s="1"/>
  <c r="V379" i="23"/>
  <c r="B379" i="23" s="1"/>
  <c r="D379" i="23" s="1"/>
  <c r="E379" i="23" s="1"/>
  <c r="F379" i="23" s="1"/>
  <c r="G379" i="23" s="1"/>
  <c r="CD379" i="6" s="1"/>
  <c r="I176" i="23"/>
  <c r="J170" i="23"/>
  <c r="J239" i="23"/>
  <c r="AA351" i="23"/>
  <c r="Z351" i="23" s="1"/>
  <c r="Y351" i="23" s="1"/>
  <c r="D278" i="23"/>
  <c r="E278" i="23" s="1"/>
  <c r="F278" i="23" s="1"/>
  <c r="AA278" i="23" s="1"/>
  <c r="Z278" i="23" s="1"/>
  <c r="Y278" i="23" s="1"/>
  <c r="D60" i="23"/>
  <c r="E60" i="23" s="1"/>
  <c r="F60" i="23" s="1"/>
  <c r="G60" i="23" s="1"/>
  <c r="CD60" i="6" s="1"/>
  <c r="H351" i="23"/>
  <c r="I351" i="23" s="1"/>
  <c r="AA268" i="23"/>
  <c r="Z268" i="23" s="1"/>
  <c r="Y268" i="23" s="1"/>
  <c r="AA112" i="23"/>
  <c r="Z112" i="23" s="1"/>
  <c r="Y112" i="23" s="1"/>
  <c r="AA301" i="23"/>
  <c r="Z301" i="23" s="1"/>
  <c r="Y301" i="23" s="1"/>
  <c r="H53" i="23"/>
  <c r="J53" i="23" s="1"/>
  <c r="AA371" i="23"/>
  <c r="Z371" i="23" s="1"/>
  <c r="Y371" i="23" s="1"/>
  <c r="D68" i="19"/>
  <c r="W247" i="23"/>
  <c r="W214" i="23"/>
  <c r="H42" i="23"/>
  <c r="I42" i="23" s="1"/>
  <c r="H146" i="23"/>
  <c r="J146" i="23" s="1"/>
  <c r="I52" i="23"/>
  <c r="AA154" i="23"/>
  <c r="Z154" i="23" s="1"/>
  <c r="Y154" i="23" s="1"/>
  <c r="AA63" i="23"/>
  <c r="Z63" i="23" s="1"/>
  <c r="Y63" i="23" s="1"/>
  <c r="AA285" i="23"/>
  <c r="Z285" i="23" s="1"/>
  <c r="Y285" i="23" s="1"/>
  <c r="AA315" i="23"/>
  <c r="Z315" i="23" s="1"/>
  <c r="Y315" i="23" s="1"/>
  <c r="AA325" i="23"/>
  <c r="Z325" i="23" s="1"/>
  <c r="Y325" i="23" s="1"/>
  <c r="AA277" i="23"/>
  <c r="Z277" i="23" s="1"/>
  <c r="Y277" i="23" s="1"/>
  <c r="AA271" i="23"/>
  <c r="Z271" i="23" s="1"/>
  <c r="Y271" i="23" s="1"/>
  <c r="AA58" i="23"/>
  <c r="Z58" i="23" s="1"/>
  <c r="Y58" i="23" s="1"/>
  <c r="AA141" i="23"/>
  <c r="Z141" i="23" s="1"/>
  <c r="Y141" i="23" s="1"/>
  <c r="AA377" i="23"/>
  <c r="Z377" i="23" s="1"/>
  <c r="Y377" i="23" s="1"/>
  <c r="G46" i="23"/>
  <c r="CD46" i="6" s="1"/>
  <c r="AA65" i="23"/>
  <c r="Z65" i="23" s="1"/>
  <c r="Y65" i="23" s="1"/>
  <c r="J282" i="23"/>
  <c r="H66" i="23"/>
  <c r="J66" i="23" s="1"/>
  <c r="AA244" i="23"/>
  <c r="Z244" i="23" s="1"/>
  <c r="Y244" i="23" s="1"/>
  <c r="G66" i="23"/>
  <c r="CD66" i="6" s="1"/>
  <c r="H305" i="23"/>
  <c r="I305" i="23" s="1"/>
  <c r="W42" i="23"/>
  <c r="H214" i="23"/>
  <c r="I214" i="23" s="1"/>
  <c r="W226" i="23"/>
  <c r="H41" i="23"/>
  <c r="I41" i="23" s="1"/>
  <c r="J235" i="23"/>
  <c r="H294" i="23"/>
  <c r="J294" i="23" s="1"/>
  <c r="C68" i="19"/>
  <c r="W363" i="23"/>
  <c r="AA163" i="23"/>
  <c r="Z163" i="23" s="1"/>
  <c r="Y163" i="23" s="1"/>
  <c r="AA363" i="23"/>
  <c r="Z363" i="23" s="1"/>
  <c r="Y363" i="23" s="1"/>
  <c r="G88" i="23"/>
  <c r="CD88" i="6" s="1"/>
  <c r="I124" i="23"/>
  <c r="I203" i="23"/>
  <c r="J249" i="23"/>
  <c r="J236" i="23"/>
  <c r="G246" i="23"/>
  <c r="CD246" i="6" s="1"/>
  <c r="G331" i="23"/>
  <c r="CD331" i="6" s="1"/>
  <c r="G310" i="23"/>
  <c r="CD310" i="6" s="1"/>
  <c r="H59" i="23"/>
  <c r="J59" i="23" s="1"/>
  <c r="W59" i="23"/>
  <c r="G172" i="23"/>
  <c r="CD172" i="6" s="1"/>
  <c r="AA246" i="23"/>
  <c r="Z246" i="23" s="1"/>
  <c r="Y246" i="23" s="1"/>
  <c r="H350" i="23"/>
  <c r="J350" i="23" s="1"/>
  <c r="AA294" i="23"/>
  <c r="Z294" i="23" s="1"/>
  <c r="Y294" i="23" s="1"/>
  <c r="AA193" i="23"/>
  <c r="Z193" i="23" s="1"/>
  <c r="Y193" i="23" s="1"/>
  <c r="AA309" i="23"/>
  <c r="Z309" i="23" s="1"/>
  <c r="Y309" i="23" s="1"/>
  <c r="AA247" i="23"/>
  <c r="Z247" i="23" s="1"/>
  <c r="Y247" i="23" s="1"/>
  <c r="J308" i="23"/>
  <c r="J108" i="23"/>
  <c r="J217" i="23"/>
  <c r="J173" i="23"/>
  <c r="J262" i="23"/>
  <c r="H234" i="23"/>
  <c r="J234" i="23" s="1"/>
  <c r="AA255" i="23"/>
  <c r="Z255" i="23" s="1"/>
  <c r="Y255" i="23" s="1"/>
  <c r="AA232" i="23"/>
  <c r="Z232" i="23" s="1"/>
  <c r="Y232" i="23" s="1"/>
  <c r="AA41" i="23"/>
  <c r="Z41" i="23" s="1"/>
  <c r="Y41" i="23" s="1"/>
  <c r="W229" i="23"/>
  <c r="W41" i="23"/>
  <c r="H101" i="23"/>
  <c r="J101" i="23" s="1"/>
  <c r="G250" i="23"/>
  <c r="CD250" i="6" s="1"/>
  <c r="H232" i="23"/>
  <c r="J232" i="23" s="1"/>
  <c r="AA250" i="23"/>
  <c r="Z250" i="23" s="1"/>
  <c r="Y250" i="23" s="1"/>
  <c r="AA101" i="23"/>
  <c r="Z101" i="23" s="1"/>
  <c r="Y101" i="23" s="1"/>
  <c r="H301" i="23"/>
  <c r="I301" i="23" s="1"/>
  <c r="AA330" i="23"/>
  <c r="Z330" i="23" s="1"/>
  <c r="Y330" i="23" s="1"/>
  <c r="H273" i="23"/>
  <c r="I273" i="23" s="1"/>
  <c r="G363" i="23"/>
  <c r="CD363" i="6" s="1"/>
  <c r="J353" i="23"/>
  <c r="J172" i="23"/>
  <c r="I69" i="23"/>
  <c r="H244" i="23"/>
  <c r="J244" i="23" s="1"/>
  <c r="H255" i="23"/>
  <c r="I255" i="23" s="1"/>
  <c r="G163" i="23"/>
  <c r="CD163" i="6" s="1"/>
  <c r="W101" i="23"/>
  <c r="D56" i="23"/>
  <c r="E56" i="23" s="1"/>
  <c r="F56" i="23" s="1"/>
  <c r="AA56" i="23" s="1"/>
  <c r="Z56" i="23" s="1"/>
  <c r="Y56" i="23" s="1"/>
  <c r="W250" i="23"/>
  <c r="W133" i="23"/>
  <c r="W232" i="23"/>
  <c r="AA147" i="23"/>
  <c r="Z147" i="23" s="1"/>
  <c r="Y147" i="23" s="1"/>
  <c r="G229" i="23"/>
  <c r="CD229" i="6" s="1"/>
  <c r="AA172" i="23"/>
  <c r="Z172" i="23" s="1"/>
  <c r="Y172" i="23" s="1"/>
  <c r="D182" i="23"/>
  <c r="E182" i="23" s="1"/>
  <c r="F182" i="23" s="1"/>
  <c r="G182" i="23" s="1"/>
  <c r="CD182" i="6" s="1"/>
  <c r="AA133" i="23"/>
  <c r="Z133" i="23" s="1"/>
  <c r="Y133" i="23" s="1"/>
  <c r="G247" i="23"/>
  <c r="CD247" i="6" s="1"/>
  <c r="G133" i="23"/>
  <c r="CD133" i="6" s="1"/>
  <c r="G226" i="23"/>
  <c r="CD226" i="6" s="1"/>
  <c r="H247" i="23"/>
  <c r="I247" i="23" s="1"/>
  <c r="W172" i="23"/>
  <c r="AA42" i="23"/>
  <c r="Z42" i="23" s="1"/>
  <c r="Y42" i="23" s="1"/>
  <c r="AA259" i="23"/>
  <c r="Z259" i="23" s="1"/>
  <c r="Y259" i="23" s="1"/>
  <c r="AA359" i="23"/>
  <c r="Z359" i="23" s="1"/>
  <c r="Y359" i="23" s="1"/>
  <c r="AA131" i="23"/>
  <c r="Z131" i="23" s="1"/>
  <c r="Y131" i="23" s="1"/>
  <c r="AA364" i="23"/>
  <c r="Z364" i="23" s="1"/>
  <c r="Y364" i="23" s="1"/>
  <c r="AA319" i="23"/>
  <c r="Z319" i="23" s="1"/>
  <c r="Y319" i="23" s="1"/>
  <c r="AA226" i="23"/>
  <c r="Z226" i="23" s="1"/>
  <c r="Y226" i="23" s="1"/>
  <c r="AA273" i="23"/>
  <c r="Z273" i="23" s="1"/>
  <c r="Y273" i="23" s="1"/>
  <c r="AA229" i="23"/>
  <c r="Z229" i="23" s="1"/>
  <c r="Y229" i="23" s="1"/>
  <c r="AA234" i="23"/>
  <c r="Z234" i="23" s="1"/>
  <c r="Y234" i="23" s="1"/>
  <c r="I206" i="23"/>
  <c r="J253" i="23"/>
  <c r="I266" i="23"/>
  <c r="AA253" i="23"/>
  <c r="Z253" i="23" s="1"/>
  <c r="Y253" i="23" s="1"/>
  <c r="AA306" i="23"/>
  <c r="Z306" i="23" s="1"/>
  <c r="Y306" i="23" s="1"/>
  <c r="D240" i="23"/>
  <c r="E240" i="23" s="1"/>
  <c r="F240" i="23" s="1"/>
  <c r="H240" i="23" s="1"/>
  <c r="W309" i="23"/>
  <c r="AA164" i="23"/>
  <c r="Z164" i="23" s="1"/>
  <c r="Y164" i="23" s="1"/>
  <c r="AH45" i="7"/>
  <c r="H296" i="23"/>
  <c r="I296" i="23" s="1"/>
  <c r="AA245" i="23"/>
  <c r="Z245" i="23" s="1"/>
  <c r="Y245" i="23" s="1"/>
  <c r="W296" i="23"/>
  <c r="W310" i="23"/>
  <c r="W351" i="23"/>
  <c r="H309" i="23"/>
  <c r="J309" i="23" s="1"/>
  <c r="AA296" i="23"/>
  <c r="Z296" i="23" s="1"/>
  <c r="Y296" i="23" s="1"/>
  <c r="G236" i="23"/>
  <c r="CD236" i="6" s="1"/>
  <c r="D365" i="23"/>
  <c r="E365" i="23" s="1"/>
  <c r="F365" i="23" s="1"/>
  <c r="G365" i="23" s="1"/>
  <c r="CD365" i="6" s="1"/>
  <c r="H371" i="23"/>
  <c r="J371" i="23" s="1"/>
  <c r="AA310" i="23"/>
  <c r="Z310" i="23" s="1"/>
  <c r="Y310" i="23" s="1"/>
  <c r="AA305" i="23"/>
  <c r="Z305" i="23" s="1"/>
  <c r="Y305" i="23" s="1"/>
  <c r="AA374" i="23"/>
  <c r="Z374" i="23" s="1"/>
  <c r="Y374" i="23" s="1"/>
  <c r="AA354" i="23"/>
  <c r="Z354" i="23" s="1"/>
  <c r="Y354" i="23" s="1"/>
  <c r="AA184" i="23"/>
  <c r="Z184" i="23" s="1"/>
  <c r="Y184" i="23" s="1"/>
  <c r="H58" i="23"/>
  <c r="J58" i="23" s="1"/>
  <c r="AA370" i="23"/>
  <c r="Z370" i="23" s="1"/>
  <c r="Y370" i="23" s="1"/>
  <c r="AA249" i="23"/>
  <c r="Z249" i="23" s="1"/>
  <c r="Y249" i="23" s="1"/>
  <c r="J109" i="23"/>
  <c r="J229" i="23"/>
  <c r="J84" i="23"/>
  <c r="I226" i="23"/>
  <c r="J250" i="23"/>
  <c r="I269" i="23"/>
  <c r="J148" i="23"/>
  <c r="J334" i="23"/>
  <c r="I331" i="23"/>
  <c r="I72" i="23"/>
  <c r="J276" i="23"/>
  <c r="I322" i="23"/>
  <c r="J254" i="23"/>
  <c r="AA280" i="23"/>
  <c r="Z280" i="23" s="1"/>
  <c r="Y280" i="23" s="1"/>
  <c r="AA213" i="23"/>
  <c r="Z213" i="23" s="1"/>
  <c r="Y213" i="23" s="1"/>
  <c r="AA128" i="23"/>
  <c r="Z128" i="23" s="1"/>
  <c r="Y128" i="23" s="1"/>
  <c r="I133" i="23"/>
  <c r="J36" i="23"/>
  <c r="J286" i="23"/>
  <c r="J94" i="23"/>
  <c r="J74" i="23"/>
  <c r="G235" i="23"/>
  <c r="CD235" i="6" s="1"/>
  <c r="G308" i="23"/>
  <c r="CD308" i="6" s="1"/>
  <c r="AA308" i="23"/>
  <c r="Z308" i="23" s="1"/>
  <c r="Y308" i="23" s="1"/>
  <c r="AA267" i="23"/>
  <c r="Z267" i="23" s="1"/>
  <c r="Y267" i="23" s="1"/>
  <c r="D284" i="23"/>
  <c r="E284" i="23" s="1"/>
  <c r="F284" i="23" s="1"/>
  <c r="H284" i="23" s="1"/>
  <c r="I284" i="23" s="1"/>
  <c r="D223" i="23"/>
  <c r="E223" i="23" s="1"/>
  <c r="F223" i="23" s="1"/>
  <c r="AA223" i="23" s="1"/>
  <c r="Z223" i="23" s="1"/>
  <c r="Y223" i="23" s="1"/>
  <c r="D263" i="23"/>
  <c r="E263" i="23" s="1"/>
  <c r="F263" i="23" s="1"/>
  <c r="AA263" i="23" s="1"/>
  <c r="Z263" i="23" s="1"/>
  <c r="Y263" i="23" s="1"/>
  <c r="W331" i="23"/>
  <c r="L68" i="19"/>
  <c r="AA214" i="23"/>
  <c r="Z214" i="23" s="1"/>
  <c r="Y214" i="23" s="1"/>
  <c r="AA331" i="23"/>
  <c r="Z331" i="23" s="1"/>
  <c r="Y331" i="23" s="1"/>
  <c r="AA31" i="23"/>
  <c r="Z31" i="23" s="1"/>
  <c r="Y31" i="23" s="1"/>
  <c r="AA189" i="23"/>
  <c r="Z189" i="23" s="1"/>
  <c r="Y189" i="23" s="1"/>
  <c r="H153" i="23"/>
  <c r="J153" i="23" s="1"/>
  <c r="G47" i="23"/>
  <c r="CD47" i="6" s="1"/>
  <c r="H47" i="23"/>
  <c r="BA16" i="7"/>
  <c r="U217" i="24"/>
  <c r="T217" i="24" s="1"/>
  <c r="S217" i="24" s="1"/>
  <c r="R217" i="24" s="1"/>
  <c r="U63" i="24"/>
  <c r="T63" i="24" s="1"/>
  <c r="S63" i="24" s="1"/>
  <c r="R63" i="24" s="1"/>
  <c r="U362" i="24"/>
  <c r="T362" i="24" s="1"/>
  <c r="S362" i="24" s="1"/>
  <c r="R362" i="24" s="1"/>
  <c r="U361" i="24"/>
  <c r="T361" i="24" s="1"/>
  <c r="S361" i="24" s="1"/>
  <c r="R361" i="24" s="1"/>
  <c r="U100" i="24"/>
  <c r="T100" i="24" s="1"/>
  <c r="S100" i="24" s="1"/>
  <c r="R100" i="24" s="1"/>
  <c r="U144" i="24"/>
  <c r="T144" i="24" s="1"/>
  <c r="S144" i="24" s="1"/>
  <c r="R144" i="24" s="1"/>
  <c r="U223" i="24"/>
  <c r="T223" i="24" s="1"/>
  <c r="S223" i="24" s="1"/>
  <c r="R223" i="24" s="1"/>
  <c r="U293" i="24"/>
  <c r="T293" i="24" s="1"/>
  <c r="S293" i="24" s="1"/>
  <c r="R293" i="24" s="1"/>
  <c r="U82" i="24"/>
  <c r="T82" i="24" s="1"/>
  <c r="S82" i="24" s="1"/>
  <c r="R82" i="24" s="1"/>
  <c r="U93" i="24"/>
  <c r="T93" i="24" s="1"/>
  <c r="S93" i="24" s="1"/>
  <c r="R93" i="24" s="1"/>
  <c r="U65" i="24"/>
  <c r="T65" i="24" s="1"/>
  <c r="S65" i="24" s="1"/>
  <c r="R65" i="24" s="1"/>
  <c r="U253" i="24"/>
  <c r="T253" i="24" s="1"/>
  <c r="S253" i="24" s="1"/>
  <c r="R253" i="24" s="1"/>
  <c r="U349" i="24"/>
  <c r="T349" i="24" s="1"/>
  <c r="S349" i="24" s="1"/>
  <c r="R349" i="24" s="1"/>
  <c r="U59" i="24"/>
  <c r="T59" i="24" s="1"/>
  <c r="S59" i="24" s="1"/>
  <c r="R59" i="24" s="1"/>
  <c r="U69" i="24"/>
  <c r="T69" i="24" s="1"/>
  <c r="S69" i="24" s="1"/>
  <c r="R69" i="24" s="1"/>
  <c r="U116" i="24"/>
  <c r="T116" i="24" s="1"/>
  <c r="S116" i="24" s="1"/>
  <c r="R116" i="24" s="1"/>
  <c r="U334" i="24"/>
  <c r="T334" i="24" s="1"/>
  <c r="S334" i="24" s="1"/>
  <c r="R334" i="24" s="1"/>
  <c r="U311" i="24"/>
  <c r="T311" i="24" s="1"/>
  <c r="S311" i="24" s="1"/>
  <c r="R311" i="24" s="1"/>
  <c r="U88" i="24"/>
  <c r="T88" i="24" s="1"/>
  <c r="S88" i="24" s="1"/>
  <c r="R88" i="24" s="1"/>
  <c r="U71" i="24"/>
  <c r="T71" i="24" s="1"/>
  <c r="S71" i="24" s="1"/>
  <c r="R71" i="24" s="1"/>
  <c r="U191" i="24"/>
  <c r="T191" i="24" s="1"/>
  <c r="S191" i="24" s="1"/>
  <c r="R191" i="24" s="1"/>
  <c r="U17" i="24"/>
  <c r="T17" i="24" s="1"/>
  <c r="S17" i="24" s="1"/>
  <c r="R17" i="24" s="1"/>
  <c r="U172" i="24"/>
  <c r="T172" i="24" s="1"/>
  <c r="S172" i="24" s="1"/>
  <c r="R172" i="24" s="1"/>
  <c r="U54" i="24"/>
  <c r="T54" i="24" s="1"/>
  <c r="S54" i="24" s="1"/>
  <c r="R54" i="24" s="1"/>
  <c r="U339" i="24"/>
  <c r="T339" i="24" s="1"/>
  <c r="S339" i="24" s="1"/>
  <c r="R339" i="24" s="1"/>
  <c r="U67" i="24"/>
  <c r="T67" i="24" s="1"/>
  <c r="S67" i="24" s="1"/>
  <c r="R67" i="24" s="1"/>
  <c r="U365" i="24"/>
  <c r="T365" i="24" s="1"/>
  <c r="S365" i="24" s="1"/>
  <c r="R365" i="24" s="1"/>
  <c r="U68" i="24"/>
  <c r="T68" i="24" s="1"/>
  <c r="S68" i="24" s="1"/>
  <c r="R68" i="24" s="1"/>
  <c r="U188" i="24"/>
  <c r="T188" i="24" s="1"/>
  <c r="S188" i="24" s="1"/>
  <c r="R188" i="24" s="1"/>
  <c r="U104" i="24"/>
  <c r="T104" i="24" s="1"/>
  <c r="S104" i="24" s="1"/>
  <c r="R104" i="24" s="1"/>
  <c r="U81" i="24"/>
  <c r="T81" i="24" s="1"/>
  <c r="S81" i="24" s="1"/>
  <c r="R81" i="24" s="1"/>
  <c r="U222" i="24"/>
  <c r="T222" i="24" s="1"/>
  <c r="S222" i="24" s="1"/>
  <c r="R222" i="24" s="1"/>
  <c r="U118" i="24"/>
  <c r="T118" i="24" s="1"/>
  <c r="S118" i="24" s="1"/>
  <c r="R118" i="24" s="1"/>
  <c r="U77" i="24"/>
  <c r="T77" i="24" s="1"/>
  <c r="S77" i="24" s="1"/>
  <c r="R77" i="24" s="1"/>
  <c r="U70" i="24"/>
  <c r="T70" i="24" s="1"/>
  <c r="S70" i="24" s="1"/>
  <c r="R70" i="24" s="1"/>
  <c r="U269" i="24"/>
  <c r="T269" i="24" s="1"/>
  <c r="S269" i="24" s="1"/>
  <c r="R269" i="24" s="1"/>
  <c r="U237" i="24"/>
  <c r="T237" i="24" s="1"/>
  <c r="S237" i="24" s="1"/>
  <c r="R237" i="24" s="1"/>
  <c r="U60" i="24"/>
  <c r="T60" i="24" s="1"/>
  <c r="S60" i="24" s="1"/>
  <c r="R60" i="24" s="1"/>
  <c r="U317" i="24"/>
  <c r="T317" i="24" s="1"/>
  <c r="S317" i="24" s="1"/>
  <c r="R317" i="24" s="1"/>
  <c r="U145" i="24"/>
  <c r="T145" i="24" s="1"/>
  <c r="S145" i="24" s="1"/>
  <c r="R145" i="24" s="1"/>
  <c r="U304" i="24"/>
  <c r="T304" i="24" s="1"/>
  <c r="S304" i="24" s="1"/>
  <c r="R304" i="24" s="1"/>
  <c r="U42" i="24"/>
  <c r="T42" i="24" s="1"/>
  <c r="S42" i="24" s="1"/>
  <c r="R42" i="24" s="1"/>
  <c r="U300" i="24"/>
  <c r="T300" i="24" s="1"/>
  <c r="S300" i="24" s="1"/>
  <c r="R300" i="24" s="1"/>
  <c r="U274" i="24"/>
  <c r="T274" i="24" s="1"/>
  <c r="S274" i="24" s="1"/>
  <c r="R274" i="24" s="1"/>
  <c r="U259" i="24"/>
  <c r="T259" i="24" s="1"/>
  <c r="S259" i="24" s="1"/>
  <c r="R259" i="24" s="1"/>
  <c r="U227" i="24"/>
  <c r="T227" i="24" s="1"/>
  <c r="S227" i="24" s="1"/>
  <c r="R227" i="24" s="1"/>
  <c r="U174" i="24"/>
  <c r="T174" i="24" s="1"/>
  <c r="S174" i="24" s="1"/>
  <c r="R174" i="24" s="1"/>
  <c r="U44" i="24"/>
  <c r="T44" i="24" s="1"/>
  <c r="S44" i="24" s="1"/>
  <c r="R44" i="24" s="1"/>
  <c r="U31" i="24"/>
  <c r="T31" i="24" s="1"/>
  <c r="S31" i="24" s="1"/>
  <c r="R31" i="24" s="1"/>
  <c r="U346" i="24"/>
  <c r="T346" i="24" s="1"/>
  <c r="S346" i="24" s="1"/>
  <c r="R346" i="24" s="1"/>
  <c r="U49" i="24"/>
  <c r="T49" i="24" s="1"/>
  <c r="S49" i="24" s="1"/>
  <c r="R49" i="24" s="1"/>
  <c r="U165" i="24"/>
  <c r="T165" i="24" s="1"/>
  <c r="S165" i="24" s="1"/>
  <c r="R165" i="24" s="1"/>
  <c r="U182" i="24"/>
  <c r="T182" i="24" s="1"/>
  <c r="S182" i="24" s="1"/>
  <c r="R182" i="24" s="1"/>
  <c r="U64" i="24"/>
  <c r="T64" i="24" s="1"/>
  <c r="S64" i="24" s="1"/>
  <c r="R64" i="24" s="1"/>
  <c r="U276" i="24"/>
  <c r="T276" i="24" s="1"/>
  <c r="S276" i="24" s="1"/>
  <c r="R276" i="24" s="1"/>
  <c r="U56" i="24"/>
  <c r="T56" i="24" s="1"/>
  <c r="S56" i="24" s="1"/>
  <c r="R56" i="24" s="1"/>
  <c r="U21" i="24"/>
  <c r="T21" i="24" s="1"/>
  <c r="S21" i="24" s="1"/>
  <c r="R21" i="24" s="1"/>
  <c r="U319" i="24"/>
  <c r="T319" i="24" s="1"/>
  <c r="S319" i="24" s="1"/>
  <c r="R319" i="24" s="1"/>
  <c r="U272" i="24"/>
  <c r="T272" i="24" s="1"/>
  <c r="S272" i="24" s="1"/>
  <c r="R272" i="24" s="1"/>
  <c r="U111" i="24"/>
  <c r="T111" i="24" s="1"/>
  <c r="S111" i="24" s="1"/>
  <c r="R111" i="24" s="1"/>
  <c r="U95" i="24"/>
  <c r="T95" i="24" s="1"/>
  <c r="S95" i="24" s="1"/>
  <c r="R95" i="24" s="1"/>
  <c r="U36" i="24"/>
  <c r="T36" i="24" s="1"/>
  <c r="S36" i="24" s="1"/>
  <c r="R36" i="24" s="1"/>
  <c r="U301" i="24"/>
  <c r="T301" i="24" s="1"/>
  <c r="S301" i="24" s="1"/>
  <c r="R301" i="24" s="1"/>
  <c r="U103" i="24"/>
  <c r="T103" i="24" s="1"/>
  <c r="S103" i="24" s="1"/>
  <c r="R103" i="24" s="1"/>
  <c r="U72" i="24"/>
  <c r="T72" i="24" s="1"/>
  <c r="S72" i="24" s="1"/>
  <c r="R72" i="24" s="1"/>
  <c r="U350" i="24"/>
  <c r="T350" i="24" s="1"/>
  <c r="S350" i="24" s="1"/>
  <c r="R350" i="24" s="1"/>
  <c r="U226" i="24"/>
  <c r="T226" i="24" s="1"/>
  <c r="S226" i="24" s="1"/>
  <c r="R226" i="24" s="1"/>
  <c r="U330" i="24"/>
  <c r="T330" i="24" s="1"/>
  <c r="S330" i="24" s="1"/>
  <c r="R330" i="24" s="1"/>
  <c r="U254" i="24"/>
  <c r="T254" i="24" s="1"/>
  <c r="S254" i="24" s="1"/>
  <c r="R254" i="24" s="1"/>
  <c r="U257" i="24"/>
  <c r="T257" i="24" s="1"/>
  <c r="S257" i="24" s="1"/>
  <c r="R257" i="24" s="1"/>
  <c r="U368" i="24"/>
  <c r="T368" i="24" s="1"/>
  <c r="S368" i="24" s="1"/>
  <c r="R368" i="24" s="1"/>
  <c r="U184" i="24"/>
  <c r="T184" i="24" s="1"/>
  <c r="S184" i="24" s="1"/>
  <c r="R184" i="24" s="1"/>
  <c r="U291" i="24"/>
  <c r="T291" i="24" s="1"/>
  <c r="S291" i="24" s="1"/>
  <c r="R291" i="24" s="1"/>
  <c r="U375" i="24"/>
  <c r="T375" i="24" s="1"/>
  <c r="S375" i="24" s="1"/>
  <c r="R375" i="24" s="1"/>
  <c r="U376" i="24"/>
  <c r="T376" i="24" s="1"/>
  <c r="S376" i="24" s="1"/>
  <c r="R376" i="24" s="1"/>
  <c r="U113" i="24"/>
  <c r="T113" i="24" s="1"/>
  <c r="S113" i="24" s="1"/>
  <c r="R113" i="24" s="1"/>
  <c r="U242" i="24"/>
  <c r="T242" i="24" s="1"/>
  <c r="S242" i="24" s="1"/>
  <c r="R242" i="24" s="1"/>
  <c r="U202" i="24"/>
  <c r="T202" i="24" s="1"/>
  <c r="S202" i="24" s="1"/>
  <c r="R202" i="24" s="1"/>
  <c r="U183" i="24"/>
  <c r="T183" i="24" s="1"/>
  <c r="S183" i="24" s="1"/>
  <c r="R183" i="24" s="1"/>
  <c r="U175" i="24"/>
  <c r="T175" i="24" s="1"/>
  <c r="S175" i="24" s="1"/>
  <c r="R175" i="24" s="1"/>
  <c r="U327" i="24"/>
  <c r="T327" i="24" s="1"/>
  <c r="S327" i="24" s="1"/>
  <c r="R327" i="24" s="1"/>
  <c r="U378" i="24"/>
  <c r="T378" i="24" s="1"/>
  <c r="S378" i="24" s="1"/>
  <c r="R378" i="24" s="1"/>
  <c r="U328" i="24"/>
  <c r="T328" i="24" s="1"/>
  <c r="S328" i="24" s="1"/>
  <c r="R328" i="24" s="1"/>
  <c r="U115" i="24"/>
  <c r="T115" i="24" s="1"/>
  <c r="S115" i="24" s="1"/>
  <c r="R115" i="24" s="1"/>
  <c r="U20" i="24"/>
  <c r="T20" i="24" s="1"/>
  <c r="S20" i="24" s="1"/>
  <c r="R20" i="24" s="1"/>
  <c r="U230" i="24"/>
  <c r="T230" i="24" s="1"/>
  <c r="S230" i="24" s="1"/>
  <c r="R230" i="24" s="1"/>
  <c r="U258" i="24"/>
  <c r="T258" i="24" s="1"/>
  <c r="S258" i="24" s="1"/>
  <c r="R258" i="24" s="1"/>
  <c r="U287" i="24"/>
  <c r="T287" i="24" s="1"/>
  <c r="S287" i="24" s="1"/>
  <c r="R287" i="24" s="1"/>
  <c r="U164" i="24"/>
  <c r="T164" i="24" s="1"/>
  <c r="S164" i="24" s="1"/>
  <c r="R164" i="24" s="1"/>
  <c r="U335" i="24"/>
  <c r="T335" i="24" s="1"/>
  <c r="S335" i="24" s="1"/>
  <c r="R335" i="24" s="1"/>
  <c r="U296" i="24"/>
  <c r="T296" i="24" s="1"/>
  <c r="S296" i="24" s="1"/>
  <c r="R296" i="24" s="1"/>
  <c r="U294" i="24"/>
  <c r="T294" i="24" s="1"/>
  <c r="S294" i="24" s="1"/>
  <c r="R294" i="24" s="1"/>
  <c r="U372" i="24"/>
  <c r="T372" i="24" s="1"/>
  <c r="S372" i="24" s="1"/>
  <c r="R372" i="24" s="1"/>
  <c r="U155" i="24"/>
  <c r="T155" i="24" s="1"/>
  <c r="S155" i="24" s="1"/>
  <c r="R155" i="24" s="1"/>
  <c r="U322" i="24"/>
  <c r="T322" i="24" s="1"/>
  <c r="S322" i="24" s="1"/>
  <c r="R322" i="24" s="1"/>
  <c r="U192" i="24"/>
  <c r="T192" i="24" s="1"/>
  <c r="S192" i="24" s="1"/>
  <c r="R192" i="24" s="1"/>
  <c r="U347" i="24"/>
  <c r="T347" i="24" s="1"/>
  <c r="S347" i="24" s="1"/>
  <c r="R347" i="24" s="1"/>
  <c r="U193" i="24"/>
  <c r="T193" i="24" s="1"/>
  <c r="S193" i="24" s="1"/>
  <c r="R193" i="24" s="1"/>
  <c r="U38" i="24"/>
  <c r="T38" i="24" s="1"/>
  <c r="S38" i="24" s="1"/>
  <c r="R38" i="24" s="1"/>
  <c r="U248" i="24"/>
  <c r="T248" i="24" s="1"/>
  <c r="S248" i="24" s="1"/>
  <c r="R248" i="24" s="1"/>
  <c r="U203" i="24"/>
  <c r="T203" i="24" s="1"/>
  <c r="S203" i="24" s="1"/>
  <c r="R203" i="24" s="1"/>
  <c r="U285" i="24"/>
  <c r="T285" i="24" s="1"/>
  <c r="S285" i="24" s="1"/>
  <c r="R285" i="24" s="1"/>
  <c r="U40" i="24"/>
  <c r="T40" i="24" s="1"/>
  <c r="S40" i="24" s="1"/>
  <c r="R40" i="24" s="1"/>
  <c r="U28" i="24"/>
  <c r="T28" i="24" s="1"/>
  <c r="S28" i="24" s="1"/>
  <c r="R28" i="24" s="1"/>
  <c r="U108" i="24"/>
  <c r="T108" i="24" s="1"/>
  <c r="S108" i="24" s="1"/>
  <c r="R108" i="24" s="1"/>
  <c r="U89" i="24"/>
  <c r="T89" i="24" s="1"/>
  <c r="S89" i="24" s="1"/>
  <c r="R89" i="24" s="1"/>
  <c r="U277" i="24"/>
  <c r="T277" i="24" s="1"/>
  <c r="S277" i="24" s="1"/>
  <c r="R277" i="24" s="1"/>
  <c r="U23" i="24"/>
  <c r="T23" i="24" s="1"/>
  <c r="S23" i="24" s="1"/>
  <c r="R23" i="24" s="1"/>
  <c r="U109" i="24"/>
  <c r="T109" i="24" s="1"/>
  <c r="S109" i="24" s="1"/>
  <c r="R109" i="24" s="1"/>
  <c r="U355" i="24"/>
  <c r="T355" i="24" s="1"/>
  <c r="S355" i="24" s="1"/>
  <c r="R355" i="24" s="1"/>
  <c r="U221" i="24"/>
  <c r="T221" i="24" s="1"/>
  <c r="S221" i="24" s="1"/>
  <c r="R221" i="24" s="1"/>
  <c r="U337" i="24"/>
  <c r="T337" i="24" s="1"/>
  <c r="S337" i="24" s="1"/>
  <c r="R337" i="24" s="1"/>
  <c r="U247" i="24"/>
  <c r="T247" i="24" s="1"/>
  <c r="S247" i="24" s="1"/>
  <c r="R247" i="24" s="1"/>
  <c r="U353" i="24"/>
  <c r="T353" i="24" s="1"/>
  <c r="S353" i="24" s="1"/>
  <c r="R353" i="24" s="1"/>
  <c r="U286" i="24"/>
  <c r="T286" i="24" s="1"/>
  <c r="S286" i="24" s="1"/>
  <c r="R286" i="24" s="1"/>
  <c r="U262" i="24"/>
  <c r="T262" i="24" s="1"/>
  <c r="S262" i="24" s="1"/>
  <c r="R262" i="24" s="1"/>
  <c r="AI75" i="24"/>
  <c r="AH75" i="24" s="1"/>
  <c r="AG75" i="24" s="1"/>
  <c r="AF75" i="24" s="1"/>
  <c r="AI93" i="24"/>
  <c r="AH93" i="24" s="1"/>
  <c r="AG93" i="24" s="1"/>
  <c r="AF93" i="24" s="1"/>
  <c r="AI82" i="24"/>
  <c r="AH82" i="24" s="1"/>
  <c r="AG82" i="24" s="1"/>
  <c r="AF82" i="24" s="1"/>
  <c r="AI51" i="24"/>
  <c r="AH51" i="24" s="1"/>
  <c r="AG51" i="24" s="1"/>
  <c r="AF51" i="24" s="1"/>
  <c r="AI16" i="24"/>
  <c r="AH16" i="24" s="1"/>
  <c r="AG16" i="24" s="1"/>
  <c r="AF16" i="24" s="1"/>
  <c r="AI52" i="24"/>
  <c r="AH52" i="24" s="1"/>
  <c r="AG52" i="24" s="1"/>
  <c r="AF52" i="24" s="1"/>
  <c r="AI68" i="24"/>
  <c r="AH68" i="24" s="1"/>
  <c r="AG68" i="24" s="1"/>
  <c r="AF68" i="24" s="1"/>
  <c r="AI65" i="24"/>
  <c r="AH65" i="24" s="1"/>
  <c r="AG65" i="24" s="1"/>
  <c r="AF65" i="24" s="1"/>
  <c r="AI45" i="24"/>
  <c r="AH45" i="24" s="1"/>
  <c r="AG45" i="24" s="1"/>
  <c r="AF45" i="24" s="1"/>
  <c r="U321" i="24"/>
  <c r="T321" i="24" s="1"/>
  <c r="S321" i="24" s="1"/>
  <c r="R321" i="24" s="1"/>
  <c r="U167" i="24"/>
  <c r="T167" i="24" s="1"/>
  <c r="S167" i="24" s="1"/>
  <c r="R167" i="24" s="1"/>
  <c r="U270" i="24"/>
  <c r="T270" i="24" s="1"/>
  <c r="S270" i="24" s="1"/>
  <c r="R270" i="24" s="1"/>
  <c r="U284" i="24"/>
  <c r="T284" i="24" s="1"/>
  <c r="S284" i="24" s="1"/>
  <c r="R284" i="24" s="1"/>
  <c r="U150" i="24"/>
  <c r="T150" i="24" s="1"/>
  <c r="S150" i="24" s="1"/>
  <c r="R150" i="24" s="1"/>
  <c r="U37" i="24"/>
  <c r="T37" i="24" s="1"/>
  <c r="S37" i="24" s="1"/>
  <c r="R37" i="24" s="1"/>
  <c r="U110" i="24"/>
  <c r="T110" i="24" s="1"/>
  <c r="S110" i="24" s="1"/>
  <c r="R110" i="24" s="1"/>
  <c r="U292" i="24"/>
  <c r="T292" i="24" s="1"/>
  <c r="S292" i="24" s="1"/>
  <c r="R292" i="24" s="1"/>
  <c r="U308" i="24"/>
  <c r="T308" i="24" s="1"/>
  <c r="S308" i="24" s="1"/>
  <c r="R308" i="24" s="1"/>
  <c r="U219" i="24"/>
  <c r="T219" i="24" s="1"/>
  <c r="S219" i="24" s="1"/>
  <c r="R219" i="24" s="1"/>
  <c r="U32" i="24"/>
  <c r="T32" i="24" s="1"/>
  <c r="S32" i="24" s="1"/>
  <c r="R32" i="24" s="1"/>
  <c r="U106" i="24"/>
  <c r="T106" i="24" s="1"/>
  <c r="S106" i="24" s="1"/>
  <c r="R106" i="24" s="1"/>
  <c r="U124" i="24"/>
  <c r="T124" i="24" s="1"/>
  <c r="S124" i="24" s="1"/>
  <c r="R124" i="24" s="1"/>
  <c r="U33" i="24"/>
  <c r="T33" i="24" s="1"/>
  <c r="S33" i="24" s="1"/>
  <c r="R33" i="24" s="1"/>
  <c r="U127" i="24"/>
  <c r="T127" i="24" s="1"/>
  <c r="S127" i="24" s="1"/>
  <c r="R127" i="24" s="1"/>
  <c r="U243" i="24"/>
  <c r="T243" i="24" s="1"/>
  <c r="S243" i="24" s="1"/>
  <c r="R243" i="24" s="1"/>
  <c r="U84" i="24"/>
  <c r="T84" i="24" s="1"/>
  <c r="S84" i="24" s="1"/>
  <c r="R84" i="24" s="1"/>
  <c r="U140" i="24"/>
  <c r="T140" i="24" s="1"/>
  <c r="S140" i="24" s="1"/>
  <c r="R140" i="24" s="1"/>
  <c r="U52" i="24"/>
  <c r="T52" i="24" s="1"/>
  <c r="S52" i="24" s="1"/>
  <c r="R52" i="24" s="1"/>
  <c r="U143" i="24"/>
  <c r="T143" i="24" s="1"/>
  <c r="S143" i="24" s="1"/>
  <c r="R143" i="24" s="1"/>
  <c r="U57" i="24"/>
  <c r="T57" i="24" s="1"/>
  <c r="S57" i="24" s="1"/>
  <c r="R57" i="24" s="1"/>
  <c r="U79" i="24"/>
  <c r="T79" i="24" s="1"/>
  <c r="S79" i="24" s="1"/>
  <c r="R79" i="24" s="1"/>
  <c r="U267" i="24"/>
  <c r="T267" i="24" s="1"/>
  <c r="S267" i="24" s="1"/>
  <c r="R267" i="24" s="1"/>
  <c r="U173" i="24"/>
  <c r="T173" i="24" s="1"/>
  <c r="S173" i="24" s="1"/>
  <c r="R173" i="24" s="1"/>
  <c r="U58" i="24"/>
  <c r="T58" i="24" s="1"/>
  <c r="S58" i="24" s="1"/>
  <c r="R58" i="24" s="1"/>
  <c r="U46" i="24"/>
  <c r="T46" i="24" s="1"/>
  <c r="S46" i="24" s="1"/>
  <c r="R46" i="24" s="1"/>
  <c r="U320" i="24"/>
  <c r="T320" i="24" s="1"/>
  <c r="S320" i="24" s="1"/>
  <c r="R320" i="24" s="1"/>
  <c r="U158" i="24"/>
  <c r="T158" i="24" s="1"/>
  <c r="S158" i="24" s="1"/>
  <c r="R158" i="24" s="1"/>
  <c r="U160" i="24"/>
  <c r="T160" i="24" s="1"/>
  <c r="S160" i="24" s="1"/>
  <c r="R160" i="24" s="1"/>
  <c r="U201" i="24"/>
  <c r="T201" i="24" s="1"/>
  <c r="S201" i="24" s="1"/>
  <c r="R201" i="24" s="1"/>
  <c r="U30" i="24"/>
  <c r="T30" i="24" s="1"/>
  <c r="S30" i="24" s="1"/>
  <c r="R30" i="24" s="1"/>
  <c r="U206" i="24"/>
  <c r="T206" i="24" s="1"/>
  <c r="S206" i="24" s="1"/>
  <c r="R206" i="24" s="1"/>
  <c r="U232" i="24"/>
  <c r="T232" i="24" s="1"/>
  <c r="S232" i="24" s="1"/>
  <c r="R232" i="24" s="1"/>
  <c r="U43" i="24"/>
  <c r="T43" i="24" s="1"/>
  <c r="S43" i="24" s="1"/>
  <c r="R43" i="24" s="1"/>
  <c r="U74" i="24"/>
  <c r="T74" i="24" s="1"/>
  <c r="S74" i="24" s="1"/>
  <c r="R74" i="24" s="1"/>
  <c r="U341" i="24"/>
  <c r="T341" i="24" s="1"/>
  <c r="S341" i="24" s="1"/>
  <c r="R341" i="24" s="1"/>
  <c r="U15" i="24"/>
  <c r="T15" i="24" s="1"/>
  <c r="U359" i="24"/>
  <c r="T359" i="24" s="1"/>
  <c r="S359" i="24" s="1"/>
  <c r="R359" i="24" s="1"/>
  <c r="U238" i="24"/>
  <c r="T238" i="24" s="1"/>
  <c r="S238" i="24" s="1"/>
  <c r="R238" i="24" s="1"/>
  <c r="U62" i="24"/>
  <c r="T62" i="24" s="1"/>
  <c r="S62" i="24" s="1"/>
  <c r="R62" i="24" s="1"/>
  <c r="U360" i="24"/>
  <c r="T360" i="24" s="1"/>
  <c r="S360" i="24" s="1"/>
  <c r="R360" i="24" s="1"/>
  <c r="U162" i="24"/>
  <c r="T162" i="24" s="1"/>
  <c r="S162" i="24" s="1"/>
  <c r="R162" i="24" s="1"/>
  <c r="U318" i="24"/>
  <c r="T318" i="24" s="1"/>
  <c r="S318" i="24" s="1"/>
  <c r="R318" i="24" s="1"/>
  <c r="U97" i="24"/>
  <c r="T97" i="24" s="1"/>
  <c r="S97" i="24" s="1"/>
  <c r="R97" i="24" s="1"/>
  <c r="U245" i="24"/>
  <c r="T245" i="24" s="1"/>
  <c r="S245" i="24" s="1"/>
  <c r="R245" i="24" s="1"/>
  <c r="U138" i="24"/>
  <c r="T138" i="24" s="1"/>
  <c r="S138" i="24" s="1"/>
  <c r="R138" i="24" s="1"/>
  <c r="U117" i="24"/>
  <c r="T117" i="24" s="1"/>
  <c r="S117" i="24" s="1"/>
  <c r="R117" i="24" s="1"/>
  <c r="U189" i="24"/>
  <c r="T189" i="24" s="1"/>
  <c r="S189" i="24" s="1"/>
  <c r="R189" i="24" s="1"/>
  <c r="U329" i="24"/>
  <c r="T329" i="24" s="1"/>
  <c r="S329" i="24" s="1"/>
  <c r="R329" i="24" s="1"/>
  <c r="U50" i="24"/>
  <c r="T50" i="24" s="1"/>
  <c r="S50" i="24" s="1"/>
  <c r="R50" i="24" s="1"/>
  <c r="U171" i="24"/>
  <c r="T171" i="24" s="1"/>
  <c r="S171" i="24" s="1"/>
  <c r="R171" i="24" s="1"/>
  <c r="U265" i="24"/>
  <c r="T265" i="24" s="1"/>
  <c r="S265" i="24" s="1"/>
  <c r="R265" i="24" s="1"/>
  <c r="U213" i="24"/>
  <c r="T213" i="24" s="1"/>
  <c r="S213" i="24" s="1"/>
  <c r="R213" i="24" s="1"/>
  <c r="U289" i="24"/>
  <c r="T289" i="24" s="1"/>
  <c r="S289" i="24" s="1"/>
  <c r="R289" i="24" s="1"/>
  <c r="U228" i="24"/>
  <c r="T228" i="24" s="1"/>
  <c r="S228" i="24" s="1"/>
  <c r="R228" i="24" s="1"/>
  <c r="U19" i="24"/>
  <c r="T19" i="24" s="1"/>
  <c r="S19" i="24" s="1"/>
  <c r="R19" i="24" s="1"/>
  <c r="U235" i="24"/>
  <c r="T235" i="24" s="1"/>
  <c r="S235" i="24" s="1"/>
  <c r="R235" i="24" s="1"/>
  <c r="U107" i="24"/>
  <c r="T107" i="24" s="1"/>
  <c r="S107" i="24" s="1"/>
  <c r="R107" i="24" s="1"/>
  <c r="U273" i="24"/>
  <c r="T273" i="24" s="1"/>
  <c r="S273" i="24" s="1"/>
  <c r="R273" i="24" s="1"/>
  <c r="U312" i="24"/>
  <c r="T312" i="24" s="1"/>
  <c r="S312" i="24" s="1"/>
  <c r="R312" i="24" s="1"/>
  <c r="U233" i="24"/>
  <c r="T233" i="24" s="1"/>
  <c r="S233" i="24" s="1"/>
  <c r="R233" i="24" s="1"/>
  <c r="U310" i="24"/>
  <c r="T310" i="24" s="1"/>
  <c r="S310" i="24" s="1"/>
  <c r="R310" i="24" s="1"/>
  <c r="U122" i="24"/>
  <c r="T122" i="24" s="1"/>
  <c r="S122" i="24" s="1"/>
  <c r="R122" i="24" s="1"/>
  <c r="U342" i="24"/>
  <c r="T342" i="24" s="1"/>
  <c r="S342" i="24" s="1"/>
  <c r="R342" i="24" s="1"/>
  <c r="U244" i="24"/>
  <c r="T244" i="24" s="1"/>
  <c r="S244" i="24" s="1"/>
  <c r="R244" i="24" s="1"/>
  <c r="U147" i="24"/>
  <c r="T147" i="24" s="1"/>
  <c r="S147" i="24" s="1"/>
  <c r="R147" i="24" s="1"/>
  <c r="U47" i="24"/>
  <c r="T47" i="24" s="1"/>
  <c r="S47" i="24" s="1"/>
  <c r="R47" i="24" s="1"/>
  <c r="U120" i="24"/>
  <c r="T120" i="24" s="1"/>
  <c r="S120" i="24" s="1"/>
  <c r="R120" i="24" s="1"/>
  <c r="U190" i="24"/>
  <c r="T190" i="24" s="1"/>
  <c r="S190" i="24" s="1"/>
  <c r="R190" i="24" s="1"/>
  <c r="U283" i="24"/>
  <c r="T283" i="24" s="1"/>
  <c r="S283" i="24" s="1"/>
  <c r="R283" i="24" s="1"/>
  <c r="U229" i="24"/>
  <c r="T229" i="24" s="1"/>
  <c r="S229" i="24" s="1"/>
  <c r="R229" i="24" s="1"/>
  <c r="U211" i="24"/>
  <c r="T211" i="24" s="1"/>
  <c r="S211" i="24" s="1"/>
  <c r="R211" i="24" s="1"/>
  <c r="U306" i="24"/>
  <c r="T306" i="24" s="1"/>
  <c r="S306" i="24" s="1"/>
  <c r="R306" i="24" s="1"/>
  <c r="G146" i="23"/>
  <c r="CD146" i="6" s="1"/>
  <c r="G370" i="23"/>
  <c r="CD370" i="6" s="1"/>
  <c r="H51" i="23"/>
  <c r="I51" i="23" s="1"/>
  <c r="AI11" i="24"/>
  <c r="I152" i="23"/>
  <c r="I118" i="23"/>
  <c r="J356" i="23"/>
  <c r="I58" i="23"/>
  <c r="H88" i="23"/>
  <c r="J88" i="23" s="1"/>
  <c r="I297" i="23"/>
  <c r="J216" i="23"/>
  <c r="J17" i="23"/>
  <c r="J198" i="23"/>
  <c r="G189" i="23"/>
  <c r="CD189" i="6" s="1"/>
  <c r="F68" i="19"/>
  <c r="I68" i="19"/>
  <c r="G152" i="23"/>
  <c r="CD152" i="6" s="1"/>
  <c r="G352" i="23"/>
  <c r="CD352" i="6" s="1"/>
  <c r="G162" i="23"/>
  <c r="CD162" i="6" s="1"/>
  <c r="H352" i="23"/>
  <c r="I352" i="23" s="1"/>
  <c r="J43" i="23"/>
  <c r="I43" i="23"/>
  <c r="H46" i="23"/>
  <c r="I46" i="23" s="1"/>
  <c r="H227" i="23"/>
  <c r="J227" i="23" s="1"/>
  <c r="I162" i="23"/>
  <c r="J352" i="23"/>
  <c r="I153" i="23"/>
  <c r="J233" i="23"/>
  <c r="H319" i="23"/>
  <c r="I319" i="23" s="1"/>
  <c r="AA152" i="23"/>
  <c r="Z152" i="23" s="1"/>
  <c r="Y152" i="23" s="1"/>
  <c r="AA118" i="23"/>
  <c r="Z118" i="23" s="1"/>
  <c r="Y118" i="23" s="1"/>
  <c r="H377" i="23"/>
  <c r="I377" i="23" s="1"/>
  <c r="H115" i="23"/>
  <c r="J115" i="23" s="1"/>
  <c r="AA53" i="23"/>
  <c r="Z53" i="23" s="1"/>
  <c r="Y53" i="23" s="1"/>
  <c r="H97" i="23"/>
  <c r="I97" i="23" s="1"/>
  <c r="H143" i="23"/>
  <c r="I143" i="23" s="1"/>
  <c r="H201" i="23"/>
  <c r="J201" i="23" s="1"/>
  <c r="H317" i="23"/>
  <c r="I317" i="23" s="1"/>
  <c r="AA201" i="23"/>
  <c r="Z201" i="23" s="1"/>
  <c r="Y201" i="23" s="1"/>
  <c r="G31" i="23"/>
  <c r="CD31" i="6" s="1"/>
  <c r="H110" i="23"/>
  <c r="J110" i="23" s="1"/>
  <c r="AA235" i="23"/>
  <c r="Z235" i="23" s="1"/>
  <c r="Y235" i="23" s="1"/>
  <c r="AA215" i="23"/>
  <c r="Z215" i="23" s="1"/>
  <c r="Y215" i="23" s="1"/>
  <c r="AA368" i="23"/>
  <c r="Z368" i="23" s="1"/>
  <c r="Y368" i="23" s="1"/>
  <c r="H202" i="23"/>
  <c r="I202" i="23" s="1"/>
  <c r="AA202" i="23"/>
  <c r="Z202" i="23" s="1"/>
  <c r="Y202" i="23" s="1"/>
  <c r="AA236" i="23"/>
  <c r="Z236" i="23" s="1"/>
  <c r="Y236" i="23" s="1"/>
  <c r="AA311" i="23"/>
  <c r="Z311" i="23" s="1"/>
  <c r="Y311" i="23" s="1"/>
  <c r="AA162" i="23"/>
  <c r="Z162" i="23" s="1"/>
  <c r="Y162" i="23" s="1"/>
  <c r="D149" i="23"/>
  <c r="E149" i="23" s="1"/>
  <c r="F149" i="23" s="1"/>
  <c r="H149" i="23" s="1"/>
  <c r="I149" i="23" s="1"/>
  <c r="AA167" i="23"/>
  <c r="Z167" i="23" s="1"/>
  <c r="Y167" i="23" s="1"/>
  <c r="AA346" i="23"/>
  <c r="Z346" i="23" s="1"/>
  <c r="Y346" i="23" s="1"/>
  <c r="I376" i="23"/>
  <c r="G288" i="23"/>
  <c r="CD288" i="6" s="1"/>
  <c r="J237" i="23"/>
  <c r="I372" i="23"/>
  <c r="I321" i="23"/>
  <c r="AA367" i="23"/>
  <c r="Z367" i="23" s="1"/>
  <c r="Y367" i="23" s="1"/>
  <c r="AA334" i="23"/>
  <c r="Z334" i="23" s="1"/>
  <c r="Y334" i="23" s="1"/>
  <c r="G328" i="23"/>
  <c r="CD328" i="6" s="1"/>
  <c r="AA72" i="23"/>
  <c r="Z72" i="23" s="1"/>
  <c r="Y72" i="23" s="1"/>
  <c r="AA123" i="23"/>
  <c r="Z123" i="23" s="1"/>
  <c r="Y123" i="23" s="1"/>
  <c r="H258" i="23"/>
  <c r="I258" i="23" s="1"/>
  <c r="AA32" i="23"/>
  <c r="Z32" i="23" s="1"/>
  <c r="Y32" i="23" s="1"/>
  <c r="AA265" i="23"/>
  <c r="Z265" i="23" s="1"/>
  <c r="Y265" i="23" s="1"/>
  <c r="G258" i="23"/>
  <c r="CD258" i="6" s="1"/>
  <c r="AA344" i="23"/>
  <c r="Z344" i="23" s="1"/>
  <c r="Y344" i="23" s="1"/>
  <c r="I121" i="23"/>
  <c r="H345" i="23"/>
  <c r="J345" i="23" s="1"/>
  <c r="J104" i="23"/>
  <c r="AA288" i="23"/>
  <c r="Z288" i="23" s="1"/>
  <c r="Y288" i="23" s="1"/>
  <c r="I80" i="23"/>
  <c r="I177" i="23"/>
  <c r="AA166" i="23"/>
  <c r="Z166" i="23" s="1"/>
  <c r="Y166" i="23" s="1"/>
  <c r="I190" i="23"/>
  <c r="I199" i="23"/>
  <c r="I139" i="23"/>
  <c r="I367" i="23"/>
  <c r="H299" i="23"/>
  <c r="I299" i="23" s="1"/>
  <c r="AA156" i="23"/>
  <c r="Z156" i="23" s="1"/>
  <c r="Y156" i="23" s="1"/>
  <c r="G96" i="23"/>
  <c r="CD96" i="6" s="1"/>
  <c r="H68" i="19"/>
  <c r="AA328" i="23"/>
  <c r="Z328" i="23" s="1"/>
  <c r="Y328" i="23" s="1"/>
  <c r="G254" i="23"/>
  <c r="CD254" i="6" s="1"/>
  <c r="AA146" i="23"/>
  <c r="Z146" i="23" s="1"/>
  <c r="Y146" i="23" s="1"/>
  <c r="AA254" i="23"/>
  <c r="Z254" i="23" s="1"/>
  <c r="Y254" i="23" s="1"/>
  <c r="AA96" i="23"/>
  <c r="Z96" i="23" s="1"/>
  <c r="Y96" i="23" s="1"/>
  <c r="H145" i="23"/>
  <c r="I145" i="23" s="1"/>
  <c r="AA338" i="23"/>
  <c r="Z338" i="23" s="1"/>
  <c r="Y338" i="23" s="1"/>
  <c r="AA126" i="23"/>
  <c r="Z126" i="23" s="1"/>
  <c r="Y126" i="23" s="1"/>
  <c r="G321" i="23"/>
  <c r="CD321" i="6" s="1"/>
  <c r="H336" i="23"/>
  <c r="I336" i="23" s="1"/>
  <c r="G301" i="23"/>
  <c r="CD301" i="6" s="1"/>
  <c r="H344" i="23"/>
  <c r="I344" i="23" s="1"/>
  <c r="J113" i="23"/>
  <c r="I113" i="23"/>
  <c r="I120" i="23"/>
  <c r="J120" i="23"/>
  <c r="J339" i="23"/>
  <c r="I339" i="23"/>
  <c r="AA227" i="23"/>
  <c r="Z227" i="23" s="1"/>
  <c r="Y227" i="23" s="1"/>
  <c r="J287" i="23"/>
  <c r="G319" i="23"/>
  <c r="CD319" i="6" s="1"/>
  <c r="AA372" i="23"/>
  <c r="Z372" i="23" s="1"/>
  <c r="Y372" i="23" s="1"/>
  <c r="G367" i="23"/>
  <c r="CD367" i="6" s="1"/>
  <c r="AA329" i="23"/>
  <c r="Z329" i="23" s="1"/>
  <c r="Y329" i="23" s="1"/>
  <c r="AA80" i="23"/>
  <c r="Z80" i="23" s="1"/>
  <c r="Y80" i="23" s="1"/>
  <c r="H329" i="23"/>
  <c r="I329" i="23" s="1"/>
  <c r="G80" i="23"/>
  <c r="CD80" i="6" s="1"/>
  <c r="AA97" i="23"/>
  <c r="Z97" i="23" s="1"/>
  <c r="Y97" i="23" s="1"/>
  <c r="G334" i="23"/>
  <c r="CD334" i="6" s="1"/>
  <c r="G372" i="23"/>
  <c r="CD372" i="6" s="1"/>
  <c r="G51" i="23"/>
  <c r="CD51" i="6" s="1"/>
  <c r="AA321" i="23"/>
  <c r="Z321" i="23" s="1"/>
  <c r="Y321" i="23" s="1"/>
  <c r="G253" i="23"/>
  <c r="CD253" i="6" s="1"/>
  <c r="H368" i="23"/>
  <c r="I368" i="23" s="1"/>
  <c r="AA153" i="23"/>
  <c r="Z153" i="23" s="1"/>
  <c r="Y153" i="23" s="1"/>
  <c r="AA345" i="23"/>
  <c r="Z345" i="23" s="1"/>
  <c r="Y345" i="23" s="1"/>
  <c r="H102" i="23"/>
  <c r="J102" i="23" s="1"/>
  <c r="G166" i="23"/>
  <c r="CD166" i="6" s="1"/>
  <c r="H267" i="23"/>
  <c r="J267" i="23" s="1"/>
  <c r="G118" i="23"/>
  <c r="CD118" i="6" s="1"/>
  <c r="G376" i="23"/>
  <c r="CD376" i="6" s="1"/>
  <c r="H215" i="23"/>
  <c r="I215" i="23" s="1"/>
  <c r="H265" i="23"/>
  <c r="I265" i="23" s="1"/>
  <c r="AA110" i="23"/>
  <c r="Z110" i="23" s="1"/>
  <c r="Y110" i="23" s="1"/>
  <c r="H64" i="23"/>
  <c r="J64" i="23" s="1"/>
  <c r="AA297" i="23"/>
  <c r="Z297" i="23" s="1"/>
  <c r="Y297" i="23" s="1"/>
  <c r="G65" i="23"/>
  <c r="CD65" i="6" s="1"/>
  <c r="AA115" i="23"/>
  <c r="Z115" i="23" s="1"/>
  <c r="Y115" i="23" s="1"/>
  <c r="G24" i="23"/>
  <c r="CD24" i="6" s="1"/>
  <c r="AA143" i="23"/>
  <c r="Z143" i="23" s="1"/>
  <c r="Y143" i="23" s="1"/>
  <c r="G297" i="23"/>
  <c r="CD297" i="6" s="1"/>
  <c r="H169" i="23"/>
  <c r="I169" i="23" s="1"/>
  <c r="AA322" i="23"/>
  <c r="Z322" i="23" s="1"/>
  <c r="Y322" i="23" s="1"/>
  <c r="G317" i="23"/>
  <c r="CD317" i="6" s="1"/>
  <c r="H65" i="23"/>
  <c r="J65" i="23" s="1"/>
  <c r="G377" i="23"/>
  <c r="CD377" i="6" s="1"/>
  <c r="AA293" i="23"/>
  <c r="Z293" i="23" s="1"/>
  <c r="Y293" i="23" s="1"/>
  <c r="H311" i="23"/>
  <c r="I311" i="23" s="1"/>
  <c r="H346" i="23"/>
  <c r="I346" i="23" s="1"/>
  <c r="G237" i="23"/>
  <c r="CD237" i="6" s="1"/>
  <c r="G63" i="23"/>
  <c r="CD63" i="6" s="1"/>
  <c r="G168" i="23"/>
  <c r="CD168" i="6" s="1"/>
  <c r="G338" i="23"/>
  <c r="CD338" i="6" s="1"/>
  <c r="AA336" i="23"/>
  <c r="Z336" i="23" s="1"/>
  <c r="Y336" i="23" s="1"/>
  <c r="G179" i="23"/>
  <c r="CD179" i="6" s="1"/>
  <c r="J68" i="23"/>
  <c r="I68" i="23"/>
  <c r="J93" i="23"/>
  <c r="I93" i="23"/>
  <c r="G343" i="23"/>
  <c r="CD343" i="6" s="1"/>
  <c r="H167" i="23"/>
  <c r="AA45" i="23"/>
  <c r="Z45" i="23" s="1"/>
  <c r="Y45" i="23" s="1"/>
  <c r="H45" i="23"/>
  <c r="H289" i="23"/>
  <c r="AA289" i="23"/>
  <c r="Z289" i="23" s="1"/>
  <c r="Y289" i="23" s="1"/>
  <c r="AA326" i="23"/>
  <c r="Z326" i="23" s="1"/>
  <c r="Y326" i="23" s="1"/>
  <c r="G326" i="23"/>
  <c r="CD326" i="6" s="1"/>
  <c r="H341" i="23"/>
  <c r="G341" i="23"/>
  <c r="CD341" i="6" s="1"/>
  <c r="G154" i="23"/>
  <c r="CD154" i="6" s="1"/>
  <c r="H154" i="23"/>
  <c r="J154" i="23" s="1"/>
  <c r="H76" i="23"/>
  <c r="J76" i="23" s="1"/>
  <c r="G76" i="23"/>
  <c r="CD76" i="6" s="1"/>
  <c r="H100" i="23"/>
  <c r="AA100" i="23"/>
  <c r="Z100" i="23" s="1"/>
  <c r="Y100" i="23" s="1"/>
  <c r="G100" i="23"/>
  <c r="CD100" i="6" s="1"/>
  <c r="AA257" i="23"/>
  <c r="Z257" i="23" s="1"/>
  <c r="Y257" i="23" s="1"/>
  <c r="G257" i="23"/>
  <c r="CD257" i="6" s="1"/>
  <c r="H222" i="23"/>
  <c r="AA222" i="23"/>
  <c r="Z222" i="23" s="1"/>
  <c r="Y222" i="23" s="1"/>
  <c r="G129" i="23"/>
  <c r="CD129" i="6" s="1"/>
  <c r="H129" i="23"/>
  <c r="J129" i="23" s="1"/>
  <c r="G224" i="23"/>
  <c r="CD224" i="6" s="1"/>
  <c r="AA224" i="23"/>
  <c r="Z224" i="23" s="1"/>
  <c r="Y224" i="23" s="1"/>
  <c r="H224" i="23"/>
  <c r="J224" i="23" s="1"/>
  <c r="G327" i="23"/>
  <c r="CD327" i="6" s="1"/>
  <c r="AA327" i="23"/>
  <c r="Z327" i="23" s="1"/>
  <c r="Y327" i="23" s="1"/>
  <c r="AA79" i="23"/>
  <c r="Z79" i="23" s="1"/>
  <c r="Y79" i="23" s="1"/>
  <c r="G79" i="23"/>
  <c r="CD79" i="6" s="1"/>
  <c r="AA183" i="23"/>
  <c r="Z183" i="23" s="1"/>
  <c r="Y183" i="23" s="1"/>
  <c r="H183" i="23"/>
  <c r="I183" i="23" s="1"/>
  <c r="H186" i="23"/>
  <c r="G186" i="23"/>
  <c r="CD186" i="6" s="1"/>
  <c r="H362" i="23"/>
  <c r="G362" i="23"/>
  <c r="CD362" i="6" s="1"/>
  <c r="G373" i="23"/>
  <c r="CD373" i="6" s="1"/>
  <c r="H373" i="23"/>
  <c r="I373" i="23" s="1"/>
  <c r="G95" i="23"/>
  <c r="CD95" i="6" s="1"/>
  <c r="H95" i="23"/>
  <c r="I95" i="23" s="1"/>
  <c r="H106" i="23"/>
  <c r="AA106" i="23"/>
  <c r="Z106" i="23" s="1"/>
  <c r="Y106" i="23" s="1"/>
  <c r="H324" i="23"/>
  <c r="G324" i="23"/>
  <c r="CD324" i="6" s="1"/>
  <c r="AA324" i="23"/>
  <c r="Z324" i="23" s="1"/>
  <c r="Y324" i="23" s="1"/>
  <c r="AA78" i="23"/>
  <c r="Z78" i="23" s="1"/>
  <c r="Y78" i="23" s="1"/>
  <c r="G78" i="23"/>
  <c r="CD78" i="6" s="1"/>
  <c r="AA54" i="23"/>
  <c r="Z54" i="23" s="1"/>
  <c r="Y54" i="23" s="1"/>
  <c r="H54" i="23"/>
  <c r="I54" i="23" s="1"/>
  <c r="H112" i="23"/>
  <c r="G112" i="23"/>
  <c r="CD112" i="6" s="1"/>
  <c r="G315" i="23"/>
  <c r="CD315" i="6" s="1"/>
  <c r="H315" i="23"/>
  <c r="J315" i="23" s="1"/>
  <c r="H300" i="23"/>
  <c r="AA300" i="23"/>
  <c r="Z300" i="23" s="1"/>
  <c r="Y300" i="23" s="1"/>
  <c r="G325" i="23"/>
  <c r="CD325" i="6" s="1"/>
  <c r="H325" i="23"/>
  <c r="J325" i="23" s="1"/>
  <c r="G82" i="23"/>
  <c r="CD82" i="6" s="1"/>
  <c r="AA82" i="23"/>
  <c r="Z82" i="23" s="1"/>
  <c r="Y82" i="23" s="1"/>
  <c r="H82" i="23"/>
  <c r="J82" i="23" s="1"/>
  <c r="AA318" i="23"/>
  <c r="Z318" i="23" s="1"/>
  <c r="Y318" i="23" s="1"/>
  <c r="G318" i="23"/>
  <c r="CD318" i="6" s="1"/>
  <c r="H318" i="23"/>
  <c r="I318" i="23" s="1"/>
  <c r="G77" i="23"/>
  <c r="CD77" i="6" s="1"/>
  <c r="AA77" i="23"/>
  <c r="Z77" i="23" s="1"/>
  <c r="Y77" i="23" s="1"/>
  <c r="G281" i="23"/>
  <c r="CD281" i="6" s="1"/>
  <c r="AA281" i="23"/>
  <c r="Z281" i="23" s="1"/>
  <c r="Y281" i="23" s="1"/>
  <c r="H107" i="23"/>
  <c r="G107" i="23"/>
  <c r="CD107" i="6" s="1"/>
  <c r="G99" i="23"/>
  <c r="CD99" i="6" s="1"/>
  <c r="H99" i="23"/>
  <c r="I99" i="23" s="1"/>
  <c r="G151" i="23"/>
  <c r="CD151" i="6" s="1"/>
  <c r="AA151" i="23"/>
  <c r="Z151" i="23" s="1"/>
  <c r="Y151" i="23" s="1"/>
  <c r="G70" i="23"/>
  <c r="CD70" i="6" s="1"/>
  <c r="H70" i="23"/>
  <c r="I70" i="23" s="1"/>
  <c r="AA275" i="23"/>
  <c r="Z275" i="23" s="1"/>
  <c r="Y275" i="23" s="1"/>
  <c r="H275" i="23"/>
  <c r="I275" i="23" s="1"/>
  <c r="G275" i="23"/>
  <c r="CD275" i="6" s="1"/>
  <c r="G130" i="23"/>
  <c r="CD130" i="6" s="1"/>
  <c r="AA130" i="23"/>
  <c r="Z130" i="23" s="1"/>
  <c r="Y130" i="23" s="1"/>
  <c r="H130" i="23"/>
  <c r="I130" i="23" s="1"/>
  <c r="G290" i="23"/>
  <c r="CD290" i="6" s="1"/>
  <c r="AA290" i="23"/>
  <c r="Z290" i="23" s="1"/>
  <c r="Y290" i="23" s="1"/>
  <c r="G57" i="23"/>
  <c r="CD57" i="6" s="1"/>
  <c r="H57" i="23"/>
  <c r="I57" i="23" s="1"/>
  <c r="AA158" i="23"/>
  <c r="Z158" i="23" s="1"/>
  <c r="Y158" i="23" s="1"/>
  <c r="G158" i="23"/>
  <c r="CD158" i="6" s="1"/>
  <c r="AA137" i="23"/>
  <c r="Z137" i="23" s="1"/>
  <c r="Y137" i="23" s="1"/>
  <c r="G137" i="23"/>
  <c r="CD137" i="6" s="1"/>
  <c r="G134" i="23"/>
  <c r="CD134" i="6" s="1"/>
  <c r="H134" i="23"/>
  <c r="J134" i="23" s="1"/>
  <c r="AA134" i="23"/>
  <c r="Z134" i="23" s="1"/>
  <c r="Y134" i="23" s="1"/>
  <c r="AA142" i="23"/>
  <c r="Z142" i="23" s="1"/>
  <c r="Y142" i="23" s="1"/>
  <c r="H142" i="23"/>
  <c r="I142" i="23" s="1"/>
  <c r="G142" i="23"/>
  <c r="CD142" i="6" s="1"/>
  <c r="H191" i="23"/>
  <c r="AA191" i="23"/>
  <c r="Z191" i="23" s="1"/>
  <c r="Y191" i="23" s="1"/>
  <c r="AA87" i="23"/>
  <c r="Z87" i="23" s="1"/>
  <c r="Y87" i="23" s="1"/>
  <c r="G87" i="23"/>
  <c r="CD87" i="6" s="1"/>
  <c r="H87" i="23"/>
  <c r="J87" i="23" s="1"/>
  <c r="G211" i="23"/>
  <c r="CD211" i="6" s="1"/>
  <c r="H211" i="23"/>
  <c r="H19" i="23"/>
  <c r="G19" i="23"/>
  <c r="CD19" i="6" s="1"/>
  <c r="AA132" i="23"/>
  <c r="Z132" i="23" s="1"/>
  <c r="Y132" i="23" s="1"/>
  <c r="H132" i="23"/>
  <c r="J132" i="23" s="1"/>
  <c r="AA279" i="23"/>
  <c r="Z279" i="23" s="1"/>
  <c r="Y279" i="23" s="1"/>
  <c r="H279" i="23"/>
  <c r="I279" i="23" s="1"/>
  <c r="G116" i="23"/>
  <c r="CD116" i="6" s="1"/>
  <c r="AA116" i="23"/>
  <c r="Z116" i="23" s="1"/>
  <c r="Y116" i="23" s="1"/>
  <c r="G277" i="23"/>
  <c r="CD277" i="6" s="1"/>
  <c r="H277" i="23"/>
  <c r="G83" i="23"/>
  <c r="CD83" i="6" s="1"/>
  <c r="H83" i="23"/>
  <c r="J83" i="23" s="1"/>
  <c r="H175" i="23"/>
  <c r="AA175" i="23"/>
  <c r="Z175" i="23" s="1"/>
  <c r="Y175" i="23" s="1"/>
  <c r="H361" i="23"/>
  <c r="AA361" i="23"/>
  <c r="Z361" i="23" s="1"/>
  <c r="Y361" i="23" s="1"/>
  <c r="G103" i="23"/>
  <c r="CD103" i="6" s="1"/>
  <c r="H103" i="23"/>
  <c r="J103" i="23" s="1"/>
  <c r="AA103" i="23"/>
  <c r="Z103" i="23" s="1"/>
  <c r="Y103" i="23" s="1"/>
  <c r="B195" i="23"/>
  <c r="D195" i="23" s="1"/>
  <c r="E195" i="23" s="1"/>
  <c r="F195" i="23" s="1"/>
  <c r="G68" i="19"/>
  <c r="G199" i="23"/>
  <c r="CD199" i="6" s="1"/>
  <c r="AA199" i="23"/>
  <c r="Z199" i="23" s="1"/>
  <c r="Y199" i="23" s="1"/>
  <c r="G193" i="23"/>
  <c r="CD193" i="6" s="1"/>
  <c r="H193" i="23"/>
  <c r="G295" i="23"/>
  <c r="CD295" i="6" s="1"/>
  <c r="AA295" i="23"/>
  <c r="Z295" i="23" s="1"/>
  <c r="Y295" i="23" s="1"/>
  <c r="AA40" i="23"/>
  <c r="Z40" i="23" s="1"/>
  <c r="Y40" i="23" s="1"/>
  <c r="G40" i="23"/>
  <c r="CD40" i="6" s="1"/>
  <c r="G230" i="23"/>
  <c r="CD230" i="6" s="1"/>
  <c r="AA230" i="23"/>
  <c r="Z230" i="23" s="1"/>
  <c r="Y230" i="23" s="1"/>
  <c r="J220" i="23"/>
  <c r="G300" i="23"/>
  <c r="CD300" i="6" s="1"/>
  <c r="H281" i="23"/>
  <c r="I281" i="23" s="1"/>
  <c r="AA237" i="23"/>
  <c r="Z237" i="23" s="1"/>
  <c r="Y237" i="23" s="1"/>
  <c r="H156" i="23"/>
  <c r="I156" i="23" s="1"/>
  <c r="G72" i="23"/>
  <c r="CD72" i="6" s="1"/>
  <c r="H24" i="23"/>
  <c r="I24" i="23" s="1"/>
  <c r="AA266" i="23"/>
  <c r="Z266" i="23" s="1"/>
  <c r="Y266" i="23" s="1"/>
  <c r="H326" i="23"/>
  <c r="J326" i="23" s="1"/>
  <c r="H158" i="23"/>
  <c r="I158" i="23" s="1"/>
  <c r="AA95" i="23"/>
  <c r="Z95" i="23" s="1"/>
  <c r="Y95" i="23" s="1"/>
  <c r="H123" i="23"/>
  <c r="J123" i="23" s="1"/>
  <c r="AA64" i="23"/>
  <c r="Z64" i="23" s="1"/>
  <c r="Y64" i="23" s="1"/>
  <c r="G266" i="23"/>
  <c r="CD266" i="6" s="1"/>
  <c r="H116" i="23"/>
  <c r="I116" i="23" s="1"/>
  <c r="AA341" i="23"/>
  <c r="Z341" i="23" s="1"/>
  <c r="Y341" i="23" s="1"/>
  <c r="G169" i="23"/>
  <c r="CD169" i="6" s="1"/>
  <c r="AA373" i="23"/>
  <c r="Z373" i="23" s="1"/>
  <c r="Y373" i="23" s="1"/>
  <c r="G322" i="23"/>
  <c r="CD322" i="6" s="1"/>
  <c r="G32" i="23"/>
  <c r="CD32" i="6" s="1"/>
  <c r="G183" i="23"/>
  <c r="CD183" i="6" s="1"/>
  <c r="AA186" i="23"/>
  <c r="Z186" i="23" s="1"/>
  <c r="Y186" i="23" s="1"/>
  <c r="AA57" i="23"/>
  <c r="Z57" i="23" s="1"/>
  <c r="Y57" i="23" s="1"/>
  <c r="H168" i="23"/>
  <c r="I168" i="23" s="1"/>
  <c r="H63" i="23"/>
  <c r="J63" i="23" s="1"/>
  <c r="H126" i="23"/>
  <c r="J126" i="23" s="1"/>
  <c r="AA145" i="23"/>
  <c r="Z145" i="23" s="1"/>
  <c r="Y145" i="23" s="1"/>
  <c r="AA376" i="23"/>
  <c r="Z376" i="23" s="1"/>
  <c r="Y376" i="23" s="1"/>
  <c r="H366" i="23"/>
  <c r="J366" i="23" s="1"/>
  <c r="G191" i="23"/>
  <c r="CD191" i="6" s="1"/>
  <c r="AA140" i="23"/>
  <c r="Z140" i="23" s="1"/>
  <c r="Y140" i="23" s="1"/>
  <c r="G132" i="23"/>
  <c r="CD132" i="6" s="1"/>
  <c r="E68" i="19"/>
  <c r="AA129" i="23"/>
  <c r="Z129" i="23" s="1"/>
  <c r="Y129" i="23" s="1"/>
  <c r="AA299" i="23"/>
  <c r="Z299" i="23" s="1"/>
  <c r="Y299" i="23" s="1"/>
  <c r="G106" i="23"/>
  <c r="CD106" i="6" s="1"/>
  <c r="AA366" i="23"/>
  <c r="Z366" i="23" s="1"/>
  <c r="Y366" i="23" s="1"/>
  <c r="G320" i="23"/>
  <c r="CD320" i="6" s="1"/>
  <c r="H151" i="23"/>
  <c r="J151" i="23" s="1"/>
  <c r="G222" i="23"/>
  <c r="CD222" i="6" s="1"/>
  <c r="AA343" i="23"/>
  <c r="Z343" i="23" s="1"/>
  <c r="Y343" i="23" s="1"/>
  <c r="H79" i="23"/>
  <c r="J79" i="23" s="1"/>
  <c r="AA320" i="23"/>
  <c r="Z320" i="23" s="1"/>
  <c r="Y320" i="23" s="1"/>
  <c r="G361" i="23"/>
  <c r="CD361" i="6" s="1"/>
  <c r="AA211" i="23"/>
  <c r="Z211" i="23" s="1"/>
  <c r="Y211" i="23" s="1"/>
  <c r="AA83" i="23"/>
  <c r="Z83" i="23" s="1"/>
  <c r="Y83" i="23" s="1"/>
  <c r="H184" i="23"/>
  <c r="G184" i="23"/>
  <c r="CD184" i="6" s="1"/>
  <c r="J73" i="23"/>
  <c r="I73" i="23"/>
  <c r="I125" i="23"/>
  <c r="J270" i="23"/>
  <c r="AA264" i="23"/>
  <c r="Z264" i="23" s="1"/>
  <c r="Y264" i="23" s="1"/>
  <c r="H264" i="23"/>
  <c r="AI77" i="24"/>
  <c r="AH77" i="24" s="1"/>
  <c r="AG77" i="24" s="1"/>
  <c r="AF77" i="24" s="1"/>
  <c r="U363" i="24"/>
  <c r="T363" i="24" s="1"/>
  <c r="S363" i="24" s="1"/>
  <c r="R363" i="24" s="1"/>
  <c r="U125" i="24"/>
  <c r="T125" i="24" s="1"/>
  <c r="S125" i="24" s="1"/>
  <c r="R125" i="24" s="1"/>
  <c r="U112" i="24"/>
  <c r="T112" i="24" s="1"/>
  <c r="U297" i="24"/>
  <c r="T297" i="24" s="1"/>
  <c r="S297" i="24" s="1"/>
  <c r="R297" i="24" s="1"/>
  <c r="U91" i="24"/>
  <c r="T91" i="24" s="1"/>
  <c r="S91" i="24" s="1"/>
  <c r="R91" i="24" s="1"/>
  <c r="U22" i="24"/>
  <c r="T22" i="24" s="1"/>
  <c r="S22" i="24" s="1"/>
  <c r="R22" i="24" s="1"/>
  <c r="U159" i="24"/>
  <c r="T159" i="24" s="1"/>
  <c r="U271" i="24"/>
  <c r="T271" i="24" s="1"/>
  <c r="S271" i="24" s="1"/>
  <c r="R271" i="24" s="1"/>
  <c r="U205" i="24"/>
  <c r="T205" i="24" s="1"/>
  <c r="S205" i="24" s="1"/>
  <c r="R205" i="24" s="1"/>
  <c r="U128" i="24"/>
  <c r="T128" i="24" s="1"/>
  <c r="S128" i="24" s="1"/>
  <c r="R128" i="24" s="1"/>
  <c r="U196" i="24"/>
  <c r="T196" i="24" s="1"/>
  <c r="S196" i="24" s="1"/>
  <c r="R196" i="24" s="1"/>
  <c r="U354" i="24"/>
  <c r="T354" i="24" s="1"/>
  <c r="S354" i="24" s="1"/>
  <c r="R354" i="24" s="1"/>
  <c r="U198" i="24"/>
  <c r="T198" i="24" s="1"/>
  <c r="S198" i="24" s="1"/>
  <c r="R198" i="24" s="1"/>
  <c r="U51" i="24"/>
  <c r="T51" i="24" s="1"/>
  <c r="S51" i="24" s="1"/>
  <c r="R51" i="24" s="1"/>
  <c r="U186" i="24"/>
  <c r="T186" i="24" s="1"/>
  <c r="S186" i="24" s="1"/>
  <c r="R186" i="24" s="1"/>
  <c r="U168" i="24"/>
  <c r="T168" i="24" s="1"/>
  <c r="S168" i="24" s="1"/>
  <c r="R168" i="24" s="1"/>
  <c r="U80" i="24"/>
  <c r="T80" i="24" s="1"/>
  <c r="U345" i="24"/>
  <c r="T345" i="24" s="1"/>
  <c r="S345" i="24" s="1"/>
  <c r="R345" i="24" s="1"/>
  <c r="U87" i="24"/>
  <c r="T87" i="24" s="1"/>
  <c r="U39" i="24"/>
  <c r="T39" i="24" s="1"/>
  <c r="S39" i="24" s="1"/>
  <c r="R39" i="24" s="1"/>
  <c r="U333" i="24"/>
  <c r="T333" i="24" s="1"/>
  <c r="S333" i="24" s="1"/>
  <c r="R333" i="24" s="1"/>
  <c r="U348" i="24"/>
  <c r="T348" i="24" s="1"/>
  <c r="S348" i="24" s="1"/>
  <c r="R348" i="24" s="1"/>
  <c r="U146" i="24"/>
  <c r="T146" i="24" s="1"/>
  <c r="S146" i="24" s="1"/>
  <c r="R146" i="24" s="1"/>
  <c r="U307" i="24"/>
  <c r="T307" i="24" s="1"/>
  <c r="S307" i="24" s="1"/>
  <c r="R307" i="24" s="1"/>
  <c r="U94" i="24"/>
  <c r="T94" i="24" s="1"/>
  <c r="S94" i="24" s="1"/>
  <c r="R94" i="24" s="1"/>
  <c r="U154" i="24"/>
  <c r="T154" i="24" s="1"/>
  <c r="S154" i="24" s="1"/>
  <c r="R154" i="24" s="1"/>
  <c r="U16" i="24"/>
  <c r="T16" i="24" s="1"/>
  <c r="U123" i="24"/>
  <c r="T123" i="24" s="1"/>
  <c r="S123" i="24" s="1"/>
  <c r="R123" i="24" s="1"/>
  <c r="U148" i="24"/>
  <c r="T148" i="24" s="1"/>
  <c r="S148" i="24" s="1"/>
  <c r="R148" i="24" s="1"/>
  <c r="U255" i="24"/>
  <c r="T255" i="24" s="1"/>
  <c r="S255" i="24" s="1"/>
  <c r="R255" i="24" s="1"/>
  <c r="U263" i="24"/>
  <c r="T263" i="24" s="1"/>
  <c r="U225" i="24"/>
  <c r="T225" i="24" s="1"/>
  <c r="S225" i="24" s="1"/>
  <c r="R225" i="24" s="1"/>
  <c r="AI64" i="24"/>
  <c r="AH64" i="24" s="1"/>
  <c r="AG64" i="24" s="1"/>
  <c r="AF64" i="24" s="1"/>
  <c r="AI61" i="24"/>
  <c r="AH61" i="24" s="1"/>
  <c r="AG61" i="24" s="1"/>
  <c r="AF61" i="24" s="1"/>
  <c r="AI168" i="24"/>
  <c r="AH168" i="24" s="1"/>
  <c r="AG168" i="24" s="1"/>
  <c r="AF168" i="24" s="1"/>
  <c r="AI109" i="24"/>
  <c r="AH109" i="24" s="1"/>
  <c r="AG109" i="24" s="1"/>
  <c r="AF109" i="24" s="1"/>
  <c r="AI88" i="24"/>
  <c r="AH88" i="24" s="1"/>
  <c r="AG88" i="24" s="1"/>
  <c r="AF88" i="24" s="1"/>
  <c r="AI39" i="24"/>
  <c r="AH39" i="24" s="1"/>
  <c r="AG39" i="24" s="1"/>
  <c r="AF39" i="24" s="1"/>
  <c r="AI71" i="24"/>
  <c r="AH71" i="24" s="1"/>
  <c r="AG71" i="24" s="1"/>
  <c r="AF71" i="24" s="1"/>
  <c r="AI219" i="24"/>
  <c r="AH219" i="24" s="1"/>
  <c r="AG219" i="24" s="1"/>
  <c r="AF219" i="24" s="1"/>
  <c r="AI79" i="24"/>
  <c r="AH79" i="24" s="1"/>
  <c r="AG79" i="24" s="1"/>
  <c r="AF79" i="24" s="1"/>
  <c r="AI156" i="24"/>
  <c r="AH156" i="24" s="1"/>
  <c r="AG156" i="24" s="1"/>
  <c r="AF156" i="24" s="1"/>
  <c r="AI60" i="24"/>
  <c r="AH60" i="24" s="1"/>
  <c r="AG60" i="24" s="1"/>
  <c r="AF60" i="24" s="1"/>
  <c r="AI55" i="24"/>
  <c r="AH55" i="24" s="1"/>
  <c r="AG55" i="24" s="1"/>
  <c r="AF55" i="24" s="1"/>
  <c r="AI181" i="24"/>
  <c r="AH181" i="24" s="1"/>
  <c r="AG181" i="24" s="1"/>
  <c r="AF181" i="24" s="1"/>
  <c r="AI345" i="24"/>
  <c r="AH345" i="24" s="1"/>
  <c r="AG345" i="24" s="1"/>
  <c r="AF345" i="24" s="1"/>
  <c r="AI132" i="24"/>
  <c r="AH132" i="24" s="1"/>
  <c r="AG132" i="24" s="1"/>
  <c r="AF132" i="24" s="1"/>
  <c r="AI96" i="24"/>
  <c r="AH96" i="24" s="1"/>
  <c r="AG96" i="24" s="1"/>
  <c r="AF96" i="24" s="1"/>
  <c r="AI87" i="24"/>
  <c r="AH87" i="24" s="1"/>
  <c r="AG87" i="24" s="1"/>
  <c r="AF87" i="24" s="1"/>
  <c r="AI108" i="24"/>
  <c r="AH108" i="24" s="1"/>
  <c r="AG108" i="24" s="1"/>
  <c r="AF108" i="24" s="1"/>
  <c r="AI98" i="24"/>
  <c r="AH98" i="24" s="1"/>
  <c r="AG98" i="24" s="1"/>
  <c r="AF98" i="24" s="1"/>
  <c r="AI83" i="24"/>
  <c r="AH83" i="24" s="1"/>
  <c r="AG83" i="24" s="1"/>
  <c r="AF83" i="24" s="1"/>
  <c r="AI21" i="24"/>
  <c r="AH21" i="24" s="1"/>
  <c r="AG21" i="24" s="1"/>
  <c r="AF21" i="24" s="1"/>
  <c r="G85" i="23"/>
  <c r="CD85" i="6" s="1"/>
  <c r="H85" i="23"/>
  <c r="H330" i="23"/>
  <c r="G330" i="23"/>
  <c r="CD330" i="6" s="1"/>
  <c r="H141" i="23"/>
  <c r="G141" i="23"/>
  <c r="CD141" i="6" s="1"/>
  <c r="AI97" i="24"/>
  <c r="AH97" i="24" s="1"/>
  <c r="AG97" i="24" s="1"/>
  <c r="AF97" i="24" s="1"/>
  <c r="AI95" i="24"/>
  <c r="AH95" i="24" s="1"/>
  <c r="AG95" i="24" s="1"/>
  <c r="AF95" i="24" s="1"/>
  <c r="AI15" i="24"/>
  <c r="AH15" i="24" s="1"/>
  <c r="AI23" i="24"/>
  <c r="AH23" i="24" s="1"/>
  <c r="AG23" i="24" s="1"/>
  <c r="AF23" i="24" s="1"/>
  <c r="AI102" i="24"/>
  <c r="AH102" i="24" s="1"/>
  <c r="AG102" i="24" s="1"/>
  <c r="AF102" i="24" s="1"/>
  <c r="AI33" i="24"/>
  <c r="AH33" i="24" s="1"/>
  <c r="AG33" i="24" s="1"/>
  <c r="AF33" i="24" s="1"/>
  <c r="AI91" i="24"/>
  <c r="AH91" i="24" s="1"/>
  <c r="AG91" i="24" s="1"/>
  <c r="AF91" i="24" s="1"/>
  <c r="AI165" i="24"/>
  <c r="AH165" i="24" s="1"/>
  <c r="AG165" i="24" s="1"/>
  <c r="AF165" i="24" s="1"/>
  <c r="AI103" i="24"/>
  <c r="AH103" i="24" s="1"/>
  <c r="AG103" i="24" s="1"/>
  <c r="AF103" i="24" s="1"/>
  <c r="AI42" i="24"/>
  <c r="AH42" i="24" s="1"/>
  <c r="AG42" i="24" s="1"/>
  <c r="AF42" i="24" s="1"/>
  <c r="AI32" i="24"/>
  <c r="AH32" i="24" s="1"/>
  <c r="AG32" i="24" s="1"/>
  <c r="AF32" i="24" s="1"/>
  <c r="AI24" i="24"/>
  <c r="AH24" i="24" s="1"/>
  <c r="AG24" i="24" s="1"/>
  <c r="AF24" i="24" s="1"/>
  <c r="AI35" i="24"/>
  <c r="AH35" i="24" s="1"/>
  <c r="AG35" i="24" s="1"/>
  <c r="AF35" i="24" s="1"/>
  <c r="G289" i="23"/>
  <c r="CD289" i="6" s="1"/>
  <c r="H140" i="23"/>
  <c r="G285" i="23"/>
  <c r="CD285" i="6" s="1"/>
  <c r="H285" i="23"/>
  <c r="J285" i="23" s="1"/>
  <c r="AA178" i="23"/>
  <c r="Z178" i="23" s="1"/>
  <c r="Y178" i="23" s="1"/>
  <c r="H178" i="23"/>
  <c r="D210" i="23"/>
  <c r="E210" i="23" s="1"/>
  <c r="F210" i="23" s="1"/>
  <c r="H179" i="23"/>
  <c r="Q10" i="24"/>
  <c r="Q44" i="24" s="1"/>
  <c r="AY15" i="7"/>
  <c r="G268" i="23"/>
  <c r="CD268" i="6" s="1"/>
  <c r="H268" i="23"/>
  <c r="D119" i="23"/>
  <c r="E119" i="23" s="1"/>
  <c r="F119" i="23" s="1"/>
  <c r="W119" i="23"/>
  <c r="AA73" i="23"/>
  <c r="Z73" i="23" s="1"/>
  <c r="Y73" i="23" s="1"/>
  <c r="G73" i="23"/>
  <c r="CD73" i="6" s="1"/>
  <c r="AA37" i="23"/>
  <c r="Z37" i="23" s="1"/>
  <c r="Y37" i="23" s="1"/>
  <c r="H37" i="23"/>
  <c r="G37" i="23"/>
  <c r="CD37" i="6" s="1"/>
  <c r="H225" i="23"/>
  <c r="G225" i="23"/>
  <c r="CD225" i="6" s="1"/>
  <c r="AA34" i="23"/>
  <c r="Z34" i="23" s="1"/>
  <c r="Y34" i="23" s="1"/>
  <c r="G34" i="23"/>
  <c r="CD34" i="6" s="1"/>
  <c r="H34" i="23"/>
  <c r="G355" i="23"/>
  <c r="CD355" i="6" s="1"/>
  <c r="H355" i="23"/>
  <c r="AA355" i="23"/>
  <c r="Z355" i="23" s="1"/>
  <c r="Y355" i="23" s="1"/>
  <c r="G350" i="23"/>
  <c r="CD350" i="6" s="1"/>
  <c r="AA350" i="23"/>
  <c r="Z350" i="23" s="1"/>
  <c r="Y350" i="23" s="1"/>
  <c r="H25" i="23"/>
  <c r="G25" i="23"/>
  <c r="CD25" i="6" s="1"/>
  <c r="AA25" i="23"/>
  <c r="Z25" i="23" s="1"/>
  <c r="Y25" i="23" s="1"/>
  <c r="G22" i="23"/>
  <c r="CD22" i="6" s="1"/>
  <c r="H22" i="23"/>
  <c r="H221" i="23"/>
  <c r="G221" i="23"/>
  <c r="CD221" i="6" s="1"/>
  <c r="AA221" i="23"/>
  <c r="Z221" i="23" s="1"/>
  <c r="Y221" i="23" s="1"/>
  <c r="G374" i="23"/>
  <c r="CD374" i="6" s="1"/>
  <c r="H374" i="23"/>
  <c r="G113" i="23"/>
  <c r="CD113" i="6" s="1"/>
  <c r="AA113" i="23"/>
  <c r="Z113" i="23" s="1"/>
  <c r="Y113" i="23" s="1"/>
  <c r="G192" i="23"/>
  <c r="CD192" i="6" s="1"/>
  <c r="AA192" i="23"/>
  <c r="Z192" i="23" s="1"/>
  <c r="Y192" i="23" s="1"/>
  <c r="H192" i="23"/>
  <c r="G104" i="23"/>
  <c r="CD104" i="6" s="1"/>
  <c r="AA104" i="23"/>
  <c r="Z104" i="23" s="1"/>
  <c r="Y104" i="23" s="1"/>
  <c r="H259" i="23"/>
  <c r="G259" i="23"/>
  <c r="CD259" i="6" s="1"/>
  <c r="AA369" i="23"/>
  <c r="Z369" i="23" s="1"/>
  <c r="Y369" i="23" s="1"/>
  <c r="H369" i="23"/>
  <c r="G369" i="23"/>
  <c r="CD369" i="6" s="1"/>
  <c r="G228" i="23"/>
  <c r="CD228" i="6" s="1"/>
  <c r="H228" i="23"/>
  <c r="AA228" i="23"/>
  <c r="Z228" i="23" s="1"/>
  <c r="Y228" i="23" s="1"/>
  <c r="H359" i="23"/>
  <c r="G359" i="23"/>
  <c r="CD359" i="6" s="1"/>
  <c r="G125" i="23"/>
  <c r="CD125" i="6" s="1"/>
  <c r="AA125" i="23"/>
  <c r="Z125" i="23" s="1"/>
  <c r="Y125" i="23" s="1"/>
  <c r="H378" i="23"/>
  <c r="G378" i="23"/>
  <c r="CD378" i="6" s="1"/>
  <c r="AA378" i="23"/>
  <c r="Z378" i="23" s="1"/>
  <c r="Y378" i="23" s="1"/>
  <c r="H231" i="23"/>
  <c r="AA231" i="23"/>
  <c r="Z231" i="23" s="1"/>
  <c r="Y231" i="23" s="1"/>
  <c r="G231" i="23"/>
  <c r="CD231" i="6" s="1"/>
  <c r="H337" i="23"/>
  <c r="G337" i="23"/>
  <c r="CD337" i="6" s="1"/>
  <c r="G171" i="23"/>
  <c r="CD171" i="6" s="1"/>
  <c r="H171" i="23"/>
  <c r="AA171" i="23"/>
  <c r="Z171" i="23" s="1"/>
  <c r="Y171" i="23" s="1"/>
  <c r="G68" i="23"/>
  <c r="CD68" i="6" s="1"/>
  <c r="AA68" i="23"/>
  <c r="Z68" i="23" s="1"/>
  <c r="Y68" i="23" s="1"/>
  <c r="W241" i="23"/>
  <c r="D241" i="23"/>
  <c r="E241" i="23" s="1"/>
  <c r="F241" i="23" s="1"/>
  <c r="G48" i="23"/>
  <c r="CD48" i="6" s="1"/>
  <c r="H48" i="23"/>
  <c r="G270" i="23"/>
  <c r="CD270" i="6" s="1"/>
  <c r="AA270" i="23"/>
  <c r="Z270" i="23" s="1"/>
  <c r="Y270" i="23" s="1"/>
  <c r="H213" i="23"/>
  <c r="G213" i="23"/>
  <c r="CD213" i="6" s="1"/>
  <c r="G360" i="23"/>
  <c r="CD360" i="6" s="1"/>
  <c r="H360" i="23"/>
  <c r="H313" i="23"/>
  <c r="AA313" i="23"/>
  <c r="Z313" i="23" s="1"/>
  <c r="Y313" i="23" s="1"/>
  <c r="G313" i="23"/>
  <c r="CD313" i="6" s="1"/>
  <c r="H92" i="23"/>
  <c r="G92" i="23"/>
  <c r="CD92" i="6" s="1"/>
  <c r="AA92" i="23"/>
  <c r="Z92" i="23" s="1"/>
  <c r="Y92" i="23" s="1"/>
  <c r="H354" i="23"/>
  <c r="G354" i="23"/>
  <c r="CD354" i="6" s="1"/>
  <c r="G81" i="23"/>
  <c r="CD81" i="6" s="1"/>
  <c r="AA81" i="23"/>
  <c r="Z81" i="23" s="1"/>
  <c r="Y81" i="23" s="1"/>
  <c r="H81" i="23"/>
  <c r="G218" i="23"/>
  <c r="CD218" i="6" s="1"/>
  <c r="H218" i="23"/>
  <c r="AA218" i="23"/>
  <c r="Z218" i="23" s="1"/>
  <c r="Y218" i="23" s="1"/>
  <c r="G93" i="23"/>
  <c r="CD93" i="6" s="1"/>
  <c r="AA93" i="23"/>
  <c r="Z93" i="23" s="1"/>
  <c r="Y93" i="23" s="1"/>
  <c r="H208" i="23"/>
  <c r="AA208" i="23"/>
  <c r="Z208" i="23" s="1"/>
  <c r="Y208" i="23" s="1"/>
  <c r="G208" i="23"/>
  <c r="CD208" i="6" s="1"/>
  <c r="H28" i="23"/>
  <c r="AA28" i="23"/>
  <c r="Z28" i="23" s="1"/>
  <c r="Y28" i="23" s="1"/>
  <c r="G28" i="23"/>
  <c r="CD28" i="6" s="1"/>
  <c r="G207" i="23"/>
  <c r="CD207" i="6" s="1"/>
  <c r="H207" i="23"/>
  <c r="AA207" i="23"/>
  <c r="Z207" i="23" s="1"/>
  <c r="Y207" i="23" s="1"/>
  <c r="G144" i="23"/>
  <c r="CD144" i="6" s="1"/>
  <c r="H144" i="23"/>
  <c r="G43" i="23"/>
  <c r="CD43" i="6" s="1"/>
  <c r="AA43" i="23"/>
  <c r="Z43" i="23" s="1"/>
  <c r="Y43" i="23" s="1"/>
  <c r="H323" i="23"/>
  <c r="G323" i="23"/>
  <c r="CD323" i="6" s="1"/>
  <c r="AA323" i="23"/>
  <c r="Z323" i="23" s="1"/>
  <c r="Y323" i="23" s="1"/>
  <c r="G165" i="23"/>
  <c r="CD165" i="6" s="1"/>
  <c r="AA165" i="23"/>
  <c r="Z165" i="23" s="1"/>
  <c r="Y165" i="23" s="1"/>
  <c r="H248" i="23"/>
  <c r="AA248" i="23"/>
  <c r="Z248" i="23" s="1"/>
  <c r="Y248" i="23" s="1"/>
  <c r="G248" i="23"/>
  <c r="CD248" i="6" s="1"/>
  <c r="G314" i="23"/>
  <c r="CD314" i="6" s="1"/>
  <c r="H314" i="23"/>
  <c r="AA314" i="23"/>
  <c r="Z314" i="23" s="1"/>
  <c r="Y314" i="23" s="1"/>
  <c r="W180" i="23"/>
  <c r="D180" i="23"/>
  <c r="E180" i="23" s="1"/>
  <c r="F180" i="23" s="1"/>
  <c r="G131" i="23"/>
  <c r="CD131" i="6" s="1"/>
  <c r="H131" i="23"/>
  <c r="G364" i="23"/>
  <c r="CD364" i="6" s="1"/>
  <c r="H364" i="23"/>
  <c r="H243" i="23"/>
  <c r="G243" i="23"/>
  <c r="CD243" i="6" s="1"/>
  <c r="AA120" i="23"/>
  <c r="Z120" i="23" s="1"/>
  <c r="Y120" i="23" s="1"/>
  <c r="G120" i="23"/>
  <c r="CD120" i="6" s="1"/>
  <c r="H128" i="23"/>
  <c r="G128" i="23"/>
  <c r="CD128" i="6" s="1"/>
  <c r="H292" i="23"/>
  <c r="G292" i="23"/>
  <c r="CD292" i="6" s="1"/>
  <c r="AA292" i="23"/>
  <c r="Z292" i="23" s="1"/>
  <c r="Y292" i="23" s="1"/>
  <c r="G335" i="23"/>
  <c r="CD335" i="6" s="1"/>
  <c r="H335" i="23"/>
  <c r="AA335" i="23"/>
  <c r="Z335" i="23" s="1"/>
  <c r="Y335" i="23" s="1"/>
  <c r="G274" i="23"/>
  <c r="CD274" i="6" s="1"/>
  <c r="AA274" i="23"/>
  <c r="Z274" i="23" s="1"/>
  <c r="Y274" i="23" s="1"/>
  <c r="H86" i="23"/>
  <c r="G86" i="23"/>
  <c r="CD86" i="6" s="1"/>
  <c r="AA86" i="23"/>
  <c r="Z86" i="23" s="1"/>
  <c r="Y86" i="23" s="1"/>
  <c r="G114" i="23"/>
  <c r="CD114" i="6" s="1"/>
  <c r="H114" i="23"/>
  <c r="AA114" i="23"/>
  <c r="Z114" i="23" s="1"/>
  <c r="Y114" i="23" s="1"/>
  <c r="AA339" i="23"/>
  <c r="Z339" i="23" s="1"/>
  <c r="Y339" i="23" s="1"/>
  <c r="G339" i="23"/>
  <c r="CD339" i="6" s="1"/>
  <c r="H98" i="23"/>
  <c r="G98" i="23"/>
  <c r="CD98" i="6" s="1"/>
  <c r="AA98" i="23"/>
  <c r="Z98" i="23" s="1"/>
  <c r="Y98" i="23" s="1"/>
  <c r="H155" i="23"/>
  <c r="G155" i="23"/>
  <c r="CD155" i="6" s="1"/>
  <c r="AA155" i="23"/>
  <c r="Z155" i="23" s="1"/>
  <c r="Y155" i="23" s="1"/>
  <c r="G26" i="23"/>
  <c r="CD26" i="6" s="1"/>
  <c r="H26" i="23"/>
  <c r="H50" i="23"/>
  <c r="G50" i="23"/>
  <c r="CD50" i="6" s="1"/>
  <c r="AA50" i="23"/>
  <c r="Z50" i="23" s="1"/>
  <c r="Y50" i="23" s="1"/>
  <c r="G35" i="23"/>
  <c r="CD35" i="6" s="1"/>
  <c r="H35" i="23"/>
  <c r="AA35" i="23"/>
  <c r="Z35" i="23" s="1"/>
  <c r="Y35" i="23" s="1"/>
  <c r="H357" i="23"/>
  <c r="AA357" i="23"/>
  <c r="Z357" i="23" s="1"/>
  <c r="Y357" i="23" s="1"/>
  <c r="G357" i="23"/>
  <c r="CD357" i="6" s="1"/>
  <c r="AA121" i="23"/>
  <c r="Z121" i="23" s="1"/>
  <c r="Y121" i="23" s="1"/>
  <c r="G121" i="23"/>
  <c r="CD121" i="6" s="1"/>
  <c r="H187" i="23"/>
  <c r="AA187" i="23"/>
  <c r="Z187" i="23" s="1"/>
  <c r="Y187" i="23" s="1"/>
  <c r="G187" i="23"/>
  <c r="CD187" i="6" s="1"/>
  <c r="H348" i="23"/>
  <c r="AA348" i="23"/>
  <c r="Z348" i="23" s="1"/>
  <c r="Y348" i="23" s="1"/>
  <c r="G348" i="23"/>
  <c r="CD348" i="6" s="1"/>
  <c r="H283" i="23"/>
  <c r="G283" i="23"/>
  <c r="CD283" i="6" s="1"/>
  <c r="H197" i="23"/>
  <c r="G197" i="23"/>
  <c r="CD197" i="6" s="1"/>
  <c r="AA197" i="23"/>
  <c r="Z197" i="23" s="1"/>
  <c r="Y197" i="23" s="1"/>
  <c r="G316" i="23"/>
  <c r="CD316" i="6" s="1"/>
  <c r="AA316" i="23"/>
  <c r="Z316" i="23" s="1"/>
  <c r="Y316" i="23" s="1"/>
  <c r="H316" i="23"/>
  <c r="G18" i="23"/>
  <c r="CD18" i="6" s="1"/>
  <c r="H18" i="23"/>
  <c r="AA18" i="23"/>
  <c r="Z18" i="23" s="1"/>
  <c r="Y18" i="23" s="1"/>
  <c r="G252" i="23"/>
  <c r="CD252" i="6" s="1"/>
  <c r="AA252" i="23"/>
  <c r="Z252" i="23" s="1"/>
  <c r="Y252" i="23" s="1"/>
  <c r="H252" i="23"/>
  <c r="AA122" i="23"/>
  <c r="Z122" i="23" s="1"/>
  <c r="Y122" i="23" s="1"/>
  <c r="G122" i="23"/>
  <c r="CD122" i="6" s="1"/>
  <c r="H122" i="23"/>
  <c r="H16" i="23"/>
  <c r="G16" i="23"/>
  <c r="CD16" i="6" s="1"/>
  <c r="AA16" i="23"/>
  <c r="Z16" i="23" s="1"/>
  <c r="Y16" i="23" s="1"/>
  <c r="G185" i="23"/>
  <c r="CD185" i="6" s="1"/>
  <c r="H185" i="23"/>
  <c r="AA185" i="23"/>
  <c r="Z185" i="23" s="1"/>
  <c r="Y185" i="23" s="1"/>
  <c r="H21" i="23"/>
  <c r="AA21" i="23"/>
  <c r="Z21" i="23" s="1"/>
  <c r="Y21" i="23" s="1"/>
  <c r="G21" i="23"/>
  <c r="CD21" i="6" s="1"/>
  <c r="H271" i="23"/>
  <c r="G271" i="23"/>
  <c r="CD271" i="6" s="1"/>
  <c r="AA340" i="23"/>
  <c r="Z340" i="23" s="1"/>
  <c r="Y340" i="23" s="1"/>
  <c r="H340" i="23"/>
  <c r="G340" i="23"/>
  <c r="CD340" i="6" s="1"/>
  <c r="AA205" i="23"/>
  <c r="Z205" i="23" s="1"/>
  <c r="Y205" i="23" s="1"/>
  <c r="G205" i="23"/>
  <c r="CD205" i="6" s="1"/>
  <c r="H205" i="23"/>
  <c r="B302" i="23"/>
  <c r="D302" i="23" s="1"/>
  <c r="E302" i="23" s="1"/>
  <c r="F302" i="23" s="1"/>
  <c r="K68" i="19"/>
  <c r="AI66" i="24"/>
  <c r="AH66" i="24" s="1"/>
  <c r="AG66" i="24" s="1"/>
  <c r="AF66" i="24" s="1"/>
  <c r="AI49" i="24"/>
  <c r="AH49" i="24" s="1"/>
  <c r="AG49" i="24" s="1"/>
  <c r="AF49" i="24" s="1"/>
  <c r="AI22" i="24"/>
  <c r="AH22" i="24" s="1"/>
  <c r="AG22" i="24" s="1"/>
  <c r="AF22" i="24" s="1"/>
  <c r="AI50" i="24"/>
  <c r="AH50" i="24" s="1"/>
  <c r="AG50" i="24" s="1"/>
  <c r="AF50" i="24" s="1"/>
  <c r="AI101" i="24"/>
  <c r="AH101" i="24" s="1"/>
  <c r="AG101" i="24" s="1"/>
  <c r="AF101" i="24" s="1"/>
  <c r="AI59" i="24"/>
  <c r="AH59" i="24" s="1"/>
  <c r="AG59" i="24" s="1"/>
  <c r="AF59" i="24" s="1"/>
  <c r="AI18" i="24"/>
  <c r="AH18" i="24" s="1"/>
  <c r="AG18" i="24" s="1"/>
  <c r="AF18" i="24" s="1"/>
  <c r="AI63" i="24"/>
  <c r="AH63" i="24" s="1"/>
  <c r="AG63" i="24" s="1"/>
  <c r="AF63" i="24" s="1"/>
  <c r="AI20" i="24"/>
  <c r="AH20" i="24" s="1"/>
  <c r="AG20" i="24" s="1"/>
  <c r="AF20" i="24" s="1"/>
  <c r="AI62" i="24"/>
  <c r="AH62" i="24" s="1"/>
  <c r="AG62" i="24" s="1"/>
  <c r="AF62" i="24" s="1"/>
  <c r="AI89" i="24"/>
  <c r="AH89" i="24" s="1"/>
  <c r="AG89" i="24" s="1"/>
  <c r="AF89" i="24" s="1"/>
  <c r="AI92" i="24"/>
  <c r="AH92" i="24" s="1"/>
  <c r="AG92" i="24" s="1"/>
  <c r="AF92" i="24" s="1"/>
  <c r="AI43" i="24"/>
  <c r="AH43" i="24" s="1"/>
  <c r="AG43" i="24" s="1"/>
  <c r="AF43" i="24" s="1"/>
  <c r="AI57" i="24"/>
  <c r="AH57" i="24" s="1"/>
  <c r="AG57" i="24" s="1"/>
  <c r="AF57" i="24" s="1"/>
  <c r="AI300" i="24"/>
  <c r="AH300" i="24" s="1"/>
  <c r="AG300" i="24" s="1"/>
  <c r="AF300" i="24" s="1"/>
  <c r="AI29" i="24"/>
  <c r="AH29" i="24" s="1"/>
  <c r="AG29" i="24" s="1"/>
  <c r="AF29" i="24" s="1"/>
  <c r="AI47" i="24"/>
  <c r="AH47" i="24" s="1"/>
  <c r="AG47" i="24" s="1"/>
  <c r="AF47" i="24" s="1"/>
  <c r="AI78" i="24"/>
  <c r="AH78" i="24" s="1"/>
  <c r="AG78" i="24" s="1"/>
  <c r="AF78" i="24" s="1"/>
  <c r="AI86" i="24"/>
  <c r="AH86" i="24" s="1"/>
  <c r="AG86" i="24" s="1"/>
  <c r="AF86" i="24" s="1"/>
  <c r="AI234" i="24"/>
  <c r="AH234" i="24" s="1"/>
  <c r="AG234" i="24" s="1"/>
  <c r="AF234" i="24" s="1"/>
  <c r="AI38" i="24"/>
  <c r="AH38" i="24" s="1"/>
  <c r="AG38" i="24" s="1"/>
  <c r="AF38" i="24" s="1"/>
  <c r="AI48" i="24"/>
  <c r="AH48" i="24" s="1"/>
  <c r="AG48" i="24" s="1"/>
  <c r="AF48" i="24" s="1"/>
  <c r="AI56" i="24"/>
  <c r="AH56" i="24" s="1"/>
  <c r="AG56" i="24" s="1"/>
  <c r="AF56" i="24" s="1"/>
  <c r="AI28" i="24"/>
  <c r="AH28" i="24" s="1"/>
  <c r="AG28" i="24" s="1"/>
  <c r="AF28" i="24" s="1"/>
  <c r="AI41" i="24"/>
  <c r="AH41" i="24" s="1"/>
  <c r="AG41" i="24" s="1"/>
  <c r="AF41" i="24" s="1"/>
  <c r="AI17" i="24"/>
  <c r="AH17" i="24" s="1"/>
  <c r="AG17" i="24" s="1"/>
  <c r="AF17" i="24" s="1"/>
  <c r="AI94" i="24"/>
  <c r="AH94" i="24" s="1"/>
  <c r="AG94" i="24" s="1"/>
  <c r="AF94" i="24" s="1"/>
  <c r="AI263" i="24"/>
  <c r="AH263" i="24" s="1"/>
  <c r="AG263" i="24" s="1"/>
  <c r="AF263" i="24" s="1"/>
  <c r="AI37" i="24"/>
  <c r="AH37" i="24" s="1"/>
  <c r="AG37" i="24" s="1"/>
  <c r="AF37" i="24" s="1"/>
  <c r="AI26" i="24"/>
  <c r="AH26" i="24" s="1"/>
  <c r="AG26" i="24" s="1"/>
  <c r="AF26" i="24" s="1"/>
  <c r="AI84" i="24"/>
  <c r="AH84" i="24" s="1"/>
  <c r="AG84" i="24" s="1"/>
  <c r="AF84" i="24" s="1"/>
  <c r="AI54" i="24"/>
  <c r="AH54" i="24" s="1"/>
  <c r="AG54" i="24" s="1"/>
  <c r="AF54" i="24" s="1"/>
  <c r="AI121" i="24"/>
  <c r="AH121" i="24" s="1"/>
  <c r="AG121" i="24" s="1"/>
  <c r="AF121" i="24" s="1"/>
  <c r="AI72" i="24"/>
  <c r="AH72" i="24" s="1"/>
  <c r="AG72" i="24" s="1"/>
  <c r="AF72" i="24" s="1"/>
  <c r="AI36" i="24"/>
  <c r="AH36" i="24" s="1"/>
  <c r="AG36" i="24" s="1"/>
  <c r="AF36" i="24" s="1"/>
  <c r="AI99" i="24"/>
  <c r="AH99" i="24" s="1"/>
  <c r="AG99" i="24" s="1"/>
  <c r="AF99" i="24" s="1"/>
  <c r="AI53" i="24"/>
  <c r="AH53" i="24" s="1"/>
  <c r="AG53" i="24" s="1"/>
  <c r="AF53" i="24" s="1"/>
  <c r="AI170" i="24"/>
  <c r="AH170" i="24" s="1"/>
  <c r="AG170" i="24" s="1"/>
  <c r="AF170" i="24" s="1"/>
  <c r="AI241" i="24"/>
  <c r="AH241" i="24" s="1"/>
  <c r="AG241" i="24" s="1"/>
  <c r="AF241" i="24" s="1"/>
  <c r="AI85" i="24"/>
  <c r="AH85" i="24" s="1"/>
  <c r="AG85" i="24" s="1"/>
  <c r="AF85" i="24" s="1"/>
  <c r="AI193" i="24"/>
  <c r="AH193" i="24" s="1"/>
  <c r="AG193" i="24" s="1"/>
  <c r="AF193" i="24" s="1"/>
  <c r="AI223" i="24"/>
  <c r="AH223" i="24" s="1"/>
  <c r="AG223" i="24" s="1"/>
  <c r="AF223" i="24" s="1"/>
  <c r="AI70" i="24"/>
  <c r="AH70" i="24" s="1"/>
  <c r="AG70" i="24" s="1"/>
  <c r="AF70" i="24" s="1"/>
  <c r="AI30" i="24"/>
  <c r="AH30" i="24" s="1"/>
  <c r="AG30" i="24" s="1"/>
  <c r="AF30" i="24" s="1"/>
  <c r="AI44" i="24"/>
  <c r="AH44" i="24" s="1"/>
  <c r="AG44" i="24" s="1"/>
  <c r="AF44" i="24" s="1"/>
  <c r="AI27" i="24"/>
  <c r="AH27" i="24" s="1"/>
  <c r="AG27" i="24" s="1"/>
  <c r="AF27" i="24" s="1"/>
  <c r="AI81" i="24"/>
  <c r="AH81" i="24" s="1"/>
  <c r="AG81" i="24" s="1"/>
  <c r="AF81" i="24" s="1"/>
  <c r="AI73" i="24"/>
  <c r="AH73" i="24" s="1"/>
  <c r="AG73" i="24" s="1"/>
  <c r="AF73" i="24" s="1"/>
  <c r="AI90" i="24"/>
  <c r="AH90" i="24" s="1"/>
  <c r="AG90" i="24" s="1"/>
  <c r="AF90" i="24" s="1"/>
  <c r="AI25" i="24"/>
  <c r="AH25" i="24" s="1"/>
  <c r="AG25" i="24" s="1"/>
  <c r="AF25" i="24" s="1"/>
  <c r="AI69" i="24"/>
  <c r="AH69" i="24" s="1"/>
  <c r="AG69" i="24" s="1"/>
  <c r="AF69" i="24" s="1"/>
  <c r="AI19" i="24"/>
  <c r="AH19" i="24" s="1"/>
  <c r="AG19" i="24" s="1"/>
  <c r="AF19" i="24" s="1"/>
  <c r="AI58" i="24"/>
  <c r="AH58" i="24" s="1"/>
  <c r="AG58" i="24" s="1"/>
  <c r="AF58" i="24" s="1"/>
  <c r="AI100" i="24"/>
  <c r="AH100" i="24" s="1"/>
  <c r="AG100" i="24" s="1"/>
  <c r="AF100" i="24" s="1"/>
  <c r="AI40" i="24"/>
  <c r="AH40" i="24" s="1"/>
  <c r="AG40" i="24" s="1"/>
  <c r="AF40" i="24" s="1"/>
  <c r="AI76" i="24"/>
  <c r="AH76" i="24" s="1"/>
  <c r="AG76" i="24" s="1"/>
  <c r="AF76" i="24" s="1"/>
  <c r="AI200" i="24"/>
  <c r="AH200" i="24" s="1"/>
  <c r="AG200" i="24" s="1"/>
  <c r="AF200" i="24" s="1"/>
  <c r="U252" i="24"/>
  <c r="T252" i="24" s="1"/>
  <c r="S252" i="24" s="1"/>
  <c r="R252" i="24" s="1"/>
  <c r="U323" i="24"/>
  <c r="T323" i="24" s="1"/>
  <c r="S323" i="24" s="1"/>
  <c r="R323" i="24" s="1"/>
  <c r="U315" i="24"/>
  <c r="T315" i="24" s="1"/>
  <c r="S315" i="24" s="1"/>
  <c r="R315" i="24" s="1"/>
  <c r="U314" i="24"/>
  <c r="T314" i="24" s="1"/>
  <c r="S314" i="24" s="1"/>
  <c r="R314" i="24" s="1"/>
  <c r="U282" i="24"/>
  <c r="T282" i="24" s="1"/>
  <c r="S282" i="24" s="1"/>
  <c r="R282" i="24" s="1"/>
  <c r="U239" i="24"/>
  <c r="T239" i="24" s="1"/>
  <c r="S239" i="24" s="1"/>
  <c r="R239" i="24" s="1"/>
  <c r="U325" i="24"/>
  <c r="T325" i="24" s="1"/>
  <c r="S325" i="24" s="1"/>
  <c r="R325" i="24" s="1"/>
  <c r="U126" i="24"/>
  <c r="T126" i="24" s="1"/>
  <c r="S126" i="24" s="1"/>
  <c r="R126" i="24" s="1"/>
  <c r="U309" i="24"/>
  <c r="T309" i="24" s="1"/>
  <c r="S309" i="24" s="1"/>
  <c r="R309" i="24" s="1"/>
  <c r="U185" i="24"/>
  <c r="T185" i="24" s="1"/>
  <c r="S185" i="24" s="1"/>
  <c r="R185" i="24" s="1"/>
  <c r="U66" i="24"/>
  <c r="T66" i="24" s="1"/>
  <c r="S66" i="24" s="1"/>
  <c r="R66" i="24" s="1"/>
  <c r="U288" i="24"/>
  <c r="T288" i="24" s="1"/>
  <c r="S288" i="24" s="1"/>
  <c r="R288" i="24" s="1"/>
  <c r="U218" i="24"/>
  <c r="T218" i="24" s="1"/>
  <c r="S218" i="24" s="1"/>
  <c r="R218" i="24" s="1"/>
  <c r="U210" i="24"/>
  <c r="T210" i="24" s="1"/>
  <c r="S210" i="24" s="1"/>
  <c r="R210" i="24" s="1"/>
  <c r="U114" i="24"/>
  <c r="T114" i="24" s="1"/>
  <c r="S114" i="24" s="1"/>
  <c r="R114" i="24" s="1"/>
  <c r="U367" i="24"/>
  <c r="T367" i="24" s="1"/>
  <c r="S367" i="24" s="1"/>
  <c r="R367" i="24" s="1"/>
  <c r="U370" i="24"/>
  <c r="T370" i="24" s="1"/>
  <c r="S370" i="24" s="1"/>
  <c r="R370" i="24" s="1"/>
  <c r="U199" i="24"/>
  <c r="T199" i="24" s="1"/>
  <c r="S199" i="24" s="1"/>
  <c r="R199" i="24" s="1"/>
  <c r="U29" i="24"/>
  <c r="T29" i="24" s="1"/>
  <c r="S29" i="24" s="1"/>
  <c r="R29" i="24" s="1"/>
  <c r="U180" i="24"/>
  <c r="T180" i="24" s="1"/>
  <c r="S180" i="24" s="1"/>
  <c r="R180" i="24" s="1"/>
  <c r="U357" i="24"/>
  <c r="T357" i="24" s="1"/>
  <c r="S357" i="24" s="1"/>
  <c r="R357" i="24" s="1"/>
  <c r="U352" i="24"/>
  <c r="T352" i="24" s="1"/>
  <c r="S352" i="24" s="1"/>
  <c r="R352" i="24" s="1"/>
  <c r="U340" i="24"/>
  <c r="T340" i="24" s="1"/>
  <c r="S340" i="24" s="1"/>
  <c r="R340" i="24" s="1"/>
  <c r="U268" i="24"/>
  <c r="T268" i="24" s="1"/>
  <c r="S268" i="24" s="1"/>
  <c r="R268" i="24" s="1"/>
  <c r="U344" i="24"/>
  <c r="T344" i="24" s="1"/>
  <c r="S344" i="24" s="1"/>
  <c r="R344" i="24" s="1"/>
  <c r="U332" i="24"/>
  <c r="T332" i="24" s="1"/>
  <c r="S332" i="24" s="1"/>
  <c r="R332" i="24" s="1"/>
  <c r="U343" i="24"/>
  <c r="T343" i="24" s="1"/>
  <c r="S343" i="24" s="1"/>
  <c r="R343" i="24" s="1"/>
  <c r="G379" i="22"/>
  <c r="CC379" i="6" s="1"/>
  <c r="H379" i="22"/>
  <c r="AA379" i="22"/>
  <c r="Z379" i="22" s="1"/>
  <c r="Y379" i="22" s="1"/>
  <c r="W380" i="22"/>
  <c r="D380" i="22"/>
  <c r="E380" i="22" s="1"/>
  <c r="F380" i="22" s="1"/>
  <c r="I39" i="23"/>
  <c r="J370" i="23"/>
  <c r="J290" i="23"/>
  <c r="G117" i="23"/>
  <c r="CD117" i="6" s="1"/>
  <c r="J204" i="23"/>
  <c r="I342" i="23"/>
  <c r="J343" i="23"/>
  <c r="I261" i="23"/>
  <c r="I251" i="23"/>
  <c r="J375" i="23"/>
  <c r="J209" i="23"/>
  <c r="J62" i="23"/>
  <c r="J194" i="23"/>
  <c r="I117" i="23"/>
  <c r="J188" i="23"/>
  <c r="I310" i="23"/>
  <c r="J33" i="23"/>
  <c r="I212" i="23"/>
  <c r="J157" i="23"/>
  <c r="J295" i="23"/>
  <c r="G71" i="23"/>
  <c r="CD71" i="6" s="1"/>
  <c r="H242" i="23"/>
  <c r="I242" i="23" s="1"/>
  <c r="G280" i="23"/>
  <c r="CD280" i="6" s="1"/>
  <c r="AA242" i="23"/>
  <c r="Z242" i="23" s="1"/>
  <c r="Y242" i="23" s="1"/>
  <c r="H280" i="23"/>
  <c r="J280" i="23" s="1"/>
  <c r="I239" i="23"/>
  <c r="J312" i="23"/>
  <c r="I293" i="23"/>
  <c r="J105" i="23"/>
  <c r="H306" i="23"/>
  <c r="J306" i="23" s="1"/>
  <c r="J320" i="23"/>
  <c r="I55" i="23"/>
  <c r="J161" i="23"/>
  <c r="J327" i="23"/>
  <c r="I189" i="23"/>
  <c r="J31" i="23"/>
  <c r="I332" i="23"/>
  <c r="J78" i="23"/>
  <c r="J304" i="23"/>
  <c r="I77" i="23"/>
  <c r="AA135" i="23"/>
  <c r="Z135" i="23" s="1"/>
  <c r="Y135" i="23" s="1"/>
  <c r="AA117" i="23"/>
  <c r="Z117" i="23" s="1"/>
  <c r="Y117" i="23" s="1"/>
  <c r="H71" i="23"/>
  <c r="I90" i="23"/>
  <c r="J291" i="23"/>
  <c r="J159" i="23"/>
  <c r="I32" i="23"/>
  <c r="H260" i="23"/>
  <c r="I260" i="23" s="1"/>
  <c r="H23" i="23"/>
  <c r="J23" i="23" s="1"/>
  <c r="AA347" i="23"/>
  <c r="Z347" i="23" s="1"/>
  <c r="Y347" i="23" s="1"/>
  <c r="G23" i="23"/>
  <c r="CD23" i="6" s="1"/>
  <c r="G293" i="23"/>
  <c r="CD293" i="6" s="1"/>
  <c r="G102" i="23"/>
  <c r="CD102" i="6" s="1"/>
  <c r="H89" i="23"/>
  <c r="J89" i="23" s="1"/>
  <c r="H127" i="23"/>
  <c r="I127" i="23" s="1"/>
  <c r="AA127" i="23"/>
  <c r="Z127" i="23" s="1"/>
  <c r="Y127" i="23" s="1"/>
  <c r="G245" i="23"/>
  <c r="CD245" i="6" s="1"/>
  <c r="H245" i="23"/>
  <c r="G306" i="23"/>
  <c r="CD306" i="6" s="1"/>
  <c r="H347" i="23"/>
  <c r="I347" i="23" s="1"/>
  <c r="H298" i="23"/>
  <c r="G298" i="23"/>
  <c r="CD298" i="6" s="1"/>
  <c r="G157" i="23"/>
  <c r="CD157" i="6" s="1"/>
  <c r="AA157" i="23"/>
  <c r="Z157" i="23" s="1"/>
  <c r="Y157" i="23" s="1"/>
  <c r="G147" i="23"/>
  <c r="CD147" i="6" s="1"/>
  <c r="H147" i="23"/>
  <c r="J147" i="23" s="1"/>
  <c r="G260" i="23"/>
  <c r="CD260" i="6" s="1"/>
  <c r="AA303" i="23"/>
  <c r="Z303" i="23" s="1"/>
  <c r="Y303" i="23" s="1"/>
  <c r="G303" i="23"/>
  <c r="CD303" i="6" s="1"/>
  <c r="H164" i="23"/>
  <c r="G164" i="23"/>
  <c r="CD164" i="6" s="1"/>
  <c r="AG382" i="23"/>
  <c r="G33" i="23"/>
  <c r="CD33" i="6" s="1"/>
  <c r="AA33" i="23"/>
  <c r="Z33" i="23" s="1"/>
  <c r="Y33" i="23" s="1"/>
  <c r="J163" i="23"/>
  <c r="J246" i="23"/>
  <c r="G135" i="23"/>
  <c r="CD135" i="6" s="1"/>
  <c r="AA27" i="23"/>
  <c r="Z27" i="23" s="1"/>
  <c r="Y27" i="23" s="1"/>
  <c r="H27" i="23"/>
  <c r="G27" i="23"/>
  <c r="CD27" i="6" s="1"/>
  <c r="AA89" i="23"/>
  <c r="Z89" i="23" s="1"/>
  <c r="Y89" i="23" s="1"/>
  <c r="G136" i="23"/>
  <c r="CD136" i="6" s="1"/>
  <c r="H136" i="23"/>
  <c r="B272" i="23"/>
  <c r="J68" i="19"/>
  <c r="AI372" i="24"/>
  <c r="AH372" i="24" s="1"/>
  <c r="AG372" i="24" s="1"/>
  <c r="AF372" i="24" s="1"/>
  <c r="AI231" i="24"/>
  <c r="AH231" i="24" s="1"/>
  <c r="AI228" i="24"/>
  <c r="AH228" i="24" s="1"/>
  <c r="AI365" i="24"/>
  <c r="AH365" i="24" s="1"/>
  <c r="AG365" i="24" s="1"/>
  <c r="AF365" i="24" s="1"/>
  <c r="AI318" i="24"/>
  <c r="AH318" i="24" s="1"/>
  <c r="AG318" i="24" s="1"/>
  <c r="AF318" i="24" s="1"/>
  <c r="AI226" i="24"/>
  <c r="AH226" i="24" s="1"/>
  <c r="AG226" i="24" s="1"/>
  <c r="AF226" i="24" s="1"/>
  <c r="AI338" i="24"/>
  <c r="AH338" i="24" s="1"/>
  <c r="AG338" i="24" s="1"/>
  <c r="AF338" i="24" s="1"/>
  <c r="AI127" i="24"/>
  <c r="AH127" i="24" s="1"/>
  <c r="AG127" i="24" s="1"/>
  <c r="AF127" i="24" s="1"/>
  <c r="AI206" i="24"/>
  <c r="AH206" i="24" s="1"/>
  <c r="AG206" i="24" s="1"/>
  <c r="AF206" i="24" s="1"/>
  <c r="AI292" i="24"/>
  <c r="AH292" i="24" s="1"/>
  <c r="AG292" i="24" s="1"/>
  <c r="AF292" i="24" s="1"/>
  <c r="AI142" i="24"/>
  <c r="AH142" i="24" s="1"/>
  <c r="AI180" i="24"/>
  <c r="AH180" i="24" s="1"/>
  <c r="AG180" i="24" s="1"/>
  <c r="AF180" i="24" s="1"/>
  <c r="AI262" i="24"/>
  <c r="AH262" i="24" s="1"/>
  <c r="AG262" i="24" s="1"/>
  <c r="AF262" i="24" s="1"/>
  <c r="AI105" i="24"/>
  <c r="AH105" i="24" s="1"/>
  <c r="AG105" i="24" s="1"/>
  <c r="AF105" i="24" s="1"/>
  <c r="AI283" i="24"/>
  <c r="AH283" i="24" s="1"/>
  <c r="AG283" i="24" s="1"/>
  <c r="AF283" i="24" s="1"/>
  <c r="AI298" i="24"/>
  <c r="AH298" i="24" s="1"/>
  <c r="AG298" i="24" s="1"/>
  <c r="AF298" i="24" s="1"/>
  <c r="AI130" i="24"/>
  <c r="AH130" i="24" s="1"/>
  <c r="AG130" i="24" s="1"/>
  <c r="AF130" i="24" s="1"/>
  <c r="AI216" i="24"/>
  <c r="AH216" i="24" s="1"/>
  <c r="AI178" i="24"/>
  <c r="AH178" i="24" s="1"/>
  <c r="AG178" i="24" s="1"/>
  <c r="AF178" i="24" s="1"/>
  <c r="AI324" i="24"/>
  <c r="AH324" i="24" s="1"/>
  <c r="AG324" i="24" s="1"/>
  <c r="AF324" i="24" s="1"/>
  <c r="AI264" i="24"/>
  <c r="AH264" i="24" s="1"/>
  <c r="AG264" i="24" s="1"/>
  <c r="AF264" i="24" s="1"/>
  <c r="AI172" i="24"/>
  <c r="AH172" i="24" s="1"/>
  <c r="AG172" i="24" s="1"/>
  <c r="AF172" i="24" s="1"/>
  <c r="AI280" i="24"/>
  <c r="AH280" i="24" s="1"/>
  <c r="AI197" i="24"/>
  <c r="AH197" i="24" s="1"/>
  <c r="AG197" i="24" s="1"/>
  <c r="AF197" i="24" s="1"/>
  <c r="AI250" i="24"/>
  <c r="AH250" i="24" s="1"/>
  <c r="AG250" i="24" s="1"/>
  <c r="AF250" i="24" s="1"/>
  <c r="AI321" i="24"/>
  <c r="AH321" i="24" s="1"/>
  <c r="AG321" i="24" s="1"/>
  <c r="AF321" i="24" s="1"/>
  <c r="AI341" i="24"/>
  <c r="AH341" i="24" s="1"/>
  <c r="AG341" i="24" s="1"/>
  <c r="AF341" i="24" s="1"/>
  <c r="AI192" i="24"/>
  <c r="AH192" i="24" s="1"/>
  <c r="AG192" i="24" s="1"/>
  <c r="AF192" i="24" s="1"/>
  <c r="AI348" i="24"/>
  <c r="AH348" i="24" s="1"/>
  <c r="AG348" i="24" s="1"/>
  <c r="AF348" i="24" s="1"/>
  <c r="AI208" i="24"/>
  <c r="AH208" i="24" s="1"/>
  <c r="AG208" i="24" s="1"/>
  <c r="AF208" i="24" s="1"/>
  <c r="AI339" i="24"/>
  <c r="AH339" i="24" s="1"/>
  <c r="AG339" i="24" s="1"/>
  <c r="AF339" i="24" s="1"/>
  <c r="AI237" i="24"/>
  <c r="AH237" i="24" s="1"/>
  <c r="AG237" i="24" s="1"/>
  <c r="AF237" i="24" s="1"/>
  <c r="AI164" i="24"/>
  <c r="AH164" i="24" s="1"/>
  <c r="AG164" i="24" s="1"/>
  <c r="AF164" i="24" s="1"/>
  <c r="AI358" i="24"/>
  <c r="AH358" i="24" s="1"/>
  <c r="AG358" i="24" s="1"/>
  <c r="AF358" i="24" s="1"/>
  <c r="AI260" i="24"/>
  <c r="AH260" i="24" s="1"/>
  <c r="AG260" i="24" s="1"/>
  <c r="AF260" i="24" s="1"/>
  <c r="AI114" i="24"/>
  <c r="AH114" i="24" s="1"/>
  <c r="AG114" i="24" s="1"/>
  <c r="AF114" i="24" s="1"/>
  <c r="AI286" i="24"/>
  <c r="AH286" i="24" s="1"/>
  <c r="AG286" i="24" s="1"/>
  <c r="AF286" i="24" s="1"/>
  <c r="AI150" i="24"/>
  <c r="AH150" i="24" s="1"/>
  <c r="AG150" i="24" s="1"/>
  <c r="AF150" i="24" s="1"/>
  <c r="AI205" i="24"/>
  <c r="AH205" i="24" s="1"/>
  <c r="AG205" i="24" s="1"/>
  <c r="AF205" i="24" s="1"/>
  <c r="AI347" i="24"/>
  <c r="AH347" i="24" s="1"/>
  <c r="AG347" i="24" s="1"/>
  <c r="AF347" i="24" s="1"/>
  <c r="AI310" i="24"/>
  <c r="AH310" i="24" s="1"/>
  <c r="AG310" i="24" s="1"/>
  <c r="AF310" i="24" s="1"/>
  <c r="AI161" i="24"/>
  <c r="AH161" i="24" s="1"/>
  <c r="AI275" i="24"/>
  <c r="AH275" i="24" s="1"/>
  <c r="AI236" i="24"/>
  <c r="AH236" i="24" s="1"/>
  <c r="AI253" i="24"/>
  <c r="AH253" i="24" s="1"/>
  <c r="AG253" i="24" s="1"/>
  <c r="AF253" i="24" s="1"/>
  <c r="AI247" i="24"/>
  <c r="AH247" i="24" s="1"/>
  <c r="AG247" i="24" s="1"/>
  <c r="AF247" i="24" s="1"/>
  <c r="AI198" i="24"/>
  <c r="AH198" i="24" s="1"/>
  <c r="AG198" i="24" s="1"/>
  <c r="AF198" i="24" s="1"/>
  <c r="AI360" i="24"/>
  <c r="AH360" i="24" s="1"/>
  <c r="AG360" i="24" s="1"/>
  <c r="AF360" i="24" s="1"/>
  <c r="AI176" i="24"/>
  <c r="AH176" i="24" s="1"/>
  <c r="AG176" i="24" s="1"/>
  <c r="AF176" i="24" s="1"/>
  <c r="AI313" i="24"/>
  <c r="AH313" i="24" s="1"/>
  <c r="AG313" i="24" s="1"/>
  <c r="AF313" i="24" s="1"/>
  <c r="AI224" i="24"/>
  <c r="AH224" i="24" s="1"/>
  <c r="AG224" i="24" s="1"/>
  <c r="AF224" i="24" s="1"/>
  <c r="AI246" i="24"/>
  <c r="AH246" i="24" s="1"/>
  <c r="AG246" i="24" s="1"/>
  <c r="AF246" i="24" s="1"/>
  <c r="AI371" i="24"/>
  <c r="AH371" i="24" s="1"/>
  <c r="AG371" i="24" s="1"/>
  <c r="AF371" i="24" s="1"/>
  <c r="AI290" i="24"/>
  <c r="AH290" i="24" s="1"/>
  <c r="AG290" i="24" s="1"/>
  <c r="AF290" i="24" s="1"/>
  <c r="AI307" i="24"/>
  <c r="AH307" i="24" s="1"/>
  <c r="AG307" i="24" s="1"/>
  <c r="AF307" i="24" s="1"/>
  <c r="AI308" i="24"/>
  <c r="AH308" i="24" s="1"/>
  <c r="AG308" i="24" s="1"/>
  <c r="AF308" i="24" s="1"/>
  <c r="AI196" i="24"/>
  <c r="AH196" i="24" s="1"/>
  <c r="AG196" i="24" s="1"/>
  <c r="AF196" i="24" s="1"/>
  <c r="AI326" i="24"/>
  <c r="AH326" i="24" s="1"/>
  <c r="AG326" i="24" s="1"/>
  <c r="AF326" i="24" s="1"/>
  <c r="AI315" i="24"/>
  <c r="AH315" i="24" s="1"/>
  <c r="AG315" i="24" s="1"/>
  <c r="AF315" i="24" s="1"/>
  <c r="AI163" i="24"/>
  <c r="AH163" i="24" s="1"/>
  <c r="AG163" i="24" s="1"/>
  <c r="AF163" i="24" s="1"/>
  <c r="AI354" i="24"/>
  <c r="AH354" i="24" s="1"/>
  <c r="AI210" i="24"/>
  <c r="AH210" i="24" s="1"/>
  <c r="AI368" i="24"/>
  <c r="AH368" i="24" s="1"/>
  <c r="AG368" i="24" s="1"/>
  <c r="AF368" i="24" s="1"/>
  <c r="AI350" i="24"/>
  <c r="AH350" i="24" s="1"/>
  <c r="AG350" i="24" s="1"/>
  <c r="AF350" i="24" s="1"/>
  <c r="AI289" i="24"/>
  <c r="AH289" i="24" s="1"/>
  <c r="AG289" i="24" s="1"/>
  <c r="AF289" i="24" s="1"/>
  <c r="AI268" i="24"/>
  <c r="AH268" i="24" s="1"/>
  <c r="AG268" i="24" s="1"/>
  <c r="AF268" i="24" s="1"/>
  <c r="AI351" i="24"/>
  <c r="AH351" i="24" s="1"/>
  <c r="AG351" i="24" s="1"/>
  <c r="AF351" i="24" s="1"/>
  <c r="AI155" i="24"/>
  <c r="AH155" i="24" s="1"/>
  <c r="AG155" i="24" s="1"/>
  <c r="AF155" i="24" s="1"/>
  <c r="AI287" i="24"/>
  <c r="AH287" i="24" s="1"/>
  <c r="AI322" i="24"/>
  <c r="AH322" i="24" s="1"/>
  <c r="AI359" i="24"/>
  <c r="AH359" i="24" s="1"/>
  <c r="AI284" i="24"/>
  <c r="AH284" i="24" s="1"/>
  <c r="AG284" i="24" s="1"/>
  <c r="AF284" i="24" s="1"/>
  <c r="AI335" i="24"/>
  <c r="AH335" i="24" s="1"/>
  <c r="AG335" i="24" s="1"/>
  <c r="AF335" i="24" s="1"/>
  <c r="AI373" i="24"/>
  <c r="AH373" i="24" s="1"/>
  <c r="AG373" i="24" s="1"/>
  <c r="AF373" i="24" s="1"/>
  <c r="AI375" i="24"/>
  <c r="AH375" i="24" s="1"/>
  <c r="AG375" i="24" s="1"/>
  <c r="AF375" i="24" s="1"/>
  <c r="AI123" i="24"/>
  <c r="AH123" i="24" s="1"/>
  <c r="AG123" i="24" s="1"/>
  <c r="AF123" i="24" s="1"/>
  <c r="AI378" i="24"/>
  <c r="AH378" i="24" s="1"/>
  <c r="AG378" i="24" s="1"/>
  <c r="AF378" i="24" s="1"/>
  <c r="AI136" i="24"/>
  <c r="AH136" i="24" s="1"/>
  <c r="AG136" i="24" s="1"/>
  <c r="AF136" i="24" s="1"/>
  <c r="AI145" i="24"/>
  <c r="AH145" i="24" s="1"/>
  <c r="AG145" i="24" s="1"/>
  <c r="AF145" i="24" s="1"/>
  <c r="AI323" i="24"/>
  <c r="AH323" i="24" s="1"/>
  <c r="AI187" i="24"/>
  <c r="AH187" i="24" s="1"/>
  <c r="AI171" i="24"/>
  <c r="AH171" i="24" s="1"/>
  <c r="AG171" i="24" s="1"/>
  <c r="AF171" i="24" s="1"/>
  <c r="AI182" i="24"/>
  <c r="AH182" i="24" s="1"/>
  <c r="AI302" i="24"/>
  <c r="AH302" i="24" s="1"/>
  <c r="AG302" i="24" s="1"/>
  <c r="AF302" i="24" s="1"/>
  <c r="AI330" i="24"/>
  <c r="AH330" i="24" s="1"/>
  <c r="AG330" i="24" s="1"/>
  <c r="AF330" i="24" s="1"/>
  <c r="AI257" i="24"/>
  <c r="AH257" i="24" s="1"/>
  <c r="AG257" i="24" s="1"/>
  <c r="AF257" i="24" s="1"/>
  <c r="AI154" i="24"/>
  <c r="AH154" i="24" s="1"/>
  <c r="AG154" i="24" s="1"/>
  <c r="AF154" i="24" s="1"/>
  <c r="AI363" i="24"/>
  <c r="AH363" i="24" s="1"/>
  <c r="AG363" i="24" s="1"/>
  <c r="AF363" i="24" s="1"/>
  <c r="AI282" i="24"/>
  <c r="AH282" i="24" s="1"/>
  <c r="AG282" i="24" s="1"/>
  <c r="AF282" i="24" s="1"/>
  <c r="AI183" i="24"/>
  <c r="AH183" i="24" s="1"/>
  <c r="AG183" i="24" s="1"/>
  <c r="AF183" i="24" s="1"/>
  <c r="AI340" i="24"/>
  <c r="AH340" i="24" s="1"/>
  <c r="AG340" i="24" s="1"/>
  <c r="AF340" i="24" s="1"/>
  <c r="AI343" i="24"/>
  <c r="AH343" i="24" s="1"/>
  <c r="AG343" i="24" s="1"/>
  <c r="AF343" i="24" s="1"/>
  <c r="AI184" i="24"/>
  <c r="AH184" i="24" s="1"/>
  <c r="AG184" i="24" s="1"/>
  <c r="AF184" i="24" s="1"/>
  <c r="AI317" i="24"/>
  <c r="AH317" i="24" s="1"/>
  <c r="AG317" i="24" s="1"/>
  <c r="AF317" i="24" s="1"/>
  <c r="AI357" i="24"/>
  <c r="AH357" i="24" s="1"/>
  <c r="AG357" i="24" s="1"/>
  <c r="AF357" i="24" s="1"/>
  <c r="AI349" i="24"/>
  <c r="AH349" i="24" s="1"/>
  <c r="AI141" i="24"/>
  <c r="AH141" i="24" s="1"/>
  <c r="AG141" i="24" s="1"/>
  <c r="AF141" i="24" s="1"/>
  <c r="AI344" i="24"/>
  <c r="AH344" i="24" s="1"/>
  <c r="AG344" i="24" s="1"/>
  <c r="AF344" i="24" s="1"/>
  <c r="AI332" i="24"/>
  <c r="AH332" i="24" s="1"/>
  <c r="AG332" i="24" s="1"/>
  <c r="AF332" i="24" s="1"/>
  <c r="AI222" i="24"/>
  <c r="AH222" i="24" s="1"/>
  <c r="AG222" i="24" s="1"/>
  <c r="AF222" i="24" s="1"/>
  <c r="AI342" i="24"/>
  <c r="AH342" i="24" s="1"/>
  <c r="AG342" i="24" s="1"/>
  <c r="AF342" i="24" s="1"/>
  <c r="AI220" i="24"/>
  <c r="AH220" i="24" s="1"/>
  <c r="AG220" i="24" s="1"/>
  <c r="AF220" i="24" s="1"/>
  <c r="AI243" i="24"/>
  <c r="AH243" i="24" s="1"/>
  <c r="AI139" i="24"/>
  <c r="AH139" i="24" s="1"/>
  <c r="AG139" i="24" s="1"/>
  <c r="AF139" i="24" s="1"/>
  <c r="AI199" i="24"/>
  <c r="AH199" i="24" s="1"/>
  <c r="AG199" i="24" s="1"/>
  <c r="AF199" i="24" s="1"/>
  <c r="AI188" i="24"/>
  <c r="AH188" i="24" s="1"/>
  <c r="AG188" i="24" s="1"/>
  <c r="AF188" i="24" s="1"/>
  <c r="AI254" i="24"/>
  <c r="AH254" i="24" s="1"/>
  <c r="AG254" i="24" s="1"/>
  <c r="AF254" i="24" s="1"/>
  <c r="AI204" i="24"/>
  <c r="AH204" i="24" s="1"/>
  <c r="AG204" i="24" s="1"/>
  <c r="AF204" i="24" s="1"/>
  <c r="AI333" i="24"/>
  <c r="AH333" i="24" s="1"/>
  <c r="AG333" i="24" s="1"/>
  <c r="AF333" i="24" s="1"/>
  <c r="AI120" i="24"/>
  <c r="AH120" i="24" s="1"/>
  <c r="AI126" i="24"/>
  <c r="AH126" i="24" s="1"/>
  <c r="AG126" i="24" s="1"/>
  <c r="AF126" i="24" s="1"/>
  <c r="AI125" i="24"/>
  <c r="AH125" i="24" s="1"/>
  <c r="AG125" i="24" s="1"/>
  <c r="AF125" i="24" s="1"/>
  <c r="AI312" i="24"/>
  <c r="AH312" i="24" s="1"/>
  <c r="AG312" i="24" s="1"/>
  <c r="AF312" i="24" s="1"/>
  <c r="AI258" i="24"/>
  <c r="AH258" i="24" s="1"/>
  <c r="AG258" i="24" s="1"/>
  <c r="AF258" i="24" s="1"/>
  <c r="AI248" i="24"/>
  <c r="AH248" i="24" s="1"/>
  <c r="AI233" i="24"/>
  <c r="AH233" i="24" s="1"/>
  <c r="AG233" i="24" s="1"/>
  <c r="AF233" i="24" s="1"/>
  <c r="AI186" i="24"/>
  <c r="AH186" i="24" s="1"/>
  <c r="AG186" i="24" s="1"/>
  <c r="AF186" i="24" s="1"/>
  <c r="AI122" i="24"/>
  <c r="AH122" i="24" s="1"/>
  <c r="AG122" i="24" s="1"/>
  <c r="AF122" i="24" s="1"/>
  <c r="AI218" i="24"/>
  <c r="AH218" i="24" s="1"/>
  <c r="AG218" i="24" s="1"/>
  <c r="AF218" i="24" s="1"/>
  <c r="AI144" i="24"/>
  <c r="AH144" i="24" s="1"/>
  <c r="AG144" i="24" s="1"/>
  <c r="AF144" i="24" s="1"/>
  <c r="AI209" i="24"/>
  <c r="AH209" i="24" s="1"/>
  <c r="AG209" i="24" s="1"/>
  <c r="AF209" i="24" s="1"/>
  <c r="AI140" i="24"/>
  <c r="AH140" i="24" s="1"/>
  <c r="AG140" i="24" s="1"/>
  <c r="AF140" i="24" s="1"/>
  <c r="AI273" i="24"/>
  <c r="AH273" i="24" s="1"/>
  <c r="AG273" i="24" s="1"/>
  <c r="AF273" i="24" s="1"/>
  <c r="AI306" i="24"/>
  <c r="AH306" i="24" s="1"/>
  <c r="AG306" i="24" s="1"/>
  <c r="AF306" i="24" s="1"/>
  <c r="AI259" i="24"/>
  <c r="AH259" i="24" s="1"/>
  <c r="AI377" i="24"/>
  <c r="AH377" i="24" s="1"/>
  <c r="AG377" i="24" s="1"/>
  <c r="AF377" i="24" s="1"/>
  <c r="AI106" i="24"/>
  <c r="AH106" i="24" s="1"/>
  <c r="AG106" i="24" s="1"/>
  <c r="AF106" i="24" s="1"/>
  <c r="AI295" i="24"/>
  <c r="AH295" i="24" s="1"/>
  <c r="AG295" i="24" s="1"/>
  <c r="AF295" i="24" s="1"/>
  <c r="AI162" i="24"/>
  <c r="AH162" i="24" s="1"/>
  <c r="AG162" i="24" s="1"/>
  <c r="AF162" i="24" s="1"/>
  <c r="AI311" i="24"/>
  <c r="AH311" i="24" s="1"/>
  <c r="AG311" i="24" s="1"/>
  <c r="AF311" i="24" s="1"/>
  <c r="AI251" i="24"/>
  <c r="AH251" i="24" s="1"/>
  <c r="AG251" i="24" s="1"/>
  <c r="AF251" i="24" s="1"/>
  <c r="AI179" i="24"/>
  <c r="AH179" i="24" s="1"/>
  <c r="AG179" i="24" s="1"/>
  <c r="AF179" i="24" s="1"/>
  <c r="AI146" i="24"/>
  <c r="AH146" i="24" s="1"/>
  <c r="AG146" i="24" s="1"/>
  <c r="AF146" i="24" s="1"/>
  <c r="AI294" i="24"/>
  <c r="AH294" i="24" s="1"/>
  <c r="AG294" i="24" s="1"/>
  <c r="AF294" i="24" s="1"/>
  <c r="AI277" i="24"/>
  <c r="AH277" i="24" s="1"/>
  <c r="AG277" i="24" s="1"/>
  <c r="AF277" i="24" s="1"/>
  <c r="AI271" i="24"/>
  <c r="AH271" i="24" s="1"/>
  <c r="AG271" i="24" s="1"/>
  <c r="AF271" i="24" s="1"/>
  <c r="AI232" i="24"/>
  <c r="AH232" i="24" s="1"/>
  <c r="AG232" i="24" s="1"/>
  <c r="AF232" i="24" s="1"/>
  <c r="AI265" i="24"/>
  <c r="AH265" i="24" s="1"/>
  <c r="AG265" i="24" s="1"/>
  <c r="AF265" i="24" s="1"/>
  <c r="AI202" i="24"/>
  <c r="AH202" i="24" s="1"/>
  <c r="AG202" i="24" s="1"/>
  <c r="AF202" i="24" s="1"/>
  <c r="AI107" i="24"/>
  <c r="AH107" i="24" s="1"/>
  <c r="AG107" i="24" s="1"/>
  <c r="AF107" i="24" s="1"/>
  <c r="AI201" i="24"/>
  <c r="AH201" i="24" s="1"/>
  <c r="AG201" i="24" s="1"/>
  <c r="AF201" i="24" s="1"/>
  <c r="AI379" i="24"/>
  <c r="AI153" i="24"/>
  <c r="AH153" i="24" s="1"/>
  <c r="AG153" i="24" s="1"/>
  <c r="AF153" i="24" s="1"/>
  <c r="AI244" i="24"/>
  <c r="AH244" i="24" s="1"/>
  <c r="AG244" i="24" s="1"/>
  <c r="AF244" i="24" s="1"/>
  <c r="AI252" i="24"/>
  <c r="AH252" i="24" s="1"/>
  <c r="AG252" i="24" s="1"/>
  <c r="AF252" i="24" s="1"/>
  <c r="AI117" i="24"/>
  <c r="AH117" i="24" s="1"/>
  <c r="AI131" i="24"/>
  <c r="AH131" i="24" s="1"/>
  <c r="AG131" i="24" s="1"/>
  <c r="AF131" i="24" s="1"/>
  <c r="AI214" i="24"/>
  <c r="AH214" i="24" s="1"/>
  <c r="AG214" i="24" s="1"/>
  <c r="AF214" i="24" s="1"/>
  <c r="AI118" i="24"/>
  <c r="AH118" i="24" s="1"/>
  <c r="AI256" i="24"/>
  <c r="AH256" i="24" s="1"/>
  <c r="AG256" i="24" s="1"/>
  <c r="AF256" i="24" s="1"/>
  <c r="AI366" i="24"/>
  <c r="AH366" i="24" s="1"/>
  <c r="AG366" i="24" s="1"/>
  <c r="AF366" i="24" s="1"/>
  <c r="AI177" i="24"/>
  <c r="AH177" i="24" s="1"/>
  <c r="AI185" i="24"/>
  <c r="AH185" i="24" s="1"/>
  <c r="AG185" i="24" s="1"/>
  <c r="AF185" i="24" s="1"/>
  <c r="AI152" i="24"/>
  <c r="AH152" i="24" s="1"/>
  <c r="AG152" i="24" s="1"/>
  <c r="AF152" i="24" s="1"/>
  <c r="AI270" i="24"/>
  <c r="AH270" i="24" s="1"/>
  <c r="AG270" i="24" s="1"/>
  <c r="AF270" i="24" s="1"/>
  <c r="AI272" i="24"/>
  <c r="AH272" i="24" s="1"/>
  <c r="AI115" i="24"/>
  <c r="AH115" i="24" s="1"/>
  <c r="AG115" i="24" s="1"/>
  <c r="AF115" i="24" s="1"/>
  <c r="AI336" i="24"/>
  <c r="AH336" i="24" s="1"/>
  <c r="AG336" i="24" s="1"/>
  <c r="AF336" i="24" s="1"/>
  <c r="AI128" i="24"/>
  <c r="AH128" i="24" s="1"/>
  <c r="AG128" i="24" s="1"/>
  <c r="AF128" i="24" s="1"/>
  <c r="AI374" i="24"/>
  <c r="AH374" i="24" s="1"/>
  <c r="AI235" i="24"/>
  <c r="AH235" i="24" s="1"/>
  <c r="AG235" i="24" s="1"/>
  <c r="AF235" i="24" s="1"/>
  <c r="AI316" i="24"/>
  <c r="AH316" i="24" s="1"/>
  <c r="AG316" i="24" s="1"/>
  <c r="AF316" i="24" s="1"/>
  <c r="AI160" i="24"/>
  <c r="AH160" i="24" s="1"/>
  <c r="AG160" i="24" s="1"/>
  <c r="AF160" i="24" s="1"/>
  <c r="AI299" i="24"/>
  <c r="AH299" i="24" s="1"/>
  <c r="AG299" i="24" s="1"/>
  <c r="AF299" i="24" s="1"/>
  <c r="AI301" i="24"/>
  <c r="AH301" i="24" s="1"/>
  <c r="AG301" i="24" s="1"/>
  <c r="AF301" i="24" s="1"/>
  <c r="AI334" i="24"/>
  <c r="AH334" i="24" s="1"/>
  <c r="AG334" i="24" s="1"/>
  <c r="AF334" i="24" s="1"/>
  <c r="AI240" i="24"/>
  <c r="AH240" i="24" s="1"/>
  <c r="AG240" i="24" s="1"/>
  <c r="AF240" i="24" s="1"/>
  <c r="AI327" i="24"/>
  <c r="AH327" i="24" s="1"/>
  <c r="AG327" i="24" s="1"/>
  <c r="AF327" i="24" s="1"/>
  <c r="AI194" i="24"/>
  <c r="AH194" i="24" s="1"/>
  <c r="AI211" i="24"/>
  <c r="AH211" i="24" s="1"/>
  <c r="AI267" i="24"/>
  <c r="AH267" i="24" s="1"/>
  <c r="AG267" i="24" s="1"/>
  <c r="AF267" i="24" s="1"/>
  <c r="AI242" i="24"/>
  <c r="AH242" i="24" s="1"/>
  <c r="AI129" i="24"/>
  <c r="AH129" i="24" s="1"/>
  <c r="AG129" i="24" s="1"/>
  <c r="AF129" i="24" s="1"/>
  <c r="AI143" i="24"/>
  <c r="AH143" i="24" s="1"/>
  <c r="AG143" i="24" s="1"/>
  <c r="AF143" i="24" s="1"/>
  <c r="AI195" i="24"/>
  <c r="AH195" i="24" s="1"/>
  <c r="AI151" i="24"/>
  <c r="AH151" i="24" s="1"/>
  <c r="AI175" i="24"/>
  <c r="AH175" i="24" s="1"/>
  <c r="AG175" i="24" s="1"/>
  <c r="AF175" i="24" s="1"/>
  <c r="AI112" i="24"/>
  <c r="AH112" i="24" s="1"/>
  <c r="AG112" i="24" s="1"/>
  <c r="AF112" i="24" s="1"/>
  <c r="AI137" i="24"/>
  <c r="AH137" i="24" s="1"/>
  <c r="AG137" i="24" s="1"/>
  <c r="AF137" i="24" s="1"/>
  <c r="AI296" i="24"/>
  <c r="AH296" i="24" s="1"/>
  <c r="AG296" i="24" s="1"/>
  <c r="AF296" i="24" s="1"/>
  <c r="AI104" i="24"/>
  <c r="AI167" i="24"/>
  <c r="AH167" i="24" s="1"/>
  <c r="AG167" i="24" s="1"/>
  <c r="AF167" i="24" s="1"/>
  <c r="AI291" i="24"/>
  <c r="AH291" i="24" s="1"/>
  <c r="AG291" i="24" s="1"/>
  <c r="AF291" i="24" s="1"/>
  <c r="AI337" i="24"/>
  <c r="AH337" i="24" s="1"/>
  <c r="AG337" i="24" s="1"/>
  <c r="AF337" i="24" s="1"/>
  <c r="AI133" i="24"/>
  <c r="AH133" i="24" s="1"/>
  <c r="AG133" i="24" s="1"/>
  <c r="AF133" i="24" s="1"/>
  <c r="AI189" i="24"/>
  <c r="AH189" i="24" s="1"/>
  <c r="AG189" i="24" s="1"/>
  <c r="AF189" i="24" s="1"/>
  <c r="AI361" i="24"/>
  <c r="AH361" i="24" s="1"/>
  <c r="AG361" i="24" s="1"/>
  <c r="AF361" i="24" s="1"/>
  <c r="AI364" i="24"/>
  <c r="AH364" i="24" s="1"/>
  <c r="AG364" i="24" s="1"/>
  <c r="AF364" i="24" s="1"/>
  <c r="AI325" i="24"/>
  <c r="AH325" i="24" s="1"/>
  <c r="AG325" i="24" s="1"/>
  <c r="AF325" i="24" s="1"/>
  <c r="AI353" i="24"/>
  <c r="AH353" i="24" s="1"/>
  <c r="AG353" i="24" s="1"/>
  <c r="AF353" i="24" s="1"/>
  <c r="AI356" i="24"/>
  <c r="AH356" i="24" s="1"/>
  <c r="AG356" i="24" s="1"/>
  <c r="AF356" i="24" s="1"/>
  <c r="AI190" i="24"/>
  <c r="AH190" i="24" s="1"/>
  <c r="AG190" i="24" s="1"/>
  <c r="AF190" i="24" s="1"/>
  <c r="AI319" i="24"/>
  <c r="AH319" i="24" s="1"/>
  <c r="AG319" i="24" s="1"/>
  <c r="AF319" i="24" s="1"/>
  <c r="AI225" i="24"/>
  <c r="AH225" i="24" s="1"/>
  <c r="AG225" i="24" s="1"/>
  <c r="AF225" i="24" s="1"/>
  <c r="AI320" i="24"/>
  <c r="AH320" i="24" s="1"/>
  <c r="AG320" i="24" s="1"/>
  <c r="AF320" i="24" s="1"/>
  <c r="AI376" i="24"/>
  <c r="AH376" i="24" s="1"/>
  <c r="AG376" i="24" s="1"/>
  <c r="AF376" i="24" s="1"/>
  <c r="AI116" i="24"/>
  <c r="AH116" i="24" s="1"/>
  <c r="AG116" i="24" s="1"/>
  <c r="AF116" i="24" s="1"/>
  <c r="AI230" i="24"/>
  <c r="AH230" i="24" s="1"/>
  <c r="AG230" i="24" s="1"/>
  <c r="AF230" i="24" s="1"/>
  <c r="AI229" i="24"/>
  <c r="AH229" i="24" s="1"/>
  <c r="AI138" i="24"/>
  <c r="AH138" i="24" s="1"/>
  <c r="AG138" i="24" s="1"/>
  <c r="AF138" i="24" s="1"/>
  <c r="AI276" i="24"/>
  <c r="AH276" i="24" s="1"/>
  <c r="AG276" i="24" s="1"/>
  <c r="AF276" i="24" s="1"/>
  <c r="AI111" i="24"/>
  <c r="AH111" i="24" s="1"/>
  <c r="AG111" i="24" s="1"/>
  <c r="AF111" i="24" s="1"/>
  <c r="AI304" i="24"/>
  <c r="AH304" i="24" s="1"/>
  <c r="AG304" i="24" s="1"/>
  <c r="AF304" i="24" s="1"/>
  <c r="AI159" i="24"/>
  <c r="AH159" i="24" s="1"/>
  <c r="AG159" i="24" s="1"/>
  <c r="AF159" i="24" s="1"/>
  <c r="AI288" i="24"/>
  <c r="AH288" i="24" s="1"/>
  <c r="AG288" i="24" s="1"/>
  <c r="AF288" i="24" s="1"/>
  <c r="AI212" i="24"/>
  <c r="AH212" i="24" s="1"/>
  <c r="AG212" i="24" s="1"/>
  <c r="AF212" i="24" s="1"/>
  <c r="AI221" i="24"/>
  <c r="AH221" i="24" s="1"/>
  <c r="AG221" i="24" s="1"/>
  <c r="AF221" i="24" s="1"/>
  <c r="AI227" i="24"/>
  <c r="AH227" i="24" s="1"/>
  <c r="AG227" i="24" s="1"/>
  <c r="AF227" i="24" s="1"/>
  <c r="AI285" i="24"/>
  <c r="AH285" i="24" s="1"/>
  <c r="AG285" i="24" s="1"/>
  <c r="AF285" i="24" s="1"/>
  <c r="AI119" i="24"/>
  <c r="AH119" i="24" s="1"/>
  <c r="AG119" i="24" s="1"/>
  <c r="AF119" i="24" s="1"/>
  <c r="AI303" i="24"/>
  <c r="AH303" i="24" s="1"/>
  <c r="AG303" i="24" s="1"/>
  <c r="AF303" i="24" s="1"/>
  <c r="AI134" i="24"/>
  <c r="AH134" i="24" s="1"/>
  <c r="AG134" i="24" s="1"/>
  <c r="AF134" i="24" s="1"/>
  <c r="AI305" i="24"/>
  <c r="AH305" i="24" s="1"/>
  <c r="AG305" i="24" s="1"/>
  <c r="AF305" i="24" s="1"/>
  <c r="AI274" i="24"/>
  <c r="AH274" i="24" s="1"/>
  <c r="AG274" i="24" s="1"/>
  <c r="AF274" i="24" s="1"/>
  <c r="AI174" i="24"/>
  <c r="AH174" i="24" s="1"/>
  <c r="AG174" i="24" s="1"/>
  <c r="AF174" i="24" s="1"/>
  <c r="AI239" i="24"/>
  <c r="AH239" i="24" s="1"/>
  <c r="AG239" i="24" s="1"/>
  <c r="AF239" i="24" s="1"/>
  <c r="AI169" i="24"/>
  <c r="AH169" i="24" s="1"/>
  <c r="AG169" i="24" s="1"/>
  <c r="AF169" i="24" s="1"/>
  <c r="AI245" i="24"/>
  <c r="AH245" i="24" s="1"/>
  <c r="AG245" i="24" s="1"/>
  <c r="AF245" i="24" s="1"/>
  <c r="AI269" i="24"/>
  <c r="AH269" i="24" s="1"/>
  <c r="AG269" i="24" s="1"/>
  <c r="AF269" i="24" s="1"/>
  <c r="AI135" i="24"/>
  <c r="AH135" i="24" s="1"/>
  <c r="AG135" i="24" s="1"/>
  <c r="AF135" i="24" s="1"/>
  <c r="AI113" i="24"/>
  <c r="AH113" i="24" s="1"/>
  <c r="AG113" i="24" s="1"/>
  <c r="AF113" i="24" s="1"/>
  <c r="AI249" i="24"/>
  <c r="AH249" i="24" s="1"/>
  <c r="AG249" i="24" s="1"/>
  <c r="AF249" i="24" s="1"/>
  <c r="AI147" i="24"/>
  <c r="AH147" i="24" s="1"/>
  <c r="AG147" i="24" s="1"/>
  <c r="AF147" i="24" s="1"/>
  <c r="AI110" i="24"/>
  <c r="AH110" i="24" s="1"/>
  <c r="AG110" i="24" s="1"/>
  <c r="AF110" i="24" s="1"/>
  <c r="AI266" i="24"/>
  <c r="AH266" i="24" s="1"/>
  <c r="AG266" i="24" s="1"/>
  <c r="AF266" i="24" s="1"/>
  <c r="AI124" i="24"/>
  <c r="AH124" i="24" s="1"/>
  <c r="AG124" i="24" s="1"/>
  <c r="AF124" i="24" s="1"/>
  <c r="AI213" i="24"/>
  <c r="AH213" i="24" s="1"/>
  <c r="AG213" i="24" s="1"/>
  <c r="AF213" i="24" s="1"/>
  <c r="AI157" i="24"/>
  <c r="AH157" i="24" s="1"/>
  <c r="AG157" i="24" s="1"/>
  <c r="AF157" i="24" s="1"/>
  <c r="AI278" i="24"/>
  <c r="AH278" i="24" s="1"/>
  <c r="AG278" i="24" s="1"/>
  <c r="AF278" i="24" s="1"/>
  <c r="AI370" i="24"/>
  <c r="AH370" i="24" s="1"/>
  <c r="AG370" i="24" s="1"/>
  <c r="AF370" i="24" s="1"/>
  <c r="AI329" i="24"/>
  <c r="AH329" i="24" s="1"/>
  <c r="AG329" i="24" s="1"/>
  <c r="AF329" i="24" s="1"/>
  <c r="AI203" i="24"/>
  <c r="AH203" i="24" s="1"/>
  <c r="AG203" i="24" s="1"/>
  <c r="AF203" i="24" s="1"/>
  <c r="AI215" i="24"/>
  <c r="AH215" i="24" s="1"/>
  <c r="AG215" i="24" s="1"/>
  <c r="AF215" i="24" s="1"/>
  <c r="AI355" i="24"/>
  <c r="AH355" i="24" s="1"/>
  <c r="AG355" i="24" s="1"/>
  <c r="AF355" i="24" s="1"/>
  <c r="AI331" i="24"/>
  <c r="AH331" i="24" s="1"/>
  <c r="AG331" i="24" s="1"/>
  <c r="AF331" i="24" s="1"/>
  <c r="AI297" i="24"/>
  <c r="AH297" i="24" s="1"/>
  <c r="AG297" i="24" s="1"/>
  <c r="AF297" i="24" s="1"/>
  <c r="AI328" i="24"/>
  <c r="AH328" i="24" s="1"/>
  <c r="AG328" i="24" s="1"/>
  <c r="AF328" i="24" s="1"/>
  <c r="AI255" i="24"/>
  <c r="AH255" i="24" s="1"/>
  <c r="AG255" i="24" s="1"/>
  <c r="AF255" i="24" s="1"/>
  <c r="AI148" i="24"/>
  <c r="AH148" i="24" s="1"/>
  <c r="AG148" i="24" s="1"/>
  <c r="AF148" i="24" s="1"/>
  <c r="AI314" i="24"/>
  <c r="AH314" i="24" s="1"/>
  <c r="AG314" i="24" s="1"/>
  <c r="AF314" i="24" s="1"/>
  <c r="AI149" i="24"/>
  <c r="AH149" i="24" s="1"/>
  <c r="AG149" i="24" s="1"/>
  <c r="AF149" i="24" s="1"/>
  <c r="AI369" i="24"/>
  <c r="AH369" i="24" s="1"/>
  <c r="AG369" i="24" s="1"/>
  <c r="AF369" i="24" s="1"/>
  <c r="AI158" i="24"/>
  <c r="AH158" i="24" s="1"/>
  <c r="AG158" i="24" s="1"/>
  <c r="AF158" i="24" s="1"/>
  <c r="AI238" i="24"/>
  <c r="AH238" i="24" s="1"/>
  <c r="AG238" i="24" s="1"/>
  <c r="AF238" i="24" s="1"/>
  <c r="AI281" i="24"/>
  <c r="AH281" i="24" s="1"/>
  <c r="AG281" i="24" s="1"/>
  <c r="AF281" i="24" s="1"/>
  <c r="AI293" i="24"/>
  <c r="AH293" i="24" s="1"/>
  <c r="AG293" i="24" s="1"/>
  <c r="AF293" i="24" s="1"/>
  <c r="AI166" i="24"/>
  <c r="AH166" i="24" s="1"/>
  <c r="AG166" i="24" s="1"/>
  <c r="AF166" i="24" s="1"/>
  <c r="AI261" i="24"/>
  <c r="AH261" i="24" s="1"/>
  <c r="AG261" i="24" s="1"/>
  <c r="AF261" i="24" s="1"/>
  <c r="AI217" i="24"/>
  <c r="AH217" i="24" s="1"/>
  <c r="AG217" i="24" s="1"/>
  <c r="AF217" i="24" s="1"/>
  <c r="AI173" i="24"/>
  <c r="AH173" i="24" s="1"/>
  <c r="AG173" i="24" s="1"/>
  <c r="AF173" i="24" s="1"/>
  <c r="AI362" i="24"/>
  <c r="AH362" i="24" s="1"/>
  <c r="AG362" i="24" s="1"/>
  <c r="AF362" i="24" s="1"/>
  <c r="AG381" i="23"/>
  <c r="AG383" i="23"/>
  <c r="I328" i="23"/>
  <c r="J96" i="23"/>
  <c r="I257" i="23"/>
  <c r="I137" i="23"/>
  <c r="J40" i="23"/>
  <c r="J303" i="23"/>
  <c r="J230" i="23"/>
  <c r="H29" i="23"/>
  <c r="I29" i="23" s="1"/>
  <c r="AA29" i="23"/>
  <c r="Z29" i="23" s="1"/>
  <c r="Y29" i="23" s="1"/>
  <c r="V381" i="20"/>
  <c r="V383" i="20"/>
  <c r="V382" i="20"/>
  <c r="U12" i="25"/>
  <c r="V15" i="22"/>
  <c r="B15" i="22" s="1"/>
  <c r="P381" i="22"/>
  <c r="P382" i="22"/>
  <c r="P383" i="22"/>
  <c r="AD381" i="22"/>
  <c r="AD383" i="22"/>
  <c r="AD382" i="22"/>
  <c r="W15" i="20"/>
  <c r="D15" i="20"/>
  <c r="F15" i="18"/>
  <c r="S381" i="23"/>
  <c r="S382" i="23"/>
  <c r="S383" i="23"/>
  <c r="R15" i="23"/>
  <c r="AD136" i="23"/>
  <c r="AF383" i="23"/>
  <c r="AF382" i="23"/>
  <c r="AF381" i="23"/>
  <c r="I363" i="23"/>
  <c r="J363" i="23"/>
  <c r="I349" i="23"/>
  <c r="J349" i="23"/>
  <c r="I135" i="23"/>
  <c r="J135" i="23"/>
  <c r="I288" i="23"/>
  <c r="J288" i="23"/>
  <c r="I196" i="23"/>
  <c r="J196" i="23"/>
  <c r="I166" i="23"/>
  <c r="J166" i="23"/>
  <c r="H333" i="23" l="1"/>
  <c r="J333" i="23" s="1"/>
  <c r="AA333" i="23"/>
  <c r="Z333" i="23" s="1"/>
  <c r="Y333" i="23" s="1"/>
  <c r="J165" i="23"/>
  <c r="AZ16" i="7"/>
  <c r="BF11" i="7" s="1"/>
  <c r="U11" i="25" s="1"/>
  <c r="J338" i="23"/>
  <c r="AA182" i="23"/>
  <c r="Z182" i="23" s="1"/>
  <c r="Y182" i="23" s="1"/>
  <c r="H278" i="23"/>
  <c r="J278" i="23" s="1"/>
  <c r="J214" i="23"/>
  <c r="J274" i="23"/>
  <c r="H60" i="23"/>
  <c r="I60" i="23" s="1"/>
  <c r="AA379" i="23"/>
  <c r="Z379" i="23" s="1"/>
  <c r="Y379" i="23" s="1"/>
  <c r="W302" i="23"/>
  <c r="AA60" i="23"/>
  <c r="Z60" i="23" s="1"/>
  <c r="Y60" i="23" s="1"/>
  <c r="M68" i="19"/>
  <c r="I350" i="23"/>
  <c r="W379" i="23"/>
  <c r="Q17" i="24"/>
  <c r="Q266" i="24"/>
  <c r="P266" i="24" s="1"/>
  <c r="V266" i="24" s="1"/>
  <c r="B266" i="24" s="1"/>
  <c r="D266" i="24" s="1"/>
  <c r="E266" i="24" s="1"/>
  <c r="F266" i="24" s="1"/>
  <c r="G266" i="24" s="1"/>
  <c r="CE266" i="6" s="1"/>
  <c r="I88" i="23"/>
  <c r="J305" i="23"/>
  <c r="J41" i="23"/>
  <c r="I53" i="23"/>
  <c r="G278" i="23"/>
  <c r="CD278" i="6" s="1"/>
  <c r="J351" i="23"/>
  <c r="I146" i="23"/>
  <c r="J42" i="23"/>
  <c r="J296" i="23"/>
  <c r="I66" i="23"/>
  <c r="I294" i="23"/>
  <c r="J97" i="23"/>
  <c r="G240" i="23"/>
  <c r="CD240" i="6" s="1"/>
  <c r="AA240" i="23"/>
  <c r="Z240" i="23" s="1"/>
  <c r="Y240" i="23" s="1"/>
  <c r="H365" i="23"/>
  <c r="I365" i="23" s="1"/>
  <c r="J51" i="23"/>
  <c r="J273" i="23"/>
  <c r="J255" i="23"/>
  <c r="I371" i="23"/>
  <c r="J301" i="23"/>
  <c r="G56" i="23"/>
  <c r="CD56" i="6" s="1"/>
  <c r="I59" i="23"/>
  <c r="I232" i="23"/>
  <c r="G263" i="23"/>
  <c r="CD263" i="6" s="1"/>
  <c r="J284" i="23"/>
  <c r="I234" i="23"/>
  <c r="I244" i="23"/>
  <c r="H56" i="23"/>
  <c r="J56" i="23" s="1"/>
  <c r="J183" i="23"/>
  <c r="J247" i="23"/>
  <c r="I101" i="23"/>
  <c r="J46" i="23"/>
  <c r="H182" i="23"/>
  <c r="I182" i="23" s="1"/>
  <c r="AA365" i="23"/>
  <c r="Z365" i="23" s="1"/>
  <c r="Y365" i="23" s="1"/>
  <c r="H223" i="23"/>
  <c r="I223" i="23" s="1"/>
  <c r="G223" i="23"/>
  <c r="CD223" i="6" s="1"/>
  <c r="I309" i="23"/>
  <c r="J319" i="23"/>
  <c r="I115" i="23"/>
  <c r="J168" i="23"/>
  <c r="I201" i="23"/>
  <c r="J215" i="23"/>
  <c r="I110" i="23"/>
  <c r="J202" i="23"/>
  <c r="J149" i="23"/>
  <c r="Q353" i="24"/>
  <c r="Q71" i="24"/>
  <c r="J318" i="23"/>
  <c r="Q317" i="24"/>
  <c r="P317" i="24" s="1"/>
  <c r="V317" i="24" s="1"/>
  <c r="B317" i="24" s="1"/>
  <c r="Q284" i="24"/>
  <c r="P284" i="24" s="1"/>
  <c r="V284" i="24" s="1"/>
  <c r="B284" i="24" s="1"/>
  <c r="D284" i="24" s="1"/>
  <c r="E284" i="24" s="1"/>
  <c r="F284" i="24" s="1"/>
  <c r="Q307" i="24"/>
  <c r="P307" i="24" s="1"/>
  <c r="V307" i="24" s="1"/>
  <c r="B307" i="24" s="1"/>
  <c r="Q131" i="24"/>
  <c r="P131" i="24" s="1"/>
  <c r="V131" i="24" s="1"/>
  <c r="B131" i="24" s="1"/>
  <c r="D131" i="24" s="1"/>
  <c r="E131" i="24" s="1"/>
  <c r="F131" i="24" s="1"/>
  <c r="Q64" i="24"/>
  <c r="P64" i="24" s="1"/>
  <c r="V64" i="24" s="1"/>
  <c r="B64" i="24" s="1"/>
  <c r="Q109" i="24"/>
  <c r="P109" i="24" s="1"/>
  <c r="V109" i="24" s="1"/>
  <c r="B109" i="24" s="1"/>
  <c r="D109" i="24" s="1"/>
  <c r="E109" i="24" s="1"/>
  <c r="F109" i="24" s="1"/>
  <c r="Q45" i="24"/>
  <c r="P45" i="24" s="1"/>
  <c r="V45" i="24" s="1"/>
  <c r="B45" i="24" s="1"/>
  <c r="Q180" i="24"/>
  <c r="Q78" i="24"/>
  <c r="P78" i="24" s="1"/>
  <c r="V78" i="24" s="1"/>
  <c r="B78" i="24" s="1"/>
  <c r="D78" i="24" s="1"/>
  <c r="E78" i="24" s="1"/>
  <c r="F78" i="24" s="1"/>
  <c r="Q233" i="24"/>
  <c r="Q290" i="24"/>
  <c r="P290" i="24" s="1"/>
  <c r="V290" i="24" s="1"/>
  <c r="B290" i="24" s="1"/>
  <c r="D290" i="24" s="1"/>
  <c r="E290" i="24" s="1"/>
  <c r="F290" i="24" s="1"/>
  <c r="H290" i="24" s="1"/>
  <c r="I290" i="24" s="1"/>
  <c r="Q235" i="24"/>
  <c r="Q213" i="24"/>
  <c r="P213" i="24" s="1"/>
  <c r="V213" i="24" s="1"/>
  <c r="B213" i="24" s="1"/>
  <c r="W213" i="24" s="1"/>
  <c r="Q272" i="24"/>
  <c r="P272" i="24" s="1"/>
  <c r="V272" i="24" s="1"/>
  <c r="B272" i="24" s="1"/>
  <c r="D272" i="24" s="1"/>
  <c r="E272" i="24" s="1"/>
  <c r="F272" i="24" s="1"/>
  <c r="G272" i="24" s="1"/>
  <c r="CE272" i="6" s="1"/>
  <c r="Q179" i="24"/>
  <c r="P179" i="24" s="1"/>
  <c r="V179" i="24" s="1"/>
  <c r="B179" i="24" s="1"/>
  <c r="W179" i="24" s="1"/>
  <c r="Q125" i="24"/>
  <c r="P125" i="24" s="1"/>
  <c r="V125" i="24" s="1"/>
  <c r="B125" i="24" s="1"/>
  <c r="D125" i="24" s="1"/>
  <c r="E125" i="24" s="1"/>
  <c r="F125" i="24" s="1"/>
  <c r="G125" i="24" s="1"/>
  <c r="CE125" i="6" s="1"/>
  <c r="Q63" i="24"/>
  <c r="P63" i="24" s="1"/>
  <c r="V63" i="24" s="1"/>
  <c r="B63" i="24" s="1"/>
  <c r="Q201" i="24"/>
  <c r="P201" i="24" s="1"/>
  <c r="V201" i="24" s="1"/>
  <c r="B201" i="24" s="1"/>
  <c r="D201" i="24" s="1"/>
  <c r="E201" i="24" s="1"/>
  <c r="F201" i="24" s="1"/>
  <c r="Q88" i="24"/>
  <c r="P88" i="24" s="1"/>
  <c r="AH58" i="7" s="1"/>
  <c r="Q224" i="24"/>
  <c r="P224" i="24" s="1"/>
  <c r="V224" i="24" s="1"/>
  <c r="B224" i="24" s="1"/>
  <c r="D224" i="24" s="1"/>
  <c r="E224" i="24" s="1"/>
  <c r="F224" i="24" s="1"/>
  <c r="Q102" i="24"/>
  <c r="P102" i="24" s="1"/>
  <c r="V102" i="24" s="1"/>
  <c r="B102" i="24" s="1"/>
  <c r="W102" i="24" s="1"/>
  <c r="Q187" i="24"/>
  <c r="P187" i="24" s="1"/>
  <c r="V187" i="24" s="1"/>
  <c r="B187" i="24" s="1"/>
  <c r="W187" i="24" s="1"/>
  <c r="Q51" i="24"/>
  <c r="P51" i="24" s="1"/>
  <c r="V51" i="24" s="1"/>
  <c r="B51" i="24" s="1"/>
  <c r="W51" i="24" s="1"/>
  <c r="Q257" i="24"/>
  <c r="P257" i="24" s="1"/>
  <c r="V257" i="24" s="1"/>
  <c r="B257" i="24" s="1"/>
  <c r="W257" i="24" s="1"/>
  <c r="Q135" i="24"/>
  <c r="P135" i="24" s="1"/>
  <c r="V135" i="24" s="1"/>
  <c r="B135" i="24" s="1"/>
  <c r="Q339" i="24"/>
  <c r="P339" i="24" s="1"/>
  <c r="V339" i="24" s="1"/>
  <c r="B339" i="24" s="1"/>
  <c r="D339" i="24" s="1"/>
  <c r="E339" i="24" s="1"/>
  <c r="F339" i="24" s="1"/>
  <c r="G339" i="24" s="1"/>
  <c r="CE339" i="6" s="1"/>
  <c r="Q79" i="24"/>
  <c r="P79" i="24" s="1"/>
  <c r="V79" i="24" s="1"/>
  <c r="B79" i="24" s="1"/>
  <c r="D79" i="24" s="1"/>
  <c r="E79" i="24" s="1"/>
  <c r="F79" i="24" s="1"/>
  <c r="G79" i="24" s="1"/>
  <c r="CE79" i="6" s="1"/>
  <c r="Q143" i="24"/>
  <c r="P143" i="24" s="1"/>
  <c r="V143" i="24" s="1"/>
  <c r="B143" i="24" s="1"/>
  <c r="W143" i="24" s="1"/>
  <c r="I227" i="23"/>
  <c r="J143" i="23"/>
  <c r="I87" i="23"/>
  <c r="J265" i="23"/>
  <c r="J317" i="23"/>
  <c r="J373" i="23"/>
  <c r="G284" i="23"/>
  <c r="CD284" i="6" s="1"/>
  <c r="H263" i="23"/>
  <c r="I263" i="23" s="1"/>
  <c r="AA284" i="23"/>
  <c r="Z284" i="23" s="1"/>
  <c r="Y284" i="23" s="1"/>
  <c r="J258" i="23"/>
  <c r="J346" i="23"/>
  <c r="J279" i="23"/>
  <c r="I366" i="23"/>
  <c r="P353" i="24"/>
  <c r="V353" i="24" s="1"/>
  <c r="B353" i="24" s="1"/>
  <c r="W353" i="24" s="1"/>
  <c r="P17" i="24"/>
  <c r="V17" i="24" s="1"/>
  <c r="B17" i="24" s="1"/>
  <c r="P233" i="24"/>
  <c r="V233" i="24" s="1"/>
  <c r="B233" i="24" s="1"/>
  <c r="D233" i="24" s="1"/>
  <c r="E233" i="24" s="1"/>
  <c r="F233" i="24" s="1"/>
  <c r="P71" i="24"/>
  <c r="V71" i="24" s="1"/>
  <c r="B71" i="24" s="1"/>
  <c r="D71" i="24" s="1"/>
  <c r="E71" i="24" s="1"/>
  <c r="F71" i="24" s="1"/>
  <c r="G71" i="24" s="1"/>
  <c r="CE71" i="6" s="1"/>
  <c r="P235" i="24"/>
  <c r="V235" i="24" s="1"/>
  <c r="B235" i="24" s="1"/>
  <c r="D235" i="24" s="1"/>
  <c r="E235" i="24" s="1"/>
  <c r="F235" i="24" s="1"/>
  <c r="P44" i="24"/>
  <c r="V44" i="24" s="1"/>
  <c r="B44" i="24" s="1"/>
  <c r="W44" i="24" s="1"/>
  <c r="Q188" i="24"/>
  <c r="P188" i="24" s="1"/>
  <c r="V188" i="24" s="1"/>
  <c r="B188" i="24" s="1"/>
  <c r="Q97" i="24"/>
  <c r="P97" i="24" s="1"/>
  <c r="V97" i="24" s="1"/>
  <c r="B97" i="24" s="1"/>
  <c r="W97" i="24" s="1"/>
  <c r="Q171" i="24"/>
  <c r="P171" i="24" s="1"/>
  <c r="V171" i="24" s="1"/>
  <c r="B171" i="24" s="1"/>
  <c r="D171" i="24" s="1"/>
  <c r="E171" i="24" s="1"/>
  <c r="F171" i="24" s="1"/>
  <c r="G171" i="24" s="1"/>
  <c r="CE171" i="6" s="1"/>
  <c r="Q177" i="24"/>
  <c r="P177" i="24" s="1"/>
  <c r="V177" i="24" s="1"/>
  <c r="B177" i="24" s="1"/>
  <c r="W177" i="24" s="1"/>
  <c r="Q287" i="24"/>
  <c r="P287" i="24" s="1"/>
  <c r="V287" i="24" s="1"/>
  <c r="B287" i="24" s="1"/>
  <c r="W287" i="24" s="1"/>
  <c r="Q139" i="24"/>
  <c r="P139" i="24" s="1"/>
  <c r="V139" i="24" s="1"/>
  <c r="B139" i="24" s="1"/>
  <c r="W139" i="24" s="1"/>
  <c r="Q158" i="24"/>
  <c r="P158" i="24" s="1"/>
  <c r="V158" i="24" s="1"/>
  <c r="B158" i="24" s="1"/>
  <c r="D158" i="24" s="1"/>
  <c r="E158" i="24" s="1"/>
  <c r="F158" i="24" s="1"/>
  <c r="G158" i="24" s="1"/>
  <c r="CE158" i="6" s="1"/>
  <c r="Q184" i="24"/>
  <c r="P184" i="24" s="1"/>
  <c r="V184" i="24" s="1"/>
  <c r="B184" i="24" s="1"/>
  <c r="Q217" i="24"/>
  <c r="P217" i="24" s="1"/>
  <c r="V217" i="24" s="1"/>
  <c r="B217" i="24" s="1"/>
  <c r="W217" i="24" s="1"/>
  <c r="Q297" i="24"/>
  <c r="P297" i="24" s="1"/>
  <c r="V297" i="24" s="1"/>
  <c r="B297" i="24" s="1"/>
  <c r="D297" i="24" s="1"/>
  <c r="E297" i="24" s="1"/>
  <c r="F297" i="24" s="1"/>
  <c r="H297" i="24" s="1"/>
  <c r="J297" i="24" s="1"/>
  <c r="Q121" i="24"/>
  <c r="P121" i="24" s="1"/>
  <c r="V121" i="24" s="1"/>
  <c r="B121" i="24" s="1"/>
  <c r="Q204" i="24"/>
  <c r="P204" i="24" s="1"/>
  <c r="V204" i="24" s="1"/>
  <c r="B204" i="24" s="1"/>
  <c r="D204" i="24" s="1"/>
  <c r="E204" i="24" s="1"/>
  <c r="F204" i="24" s="1"/>
  <c r="Q134" i="24"/>
  <c r="P134" i="24" s="1"/>
  <c r="V134" i="24" s="1"/>
  <c r="B134" i="24" s="1"/>
  <c r="W134" i="24" s="1"/>
  <c r="Q196" i="24"/>
  <c r="P196" i="24" s="1"/>
  <c r="V196" i="24" s="1"/>
  <c r="B196" i="24" s="1"/>
  <c r="D196" i="24" s="1"/>
  <c r="E196" i="24" s="1"/>
  <c r="F196" i="24" s="1"/>
  <c r="Q378" i="24"/>
  <c r="P378" i="24" s="1"/>
  <c r="V378" i="24" s="1"/>
  <c r="B378" i="24" s="1"/>
  <c r="W378" i="24" s="1"/>
  <c r="Q368" i="24"/>
  <c r="P368" i="24" s="1"/>
  <c r="V368" i="24" s="1"/>
  <c r="B368" i="24" s="1"/>
  <c r="D368" i="24" s="1"/>
  <c r="E368" i="24" s="1"/>
  <c r="F368" i="24" s="1"/>
  <c r="Q303" i="24"/>
  <c r="P303" i="24" s="1"/>
  <c r="V303" i="24" s="1"/>
  <c r="B303" i="24" s="1"/>
  <c r="W303" i="24" s="1"/>
  <c r="Q226" i="24"/>
  <c r="P226" i="24" s="1"/>
  <c r="V226" i="24" s="1"/>
  <c r="B226" i="24" s="1"/>
  <c r="D226" i="24" s="1"/>
  <c r="E226" i="24" s="1"/>
  <c r="F226" i="24" s="1"/>
  <c r="G226" i="24" s="1"/>
  <c r="CE226" i="6" s="1"/>
  <c r="Q40" i="24"/>
  <c r="P40" i="24" s="1"/>
  <c r="V40" i="24" s="1"/>
  <c r="B40" i="24" s="1"/>
  <c r="D40" i="24" s="1"/>
  <c r="E40" i="24" s="1"/>
  <c r="F40" i="24" s="1"/>
  <c r="H40" i="24" s="1"/>
  <c r="J40" i="24" s="1"/>
  <c r="Q183" i="24"/>
  <c r="P183" i="24" s="1"/>
  <c r="V183" i="24" s="1"/>
  <c r="B183" i="24" s="1"/>
  <c r="Q230" i="24"/>
  <c r="P230" i="24" s="1"/>
  <c r="V230" i="24" s="1"/>
  <c r="B230" i="24" s="1"/>
  <c r="W230" i="24" s="1"/>
  <c r="Q118" i="24"/>
  <c r="P118" i="24" s="1"/>
  <c r="V118" i="24" s="1"/>
  <c r="B118" i="24" s="1"/>
  <c r="Q146" i="24"/>
  <c r="P146" i="24" s="1"/>
  <c r="V146" i="24" s="1"/>
  <c r="B146" i="24" s="1"/>
  <c r="Q72" i="24"/>
  <c r="P72" i="24" s="1"/>
  <c r="V72" i="24" s="1"/>
  <c r="B72" i="24" s="1"/>
  <c r="Q164" i="24"/>
  <c r="P164" i="24" s="1"/>
  <c r="V164" i="24" s="1"/>
  <c r="B164" i="24" s="1"/>
  <c r="W164" i="24" s="1"/>
  <c r="Q99" i="24"/>
  <c r="P99" i="24" s="1"/>
  <c r="V99" i="24" s="1"/>
  <c r="B99" i="24" s="1"/>
  <c r="D99" i="24" s="1"/>
  <c r="E99" i="24" s="1"/>
  <c r="F99" i="24" s="1"/>
  <c r="Q122" i="24"/>
  <c r="P122" i="24" s="1"/>
  <c r="V122" i="24" s="1"/>
  <c r="B122" i="24" s="1"/>
  <c r="W122" i="24" s="1"/>
  <c r="Q153" i="24"/>
  <c r="P153" i="24" s="1"/>
  <c r="V153" i="24" s="1"/>
  <c r="B153" i="24" s="1"/>
  <c r="W153" i="24" s="1"/>
  <c r="Q262" i="24"/>
  <c r="P262" i="24" s="1"/>
  <c r="V262" i="24" s="1"/>
  <c r="B262" i="24" s="1"/>
  <c r="D262" i="24" s="1"/>
  <c r="E262" i="24" s="1"/>
  <c r="F262" i="24" s="1"/>
  <c r="Q61" i="24"/>
  <c r="P61" i="24" s="1"/>
  <c r="V61" i="24" s="1"/>
  <c r="B61" i="24" s="1"/>
  <c r="W61" i="24" s="1"/>
  <c r="Q215" i="24"/>
  <c r="P215" i="24" s="1"/>
  <c r="V215" i="24" s="1"/>
  <c r="B215" i="24" s="1"/>
  <c r="D215" i="24" s="1"/>
  <c r="E215" i="24" s="1"/>
  <c r="F215" i="24" s="1"/>
  <c r="Q96" i="24"/>
  <c r="P96" i="24" s="1"/>
  <c r="V96" i="24" s="1"/>
  <c r="B96" i="24" s="1"/>
  <c r="D96" i="24" s="1"/>
  <c r="E96" i="24" s="1"/>
  <c r="F96" i="24" s="1"/>
  <c r="Q325" i="24"/>
  <c r="P325" i="24" s="1"/>
  <c r="V325" i="24" s="1"/>
  <c r="B325" i="24" s="1"/>
  <c r="D325" i="24" s="1"/>
  <c r="E325" i="24" s="1"/>
  <c r="F325" i="24" s="1"/>
  <c r="G325" i="24" s="1"/>
  <c r="CE325" i="6" s="1"/>
  <c r="Q59" i="24"/>
  <c r="P59" i="24" s="1"/>
  <c r="V59" i="24" s="1"/>
  <c r="B59" i="24" s="1"/>
  <c r="Q195" i="24"/>
  <c r="P195" i="24" s="1"/>
  <c r="V195" i="24" s="1"/>
  <c r="B195" i="24" s="1"/>
  <c r="Q291" i="24"/>
  <c r="P291" i="24" s="1"/>
  <c r="V291" i="24" s="1"/>
  <c r="B291" i="24" s="1"/>
  <c r="D291" i="24" s="1"/>
  <c r="E291" i="24" s="1"/>
  <c r="F291" i="24" s="1"/>
  <c r="Q140" i="24"/>
  <c r="P140" i="24" s="1"/>
  <c r="V140" i="24" s="1"/>
  <c r="B140" i="24" s="1"/>
  <c r="D140" i="24" s="1"/>
  <c r="E140" i="24" s="1"/>
  <c r="F140" i="24" s="1"/>
  <c r="Q168" i="24"/>
  <c r="P168" i="24" s="1"/>
  <c r="V168" i="24" s="1"/>
  <c r="B168" i="24" s="1"/>
  <c r="W168" i="24" s="1"/>
  <c r="Q270" i="24"/>
  <c r="P270" i="24" s="1"/>
  <c r="V270" i="24" s="1"/>
  <c r="B270" i="24" s="1"/>
  <c r="W270" i="24" s="1"/>
  <c r="Q101" i="24"/>
  <c r="P101" i="24" s="1"/>
  <c r="V101" i="24" s="1"/>
  <c r="B101" i="24" s="1"/>
  <c r="Q85" i="24"/>
  <c r="P85" i="24" s="1"/>
  <c r="V85" i="24" s="1"/>
  <c r="B85" i="24" s="1"/>
  <c r="W85" i="24" s="1"/>
  <c r="Q281" i="24"/>
  <c r="P281" i="24" s="1"/>
  <c r="V281" i="24" s="1"/>
  <c r="B281" i="24" s="1"/>
  <c r="D281" i="24" s="1"/>
  <c r="E281" i="24" s="1"/>
  <c r="F281" i="24" s="1"/>
  <c r="Q191" i="24"/>
  <c r="P191" i="24" s="1"/>
  <c r="V191" i="24" s="1"/>
  <c r="B191" i="24" s="1"/>
  <c r="W191" i="24" s="1"/>
  <c r="Q240" i="24"/>
  <c r="P240" i="24" s="1"/>
  <c r="V240" i="24" s="1"/>
  <c r="B240" i="24" s="1"/>
  <c r="D240" i="24" s="1"/>
  <c r="E240" i="24" s="1"/>
  <c r="F240" i="24" s="1"/>
  <c r="Q83" i="24"/>
  <c r="P83" i="24" s="1"/>
  <c r="V83" i="24" s="1"/>
  <c r="B83" i="24" s="1"/>
  <c r="W83" i="24" s="1"/>
  <c r="Q128" i="24"/>
  <c r="P128" i="24" s="1"/>
  <c r="V128" i="24" s="1"/>
  <c r="B128" i="24" s="1"/>
  <c r="Q231" i="24"/>
  <c r="P231" i="24" s="1"/>
  <c r="V231" i="24" s="1"/>
  <c r="B231" i="24" s="1"/>
  <c r="W231" i="24" s="1"/>
  <c r="Q152" i="24"/>
  <c r="P152" i="24" s="1"/>
  <c r="V152" i="24" s="1"/>
  <c r="B152" i="24" s="1"/>
  <c r="D152" i="24" s="1"/>
  <c r="E152" i="24" s="1"/>
  <c r="F152" i="24" s="1"/>
  <c r="G152" i="24" s="1"/>
  <c r="CE152" i="6" s="1"/>
  <c r="Q332" i="24"/>
  <c r="P332" i="24" s="1"/>
  <c r="V332" i="24" s="1"/>
  <c r="B332" i="24" s="1"/>
  <c r="Q112" i="24"/>
  <c r="Q24" i="24"/>
  <c r="P24" i="24" s="1"/>
  <c r="V24" i="24" s="1"/>
  <c r="B24" i="24" s="1"/>
  <c r="Q39" i="24"/>
  <c r="P39" i="24" s="1"/>
  <c r="V39" i="24" s="1"/>
  <c r="B39" i="24" s="1"/>
  <c r="W39" i="24" s="1"/>
  <c r="Q341" i="24"/>
  <c r="P341" i="24" s="1"/>
  <c r="V341" i="24" s="1"/>
  <c r="B341" i="24" s="1"/>
  <c r="D341" i="24" s="1"/>
  <c r="E341" i="24" s="1"/>
  <c r="F341" i="24" s="1"/>
  <c r="Q252" i="24"/>
  <c r="P252" i="24" s="1"/>
  <c r="V252" i="24" s="1"/>
  <c r="B252" i="24" s="1"/>
  <c r="D252" i="24" s="1"/>
  <c r="E252" i="24" s="1"/>
  <c r="F252" i="24" s="1"/>
  <c r="G252" i="24" s="1"/>
  <c r="CE252" i="6" s="1"/>
  <c r="Q189" i="24"/>
  <c r="P189" i="24" s="1"/>
  <c r="V189" i="24" s="1"/>
  <c r="B189" i="24" s="1"/>
  <c r="D189" i="24" s="1"/>
  <c r="E189" i="24" s="1"/>
  <c r="F189" i="24" s="1"/>
  <c r="H189" i="24" s="1"/>
  <c r="I189" i="24" s="1"/>
  <c r="Q136" i="24"/>
  <c r="P136" i="24" s="1"/>
  <c r="V136" i="24" s="1"/>
  <c r="B136" i="24" s="1"/>
  <c r="W136" i="24" s="1"/>
  <c r="Q98" i="24"/>
  <c r="P98" i="24" s="1"/>
  <c r="V98" i="24" s="1"/>
  <c r="B98" i="24" s="1"/>
  <c r="W98" i="24" s="1"/>
  <c r="Q104" i="24"/>
  <c r="P104" i="24" s="1"/>
  <c r="V104" i="24" s="1"/>
  <c r="B104" i="24" s="1"/>
  <c r="D104" i="24" s="1"/>
  <c r="E104" i="24" s="1"/>
  <c r="F104" i="24" s="1"/>
  <c r="H104" i="24" s="1"/>
  <c r="I104" i="24" s="1"/>
  <c r="Q314" i="24"/>
  <c r="P314" i="24" s="1"/>
  <c r="V314" i="24" s="1"/>
  <c r="B314" i="24" s="1"/>
  <c r="W314" i="24" s="1"/>
  <c r="Q190" i="24"/>
  <c r="P190" i="24" s="1"/>
  <c r="V190" i="24" s="1"/>
  <c r="B190" i="24" s="1"/>
  <c r="D190" i="24" s="1"/>
  <c r="E190" i="24" s="1"/>
  <c r="F190" i="24" s="1"/>
  <c r="Q363" i="24"/>
  <c r="P363" i="24" s="1"/>
  <c r="AH67" i="7" s="1"/>
  <c r="Q340" i="24"/>
  <c r="P340" i="24" s="1"/>
  <c r="V340" i="24" s="1"/>
  <c r="B340" i="24" s="1"/>
  <c r="Q199" i="24"/>
  <c r="P199" i="24" s="1"/>
  <c r="V199" i="24" s="1"/>
  <c r="B199" i="24" s="1"/>
  <c r="D199" i="24" s="1"/>
  <c r="E199" i="24" s="1"/>
  <c r="F199" i="24" s="1"/>
  <c r="G199" i="24" s="1"/>
  <c r="CE199" i="6" s="1"/>
  <c r="Q316" i="24"/>
  <c r="P316" i="24" s="1"/>
  <c r="V316" i="24" s="1"/>
  <c r="B316" i="24" s="1"/>
  <c r="W316" i="24" s="1"/>
  <c r="Q292" i="24"/>
  <c r="P292" i="24" s="1"/>
  <c r="V292" i="24" s="1"/>
  <c r="B292" i="24" s="1"/>
  <c r="W292" i="24" s="1"/>
  <c r="Q105" i="24"/>
  <c r="P105" i="24" s="1"/>
  <c r="V105" i="24" s="1"/>
  <c r="B105" i="24" s="1"/>
  <c r="Q124" i="24"/>
  <c r="P124" i="24" s="1"/>
  <c r="V124" i="24" s="1"/>
  <c r="B124" i="24" s="1"/>
  <c r="D124" i="24" s="1"/>
  <c r="E124" i="24" s="1"/>
  <c r="F124" i="24" s="1"/>
  <c r="G124" i="24" s="1"/>
  <c r="CE124" i="6" s="1"/>
  <c r="Q220" i="24"/>
  <c r="P220" i="24" s="1"/>
  <c r="V220" i="24" s="1"/>
  <c r="B220" i="24" s="1"/>
  <c r="W220" i="24" s="1"/>
  <c r="Q69" i="24"/>
  <c r="P69" i="24" s="1"/>
  <c r="V69" i="24" s="1"/>
  <c r="B69" i="24" s="1"/>
  <c r="Q267" i="24"/>
  <c r="P267" i="24" s="1"/>
  <c r="V267" i="24" s="1"/>
  <c r="B267" i="24" s="1"/>
  <c r="W267" i="24" s="1"/>
  <c r="Q245" i="24"/>
  <c r="P245" i="24" s="1"/>
  <c r="V245" i="24" s="1"/>
  <c r="B245" i="24" s="1"/>
  <c r="D245" i="24" s="1"/>
  <c r="E245" i="24" s="1"/>
  <c r="F245" i="24" s="1"/>
  <c r="G245" i="24" s="1"/>
  <c r="CE245" i="6" s="1"/>
  <c r="Q343" i="24"/>
  <c r="Q359" i="24"/>
  <c r="P359" i="24" s="1"/>
  <c r="V359" i="24" s="1"/>
  <c r="B359" i="24" s="1"/>
  <c r="W359" i="24" s="1"/>
  <c r="Q209" i="24"/>
  <c r="P209" i="24" s="1"/>
  <c r="V209" i="24" s="1"/>
  <c r="B209" i="24" s="1"/>
  <c r="D209" i="24" s="1"/>
  <c r="E209" i="24" s="1"/>
  <c r="F209" i="24" s="1"/>
  <c r="Q84" i="24"/>
  <c r="P84" i="24" s="1"/>
  <c r="V84" i="24" s="1"/>
  <c r="B84" i="24" s="1"/>
  <c r="D84" i="24" s="1"/>
  <c r="E84" i="24" s="1"/>
  <c r="F84" i="24" s="1"/>
  <c r="H84" i="24" s="1"/>
  <c r="I84" i="24" s="1"/>
  <c r="Q254" i="24"/>
  <c r="P254" i="24" s="1"/>
  <c r="V254" i="24" s="1"/>
  <c r="B254" i="24" s="1"/>
  <c r="Q243" i="24"/>
  <c r="P243" i="24" s="1"/>
  <c r="V243" i="24" s="1"/>
  <c r="B243" i="24" s="1"/>
  <c r="W243" i="24" s="1"/>
  <c r="Q356" i="24"/>
  <c r="P356" i="24" s="1"/>
  <c r="V356" i="24" s="1"/>
  <c r="B356" i="24" s="1"/>
  <c r="W356" i="24" s="1"/>
  <c r="Q137" i="24"/>
  <c r="P137" i="24" s="1"/>
  <c r="V137" i="24" s="1"/>
  <c r="B137" i="24" s="1"/>
  <c r="D137" i="24" s="1"/>
  <c r="E137" i="24" s="1"/>
  <c r="F137" i="24" s="1"/>
  <c r="G137" i="24" s="1"/>
  <c r="CE137" i="6" s="1"/>
  <c r="Q76" i="24"/>
  <c r="P76" i="24" s="1"/>
  <c r="V76" i="24" s="1"/>
  <c r="B76" i="24" s="1"/>
  <c r="D76" i="24" s="1"/>
  <c r="E76" i="24" s="1"/>
  <c r="F76" i="24" s="1"/>
  <c r="Q357" i="24"/>
  <c r="P357" i="24" s="1"/>
  <c r="V357" i="24" s="1"/>
  <c r="B357" i="24" s="1"/>
  <c r="D357" i="24" s="1"/>
  <c r="E357" i="24" s="1"/>
  <c r="F357" i="24" s="1"/>
  <c r="G357" i="24" s="1"/>
  <c r="CE357" i="6" s="1"/>
  <c r="Q244" i="24"/>
  <c r="P244" i="24" s="1"/>
  <c r="V244" i="24" s="1"/>
  <c r="B244" i="24" s="1"/>
  <c r="W244" i="24" s="1"/>
  <c r="Q129" i="24"/>
  <c r="P129" i="24" s="1"/>
  <c r="V129" i="24" s="1"/>
  <c r="B129" i="24" s="1"/>
  <c r="D129" i="24" s="1"/>
  <c r="E129" i="24" s="1"/>
  <c r="F129" i="24" s="1"/>
  <c r="Q26" i="24"/>
  <c r="P26" i="24" s="1"/>
  <c r="V26" i="24" s="1"/>
  <c r="B26" i="24" s="1"/>
  <c r="D26" i="24" s="1"/>
  <c r="E26" i="24" s="1"/>
  <c r="F26" i="24" s="1"/>
  <c r="G26" i="24" s="1"/>
  <c r="CE26" i="6" s="1"/>
  <c r="Q80" i="24"/>
  <c r="Q294" i="24"/>
  <c r="P294" i="24" s="1"/>
  <c r="V294" i="24" s="1"/>
  <c r="B294" i="24" s="1"/>
  <c r="Q374" i="24"/>
  <c r="P374" i="24" s="1"/>
  <c r="V374" i="24" s="1"/>
  <c r="B374" i="24" s="1"/>
  <c r="D374" i="24" s="1"/>
  <c r="E374" i="24" s="1"/>
  <c r="F374" i="24" s="1"/>
  <c r="G374" i="24" s="1"/>
  <c r="CE374" i="6" s="1"/>
  <c r="Q181" i="24"/>
  <c r="P181" i="24" s="1"/>
  <c r="V181" i="24" s="1"/>
  <c r="B181" i="24" s="1"/>
  <c r="W181" i="24" s="1"/>
  <c r="Q223" i="24"/>
  <c r="P223" i="24" s="1"/>
  <c r="V223" i="24" s="1"/>
  <c r="B223" i="24" s="1"/>
  <c r="Q200" i="24"/>
  <c r="P200" i="24" s="1"/>
  <c r="V200" i="24" s="1"/>
  <c r="B200" i="24" s="1"/>
  <c r="W200" i="24" s="1"/>
  <c r="Q22" i="24"/>
  <c r="P22" i="24" s="1"/>
  <c r="V22" i="24" s="1"/>
  <c r="B22" i="24" s="1"/>
  <c r="W22" i="24" s="1"/>
  <c r="Q145" i="24"/>
  <c r="P145" i="24" s="1"/>
  <c r="V145" i="24" s="1"/>
  <c r="B145" i="24" s="1"/>
  <c r="Q37" i="24"/>
  <c r="P37" i="24" s="1"/>
  <c r="V37" i="24" s="1"/>
  <c r="B37" i="24" s="1"/>
  <c r="D37" i="24" s="1"/>
  <c r="E37" i="24" s="1"/>
  <c r="F37" i="24" s="1"/>
  <c r="Q170" i="24"/>
  <c r="P170" i="24" s="1"/>
  <c r="V170" i="24" s="1"/>
  <c r="B170" i="24" s="1"/>
  <c r="W170" i="24" s="1"/>
  <c r="Q328" i="24"/>
  <c r="P328" i="24" s="1"/>
  <c r="V328" i="24" s="1"/>
  <c r="B328" i="24" s="1"/>
  <c r="W328" i="24" s="1"/>
  <c r="Q265" i="24"/>
  <c r="P265" i="24" s="1"/>
  <c r="V265" i="24" s="1"/>
  <c r="B265" i="24" s="1"/>
  <c r="W265" i="24" s="1"/>
  <c r="Q91" i="24"/>
  <c r="P91" i="24" s="1"/>
  <c r="V91" i="24" s="1"/>
  <c r="B91" i="24" s="1"/>
  <c r="Q278" i="24"/>
  <c r="P278" i="24" s="1"/>
  <c r="V278" i="24" s="1"/>
  <c r="B278" i="24" s="1"/>
  <c r="W278" i="24" s="1"/>
  <c r="Q35" i="24"/>
  <c r="P35" i="24" s="1"/>
  <c r="V35" i="24" s="1"/>
  <c r="B35" i="24" s="1"/>
  <c r="D35" i="24" s="1"/>
  <c r="E35" i="24" s="1"/>
  <c r="F35" i="24" s="1"/>
  <c r="G35" i="24" s="1"/>
  <c r="CE35" i="6" s="1"/>
  <c r="Q279" i="24"/>
  <c r="P279" i="24" s="1"/>
  <c r="V279" i="24" s="1"/>
  <c r="B279" i="24" s="1"/>
  <c r="D279" i="24" s="1"/>
  <c r="E279" i="24" s="1"/>
  <c r="F279" i="24" s="1"/>
  <c r="H279" i="24" s="1"/>
  <c r="Q300" i="24"/>
  <c r="P300" i="24" s="1"/>
  <c r="V300" i="24" s="1"/>
  <c r="B300" i="24" s="1"/>
  <c r="D300" i="24" s="1"/>
  <c r="E300" i="24" s="1"/>
  <c r="F300" i="24" s="1"/>
  <c r="G300" i="24" s="1"/>
  <c r="CE300" i="6" s="1"/>
  <c r="Q377" i="24"/>
  <c r="P377" i="24" s="1"/>
  <c r="V377" i="24" s="1"/>
  <c r="B377" i="24" s="1"/>
  <c r="W377" i="24" s="1"/>
  <c r="Q361" i="24"/>
  <c r="P361" i="24" s="1"/>
  <c r="V361" i="24" s="1"/>
  <c r="B361" i="24" s="1"/>
  <c r="W361" i="24" s="1"/>
  <c r="Q238" i="24"/>
  <c r="P238" i="24" s="1"/>
  <c r="V238" i="24" s="1"/>
  <c r="B238" i="24" s="1"/>
  <c r="D238" i="24" s="1"/>
  <c r="E238" i="24" s="1"/>
  <c r="F238" i="24" s="1"/>
  <c r="H238" i="24" s="1"/>
  <c r="I238" i="24" s="1"/>
  <c r="Q256" i="24"/>
  <c r="P256" i="24" s="1"/>
  <c r="V256" i="24" s="1"/>
  <c r="B256" i="24" s="1"/>
  <c r="W256" i="24" s="1"/>
  <c r="Q166" i="24"/>
  <c r="P166" i="24" s="1"/>
  <c r="V166" i="24" s="1"/>
  <c r="B166" i="24" s="1"/>
  <c r="Q160" i="24"/>
  <c r="P160" i="24" s="1"/>
  <c r="V160" i="24" s="1"/>
  <c r="B160" i="24" s="1"/>
  <c r="D160" i="24" s="1"/>
  <c r="E160" i="24" s="1"/>
  <c r="F160" i="24" s="1"/>
  <c r="H160" i="24" s="1"/>
  <c r="I160" i="24" s="1"/>
  <c r="Q56" i="24"/>
  <c r="P56" i="24" s="1"/>
  <c r="V56" i="24" s="1"/>
  <c r="B56" i="24" s="1"/>
  <c r="W56" i="24" s="1"/>
  <c r="Q16" i="24"/>
  <c r="Q192" i="24"/>
  <c r="P192" i="24" s="1"/>
  <c r="V192" i="24" s="1"/>
  <c r="B192" i="24" s="1"/>
  <c r="D192" i="24" s="1"/>
  <c r="E192" i="24" s="1"/>
  <c r="F192" i="24" s="1"/>
  <c r="G192" i="24" s="1"/>
  <c r="CE192" i="6" s="1"/>
  <c r="Q289" i="24"/>
  <c r="P289" i="24" s="1"/>
  <c r="V289" i="24" s="1"/>
  <c r="B289" i="24" s="1"/>
  <c r="W289" i="24" s="1"/>
  <c r="Q42" i="24"/>
  <c r="P42" i="24" s="1"/>
  <c r="V42" i="24" s="1"/>
  <c r="B42" i="24" s="1"/>
  <c r="Q367" i="24"/>
  <c r="P367" i="24" s="1"/>
  <c r="V367" i="24" s="1"/>
  <c r="B367" i="24" s="1"/>
  <c r="W367" i="24" s="1"/>
  <c r="Q155" i="24"/>
  <c r="P155" i="24" s="1"/>
  <c r="V155" i="24" s="1"/>
  <c r="B155" i="24" s="1"/>
  <c r="W155" i="24" s="1"/>
  <c r="Q304" i="24"/>
  <c r="P304" i="24" s="1"/>
  <c r="V304" i="24" s="1"/>
  <c r="B304" i="24" s="1"/>
  <c r="D304" i="24" s="1"/>
  <c r="E304" i="24" s="1"/>
  <c r="F304" i="24" s="1"/>
  <c r="H304" i="24" s="1"/>
  <c r="I304" i="24" s="1"/>
  <c r="Q27" i="24"/>
  <c r="P27" i="24" s="1"/>
  <c r="V27" i="24" s="1"/>
  <c r="B27" i="24" s="1"/>
  <c r="W27" i="24" s="1"/>
  <c r="Q18" i="24"/>
  <c r="P18" i="24" s="1"/>
  <c r="V18" i="24" s="1"/>
  <c r="B18" i="24" s="1"/>
  <c r="W18" i="24" s="1"/>
  <c r="Q373" i="24"/>
  <c r="P373" i="24" s="1"/>
  <c r="V373" i="24" s="1"/>
  <c r="B373" i="24" s="1"/>
  <c r="D373" i="24" s="1"/>
  <c r="E373" i="24" s="1"/>
  <c r="F373" i="24" s="1"/>
  <c r="Q280" i="24"/>
  <c r="P280" i="24" s="1"/>
  <c r="V280" i="24" s="1"/>
  <c r="B280" i="24" s="1"/>
  <c r="D280" i="24" s="1"/>
  <c r="E280" i="24" s="1"/>
  <c r="F280" i="24" s="1"/>
  <c r="G280" i="24" s="1"/>
  <c r="CE280" i="6" s="1"/>
  <c r="Q92" i="24"/>
  <c r="P92" i="24" s="1"/>
  <c r="V92" i="24" s="1"/>
  <c r="B92" i="24" s="1"/>
  <c r="W92" i="24" s="1"/>
  <c r="Q354" i="24"/>
  <c r="P354" i="24" s="1"/>
  <c r="V354" i="24" s="1"/>
  <c r="B354" i="24" s="1"/>
  <c r="W354" i="24" s="1"/>
  <c r="Q249" i="24"/>
  <c r="P249" i="24" s="1"/>
  <c r="V249" i="24" s="1"/>
  <c r="B249" i="24" s="1"/>
  <c r="W249" i="24" s="1"/>
  <c r="Q117" i="24"/>
  <c r="P117" i="24" s="1"/>
  <c r="V117" i="24" s="1"/>
  <c r="B117" i="24" s="1"/>
  <c r="D117" i="24" s="1"/>
  <c r="E117" i="24" s="1"/>
  <c r="F117" i="24" s="1"/>
  <c r="Q222" i="24"/>
  <c r="P222" i="24" s="1"/>
  <c r="V222" i="24" s="1"/>
  <c r="B222" i="24" s="1"/>
  <c r="Q55" i="24"/>
  <c r="P55" i="24" s="1"/>
  <c r="V55" i="24" s="1"/>
  <c r="B55" i="24" s="1"/>
  <c r="W55" i="24" s="1"/>
  <c r="Q29" i="24"/>
  <c r="Q327" i="24"/>
  <c r="P327" i="24" s="1"/>
  <c r="V327" i="24" s="1"/>
  <c r="B327" i="24" s="1"/>
  <c r="Q90" i="24"/>
  <c r="P90" i="24" s="1"/>
  <c r="V90" i="24" s="1"/>
  <c r="B90" i="24" s="1"/>
  <c r="W90" i="24" s="1"/>
  <c r="Q358" i="24"/>
  <c r="P358" i="24" s="1"/>
  <c r="V358" i="24" s="1"/>
  <c r="B358" i="24" s="1"/>
  <c r="W358" i="24" s="1"/>
  <c r="Q225" i="24"/>
  <c r="P225" i="24" s="1"/>
  <c r="V225" i="24" s="1"/>
  <c r="B225" i="24" s="1"/>
  <c r="D225" i="24" s="1"/>
  <c r="E225" i="24" s="1"/>
  <c r="F225" i="24" s="1"/>
  <c r="G225" i="24" s="1"/>
  <c r="CE225" i="6" s="1"/>
  <c r="Q116" i="24"/>
  <c r="P116" i="24" s="1"/>
  <c r="V116" i="24" s="1"/>
  <c r="B116" i="24" s="1"/>
  <c r="D116" i="24" s="1"/>
  <c r="E116" i="24" s="1"/>
  <c r="F116" i="24" s="1"/>
  <c r="G116" i="24" s="1"/>
  <c r="CE116" i="6" s="1"/>
  <c r="Q321" i="24"/>
  <c r="P321" i="24" s="1"/>
  <c r="V321" i="24" s="1"/>
  <c r="B321" i="24" s="1"/>
  <c r="W321" i="24" s="1"/>
  <c r="Q62" i="24"/>
  <c r="P62" i="24" s="1"/>
  <c r="V62" i="24" s="1"/>
  <c r="B62" i="24" s="1"/>
  <c r="W62" i="24" s="1"/>
  <c r="Q120" i="24"/>
  <c r="P120" i="24" s="1"/>
  <c r="V120" i="24" s="1"/>
  <c r="B120" i="24" s="1"/>
  <c r="W120" i="24" s="1"/>
  <c r="Q57" i="24"/>
  <c r="P57" i="24" s="1"/>
  <c r="V57" i="24" s="1"/>
  <c r="B57" i="24" s="1"/>
  <c r="D57" i="24" s="1"/>
  <c r="E57" i="24" s="1"/>
  <c r="F57" i="24" s="1"/>
  <c r="Q362" i="24"/>
  <c r="P362" i="24" s="1"/>
  <c r="V362" i="24" s="1"/>
  <c r="B362" i="24" s="1"/>
  <c r="Q375" i="24"/>
  <c r="P375" i="24" s="1"/>
  <c r="V375" i="24" s="1"/>
  <c r="B375" i="24" s="1"/>
  <c r="Q237" i="24"/>
  <c r="P237" i="24" s="1"/>
  <c r="V237" i="24" s="1"/>
  <c r="B237" i="24" s="1"/>
  <c r="W237" i="24" s="1"/>
  <c r="Q351" i="24"/>
  <c r="P351" i="24" s="1"/>
  <c r="V351" i="24" s="1"/>
  <c r="B351" i="24" s="1"/>
  <c r="W351" i="24" s="1"/>
  <c r="Q263" i="24"/>
  <c r="Q127" i="24"/>
  <c r="P127" i="24" s="1"/>
  <c r="V127" i="24" s="1"/>
  <c r="B127" i="24" s="1"/>
  <c r="D127" i="24" s="1"/>
  <c r="E127" i="24" s="1"/>
  <c r="F127" i="24" s="1"/>
  <c r="H127" i="24" s="1"/>
  <c r="Q30" i="24"/>
  <c r="P30" i="24" s="1"/>
  <c r="V30" i="24" s="1"/>
  <c r="B30" i="24" s="1"/>
  <c r="D30" i="24" s="1"/>
  <c r="E30" i="24" s="1"/>
  <c r="F30" i="24" s="1"/>
  <c r="Q286" i="24"/>
  <c r="P286" i="24" s="1"/>
  <c r="V286" i="24" s="1"/>
  <c r="B286" i="24" s="1"/>
  <c r="W286" i="24" s="1"/>
  <c r="Q25" i="24"/>
  <c r="P25" i="24" s="1"/>
  <c r="V25" i="24" s="1"/>
  <c r="B25" i="24" s="1"/>
  <c r="D25" i="24" s="1"/>
  <c r="E25" i="24" s="1"/>
  <c r="F25" i="24" s="1"/>
  <c r="G25" i="24" s="1"/>
  <c r="CE25" i="6" s="1"/>
  <c r="Q255" i="24"/>
  <c r="P255" i="24" s="1"/>
  <c r="V255" i="24" s="1"/>
  <c r="B255" i="24" s="1"/>
  <c r="Q70" i="24"/>
  <c r="P70" i="24" s="1"/>
  <c r="V70" i="24" s="1"/>
  <c r="B70" i="24" s="1"/>
  <c r="D70" i="24" s="1"/>
  <c r="E70" i="24" s="1"/>
  <c r="F70" i="24" s="1"/>
  <c r="H70" i="24" s="1"/>
  <c r="I70" i="24" s="1"/>
  <c r="Q100" i="24"/>
  <c r="P100" i="24" s="1"/>
  <c r="V100" i="24" s="1"/>
  <c r="B100" i="24" s="1"/>
  <c r="Q210" i="24"/>
  <c r="P210" i="24" s="1"/>
  <c r="Q247" i="24"/>
  <c r="P247" i="24" s="1"/>
  <c r="V247" i="24" s="1"/>
  <c r="B247" i="24" s="1"/>
  <c r="D247" i="24" s="1"/>
  <c r="E247" i="24" s="1"/>
  <c r="F247" i="24" s="1"/>
  <c r="G247" i="24" s="1"/>
  <c r="CE247" i="6" s="1"/>
  <c r="Q312" i="24"/>
  <c r="P312" i="24" s="1"/>
  <c r="V312" i="24" s="1"/>
  <c r="B312" i="24" s="1"/>
  <c r="D312" i="24" s="1"/>
  <c r="E312" i="24" s="1"/>
  <c r="F312" i="24" s="1"/>
  <c r="H312" i="24" s="1"/>
  <c r="J312" i="24" s="1"/>
  <c r="Q173" i="24"/>
  <c r="P173" i="24" s="1"/>
  <c r="V173" i="24" s="1"/>
  <c r="B173" i="24" s="1"/>
  <c r="D173" i="24" s="1"/>
  <c r="E173" i="24" s="1"/>
  <c r="F173" i="24" s="1"/>
  <c r="Q277" i="24"/>
  <c r="P277" i="24" s="1"/>
  <c r="V277" i="24" s="1"/>
  <c r="B277" i="24" s="1"/>
  <c r="Q366" i="24"/>
  <c r="P366" i="24" s="1"/>
  <c r="V366" i="24" s="1"/>
  <c r="B366" i="24" s="1"/>
  <c r="D366" i="24" s="1"/>
  <c r="E366" i="24" s="1"/>
  <c r="F366" i="24" s="1"/>
  <c r="G366" i="24" s="1"/>
  <c r="CE366" i="6" s="1"/>
  <c r="Q269" i="24"/>
  <c r="P269" i="24" s="1"/>
  <c r="V269" i="24" s="1"/>
  <c r="B269" i="24" s="1"/>
  <c r="D269" i="24" s="1"/>
  <c r="E269" i="24" s="1"/>
  <c r="F269" i="24" s="1"/>
  <c r="G269" i="24" s="1"/>
  <c r="CE269" i="6" s="1"/>
  <c r="Q193" i="24"/>
  <c r="P193" i="24" s="1"/>
  <c r="V193" i="24" s="1"/>
  <c r="B193" i="24" s="1"/>
  <c r="Q309" i="24"/>
  <c r="P309" i="24" s="1"/>
  <c r="V309" i="24" s="1"/>
  <c r="B309" i="24" s="1"/>
  <c r="Q133" i="24"/>
  <c r="P133" i="24" s="1"/>
  <c r="V133" i="24" s="1"/>
  <c r="B133" i="24" s="1"/>
  <c r="D133" i="24" s="1"/>
  <c r="E133" i="24" s="1"/>
  <c r="F133" i="24" s="1"/>
  <c r="Q144" i="24"/>
  <c r="P144" i="24" s="1"/>
  <c r="V144" i="24" s="1"/>
  <c r="B144" i="24" s="1"/>
  <c r="Q250" i="24"/>
  <c r="P250" i="24" s="1"/>
  <c r="V250" i="24" s="1"/>
  <c r="B250" i="24" s="1"/>
  <c r="D250" i="24" s="1"/>
  <c r="E250" i="24" s="1"/>
  <c r="F250" i="24" s="1"/>
  <c r="H250" i="24" s="1"/>
  <c r="J250" i="24" s="1"/>
  <c r="Q355" i="24"/>
  <c r="P355" i="24" s="1"/>
  <c r="V355" i="24" s="1"/>
  <c r="B355" i="24" s="1"/>
  <c r="D355" i="24" s="1"/>
  <c r="E355" i="24" s="1"/>
  <c r="F355" i="24" s="1"/>
  <c r="G355" i="24" s="1"/>
  <c r="CE355" i="6" s="1"/>
  <c r="Q326" i="24"/>
  <c r="P326" i="24" s="1"/>
  <c r="V326" i="24" s="1"/>
  <c r="B326" i="24" s="1"/>
  <c r="W326" i="24" s="1"/>
  <c r="Q202" i="24"/>
  <c r="P202" i="24" s="1"/>
  <c r="V202" i="24" s="1"/>
  <c r="B202" i="24" s="1"/>
  <c r="Q271" i="24"/>
  <c r="P271" i="24" s="1"/>
  <c r="V271" i="24" s="1"/>
  <c r="B271" i="24" s="1"/>
  <c r="W271" i="24" s="1"/>
  <c r="Q156" i="24"/>
  <c r="P156" i="24" s="1"/>
  <c r="V156" i="24" s="1"/>
  <c r="B156" i="24" s="1"/>
  <c r="D156" i="24" s="1"/>
  <c r="E156" i="24" s="1"/>
  <c r="F156" i="24" s="1"/>
  <c r="G156" i="24" s="1"/>
  <c r="CE156" i="6" s="1"/>
  <c r="Q253" i="24"/>
  <c r="P253" i="24" s="1"/>
  <c r="V253" i="24" s="1"/>
  <c r="B253" i="24" s="1"/>
  <c r="D253" i="24" s="1"/>
  <c r="E253" i="24" s="1"/>
  <c r="F253" i="24" s="1"/>
  <c r="Q194" i="24"/>
  <c r="P194" i="24" s="1"/>
  <c r="V194" i="24" s="1"/>
  <c r="B194" i="24" s="1"/>
  <c r="D194" i="24" s="1"/>
  <c r="E194" i="24" s="1"/>
  <c r="F194" i="24" s="1"/>
  <c r="Q157" i="24"/>
  <c r="P157" i="24" s="1"/>
  <c r="V157" i="24" s="1"/>
  <c r="B157" i="24" s="1"/>
  <c r="W157" i="24" s="1"/>
  <c r="Q315" i="24"/>
  <c r="P315" i="24" s="1"/>
  <c r="V315" i="24" s="1"/>
  <c r="B315" i="24" s="1"/>
  <c r="Q376" i="24"/>
  <c r="P376" i="24" s="1"/>
  <c r="V376" i="24" s="1"/>
  <c r="B376" i="24" s="1"/>
  <c r="W376" i="24" s="1"/>
  <c r="Q198" i="24"/>
  <c r="P198" i="24" s="1"/>
  <c r="V198" i="24" s="1"/>
  <c r="B198" i="24" s="1"/>
  <c r="W198" i="24" s="1"/>
  <c r="Q46" i="24"/>
  <c r="P46" i="24" s="1"/>
  <c r="V46" i="24" s="1"/>
  <c r="Q251" i="24"/>
  <c r="P251" i="24" s="1"/>
  <c r="V251" i="24" s="1"/>
  <c r="B251" i="24" s="1"/>
  <c r="W251" i="24" s="1"/>
  <c r="Q66" i="24"/>
  <c r="Q111" i="24"/>
  <c r="P111" i="24" s="1"/>
  <c r="V111" i="24" s="1"/>
  <c r="B111" i="24" s="1"/>
  <c r="D111" i="24" s="1"/>
  <c r="E111" i="24" s="1"/>
  <c r="F111" i="24" s="1"/>
  <c r="Q182" i="24"/>
  <c r="P182" i="24" s="1"/>
  <c r="V182" i="24" s="1"/>
  <c r="B182" i="24" s="1"/>
  <c r="Q95" i="24"/>
  <c r="P95" i="24" s="1"/>
  <c r="V95" i="24" s="1"/>
  <c r="B95" i="24" s="1"/>
  <c r="D95" i="24" s="1"/>
  <c r="E95" i="24" s="1"/>
  <c r="F95" i="24" s="1"/>
  <c r="H95" i="24" s="1"/>
  <c r="I95" i="24" s="1"/>
  <c r="Q214" i="24"/>
  <c r="P214" i="24" s="1"/>
  <c r="V214" i="24" s="1"/>
  <c r="B214" i="24" s="1"/>
  <c r="D214" i="24" s="1"/>
  <c r="E214" i="24" s="1"/>
  <c r="F214" i="24" s="1"/>
  <c r="G214" i="24" s="1"/>
  <c r="CE214" i="6" s="1"/>
  <c r="Q221" i="24"/>
  <c r="P221" i="24" s="1"/>
  <c r="V221" i="24" s="1"/>
  <c r="B221" i="24" s="1"/>
  <c r="D221" i="24" s="1"/>
  <c r="E221" i="24" s="1"/>
  <c r="F221" i="24" s="1"/>
  <c r="Q65" i="24"/>
  <c r="P65" i="24" s="1"/>
  <c r="V65" i="24" s="1"/>
  <c r="B65" i="24" s="1"/>
  <c r="W65" i="24" s="1"/>
  <c r="Q205" i="24"/>
  <c r="P205" i="24" s="1"/>
  <c r="V205" i="24" s="1"/>
  <c r="B205" i="24" s="1"/>
  <c r="W205" i="24" s="1"/>
  <c r="Q107" i="24"/>
  <c r="P107" i="24" s="1"/>
  <c r="V107" i="24" s="1"/>
  <c r="B107" i="24" s="1"/>
  <c r="W107" i="24" s="1"/>
  <c r="Q132" i="24"/>
  <c r="P132" i="24" s="1"/>
  <c r="V132" i="24" s="1"/>
  <c r="B132" i="24" s="1"/>
  <c r="W132" i="24" s="1"/>
  <c r="Q320" i="24"/>
  <c r="P320" i="24" s="1"/>
  <c r="V320" i="24" s="1"/>
  <c r="B320" i="24" s="1"/>
  <c r="Q174" i="24"/>
  <c r="P174" i="24" s="1"/>
  <c r="V174" i="24" s="1"/>
  <c r="B174" i="24" s="1"/>
  <c r="D174" i="24" s="1"/>
  <c r="E174" i="24" s="1"/>
  <c r="F174" i="24" s="1"/>
  <c r="G174" i="24" s="1"/>
  <c r="CE174" i="6" s="1"/>
  <c r="Q28" i="24"/>
  <c r="P28" i="24" s="1"/>
  <c r="V28" i="24" s="1"/>
  <c r="B28" i="24" s="1"/>
  <c r="D28" i="24" s="1"/>
  <c r="E28" i="24" s="1"/>
  <c r="F28" i="24" s="1"/>
  <c r="G28" i="24" s="1"/>
  <c r="CE28" i="6" s="1"/>
  <c r="Q176" i="24"/>
  <c r="P176" i="24" s="1"/>
  <c r="V176" i="24" s="1"/>
  <c r="B176" i="24" s="1"/>
  <c r="W176" i="24" s="1"/>
  <c r="Q275" i="24"/>
  <c r="P275" i="24" s="1"/>
  <c r="V275" i="24" s="1"/>
  <c r="B275" i="24" s="1"/>
  <c r="D275" i="24" s="1"/>
  <c r="E275" i="24" s="1"/>
  <c r="F275" i="24" s="1"/>
  <c r="G275" i="24" s="1"/>
  <c r="CE275" i="6" s="1"/>
  <c r="Q299" i="24"/>
  <c r="P299" i="24" s="1"/>
  <c r="V299" i="24" s="1"/>
  <c r="B299" i="24" s="1"/>
  <c r="D299" i="24" s="1"/>
  <c r="E299" i="24" s="1"/>
  <c r="F299" i="24" s="1"/>
  <c r="H299" i="24" s="1"/>
  <c r="I299" i="24" s="1"/>
  <c r="Q334" i="24"/>
  <c r="P334" i="24" s="1"/>
  <c r="V334" i="24" s="1"/>
  <c r="B334" i="24" s="1"/>
  <c r="D334" i="24" s="1"/>
  <c r="E334" i="24" s="1"/>
  <c r="F334" i="24" s="1"/>
  <c r="G334" i="24" s="1"/>
  <c r="CE334" i="6" s="1"/>
  <c r="Q348" i="24"/>
  <c r="P348" i="24" s="1"/>
  <c r="V348" i="24" s="1"/>
  <c r="B348" i="24" s="1"/>
  <c r="Q276" i="24"/>
  <c r="P276" i="24" s="1"/>
  <c r="V276" i="24" s="1"/>
  <c r="B276" i="24" s="1"/>
  <c r="Q163" i="24"/>
  <c r="P163" i="24" s="1"/>
  <c r="V163" i="24" s="1"/>
  <c r="B163" i="24" s="1"/>
  <c r="D163" i="24" s="1"/>
  <c r="E163" i="24" s="1"/>
  <c r="F163" i="24" s="1"/>
  <c r="Q259" i="24"/>
  <c r="P259" i="24" s="1"/>
  <c r="V259" i="24" s="1"/>
  <c r="B259" i="24" s="1"/>
  <c r="W259" i="24" s="1"/>
  <c r="Q38" i="24"/>
  <c r="P38" i="24" s="1"/>
  <c r="V38" i="24" s="1"/>
  <c r="B38" i="24" s="1"/>
  <c r="D38" i="24" s="1"/>
  <c r="E38" i="24" s="1"/>
  <c r="F38" i="24" s="1"/>
  <c r="G38" i="24" s="1"/>
  <c r="CE38" i="6" s="1"/>
  <c r="Q285" i="24"/>
  <c r="P285" i="24" s="1"/>
  <c r="V285" i="24" s="1"/>
  <c r="B285" i="24" s="1"/>
  <c r="Q319" i="24"/>
  <c r="P319" i="24" s="1"/>
  <c r="V319" i="24" s="1"/>
  <c r="B319" i="24" s="1"/>
  <c r="D319" i="24" s="1"/>
  <c r="E319" i="24" s="1"/>
  <c r="F319" i="24" s="1"/>
  <c r="G319" i="24" s="1"/>
  <c r="CE319" i="6" s="1"/>
  <c r="Q239" i="24"/>
  <c r="P239" i="24" s="1"/>
  <c r="V239" i="24" s="1"/>
  <c r="Q227" i="24"/>
  <c r="P227" i="24" s="1"/>
  <c r="V227" i="24" s="1"/>
  <c r="B227" i="24" s="1"/>
  <c r="D227" i="24" s="1"/>
  <c r="E227" i="24" s="1"/>
  <c r="F227" i="24" s="1"/>
  <c r="G227" i="24" s="1"/>
  <c r="CE227" i="6" s="1"/>
  <c r="Q248" i="24"/>
  <c r="P248" i="24" s="1"/>
  <c r="V248" i="24" s="1"/>
  <c r="B248" i="24" s="1"/>
  <c r="W248" i="24" s="1"/>
  <c r="Q113" i="24"/>
  <c r="P113" i="24" s="1"/>
  <c r="V113" i="24" s="1"/>
  <c r="B113" i="24" s="1"/>
  <c r="W113" i="24" s="1"/>
  <c r="Q185" i="24"/>
  <c r="P185" i="24" s="1"/>
  <c r="V185" i="24" s="1"/>
  <c r="B185" i="24" s="1"/>
  <c r="W185" i="24" s="1"/>
  <c r="Q345" i="24"/>
  <c r="P345" i="24" s="1"/>
  <c r="V345" i="24" s="1"/>
  <c r="B345" i="24" s="1"/>
  <c r="W345" i="24" s="1"/>
  <c r="Q313" i="24"/>
  <c r="P313" i="24" s="1"/>
  <c r="V313" i="24" s="1"/>
  <c r="B313" i="24" s="1"/>
  <c r="Q306" i="24"/>
  <c r="P306" i="24" s="1"/>
  <c r="V306" i="24" s="1"/>
  <c r="B306" i="24" s="1"/>
  <c r="Q232" i="24"/>
  <c r="P232" i="24" s="1"/>
  <c r="V232" i="24" s="1"/>
  <c r="B232" i="24" s="1"/>
  <c r="W232" i="24" s="1"/>
  <c r="Q350" i="24"/>
  <c r="P350" i="24" s="1"/>
  <c r="V350" i="24" s="1"/>
  <c r="B350" i="24" s="1"/>
  <c r="D350" i="24" s="1"/>
  <c r="E350" i="24" s="1"/>
  <c r="F350" i="24" s="1"/>
  <c r="Q106" i="24"/>
  <c r="P106" i="24" s="1"/>
  <c r="V106" i="24" s="1"/>
  <c r="B106" i="24" s="1"/>
  <c r="W106" i="24" s="1"/>
  <c r="Q54" i="24"/>
  <c r="P54" i="24" s="1"/>
  <c r="V54" i="24" s="1"/>
  <c r="B54" i="24" s="1"/>
  <c r="D54" i="24" s="1"/>
  <c r="E54" i="24" s="1"/>
  <c r="F54" i="24" s="1"/>
  <c r="G54" i="24" s="1"/>
  <c r="CE54" i="6" s="1"/>
  <c r="Q206" i="24"/>
  <c r="P206" i="24" s="1"/>
  <c r="V206" i="24" s="1"/>
  <c r="B206" i="24" s="1"/>
  <c r="W206" i="24" s="1"/>
  <c r="Q110" i="24"/>
  <c r="P110" i="24" s="1"/>
  <c r="V110" i="24" s="1"/>
  <c r="B110" i="24" s="1"/>
  <c r="D110" i="24" s="1"/>
  <c r="E110" i="24" s="1"/>
  <c r="F110" i="24" s="1"/>
  <c r="Q268" i="24"/>
  <c r="P268" i="24" s="1"/>
  <c r="V268" i="24" s="1"/>
  <c r="B268" i="24" s="1"/>
  <c r="D268" i="24" s="1"/>
  <c r="E268" i="24" s="1"/>
  <c r="F268" i="24" s="1"/>
  <c r="G268" i="24" s="1"/>
  <c r="CE268" i="6" s="1"/>
  <c r="Q305" i="24"/>
  <c r="P305" i="24" s="1"/>
  <c r="V305" i="24" s="1"/>
  <c r="B305" i="24" s="1"/>
  <c r="Q141" i="24"/>
  <c r="P141" i="24" s="1"/>
  <c r="V141" i="24" s="1"/>
  <c r="B141" i="24" s="1"/>
  <c r="D141" i="24" s="1"/>
  <c r="E141" i="24" s="1"/>
  <c r="F141" i="24" s="1"/>
  <c r="Q331" i="24"/>
  <c r="P331" i="24" s="1"/>
  <c r="V331" i="24" s="1"/>
  <c r="B331" i="24" s="1"/>
  <c r="D331" i="24" s="1"/>
  <c r="E331" i="24" s="1"/>
  <c r="F331" i="24" s="1"/>
  <c r="H331" i="24" s="1"/>
  <c r="I331" i="24" s="1"/>
  <c r="Q77" i="24"/>
  <c r="P77" i="24" s="1"/>
  <c r="V77" i="24" s="1"/>
  <c r="B77" i="24" s="1"/>
  <c r="Q212" i="24"/>
  <c r="P212" i="24" s="1"/>
  <c r="V212" i="24" s="1"/>
  <c r="B212" i="24" s="1"/>
  <c r="Q370" i="24"/>
  <c r="P370" i="24" s="1"/>
  <c r="V370" i="24" s="1"/>
  <c r="B370" i="24" s="1"/>
  <c r="Q68" i="24"/>
  <c r="P68" i="24" s="1"/>
  <c r="V68" i="24" s="1"/>
  <c r="B68" i="24" s="1"/>
  <c r="W68" i="24" s="1"/>
  <c r="Q234" i="24"/>
  <c r="P234" i="24" s="1"/>
  <c r="V234" i="24" s="1"/>
  <c r="B234" i="24" s="1"/>
  <c r="W234" i="24" s="1"/>
  <c r="Q67" i="24"/>
  <c r="P67" i="24" s="1"/>
  <c r="V67" i="24" s="1"/>
  <c r="B67" i="24" s="1"/>
  <c r="Q115" i="24"/>
  <c r="P115" i="24" s="1"/>
  <c r="V115" i="24" s="1"/>
  <c r="B115" i="24" s="1"/>
  <c r="W115" i="24" s="1"/>
  <c r="Q333" i="24"/>
  <c r="P333" i="24" s="1"/>
  <c r="AH66" i="7" s="1"/>
  <c r="Q337" i="24"/>
  <c r="P337" i="24" s="1"/>
  <c r="V337" i="24" s="1"/>
  <c r="B337" i="24" s="1"/>
  <c r="D337" i="24" s="1"/>
  <c r="E337" i="24" s="1"/>
  <c r="F337" i="24" s="1"/>
  <c r="G337" i="24" s="1"/>
  <c r="CE337" i="6" s="1"/>
  <c r="Q283" i="24"/>
  <c r="P283" i="24" s="1"/>
  <c r="V283" i="24" s="1"/>
  <c r="B283" i="24" s="1"/>
  <c r="Q150" i="24"/>
  <c r="P150" i="24" s="1"/>
  <c r="V150" i="24" s="1"/>
  <c r="B150" i="24" s="1"/>
  <c r="D150" i="24" s="1"/>
  <c r="E150" i="24" s="1"/>
  <c r="F150" i="24" s="1"/>
  <c r="Q372" i="24"/>
  <c r="P372" i="24" s="1"/>
  <c r="V372" i="24" s="1"/>
  <c r="B372" i="24" s="1"/>
  <c r="Q322" i="24"/>
  <c r="P322" i="24" s="1"/>
  <c r="V322" i="24" s="1"/>
  <c r="B322" i="24" s="1"/>
  <c r="D322" i="24" s="1"/>
  <c r="E322" i="24" s="1"/>
  <c r="F322" i="24" s="1"/>
  <c r="Q346" i="24"/>
  <c r="P346" i="24" s="1"/>
  <c r="V346" i="24" s="1"/>
  <c r="B346" i="24" s="1"/>
  <c r="Q147" i="24"/>
  <c r="P147" i="24" s="1"/>
  <c r="V147" i="24" s="1"/>
  <c r="B147" i="24" s="1"/>
  <c r="W147" i="24" s="1"/>
  <c r="Q211" i="24"/>
  <c r="P211" i="24" s="1"/>
  <c r="V211" i="24" s="1"/>
  <c r="B211" i="24" s="1"/>
  <c r="Q342" i="24"/>
  <c r="P342" i="24" s="1"/>
  <c r="V342" i="24" s="1"/>
  <c r="B342" i="24" s="1"/>
  <c r="D342" i="24" s="1"/>
  <c r="E342" i="24" s="1"/>
  <c r="F342" i="24" s="1"/>
  <c r="H342" i="24" s="1"/>
  <c r="I342" i="24" s="1"/>
  <c r="Q86" i="24"/>
  <c r="P86" i="24" s="1"/>
  <c r="V86" i="24" s="1"/>
  <c r="B86" i="24" s="1"/>
  <c r="D86" i="24" s="1"/>
  <c r="E86" i="24" s="1"/>
  <c r="F86" i="24" s="1"/>
  <c r="G86" i="24" s="1"/>
  <c r="CE86" i="6" s="1"/>
  <c r="Q296" i="24"/>
  <c r="P296" i="24" s="1"/>
  <c r="V296" i="24" s="1"/>
  <c r="B296" i="24" s="1"/>
  <c r="W296" i="24" s="1"/>
  <c r="Q161" i="24"/>
  <c r="P161" i="24" s="1"/>
  <c r="V161" i="24" s="1"/>
  <c r="B161" i="24" s="1"/>
  <c r="D161" i="24" s="1"/>
  <c r="E161" i="24" s="1"/>
  <c r="F161" i="24" s="1"/>
  <c r="Q81" i="24"/>
  <c r="P81" i="24" s="1"/>
  <c r="V81" i="24" s="1"/>
  <c r="B81" i="24" s="1"/>
  <c r="Q48" i="24"/>
  <c r="P48" i="24" s="1"/>
  <c r="V48" i="24" s="1"/>
  <c r="B48" i="24" s="1"/>
  <c r="Q93" i="24"/>
  <c r="P93" i="24" s="1"/>
  <c r="V93" i="24" s="1"/>
  <c r="B93" i="24" s="1"/>
  <c r="D93" i="24" s="1"/>
  <c r="E93" i="24" s="1"/>
  <c r="F93" i="24" s="1"/>
  <c r="Q165" i="24"/>
  <c r="P165" i="24" s="1"/>
  <c r="V165" i="24" s="1"/>
  <c r="B165" i="24" s="1"/>
  <c r="W165" i="24" s="1"/>
  <c r="Q149" i="24"/>
  <c r="P149" i="24" s="1"/>
  <c r="AH60" i="7" s="1"/>
  <c r="Q103" i="24"/>
  <c r="P103" i="24" s="1"/>
  <c r="V103" i="24" s="1"/>
  <c r="B103" i="24" s="1"/>
  <c r="D103" i="24" s="1"/>
  <c r="E103" i="24" s="1"/>
  <c r="F103" i="24" s="1"/>
  <c r="G103" i="24" s="1"/>
  <c r="CE103" i="6" s="1"/>
  <c r="Q167" i="24"/>
  <c r="P167" i="24" s="1"/>
  <c r="V167" i="24" s="1"/>
  <c r="Q20" i="24"/>
  <c r="P20" i="24" s="1"/>
  <c r="V20" i="24" s="1"/>
  <c r="Q119" i="24"/>
  <c r="P119" i="24" s="1"/>
  <c r="AH59" i="7" s="1"/>
  <c r="Q260" i="24"/>
  <c r="P260" i="24" s="1"/>
  <c r="V260" i="24" s="1"/>
  <c r="B260" i="24" s="1"/>
  <c r="D260" i="24" s="1"/>
  <c r="E260" i="24" s="1"/>
  <c r="F260" i="24" s="1"/>
  <c r="H260" i="24" s="1"/>
  <c r="I260" i="24" s="1"/>
  <c r="Q347" i="24"/>
  <c r="P347" i="24" s="1"/>
  <c r="V347" i="24" s="1"/>
  <c r="B347" i="24" s="1"/>
  <c r="S263" i="24"/>
  <c r="R263" i="24" s="1"/>
  <c r="P263" i="24" s="1"/>
  <c r="V263" i="24" s="1"/>
  <c r="B263" i="24" s="1"/>
  <c r="S16" i="24"/>
  <c r="R16" i="24" s="1"/>
  <c r="P16" i="24" s="1"/>
  <c r="V16" i="24" s="1"/>
  <c r="B16" i="24" s="1"/>
  <c r="S87" i="24"/>
  <c r="R87" i="24" s="1"/>
  <c r="S80" i="24"/>
  <c r="R80" i="24" s="1"/>
  <c r="P80" i="24" s="1"/>
  <c r="V80" i="24" s="1"/>
  <c r="S159" i="24"/>
  <c r="R159" i="24" s="1"/>
  <c r="S112" i="24"/>
  <c r="R112" i="24" s="1"/>
  <c r="P29" i="24"/>
  <c r="P66" i="24"/>
  <c r="V66" i="24" s="1"/>
  <c r="B66" i="24" s="1"/>
  <c r="I333" i="23"/>
  <c r="U383" i="24"/>
  <c r="Q169" i="24"/>
  <c r="P169" i="24" s="1"/>
  <c r="V169" i="24" s="1"/>
  <c r="B169" i="24" s="1"/>
  <c r="D169" i="24" s="1"/>
  <c r="E169" i="24" s="1"/>
  <c r="F169" i="24" s="1"/>
  <c r="Q53" i="24"/>
  <c r="P53" i="24" s="1"/>
  <c r="V53" i="24" s="1"/>
  <c r="B53" i="24" s="1"/>
  <c r="W53" i="24" s="1"/>
  <c r="Q126" i="24"/>
  <c r="P126" i="24" s="1"/>
  <c r="V126" i="24" s="1"/>
  <c r="B126" i="24" s="1"/>
  <c r="Q349" i="24"/>
  <c r="P349" i="24" s="1"/>
  <c r="V349" i="24" s="1"/>
  <c r="B349" i="24" s="1"/>
  <c r="D349" i="24" s="1"/>
  <c r="E349" i="24" s="1"/>
  <c r="F349" i="24" s="1"/>
  <c r="G349" i="24" s="1"/>
  <c r="CE349" i="6" s="1"/>
  <c r="Q34" i="24"/>
  <c r="P34" i="24" s="1"/>
  <c r="V34" i="24" s="1"/>
  <c r="B34" i="24" s="1"/>
  <c r="Q73" i="24"/>
  <c r="P73" i="24" s="1"/>
  <c r="V73" i="24" s="1"/>
  <c r="B73" i="24" s="1"/>
  <c r="W73" i="24" s="1"/>
  <c r="Q32" i="24"/>
  <c r="P32" i="24" s="1"/>
  <c r="V32" i="24" s="1"/>
  <c r="B32" i="24" s="1"/>
  <c r="W32" i="24" s="1"/>
  <c r="Q236" i="24"/>
  <c r="P236" i="24" s="1"/>
  <c r="V236" i="24" s="1"/>
  <c r="B236" i="24" s="1"/>
  <c r="D236" i="24" s="1"/>
  <c r="E236" i="24" s="1"/>
  <c r="F236" i="24" s="1"/>
  <c r="Q19" i="24"/>
  <c r="Q295" i="24"/>
  <c r="P295" i="24" s="1"/>
  <c r="V295" i="24" s="1"/>
  <c r="B295" i="24" s="1"/>
  <c r="W295" i="24" s="1"/>
  <c r="Q47" i="24"/>
  <c r="P47" i="24" s="1"/>
  <c r="V47" i="24" s="1"/>
  <c r="B47" i="24" s="1"/>
  <c r="Q324" i="24"/>
  <c r="P324" i="24" s="1"/>
  <c r="V324" i="24" s="1"/>
  <c r="B324" i="24" s="1"/>
  <c r="D324" i="24" s="1"/>
  <c r="E324" i="24" s="1"/>
  <c r="F324" i="24" s="1"/>
  <c r="G324" i="24" s="1"/>
  <c r="CE324" i="6" s="1"/>
  <c r="Q130" i="24"/>
  <c r="P130" i="24" s="1"/>
  <c r="V130" i="24" s="1"/>
  <c r="B130" i="24" s="1"/>
  <c r="Q15" i="24"/>
  <c r="Q50" i="24"/>
  <c r="P50" i="24" s="1"/>
  <c r="V50" i="24" s="1"/>
  <c r="B50" i="24" s="1"/>
  <c r="W50" i="24" s="1"/>
  <c r="Q154" i="24"/>
  <c r="P154" i="24" s="1"/>
  <c r="V154" i="24" s="1"/>
  <c r="B154" i="24" s="1"/>
  <c r="W154" i="24" s="1"/>
  <c r="Q197" i="24"/>
  <c r="P197" i="24" s="1"/>
  <c r="V197" i="24" s="1"/>
  <c r="B197" i="24" s="1"/>
  <c r="Q298" i="24"/>
  <c r="P298" i="24" s="1"/>
  <c r="V298" i="24" s="1"/>
  <c r="B298" i="24" s="1"/>
  <c r="D298" i="24" s="1"/>
  <c r="E298" i="24" s="1"/>
  <c r="F298" i="24" s="1"/>
  <c r="G298" i="24" s="1"/>
  <c r="CE298" i="6" s="1"/>
  <c r="Q43" i="24"/>
  <c r="P43" i="24" s="1"/>
  <c r="V43" i="24" s="1"/>
  <c r="B43" i="24" s="1"/>
  <c r="Q159" i="24"/>
  <c r="Q335" i="24"/>
  <c r="P335" i="24" s="1"/>
  <c r="V335" i="24" s="1"/>
  <c r="B335" i="24" s="1"/>
  <c r="Q151" i="24"/>
  <c r="P151" i="24" s="1"/>
  <c r="V151" i="24" s="1"/>
  <c r="B151" i="24" s="1"/>
  <c r="D151" i="24" s="1"/>
  <c r="E151" i="24" s="1"/>
  <c r="F151" i="24" s="1"/>
  <c r="Q162" i="24"/>
  <c r="P162" i="24" s="1"/>
  <c r="V162" i="24" s="1"/>
  <c r="B162" i="24" s="1"/>
  <c r="Q219" i="24"/>
  <c r="P219" i="24" s="1"/>
  <c r="V219" i="24" s="1"/>
  <c r="B219" i="24" s="1"/>
  <c r="W219" i="24" s="1"/>
  <c r="Q288" i="24"/>
  <c r="P288" i="24" s="1"/>
  <c r="V288" i="24" s="1"/>
  <c r="B288" i="24" s="1"/>
  <c r="Q302" i="24"/>
  <c r="P302" i="24" s="1"/>
  <c r="AH65" i="7" s="1"/>
  <c r="Q369" i="24"/>
  <c r="P369" i="24" s="1"/>
  <c r="V369" i="24" s="1"/>
  <c r="B369" i="24" s="1"/>
  <c r="Q33" i="24"/>
  <c r="P33" i="24" s="1"/>
  <c r="V33" i="24" s="1"/>
  <c r="B33" i="24" s="1"/>
  <c r="W33" i="24" s="1"/>
  <c r="Q74" i="24"/>
  <c r="P74" i="24" s="1"/>
  <c r="V74" i="24" s="1"/>
  <c r="B74" i="24" s="1"/>
  <c r="Q142" i="24"/>
  <c r="P142" i="24" s="1"/>
  <c r="V142" i="24" s="1"/>
  <c r="B142" i="24" s="1"/>
  <c r="D142" i="24" s="1"/>
  <c r="E142" i="24" s="1"/>
  <c r="F142" i="24" s="1"/>
  <c r="G142" i="24" s="1"/>
  <c r="CE142" i="6" s="1"/>
  <c r="Q229" i="24"/>
  <c r="P229" i="24" s="1"/>
  <c r="V229" i="24" s="1"/>
  <c r="B229" i="24" s="1"/>
  <c r="Q114" i="24"/>
  <c r="P114" i="24" s="1"/>
  <c r="V114" i="24" s="1"/>
  <c r="B114" i="24" s="1"/>
  <c r="Q216" i="24"/>
  <c r="P216" i="24" s="1"/>
  <c r="V216" i="24" s="1"/>
  <c r="B216" i="24" s="1"/>
  <c r="D216" i="24" s="1"/>
  <c r="E216" i="24" s="1"/>
  <c r="F216" i="24" s="1"/>
  <c r="Q31" i="24"/>
  <c r="P31" i="24" s="1"/>
  <c r="V31" i="24" s="1"/>
  <c r="B31" i="24" s="1"/>
  <c r="W31" i="24" s="1"/>
  <c r="Q23" i="24"/>
  <c r="P23" i="24" s="1"/>
  <c r="V23" i="24" s="1"/>
  <c r="B23" i="24" s="1"/>
  <c r="D23" i="24" s="1"/>
  <c r="E23" i="24" s="1"/>
  <c r="F23" i="24" s="1"/>
  <c r="G23" i="24" s="1"/>
  <c r="CE23" i="6" s="1"/>
  <c r="Q329" i="24"/>
  <c r="P329" i="24" s="1"/>
  <c r="V329" i="24" s="1"/>
  <c r="B329" i="24" s="1"/>
  <c r="D329" i="24" s="1"/>
  <c r="E329" i="24" s="1"/>
  <c r="F329" i="24" s="1"/>
  <c r="Q82" i="24"/>
  <c r="P82" i="24" s="1"/>
  <c r="V82" i="24" s="1"/>
  <c r="B82" i="24" s="1"/>
  <c r="Q218" i="24"/>
  <c r="Q208" i="24"/>
  <c r="P208" i="24" s="1"/>
  <c r="V208" i="24" s="1"/>
  <c r="B208" i="24" s="1"/>
  <c r="Q207" i="24"/>
  <c r="P207" i="24" s="1"/>
  <c r="V207" i="24" s="1"/>
  <c r="B207" i="24" s="1"/>
  <c r="D207" i="24" s="1"/>
  <c r="E207" i="24" s="1"/>
  <c r="F207" i="24" s="1"/>
  <c r="Q87" i="24"/>
  <c r="Q60" i="24"/>
  <c r="P60" i="24" s="1"/>
  <c r="V60" i="24" s="1"/>
  <c r="B60" i="24" s="1"/>
  <c r="D60" i="24" s="1"/>
  <c r="E60" i="24" s="1"/>
  <c r="F60" i="24" s="1"/>
  <c r="G60" i="24" s="1"/>
  <c r="CE60" i="6" s="1"/>
  <c r="Q274" i="24"/>
  <c r="P274" i="24" s="1"/>
  <c r="V274" i="24" s="1"/>
  <c r="B274" i="24" s="1"/>
  <c r="W274" i="24" s="1"/>
  <c r="Q175" i="24"/>
  <c r="P175" i="24" s="1"/>
  <c r="V175" i="24" s="1"/>
  <c r="B175" i="24" s="1"/>
  <c r="D175" i="24" s="1"/>
  <c r="E175" i="24" s="1"/>
  <c r="F175" i="24" s="1"/>
  <c r="G175" i="24" s="1"/>
  <c r="CE175" i="6" s="1"/>
  <c r="Q323" i="24"/>
  <c r="P323" i="24" s="1"/>
  <c r="V323" i="24" s="1"/>
  <c r="B323" i="24" s="1"/>
  <c r="Q75" i="24"/>
  <c r="P75" i="24" s="1"/>
  <c r="V75" i="24" s="1"/>
  <c r="B75" i="24" s="1"/>
  <c r="D75" i="24" s="1"/>
  <c r="E75" i="24" s="1"/>
  <c r="F75" i="24" s="1"/>
  <c r="Q89" i="24"/>
  <c r="P89" i="24" s="1"/>
  <c r="V89" i="24" s="1"/>
  <c r="B89" i="24" s="1"/>
  <c r="D89" i="24" s="1"/>
  <c r="E89" i="24" s="1"/>
  <c r="F89" i="24" s="1"/>
  <c r="G89" i="24" s="1"/>
  <c r="CE89" i="6" s="1"/>
  <c r="Q123" i="24"/>
  <c r="P123" i="24" s="1"/>
  <c r="V123" i="24" s="1"/>
  <c r="B123" i="24" s="1"/>
  <c r="W123" i="24" s="1"/>
  <c r="Q203" i="24"/>
  <c r="P203" i="24" s="1"/>
  <c r="V203" i="24" s="1"/>
  <c r="B203" i="24" s="1"/>
  <c r="D203" i="24" s="1"/>
  <c r="E203" i="24" s="1"/>
  <c r="F203" i="24" s="1"/>
  <c r="G203" i="24" s="1"/>
  <c r="CE203" i="6" s="1"/>
  <c r="Q310" i="24"/>
  <c r="P310" i="24" s="1"/>
  <c r="V310" i="24" s="1"/>
  <c r="B310" i="24" s="1"/>
  <c r="D310" i="24" s="1"/>
  <c r="E310" i="24" s="1"/>
  <c r="F310" i="24" s="1"/>
  <c r="Q178" i="24"/>
  <c r="P178" i="24" s="1"/>
  <c r="V178" i="24" s="1"/>
  <c r="B178" i="24" s="1"/>
  <c r="D178" i="24" s="1"/>
  <c r="E178" i="24" s="1"/>
  <c r="F178" i="24" s="1"/>
  <c r="Q108" i="24"/>
  <c r="P108" i="24" s="1"/>
  <c r="V108" i="24" s="1"/>
  <c r="B108" i="24" s="1"/>
  <c r="D108" i="24" s="1"/>
  <c r="E108" i="24" s="1"/>
  <c r="F108" i="24" s="1"/>
  <c r="Q242" i="24"/>
  <c r="P242" i="24" s="1"/>
  <c r="V242" i="24" s="1"/>
  <c r="B242" i="24" s="1"/>
  <c r="D242" i="24" s="1"/>
  <c r="E242" i="24" s="1"/>
  <c r="F242" i="24" s="1"/>
  <c r="G242" i="24" s="1"/>
  <c r="CE242" i="6" s="1"/>
  <c r="Q49" i="24"/>
  <c r="P49" i="24" s="1"/>
  <c r="V49" i="24" s="1"/>
  <c r="B49" i="24" s="1"/>
  <c r="W49" i="24" s="1"/>
  <c r="Q308" i="24"/>
  <c r="P308" i="24" s="1"/>
  <c r="V308" i="24" s="1"/>
  <c r="B308" i="24" s="1"/>
  <c r="W308" i="24" s="1"/>
  <c r="Q344" i="24"/>
  <c r="P344" i="24" s="1"/>
  <c r="V344" i="24" s="1"/>
  <c r="B344" i="24" s="1"/>
  <c r="Q52" i="24"/>
  <c r="P52" i="24" s="1"/>
  <c r="V52" i="24" s="1"/>
  <c r="B52" i="24" s="1"/>
  <c r="Q338" i="24"/>
  <c r="P338" i="24" s="1"/>
  <c r="V338" i="24" s="1"/>
  <c r="B338" i="24" s="1"/>
  <c r="D338" i="24" s="1"/>
  <c r="E338" i="24" s="1"/>
  <c r="F338" i="24" s="1"/>
  <c r="Q336" i="24"/>
  <c r="P336" i="24" s="1"/>
  <c r="V336" i="24" s="1"/>
  <c r="B336" i="24" s="1"/>
  <c r="W336" i="24" s="1"/>
  <c r="Q318" i="24"/>
  <c r="P318" i="24" s="1"/>
  <c r="V318" i="24" s="1"/>
  <c r="B318" i="24" s="1"/>
  <c r="W318" i="24" s="1"/>
  <c r="Q246" i="24"/>
  <c r="P246" i="24" s="1"/>
  <c r="V246" i="24" s="1"/>
  <c r="B246" i="24" s="1"/>
  <c r="Q365" i="24"/>
  <c r="P365" i="24" s="1"/>
  <c r="V365" i="24" s="1"/>
  <c r="B365" i="24" s="1"/>
  <c r="D365" i="24" s="1"/>
  <c r="E365" i="24" s="1"/>
  <c r="F365" i="24" s="1"/>
  <c r="G365" i="24" s="1"/>
  <c r="CE365" i="6" s="1"/>
  <c r="Q258" i="24"/>
  <c r="P258" i="24" s="1"/>
  <c r="V258" i="24" s="1"/>
  <c r="B258" i="24" s="1"/>
  <c r="W258" i="24" s="1"/>
  <c r="Q293" i="24"/>
  <c r="P293" i="24" s="1"/>
  <c r="V293" i="24" s="1"/>
  <c r="B293" i="24" s="1"/>
  <c r="W293" i="24" s="1"/>
  <c r="Q371" i="24"/>
  <c r="P371" i="24" s="1"/>
  <c r="V371" i="24" s="1"/>
  <c r="B371" i="24" s="1"/>
  <c r="W371" i="24" s="1"/>
  <c r="P180" i="24"/>
  <c r="V180" i="24" s="1"/>
  <c r="B180" i="24" s="1"/>
  <c r="W180" i="24" s="1"/>
  <c r="I47" i="23"/>
  <c r="J47" i="23"/>
  <c r="Q172" i="24"/>
  <c r="P172" i="24" s="1"/>
  <c r="V172" i="24" s="1"/>
  <c r="B172" i="24" s="1"/>
  <c r="W172" i="24" s="1"/>
  <c r="Q41" i="24"/>
  <c r="P41" i="24" s="1"/>
  <c r="V41" i="24" s="1"/>
  <c r="B41" i="24" s="1"/>
  <c r="Q228" i="24"/>
  <c r="P228" i="24" s="1"/>
  <c r="V228" i="24" s="1"/>
  <c r="B228" i="24" s="1"/>
  <c r="W228" i="24" s="1"/>
  <c r="Q241" i="24"/>
  <c r="P241" i="24" s="1"/>
  <c r="AH63" i="7" s="1"/>
  <c r="Q21" i="24"/>
  <c r="P21" i="24" s="1"/>
  <c r="V21" i="24" s="1"/>
  <c r="B21" i="24" s="1"/>
  <c r="Q352" i="24"/>
  <c r="P352" i="24" s="1"/>
  <c r="V352" i="24" s="1"/>
  <c r="B352" i="24" s="1"/>
  <c r="Q186" i="24"/>
  <c r="P186" i="24" s="1"/>
  <c r="V186" i="24" s="1"/>
  <c r="B186" i="24" s="1"/>
  <c r="Q94" i="24"/>
  <c r="P94" i="24" s="1"/>
  <c r="V94" i="24" s="1"/>
  <c r="B94" i="24" s="1"/>
  <c r="D94" i="24" s="1"/>
  <c r="E94" i="24" s="1"/>
  <c r="F94" i="24" s="1"/>
  <c r="H94" i="24" s="1"/>
  <c r="J94" i="24" s="1"/>
  <c r="Q58" i="24"/>
  <c r="P58" i="24" s="1"/>
  <c r="V58" i="24" s="1"/>
  <c r="B58" i="24" s="1"/>
  <c r="W58" i="24" s="1"/>
  <c r="AH64" i="7"/>
  <c r="V88" i="24"/>
  <c r="B88" i="24" s="1"/>
  <c r="D88" i="24" s="1"/>
  <c r="E88" i="24" s="1"/>
  <c r="F88" i="24" s="1"/>
  <c r="U382" i="24"/>
  <c r="P343" i="24"/>
  <c r="V343" i="24" s="1"/>
  <c r="B343" i="24" s="1"/>
  <c r="D343" i="24" s="1"/>
  <c r="E343" i="24" s="1"/>
  <c r="F343" i="24" s="1"/>
  <c r="G343" i="24" s="1"/>
  <c r="CE343" i="6" s="1"/>
  <c r="P218" i="24"/>
  <c r="V218" i="24" s="1"/>
  <c r="B218" i="24" s="1"/>
  <c r="W218" i="24" s="1"/>
  <c r="V333" i="24"/>
  <c r="B333" i="24" s="1"/>
  <c r="D333" i="24" s="1"/>
  <c r="E333" i="24" s="1"/>
  <c r="F333" i="24" s="1"/>
  <c r="G333" i="24" s="1"/>
  <c r="CE333" i="6" s="1"/>
  <c r="U381" i="24"/>
  <c r="I64" i="23"/>
  <c r="I326" i="23"/>
  <c r="I63" i="23"/>
  <c r="I102" i="23"/>
  <c r="I65" i="23"/>
  <c r="J344" i="23"/>
  <c r="J145" i="23"/>
  <c r="AE11" i="24"/>
  <c r="AI191" i="24"/>
  <c r="AH191" i="24" s="1"/>
  <c r="AG191" i="24" s="1"/>
  <c r="AF191" i="24" s="1"/>
  <c r="AI279" i="24"/>
  <c r="AI346" i="24"/>
  <c r="AH346" i="24" s="1"/>
  <c r="AG346" i="24" s="1"/>
  <c r="AF346" i="24" s="1"/>
  <c r="AI309" i="24"/>
  <c r="AH309" i="24" s="1"/>
  <c r="AG309" i="24" s="1"/>
  <c r="AF309" i="24" s="1"/>
  <c r="AI207" i="24"/>
  <c r="AH207" i="24" s="1"/>
  <c r="AG207" i="24" s="1"/>
  <c r="AF207" i="24" s="1"/>
  <c r="AI367" i="24"/>
  <c r="AH367" i="24" s="1"/>
  <c r="AG367" i="24" s="1"/>
  <c r="AF367" i="24" s="1"/>
  <c r="AI352" i="24"/>
  <c r="AH352" i="24" s="1"/>
  <c r="AG352" i="24" s="1"/>
  <c r="AF352" i="24" s="1"/>
  <c r="J377" i="23"/>
  <c r="I267" i="23"/>
  <c r="J156" i="23"/>
  <c r="I154" i="23"/>
  <c r="I82" i="23"/>
  <c r="I224" i="23"/>
  <c r="J95" i="23"/>
  <c r="I151" i="23"/>
  <c r="J24" i="23"/>
  <c r="J336" i="23"/>
  <c r="AA149" i="23"/>
  <c r="Z149" i="23" s="1"/>
  <c r="Y149" i="23" s="1"/>
  <c r="G149" i="23"/>
  <c r="CD149" i="6" s="1"/>
  <c r="W195" i="23"/>
  <c r="I345" i="23"/>
  <c r="J54" i="23"/>
  <c r="I79" i="23"/>
  <c r="I315" i="23"/>
  <c r="J311" i="23"/>
  <c r="J281" i="23"/>
  <c r="J116" i="23"/>
  <c r="I132" i="23"/>
  <c r="I103" i="23"/>
  <c r="J142" i="23"/>
  <c r="I83" i="23"/>
  <c r="I285" i="23"/>
  <c r="J329" i="23"/>
  <c r="J169" i="23"/>
  <c r="I325" i="23"/>
  <c r="J70" i="23"/>
  <c r="J158" i="23"/>
  <c r="J57" i="23"/>
  <c r="I123" i="23"/>
  <c r="J99" i="23"/>
  <c r="J299" i="23"/>
  <c r="J130" i="23"/>
  <c r="I129" i="23"/>
  <c r="J275" i="23"/>
  <c r="J368" i="23"/>
  <c r="I126" i="23"/>
  <c r="I76" i="23"/>
  <c r="I134" i="23"/>
  <c r="J242" i="23"/>
  <c r="J45" i="23"/>
  <c r="I45" i="23"/>
  <c r="I167" i="23"/>
  <c r="J167" i="23"/>
  <c r="I277" i="23"/>
  <c r="J277" i="23"/>
  <c r="I211" i="23"/>
  <c r="J211" i="23"/>
  <c r="I191" i="23"/>
  <c r="J191" i="23"/>
  <c r="I107" i="23"/>
  <c r="J107" i="23"/>
  <c r="J300" i="23"/>
  <c r="I300" i="23"/>
  <c r="I112" i="23"/>
  <c r="J112" i="23"/>
  <c r="I222" i="23"/>
  <c r="J222" i="23"/>
  <c r="J193" i="23"/>
  <c r="I193" i="23"/>
  <c r="J361" i="23"/>
  <c r="I361" i="23"/>
  <c r="I175" i="23"/>
  <c r="J175" i="23"/>
  <c r="J19" i="23"/>
  <c r="I19" i="23"/>
  <c r="I324" i="23"/>
  <c r="J324" i="23"/>
  <c r="I106" i="23"/>
  <c r="J106" i="23"/>
  <c r="J362" i="23"/>
  <c r="I362" i="23"/>
  <c r="I186" i="23"/>
  <c r="J186" i="23"/>
  <c r="I100" i="23"/>
  <c r="J100" i="23"/>
  <c r="I341" i="23"/>
  <c r="J341" i="23"/>
  <c r="I289" i="23"/>
  <c r="J289" i="23"/>
  <c r="Q360" i="24"/>
  <c r="P360" i="24" s="1"/>
  <c r="V360" i="24" s="1"/>
  <c r="B360" i="24" s="1"/>
  <c r="W360" i="24" s="1"/>
  <c r="Q273" i="24"/>
  <c r="P273" i="24" s="1"/>
  <c r="V273" i="24" s="1"/>
  <c r="B273" i="24" s="1"/>
  <c r="W273" i="24" s="1"/>
  <c r="Q311" i="24"/>
  <c r="P311" i="24" s="1"/>
  <c r="V311" i="24" s="1"/>
  <c r="B311" i="24" s="1"/>
  <c r="Q264" i="24"/>
  <c r="P264" i="24" s="1"/>
  <c r="V264" i="24" s="1"/>
  <c r="J184" i="23"/>
  <c r="I184" i="23"/>
  <c r="J264" i="23"/>
  <c r="I264" i="23"/>
  <c r="Q282" i="24"/>
  <c r="Q330" i="24"/>
  <c r="P330" i="24" s="1"/>
  <c r="V330" i="24" s="1"/>
  <c r="B330" i="24" s="1"/>
  <c r="Q379" i="24"/>
  <c r="Q138" i="24"/>
  <c r="P138" i="24" s="1"/>
  <c r="V138" i="24" s="1"/>
  <c r="B138" i="24" s="1"/>
  <c r="W138" i="24" s="1"/>
  <c r="P282" i="24"/>
  <c r="V282" i="24" s="1"/>
  <c r="B282" i="24" s="1"/>
  <c r="Q261" i="24"/>
  <c r="P261" i="24" s="1"/>
  <c r="V261" i="24" s="1"/>
  <c r="B261" i="24" s="1"/>
  <c r="W261" i="24" s="1"/>
  <c r="Q36" i="24"/>
  <c r="P36" i="24" s="1"/>
  <c r="V36" i="24" s="1"/>
  <c r="B36" i="24" s="1"/>
  <c r="J85" i="23"/>
  <c r="I85" i="23"/>
  <c r="Q301" i="24"/>
  <c r="P301" i="24" s="1"/>
  <c r="V301" i="24" s="1"/>
  <c r="Q364" i="24"/>
  <c r="P364" i="24" s="1"/>
  <c r="V364" i="24" s="1"/>
  <c r="B364" i="24" s="1"/>
  <c r="J141" i="23"/>
  <c r="I141" i="23"/>
  <c r="I330" i="23"/>
  <c r="J330" i="23"/>
  <c r="H210" i="23"/>
  <c r="AA210" i="23"/>
  <c r="Z210" i="23" s="1"/>
  <c r="Y210" i="23" s="1"/>
  <c r="G210" i="23"/>
  <c r="CD210" i="6" s="1"/>
  <c r="I178" i="23"/>
  <c r="J178" i="23"/>
  <c r="I140" i="23"/>
  <c r="J140" i="23"/>
  <c r="J179" i="23"/>
  <c r="I179" i="23"/>
  <c r="J271" i="23"/>
  <c r="I271" i="23"/>
  <c r="H195" i="23"/>
  <c r="G195" i="23"/>
  <c r="CD195" i="6" s="1"/>
  <c r="AA195" i="23"/>
  <c r="Z195" i="23" s="1"/>
  <c r="Y195" i="23" s="1"/>
  <c r="J122" i="23"/>
  <c r="I122" i="23"/>
  <c r="J197" i="23"/>
  <c r="I197" i="23"/>
  <c r="J283" i="23"/>
  <c r="I283" i="23"/>
  <c r="J187" i="23"/>
  <c r="I187" i="23"/>
  <c r="I26" i="23"/>
  <c r="J26" i="23"/>
  <c r="J155" i="23"/>
  <c r="I155" i="23"/>
  <c r="I364" i="23"/>
  <c r="J364" i="23"/>
  <c r="I131" i="23"/>
  <c r="J131" i="23"/>
  <c r="H180" i="23"/>
  <c r="AA180" i="23"/>
  <c r="Z180" i="23" s="1"/>
  <c r="Y180" i="23" s="1"/>
  <c r="G180" i="23"/>
  <c r="CD180" i="6" s="1"/>
  <c r="J323" i="23"/>
  <c r="I323" i="23"/>
  <c r="J207" i="23"/>
  <c r="I207" i="23"/>
  <c r="I28" i="23"/>
  <c r="J28" i="23"/>
  <c r="J92" i="23"/>
  <c r="I92" i="23"/>
  <c r="J360" i="23"/>
  <c r="I360" i="23"/>
  <c r="J48" i="23"/>
  <c r="I48" i="23"/>
  <c r="AA241" i="23"/>
  <c r="Z241" i="23" s="1"/>
  <c r="Y241" i="23" s="1"/>
  <c r="G241" i="23"/>
  <c r="CD241" i="6" s="1"/>
  <c r="H241" i="23"/>
  <c r="J337" i="23"/>
  <c r="I337" i="23"/>
  <c r="J378" i="23"/>
  <c r="I378" i="23"/>
  <c r="J359" i="23"/>
  <c r="I359" i="23"/>
  <c r="I228" i="23"/>
  <c r="J228" i="23"/>
  <c r="J259" i="23"/>
  <c r="I259" i="23"/>
  <c r="J374" i="23"/>
  <c r="I374" i="23"/>
  <c r="I221" i="23"/>
  <c r="J221" i="23"/>
  <c r="G119" i="23"/>
  <c r="CD119" i="6" s="1"/>
  <c r="H119" i="23"/>
  <c r="AA119" i="23"/>
  <c r="Z119" i="23" s="1"/>
  <c r="Y119" i="23" s="1"/>
  <c r="AZ15" i="7"/>
  <c r="Q148" i="24"/>
  <c r="P148" i="24" s="1"/>
  <c r="V148" i="24" s="1"/>
  <c r="B148" i="24" s="1"/>
  <c r="BA15" i="7"/>
  <c r="AE219" i="24"/>
  <c r="AD219" i="24" s="1"/>
  <c r="AE136" i="24"/>
  <c r="AD136" i="24" s="1"/>
  <c r="AE165" i="24"/>
  <c r="AD165" i="24" s="1"/>
  <c r="AE284" i="24"/>
  <c r="AD284" i="24" s="1"/>
  <c r="AE153" i="24"/>
  <c r="AD153" i="24" s="1"/>
  <c r="AE227" i="24"/>
  <c r="AD227" i="24" s="1"/>
  <c r="AE308" i="24"/>
  <c r="AD308" i="24" s="1"/>
  <c r="AE351" i="24"/>
  <c r="AD351" i="24" s="1"/>
  <c r="AE152" i="24"/>
  <c r="AD152" i="24" s="1"/>
  <c r="AE174" i="24"/>
  <c r="AD174" i="24" s="1"/>
  <c r="AE355" i="24"/>
  <c r="AD355" i="24" s="1"/>
  <c r="AE146" i="24"/>
  <c r="AD146" i="24" s="1"/>
  <c r="AE299" i="24"/>
  <c r="AD299" i="24" s="1"/>
  <c r="AE262" i="24"/>
  <c r="AD262" i="24" s="1"/>
  <c r="AE155" i="24"/>
  <c r="AD155" i="24" s="1"/>
  <c r="AE320" i="24"/>
  <c r="AD320" i="24" s="1"/>
  <c r="AE143" i="24"/>
  <c r="AD143" i="24" s="1"/>
  <c r="AE200" i="24"/>
  <c r="AD200" i="24" s="1"/>
  <c r="AE149" i="24"/>
  <c r="AD149" i="24" s="1"/>
  <c r="AE292" i="24"/>
  <c r="AD292" i="24" s="1"/>
  <c r="AE247" i="24"/>
  <c r="AD247" i="24" s="1"/>
  <c r="AE356" i="24"/>
  <c r="AD356" i="24" s="1"/>
  <c r="AE206" i="24"/>
  <c r="AD206" i="24" s="1"/>
  <c r="AE225" i="24"/>
  <c r="AD225" i="24" s="1"/>
  <c r="AE178" i="24"/>
  <c r="AD178" i="24" s="1"/>
  <c r="AE366" i="24"/>
  <c r="AD366" i="24" s="1"/>
  <c r="AE342" i="24"/>
  <c r="AD342" i="24" s="1"/>
  <c r="AE333" i="24"/>
  <c r="AD333" i="24" s="1"/>
  <c r="AE199" i="24"/>
  <c r="AD199" i="24" s="1"/>
  <c r="AE238" i="24"/>
  <c r="AD238" i="24" s="1"/>
  <c r="AE321" i="24"/>
  <c r="AD321" i="24" s="1"/>
  <c r="AE188" i="24"/>
  <c r="AD188" i="24" s="1"/>
  <c r="AE134" i="24"/>
  <c r="AD134" i="24" s="1"/>
  <c r="AE160" i="24"/>
  <c r="AD160" i="24" s="1"/>
  <c r="AE250" i="24"/>
  <c r="AD250" i="24" s="1"/>
  <c r="AE187" i="24"/>
  <c r="AE271" i="24"/>
  <c r="AD271" i="24" s="1"/>
  <c r="AE328" i="24"/>
  <c r="AE108" i="24"/>
  <c r="AD108" i="24" s="1"/>
  <c r="AE279" i="24"/>
  <c r="AE252" i="24"/>
  <c r="AD252" i="24" s="1"/>
  <c r="AA252" i="24" s="1"/>
  <c r="Z252" i="24" s="1"/>
  <c r="Y252" i="24" s="1"/>
  <c r="AE329" i="24"/>
  <c r="AD329" i="24" s="1"/>
  <c r="AE130" i="24"/>
  <c r="AD130" i="24" s="1"/>
  <c r="AE161" i="24"/>
  <c r="AE323" i="24"/>
  <c r="AE241" i="24"/>
  <c r="AD241" i="24" s="1"/>
  <c r="AE370" i="24"/>
  <c r="AD370" i="24" s="1"/>
  <c r="AE142" i="24"/>
  <c r="AE181" i="24"/>
  <c r="AD181" i="24" s="1"/>
  <c r="AE334" i="24"/>
  <c r="AD334" i="24" s="1"/>
  <c r="AE235" i="24"/>
  <c r="AD235" i="24" s="1"/>
  <c r="AE367" i="24"/>
  <c r="AE204" i="24"/>
  <c r="AD204" i="24" s="1"/>
  <c r="AE263" i="24"/>
  <c r="AD263" i="24" s="1"/>
  <c r="AE349" i="24"/>
  <c r="AE124" i="24"/>
  <c r="AD124" i="24" s="1"/>
  <c r="AE280" i="24"/>
  <c r="AE217" i="24"/>
  <c r="AD217" i="24" s="1"/>
  <c r="AE112" i="24"/>
  <c r="AD112" i="24" s="1"/>
  <c r="AE209" i="24"/>
  <c r="AD209" i="24" s="1"/>
  <c r="AE306" i="24"/>
  <c r="AD306" i="24" s="1"/>
  <c r="AE207" i="24"/>
  <c r="AE179" i="24"/>
  <c r="AD179" i="24" s="1"/>
  <c r="AE288" i="24"/>
  <c r="AD288" i="24" s="1"/>
  <c r="AE158" i="24"/>
  <c r="AD158" i="24" s="1"/>
  <c r="AE291" i="24"/>
  <c r="AD291" i="24" s="1"/>
  <c r="AE253" i="24"/>
  <c r="AD253" i="24" s="1"/>
  <c r="AE222" i="24"/>
  <c r="AD222" i="24" s="1"/>
  <c r="AE276" i="24"/>
  <c r="AE184" i="24"/>
  <c r="AD184" i="24" s="1"/>
  <c r="AE270" i="24"/>
  <c r="AD270" i="24" s="1"/>
  <c r="AE224" i="24"/>
  <c r="AD224" i="24" s="1"/>
  <c r="AE203" i="24"/>
  <c r="AD203" i="24" s="1"/>
  <c r="AE307" i="24"/>
  <c r="AD307" i="24" s="1"/>
  <c r="AE170" i="24"/>
  <c r="AD170" i="24" s="1"/>
  <c r="AE186" i="24"/>
  <c r="AD186" i="24" s="1"/>
  <c r="AE151" i="24"/>
  <c r="AE244" i="24"/>
  <c r="AD244" i="24" s="1"/>
  <c r="AE236" i="24"/>
  <c r="AE369" i="24"/>
  <c r="AD369" i="24" s="1"/>
  <c r="AE296" i="24"/>
  <c r="AD296" i="24" s="1"/>
  <c r="AE109" i="24"/>
  <c r="AD109" i="24" s="1"/>
  <c r="AE305" i="24"/>
  <c r="AD305" i="24" s="1"/>
  <c r="AE229" i="24"/>
  <c r="AE354" i="24"/>
  <c r="AE228" i="24"/>
  <c r="AE336" i="24"/>
  <c r="AD336" i="24" s="1"/>
  <c r="AE324" i="24"/>
  <c r="AD324" i="24" s="1"/>
  <c r="AE192" i="24"/>
  <c r="AD192" i="24" s="1"/>
  <c r="AE182" i="24"/>
  <c r="AE226" i="24"/>
  <c r="AD226" i="24" s="1"/>
  <c r="AE374" i="24"/>
  <c r="AE173" i="24"/>
  <c r="AD173" i="24" s="1"/>
  <c r="AE189" i="24"/>
  <c r="AD189" i="24" s="1"/>
  <c r="AE194" i="24"/>
  <c r="AE231" i="24"/>
  <c r="AE210" i="24"/>
  <c r="AE340" i="24"/>
  <c r="AD340" i="24" s="1"/>
  <c r="AE265" i="24"/>
  <c r="AD265" i="24" s="1"/>
  <c r="AE195" i="24"/>
  <c r="AE359" i="24"/>
  <c r="AE345" i="24"/>
  <c r="AD345" i="24" s="1"/>
  <c r="AE275" i="24"/>
  <c r="AE234" i="24"/>
  <c r="AD234" i="24" s="1"/>
  <c r="AE322" i="24"/>
  <c r="AE362" i="24"/>
  <c r="AE117" i="24"/>
  <c r="AE246" i="24"/>
  <c r="AD246" i="24" s="1"/>
  <c r="AE311" i="24"/>
  <c r="AD311" i="24" s="1"/>
  <c r="AE269" i="24"/>
  <c r="AD269" i="24" s="1"/>
  <c r="AE145" i="24"/>
  <c r="AD145" i="24" s="1"/>
  <c r="AE104" i="24"/>
  <c r="AE278" i="24"/>
  <c r="AD278" i="24" s="1"/>
  <c r="AE125" i="24"/>
  <c r="AD125" i="24" s="1"/>
  <c r="AE283" i="24"/>
  <c r="AD283" i="24" s="1"/>
  <c r="AE115" i="24"/>
  <c r="AD115" i="24" s="1"/>
  <c r="AE156" i="24"/>
  <c r="AD156" i="24" s="1"/>
  <c r="AE319" i="24"/>
  <c r="AD319" i="24" s="1"/>
  <c r="AE243" i="24"/>
  <c r="AE212" i="24"/>
  <c r="AD212" i="24" s="1"/>
  <c r="AE297" i="24"/>
  <c r="AD297" i="24" s="1"/>
  <c r="AE242" i="24"/>
  <c r="AE254" i="24"/>
  <c r="AD254" i="24" s="1"/>
  <c r="AE185" i="24"/>
  <c r="AD185" i="24" s="1"/>
  <c r="AE347" i="24"/>
  <c r="AD347" i="24" s="1"/>
  <c r="AE293" i="24"/>
  <c r="AD293" i="24" s="1"/>
  <c r="AE191" i="24"/>
  <c r="AE122" i="24"/>
  <c r="AD122" i="24" s="1"/>
  <c r="AE287" i="24"/>
  <c r="AE364" i="24"/>
  <c r="AD364" i="24" s="1"/>
  <c r="AE378" i="24"/>
  <c r="AD378" i="24" s="1"/>
  <c r="AE168" i="24"/>
  <c r="AD168" i="24" s="1"/>
  <c r="AE338" i="24"/>
  <c r="AD338" i="24" s="1"/>
  <c r="AE211" i="24"/>
  <c r="AE295" i="24"/>
  <c r="AD295" i="24" s="1"/>
  <c r="AE201" i="24"/>
  <c r="AD201" i="24" s="1"/>
  <c r="AE379" i="24"/>
  <c r="AE12" i="25" s="1"/>
  <c r="AE353" i="24"/>
  <c r="AD353" i="24" s="1"/>
  <c r="AE166" i="24"/>
  <c r="AE314" i="24"/>
  <c r="AD314" i="24" s="1"/>
  <c r="AE350" i="24"/>
  <c r="AD350" i="24" s="1"/>
  <c r="AE371" i="24"/>
  <c r="AD371" i="24" s="1"/>
  <c r="AE140" i="24"/>
  <c r="AD140" i="24" s="1"/>
  <c r="AE113" i="24"/>
  <c r="AD113" i="24" s="1"/>
  <c r="AE180" i="24"/>
  <c r="AD180" i="24" s="1"/>
  <c r="AE303" i="24"/>
  <c r="AD303" i="24" s="1"/>
  <c r="AE150" i="24"/>
  <c r="AD150" i="24" s="1"/>
  <c r="AE290" i="24"/>
  <c r="AD290" i="24" s="1"/>
  <c r="AE325" i="24"/>
  <c r="AD325" i="24" s="1"/>
  <c r="AE223" i="24"/>
  <c r="AD223" i="24" s="1"/>
  <c r="AE331" i="24"/>
  <c r="AD331" i="24" s="1"/>
  <c r="AE221" i="24"/>
  <c r="AD221" i="24" s="1"/>
  <c r="AE360" i="24"/>
  <c r="AD360" i="24" s="1"/>
  <c r="AE148" i="24"/>
  <c r="AD148" i="24" s="1"/>
  <c r="AE193" i="24"/>
  <c r="AD193" i="24" s="1"/>
  <c r="AE357" i="24"/>
  <c r="AD357" i="24" s="1"/>
  <c r="AE110" i="24"/>
  <c r="AD110" i="24" s="1"/>
  <c r="AE316" i="24"/>
  <c r="AD316" i="24" s="1"/>
  <c r="AE286" i="24"/>
  <c r="AD286" i="24" s="1"/>
  <c r="AE240" i="24"/>
  <c r="AD240" i="24" s="1"/>
  <c r="AE341" i="24"/>
  <c r="AD341" i="24" s="1"/>
  <c r="AE361" i="24"/>
  <c r="AD361" i="24" s="1"/>
  <c r="AE348" i="24"/>
  <c r="AD348" i="24" s="1"/>
  <c r="AE116" i="24"/>
  <c r="AD116" i="24" s="1"/>
  <c r="AE261" i="24"/>
  <c r="AD261" i="24" s="1"/>
  <c r="AE215" i="24"/>
  <c r="AD215" i="24" s="1"/>
  <c r="AE368" i="24"/>
  <c r="AD368" i="24" s="1"/>
  <c r="AE218" i="24"/>
  <c r="AD218" i="24" s="1"/>
  <c r="AE339" i="24"/>
  <c r="AD339" i="24" s="1"/>
  <c r="AE220" i="24"/>
  <c r="AD220" i="24" s="1"/>
  <c r="AE163" i="24"/>
  <c r="AD163" i="24" s="1"/>
  <c r="AE301" i="24"/>
  <c r="AD301" i="24" s="1"/>
  <c r="AE282" i="24"/>
  <c r="AD282" i="24" s="1"/>
  <c r="AE318" i="24"/>
  <c r="AD318" i="24" s="1"/>
  <c r="AE289" i="24"/>
  <c r="AD289" i="24" s="1"/>
  <c r="AE337" i="24"/>
  <c r="AD337" i="24" s="1"/>
  <c r="AE233" i="24"/>
  <c r="AD233" i="24" s="1"/>
  <c r="AE205" i="24"/>
  <c r="AD205" i="24" s="1"/>
  <c r="AE216" i="24"/>
  <c r="AE120" i="24"/>
  <c r="AE358" i="24"/>
  <c r="AD358" i="24" s="1"/>
  <c r="AE352" i="24"/>
  <c r="AE267" i="24"/>
  <c r="AD267" i="24" s="1"/>
  <c r="AE208" i="24"/>
  <c r="AD208" i="24" s="1"/>
  <c r="AE372" i="24"/>
  <c r="AD372" i="24" s="1"/>
  <c r="AE141" i="24"/>
  <c r="AD141" i="24" s="1"/>
  <c r="AE138" i="24"/>
  <c r="AD138" i="24" s="1"/>
  <c r="AE169" i="24"/>
  <c r="AD169" i="24" s="1"/>
  <c r="AE249" i="24"/>
  <c r="AD249" i="24" s="1"/>
  <c r="AE310" i="24"/>
  <c r="AD310" i="24" s="1"/>
  <c r="AE177" i="24"/>
  <c r="AE202" i="24"/>
  <c r="AD202" i="24" s="1"/>
  <c r="AE248" i="24"/>
  <c r="AE230" i="24"/>
  <c r="AD230" i="24" s="1"/>
  <c r="AE343" i="24"/>
  <c r="AD343" i="24" s="1"/>
  <c r="AE312" i="24"/>
  <c r="AD312" i="24" s="1"/>
  <c r="AE313" i="24"/>
  <c r="AD313" i="24" s="1"/>
  <c r="AE335" i="24"/>
  <c r="AD335" i="24" s="1"/>
  <c r="AE300" i="24"/>
  <c r="AD300" i="24" s="1"/>
  <c r="AE294" i="24"/>
  <c r="AD294" i="24" s="1"/>
  <c r="AE119" i="24"/>
  <c r="AD119" i="24" s="1"/>
  <c r="AE326" i="24"/>
  <c r="AD326" i="24" s="1"/>
  <c r="AE198" i="24"/>
  <c r="AD198" i="24" s="1"/>
  <c r="AE327" i="24"/>
  <c r="AD327" i="24" s="1"/>
  <c r="AE118" i="24"/>
  <c r="AE123" i="24"/>
  <c r="AD123" i="24" s="1"/>
  <c r="AE272" i="24"/>
  <c r="AE375" i="24"/>
  <c r="AD375" i="24" s="1"/>
  <c r="AE121" i="24"/>
  <c r="AD121" i="24" s="1"/>
  <c r="AE232" i="24"/>
  <c r="AD232" i="24" s="1"/>
  <c r="AE317" i="24"/>
  <c r="AD317" i="24" s="1"/>
  <c r="AE107" i="24"/>
  <c r="AD107" i="24" s="1"/>
  <c r="AE259" i="24"/>
  <c r="AE277" i="24"/>
  <c r="AD277" i="24" s="1"/>
  <c r="AE46" i="24"/>
  <c r="AD46" i="24" s="1"/>
  <c r="AE84" i="24"/>
  <c r="AD84" i="24" s="1"/>
  <c r="AE23" i="24"/>
  <c r="AD23" i="24" s="1"/>
  <c r="AE83" i="24"/>
  <c r="AD83" i="24" s="1"/>
  <c r="AE85" i="24"/>
  <c r="AD85" i="24" s="1"/>
  <c r="AE251" i="24"/>
  <c r="AD251" i="24" s="1"/>
  <c r="AE81" i="24"/>
  <c r="AD81" i="24" s="1"/>
  <c r="AE68" i="24"/>
  <c r="AD68" i="24" s="1"/>
  <c r="AE365" i="24"/>
  <c r="AD365" i="24" s="1"/>
  <c r="AE47" i="24"/>
  <c r="AD47" i="24" s="1"/>
  <c r="AE176" i="24"/>
  <c r="AD176" i="24" s="1"/>
  <c r="AE73" i="24"/>
  <c r="AD73" i="24" s="1"/>
  <c r="AE266" i="24"/>
  <c r="AD266" i="24" s="1"/>
  <c r="AE144" i="24"/>
  <c r="AD144" i="24" s="1"/>
  <c r="AE162" i="24"/>
  <c r="AD162" i="24" s="1"/>
  <c r="AE190" i="24"/>
  <c r="AD190" i="24" s="1"/>
  <c r="AE19" i="24"/>
  <c r="AD19" i="24" s="1"/>
  <c r="AE59" i="24"/>
  <c r="AD59" i="24" s="1"/>
  <c r="AE330" i="24"/>
  <c r="AD330" i="24" s="1"/>
  <c r="AE99" i="24"/>
  <c r="AD99" i="24" s="1"/>
  <c r="AE159" i="24"/>
  <c r="AD159" i="24" s="1"/>
  <c r="AE33" i="24"/>
  <c r="AD33" i="24" s="1"/>
  <c r="AE78" i="24"/>
  <c r="AD78" i="24" s="1"/>
  <c r="AE30" i="24"/>
  <c r="AD30" i="24" s="1"/>
  <c r="AE87" i="24"/>
  <c r="AD87" i="24" s="1"/>
  <c r="AE135" i="24"/>
  <c r="AD135" i="24" s="1"/>
  <c r="AE69" i="24"/>
  <c r="AD69" i="24" s="1"/>
  <c r="AE346" i="24"/>
  <c r="AE257" i="24"/>
  <c r="AD257" i="24" s="1"/>
  <c r="AE264" i="24"/>
  <c r="AD264" i="24" s="1"/>
  <c r="AE43" i="24"/>
  <c r="AD43" i="24" s="1"/>
  <c r="AE376" i="24"/>
  <c r="AD376" i="24" s="1"/>
  <c r="AE164" i="24"/>
  <c r="AD164" i="24" s="1"/>
  <c r="AE88" i="24"/>
  <c r="AD88" i="24" s="1"/>
  <c r="AE256" i="24"/>
  <c r="AD256" i="24" s="1"/>
  <c r="AE131" i="24"/>
  <c r="AD131" i="24" s="1"/>
  <c r="AE35" i="24"/>
  <c r="AD35" i="24" s="1"/>
  <c r="AE15" i="24"/>
  <c r="AE41" i="24"/>
  <c r="AD41" i="24" s="1"/>
  <c r="AE373" i="24"/>
  <c r="AD373" i="24" s="1"/>
  <c r="AE114" i="24"/>
  <c r="AD114" i="24" s="1"/>
  <c r="AE154" i="24"/>
  <c r="AD154" i="24" s="1"/>
  <c r="AE65" i="24"/>
  <c r="AD65" i="24" s="1"/>
  <c r="AE96" i="24"/>
  <c r="AD96" i="24" s="1"/>
  <c r="AE94" i="24"/>
  <c r="AD94" i="24" s="1"/>
  <c r="AE273" i="24"/>
  <c r="AD273" i="24" s="1"/>
  <c r="AE58" i="24"/>
  <c r="AD58" i="24" s="1"/>
  <c r="AE103" i="24"/>
  <c r="AD103" i="24" s="1"/>
  <c r="AE29" i="24"/>
  <c r="AD29" i="24" s="1"/>
  <c r="AE62" i="24"/>
  <c r="AD62" i="24" s="1"/>
  <c r="AE18" i="24"/>
  <c r="AD18" i="24" s="1"/>
  <c r="AE48" i="24"/>
  <c r="AD48" i="24" s="1"/>
  <c r="AE34" i="24"/>
  <c r="AD34" i="24" s="1"/>
  <c r="AE302" i="24"/>
  <c r="AD302" i="24" s="1"/>
  <c r="AE285" i="24"/>
  <c r="AD285" i="24" s="1"/>
  <c r="AE332" i="24"/>
  <c r="AD332" i="24" s="1"/>
  <c r="AE22" i="24"/>
  <c r="AD22" i="24" s="1"/>
  <c r="AE128" i="24"/>
  <c r="AD128" i="24" s="1"/>
  <c r="AE80" i="24"/>
  <c r="AD80" i="24" s="1"/>
  <c r="AE55" i="24"/>
  <c r="AD55" i="24" s="1"/>
  <c r="AE31" i="24"/>
  <c r="AD31" i="24" s="1"/>
  <c r="AE82" i="24"/>
  <c r="AD82" i="24" s="1"/>
  <c r="AE274" i="24"/>
  <c r="AD274" i="24" s="1"/>
  <c r="AE258" i="24"/>
  <c r="AD258" i="24" s="1"/>
  <c r="AE139" i="24"/>
  <c r="AD139" i="24" s="1"/>
  <c r="AE196" i="24"/>
  <c r="AD196" i="24" s="1"/>
  <c r="AE56" i="24"/>
  <c r="AD56" i="24" s="1"/>
  <c r="AE72" i="24"/>
  <c r="AD72" i="24" s="1"/>
  <c r="AE52" i="24"/>
  <c r="AD52" i="24" s="1"/>
  <c r="AE51" i="24"/>
  <c r="AD51" i="24" s="1"/>
  <c r="AE70" i="24"/>
  <c r="AD70" i="24" s="1"/>
  <c r="AE167" i="24"/>
  <c r="AD167" i="24" s="1"/>
  <c r="AE36" i="24"/>
  <c r="AD36" i="24" s="1"/>
  <c r="AE97" i="24"/>
  <c r="AD97" i="24" s="1"/>
  <c r="AE133" i="24"/>
  <c r="AD133" i="24" s="1"/>
  <c r="AE344" i="24"/>
  <c r="AD344" i="24" s="1"/>
  <c r="AE74" i="24"/>
  <c r="AD74" i="24" s="1"/>
  <c r="AE63" i="24"/>
  <c r="AD63" i="24" s="1"/>
  <c r="AE26" i="24"/>
  <c r="AD26" i="24" s="1"/>
  <c r="AE60" i="24"/>
  <c r="AD60" i="24" s="1"/>
  <c r="AE105" i="24"/>
  <c r="AD105" i="24" s="1"/>
  <c r="AE298" i="24"/>
  <c r="AD298" i="24" s="1"/>
  <c r="AE79" i="24"/>
  <c r="AD79" i="24" s="1"/>
  <c r="AE132" i="24"/>
  <c r="AD132" i="24" s="1"/>
  <c r="AE49" i="24"/>
  <c r="AD49" i="24" s="1"/>
  <c r="AE157" i="24"/>
  <c r="AD157" i="24" s="1"/>
  <c r="AE42" i="24"/>
  <c r="AD42" i="24" s="1"/>
  <c r="AE71" i="24"/>
  <c r="AD71" i="24" s="1"/>
  <c r="AE304" i="24"/>
  <c r="AD304" i="24" s="1"/>
  <c r="AE214" i="24"/>
  <c r="AD214" i="24" s="1"/>
  <c r="AE281" i="24"/>
  <c r="AD281" i="24" s="1"/>
  <c r="AE183" i="24"/>
  <c r="AD183" i="24" s="1"/>
  <c r="AE100" i="24"/>
  <c r="AD100" i="24" s="1"/>
  <c r="AE363" i="24"/>
  <c r="AD363" i="24" s="1"/>
  <c r="AE53" i="24"/>
  <c r="AD53" i="24" s="1"/>
  <c r="AE32" i="24"/>
  <c r="AD32" i="24" s="1"/>
  <c r="AE172" i="24"/>
  <c r="AD172" i="24" s="1"/>
  <c r="AE17" i="24"/>
  <c r="AD17" i="24" s="1"/>
  <c r="AE76" i="24"/>
  <c r="AD76" i="24" s="1"/>
  <c r="AE24" i="24"/>
  <c r="AD24" i="24" s="1"/>
  <c r="AE315" i="24"/>
  <c r="AD315" i="24" s="1"/>
  <c r="AE67" i="24"/>
  <c r="AD67" i="24" s="1"/>
  <c r="AE237" i="24"/>
  <c r="AD237" i="24" s="1"/>
  <c r="AE95" i="24"/>
  <c r="AD95" i="24" s="1"/>
  <c r="AE377" i="24"/>
  <c r="AD377" i="24" s="1"/>
  <c r="AE239" i="24"/>
  <c r="AD239" i="24" s="1"/>
  <c r="AE61" i="24"/>
  <c r="AD61" i="24" s="1"/>
  <c r="AE20" i="24"/>
  <c r="AD20" i="24" s="1"/>
  <c r="AE106" i="24"/>
  <c r="AD106" i="24" s="1"/>
  <c r="AE175" i="24"/>
  <c r="AD175" i="24" s="1"/>
  <c r="AE255" i="24"/>
  <c r="AD255" i="24" s="1"/>
  <c r="AE309" i="24"/>
  <c r="AE50" i="24"/>
  <c r="AD50" i="24" s="1"/>
  <c r="AE77" i="24"/>
  <c r="AD77" i="24" s="1"/>
  <c r="AE54" i="24"/>
  <c r="AD54" i="24" s="1"/>
  <c r="AE38" i="24"/>
  <c r="AD38" i="24" s="1"/>
  <c r="AE102" i="24"/>
  <c r="AD102" i="24" s="1"/>
  <c r="AE127" i="24"/>
  <c r="AD127" i="24" s="1"/>
  <c r="AE137" i="24"/>
  <c r="AD137" i="24" s="1"/>
  <c r="AE44" i="24"/>
  <c r="AD44" i="24" s="1"/>
  <c r="AE91" i="24"/>
  <c r="AD91" i="24" s="1"/>
  <c r="AE28" i="24"/>
  <c r="AD28" i="24" s="1"/>
  <c r="AE101" i="24"/>
  <c r="AD101" i="24" s="1"/>
  <c r="AE93" i="24"/>
  <c r="AD93" i="24" s="1"/>
  <c r="AE66" i="24"/>
  <c r="AD66" i="24" s="1"/>
  <c r="AE92" i="24"/>
  <c r="AD92" i="24" s="1"/>
  <c r="AE45" i="24"/>
  <c r="AD45" i="24" s="1"/>
  <c r="AE98" i="24"/>
  <c r="AD98" i="24" s="1"/>
  <c r="AE268" i="24"/>
  <c r="AD268" i="24" s="1"/>
  <c r="AE89" i="24"/>
  <c r="AD89" i="24" s="1"/>
  <c r="AE21" i="24"/>
  <c r="AD21" i="24" s="1"/>
  <c r="AE39" i="24"/>
  <c r="AD39" i="24" s="1"/>
  <c r="AE64" i="24"/>
  <c r="AD64" i="24" s="1"/>
  <c r="AE147" i="24"/>
  <c r="AD147" i="24" s="1"/>
  <c r="AE40" i="24"/>
  <c r="AD40" i="24" s="1"/>
  <c r="AE25" i="24"/>
  <c r="AD25" i="24" s="1"/>
  <c r="AE75" i="24"/>
  <c r="AD75" i="24" s="1"/>
  <c r="AE57" i="24"/>
  <c r="AD57" i="24" s="1"/>
  <c r="AE129" i="24"/>
  <c r="AD129" i="24" s="1"/>
  <c r="AE111" i="24"/>
  <c r="AD111" i="24" s="1"/>
  <c r="AE171" i="24"/>
  <c r="AD171" i="24" s="1"/>
  <c r="AE213" i="24"/>
  <c r="AD213" i="24" s="1"/>
  <c r="AE27" i="24"/>
  <c r="AD27" i="24" s="1"/>
  <c r="AE260" i="24"/>
  <c r="AD260" i="24" s="1"/>
  <c r="AE126" i="24"/>
  <c r="AD126" i="24" s="1"/>
  <c r="AE86" i="24"/>
  <c r="AD86" i="24" s="1"/>
  <c r="AE197" i="24"/>
  <c r="AD197" i="24" s="1"/>
  <c r="AE16" i="24"/>
  <c r="AD16" i="24" s="1"/>
  <c r="AE90" i="24"/>
  <c r="AD90" i="24" s="1"/>
  <c r="AE37" i="24"/>
  <c r="AD37" i="24" s="1"/>
  <c r="AE245" i="24"/>
  <c r="AD245" i="24" s="1"/>
  <c r="AD362" i="24"/>
  <c r="AD166" i="24"/>
  <c r="AD328" i="24"/>
  <c r="AD276" i="24"/>
  <c r="J205" i="23"/>
  <c r="I205" i="23"/>
  <c r="I340" i="23"/>
  <c r="J340" i="23"/>
  <c r="I21" i="23"/>
  <c r="J21" i="23"/>
  <c r="J185" i="23"/>
  <c r="I185" i="23"/>
  <c r="I16" i="23"/>
  <c r="J16" i="23"/>
  <c r="J252" i="23"/>
  <c r="I252" i="23"/>
  <c r="J18" i="23"/>
  <c r="I18" i="23"/>
  <c r="J316" i="23"/>
  <c r="I316" i="23"/>
  <c r="J348" i="23"/>
  <c r="I348" i="23"/>
  <c r="I357" i="23"/>
  <c r="J357" i="23"/>
  <c r="I35" i="23"/>
  <c r="J35" i="23"/>
  <c r="I50" i="23"/>
  <c r="J50" i="23"/>
  <c r="I98" i="23"/>
  <c r="J98" i="23"/>
  <c r="I114" i="23"/>
  <c r="J114" i="23"/>
  <c r="I86" i="23"/>
  <c r="J86" i="23"/>
  <c r="I335" i="23"/>
  <c r="J335" i="23"/>
  <c r="I292" i="23"/>
  <c r="J292" i="23"/>
  <c r="I128" i="23"/>
  <c r="J128" i="23"/>
  <c r="I243" i="23"/>
  <c r="J243" i="23"/>
  <c r="I314" i="23"/>
  <c r="J314" i="23"/>
  <c r="J248" i="23"/>
  <c r="I248" i="23"/>
  <c r="J144" i="23"/>
  <c r="I144" i="23"/>
  <c r="I208" i="23"/>
  <c r="J208" i="23"/>
  <c r="I218" i="23"/>
  <c r="J218" i="23"/>
  <c r="I81" i="23"/>
  <c r="J81" i="23"/>
  <c r="J354" i="23"/>
  <c r="I354" i="23"/>
  <c r="J313" i="23"/>
  <c r="I313" i="23"/>
  <c r="I213" i="23"/>
  <c r="J213" i="23"/>
  <c r="I171" i="23"/>
  <c r="J171" i="23"/>
  <c r="I231" i="23"/>
  <c r="J231" i="23"/>
  <c r="I369" i="23"/>
  <c r="J369" i="23"/>
  <c r="J192" i="23"/>
  <c r="I192" i="23"/>
  <c r="J22" i="23"/>
  <c r="I22" i="23"/>
  <c r="J25" i="23"/>
  <c r="I25" i="23"/>
  <c r="J355" i="23"/>
  <c r="I355" i="23"/>
  <c r="J34" i="23"/>
  <c r="I34" i="23"/>
  <c r="J225" i="23"/>
  <c r="I225" i="23"/>
  <c r="I37" i="23"/>
  <c r="J37" i="23"/>
  <c r="I268" i="23"/>
  <c r="J268" i="23"/>
  <c r="J379" i="22"/>
  <c r="I379" i="22"/>
  <c r="H379" i="23" s="1"/>
  <c r="I379" i="23" s="1"/>
  <c r="G380" i="22"/>
  <c r="CC380" i="6" s="1"/>
  <c r="AA380" i="22"/>
  <c r="Z380" i="22" s="1"/>
  <c r="Y380" i="22" s="1"/>
  <c r="H380" i="22"/>
  <c r="G302" i="23"/>
  <c r="CD302" i="6" s="1"/>
  <c r="AA302" i="23"/>
  <c r="Z302" i="23" s="1"/>
  <c r="Y302" i="23" s="1"/>
  <c r="H302" i="23"/>
  <c r="I23" i="23"/>
  <c r="I306" i="23"/>
  <c r="I280" i="23"/>
  <c r="J260" i="23"/>
  <c r="I89" i="23"/>
  <c r="I147" i="23"/>
  <c r="J71" i="23"/>
  <c r="I71" i="23"/>
  <c r="J127" i="23"/>
  <c r="I245" i="23"/>
  <c r="J245" i="23"/>
  <c r="J347" i="23"/>
  <c r="I298" i="23"/>
  <c r="J298" i="23"/>
  <c r="I164" i="23"/>
  <c r="J164" i="23"/>
  <c r="I240" i="23"/>
  <c r="J240" i="23"/>
  <c r="U10" i="25"/>
  <c r="U150" i="25" s="1"/>
  <c r="T150" i="25" s="1"/>
  <c r="S150" i="25" s="1"/>
  <c r="R150" i="25" s="1"/>
  <c r="J136" i="23"/>
  <c r="I136" i="23"/>
  <c r="J27" i="23"/>
  <c r="I27" i="23"/>
  <c r="D272" i="23"/>
  <c r="E272" i="23" s="1"/>
  <c r="F272" i="23" s="1"/>
  <c r="W272" i="23"/>
  <c r="AG151" i="24"/>
  <c r="AF151" i="24" s="1"/>
  <c r="AG242" i="24"/>
  <c r="AF242" i="24" s="1"/>
  <c r="AG211" i="24"/>
  <c r="AF211" i="24" s="1"/>
  <c r="AG374" i="24"/>
  <c r="AF374" i="24" s="1"/>
  <c r="AG272" i="24"/>
  <c r="AF272" i="24" s="1"/>
  <c r="AG177" i="24"/>
  <c r="AF177" i="24" s="1"/>
  <c r="AG117" i="24"/>
  <c r="AF117" i="24" s="1"/>
  <c r="AH379" i="24"/>
  <c r="AG379" i="24" s="1"/>
  <c r="AF379" i="24" s="1"/>
  <c r="AI12" i="25"/>
  <c r="AG120" i="24"/>
  <c r="AF120" i="24" s="1"/>
  <c r="AG349" i="24"/>
  <c r="AF349" i="24" s="1"/>
  <c r="AG323" i="24"/>
  <c r="AF323" i="24" s="1"/>
  <c r="AG322" i="24"/>
  <c r="AF322" i="24" s="1"/>
  <c r="AG210" i="24"/>
  <c r="AF210" i="24" s="1"/>
  <c r="AG236" i="24"/>
  <c r="AF236" i="24" s="1"/>
  <c r="AG161" i="24"/>
  <c r="AF161" i="24" s="1"/>
  <c r="AG216" i="24"/>
  <c r="AF216" i="24" s="1"/>
  <c r="AG231" i="24"/>
  <c r="AF231" i="24" s="1"/>
  <c r="AG229" i="24"/>
  <c r="AF229" i="24" s="1"/>
  <c r="AH104" i="24"/>
  <c r="AG104" i="24" s="1"/>
  <c r="AF104" i="24" s="1"/>
  <c r="AG195" i="24"/>
  <c r="AF195" i="24" s="1"/>
  <c r="AG194" i="24"/>
  <c r="AF194" i="24" s="1"/>
  <c r="AG118" i="24"/>
  <c r="AF118" i="24" s="1"/>
  <c r="AD118" i="24" s="1"/>
  <c r="AG259" i="24"/>
  <c r="AF259" i="24" s="1"/>
  <c r="AG248" i="24"/>
  <c r="AF248" i="24" s="1"/>
  <c r="AD248" i="24" s="1"/>
  <c r="AG243" i="24"/>
  <c r="AF243" i="24" s="1"/>
  <c r="AG182" i="24"/>
  <c r="AF182" i="24" s="1"/>
  <c r="AG187" i="24"/>
  <c r="AF187" i="24" s="1"/>
  <c r="AG359" i="24"/>
  <c r="AF359" i="24" s="1"/>
  <c r="AD359" i="24" s="1"/>
  <c r="AG287" i="24"/>
  <c r="AF287" i="24" s="1"/>
  <c r="AG354" i="24"/>
  <c r="AF354" i="24" s="1"/>
  <c r="AD354" i="24" s="1"/>
  <c r="AG275" i="24"/>
  <c r="AF275" i="24" s="1"/>
  <c r="AG280" i="24"/>
  <c r="AF280" i="24" s="1"/>
  <c r="AD280" i="24" s="1"/>
  <c r="AG142" i="24"/>
  <c r="AF142" i="24" s="1"/>
  <c r="AG228" i="24"/>
  <c r="AF228" i="24" s="1"/>
  <c r="J29" i="23"/>
  <c r="AA15" i="18"/>
  <c r="H15" i="18"/>
  <c r="G15" i="18"/>
  <c r="CA15" i="6" s="1"/>
  <c r="W15" i="22"/>
  <c r="D15" i="22"/>
  <c r="R381" i="23"/>
  <c r="P15" i="23"/>
  <c r="R382" i="23"/>
  <c r="R383" i="23"/>
  <c r="E15" i="20"/>
  <c r="AG15" i="24"/>
  <c r="B67" i="19"/>
  <c r="N67" i="19" s="1"/>
  <c r="V382" i="22"/>
  <c r="V381" i="22"/>
  <c r="V383" i="22"/>
  <c r="T381" i="24"/>
  <c r="S15" i="24"/>
  <c r="T383" i="24"/>
  <c r="T382" i="24"/>
  <c r="BE16" i="7"/>
  <c r="AM5" i="18"/>
  <c r="AM11" i="18" s="1"/>
  <c r="AK3" i="18" s="1"/>
  <c r="Q15" i="19" s="1"/>
  <c r="N15" i="19" s="1"/>
  <c r="AA136" i="23"/>
  <c r="Z136" i="23" s="1"/>
  <c r="Y136" i="23" s="1"/>
  <c r="AD381" i="23"/>
  <c r="AD382" i="23"/>
  <c r="AD383" i="23"/>
  <c r="U160" i="25" l="1"/>
  <c r="T160" i="25" s="1"/>
  <c r="S160" i="25" s="1"/>
  <c r="R160" i="25" s="1"/>
  <c r="I278" i="23"/>
  <c r="U124" i="25"/>
  <c r="T124" i="25" s="1"/>
  <c r="S124" i="25" s="1"/>
  <c r="R124" i="25" s="1"/>
  <c r="U154" i="25"/>
  <c r="T154" i="25" s="1"/>
  <c r="S154" i="25" s="1"/>
  <c r="R154" i="25" s="1"/>
  <c r="U217" i="25"/>
  <c r="T217" i="25" s="1"/>
  <c r="S217" i="25" s="1"/>
  <c r="R217" i="25" s="1"/>
  <c r="Q12" i="25"/>
  <c r="BE15" i="7" s="1"/>
  <c r="AD104" i="24"/>
  <c r="AA104" i="24" s="1"/>
  <c r="Z104" i="24" s="1"/>
  <c r="Y104" i="24" s="1"/>
  <c r="AD231" i="24"/>
  <c r="AD161" i="24"/>
  <c r="AA161" i="24" s="1"/>
  <c r="Z161" i="24" s="1"/>
  <c r="Y161" i="24" s="1"/>
  <c r="AD374" i="24"/>
  <c r="AD242" i="24"/>
  <c r="AA242" i="24" s="1"/>
  <c r="Z242" i="24" s="1"/>
  <c r="Y242" i="24" s="1"/>
  <c r="J60" i="23"/>
  <c r="H88" i="24"/>
  <c r="I88" i="24" s="1"/>
  <c r="W209" i="24"/>
  <c r="U288" i="25"/>
  <c r="T288" i="25" s="1"/>
  <c r="S288" i="25" s="1"/>
  <c r="R288" i="25" s="1"/>
  <c r="U92" i="25"/>
  <c r="T92" i="25" s="1"/>
  <c r="S92" i="25" s="1"/>
  <c r="R92" i="25" s="1"/>
  <c r="U136" i="25"/>
  <c r="T136" i="25" s="1"/>
  <c r="S136" i="25" s="1"/>
  <c r="R136" i="25" s="1"/>
  <c r="U316" i="25"/>
  <c r="T316" i="25" s="1"/>
  <c r="S316" i="25" s="1"/>
  <c r="R316" i="25" s="1"/>
  <c r="D143" i="24"/>
  <c r="E143" i="24" s="1"/>
  <c r="F143" i="24" s="1"/>
  <c r="H143" i="24" s="1"/>
  <c r="I143" i="24" s="1"/>
  <c r="W266" i="24"/>
  <c r="U293" i="25"/>
  <c r="T293" i="25" s="1"/>
  <c r="S293" i="25" s="1"/>
  <c r="R293" i="25" s="1"/>
  <c r="U235" i="25"/>
  <c r="T235" i="25" s="1"/>
  <c r="S235" i="25" s="1"/>
  <c r="R235" i="25" s="1"/>
  <c r="U260" i="25"/>
  <c r="T260" i="25" s="1"/>
  <c r="S260" i="25" s="1"/>
  <c r="R260" i="25" s="1"/>
  <c r="U216" i="25"/>
  <c r="T216" i="25" s="1"/>
  <c r="S216" i="25" s="1"/>
  <c r="R216" i="25" s="1"/>
  <c r="U66" i="25"/>
  <c r="T66" i="25" s="1"/>
  <c r="S66" i="25" s="1"/>
  <c r="R66" i="25" s="1"/>
  <c r="U34" i="25"/>
  <c r="T34" i="25" s="1"/>
  <c r="S34" i="25" s="1"/>
  <c r="R34" i="25" s="1"/>
  <c r="U107" i="25"/>
  <c r="T107" i="25" s="1"/>
  <c r="S107" i="25" s="1"/>
  <c r="R107" i="25" s="1"/>
  <c r="U325" i="25"/>
  <c r="T325" i="25" s="1"/>
  <c r="S325" i="25" s="1"/>
  <c r="R325" i="25" s="1"/>
  <c r="AD228" i="24"/>
  <c r="AD182" i="24"/>
  <c r="AD195" i="24"/>
  <c r="AA70" i="24"/>
  <c r="Z70" i="24" s="1"/>
  <c r="Y70" i="24" s="1"/>
  <c r="AA297" i="24"/>
  <c r="Z297" i="24" s="1"/>
  <c r="Y297" i="24" s="1"/>
  <c r="AA226" i="24"/>
  <c r="Z226" i="24" s="1"/>
  <c r="Y226" i="24" s="1"/>
  <c r="AA152" i="24"/>
  <c r="Z152" i="24" s="1"/>
  <c r="Y152" i="24" s="1"/>
  <c r="U332" i="25"/>
  <c r="T332" i="25" s="1"/>
  <c r="S332" i="25" s="1"/>
  <c r="R332" i="25" s="1"/>
  <c r="U102" i="25"/>
  <c r="T102" i="25" s="1"/>
  <c r="S102" i="25" s="1"/>
  <c r="R102" i="25" s="1"/>
  <c r="U176" i="25"/>
  <c r="T176" i="25" s="1"/>
  <c r="S176" i="25" s="1"/>
  <c r="R176" i="25" s="1"/>
  <c r="U346" i="25"/>
  <c r="T346" i="25" s="1"/>
  <c r="S346" i="25" s="1"/>
  <c r="R346" i="25" s="1"/>
  <c r="U173" i="25"/>
  <c r="T173" i="25" s="1"/>
  <c r="S173" i="25" s="1"/>
  <c r="R173" i="25" s="1"/>
  <c r="U312" i="25"/>
  <c r="T312" i="25" s="1"/>
  <c r="S312" i="25" s="1"/>
  <c r="R312" i="25" s="1"/>
  <c r="U80" i="25"/>
  <c r="T80" i="25" s="1"/>
  <c r="S80" i="25" s="1"/>
  <c r="R80" i="25" s="1"/>
  <c r="U33" i="25"/>
  <c r="T33" i="25" s="1"/>
  <c r="S33" i="25" s="1"/>
  <c r="R33" i="25" s="1"/>
  <c r="U30" i="25"/>
  <c r="T30" i="25" s="1"/>
  <c r="S30" i="25" s="1"/>
  <c r="R30" i="25" s="1"/>
  <c r="U195" i="25"/>
  <c r="T195" i="25" s="1"/>
  <c r="S195" i="25" s="1"/>
  <c r="R195" i="25" s="1"/>
  <c r="U147" i="25"/>
  <c r="T147" i="25" s="1"/>
  <c r="S147" i="25" s="1"/>
  <c r="R147" i="25" s="1"/>
  <c r="U151" i="25"/>
  <c r="T151" i="25" s="1"/>
  <c r="S151" i="25" s="1"/>
  <c r="R151" i="25" s="1"/>
  <c r="U24" i="25"/>
  <c r="T24" i="25" s="1"/>
  <c r="S24" i="25" s="1"/>
  <c r="R24" i="25" s="1"/>
  <c r="U375" i="25"/>
  <c r="T375" i="25" s="1"/>
  <c r="S375" i="25" s="1"/>
  <c r="R375" i="25" s="1"/>
  <c r="U361" i="25"/>
  <c r="T361" i="25" s="1"/>
  <c r="S361" i="25" s="1"/>
  <c r="R361" i="25" s="1"/>
  <c r="U365" i="25"/>
  <c r="T365" i="25" s="1"/>
  <c r="S365" i="25" s="1"/>
  <c r="R365" i="25" s="1"/>
  <c r="D187" i="24"/>
  <c r="E187" i="24" s="1"/>
  <c r="F187" i="24" s="1"/>
  <c r="G187" i="24" s="1"/>
  <c r="CE187" i="6" s="1"/>
  <c r="AD120" i="24"/>
  <c r="U63" i="25"/>
  <c r="T63" i="25" s="1"/>
  <c r="S63" i="25" s="1"/>
  <c r="R63" i="25" s="1"/>
  <c r="U158" i="25"/>
  <c r="T158" i="25" s="1"/>
  <c r="S158" i="25" s="1"/>
  <c r="R158" i="25" s="1"/>
  <c r="U274" i="25"/>
  <c r="T274" i="25" s="1"/>
  <c r="S274" i="25" s="1"/>
  <c r="R274" i="25" s="1"/>
  <c r="U272" i="25"/>
  <c r="T272" i="25" s="1"/>
  <c r="S272" i="25" s="1"/>
  <c r="R272" i="25" s="1"/>
  <c r="U166" i="25"/>
  <c r="T166" i="25" s="1"/>
  <c r="S166" i="25" s="1"/>
  <c r="R166" i="25" s="1"/>
  <c r="U172" i="25"/>
  <c r="T172" i="25" s="1"/>
  <c r="S172" i="25" s="1"/>
  <c r="R172" i="25" s="1"/>
  <c r="U326" i="25"/>
  <c r="T326" i="25" s="1"/>
  <c r="S326" i="25" s="1"/>
  <c r="R326" i="25" s="1"/>
  <c r="U146" i="25"/>
  <c r="T146" i="25" s="1"/>
  <c r="S146" i="25" s="1"/>
  <c r="R146" i="25" s="1"/>
  <c r="U280" i="25"/>
  <c r="T280" i="25" s="1"/>
  <c r="S280" i="25" s="1"/>
  <c r="R280" i="25" s="1"/>
  <c r="U236" i="25"/>
  <c r="T236" i="25" s="1"/>
  <c r="S236" i="25" s="1"/>
  <c r="R236" i="25" s="1"/>
  <c r="U29" i="25"/>
  <c r="T29" i="25" s="1"/>
  <c r="S29" i="25" s="1"/>
  <c r="R29" i="25" s="1"/>
  <c r="U121" i="25"/>
  <c r="T121" i="25" s="1"/>
  <c r="S121" i="25" s="1"/>
  <c r="R121" i="25" s="1"/>
  <c r="U51" i="25"/>
  <c r="T51" i="25" s="1"/>
  <c r="S51" i="25" s="1"/>
  <c r="R51" i="25" s="1"/>
  <c r="U149" i="25"/>
  <c r="T149" i="25" s="1"/>
  <c r="S149" i="25" s="1"/>
  <c r="R149" i="25" s="1"/>
  <c r="U73" i="25"/>
  <c r="T73" i="25" s="1"/>
  <c r="S73" i="25" s="1"/>
  <c r="R73" i="25" s="1"/>
  <c r="U77" i="25"/>
  <c r="T77" i="25" s="1"/>
  <c r="S77" i="25" s="1"/>
  <c r="R77" i="25" s="1"/>
  <c r="U268" i="25"/>
  <c r="T268" i="25" s="1"/>
  <c r="S268" i="25" s="1"/>
  <c r="R268" i="25" s="1"/>
  <c r="U118" i="25"/>
  <c r="T118" i="25" s="1"/>
  <c r="S118" i="25" s="1"/>
  <c r="R118" i="25" s="1"/>
  <c r="U74" i="25"/>
  <c r="T74" i="25" s="1"/>
  <c r="S74" i="25" s="1"/>
  <c r="R74" i="25" s="1"/>
  <c r="U298" i="25"/>
  <c r="T298" i="25" s="1"/>
  <c r="S298" i="25" s="1"/>
  <c r="R298" i="25" s="1"/>
  <c r="U187" i="25"/>
  <c r="T187" i="25" s="1"/>
  <c r="S187" i="25" s="1"/>
  <c r="R187" i="25" s="1"/>
  <c r="U368" i="25"/>
  <c r="T368" i="25" s="1"/>
  <c r="S368" i="25" s="1"/>
  <c r="R368" i="25" s="1"/>
  <c r="U264" i="25"/>
  <c r="T264" i="25" s="1"/>
  <c r="S264" i="25" s="1"/>
  <c r="R264" i="25" s="1"/>
  <c r="U371" i="25"/>
  <c r="T371" i="25" s="1"/>
  <c r="S371" i="25" s="1"/>
  <c r="R371" i="25" s="1"/>
  <c r="U137" i="25"/>
  <c r="T137" i="25" s="1"/>
  <c r="S137" i="25" s="1"/>
  <c r="R137" i="25" s="1"/>
  <c r="J223" i="23"/>
  <c r="H266" i="24"/>
  <c r="I266" i="24" s="1"/>
  <c r="I56" i="23"/>
  <c r="AA266" i="24"/>
  <c r="Z266" i="24" s="1"/>
  <c r="Y266" i="24" s="1"/>
  <c r="D98" i="24"/>
  <c r="E98" i="24" s="1"/>
  <c r="F98" i="24" s="1"/>
  <c r="G98" i="24" s="1"/>
  <c r="CE98" i="6" s="1"/>
  <c r="W201" i="24"/>
  <c r="D73" i="24"/>
  <c r="E73" i="24" s="1"/>
  <c r="F73" i="24" s="1"/>
  <c r="H73" i="24" s="1"/>
  <c r="D65" i="24"/>
  <c r="E65" i="24" s="1"/>
  <c r="F65" i="24" s="1"/>
  <c r="G65" i="24" s="1"/>
  <c r="CE65" i="6" s="1"/>
  <c r="W310" i="24"/>
  <c r="W366" i="24"/>
  <c r="H60" i="24"/>
  <c r="I60" i="24" s="1"/>
  <c r="H280" i="24"/>
  <c r="J280" i="24" s="1"/>
  <c r="D270" i="24"/>
  <c r="E270" i="24" s="1"/>
  <c r="F270" i="24" s="1"/>
  <c r="G270" i="24" s="1"/>
  <c r="CE270" i="6" s="1"/>
  <c r="W374" i="24"/>
  <c r="V302" i="24"/>
  <c r="B302" i="24" s="1"/>
  <c r="W302" i="24" s="1"/>
  <c r="W171" i="24"/>
  <c r="W338" i="24"/>
  <c r="W247" i="24"/>
  <c r="W215" i="24"/>
  <c r="D191" i="24"/>
  <c r="E191" i="24" s="1"/>
  <c r="F191" i="24" s="1"/>
  <c r="G191" i="24" s="1"/>
  <c r="CE191" i="6" s="1"/>
  <c r="D367" i="24"/>
  <c r="E367" i="24" s="1"/>
  <c r="F367" i="24" s="1"/>
  <c r="H367" i="24" s="1"/>
  <c r="I367" i="24" s="1"/>
  <c r="D257" i="24"/>
  <c r="E257" i="24" s="1"/>
  <c r="F257" i="24" s="1"/>
  <c r="G257" i="24" s="1"/>
  <c r="CE257" i="6" s="1"/>
  <c r="G70" i="24"/>
  <c r="CE70" i="6" s="1"/>
  <c r="J365" i="23"/>
  <c r="G297" i="24"/>
  <c r="CE297" i="6" s="1"/>
  <c r="W30" i="24"/>
  <c r="W373" i="24"/>
  <c r="D68" i="24"/>
  <c r="E68" i="24" s="1"/>
  <c r="F68" i="24" s="1"/>
  <c r="H68" i="24" s="1"/>
  <c r="I68" i="24" s="1"/>
  <c r="W227" i="24"/>
  <c r="D154" i="24"/>
  <c r="E154" i="24" s="1"/>
  <c r="F154" i="24" s="1"/>
  <c r="G154" i="24" s="1"/>
  <c r="CE154" i="6" s="1"/>
  <c r="W324" i="24"/>
  <c r="D295" i="24"/>
  <c r="E295" i="24" s="1"/>
  <c r="F295" i="24" s="1"/>
  <c r="H295" i="24" s="1"/>
  <c r="J295" i="24" s="1"/>
  <c r="AA175" i="24"/>
  <c r="Z175" i="24" s="1"/>
  <c r="Y175" i="24" s="1"/>
  <c r="AA60" i="24"/>
  <c r="Z60" i="24" s="1"/>
  <c r="Y60" i="24" s="1"/>
  <c r="AA125" i="24"/>
  <c r="Z125" i="24" s="1"/>
  <c r="Y125" i="24" s="1"/>
  <c r="AA324" i="24"/>
  <c r="Z324" i="24" s="1"/>
  <c r="Y324" i="24" s="1"/>
  <c r="W341" i="24"/>
  <c r="W245" i="24"/>
  <c r="D289" i="24"/>
  <c r="E289" i="24" s="1"/>
  <c r="F289" i="24" s="1"/>
  <c r="G289" i="24" s="1"/>
  <c r="CE289" i="6" s="1"/>
  <c r="W224" i="24"/>
  <c r="W284" i="24"/>
  <c r="W109" i="24"/>
  <c r="D53" i="24"/>
  <c r="E53" i="24" s="1"/>
  <c r="F53" i="24" s="1"/>
  <c r="H53" i="24" s="1"/>
  <c r="I53" i="24" s="1"/>
  <c r="D55" i="24"/>
  <c r="E55" i="24" s="1"/>
  <c r="F55" i="24" s="1"/>
  <c r="AA55" i="24" s="1"/>
  <c r="Z55" i="24" s="1"/>
  <c r="Y55" i="24" s="1"/>
  <c r="D206" i="24"/>
  <c r="E206" i="24" s="1"/>
  <c r="F206" i="24" s="1"/>
  <c r="H206" i="24" s="1"/>
  <c r="I206" i="24" s="1"/>
  <c r="V119" i="24"/>
  <c r="B119" i="24" s="1"/>
  <c r="D119" i="24" s="1"/>
  <c r="E119" i="24" s="1"/>
  <c r="F119" i="24" s="1"/>
  <c r="D123" i="24"/>
  <c r="E123" i="24" s="1"/>
  <c r="F123" i="24" s="1"/>
  <c r="AA123" i="24" s="1"/>
  <c r="Z123" i="24" s="1"/>
  <c r="Y123" i="24" s="1"/>
  <c r="W339" i="24"/>
  <c r="W131" i="24"/>
  <c r="W325" i="24"/>
  <c r="H125" i="24"/>
  <c r="J125" i="24" s="1"/>
  <c r="W35" i="24"/>
  <c r="W207" i="24"/>
  <c r="W329" i="24"/>
  <c r="D33" i="24"/>
  <c r="E33" i="24" s="1"/>
  <c r="F33" i="24" s="1"/>
  <c r="G33" i="24" s="1"/>
  <c r="CE33" i="6" s="1"/>
  <c r="D219" i="24"/>
  <c r="E219" i="24" s="1"/>
  <c r="F219" i="24" s="1"/>
  <c r="G219" i="24" s="1"/>
  <c r="CE219" i="6" s="1"/>
  <c r="W151" i="24"/>
  <c r="W298" i="24"/>
  <c r="W236" i="24"/>
  <c r="W349" i="24"/>
  <c r="D318" i="24"/>
  <c r="E318" i="24" s="1"/>
  <c r="F318" i="24" s="1"/>
  <c r="H318" i="24" s="1"/>
  <c r="I318" i="24" s="1"/>
  <c r="W75" i="24"/>
  <c r="W342" i="24"/>
  <c r="D157" i="24"/>
  <c r="E157" i="24" s="1"/>
  <c r="F157" i="24" s="1"/>
  <c r="G157" i="24" s="1"/>
  <c r="CE157" i="6" s="1"/>
  <c r="D259" i="24"/>
  <c r="E259" i="24" s="1"/>
  <c r="F259" i="24" s="1"/>
  <c r="G259" i="24" s="1"/>
  <c r="CE259" i="6" s="1"/>
  <c r="H324" i="24"/>
  <c r="I324" i="24" s="1"/>
  <c r="H175" i="24"/>
  <c r="I175" i="24" s="1"/>
  <c r="J182" i="23"/>
  <c r="D220" i="24"/>
  <c r="E220" i="24" s="1"/>
  <c r="F220" i="24" s="1"/>
  <c r="G220" i="24" s="1"/>
  <c r="CE220" i="6" s="1"/>
  <c r="D356" i="24"/>
  <c r="E356" i="24" s="1"/>
  <c r="F356" i="24" s="1"/>
  <c r="G356" i="24" s="1"/>
  <c r="CE356" i="6" s="1"/>
  <c r="D278" i="24"/>
  <c r="E278" i="24" s="1"/>
  <c r="F278" i="24" s="1"/>
  <c r="G278" i="24" s="1"/>
  <c r="CE278" i="6" s="1"/>
  <c r="D97" i="24"/>
  <c r="E97" i="24" s="1"/>
  <c r="F97" i="24" s="1"/>
  <c r="G97" i="24" s="1"/>
  <c r="CE97" i="6" s="1"/>
  <c r="W163" i="24"/>
  <c r="W297" i="24"/>
  <c r="D51" i="24"/>
  <c r="E51" i="24" s="1"/>
  <c r="F51" i="24" s="1"/>
  <c r="H51" i="24" s="1"/>
  <c r="W99" i="24"/>
  <c r="H319" i="24"/>
  <c r="J319" i="24" s="1"/>
  <c r="H152" i="24"/>
  <c r="J152" i="24" s="1"/>
  <c r="W240" i="24"/>
  <c r="D136" i="24"/>
  <c r="E136" i="24" s="1"/>
  <c r="F136" i="24" s="1"/>
  <c r="G136" i="24" s="1"/>
  <c r="CE136" i="6" s="1"/>
  <c r="W190" i="24"/>
  <c r="W26" i="24"/>
  <c r="D181" i="24"/>
  <c r="E181" i="24" s="1"/>
  <c r="F181" i="24" s="1"/>
  <c r="H181" i="24" s="1"/>
  <c r="D27" i="24"/>
  <c r="E27" i="24" s="1"/>
  <c r="F27" i="24" s="1"/>
  <c r="G27" i="24" s="1"/>
  <c r="CE27" i="6" s="1"/>
  <c r="D139" i="24"/>
  <c r="E139" i="24" s="1"/>
  <c r="F139" i="24" s="1"/>
  <c r="H139" i="24" s="1"/>
  <c r="D179" i="24"/>
  <c r="E179" i="24" s="1"/>
  <c r="F179" i="24" s="1"/>
  <c r="G179" i="24" s="1"/>
  <c r="CE179" i="6" s="1"/>
  <c r="D92" i="24"/>
  <c r="E92" i="24" s="1"/>
  <c r="F92" i="24" s="1"/>
  <c r="G92" i="24" s="1"/>
  <c r="CE92" i="6" s="1"/>
  <c r="D61" i="24"/>
  <c r="E61" i="24" s="1"/>
  <c r="F61" i="24" s="1"/>
  <c r="G61" i="24" s="1"/>
  <c r="CE61" i="6" s="1"/>
  <c r="D120" i="24"/>
  <c r="E120" i="24" s="1"/>
  <c r="F120" i="24" s="1"/>
  <c r="H120" i="24" s="1"/>
  <c r="D251" i="24"/>
  <c r="E251" i="24" s="1"/>
  <c r="F251" i="24" s="1"/>
  <c r="H251" i="24" s="1"/>
  <c r="J251" i="24" s="1"/>
  <c r="W299" i="24"/>
  <c r="W70" i="24"/>
  <c r="D237" i="24"/>
  <c r="E237" i="24" s="1"/>
  <c r="F237" i="24" s="1"/>
  <c r="H237" i="24" s="1"/>
  <c r="J237" i="24" s="1"/>
  <c r="D56" i="24"/>
  <c r="E56" i="24" s="1"/>
  <c r="F56" i="24" s="1"/>
  <c r="G56" i="24" s="1"/>
  <c r="CE56" i="6" s="1"/>
  <c r="W226" i="24"/>
  <c r="AA54" i="24"/>
  <c r="Z54" i="24" s="1"/>
  <c r="Y54" i="24" s="1"/>
  <c r="AA94" i="24"/>
  <c r="Z94" i="24" s="1"/>
  <c r="Y94" i="24" s="1"/>
  <c r="AA350" i="24"/>
  <c r="Z350" i="24" s="1"/>
  <c r="Y350" i="24" s="1"/>
  <c r="AA203" i="24"/>
  <c r="Z203" i="24" s="1"/>
  <c r="Y203" i="24" s="1"/>
  <c r="AA199" i="24"/>
  <c r="Z199" i="24" s="1"/>
  <c r="Y199" i="24" s="1"/>
  <c r="W331" i="24"/>
  <c r="J104" i="24"/>
  <c r="AA23" i="24"/>
  <c r="Z23" i="24" s="1"/>
  <c r="Y23" i="24" s="1"/>
  <c r="H242" i="24"/>
  <c r="I242" i="24" s="1"/>
  <c r="H252" i="24"/>
  <c r="J252" i="24" s="1"/>
  <c r="W281" i="24"/>
  <c r="D316" i="24"/>
  <c r="E316" i="24" s="1"/>
  <c r="F316" i="24" s="1"/>
  <c r="G316" i="24" s="1"/>
  <c r="CE316" i="6" s="1"/>
  <c r="W76" i="24"/>
  <c r="D170" i="24"/>
  <c r="E170" i="24" s="1"/>
  <c r="F170" i="24" s="1"/>
  <c r="H170" i="24" s="1"/>
  <c r="I170" i="24" s="1"/>
  <c r="D377" i="24"/>
  <c r="E377" i="24" s="1"/>
  <c r="F377" i="24" s="1"/>
  <c r="H377" i="24" s="1"/>
  <c r="I377" i="24" s="1"/>
  <c r="W78" i="24"/>
  <c r="D102" i="24"/>
  <c r="E102" i="24" s="1"/>
  <c r="F102" i="24" s="1"/>
  <c r="G102" i="24" s="1"/>
  <c r="CE102" i="6" s="1"/>
  <c r="W204" i="24"/>
  <c r="D50" i="24"/>
  <c r="E50" i="24" s="1"/>
  <c r="F50" i="24" s="1"/>
  <c r="G50" i="24" s="1"/>
  <c r="CE50" i="6" s="1"/>
  <c r="D177" i="24"/>
  <c r="E177" i="24" s="1"/>
  <c r="F177" i="24" s="1"/>
  <c r="G177" i="24" s="1"/>
  <c r="CE177" i="6" s="1"/>
  <c r="D213" i="24"/>
  <c r="E213" i="24" s="1"/>
  <c r="F213" i="24" s="1"/>
  <c r="G213" i="24" s="1"/>
  <c r="CE213" i="6" s="1"/>
  <c r="W79" i="24"/>
  <c r="D321" i="24"/>
  <c r="E321" i="24" s="1"/>
  <c r="F321" i="24" s="1"/>
  <c r="AA321" i="24" s="1"/>
  <c r="Z321" i="24" s="1"/>
  <c r="Y321" i="24" s="1"/>
  <c r="W290" i="24"/>
  <c r="W312" i="24"/>
  <c r="W355" i="24"/>
  <c r="D132" i="24"/>
  <c r="E132" i="24" s="1"/>
  <c r="F132" i="24" s="1"/>
  <c r="G132" i="24" s="1"/>
  <c r="CE132" i="6" s="1"/>
  <c r="W96" i="24"/>
  <c r="W252" i="24"/>
  <c r="D90" i="24"/>
  <c r="E90" i="24" s="1"/>
  <c r="F90" i="24" s="1"/>
  <c r="H90" i="24" s="1"/>
  <c r="D168" i="24"/>
  <c r="E168" i="24" s="1"/>
  <c r="F168" i="24" s="1"/>
  <c r="AA168" i="24" s="1"/>
  <c r="Z168" i="24" s="1"/>
  <c r="Y168" i="24" s="1"/>
  <c r="W368" i="24"/>
  <c r="D153" i="24"/>
  <c r="E153" i="24" s="1"/>
  <c r="F153" i="24" s="1"/>
  <c r="AA153" i="24" s="1"/>
  <c r="Z153" i="24" s="1"/>
  <c r="Y153" i="24" s="1"/>
  <c r="D155" i="24"/>
  <c r="E155" i="24" s="1"/>
  <c r="F155" i="24" s="1"/>
  <c r="G155" i="24" s="1"/>
  <c r="CE155" i="6" s="1"/>
  <c r="D39" i="24"/>
  <c r="E39" i="24" s="1"/>
  <c r="F39" i="24" s="1"/>
  <c r="H39" i="24" s="1"/>
  <c r="W291" i="24"/>
  <c r="H65" i="24"/>
  <c r="I65" i="24" s="1"/>
  <c r="W269" i="24"/>
  <c r="W25" i="24"/>
  <c r="D44" i="24"/>
  <c r="E44" i="24" s="1"/>
  <c r="F44" i="24" s="1"/>
  <c r="G44" i="24" s="1"/>
  <c r="CE44" i="6" s="1"/>
  <c r="H226" i="24"/>
  <c r="J226" i="24" s="1"/>
  <c r="V241" i="24"/>
  <c r="B241" i="24" s="1"/>
  <c r="D241" i="24" s="1"/>
  <c r="E241" i="24" s="1"/>
  <c r="F241" i="24" s="1"/>
  <c r="G241" i="24" s="1"/>
  <c r="CE241" i="6" s="1"/>
  <c r="W196" i="24"/>
  <c r="G88" i="24"/>
  <c r="CE88" i="6" s="1"/>
  <c r="I226" i="24"/>
  <c r="G40" i="24"/>
  <c r="CE40" i="6" s="1"/>
  <c r="H268" i="24"/>
  <c r="J268" i="24" s="1"/>
  <c r="H171" i="24"/>
  <c r="J171" i="24" s="1"/>
  <c r="H35" i="24"/>
  <c r="I35" i="24" s="1"/>
  <c r="H357" i="24"/>
  <c r="I357" i="24" s="1"/>
  <c r="AA40" i="24"/>
  <c r="Z40" i="24" s="1"/>
  <c r="Y40" i="24" s="1"/>
  <c r="AA304" i="24"/>
  <c r="Z304" i="24" s="1"/>
  <c r="Y304" i="24" s="1"/>
  <c r="AA35" i="24"/>
  <c r="Z35" i="24" s="1"/>
  <c r="Y35" i="24" s="1"/>
  <c r="AA338" i="24"/>
  <c r="Z338" i="24" s="1"/>
  <c r="Y338" i="24" s="1"/>
  <c r="D228" i="24"/>
  <c r="E228" i="24" s="1"/>
  <c r="F228" i="24" s="1"/>
  <c r="G228" i="24" s="1"/>
  <c r="CE228" i="6" s="1"/>
  <c r="D83" i="24"/>
  <c r="E83" i="24" s="1"/>
  <c r="F83" i="24" s="1"/>
  <c r="G83" i="24" s="1"/>
  <c r="CE83" i="6" s="1"/>
  <c r="W84" i="24"/>
  <c r="W137" i="24"/>
  <c r="D353" i="24"/>
  <c r="E353" i="24" s="1"/>
  <c r="F353" i="24" s="1"/>
  <c r="G353" i="24" s="1"/>
  <c r="CE353" i="6" s="1"/>
  <c r="W117" i="24"/>
  <c r="D62" i="24"/>
  <c r="E62" i="24" s="1"/>
  <c r="F62" i="24" s="1"/>
  <c r="H62" i="24" s="1"/>
  <c r="J62" i="24" s="1"/>
  <c r="W57" i="24"/>
  <c r="W127" i="24"/>
  <c r="W133" i="24"/>
  <c r="D286" i="24"/>
  <c r="E286" i="24" s="1"/>
  <c r="F286" i="24" s="1"/>
  <c r="H286" i="24" s="1"/>
  <c r="W233" i="24"/>
  <c r="W214" i="24"/>
  <c r="W150" i="24"/>
  <c r="W125" i="24"/>
  <c r="D361" i="24"/>
  <c r="E361" i="24" s="1"/>
  <c r="F361" i="24" s="1"/>
  <c r="AA361" i="24" s="1"/>
  <c r="Z361" i="24" s="1"/>
  <c r="Y361" i="24" s="1"/>
  <c r="W334" i="24"/>
  <c r="D49" i="24"/>
  <c r="E49" i="24" s="1"/>
  <c r="F49" i="24" s="1"/>
  <c r="H49" i="24" s="1"/>
  <c r="J49" i="24" s="1"/>
  <c r="W28" i="24"/>
  <c r="D134" i="24"/>
  <c r="E134" i="24" s="1"/>
  <c r="F134" i="24" s="1"/>
  <c r="G134" i="24" s="1"/>
  <c r="CE134" i="6" s="1"/>
  <c r="D164" i="24"/>
  <c r="E164" i="24" s="1"/>
  <c r="F164" i="24" s="1"/>
  <c r="G164" i="24" s="1"/>
  <c r="CE164" i="6" s="1"/>
  <c r="W108" i="24"/>
  <c r="D271" i="24"/>
  <c r="E271" i="24" s="1"/>
  <c r="F271" i="24" s="1"/>
  <c r="G271" i="24" s="1"/>
  <c r="CE271" i="6" s="1"/>
  <c r="D230" i="24"/>
  <c r="E230" i="24" s="1"/>
  <c r="F230" i="24" s="1"/>
  <c r="H230" i="24" s="1"/>
  <c r="J230" i="24" s="1"/>
  <c r="W93" i="24"/>
  <c r="H142" i="24"/>
  <c r="I142" i="24" s="1"/>
  <c r="D378" i="24"/>
  <c r="E378" i="24" s="1"/>
  <c r="F378" i="24" s="1"/>
  <c r="G378" i="24" s="1"/>
  <c r="CE378" i="6" s="1"/>
  <c r="D256" i="24"/>
  <c r="E256" i="24" s="1"/>
  <c r="F256" i="24" s="1"/>
  <c r="G256" i="24" s="1"/>
  <c r="CE256" i="6" s="1"/>
  <c r="W365" i="24"/>
  <c r="V363" i="24"/>
  <c r="B363" i="24" s="1"/>
  <c r="W363" i="24" s="1"/>
  <c r="D354" i="24"/>
  <c r="E354" i="24" s="1"/>
  <c r="F354" i="24" s="1"/>
  <c r="G354" i="24" s="1"/>
  <c r="CE354" i="6" s="1"/>
  <c r="H366" i="24"/>
  <c r="I366" i="24" s="1"/>
  <c r="D307" i="24"/>
  <c r="E307" i="24" s="1"/>
  <c r="F307" i="24" s="1"/>
  <c r="AA307" i="24" s="1"/>
  <c r="Z307" i="24" s="1"/>
  <c r="Y307" i="24" s="1"/>
  <c r="W307" i="24"/>
  <c r="H333" i="24"/>
  <c r="J333" i="24" s="1"/>
  <c r="G161" i="24"/>
  <c r="CE161" i="6" s="1"/>
  <c r="H161" i="24"/>
  <c r="W211" i="24"/>
  <c r="D211" i="24"/>
  <c r="E211" i="24" s="1"/>
  <c r="F211" i="24" s="1"/>
  <c r="H211" i="24" s="1"/>
  <c r="W372" i="24"/>
  <c r="D372" i="24"/>
  <c r="E372" i="24" s="1"/>
  <c r="F372" i="24" s="1"/>
  <c r="AA372" i="24" s="1"/>
  <c r="Z372" i="24" s="1"/>
  <c r="Y372" i="24" s="1"/>
  <c r="D212" i="24"/>
  <c r="E212" i="24" s="1"/>
  <c r="F212" i="24" s="1"/>
  <c r="G212" i="24" s="1"/>
  <c r="CE212" i="6" s="1"/>
  <c r="W212" i="24"/>
  <c r="W305" i="24"/>
  <c r="D305" i="24"/>
  <c r="E305" i="24" s="1"/>
  <c r="F305" i="24" s="1"/>
  <c r="H305" i="24" s="1"/>
  <c r="J305" i="24" s="1"/>
  <c r="W306" i="24"/>
  <c r="D306" i="24"/>
  <c r="E306" i="24" s="1"/>
  <c r="F306" i="24" s="1"/>
  <c r="G306" i="24" s="1"/>
  <c r="CE306" i="6" s="1"/>
  <c r="D348" i="24"/>
  <c r="E348" i="24" s="1"/>
  <c r="F348" i="24" s="1"/>
  <c r="G348" i="24" s="1"/>
  <c r="CE348" i="6" s="1"/>
  <c r="W348" i="24"/>
  <c r="AA88" i="24"/>
  <c r="Z88" i="24" s="1"/>
  <c r="Y88" i="24" s="1"/>
  <c r="H38" i="24"/>
  <c r="I38" i="24" s="1"/>
  <c r="G95" i="24"/>
  <c r="CE95" i="6" s="1"/>
  <c r="H174" i="24"/>
  <c r="J174" i="24" s="1"/>
  <c r="G94" i="24"/>
  <c r="CE94" i="6" s="1"/>
  <c r="H343" i="24"/>
  <c r="I343" i="24" s="1"/>
  <c r="H225" i="24"/>
  <c r="I225" i="24" s="1"/>
  <c r="H25" i="24"/>
  <c r="I25" i="24" s="1"/>
  <c r="H348" i="24"/>
  <c r="I348" i="24" s="1"/>
  <c r="D267" i="24"/>
  <c r="E267" i="24" s="1"/>
  <c r="F267" i="24" s="1"/>
  <c r="G267" i="24" s="1"/>
  <c r="CE267" i="6" s="1"/>
  <c r="D244" i="24"/>
  <c r="E244" i="24" s="1"/>
  <c r="F244" i="24" s="1"/>
  <c r="G244" i="24" s="1"/>
  <c r="CE244" i="6" s="1"/>
  <c r="D200" i="24"/>
  <c r="E200" i="24" s="1"/>
  <c r="F200" i="24" s="1"/>
  <c r="G200" i="24" s="1"/>
  <c r="CE200" i="6" s="1"/>
  <c r="D265" i="24"/>
  <c r="E265" i="24" s="1"/>
  <c r="F265" i="24" s="1"/>
  <c r="G265" i="24" s="1"/>
  <c r="CE265" i="6" s="1"/>
  <c r="W279" i="24"/>
  <c r="W238" i="24"/>
  <c r="W216" i="24"/>
  <c r="D371" i="24"/>
  <c r="E371" i="24" s="1"/>
  <c r="F371" i="24" s="1"/>
  <c r="H371" i="24" s="1"/>
  <c r="I371" i="24" s="1"/>
  <c r="D249" i="24"/>
  <c r="E249" i="24" s="1"/>
  <c r="F249" i="24" s="1"/>
  <c r="G249" i="24" s="1"/>
  <c r="CE249" i="6" s="1"/>
  <c r="W194" i="24"/>
  <c r="W221" i="24"/>
  <c r="D176" i="24"/>
  <c r="E176" i="24" s="1"/>
  <c r="F176" i="24" s="1"/>
  <c r="AA176" i="24" s="1"/>
  <c r="Z176" i="24" s="1"/>
  <c r="Y176" i="24" s="1"/>
  <c r="W156" i="24"/>
  <c r="W110" i="24"/>
  <c r="W86" i="24"/>
  <c r="W260" i="24"/>
  <c r="D165" i="24"/>
  <c r="E165" i="24" s="1"/>
  <c r="F165" i="24" s="1"/>
  <c r="H165" i="24" s="1"/>
  <c r="I165" i="24" s="1"/>
  <c r="W111" i="24"/>
  <c r="W192" i="24"/>
  <c r="D345" i="24"/>
  <c r="E345" i="24" s="1"/>
  <c r="F345" i="24" s="1"/>
  <c r="AA345" i="24" s="1"/>
  <c r="Z345" i="24" s="1"/>
  <c r="Y345" i="24" s="1"/>
  <c r="W104" i="24"/>
  <c r="D113" i="24"/>
  <c r="E113" i="24" s="1"/>
  <c r="F113" i="24" s="1"/>
  <c r="H113" i="24" s="1"/>
  <c r="W152" i="24"/>
  <c r="AH279" i="24"/>
  <c r="AG279" i="24" s="1"/>
  <c r="AF279" i="24" s="1"/>
  <c r="AI382" i="24"/>
  <c r="G104" i="24"/>
  <c r="CE104" i="6" s="1"/>
  <c r="H227" i="24"/>
  <c r="I227" i="24" s="1"/>
  <c r="D63" i="24"/>
  <c r="E63" i="24" s="1"/>
  <c r="F63" i="24" s="1"/>
  <c r="G63" i="24" s="1"/>
  <c r="CE63" i="6" s="1"/>
  <c r="W63" i="24"/>
  <c r="D45" i="24"/>
  <c r="E45" i="24" s="1"/>
  <c r="F45" i="24" s="1"/>
  <c r="G45" i="24" s="1"/>
  <c r="CE45" i="6" s="1"/>
  <c r="W45" i="24"/>
  <c r="D317" i="24"/>
  <c r="E317" i="24" s="1"/>
  <c r="F317" i="24" s="1"/>
  <c r="AA317" i="24" s="1"/>
  <c r="Z317" i="24" s="1"/>
  <c r="Y317" i="24" s="1"/>
  <c r="W317" i="24"/>
  <c r="AA45" i="24"/>
  <c r="Z45" i="24" s="1"/>
  <c r="Y45" i="24" s="1"/>
  <c r="W41" i="24"/>
  <c r="D41" i="24"/>
  <c r="E41" i="24" s="1"/>
  <c r="F41" i="24" s="1"/>
  <c r="G41" i="24" s="1"/>
  <c r="CE41" i="6" s="1"/>
  <c r="D162" i="24"/>
  <c r="E162" i="24" s="1"/>
  <c r="F162" i="24" s="1"/>
  <c r="G162" i="24" s="1"/>
  <c r="CE162" i="6" s="1"/>
  <c r="W162" i="24"/>
  <c r="W47" i="24"/>
  <c r="D47" i="24"/>
  <c r="E47" i="24" s="1"/>
  <c r="F47" i="24" s="1"/>
  <c r="G47" i="24" s="1"/>
  <c r="CE47" i="6" s="1"/>
  <c r="P19" i="24"/>
  <c r="V19" i="24" s="1"/>
  <c r="B19" i="24" s="1"/>
  <c r="D19" i="24" s="1"/>
  <c r="E19" i="24" s="1"/>
  <c r="F19" i="24" s="1"/>
  <c r="G19" i="24" s="1"/>
  <c r="CE19" i="6" s="1"/>
  <c r="Q382" i="24"/>
  <c r="AH56" i="7"/>
  <c r="V29" i="24"/>
  <c r="B29" i="24" s="1"/>
  <c r="D29" i="24" s="1"/>
  <c r="E29" i="24" s="1"/>
  <c r="F29" i="24" s="1"/>
  <c r="W48" i="24"/>
  <c r="D48" i="24"/>
  <c r="E48" i="24" s="1"/>
  <c r="F48" i="24" s="1"/>
  <c r="G48" i="24" s="1"/>
  <c r="CE48" i="6" s="1"/>
  <c r="D346" i="24"/>
  <c r="E346" i="24" s="1"/>
  <c r="F346" i="24" s="1"/>
  <c r="W346" i="24"/>
  <c r="D283" i="24"/>
  <c r="E283" i="24" s="1"/>
  <c r="F283" i="24" s="1"/>
  <c r="H283" i="24" s="1"/>
  <c r="I283" i="24" s="1"/>
  <c r="W283" i="24"/>
  <c r="D67" i="24"/>
  <c r="E67" i="24" s="1"/>
  <c r="F67" i="24" s="1"/>
  <c r="H67" i="24" s="1"/>
  <c r="W67" i="24"/>
  <c r="H350" i="24"/>
  <c r="J350" i="24" s="1"/>
  <c r="G350" i="24"/>
  <c r="CE350" i="6" s="1"/>
  <c r="W202" i="24"/>
  <c r="D202" i="24"/>
  <c r="E202" i="24" s="1"/>
  <c r="F202" i="24" s="1"/>
  <c r="H202" i="24" s="1"/>
  <c r="I202" i="24" s="1"/>
  <c r="W144" i="24"/>
  <c r="D144" i="24"/>
  <c r="E144" i="24" s="1"/>
  <c r="F144" i="24" s="1"/>
  <c r="G144" i="24" s="1"/>
  <c r="CE144" i="6" s="1"/>
  <c r="D277" i="24"/>
  <c r="E277" i="24" s="1"/>
  <c r="F277" i="24" s="1"/>
  <c r="G277" i="24" s="1"/>
  <c r="CE277" i="6" s="1"/>
  <c r="W277" i="24"/>
  <c r="W362" i="24"/>
  <c r="D362" i="24"/>
  <c r="E362" i="24" s="1"/>
  <c r="F362" i="24" s="1"/>
  <c r="G362" i="24" s="1"/>
  <c r="CE362" i="6" s="1"/>
  <c r="W222" i="24"/>
  <c r="D222" i="24"/>
  <c r="E222" i="24" s="1"/>
  <c r="F222" i="24" s="1"/>
  <c r="G222" i="24" s="1"/>
  <c r="CE222" i="6" s="1"/>
  <c r="D42" i="24"/>
  <c r="E42" i="24" s="1"/>
  <c r="F42" i="24" s="1"/>
  <c r="W42" i="24"/>
  <c r="D145" i="24"/>
  <c r="E145" i="24" s="1"/>
  <c r="F145" i="24" s="1"/>
  <c r="W145" i="24"/>
  <c r="W294" i="24"/>
  <c r="D294" i="24"/>
  <c r="E294" i="24" s="1"/>
  <c r="F294" i="24" s="1"/>
  <c r="H294" i="24" s="1"/>
  <c r="J294" i="24" s="1"/>
  <c r="D254" i="24"/>
  <c r="E254" i="24" s="1"/>
  <c r="F254" i="24" s="1"/>
  <c r="W254" i="24"/>
  <c r="G209" i="24"/>
  <c r="CE209" i="6" s="1"/>
  <c r="H209" i="24"/>
  <c r="I209" i="24" s="1"/>
  <c r="W128" i="24"/>
  <c r="D128" i="24"/>
  <c r="E128" i="24" s="1"/>
  <c r="F128" i="24" s="1"/>
  <c r="G128" i="24" s="1"/>
  <c r="CE128" i="6" s="1"/>
  <c r="W101" i="24"/>
  <c r="D101" i="24"/>
  <c r="E101" i="24" s="1"/>
  <c r="F101" i="24" s="1"/>
  <c r="G291" i="24"/>
  <c r="CE291" i="6" s="1"/>
  <c r="H291" i="24"/>
  <c r="I291" i="24" s="1"/>
  <c r="D59" i="24"/>
  <c r="E59" i="24" s="1"/>
  <c r="F59" i="24" s="1"/>
  <c r="AA59" i="24" s="1"/>
  <c r="Z59" i="24" s="1"/>
  <c r="Y59" i="24" s="1"/>
  <c r="W59" i="24"/>
  <c r="G99" i="24"/>
  <c r="CE99" i="6" s="1"/>
  <c r="H99" i="24"/>
  <c r="I99" i="24" s="1"/>
  <c r="W72" i="24"/>
  <c r="D72" i="24"/>
  <c r="E72" i="24" s="1"/>
  <c r="F72" i="24" s="1"/>
  <c r="AA72" i="24" s="1"/>
  <c r="Z72" i="24" s="1"/>
  <c r="Y72" i="24" s="1"/>
  <c r="D118" i="24"/>
  <c r="E118" i="24" s="1"/>
  <c r="F118" i="24" s="1"/>
  <c r="W118" i="24"/>
  <c r="D183" i="24"/>
  <c r="E183" i="24" s="1"/>
  <c r="F183" i="24" s="1"/>
  <c r="W183" i="24"/>
  <c r="H196" i="24"/>
  <c r="I196" i="24" s="1"/>
  <c r="G196" i="24"/>
  <c r="CE196" i="6" s="1"/>
  <c r="D184" i="24"/>
  <c r="E184" i="24" s="1"/>
  <c r="F184" i="24" s="1"/>
  <c r="G184" i="24" s="1"/>
  <c r="CE184" i="6" s="1"/>
  <c r="W184" i="24"/>
  <c r="AD210" i="24"/>
  <c r="AD323" i="24"/>
  <c r="AD379" i="24"/>
  <c r="AD177" i="24"/>
  <c r="H71" i="24"/>
  <c r="I71" i="24" s="1"/>
  <c r="AA269" i="24"/>
  <c r="Z269" i="24" s="1"/>
  <c r="Y269" i="24" s="1"/>
  <c r="AA25" i="24"/>
  <c r="Z25" i="24" s="1"/>
  <c r="Y25" i="24" s="1"/>
  <c r="AA38" i="24"/>
  <c r="Z38" i="24" s="1"/>
  <c r="Y38" i="24" s="1"/>
  <c r="AD309" i="24"/>
  <c r="AA95" i="24"/>
  <c r="Z95" i="24" s="1"/>
  <c r="Y95" i="24" s="1"/>
  <c r="AA71" i="24"/>
  <c r="Z71" i="24" s="1"/>
  <c r="Y71" i="24" s="1"/>
  <c r="AA51" i="24"/>
  <c r="Z51" i="24" s="1"/>
  <c r="Y51" i="24" s="1"/>
  <c r="AA103" i="24"/>
  <c r="Z103" i="24" s="1"/>
  <c r="Y103" i="24" s="1"/>
  <c r="AA99" i="24"/>
  <c r="Z99" i="24" s="1"/>
  <c r="Y99" i="24" s="1"/>
  <c r="AA319" i="24"/>
  <c r="Z319" i="24" s="1"/>
  <c r="Y319" i="24" s="1"/>
  <c r="AA291" i="24"/>
  <c r="Z291" i="24" s="1"/>
  <c r="Y291" i="24" s="1"/>
  <c r="AD367" i="24"/>
  <c r="AD279" i="24"/>
  <c r="AA279" i="24" s="1"/>
  <c r="Z279" i="24" s="1"/>
  <c r="Y279" i="24" s="1"/>
  <c r="AA333" i="24"/>
  <c r="Z333" i="24" s="1"/>
  <c r="Y333" i="24" s="1"/>
  <c r="AA225" i="24"/>
  <c r="Z225" i="24" s="1"/>
  <c r="Y225" i="24" s="1"/>
  <c r="AA174" i="24"/>
  <c r="Z174" i="24" s="1"/>
  <c r="Y174" i="24" s="1"/>
  <c r="AA227" i="24"/>
  <c r="Z227" i="24" s="1"/>
  <c r="Y227" i="24" s="1"/>
  <c r="P112" i="24"/>
  <c r="V112" i="24" s="1"/>
  <c r="B112" i="24" s="1"/>
  <c r="W112" i="24" s="1"/>
  <c r="W71" i="24"/>
  <c r="I40" i="24"/>
  <c r="H201" i="24"/>
  <c r="I201" i="24" s="1"/>
  <c r="AH57" i="7"/>
  <c r="U106" i="25"/>
  <c r="T106" i="25" s="1"/>
  <c r="S106" i="25" s="1"/>
  <c r="R106" i="25" s="1"/>
  <c r="U362" i="25"/>
  <c r="T362" i="25" s="1"/>
  <c r="S362" i="25" s="1"/>
  <c r="R362" i="25" s="1"/>
  <c r="U89" i="25"/>
  <c r="T89" i="25" s="1"/>
  <c r="S89" i="25" s="1"/>
  <c r="R89" i="25" s="1"/>
  <c r="U119" i="25"/>
  <c r="T119" i="25" s="1"/>
  <c r="S119" i="25" s="1"/>
  <c r="R119" i="25" s="1"/>
  <c r="U245" i="25"/>
  <c r="T245" i="25" s="1"/>
  <c r="S245" i="25" s="1"/>
  <c r="R245" i="25" s="1"/>
  <c r="U306" i="25"/>
  <c r="T306" i="25" s="1"/>
  <c r="S306" i="25" s="1"/>
  <c r="R306" i="25" s="1"/>
  <c r="U354" i="25"/>
  <c r="T354" i="25" s="1"/>
  <c r="S354" i="25" s="1"/>
  <c r="R354" i="25" s="1"/>
  <c r="U15" i="25"/>
  <c r="T15" i="25" s="1"/>
  <c r="U163" i="25"/>
  <c r="T163" i="25" s="1"/>
  <c r="S163" i="25" s="1"/>
  <c r="R163" i="25" s="1"/>
  <c r="U180" i="25"/>
  <c r="T180" i="25" s="1"/>
  <c r="S180" i="25" s="1"/>
  <c r="R180" i="25" s="1"/>
  <c r="U286" i="25"/>
  <c r="T286" i="25" s="1"/>
  <c r="S286" i="25" s="1"/>
  <c r="R286" i="25" s="1"/>
  <c r="U330" i="25"/>
  <c r="T330" i="25" s="1"/>
  <c r="S330" i="25" s="1"/>
  <c r="R330" i="25" s="1"/>
  <c r="U113" i="25"/>
  <c r="T113" i="25" s="1"/>
  <c r="S113" i="25" s="1"/>
  <c r="R113" i="25" s="1"/>
  <c r="U285" i="25"/>
  <c r="T285" i="25" s="1"/>
  <c r="S285" i="25" s="1"/>
  <c r="R285" i="25" s="1"/>
  <c r="U282" i="25"/>
  <c r="T282" i="25" s="1"/>
  <c r="S282" i="25" s="1"/>
  <c r="R282" i="25" s="1"/>
  <c r="U159" i="25"/>
  <c r="T159" i="25" s="1"/>
  <c r="S159" i="25" s="1"/>
  <c r="R159" i="25" s="1"/>
  <c r="U183" i="25"/>
  <c r="T183" i="25" s="1"/>
  <c r="S183" i="25" s="1"/>
  <c r="R183" i="25" s="1"/>
  <c r="U130" i="25"/>
  <c r="T130" i="25" s="1"/>
  <c r="S130" i="25" s="1"/>
  <c r="R130" i="25" s="1"/>
  <c r="U54" i="25"/>
  <c r="T54" i="25" s="1"/>
  <c r="S54" i="25" s="1"/>
  <c r="R54" i="25" s="1"/>
  <c r="U162" i="25"/>
  <c r="T162" i="25" s="1"/>
  <c r="S162" i="25" s="1"/>
  <c r="R162" i="25" s="1"/>
  <c r="U202" i="25"/>
  <c r="T202" i="25" s="1"/>
  <c r="S202" i="25" s="1"/>
  <c r="R202" i="25" s="1"/>
  <c r="U82" i="25"/>
  <c r="T82" i="25" s="1"/>
  <c r="S82" i="25" s="1"/>
  <c r="R82" i="25" s="1"/>
  <c r="U85" i="25"/>
  <c r="T85" i="25" s="1"/>
  <c r="S85" i="25" s="1"/>
  <c r="R85" i="25" s="1"/>
  <c r="U313" i="25"/>
  <c r="T313" i="25" s="1"/>
  <c r="S313" i="25" s="1"/>
  <c r="R313" i="25" s="1"/>
  <c r="U16" i="25"/>
  <c r="T16" i="25" s="1"/>
  <c r="S16" i="25" s="1"/>
  <c r="R16" i="25" s="1"/>
  <c r="U32" i="25"/>
  <c r="T32" i="25" s="1"/>
  <c r="S32" i="25" s="1"/>
  <c r="R32" i="25" s="1"/>
  <c r="U290" i="25"/>
  <c r="T290" i="25" s="1"/>
  <c r="S290" i="25" s="1"/>
  <c r="R290" i="25" s="1"/>
  <c r="U238" i="25"/>
  <c r="T238" i="25" s="1"/>
  <c r="S238" i="25" s="1"/>
  <c r="R238" i="25" s="1"/>
  <c r="U111" i="25"/>
  <c r="T111" i="25" s="1"/>
  <c r="S111" i="25" s="1"/>
  <c r="R111" i="25" s="1"/>
  <c r="U317" i="25"/>
  <c r="T317" i="25" s="1"/>
  <c r="S317" i="25" s="1"/>
  <c r="R317" i="25" s="1"/>
  <c r="U244" i="25"/>
  <c r="T244" i="25" s="1"/>
  <c r="S244" i="25" s="1"/>
  <c r="R244" i="25" s="1"/>
  <c r="U327" i="25"/>
  <c r="T327" i="25" s="1"/>
  <c r="S327" i="25" s="1"/>
  <c r="R327" i="25" s="1"/>
  <c r="U43" i="25"/>
  <c r="T43" i="25" s="1"/>
  <c r="S43" i="25" s="1"/>
  <c r="R43" i="25" s="1"/>
  <c r="U110" i="25"/>
  <c r="T110" i="25" s="1"/>
  <c r="S110" i="25" s="1"/>
  <c r="R110" i="25" s="1"/>
  <c r="U250" i="25"/>
  <c r="T250" i="25" s="1"/>
  <c r="S250" i="25" s="1"/>
  <c r="R250" i="25" s="1"/>
  <c r="U345" i="25"/>
  <c r="T345" i="25" s="1"/>
  <c r="S345" i="25" s="1"/>
  <c r="R345" i="25" s="1"/>
  <c r="U223" i="25"/>
  <c r="T223" i="25" s="1"/>
  <c r="S223" i="25" s="1"/>
  <c r="R223" i="25" s="1"/>
  <c r="U196" i="25"/>
  <c r="T196" i="25" s="1"/>
  <c r="S196" i="25" s="1"/>
  <c r="R196" i="25" s="1"/>
  <c r="U256" i="25"/>
  <c r="T256" i="25" s="1"/>
  <c r="S256" i="25" s="1"/>
  <c r="R256" i="25" s="1"/>
  <c r="U372" i="25"/>
  <c r="T372" i="25" s="1"/>
  <c r="S372" i="25" s="1"/>
  <c r="R372" i="25" s="1"/>
  <c r="U141" i="25"/>
  <c r="T141" i="25" s="1"/>
  <c r="S141" i="25" s="1"/>
  <c r="R141" i="25" s="1"/>
  <c r="U57" i="25"/>
  <c r="T57" i="25" s="1"/>
  <c r="S57" i="25" s="1"/>
  <c r="R57" i="25" s="1"/>
  <c r="U222" i="25"/>
  <c r="T222" i="25" s="1"/>
  <c r="S222" i="25" s="1"/>
  <c r="R222" i="25" s="1"/>
  <c r="U240" i="25"/>
  <c r="T240" i="25" s="1"/>
  <c r="S240" i="25" s="1"/>
  <c r="R240" i="25" s="1"/>
  <c r="U220" i="25"/>
  <c r="T220" i="25" s="1"/>
  <c r="S220" i="25" s="1"/>
  <c r="R220" i="25" s="1"/>
  <c r="U377" i="25"/>
  <c r="T377" i="25" s="1"/>
  <c r="S377" i="25" s="1"/>
  <c r="R377" i="25" s="1"/>
  <c r="U357" i="25"/>
  <c r="T357" i="25" s="1"/>
  <c r="S357" i="25" s="1"/>
  <c r="R357" i="25" s="1"/>
  <c r="U153" i="25"/>
  <c r="T153" i="25" s="1"/>
  <c r="S153" i="25" s="1"/>
  <c r="R153" i="25" s="1"/>
  <c r="U265" i="25"/>
  <c r="T265" i="25" s="1"/>
  <c r="S265" i="25" s="1"/>
  <c r="R265" i="25" s="1"/>
  <c r="U255" i="25"/>
  <c r="T255" i="25" s="1"/>
  <c r="S255" i="25" s="1"/>
  <c r="R255" i="25" s="1"/>
  <c r="U336" i="25"/>
  <c r="T336" i="25" s="1"/>
  <c r="S336" i="25" s="1"/>
  <c r="R336" i="25" s="1"/>
  <c r="U300" i="25"/>
  <c r="T300" i="25" s="1"/>
  <c r="S300" i="25" s="1"/>
  <c r="R300" i="25" s="1"/>
  <c r="U165" i="25"/>
  <c r="T165" i="25" s="1"/>
  <c r="S165" i="25" s="1"/>
  <c r="R165" i="25" s="1"/>
  <c r="U218" i="25"/>
  <c r="T218" i="25" s="1"/>
  <c r="S218" i="25" s="1"/>
  <c r="R218" i="25" s="1"/>
  <c r="U296" i="25"/>
  <c r="T296" i="25" s="1"/>
  <c r="S296" i="25" s="1"/>
  <c r="R296" i="25" s="1"/>
  <c r="U379" i="25"/>
  <c r="BF16" i="7" s="1"/>
  <c r="D218" i="24"/>
  <c r="E218" i="24" s="1"/>
  <c r="F218" i="24" s="1"/>
  <c r="G218" i="24" s="1"/>
  <c r="CE218" i="6" s="1"/>
  <c r="D180" i="24"/>
  <c r="E180" i="24" s="1"/>
  <c r="F180" i="24" s="1"/>
  <c r="G180" i="24" s="1"/>
  <c r="CE180" i="6" s="1"/>
  <c r="AI43" i="25"/>
  <c r="AH43" i="25" s="1"/>
  <c r="AG43" i="25" s="1"/>
  <c r="AF43" i="25" s="1"/>
  <c r="AI97" i="25"/>
  <c r="AH97" i="25" s="1"/>
  <c r="AG97" i="25" s="1"/>
  <c r="AF97" i="25" s="1"/>
  <c r="BG16" i="7"/>
  <c r="U37" i="25"/>
  <c r="T37" i="25" s="1"/>
  <c r="S37" i="25" s="1"/>
  <c r="R37" i="25" s="1"/>
  <c r="U28" i="25"/>
  <c r="T28" i="25" s="1"/>
  <c r="S28" i="25" s="1"/>
  <c r="R28" i="25" s="1"/>
  <c r="U175" i="25"/>
  <c r="T175" i="25" s="1"/>
  <c r="S175" i="25" s="1"/>
  <c r="R175" i="25" s="1"/>
  <c r="U18" i="25"/>
  <c r="T18" i="25" s="1"/>
  <c r="S18" i="25" s="1"/>
  <c r="R18" i="25" s="1"/>
  <c r="U263" i="25"/>
  <c r="T263" i="25" s="1"/>
  <c r="S263" i="25" s="1"/>
  <c r="R263" i="25" s="1"/>
  <c r="U168" i="25"/>
  <c r="T168" i="25" s="1"/>
  <c r="S168" i="25" s="1"/>
  <c r="R168" i="25" s="1"/>
  <c r="U157" i="25"/>
  <c r="T157" i="25" s="1"/>
  <c r="S157" i="25" s="1"/>
  <c r="R157" i="25" s="1"/>
  <c r="U211" i="25"/>
  <c r="T211" i="25" s="1"/>
  <c r="S211" i="25" s="1"/>
  <c r="R211" i="25" s="1"/>
  <c r="U78" i="25"/>
  <c r="T78" i="25" s="1"/>
  <c r="S78" i="25" s="1"/>
  <c r="R78" i="25" s="1"/>
  <c r="U64" i="25"/>
  <c r="T64" i="25" s="1"/>
  <c r="S64" i="25" s="1"/>
  <c r="R64" i="25" s="1"/>
  <c r="U318" i="25"/>
  <c r="T318" i="25" s="1"/>
  <c r="S318" i="25" s="1"/>
  <c r="R318" i="25" s="1"/>
  <c r="U348" i="25"/>
  <c r="T348" i="25" s="1"/>
  <c r="S348" i="25" s="1"/>
  <c r="R348" i="25" s="1"/>
  <c r="U104" i="25"/>
  <c r="T104" i="25" s="1"/>
  <c r="S104" i="25" s="1"/>
  <c r="R104" i="25" s="1"/>
  <c r="U94" i="25"/>
  <c r="T94" i="25" s="1"/>
  <c r="S94" i="25" s="1"/>
  <c r="R94" i="25" s="1"/>
  <c r="U60" i="25"/>
  <c r="T60" i="25" s="1"/>
  <c r="S60" i="25" s="1"/>
  <c r="R60" i="25" s="1"/>
  <c r="U227" i="25"/>
  <c r="T227" i="25" s="1"/>
  <c r="S227" i="25" s="1"/>
  <c r="R227" i="25" s="1"/>
  <c r="U47" i="25"/>
  <c r="T47" i="25" s="1"/>
  <c r="S47" i="25" s="1"/>
  <c r="R47" i="25" s="1"/>
  <c r="U50" i="25"/>
  <c r="T50" i="25" s="1"/>
  <c r="S50" i="25" s="1"/>
  <c r="R50" i="25" s="1"/>
  <c r="U200" i="25"/>
  <c r="T200" i="25" s="1"/>
  <c r="S200" i="25" s="1"/>
  <c r="R200" i="25" s="1"/>
  <c r="U100" i="25"/>
  <c r="T100" i="25" s="1"/>
  <c r="S100" i="25" s="1"/>
  <c r="R100" i="25" s="1"/>
  <c r="U305" i="25"/>
  <c r="T305" i="25" s="1"/>
  <c r="S305" i="25" s="1"/>
  <c r="R305" i="25" s="1"/>
  <c r="U170" i="25"/>
  <c r="T170" i="25" s="1"/>
  <c r="S170" i="25" s="1"/>
  <c r="R170" i="25" s="1"/>
  <c r="U56" i="25"/>
  <c r="T56" i="25" s="1"/>
  <c r="S56" i="25" s="1"/>
  <c r="R56" i="25" s="1"/>
  <c r="U169" i="25"/>
  <c r="T169" i="25" s="1"/>
  <c r="S169" i="25" s="1"/>
  <c r="R169" i="25" s="1"/>
  <c r="U229" i="25"/>
  <c r="T229" i="25" s="1"/>
  <c r="S229" i="25" s="1"/>
  <c r="R229" i="25" s="1"/>
  <c r="U319" i="25"/>
  <c r="T319" i="25" s="1"/>
  <c r="S319" i="25" s="1"/>
  <c r="R319" i="25" s="1"/>
  <c r="U228" i="25"/>
  <c r="T228" i="25" s="1"/>
  <c r="S228" i="25" s="1"/>
  <c r="R228" i="25" s="1"/>
  <c r="U193" i="25"/>
  <c r="T193" i="25" s="1"/>
  <c r="S193" i="25" s="1"/>
  <c r="R193" i="25" s="1"/>
  <c r="U105" i="25"/>
  <c r="T105" i="25" s="1"/>
  <c r="S105" i="25" s="1"/>
  <c r="R105" i="25" s="1"/>
  <c r="U342" i="25"/>
  <c r="T342" i="25" s="1"/>
  <c r="S342" i="25" s="1"/>
  <c r="R342" i="25" s="1"/>
  <c r="U206" i="25"/>
  <c r="T206" i="25" s="1"/>
  <c r="S206" i="25" s="1"/>
  <c r="R206" i="25" s="1"/>
  <c r="U261" i="25"/>
  <c r="T261" i="25" s="1"/>
  <c r="S261" i="25" s="1"/>
  <c r="R261" i="25" s="1"/>
  <c r="U281" i="25"/>
  <c r="T281" i="25" s="1"/>
  <c r="S281" i="25" s="1"/>
  <c r="R281" i="25" s="1"/>
  <c r="U123" i="25"/>
  <c r="T123" i="25" s="1"/>
  <c r="S123" i="25" s="1"/>
  <c r="R123" i="25" s="1"/>
  <c r="U109" i="25"/>
  <c r="T109" i="25" s="1"/>
  <c r="S109" i="25" s="1"/>
  <c r="R109" i="25" s="1"/>
  <c r="U189" i="25"/>
  <c r="T189" i="25" s="1"/>
  <c r="S189" i="25" s="1"/>
  <c r="R189" i="25" s="1"/>
  <c r="U344" i="25"/>
  <c r="T344" i="25" s="1"/>
  <c r="S344" i="25" s="1"/>
  <c r="R344" i="25" s="1"/>
  <c r="U84" i="25"/>
  <c r="T84" i="25" s="1"/>
  <c r="S84" i="25" s="1"/>
  <c r="R84" i="25" s="1"/>
  <c r="U132" i="25"/>
  <c r="T132" i="25" s="1"/>
  <c r="S132" i="25" s="1"/>
  <c r="R132" i="25" s="1"/>
  <c r="U246" i="25"/>
  <c r="T246" i="25" s="1"/>
  <c r="S246" i="25" s="1"/>
  <c r="R246" i="25" s="1"/>
  <c r="U374" i="25"/>
  <c r="T374" i="25" s="1"/>
  <c r="S374" i="25" s="1"/>
  <c r="R374" i="25" s="1"/>
  <c r="U232" i="25"/>
  <c r="T232" i="25" s="1"/>
  <c r="S232" i="25" s="1"/>
  <c r="R232" i="25" s="1"/>
  <c r="U140" i="25"/>
  <c r="T140" i="25" s="1"/>
  <c r="S140" i="25" s="1"/>
  <c r="R140" i="25" s="1"/>
  <c r="U95" i="25"/>
  <c r="T95" i="25" s="1"/>
  <c r="S95" i="25" s="1"/>
  <c r="R95" i="25" s="1"/>
  <c r="U171" i="25"/>
  <c r="T171" i="25" s="1"/>
  <c r="S171" i="25" s="1"/>
  <c r="R171" i="25" s="1"/>
  <c r="U127" i="25"/>
  <c r="T127" i="25" s="1"/>
  <c r="S127" i="25" s="1"/>
  <c r="R127" i="25" s="1"/>
  <c r="U267" i="25"/>
  <c r="T267" i="25" s="1"/>
  <c r="S267" i="25" s="1"/>
  <c r="R267" i="25" s="1"/>
  <c r="U334" i="25"/>
  <c r="T334" i="25" s="1"/>
  <c r="S334" i="25" s="1"/>
  <c r="R334" i="25" s="1"/>
  <c r="U315" i="25"/>
  <c r="T315" i="25" s="1"/>
  <c r="S315" i="25" s="1"/>
  <c r="R315" i="25" s="1"/>
  <c r="U186" i="25"/>
  <c r="T186" i="25" s="1"/>
  <c r="S186" i="25" s="1"/>
  <c r="R186" i="25" s="1"/>
  <c r="U25" i="25"/>
  <c r="T25" i="25" s="1"/>
  <c r="S25" i="25" s="1"/>
  <c r="R25" i="25" s="1"/>
  <c r="U301" i="25"/>
  <c r="T301" i="25" s="1"/>
  <c r="S301" i="25" s="1"/>
  <c r="R301" i="25" s="1"/>
  <c r="U215" i="25"/>
  <c r="T215" i="25" s="1"/>
  <c r="S215" i="25" s="1"/>
  <c r="R215" i="25" s="1"/>
  <c r="U19" i="25"/>
  <c r="T19" i="25" s="1"/>
  <c r="S19" i="25" s="1"/>
  <c r="R19" i="25" s="1"/>
  <c r="U259" i="25"/>
  <c r="T259" i="25" s="1"/>
  <c r="S259" i="25" s="1"/>
  <c r="R259" i="25" s="1"/>
  <c r="U188" i="25"/>
  <c r="T188" i="25" s="1"/>
  <c r="S188" i="25" s="1"/>
  <c r="R188" i="25" s="1"/>
  <c r="U249" i="25"/>
  <c r="T249" i="25" s="1"/>
  <c r="S249" i="25" s="1"/>
  <c r="R249" i="25" s="1"/>
  <c r="U65" i="25"/>
  <c r="T65" i="25" s="1"/>
  <c r="S65" i="25" s="1"/>
  <c r="R65" i="25" s="1"/>
  <c r="U276" i="25"/>
  <c r="T276" i="25" s="1"/>
  <c r="S276" i="25" s="1"/>
  <c r="R276" i="25" s="1"/>
  <c r="U91" i="25"/>
  <c r="T91" i="25" s="1"/>
  <c r="S91" i="25" s="1"/>
  <c r="R91" i="25" s="1"/>
  <c r="U155" i="25"/>
  <c r="T155" i="25" s="1"/>
  <c r="S155" i="25" s="1"/>
  <c r="R155" i="25" s="1"/>
  <c r="U369" i="25"/>
  <c r="T369" i="25" s="1"/>
  <c r="S369" i="25" s="1"/>
  <c r="R369" i="25" s="1"/>
  <c r="U224" i="25"/>
  <c r="T224" i="25" s="1"/>
  <c r="S224" i="25" s="1"/>
  <c r="R224" i="25" s="1"/>
  <c r="U81" i="25"/>
  <c r="T81" i="25" s="1"/>
  <c r="S81" i="25" s="1"/>
  <c r="R81" i="25" s="1"/>
  <c r="U284" i="25"/>
  <c r="T284" i="25" s="1"/>
  <c r="S284" i="25" s="1"/>
  <c r="R284" i="25" s="1"/>
  <c r="U75" i="25"/>
  <c r="T75" i="25" s="1"/>
  <c r="S75" i="25" s="1"/>
  <c r="R75" i="25" s="1"/>
  <c r="U333" i="25"/>
  <c r="T333" i="25" s="1"/>
  <c r="S333" i="25" s="1"/>
  <c r="R333" i="25" s="1"/>
  <c r="U185" i="25"/>
  <c r="T185" i="25" s="1"/>
  <c r="S185" i="25" s="1"/>
  <c r="R185" i="25" s="1"/>
  <c r="U269" i="25"/>
  <c r="T269" i="25" s="1"/>
  <c r="S269" i="25" s="1"/>
  <c r="R269" i="25" s="1"/>
  <c r="U363" i="25"/>
  <c r="T363" i="25" s="1"/>
  <c r="S363" i="25" s="1"/>
  <c r="R363" i="25" s="1"/>
  <c r="U38" i="25"/>
  <c r="T38" i="25" s="1"/>
  <c r="S38" i="25" s="1"/>
  <c r="R38" i="25" s="1"/>
  <c r="U103" i="25"/>
  <c r="T103" i="25" s="1"/>
  <c r="S103" i="25" s="1"/>
  <c r="R103" i="25" s="1"/>
  <c r="U324" i="25"/>
  <c r="T324" i="25" s="1"/>
  <c r="S324" i="25" s="1"/>
  <c r="R324" i="25" s="1"/>
  <c r="U294" i="25"/>
  <c r="T294" i="25" s="1"/>
  <c r="S294" i="25" s="1"/>
  <c r="R294" i="25" s="1"/>
  <c r="U257" i="25"/>
  <c r="T257" i="25" s="1"/>
  <c r="S257" i="25" s="1"/>
  <c r="R257" i="25" s="1"/>
  <c r="U27" i="25"/>
  <c r="T27" i="25" s="1"/>
  <c r="S27" i="25" s="1"/>
  <c r="R27" i="25" s="1"/>
  <c r="U139" i="25"/>
  <c r="T139" i="25" s="1"/>
  <c r="S139" i="25" s="1"/>
  <c r="R139" i="25" s="1"/>
  <c r="U279" i="25"/>
  <c r="T279" i="25" s="1"/>
  <c r="S279" i="25" s="1"/>
  <c r="R279" i="25" s="1"/>
  <c r="U49" i="25"/>
  <c r="T49" i="25" s="1"/>
  <c r="S49" i="25" s="1"/>
  <c r="R49" i="25" s="1"/>
  <c r="U53" i="25"/>
  <c r="T53" i="25" s="1"/>
  <c r="S53" i="25" s="1"/>
  <c r="R53" i="25" s="1"/>
  <c r="U88" i="25"/>
  <c r="T88" i="25" s="1"/>
  <c r="S88" i="25" s="1"/>
  <c r="R88" i="25" s="1"/>
  <c r="U311" i="25"/>
  <c r="T311" i="25" s="1"/>
  <c r="S311" i="25" s="1"/>
  <c r="R311" i="25" s="1"/>
  <c r="U192" i="25"/>
  <c r="T192" i="25" s="1"/>
  <c r="S192" i="25" s="1"/>
  <c r="R192" i="25" s="1"/>
  <c r="U338" i="25"/>
  <c r="T338" i="25" s="1"/>
  <c r="S338" i="25" s="1"/>
  <c r="R338" i="25" s="1"/>
  <c r="U214" i="25"/>
  <c r="T214" i="25" s="1"/>
  <c r="S214" i="25" s="1"/>
  <c r="R214" i="25" s="1"/>
  <c r="U203" i="25"/>
  <c r="T203" i="25" s="1"/>
  <c r="S203" i="25" s="1"/>
  <c r="R203" i="25" s="1"/>
  <c r="U87" i="25"/>
  <c r="T87" i="25" s="1"/>
  <c r="S87" i="25" s="1"/>
  <c r="R87" i="25" s="1"/>
  <c r="U42" i="25"/>
  <c r="T42" i="25" s="1"/>
  <c r="S42" i="25" s="1"/>
  <c r="R42" i="25" s="1"/>
  <c r="U360" i="25"/>
  <c r="T360" i="25" s="1"/>
  <c r="S360" i="25" s="1"/>
  <c r="R360" i="25" s="1"/>
  <c r="U366" i="25"/>
  <c r="T366" i="25" s="1"/>
  <c r="S366" i="25" s="1"/>
  <c r="R366" i="25" s="1"/>
  <c r="U299" i="25"/>
  <c r="T299" i="25" s="1"/>
  <c r="S299" i="25" s="1"/>
  <c r="R299" i="25" s="1"/>
  <c r="U52" i="25"/>
  <c r="T52" i="25" s="1"/>
  <c r="S52" i="25" s="1"/>
  <c r="R52" i="25" s="1"/>
  <c r="U108" i="25"/>
  <c r="T108" i="25" s="1"/>
  <c r="S108" i="25" s="1"/>
  <c r="R108" i="25" s="1"/>
  <c r="U131" i="25"/>
  <c r="T131" i="25" s="1"/>
  <c r="S131" i="25" s="1"/>
  <c r="R131" i="25" s="1"/>
  <c r="U68" i="25"/>
  <c r="T68" i="25" s="1"/>
  <c r="S68" i="25" s="1"/>
  <c r="R68" i="25" s="1"/>
  <c r="U275" i="25"/>
  <c r="T275" i="25" s="1"/>
  <c r="S275" i="25" s="1"/>
  <c r="R275" i="25" s="1"/>
  <c r="U61" i="25"/>
  <c r="T61" i="25" s="1"/>
  <c r="S61" i="25" s="1"/>
  <c r="R61" i="25" s="1"/>
  <c r="U252" i="25"/>
  <c r="T252" i="25" s="1"/>
  <c r="S252" i="25" s="1"/>
  <c r="R252" i="25" s="1"/>
  <c r="U59" i="25"/>
  <c r="T59" i="25" s="1"/>
  <c r="S59" i="25" s="1"/>
  <c r="R59" i="25" s="1"/>
  <c r="AI62" i="25"/>
  <c r="AH62" i="25" s="1"/>
  <c r="AG62" i="25" s="1"/>
  <c r="AF62" i="25" s="1"/>
  <c r="H365" i="24"/>
  <c r="AA365" i="24"/>
  <c r="Z365" i="24" s="1"/>
  <c r="Y365" i="24" s="1"/>
  <c r="D138" i="24"/>
  <c r="E138" i="24" s="1"/>
  <c r="F138" i="24" s="1"/>
  <c r="AA138" i="24" s="1"/>
  <c r="Z138" i="24" s="1"/>
  <c r="Y138" i="24" s="1"/>
  <c r="D293" i="24"/>
  <c r="E293" i="24" s="1"/>
  <c r="F293" i="24" s="1"/>
  <c r="G293" i="24" s="1"/>
  <c r="CE293" i="6" s="1"/>
  <c r="D31" i="24"/>
  <c r="E31" i="24" s="1"/>
  <c r="F31" i="24" s="1"/>
  <c r="H31" i="24" s="1"/>
  <c r="J31" i="24" s="1"/>
  <c r="W142" i="24"/>
  <c r="W175" i="24"/>
  <c r="AH61" i="7"/>
  <c r="AI41" i="25"/>
  <c r="AH41" i="25" s="1"/>
  <c r="AG41" i="25" s="1"/>
  <c r="AF41" i="25" s="1"/>
  <c r="B239" i="24"/>
  <c r="W239" i="24" s="1"/>
  <c r="W255" i="24"/>
  <c r="D255" i="24"/>
  <c r="E255" i="24" s="1"/>
  <c r="F255" i="24" s="1"/>
  <c r="H255" i="24" s="1"/>
  <c r="J255" i="24" s="1"/>
  <c r="D332" i="24"/>
  <c r="E332" i="24" s="1"/>
  <c r="F332" i="24" s="1"/>
  <c r="W332" i="24"/>
  <c r="D288" i="24"/>
  <c r="E288" i="24" s="1"/>
  <c r="F288" i="24" s="1"/>
  <c r="AA288" i="24" s="1"/>
  <c r="Z288" i="24" s="1"/>
  <c r="Y288" i="24" s="1"/>
  <c r="W288" i="24"/>
  <c r="D340" i="24"/>
  <c r="E340" i="24" s="1"/>
  <c r="F340" i="24" s="1"/>
  <c r="G340" i="24" s="1"/>
  <c r="CE340" i="6" s="1"/>
  <c r="W340" i="24"/>
  <c r="D186" i="24"/>
  <c r="E186" i="24" s="1"/>
  <c r="F186" i="24" s="1"/>
  <c r="G186" i="24" s="1"/>
  <c r="CE186" i="6" s="1"/>
  <c r="W186" i="24"/>
  <c r="W246" i="24"/>
  <c r="D246" i="24"/>
  <c r="E246" i="24" s="1"/>
  <c r="F246" i="24" s="1"/>
  <c r="AA246" i="24" s="1"/>
  <c r="Z246" i="24" s="1"/>
  <c r="Y246" i="24" s="1"/>
  <c r="W52" i="24"/>
  <c r="D52" i="24"/>
  <c r="E52" i="24" s="1"/>
  <c r="F52" i="24" s="1"/>
  <c r="G52" i="24" s="1"/>
  <c r="CE52" i="6" s="1"/>
  <c r="D208" i="24"/>
  <c r="E208" i="24" s="1"/>
  <c r="F208" i="24" s="1"/>
  <c r="G208" i="24" s="1"/>
  <c r="CE208" i="6" s="1"/>
  <c r="W208" i="24"/>
  <c r="W82" i="24"/>
  <c r="D82" i="24"/>
  <c r="E82" i="24" s="1"/>
  <c r="F82" i="24" s="1"/>
  <c r="AA82" i="24" s="1"/>
  <c r="Z82" i="24" s="1"/>
  <c r="Y82" i="24" s="1"/>
  <c r="W229" i="24"/>
  <c r="D229" i="24"/>
  <c r="E229" i="24" s="1"/>
  <c r="F229" i="24" s="1"/>
  <c r="G229" i="24" s="1"/>
  <c r="CE229" i="6" s="1"/>
  <c r="D369" i="24"/>
  <c r="E369" i="24" s="1"/>
  <c r="F369" i="24" s="1"/>
  <c r="G369" i="24" s="1"/>
  <c r="CE369" i="6" s="1"/>
  <c r="W369" i="24"/>
  <c r="D335" i="24"/>
  <c r="E335" i="24" s="1"/>
  <c r="F335" i="24" s="1"/>
  <c r="G335" i="24" s="1"/>
  <c r="CE335" i="6" s="1"/>
  <c r="W335" i="24"/>
  <c r="W43" i="24"/>
  <c r="D43" i="24"/>
  <c r="E43" i="24" s="1"/>
  <c r="F43" i="24" s="1"/>
  <c r="AA43" i="24" s="1"/>
  <c r="Z43" i="24" s="1"/>
  <c r="Y43" i="24" s="1"/>
  <c r="D130" i="24"/>
  <c r="E130" i="24" s="1"/>
  <c r="F130" i="24" s="1"/>
  <c r="AA130" i="24" s="1"/>
  <c r="Z130" i="24" s="1"/>
  <c r="Y130" i="24" s="1"/>
  <c r="W130" i="24"/>
  <c r="D34" i="24"/>
  <c r="E34" i="24" s="1"/>
  <c r="F34" i="24" s="1"/>
  <c r="G34" i="24" s="1"/>
  <c r="CE34" i="6" s="1"/>
  <c r="W34" i="24"/>
  <c r="W66" i="24"/>
  <c r="D66" i="24"/>
  <c r="E66" i="24" s="1"/>
  <c r="F66" i="24" s="1"/>
  <c r="H66" i="24" s="1"/>
  <c r="I66" i="24" s="1"/>
  <c r="D347" i="24"/>
  <c r="E347" i="24" s="1"/>
  <c r="F347" i="24" s="1"/>
  <c r="W347" i="24"/>
  <c r="B167" i="24"/>
  <c r="G69" i="19"/>
  <c r="D81" i="24"/>
  <c r="E81" i="24" s="1"/>
  <c r="F81" i="24" s="1"/>
  <c r="H81" i="24" s="1"/>
  <c r="J81" i="24" s="1"/>
  <c r="W81" i="24"/>
  <c r="H322" i="24"/>
  <c r="G322" i="24"/>
  <c r="CE322" i="6" s="1"/>
  <c r="W77" i="24"/>
  <c r="D77" i="24"/>
  <c r="E77" i="24" s="1"/>
  <c r="F77" i="24" s="1"/>
  <c r="AA77" i="24" s="1"/>
  <c r="Z77" i="24" s="1"/>
  <c r="Y77" i="24" s="1"/>
  <c r="W313" i="24"/>
  <c r="D313" i="24"/>
  <c r="E313" i="24" s="1"/>
  <c r="F313" i="24" s="1"/>
  <c r="G313" i="24" s="1"/>
  <c r="CE313" i="6" s="1"/>
  <c r="W285" i="24"/>
  <c r="D285" i="24"/>
  <c r="E285" i="24" s="1"/>
  <c r="F285" i="24" s="1"/>
  <c r="H285" i="24" s="1"/>
  <c r="D276" i="24"/>
  <c r="E276" i="24" s="1"/>
  <c r="F276" i="24" s="1"/>
  <c r="W276" i="24"/>
  <c r="W182" i="24"/>
  <c r="D182" i="24"/>
  <c r="E182" i="24" s="1"/>
  <c r="F182" i="24" s="1"/>
  <c r="G182" i="24" s="1"/>
  <c r="CE182" i="6" s="1"/>
  <c r="C69" i="19"/>
  <c r="D193" i="24"/>
  <c r="E193" i="24" s="1"/>
  <c r="F193" i="24" s="1"/>
  <c r="G193" i="24" s="1"/>
  <c r="CE193" i="6" s="1"/>
  <c r="W193" i="24"/>
  <c r="D100" i="24"/>
  <c r="E100" i="24" s="1"/>
  <c r="F100" i="24" s="1"/>
  <c r="G100" i="24" s="1"/>
  <c r="CE100" i="6" s="1"/>
  <c r="W100" i="24"/>
  <c r="W375" i="24"/>
  <c r="D375" i="24"/>
  <c r="E375" i="24" s="1"/>
  <c r="F375" i="24" s="1"/>
  <c r="H375" i="24" s="1"/>
  <c r="W327" i="24"/>
  <c r="D327" i="24"/>
  <c r="E327" i="24" s="1"/>
  <c r="F327" i="24" s="1"/>
  <c r="AA327" i="24" s="1"/>
  <c r="Z327" i="24" s="1"/>
  <c r="Y327" i="24" s="1"/>
  <c r="W91" i="24"/>
  <c r="D91" i="24"/>
  <c r="E91" i="24" s="1"/>
  <c r="F91" i="24" s="1"/>
  <c r="AA91" i="24" s="1"/>
  <c r="Z91" i="24" s="1"/>
  <c r="Y91" i="24" s="1"/>
  <c r="D223" i="24"/>
  <c r="E223" i="24" s="1"/>
  <c r="F223" i="24" s="1"/>
  <c r="G223" i="24" s="1"/>
  <c r="CE223" i="6" s="1"/>
  <c r="W223" i="24"/>
  <c r="W69" i="24"/>
  <c r="D69" i="24"/>
  <c r="E69" i="24" s="1"/>
  <c r="F69" i="24" s="1"/>
  <c r="H69" i="24" s="1"/>
  <c r="W24" i="24"/>
  <c r="D24" i="24"/>
  <c r="E24" i="24" s="1"/>
  <c r="F24" i="24" s="1"/>
  <c r="AA24" i="24" s="1"/>
  <c r="Z24" i="24" s="1"/>
  <c r="Y24" i="24" s="1"/>
  <c r="D195" i="24"/>
  <c r="E195" i="24" s="1"/>
  <c r="F195" i="24" s="1"/>
  <c r="G195" i="24" s="1"/>
  <c r="CE195" i="6" s="1"/>
  <c r="W195" i="24"/>
  <c r="W146" i="24"/>
  <c r="D146" i="24"/>
  <c r="E146" i="24" s="1"/>
  <c r="F146" i="24" s="1"/>
  <c r="AA146" i="24" s="1"/>
  <c r="Z146" i="24" s="1"/>
  <c r="Y146" i="24" s="1"/>
  <c r="W121" i="24"/>
  <c r="D121" i="24"/>
  <c r="E121" i="24" s="1"/>
  <c r="F121" i="24" s="1"/>
  <c r="G121" i="24" s="1"/>
  <c r="CE121" i="6" s="1"/>
  <c r="D188" i="24"/>
  <c r="E188" i="24" s="1"/>
  <c r="F188" i="24" s="1"/>
  <c r="AA188" i="24" s="1"/>
  <c r="Z188" i="24" s="1"/>
  <c r="Y188" i="24" s="1"/>
  <c r="W188" i="24"/>
  <c r="D17" i="24"/>
  <c r="E17" i="24" s="1"/>
  <c r="F17" i="24" s="1"/>
  <c r="W17" i="24"/>
  <c r="W64" i="24"/>
  <c r="D64" i="24"/>
  <c r="E64" i="24" s="1"/>
  <c r="F64" i="24" s="1"/>
  <c r="G64" i="24" s="1"/>
  <c r="CE64" i="6" s="1"/>
  <c r="J342" i="24"/>
  <c r="H334" i="24"/>
  <c r="I334" i="24" s="1"/>
  <c r="G304" i="24"/>
  <c r="CE304" i="6" s="1"/>
  <c r="AD275" i="24"/>
  <c r="AA275" i="24" s="1"/>
  <c r="Z275" i="24" s="1"/>
  <c r="Y275" i="24" s="1"/>
  <c r="AD287" i="24"/>
  <c r="AD243" i="24"/>
  <c r="AD259" i="24"/>
  <c r="AD194" i="24"/>
  <c r="AA194" i="24" s="1"/>
  <c r="Z194" i="24" s="1"/>
  <c r="Y194" i="24" s="1"/>
  <c r="AI383" i="24"/>
  <c r="AD216" i="24"/>
  <c r="AA216" i="24" s="1"/>
  <c r="Z216" i="24" s="1"/>
  <c r="Y216" i="24" s="1"/>
  <c r="AD236" i="24"/>
  <c r="AA236" i="24" s="1"/>
  <c r="Z236" i="24" s="1"/>
  <c r="Y236" i="24" s="1"/>
  <c r="AD322" i="24"/>
  <c r="AA322" i="24" s="1"/>
  <c r="Z322" i="24" s="1"/>
  <c r="Y322" i="24" s="1"/>
  <c r="AD349" i="24"/>
  <c r="AA349" i="24" s="1"/>
  <c r="Z349" i="24" s="1"/>
  <c r="Y349" i="24" s="1"/>
  <c r="AD117" i="24"/>
  <c r="AD272" i="24"/>
  <c r="AA272" i="24" s="1"/>
  <c r="Z272" i="24" s="1"/>
  <c r="Y272" i="24" s="1"/>
  <c r="AD151" i="24"/>
  <c r="AA151" i="24" s="1"/>
  <c r="Z151" i="24" s="1"/>
  <c r="Y151" i="24" s="1"/>
  <c r="AI381" i="24"/>
  <c r="H89" i="24"/>
  <c r="J89" i="24" s="1"/>
  <c r="J263" i="23"/>
  <c r="H23" i="24"/>
  <c r="I23" i="24" s="1"/>
  <c r="AA196" i="24"/>
  <c r="Z196" i="24" s="1"/>
  <c r="Y196" i="24" s="1"/>
  <c r="H28" i="24"/>
  <c r="J28" i="24" s="1"/>
  <c r="D58" i="24"/>
  <c r="E58" i="24" s="1"/>
  <c r="F58" i="24" s="1"/>
  <c r="AA58" i="24" s="1"/>
  <c r="Z58" i="24" s="1"/>
  <c r="Y58" i="24" s="1"/>
  <c r="W140" i="24"/>
  <c r="D85" i="24"/>
  <c r="E85" i="24" s="1"/>
  <c r="F85" i="24" s="1"/>
  <c r="G85" i="24" s="1"/>
  <c r="CE85" i="6" s="1"/>
  <c r="D231" i="24"/>
  <c r="E231" i="24" s="1"/>
  <c r="F231" i="24" s="1"/>
  <c r="G231" i="24" s="1"/>
  <c r="CE231" i="6" s="1"/>
  <c r="W189" i="24"/>
  <c r="D292" i="24"/>
  <c r="E292" i="24" s="1"/>
  <c r="F292" i="24" s="1"/>
  <c r="G292" i="24" s="1"/>
  <c r="CE292" i="6" s="1"/>
  <c r="W124" i="24"/>
  <c r="D359" i="24"/>
  <c r="E359" i="24" s="1"/>
  <c r="F359" i="24" s="1"/>
  <c r="G359" i="24" s="1"/>
  <c r="CE359" i="6" s="1"/>
  <c r="D243" i="24"/>
  <c r="E243" i="24" s="1"/>
  <c r="F243" i="24" s="1"/>
  <c r="G243" i="24" s="1"/>
  <c r="CE243" i="6" s="1"/>
  <c r="W129" i="24"/>
  <c r="W37" i="24"/>
  <c r="J279" i="24"/>
  <c r="W160" i="24"/>
  <c r="D303" i="24"/>
  <c r="E303" i="24" s="1"/>
  <c r="F303" i="24" s="1"/>
  <c r="H303" i="24" s="1"/>
  <c r="I303" i="24" s="1"/>
  <c r="D217" i="24"/>
  <c r="E217" i="24" s="1"/>
  <c r="F217" i="24" s="1"/>
  <c r="G217" i="24" s="1"/>
  <c r="CE217" i="6" s="1"/>
  <c r="W158" i="24"/>
  <c r="D32" i="24"/>
  <c r="E32" i="24" s="1"/>
  <c r="F32" i="24" s="1"/>
  <c r="G32" i="24" s="1"/>
  <c r="CE32" i="6" s="1"/>
  <c r="W169" i="24"/>
  <c r="D18" i="24"/>
  <c r="E18" i="24" s="1"/>
  <c r="F18" i="24" s="1"/>
  <c r="G18" i="24" s="1"/>
  <c r="CE18" i="6" s="1"/>
  <c r="W280" i="24"/>
  <c r="W235" i="24"/>
  <c r="D336" i="24"/>
  <c r="E336" i="24" s="1"/>
  <c r="F336" i="24" s="1"/>
  <c r="G336" i="24" s="1"/>
  <c r="CE336" i="6" s="1"/>
  <c r="D122" i="24"/>
  <c r="E122" i="24" s="1"/>
  <c r="F122" i="24" s="1"/>
  <c r="G122" i="24" s="1"/>
  <c r="CE122" i="6" s="1"/>
  <c r="D308" i="24"/>
  <c r="E308" i="24" s="1"/>
  <c r="F308" i="24" s="1"/>
  <c r="G308" i="24" s="1"/>
  <c r="CE308" i="6" s="1"/>
  <c r="D232" i="24"/>
  <c r="E232" i="24" s="1"/>
  <c r="F232" i="24" s="1"/>
  <c r="AA232" i="24" s="1"/>
  <c r="Z232" i="24" s="1"/>
  <c r="Y232" i="24" s="1"/>
  <c r="D234" i="24"/>
  <c r="E234" i="24" s="1"/>
  <c r="F234" i="24" s="1"/>
  <c r="AA234" i="24" s="1"/>
  <c r="Z234" i="24" s="1"/>
  <c r="Y234" i="24" s="1"/>
  <c r="D147" i="24"/>
  <c r="E147" i="24" s="1"/>
  <c r="F147" i="24" s="1"/>
  <c r="G147" i="24" s="1"/>
  <c r="CE147" i="6" s="1"/>
  <c r="D351" i="24"/>
  <c r="E351" i="24" s="1"/>
  <c r="F351" i="24" s="1"/>
  <c r="G351" i="24" s="1"/>
  <c r="CE351" i="6" s="1"/>
  <c r="W178" i="24"/>
  <c r="W173" i="24"/>
  <c r="W250" i="24"/>
  <c r="B46" i="24"/>
  <c r="W46" i="24" s="1"/>
  <c r="D107" i="24"/>
  <c r="E107" i="24" s="1"/>
  <c r="F107" i="24" s="1"/>
  <c r="AA107" i="24" s="1"/>
  <c r="Z107" i="24" s="1"/>
  <c r="Y107" i="24" s="1"/>
  <c r="D106" i="24"/>
  <c r="E106" i="24" s="1"/>
  <c r="F106" i="24" s="1"/>
  <c r="G106" i="24" s="1"/>
  <c r="CE106" i="6" s="1"/>
  <c r="W141" i="24"/>
  <c r="W337" i="24"/>
  <c r="V149" i="24"/>
  <c r="B149" i="24" s="1"/>
  <c r="D149" i="24" s="1"/>
  <c r="E149" i="24" s="1"/>
  <c r="F149" i="24" s="1"/>
  <c r="W262" i="24"/>
  <c r="D296" i="24"/>
  <c r="E296" i="24" s="1"/>
  <c r="F296" i="24" s="1"/>
  <c r="H296" i="24" s="1"/>
  <c r="W322" i="24"/>
  <c r="W242" i="24"/>
  <c r="W253" i="24"/>
  <c r="W300" i="24"/>
  <c r="D376" i="24"/>
  <c r="E376" i="24" s="1"/>
  <c r="F376" i="24" s="1"/>
  <c r="G376" i="24" s="1"/>
  <c r="CE376" i="6" s="1"/>
  <c r="D287" i="24"/>
  <c r="E287" i="24" s="1"/>
  <c r="F287" i="24" s="1"/>
  <c r="H287" i="24" s="1"/>
  <c r="W116" i="24"/>
  <c r="D248" i="24"/>
  <c r="E248" i="24" s="1"/>
  <c r="F248" i="24" s="1"/>
  <c r="G248" i="24" s="1"/>
  <c r="CE248" i="6" s="1"/>
  <c r="H275" i="24"/>
  <c r="I275" i="24" s="1"/>
  <c r="D172" i="24"/>
  <c r="E172" i="24" s="1"/>
  <c r="F172" i="24" s="1"/>
  <c r="H172" i="24" s="1"/>
  <c r="H116" i="24"/>
  <c r="J116" i="24" s="1"/>
  <c r="D358" i="24"/>
  <c r="E358" i="24" s="1"/>
  <c r="F358" i="24" s="1"/>
  <c r="G358" i="24" s="1"/>
  <c r="CE358" i="6" s="1"/>
  <c r="D328" i="24"/>
  <c r="E328" i="24" s="1"/>
  <c r="F328" i="24" s="1"/>
  <c r="G328" i="24" s="1"/>
  <c r="CE328" i="6" s="1"/>
  <c r="W275" i="24"/>
  <c r="D22" i="24"/>
  <c r="E22" i="24" s="1"/>
  <c r="F22" i="24" s="1"/>
  <c r="G22" i="24" s="1"/>
  <c r="CE22" i="6" s="1"/>
  <c r="W304" i="24"/>
  <c r="W40" i="24"/>
  <c r="D115" i="24"/>
  <c r="E115" i="24" s="1"/>
  <c r="F115" i="24" s="1"/>
  <c r="G115" i="24" s="1"/>
  <c r="CE115" i="6" s="1"/>
  <c r="D326" i="24"/>
  <c r="E326" i="24" s="1"/>
  <c r="F326" i="24" s="1"/>
  <c r="AA326" i="24" s="1"/>
  <c r="Z326" i="24" s="1"/>
  <c r="Y326" i="24" s="1"/>
  <c r="W89" i="24"/>
  <c r="D114" i="24"/>
  <c r="E114" i="24" s="1"/>
  <c r="F114" i="24" s="1"/>
  <c r="G114" i="24" s="1"/>
  <c r="CE114" i="6" s="1"/>
  <c r="W114" i="24"/>
  <c r="AA366" i="24"/>
  <c r="Z366" i="24" s="1"/>
  <c r="Y366" i="24" s="1"/>
  <c r="AA89" i="24"/>
  <c r="Z89" i="24" s="1"/>
  <c r="Y89" i="24" s="1"/>
  <c r="AA93" i="24"/>
  <c r="Z93" i="24" s="1"/>
  <c r="Y93" i="24" s="1"/>
  <c r="AA28" i="24"/>
  <c r="Z28" i="24" s="1"/>
  <c r="Y28" i="24" s="1"/>
  <c r="AA214" i="24"/>
  <c r="Z214" i="24" s="1"/>
  <c r="Y214" i="24" s="1"/>
  <c r="AD346" i="24"/>
  <c r="AD352" i="24"/>
  <c r="AA116" i="24"/>
  <c r="Z116" i="24" s="1"/>
  <c r="Y116" i="24" s="1"/>
  <c r="AA357" i="24"/>
  <c r="Z357" i="24" s="1"/>
  <c r="Y357" i="24" s="1"/>
  <c r="AD207" i="24"/>
  <c r="AA207" i="24" s="1"/>
  <c r="Z207" i="24" s="1"/>
  <c r="Y207" i="24" s="1"/>
  <c r="AA209" i="24"/>
  <c r="Z209" i="24" s="1"/>
  <c r="Y209" i="24" s="1"/>
  <c r="AA334" i="24"/>
  <c r="Z334" i="24" s="1"/>
  <c r="Y334" i="24" s="1"/>
  <c r="P159" i="24"/>
  <c r="V159" i="24" s="1"/>
  <c r="B159" i="24" s="1"/>
  <c r="D159" i="24" s="1"/>
  <c r="E159" i="24" s="1"/>
  <c r="F159" i="24" s="1"/>
  <c r="AA159" i="24" s="1"/>
  <c r="Z159" i="24" s="1"/>
  <c r="Y159" i="24" s="1"/>
  <c r="AI26" i="25"/>
  <c r="AH26" i="25" s="1"/>
  <c r="AG26" i="25" s="1"/>
  <c r="AF26" i="25" s="1"/>
  <c r="AI100" i="25"/>
  <c r="AH100" i="25" s="1"/>
  <c r="AG100" i="25" s="1"/>
  <c r="AF100" i="25" s="1"/>
  <c r="AI66" i="25"/>
  <c r="AH66" i="25" s="1"/>
  <c r="AG66" i="25" s="1"/>
  <c r="AF66" i="25" s="1"/>
  <c r="AI88" i="25"/>
  <c r="AH88" i="25" s="1"/>
  <c r="AG88" i="25" s="1"/>
  <c r="AF88" i="25" s="1"/>
  <c r="AI83" i="25"/>
  <c r="AH83" i="25" s="1"/>
  <c r="AG83" i="25" s="1"/>
  <c r="AF83" i="25" s="1"/>
  <c r="U303" i="25"/>
  <c r="T303" i="25" s="1"/>
  <c r="S303" i="25" s="1"/>
  <c r="R303" i="25" s="1"/>
  <c r="U167" i="25"/>
  <c r="T167" i="25" s="1"/>
  <c r="S167" i="25" s="1"/>
  <c r="R167" i="25" s="1"/>
  <c r="U322" i="25"/>
  <c r="T322" i="25" s="1"/>
  <c r="S322" i="25" s="1"/>
  <c r="R322" i="25" s="1"/>
  <c r="U320" i="25"/>
  <c r="T320" i="25" s="1"/>
  <c r="S320" i="25" s="1"/>
  <c r="R320" i="25" s="1"/>
  <c r="U129" i="25"/>
  <c r="T129" i="25" s="1"/>
  <c r="S129" i="25" s="1"/>
  <c r="R129" i="25" s="1"/>
  <c r="U93" i="25"/>
  <c r="T93" i="25" s="1"/>
  <c r="S93" i="25" s="1"/>
  <c r="R93" i="25" s="1"/>
  <c r="U270" i="25"/>
  <c r="T270" i="25" s="1"/>
  <c r="S270" i="25" s="1"/>
  <c r="R270" i="25" s="1"/>
  <c r="U112" i="25"/>
  <c r="T112" i="25" s="1"/>
  <c r="S112" i="25" s="1"/>
  <c r="R112" i="25" s="1"/>
  <c r="U125" i="25"/>
  <c r="T125" i="25" s="1"/>
  <c r="S125" i="25" s="1"/>
  <c r="R125" i="25" s="1"/>
  <c r="U177" i="25"/>
  <c r="T177" i="25" s="1"/>
  <c r="S177" i="25" s="1"/>
  <c r="R177" i="25" s="1"/>
  <c r="U116" i="25"/>
  <c r="T116" i="25" s="1"/>
  <c r="S116" i="25" s="1"/>
  <c r="R116" i="25" s="1"/>
  <c r="U351" i="25"/>
  <c r="T351" i="25" s="1"/>
  <c r="S351" i="25" s="1"/>
  <c r="R351" i="25" s="1"/>
  <c r="U352" i="25"/>
  <c r="T352" i="25" s="1"/>
  <c r="S352" i="25" s="1"/>
  <c r="R352" i="25" s="1"/>
  <c r="U248" i="25"/>
  <c r="T248" i="25" s="1"/>
  <c r="S248" i="25" s="1"/>
  <c r="R248" i="25" s="1"/>
  <c r="U309" i="25"/>
  <c r="T309" i="25" s="1"/>
  <c r="S309" i="25" s="1"/>
  <c r="R309" i="25" s="1"/>
  <c r="U230" i="25"/>
  <c r="T230" i="25" s="1"/>
  <c r="S230" i="25" s="1"/>
  <c r="R230" i="25" s="1"/>
  <c r="U97" i="25"/>
  <c r="T97" i="25" s="1"/>
  <c r="S97" i="25" s="1"/>
  <c r="R97" i="25" s="1"/>
  <c r="U213" i="25"/>
  <c r="T213" i="25" s="1"/>
  <c r="S213" i="25" s="1"/>
  <c r="R213" i="25" s="1"/>
  <c r="U98" i="25"/>
  <c r="T98" i="25" s="1"/>
  <c r="S98" i="25" s="1"/>
  <c r="R98" i="25" s="1"/>
  <c r="U307" i="25"/>
  <c r="T307" i="25" s="1"/>
  <c r="S307" i="25" s="1"/>
  <c r="R307" i="25" s="1"/>
  <c r="U191" i="25"/>
  <c r="T191" i="25" s="1"/>
  <c r="S191" i="25" s="1"/>
  <c r="R191" i="25" s="1"/>
  <c r="U302" i="25"/>
  <c r="T302" i="25" s="1"/>
  <c r="S302" i="25" s="1"/>
  <c r="R302" i="25" s="1"/>
  <c r="U55" i="25"/>
  <c r="T55" i="25" s="1"/>
  <c r="S55" i="25" s="1"/>
  <c r="R55" i="25" s="1"/>
  <c r="U199" i="25"/>
  <c r="T199" i="25" s="1"/>
  <c r="S199" i="25" s="1"/>
  <c r="R199" i="25" s="1"/>
  <c r="U117" i="25"/>
  <c r="T117" i="25" s="1"/>
  <c r="S117" i="25" s="1"/>
  <c r="R117" i="25" s="1"/>
  <c r="U164" i="25"/>
  <c r="T164" i="25" s="1"/>
  <c r="S164" i="25" s="1"/>
  <c r="R164" i="25" s="1"/>
  <c r="U71" i="25"/>
  <c r="T71" i="25" s="1"/>
  <c r="S71" i="25" s="1"/>
  <c r="R71" i="25" s="1"/>
  <c r="U278" i="25"/>
  <c r="T278" i="25" s="1"/>
  <c r="S278" i="25" s="1"/>
  <c r="R278" i="25" s="1"/>
  <c r="U328" i="25"/>
  <c r="T328" i="25" s="1"/>
  <c r="S328" i="25" s="1"/>
  <c r="R328" i="25" s="1"/>
  <c r="U133" i="25"/>
  <c r="T133" i="25" s="1"/>
  <c r="S133" i="25" s="1"/>
  <c r="R133" i="25" s="1"/>
  <c r="U364" i="25"/>
  <c r="T364" i="25" s="1"/>
  <c r="S364" i="25" s="1"/>
  <c r="R364" i="25" s="1"/>
  <c r="U347" i="25"/>
  <c r="T347" i="25" s="1"/>
  <c r="S347" i="25" s="1"/>
  <c r="R347" i="25" s="1"/>
  <c r="U221" i="25"/>
  <c r="T221" i="25" s="1"/>
  <c r="S221" i="25" s="1"/>
  <c r="R221" i="25" s="1"/>
  <c r="U22" i="25"/>
  <c r="T22" i="25" s="1"/>
  <c r="S22" i="25" s="1"/>
  <c r="R22" i="25" s="1"/>
  <c r="U148" i="25"/>
  <c r="T148" i="25" s="1"/>
  <c r="S148" i="25" s="1"/>
  <c r="R148" i="25" s="1"/>
  <c r="U271" i="25"/>
  <c r="T271" i="25" s="1"/>
  <c r="S271" i="25" s="1"/>
  <c r="R271" i="25" s="1"/>
  <c r="U356" i="25"/>
  <c r="T356" i="25" s="1"/>
  <c r="S356" i="25" s="1"/>
  <c r="R356" i="25" s="1"/>
  <c r="U161" i="25"/>
  <c r="T161" i="25" s="1"/>
  <c r="S161" i="25" s="1"/>
  <c r="R161" i="25" s="1"/>
  <c r="U67" i="25"/>
  <c r="T67" i="25" s="1"/>
  <c r="S67" i="25" s="1"/>
  <c r="R67" i="25" s="1"/>
  <c r="U370" i="25"/>
  <c r="T370" i="25" s="1"/>
  <c r="S370" i="25" s="1"/>
  <c r="R370" i="25" s="1"/>
  <c r="U314" i="25"/>
  <c r="T314" i="25" s="1"/>
  <c r="S314" i="25" s="1"/>
  <c r="R314" i="25" s="1"/>
  <c r="U353" i="25"/>
  <c r="T353" i="25" s="1"/>
  <c r="S353" i="25" s="1"/>
  <c r="R353" i="25" s="1"/>
  <c r="U273" i="25"/>
  <c r="T273" i="25" s="1"/>
  <c r="S273" i="25" s="1"/>
  <c r="R273" i="25" s="1"/>
  <c r="U83" i="25"/>
  <c r="T83" i="25" s="1"/>
  <c r="S83" i="25" s="1"/>
  <c r="R83" i="25" s="1"/>
  <c r="U179" i="25"/>
  <c r="T179" i="25" s="1"/>
  <c r="S179" i="25" s="1"/>
  <c r="R179" i="25" s="1"/>
  <c r="U134" i="25"/>
  <c r="T134" i="25" s="1"/>
  <c r="S134" i="25" s="1"/>
  <c r="R134" i="25" s="1"/>
  <c r="U210" i="25"/>
  <c r="T210" i="25" s="1"/>
  <c r="S210" i="25" s="1"/>
  <c r="R210" i="25" s="1"/>
  <c r="U208" i="25"/>
  <c r="T208" i="25" s="1"/>
  <c r="S208" i="25" s="1"/>
  <c r="R208" i="25" s="1"/>
  <c r="U373" i="25"/>
  <c r="T373" i="25" s="1"/>
  <c r="S373" i="25" s="1"/>
  <c r="R373" i="25" s="1"/>
  <c r="U251" i="25"/>
  <c r="T251" i="25" s="1"/>
  <c r="S251" i="25" s="1"/>
  <c r="R251" i="25" s="1"/>
  <c r="U205" i="25"/>
  <c r="T205" i="25" s="1"/>
  <c r="S205" i="25" s="1"/>
  <c r="R205" i="25" s="1"/>
  <c r="U143" i="25"/>
  <c r="T143" i="25" s="1"/>
  <c r="S143" i="25" s="1"/>
  <c r="R143" i="25" s="1"/>
  <c r="U142" i="25"/>
  <c r="T142" i="25" s="1"/>
  <c r="S142" i="25" s="1"/>
  <c r="R142" i="25" s="1"/>
  <c r="U331" i="25"/>
  <c r="T331" i="25" s="1"/>
  <c r="S331" i="25" s="1"/>
  <c r="R331" i="25" s="1"/>
  <c r="U138" i="25"/>
  <c r="T138" i="25" s="1"/>
  <c r="S138" i="25" s="1"/>
  <c r="R138" i="25" s="1"/>
  <c r="U182" i="25"/>
  <c r="T182" i="25" s="1"/>
  <c r="S182" i="25" s="1"/>
  <c r="R182" i="25" s="1"/>
  <c r="U23" i="25"/>
  <c r="T23" i="25" s="1"/>
  <c r="S23" i="25" s="1"/>
  <c r="R23" i="25" s="1"/>
  <c r="U45" i="25"/>
  <c r="T45" i="25" s="1"/>
  <c r="S45" i="25" s="1"/>
  <c r="R45" i="25" s="1"/>
  <c r="U201" i="25"/>
  <c r="T201" i="25" s="1"/>
  <c r="S201" i="25" s="1"/>
  <c r="R201" i="25" s="1"/>
  <c r="U72" i="25"/>
  <c r="T72" i="25" s="1"/>
  <c r="S72" i="25" s="1"/>
  <c r="R72" i="25" s="1"/>
  <c r="U329" i="25"/>
  <c r="T329" i="25" s="1"/>
  <c r="S329" i="25" s="1"/>
  <c r="R329" i="25" s="1"/>
  <c r="U144" i="25"/>
  <c r="T144" i="25" s="1"/>
  <c r="S144" i="25" s="1"/>
  <c r="R144" i="25" s="1"/>
  <c r="U135" i="25"/>
  <c r="T135" i="25" s="1"/>
  <c r="S135" i="25" s="1"/>
  <c r="R135" i="25" s="1"/>
  <c r="U115" i="25"/>
  <c r="T115" i="25" s="1"/>
  <c r="S115" i="25" s="1"/>
  <c r="R115" i="25" s="1"/>
  <c r="U358" i="25"/>
  <c r="T358" i="25" s="1"/>
  <c r="S358" i="25" s="1"/>
  <c r="R358" i="25" s="1"/>
  <c r="U21" i="25"/>
  <c r="T21" i="25" s="1"/>
  <c r="S21" i="25" s="1"/>
  <c r="R21" i="25" s="1"/>
  <c r="U289" i="25"/>
  <c r="T289" i="25" s="1"/>
  <c r="S289" i="25" s="1"/>
  <c r="R289" i="25" s="1"/>
  <c r="U350" i="25"/>
  <c r="T350" i="25" s="1"/>
  <c r="S350" i="25" s="1"/>
  <c r="R350" i="25" s="1"/>
  <c r="U287" i="25"/>
  <c r="T287" i="25" s="1"/>
  <c r="S287" i="25" s="1"/>
  <c r="R287" i="25" s="1"/>
  <c r="U39" i="25"/>
  <c r="T39" i="25" s="1"/>
  <c r="S39" i="25" s="1"/>
  <c r="R39" i="25" s="1"/>
  <c r="U204" i="25"/>
  <c r="T204" i="25" s="1"/>
  <c r="S204" i="25" s="1"/>
  <c r="R204" i="25" s="1"/>
  <c r="U70" i="25"/>
  <c r="T70" i="25" s="1"/>
  <c r="S70" i="25" s="1"/>
  <c r="R70" i="25" s="1"/>
  <c r="U126" i="25"/>
  <c r="T126" i="25" s="1"/>
  <c r="S126" i="25" s="1"/>
  <c r="R126" i="25" s="1"/>
  <c r="U62" i="25"/>
  <c r="T62" i="25" s="1"/>
  <c r="S62" i="25" s="1"/>
  <c r="R62" i="25" s="1"/>
  <c r="U304" i="25"/>
  <c r="T304" i="25" s="1"/>
  <c r="S304" i="25" s="1"/>
  <c r="R304" i="25" s="1"/>
  <c r="U225" i="25"/>
  <c r="T225" i="25" s="1"/>
  <c r="S225" i="25" s="1"/>
  <c r="R225" i="25" s="1"/>
  <c r="U376" i="25"/>
  <c r="T376" i="25" s="1"/>
  <c r="S376" i="25" s="1"/>
  <c r="R376" i="25" s="1"/>
  <c r="U209" i="25"/>
  <c r="T209" i="25" s="1"/>
  <c r="S209" i="25" s="1"/>
  <c r="R209" i="25" s="1"/>
  <c r="U367" i="25"/>
  <c r="T367" i="25" s="1"/>
  <c r="S367" i="25" s="1"/>
  <c r="R367" i="25" s="1"/>
  <c r="U190" i="25"/>
  <c r="T190" i="25" s="1"/>
  <c r="S190" i="25" s="1"/>
  <c r="R190" i="25" s="1"/>
  <c r="U226" i="25"/>
  <c r="T226" i="25" s="1"/>
  <c r="S226" i="25" s="1"/>
  <c r="R226" i="25" s="1"/>
  <c r="U120" i="25"/>
  <c r="T120" i="25" s="1"/>
  <c r="S120" i="25" s="1"/>
  <c r="R120" i="25" s="1"/>
  <c r="U237" i="25"/>
  <c r="T237" i="25" s="1"/>
  <c r="S237" i="25" s="1"/>
  <c r="R237" i="25" s="1"/>
  <c r="U234" i="25"/>
  <c r="T234" i="25" s="1"/>
  <c r="S234" i="25" s="1"/>
  <c r="R234" i="25" s="1"/>
  <c r="U266" i="25"/>
  <c r="T266" i="25" s="1"/>
  <c r="S266" i="25" s="1"/>
  <c r="R266" i="25" s="1"/>
  <c r="U99" i="25"/>
  <c r="T99" i="25" s="1"/>
  <c r="S99" i="25" s="1"/>
  <c r="R99" i="25" s="1"/>
  <c r="U343" i="25"/>
  <c r="T343" i="25" s="1"/>
  <c r="S343" i="25" s="1"/>
  <c r="R343" i="25" s="1"/>
  <c r="U122" i="25"/>
  <c r="T122" i="25" s="1"/>
  <c r="S122" i="25" s="1"/>
  <c r="R122" i="25" s="1"/>
  <c r="U247" i="25"/>
  <c r="T247" i="25" s="1"/>
  <c r="S247" i="25" s="1"/>
  <c r="R247" i="25" s="1"/>
  <c r="U339" i="25"/>
  <c r="T339" i="25" s="1"/>
  <c r="S339" i="25" s="1"/>
  <c r="R339" i="25" s="1"/>
  <c r="U96" i="25"/>
  <c r="T96" i="25" s="1"/>
  <c r="S96" i="25" s="1"/>
  <c r="R96" i="25" s="1"/>
  <c r="U35" i="25"/>
  <c r="T35" i="25" s="1"/>
  <c r="S35" i="25" s="1"/>
  <c r="R35" i="25" s="1"/>
  <c r="U283" i="25"/>
  <c r="T283" i="25" s="1"/>
  <c r="S283" i="25" s="1"/>
  <c r="R283" i="25" s="1"/>
  <c r="U212" i="25"/>
  <c r="T212" i="25" s="1"/>
  <c r="S212" i="25" s="1"/>
  <c r="R212" i="25" s="1"/>
  <c r="U17" i="25"/>
  <c r="T17" i="25" s="1"/>
  <c r="S17" i="25" s="1"/>
  <c r="R17" i="25" s="1"/>
  <c r="U41" i="25"/>
  <c r="T41" i="25" s="1"/>
  <c r="S41" i="25" s="1"/>
  <c r="R41" i="25" s="1"/>
  <c r="U231" i="25"/>
  <c r="T231" i="25" s="1"/>
  <c r="S231" i="25" s="1"/>
  <c r="R231" i="25" s="1"/>
  <c r="U194" i="25"/>
  <c r="T194" i="25" s="1"/>
  <c r="S194" i="25" s="1"/>
  <c r="R194" i="25" s="1"/>
  <c r="U181" i="25"/>
  <c r="T181" i="25" s="1"/>
  <c r="S181" i="25" s="1"/>
  <c r="R181" i="25" s="1"/>
  <c r="U178" i="25"/>
  <c r="T178" i="25" s="1"/>
  <c r="S178" i="25" s="1"/>
  <c r="R178" i="25" s="1"/>
  <c r="U355" i="25"/>
  <c r="T355" i="25" s="1"/>
  <c r="S355" i="25" s="1"/>
  <c r="R355" i="25" s="1"/>
  <c r="U58" i="25"/>
  <c r="T58" i="25" s="1"/>
  <c r="S58" i="25" s="1"/>
  <c r="R58" i="25" s="1"/>
  <c r="U349" i="25"/>
  <c r="T349" i="25" s="1"/>
  <c r="S349" i="25" s="1"/>
  <c r="R349" i="25" s="1"/>
  <c r="U44" i="25"/>
  <c r="T44" i="25" s="1"/>
  <c r="S44" i="25" s="1"/>
  <c r="R44" i="25" s="1"/>
  <c r="U145" i="25"/>
  <c r="T145" i="25" s="1"/>
  <c r="S145" i="25" s="1"/>
  <c r="R145" i="25" s="1"/>
  <c r="U243" i="25"/>
  <c r="T243" i="25" s="1"/>
  <c r="S243" i="25" s="1"/>
  <c r="R243" i="25" s="1"/>
  <c r="U219" i="25"/>
  <c r="T219" i="25" s="1"/>
  <c r="S219" i="25" s="1"/>
  <c r="R219" i="25" s="1"/>
  <c r="U26" i="25"/>
  <c r="T26" i="25" s="1"/>
  <c r="S26" i="25" s="1"/>
  <c r="R26" i="25" s="1"/>
  <c r="U241" i="25"/>
  <c r="T241" i="25" s="1"/>
  <c r="S241" i="25" s="1"/>
  <c r="R241" i="25" s="1"/>
  <c r="U20" i="25"/>
  <c r="T20" i="25" s="1"/>
  <c r="S20" i="25" s="1"/>
  <c r="R20" i="25" s="1"/>
  <c r="U258" i="25"/>
  <c r="T258" i="25" s="1"/>
  <c r="S258" i="25" s="1"/>
  <c r="R258" i="25" s="1"/>
  <c r="U40" i="25"/>
  <c r="T40" i="25" s="1"/>
  <c r="S40" i="25" s="1"/>
  <c r="R40" i="25" s="1"/>
  <c r="U359" i="25"/>
  <c r="T359" i="25" s="1"/>
  <c r="S359" i="25" s="1"/>
  <c r="R359" i="25" s="1"/>
  <c r="U197" i="25"/>
  <c r="T197" i="25" s="1"/>
  <c r="S197" i="25" s="1"/>
  <c r="R197" i="25" s="1"/>
  <c r="U310" i="25"/>
  <c r="T310" i="25" s="1"/>
  <c r="S310" i="25" s="1"/>
  <c r="R310" i="25" s="1"/>
  <c r="U297" i="25"/>
  <c r="T297" i="25" s="1"/>
  <c r="S297" i="25" s="1"/>
  <c r="R297" i="25" s="1"/>
  <c r="U233" i="25"/>
  <c r="T233" i="25" s="1"/>
  <c r="S233" i="25" s="1"/>
  <c r="R233" i="25" s="1"/>
  <c r="U277" i="25"/>
  <c r="T277" i="25" s="1"/>
  <c r="S277" i="25" s="1"/>
  <c r="R277" i="25" s="1"/>
  <c r="U291" i="25"/>
  <c r="T291" i="25" s="1"/>
  <c r="S291" i="25" s="1"/>
  <c r="R291" i="25" s="1"/>
  <c r="U323" i="25"/>
  <c r="T323" i="25" s="1"/>
  <c r="S323" i="25" s="1"/>
  <c r="R323" i="25" s="1"/>
  <c r="U152" i="25"/>
  <c r="T152" i="25" s="1"/>
  <c r="S152" i="25" s="1"/>
  <c r="R152" i="25" s="1"/>
  <c r="U262" i="25"/>
  <c r="T262" i="25" s="1"/>
  <c r="S262" i="25" s="1"/>
  <c r="R262" i="25" s="1"/>
  <c r="U90" i="25"/>
  <c r="T90" i="25" s="1"/>
  <c r="S90" i="25" s="1"/>
  <c r="R90" i="25" s="1"/>
  <c r="U36" i="25"/>
  <c r="T36" i="25" s="1"/>
  <c r="S36" i="25" s="1"/>
  <c r="R36" i="25" s="1"/>
  <c r="U335" i="25"/>
  <c r="T335" i="25" s="1"/>
  <c r="S335" i="25" s="1"/>
  <c r="R335" i="25" s="1"/>
  <c r="U308" i="25"/>
  <c r="T308" i="25" s="1"/>
  <c r="S308" i="25" s="1"/>
  <c r="R308" i="25" s="1"/>
  <c r="U254" i="25"/>
  <c r="T254" i="25" s="1"/>
  <c r="S254" i="25" s="1"/>
  <c r="R254" i="25" s="1"/>
  <c r="U31" i="25"/>
  <c r="T31" i="25" s="1"/>
  <c r="S31" i="25" s="1"/>
  <c r="R31" i="25" s="1"/>
  <c r="U156" i="25"/>
  <c r="T156" i="25" s="1"/>
  <c r="S156" i="25" s="1"/>
  <c r="R156" i="25" s="1"/>
  <c r="U341" i="25"/>
  <c r="T341" i="25" s="1"/>
  <c r="S341" i="25" s="1"/>
  <c r="R341" i="25" s="1"/>
  <c r="U295" i="25"/>
  <c r="T295" i="25" s="1"/>
  <c r="S295" i="25" s="1"/>
  <c r="R295" i="25" s="1"/>
  <c r="U340" i="25"/>
  <c r="T340" i="25" s="1"/>
  <c r="S340" i="25" s="1"/>
  <c r="R340" i="25" s="1"/>
  <c r="U198" i="25"/>
  <c r="T198" i="25" s="1"/>
  <c r="S198" i="25" s="1"/>
  <c r="R198" i="25" s="1"/>
  <c r="U114" i="25"/>
  <c r="T114" i="25" s="1"/>
  <c r="S114" i="25" s="1"/>
  <c r="R114" i="25" s="1"/>
  <c r="U378" i="25"/>
  <c r="T378" i="25" s="1"/>
  <c r="S378" i="25" s="1"/>
  <c r="R378" i="25" s="1"/>
  <c r="U86" i="25"/>
  <c r="T86" i="25" s="1"/>
  <c r="S86" i="25" s="1"/>
  <c r="R86" i="25" s="1"/>
  <c r="U79" i="25"/>
  <c r="T79" i="25" s="1"/>
  <c r="S79" i="25" s="1"/>
  <c r="R79" i="25" s="1"/>
  <c r="U321" i="25"/>
  <c r="T321" i="25" s="1"/>
  <c r="S321" i="25" s="1"/>
  <c r="R321" i="25" s="1"/>
  <c r="U253" i="25"/>
  <c r="T253" i="25" s="1"/>
  <c r="S253" i="25" s="1"/>
  <c r="R253" i="25" s="1"/>
  <c r="U239" i="25"/>
  <c r="T239" i="25" s="1"/>
  <c r="S239" i="25" s="1"/>
  <c r="R239" i="25" s="1"/>
  <c r="U46" i="25"/>
  <c r="T46" i="25" s="1"/>
  <c r="S46" i="25" s="1"/>
  <c r="R46" i="25" s="1"/>
  <c r="U101" i="25"/>
  <c r="T101" i="25" s="1"/>
  <c r="S101" i="25" s="1"/>
  <c r="R101" i="25" s="1"/>
  <c r="U174" i="25"/>
  <c r="T174" i="25" s="1"/>
  <c r="S174" i="25" s="1"/>
  <c r="R174" i="25" s="1"/>
  <c r="U76" i="25"/>
  <c r="T76" i="25" s="1"/>
  <c r="S76" i="25" s="1"/>
  <c r="R76" i="25" s="1"/>
  <c r="U292" i="25"/>
  <c r="T292" i="25" s="1"/>
  <c r="S292" i="25" s="1"/>
  <c r="R292" i="25" s="1"/>
  <c r="U207" i="25"/>
  <c r="T207" i="25" s="1"/>
  <c r="S207" i="25" s="1"/>
  <c r="R207" i="25" s="1"/>
  <c r="U128" i="25"/>
  <c r="T128" i="25" s="1"/>
  <c r="S128" i="25" s="1"/>
  <c r="R128" i="25" s="1"/>
  <c r="U242" i="25"/>
  <c r="T242" i="25" s="1"/>
  <c r="S242" i="25" s="1"/>
  <c r="R242" i="25" s="1"/>
  <c r="U69" i="25"/>
  <c r="T69" i="25" s="1"/>
  <c r="S69" i="25" s="1"/>
  <c r="R69" i="25" s="1"/>
  <c r="U337" i="25"/>
  <c r="T337" i="25" s="1"/>
  <c r="S337" i="25" s="1"/>
  <c r="R337" i="25" s="1"/>
  <c r="U48" i="25"/>
  <c r="T48" i="25" s="1"/>
  <c r="S48" i="25" s="1"/>
  <c r="R48" i="25" s="1"/>
  <c r="U184" i="25"/>
  <c r="T184" i="25" s="1"/>
  <c r="S184" i="25" s="1"/>
  <c r="R184" i="25" s="1"/>
  <c r="D315" i="24"/>
  <c r="E315" i="24" s="1"/>
  <c r="F315" i="24" s="1"/>
  <c r="G315" i="24" s="1"/>
  <c r="CE315" i="6" s="1"/>
  <c r="W315" i="24"/>
  <c r="W323" i="24"/>
  <c r="D323" i="24"/>
  <c r="E323" i="24" s="1"/>
  <c r="F323" i="24" s="1"/>
  <c r="G323" i="24" s="1"/>
  <c r="CE323" i="6" s="1"/>
  <c r="W126" i="24"/>
  <c r="D126" i="24"/>
  <c r="E126" i="24" s="1"/>
  <c r="F126" i="24" s="1"/>
  <c r="G126" i="24" s="1"/>
  <c r="CE126" i="6" s="1"/>
  <c r="P87" i="24"/>
  <c r="V87" i="24" s="1"/>
  <c r="B87" i="24" s="1"/>
  <c r="D87" i="24" s="1"/>
  <c r="E87" i="24" s="1"/>
  <c r="F87" i="24" s="1"/>
  <c r="W203" i="24"/>
  <c r="W174" i="24"/>
  <c r="W350" i="24"/>
  <c r="W38" i="24"/>
  <c r="H203" i="24"/>
  <c r="D258" i="24"/>
  <c r="E258" i="24" s="1"/>
  <c r="F258" i="24" s="1"/>
  <c r="G258" i="24" s="1"/>
  <c r="CE258" i="6" s="1"/>
  <c r="W88" i="24"/>
  <c r="W103" i="24"/>
  <c r="W319" i="24"/>
  <c r="H103" i="24"/>
  <c r="J103" i="24" s="1"/>
  <c r="D274" i="24"/>
  <c r="E274" i="24" s="1"/>
  <c r="F274" i="24" s="1"/>
  <c r="AA274" i="24" s="1"/>
  <c r="Z274" i="24" s="1"/>
  <c r="Y274" i="24" s="1"/>
  <c r="W199" i="24"/>
  <c r="H54" i="24"/>
  <c r="I54" i="24" s="1"/>
  <c r="D314" i="24"/>
  <c r="E314" i="24" s="1"/>
  <c r="F314" i="24" s="1"/>
  <c r="G314" i="24" s="1"/>
  <c r="CE314" i="6" s="1"/>
  <c r="H199" i="24"/>
  <c r="W54" i="24"/>
  <c r="W95" i="24"/>
  <c r="W23" i="24"/>
  <c r="W225" i="24"/>
  <c r="H269" i="24"/>
  <c r="D198" i="24"/>
  <c r="E198" i="24" s="1"/>
  <c r="F198" i="24" s="1"/>
  <c r="W94" i="24"/>
  <c r="W161" i="24"/>
  <c r="D205" i="24"/>
  <c r="E205" i="24" s="1"/>
  <c r="F205" i="24" s="1"/>
  <c r="H205" i="24" s="1"/>
  <c r="D263" i="24"/>
  <c r="E263" i="24" s="1"/>
  <c r="F263" i="24" s="1"/>
  <c r="AA263" i="24" s="1"/>
  <c r="Z263" i="24" s="1"/>
  <c r="Y263" i="24" s="1"/>
  <c r="W263" i="24"/>
  <c r="W309" i="24"/>
  <c r="D309" i="24"/>
  <c r="E309" i="24" s="1"/>
  <c r="F309" i="24" s="1"/>
  <c r="H309" i="24" s="1"/>
  <c r="J309" i="24" s="1"/>
  <c r="D344" i="24"/>
  <c r="E344" i="24" s="1"/>
  <c r="F344" i="24" s="1"/>
  <c r="H344" i="24" s="1"/>
  <c r="I344" i="24" s="1"/>
  <c r="W344" i="24"/>
  <c r="B80" i="24"/>
  <c r="W16" i="24"/>
  <c r="D16" i="24"/>
  <c r="E16" i="24" s="1"/>
  <c r="F16" i="24" s="1"/>
  <c r="G16" i="24" s="1"/>
  <c r="CE16" i="6" s="1"/>
  <c r="D370" i="24"/>
  <c r="E370" i="24" s="1"/>
  <c r="F370" i="24" s="1"/>
  <c r="AA370" i="24" s="1"/>
  <c r="Z370" i="24" s="1"/>
  <c r="Y370" i="24" s="1"/>
  <c r="W370" i="24"/>
  <c r="H93" i="24"/>
  <c r="G93" i="24"/>
  <c r="CE93" i="6" s="1"/>
  <c r="AD142" i="24"/>
  <c r="AA142" i="24" s="1"/>
  <c r="Z142" i="24" s="1"/>
  <c r="Y142" i="24" s="1"/>
  <c r="AD187" i="24"/>
  <c r="AD229" i="24"/>
  <c r="AD211" i="24"/>
  <c r="Q381" i="24"/>
  <c r="Q383" i="24"/>
  <c r="AA268" i="24"/>
  <c r="Z268" i="24" s="1"/>
  <c r="Y268" i="24" s="1"/>
  <c r="AA343" i="24"/>
  <c r="Z343" i="24" s="1"/>
  <c r="Y343" i="24" s="1"/>
  <c r="AD191" i="24"/>
  <c r="W357" i="24"/>
  <c r="W268" i="24"/>
  <c r="W333" i="24"/>
  <c r="D185" i="24"/>
  <c r="E185" i="24" s="1"/>
  <c r="F185" i="24" s="1"/>
  <c r="W60" i="24"/>
  <c r="W343" i="24"/>
  <c r="D352" i="24"/>
  <c r="E352" i="24" s="1"/>
  <c r="F352" i="24" s="1"/>
  <c r="W352" i="24"/>
  <c r="D21" i="24"/>
  <c r="E21" i="24" s="1"/>
  <c r="F21" i="24" s="1"/>
  <c r="W21" i="24"/>
  <c r="V210" i="24"/>
  <c r="AH62" i="7"/>
  <c r="AA329" i="24"/>
  <c r="Z329" i="24" s="1"/>
  <c r="Y329" i="24" s="1"/>
  <c r="AA96" i="24"/>
  <c r="Z96" i="24" s="1"/>
  <c r="Y96" i="24" s="1"/>
  <c r="AA215" i="24"/>
  <c r="Z215" i="24" s="1"/>
  <c r="Y215" i="24" s="1"/>
  <c r="AA368" i="24"/>
  <c r="Z368" i="24" s="1"/>
  <c r="Y368" i="24" s="1"/>
  <c r="J290" i="24"/>
  <c r="G238" i="24"/>
  <c r="CE238" i="6" s="1"/>
  <c r="AA86" i="24"/>
  <c r="Z86" i="24" s="1"/>
  <c r="Y86" i="24" s="1"/>
  <c r="AA337" i="24"/>
  <c r="Z337" i="24" s="1"/>
  <c r="Y337" i="24" s="1"/>
  <c r="H129" i="24"/>
  <c r="I129" i="24" s="1"/>
  <c r="H151" i="24"/>
  <c r="I151" i="24" s="1"/>
  <c r="D273" i="24"/>
  <c r="E273" i="24" s="1"/>
  <c r="F273" i="24" s="1"/>
  <c r="H273" i="24" s="1"/>
  <c r="D261" i="24"/>
  <c r="E261" i="24" s="1"/>
  <c r="F261" i="24" s="1"/>
  <c r="H261" i="24" s="1"/>
  <c r="D360" i="24"/>
  <c r="E360" i="24" s="1"/>
  <c r="F360" i="24" s="1"/>
  <c r="G360" i="24" s="1"/>
  <c r="CE360" i="6" s="1"/>
  <c r="L69" i="19"/>
  <c r="G250" i="24"/>
  <c r="CE250" i="6" s="1"/>
  <c r="G342" i="24"/>
  <c r="CE342" i="6" s="1"/>
  <c r="H137" i="24"/>
  <c r="I137" i="24" s="1"/>
  <c r="H214" i="24"/>
  <c r="J214" i="24" s="1"/>
  <c r="H339" i="24"/>
  <c r="J339" i="24" s="1"/>
  <c r="AA331" i="24"/>
  <c r="Z331" i="24" s="1"/>
  <c r="Y331" i="24" s="1"/>
  <c r="G290" i="24"/>
  <c r="CE290" i="6" s="1"/>
  <c r="G312" i="24"/>
  <c r="CE312" i="6" s="1"/>
  <c r="AA342" i="24"/>
  <c r="Z342" i="24" s="1"/>
  <c r="Y342" i="24" s="1"/>
  <c r="G151" i="24"/>
  <c r="CE151" i="6" s="1"/>
  <c r="H247" i="24"/>
  <c r="I247" i="24" s="1"/>
  <c r="AA160" i="24"/>
  <c r="Z160" i="24" s="1"/>
  <c r="Y160" i="24" s="1"/>
  <c r="G84" i="24"/>
  <c r="CE84" i="6" s="1"/>
  <c r="AA158" i="24"/>
  <c r="Z158" i="24" s="1"/>
  <c r="Y158" i="24" s="1"/>
  <c r="J160" i="24"/>
  <c r="J189" i="24"/>
  <c r="H329" i="24"/>
  <c r="I329" i="24" s="1"/>
  <c r="H124" i="24"/>
  <c r="I124" i="24" s="1"/>
  <c r="G299" i="24"/>
  <c r="CE299" i="6" s="1"/>
  <c r="G329" i="24"/>
  <c r="CE329" i="6" s="1"/>
  <c r="G160" i="24"/>
  <c r="CE160" i="6" s="1"/>
  <c r="H192" i="24"/>
  <c r="I192" i="24" s="1"/>
  <c r="J238" i="24"/>
  <c r="H349" i="24"/>
  <c r="J349" i="24" s="1"/>
  <c r="G331" i="24"/>
  <c r="CE331" i="6" s="1"/>
  <c r="G240" i="24"/>
  <c r="CE240" i="6" s="1"/>
  <c r="AA240" i="24"/>
  <c r="Z240" i="24" s="1"/>
  <c r="Y240" i="24" s="1"/>
  <c r="G78" i="24"/>
  <c r="CE78" i="6" s="1"/>
  <c r="H78" i="24"/>
  <c r="I78" i="24" s="1"/>
  <c r="G207" i="24"/>
  <c r="CE207" i="6" s="1"/>
  <c r="H75" i="24"/>
  <c r="G75" i="24"/>
  <c r="CE75" i="6" s="1"/>
  <c r="AA75" i="24"/>
  <c r="Z75" i="24" s="1"/>
  <c r="Y75" i="24" s="1"/>
  <c r="H173" i="24"/>
  <c r="G173" i="24"/>
  <c r="CE173" i="6" s="1"/>
  <c r="G233" i="24"/>
  <c r="CE233" i="6" s="1"/>
  <c r="H233" i="24"/>
  <c r="I233" i="24" s="1"/>
  <c r="H156" i="24"/>
  <c r="AA156" i="24"/>
  <c r="Z156" i="24" s="1"/>
  <c r="Y156" i="24" s="1"/>
  <c r="H110" i="24"/>
  <c r="I110" i="24" s="1"/>
  <c r="G110" i="24"/>
  <c r="CE110" i="6" s="1"/>
  <c r="H150" i="24"/>
  <c r="G150" i="24"/>
  <c r="CE150" i="6" s="1"/>
  <c r="AA260" i="24"/>
  <c r="Z260" i="24" s="1"/>
  <c r="Y260" i="24" s="1"/>
  <c r="G260" i="24"/>
  <c r="CE260" i="6" s="1"/>
  <c r="H240" i="24"/>
  <c r="I240" i="24" s="1"/>
  <c r="H86" i="24"/>
  <c r="J86" i="24" s="1"/>
  <c r="AA224" i="24"/>
  <c r="Z224" i="24" s="1"/>
  <c r="Y224" i="24" s="1"/>
  <c r="AA312" i="24"/>
  <c r="Z312" i="24" s="1"/>
  <c r="Y312" i="24" s="1"/>
  <c r="AA169" i="24"/>
  <c r="Z169" i="24" s="1"/>
  <c r="Y169" i="24" s="1"/>
  <c r="AA281" i="24"/>
  <c r="Z281" i="24" s="1"/>
  <c r="Y281" i="24" s="1"/>
  <c r="AA78" i="24"/>
  <c r="Z78" i="24" s="1"/>
  <c r="Y78" i="24" s="1"/>
  <c r="AA233" i="24"/>
  <c r="Z233" i="24" s="1"/>
  <c r="Y233" i="24" s="1"/>
  <c r="AA110" i="24"/>
  <c r="Z110" i="24" s="1"/>
  <c r="Y110" i="24" s="1"/>
  <c r="AA325" i="24"/>
  <c r="Z325" i="24" s="1"/>
  <c r="Y325" i="24" s="1"/>
  <c r="AA150" i="24"/>
  <c r="Z150" i="24" s="1"/>
  <c r="Y150" i="24" s="1"/>
  <c r="AA140" i="24"/>
  <c r="Z140" i="24" s="1"/>
  <c r="Y140" i="24" s="1"/>
  <c r="AA173" i="24"/>
  <c r="Z173" i="24" s="1"/>
  <c r="Y173" i="24" s="1"/>
  <c r="AA192" i="24"/>
  <c r="Z192" i="24" s="1"/>
  <c r="Y192" i="24" s="1"/>
  <c r="AA247" i="24"/>
  <c r="Z247" i="24" s="1"/>
  <c r="Y247" i="24" s="1"/>
  <c r="AA299" i="24"/>
  <c r="Z299" i="24" s="1"/>
  <c r="Y299" i="24" s="1"/>
  <c r="H190" i="24"/>
  <c r="G190" i="24"/>
  <c r="CE190" i="6" s="1"/>
  <c r="H76" i="24"/>
  <c r="J76" i="24" s="1"/>
  <c r="G76" i="24"/>
  <c r="CE76" i="6" s="1"/>
  <c r="AA129" i="24"/>
  <c r="Z129" i="24" s="1"/>
  <c r="Y129" i="24" s="1"/>
  <c r="G129" i="24"/>
  <c r="CE129" i="6" s="1"/>
  <c r="G37" i="24"/>
  <c r="CE37" i="6" s="1"/>
  <c r="H37" i="24"/>
  <c r="I37" i="24" s="1"/>
  <c r="G204" i="24"/>
  <c r="CE204" i="6" s="1"/>
  <c r="H204" i="24"/>
  <c r="I204" i="24" s="1"/>
  <c r="H79" i="24"/>
  <c r="I79" i="24" s="1"/>
  <c r="AA79" i="24"/>
  <c r="Z79" i="24" s="1"/>
  <c r="Y79" i="24" s="1"/>
  <c r="B301" i="24"/>
  <c r="W301" i="24" s="1"/>
  <c r="H111" i="24"/>
  <c r="G111" i="24"/>
  <c r="CE111" i="6" s="1"/>
  <c r="AA131" i="24"/>
  <c r="Z131" i="24" s="1"/>
  <c r="Y131" i="24" s="1"/>
  <c r="G131" i="24"/>
  <c r="CE131" i="6" s="1"/>
  <c r="B264" i="24"/>
  <c r="J69" i="19"/>
  <c r="AA280" i="24"/>
  <c r="Z280" i="24" s="1"/>
  <c r="Y280" i="24" s="1"/>
  <c r="AA374" i="24"/>
  <c r="Z374" i="24" s="1"/>
  <c r="Y374" i="24" s="1"/>
  <c r="G127" i="24"/>
  <c r="CE127" i="6" s="1"/>
  <c r="G201" i="24"/>
  <c r="CE201" i="6" s="1"/>
  <c r="H158" i="24"/>
  <c r="I158" i="24" s="1"/>
  <c r="H245" i="24"/>
  <c r="J245" i="24" s="1"/>
  <c r="AA298" i="24"/>
  <c r="Z298" i="24" s="1"/>
  <c r="Y298" i="24" s="1"/>
  <c r="AA190" i="24"/>
  <c r="Z190" i="24" s="1"/>
  <c r="Y190" i="24" s="1"/>
  <c r="AA124" i="24"/>
  <c r="Z124" i="24" s="1"/>
  <c r="Y124" i="24" s="1"/>
  <c r="AA284" i="24"/>
  <c r="Z284" i="24" s="1"/>
  <c r="Y284" i="24" s="1"/>
  <c r="H26" i="24"/>
  <c r="J26" i="24" s="1"/>
  <c r="H298" i="24"/>
  <c r="I298" i="24" s="1"/>
  <c r="AA178" i="24"/>
  <c r="Z178" i="24" s="1"/>
  <c r="Y178" i="24" s="1"/>
  <c r="AA310" i="24"/>
  <c r="Z310" i="24" s="1"/>
  <c r="Y310" i="24" s="1"/>
  <c r="AA141" i="24"/>
  <c r="Z141" i="24" s="1"/>
  <c r="Y141" i="24" s="1"/>
  <c r="AA245" i="24"/>
  <c r="Z245" i="24" s="1"/>
  <c r="Y245" i="24" s="1"/>
  <c r="AA171" i="24"/>
  <c r="Z171" i="24" s="1"/>
  <c r="Y171" i="24" s="1"/>
  <c r="AA137" i="24"/>
  <c r="Z137" i="24" s="1"/>
  <c r="Y137" i="24" s="1"/>
  <c r="AA133" i="24"/>
  <c r="Z133" i="24" s="1"/>
  <c r="Y133" i="24" s="1"/>
  <c r="AA163" i="24"/>
  <c r="Z163" i="24" s="1"/>
  <c r="Y163" i="24" s="1"/>
  <c r="H374" i="24"/>
  <c r="I374" i="24" s="1"/>
  <c r="J127" i="24"/>
  <c r="G143" i="24"/>
  <c r="CE143" i="6" s="1"/>
  <c r="G117" i="24"/>
  <c r="CE117" i="6" s="1"/>
  <c r="H117" i="24"/>
  <c r="J117" i="24" s="1"/>
  <c r="H235" i="24"/>
  <c r="J235" i="24" s="1"/>
  <c r="G235" i="24"/>
  <c r="CE235" i="6" s="1"/>
  <c r="G310" i="24"/>
  <c r="CE310" i="6" s="1"/>
  <c r="H310" i="24"/>
  <c r="G96" i="24"/>
  <c r="CE96" i="6" s="1"/>
  <c r="H96" i="24"/>
  <c r="J96" i="24" s="1"/>
  <c r="H215" i="24"/>
  <c r="G215" i="24"/>
  <c r="CE215" i="6" s="1"/>
  <c r="G253" i="24"/>
  <c r="CE253" i="6" s="1"/>
  <c r="H253" i="24"/>
  <c r="J253" i="24" s="1"/>
  <c r="G368" i="24"/>
  <c r="CE368" i="6" s="1"/>
  <c r="H368" i="24"/>
  <c r="J368" i="24" s="1"/>
  <c r="G108" i="24"/>
  <c r="CE108" i="6" s="1"/>
  <c r="H108" i="24"/>
  <c r="J108" i="24" s="1"/>
  <c r="AA108" i="24"/>
  <c r="Z108" i="24" s="1"/>
  <c r="Y108" i="24" s="1"/>
  <c r="G279" i="24"/>
  <c r="CE279" i="6" s="1"/>
  <c r="G224" i="24"/>
  <c r="CE224" i="6" s="1"/>
  <c r="H224" i="24"/>
  <c r="H236" i="24"/>
  <c r="G236" i="24"/>
  <c r="CE236" i="6" s="1"/>
  <c r="AA117" i="24"/>
  <c r="Z117" i="24" s="1"/>
  <c r="Y117" i="24" s="1"/>
  <c r="J379" i="23"/>
  <c r="AA300" i="24"/>
  <c r="Z300" i="24" s="1"/>
  <c r="Y300" i="24" s="1"/>
  <c r="AA262" i="24"/>
  <c r="Z262" i="24" s="1"/>
  <c r="Y262" i="24" s="1"/>
  <c r="AA341" i="24"/>
  <c r="Z341" i="24" s="1"/>
  <c r="Y341" i="24" s="1"/>
  <c r="AA339" i="24"/>
  <c r="Z339" i="24" s="1"/>
  <c r="Y339" i="24" s="1"/>
  <c r="AA253" i="24"/>
  <c r="Z253" i="24" s="1"/>
  <c r="Y253" i="24" s="1"/>
  <c r="AA111" i="24"/>
  <c r="Z111" i="24" s="1"/>
  <c r="Y111" i="24" s="1"/>
  <c r="AA127" i="24"/>
  <c r="Z127" i="24" s="1"/>
  <c r="Y127" i="24" s="1"/>
  <c r="AA373" i="24"/>
  <c r="Z373" i="24" s="1"/>
  <c r="Y373" i="24" s="1"/>
  <c r="AA290" i="24"/>
  <c r="Z290" i="24" s="1"/>
  <c r="Y290" i="24" s="1"/>
  <c r="AA238" i="24"/>
  <c r="Z238" i="24" s="1"/>
  <c r="Y238" i="24" s="1"/>
  <c r="H131" i="24"/>
  <c r="I131" i="24" s="1"/>
  <c r="H300" i="24"/>
  <c r="AI11" i="25"/>
  <c r="AI259" i="25" s="1"/>
  <c r="AH259" i="25" s="1"/>
  <c r="AG259" i="25" s="1"/>
  <c r="AF259" i="25" s="1"/>
  <c r="W311" i="24"/>
  <c r="D311" i="24"/>
  <c r="E311" i="24" s="1"/>
  <c r="F311" i="24" s="1"/>
  <c r="AA311" i="24" s="1"/>
  <c r="Z311" i="24" s="1"/>
  <c r="Y311" i="24" s="1"/>
  <c r="H325" i="24"/>
  <c r="W330" i="24"/>
  <c r="D330" i="24"/>
  <c r="E330" i="24" s="1"/>
  <c r="F330" i="24" s="1"/>
  <c r="P379" i="24"/>
  <c r="D282" i="24"/>
  <c r="E282" i="24" s="1"/>
  <c r="F282" i="24" s="1"/>
  <c r="W282" i="24"/>
  <c r="D36" i="24"/>
  <c r="E36" i="24" s="1"/>
  <c r="F36" i="24" s="1"/>
  <c r="AA36" i="24" s="1"/>
  <c r="Z36" i="24" s="1"/>
  <c r="Y36" i="24" s="1"/>
  <c r="W36" i="24"/>
  <c r="D364" i="24"/>
  <c r="E364" i="24" s="1"/>
  <c r="F364" i="24" s="1"/>
  <c r="G364" i="24" s="1"/>
  <c r="CE364" i="6" s="1"/>
  <c r="W364" i="24"/>
  <c r="H373" i="24"/>
  <c r="G373" i="24"/>
  <c r="CE373" i="6" s="1"/>
  <c r="H262" i="24"/>
  <c r="G262" i="24"/>
  <c r="CE262" i="6" s="1"/>
  <c r="AI91" i="25"/>
  <c r="AH91" i="25" s="1"/>
  <c r="AG91" i="25" s="1"/>
  <c r="AF91" i="25" s="1"/>
  <c r="AI52" i="25"/>
  <c r="AH52" i="25" s="1"/>
  <c r="AG52" i="25" s="1"/>
  <c r="AF52" i="25" s="1"/>
  <c r="AI349" i="25"/>
  <c r="AH349" i="25" s="1"/>
  <c r="AG349" i="25" s="1"/>
  <c r="AF349" i="25" s="1"/>
  <c r="AI258" i="25"/>
  <c r="AH258" i="25" s="1"/>
  <c r="AG258" i="25" s="1"/>
  <c r="AF258" i="25" s="1"/>
  <c r="AI92" i="25"/>
  <c r="AH92" i="25" s="1"/>
  <c r="AG92" i="25" s="1"/>
  <c r="AF92" i="25" s="1"/>
  <c r="AI248" i="25"/>
  <c r="AH248" i="25" s="1"/>
  <c r="AG248" i="25" s="1"/>
  <c r="AF248" i="25" s="1"/>
  <c r="AI70" i="25"/>
  <c r="AH70" i="25" s="1"/>
  <c r="AG70" i="25" s="1"/>
  <c r="AF70" i="25" s="1"/>
  <c r="AI110" i="25"/>
  <c r="AH110" i="25" s="1"/>
  <c r="AG110" i="25" s="1"/>
  <c r="AF110" i="25" s="1"/>
  <c r="AI22" i="25"/>
  <c r="AH22" i="25" s="1"/>
  <c r="AG22" i="25" s="1"/>
  <c r="AF22" i="25" s="1"/>
  <c r="AI179" i="25"/>
  <c r="AH179" i="25" s="1"/>
  <c r="AG179" i="25" s="1"/>
  <c r="AF179" i="25" s="1"/>
  <c r="AI321" i="25"/>
  <c r="AH321" i="25" s="1"/>
  <c r="AG321" i="25" s="1"/>
  <c r="AF321" i="25" s="1"/>
  <c r="AI36" i="25"/>
  <c r="AH36" i="25" s="1"/>
  <c r="AG36" i="25" s="1"/>
  <c r="AF36" i="25" s="1"/>
  <c r="AI236" i="25"/>
  <c r="AH236" i="25" s="1"/>
  <c r="AG236" i="25" s="1"/>
  <c r="AF236" i="25" s="1"/>
  <c r="AI23" i="25"/>
  <c r="AH23" i="25" s="1"/>
  <c r="AG23" i="25" s="1"/>
  <c r="AF23" i="25" s="1"/>
  <c r="AI47" i="25"/>
  <c r="AH47" i="25" s="1"/>
  <c r="AG47" i="25" s="1"/>
  <c r="AF47" i="25" s="1"/>
  <c r="AI340" i="25"/>
  <c r="AH340" i="25" s="1"/>
  <c r="AG340" i="25" s="1"/>
  <c r="AF340" i="25" s="1"/>
  <c r="AA204" i="24"/>
  <c r="Z204" i="24" s="1"/>
  <c r="Y204" i="24" s="1"/>
  <c r="AA355" i="24"/>
  <c r="Z355" i="24" s="1"/>
  <c r="Y355" i="24" s="1"/>
  <c r="J210" i="23"/>
  <c r="I210" i="23"/>
  <c r="W148" i="24"/>
  <c r="D148" i="24"/>
  <c r="E148" i="24" s="1"/>
  <c r="F148" i="24" s="1"/>
  <c r="J119" i="23"/>
  <c r="I119" i="23"/>
  <c r="I241" i="23"/>
  <c r="J241" i="23"/>
  <c r="I195" i="23"/>
  <c r="J195" i="23"/>
  <c r="AA84" i="24"/>
  <c r="Z84" i="24" s="1"/>
  <c r="Y84" i="24" s="1"/>
  <c r="AA76" i="24"/>
  <c r="Z76" i="24" s="1"/>
  <c r="Y76" i="24" s="1"/>
  <c r="AA26" i="24"/>
  <c r="Z26" i="24" s="1"/>
  <c r="Y26" i="24" s="1"/>
  <c r="AA37" i="24"/>
  <c r="Z37" i="24" s="1"/>
  <c r="Y37" i="24" s="1"/>
  <c r="G284" i="24"/>
  <c r="CE284" i="6" s="1"/>
  <c r="H284" i="24"/>
  <c r="AA201" i="24"/>
  <c r="Z201" i="24" s="1"/>
  <c r="Y201" i="24" s="1"/>
  <c r="AA235" i="24"/>
  <c r="Z235" i="24" s="1"/>
  <c r="Y235" i="24" s="1"/>
  <c r="AA250" i="24"/>
  <c r="Z250" i="24" s="1"/>
  <c r="Y250" i="24" s="1"/>
  <c r="H337" i="24"/>
  <c r="AI128" i="25"/>
  <c r="AH128" i="25" s="1"/>
  <c r="AG128" i="25" s="1"/>
  <c r="AF128" i="25" s="1"/>
  <c r="AE382" i="24"/>
  <c r="AE383" i="24"/>
  <c r="AE381" i="24"/>
  <c r="Q10" i="25"/>
  <c r="Q335" i="25" s="1"/>
  <c r="I180" i="23"/>
  <c r="J180" i="23"/>
  <c r="G140" i="24"/>
  <c r="CE140" i="6" s="1"/>
  <c r="H140" i="24"/>
  <c r="G281" i="24"/>
  <c r="CE281" i="6" s="1"/>
  <c r="H281" i="24"/>
  <c r="H341" i="24"/>
  <c r="G341" i="24"/>
  <c r="CE341" i="6" s="1"/>
  <c r="G189" i="24"/>
  <c r="CE189" i="6" s="1"/>
  <c r="AA189" i="24"/>
  <c r="Z189" i="24" s="1"/>
  <c r="Y189" i="24" s="1"/>
  <c r="W105" i="24"/>
  <c r="D105" i="24"/>
  <c r="E105" i="24" s="1"/>
  <c r="F105" i="24" s="1"/>
  <c r="D166" i="24"/>
  <c r="E166" i="24" s="1"/>
  <c r="F166" i="24" s="1"/>
  <c r="W166" i="24"/>
  <c r="H207" i="24"/>
  <c r="H216" i="24"/>
  <c r="G216" i="24"/>
  <c r="CE216" i="6" s="1"/>
  <c r="D74" i="24"/>
  <c r="E74" i="24" s="1"/>
  <c r="F74" i="24" s="1"/>
  <c r="W74" i="24"/>
  <c r="D197" i="24"/>
  <c r="E197" i="24" s="1"/>
  <c r="F197" i="24" s="1"/>
  <c r="W197" i="24"/>
  <c r="G109" i="24"/>
  <c r="CE109" i="6" s="1"/>
  <c r="AA109" i="24"/>
  <c r="Z109" i="24" s="1"/>
  <c r="Y109" i="24" s="1"/>
  <c r="H109" i="24"/>
  <c r="H169" i="24"/>
  <c r="G169" i="24"/>
  <c r="CE169" i="6" s="1"/>
  <c r="G338" i="24"/>
  <c r="CE338" i="6" s="1"/>
  <c r="H338" i="24"/>
  <c r="H57" i="24"/>
  <c r="G57" i="24"/>
  <c r="CE57" i="6" s="1"/>
  <c r="AA57" i="24"/>
  <c r="Z57" i="24" s="1"/>
  <c r="Y57" i="24" s="1"/>
  <c r="H30" i="24"/>
  <c r="G30" i="24"/>
  <c r="CE30" i="6" s="1"/>
  <c r="AA30" i="24"/>
  <c r="Z30" i="24" s="1"/>
  <c r="Y30" i="24" s="1"/>
  <c r="W135" i="24"/>
  <c r="D135" i="24"/>
  <c r="E135" i="24" s="1"/>
  <c r="F135" i="24" s="1"/>
  <c r="G133" i="24"/>
  <c r="CE133" i="6" s="1"/>
  <c r="H133" i="24"/>
  <c r="H355" i="24"/>
  <c r="H194" i="24"/>
  <c r="G194" i="24"/>
  <c r="CE194" i="6" s="1"/>
  <c r="H221" i="24"/>
  <c r="G221" i="24"/>
  <c r="CE221" i="6" s="1"/>
  <c r="AA221" i="24"/>
  <c r="Z221" i="24" s="1"/>
  <c r="Y221" i="24" s="1"/>
  <c r="G163" i="24"/>
  <c r="CE163" i="6" s="1"/>
  <c r="H163" i="24"/>
  <c r="H178" i="24"/>
  <c r="G178" i="24"/>
  <c r="CE178" i="6" s="1"/>
  <c r="D320" i="24"/>
  <c r="E320" i="24" s="1"/>
  <c r="F320" i="24" s="1"/>
  <c r="W320" i="24"/>
  <c r="H141" i="24"/>
  <c r="G141" i="24"/>
  <c r="CE141" i="6" s="1"/>
  <c r="J380" i="22"/>
  <c r="I380" i="22"/>
  <c r="H380" i="23" s="1"/>
  <c r="J302" i="23"/>
  <c r="I302" i="23"/>
  <c r="J260" i="24"/>
  <c r="W272" i="24"/>
  <c r="J95" i="24"/>
  <c r="J304" i="24"/>
  <c r="I250" i="24"/>
  <c r="J84" i="24"/>
  <c r="I312" i="24"/>
  <c r="J299" i="24"/>
  <c r="I297" i="24"/>
  <c r="J70" i="24"/>
  <c r="I94" i="24"/>
  <c r="AI365" i="25"/>
  <c r="AH365" i="25" s="1"/>
  <c r="AG365" i="25" s="1"/>
  <c r="AF365" i="25" s="1"/>
  <c r="AI180" i="25"/>
  <c r="AH180" i="25" s="1"/>
  <c r="AG180" i="25" s="1"/>
  <c r="AF180" i="25" s="1"/>
  <c r="AI108" i="25"/>
  <c r="AH108" i="25" s="1"/>
  <c r="AG108" i="25" s="1"/>
  <c r="AF108" i="25" s="1"/>
  <c r="AI265" i="25"/>
  <c r="AH265" i="25" s="1"/>
  <c r="AG265" i="25" s="1"/>
  <c r="AF265" i="25" s="1"/>
  <c r="AI315" i="25"/>
  <c r="AH315" i="25" s="1"/>
  <c r="AG315" i="25" s="1"/>
  <c r="AF315" i="25" s="1"/>
  <c r="AI59" i="25"/>
  <c r="AH59" i="25" s="1"/>
  <c r="AG59" i="25" s="1"/>
  <c r="AF59" i="25" s="1"/>
  <c r="AI182" i="25"/>
  <c r="AH182" i="25" s="1"/>
  <c r="AG182" i="25" s="1"/>
  <c r="AF182" i="25" s="1"/>
  <c r="AI89" i="25"/>
  <c r="AH89" i="25" s="1"/>
  <c r="AG89" i="25" s="1"/>
  <c r="AF89" i="25" s="1"/>
  <c r="AI44" i="25"/>
  <c r="AH44" i="25" s="1"/>
  <c r="AG44" i="25" s="1"/>
  <c r="AF44" i="25" s="1"/>
  <c r="AI199" i="25"/>
  <c r="AH199" i="25" s="1"/>
  <c r="AG199" i="25" s="1"/>
  <c r="AF199" i="25" s="1"/>
  <c r="AI310" i="25"/>
  <c r="AH310" i="25" s="1"/>
  <c r="AG310" i="25" s="1"/>
  <c r="AF310" i="25" s="1"/>
  <c r="AI137" i="25"/>
  <c r="AH137" i="25" s="1"/>
  <c r="AG137" i="25" s="1"/>
  <c r="AF137" i="25" s="1"/>
  <c r="AI190" i="25"/>
  <c r="AH190" i="25" s="1"/>
  <c r="AG190" i="25" s="1"/>
  <c r="AF190" i="25" s="1"/>
  <c r="AI153" i="25"/>
  <c r="AH153" i="25" s="1"/>
  <c r="AG153" i="25" s="1"/>
  <c r="AF153" i="25" s="1"/>
  <c r="AI163" i="25"/>
  <c r="AH163" i="25" s="1"/>
  <c r="AG163" i="25" s="1"/>
  <c r="AF163" i="25" s="1"/>
  <c r="AI246" i="25"/>
  <c r="AH246" i="25" s="1"/>
  <c r="AG246" i="25" s="1"/>
  <c r="AF246" i="25" s="1"/>
  <c r="AI309" i="25"/>
  <c r="AH309" i="25" s="1"/>
  <c r="AG309" i="25" s="1"/>
  <c r="AF309" i="25" s="1"/>
  <c r="AI237" i="25"/>
  <c r="AH237" i="25" s="1"/>
  <c r="AG237" i="25" s="1"/>
  <c r="AF237" i="25" s="1"/>
  <c r="AI104" i="25"/>
  <c r="AH104" i="25" s="1"/>
  <c r="AG104" i="25" s="1"/>
  <c r="AF104" i="25" s="1"/>
  <c r="AI48" i="25"/>
  <c r="AH48" i="25" s="1"/>
  <c r="AG48" i="25" s="1"/>
  <c r="AF48" i="25" s="1"/>
  <c r="AI285" i="25"/>
  <c r="AH285" i="25" s="1"/>
  <c r="AG285" i="25" s="1"/>
  <c r="AF285" i="25" s="1"/>
  <c r="AI269" i="25"/>
  <c r="AH269" i="25" s="1"/>
  <c r="AG269" i="25" s="1"/>
  <c r="AF269" i="25" s="1"/>
  <c r="AI80" i="25"/>
  <c r="AH80" i="25" s="1"/>
  <c r="AG80" i="25" s="1"/>
  <c r="AF80" i="25" s="1"/>
  <c r="AI167" i="25"/>
  <c r="AH167" i="25" s="1"/>
  <c r="AG167" i="25" s="1"/>
  <c r="AF167" i="25" s="1"/>
  <c r="AI220" i="25"/>
  <c r="AH220" i="25" s="1"/>
  <c r="AG220" i="25" s="1"/>
  <c r="AF220" i="25" s="1"/>
  <c r="AI168" i="25"/>
  <c r="AH168" i="25" s="1"/>
  <c r="AG168" i="25" s="1"/>
  <c r="AF168" i="25" s="1"/>
  <c r="AI133" i="25"/>
  <c r="AH133" i="25" s="1"/>
  <c r="AG133" i="25" s="1"/>
  <c r="AF133" i="25" s="1"/>
  <c r="AI78" i="25"/>
  <c r="AH78" i="25" s="1"/>
  <c r="AG78" i="25" s="1"/>
  <c r="AF78" i="25" s="1"/>
  <c r="AI172" i="25"/>
  <c r="AH172" i="25" s="1"/>
  <c r="AG172" i="25" s="1"/>
  <c r="AF172" i="25" s="1"/>
  <c r="AI338" i="25"/>
  <c r="AH338" i="25" s="1"/>
  <c r="AG338" i="25" s="1"/>
  <c r="AF338" i="25" s="1"/>
  <c r="AI75" i="25"/>
  <c r="AH75" i="25" s="1"/>
  <c r="AG75" i="25" s="1"/>
  <c r="AF75" i="25" s="1"/>
  <c r="AI87" i="25"/>
  <c r="AH87" i="25" s="1"/>
  <c r="AG87" i="25" s="1"/>
  <c r="AF87" i="25" s="1"/>
  <c r="AI169" i="25"/>
  <c r="AH169" i="25" s="1"/>
  <c r="AG169" i="25" s="1"/>
  <c r="AF169" i="25" s="1"/>
  <c r="AI121" i="25"/>
  <c r="AH121" i="25" s="1"/>
  <c r="AG121" i="25" s="1"/>
  <c r="AF121" i="25" s="1"/>
  <c r="AI49" i="25"/>
  <c r="AH49" i="25" s="1"/>
  <c r="AG49" i="25" s="1"/>
  <c r="AF49" i="25" s="1"/>
  <c r="AI357" i="25"/>
  <c r="AH357" i="25" s="1"/>
  <c r="AG357" i="25" s="1"/>
  <c r="AF357" i="25" s="1"/>
  <c r="AI144" i="25"/>
  <c r="AH144" i="25" s="1"/>
  <c r="AG144" i="25" s="1"/>
  <c r="AF144" i="25" s="1"/>
  <c r="AI274" i="25"/>
  <c r="AH274" i="25" s="1"/>
  <c r="AG274" i="25" s="1"/>
  <c r="AF274" i="25" s="1"/>
  <c r="AI298" i="25"/>
  <c r="AH298" i="25" s="1"/>
  <c r="AG298" i="25" s="1"/>
  <c r="AF298" i="25" s="1"/>
  <c r="AI65" i="25"/>
  <c r="AH65" i="25" s="1"/>
  <c r="AG65" i="25" s="1"/>
  <c r="AF65" i="25" s="1"/>
  <c r="AI234" i="25"/>
  <c r="AH234" i="25" s="1"/>
  <c r="AG234" i="25" s="1"/>
  <c r="AF234" i="25" s="1"/>
  <c r="AI46" i="25"/>
  <c r="AH46" i="25" s="1"/>
  <c r="AG46" i="25" s="1"/>
  <c r="AF46" i="25" s="1"/>
  <c r="AI30" i="25"/>
  <c r="AH30" i="25" s="1"/>
  <c r="AG30" i="25" s="1"/>
  <c r="AF30" i="25" s="1"/>
  <c r="AI353" i="25"/>
  <c r="AH353" i="25" s="1"/>
  <c r="AG353" i="25" s="1"/>
  <c r="AF353" i="25" s="1"/>
  <c r="AI232" i="25"/>
  <c r="AH232" i="25" s="1"/>
  <c r="AG232" i="25" s="1"/>
  <c r="AF232" i="25" s="1"/>
  <c r="AI322" i="25"/>
  <c r="AH322" i="25" s="1"/>
  <c r="AG322" i="25" s="1"/>
  <c r="AF322" i="25" s="1"/>
  <c r="AI76" i="25"/>
  <c r="AH76" i="25" s="1"/>
  <c r="AG76" i="25" s="1"/>
  <c r="AF76" i="25" s="1"/>
  <c r="AI284" i="25"/>
  <c r="AH284" i="25" s="1"/>
  <c r="AG284" i="25" s="1"/>
  <c r="AF284" i="25" s="1"/>
  <c r="AI71" i="25"/>
  <c r="AH71" i="25" s="1"/>
  <c r="AG71" i="25" s="1"/>
  <c r="AF71" i="25" s="1"/>
  <c r="AI291" i="25"/>
  <c r="AH291" i="25" s="1"/>
  <c r="AG291" i="25" s="1"/>
  <c r="AF291" i="25" s="1"/>
  <c r="AI74" i="25"/>
  <c r="AH74" i="25" s="1"/>
  <c r="AG74" i="25" s="1"/>
  <c r="AF74" i="25" s="1"/>
  <c r="AI149" i="25"/>
  <c r="AH149" i="25" s="1"/>
  <c r="AI245" i="25"/>
  <c r="AH245" i="25" s="1"/>
  <c r="AG245" i="25" s="1"/>
  <c r="AF245" i="25" s="1"/>
  <c r="J331" i="24"/>
  <c r="AI277" i="25"/>
  <c r="AH277" i="25" s="1"/>
  <c r="AG277" i="25" s="1"/>
  <c r="AF277" i="25" s="1"/>
  <c r="AI211" i="25"/>
  <c r="AH211" i="25" s="1"/>
  <c r="AG211" i="25" s="1"/>
  <c r="AF211" i="25" s="1"/>
  <c r="AI126" i="25"/>
  <c r="AH126" i="25" s="1"/>
  <c r="AG126" i="25" s="1"/>
  <c r="AF126" i="25" s="1"/>
  <c r="AI279" i="25"/>
  <c r="AH279" i="25" s="1"/>
  <c r="AG279" i="25" s="1"/>
  <c r="AF279" i="25" s="1"/>
  <c r="AI42" i="25"/>
  <c r="AH42" i="25" s="1"/>
  <c r="AG42" i="25" s="1"/>
  <c r="AF42" i="25" s="1"/>
  <c r="AI81" i="25"/>
  <c r="AH81" i="25" s="1"/>
  <c r="AG81" i="25" s="1"/>
  <c r="AF81" i="25" s="1"/>
  <c r="AI376" i="25"/>
  <c r="AH376" i="25" s="1"/>
  <c r="AI98" i="25"/>
  <c r="AH98" i="25" s="1"/>
  <c r="AG98" i="25" s="1"/>
  <c r="AF98" i="25" s="1"/>
  <c r="AI326" i="25"/>
  <c r="AH326" i="25" s="1"/>
  <c r="AI218" i="25"/>
  <c r="AH218" i="25" s="1"/>
  <c r="AG218" i="25" s="1"/>
  <c r="AF218" i="25" s="1"/>
  <c r="AI120" i="25"/>
  <c r="AH120" i="25" s="1"/>
  <c r="AG120" i="25" s="1"/>
  <c r="AF120" i="25" s="1"/>
  <c r="AI273" i="25"/>
  <c r="AH273" i="25" s="1"/>
  <c r="AG273" i="25" s="1"/>
  <c r="AF273" i="25" s="1"/>
  <c r="AI115" i="25"/>
  <c r="AH115" i="25" s="1"/>
  <c r="AG115" i="25" s="1"/>
  <c r="AF115" i="25" s="1"/>
  <c r="AI31" i="25"/>
  <c r="AH31" i="25" s="1"/>
  <c r="AG31" i="25" s="1"/>
  <c r="AF31" i="25" s="1"/>
  <c r="AI209" i="25"/>
  <c r="AH209" i="25" s="1"/>
  <c r="AG209" i="25" s="1"/>
  <c r="AF209" i="25" s="1"/>
  <c r="AI370" i="25"/>
  <c r="AH370" i="25" s="1"/>
  <c r="AI207" i="25"/>
  <c r="AH207" i="25" s="1"/>
  <c r="AG207" i="25" s="1"/>
  <c r="AF207" i="25" s="1"/>
  <c r="AI134" i="25"/>
  <c r="AH134" i="25" s="1"/>
  <c r="AG134" i="25" s="1"/>
  <c r="AF134" i="25" s="1"/>
  <c r="AI173" i="25"/>
  <c r="AH173" i="25" s="1"/>
  <c r="AI369" i="25"/>
  <c r="AH369" i="25" s="1"/>
  <c r="AG369" i="25" s="1"/>
  <c r="AF369" i="25" s="1"/>
  <c r="AI215" i="25"/>
  <c r="AH215" i="25" s="1"/>
  <c r="AG215" i="25" s="1"/>
  <c r="AF215" i="25" s="1"/>
  <c r="AI250" i="25"/>
  <c r="AH250" i="25" s="1"/>
  <c r="AG250" i="25" s="1"/>
  <c r="AF250" i="25" s="1"/>
  <c r="AI193" i="25"/>
  <c r="AH193" i="25" s="1"/>
  <c r="AG193" i="25" s="1"/>
  <c r="AF193" i="25" s="1"/>
  <c r="AI45" i="25"/>
  <c r="AH45" i="25" s="1"/>
  <c r="AG45" i="25" s="1"/>
  <c r="AF45" i="25" s="1"/>
  <c r="AI333" i="25"/>
  <c r="AH333" i="25" s="1"/>
  <c r="AG333" i="25" s="1"/>
  <c r="AF333" i="25" s="1"/>
  <c r="AI213" i="25"/>
  <c r="AH213" i="25" s="1"/>
  <c r="AI241" i="25"/>
  <c r="AH241" i="25" s="1"/>
  <c r="AG241" i="25" s="1"/>
  <c r="AF241" i="25" s="1"/>
  <c r="AI332" i="25"/>
  <c r="AH332" i="25" s="1"/>
  <c r="AI242" i="25"/>
  <c r="AH242" i="25" s="1"/>
  <c r="AG242" i="25" s="1"/>
  <c r="AF242" i="25" s="1"/>
  <c r="AI15" i="25"/>
  <c r="AH15" i="25" s="1"/>
  <c r="AI366" i="25"/>
  <c r="AH366" i="25" s="1"/>
  <c r="AG366" i="25" s="1"/>
  <c r="AF366" i="25" s="1"/>
  <c r="AI157" i="25"/>
  <c r="AH157" i="25" s="1"/>
  <c r="AG157" i="25" s="1"/>
  <c r="AF157" i="25" s="1"/>
  <c r="AI280" i="25"/>
  <c r="AH280" i="25" s="1"/>
  <c r="AG280" i="25" s="1"/>
  <c r="AF280" i="25" s="1"/>
  <c r="AI205" i="25"/>
  <c r="AH205" i="25" s="1"/>
  <c r="AG205" i="25" s="1"/>
  <c r="AF205" i="25" s="1"/>
  <c r="AI17" i="25"/>
  <c r="AH17" i="25" s="1"/>
  <c r="AG17" i="25" s="1"/>
  <c r="AF17" i="25" s="1"/>
  <c r="AI305" i="25"/>
  <c r="AH305" i="25" s="1"/>
  <c r="AG305" i="25" s="1"/>
  <c r="AF305" i="25" s="1"/>
  <c r="AI307" i="25"/>
  <c r="AH307" i="25" s="1"/>
  <c r="AG307" i="25" s="1"/>
  <c r="AF307" i="25" s="1"/>
  <c r="AI50" i="25"/>
  <c r="AH50" i="25" s="1"/>
  <c r="AG50" i="25" s="1"/>
  <c r="AF50" i="25" s="1"/>
  <c r="AI57" i="25"/>
  <c r="AH57" i="25" s="1"/>
  <c r="AG57" i="25" s="1"/>
  <c r="AF57" i="25" s="1"/>
  <c r="AI56" i="25"/>
  <c r="AH56" i="25" s="1"/>
  <c r="AG56" i="25" s="1"/>
  <c r="AF56" i="25" s="1"/>
  <c r="AI116" i="25"/>
  <c r="AH116" i="25" s="1"/>
  <c r="AG116" i="25" s="1"/>
  <c r="AF116" i="25" s="1"/>
  <c r="AI123" i="25"/>
  <c r="AH123" i="25" s="1"/>
  <c r="AG123" i="25" s="1"/>
  <c r="AF123" i="25" s="1"/>
  <c r="AI132" i="25"/>
  <c r="AH132" i="25" s="1"/>
  <c r="AG132" i="25" s="1"/>
  <c r="AF132" i="25" s="1"/>
  <c r="AI156" i="25"/>
  <c r="AH156" i="25" s="1"/>
  <c r="AG156" i="25" s="1"/>
  <c r="AF156" i="25" s="1"/>
  <c r="AI347" i="25"/>
  <c r="AH347" i="25" s="1"/>
  <c r="AG347" i="25" s="1"/>
  <c r="AF347" i="25" s="1"/>
  <c r="AI58" i="25"/>
  <c r="AH58" i="25" s="1"/>
  <c r="AG58" i="25" s="1"/>
  <c r="AF58" i="25" s="1"/>
  <c r="AI73" i="25"/>
  <c r="AH73" i="25" s="1"/>
  <c r="AG73" i="25" s="1"/>
  <c r="AF73" i="25" s="1"/>
  <c r="AI176" i="25"/>
  <c r="AH176" i="25" s="1"/>
  <c r="AG176" i="25" s="1"/>
  <c r="AF176" i="25" s="1"/>
  <c r="AI187" i="25"/>
  <c r="AH187" i="25" s="1"/>
  <c r="AG187" i="25" s="1"/>
  <c r="AF187" i="25" s="1"/>
  <c r="AI377" i="25"/>
  <c r="AH377" i="25" s="1"/>
  <c r="AG377" i="25" s="1"/>
  <c r="AF377" i="25" s="1"/>
  <c r="AI102" i="25"/>
  <c r="AH102" i="25" s="1"/>
  <c r="AG102" i="25" s="1"/>
  <c r="AF102" i="25" s="1"/>
  <c r="AI286" i="25"/>
  <c r="AH286" i="25" s="1"/>
  <c r="AG286" i="25" s="1"/>
  <c r="AF286" i="25" s="1"/>
  <c r="AI233" i="25"/>
  <c r="AH233" i="25" s="1"/>
  <c r="AG233" i="25" s="1"/>
  <c r="AF233" i="25" s="1"/>
  <c r="AI54" i="25"/>
  <c r="AH54" i="25" s="1"/>
  <c r="AG54" i="25" s="1"/>
  <c r="AF54" i="25" s="1"/>
  <c r="AI20" i="25"/>
  <c r="AH20" i="25" s="1"/>
  <c r="AG20" i="25" s="1"/>
  <c r="AF20" i="25" s="1"/>
  <c r="AI60" i="25"/>
  <c r="AH60" i="25" s="1"/>
  <c r="AG60" i="25" s="1"/>
  <c r="AF60" i="25" s="1"/>
  <c r="AI192" i="25"/>
  <c r="AH192" i="25" s="1"/>
  <c r="AG192" i="25" s="1"/>
  <c r="AF192" i="25" s="1"/>
  <c r="AI189" i="25"/>
  <c r="AH189" i="25" s="1"/>
  <c r="AG189" i="25" s="1"/>
  <c r="AF189" i="25" s="1"/>
  <c r="AI96" i="25"/>
  <c r="AH96" i="25" s="1"/>
  <c r="AG96" i="25" s="1"/>
  <c r="AF96" i="25" s="1"/>
  <c r="AI260" i="25"/>
  <c r="AH260" i="25" s="1"/>
  <c r="AG260" i="25" s="1"/>
  <c r="AF260" i="25" s="1"/>
  <c r="AI24" i="25"/>
  <c r="AH24" i="25" s="1"/>
  <c r="AG24" i="25" s="1"/>
  <c r="AF24" i="25" s="1"/>
  <c r="AI67" i="25"/>
  <c r="AH67" i="25" s="1"/>
  <c r="AG67" i="25" s="1"/>
  <c r="AF67" i="25" s="1"/>
  <c r="AI186" i="25"/>
  <c r="AH186" i="25" s="1"/>
  <c r="AG186" i="25" s="1"/>
  <c r="AF186" i="25" s="1"/>
  <c r="AI139" i="25"/>
  <c r="AH139" i="25" s="1"/>
  <c r="AG139" i="25" s="1"/>
  <c r="AF139" i="25" s="1"/>
  <c r="AI268" i="25"/>
  <c r="AH268" i="25" s="1"/>
  <c r="AG268" i="25" s="1"/>
  <c r="AF268" i="25" s="1"/>
  <c r="AI32" i="25"/>
  <c r="AH32" i="25" s="1"/>
  <c r="AG32" i="25" s="1"/>
  <c r="AF32" i="25" s="1"/>
  <c r="AI158" i="25"/>
  <c r="AH158" i="25" s="1"/>
  <c r="AI109" i="25"/>
  <c r="AH109" i="25" s="1"/>
  <c r="AG109" i="25" s="1"/>
  <c r="AF109" i="25" s="1"/>
  <c r="AI63" i="25"/>
  <c r="AH63" i="25" s="1"/>
  <c r="AG63" i="25" s="1"/>
  <c r="AF63" i="25" s="1"/>
  <c r="AI105" i="25"/>
  <c r="AH105" i="25" s="1"/>
  <c r="AG105" i="25" s="1"/>
  <c r="AF105" i="25" s="1"/>
  <c r="AI358" i="25"/>
  <c r="AH358" i="25" s="1"/>
  <c r="AG358" i="25" s="1"/>
  <c r="AF358" i="25" s="1"/>
  <c r="AI208" i="25"/>
  <c r="AH208" i="25" s="1"/>
  <c r="AG208" i="25" s="1"/>
  <c r="AF208" i="25" s="1"/>
  <c r="AI228" i="25"/>
  <c r="AH228" i="25" s="1"/>
  <c r="AI40" i="25"/>
  <c r="AH40" i="25" s="1"/>
  <c r="AG40" i="25" s="1"/>
  <c r="AF40" i="25" s="1"/>
  <c r="AI320" i="25"/>
  <c r="AH320" i="25" s="1"/>
  <c r="AG320" i="25" s="1"/>
  <c r="AF320" i="25" s="1"/>
  <c r="AI263" i="25"/>
  <c r="AH263" i="25" s="1"/>
  <c r="AG263" i="25" s="1"/>
  <c r="AF263" i="25" s="1"/>
  <c r="AI255" i="25"/>
  <c r="AH255" i="25" s="1"/>
  <c r="AG255" i="25" s="1"/>
  <c r="AF255" i="25" s="1"/>
  <c r="AI33" i="25"/>
  <c r="AH33" i="25" s="1"/>
  <c r="AG33" i="25" s="1"/>
  <c r="AF33" i="25" s="1"/>
  <c r="AI373" i="25"/>
  <c r="AH373" i="25" s="1"/>
  <c r="AG373" i="25" s="1"/>
  <c r="AF373" i="25" s="1"/>
  <c r="AI330" i="25"/>
  <c r="AH330" i="25" s="1"/>
  <c r="AI275" i="25"/>
  <c r="AH275" i="25" s="1"/>
  <c r="AG275" i="25" s="1"/>
  <c r="AF275" i="25" s="1"/>
  <c r="AI313" i="25"/>
  <c r="AH313" i="25" s="1"/>
  <c r="AG313" i="25" s="1"/>
  <c r="AF313" i="25" s="1"/>
  <c r="AI325" i="25"/>
  <c r="AH325" i="25" s="1"/>
  <c r="AG325" i="25" s="1"/>
  <c r="AF325" i="25" s="1"/>
  <c r="AI270" i="25"/>
  <c r="AH270" i="25" s="1"/>
  <c r="AG270" i="25" s="1"/>
  <c r="AF270" i="25" s="1"/>
  <c r="AI93" i="25"/>
  <c r="AH93" i="25" s="1"/>
  <c r="AG93" i="25" s="1"/>
  <c r="AF93" i="25" s="1"/>
  <c r="AI19" i="25"/>
  <c r="AH19" i="25" s="1"/>
  <c r="AG19" i="25" s="1"/>
  <c r="AF19" i="25" s="1"/>
  <c r="AI28" i="25"/>
  <c r="AH28" i="25" s="1"/>
  <c r="AG28" i="25" s="1"/>
  <c r="AF28" i="25" s="1"/>
  <c r="AI359" i="25"/>
  <c r="AH359" i="25" s="1"/>
  <c r="AG359" i="25" s="1"/>
  <c r="AF359" i="25" s="1"/>
  <c r="AI159" i="25"/>
  <c r="AH159" i="25" s="1"/>
  <c r="AG159" i="25" s="1"/>
  <c r="AF159" i="25" s="1"/>
  <c r="AI143" i="25"/>
  <c r="AH143" i="25" s="1"/>
  <c r="AG143" i="25" s="1"/>
  <c r="AF143" i="25" s="1"/>
  <c r="AI214" i="25"/>
  <c r="AH214" i="25" s="1"/>
  <c r="AG214" i="25" s="1"/>
  <c r="AF214" i="25" s="1"/>
  <c r="AI201" i="25"/>
  <c r="AH201" i="25" s="1"/>
  <c r="AG201" i="25" s="1"/>
  <c r="AF201" i="25" s="1"/>
  <c r="AI261" i="25"/>
  <c r="AH261" i="25" s="1"/>
  <c r="AG261" i="25" s="1"/>
  <c r="AF261" i="25" s="1"/>
  <c r="AI252" i="25"/>
  <c r="AH252" i="25" s="1"/>
  <c r="AG252" i="25" s="1"/>
  <c r="AF252" i="25" s="1"/>
  <c r="AI188" i="25"/>
  <c r="AH188" i="25" s="1"/>
  <c r="AG188" i="25" s="1"/>
  <c r="AF188" i="25" s="1"/>
  <c r="AI345" i="25"/>
  <c r="AH345" i="25" s="1"/>
  <c r="AG345" i="25" s="1"/>
  <c r="AF345" i="25" s="1"/>
  <c r="AI95" i="25"/>
  <c r="AH95" i="25" s="1"/>
  <c r="AG95" i="25" s="1"/>
  <c r="AF95" i="25" s="1"/>
  <c r="AI175" i="25"/>
  <c r="AH175" i="25" s="1"/>
  <c r="AG175" i="25" s="1"/>
  <c r="AF175" i="25" s="1"/>
  <c r="AI197" i="25"/>
  <c r="AH197" i="25" s="1"/>
  <c r="AG197" i="25" s="1"/>
  <c r="AF197" i="25" s="1"/>
  <c r="AI99" i="25"/>
  <c r="AH99" i="25" s="1"/>
  <c r="AG99" i="25" s="1"/>
  <c r="AF99" i="25" s="1"/>
  <c r="AI29" i="25"/>
  <c r="AH29" i="25" s="1"/>
  <c r="AG29" i="25" s="1"/>
  <c r="AF29" i="25" s="1"/>
  <c r="AI177" i="25"/>
  <c r="AH177" i="25" s="1"/>
  <c r="AG177" i="25" s="1"/>
  <c r="AF177" i="25" s="1"/>
  <c r="AI35" i="25"/>
  <c r="AH35" i="25" s="1"/>
  <c r="AG35" i="25" s="1"/>
  <c r="AF35" i="25" s="1"/>
  <c r="AI342" i="25"/>
  <c r="AH342" i="25" s="1"/>
  <c r="AG342" i="25" s="1"/>
  <c r="AF342" i="25" s="1"/>
  <c r="AI127" i="25"/>
  <c r="AH127" i="25" s="1"/>
  <c r="AG127" i="25" s="1"/>
  <c r="AF127" i="25" s="1"/>
  <c r="AI166" i="25"/>
  <c r="AH166" i="25" s="1"/>
  <c r="AG166" i="25" s="1"/>
  <c r="AF166" i="25" s="1"/>
  <c r="AI195" i="25"/>
  <c r="AH195" i="25" s="1"/>
  <c r="AG195" i="25" s="1"/>
  <c r="AF195" i="25" s="1"/>
  <c r="AI86" i="25"/>
  <c r="AH86" i="25" s="1"/>
  <c r="AG86" i="25" s="1"/>
  <c r="AF86" i="25" s="1"/>
  <c r="AI90" i="25"/>
  <c r="AH90" i="25" s="1"/>
  <c r="AG90" i="25" s="1"/>
  <c r="AF90" i="25" s="1"/>
  <c r="AI283" i="25"/>
  <c r="AH283" i="25" s="1"/>
  <c r="AG283" i="25" s="1"/>
  <c r="AF283" i="25" s="1"/>
  <c r="AI39" i="25"/>
  <c r="AH39" i="25" s="1"/>
  <c r="AG39" i="25" s="1"/>
  <c r="AF39" i="25" s="1"/>
  <c r="AI183" i="25"/>
  <c r="AH183" i="25" s="1"/>
  <c r="AG183" i="25" s="1"/>
  <c r="AF183" i="25" s="1"/>
  <c r="AI25" i="25"/>
  <c r="AH25" i="25" s="1"/>
  <c r="AG25" i="25" s="1"/>
  <c r="AF25" i="25" s="1"/>
  <c r="AI146" i="25"/>
  <c r="AH146" i="25" s="1"/>
  <c r="AG146" i="25" s="1"/>
  <c r="AF146" i="25" s="1"/>
  <c r="AI306" i="25"/>
  <c r="AH306" i="25" s="1"/>
  <c r="AG306" i="25" s="1"/>
  <c r="AF306" i="25" s="1"/>
  <c r="AI21" i="25"/>
  <c r="AH21" i="25" s="1"/>
  <c r="AG21" i="25" s="1"/>
  <c r="AF21" i="25" s="1"/>
  <c r="AI300" i="25"/>
  <c r="AH300" i="25" s="1"/>
  <c r="AG300" i="25" s="1"/>
  <c r="AF300" i="25" s="1"/>
  <c r="AI304" i="25"/>
  <c r="AH304" i="25" s="1"/>
  <c r="AG304" i="25" s="1"/>
  <c r="AF304" i="25" s="1"/>
  <c r="AI216" i="25"/>
  <c r="AH216" i="25" s="1"/>
  <c r="AG216" i="25" s="1"/>
  <c r="AF216" i="25" s="1"/>
  <c r="AI328" i="25"/>
  <c r="AH328" i="25" s="1"/>
  <c r="AG328" i="25" s="1"/>
  <c r="AF328" i="25" s="1"/>
  <c r="AI343" i="25"/>
  <c r="AH343" i="25" s="1"/>
  <c r="AG343" i="25" s="1"/>
  <c r="AF343" i="25" s="1"/>
  <c r="AI348" i="25"/>
  <c r="AH348" i="25" s="1"/>
  <c r="AG348" i="25" s="1"/>
  <c r="AF348" i="25" s="1"/>
  <c r="AI72" i="25"/>
  <c r="AH72" i="25" s="1"/>
  <c r="AG72" i="25" s="1"/>
  <c r="AF72" i="25" s="1"/>
  <c r="AI317" i="25"/>
  <c r="AH317" i="25" s="1"/>
  <c r="AG317" i="25" s="1"/>
  <c r="AF317" i="25" s="1"/>
  <c r="AI223" i="25"/>
  <c r="AH223" i="25" s="1"/>
  <c r="AG223" i="25" s="1"/>
  <c r="AF223" i="25" s="1"/>
  <c r="AI117" i="25"/>
  <c r="AH117" i="25" s="1"/>
  <c r="AG117" i="25" s="1"/>
  <c r="AF117" i="25" s="1"/>
  <c r="AI267" i="25"/>
  <c r="AH267" i="25" s="1"/>
  <c r="AG267" i="25" s="1"/>
  <c r="AF267" i="25" s="1"/>
  <c r="AI301" i="25"/>
  <c r="AH301" i="25" s="1"/>
  <c r="AG301" i="25" s="1"/>
  <c r="AF301" i="25" s="1"/>
  <c r="AI299" i="25"/>
  <c r="AH299" i="25" s="1"/>
  <c r="AG299" i="25" s="1"/>
  <c r="AF299" i="25" s="1"/>
  <c r="AI69" i="25"/>
  <c r="AH69" i="25" s="1"/>
  <c r="AG69" i="25" s="1"/>
  <c r="AF69" i="25" s="1"/>
  <c r="AI337" i="25"/>
  <c r="AH337" i="25" s="1"/>
  <c r="AG337" i="25" s="1"/>
  <c r="AF337" i="25" s="1"/>
  <c r="AI271" i="25"/>
  <c r="AH271" i="25" s="1"/>
  <c r="AG271" i="25" s="1"/>
  <c r="AF271" i="25" s="1"/>
  <c r="AI53" i="25"/>
  <c r="AH53" i="25" s="1"/>
  <c r="AG53" i="25" s="1"/>
  <c r="AF53" i="25" s="1"/>
  <c r="AI336" i="25"/>
  <c r="AH336" i="25" s="1"/>
  <c r="AG336" i="25" s="1"/>
  <c r="AF336" i="25" s="1"/>
  <c r="AI34" i="25"/>
  <c r="AH34" i="25" s="1"/>
  <c r="AG34" i="25" s="1"/>
  <c r="AF34" i="25" s="1"/>
  <c r="AI230" i="25"/>
  <c r="AH230" i="25" s="1"/>
  <c r="AG230" i="25" s="1"/>
  <c r="AF230" i="25" s="1"/>
  <c r="AI212" i="25"/>
  <c r="AH212" i="25" s="1"/>
  <c r="AI191" i="25"/>
  <c r="AH191" i="25" s="1"/>
  <c r="AG191" i="25" s="1"/>
  <c r="AF191" i="25" s="1"/>
  <c r="AI200" i="25"/>
  <c r="AH200" i="25" s="1"/>
  <c r="AG200" i="25" s="1"/>
  <c r="AF200" i="25" s="1"/>
  <c r="AI122" i="25"/>
  <c r="AH122" i="25" s="1"/>
  <c r="AG122" i="25" s="1"/>
  <c r="AF122" i="25" s="1"/>
  <c r="AI311" i="25"/>
  <c r="AH311" i="25" s="1"/>
  <c r="AG311" i="25" s="1"/>
  <c r="AF311" i="25" s="1"/>
  <c r="AI361" i="25"/>
  <c r="AH361" i="25" s="1"/>
  <c r="AG361" i="25" s="1"/>
  <c r="AF361" i="25" s="1"/>
  <c r="AI161" i="25"/>
  <c r="AH161" i="25" s="1"/>
  <c r="AG161" i="25" s="1"/>
  <c r="AF161" i="25" s="1"/>
  <c r="AI124" i="25"/>
  <c r="AH124" i="25" s="1"/>
  <c r="AI217" i="25"/>
  <c r="AH217" i="25" s="1"/>
  <c r="AG217" i="25" s="1"/>
  <c r="AF217" i="25" s="1"/>
  <c r="AI352" i="25"/>
  <c r="AH352" i="25" s="1"/>
  <c r="AG352" i="25" s="1"/>
  <c r="AF352" i="25" s="1"/>
  <c r="AI94" i="25"/>
  <c r="AH94" i="25" s="1"/>
  <c r="AG94" i="25" s="1"/>
  <c r="AF94" i="25" s="1"/>
  <c r="AI77" i="25"/>
  <c r="AH77" i="25" s="1"/>
  <c r="AG77" i="25" s="1"/>
  <c r="AF77" i="25" s="1"/>
  <c r="AI150" i="25"/>
  <c r="AH150" i="25" s="1"/>
  <c r="AG150" i="25" s="1"/>
  <c r="AF150" i="25" s="1"/>
  <c r="AI202" i="25"/>
  <c r="AH202" i="25" s="1"/>
  <c r="AG202" i="25" s="1"/>
  <c r="AF202" i="25" s="1"/>
  <c r="AI222" i="25"/>
  <c r="AH222" i="25" s="1"/>
  <c r="AI350" i="25"/>
  <c r="AH350" i="25" s="1"/>
  <c r="AG350" i="25" s="1"/>
  <c r="AF350" i="25" s="1"/>
  <c r="AI221" i="25"/>
  <c r="AH221" i="25" s="1"/>
  <c r="AG221" i="25" s="1"/>
  <c r="AF221" i="25" s="1"/>
  <c r="AI249" i="25"/>
  <c r="AH249" i="25" s="1"/>
  <c r="AG249" i="25" s="1"/>
  <c r="AF249" i="25" s="1"/>
  <c r="AI181" i="25"/>
  <c r="AH181" i="25" s="1"/>
  <c r="AG181" i="25" s="1"/>
  <c r="AF181" i="25" s="1"/>
  <c r="AI288" i="25"/>
  <c r="AH288" i="25" s="1"/>
  <c r="AG288" i="25" s="1"/>
  <c r="AF288" i="25" s="1"/>
  <c r="AI253" i="25"/>
  <c r="AH253" i="25" s="1"/>
  <c r="AG253" i="25" s="1"/>
  <c r="AF253" i="25" s="1"/>
  <c r="AI165" i="25"/>
  <c r="AH165" i="25" s="1"/>
  <c r="AG165" i="25" s="1"/>
  <c r="AF165" i="25" s="1"/>
  <c r="AI334" i="25"/>
  <c r="AH334" i="25" s="1"/>
  <c r="AG334" i="25" s="1"/>
  <c r="AF334" i="25" s="1"/>
  <c r="AI289" i="25"/>
  <c r="AH289" i="25" s="1"/>
  <c r="AG289" i="25" s="1"/>
  <c r="AF289" i="25" s="1"/>
  <c r="AI264" i="25"/>
  <c r="AH264" i="25" s="1"/>
  <c r="AG264" i="25" s="1"/>
  <c r="AF264" i="25" s="1"/>
  <c r="AI142" i="25"/>
  <c r="AH142" i="25" s="1"/>
  <c r="AG142" i="25" s="1"/>
  <c r="AF142" i="25" s="1"/>
  <c r="AI254" i="25"/>
  <c r="AH254" i="25" s="1"/>
  <c r="AG254" i="25" s="1"/>
  <c r="AF254" i="25" s="1"/>
  <c r="AI107" i="25"/>
  <c r="AH107" i="25" s="1"/>
  <c r="AG107" i="25" s="1"/>
  <c r="AF107" i="25" s="1"/>
  <c r="AI16" i="25"/>
  <c r="AH16" i="25" s="1"/>
  <c r="AG16" i="25" s="1"/>
  <c r="AF16" i="25" s="1"/>
  <c r="AI118" i="25"/>
  <c r="AH118" i="25" s="1"/>
  <c r="AG118" i="25" s="1"/>
  <c r="AF118" i="25" s="1"/>
  <c r="AI363" i="25"/>
  <c r="AH363" i="25" s="1"/>
  <c r="AG363" i="25" s="1"/>
  <c r="AF363" i="25" s="1"/>
  <c r="AI55" i="25"/>
  <c r="AH55" i="25" s="1"/>
  <c r="AG55" i="25" s="1"/>
  <c r="AF55" i="25" s="1"/>
  <c r="AI355" i="25"/>
  <c r="AH355" i="25" s="1"/>
  <c r="AG355" i="25" s="1"/>
  <c r="AF355" i="25" s="1"/>
  <c r="AI198" i="25"/>
  <c r="AH198" i="25" s="1"/>
  <c r="AG198" i="25" s="1"/>
  <c r="AF198" i="25" s="1"/>
  <c r="AI294" i="25"/>
  <c r="AH294" i="25" s="1"/>
  <c r="AG294" i="25" s="1"/>
  <c r="AF294" i="25" s="1"/>
  <c r="AI266" i="25"/>
  <c r="AH266" i="25" s="1"/>
  <c r="AG266" i="25" s="1"/>
  <c r="AF266" i="25" s="1"/>
  <c r="AI229" i="25"/>
  <c r="AH229" i="25" s="1"/>
  <c r="AG229" i="25" s="1"/>
  <c r="AF229" i="25" s="1"/>
  <c r="AI281" i="25"/>
  <c r="AH281" i="25" s="1"/>
  <c r="AG281" i="25" s="1"/>
  <c r="AF281" i="25" s="1"/>
  <c r="AI318" i="25"/>
  <c r="AH318" i="25" s="1"/>
  <c r="AG318" i="25" s="1"/>
  <c r="AF318" i="25" s="1"/>
  <c r="AI240" i="25"/>
  <c r="AH240" i="25" s="1"/>
  <c r="AG240" i="25" s="1"/>
  <c r="AF240" i="25" s="1"/>
  <c r="AI203" i="25"/>
  <c r="AH203" i="25" s="1"/>
  <c r="AG203" i="25" s="1"/>
  <c r="AF203" i="25" s="1"/>
  <c r="AI68" i="25"/>
  <c r="AH68" i="25" s="1"/>
  <c r="AG68" i="25" s="1"/>
  <c r="AF68" i="25" s="1"/>
  <c r="AI38" i="25"/>
  <c r="AH38" i="25" s="1"/>
  <c r="AG38" i="25" s="1"/>
  <c r="AF38" i="25" s="1"/>
  <c r="AI356" i="25"/>
  <c r="AH356" i="25" s="1"/>
  <c r="AG356" i="25" s="1"/>
  <c r="AF356" i="25" s="1"/>
  <c r="AI101" i="25"/>
  <c r="AH101" i="25" s="1"/>
  <c r="AG101" i="25" s="1"/>
  <c r="AF101" i="25" s="1"/>
  <c r="AI374" i="25"/>
  <c r="AH374" i="25" s="1"/>
  <c r="AG374" i="25" s="1"/>
  <c r="AF374" i="25" s="1"/>
  <c r="AI131" i="25"/>
  <c r="AH131" i="25" s="1"/>
  <c r="AG131" i="25" s="1"/>
  <c r="AF131" i="25" s="1"/>
  <c r="AI210" i="25"/>
  <c r="AH210" i="25" s="1"/>
  <c r="AG210" i="25" s="1"/>
  <c r="AF210" i="25" s="1"/>
  <c r="AI282" i="25"/>
  <c r="AH282" i="25" s="1"/>
  <c r="AG282" i="25" s="1"/>
  <c r="AF282" i="25" s="1"/>
  <c r="AI329" i="25"/>
  <c r="AH329" i="25" s="1"/>
  <c r="AG329" i="25" s="1"/>
  <c r="AF329" i="25" s="1"/>
  <c r="AI160" i="25"/>
  <c r="AH160" i="25" s="1"/>
  <c r="AG160" i="25" s="1"/>
  <c r="AF160" i="25" s="1"/>
  <c r="AI324" i="25"/>
  <c r="AH324" i="25" s="1"/>
  <c r="AG324" i="25" s="1"/>
  <c r="AF324" i="25" s="1"/>
  <c r="AI225" i="25"/>
  <c r="AH225" i="25" s="1"/>
  <c r="AG225" i="25" s="1"/>
  <c r="AF225" i="25" s="1"/>
  <c r="AI244" i="25"/>
  <c r="AH244" i="25" s="1"/>
  <c r="AG244" i="25" s="1"/>
  <c r="AF244" i="25" s="1"/>
  <c r="AI85" i="25"/>
  <c r="AH85" i="25" s="1"/>
  <c r="AG85" i="25" s="1"/>
  <c r="AF85" i="25" s="1"/>
  <c r="AI344" i="25"/>
  <c r="AH344" i="25" s="1"/>
  <c r="AG344" i="25" s="1"/>
  <c r="AF344" i="25" s="1"/>
  <c r="AI378" i="25"/>
  <c r="AH378" i="25" s="1"/>
  <c r="AG378" i="25" s="1"/>
  <c r="AF378" i="25" s="1"/>
  <c r="AI278" i="25"/>
  <c r="AH278" i="25" s="1"/>
  <c r="AG278" i="25" s="1"/>
  <c r="AF278" i="25" s="1"/>
  <c r="AI303" i="25"/>
  <c r="AH303" i="25" s="1"/>
  <c r="AG303" i="25" s="1"/>
  <c r="AF303" i="25" s="1"/>
  <c r="AI272" i="25"/>
  <c r="AH272" i="25" s="1"/>
  <c r="AG272" i="25" s="1"/>
  <c r="AF272" i="25" s="1"/>
  <c r="AI238" i="25"/>
  <c r="AH238" i="25" s="1"/>
  <c r="AG238" i="25" s="1"/>
  <c r="AF238" i="25" s="1"/>
  <c r="AI367" i="25"/>
  <c r="AH367" i="25" s="1"/>
  <c r="AG367" i="25" s="1"/>
  <c r="AF367" i="25" s="1"/>
  <c r="AI257" i="25"/>
  <c r="AH257" i="25" s="1"/>
  <c r="AG257" i="25" s="1"/>
  <c r="AF257" i="25" s="1"/>
  <c r="AI79" i="25"/>
  <c r="AH79" i="25" s="1"/>
  <c r="AG79" i="25" s="1"/>
  <c r="AF79" i="25" s="1"/>
  <c r="AI293" i="25"/>
  <c r="AH293" i="25" s="1"/>
  <c r="AI312" i="25"/>
  <c r="AH312" i="25" s="1"/>
  <c r="AG312" i="25" s="1"/>
  <c r="AF312" i="25" s="1"/>
  <c r="AI226" i="25"/>
  <c r="AH226" i="25" s="1"/>
  <c r="AG226" i="25" s="1"/>
  <c r="AF226" i="25" s="1"/>
  <c r="AI82" i="25"/>
  <c r="AH82" i="25" s="1"/>
  <c r="AG82" i="25" s="1"/>
  <c r="AF82" i="25" s="1"/>
  <c r="AI239" i="25"/>
  <c r="AH239" i="25" s="1"/>
  <c r="AG239" i="25" s="1"/>
  <c r="AF239" i="25" s="1"/>
  <c r="AI170" i="25"/>
  <c r="AH170" i="25" s="1"/>
  <c r="AI136" i="25"/>
  <c r="AH136" i="25" s="1"/>
  <c r="AG136" i="25" s="1"/>
  <c r="AF136" i="25" s="1"/>
  <c r="AI206" i="25"/>
  <c r="AH206" i="25" s="1"/>
  <c r="AG206" i="25" s="1"/>
  <c r="AF206" i="25" s="1"/>
  <c r="AI319" i="25"/>
  <c r="AH319" i="25" s="1"/>
  <c r="AG319" i="25" s="1"/>
  <c r="AF319" i="25" s="1"/>
  <c r="AI339" i="25"/>
  <c r="AH339" i="25" s="1"/>
  <c r="AG339" i="25" s="1"/>
  <c r="AF339" i="25" s="1"/>
  <c r="AI296" i="25"/>
  <c r="AH296" i="25" s="1"/>
  <c r="AG296" i="25" s="1"/>
  <c r="AF296" i="25" s="1"/>
  <c r="AI351" i="25"/>
  <c r="AH351" i="25" s="1"/>
  <c r="AG351" i="25" s="1"/>
  <c r="AF351" i="25" s="1"/>
  <c r="AI84" i="25"/>
  <c r="AH84" i="25" s="1"/>
  <c r="AG84" i="25" s="1"/>
  <c r="AF84" i="25" s="1"/>
  <c r="AI341" i="25"/>
  <c r="AH341" i="25" s="1"/>
  <c r="AG341" i="25" s="1"/>
  <c r="AF341" i="25" s="1"/>
  <c r="AI185" i="25"/>
  <c r="AH185" i="25" s="1"/>
  <c r="AG185" i="25" s="1"/>
  <c r="AF185" i="25" s="1"/>
  <c r="AI375" i="25"/>
  <c r="AH375" i="25" s="1"/>
  <c r="AG375" i="25" s="1"/>
  <c r="AF375" i="25" s="1"/>
  <c r="AI276" i="25"/>
  <c r="AH276" i="25" s="1"/>
  <c r="AG276" i="25" s="1"/>
  <c r="AF276" i="25" s="1"/>
  <c r="AI287" i="25"/>
  <c r="AH287" i="25" s="1"/>
  <c r="AG287" i="25" s="1"/>
  <c r="AF287" i="25" s="1"/>
  <c r="AI323" i="25"/>
  <c r="AH323" i="25" s="1"/>
  <c r="AG323" i="25" s="1"/>
  <c r="AF323" i="25" s="1"/>
  <c r="AI290" i="25"/>
  <c r="AH290" i="25" s="1"/>
  <c r="AG290" i="25" s="1"/>
  <c r="AF290" i="25" s="1"/>
  <c r="AI61" i="25"/>
  <c r="AH61" i="25" s="1"/>
  <c r="AG61" i="25" s="1"/>
  <c r="AF61" i="25" s="1"/>
  <c r="AI227" i="25"/>
  <c r="AH227" i="25" s="1"/>
  <c r="AG227" i="25" s="1"/>
  <c r="AF227" i="25" s="1"/>
  <c r="AI262" i="25"/>
  <c r="AH262" i="25" s="1"/>
  <c r="AG262" i="25" s="1"/>
  <c r="AF262" i="25" s="1"/>
  <c r="AI37" i="25"/>
  <c r="AH37" i="25" s="1"/>
  <c r="AG37" i="25" s="1"/>
  <c r="AF37" i="25" s="1"/>
  <c r="AI129" i="25"/>
  <c r="AH129" i="25" s="1"/>
  <c r="AG129" i="25" s="1"/>
  <c r="AF129" i="25" s="1"/>
  <c r="AI51" i="25"/>
  <c r="AH51" i="25" s="1"/>
  <c r="AG51" i="25" s="1"/>
  <c r="AF51" i="25" s="1"/>
  <c r="AI247" i="25"/>
  <c r="AH247" i="25" s="1"/>
  <c r="AG247" i="25" s="1"/>
  <c r="AF247" i="25" s="1"/>
  <c r="AI354" i="25"/>
  <c r="AH354" i="25" s="1"/>
  <c r="AG354" i="25" s="1"/>
  <c r="AF354" i="25" s="1"/>
  <c r="AI27" i="25"/>
  <c r="AH27" i="25" s="1"/>
  <c r="AG27" i="25" s="1"/>
  <c r="AF27" i="25" s="1"/>
  <c r="AI224" i="25"/>
  <c r="AH224" i="25" s="1"/>
  <c r="AG224" i="25" s="1"/>
  <c r="AF224" i="25" s="1"/>
  <c r="AI327" i="25"/>
  <c r="AH327" i="25" s="1"/>
  <c r="AG327" i="25" s="1"/>
  <c r="AF327" i="25" s="1"/>
  <c r="AI204" i="25"/>
  <c r="AH204" i="25" s="1"/>
  <c r="AG204" i="25" s="1"/>
  <c r="AF204" i="25" s="1"/>
  <c r="AI162" i="25"/>
  <c r="AH162" i="25" s="1"/>
  <c r="AG162" i="25" s="1"/>
  <c r="AF162" i="25" s="1"/>
  <c r="AI18" i="25"/>
  <c r="AH18" i="25" s="1"/>
  <c r="AG18" i="25" s="1"/>
  <c r="AF18" i="25" s="1"/>
  <c r="AI362" i="25"/>
  <c r="AH362" i="25" s="1"/>
  <c r="AG362" i="25" s="1"/>
  <c r="AF362" i="25" s="1"/>
  <c r="AI112" i="25"/>
  <c r="AH112" i="25" s="1"/>
  <c r="AG112" i="25" s="1"/>
  <c r="AF112" i="25" s="1"/>
  <c r="AI174" i="25"/>
  <c r="AH174" i="25" s="1"/>
  <c r="AG174" i="25" s="1"/>
  <c r="AF174" i="25" s="1"/>
  <c r="AI335" i="25"/>
  <c r="AH335" i="25" s="1"/>
  <c r="AG335" i="25" s="1"/>
  <c r="AF335" i="25" s="1"/>
  <c r="AI314" i="25"/>
  <c r="AH314" i="25" s="1"/>
  <c r="AI295" i="25"/>
  <c r="AH295" i="25" s="1"/>
  <c r="AG295" i="25" s="1"/>
  <c r="AF295" i="25" s="1"/>
  <c r="AI145" i="25"/>
  <c r="AH145" i="25" s="1"/>
  <c r="AG145" i="25" s="1"/>
  <c r="AF145" i="25" s="1"/>
  <c r="AI346" i="25"/>
  <c r="AH346" i="25" s="1"/>
  <c r="AG346" i="25" s="1"/>
  <c r="AF346" i="25" s="1"/>
  <c r="AI235" i="25"/>
  <c r="AH235" i="25" s="1"/>
  <c r="AG235" i="25" s="1"/>
  <c r="AF235" i="25" s="1"/>
  <c r="AI194" i="25"/>
  <c r="AH194" i="25" s="1"/>
  <c r="AG194" i="25" s="1"/>
  <c r="AF194" i="25" s="1"/>
  <c r="AI64" i="25"/>
  <c r="AH64" i="25" s="1"/>
  <c r="AG64" i="25" s="1"/>
  <c r="AF64" i="25" s="1"/>
  <c r="AI308" i="25"/>
  <c r="AH308" i="25" s="1"/>
  <c r="AG308" i="25" s="1"/>
  <c r="AF308" i="25" s="1"/>
  <c r="AI184" i="25"/>
  <c r="AH184" i="25" s="1"/>
  <c r="AG184" i="25" s="1"/>
  <c r="AF184" i="25" s="1"/>
  <c r="AI151" i="25"/>
  <c r="AH151" i="25" s="1"/>
  <c r="AG151" i="25" s="1"/>
  <c r="AF151" i="25" s="1"/>
  <c r="AI316" i="25"/>
  <c r="AH316" i="25" s="1"/>
  <c r="AG316" i="25" s="1"/>
  <c r="AF316" i="25" s="1"/>
  <c r="AI106" i="25"/>
  <c r="AH106" i="25" s="1"/>
  <c r="AG106" i="25" s="1"/>
  <c r="AF106" i="25" s="1"/>
  <c r="AI155" i="25"/>
  <c r="AH155" i="25" s="1"/>
  <c r="AG155" i="25" s="1"/>
  <c r="AF155" i="25" s="1"/>
  <c r="AI141" i="25"/>
  <c r="AH141" i="25" s="1"/>
  <c r="AG141" i="25" s="1"/>
  <c r="AF141" i="25" s="1"/>
  <c r="AI243" i="25"/>
  <c r="AH243" i="25" s="1"/>
  <c r="AG243" i="25" s="1"/>
  <c r="AF243" i="25" s="1"/>
  <c r="AI219" i="25"/>
  <c r="AH219" i="25" s="1"/>
  <c r="AI103" i="25"/>
  <c r="AH103" i="25" s="1"/>
  <c r="AG103" i="25" s="1"/>
  <c r="AF103" i="25" s="1"/>
  <c r="AI251" i="25"/>
  <c r="AH251" i="25" s="1"/>
  <c r="AG251" i="25" s="1"/>
  <c r="AF251" i="25" s="1"/>
  <c r="AI171" i="25"/>
  <c r="AH171" i="25" s="1"/>
  <c r="AG171" i="25" s="1"/>
  <c r="AF171" i="25" s="1"/>
  <c r="AI371" i="25"/>
  <c r="AH371" i="25" s="1"/>
  <c r="AG371" i="25" s="1"/>
  <c r="AF371" i="25" s="1"/>
  <c r="G272" i="23"/>
  <c r="CD272" i="6" s="1"/>
  <c r="H272" i="23"/>
  <c r="AA272" i="23"/>
  <c r="Z272" i="23" s="1"/>
  <c r="Y272" i="23" s="1"/>
  <c r="I127" i="24"/>
  <c r="I279" i="24"/>
  <c r="S381" i="24"/>
  <c r="S383" i="24"/>
  <c r="S382" i="24"/>
  <c r="R15" i="24"/>
  <c r="E15" i="22"/>
  <c r="I15" i="18"/>
  <c r="J15" i="18"/>
  <c r="C15" i="6" s="1"/>
  <c r="AF15" i="24"/>
  <c r="F15" i="20"/>
  <c r="P383" i="23"/>
  <c r="V15" i="23"/>
  <c r="P381" i="23"/>
  <c r="P382" i="23"/>
  <c r="Z15" i="18"/>
  <c r="T379" i="25" l="1"/>
  <c r="S379" i="25" s="1"/>
  <c r="R379" i="25" s="1"/>
  <c r="P335" i="25"/>
  <c r="V335" i="25" s="1"/>
  <c r="B335" i="25" s="1"/>
  <c r="D335" i="25" s="1"/>
  <c r="E335" i="25" s="1"/>
  <c r="F335" i="25" s="1"/>
  <c r="AA187" i="24"/>
  <c r="Z187" i="24" s="1"/>
  <c r="Y187" i="24" s="1"/>
  <c r="AA362" i="24"/>
  <c r="Z362" i="24" s="1"/>
  <c r="Y362" i="24" s="1"/>
  <c r="J88" i="24"/>
  <c r="AA139" i="24"/>
  <c r="Z139" i="24" s="1"/>
  <c r="Y139" i="24" s="1"/>
  <c r="AG381" i="24"/>
  <c r="AH381" i="24"/>
  <c r="AH383" i="24"/>
  <c r="Q126" i="25"/>
  <c r="P126" i="25" s="1"/>
  <c r="V126" i="25" s="1"/>
  <c r="B126" i="25" s="1"/>
  <c r="D126" i="25" s="1"/>
  <c r="E126" i="25" s="1"/>
  <c r="F126" i="25" s="1"/>
  <c r="Q106" i="25"/>
  <c r="P106" i="25" s="1"/>
  <c r="V106" i="25" s="1"/>
  <c r="B106" i="25" s="1"/>
  <c r="D106" i="25" s="1"/>
  <c r="E106" i="25" s="1"/>
  <c r="F106" i="25" s="1"/>
  <c r="AA143" i="24"/>
  <c r="Z143" i="24" s="1"/>
  <c r="Y143" i="24" s="1"/>
  <c r="J266" i="24"/>
  <c r="AA289" i="24"/>
  <c r="Z289" i="24" s="1"/>
  <c r="Y289" i="24" s="1"/>
  <c r="AA181" i="24"/>
  <c r="Z181" i="24" s="1"/>
  <c r="Y181" i="24" s="1"/>
  <c r="H187" i="24"/>
  <c r="J187" i="24" s="1"/>
  <c r="AA353" i="24"/>
  <c r="Z353" i="24" s="1"/>
  <c r="Y353" i="24" s="1"/>
  <c r="H157" i="24"/>
  <c r="I157" i="24" s="1"/>
  <c r="AA65" i="24"/>
  <c r="Z65" i="24" s="1"/>
  <c r="Y65" i="24" s="1"/>
  <c r="I333" i="24"/>
  <c r="J227" i="24"/>
  <c r="J242" i="24"/>
  <c r="AG383" i="24"/>
  <c r="Q320" i="25"/>
  <c r="P320" i="25" s="1"/>
  <c r="V320" i="25" s="1"/>
  <c r="B320" i="25" s="1"/>
  <c r="W320" i="25" s="1"/>
  <c r="Q293" i="25"/>
  <c r="P293" i="25" s="1"/>
  <c r="V293" i="25" s="1"/>
  <c r="B293" i="25" s="1"/>
  <c r="W293" i="25" s="1"/>
  <c r="Q44" i="25"/>
  <c r="P44" i="25" s="1"/>
  <c r="V44" i="25" s="1"/>
  <c r="B44" i="25" s="1"/>
  <c r="W44" i="25" s="1"/>
  <c r="Q353" i="25"/>
  <c r="Q32" i="25"/>
  <c r="P32" i="25" s="1"/>
  <c r="V32" i="25" s="1"/>
  <c r="B32" i="25" s="1"/>
  <c r="D32" i="25" s="1"/>
  <c r="E32" i="25" s="1"/>
  <c r="F32" i="25" s="1"/>
  <c r="G32" i="25" s="1"/>
  <c r="CF32" i="6" s="1"/>
  <c r="Q80" i="25"/>
  <c r="P80" i="25" s="1"/>
  <c r="V80" i="25" s="1"/>
  <c r="B80" i="25" s="1"/>
  <c r="W80" i="25" s="1"/>
  <c r="Q30" i="25"/>
  <c r="P30" i="25" s="1"/>
  <c r="V30" i="25" s="1"/>
  <c r="B30" i="25" s="1"/>
  <c r="D30" i="25" s="1"/>
  <c r="E30" i="25" s="1"/>
  <c r="F30" i="25" s="1"/>
  <c r="G30" i="25" s="1"/>
  <c r="CF30" i="6" s="1"/>
  <c r="Q56" i="25"/>
  <c r="P56" i="25" s="1"/>
  <c r="V56" i="25" s="1"/>
  <c r="B56" i="25" s="1"/>
  <c r="W56" i="25" s="1"/>
  <c r="AG382" i="24"/>
  <c r="U382" i="25"/>
  <c r="AH382" i="24"/>
  <c r="P353" i="25"/>
  <c r="V353" i="25" s="1"/>
  <c r="B353" i="25" s="1"/>
  <c r="W353" i="25" s="1"/>
  <c r="Q343" i="25"/>
  <c r="P343" i="25" s="1"/>
  <c r="V343" i="25" s="1"/>
  <c r="B343" i="25" s="1"/>
  <c r="W343" i="25" s="1"/>
  <c r="Q290" i="25"/>
  <c r="P290" i="25" s="1"/>
  <c r="V290" i="25" s="1"/>
  <c r="B290" i="25" s="1"/>
  <c r="W290" i="25" s="1"/>
  <c r="Q250" i="25"/>
  <c r="P250" i="25" s="1"/>
  <c r="V250" i="25" s="1"/>
  <c r="B250" i="25" s="1"/>
  <c r="D250" i="25" s="1"/>
  <c r="E250" i="25" s="1"/>
  <c r="F250" i="25" s="1"/>
  <c r="G250" i="25" s="1"/>
  <c r="CF250" i="6" s="1"/>
  <c r="Q258" i="25"/>
  <c r="P258" i="25" s="1"/>
  <c r="V258" i="25" s="1"/>
  <c r="B258" i="25" s="1"/>
  <c r="W258" i="25" s="1"/>
  <c r="Q55" i="25"/>
  <c r="P55" i="25" s="1"/>
  <c r="V55" i="25" s="1"/>
  <c r="B55" i="25" s="1"/>
  <c r="D55" i="25" s="1"/>
  <c r="E55" i="25" s="1"/>
  <c r="F55" i="25" s="1"/>
  <c r="G55" i="25" s="1"/>
  <c r="CF55" i="6" s="1"/>
  <c r="J318" i="24"/>
  <c r="H18" i="24"/>
  <c r="I18" i="24" s="1"/>
  <c r="H147" i="24"/>
  <c r="J147" i="24" s="1"/>
  <c r="G73" i="24"/>
  <c r="CE73" i="6" s="1"/>
  <c r="AA237" i="24"/>
  <c r="Z237" i="24" s="1"/>
  <c r="Y237" i="24" s="1"/>
  <c r="AA220" i="24"/>
  <c r="Z220" i="24" s="1"/>
  <c r="Y220" i="24" s="1"/>
  <c r="AA120" i="24"/>
  <c r="Z120" i="24" s="1"/>
  <c r="Y120" i="24" s="1"/>
  <c r="H270" i="24"/>
  <c r="J270" i="24" s="1"/>
  <c r="G53" i="24"/>
  <c r="CE53" i="6" s="1"/>
  <c r="Q71" i="25"/>
  <c r="P71" i="25" s="1"/>
  <c r="V71" i="25" s="1"/>
  <c r="B71" i="25" s="1"/>
  <c r="W71" i="25" s="1"/>
  <c r="Q216" i="25"/>
  <c r="P216" i="25" s="1"/>
  <c r="V216" i="25" s="1"/>
  <c r="B216" i="25" s="1"/>
  <c r="D216" i="25" s="1"/>
  <c r="E216" i="25" s="1"/>
  <c r="F216" i="25" s="1"/>
  <c r="G216" i="25" s="1"/>
  <c r="CF216" i="6" s="1"/>
  <c r="Q100" i="25"/>
  <c r="P100" i="25" s="1"/>
  <c r="V100" i="25" s="1"/>
  <c r="B100" i="25" s="1"/>
  <c r="W100" i="25" s="1"/>
  <c r="Q357" i="25"/>
  <c r="P357" i="25" s="1"/>
  <c r="V357" i="25" s="1"/>
  <c r="B357" i="25" s="1"/>
  <c r="W357" i="25" s="1"/>
  <c r="Q132" i="25"/>
  <c r="P132" i="25" s="1"/>
  <c r="V132" i="25" s="1"/>
  <c r="B132" i="25" s="1"/>
  <c r="W132" i="25" s="1"/>
  <c r="Q234" i="25"/>
  <c r="P234" i="25" s="1"/>
  <c r="V234" i="25" s="1"/>
  <c r="B234" i="25" s="1"/>
  <c r="W234" i="25" s="1"/>
  <c r="I319" i="24"/>
  <c r="J175" i="24"/>
  <c r="J206" i="24"/>
  <c r="AA92" i="24"/>
  <c r="Z92" i="24" s="1"/>
  <c r="Y92" i="24" s="1"/>
  <c r="H122" i="24"/>
  <c r="J122" i="24" s="1"/>
  <c r="AA18" i="24"/>
  <c r="Z18" i="24" s="1"/>
  <c r="Y18" i="24" s="1"/>
  <c r="G51" i="24"/>
  <c r="CE51" i="6" s="1"/>
  <c r="AA73" i="24"/>
  <c r="Z73" i="24" s="1"/>
  <c r="Y73" i="24" s="1"/>
  <c r="K69" i="19"/>
  <c r="H220" i="24"/>
  <c r="J220" i="24" s="1"/>
  <c r="G123" i="24"/>
  <c r="CE123" i="6" s="1"/>
  <c r="G318" i="24"/>
  <c r="CE318" i="6" s="1"/>
  <c r="H98" i="24"/>
  <c r="J98" i="24" s="1"/>
  <c r="G237" i="24"/>
  <c r="CE237" i="6" s="1"/>
  <c r="AA256" i="24"/>
  <c r="Z256" i="24" s="1"/>
  <c r="Y256" i="24" s="1"/>
  <c r="J142" i="24"/>
  <c r="AA367" i="24"/>
  <c r="Z367" i="24" s="1"/>
  <c r="Y367" i="24" s="1"/>
  <c r="H61" i="24"/>
  <c r="J61" i="24" s="1"/>
  <c r="H153" i="24"/>
  <c r="J153" i="24" s="1"/>
  <c r="G67" i="24"/>
  <c r="CE67" i="6" s="1"/>
  <c r="AA305" i="24"/>
  <c r="Z305" i="24" s="1"/>
  <c r="Y305" i="24" s="1"/>
  <c r="G68" i="24"/>
  <c r="CE68" i="6" s="1"/>
  <c r="I295" i="24"/>
  <c r="I280" i="24"/>
  <c r="AA219" i="24"/>
  <c r="Z219" i="24" s="1"/>
  <c r="Y219" i="24" s="1"/>
  <c r="H191" i="24"/>
  <c r="I191" i="24" s="1"/>
  <c r="AA154" i="24"/>
  <c r="Z154" i="24" s="1"/>
  <c r="Y154" i="24" s="1"/>
  <c r="H372" i="24"/>
  <c r="J372" i="24" s="1"/>
  <c r="AA283" i="24"/>
  <c r="Z283" i="24" s="1"/>
  <c r="Y283" i="24" s="1"/>
  <c r="J324" i="24"/>
  <c r="AA251" i="24"/>
  <c r="Z251" i="24" s="1"/>
  <c r="Y251" i="24" s="1"/>
  <c r="AA67" i="24"/>
  <c r="Z67" i="24" s="1"/>
  <c r="Y67" i="24" s="1"/>
  <c r="AA295" i="24"/>
  <c r="Z295" i="24" s="1"/>
  <c r="Y295" i="24" s="1"/>
  <c r="J60" i="24"/>
  <c r="J291" i="24"/>
  <c r="H41" i="24"/>
  <c r="I41" i="24" s="1"/>
  <c r="G139" i="24"/>
  <c r="CE139" i="6" s="1"/>
  <c r="AA98" i="24"/>
  <c r="Z98" i="24" s="1"/>
  <c r="Y98" i="24" s="1"/>
  <c r="H134" i="24"/>
  <c r="I134" i="24" s="1"/>
  <c r="H316" i="24"/>
  <c r="J316" i="24" s="1"/>
  <c r="AA278" i="24"/>
  <c r="Z278" i="24" s="1"/>
  <c r="Y278" i="24" s="1"/>
  <c r="G49" i="24"/>
  <c r="CE49" i="6" s="1"/>
  <c r="G120" i="24"/>
  <c r="CE120" i="6" s="1"/>
  <c r="G181" i="24"/>
  <c r="CE181" i="6" s="1"/>
  <c r="H83" i="24"/>
  <c r="I83" i="24" s="1"/>
  <c r="H259" i="24"/>
  <c r="J259" i="24" s="1"/>
  <c r="G206" i="24"/>
  <c r="CE206" i="6" s="1"/>
  <c r="H278" i="24"/>
  <c r="I278" i="24" s="1"/>
  <c r="I125" i="24"/>
  <c r="AA259" i="24"/>
  <c r="Z259" i="24" s="1"/>
  <c r="Y259" i="24" s="1"/>
  <c r="Q118" i="25"/>
  <c r="P118" i="25" s="1"/>
  <c r="V118" i="25" s="1"/>
  <c r="B118" i="25" s="1"/>
  <c r="D118" i="25" s="1"/>
  <c r="E118" i="25" s="1"/>
  <c r="F118" i="25" s="1"/>
  <c r="Q201" i="25"/>
  <c r="P201" i="25" s="1"/>
  <c r="V201" i="25" s="1"/>
  <c r="B201" i="25" s="1"/>
  <c r="D201" i="25" s="1"/>
  <c r="E201" i="25" s="1"/>
  <c r="F201" i="25" s="1"/>
  <c r="H201" i="25" s="1"/>
  <c r="Q73" i="25"/>
  <c r="P73" i="25" s="1"/>
  <c r="V73" i="25" s="1"/>
  <c r="B73" i="25" s="1"/>
  <c r="W73" i="25" s="1"/>
  <c r="Q166" i="25"/>
  <c r="P166" i="25" s="1"/>
  <c r="V166" i="25" s="1"/>
  <c r="B166" i="25" s="1"/>
  <c r="D166" i="25" s="1"/>
  <c r="E166" i="25" s="1"/>
  <c r="F166" i="25" s="1"/>
  <c r="G166" i="25" s="1"/>
  <c r="CF166" i="6" s="1"/>
  <c r="Q143" i="25"/>
  <c r="P143" i="25" s="1"/>
  <c r="V143" i="25" s="1"/>
  <c r="B143" i="25" s="1"/>
  <c r="W143" i="25" s="1"/>
  <c r="Q62" i="25"/>
  <c r="P62" i="25" s="1"/>
  <c r="V62" i="25" s="1"/>
  <c r="B62" i="25" s="1"/>
  <c r="D62" i="25" s="1"/>
  <c r="E62" i="25" s="1"/>
  <c r="F62" i="25" s="1"/>
  <c r="G62" i="25" s="1"/>
  <c r="CF62" i="6" s="1"/>
  <c r="Q221" i="25"/>
  <c r="P221" i="25" s="1"/>
  <c r="V221" i="25" s="1"/>
  <c r="B221" i="25" s="1"/>
  <c r="D221" i="25" s="1"/>
  <c r="E221" i="25" s="1"/>
  <c r="F221" i="25" s="1"/>
  <c r="Q111" i="25"/>
  <c r="P111" i="25" s="1"/>
  <c r="V111" i="25" s="1"/>
  <c r="B111" i="25" s="1"/>
  <c r="W111" i="25" s="1"/>
  <c r="Q31" i="25"/>
  <c r="P31" i="25" s="1"/>
  <c r="V31" i="25" s="1"/>
  <c r="B31" i="25" s="1"/>
  <c r="D31" i="25" s="1"/>
  <c r="E31" i="25" s="1"/>
  <c r="F31" i="25" s="1"/>
  <c r="G31" i="25" s="1"/>
  <c r="CF31" i="6" s="1"/>
  <c r="Q310" i="25"/>
  <c r="P310" i="25" s="1"/>
  <c r="V310" i="25" s="1"/>
  <c r="B310" i="25" s="1"/>
  <c r="W310" i="25" s="1"/>
  <c r="Q98" i="25"/>
  <c r="P98" i="25" s="1"/>
  <c r="V98" i="25" s="1"/>
  <c r="B98" i="25" s="1"/>
  <c r="D98" i="25" s="1"/>
  <c r="E98" i="25" s="1"/>
  <c r="F98" i="25" s="1"/>
  <c r="G98" i="25" s="1"/>
  <c r="CF98" i="6" s="1"/>
  <c r="Q140" i="25"/>
  <c r="P140" i="25" s="1"/>
  <c r="V140" i="25" s="1"/>
  <c r="B140" i="25" s="1"/>
  <c r="D140" i="25" s="1"/>
  <c r="E140" i="25" s="1"/>
  <c r="F140" i="25" s="1"/>
  <c r="G140" i="25" s="1"/>
  <c r="CF140" i="6" s="1"/>
  <c r="Q133" i="25"/>
  <c r="P133" i="25" s="1"/>
  <c r="V133" i="25" s="1"/>
  <c r="B133" i="25" s="1"/>
  <c r="W133" i="25" s="1"/>
  <c r="Q156" i="25"/>
  <c r="P156" i="25" s="1"/>
  <c r="V156" i="25" s="1"/>
  <c r="B156" i="25" s="1"/>
  <c r="W156" i="25" s="1"/>
  <c r="Q96" i="25"/>
  <c r="P96" i="25" s="1"/>
  <c r="V96" i="25" s="1"/>
  <c r="B96" i="25" s="1"/>
  <c r="W96" i="25" s="1"/>
  <c r="Q279" i="25"/>
  <c r="P279" i="25" s="1"/>
  <c r="V279" i="25" s="1"/>
  <c r="B279" i="25" s="1"/>
  <c r="D279" i="25" s="1"/>
  <c r="E279" i="25" s="1"/>
  <c r="F279" i="25" s="1"/>
  <c r="Q303" i="25"/>
  <c r="P303" i="25" s="1"/>
  <c r="V303" i="25" s="1"/>
  <c r="B303" i="25" s="1"/>
  <c r="W303" i="25" s="1"/>
  <c r="Q190" i="25"/>
  <c r="P190" i="25" s="1"/>
  <c r="V190" i="25" s="1"/>
  <c r="B190" i="25" s="1"/>
  <c r="D190" i="25" s="1"/>
  <c r="E190" i="25" s="1"/>
  <c r="F190" i="25" s="1"/>
  <c r="G190" i="25" s="1"/>
  <c r="CF190" i="6" s="1"/>
  <c r="Q78" i="25"/>
  <c r="P78" i="25" s="1"/>
  <c r="V78" i="25" s="1"/>
  <c r="B78" i="25" s="1"/>
  <c r="D78" i="25" s="1"/>
  <c r="E78" i="25" s="1"/>
  <c r="F78" i="25" s="1"/>
  <c r="Q102" i="25"/>
  <c r="P102" i="25" s="1"/>
  <c r="V102" i="25" s="1"/>
  <c r="B102" i="25" s="1"/>
  <c r="W102" i="25" s="1"/>
  <c r="Q120" i="25"/>
  <c r="P120" i="25" s="1"/>
  <c r="V120" i="25" s="1"/>
  <c r="B120" i="25" s="1"/>
  <c r="W120" i="25" s="1"/>
  <c r="AA376" i="24"/>
  <c r="Z376" i="24" s="1"/>
  <c r="Y376" i="24" s="1"/>
  <c r="AA39" i="24"/>
  <c r="Z39" i="24" s="1"/>
  <c r="Y39" i="24" s="1"/>
  <c r="J68" i="24"/>
  <c r="J201" i="24"/>
  <c r="J170" i="24"/>
  <c r="AA206" i="24"/>
  <c r="Z206" i="24" s="1"/>
  <c r="Y206" i="24" s="1"/>
  <c r="AA53" i="24"/>
  <c r="Z53" i="24" s="1"/>
  <c r="Y53" i="24" s="1"/>
  <c r="AA33" i="24"/>
  <c r="Z33" i="24" s="1"/>
  <c r="Y33" i="24" s="1"/>
  <c r="I252" i="24"/>
  <c r="H289" i="24"/>
  <c r="I289" i="24" s="1"/>
  <c r="H154" i="24"/>
  <c r="J154" i="24" s="1"/>
  <c r="AA147" i="24"/>
  <c r="Z147" i="24" s="1"/>
  <c r="Y147" i="24" s="1"/>
  <c r="AA49" i="24"/>
  <c r="Z49" i="24" s="1"/>
  <c r="Y49" i="24" s="1"/>
  <c r="I237" i="24"/>
  <c r="AA134" i="24"/>
  <c r="Z134" i="24" s="1"/>
  <c r="Y134" i="24" s="1"/>
  <c r="H123" i="24"/>
  <c r="J123" i="24" s="1"/>
  <c r="AA318" i="24"/>
  <c r="Z318" i="24" s="1"/>
  <c r="Y318" i="24" s="1"/>
  <c r="H33" i="24"/>
  <c r="I33" i="24" s="1"/>
  <c r="H249" i="24"/>
  <c r="I249" i="24" s="1"/>
  <c r="AA165" i="24"/>
  <c r="Z165" i="24" s="1"/>
  <c r="Y165" i="24" s="1"/>
  <c r="H92" i="24"/>
  <c r="I92" i="24" s="1"/>
  <c r="AA191" i="24"/>
  <c r="Z191" i="24" s="1"/>
  <c r="Y191" i="24" s="1"/>
  <c r="AA44" i="24"/>
  <c r="Z44" i="24" s="1"/>
  <c r="Y44" i="24" s="1"/>
  <c r="D363" i="24"/>
  <c r="E363" i="24" s="1"/>
  <c r="F363" i="24" s="1"/>
  <c r="H363" i="24" s="1"/>
  <c r="J363" i="24" s="1"/>
  <c r="H256" i="24"/>
  <c r="J256" i="24" s="1"/>
  <c r="J365" i="24"/>
  <c r="AA68" i="24"/>
  <c r="Z68" i="24" s="1"/>
  <c r="Y68" i="24" s="1"/>
  <c r="I350" i="24"/>
  <c r="W241" i="24"/>
  <c r="AA257" i="24"/>
  <c r="Z257" i="24" s="1"/>
  <c r="Y257" i="24" s="1"/>
  <c r="G295" i="24"/>
  <c r="CE295" i="6" s="1"/>
  <c r="H257" i="24"/>
  <c r="J257" i="24" s="1"/>
  <c r="J65" i="24"/>
  <c r="I257" i="24"/>
  <c r="W119" i="24"/>
  <c r="AA52" i="24"/>
  <c r="Z52" i="24" s="1"/>
  <c r="Y52" i="24" s="1"/>
  <c r="D302" i="24"/>
  <c r="E302" i="24" s="1"/>
  <c r="F302" i="24" s="1"/>
  <c r="G302" i="24" s="1"/>
  <c r="CE302" i="6" s="1"/>
  <c r="AA270" i="24"/>
  <c r="Z270" i="24" s="1"/>
  <c r="Y270" i="24" s="1"/>
  <c r="H212" i="24"/>
  <c r="J212" i="24" s="1"/>
  <c r="G55" i="24"/>
  <c r="CE55" i="6" s="1"/>
  <c r="G43" i="24"/>
  <c r="CE43" i="6" s="1"/>
  <c r="H27" i="24"/>
  <c r="I27" i="24" s="1"/>
  <c r="G367" i="24"/>
  <c r="CE367" i="6" s="1"/>
  <c r="J367" i="24"/>
  <c r="I171" i="24"/>
  <c r="H321" i="24"/>
  <c r="I321" i="24" s="1"/>
  <c r="H97" i="24"/>
  <c r="I97" i="24" s="1"/>
  <c r="H219" i="24"/>
  <c r="J219" i="24" s="1"/>
  <c r="W29" i="24"/>
  <c r="G39" i="24"/>
  <c r="CE39" i="6" s="1"/>
  <c r="AA157" i="24"/>
  <c r="Z157" i="24" s="1"/>
  <c r="Y157" i="24" s="1"/>
  <c r="G294" i="24"/>
  <c r="CE294" i="6" s="1"/>
  <c r="AA377" i="24"/>
  <c r="Z377" i="24" s="1"/>
  <c r="Y377" i="24" s="1"/>
  <c r="AA195" i="24"/>
  <c r="Z195" i="24" s="1"/>
  <c r="Y195" i="24" s="1"/>
  <c r="H102" i="24"/>
  <c r="J102" i="24" s="1"/>
  <c r="H168" i="24"/>
  <c r="J168" i="24" s="1"/>
  <c r="G251" i="24"/>
  <c r="CE251" i="6" s="1"/>
  <c r="H55" i="24"/>
  <c r="I55" i="24" s="1"/>
  <c r="H55" i="25" s="1"/>
  <c r="I55" i="25" s="1"/>
  <c r="AA273" i="24"/>
  <c r="Z273" i="24" s="1"/>
  <c r="Y273" i="24" s="1"/>
  <c r="AA303" i="24"/>
  <c r="Z303" i="24" s="1"/>
  <c r="Y303" i="24" s="1"/>
  <c r="AA359" i="24"/>
  <c r="Z359" i="24" s="1"/>
  <c r="Y359" i="24" s="1"/>
  <c r="H22" i="24"/>
  <c r="J22" i="24" s="1"/>
  <c r="I103" i="24"/>
  <c r="W149" i="24"/>
  <c r="H107" i="24"/>
  <c r="I107" i="24" s="1"/>
  <c r="AA48" i="24"/>
  <c r="Z48" i="24" s="1"/>
  <c r="Y48" i="24" s="1"/>
  <c r="AA132" i="24"/>
  <c r="Z132" i="24" s="1"/>
  <c r="Y132" i="24" s="1"/>
  <c r="H360" i="24"/>
  <c r="J360" i="24" s="1"/>
  <c r="AA47" i="24"/>
  <c r="Z47" i="24" s="1"/>
  <c r="Y47" i="24" s="1"/>
  <c r="AA85" i="24"/>
  <c r="Z85" i="24" s="1"/>
  <c r="Y85" i="24" s="1"/>
  <c r="J357" i="24"/>
  <c r="G153" i="24"/>
  <c r="CE153" i="6" s="1"/>
  <c r="G285" i="24"/>
  <c r="CE285" i="6" s="1"/>
  <c r="H179" i="24"/>
  <c r="I179" i="24" s="1"/>
  <c r="G58" i="24"/>
  <c r="CE58" i="6" s="1"/>
  <c r="AA56" i="24"/>
  <c r="Z56" i="24" s="1"/>
  <c r="Y56" i="24" s="1"/>
  <c r="H213" i="24"/>
  <c r="I213" i="24" s="1"/>
  <c r="H345" i="24"/>
  <c r="I345" i="24" s="1"/>
  <c r="G66" i="24"/>
  <c r="CE66" i="6" s="1"/>
  <c r="G232" i="24"/>
  <c r="CE232" i="6" s="1"/>
  <c r="AA66" i="24"/>
  <c r="Z66" i="24" s="1"/>
  <c r="Y66" i="24" s="1"/>
  <c r="G296" i="24"/>
  <c r="CE296" i="6" s="1"/>
  <c r="H144" i="24"/>
  <c r="J144" i="24" s="1"/>
  <c r="H132" i="24"/>
  <c r="J132" i="24" s="1"/>
  <c r="J371" i="24"/>
  <c r="H136" i="24"/>
  <c r="J136" i="24" s="1"/>
  <c r="I62" i="24"/>
  <c r="AA285" i="24"/>
  <c r="Z285" i="24" s="1"/>
  <c r="Y285" i="24" s="1"/>
  <c r="W159" i="24"/>
  <c r="AA293" i="24"/>
  <c r="Z293" i="24" s="1"/>
  <c r="Y293" i="24" s="1"/>
  <c r="AA378" i="24"/>
  <c r="Z378" i="24" s="1"/>
  <c r="Y378" i="24" s="1"/>
  <c r="J209" i="24"/>
  <c r="J124" i="24"/>
  <c r="I152" i="24"/>
  <c r="G321" i="24"/>
  <c r="CE321" i="6" s="1"/>
  <c r="AA61" i="24"/>
  <c r="Z61" i="24" s="1"/>
  <c r="Y61" i="24" s="1"/>
  <c r="AA41" i="24"/>
  <c r="Z41" i="24" s="1"/>
  <c r="Y41" i="24" s="1"/>
  <c r="AA97" i="24"/>
  <c r="Z97" i="24" s="1"/>
  <c r="Y97" i="24" s="1"/>
  <c r="G138" i="24"/>
  <c r="CE138" i="6" s="1"/>
  <c r="H180" i="24"/>
  <c r="I180" i="24" s="1"/>
  <c r="AA50" i="24"/>
  <c r="Z50" i="24" s="1"/>
  <c r="Y50" i="24" s="1"/>
  <c r="AA179" i="24"/>
  <c r="Z179" i="24" s="1"/>
  <c r="Y179" i="24" s="1"/>
  <c r="AA294" i="24"/>
  <c r="Z294" i="24" s="1"/>
  <c r="Y294" i="24" s="1"/>
  <c r="AA213" i="24"/>
  <c r="Z213" i="24" s="1"/>
  <c r="Y213" i="24" s="1"/>
  <c r="AA27" i="24"/>
  <c r="Z27" i="24" s="1"/>
  <c r="Y27" i="24" s="1"/>
  <c r="AA136" i="24"/>
  <c r="Z136" i="24" s="1"/>
  <c r="Y136" i="24" s="1"/>
  <c r="AA102" i="24"/>
  <c r="Z102" i="24" s="1"/>
  <c r="Y102" i="24" s="1"/>
  <c r="AA356" i="24"/>
  <c r="Z356" i="24" s="1"/>
  <c r="Y356" i="24" s="1"/>
  <c r="H353" i="24"/>
  <c r="I353" i="24" s="1"/>
  <c r="H228" i="24"/>
  <c r="J228" i="24" s="1"/>
  <c r="AA164" i="24"/>
  <c r="Z164" i="24" s="1"/>
  <c r="Y164" i="24" s="1"/>
  <c r="G168" i="24"/>
  <c r="CE168" i="6" s="1"/>
  <c r="G286" i="24"/>
  <c r="CE286" i="6" s="1"/>
  <c r="E69" i="19"/>
  <c r="H56" i="24"/>
  <c r="I56" i="24" s="1"/>
  <c r="G62" i="24"/>
  <c r="CE62" i="6" s="1"/>
  <c r="H356" i="24"/>
  <c r="J356" i="24" s="1"/>
  <c r="G377" i="24"/>
  <c r="CE377" i="6" s="1"/>
  <c r="J377" i="24"/>
  <c r="AA212" i="24"/>
  <c r="Z212" i="24" s="1"/>
  <c r="Y212" i="24" s="1"/>
  <c r="G113" i="24"/>
  <c r="CE113" i="6" s="1"/>
  <c r="H369" i="24"/>
  <c r="I369" i="24" s="1"/>
  <c r="D112" i="24"/>
  <c r="E112" i="24" s="1"/>
  <c r="F112" i="24" s="1"/>
  <c r="AA112" i="24" s="1"/>
  <c r="Z112" i="24" s="1"/>
  <c r="Y112" i="24" s="1"/>
  <c r="H50" i="24"/>
  <c r="J225" i="24"/>
  <c r="J247" i="24"/>
  <c r="J202" i="24"/>
  <c r="J71" i="24"/>
  <c r="I230" i="24"/>
  <c r="H336" i="24"/>
  <c r="J336" i="24" s="1"/>
  <c r="H130" i="24"/>
  <c r="I130" i="24" s="1"/>
  <c r="H208" i="24"/>
  <c r="J208" i="24" s="1"/>
  <c r="AA83" i="24"/>
  <c r="Z83" i="24" s="1"/>
  <c r="Y83" i="24" s="1"/>
  <c r="AA265" i="24"/>
  <c r="Z265" i="24" s="1"/>
  <c r="Y265" i="24" s="1"/>
  <c r="H376" i="24"/>
  <c r="I376" i="24" s="1"/>
  <c r="AA316" i="24"/>
  <c r="Z316" i="24" s="1"/>
  <c r="Y316" i="24" s="1"/>
  <c r="H361" i="24"/>
  <c r="I361" i="24" s="1"/>
  <c r="AA208" i="24"/>
  <c r="Z208" i="24" s="1"/>
  <c r="Y208" i="24" s="1"/>
  <c r="AA128" i="24"/>
  <c r="Z128" i="24" s="1"/>
  <c r="Y128" i="24" s="1"/>
  <c r="H359" i="24"/>
  <c r="I359" i="24" s="1"/>
  <c r="H177" i="24"/>
  <c r="I177" i="24" s="1"/>
  <c r="H64" i="24"/>
  <c r="J64" i="24" s="1"/>
  <c r="AA177" i="24"/>
  <c r="Z177" i="24" s="1"/>
  <c r="Y177" i="24" s="1"/>
  <c r="AA231" i="24"/>
  <c r="Z231" i="24" s="1"/>
  <c r="Y231" i="24" s="1"/>
  <c r="H47" i="24"/>
  <c r="I47" i="24" s="1"/>
  <c r="H265" i="24"/>
  <c r="J265" i="24" s="1"/>
  <c r="AA218" i="24"/>
  <c r="Z218" i="24" s="1"/>
  <c r="Y218" i="24" s="1"/>
  <c r="H218" i="24"/>
  <c r="J218" i="24" s="1"/>
  <c r="AA90" i="24"/>
  <c r="Z90" i="24" s="1"/>
  <c r="Y90" i="24" s="1"/>
  <c r="G361" i="24"/>
  <c r="CE361" i="6" s="1"/>
  <c r="H176" i="24"/>
  <c r="J176" i="24" s="1"/>
  <c r="H308" i="24"/>
  <c r="J308" i="24" s="1"/>
  <c r="G230" i="24"/>
  <c r="CE230" i="6" s="1"/>
  <c r="J99" i="24"/>
  <c r="G371" i="24"/>
  <c r="CE371" i="6" s="1"/>
  <c r="G234" i="24"/>
  <c r="CE234" i="6" s="1"/>
  <c r="AA144" i="24"/>
  <c r="Z144" i="24" s="1"/>
  <c r="Y144" i="24" s="1"/>
  <c r="H292" i="24"/>
  <c r="J292" i="24" s="1"/>
  <c r="AA222" i="24"/>
  <c r="Z222" i="24" s="1"/>
  <c r="Y222" i="24" s="1"/>
  <c r="D239" i="24"/>
  <c r="E239" i="24" s="1"/>
  <c r="F239" i="24" s="1"/>
  <c r="G239" i="24" s="1"/>
  <c r="CE239" i="6" s="1"/>
  <c r="H186" i="24"/>
  <c r="I186" i="24" s="1"/>
  <c r="AA186" i="24"/>
  <c r="Z186" i="24" s="1"/>
  <c r="Y186" i="24" s="1"/>
  <c r="I69" i="19"/>
  <c r="AA63" i="24"/>
  <c r="Z63" i="24" s="1"/>
  <c r="Y63" i="24" s="1"/>
  <c r="H44" i="24"/>
  <c r="J137" i="24"/>
  <c r="J366" i="24"/>
  <c r="I268" i="24"/>
  <c r="J240" i="24"/>
  <c r="I270" i="24"/>
  <c r="J196" i="24"/>
  <c r="J35" i="24"/>
  <c r="AA302" i="24"/>
  <c r="Z302" i="24" s="1"/>
  <c r="Y302" i="24" s="1"/>
  <c r="D46" i="24"/>
  <c r="E46" i="24" s="1"/>
  <c r="F46" i="24" s="1"/>
  <c r="AA46" i="24" s="1"/>
  <c r="Z46" i="24" s="1"/>
  <c r="Y46" i="24" s="1"/>
  <c r="AA336" i="24"/>
  <c r="Z336" i="24" s="1"/>
  <c r="Y336" i="24" s="1"/>
  <c r="G246" i="24"/>
  <c r="CE246" i="6" s="1"/>
  <c r="H138" i="24"/>
  <c r="I138" i="24" s="1"/>
  <c r="AA170" i="24"/>
  <c r="Z170" i="24" s="1"/>
  <c r="Y170" i="24" s="1"/>
  <c r="H231" i="24"/>
  <c r="I231" i="24" s="1"/>
  <c r="AA244" i="24"/>
  <c r="Z244" i="24" s="1"/>
  <c r="Y244" i="24" s="1"/>
  <c r="AA344" i="24"/>
  <c r="Z344" i="24" s="1"/>
  <c r="Y344" i="24" s="1"/>
  <c r="G344" i="24"/>
  <c r="CE344" i="6" s="1"/>
  <c r="AA155" i="24"/>
  <c r="Z155" i="24" s="1"/>
  <c r="Y155" i="24" s="1"/>
  <c r="AA106" i="24"/>
  <c r="Z106" i="24" s="1"/>
  <c r="Y106" i="24" s="1"/>
  <c r="AA229" i="24"/>
  <c r="Z229" i="24" s="1"/>
  <c r="Y229" i="24" s="1"/>
  <c r="H155" i="24"/>
  <c r="J155" i="24" s="1"/>
  <c r="H106" i="24"/>
  <c r="I106" i="24" s="1"/>
  <c r="AA31" i="24"/>
  <c r="Z31" i="24" s="1"/>
  <c r="Y31" i="24" s="1"/>
  <c r="G345" i="24"/>
  <c r="CE345" i="6" s="1"/>
  <c r="G90" i="24"/>
  <c r="CE90" i="6" s="1"/>
  <c r="G176" i="24"/>
  <c r="CE176" i="6" s="1"/>
  <c r="H244" i="24"/>
  <c r="J244" i="24" s="1"/>
  <c r="J348" i="24"/>
  <c r="G375" i="24"/>
  <c r="CE375" i="6" s="1"/>
  <c r="AA328" i="24"/>
  <c r="Z328" i="24" s="1"/>
  <c r="Y328" i="24" s="1"/>
  <c r="AA351" i="24"/>
  <c r="Z351" i="24" s="1"/>
  <c r="Y351" i="24" s="1"/>
  <c r="G170" i="24"/>
  <c r="CE170" i="6" s="1"/>
  <c r="AA371" i="24"/>
  <c r="Z371" i="24" s="1"/>
  <c r="Y371" i="24" s="1"/>
  <c r="AA180" i="24"/>
  <c r="Z180" i="24" s="1"/>
  <c r="Y180" i="24" s="1"/>
  <c r="AA230" i="24"/>
  <c r="Z230" i="24" s="1"/>
  <c r="Y230" i="24" s="1"/>
  <c r="G31" i="24"/>
  <c r="CE31" i="6" s="1"/>
  <c r="AA22" i="24"/>
  <c r="Z22" i="24" s="1"/>
  <c r="Y22" i="24" s="1"/>
  <c r="AA113" i="24"/>
  <c r="Z113" i="24" s="1"/>
  <c r="Y113" i="24" s="1"/>
  <c r="AA287" i="24"/>
  <c r="Z287" i="24" s="1"/>
  <c r="Y287" i="24" s="1"/>
  <c r="W19" i="24"/>
  <c r="H63" i="24"/>
  <c r="AA184" i="24"/>
  <c r="Z184" i="24" s="1"/>
  <c r="Y184" i="24" s="1"/>
  <c r="H45" i="24"/>
  <c r="AA286" i="24"/>
  <c r="Z286" i="24" s="1"/>
  <c r="Y286" i="24" s="1"/>
  <c r="AA306" i="24"/>
  <c r="Z306" i="24" s="1"/>
  <c r="Y306" i="24" s="1"/>
  <c r="AA64" i="24"/>
  <c r="Z64" i="24" s="1"/>
  <c r="Y64" i="24" s="1"/>
  <c r="H229" i="24"/>
  <c r="H217" i="24"/>
  <c r="I217" i="24" s="1"/>
  <c r="AA228" i="24"/>
  <c r="Z228" i="24" s="1"/>
  <c r="Y228" i="24" s="1"/>
  <c r="H128" i="24"/>
  <c r="J128" i="24" s="1"/>
  <c r="G69" i="24"/>
  <c r="CE69" i="6" s="1"/>
  <c r="AA296" i="24"/>
  <c r="Z296" i="24" s="1"/>
  <c r="Y296" i="24" s="1"/>
  <c r="H164" i="24"/>
  <c r="AA271" i="24"/>
  <c r="Z271" i="24" s="1"/>
  <c r="Y271" i="24" s="1"/>
  <c r="H248" i="24"/>
  <c r="I248" i="24" s="1"/>
  <c r="AA202" i="24"/>
  <c r="Z202" i="24" s="1"/>
  <c r="Y202" i="24" s="1"/>
  <c r="H200" i="24"/>
  <c r="H222" i="24"/>
  <c r="I222" i="24" s="1"/>
  <c r="AA69" i="24"/>
  <c r="Z69" i="24" s="1"/>
  <c r="Y69" i="24" s="1"/>
  <c r="H267" i="24"/>
  <c r="J267" i="24" s="1"/>
  <c r="H271" i="24"/>
  <c r="G202" i="24"/>
  <c r="CE202" i="6" s="1"/>
  <c r="AA32" i="24"/>
  <c r="Z32" i="24" s="1"/>
  <c r="Y32" i="24" s="1"/>
  <c r="H362" i="24"/>
  <c r="J362" i="24" s="1"/>
  <c r="H378" i="24"/>
  <c r="AA62" i="24"/>
  <c r="Z62" i="24" s="1"/>
  <c r="Y62" i="24" s="1"/>
  <c r="H354" i="24"/>
  <c r="J354" i="24" s="1"/>
  <c r="AA354" i="24"/>
  <c r="Z354" i="24" s="1"/>
  <c r="Y354" i="24" s="1"/>
  <c r="AA211" i="24"/>
  <c r="Z211" i="24" s="1"/>
  <c r="Y211" i="24" s="1"/>
  <c r="H183" i="24"/>
  <c r="G183" i="24"/>
  <c r="CE183" i="6" s="1"/>
  <c r="H118" i="24"/>
  <c r="G118" i="24"/>
  <c r="CE118" i="6" s="1"/>
  <c r="G59" i="24"/>
  <c r="CE59" i="6" s="1"/>
  <c r="H59" i="24"/>
  <c r="G254" i="24"/>
  <c r="CE254" i="6" s="1"/>
  <c r="H254" i="24"/>
  <c r="H145" i="24"/>
  <c r="G145" i="24"/>
  <c r="CE145" i="6" s="1"/>
  <c r="AA145" i="24"/>
  <c r="Z145" i="24" s="1"/>
  <c r="Y145" i="24" s="1"/>
  <c r="H42" i="24"/>
  <c r="G42" i="24"/>
  <c r="CE42" i="6" s="1"/>
  <c r="H346" i="24"/>
  <c r="G346" i="24"/>
  <c r="CE346" i="6" s="1"/>
  <c r="H184" i="24"/>
  <c r="AA254" i="24"/>
  <c r="Z254" i="24" s="1"/>
  <c r="Y254" i="24" s="1"/>
  <c r="J161" i="24"/>
  <c r="I161" i="24"/>
  <c r="I354" i="24"/>
  <c r="I174" i="24"/>
  <c r="J343" i="24"/>
  <c r="I294" i="24"/>
  <c r="I96" i="24"/>
  <c r="J334" i="24"/>
  <c r="J38" i="24"/>
  <c r="G211" i="24"/>
  <c r="CE211" i="6" s="1"/>
  <c r="G273" i="24"/>
  <c r="CE273" i="6" s="1"/>
  <c r="AA34" i="24"/>
  <c r="Z34" i="24" s="1"/>
  <c r="Y34" i="24" s="1"/>
  <c r="G130" i="24"/>
  <c r="CE130" i="6" s="1"/>
  <c r="Q180" i="25"/>
  <c r="P180" i="25" s="1"/>
  <c r="AH73" i="7" s="1"/>
  <c r="Q241" i="25"/>
  <c r="P241" i="25" s="1"/>
  <c r="V241" i="25" s="1"/>
  <c r="B241" i="25" s="1"/>
  <c r="W241" i="25" s="1"/>
  <c r="Q223" i="25"/>
  <c r="P223" i="25" s="1"/>
  <c r="V223" i="25" s="1"/>
  <c r="B223" i="25" s="1"/>
  <c r="Q60" i="25"/>
  <c r="P60" i="25" s="1"/>
  <c r="AH69" i="7" s="1"/>
  <c r="Q165" i="25"/>
  <c r="P165" i="25" s="1"/>
  <c r="V165" i="25" s="1"/>
  <c r="B165" i="25" s="1"/>
  <c r="W165" i="25" s="1"/>
  <c r="Q282" i="25"/>
  <c r="P282" i="25" s="1"/>
  <c r="V282" i="25" s="1"/>
  <c r="B282" i="25" s="1"/>
  <c r="W282" i="25" s="1"/>
  <c r="Q67" i="25"/>
  <c r="P67" i="25" s="1"/>
  <c r="V67" i="25" s="1"/>
  <c r="B67" i="25" s="1"/>
  <c r="Q147" i="25"/>
  <c r="P147" i="25" s="1"/>
  <c r="V147" i="25" s="1"/>
  <c r="B147" i="25" s="1"/>
  <c r="W147" i="25" s="1"/>
  <c r="Q374" i="25"/>
  <c r="P374" i="25" s="1"/>
  <c r="V374" i="25" s="1"/>
  <c r="B374" i="25" s="1"/>
  <c r="W374" i="25" s="1"/>
  <c r="Q262" i="25"/>
  <c r="P262" i="25" s="1"/>
  <c r="V262" i="25" s="1"/>
  <c r="B262" i="25" s="1"/>
  <c r="D262" i="25" s="1"/>
  <c r="E262" i="25" s="1"/>
  <c r="F262" i="25" s="1"/>
  <c r="G262" i="25" s="1"/>
  <c r="CF262" i="6" s="1"/>
  <c r="Q107" i="25"/>
  <c r="P107" i="25" s="1"/>
  <c r="V107" i="25" s="1"/>
  <c r="B107" i="25" s="1"/>
  <c r="W107" i="25" s="1"/>
  <c r="Q138" i="25"/>
  <c r="P138" i="25" s="1"/>
  <c r="V138" i="25" s="1"/>
  <c r="B138" i="25" s="1"/>
  <c r="W138" i="25" s="1"/>
  <c r="Q316" i="25"/>
  <c r="P316" i="25" s="1"/>
  <c r="V316" i="25" s="1"/>
  <c r="B316" i="25" s="1"/>
  <c r="D316" i="25" s="1"/>
  <c r="E316" i="25" s="1"/>
  <c r="F316" i="25" s="1"/>
  <c r="Q16" i="25"/>
  <c r="P16" i="25" s="1"/>
  <c r="V16" i="25" s="1"/>
  <c r="B16" i="25" s="1"/>
  <c r="D16" i="25" s="1"/>
  <c r="E16" i="25" s="1"/>
  <c r="F16" i="25" s="1"/>
  <c r="G16" i="25" s="1"/>
  <c r="CF16" i="6" s="1"/>
  <c r="Q264" i="25"/>
  <c r="P264" i="25" s="1"/>
  <c r="V264" i="25" s="1"/>
  <c r="B264" i="25" s="1"/>
  <c r="D264" i="25" s="1"/>
  <c r="E264" i="25" s="1"/>
  <c r="F264" i="25" s="1"/>
  <c r="Q195" i="25"/>
  <c r="P195" i="25" s="1"/>
  <c r="V195" i="25" s="1"/>
  <c r="B195" i="25" s="1"/>
  <c r="Q322" i="25"/>
  <c r="P322" i="25" s="1"/>
  <c r="V322" i="25" s="1"/>
  <c r="B322" i="25" s="1"/>
  <c r="W322" i="25" s="1"/>
  <c r="Q38" i="25"/>
  <c r="P38" i="25" s="1"/>
  <c r="V38" i="25" s="1"/>
  <c r="B38" i="25" s="1"/>
  <c r="W38" i="25" s="1"/>
  <c r="Q342" i="25"/>
  <c r="P342" i="25" s="1"/>
  <c r="V342" i="25" s="1"/>
  <c r="B342" i="25" s="1"/>
  <c r="W342" i="25" s="1"/>
  <c r="Q65" i="25"/>
  <c r="P65" i="25" s="1"/>
  <c r="V65" i="25" s="1"/>
  <c r="B65" i="25" s="1"/>
  <c r="D65" i="25" s="1"/>
  <c r="E65" i="25" s="1"/>
  <c r="F65" i="25" s="1"/>
  <c r="Q229" i="25"/>
  <c r="P229" i="25" s="1"/>
  <c r="V229" i="25" s="1"/>
  <c r="B229" i="25" s="1"/>
  <c r="Q33" i="25"/>
  <c r="P33" i="25" s="1"/>
  <c r="V33" i="25" s="1"/>
  <c r="B33" i="25" s="1"/>
  <c r="D33" i="25" s="1"/>
  <c r="E33" i="25" s="1"/>
  <c r="F33" i="25" s="1"/>
  <c r="G33" i="25" s="1"/>
  <c r="CF33" i="6" s="1"/>
  <c r="Q124" i="25"/>
  <c r="P124" i="25" s="1"/>
  <c r="V124" i="25" s="1"/>
  <c r="B124" i="25" s="1"/>
  <c r="W124" i="25" s="1"/>
  <c r="Q355" i="25"/>
  <c r="P355" i="25" s="1"/>
  <c r="V355" i="25" s="1"/>
  <c r="B355" i="25" s="1"/>
  <c r="W355" i="25" s="1"/>
  <c r="Q51" i="25"/>
  <c r="P51" i="25" s="1"/>
  <c r="V51" i="25" s="1"/>
  <c r="B51" i="25" s="1"/>
  <c r="D51" i="25" s="1"/>
  <c r="E51" i="25" s="1"/>
  <c r="F51" i="25" s="1"/>
  <c r="G51" i="25" s="1"/>
  <c r="CF51" i="6" s="1"/>
  <c r="Q323" i="25"/>
  <c r="P323" i="25" s="1"/>
  <c r="V323" i="25" s="1"/>
  <c r="B323" i="25" s="1"/>
  <c r="D323" i="25" s="1"/>
  <c r="E323" i="25" s="1"/>
  <c r="F323" i="25" s="1"/>
  <c r="Q186" i="25"/>
  <c r="P186" i="25" s="1"/>
  <c r="V186" i="25" s="1"/>
  <c r="B186" i="25" s="1"/>
  <c r="D186" i="25" s="1"/>
  <c r="E186" i="25" s="1"/>
  <c r="F186" i="25" s="1"/>
  <c r="Q121" i="25"/>
  <c r="P121" i="25" s="1"/>
  <c r="V121" i="25" s="1"/>
  <c r="B121" i="25" s="1"/>
  <c r="W121" i="25" s="1"/>
  <c r="Q273" i="25"/>
  <c r="P273" i="25" s="1"/>
  <c r="V273" i="25" s="1"/>
  <c r="B273" i="25" s="1"/>
  <c r="D273" i="25" s="1"/>
  <c r="E273" i="25" s="1"/>
  <c r="F273" i="25" s="1"/>
  <c r="G273" i="25" s="1"/>
  <c r="CF273" i="6" s="1"/>
  <c r="Q361" i="25"/>
  <c r="P361" i="25" s="1"/>
  <c r="V361" i="25" s="1"/>
  <c r="B361" i="25" s="1"/>
  <c r="W361" i="25" s="1"/>
  <c r="Q272" i="25"/>
  <c r="P272" i="25" s="1"/>
  <c r="AH76" i="7" s="1"/>
  <c r="Q25" i="25"/>
  <c r="P25" i="25" s="1"/>
  <c r="V25" i="25" s="1"/>
  <c r="B25" i="25" s="1"/>
  <c r="D25" i="25" s="1"/>
  <c r="E25" i="25" s="1"/>
  <c r="F25" i="25" s="1"/>
  <c r="Q294" i="25"/>
  <c r="P294" i="25" s="1"/>
  <c r="V294" i="25" s="1"/>
  <c r="B294" i="25" s="1"/>
  <c r="D294" i="25" s="1"/>
  <c r="E294" i="25" s="1"/>
  <c r="F294" i="25" s="1"/>
  <c r="Q349" i="25"/>
  <c r="P349" i="25" s="1"/>
  <c r="V349" i="25" s="1"/>
  <c r="B349" i="25" s="1"/>
  <c r="D349" i="25" s="1"/>
  <c r="E349" i="25" s="1"/>
  <c r="F349" i="25" s="1"/>
  <c r="G349" i="25" s="1"/>
  <c r="CF349" i="6" s="1"/>
  <c r="Q173" i="25"/>
  <c r="P173" i="25" s="1"/>
  <c r="V173" i="25" s="1"/>
  <c r="B173" i="25" s="1"/>
  <c r="D173" i="25" s="1"/>
  <c r="E173" i="25" s="1"/>
  <c r="F173" i="25" s="1"/>
  <c r="G173" i="25" s="1"/>
  <c r="CF173" i="6" s="1"/>
  <c r="Q183" i="25"/>
  <c r="P183" i="25" s="1"/>
  <c r="V183" i="25" s="1"/>
  <c r="B183" i="25" s="1"/>
  <c r="D183" i="25" s="1"/>
  <c r="E183" i="25" s="1"/>
  <c r="F183" i="25" s="1"/>
  <c r="G183" i="25" s="1"/>
  <c r="CF183" i="6" s="1"/>
  <c r="Q307" i="25"/>
  <c r="P307" i="25" s="1"/>
  <c r="V307" i="25" s="1"/>
  <c r="B307" i="25" s="1"/>
  <c r="Q226" i="25"/>
  <c r="P226" i="25" s="1"/>
  <c r="V226" i="25" s="1"/>
  <c r="B226" i="25" s="1"/>
  <c r="W226" i="25" s="1"/>
  <c r="Q308" i="25"/>
  <c r="P308" i="25" s="1"/>
  <c r="V308" i="25" s="1"/>
  <c r="B308" i="25" s="1"/>
  <c r="W308" i="25" s="1"/>
  <c r="Q232" i="25"/>
  <c r="P232" i="25" s="1"/>
  <c r="V232" i="25" s="1"/>
  <c r="B232" i="25" s="1"/>
  <c r="D232" i="25" s="1"/>
  <c r="E232" i="25" s="1"/>
  <c r="F232" i="25" s="1"/>
  <c r="Q321" i="25"/>
  <c r="P321" i="25" s="1"/>
  <c r="V321" i="25" s="1"/>
  <c r="B321" i="25" s="1"/>
  <c r="D321" i="25" s="1"/>
  <c r="E321" i="25" s="1"/>
  <c r="F321" i="25" s="1"/>
  <c r="G321" i="25" s="1"/>
  <c r="CF321" i="6" s="1"/>
  <c r="Q114" i="25"/>
  <c r="P114" i="25" s="1"/>
  <c r="V114" i="25" s="1"/>
  <c r="B114" i="25" s="1"/>
  <c r="D114" i="25" s="1"/>
  <c r="E114" i="25" s="1"/>
  <c r="F114" i="25" s="1"/>
  <c r="G114" i="25" s="1"/>
  <c r="CF114" i="6" s="1"/>
  <c r="Q34" i="25"/>
  <c r="P34" i="25" s="1"/>
  <c r="V34" i="25" s="1"/>
  <c r="B34" i="25" s="1"/>
  <c r="D34" i="25" s="1"/>
  <c r="E34" i="25" s="1"/>
  <c r="F34" i="25" s="1"/>
  <c r="AA162" i="24"/>
  <c r="Z162" i="24" s="1"/>
  <c r="Y162" i="24" s="1"/>
  <c r="AA200" i="24"/>
  <c r="Z200" i="24" s="1"/>
  <c r="Y200" i="24" s="1"/>
  <c r="H241" i="24"/>
  <c r="I241" i="24" s="1"/>
  <c r="I28" i="24"/>
  <c r="H34" i="24"/>
  <c r="I34" i="24" s="1"/>
  <c r="H306" i="24"/>
  <c r="J306" i="24" s="1"/>
  <c r="G372" i="24"/>
  <c r="CE372" i="6" s="1"/>
  <c r="G283" i="24"/>
  <c r="CE283" i="6" s="1"/>
  <c r="AA267" i="24"/>
  <c r="Z267" i="24" s="1"/>
  <c r="Y267" i="24" s="1"/>
  <c r="AA292" i="24"/>
  <c r="Z292" i="24" s="1"/>
  <c r="Y292" i="24" s="1"/>
  <c r="AA369" i="24"/>
  <c r="Z369" i="24" s="1"/>
  <c r="Y369" i="24" s="1"/>
  <c r="G303" i="24"/>
  <c r="CE303" i="6" s="1"/>
  <c r="H162" i="24"/>
  <c r="J162" i="24" s="1"/>
  <c r="AA308" i="24"/>
  <c r="Z308" i="24" s="1"/>
  <c r="Y308" i="24" s="1"/>
  <c r="AA261" i="24"/>
  <c r="Z261" i="24" s="1"/>
  <c r="Y261" i="24" s="1"/>
  <c r="AA249" i="24"/>
  <c r="Z249" i="24" s="1"/>
  <c r="Y249" i="24" s="1"/>
  <c r="AA121" i="24"/>
  <c r="Z121" i="24" s="1"/>
  <c r="Y121" i="24" s="1"/>
  <c r="H293" i="24"/>
  <c r="J293" i="24" s="1"/>
  <c r="H351" i="24"/>
  <c r="H121" i="24"/>
  <c r="I121" i="24" s="1"/>
  <c r="G305" i="24"/>
  <c r="CE305" i="6" s="1"/>
  <c r="G165" i="24"/>
  <c r="CE165" i="6" s="1"/>
  <c r="H234" i="24"/>
  <c r="J234" i="24" s="1"/>
  <c r="J303" i="24"/>
  <c r="J25" i="24"/>
  <c r="H328" i="24"/>
  <c r="I328" i="24" s="1"/>
  <c r="J165" i="24"/>
  <c r="H258" i="24"/>
  <c r="I258" i="24" s="1"/>
  <c r="I305" i="24"/>
  <c r="J275" i="24"/>
  <c r="AA375" i="24"/>
  <c r="Z375" i="24" s="1"/>
  <c r="Y375" i="24" s="1"/>
  <c r="AA340" i="24"/>
  <c r="Z340" i="24" s="1"/>
  <c r="Y340" i="24" s="1"/>
  <c r="AA335" i="24"/>
  <c r="Z335" i="24" s="1"/>
  <c r="Y335" i="24" s="1"/>
  <c r="AA346" i="24"/>
  <c r="Z346" i="24" s="1"/>
  <c r="Y346" i="24" s="1"/>
  <c r="H277" i="24"/>
  <c r="AA241" i="24"/>
  <c r="Z241" i="24" s="1"/>
  <c r="Y241" i="24" s="1"/>
  <c r="AA277" i="24"/>
  <c r="Z277" i="24" s="1"/>
  <c r="Y277" i="24" s="1"/>
  <c r="AA183" i="24"/>
  <c r="Z183" i="24" s="1"/>
  <c r="Y183" i="24" s="1"/>
  <c r="G72" i="24"/>
  <c r="CE72" i="6" s="1"/>
  <c r="H72" i="24"/>
  <c r="G101" i="24"/>
  <c r="CE101" i="6" s="1"/>
  <c r="H101" i="24"/>
  <c r="H48" i="24"/>
  <c r="AA42" i="24"/>
  <c r="Z42" i="24" s="1"/>
  <c r="Y42" i="24" s="1"/>
  <c r="AA118" i="24"/>
  <c r="Z118" i="24" s="1"/>
  <c r="Y118" i="24" s="1"/>
  <c r="H317" i="24"/>
  <c r="G317" i="24"/>
  <c r="CE317" i="6" s="1"/>
  <c r="J113" i="24"/>
  <c r="I113" i="24"/>
  <c r="AA348" i="24"/>
  <c r="Z348" i="24" s="1"/>
  <c r="Y348" i="24" s="1"/>
  <c r="AA101" i="24"/>
  <c r="Z101" i="24" s="1"/>
  <c r="Y101" i="24" s="1"/>
  <c r="H307" i="24"/>
  <c r="G307" i="24"/>
  <c r="CE307" i="6" s="1"/>
  <c r="I365" i="24"/>
  <c r="J158" i="24"/>
  <c r="I31" i="24"/>
  <c r="J157" i="24"/>
  <c r="I214" i="24"/>
  <c r="J329" i="24"/>
  <c r="I235" i="24"/>
  <c r="I89" i="24"/>
  <c r="J129" i="24"/>
  <c r="J151" i="24"/>
  <c r="J23" i="24"/>
  <c r="I116" i="24"/>
  <c r="I349" i="24"/>
  <c r="J298" i="24"/>
  <c r="Q68" i="25"/>
  <c r="P68" i="25" s="1"/>
  <c r="V68" i="25" s="1"/>
  <c r="B68" i="25" s="1"/>
  <c r="D68" i="25" s="1"/>
  <c r="E68" i="25" s="1"/>
  <c r="F68" i="25" s="1"/>
  <c r="G68" i="25" s="1"/>
  <c r="CF68" i="6" s="1"/>
  <c r="Q291" i="25"/>
  <c r="P291" i="25" s="1"/>
  <c r="V291" i="25" s="1"/>
  <c r="B291" i="25" s="1"/>
  <c r="D291" i="25" s="1"/>
  <c r="E291" i="25" s="1"/>
  <c r="F291" i="25" s="1"/>
  <c r="H291" i="25" s="1"/>
  <c r="I291" i="25" s="1"/>
  <c r="Q159" i="25"/>
  <c r="P159" i="25" s="1"/>
  <c r="V159" i="25" s="1"/>
  <c r="B159" i="25" s="1"/>
  <c r="W159" i="25" s="1"/>
  <c r="Q130" i="25"/>
  <c r="P130" i="25" s="1"/>
  <c r="V130" i="25" s="1"/>
  <c r="B130" i="25" s="1"/>
  <c r="D130" i="25" s="1"/>
  <c r="E130" i="25" s="1"/>
  <c r="F130" i="25" s="1"/>
  <c r="G130" i="25" s="1"/>
  <c r="CF130" i="6" s="1"/>
  <c r="Q158" i="25"/>
  <c r="P158" i="25" s="1"/>
  <c r="V158" i="25" s="1"/>
  <c r="B158" i="25" s="1"/>
  <c r="Q220" i="25"/>
  <c r="P220" i="25" s="1"/>
  <c r="V220" i="25" s="1"/>
  <c r="B220" i="25" s="1"/>
  <c r="D220" i="25" s="1"/>
  <c r="E220" i="25" s="1"/>
  <c r="F220" i="25" s="1"/>
  <c r="G220" i="25" s="1"/>
  <c r="CF220" i="6" s="1"/>
  <c r="W87" i="24"/>
  <c r="Q225" i="25"/>
  <c r="P225" i="25" s="1"/>
  <c r="V225" i="25" s="1"/>
  <c r="B225" i="25" s="1"/>
  <c r="W225" i="25" s="1"/>
  <c r="Q283" i="25"/>
  <c r="P283" i="25" s="1"/>
  <c r="V283" i="25" s="1"/>
  <c r="B283" i="25" s="1"/>
  <c r="Q354" i="25"/>
  <c r="P354" i="25" s="1"/>
  <c r="V354" i="25" s="1"/>
  <c r="B354" i="25" s="1"/>
  <c r="D354" i="25" s="1"/>
  <c r="E354" i="25" s="1"/>
  <c r="F354" i="25" s="1"/>
  <c r="G354" i="25" s="1"/>
  <c r="CF354" i="6" s="1"/>
  <c r="Q48" i="25"/>
  <c r="P48" i="25" s="1"/>
  <c r="V48" i="25" s="1"/>
  <c r="B48" i="25" s="1"/>
  <c r="D48" i="25" s="1"/>
  <c r="E48" i="25" s="1"/>
  <c r="F48" i="25" s="1"/>
  <c r="H100" i="24"/>
  <c r="I100" i="24" s="1"/>
  <c r="H313" i="24"/>
  <c r="Q198" i="25"/>
  <c r="P198" i="25" s="1"/>
  <c r="V198" i="25" s="1"/>
  <c r="B198" i="25" s="1"/>
  <c r="W198" i="25" s="1"/>
  <c r="Q208" i="25"/>
  <c r="P208" i="25" s="1"/>
  <c r="V208" i="25" s="1"/>
  <c r="B208" i="25" s="1"/>
  <c r="W208" i="25" s="1"/>
  <c r="Q235" i="25"/>
  <c r="P235" i="25" s="1"/>
  <c r="V235" i="25" s="1"/>
  <c r="B235" i="25" s="1"/>
  <c r="D235" i="25" s="1"/>
  <c r="E235" i="25" s="1"/>
  <c r="F235" i="25" s="1"/>
  <c r="G235" i="25" s="1"/>
  <c r="CF235" i="6" s="1"/>
  <c r="Q237" i="25"/>
  <c r="P237" i="25" s="1"/>
  <c r="V237" i="25" s="1"/>
  <c r="B237" i="25" s="1"/>
  <c r="W237" i="25" s="1"/>
  <c r="Q327" i="25"/>
  <c r="P327" i="25" s="1"/>
  <c r="V327" i="25" s="1"/>
  <c r="B327" i="25" s="1"/>
  <c r="W327" i="25" s="1"/>
  <c r="Q329" i="25"/>
  <c r="P329" i="25" s="1"/>
  <c r="V329" i="25" s="1"/>
  <c r="B329" i="25" s="1"/>
  <c r="Q233" i="25"/>
  <c r="P233" i="25" s="1"/>
  <c r="V233" i="25" s="1"/>
  <c r="B233" i="25" s="1"/>
  <c r="D233" i="25" s="1"/>
  <c r="E233" i="25" s="1"/>
  <c r="F233" i="25" s="1"/>
  <c r="G233" i="25" s="1"/>
  <c r="CF233" i="6" s="1"/>
  <c r="Q37" i="25"/>
  <c r="P37" i="25" s="1"/>
  <c r="V37" i="25" s="1"/>
  <c r="B37" i="25" s="1"/>
  <c r="D37" i="25" s="1"/>
  <c r="E37" i="25" s="1"/>
  <c r="F37" i="25" s="1"/>
  <c r="Q227" i="25"/>
  <c r="P227" i="25" s="1"/>
  <c r="V227" i="25" s="1"/>
  <c r="B227" i="25" s="1"/>
  <c r="W227" i="25" s="1"/>
  <c r="Q178" i="25"/>
  <c r="P178" i="25" s="1"/>
  <c r="V178" i="25" s="1"/>
  <c r="B178" i="25" s="1"/>
  <c r="D178" i="25" s="1"/>
  <c r="E178" i="25" s="1"/>
  <c r="F178" i="25" s="1"/>
  <c r="Q92" i="25"/>
  <c r="P92" i="25" s="1"/>
  <c r="V92" i="25" s="1"/>
  <c r="B92" i="25" s="1"/>
  <c r="D92" i="25" s="1"/>
  <c r="E92" i="25" s="1"/>
  <c r="F92" i="25" s="1"/>
  <c r="G92" i="25" s="1"/>
  <c r="CF92" i="6" s="1"/>
  <c r="AA114" i="24"/>
  <c r="Z114" i="24" s="1"/>
  <c r="Y114" i="24" s="1"/>
  <c r="H114" i="24"/>
  <c r="I114" i="24" s="1"/>
  <c r="H314" i="24"/>
  <c r="I172" i="24"/>
  <c r="J172" i="24"/>
  <c r="J296" i="24"/>
  <c r="I296" i="24"/>
  <c r="G17" i="24"/>
  <c r="CE17" i="6" s="1"/>
  <c r="H17" i="24"/>
  <c r="G188" i="24"/>
  <c r="CE188" i="6" s="1"/>
  <c r="H188" i="24"/>
  <c r="H77" i="24"/>
  <c r="G77" i="24"/>
  <c r="CE77" i="6" s="1"/>
  <c r="G82" i="24"/>
  <c r="CE82" i="6" s="1"/>
  <c r="H82" i="24"/>
  <c r="H193" i="24"/>
  <c r="AA193" i="24"/>
  <c r="Z193" i="24" s="1"/>
  <c r="Y193" i="24" s="1"/>
  <c r="AA182" i="24"/>
  <c r="Z182" i="24" s="1"/>
  <c r="Y182" i="24" s="1"/>
  <c r="U381" i="25"/>
  <c r="U383" i="25"/>
  <c r="D234" i="25"/>
  <c r="E234" i="25" s="1"/>
  <c r="F234" i="25" s="1"/>
  <c r="I309" i="24"/>
  <c r="I339" i="24"/>
  <c r="I81" i="24"/>
  <c r="J110" i="24"/>
  <c r="I76" i="24"/>
  <c r="J79" i="24"/>
  <c r="G107" i="24"/>
  <c r="CE107" i="6" s="1"/>
  <c r="H52" i="24"/>
  <c r="J52" i="24" s="1"/>
  <c r="H246" i="24"/>
  <c r="J246" i="24" s="1"/>
  <c r="Q81" i="25"/>
  <c r="P81" i="25" s="1"/>
  <c r="V81" i="25" s="1"/>
  <c r="B81" i="25" s="1"/>
  <c r="W81" i="25" s="1"/>
  <c r="Q45" i="25"/>
  <c r="P45" i="25" s="1"/>
  <c r="V45" i="25" s="1"/>
  <c r="B45" i="25" s="1"/>
  <c r="D45" i="25" s="1"/>
  <c r="E45" i="25" s="1"/>
  <c r="F45" i="25" s="1"/>
  <c r="G45" i="25" s="1"/>
  <c r="CF45" i="6" s="1"/>
  <c r="Q309" i="25"/>
  <c r="P309" i="25" s="1"/>
  <c r="V309" i="25" s="1"/>
  <c r="B309" i="25" s="1"/>
  <c r="Q94" i="25"/>
  <c r="P94" i="25" s="1"/>
  <c r="V94" i="25" s="1"/>
  <c r="B94" i="25" s="1"/>
  <c r="D94" i="25" s="1"/>
  <c r="E94" i="25" s="1"/>
  <c r="F94" i="25" s="1"/>
  <c r="G94" i="25" s="1"/>
  <c r="CF94" i="6" s="1"/>
  <c r="Q366" i="25"/>
  <c r="P366" i="25" s="1"/>
  <c r="V366" i="25" s="1"/>
  <c r="B366" i="25" s="1"/>
  <c r="W366" i="25" s="1"/>
  <c r="Q324" i="25"/>
  <c r="P324" i="25" s="1"/>
  <c r="V324" i="25" s="1"/>
  <c r="B324" i="25" s="1"/>
  <c r="W324" i="25" s="1"/>
  <c r="Q82" i="25"/>
  <c r="P82" i="25" s="1"/>
  <c r="V82" i="25" s="1"/>
  <c r="B82" i="25" s="1"/>
  <c r="D82" i="25" s="1"/>
  <c r="E82" i="25" s="1"/>
  <c r="F82" i="25" s="1"/>
  <c r="G82" i="25" s="1"/>
  <c r="CF82" i="6" s="1"/>
  <c r="Q267" i="25"/>
  <c r="P267" i="25" s="1"/>
  <c r="V267" i="25" s="1"/>
  <c r="B267" i="25" s="1"/>
  <c r="W267" i="25" s="1"/>
  <c r="Q112" i="25"/>
  <c r="P112" i="25" s="1"/>
  <c r="V112" i="25" s="1"/>
  <c r="B112" i="25" s="1"/>
  <c r="W112" i="25" s="1"/>
  <c r="Q259" i="25"/>
  <c r="P259" i="25" s="1"/>
  <c r="V259" i="25" s="1"/>
  <c r="B259" i="25" s="1"/>
  <c r="D259" i="25" s="1"/>
  <c r="E259" i="25" s="1"/>
  <c r="F259" i="25" s="1"/>
  <c r="G259" i="25" s="1"/>
  <c r="CF259" i="6" s="1"/>
  <c r="Q54" i="25"/>
  <c r="P54" i="25" s="1"/>
  <c r="V54" i="25" s="1"/>
  <c r="B54" i="25" s="1"/>
  <c r="Q332" i="25"/>
  <c r="P332" i="25" s="1"/>
  <c r="V332" i="25" s="1"/>
  <c r="B332" i="25" s="1"/>
  <c r="W332" i="25" s="1"/>
  <c r="Q246" i="25"/>
  <c r="P246" i="25" s="1"/>
  <c r="V246" i="25" s="1"/>
  <c r="B246" i="25" s="1"/>
  <c r="W246" i="25" s="1"/>
  <c r="Q281" i="25"/>
  <c r="P281" i="25" s="1"/>
  <c r="V281" i="25" s="1"/>
  <c r="B281" i="25" s="1"/>
  <c r="W281" i="25" s="1"/>
  <c r="Q356" i="25"/>
  <c r="P356" i="25" s="1"/>
  <c r="V356" i="25" s="1"/>
  <c r="B356" i="25" s="1"/>
  <c r="Q97" i="25"/>
  <c r="P97" i="25" s="1"/>
  <c r="V97" i="25" s="1"/>
  <c r="B97" i="25" s="1"/>
  <c r="D97" i="25" s="1"/>
  <c r="E97" i="25" s="1"/>
  <c r="F97" i="25" s="1"/>
  <c r="G97" i="25" s="1"/>
  <c r="CF97" i="6" s="1"/>
  <c r="Q154" i="25"/>
  <c r="P154" i="25" s="1"/>
  <c r="V154" i="25" s="1"/>
  <c r="B154" i="25" s="1"/>
  <c r="W154" i="25" s="1"/>
  <c r="Q315" i="25"/>
  <c r="P315" i="25" s="1"/>
  <c r="V315" i="25" s="1"/>
  <c r="B315" i="25" s="1"/>
  <c r="W315" i="25" s="1"/>
  <c r="Q167" i="25"/>
  <c r="P167" i="25" s="1"/>
  <c r="V167" i="25" s="1"/>
  <c r="B167" i="25" s="1"/>
  <c r="W167" i="25" s="1"/>
  <c r="Q286" i="25"/>
  <c r="P286" i="25" s="1"/>
  <c r="V286" i="25" s="1"/>
  <c r="B286" i="25" s="1"/>
  <c r="W286" i="25" s="1"/>
  <c r="Q168" i="25"/>
  <c r="P168" i="25" s="1"/>
  <c r="V168" i="25" s="1"/>
  <c r="B168" i="25" s="1"/>
  <c r="W168" i="25" s="1"/>
  <c r="Q365" i="25"/>
  <c r="P365" i="25" s="1"/>
  <c r="V365" i="25" s="1"/>
  <c r="B365" i="25" s="1"/>
  <c r="W365" i="25" s="1"/>
  <c r="Q311" i="25"/>
  <c r="P311" i="25" s="1"/>
  <c r="V311" i="25" s="1"/>
  <c r="B311" i="25" s="1"/>
  <c r="D311" i="25" s="1"/>
  <c r="E311" i="25" s="1"/>
  <c r="F311" i="25" s="1"/>
  <c r="G311" i="25" s="1"/>
  <c r="CF311" i="6" s="1"/>
  <c r="Q36" i="25"/>
  <c r="P36" i="25" s="1"/>
  <c r="V36" i="25" s="1"/>
  <c r="B36" i="25" s="1"/>
  <c r="D36" i="25" s="1"/>
  <c r="E36" i="25" s="1"/>
  <c r="F36" i="25" s="1"/>
  <c r="G36" i="25" s="1"/>
  <c r="CF36" i="6" s="1"/>
  <c r="Q368" i="25"/>
  <c r="P368" i="25" s="1"/>
  <c r="V368" i="25" s="1"/>
  <c r="B368" i="25" s="1"/>
  <c r="W368" i="25" s="1"/>
  <c r="Q256" i="25"/>
  <c r="P256" i="25" s="1"/>
  <c r="V256" i="25" s="1"/>
  <c r="B256" i="25" s="1"/>
  <c r="W256" i="25" s="1"/>
  <c r="Q319" i="25"/>
  <c r="P319" i="25" s="1"/>
  <c r="V319" i="25" s="1"/>
  <c r="B319" i="25" s="1"/>
  <c r="Q70" i="25"/>
  <c r="P70" i="25" s="1"/>
  <c r="V70" i="25" s="1"/>
  <c r="B70" i="25" s="1"/>
  <c r="W70" i="25" s="1"/>
  <c r="Q23" i="25"/>
  <c r="P23" i="25" s="1"/>
  <c r="V23" i="25" s="1"/>
  <c r="B23" i="25" s="1"/>
  <c r="W23" i="25" s="1"/>
  <c r="Q17" i="25"/>
  <c r="P17" i="25" s="1"/>
  <c r="V17" i="25" s="1"/>
  <c r="B17" i="25" s="1"/>
  <c r="D17" i="25" s="1"/>
  <c r="E17" i="25" s="1"/>
  <c r="F17" i="25" s="1"/>
  <c r="G17" i="25" s="1"/>
  <c r="CF17" i="6" s="1"/>
  <c r="Q189" i="25"/>
  <c r="P189" i="25" s="1"/>
  <c r="V189" i="25" s="1"/>
  <c r="B189" i="25" s="1"/>
  <c r="W189" i="25" s="1"/>
  <c r="Q76" i="25"/>
  <c r="P76" i="25" s="1"/>
  <c r="V76" i="25" s="1"/>
  <c r="B76" i="25" s="1"/>
  <c r="W76" i="25" s="1"/>
  <c r="Q278" i="25"/>
  <c r="P278" i="25" s="1"/>
  <c r="V278" i="25" s="1"/>
  <c r="B278" i="25" s="1"/>
  <c r="Q284" i="25"/>
  <c r="P284" i="25" s="1"/>
  <c r="V284" i="25" s="1"/>
  <c r="B284" i="25" s="1"/>
  <c r="D284" i="25" s="1"/>
  <c r="E284" i="25" s="1"/>
  <c r="F284" i="25" s="1"/>
  <c r="G284" i="25" s="1"/>
  <c r="CF284" i="6" s="1"/>
  <c r="Q64" i="25"/>
  <c r="P64" i="25" s="1"/>
  <c r="V64" i="25" s="1"/>
  <c r="B64" i="25" s="1"/>
  <c r="W64" i="25" s="1"/>
  <c r="Q95" i="25"/>
  <c r="P95" i="25" s="1"/>
  <c r="V95" i="25" s="1"/>
  <c r="B95" i="25" s="1"/>
  <c r="D95" i="25" s="1"/>
  <c r="E95" i="25" s="1"/>
  <c r="F95" i="25" s="1"/>
  <c r="H95" i="25" s="1"/>
  <c r="I95" i="25" s="1"/>
  <c r="Q79" i="25"/>
  <c r="P79" i="25" s="1"/>
  <c r="V79" i="25" s="1"/>
  <c r="B79" i="25" s="1"/>
  <c r="W79" i="25" s="1"/>
  <c r="Q101" i="25"/>
  <c r="P101" i="25" s="1"/>
  <c r="V101" i="25" s="1"/>
  <c r="B101" i="25" s="1"/>
  <c r="W101" i="25" s="1"/>
  <c r="Q199" i="25"/>
  <c r="P199" i="25" s="1"/>
  <c r="V199" i="25" s="1"/>
  <c r="B199" i="25" s="1"/>
  <c r="W199" i="25" s="1"/>
  <c r="Q345" i="25"/>
  <c r="P345" i="25" s="1"/>
  <c r="V345" i="25" s="1"/>
  <c r="B345" i="25" s="1"/>
  <c r="W345" i="25" s="1"/>
  <c r="Q185" i="25"/>
  <c r="P185" i="25" s="1"/>
  <c r="V185" i="25" s="1"/>
  <c r="B185" i="25" s="1"/>
  <c r="W185" i="25" s="1"/>
  <c r="Q362" i="25"/>
  <c r="P362" i="25" s="1"/>
  <c r="V362" i="25" s="1"/>
  <c r="B362" i="25" s="1"/>
  <c r="W362" i="25" s="1"/>
  <c r="Q336" i="25"/>
  <c r="P336" i="25" s="1"/>
  <c r="V336" i="25" s="1"/>
  <c r="B336" i="25" s="1"/>
  <c r="D336" i="25" s="1"/>
  <c r="E336" i="25" s="1"/>
  <c r="F336" i="25" s="1"/>
  <c r="Q340" i="25"/>
  <c r="P340" i="25" s="1"/>
  <c r="V340" i="25" s="1"/>
  <c r="B340" i="25" s="1"/>
  <c r="W340" i="25" s="1"/>
  <c r="Q213" i="25"/>
  <c r="P213" i="25" s="1"/>
  <c r="V213" i="25" s="1"/>
  <c r="B213" i="25" s="1"/>
  <c r="W213" i="25" s="1"/>
  <c r="Q359" i="25"/>
  <c r="P359" i="25" s="1"/>
  <c r="V359" i="25" s="1"/>
  <c r="B359" i="25" s="1"/>
  <c r="D359" i="25" s="1"/>
  <c r="E359" i="25" s="1"/>
  <c r="F359" i="25" s="1"/>
  <c r="G359" i="25" s="1"/>
  <c r="CF359" i="6" s="1"/>
  <c r="Q119" i="25"/>
  <c r="P119" i="25" s="1"/>
  <c r="AH71" i="7" s="1"/>
  <c r="Q58" i="25"/>
  <c r="P58" i="25" s="1"/>
  <c r="V58" i="25" s="1"/>
  <c r="B58" i="25" s="1"/>
  <c r="D58" i="25" s="1"/>
  <c r="E58" i="25" s="1"/>
  <c r="F58" i="25" s="1"/>
  <c r="G58" i="25" s="1"/>
  <c r="CF58" i="6" s="1"/>
  <c r="Q182" i="25"/>
  <c r="P182" i="25" s="1"/>
  <c r="V182" i="25" s="1"/>
  <c r="B182" i="25" s="1"/>
  <c r="D182" i="25" s="1"/>
  <c r="E182" i="25" s="1"/>
  <c r="F182" i="25" s="1"/>
  <c r="G182" i="25" s="1"/>
  <c r="CF182" i="6" s="1"/>
  <c r="Q333" i="25"/>
  <c r="P333" i="25" s="1"/>
  <c r="AH78" i="7" s="1"/>
  <c r="Q29" i="25"/>
  <c r="P29" i="25" s="1"/>
  <c r="V29" i="25" s="1"/>
  <c r="B29" i="25" s="1"/>
  <c r="D29" i="25" s="1"/>
  <c r="E29" i="25" s="1"/>
  <c r="F29" i="25" s="1"/>
  <c r="G29" i="25" s="1"/>
  <c r="CF29" i="6" s="1"/>
  <c r="Q268" i="25"/>
  <c r="P268" i="25" s="1"/>
  <c r="V268" i="25" s="1"/>
  <c r="B268" i="25" s="1"/>
  <c r="D268" i="25" s="1"/>
  <c r="E268" i="25" s="1"/>
  <c r="F268" i="25" s="1"/>
  <c r="Q296" i="25"/>
  <c r="P296" i="25" s="1"/>
  <c r="V296" i="25" s="1"/>
  <c r="B296" i="25" s="1"/>
  <c r="W296" i="25" s="1"/>
  <c r="Q238" i="25"/>
  <c r="P238" i="25" s="1"/>
  <c r="V238" i="25" s="1"/>
  <c r="B238" i="25" s="1"/>
  <c r="D238" i="25" s="1"/>
  <c r="E238" i="25" s="1"/>
  <c r="F238" i="25" s="1"/>
  <c r="H238" i="25" s="1"/>
  <c r="J238" i="25" s="1"/>
  <c r="Q200" i="25"/>
  <c r="P200" i="25" s="1"/>
  <c r="V200" i="25" s="1"/>
  <c r="B200" i="25" s="1"/>
  <c r="D200" i="25" s="1"/>
  <c r="E200" i="25" s="1"/>
  <c r="F200" i="25" s="1"/>
  <c r="G200" i="25" s="1"/>
  <c r="CF200" i="6" s="1"/>
  <c r="Q125" i="25"/>
  <c r="P125" i="25" s="1"/>
  <c r="V125" i="25" s="1"/>
  <c r="B125" i="25" s="1"/>
  <c r="D125" i="25" s="1"/>
  <c r="E125" i="25" s="1"/>
  <c r="F125" i="25" s="1"/>
  <c r="Q171" i="25"/>
  <c r="P171" i="25" s="1"/>
  <c r="V171" i="25" s="1"/>
  <c r="B171" i="25" s="1"/>
  <c r="D171" i="25" s="1"/>
  <c r="E171" i="25" s="1"/>
  <c r="F171" i="25" s="1"/>
  <c r="Q247" i="25"/>
  <c r="P247" i="25" s="1"/>
  <c r="V247" i="25" s="1"/>
  <c r="B247" i="25" s="1"/>
  <c r="W247" i="25" s="1"/>
  <c r="Q334" i="25"/>
  <c r="P334" i="25" s="1"/>
  <c r="V334" i="25" s="1"/>
  <c r="B334" i="25" s="1"/>
  <c r="D334" i="25" s="1"/>
  <c r="E334" i="25" s="1"/>
  <c r="F334" i="25" s="1"/>
  <c r="H334" i="25" s="1"/>
  <c r="Q204" i="25"/>
  <c r="P204" i="25" s="1"/>
  <c r="V204" i="25" s="1"/>
  <c r="B204" i="25" s="1"/>
  <c r="W204" i="25" s="1"/>
  <c r="Q174" i="25"/>
  <c r="P174" i="25" s="1"/>
  <c r="V174" i="25" s="1"/>
  <c r="B174" i="25" s="1"/>
  <c r="W174" i="25" s="1"/>
  <c r="Q105" i="25"/>
  <c r="P105" i="25" s="1"/>
  <c r="V105" i="25" s="1"/>
  <c r="B105" i="25" s="1"/>
  <c r="D105" i="25" s="1"/>
  <c r="E105" i="25" s="1"/>
  <c r="F105" i="25" s="1"/>
  <c r="G105" i="25" s="1"/>
  <c r="CF105" i="6" s="1"/>
  <c r="Q369" i="25"/>
  <c r="P369" i="25" s="1"/>
  <c r="V369" i="25" s="1"/>
  <c r="B369" i="25" s="1"/>
  <c r="Q74" i="25"/>
  <c r="P74" i="25" s="1"/>
  <c r="V74" i="25" s="1"/>
  <c r="B74" i="25" s="1"/>
  <c r="W74" i="25" s="1"/>
  <c r="Q266" i="25"/>
  <c r="P266" i="25" s="1"/>
  <c r="V266" i="25" s="1"/>
  <c r="B266" i="25" s="1"/>
  <c r="W266" i="25" s="1"/>
  <c r="Q75" i="25"/>
  <c r="P75" i="25" s="1"/>
  <c r="V75" i="25" s="1"/>
  <c r="B75" i="25" s="1"/>
  <c r="D75" i="25" s="1"/>
  <c r="E75" i="25" s="1"/>
  <c r="F75" i="25" s="1"/>
  <c r="G75" i="25" s="1"/>
  <c r="CF75" i="6" s="1"/>
  <c r="Q89" i="25"/>
  <c r="P89" i="25" s="1"/>
  <c r="V89" i="25" s="1"/>
  <c r="B89" i="25" s="1"/>
  <c r="Q162" i="25"/>
  <c r="P162" i="25" s="1"/>
  <c r="V162" i="25" s="1"/>
  <c r="B162" i="25" s="1"/>
  <c r="W162" i="25" s="1"/>
  <c r="Q217" i="25"/>
  <c r="P217" i="25" s="1"/>
  <c r="V217" i="25" s="1"/>
  <c r="B217" i="25" s="1"/>
  <c r="W217" i="25" s="1"/>
  <c r="Q26" i="25"/>
  <c r="P26" i="25" s="1"/>
  <c r="V26" i="25" s="1"/>
  <c r="B26" i="25" s="1"/>
  <c r="D26" i="25" s="1"/>
  <c r="E26" i="25" s="1"/>
  <c r="F26" i="25" s="1"/>
  <c r="G26" i="25" s="1"/>
  <c r="CF26" i="6" s="1"/>
  <c r="Q134" i="25"/>
  <c r="P134" i="25" s="1"/>
  <c r="V134" i="25" s="1"/>
  <c r="B134" i="25" s="1"/>
  <c r="W134" i="25" s="1"/>
  <c r="Q203" i="25"/>
  <c r="P203" i="25" s="1"/>
  <c r="V203" i="25" s="1"/>
  <c r="B203" i="25" s="1"/>
  <c r="W203" i="25" s="1"/>
  <c r="Q87" i="25"/>
  <c r="P87" i="25" s="1"/>
  <c r="V87" i="25" s="1"/>
  <c r="B87" i="25" s="1"/>
  <c r="D87" i="25" s="1"/>
  <c r="E87" i="25" s="1"/>
  <c r="F87" i="25" s="1"/>
  <c r="Q49" i="25"/>
  <c r="P49" i="25" s="1"/>
  <c r="V49" i="25" s="1"/>
  <c r="B49" i="25" s="1"/>
  <c r="W49" i="25" s="1"/>
  <c r="Q187" i="25"/>
  <c r="P187" i="25" s="1"/>
  <c r="V187" i="25" s="1"/>
  <c r="B187" i="25" s="1"/>
  <c r="D187" i="25" s="1"/>
  <c r="E187" i="25" s="1"/>
  <c r="F187" i="25" s="1"/>
  <c r="G187" i="25" s="1"/>
  <c r="CF187" i="6" s="1"/>
  <c r="Q313" i="25"/>
  <c r="P313" i="25" s="1"/>
  <c r="V313" i="25" s="1"/>
  <c r="B313" i="25" s="1"/>
  <c r="D313" i="25" s="1"/>
  <c r="E313" i="25" s="1"/>
  <c r="F313" i="25" s="1"/>
  <c r="G313" i="25" s="1"/>
  <c r="CF313" i="6" s="1"/>
  <c r="Q188" i="25"/>
  <c r="P188" i="25" s="1"/>
  <c r="V188" i="25" s="1"/>
  <c r="B188" i="25" s="1"/>
  <c r="D188" i="25" s="1"/>
  <c r="E188" i="25" s="1"/>
  <c r="F188" i="25" s="1"/>
  <c r="Q210" i="25"/>
  <c r="P210" i="25" s="1"/>
  <c r="V210" i="25" s="1"/>
  <c r="Q108" i="25"/>
  <c r="P108" i="25" s="1"/>
  <c r="V108" i="25" s="1"/>
  <c r="B108" i="25" s="1"/>
  <c r="D108" i="25" s="1"/>
  <c r="E108" i="25" s="1"/>
  <c r="F108" i="25" s="1"/>
  <c r="G108" i="25" s="1"/>
  <c r="CF108" i="6" s="1"/>
  <c r="Q236" i="25"/>
  <c r="P236" i="25" s="1"/>
  <c r="V236" i="25" s="1"/>
  <c r="B236" i="25" s="1"/>
  <c r="W236" i="25" s="1"/>
  <c r="Q242" i="25"/>
  <c r="P242" i="25" s="1"/>
  <c r="V242" i="25" s="1"/>
  <c r="B242" i="25" s="1"/>
  <c r="Q312" i="25"/>
  <c r="P312" i="25" s="1"/>
  <c r="V312" i="25" s="1"/>
  <c r="B312" i="25" s="1"/>
  <c r="D312" i="25" s="1"/>
  <c r="E312" i="25" s="1"/>
  <c r="F312" i="25" s="1"/>
  <c r="G312" i="25" s="1"/>
  <c r="CF312" i="6" s="1"/>
  <c r="Q142" i="25"/>
  <c r="P142" i="25" s="1"/>
  <c r="V142" i="25" s="1"/>
  <c r="B142" i="25" s="1"/>
  <c r="Q148" i="25"/>
  <c r="P148" i="25" s="1"/>
  <c r="V148" i="25" s="1"/>
  <c r="B148" i="25" s="1"/>
  <c r="D148" i="25" s="1"/>
  <c r="E148" i="25" s="1"/>
  <c r="F148" i="25" s="1"/>
  <c r="G148" i="25" s="1"/>
  <c r="CF148" i="6" s="1"/>
  <c r="Q305" i="25"/>
  <c r="P305" i="25" s="1"/>
  <c r="V305" i="25" s="1"/>
  <c r="B305" i="25" s="1"/>
  <c r="D305" i="25" s="1"/>
  <c r="E305" i="25" s="1"/>
  <c r="F305" i="25" s="1"/>
  <c r="Q344" i="25"/>
  <c r="P344" i="25" s="1"/>
  <c r="V344" i="25" s="1"/>
  <c r="B344" i="25" s="1"/>
  <c r="W344" i="25" s="1"/>
  <c r="Q197" i="25"/>
  <c r="P197" i="25" s="1"/>
  <c r="V197" i="25" s="1"/>
  <c r="B197" i="25" s="1"/>
  <c r="Q179" i="25"/>
  <c r="P179" i="25" s="1"/>
  <c r="V179" i="25" s="1"/>
  <c r="B179" i="25" s="1"/>
  <c r="W179" i="25" s="1"/>
  <c r="Q287" i="25"/>
  <c r="P287" i="25" s="1"/>
  <c r="V287" i="25" s="1"/>
  <c r="B287" i="25" s="1"/>
  <c r="W287" i="25" s="1"/>
  <c r="Q137" i="25"/>
  <c r="P137" i="25" s="1"/>
  <c r="V137" i="25" s="1"/>
  <c r="B137" i="25" s="1"/>
  <c r="W137" i="25" s="1"/>
  <c r="Q285" i="25"/>
  <c r="P285" i="25" s="1"/>
  <c r="V285" i="25" s="1"/>
  <c r="B285" i="25" s="1"/>
  <c r="Q161" i="25"/>
  <c r="P161" i="25" s="1"/>
  <c r="V161" i="25" s="1"/>
  <c r="B161" i="25" s="1"/>
  <c r="Q249" i="25"/>
  <c r="P249" i="25" s="1"/>
  <c r="V249" i="25" s="1"/>
  <c r="B249" i="25" s="1"/>
  <c r="Q358" i="25"/>
  <c r="P358" i="25" s="1"/>
  <c r="V358" i="25" s="1"/>
  <c r="B358" i="25" s="1"/>
  <c r="W358" i="25" s="1"/>
  <c r="Q252" i="25"/>
  <c r="P252" i="25" s="1"/>
  <c r="V252" i="25" s="1"/>
  <c r="B252" i="25" s="1"/>
  <c r="D252" i="25" s="1"/>
  <c r="E252" i="25" s="1"/>
  <c r="F252" i="25" s="1"/>
  <c r="G252" i="25" s="1"/>
  <c r="CF252" i="6" s="1"/>
  <c r="Q255" i="25"/>
  <c r="P255" i="25" s="1"/>
  <c r="V255" i="25" s="1"/>
  <c r="B255" i="25" s="1"/>
  <c r="W255" i="25" s="1"/>
  <c r="Q306" i="25"/>
  <c r="P306" i="25" s="1"/>
  <c r="V306" i="25" s="1"/>
  <c r="B306" i="25" s="1"/>
  <c r="D306" i="25" s="1"/>
  <c r="E306" i="25" s="1"/>
  <c r="F306" i="25" s="1"/>
  <c r="G306" i="25" s="1"/>
  <c r="CF306" i="6" s="1"/>
  <c r="Q28" i="25"/>
  <c r="P28" i="25" s="1"/>
  <c r="V28" i="25" s="1"/>
  <c r="B28" i="25" s="1"/>
  <c r="W28" i="25" s="1"/>
  <c r="Q91" i="25"/>
  <c r="P91" i="25" s="1"/>
  <c r="V91" i="25" s="1"/>
  <c r="B91" i="25" s="1"/>
  <c r="D91" i="25" s="1"/>
  <c r="E91" i="25" s="1"/>
  <c r="F91" i="25" s="1"/>
  <c r="Q212" i="25"/>
  <c r="P212" i="25" s="1"/>
  <c r="V212" i="25" s="1"/>
  <c r="B212" i="25" s="1"/>
  <c r="D212" i="25" s="1"/>
  <c r="E212" i="25" s="1"/>
  <c r="F212" i="25" s="1"/>
  <c r="G212" i="25" s="1"/>
  <c r="CF212" i="6" s="1"/>
  <c r="Q164" i="25"/>
  <c r="P164" i="25" s="1"/>
  <c r="V164" i="25" s="1"/>
  <c r="B164" i="25" s="1"/>
  <c r="W164" i="25" s="1"/>
  <c r="Q298" i="25"/>
  <c r="P298" i="25" s="1"/>
  <c r="V298" i="25" s="1"/>
  <c r="B298" i="25" s="1"/>
  <c r="D298" i="25" s="1"/>
  <c r="E298" i="25" s="1"/>
  <c r="F298" i="25" s="1"/>
  <c r="G298" i="25" s="1"/>
  <c r="CF298" i="6" s="1"/>
  <c r="Q270" i="25"/>
  <c r="P270" i="25" s="1"/>
  <c r="V270" i="25" s="1"/>
  <c r="B270" i="25" s="1"/>
  <c r="W270" i="25" s="1"/>
  <c r="Q269" i="25"/>
  <c r="P269" i="25" s="1"/>
  <c r="V269" i="25" s="1"/>
  <c r="B269" i="25" s="1"/>
  <c r="W269" i="25" s="1"/>
  <c r="Q177" i="25"/>
  <c r="P177" i="25" s="1"/>
  <c r="V177" i="25" s="1"/>
  <c r="B177" i="25" s="1"/>
  <c r="W177" i="25" s="1"/>
  <c r="Q277" i="25"/>
  <c r="P277" i="25" s="1"/>
  <c r="V277" i="25" s="1"/>
  <c r="B277" i="25" s="1"/>
  <c r="D277" i="25" s="1"/>
  <c r="E277" i="25" s="1"/>
  <c r="F277" i="25" s="1"/>
  <c r="G277" i="25" s="1"/>
  <c r="CF277" i="6" s="1"/>
  <c r="F69" i="19"/>
  <c r="AA217" i="24"/>
  <c r="Z217" i="24" s="1"/>
  <c r="Y217" i="24" s="1"/>
  <c r="H195" i="24"/>
  <c r="G287" i="24"/>
  <c r="CE287" i="6" s="1"/>
  <c r="I26" i="24"/>
  <c r="H19" i="24"/>
  <c r="J19" i="24" s="1"/>
  <c r="AA122" i="24"/>
  <c r="Z122" i="24" s="1"/>
  <c r="Y122" i="24" s="1"/>
  <c r="AA243" i="24"/>
  <c r="Z243" i="24" s="1"/>
  <c r="Y243" i="24" s="1"/>
  <c r="AA19" i="24"/>
  <c r="Z19" i="24" s="1"/>
  <c r="Y19" i="24" s="1"/>
  <c r="H85" i="24"/>
  <c r="H32" i="24"/>
  <c r="J32" i="24" s="1"/>
  <c r="H58" i="24"/>
  <c r="J58" i="24" s="1"/>
  <c r="H243" i="24"/>
  <c r="J243" i="24" s="1"/>
  <c r="H232" i="24"/>
  <c r="H43" i="24"/>
  <c r="I43" i="24" s="1"/>
  <c r="AA172" i="24"/>
  <c r="Z172" i="24" s="1"/>
  <c r="Y172" i="24" s="1"/>
  <c r="AA255" i="24"/>
  <c r="Z255" i="24" s="1"/>
  <c r="Y255" i="24" s="1"/>
  <c r="AA358" i="24"/>
  <c r="Z358" i="24" s="1"/>
  <c r="Y358" i="24" s="1"/>
  <c r="AA126" i="24"/>
  <c r="Z126" i="24" s="1"/>
  <c r="Y126" i="24" s="1"/>
  <c r="H358" i="24"/>
  <c r="AA248" i="24"/>
  <c r="Z248" i="24" s="1"/>
  <c r="Y248" i="24" s="1"/>
  <c r="G172" i="24"/>
  <c r="CE172" i="6" s="1"/>
  <c r="AA16" i="24"/>
  <c r="Z16" i="24" s="1"/>
  <c r="Y16" i="24" s="1"/>
  <c r="H16" i="24"/>
  <c r="H126" i="24"/>
  <c r="G255" i="24"/>
  <c r="CE255" i="6" s="1"/>
  <c r="H323" i="24"/>
  <c r="H115" i="24"/>
  <c r="AA115" i="24"/>
  <c r="Z115" i="24" s="1"/>
  <c r="Y115" i="24" s="1"/>
  <c r="J54" i="24"/>
  <c r="I255" i="24"/>
  <c r="AA352" i="24"/>
  <c r="Z352" i="24" s="1"/>
  <c r="Y352" i="24" s="1"/>
  <c r="AA313" i="24"/>
  <c r="Z313" i="24" s="1"/>
  <c r="Y313" i="24" s="1"/>
  <c r="AA258" i="24"/>
  <c r="Z258" i="24" s="1"/>
  <c r="Y258" i="24" s="1"/>
  <c r="AA223" i="24"/>
  <c r="Z223" i="24" s="1"/>
  <c r="Y223" i="24" s="1"/>
  <c r="AA17" i="24"/>
  <c r="Z17" i="24" s="1"/>
  <c r="Y17" i="24" s="1"/>
  <c r="G326" i="24"/>
  <c r="CE326" i="6" s="1"/>
  <c r="H326" i="24"/>
  <c r="H182" i="24"/>
  <c r="H146" i="24"/>
  <c r="G146" i="24"/>
  <c r="CE146" i="6" s="1"/>
  <c r="H24" i="24"/>
  <c r="G24" i="24"/>
  <c r="CE24" i="6" s="1"/>
  <c r="H91" i="24"/>
  <c r="G91" i="24"/>
  <c r="CE91" i="6" s="1"/>
  <c r="G327" i="24"/>
  <c r="CE327" i="6" s="1"/>
  <c r="H327" i="24"/>
  <c r="J375" i="24"/>
  <c r="I375" i="24"/>
  <c r="G276" i="24"/>
  <c r="CE276" i="6" s="1"/>
  <c r="H276" i="24"/>
  <c r="J322" i="24"/>
  <c r="I322" i="24"/>
  <c r="G81" i="24"/>
  <c r="CE81" i="6" s="1"/>
  <c r="AA81" i="24"/>
  <c r="Z81" i="24" s="1"/>
  <c r="Y81" i="24" s="1"/>
  <c r="W167" i="24"/>
  <c r="D167" i="24"/>
  <c r="E167" i="24" s="1"/>
  <c r="F167" i="24" s="1"/>
  <c r="G347" i="24"/>
  <c r="CE347" i="6" s="1"/>
  <c r="H347" i="24"/>
  <c r="AA347" i="24"/>
  <c r="Z347" i="24" s="1"/>
  <c r="Y347" i="24" s="1"/>
  <c r="AA100" i="24"/>
  <c r="Z100" i="24" s="1"/>
  <c r="Y100" i="24" s="1"/>
  <c r="AA276" i="24"/>
  <c r="Z276" i="24" s="1"/>
  <c r="Y276" i="24" s="1"/>
  <c r="H340" i="24"/>
  <c r="H335" i="24"/>
  <c r="H223" i="24"/>
  <c r="G288" i="24"/>
  <c r="CE288" i="6" s="1"/>
  <c r="H288" i="24"/>
  <c r="H332" i="24"/>
  <c r="AA332" i="24"/>
  <c r="Z332" i="24" s="1"/>
  <c r="Y332" i="24" s="1"/>
  <c r="G332" i="24"/>
  <c r="CE332" i="6" s="1"/>
  <c r="G87" i="24"/>
  <c r="CE87" i="6" s="1"/>
  <c r="H87" i="24"/>
  <c r="AA87" i="24"/>
  <c r="Z87" i="24" s="1"/>
  <c r="Y87" i="24" s="1"/>
  <c r="J205" i="24"/>
  <c r="I205" i="24"/>
  <c r="H198" i="24"/>
  <c r="G198" i="24"/>
  <c r="CE198" i="6" s="1"/>
  <c r="J199" i="24"/>
  <c r="I199" i="24"/>
  <c r="H274" i="24"/>
  <c r="G274" i="24"/>
  <c r="CE274" i="6" s="1"/>
  <c r="J203" i="24"/>
  <c r="I203" i="24"/>
  <c r="AI364" i="25"/>
  <c r="AH364" i="25" s="1"/>
  <c r="AG364" i="25" s="1"/>
  <c r="AF364" i="25" s="1"/>
  <c r="AI178" i="25"/>
  <c r="AH178" i="25" s="1"/>
  <c r="AG178" i="25" s="1"/>
  <c r="AF178" i="25" s="1"/>
  <c r="AI292" i="25"/>
  <c r="AH292" i="25" s="1"/>
  <c r="AG292" i="25" s="1"/>
  <c r="AF292" i="25" s="1"/>
  <c r="D69" i="19"/>
  <c r="G205" i="24"/>
  <c r="CE205" i="6" s="1"/>
  <c r="AA205" i="24"/>
  <c r="Z205" i="24" s="1"/>
  <c r="Y205" i="24" s="1"/>
  <c r="J269" i="24"/>
  <c r="I269" i="24"/>
  <c r="H315" i="24"/>
  <c r="AA315" i="24"/>
  <c r="Z315" i="24" s="1"/>
  <c r="Y315" i="24" s="1"/>
  <c r="AA198" i="24"/>
  <c r="Z198" i="24" s="1"/>
  <c r="Y198" i="24" s="1"/>
  <c r="AA314" i="24"/>
  <c r="Z314" i="24" s="1"/>
  <c r="Y314" i="24" s="1"/>
  <c r="AA323" i="24"/>
  <c r="Z323" i="24" s="1"/>
  <c r="Y323" i="24" s="1"/>
  <c r="J93" i="24"/>
  <c r="I93" i="24"/>
  <c r="G309" i="24"/>
  <c r="CE309" i="6" s="1"/>
  <c r="AA309" i="24"/>
  <c r="Z309" i="24" s="1"/>
  <c r="Y309" i="24" s="1"/>
  <c r="H159" i="24"/>
  <c r="G159" i="24"/>
  <c r="CE159" i="6" s="1"/>
  <c r="G370" i="24"/>
  <c r="CE370" i="6" s="1"/>
  <c r="H370" i="24"/>
  <c r="W80" i="24"/>
  <c r="D80" i="24"/>
  <c r="E80" i="24" s="1"/>
  <c r="F80" i="24" s="1"/>
  <c r="H263" i="24"/>
  <c r="G263" i="24"/>
  <c r="CE263" i="6" s="1"/>
  <c r="AI114" i="25"/>
  <c r="AH114" i="25" s="1"/>
  <c r="AG114" i="25" s="1"/>
  <c r="AF114" i="25" s="1"/>
  <c r="AI148" i="25"/>
  <c r="AH148" i="25" s="1"/>
  <c r="AG148" i="25" s="1"/>
  <c r="AF148" i="25" s="1"/>
  <c r="AI379" i="25"/>
  <c r="AH379" i="25" s="1"/>
  <c r="AG379" i="25" s="1"/>
  <c r="AF379" i="25" s="1"/>
  <c r="AI130" i="25"/>
  <c r="AH130" i="25" s="1"/>
  <c r="AG130" i="25" s="1"/>
  <c r="AF130" i="25" s="1"/>
  <c r="AI331" i="25"/>
  <c r="AH331" i="25" s="1"/>
  <c r="AG331" i="25" s="1"/>
  <c r="AF331" i="25" s="1"/>
  <c r="G185" i="24"/>
  <c r="CE185" i="6" s="1"/>
  <c r="AA185" i="24"/>
  <c r="Z185" i="24" s="1"/>
  <c r="Y185" i="24" s="1"/>
  <c r="H185" i="24"/>
  <c r="G21" i="24"/>
  <c r="CE21" i="6" s="1"/>
  <c r="AA21" i="24"/>
  <c r="Z21" i="24" s="1"/>
  <c r="Y21" i="24" s="1"/>
  <c r="H21" i="24"/>
  <c r="H352" i="24"/>
  <c r="G352" i="24"/>
  <c r="CE352" i="6" s="1"/>
  <c r="AI119" i="25"/>
  <c r="AH119" i="25" s="1"/>
  <c r="AG119" i="25" s="1"/>
  <c r="AF119" i="25" s="1"/>
  <c r="B210" i="24"/>
  <c r="H69" i="19"/>
  <c r="D301" i="24"/>
  <c r="E301" i="24" s="1"/>
  <c r="F301" i="24" s="1"/>
  <c r="G301" i="24" s="1"/>
  <c r="CE301" i="6" s="1"/>
  <c r="AA360" i="24"/>
  <c r="Z360" i="24" s="1"/>
  <c r="Y360" i="24" s="1"/>
  <c r="J78" i="24"/>
  <c r="I86" i="24"/>
  <c r="I117" i="24"/>
  <c r="J374" i="24"/>
  <c r="J143" i="24"/>
  <c r="I253" i="24"/>
  <c r="J204" i="24"/>
  <c r="G261" i="24"/>
  <c r="CE261" i="6" s="1"/>
  <c r="J192" i="24"/>
  <c r="I245" i="24"/>
  <c r="J53" i="24"/>
  <c r="I108" i="24"/>
  <c r="J75" i="24"/>
  <c r="I75" i="24"/>
  <c r="J66" i="24"/>
  <c r="I251" i="24"/>
  <c r="J37" i="24"/>
  <c r="J283" i="24"/>
  <c r="J344" i="24"/>
  <c r="J233" i="24"/>
  <c r="I49" i="24"/>
  <c r="I90" i="24"/>
  <c r="J90" i="24"/>
  <c r="I150" i="24"/>
  <c r="J150" i="24"/>
  <c r="I156" i="24"/>
  <c r="J156" i="24"/>
  <c r="J173" i="24"/>
  <c r="I173" i="24"/>
  <c r="I286" i="24"/>
  <c r="J286" i="24"/>
  <c r="W264" i="24"/>
  <c r="D264" i="24"/>
  <c r="E264" i="24" s="1"/>
  <c r="F264" i="24" s="1"/>
  <c r="J111" i="24"/>
  <c r="I111" i="24"/>
  <c r="J69" i="24"/>
  <c r="I69" i="24"/>
  <c r="J120" i="24"/>
  <c r="I120" i="24"/>
  <c r="J181" i="24"/>
  <c r="I181" i="24"/>
  <c r="J190" i="24"/>
  <c r="I190" i="24"/>
  <c r="G126" i="25"/>
  <c r="CF126" i="6" s="1"/>
  <c r="I368" i="24"/>
  <c r="J131" i="24"/>
  <c r="J224" i="24"/>
  <c r="I224" i="24"/>
  <c r="I310" i="24"/>
  <c r="J310" i="24"/>
  <c r="J261" i="24"/>
  <c r="I261" i="24"/>
  <c r="J236" i="24"/>
  <c r="I236" i="24"/>
  <c r="J73" i="24"/>
  <c r="I73" i="24"/>
  <c r="J285" i="24"/>
  <c r="I285" i="24"/>
  <c r="I67" i="24"/>
  <c r="J67" i="24"/>
  <c r="I215" i="24"/>
  <c r="J215" i="24"/>
  <c r="J300" i="24"/>
  <c r="I300" i="24"/>
  <c r="AE11" i="25"/>
  <c r="Q231" i="25"/>
  <c r="P231" i="25" s="1"/>
  <c r="V231" i="25" s="1"/>
  <c r="B231" i="25" s="1"/>
  <c r="Q191" i="25"/>
  <c r="P191" i="25" s="1"/>
  <c r="V191" i="25" s="1"/>
  <c r="B191" i="25" s="1"/>
  <c r="Q99" i="25"/>
  <c r="P99" i="25" s="1"/>
  <c r="V99" i="25" s="1"/>
  <c r="B99" i="25" s="1"/>
  <c r="D99" i="25" s="1"/>
  <c r="E99" i="25" s="1"/>
  <c r="F99" i="25" s="1"/>
  <c r="G99" i="25" s="1"/>
  <c r="CF99" i="6" s="1"/>
  <c r="Q152" i="25"/>
  <c r="P152" i="25" s="1"/>
  <c r="V152" i="25" s="1"/>
  <c r="B152" i="25" s="1"/>
  <c r="Q77" i="25"/>
  <c r="P77" i="25" s="1"/>
  <c r="V77" i="25" s="1"/>
  <c r="B77" i="25" s="1"/>
  <c r="D77" i="25" s="1"/>
  <c r="E77" i="25" s="1"/>
  <c r="F77" i="25" s="1"/>
  <c r="G77" i="25" s="1"/>
  <c r="CF77" i="6" s="1"/>
  <c r="Q346" i="25"/>
  <c r="P346" i="25" s="1"/>
  <c r="V346" i="25" s="1"/>
  <c r="B346" i="25" s="1"/>
  <c r="Q265" i="25"/>
  <c r="P265" i="25" s="1"/>
  <c r="V265" i="25" s="1"/>
  <c r="B265" i="25" s="1"/>
  <c r="W265" i="25" s="1"/>
  <c r="Q378" i="25"/>
  <c r="P378" i="25" s="1"/>
  <c r="V378" i="25" s="1"/>
  <c r="B378" i="25" s="1"/>
  <c r="Q93" i="25"/>
  <c r="P93" i="25" s="1"/>
  <c r="V93" i="25" s="1"/>
  <c r="B93" i="25" s="1"/>
  <c r="Q314" i="25"/>
  <c r="P314" i="25" s="1"/>
  <c r="V314" i="25" s="1"/>
  <c r="B314" i="25" s="1"/>
  <c r="Q209" i="25"/>
  <c r="P209" i="25" s="1"/>
  <c r="V209" i="25" s="1"/>
  <c r="B209" i="25" s="1"/>
  <c r="Q90" i="25"/>
  <c r="P90" i="25" s="1"/>
  <c r="V90" i="25" s="1"/>
  <c r="B90" i="25" s="1"/>
  <c r="W90" i="25" s="1"/>
  <c r="Q18" i="25"/>
  <c r="P18" i="25" s="1"/>
  <c r="V18" i="25" s="1"/>
  <c r="B18" i="25" s="1"/>
  <c r="W18" i="25" s="1"/>
  <c r="Q88" i="25"/>
  <c r="P88" i="25" s="1"/>
  <c r="AH70" i="7" s="1"/>
  <c r="Q261" i="25"/>
  <c r="P261" i="25" s="1"/>
  <c r="V261" i="25" s="1"/>
  <c r="B261" i="25" s="1"/>
  <c r="D261" i="25" s="1"/>
  <c r="E261" i="25" s="1"/>
  <c r="F261" i="25" s="1"/>
  <c r="G261" i="25" s="1"/>
  <c r="CF261" i="6" s="1"/>
  <c r="Q117" i="25"/>
  <c r="P117" i="25" s="1"/>
  <c r="V117" i="25" s="1"/>
  <c r="B117" i="25" s="1"/>
  <c r="W117" i="25" s="1"/>
  <c r="Q128" i="25"/>
  <c r="P128" i="25" s="1"/>
  <c r="V128" i="25" s="1"/>
  <c r="B128" i="25" s="1"/>
  <c r="D128" i="25" s="1"/>
  <c r="E128" i="25" s="1"/>
  <c r="F128" i="25" s="1"/>
  <c r="G128" i="25" s="1"/>
  <c r="CF128" i="6" s="1"/>
  <c r="Q163" i="25"/>
  <c r="P163" i="25" s="1"/>
  <c r="V163" i="25" s="1"/>
  <c r="B163" i="25" s="1"/>
  <c r="W163" i="25" s="1"/>
  <c r="Q300" i="25"/>
  <c r="P300" i="25" s="1"/>
  <c r="V300" i="25" s="1"/>
  <c r="B300" i="25" s="1"/>
  <c r="Q103" i="25"/>
  <c r="P103" i="25" s="1"/>
  <c r="V103" i="25" s="1"/>
  <c r="B103" i="25" s="1"/>
  <c r="Q371" i="25"/>
  <c r="P371" i="25" s="1"/>
  <c r="V371" i="25" s="1"/>
  <c r="B371" i="25" s="1"/>
  <c r="Q289" i="25"/>
  <c r="P289" i="25" s="1"/>
  <c r="V289" i="25" s="1"/>
  <c r="B289" i="25" s="1"/>
  <c r="W289" i="25" s="1"/>
  <c r="Q146" i="25"/>
  <c r="P146" i="25" s="1"/>
  <c r="V146" i="25" s="1"/>
  <c r="B146" i="25" s="1"/>
  <c r="W146" i="25" s="1"/>
  <c r="Q153" i="25"/>
  <c r="P153" i="25" s="1"/>
  <c r="V153" i="25" s="1"/>
  <c r="B153" i="25" s="1"/>
  <c r="W153" i="25" s="1"/>
  <c r="Q113" i="25"/>
  <c r="P113" i="25" s="1"/>
  <c r="V113" i="25" s="1"/>
  <c r="B113" i="25" s="1"/>
  <c r="Q240" i="25"/>
  <c r="P240" i="25" s="1"/>
  <c r="V240" i="25" s="1"/>
  <c r="B240" i="25" s="1"/>
  <c r="W240" i="25" s="1"/>
  <c r="Q135" i="25"/>
  <c r="P135" i="25" s="1"/>
  <c r="V135" i="25" s="1"/>
  <c r="B135" i="25" s="1"/>
  <c r="Q330" i="25"/>
  <c r="P330" i="25" s="1"/>
  <c r="V330" i="25" s="1"/>
  <c r="B330" i="25" s="1"/>
  <c r="Q254" i="25"/>
  <c r="P254" i="25" s="1"/>
  <c r="V254" i="25" s="1"/>
  <c r="B254" i="25" s="1"/>
  <c r="Q299" i="25"/>
  <c r="P299" i="25" s="1"/>
  <c r="V299" i="25" s="1"/>
  <c r="B299" i="25" s="1"/>
  <c r="D299" i="25" s="1"/>
  <c r="E299" i="25" s="1"/>
  <c r="F299" i="25" s="1"/>
  <c r="Q19" i="25"/>
  <c r="P19" i="25" s="1"/>
  <c r="V19" i="25" s="1"/>
  <c r="B19" i="25" s="1"/>
  <c r="D19" i="25" s="1"/>
  <c r="E19" i="25" s="1"/>
  <c r="F19" i="25" s="1"/>
  <c r="Q276" i="25"/>
  <c r="P276" i="25" s="1"/>
  <c r="V276" i="25" s="1"/>
  <c r="B276" i="25" s="1"/>
  <c r="W276" i="25" s="1"/>
  <c r="Q46" i="25"/>
  <c r="P46" i="25" s="1"/>
  <c r="V46" i="25" s="1"/>
  <c r="B46" i="25" s="1"/>
  <c r="W46" i="25" s="1"/>
  <c r="Q222" i="25"/>
  <c r="P222" i="25" s="1"/>
  <c r="V222" i="25" s="1"/>
  <c r="B222" i="25" s="1"/>
  <c r="Q184" i="25"/>
  <c r="P184" i="25" s="1"/>
  <c r="V184" i="25" s="1"/>
  <c r="B184" i="25" s="1"/>
  <c r="Q275" i="25"/>
  <c r="P275" i="25" s="1"/>
  <c r="V275" i="25" s="1"/>
  <c r="B275" i="25" s="1"/>
  <c r="Q352" i="25"/>
  <c r="P352" i="25" s="1"/>
  <c r="V352" i="25" s="1"/>
  <c r="B352" i="25" s="1"/>
  <c r="Q317" i="25"/>
  <c r="P317" i="25" s="1"/>
  <c r="V317" i="25" s="1"/>
  <c r="B317" i="25" s="1"/>
  <c r="Q155" i="25"/>
  <c r="P155" i="25" s="1"/>
  <c r="V155" i="25" s="1"/>
  <c r="B155" i="25" s="1"/>
  <c r="Q86" i="25"/>
  <c r="P86" i="25" s="1"/>
  <c r="V86" i="25" s="1"/>
  <c r="B86" i="25" s="1"/>
  <c r="Q339" i="25"/>
  <c r="P339" i="25" s="1"/>
  <c r="V339" i="25" s="1"/>
  <c r="B339" i="25" s="1"/>
  <c r="Q348" i="25"/>
  <c r="P348" i="25" s="1"/>
  <c r="V348" i="25" s="1"/>
  <c r="B348" i="25" s="1"/>
  <c r="D348" i="25" s="1"/>
  <c r="E348" i="25" s="1"/>
  <c r="F348" i="25" s="1"/>
  <c r="Q115" i="25"/>
  <c r="P115" i="25" s="1"/>
  <c r="V115" i="25" s="1"/>
  <c r="B115" i="25" s="1"/>
  <c r="W115" i="25" s="1"/>
  <c r="Q337" i="25"/>
  <c r="P337" i="25" s="1"/>
  <c r="V337" i="25" s="1"/>
  <c r="B337" i="25" s="1"/>
  <c r="Q66" i="25"/>
  <c r="P66" i="25" s="1"/>
  <c r="V66" i="25" s="1"/>
  <c r="B66" i="25" s="1"/>
  <c r="D66" i="25" s="1"/>
  <c r="E66" i="25" s="1"/>
  <c r="F66" i="25" s="1"/>
  <c r="Q194" i="25"/>
  <c r="P194" i="25" s="1"/>
  <c r="V194" i="25" s="1"/>
  <c r="B194" i="25" s="1"/>
  <c r="Q331" i="25"/>
  <c r="P331" i="25" s="1"/>
  <c r="V331" i="25" s="1"/>
  <c r="B331" i="25" s="1"/>
  <c r="Q376" i="25"/>
  <c r="P376" i="25" s="1"/>
  <c r="V376" i="25" s="1"/>
  <c r="B376" i="25" s="1"/>
  <c r="Q104" i="25"/>
  <c r="P104" i="25" s="1"/>
  <c r="V104" i="25" s="1"/>
  <c r="B104" i="25" s="1"/>
  <c r="W104" i="25" s="1"/>
  <c r="Q84" i="25"/>
  <c r="P84" i="25" s="1"/>
  <c r="V84" i="25" s="1"/>
  <c r="B84" i="25" s="1"/>
  <c r="Q41" i="25"/>
  <c r="P41" i="25" s="1"/>
  <c r="V41" i="25" s="1"/>
  <c r="B41" i="25" s="1"/>
  <c r="Q127" i="25"/>
  <c r="P127" i="25" s="1"/>
  <c r="V127" i="25" s="1"/>
  <c r="B127" i="25" s="1"/>
  <c r="D127" i="25" s="1"/>
  <c r="E127" i="25" s="1"/>
  <c r="F127" i="25" s="1"/>
  <c r="H127" i="25" s="1"/>
  <c r="Q364" i="25"/>
  <c r="P364" i="25" s="1"/>
  <c r="V364" i="25" s="1"/>
  <c r="B364" i="25" s="1"/>
  <c r="Q61" i="25"/>
  <c r="P61" i="25" s="1"/>
  <c r="V61" i="25" s="1"/>
  <c r="B61" i="25" s="1"/>
  <c r="W61" i="25" s="1"/>
  <c r="Q350" i="25"/>
  <c r="P350" i="25" s="1"/>
  <c r="V350" i="25" s="1"/>
  <c r="B350" i="25" s="1"/>
  <c r="Q260" i="25"/>
  <c r="P260" i="25" s="1"/>
  <c r="V260" i="25" s="1"/>
  <c r="B260" i="25" s="1"/>
  <c r="Q42" i="25"/>
  <c r="P42" i="25" s="1"/>
  <c r="V42" i="25" s="1"/>
  <c r="B42" i="25" s="1"/>
  <c r="Q351" i="25"/>
  <c r="P351" i="25" s="1"/>
  <c r="V351" i="25" s="1"/>
  <c r="B351" i="25" s="1"/>
  <c r="D351" i="25" s="1"/>
  <c r="E351" i="25" s="1"/>
  <c r="F351" i="25" s="1"/>
  <c r="Q47" i="25"/>
  <c r="P47" i="25" s="1"/>
  <c r="V47" i="25" s="1"/>
  <c r="B47" i="25" s="1"/>
  <c r="D47" i="25" s="1"/>
  <c r="E47" i="25" s="1"/>
  <c r="F47" i="25" s="1"/>
  <c r="Q377" i="25"/>
  <c r="P377" i="25" s="1"/>
  <c r="V377" i="25" s="1"/>
  <c r="B377" i="25" s="1"/>
  <c r="Q57" i="25"/>
  <c r="P57" i="25" s="1"/>
  <c r="V57" i="25" s="1"/>
  <c r="B57" i="25" s="1"/>
  <c r="W57" i="25" s="1"/>
  <c r="Q24" i="25"/>
  <c r="P24" i="25" s="1"/>
  <c r="V24" i="25" s="1"/>
  <c r="B24" i="25" s="1"/>
  <c r="W24" i="25" s="1"/>
  <c r="Q230" i="25"/>
  <c r="P230" i="25" s="1"/>
  <c r="V230" i="25" s="1"/>
  <c r="B230" i="25" s="1"/>
  <c r="Q239" i="25"/>
  <c r="P239" i="25" s="1"/>
  <c r="V239" i="25" s="1"/>
  <c r="B239" i="25" s="1"/>
  <c r="Q27" i="25"/>
  <c r="P27" i="25" s="1"/>
  <c r="V27" i="25" s="1"/>
  <c r="B27" i="25" s="1"/>
  <c r="W27" i="25" s="1"/>
  <c r="Q372" i="25"/>
  <c r="P372" i="25" s="1"/>
  <c r="V372" i="25" s="1"/>
  <c r="B372" i="25" s="1"/>
  <c r="W372" i="25" s="1"/>
  <c r="Q21" i="25"/>
  <c r="P21" i="25" s="1"/>
  <c r="V21" i="25" s="1"/>
  <c r="B21" i="25" s="1"/>
  <c r="Q123" i="25"/>
  <c r="P123" i="25" s="1"/>
  <c r="V123" i="25" s="1"/>
  <c r="B123" i="25" s="1"/>
  <c r="W123" i="25" s="1"/>
  <c r="Q15" i="25"/>
  <c r="Q271" i="25"/>
  <c r="P271" i="25" s="1"/>
  <c r="V271" i="25" s="1"/>
  <c r="B271" i="25" s="1"/>
  <c r="Q325" i="25"/>
  <c r="P325" i="25" s="1"/>
  <c r="V325" i="25" s="1"/>
  <c r="B325" i="25" s="1"/>
  <c r="W325" i="25" s="1"/>
  <c r="Q63" i="25"/>
  <c r="P63" i="25" s="1"/>
  <c r="V63" i="25" s="1"/>
  <c r="B63" i="25" s="1"/>
  <c r="Q129" i="25"/>
  <c r="P129" i="25" s="1"/>
  <c r="V129" i="25" s="1"/>
  <c r="B129" i="25" s="1"/>
  <c r="Q280" i="25"/>
  <c r="P280" i="25" s="1"/>
  <c r="V280" i="25" s="1"/>
  <c r="B280" i="25" s="1"/>
  <c r="Q35" i="25"/>
  <c r="P35" i="25" s="1"/>
  <c r="V35" i="25" s="1"/>
  <c r="B35" i="25" s="1"/>
  <c r="G311" i="24"/>
  <c r="CE311" i="6" s="1"/>
  <c r="H311" i="24"/>
  <c r="AI152" i="25"/>
  <c r="AH152" i="25" s="1"/>
  <c r="AG152" i="25" s="1"/>
  <c r="AF152" i="25" s="1"/>
  <c r="AI368" i="25"/>
  <c r="AH368" i="25" s="1"/>
  <c r="AG368" i="25" s="1"/>
  <c r="AF368" i="25" s="1"/>
  <c r="AI196" i="25"/>
  <c r="AH196" i="25" s="1"/>
  <c r="AG196" i="25" s="1"/>
  <c r="AF196" i="25" s="1"/>
  <c r="AI256" i="25"/>
  <c r="AH256" i="25" s="1"/>
  <c r="AG256" i="25" s="1"/>
  <c r="AF256" i="25" s="1"/>
  <c r="AI302" i="25"/>
  <c r="AH302" i="25" s="1"/>
  <c r="AG302" i="25" s="1"/>
  <c r="AF302" i="25" s="1"/>
  <c r="AI297" i="25"/>
  <c r="AH297" i="25" s="1"/>
  <c r="AG297" i="25" s="1"/>
  <c r="AF297" i="25" s="1"/>
  <c r="AI164" i="25"/>
  <c r="AH164" i="25" s="1"/>
  <c r="AG164" i="25" s="1"/>
  <c r="AF164" i="25" s="1"/>
  <c r="AI154" i="25"/>
  <c r="AH154" i="25" s="1"/>
  <c r="AG154" i="25" s="1"/>
  <c r="AF154" i="25" s="1"/>
  <c r="AI360" i="25"/>
  <c r="AH360" i="25" s="1"/>
  <c r="AG360" i="25" s="1"/>
  <c r="AF360" i="25" s="1"/>
  <c r="AI147" i="25"/>
  <c r="AH147" i="25" s="1"/>
  <c r="AG147" i="25" s="1"/>
  <c r="AF147" i="25" s="1"/>
  <c r="AI113" i="25"/>
  <c r="AH113" i="25" s="1"/>
  <c r="AG113" i="25" s="1"/>
  <c r="AF113" i="25" s="1"/>
  <c r="AI111" i="25"/>
  <c r="AH111" i="25" s="1"/>
  <c r="AG111" i="25" s="1"/>
  <c r="AF111" i="25" s="1"/>
  <c r="AI140" i="25"/>
  <c r="AH140" i="25" s="1"/>
  <c r="AG140" i="25" s="1"/>
  <c r="AF140" i="25" s="1"/>
  <c r="AI138" i="25"/>
  <c r="AH138" i="25" s="1"/>
  <c r="AG138" i="25" s="1"/>
  <c r="AF138" i="25" s="1"/>
  <c r="AI372" i="25"/>
  <c r="AH372" i="25" s="1"/>
  <c r="AG372" i="25" s="1"/>
  <c r="AF372" i="25" s="1"/>
  <c r="AI231" i="25"/>
  <c r="AH231" i="25" s="1"/>
  <c r="AG231" i="25" s="1"/>
  <c r="AF231" i="25" s="1"/>
  <c r="AI135" i="25"/>
  <c r="AH135" i="25" s="1"/>
  <c r="AG135" i="25" s="1"/>
  <c r="AF135" i="25" s="1"/>
  <c r="AI125" i="25"/>
  <c r="AH125" i="25" s="1"/>
  <c r="AG125" i="25" s="1"/>
  <c r="AF125" i="25" s="1"/>
  <c r="I325" i="24"/>
  <c r="J325" i="24"/>
  <c r="I39" i="24"/>
  <c r="J39" i="24"/>
  <c r="J51" i="24"/>
  <c r="I51" i="24"/>
  <c r="J287" i="24"/>
  <c r="I287" i="24"/>
  <c r="D43" i="19"/>
  <c r="V379" i="24"/>
  <c r="Q176" i="25"/>
  <c r="P176" i="25" s="1"/>
  <c r="V176" i="25" s="1"/>
  <c r="B176" i="25" s="1"/>
  <c r="W176" i="25" s="1"/>
  <c r="Q122" i="25"/>
  <c r="P122" i="25" s="1"/>
  <c r="V122" i="25" s="1"/>
  <c r="B122" i="25" s="1"/>
  <c r="Q196" i="25"/>
  <c r="P196" i="25" s="1"/>
  <c r="V196" i="25" s="1"/>
  <c r="B196" i="25" s="1"/>
  <c r="Q72" i="25"/>
  <c r="P72" i="25" s="1"/>
  <c r="V72" i="25" s="1"/>
  <c r="B72" i="25" s="1"/>
  <c r="Q207" i="25"/>
  <c r="P207" i="25" s="1"/>
  <c r="V207" i="25" s="1"/>
  <c r="B207" i="25" s="1"/>
  <c r="Q39" i="25"/>
  <c r="P39" i="25" s="1"/>
  <c r="V39" i="25" s="1"/>
  <c r="B39" i="25" s="1"/>
  <c r="Q175" i="25"/>
  <c r="P175" i="25" s="1"/>
  <c r="V175" i="25" s="1"/>
  <c r="B175" i="25" s="1"/>
  <c r="D175" i="25" s="1"/>
  <c r="E175" i="25" s="1"/>
  <c r="F175" i="25" s="1"/>
  <c r="H282" i="24"/>
  <c r="G282" i="24"/>
  <c r="CE282" i="6" s="1"/>
  <c r="AA282" i="24"/>
  <c r="Z282" i="24" s="1"/>
  <c r="Y282" i="24" s="1"/>
  <c r="G330" i="24"/>
  <c r="CE330" i="6" s="1"/>
  <c r="AA330" i="24"/>
  <c r="Z330" i="24" s="1"/>
  <c r="Y330" i="24" s="1"/>
  <c r="H330" i="24"/>
  <c r="Q169" i="25"/>
  <c r="P169" i="25" s="1"/>
  <c r="V169" i="25" s="1"/>
  <c r="B169" i="25" s="1"/>
  <c r="Q139" i="25"/>
  <c r="P139" i="25" s="1"/>
  <c r="V139" i="25" s="1"/>
  <c r="B139" i="25" s="1"/>
  <c r="Q83" i="25"/>
  <c r="P83" i="25" s="1"/>
  <c r="V83" i="25" s="1"/>
  <c r="B83" i="25" s="1"/>
  <c r="Q347" i="25"/>
  <c r="P347" i="25" s="1"/>
  <c r="V347" i="25" s="1"/>
  <c r="B347" i="25" s="1"/>
  <c r="Q288" i="25"/>
  <c r="P288" i="25" s="1"/>
  <c r="V288" i="25" s="1"/>
  <c r="B288" i="25" s="1"/>
  <c r="D288" i="25" s="1"/>
  <c r="E288" i="25" s="1"/>
  <c r="F288" i="25" s="1"/>
  <c r="G288" i="25" s="1"/>
  <c r="CF288" i="6" s="1"/>
  <c r="Q367" i="25"/>
  <c r="P367" i="25" s="1"/>
  <c r="V367" i="25" s="1"/>
  <c r="B367" i="25" s="1"/>
  <c r="Q219" i="25"/>
  <c r="P219" i="25" s="1"/>
  <c r="V219" i="25" s="1"/>
  <c r="B219" i="25" s="1"/>
  <c r="G36" i="24"/>
  <c r="CE36" i="6" s="1"/>
  <c r="H36" i="24"/>
  <c r="G29" i="24"/>
  <c r="CE29" i="6" s="1"/>
  <c r="H29" i="24"/>
  <c r="H364" i="24"/>
  <c r="Q211" i="25"/>
  <c r="P211" i="25" s="1"/>
  <c r="V211" i="25" s="1"/>
  <c r="B211" i="25" s="1"/>
  <c r="Q338" i="25"/>
  <c r="P338" i="25" s="1"/>
  <c r="V338" i="25" s="1"/>
  <c r="B338" i="25" s="1"/>
  <c r="Q202" i="25"/>
  <c r="P202" i="25" s="1"/>
  <c r="V202" i="25" s="1"/>
  <c r="B202" i="25" s="1"/>
  <c r="Q131" i="25"/>
  <c r="P131" i="25" s="1"/>
  <c r="V131" i="25" s="1"/>
  <c r="B131" i="25" s="1"/>
  <c r="D131" i="25" s="1"/>
  <c r="E131" i="25" s="1"/>
  <c r="F131" i="25" s="1"/>
  <c r="Q59" i="25"/>
  <c r="P59" i="25" s="1"/>
  <c r="V59" i="25" s="1"/>
  <c r="B59" i="25" s="1"/>
  <c r="D59" i="25" s="1"/>
  <c r="E59" i="25" s="1"/>
  <c r="F59" i="25" s="1"/>
  <c r="Q341" i="25"/>
  <c r="P341" i="25" s="1"/>
  <c r="V341" i="25" s="1"/>
  <c r="B341" i="25" s="1"/>
  <c r="Q150" i="25"/>
  <c r="P150" i="25" s="1"/>
  <c r="V150" i="25" s="1"/>
  <c r="B150" i="25" s="1"/>
  <c r="W150" i="25" s="1"/>
  <c r="Q206" i="25"/>
  <c r="P206" i="25" s="1"/>
  <c r="V206" i="25" s="1"/>
  <c r="B206" i="25" s="1"/>
  <c r="Q22" i="25"/>
  <c r="P22" i="25" s="1"/>
  <c r="V22" i="25" s="1"/>
  <c r="B22" i="25" s="1"/>
  <c r="Q151" i="25"/>
  <c r="P151" i="25" s="1"/>
  <c r="V151" i="25" s="1"/>
  <c r="B151" i="25" s="1"/>
  <c r="Q52" i="25"/>
  <c r="P52" i="25" s="1"/>
  <c r="V52" i="25" s="1"/>
  <c r="B52" i="25" s="1"/>
  <c r="D52" i="25" s="1"/>
  <c r="E52" i="25" s="1"/>
  <c r="F52" i="25" s="1"/>
  <c r="Q144" i="25"/>
  <c r="P144" i="25" s="1"/>
  <c r="V144" i="25" s="1"/>
  <c r="B144" i="25" s="1"/>
  <c r="Q20" i="25"/>
  <c r="P20" i="25" s="1"/>
  <c r="V20" i="25" s="1"/>
  <c r="Q145" i="25"/>
  <c r="P145" i="25" s="1"/>
  <c r="V145" i="25" s="1"/>
  <c r="B145" i="25" s="1"/>
  <c r="Q85" i="25"/>
  <c r="P85" i="25" s="1"/>
  <c r="V85" i="25" s="1"/>
  <c r="B85" i="25" s="1"/>
  <c r="D85" i="25" s="1"/>
  <c r="E85" i="25" s="1"/>
  <c r="F85" i="25" s="1"/>
  <c r="Q295" i="25"/>
  <c r="P295" i="25" s="1"/>
  <c r="V295" i="25" s="1"/>
  <c r="B295" i="25" s="1"/>
  <c r="Q302" i="25"/>
  <c r="P302" i="25" s="1"/>
  <c r="AH77" i="7" s="1"/>
  <c r="Q253" i="25"/>
  <c r="P253" i="25" s="1"/>
  <c r="V253" i="25" s="1"/>
  <c r="B253" i="25" s="1"/>
  <c r="Q373" i="25"/>
  <c r="P373" i="25" s="1"/>
  <c r="V373" i="25" s="1"/>
  <c r="B373" i="25" s="1"/>
  <c r="Q181" i="25"/>
  <c r="P181" i="25" s="1"/>
  <c r="V181" i="25" s="1"/>
  <c r="B181" i="25" s="1"/>
  <c r="D181" i="25" s="1"/>
  <c r="E181" i="25" s="1"/>
  <c r="F181" i="25" s="1"/>
  <c r="Q326" i="25"/>
  <c r="P326" i="25" s="1"/>
  <c r="V326" i="25" s="1"/>
  <c r="B326" i="25" s="1"/>
  <c r="Q228" i="25"/>
  <c r="P228" i="25" s="1"/>
  <c r="V228" i="25" s="1"/>
  <c r="B228" i="25" s="1"/>
  <c r="W228" i="25" s="1"/>
  <c r="Q360" i="25"/>
  <c r="P360" i="25" s="1"/>
  <c r="V360" i="25" s="1"/>
  <c r="B360" i="25" s="1"/>
  <c r="D360" i="25" s="1"/>
  <c r="E360" i="25" s="1"/>
  <c r="F360" i="25" s="1"/>
  <c r="Q328" i="25"/>
  <c r="P328" i="25" s="1"/>
  <c r="V328" i="25" s="1"/>
  <c r="B328" i="25" s="1"/>
  <c r="Q160" i="25"/>
  <c r="P160" i="25" s="1"/>
  <c r="V160" i="25" s="1"/>
  <c r="B160" i="25" s="1"/>
  <c r="D160" i="25" s="1"/>
  <c r="E160" i="25" s="1"/>
  <c r="F160" i="25" s="1"/>
  <c r="Q301" i="25"/>
  <c r="P301" i="25" s="1"/>
  <c r="V301" i="25" s="1"/>
  <c r="B301" i="25" s="1"/>
  <c r="W301" i="25" s="1"/>
  <c r="Q53" i="25"/>
  <c r="P53" i="25" s="1"/>
  <c r="V53" i="25" s="1"/>
  <c r="B53" i="25" s="1"/>
  <c r="D53" i="25" s="1"/>
  <c r="E53" i="25" s="1"/>
  <c r="F53" i="25" s="1"/>
  <c r="Q192" i="25"/>
  <c r="P192" i="25" s="1"/>
  <c r="V192" i="25" s="1"/>
  <c r="B192" i="25" s="1"/>
  <c r="Q304" i="25"/>
  <c r="P304" i="25" s="1"/>
  <c r="V304" i="25" s="1"/>
  <c r="B304" i="25" s="1"/>
  <c r="Q215" i="25"/>
  <c r="P215" i="25" s="1"/>
  <c r="V215" i="25" s="1"/>
  <c r="B215" i="25" s="1"/>
  <c r="Q205" i="25"/>
  <c r="P205" i="25" s="1"/>
  <c r="V205" i="25" s="1"/>
  <c r="B205" i="25" s="1"/>
  <c r="Q257" i="25"/>
  <c r="P257" i="25" s="1"/>
  <c r="V257" i="25" s="1"/>
  <c r="B257" i="25" s="1"/>
  <c r="W257" i="25" s="1"/>
  <c r="Q149" i="25"/>
  <c r="P149" i="25" s="1"/>
  <c r="Q141" i="25"/>
  <c r="P141" i="25" s="1"/>
  <c r="V141" i="25" s="1"/>
  <c r="B141" i="25" s="1"/>
  <c r="Q375" i="25"/>
  <c r="P375" i="25" s="1"/>
  <c r="V375" i="25" s="1"/>
  <c r="B375" i="25" s="1"/>
  <c r="W375" i="25" s="1"/>
  <c r="Q243" i="25"/>
  <c r="P243" i="25" s="1"/>
  <c r="V243" i="25" s="1"/>
  <c r="B243" i="25" s="1"/>
  <c r="Q292" i="25"/>
  <c r="P292" i="25" s="1"/>
  <c r="V292" i="25" s="1"/>
  <c r="B292" i="25" s="1"/>
  <c r="AA29" i="24"/>
  <c r="Z29" i="24" s="1"/>
  <c r="Y29" i="24" s="1"/>
  <c r="AA364" i="24"/>
  <c r="Z364" i="24" s="1"/>
  <c r="Y364" i="24" s="1"/>
  <c r="Q318" i="25"/>
  <c r="P318" i="25" s="1"/>
  <c r="V318" i="25" s="1"/>
  <c r="B318" i="25" s="1"/>
  <c r="Q363" i="25"/>
  <c r="P363" i="25" s="1"/>
  <c r="V363" i="25" s="1"/>
  <c r="B363" i="25" s="1"/>
  <c r="D363" i="25" s="1"/>
  <c r="E363" i="25" s="1"/>
  <c r="F363" i="25" s="1"/>
  <c r="Q69" i="25"/>
  <c r="P69" i="25" s="1"/>
  <c r="V69" i="25" s="1"/>
  <c r="B69" i="25" s="1"/>
  <c r="Q136" i="25"/>
  <c r="P136" i="25" s="1"/>
  <c r="V136" i="25" s="1"/>
  <c r="B136" i="25" s="1"/>
  <c r="W136" i="25" s="1"/>
  <c r="Q263" i="25"/>
  <c r="P263" i="25" s="1"/>
  <c r="V263" i="25" s="1"/>
  <c r="B263" i="25" s="1"/>
  <c r="W263" i="25" s="1"/>
  <c r="Q109" i="25"/>
  <c r="P109" i="25" s="1"/>
  <c r="V109" i="25" s="1"/>
  <c r="B109" i="25" s="1"/>
  <c r="Q244" i="25"/>
  <c r="P244" i="25" s="1"/>
  <c r="V244" i="25" s="1"/>
  <c r="B244" i="25" s="1"/>
  <c r="Q170" i="25"/>
  <c r="P170" i="25" s="1"/>
  <c r="V170" i="25" s="1"/>
  <c r="B170" i="25" s="1"/>
  <c r="D170" i="25" s="1"/>
  <c r="E170" i="25" s="1"/>
  <c r="F170" i="25" s="1"/>
  <c r="Q40" i="25"/>
  <c r="P40" i="25" s="1"/>
  <c r="V40" i="25" s="1"/>
  <c r="B40" i="25" s="1"/>
  <c r="Q251" i="25"/>
  <c r="P251" i="25" s="1"/>
  <c r="V251" i="25" s="1"/>
  <c r="B251" i="25" s="1"/>
  <c r="Q157" i="25"/>
  <c r="P157" i="25" s="1"/>
  <c r="V157" i="25" s="1"/>
  <c r="B157" i="25" s="1"/>
  <c r="D157" i="25" s="1"/>
  <c r="E157" i="25" s="1"/>
  <c r="F157" i="25" s="1"/>
  <c r="Q379" i="25"/>
  <c r="J262" i="24"/>
  <c r="I262" i="24"/>
  <c r="J373" i="24"/>
  <c r="I373" i="24"/>
  <c r="W106" i="25"/>
  <c r="W335" i="25"/>
  <c r="G119" i="24"/>
  <c r="CE119" i="6" s="1"/>
  <c r="AA119" i="24"/>
  <c r="Z119" i="24" s="1"/>
  <c r="Y119" i="24" s="1"/>
  <c r="H119" i="24"/>
  <c r="AA149" i="24"/>
  <c r="Z149" i="24" s="1"/>
  <c r="Y149" i="24" s="1"/>
  <c r="H149" i="24"/>
  <c r="G149" i="24"/>
  <c r="CE149" i="6" s="1"/>
  <c r="I211" i="24"/>
  <c r="J211" i="24"/>
  <c r="I163" i="24"/>
  <c r="J163" i="24"/>
  <c r="I221" i="24"/>
  <c r="J221" i="24"/>
  <c r="J194" i="24"/>
  <c r="I194" i="24"/>
  <c r="I133" i="24"/>
  <c r="J133" i="24"/>
  <c r="AA135" i="24"/>
  <c r="Z135" i="24" s="1"/>
  <c r="Y135" i="24" s="1"/>
  <c r="H135" i="24"/>
  <c r="G135" i="24"/>
  <c r="CE135" i="6" s="1"/>
  <c r="I30" i="24"/>
  <c r="J30" i="24"/>
  <c r="I273" i="24"/>
  <c r="J273" i="24"/>
  <c r="I169" i="24"/>
  <c r="J169" i="24"/>
  <c r="J139" i="24"/>
  <c r="I139" i="24"/>
  <c r="AA74" i="24"/>
  <c r="Z74" i="24" s="1"/>
  <c r="Y74" i="24" s="1"/>
  <c r="G74" i="24"/>
  <c r="CE74" i="6" s="1"/>
  <c r="H74" i="24"/>
  <c r="I216" i="24"/>
  <c r="J216" i="24"/>
  <c r="H105" i="24"/>
  <c r="G105" i="24"/>
  <c r="CE105" i="6" s="1"/>
  <c r="AA105" i="24"/>
  <c r="Z105" i="24" s="1"/>
  <c r="Y105" i="24" s="1"/>
  <c r="J281" i="24"/>
  <c r="I281" i="24"/>
  <c r="J140" i="24"/>
  <c r="I140" i="24"/>
  <c r="Q297" i="25"/>
  <c r="P297" i="25" s="1"/>
  <c r="V297" i="25" s="1"/>
  <c r="BG15" i="7"/>
  <c r="Q274" i="25"/>
  <c r="P274" i="25" s="1"/>
  <c r="V274" i="25" s="1"/>
  <c r="B274" i="25" s="1"/>
  <c r="Q218" i="25"/>
  <c r="P218" i="25" s="1"/>
  <c r="V218" i="25" s="1"/>
  <c r="B218" i="25" s="1"/>
  <c r="AE228" i="25"/>
  <c r="AE371" i="25"/>
  <c r="AD371" i="25" s="1"/>
  <c r="AE315" i="25"/>
  <c r="AD315" i="25" s="1"/>
  <c r="AE355" i="25"/>
  <c r="AD355" i="25" s="1"/>
  <c r="AE179" i="25"/>
  <c r="AD179" i="25" s="1"/>
  <c r="AE190" i="25"/>
  <c r="AD190" i="25" s="1"/>
  <c r="AE152" i="25"/>
  <c r="AE326" i="25"/>
  <c r="AE370" i="25"/>
  <c r="AE153" i="25"/>
  <c r="AD153" i="25" s="1"/>
  <c r="AE222" i="25"/>
  <c r="AE293" i="25"/>
  <c r="AE178" i="25"/>
  <c r="AE305" i="25"/>
  <c r="AD305" i="25" s="1"/>
  <c r="AE321" i="25"/>
  <c r="AD321" i="25" s="1"/>
  <c r="AE376" i="25"/>
  <c r="AE330" i="25"/>
  <c r="AE158" i="25"/>
  <c r="AE111" i="25"/>
  <c r="AE294" i="25"/>
  <c r="AD294" i="25" s="1"/>
  <c r="AE323" i="25"/>
  <c r="AD323" i="25" s="1"/>
  <c r="AE310" i="25"/>
  <c r="AD310" i="25" s="1"/>
  <c r="AE208" i="25"/>
  <c r="AD208" i="25" s="1"/>
  <c r="AE168" i="25"/>
  <c r="AD168" i="25" s="1"/>
  <c r="AE338" i="25"/>
  <c r="AD338" i="25" s="1"/>
  <c r="AE378" i="25"/>
  <c r="AD378" i="25" s="1"/>
  <c r="AE223" i="25"/>
  <c r="AD223" i="25" s="1"/>
  <c r="AE299" i="25"/>
  <c r="AD299" i="25" s="1"/>
  <c r="AE313" i="25"/>
  <c r="AD313" i="25" s="1"/>
  <c r="AE275" i="25"/>
  <c r="AD275" i="25" s="1"/>
  <c r="AE292" i="25"/>
  <c r="AE125" i="25"/>
  <c r="AE185" i="25"/>
  <c r="AD185" i="25" s="1"/>
  <c r="AE117" i="25"/>
  <c r="AD117" i="25" s="1"/>
  <c r="AE187" i="25"/>
  <c r="AD187" i="25" s="1"/>
  <c r="AE290" i="25"/>
  <c r="AD290" i="25" s="1"/>
  <c r="AE249" i="25"/>
  <c r="AD249" i="25" s="1"/>
  <c r="AE302" i="25"/>
  <c r="AE141" i="25"/>
  <c r="AD141" i="25" s="1"/>
  <c r="AE169" i="25"/>
  <c r="AD169" i="25" s="1"/>
  <c r="AE108" i="25"/>
  <c r="AD108" i="25" s="1"/>
  <c r="AE115" i="25"/>
  <c r="AD115" i="25" s="1"/>
  <c r="AE209" i="25"/>
  <c r="AD209" i="25" s="1"/>
  <c r="AE130" i="25"/>
  <c r="AE364" i="25"/>
  <c r="AE123" i="25"/>
  <c r="AD123" i="25" s="1"/>
  <c r="AE193" i="25"/>
  <c r="AD193" i="25" s="1"/>
  <c r="AE199" i="25"/>
  <c r="AD199" i="25" s="1"/>
  <c r="AE255" i="25"/>
  <c r="AD255" i="25" s="1"/>
  <c r="AE322" i="25"/>
  <c r="AD322" i="25" s="1"/>
  <c r="AE220" i="25"/>
  <c r="AD220" i="25" s="1"/>
  <c r="AE363" i="25"/>
  <c r="AD363" i="25" s="1"/>
  <c r="AE351" i="25"/>
  <c r="AD351" i="25" s="1"/>
  <c r="AE241" i="25"/>
  <c r="AD241" i="25" s="1"/>
  <c r="AE352" i="25"/>
  <c r="AD352" i="25" s="1"/>
  <c r="AE132" i="25"/>
  <c r="AD132" i="25" s="1"/>
  <c r="AE214" i="25"/>
  <c r="AD214" i="25" s="1"/>
  <c r="AE224" i="25"/>
  <c r="AD224" i="25" s="1"/>
  <c r="AE349" i="25"/>
  <c r="AD349" i="25" s="1"/>
  <c r="AE304" i="25"/>
  <c r="AD304" i="25" s="1"/>
  <c r="AE206" i="25"/>
  <c r="AD206" i="25" s="1"/>
  <c r="AE166" i="25"/>
  <c r="AD166" i="25" s="1"/>
  <c r="AE229" i="25"/>
  <c r="AD229" i="25" s="1"/>
  <c r="AE258" i="25"/>
  <c r="AD258" i="25" s="1"/>
  <c r="AE377" i="25"/>
  <c r="AD377" i="25" s="1"/>
  <c r="AE283" i="25"/>
  <c r="AD283" i="25" s="1"/>
  <c r="AE200" i="25"/>
  <c r="AD200" i="25" s="1"/>
  <c r="AE201" i="25"/>
  <c r="AD201" i="25" s="1"/>
  <c r="AE109" i="25"/>
  <c r="AD109" i="25" s="1"/>
  <c r="AE285" i="25"/>
  <c r="AD285" i="25" s="1"/>
  <c r="AE281" i="25"/>
  <c r="AD281" i="25" s="1"/>
  <c r="AE57" i="25"/>
  <c r="AD57" i="25" s="1"/>
  <c r="AE94" i="25"/>
  <c r="AD94" i="25" s="1"/>
  <c r="AE35" i="25"/>
  <c r="AD35" i="25" s="1"/>
  <c r="AE136" i="25"/>
  <c r="AD136" i="25" s="1"/>
  <c r="AE375" i="25"/>
  <c r="AD375" i="25" s="1"/>
  <c r="AE202" i="25"/>
  <c r="AD202" i="25" s="1"/>
  <c r="AE215" i="25"/>
  <c r="AD215" i="25" s="1"/>
  <c r="AE354" i="25"/>
  <c r="AD354" i="25" s="1"/>
  <c r="AE291" i="25"/>
  <c r="AD291" i="25" s="1"/>
  <c r="AE131" i="25"/>
  <c r="AD131" i="25" s="1"/>
  <c r="AE40" i="25"/>
  <c r="AD40" i="25" s="1"/>
  <c r="AE56" i="25"/>
  <c r="AD56" i="25" s="1"/>
  <c r="AE203" i="25"/>
  <c r="AD203" i="25" s="1"/>
  <c r="AE259" i="25"/>
  <c r="AD259" i="25" s="1"/>
  <c r="AE47" i="25"/>
  <c r="AD47" i="25" s="1"/>
  <c r="AE357" i="25"/>
  <c r="AD357" i="25" s="1"/>
  <c r="AE175" i="25"/>
  <c r="AD175" i="25" s="1"/>
  <c r="AE343" i="25"/>
  <c r="AD343" i="25" s="1"/>
  <c r="AE88" i="25"/>
  <c r="AD88" i="25" s="1"/>
  <c r="AE45" i="25"/>
  <c r="AD45" i="25" s="1"/>
  <c r="AE101" i="25"/>
  <c r="AD101" i="25" s="1"/>
  <c r="AE337" i="25"/>
  <c r="AD337" i="25" s="1"/>
  <c r="AE67" i="25"/>
  <c r="AD67" i="25" s="1"/>
  <c r="AE284" i="25"/>
  <c r="AD284" i="25" s="1"/>
  <c r="AE150" i="25"/>
  <c r="AD150" i="25" s="1"/>
  <c r="AE251" i="25"/>
  <c r="AD251" i="25" s="1"/>
  <c r="AE240" i="25"/>
  <c r="AD240" i="25" s="1"/>
  <c r="AE106" i="25"/>
  <c r="AD106" i="25" s="1"/>
  <c r="AE374" i="25"/>
  <c r="AD374" i="25" s="1"/>
  <c r="AE353" i="25"/>
  <c r="AD353" i="25" s="1"/>
  <c r="AE312" i="25"/>
  <c r="AD312" i="25" s="1"/>
  <c r="AE138" i="25"/>
  <c r="AE64" i="25"/>
  <c r="AD64" i="25" s="1"/>
  <c r="AE66" i="25"/>
  <c r="AD66" i="25" s="1"/>
  <c r="AE129" i="25"/>
  <c r="AD129" i="25" s="1"/>
  <c r="AE100" i="25"/>
  <c r="AD100" i="25" s="1"/>
  <c r="AE61" i="25"/>
  <c r="AD61" i="25" s="1"/>
  <c r="AE96" i="25"/>
  <c r="AD96" i="25" s="1"/>
  <c r="AE288" i="25"/>
  <c r="AD288" i="25" s="1"/>
  <c r="AE164" i="25"/>
  <c r="AE207" i="25"/>
  <c r="AD207" i="25" s="1"/>
  <c r="AE78" i="25"/>
  <c r="AD78" i="25" s="1"/>
  <c r="AE105" i="25"/>
  <c r="AD105" i="25" s="1"/>
  <c r="AE261" i="25"/>
  <c r="AD261" i="25" s="1"/>
  <c r="AE345" i="25"/>
  <c r="AD345" i="25" s="1"/>
  <c r="AE51" i="25"/>
  <c r="AD51" i="25" s="1"/>
  <c r="AE68" i="25"/>
  <c r="AD68" i="25" s="1"/>
  <c r="AE73" i="25"/>
  <c r="AD73" i="25" s="1"/>
  <c r="AE146" i="25"/>
  <c r="AD146" i="25" s="1"/>
  <c r="AE372" i="25"/>
  <c r="AE342" i="25"/>
  <c r="AD342" i="25" s="1"/>
  <c r="AE31" i="25"/>
  <c r="AD31" i="25" s="1"/>
  <c r="AE27" i="25"/>
  <c r="AD27" i="25" s="1"/>
  <c r="AE339" i="25"/>
  <c r="AD339" i="25" s="1"/>
  <c r="AE196" i="25"/>
  <c r="AE272" i="25"/>
  <c r="AD272" i="25" s="1"/>
  <c r="AE335" i="25"/>
  <c r="AD335" i="25" s="1"/>
  <c r="AE276" i="25"/>
  <c r="AD276" i="25" s="1"/>
  <c r="AE159" i="25"/>
  <c r="AD159" i="25" s="1"/>
  <c r="AE21" i="25"/>
  <c r="AD21" i="25" s="1"/>
  <c r="AE257" i="25"/>
  <c r="AD257" i="25" s="1"/>
  <c r="AE210" i="25"/>
  <c r="AD210" i="25" s="1"/>
  <c r="AE82" i="25"/>
  <c r="AD82" i="25" s="1"/>
  <c r="AE86" i="25"/>
  <c r="AD86" i="25" s="1"/>
  <c r="AE230" i="25"/>
  <c r="AD230" i="25" s="1"/>
  <c r="AE145" i="25"/>
  <c r="AD145" i="25" s="1"/>
  <c r="AE311" i="25"/>
  <c r="AD311" i="25" s="1"/>
  <c r="AE54" i="25"/>
  <c r="AD54" i="25" s="1"/>
  <c r="AE250" i="25"/>
  <c r="AD250" i="25" s="1"/>
  <c r="AE235" i="25"/>
  <c r="AD235" i="25" s="1"/>
  <c r="AE37" i="25"/>
  <c r="AD37" i="25" s="1"/>
  <c r="AE301" i="25"/>
  <c r="AD301" i="25" s="1"/>
  <c r="AE356" i="25"/>
  <c r="AD356" i="25" s="1"/>
  <c r="AE36" i="25"/>
  <c r="AD36" i="25" s="1"/>
  <c r="AE77" i="25"/>
  <c r="AD77" i="25" s="1"/>
  <c r="AE118" i="25"/>
  <c r="AD118" i="25" s="1"/>
  <c r="AE348" i="25"/>
  <c r="AD348" i="25" s="1"/>
  <c r="AE286" i="25"/>
  <c r="AD286" i="25" s="1"/>
  <c r="AE144" i="25"/>
  <c r="AD144" i="25" s="1"/>
  <c r="AE171" i="25"/>
  <c r="AD171" i="25" s="1"/>
  <c r="AE63" i="25"/>
  <c r="AD63" i="25" s="1"/>
  <c r="AE90" i="25"/>
  <c r="AD90" i="25" s="1"/>
  <c r="AE296" i="25"/>
  <c r="AD296" i="25" s="1"/>
  <c r="AE252" i="25"/>
  <c r="AD252" i="25" s="1"/>
  <c r="AE60" i="25"/>
  <c r="AD60" i="25" s="1"/>
  <c r="AE369" i="25"/>
  <c r="AD369" i="25" s="1"/>
  <c r="AE80" i="25"/>
  <c r="AD80" i="25" s="1"/>
  <c r="AE181" i="25"/>
  <c r="AD181" i="25" s="1"/>
  <c r="AE42" i="25"/>
  <c r="AD42" i="25" s="1"/>
  <c r="AE282" i="25"/>
  <c r="AD282" i="25" s="1"/>
  <c r="AE177" i="25"/>
  <c r="AD177" i="25" s="1"/>
  <c r="AE242" i="25"/>
  <c r="AD242" i="25" s="1"/>
  <c r="AE279" i="25"/>
  <c r="AD279" i="25" s="1"/>
  <c r="AE329" i="25"/>
  <c r="AD329" i="25" s="1"/>
  <c r="AE107" i="25"/>
  <c r="AD107" i="25" s="1"/>
  <c r="AE114" i="25"/>
  <c r="AE367" i="25"/>
  <c r="AD367" i="25" s="1"/>
  <c r="AE26" i="25"/>
  <c r="AD26" i="25" s="1"/>
  <c r="AE104" i="25"/>
  <c r="AD104" i="25" s="1"/>
  <c r="AE121" i="25"/>
  <c r="AD121" i="25" s="1"/>
  <c r="AE92" i="25"/>
  <c r="AD92" i="25" s="1"/>
  <c r="AE183" i="25"/>
  <c r="AD183" i="25" s="1"/>
  <c r="AE119" i="25"/>
  <c r="AE24" i="25"/>
  <c r="AD24" i="25" s="1"/>
  <c r="AE184" i="25"/>
  <c r="AD184" i="25" s="1"/>
  <c r="AE97" i="25"/>
  <c r="AD97" i="25" s="1"/>
  <c r="AE270" i="25"/>
  <c r="AD270" i="25" s="1"/>
  <c r="AE216" i="25"/>
  <c r="AD216" i="25" s="1"/>
  <c r="AE309" i="25"/>
  <c r="AD309" i="25" s="1"/>
  <c r="AE15" i="25"/>
  <c r="AE18" i="25"/>
  <c r="AD18" i="25" s="1"/>
  <c r="J141" i="24"/>
  <c r="I141" i="24"/>
  <c r="H320" i="24"/>
  <c r="G320" i="24"/>
  <c r="CE320" i="6" s="1"/>
  <c r="J178" i="24"/>
  <c r="I178" i="24"/>
  <c r="J355" i="24"/>
  <c r="I355" i="24"/>
  <c r="J57" i="24"/>
  <c r="I57" i="24"/>
  <c r="J338" i="24"/>
  <c r="I338" i="24"/>
  <c r="J109" i="24"/>
  <c r="I109" i="24"/>
  <c r="H197" i="24"/>
  <c r="G197" i="24"/>
  <c r="CE197" i="6" s="1"/>
  <c r="J207" i="24"/>
  <c r="I207" i="24"/>
  <c r="AA166" i="24"/>
  <c r="Z166" i="24" s="1"/>
  <c r="Y166" i="24" s="1"/>
  <c r="G166" i="24"/>
  <c r="CE166" i="6" s="1"/>
  <c r="H166" i="24"/>
  <c r="J341" i="24"/>
  <c r="I341" i="24"/>
  <c r="Q43" i="25"/>
  <c r="P43" i="25" s="1"/>
  <c r="V43" i="25" s="1"/>
  <c r="B43" i="25" s="1"/>
  <c r="Q370" i="25"/>
  <c r="P370" i="25" s="1"/>
  <c r="V370" i="25" s="1"/>
  <c r="B370" i="25" s="1"/>
  <c r="Q172" i="25"/>
  <c r="P172" i="25" s="1"/>
  <c r="V172" i="25" s="1"/>
  <c r="Q224" i="25"/>
  <c r="P224" i="25" s="1"/>
  <c r="V224" i="25" s="1"/>
  <c r="B224" i="25" s="1"/>
  <c r="Q116" i="25"/>
  <c r="P116" i="25" s="1"/>
  <c r="V116" i="25" s="1"/>
  <c r="B116" i="25" s="1"/>
  <c r="Q193" i="25"/>
  <c r="P193" i="25" s="1"/>
  <c r="V193" i="25" s="1"/>
  <c r="B193" i="25" s="1"/>
  <c r="Q245" i="25"/>
  <c r="P245" i="25" s="1"/>
  <c r="V245" i="25" s="1"/>
  <c r="B245" i="25" s="1"/>
  <c r="Q50" i="25"/>
  <c r="P50" i="25" s="1"/>
  <c r="V50" i="25" s="1"/>
  <c r="Q110" i="25"/>
  <c r="P110" i="25" s="1"/>
  <c r="V110" i="25" s="1"/>
  <c r="B110" i="25" s="1"/>
  <c r="Q214" i="25"/>
  <c r="P214" i="25" s="1"/>
  <c r="V214" i="25" s="1"/>
  <c r="B214" i="25" s="1"/>
  <c r="Q248" i="25"/>
  <c r="P248" i="25" s="1"/>
  <c r="V248" i="25" s="1"/>
  <c r="B248" i="25" s="1"/>
  <c r="AA320" i="24"/>
  <c r="Z320" i="24" s="1"/>
  <c r="Y320" i="24" s="1"/>
  <c r="J337" i="24"/>
  <c r="I337" i="24"/>
  <c r="J284" i="24"/>
  <c r="I284" i="24"/>
  <c r="G148" i="24"/>
  <c r="CE148" i="6" s="1"/>
  <c r="H148" i="24"/>
  <c r="AA148" i="24"/>
  <c r="Z148" i="24" s="1"/>
  <c r="Y148" i="24" s="1"/>
  <c r="AE212" i="25"/>
  <c r="AE160" i="25"/>
  <c r="AD160" i="25" s="1"/>
  <c r="AE219" i="25"/>
  <c r="AE260" i="25"/>
  <c r="AD260" i="25" s="1"/>
  <c r="AE307" i="25"/>
  <c r="AD307" i="25" s="1"/>
  <c r="AE120" i="25"/>
  <c r="AD120" i="25" s="1"/>
  <c r="AE173" i="25"/>
  <c r="AE147" i="25"/>
  <c r="AE124" i="25"/>
  <c r="AE379" i="25"/>
  <c r="AE246" i="25"/>
  <c r="AD246" i="25" s="1"/>
  <c r="AE170" i="25"/>
  <c r="AE198" i="25"/>
  <c r="AD198" i="25" s="1"/>
  <c r="AE205" i="25"/>
  <c r="AD205" i="25" s="1"/>
  <c r="AE314" i="25"/>
  <c r="AE213" i="25"/>
  <c r="AE332" i="25"/>
  <c r="AE245" i="25"/>
  <c r="AD245" i="25" s="1"/>
  <c r="AE365" i="25"/>
  <c r="AD365" i="25" s="1"/>
  <c r="AE149" i="25"/>
  <c r="AE186" i="25"/>
  <c r="AD186" i="25" s="1"/>
  <c r="AE227" i="25"/>
  <c r="AD227" i="25" s="1"/>
  <c r="AE188" i="25"/>
  <c r="AD188" i="25" s="1"/>
  <c r="AE163" i="25"/>
  <c r="AD163" i="25" s="1"/>
  <c r="AE280" i="25"/>
  <c r="AD280" i="25" s="1"/>
  <c r="AE180" i="25"/>
  <c r="AD180" i="25" s="1"/>
  <c r="AE340" i="25"/>
  <c r="AD340" i="25" s="1"/>
  <c r="AE135" i="25"/>
  <c r="AE165" i="25"/>
  <c r="AD165" i="25" s="1"/>
  <c r="AE333" i="25"/>
  <c r="AD333" i="25" s="1"/>
  <c r="AE156" i="25"/>
  <c r="AD156" i="25" s="1"/>
  <c r="AE262" i="25"/>
  <c r="AD262" i="25" s="1"/>
  <c r="AE316" i="25"/>
  <c r="AD316" i="25" s="1"/>
  <c r="AE143" i="25"/>
  <c r="AD143" i="25" s="1"/>
  <c r="AE231" i="25"/>
  <c r="AE253" i="25"/>
  <c r="AD253" i="25" s="1"/>
  <c r="AE195" i="25"/>
  <c r="AD195" i="25" s="1"/>
  <c r="AE265" i="25"/>
  <c r="AD265" i="25" s="1"/>
  <c r="AE148" i="25"/>
  <c r="AE236" i="25"/>
  <c r="AD236" i="25" s="1"/>
  <c r="AE269" i="25"/>
  <c r="AD269" i="25" s="1"/>
  <c r="AE247" i="25"/>
  <c r="AD247" i="25" s="1"/>
  <c r="AE331" i="25"/>
  <c r="AE298" i="25"/>
  <c r="AD298" i="25" s="1"/>
  <c r="AE204" i="25"/>
  <c r="AD204" i="25" s="1"/>
  <c r="AE336" i="25"/>
  <c r="AD336" i="25" s="1"/>
  <c r="AE320" i="25"/>
  <c r="AD320" i="25" s="1"/>
  <c r="AE327" i="25"/>
  <c r="AD327" i="25" s="1"/>
  <c r="AE192" i="25"/>
  <c r="AD192" i="25" s="1"/>
  <c r="AE295" i="25"/>
  <c r="AD295" i="25" s="1"/>
  <c r="AE328" i="25"/>
  <c r="AD328" i="25" s="1"/>
  <c r="AE306" i="25"/>
  <c r="AD306" i="25" s="1"/>
  <c r="AE233" i="25"/>
  <c r="AD233" i="25" s="1"/>
  <c r="AE287" i="25"/>
  <c r="AD287" i="25" s="1"/>
  <c r="AE264" i="25"/>
  <c r="AD264" i="25" s="1"/>
  <c r="AE176" i="25"/>
  <c r="AD176" i="25" s="1"/>
  <c r="AE226" i="25"/>
  <c r="AD226" i="25" s="1"/>
  <c r="AE172" i="25"/>
  <c r="AD172" i="25" s="1"/>
  <c r="AE373" i="25"/>
  <c r="AD373" i="25" s="1"/>
  <c r="AE197" i="25"/>
  <c r="AD197" i="25" s="1"/>
  <c r="AE174" i="25"/>
  <c r="AD174" i="25" s="1"/>
  <c r="AE289" i="25"/>
  <c r="AD289" i="25" s="1"/>
  <c r="AE151" i="25"/>
  <c r="AD151" i="25" s="1"/>
  <c r="AE244" i="25"/>
  <c r="AD244" i="25" s="1"/>
  <c r="AE211" i="25"/>
  <c r="AD211" i="25" s="1"/>
  <c r="AE334" i="25"/>
  <c r="AD334" i="25" s="1"/>
  <c r="AE368" i="25"/>
  <c r="AE360" i="25"/>
  <c r="AE110" i="25"/>
  <c r="AD110" i="25" s="1"/>
  <c r="AE167" i="25"/>
  <c r="AD167" i="25" s="1"/>
  <c r="AE189" i="25"/>
  <c r="AD189" i="25" s="1"/>
  <c r="AE303" i="25"/>
  <c r="AD303" i="25" s="1"/>
  <c r="AE341" i="25"/>
  <c r="AD341" i="25" s="1"/>
  <c r="AE366" i="25"/>
  <c r="AD366" i="25" s="1"/>
  <c r="AE347" i="25"/>
  <c r="AD347" i="25" s="1"/>
  <c r="AE361" i="25"/>
  <c r="AD361" i="25" s="1"/>
  <c r="AE62" i="25"/>
  <c r="AD62" i="25" s="1"/>
  <c r="AE99" i="25"/>
  <c r="AD99" i="25" s="1"/>
  <c r="AE112" i="25"/>
  <c r="AD112" i="25" s="1"/>
  <c r="AE155" i="25"/>
  <c r="AD155" i="25" s="1"/>
  <c r="AE263" i="25"/>
  <c r="AD263" i="25" s="1"/>
  <c r="AE53" i="25"/>
  <c r="AD53" i="25" s="1"/>
  <c r="AE278" i="25"/>
  <c r="AD278" i="25" s="1"/>
  <c r="AE49" i="25"/>
  <c r="AD49" i="25" s="1"/>
  <c r="AE268" i="25"/>
  <c r="AD268" i="25" s="1"/>
  <c r="AE98" i="25"/>
  <c r="AD98" i="25" s="1"/>
  <c r="AE93" i="25"/>
  <c r="AD93" i="25" s="1"/>
  <c r="AE20" i="25"/>
  <c r="AD20" i="25" s="1"/>
  <c r="AE33" i="25"/>
  <c r="AD33" i="25" s="1"/>
  <c r="AE308" i="25"/>
  <c r="AD308" i="25" s="1"/>
  <c r="AE137" i="25"/>
  <c r="AD137" i="25" s="1"/>
  <c r="AE71" i="25"/>
  <c r="AD71" i="25" s="1"/>
  <c r="AE248" i="25"/>
  <c r="AD248" i="25" s="1"/>
  <c r="AE266" i="25"/>
  <c r="AD266" i="25" s="1"/>
  <c r="AE116" i="25"/>
  <c r="AD116" i="25" s="1"/>
  <c r="AE273" i="25"/>
  <c r="AD273" i="25" s="1"/>
  <c r="AE70" i="25"/>
  <c r="AD70" i="25" s="1"/>
  <c r="AE191" i="25"/>
  <c r="AD191" i="25" s="1"/>
  <c r="AE122" i="25"/>
  <c r="AD122" i="25" s="1"/>
  <c r="AE318" i="25"/>
  <c r="AD318" i="25" s="1"/>
  <c r="AE95" i="25"/>
  <c r="AD95" i="25" s="1"/>
  <c r="AE271" i="25"/>
  <c r="AD271" i="25" s="1"/>
  <c r="AE55" i="25"/>
  <c r="AD55" i="25" s="1"/>
  <c r="AE344" i="25"/>
  <c r="AD344" i="25" s="1"/>
  <c r="AE102" i="25"/>
  <c r="AD102" i="25" s="1"/>
  <c r="AE74" i="25"/>
  <c r="AD74" i="25" s="1"/>
  <c r="AE317" i="25"/>
  <c r="AD317" i="25" s="1"/>
  <c r="AE85" i="25"/>
  <c r="AD85" i="25" s="1"/>
  <c r="AE267" i="25"/>
  <c r="AD267" i="25" s="1"/>
  <c r="AE43" i="25"/>
  <c r="AD43" i="25" s="1"/>
  <c r="AE65" i="25"/>
  <c r="AD65" i="25" s="1"/>
  <c r="AE350" i="25"/>
  <c r="AD350" i="25" s="1"/>
  <c r="AE50" i="25"/>
  <c r="AD50" i="25" s="1"/>
  <c r="AE28" i="25"/>
  <c r="AD28" i="25" s="1"/>
  <c r="AE16" i="25"/>
  <c r="AD16" i="25" s="1"/>
  <c r="AE277" i="25"/>
  <c r="AD277" i="25" s="1"/>
  <c r="AE38" i="25"/>
  <c r="AD38" i="25" s="1"/>
  <c r="AE103" i="25"/>
  <c r="AD103" i="25" s="1"/>
  <c r="AE358" i="25"/>
  <c r="AD358" i="25" s="1"/>
  <c r="AE59" i="25"/>
  <c r="AD59" i="25" s="1"/>
  <c r="AE39" i="25"/>
  <c r="AD39" i="25" s="1"/>
  <c r="AE72" i="25"/>
  <c r="AD72" i="25" s="1"/>
  <c r="AE359" i="25"/>
  <c r="AD359" i="25" s="1"/>
  <c r="AE19" i="25"/>
  <c r="AD19" i="25" s="1"/>
  <c r="AE139" i="25"/>
  <c r="AD139" i="25" s="1"/>
  <c r="AE58" i="25"/>
  <c r="AD58" i="25" s="1"/>
  <c r="AE83" i="25"/>
  <c r="AD83" i="25" s="1"/>
  <c r="AE46" i="25"/>
  <c r="AD46" i="25" s="1"/>
  <c r="AE157" i="25"/>
  <c r="AD157" i="25" s="1"/>
  <c r="AE142" i="25"/>
  <c r="AD142" i="25" s="1"/>
  <c r="AE89" i="25"/>
  <c r="AD89" i="25" s="1"/>
  <c r="AE225" i="25"/>
  <c r="AD225" i="25" s="1"/>
  <c r="AE234" i="25"/>
  <c r="AD234" i="25" s="1"/>
  <c r="AE41" i="25"/>
  <c r="AD41" i="25" s="1"/>
  <c r="AE274" i="25"/>
  <c r="AD274" i="25" s="1"/>
  <c r="AE238" i="25"/>
  <c r="AD238" i="25" s="1"/>
  <c r="AE76" i="25"/>
  <c r="AD76" i="25" s="1"/>
  <c r="AE256" i="25"/>
  <c r="AE243" i="25"/>
  <c r="AD243" i="25" s="1"/>
  <c r="AE52" i="25"/>
  <c r="AD52" i="25" s="1"/>
  <c r="AE300" i="25"/>
  <c r="AD300" i="25" s="1"/>
  <c r="AE34" i="25"/>
  <c r="AD34" i="25" s="1"/>
  <c r="AE140" i="25"/>
  <c r="AE319" i="25"/>
  <c r="AD319" i="25" s="1"/>
  <c r="AE48" i="25"/>
  <c r="AD48" i="25" s="1"/>
  <c r="AE79" i="25"/>
  <c r="AD79" i="25" s="1"/>
  <c r="AE127" i="25"/>
  <c r="AD127" i="25" s="1"/>
  <c r="AE22" i="25"/>
  <c r="AD22" i="25" s="1"/>
  <c r="AE221" i="25"/>
  <c r="AD221" i="25" s="1"/>
  <c r="AE154" i="25"/>
  <c r="AE182" i="25"/>
  <c r="AD182" i="25" s="1"/>
  <c r="AE17" i="25"/>
  <c r="AD17" i="25" s="1"/>
  <c r="AE239" i="25"/>
  <c r="AD239" i="25" s="1"/>
  <c r="AE162" i="25"/>
  <c r="AD162" i="25" s="1"/>
  <c r="AE32" i="25"/>
  <c r="AD32" i="25" s="1"/>
  <c r="AE29" i="25"/>
  <c r="AD29" i="25" s="1"/>
  <c r="AE161" i="25"/>
  <c r="AD161" i="25" s="1"/>
  <c r="AE133" i="25"/>
  <c r="AD133" i="25" s="1"/>
  <c r="AE23" i="25"/>
  <c r="AD23" i="25" s="1"/>
  <c r="AE217" i="25"/>
  <c r="AD217" i="25" s="1"/>
  <c r="AE325" i="25"/>
  <c r="AD325" i="25" s="1"/>
  <c r="AE362" i="25"/>
  <c r="AD362" i="25" s="1"/>
  <c r="AE297" i="25"/>
  <c r="AE25" i="25"/>
  <c r="AD25" i="25" s="1"/>
  <c r="AE128" i="25"/>
  <c r="AD128" i="25" s="1"/>
  <c r="AE113" i="25"/>
  <c r="AE81" i="25"/>
  <c r="AD81" i="25" s="1"/>
  <c r="AE134" i="25"/>
  <c r="AD134" i="25" s="1"/>
  <c r="AE232" i="25"/>
  <c r="AD232" i="25" s="1"/>
  <c r="AE218" i="25"/>
  <c r="AD218" i="25" s="1"/>
  <c r="AE84" i="25"/>
  <c r="AD84" i="25" s="1"/>
  <c r="AE44" i="25"/>
  <c r="AD44" i="25" s="1"/>
  <c r="AE346" i="25"/>
  <c r="AD346" i="25" s="1"/>
  <c r="AE30" i="25"/>
  <c r="AD30" i="25" s="1"/>
  <c r="AE69" i="25"/>
  <c r="AD69" i="25" s="1"/>
  <c r="AE87" i="25"/>
  <c r="AD87" i="25" s="1"/>
  <c r="AE91" i="25"/>
  <c r="AD91" i="25" s="1"/>
  <c r="AE237" i="25"/>
  <c r="AD237" i="25" s="1"/>
  <c r="AE126" i="25"/>
  <c r="AD126" i="25" s="1"/>
  <c r="AE324" i="25"/>
  <c r="AD324" i="25" s="1"/>
  <c r="AE75" i="25"/>
  <c r="AD75" i="25" s="1"/>
  <c r="AE254" i="25"/>
  <c r="AD254" i="25" s="1"/>
  <c r="AE194" i="25"/>
  <c r="AD194" i="25" s="1"/>
  <c r="AA197" i="24"/>
  <c r="Z197" i="24" s="1"/>
  <c r="Y197" i="24" s="1"/>
  <c r="I380" i="23"/>
  <c r="H380" i="24" s="1"/>
  <c r="J380" i="23"/>
  <c r="AG149" i="25"/>
  <c r="AF149" i="25" s="1"/>
  <c r="AG124" i="25"/>
  <c r="AF124" i="25" s="1"/>
  <c r="AG330" i="25"/>
  <c r="AF330" i="25" s="1"/>
  <c r="AG332" i="25"/>
  <c r="AF332" i="25" s="1"/>
  <c r="AG213" i="25"/>
  <c r="AF213" i="25" s="1"/>
  <c r="AG370" i="25"/>
  <c r="AF370" i="25" s="1"/>
  <c r="AG222" i="25"/>
  <c r="AF222" i="25" s="1"/>
  <c r="AG212" i="25"/>
  <c r="AF212" i="25" s="1"/>
  <c r="AG228" i="25"/>
  <c r="AF228" i="25" s="1"/>
  <c r="AG158" i="25"/>
  <c r="AF158" i="25" s="1"/>
  <c r="AG173" i="25"/>
  <c r="AF173" i="25" s="1"/>
  <c r="AG326" i="25"/>
  <c r="AF326" i="25" s="1"/>
  <c r="AG376" i="25"/>
  <c r="AF376" i="25" s="1"/>
  <c r="AG219" i="25"/>
  <c r="AF219" i="25" s="1"/>
  <c r="AG170" i="25"/>
  <c r="AF170" i="25" s="1"/>
  <c r="AG314" i="25"/>
  <c r="AF314" i="25" s="1"/>
  <c r="AG293" i="25"/>
  <c r="AF293" i="25" s="1"/>
  <c r="I272" i="23"/>
  <c r="H272" i="24" s="1"/>
  <c r="J272" i="23"/>
  <c r="Y15" i="18"/>
  <c r="AF383" i="24"/>
  <c r="AD15" i="24"/>
  <c r="AF381" i="24"/>
  <c r="AF382" i="24"/>
  <c r="AG15" i="25"/>
  <c r="R382" i="24"/>
  <c r="P15" i="24"/>
  <c r="R383" i="24"/>
  <c r="R381" i="24"/>
  <c r="B15" i="23"/>
  <c r="V381" i="23"/>
  <c r="V382" i="23"/>
  <c r="V383" i="23"/>
  <c r="B68" i="19"/>
  <c r="N68" i="19" s="1"/>
  <c r="G15" i="20"/>
  <c r="CB15" i="6" s="1"/>
  <c r="AA15" i="20"/>
  <c r="H15" i="20"/>
  <c r="B15" i="6"/>
  <c r="F15" i="22"/>
  <c r="S15" i="25"/>
  <c r="T383" i="25"/>
  <c r="T382" i="25"/>
  <c r="T381" i="25"/>
  <c r="AH383" i="25" l="1"/>
  <c r="AD113" i="25"/>
  <c r="AD360" i="25"/>
  <c r="AD135" i="25"/>
  <c r="AD379" i="25"/>
  <c r="AD293" i="25"/>
  <c r="AD376" i="25"/>
  <c r="AA126" i="25"/>
  <c r="Z126" i="25" s="1"/>
  <c r="Y126" i="25" s="1"/>
  <c r="AD297" i="25"/>
  <c r="AD368" i="25"/>
  <c r="AD148" i="25"/>
  <c r="AD231" i="25"/>
  <c r="W126" i="25"/>
  <c r="J191" i="24"/>
  <c r="W140" i="25"/>
  <c r="D290" i="25"/>
  <c r="E290" i="25" s="1"/>
  <c r="F290" i="25" s="1"/>
  <c r="G290" i="25" s="1"/>
  <c r="CF290" i="6" s="1"/>
  <c r="W166" i="25"/>
  <c r="J353" i="24"/>
  <c r="D100" i="25"/>
  <c r="E100" i="25" s="1"/>
  <c r="F100" i="25" s="1"/>
  <c r="G100" i="25" s="1"/>
  <c r="CF100" i="6" s="1"/>
  <c r="W30" i="25"/>
  <c r="W55" i="25"/>
  <c r="AA250" i="25"/>
  <c r="Z250" i="25" s="1"/>
  <c r="Y250" i="25" s="1"/>
  <c r="I187" i="24"/>
  <c r="H187" i="25" s="1"/>
  <c r="J187" i="25" s="1"/>
  <c r="D132" i="25"/>
  <c r="E132" i="25" s="1"/>
  <c r="F132" i="25" s="1"/>
  <c r="G132" i="25" s="1"/>
  <c r="CF132" i="6" s="1"/>
  <c r="W32" i="25"/>
  <c r="D343" i="25"/>
  <c r="E343" i="25" s="1"/>
  <c r="F343" i="25" s="1"/>
  <c r="H343" i="25" s="1"/>
  <c r="I343" i="25" s="1"/>
  <c r="D74" i="25"/>
  <c r="E74" i="25" s="1"/>
  <c r="F74" i="25" s="1"/>
  <c r="G74" i="25" s="1"/>
  <c r="CF74" i="6" s="1"/>
  <c r="D293" i="25"/>
  <c r="E293" i="25" s="1"/>
  <c r="F293" i="25" s="1"/>
  <c r="G293" i="25" s="1"/>
  <c r="CF293" i="6" s="1"/>
  <c r="D310" i="25"/>
  <c r="E310" i="25" s="1"/>
  <c r="F310" i="25" s="1"/>
  <c r="G310" i="25" s="1"/>
  <c r="CF310" i="6" s="1"/>
  <c r="D111" i="25"/>
  <c r="E111" i="25" s="1"/>
  <c r="F111" i="25" s="1"/>
  <c r="G111" i="25" s="1"/>
  <c r="CF111" i="6" s="1"/>
  <c r="I147" i="24"/>
  <c r="J249" i="24"/>
  <c r="I256" i="24"/>
  <c r="AA32" i="25"/>
  <c r="Z32" i="25" s="1"/>
  <c r="Y32" i="25" s="1"/>
  <c r="AA55" i="25"/>
  <c r="Z55" i="25" s="1"/>
  <c r="Y55" i="25" s="1"/>
  <c r="I122" i="24"/>
  <c r="H250" i="25"/>
  <c r="J250" i="25" s="1"/>
  <c r="W221" i="25"/>
  <c r="D71" i="25"/>
  <c r="E71" i="25" s="1"/>
  <c r="F71" i="25" s="1"/>
  <c r="G71" i="25" s="1"/>
  <c r="CF71" i="6" s="1"/>
  <c r="W250" i="25"/>
  <c r="D44" i="25"/>
  <c r="E44" i="25" s="1"/>
  <c r="F44" i="25" s="1"/>
  <c r="G44" i="25" s="1"/>
  <c r="CF44" i="6" s="1"/>
  <c r="D320" i="25"/>
  <c r="E320" i="25" s="1"/>
  <c r="F320" i="25" s="1"/>
  <c r="G320" i="25" s="1"/>
  <c r="CF320" i="6" s="1"/>
  <c r="J18" i="24"/>
  <c r="I98" i="24"/>
  <c r="H98" i="25" s="1"/>
  <c r="J98" i="25" s="1"/>
  <c r="G363" i="24"/>
  <c r="CE363" i="6" s="1"/>
  <c r="J27" i="24"/>
  <c r="AH382" i="25"/>
  <c r="AD326" i="25"/>
  <c r="AD158" i="25"/>
  <c r="AI382" i="25"/>
  <c r="AD140" i="25"/>
  <c r="AA140" i="25" s="1"/>
  <c r="Z140" i="25" s="1"/>
  <c r="Y140" i="25" s="1"/>
  <c r="AD331" i="25"/>
  <c r="I61" i="24"/>
  <c r="AA216" i="25"/>
  <c r="Z216" i="25" s="1"/>
  <c r="Y216" i="25" s="1"/>
  <c r="AD114" i="25"/>
  <c r="AA114" i="25" s="1"/>
  <c r="Z114" i="25" s="1"/>
  <c r="Y114" i="25" s="1"/>
  <c r="AD372" i="25"/>
  <c r="AD164" i="25"/>
  <c r="AD178" i="25"/>
  <c r="AA178" i="25" s="1"/>
  <c r="Z178" i="25" s="1"/>
  <c r="Y178" i="25" s="1"/>
  <c r="AD152" i="25"/>
  <c r="D357" i="25"/>
  <c r="E357" i="25" s="1"/>
  <c r="F357" i="25" s="1"/>
  <c r="H357" i="25" s="1"/>
  <c r="J357" i="25" s="1"/>
  <c r="W279" i="25"/>
  <c r="D353" i="25"/>
  <c r="E353" i="25" s="1"/>
  <c r="F353" i="25" s="1"/>
  <c r="H353" i="25" s="1"/>
  <c r="J353" i="25" s="1"/>
  <c r="D56" i="25"/>
  <c r="E56" i="25" s="1"/>
  <c r="F56" i="25" s="1"/>
  <c r="G56" i="25" s="1"/>
  <c r="CF56" i="6" s="1"/>
  <c r="D258" i="25"/>
  <c r="E258" i="25" s="1"/>
  <c r="F258" i="25" s="1"/>
  <c r="G258" i="25" s="1"/>
  <c r="CF258" i="6" s="1"/>
  <c r="I259" i="24"/>
  <c r="H259" i="25" s="1"/>
  <c r="I259" i="25" s="1"/>
  <c r="I220" i="24"/>
  <c r="H220" i="25" s="1"/>
  <c r="I220" i="25" s="1"/>
  <c r="W190" i="25"/>
  <c r="AA62" i="25"/>
  <c r="Z62" i="25" s="1"/>
  <c r="Y62" i="25" s="1"/>
  <c r="AA201" i="25"/>
  <c r="Z201" i="25" s="1"/>
  <c r="Y201" i="25" s="1"/>
  <c r="AA166" i="25"/>
  <c r="Z166" i="25" s="1"/>
  <c r="Y166" i="25" s="1"/>
  <c r="AA190" i="25"/>
  <c r="Z190" i="25" s="1"/>
  <c r="Y190" i="25" s="1"/>
  <c r="H216" i="25"/>
  <c r="J216" i="25" s="1"/>
  <c r="J41" i="24"/>
  <c r="W323" i="25"/>
  <c r="W216" i="25"/>
  <c r="I316" i="24"/>
  <c r="H316" i="25" s="1"/>
  <c r="J316" i="25" s="1"/>
  <c r="I154" i="24"/>
  <c r="J92" i="24"/>
  <c r="W62" i="25"/>
  <c r="H190" i="25"/>
  <c r="J190" i="25" s="1"/>
  <c r="I155" i="24"/>
  <c r="I244" i="24"/>
  <c r="G201" i="25"/>
  <c r="CF201" i="6" s="1"/>
  <c r="J278" i="24"/>
  <c r="AA98" i="25"/>
  <c r="Z98" i="25" s="1"/>
  <c r="Y98" i="25" s="1"/>
  <c r="I336" i="24"/>
  <c r="H336" i="25" s="1"/>
  <c r="AA31" i="25"/>
  <c r="Z31" i="25" s="1"/>
  <c r="Y31" i="25" s="1"/>
  <c r="J321" i="24"/>
  <c r="D120" i="25"/>
  <c r="E120" i="25" s="1"/>
  <c r="F120" i="25" s="1"/>
  <c r="G120" i="25" s="1"/>
  <c r="CF120" i="6" s="1"/>
  <c r="D73" i="25"/>
  <c r="E73" i="25" s="1"/>
  <c r="F73" i="25" s="1"/>
  <c r="G73" i="25" s="1"/>
  <c r="CF73" i="6" s="1"/>
  <c r="I153" i="24"/>
  <c r="J359" i="24"/>
  <c r="W78" i="25"/>
  <c r="D80" i="25"/>
  <c r="E80" i="25" s="1"/>
  <c r="F80" i="25" s="1"/>
  <c r="G80" i="25" s="1"/>
  <c r="CF80" i="6" s="1"/>
  <c r="W118" i="25"/>
  <c r="J134" i="24"/>
  <c r="W98" i="25"/>
  <c r="D133" i="25"/>
  <c r="E133" i="25" s="1"/>
  <c r="F133" i="25" s="1"/>
  <c r="G133" i="25" s="1"/>
  <c r="CF133" i="6" s="1"/>
  <c r="I308" i="24"/>
  <c r="I293" i="24"/>
  <c r="J83" i="24"/>
  <c r="J33" i="24"/>
  <c r="J201" i="25"/>
  <c r="D112" i="25"/>
  <c r="E112" i="25" s="1"/>
  <c r="F112" i="25" s="1"/>
  <c r="G112" i="25" s="1"/>
  <c r="CF112" i="6" s="1"/>
  <c r="D102" i="25"/>
  <c r="E102" i="25" s="1"/>
  <c r="F102" i="25" s="1"/>
  <c r="G102" i="25" s="1"/>
  <c r="CF102" i="6" s="1"/>
  <c r="D156" i="25"/>
  <c r="E156" i="25" s="1"/>
  <c r="F156" i="25" s="1"/>
  <c r="G156" i="25" s="1"/>
  <c r="CF156" i="6" s="1"/>
  <c r="W201" i="25"/>
  <c r="H33" i="25"/>
  <c r="I33" i="25" s="1"/>
  <c r="I372" i="24"/>
  <c r="W220" i="25"/>
  <c r="H62" i="25"/>
  <c r="J62" i="25" s="1"/>
  <c r="J258" i="24"/>
  <c r="J231" i="24"/>
  <c r="I208" i="24"/>
  <c r="I219" i="24"/>
  <c r="V60" i="25"/>
  <c r="B60" i="25" s="1"/>
  <c r="W60" i="25" s="1"/>
  <c r="D143" i="25"/>
  <c r="E143" i="25" s="1"/>
  <c r="F143" i="25" s="1"/>
  <c r="H143" i="25" s="1"/>
  <c r="I143" i="25" s="1"/>
  <c r="D303" i="25"/>
  <c r="E303" i="25" s="1"/>
  <c r="F303" i="25" s="1"/>
  <c r="H303" i="25" s="1"/>
  <c r="I303" i="25" s="1"/>
  <c r="D282" i="25"/>
  <c r="E282" i="25" s="1"/>
  <c r="F282" i="25" s="1"/>
  <c r="G282" i="25" s="1"/>
  <c r="CF282" i="6" s="1"/>
  <c r="D96" i="25"/>
  <c r="E96" i="25" s="1"/>
  <c r="F96" i="25" s="1"/>
  <c r="G96" i="25" s="1"/>
  <c r="CF96" i="6" s="1"/>
  <c r="W31" i="25"/>
  <c r="I265" i="24"/>
  <c r="I218" i="24"/>
  <c r="I168" i="24"/>
  <c r="I123" i="24"/>
  <c r="J289" i="24"/>
  <c r="J213" i="24"/>
  <c r="G112" i="24"/>
  <c r="CE112" i="6" s="1"/>
  <c r="I356" i="24"/>
  <c r="H31" i="25"/>
  <c r="I31" i="25" s="1"/>
  <c r="I363" i="24"/>
  <c r="H363" i="25" s="1"/>
  <c r="I363" i="25" s="1"/>
  <c r="AA363" i="24"/>
  <c r="Z363" i="24" s="1"/>
  <c r="Y363" i="24" s="1"/>
  <c r="AA359" i="25"/>
  <c r="Z359" i="25" s="1"/>
  <c r="Y359" i="25" s="1"/>
  <c r="AA233" i="25"/>
  <c r="Z233" i="25" s="1"/>
  <c r="Y233" i="25" s="1"/>
  <c r="AA148" i="25"/>
  <c r="Z148" i="25" s="1"/>
  <c r="Y148" i="25" s="1"/>
  <c r="J107" i="24"/>
  <c r="J97" i="24"/>
  <c r="V333" i="25"/>
  <c r="L70" i="19" s="1"/>
  <c r="J180" i="24"/>
  <c r="J361" i="24"/>
  <c r="J179" i="24"/>
  <c r="I176" i="24"/>
  <c r="I102" i="24"/>
  <c r="H102" i="25" s="1"/>
  <c r="I102" i="25" s="1"/>
  <c r="I228" i="24"/>
  <c r="G46" i="24"/>
  <c r="CE46" i="6" s="1"/>
  <c r="I360" i="24"/>
  <c r="H360" i="25" s="1"/>
  <c r="D189" i="25"/>
  <c r="E189" i="25" s="1"/>
  <c r="F189" i="25" s="1"/>
  <c r="H189" i="25" s="1"/>
  <c r="I189" i="25" s="1"/>
  <c r="W178" i="25"/>
  <c r="I212" i="24"/>
  <c r="H212" i="25" s="1"/>
  <c r="J212" i="25" s="1"/>
  <c r="J328" i="24"/>
  <c r="H302" i="24"/>
  <c r="I302" i="24" s="1"/>
  <c r="J345" i="24"/>
  <c r="I32" i="24"/>
  <c r="H32" i="25" s="1"/>
  <c r="J32" i="25" s="1"/>
  <c r="J186" i="24"/>
  <c r="J138" i="24"/>
  <c r="W232" i="25"/>
  <c r="AH68" i="7"/>
  <c r="V119" i="25"/>
  <c r="B119" i="25" s="1"/>
  <c r="W119" i="25" s="1"/>
  <c r="D368" i="25"/>
  <c r="E368" i="25" s="1"/>
  <c r="F368" i="25" s="1"/>
  <c r="G368" i="25" s="1"/>
  <c r="CF368" i="6" s="1"/>
  <c r="D366" i="25"/>
  <c r="E366" i="25" s="1"/>
  <c r="F366" i="25" s="1"/>
  <c r="AA366" i="25" s="1"/>
  <c r="Z366" i="25" s="1"/>
  <c r="Y366" i="25" s="1"/>
  <c r="W25" i="25"/>
  <c r="D38" i="25"/>
  <c r="E38" i="25" s="1"/>
  <c r="F38" i="25" s="1"/>
  <c r="H38" i="25" s="1"/>
  <c r="J38" i="25" s="1"/>
  <c r="D147" i="25"/>
  <c r="E147" i="25" s="1"/>
  <c r="F147" i="25" s="1"/>
  <c r="H147" i="25" s="1"/>
  <c r="J147" i="25" s="1"/>
  <c r="AH75" i="7"/>
  <c r="H56" i="25"/>
  <c r="I56" i="25" s="1"/>
  <c r="I162" i="24"/>
  <c r="J55" i="24"/>
  <c r="J55" i="25" s="1"/>
  <c r="I64" i="24"/>
  <c r="H112" i="24"/>
  <c r="I112" i="24" s="1"/>
  <c r="I22" i="24"/>
  <c r="AA239" i="24"/>
  <c r="Z239" i="24" s="1"/>
  <c r="Y239" i="24" s="1"/>
  <c r="H349" i="25"/>
  <c r="I349" i="25" s="1"/>
  <c r="J56" i="24"/>
  <c r="H284" i="25"/>
  <c r="I284" i="25" s="1"/>
  <c r="D327" i="25"/>
  <c r="E327" i="25" s="1"/>
  <c r="F327" i="25" s="1"/>
  <c r="AA327" i="25" s="1"/>
  <c r="Z327" i="25" s="1"/>
  <c r="Y327" i="25" s="1"/>
  <c r="D203" i="25"/>
  <c r="E203" i="25" s="1"/>
  <c r="F203" i="25" s="1"/>
  <c r="G203" i="25" s="1"/>
  <c r="CF203" i="6" s="1"/>
  <c r="D256" i="25"/>
  <c r="E256" i="25" s="1"/>
  <c r="F256" i="25" s="1"/>
  <c r="G256" i="25" s="1"/>
  <c r="CF256" i="6" s="1"/>
  <c r="D315" i="25"/>
  <c r="E315" i="25" s="1"/>
  <c r="F315" i="25" s="1"/>
  <c r="AA315" i="25" s="1"/>
  <c r="Z315" i="25" s="1"/>
  <c r="Y315" i="25" s="1"/>
  <c r="D267" i="25"/>
  <c r="E267" i="25" s="1"/>
  <c r="F267" i="25" s="1"/>
  <c r="AA267" i="25" s="1"/>
  <c r="Z267" i="25" s="1"/>
  <c r="Y267" i="25" s="1"/>
  <c r="W45" i="25"/>
  <c r="W36" i="25"/>
  <c r="H359" i="25"/>
  <c r="I359" i="25" s="1"/>
  <c r="I267" i="24"/>
  <c r="I136" i="24"/>
  <c r="J369" i="24"/>
  <c r="I132" i="24"/>
  <c r="H132" i="25" s="1"/>
  <c r="H239" i="24"/>
  <c r="J239" i="24" s="1"/>
  <c r="I144" i="24"/>
  <c r="I292" i="24"/>
  <c r="D23" i="25"/>
  <c r="E23" i="25" s="1"/>
  <c r="F23" i="25" s="1"/>
  <c r="H23" i="25" s="1"/>
  <c r="J23" i="25" s="1"/>
  <c r="J50" i="24"/>
  <c r="I50" i="24"/>
  <c r="AA16" i="25"/>
  <c r="Z16" i="25" s="1"/>
  <c r="Y16" i="25" s="1"/>
  <c r="AA33" i="25"/>
  <c r="Z33" i="25" s="1"/>
  <c r="Y33" i="25" s="1"/>
  <c r="J130" i="24"/>
  <c r="H46" i="24"/>
  <c r="I46" i="24" s="1"/>
  <c r="AA183" i="25"/>
  <c r="Z183" i="25" s="1"/>
  <c r="Y183" i="25" s="1"/>
  <c r="AA252" i="25"/>
  <c r="Z252" i="25" s="1"/>
  <c r="Y252" i="25" s="1"/>
  <c r="AA171" i="25"/>
  <c r="Z171" i="25" s="1"/>
  <c r="Y171" i="25" s="1"/>
  <c r="AA349" i="25"/>
  <c r="Z349" i="25" s="1"/>
  <c r="Y349" i="25" s="1"/>
  <c r="AA187" i="25"/>
  <c r="Z187" i="25" s="1"/>
  <c r="Y187" i="25" s="1"/>
  <c r="I52" i="24"/>
  <c r="H52" i="25" s="1"/>
  <c r="J52" i="25" s="1"/>
  <c r="W37" i="25"/>
  <c r="W68" i="25"/>
  <c r="W87" i="25"/>
  <c r="D217" i="25"/>
  <c r="E217" i="25" s="1"/>
  <c r="F217" i="25" s="1"/>
  <c r="G217" i="25" s="1"/>
  <c r="CF217" i="6" s="1"/>
  <c r="W200" i="25"/>
  <c r="D199" i="25"/>
  <c r="E199" i="25" s="1"/>
  <c r="F199" i="25" s="1"/>
  <c r="H199" i="25" s="1"/>
  <c r="W48" i="25"/>
  <c r="D361" i="25"/>
  <c r="E361" i="25" s="1"/>
  <c r="F361" i="25" s="1"/>
  <c r="G361" i="25" s="1"/>
  <c r="CF361" i="6" s="1"/>
  <c r="W65" i="25"/>
  <c r="J376" i="24"/>
  <c r="W16" i="25"/>
  <c r="W183" i="25"/>
  <c r="D159" i="25"/>
  <c r="E159" i="25" s="1"/>
  <c r="F159" i="25" s="1"/>
  <c r="G159" i="25" s="1"/>
  <c r="CF159" i="6" s="1"/>
  <c r="J34" i="24"/>
  <c r="D237" i="25"/>
  <c r="E237" i="25" s="1"/>
  <c r="F237" i="25" s="1"/>
  <c r="AA237" i="25" s="1"/>
  <c r="Z237" i="25" s="1"/>
  <c r="Y237" i="25" s="1"/>
  <c r="D168" i="25"/>
  <c r="E168" i="25" s="1"/>
  <c r="F168" i="25" s="1"/>
  <c r="G168" i="25" s="1"/>
  <c r="CF168" i="6" s="1"/>
  <c r="W82" i="25"/>
  <c r="D246" i="25"/>
  <c r="E246" i="25" s="1"/>
  <c r="F246" i="25" s="1"/>
  <c r="G246" i="25" s="1"/>
  <c r="CF246" i="6" s="1"/>
  <c r="J177" i="24"/>
  <c r="J47" i="24"/>
  <c r="D134" i="25"/>
  <c r="E134" i="25" s="1"/>
  <c r="F134" i="25" s="1"/>
  <c r="H134" i="25" s="1"/>
  <c r="W259" i="25"/>
  <c r="D46" i="25"/>
  <c r="E46" i="25" s="1"/>
  <c r="F46" i="25" s="1"/>
  <c r="G46" i="25" s="1"/>
  <c r="CF46" i="6" s="1"/>
  <c r="H130" i="25"/>
  <c r="I130" i="25" s="1"/>
  <c r="I44" i="24"/>
  <c r="J44" i="24"/>
  <c r="D289" i="25"/>
  <c r="E289" i="25" s="1"/>
  <c r="F289" i="25" s="1"/>
  <c r="G289" i="25" s="1"/>
  <c r="CF289" i="6" s="1"/>
  <c r="AA306" i="25"/>
  <c r="Z306" i="25" s="1"/>
  <c r="Y306" i="25" s="1"/>
  <c r="AA262" i="25"/>
  <c r="Z262" i="25" s="1"/>
  <c r="Y262" i="25" s="1"/>
  <c r="W91" i="25"/>
  <c r="D208" i="25"/>
  <c r="E208" i="25" s="1"/>
  <c r="F208" i="25" s="1"/>
  <c r="AA208" i="25" s="1"/>
  <c r="Z208" i="25" s="1"/>
  <c r="Y208" i="25" s="1"/>
  <c r="W108" i="25"/>
  <c r="D266" i="25"/>
  <c r="E266" i="25" s="1"/>
  <c r="F266" i="25" s="1"/>
  <c r="G266" i="25" s="1"/>
  <c r="CF266" i="6" s="1"/>
  <c r="W334" i="25"/>
  <c r="D296" i="25"/>
  <c r="E296" i="25" s="1"/>
  <c r="F296" i="25" s="1"/>
  <c r="G296" i="25" s="1"/>
  <c r="CF296" i="6" s="1"/>
  <c r="W336" i="25"/>
  <c r="D64" i="25"/>
  <c r="E64" i="25" s="1"/>
  <c r="F64" i="25" s="1"/>
  <c r="G64" i="25" s="1"/>
  <c r="CF64" i="6" s="1"/>
  <c r="D167" i="25"/>
  <c r="E167" i="25" s="1"/>
  <c r="F167" i="25" s="1"/>
  <c r="AA167" i="25" s="1"/>
  <c r="Z167" i="25" s="1"/>
  <c r="Y167" i="25" s="1"/>
  <c r="D154" i="25"/>
  <c r="E154" i="25" s="1"/>
  <c r="F154" i="25" s="1"/>
  <c r="D270" i="25"/>
  <c r="E270" i="25" s="1"/>
  <c r="F270" i="25" s="1"/>
  <c r="G270" i="25" s="1"/>
  <c r="CF270" i="6" s="1"/>
  <c r="D164" i="25"/>
  <c r="E164" i="25" s="1"/>
  <c r="F164" i="25" s="1"/>
  <c r="G164" i="25" s="1"/>
  <c r="CF164" i="6" s="1"/>
  <c r="V88" i="25"/>
  <c r="B88" i="25" s="1"/>
  <c r="W88" i="25" s="1"/>
  <c r="H262" i="25"/>
  <c r="I262" i="25" s="1"/>
  <c r="H47" i="25"/>
  <c r="J47" i="25" s="1"/>
  <c r="H261" i="25"/>
  <c r="I261" i="25" s="1"/>
  <c r="H252" i="25"/>
  <c r="W262" i="25"/>
  <c r="D138" i="25"/>
  <c r="E138" i="25" s="1"/>
  <c r="F138" i="25" s="1"/>
  <c r="G138" i="25" s="1"/>
  <c r="CF138" i="6" s="1"/>
  <c r="D355" i="25"/>
  <c r="E355" i="25" s="1"/>
  <c r="F355" i="25" s="1"/>
  <c r="G355" i="25" s="1"/>
  <c r="CF355" i="6" s="1"/>
  <c r="W33" i="25"/>
  <c r="D121" i="25"/>
  <c r="E121" i="25" s="1"/>
  <c r="F121" i="25" s="1"/>
  <c r="G121" i="25" s="1"/>
  <c r="CF121" i="6" s="1"/>
  <c r="D226" i="25"/>
  <c r="E226" i="25" s="1"/>
  <c r="F226" i="25" s="1"/>
  <c r="W349" i="25"/>
  <c r="J217" i="24"/>
  <c r="J106" i="24"/>
  <c r="W114" i="25"/>
  <c r="J241" i="24"/>
  <c r="W311" i="25"/>
  <c r="W187" i="25"/>
  <c r="D79" i="25"/>
  <c r="E79" i="25" s="1"/>
  <c r="F79" i="25" s="1"/>
  <c r="H79" i="25" s="1"/>
  <c r="J79" i="25" s="1"/>
  <c r="J222" i="24"/>
  <c r="J121" i="24"/>
  <c r="W252" i="25"/>
  <c r="W182" i="25"/>
  <c r="I243" i="24"/>
  <c r="W188" i="25"/>
  <c r="D81" i="25"/>
  <c r="E81" i="25" s="1"/>
  <c r="F81" i="25" s="1"/>
  <c r="G81" i="25" s="1"/>
  <c r="CF81" i="6" s="1"/>
  <c r="H114" i="25"/>
  <c r="I114" i="25" s="1"/>
  <c r="I128" i="24"/>
  <c r="H128" i="25" s="1"/>
  <c r="J128" i="25" s="1"/>
  <c r="I362" i="24"/>
  <c r="H34" i="25"/>
  <c r="I34" i="25" s="1"/>
  <c r="D247" i="25"/>
  <c r="E247" i="25" s="1"/>
  <c r="F247" i="25" s="1"/>
  <c r="AA247" i="25" s="1"/>
  <c r="Z247" i="25" s="1"/>
  <c r="Y247" i="25" s="1"/>
  <c r="G238" i="25"/>
  <c r="CF238" i="6" s="1"/>
  <c r="J351" i="24"/>
  <c r="I351" i="24"/>
  <c r="H351" i="25" s="1"/>
  <c r="I351" i="25" s="1"/>
  <c r="G186" i="25"/>
  <c r="CF186" i="6" s="1"/>
  <c r="H186" i="25"/>
  <c r="W229" i="25"/>
  <c r="D229" i="25"/>
  <c r="E229" i="25" s="1"/>
  <c r="F229" i="25" s="1"/>
  <c r="AA229" i="25" s="1"/>
  <c r="Z229" i="25" s="1"/>
  <c r="Y229" i="25" s="1"/>
  <c r="D67" i="25"/>
  <c r="E67" i="25" s="1"/>
  <c r="F67" i="25" s="1"/>
  <c r="G67" i="25" s="1"/>
  <c r="CF67" i="6" s="1"/>
  <c r="W67" i="25"/>
  <c r="W223" i="25"/>
  <c r="D223" i="25"/>
  <c r="E223" i="25" s="1"/>
  <c r="F223" i="25" s="1"/>
  <c r="G223" i="25" s="1"/>
  <c r="CF223" i="6" s="1"/>
  <c r="I378" i="24"/>
  <c r="J378" i="24"/>
  <c r="I271" i="24"/>
  <c r="J271" i="24"/>
  <c r="J200" i="24"/>
  <c r="I200" i="24"/>
  <c r="H200" i="25" s="1"/>
  <c r="I164" i="24"/>
  <c r="J164" i="24"/>
  <c r="J229" i="24"/>
  <c r="I229" i="24"/>
  <c r="I45" i="24"/>
  <c r="H45" i="25" s="1"/>
  <c r="J45" i="24"/>
  <c r="I63" i="24"/>
  <c r="J63" i="24"/>
  <c r="W294" i="25"/>
  <c r="V149" i="25"/>
  <c r="F70" i="19" s="1"/>
  <c r="AH72" i="7"/>
  <c r="H51" i="25"/>
  <c r="I51" i="25" s="1"/>
  <c r="D374" i="25"/>
  <c r="E374" i="25" s="1"/>
  <c r="F374" i="25" s="1"/>
  <c r="G374" i="25" s="1"/>
  <c r="CF374" i="6" s="1"/>
  <c r="D124" i="25"/>
  <c r="E124" i="25" s="1"/>
  <c r="F124" i="25" s="1"/>
  <c r="D308" i="25"/>
  <c r="E308" i="25" s="1"/>
  <c r="F308" i="25" s="1"/>
  <c r="AA308" i="25" s="1"/>
  <c r="Z308" i="25" s="1"/>
  <c r="Y308" i="25" s="1"/>
  <c r="J195" i="24"/>
  <c r="I195" i="24"/>
  <c r="W249" i="25"/>
  <c r="D249" i="25"/>
  <c r="E249" i="25" s="1"/>
  <c r="F249" i="25" s="1"/>
  <c r="H249" i="25" s="1"/>
  <c r="W197" i="25"/>
  <c r="D197" i="25"/>
  <c r="E197" i="25" s="1"/>
  <c r="F197" i="25" s="1"/>
  <c r="G197" i="25" s="1"/>
  <c r="CF197" i="6" s="1"/>
  <c r="W142" i="25"/>
  <c r="D142" i="25"/>
  <c r="E142" i="25" s="1"/>
  <c r="F142" i="25" s="1"/>
  <c r="G142" i="25" s="1"/>
  <c r="CF142" i="6" s="1"/>
  <c r="W242" i="25"/>
  <c r="D242" i="25"/>
  <c r="E242" i="25" s="1"/>
  <c r="F242" i="25" s="1"/>
  <c r="H242" i="25" s="1"/>
  <c r="I242" i="25" s="1"/>
  <c r="D89" i="25"/>
  <c r="E89" i="25" s="1"/>
  <c r="F89" i="25" s="1"/>
  <c r="AA89" i="25" s="1"/>
  <c r="Z89" i="25" s="1"/>
  <c r="Y89" i="25" s="1"/>
  <c r="W89" i="25"/>
  <c r="D369" i="25"/>
  <c r="E369" i="25" s="1"/>
  <c r="F369" i="25" s="1"/>
  <c r="W369" i="25"/>
  <c r="G171" i="25"/>
  <c r="CF171" i="6" s="1"/>
  <c r="H171" i="25"/>
  <c r="J171" i="25" s="1"/>
  <c r="D356" i="25"/>
  <c r="E356" i="25" s="1"/>
  <c r="F356" i="25" s="1"/>
  <c r="G356" i="25" s="1"/>
  <c r="CF356" i="6" s="1"/>
  <c r="W356" i="25"/>
  <c r="D54" i="25"/>
  <c r="E54" i="25" s="1"/>
  <c r="F54" i="25" s="1"/>
  <c r="W54" i="25"/>
  <c r="D309" i="25"/>
  <c r="E309" i="25" s="1"/>
  <c r="F309" i="25" s="1"/>
  <c r="G309" i="25" s="1"/>
  <c r="CF309" i="6" s="1"/>
  <c r="W309" i="25"/>
  <c r="W329" i="25"/>
  <c r="D329" i="25"/>
  <c r="E329" i="25" s="1"/>
  <c r="F329" i="25" s="1"/>
  <c r="AA329" i="25" s="1"/>
  <c r="Z329" i="25" s="1"/>
  <c r="Y329" i="25" s="1"/>
  <c r="D283" i="25"/>
  <c r="E283" i="25" s="1"/>
  <c r="F283" i="25" s="1"/>
  <c r="W283" i="25"/>
  <c r="D158" i="25"/>
  <c r="E158" i="25" s="1"/>
  <c r="F158" i="25" s="1"/>
  <c r="W158" i="25"/>
  <c r="AA182" i="25"/>
  <c r="Z182" i="25" s="1"/>
  <c r="Y182" i="25" s="1"/>
  <c r="AA234" i="25"/>
  <c r="Z234" i="25" s="1"/>
  <c r="Y234" i="25" s="1"/>
  <c r="AA188" i="25"/>
  <c r="Z188" i="25" s="1"/>
  <c r="Y188" i="25" s="1"/>
  <c r="AA186" i="25"/>
  <c r="Z186" i="25" s="1"/>
  <c r="Y186" i="25" s="1"/>
  <c r="AA309" i="25"/>
  <c r="Z309" i="25" s="1"/>
  <c r="Y309" i="25" s="1"/>
  <c r="AA311" i="25"/>
  <c r="Z311" i="25" s="1"/>
  <c r="Y311" i="25" s="1"/>
  <c r="AA82" i="25"/>
  <c r="Z82" i="25" s="1"/>
  <c r="Y82" i="25" s="1"/>
  <c r="AA305" i="25"/>
  <c r="Z305" i="25" s="1"/>
  <c r="Y305" i="25" s="1"/>
  <c r="H268" i="25"/>
  <c r="J268" i="25" s="1"/>
  <c r="J291" i="25"/>
  <c r="H94" i="25"/>
  <c r="I94" i="25" s="1"/>
  <c r="AA312" i="25"/>
  <c r="Z312" i="25" s="1"/>
  <c r="Y312" i="25" s="1"/>
  <c r="H354" i="25"/>
  <c r="I354" i="25" s="1"/>
  <c r="AA97" i="25"/>
  <c r="Z97" i="25" s="1"/>
  <c r="Y97" i="25" s="1"/>
  <c r="AA26" i="25"/>
  <c r="Z26" i="25" s="1"/>
  <c r="Y26" i="25" s="1"/>
  <c r="AA36" i="25"/>
  <c r="Z36" i="25" s="1"/>
  <c r="Y36" i="25" s="1"/>
  <c r="AA235" i="25"/>
  <c r="Z235" i="25" s="1"/>
  <c r="Y235" i="25" s="1"/>
  <c r="AA51" i="25"/>
  <c r="Z51" i="25" s="1"/>
  <c r="Y51" i="25" s="1"/>
  <c r="AA284" i="25"/>
  <c r="Z284" i="25" s="1"/>
  <c r="Y284" i="25" s="1"/>
  <c r="AA259" i="25"/>
  <c r="Z259" i="25" s="1"/>
  <c r="Y259" i="25" s="1"/>
  <c r="AA354" i="25"/>
  <c r="Z354" i="25" s="1"/>
  <c r="Y354" i="25" s="1"/>
  <c r="AA94" i="25"/>
  <c r="Z94" i="25" s="1"/>
  <c r="Y94" i="25" s="1"/>
  <c r="AA220" i="25"/>
  <c r="Z220" i="25" s="1"/>
  <c r="Y220" i="25" s="1"/>
  <c r="AA313" i="25"/>
  <c r="Z313" i="25" s="1"/>
  <c r="Y313" i="25" s="1"/>
  <c r="AA321" i="25"/>
  <c r="Z321" i="25" s="1"/>
  <c r="Y321" i="25" s="1"/>
  <c r="H97" i="25"/>
  <c r="I97" i="25" s="1"/>
  <c r="D28" i="25"/>
  <c r="E28" i="25" s="1"/>
  <c r="F28" i="25" s="1"/>
  <c r="H28" i="25" s="1"/>
  <c r="D344" i="25"/>
  <c r="E344" i="25" s="1"/>
  <c r="F344" i="25" s="1"/>
  <c r="G344" i="25" s="1"/>
  <c r="CF344" i="6" s="1"/>
  <c r="W75" i="25"/>
  <c r="W268" i="25"/>
  <c r="W95" i="25"/>
  <c r="D365" i="25"/>
  <c r="E365" i="25" s="1"/>
  <c r="F365" i="25" s="1"/>
  <c r="H365" i="25" s="1"/>
  <c r="D281" i="25"/>
  <c r="E281" i="25" s="1"/>
  <c r="F281" i="25" s="1"/>
  <c r="H281" i="25" s="1"/>
  <c r="D324" i="25"/>
  <c r="E324" i="25" s="1"/>
  <c r="F324" i="25" s="1"/>
  <c r="G324" i="25" s="1"/>
  <c r="CF324" i="6" s="1"/>
  <c r="W92" i="25"/>
  <c r="V272" i="25"/>
  <c r="B272" i="25" s="1"/>
  <c r="W272" i="25" s="1"/>
  <c r="D342" i="25"/>
  <c r="E342" i="25" s="1"/>
  <c r="F342" i="25" s="1"/>
  <c r="H342" i="25" s="1"/>
  <c r="J342" i="25" s="1"/>
  <c r="W316" i="25"/>
  <c r="V180" i="25"/>
  <c r="B180" i="25" s="1"/>
  <c r="D180" i="25" s="1"/>
  <c r="E180" i="25" s="1"/>
  <c r="F180" i="25" s="1"/>
  <c r="W186" i="25"/>
  <c r="D322" i="25"/>
  <c r="E322" i="25" s="1"/>
  <c r="F322" i="25" s="1"/>
  <c r="G322" i="25" s="1"/>
  <c r="CF322" i="6" s="1"/>
  <c r="W173" i="25"/>
  <c r="W130" i="25"/>
  <c r="D225" i="25"/>
  <c r="E225" i="25" s="1"/>
  <c r="F225" i="25" s="1"/>
  <c r="AA225" i="25" s="1"/>
  <c r="Z225" i="25" s="1"/>
  <c r="Y225" i="25" s="1"/>
  <c r="W51" i="25"/>
  <c r="I306" i="24"/>
  <c r="H306" i="25" s="1"/>
  <c r="I306" i="25" s="1"/>
  <c r="H233" i="25"/>
  <c r="W94" i="25"/>
  <c r="D286" i="25"/>
  <c r="E286" i="25" s="1"/>
  <c r="F286" i="25" s="1"/>
  <c r="G286" i="25" s="1"/>
  <c r="CF286" i="6" s="1"/>
  <c r="J248" i="24"/>
  <c r="AH79" i="7"/>
  <c r="I48" i="24"/>
  <c r="H48" i="25" s="1"/>
  <c r="J48" i="24"/>
  <c r="J277" i="24"/>
  <c r="I277" i="24"/>
  <c r="H277" i="25" s="1"/>
  <c r="I277" i="25" s="1"/>
  <c r="W307" i="25"/>
  <c r="D307" i="25"/>
  <c r="E307" i="25" s="1"/>
  <c r="F307" i="25" s="1"/>
  <c r="AA307" i="25" s="1"/>
  <c r="Z307" i="25" s="1"/>
  <c r="Y307" i="25" s="1"/>
  <c r="I184" i="24"/>
  <c r="J184" i="24"/>
  <c r="I346" i="24"/>
  <c r="J346" i="24"/>
  <c r="J42" i="24"/>
  <c r="I42" i="24"/>
  <c r="J254" i="24"/>
  <c r="I254" i="24"/>
  <c r="J59" i="24"/>
  <c r="I59" i="24"/>
  <c r="H59" i="25" s="1"/>
  <c r="I201" i="25"/>
  <c r="AH381" i="25"/>
  <c r="G291" i="25"/>
  <c r="CF291" i="6" s="1"/>
  <c r="AD370" i="25"/>
  <c r="G234" i="25"/>
  <c r="CF234" i="6" s="1"/>
  <c r="AI381" i="25"/>
  <c r="AA17" i="25"/>
  <c r="Z17" i="25" s="1"/>
  <c r="Y17" i="25" s="1"/>
  <c r="AD154" i="25"/>
  <c r="AA34" i="25"/>
  <c r="Z34" i="25" s="1"/>
  <c r="Y34" i="25" s="1"/>
  <c r="AD256" i="25"/>
  <c r="AA238" i="25"/>
  <c r="Z238" i="25" s="1"/>
  <c r="Y238" i="25" s="1"/>
  <c r="AA58" i="25"/>
  <c r="Z58" i="25" s="1"/>
  <c r="Y58" i="25" s="1"/>
  <c r="AA273" i="25"/>
  <c r="Z273" i="25" s="1"/>
  <c r="Y273" i="25" s="1"/>
  <c r="AD147" i="25"/>
  <c r="H312" i="25"/>
  <c r="J312" i="25" s="1"/>
  <c r="AD119" i="25"/>
  <c r="AA105" i="25"/>
  <c r="Z105" i="25" s="1"/>
  <c r="Y105" i="25" s="1"/>
  <c r="AA291" i="25"/>
  <c r="Z291" i="25" s="1"/>
  <c r="Y291" i="25" s="1"/>
  <c r="AD125" i="25"/>
  <c r="AA125" i="25" s="1"/>
  <c r="Z125" i="25" s="1"/>
  <c r="Y125" i="25" s="1"/>
  <c r="H273" i="25"/>
  <c r="I273" i="25" s="1"/>
  <c r="H321" i="25"/>
  <c r="I321" i="25" s="1"/>
  <c r="H235" i="25"/>
  <c r="D137" i="25"/>
  <c r="E137" i="25" s="1"/>
  <c r="F137" i="25" s="1"/>
  <c r="AA137" i="25" s="1"/>
  <c r="Z137" i="25" s="1"/>
  <c r="Y137" i="25" s="1"/>
  <c r="AH74" i="7"/>
  <c r="W298" i="25"/>
  <c r="H301" i="24"/>
  <c r="J301" i="24" s="1"/>
  <c r="D165" i="25"/>
  <c r="E165" i="25" s="1"/>
  <c r="F165" i="25" s="1"/>
  <c r="G165" i="25" s="1"/>
  <c r="CF165" i="6" s="1"/>
  <c r="W34" i="25"/>
  <c r="W235" i="25"/>
  <c r="W321" i="25"/>
  <c r="W273" i="25"/>
  <c r="D107" i="25"/>
  <c r="E107" i="25" s="1"/>
  <c r="F107" i="25" s="1"/>
  <c r="G107" i="25" s="1"/>
  <c r="CF107" i="6" s="1"/>
  <c r="H173" i="25"/>
  <c r="I173" i="25" s="1"/>
  <c r="G34" i="25"/>
  <c r="CF34" i="6" s="1"/>
  <c r="D204" i="25"/>
  <c r="E204" i="25" s="1"/>
  <c r="F204" i="25" s="1"/>
  <c r="AA204" i="25" s="1"/>
  <c r="Z204" i="25" s="1"/>
  <c r="Y204" i="25" s="1"/>
  <c r="W284" i="25"/>
  <c r="W26" i="25"/>
  <c r="W291" i="25"/>
  <c r="W97" i="25"/>
  <c r="D236" i="25"/>
  <c r="E236" i="25" s="1"/>
  <c r="F236" i="25" s="1"/>
  <c r="G236" i="25" s="1"/>
  <c r="CF236" i="6" s="1"/>
  <c r="W359" i="25"/>
  <c r="H305" i="25"/>
  <c r="I234" i="24"/>
  <c r="H234" i="25" s="1"/>
  <c r="J307" i="24"/>
  <c r="I307" i="24"/>
  <c r="I317" i="24"/>
  <c r="J317" i="24"/>
  <c r="I101" i="24"/>
  <c r="J101" i="24"/>
  <c r="J72" i="24"/>
  <c r="I72" i="24"/>
  <c r="I145" i="24"/>
  <c r="J145" i="24"/>
  <c r="J118" i="24"/>
  <c r="I118" i="24"/>
  <c r="H118" i="25" s="1"/>
  <c r="I183" i="24"/>
  <c r="H183" i="25" s="1"/>
  <c r="J183" i="24"/>
  <c r="I238" i="25"/>
  <c r="I246" i="24"/>
  <c r="AD170" i="25"/>
  <c r="AA170" i="25" s="1"/>
  <c r="Z170" i="25" s="1"/>
  <c r="Y170" i="25" s="1"/>
  <c r="AD228" i="25"/>
  <c r="AD222" i="25"/>
  <c r="AD213" i="25"/>
  <c r="AD330" i="25"/>
  <c r="AD149" i="25"/>
  <c r="AD196" i="25"/>
  <c r="AD130" i="25"/>
  <c r="AA130" i="25" s="1"/>
  <c r="Z130" i="25" s="1"/>
  <c r="Y130" i="25" s="1"/>
  <c r="AD302" i="25"/>
  <c r="W175" i="25"/>
  <c r="V302" i="25"/>
  <c r="B302" i="25" s="1"/>
  <c r="D302" i="25" s="1"/>
  <c r="E302" i="25" s="1"/>
  <c r="F302" i="25" s="1"/>
  <c r="D255" i="25"/>
  <c r="E255" i="25" s="1"/>
  <c r="F255" i="25" s="1"/>
  <c r="H255" i="25" s="1"/>
  <c r="D179" i="25"/>
  <c r="E179" i="25" s="1"/>
  <c r="F179" i="25" s="1"/>
  <c r="G179" i="25" s="1"/>
  <c r="CF179" i="6" s="1"/>
  <c r="W277" i="25"/>
  <c r="W264" i="25"/>
  <c r="I19" i="24"/>
  <c r="H19" i="25" s="1"/>
  <c r="W233" i="25"/>
  <c r="D198" i="25"/>
  <c r="E198" i="25" s="1"/>
  <c r="F198" i="25" s="1"/>
  <c r="G198" i="25" s="1"/>
  <c r="CF198" i="6" s="1"/>
  <c r="I58" i="24"/>
  <c r="H58" i="25" s="1"/>
  <c r="I58" i="25" s="1"/>
  <c r="W354" i="25"/>
  <c r="D227" i="25"/>
  <c r="E227" i="25" s="1"/>
  <c r="F227" i="25" s="1"/>
  <c r="D101" i="25"/>
  <c r="E101" i="25" s="1"/>
  <c r="F101" i="25" s="1"/>
  <c r="AA101" i="25" s="1"/>
  <c r="Z101" i="25" s="1"/>
  <c r="Y101" i="25" s="1"/>
  <c r="W212" i="25"/>
  <c r="W125" i="25"/>
  <c r="D340" i="25"/>
  <c r="E340" i="25" s="1"/>
  <c r="F340" i="25" s="1"/>
  <c r="G340" i="25" s="1"/>
  <c r="CF340" i="6" s="1"/>
  <c r="W148" i="25"/>
  <c r="D185" i="25"/>
  <c r="E185" i="25" s="1"/>
  <c r="F185" i="25" s="1"/>
  <c r="G185" i="25" s="1"/>
  <c r="CF185" i="6" s="1"/>
  <c r="D174" i="25"/>
  <c r="E174" i="25" s="1"/>
  <c r="F174" i="25" s="1"/>
  <c r="D287" i="25"/>
  <c r="E287" i="25" s="1"/>
  <c r="F287" i="25" s="1"/>
  <c r="G287" i="25" s="1"/>
  <c r="CF287" i="6" s="1"/>
  <c r="W306" i="25"/>
  <c r="D177" i="25"/>
  <c r="E177" i="25" s="1"/>
  <c r="F177" i="25" s="1"/>
  <c r="H177" i="25" s="1"/>
  <c r="J43" i="24"/>
  <c r="W171" i="25"/>
  <c r="W305" i="25"/>
  <c r="D213" i="25"/>
  <c r="E213" i="25" s="1"/>
  <c r="F213" i="25" s="1"/>
  <c r="G305" i="25"/>
  <c r="CF305" i="6" s="1"/>
  <c r="J100" i="24"/>
  <c r="AA174" i="25"/>
  <c r="Z174" i="25" s="1"/>
  <c r="Y174" i="25" s="1"/>
  <c r="AA177" i="25"/>
  <c r="Z177" i="25" s="1"/>
  <c r="Y177" i="25" s="1"/>
  <c r="I313" i="24"/>
  <c r="H313" i="25" s="1"/>
  <c r="J313" i="24"/>
  <c r="D269" i="25"/>
  <c r="E269" i="25" s="1"/>
  <c r="F269" i="25" s="1"/>
  <c r="AD314" i="25"/>
  <c r="AD219" i="25"/>
  <c r="AD212" i="25"/>
  <c r="AA212" i="25" s="1"/>
  <c r="Z212" i="25" s="1"/>
  <c r="Y212" i="25" s="1"/>
  <c r="AD332" i="25"/>
  <c r="AD124" i="25"/>
  <c r="AA118" i="25"/>
  <c r="Z118" i="25" s="1"/>
  <c r="Y118" i="25" s="1"/>
  <c r="AD138" i="25"/>
  <c r="AD364" i="25"/>
  <c r="AD292" i="25"/>
  <c r="AD111" i="25"/>
  <c r="D27" i="25"/>
  <c r="E27" i="25" s="1"/>
  <c r="F27" i="25" s="1"/>
  <c r="G27" i="25" s="1"/>
  <c r="CF27" i="6" s="1"/>
  <c r="AA301" i="24"/>
  <c r="Z301" i="24" s="1"/>
  <c r="Y301" i="24" s="1"/>
  <c r="H26" i="25"/>
  <c r="W312" i="25"/>
  <c r="D345" i="25"/>
  <c r="E345" i="25" s="1"/>
  <c r="F345" i="25" s="1"/>
  <c r="D162" i="25"/>
  <c r="E162" i="25" s="1"/>
  <c r="F162" i="25" s="1"/>
  <c r="G162" i="25" s="1"/>
  <c r="CF162" i="6" s="1"/>
  <c r="W17" i="25"/>
  <c r="W58" i="25"/>
  <c r="D358" i="25"/>
  <c r="E358" i="25" s="1"/>
  <c r="F358" i="25" s="1"/>
  <c r="G358" i="25" s="1"/>
  <c r="CF358" i="6" s="1"/>
  <c r="D332" i="25"/>
  <c r="E332" i="25" s="1"/>
  <c r="F332" i="25" s="1"/>
  <c r="G332" i="25" s="1"/>
  <c r="CF332" i="6" s="1"/>
  <c r="D76" i="25"/>
  <c r="E76" i="25" s="1"/>
  <c r="F76" i="25" s="1"/>
  <c r="D362" i="25"/>
  <c r="E362" i="25" s="1"/>
  <c r="F362" i="25" s="1"/>
  <c r="D49" i="25"/>
  <c r="E49" i="25" s="1"/>
  <c r="F49" i="25" s="1"/>
  <c r="AA49" i="25" s="1"/>
  <c r="Z49" i="25" s="1"/>
  <c r="Y49" i="25" s="1"/>
  <c r="W238" i="25"/>
  <c r="W313" i="25"/>
  <c r="D70" i="25"/>
  <c r="E70" i="25" s="1"/>
  <c r="F70" i="25" s="1"/>
  <c r="G70" i="25" s="1"/>
  <c r="CF70" i="6" s="1"/>
  <c r="W105" i="25"/>
  <c r="J114" i="24"/>
  <c r="I288" i="24"/>
  <c r="H288" i="25" s="1"/>
  <c r="J288" i="24"/>
  <c r="I223" i="24"/>
  <c r="J223" i="24"/>
  <c r="I340" i="24"/>
  <c r="J340" i="24"/>
  <c r="I347" i="24"/>
  <c r="J347" i="24"/>
  <c r="G167" i="24"/>
  <c r="CE167" i="6" s="1"/>
  <c r="AA167" i="24"/>
  <c r="Z167" i="24" s="1"/>
  <c r="Y167" i="24" s="1"/>
  <c r="H167" i="24"/>
  <c r="I276" i="24"/>
  <c r="J276" i="24"/>
  <c r="I327" i="24"/>
  <c r="J327" i="24"/>
  <c r="I182" i="24"/>
  <c r="H182" i="25" s="1"/>
  <c r="J182" i="24"/>
  <c r="I323" i="24"/>
  <c r="H323" i="25" s="1"/>
  <c r="J323" i="24"/>
  <c r="I126" i="24"/>
  <c r="H126" i="25" s="1"/>
  <c r="J126" i="24"/>
  <c r="W285" i="25"/>
  <c r="D285" i="25"/>
  <c r="E285" i="25" s="1"/>
  <c r="F285" i="25" s="1"/>
  <c r="G285" i="25" s="1"/>
  <c r="CF285" i="6" s="1"/>
  <c r="G188" i="25"/>
  <c r="CF188" i="6" s="1"/>
  <c r="W278" i="25"/>
  <c r="D278" i="25"/>
  <c r="E278" i="25" s="1"/>
  <c r="F278" i="25" s="1"/>
  <c r="AA278" i="25" s="1"/>
  <c r="Z278" i="25" s="1"/>
  <c r="Y278" i="25" s="1"/>
  <c r="W319" i="25"/>
  <c r="D319" i="25"/>
  <c r="E319" i="25" s="1"/>
  <c r="F319" i="25" s="1"/>
  <c r="AA319" i="25" s="1"/>
  <c r="Z319" i="25" s="1"/>
  <c r="Y319" i="25" s="1"/>
  <c r="I82" i="24"/>
  <c r="H82" i="25" s="1"/>
  <c r="J82" i="24"/>
  <c r="I188" i="24"/>
  <c r="H188" i="25" s="1"/>
  <c r="J188" i="24"/>
  <c r="J17" i="24"/>
  <c r="I17" i="24"/>
  <c r="J314" i="24"/>
  <c r="I314" i="24"/>
  <c r="AA285" i="25"/>
  <c r="Z285" i="25" s="1"/>
  <c r="Y285" i="25" s="1"/>
  <c r="I332" i="24"/>
  <c r="J332" i="24"/>
  <c r="I335" i="24"/>
  <c r="H335" i="25" s="1"/>
  <c r="J335" i="24"/>
  <c r="I91" i="24"/>
  <c r="H91" i="25" s="1"/>
  <c r="J91" i="24"/>
  <c r="J24" i="24"/>
  <c r="I24" i="24"/>
  <c r="J146" i="24"/>
  <c r="I146" i="24"/>
  <c r="J326" i="24"/>
  <c r="I326" i="24"/>
  <c r="J115" i="24"/>
  <c r="I115" i="24"/>
  <c r="J16" i="24"/>
  <c r="I16" i="24"/>
  <c r="H16" i="25" s="1"/>
  <c r="I358" i="24"/>
  <c r="J358" i="24"/>
  <c r="I232" i="24"/>
  <c r="H232" i="25" s="1"/>
  <c r="J232" i="24"/>
  <c r="J85" i="24"/>
  <c r="I85" i="24"/>
  <c r="H85" i="25" s="1"/>
  <c r="I85" i="25" s="1"/>
  <c r="W161" i="25"/>
  <c r="D161" i="25"/>
  <c r="E161" i="25" s="1"/>
  <c r="F161" i="25" s="1"/>
  <c r="G125" i="25"/>
  <c r="CF125" i="6" s="1"/>
  <c r="H125" i="25"/>
  <c r="H17" i="25"/>
  <c r="I193" i="24"/>
  <c r="J193" i="24"/>
  <c r="I77" i="24"/>
  <c r="H77" i="25" s="1"/>
  <c r="J77" i="24"/>
  <c r="J315" i="24"/>
  <c r="I315" i="24"/>
  <c r="I274" i="24"/>
  <c r="J274" i="24"/>
  <c r="I198" i="24"/>
  <c r="J198" i="24"/>
  <c r="I87" i="24"/>
  <c r="J87" i="24"/>
  <c r="H87" i="25"/>
  <c r="I87" i="25" s="1"/>
  <c r="AA80" i="24"/>
  <c r="Z80" i="24" s="1"/>
  <c r="Y80" i="24" s="1"/>
  <c r="H80" i="24"/>
  <c r="G80" i="24"/>
  <c r="CE80" i="6" s="1"/>
  <c r="J370" i="24"/>
  <c r="I370" i="24"/>
  <c r="I263" i="24"/>
  <c r="J263" i="24"/>
  <c r="I159" i="24"/>
  <c r="J159" i="24"/>
  <c r="I185" i="24"/>
  <c r="J185" i="24"/>
  <c r="I352" i="24"/>
  <c r="J352" i="24"/>
  <c r="AD173" i="25"/>
  <c r="AA173" i="25" s="1"/>
  <c r="Z173" i="25" s="1"/>
  <c r="Y173" i="25" s="1"/>
  <c r="AI383" i="25"/>
  <c r="I21" i="24"/>
  <c r="J21" i="24"/>
  <c r="D210" i="24"/>
  <c r="E210" i="24" s="1"/>
  <c r="F210" i="24" s="1"/>
  <c r="W210" i="24"/>
  <c r="J95" i="25"/>
  <c r="G52" i="25"/>
  <c r="CF52" i="6" s="1"/>
  <c r="G334" i="25"/>
  <c r="CF334" i="6" s="1"/>
  <c r="AA108" i="25"/>
  <c r="Z108" i="25" s="1"/>
  <c r="Y108" i="25" s="1"/>
  <c r="G95" i="25"/>
  <c r="CF95" i="6" s="1"/>
  <c r="W360" i="25"/>
  <c r="D104" i="25"/>
  <c r="E104" i="25" s="1"/>
  <c r="F104" i="25" s="1"/>
  <c r="AA104" i="25" s="1"/>
  <c r="Z104" i="25" s="1"/>
  <c r="Y104" i="25" s="1"/>
  <c r="D18" i="25"/>
  <c r="E18" i="25" s="1"/>
  <c r="F18" i="25" s="1"/>
  <c r="G18" i="25" s="1"/>
  <c r="CF18" i="6" s="1"/>
  <c r="G316" i="25"/>
  <c r="CF316" i="6" s="1"/>
  <c r="G268" i="25"/>
  <c r="CF268" i="6" s="1"/>
  <c r="H68" i="25"/>
  <c r="I68" i="25" s="1"/>
  <c r="G87" i="25"/>
  <c r="CF87" i="6" s="1"/>
  <c r="AA45" i="25"/>
  <c r="Z45" i="25" s="1"/>
  <c r="Y45" i="25" s="1"/>
  <c r="AA68" i="25"/>
  <c r="Z68" i="25" s="1"/>
  <c r="Y68" i="25" s="1"/>
  <c r="D241" i="25"/>
  <c r="E241" i="25" s="1"/>
  <c r="F241" i="25" s="1"/>
  <c r="H241" i="25" s="1"/>
  <c r="I241" i="25" s="1"/>
  <c r="AA75" i="25"/>
  <c r="Z75" i="25" s="1"/>
  <c r="Y75" i="25" s="1"/>
  <c r="AA95" i="25"/>
  <c r="Z95" i="25" s="1"/>
  <c r="Y95" i="25" s="1"/>
  <c r="AA268" i="25"/>
  <c r="Z268" i="25" s="1"/>
  <c r="Y268" i="25" s="1"/>
  <c r="D150" i="25"/>
  <c r="E150" i="25" s="1"/>
  <c r="F150" i="25" s="1"/>
  <c r="AA150" i="25" s="1"/>
  <c r="Z150" i="25" s="1"/>
  <c r="Y150" i="25" s="1"/>
  <c r="D57" i="25"/>
  <c r="E57" i="25" s="1"/>
  <c r="F57" i="25" s="1"/>
  <c r="G57" i="25" s="1"/>
  <c r="CF57" i="6" s="1"/>
  <c r="D115" i="25"/>
  <c r="E115" i="25" s="1"/>
  <c r="F115" i="25" s="1"/>
  <c r="G115" i="25" s="1"/>
  <c r="CF115" i="6" s="1"/>
  <c r="W128" i="25"/>
  <c r="W77" i="25"/>
  <c r="AA52" i="25"/>
  <c r="Z52" i="25" s="1"/>
  <c r="Y52" i="25" s="1"/>
  <c r="AA59" i="25"/>
  <c r="Z59" i="25" s="1"/>
  <c r="Y59" i="25" s="1"/>
  <c r="AA85" i="25"/>
  <c r="Z85" i="25" s="1"/>
  <c r="Y85" i="25" s="1"/>
  <c r="W53" i="25"/>
  <c r="W85" i="25"/>
  <c r="W288" i="25"/>
  <c r="W157" i="25"/>
  <c r="W348" i="25"/>
  <c r="D153" i="25"/>
  <c r="E153" i="25" s="1"/>
  <c r="F153" i="25" s="1"/>
  <c r="G153" i="25" s="1"/>
  <c r="CF153" i="6" s="1"/>
  <c r="W181" i="25"/>
  <c r="D24" i="25"/>
  <c r="E24" i="25" s="1"/>
  <c r="F24" i="25" s="1"/>
  <c r="G24" i="25" s="1"/>
  <c r="CF24" i="6" s="1"/>
  <c r="I334" i="25"/>
  <c r="J334" i="25"/>
  <c r="G363" i="25"/>
  <c r="CF363" i="6" s="1"/>
  <c r="W29" i="25"/>
  <c r="H108" i="25"/>
  <c r="I108" i="25" s="1"/>
  <c r="G335" i="25"/>
  <c r="CF335" i="6" s="1"/>
  <c r="AA87" i="25"/>
  <c r="Z87" i="25" s="1"/>
  <c r="Y87" i="25" s="1"/>
  <c r="AA29" i="25"/>
  <c r="Z29" i="25" s="1"/>
  <c r="Y29" i="25" s="1"/>
  <c r="AA279" i="25"/>
  <c r="Z279" i="25" s="1"/>
  <c r="Y279" i="25" s="1"/>
  <c r="AA294" i="25"/>
  <c r="Z294" i="25" s="1"/>
  <c r="Y294" i="25" s="1"/>
  <c r="H75" i="25"/>
  <c r="J75" i="25" s="1"/>
  <c r="W109" i="25"/>
  <c r="D109" i="25"/>
  <c r="E109" i="25" s="1"/>
  <c r="F109" i="25" s="1"/>
  <c r="G109" i="25" s="1"/>
  <c r="CF109" i="6" s="1"/>
  <c r="G85" i="25"/>
  <c r="CF85" i="6" s="1"/>
  <c r="G59" i="25"/>
  <c r="CF59" i="6" s="1"/>
  <c r="H66" i="25"/>
  <c r="J66" i="25" s="1"/>
  <c r="G66" i="25"/>
  <c r="CF66" i="6" s="1"/>
  <c r="D136" i="25"/>
  <c r="E136" i="25" s="1"/>
  <c r="F136" i="25" s="1"/>
  <c r="G136" i="25" s="1"/>
  <c r="CF136" i="6" s="1"/>
  <c r="D375" i="25"/>
  <c r="E375" i="25" s="1"/>
  <c r="F375" i="25" s="1"/>
  <c r="W160" i="25"/>
  <c r="W52" i="25"/>
  <c r="W59" i="25"/>
  <c r="W170" i="25"/>
  <c r="D325" i="25"/>
  <c r="E325" i="25" s="1"/>
  <c r="F325" i="25" s="1"/>
  <c r="G325" i="25" s="1"/>
  <c r="CF325" i="6" s="1"/>
  <c r="W47" i="25"/>
  <c r="W66" i="25"/>
  <c r="W19" i="25"/>
  <c r="D146" i="25"/>
  <c r="E146" i="25" s="1"/>
  <c r="F146" i="25" s="1"/>
  <c r="G146" i="25" s="1"/>
  <c r="CF146" i="6" s="1"/>
  <c r="W261" i="25"/>
  <c r="D265" i="25"/>
  <c r="E265" i="25" s="1"/>
  <c r="F265" i="25" s="1"/>
  <c r="AA265" i="25" s="1"/>
  <c r="Z265" i="25" s="1"/>
  <c r="Y265" i="25" s="1"/>
  <c r="W99" i="25"/>
  <c r="G294" i="25"/>
  <c r="CF294" i="6" s="1"/>
  <c r="H294" i="25"/>
  <c r="G279" i="25"/>
  <c r="CF279" i="6" s="1"/>
  <c r="H279" i="25"/>
  <c r="AA316" i="25"/>
  <c r="Z316" i="25" s="1"/>
  <c r="Y316" i="25" s="1"/>
  <c r="H30" i="25"/>
  <c r="J30" i="25" s="1"/>
  <c r="W363" i="25"/>
  <c r="AA30" i="25"/>
  <c r="Z30" i="25" s="1"/>
  <c r="Y30" i="25" s="1"/>
  <c r="AA19" i="25"/>
  <c r="Z19" i="25" s="1"/>
  <c r="Y19" i="25" s="1"/>
  <c r="AA99" i="25"/>
  <c r="Z99" i="25" s="1"/>
  <c r="Y99" i="25" s="1"/>
  <c r="H140" i="25"/>
  <c r="J140" i="25" s="1"/>
  <c r="D301" i="25"/>
  <c r="E301" i="25" s="1"/>
  <c r="F301" i="25" s="1"/>
  <c r="G301" i="25" s="1"/>
  <c r="CF301" i="6" s="1"/>
  <c r="D123" i="25"/>
  <c r="E123" i="25" s="1"/>
  <c r="F123" i="25" s="1"/>
  <c r="D61" i="25"/>
  <c r="E61" i="25" s="1"/>
  <c r="F61" i="25" s="1"/>
  <c r="G61" i="25" s="1"/>
  <c r="CF61" i="6" s="1"/>
  <c r="W299" i="25"/>
  <c r="D117" i="25"/>
  <c r="E117" i="25" s="1"/>
  <c r="F117" i="25" s="1"/>
  <c r="AA264" i="24"/>
  <c r="Z264" i="24" s="1"/>
  <c r="Y264" i="24" s="1"/>
  <c r="G264" i="24"/>
  <c r="CE264" i="6" s="1"/>
  <c r="H264" i="24"/>
  <c r="AA363" i="25"/>
  <c r="Z363" i="25" s="1"/>
  <c r="Y363" i="25" s="1"/>
  <c r="AA334" i="25"/>
  <c r="Z334" i="25" s="1"/>
  <c r="Y334" i="25" s="1"/>
  <c r="AA288" i="25"/>
  <c r="Z288" i="25" s="1"/>
  <c r="Y288" i="25" s="1"/>
  <c r="AA106" i="25"/>
  <c r="Z106" i="25" s="1"/>
  <c r="Y106" i="25" s="1"/>
  <c r="AA200" i="25"/>
  <c r="Z200" i="25" s="1"/>
  <c r="Y200" i="25" s="1"/>
  <c r="D263" i="25"/>
  <c r="E263" i="25" s="1"/>
  <c r="F263" i="25" s="1"/>
  <c r="AA263" i="25" s="1"/>
  <c r="Z263" i="25" s="1"/>
  <c r="Y263" i="25" s="1"/>
  <c r="D257" i="25"/>
  <c r="E257" i="25" s="1"/>
  <c r="F257" i="25" s="1"/>
  <c r="H257" i="25" s="1"/>
  <c r="I257" i="25" s="1"/>
  <c r="D228" i="25"/>
  <c r="E228" i="25" s="1"/>
  <c r="F228" i="25" s="1"/>
  <c r="G228" i="25" s="1"/>
  <c r="CF228" i="6" s="1"/>
  <c r="W131" i="25"/>
  <c r="D176" i="25"/>
  <c r="E176" i="25" s="1"/>
  <c r="F176" i="25" s="1"/>
  <c r="AA176" i="25" s="1"/>
  <c r="Z176" i="25" s="1"/>
  <c r="Y176" i="25" s="1"/>
  <c r="D372" i="25"/>
  <c r="E372" i="25" s="1"/>
  <c r="F372" i="25" s="1"/>
  <c r="G372" i="25" s="1"/>
  <c r="CF372" i="6" s="1"/>
  <c r="W351" i="25"/>
  <c r="W127" i="25"/>
  <c r="D276" i="25"/>
  <c r="E276" i="25" s="1"/>
  <c r="F276" i="25" s="1"/>
  <c r="G276" i="25" s="1"/>
  <c r="CF276" i="6" s="1"/>
  <c r="D240" i="25"/>
  <c r="E240" i="25" s="1"/>
  <c r="F240" i="25" s="1"/>
  <c r="H240" i="25" s="1"/>
  <c r="I240" i="25" s="1"/>
  <c r="D163" i="25"/>
  <c r="E163" i="25" s="1"/>
  <c r="F163" i="25" s="1"/>
  <c r="G163" i="25" s="1"/>
  <c r="CF163" i="6" s="1"/>
  <c r="D90" i="25"/>
  <c r="E90" i="25" s="1"/>
  <c r="F90" i="25" s="1"/>
  <c r="H90" i="25" s="1"/>
  <c r="G181" i="25"/>
  <c r="CF181" i="6" s="1"/>
  <c r="H181" i="25"/>
  <c r="I181" i="25" s="1"/>
  <c r="G131" i="25"/>
  <c r="CF131" i="6" s="1"/>
  <c r="H131" i="25"/>
  <c r="J131" i="25" s="1"/>
  <c r="G175" i="25"/>
  <c r="CF175" i="6" s="1"/>
  <c r="H175" i="25"/>
  <c r="I175" i="25" s="1"/>
  <c r="AA175" i="25"/>
  <c r="Z175" i="25" s="1"/>
  <c r="Y175" i="25" s="1"/>
  <c r="J127" i="25"/>
  <c r="I127" i="25"/>
  <c r="H92" i="25"/>
  <c r="I92" i="25" s="1"/>
  <c r="H298" i="25"/>
  <c r="J298" i="25" s="1"/>
  <c r="H99" i="25"/>
  <c r="I99" i="25" s="1"/>
  <c r="AA232" i="25"/>
  <c r="Z232" i="25" s="1"/>
  <c r="Y232" i="25" s="1"/>
  <c r="AA221" i="25"/>
  <c r="Z221" i="25" s="1"/>
  <c r="Y221" i="25" s="1"/>
  <c r="AA264" i="25"/>
  <c r="Z264" i="25" s="1"/>
  <c r="Y264" i="25" s="1"/>
  <c r="AA335" i="25"/>
  <c r="Z335" i="25" s="1"/>
  <c r="Y335" i="25" s="1"/>
  <c r="AA181" i="25"/>
  <c r="Z181" i="25" s="1"/>
  <c r="Y181" i="25" s="1"/>
  <c r="AA261" i="25"/>
  <c r="Z261" i="25" s="1"/>
  <c r="Y261" i="25" s="1"/>
  <c r="AA131" i="25"/>
  <c r="Z131" i="25" s="1"/>
  <c r="Y131" i="25" s="1"/>
  <c r="I70" i="19"/>
  <c r="I57" i="19" s="1"/>
  <c r="AA92" i="25"/>
  <c r="Z92" i="25" s="1"/>
  <c r="Y92" i="25" s="1"/>
  <c r="J311" i="24"/>
  <c r="I311" i="24"/>
  <c r="H311" i="25" s="1"/>
  <c r="D35" i="25"/>
  <c r="E35" i="25" s="1"/>
  <c r="F35" i="25" s="1"/>
  <c r="AA35" i="25" s="1"/>
  <c r="Z35" i="25" s="1"/>
  <c r="Y35" i="25" s="1"/>
  <c r="W35" i="25"/>
  <c r="W129" i="25"/>
  <c r="D129" i="25"/>
  <c r="E129" i="25" s="1"/>
  <c r="F129" i="25" s="1"/>
  <c r="AA129" i="25" s="1"/>
  <c r="Z129" i="25" s="1"/>
  <c r="Y129" i="25" s="1"/>
  <c r="D21" i="25"/>
  <c r="E21" i="25" s="1"/>
  <c r="F21" i="25" s="1"/>
  <c r="W21" i="25"/>
  <c r="W230" i="25"/>
  <c r="D230" i="25"/>
  <c r="E230" i="25" s="1"/>
  <c r="F230" i="25" s="1"/>
  <c r="W42" i="25"/>
  <c r="D42" i="25"/>
  <c r="E42" i="25" s="1"/>
  <c r="F42" i="25" s="1"/>
  <c r="AA42" i="25" s="1"/>
  <c r="Z42" i="25" s="1"/>
  <c r="Y42" i="25" s="1"/>
  <c r="W350" i="25"/>
  <c r="D350" i="25"/>
  <c r="E350" i="25" s="1"/>
  <c r="F350" i="25" s="1"/>
  <c r="AA350" i="25" s="1"/>
  <c r="Z350" i="25" s="1"/>
  <c r="Y350" i="25" s="1"/>
  <c r="W364" i="25"/>
  <c r="D364" i="25"/>
  <c r="E364" i="25" s="1"/>
  <c r="F364" i="25" s="1"/>
  <c r="D41" i="25"/>
  <c r="E41" i="25" s="1"/>
  <c r="F41" i="25" s="1"/>
  <c r="G41" i="25" s="1"/>
  <c r="CF41" i="6" s="1"/>
  <c r="W41" i="25"/>
  <c r="W331" i="25"/>
  <c r="D331" i="25"/>
  <c r="E331" i="25" s="1"/>
  <c r="F331" i="25" s="1"/>
  <c r="AA331" i="25" s="1"/>
  <c r="Z331" i="25" s="1"/>
  <c r="Y331" i="25" s="1"/>
  <c r="W339" i="25"/>
  <c r="D339" i="25"/>
  <c r="E339" i="25" s="1"/>
  <c r="F339" i="25" s="1"/>
  <c r="D155" i="25"/>
  <c r="E155" i="25" s="1"/>
  <c r="F155" i="25" s="1"/>
  <c r="W155" i="25"/>
  <c r="W352" i="25"/>
  <c r="D352" i="25"/>
  <c r="E352" i="25" s="1"/>
  <c r="F352" i="25" s="1"/>
  <c r="D184" i="25"/>
  <c r="E184" i="25" s="1"/>
  <c r="F184" i="25" s="1"/>
  <c r="AA184" i="25" s="1"/>
  <c r="Z184" i="25" s="1"/>
  <c r="Y184" i="25" s="1"/>
  <c r="W184" i="25"/>
  <c r="W254" i="25"/>
  <c r="D254" i="25"/>
  <c r="E254" i="25" s="1"/>
  <c r="F254" i="25" s="1"/>
  <c r="AA254" i="25" s="1"/>
  <c r="Z254" i="25" s="1"/>
  <c r="Y254" i="25" s="1"/>
  <c r="D135" i="25"/>
  <c r="E135" i="25" s="1"/>
  <c r="F135" i="25" s="1"/>
  <c r="W135" i="25"/>
  <c r="W113" i="25"/>
  <c r="D113" i="25"/>
  <c r="E113" i="25" s="1"/>
  <c r="F113" i="25" s="1"/>
  <c r="W371" i="25"/>
  <c r="D371" i="25"/>
  <c r="E371" i="25" s="1"/>
  <c r="F371" i="25" s="1"/>
  <c r="D300" i="25"/>
  <c r="E300" i="25" s="1"/>
  <c r="F300" i="25" s="1"/>
  <c r="W300" i="25"/>
  <c r="D209" i="25"/>
  <c r="E209" i="25" s="1"/>
  <c r="F209" i="25" s="1"/>
  <c r="W209" i="25"/>
  <c r="W93" i="25"/>
  <c r="D93" i="25"/>
  <c r="E93" i="25" s="1"/>
  <c r="F93" i="25" s="1"/>
  <c r="AA93" i="25" s="1"/>
  <c r="Z93" i="25" s="1"/>
  <c r="Y93" i="25" s="1"/>
  <c r="D231" i="25"/>
  <c r="E231" i="25" s="1"/>
  <c r="F231" i="25" s="1"/>
  <c r="G231" i="25" s="1"/>
  <c r="CF231" i="6" s="1"/>
  <c r="W231" i="25"/>
  <c r="AA300" i="25"/>
  <c r="Z300" i="25" s="1"/>
  <c r="Y300" i="25" s="1"/>
  <c r="W280" i="25"/>
  <c r="D280" i="25"/>
  <c r="E280" i="25" s="1"/>
  <c r="F280" i="25" s="1"/>
  <c r="D63" i="25"/>
  <c r="E63" i="25" s="1"/>
  <c r="F63" i="25" s="1"/>
  <c r="AA63" i="25" s="1"/>
  <c r="Z63" i="25" s="1"/>
  <c r="Y63" i="25" s="1"/>
  <c r="W63" i="25"/>
  <c r="W271" i="25"/>
  <c r="D271" i="25"/>
  <c r="E271" i="25" s="1"/>
  <c r="F271" i="25" s="1"/>
  <c r="D239" i="25"/>
  <c r="E239" i="25" s="1"/>
  <c r="F239" i="25" s="1"/>
  <c r="AA239" i="25" s="1"/>
  <c r="Z239" i="25" s="1"/>
  <c r="Y239" i="25" s="1"/>
  <c r="W239" i="25"/>
  <c r="D377" i="25"/>
  <c r="E377" i="25" s="1"/>
  <c r="F377" i="25" s="1"/>
  <c r="AA377" i="25" s="1"/>
  <c r="Z377" i="25" s="1"/>
  <c r="Y377" i="25" s="1"/>
  <c r="W377" i="25"/>
  <c r="D260" i="25"/>
  <c r="E260" i="25" s="1"/>
  <c r="F260" i="25" s="1"/>
  <c r="AA260" i="25" s="1"/>
  <c r="Z260" i="25" s="1"/>
  <c r="Y260" i="25" s="1"/>
  <c r="W260" i="25"/>
  <c r="D84" i="25"/>
  <c r="E84" i="25" s="1"/>
  <c r="F84" i="25" s="1"/>
  <c r="W84" i="25"/>
  <c r="D376" i="25"/>
  <c r="E376" i="25" s="1"/>
  <c r="F376" i="25" s="1"/>
  <c r="G376" i="25" s="1"/>
  <c r="CF376" i="6" s="1"/>
  <c r="W376" i="25"/>
  <c r="W194" i="25"/>
  <c r="D194" i="25"/>
  <c r="E194" i="25" s="1"/>
  <c r="F194" i="25" s="1"/>
  <c r="G194" i="25" s="1"/>
  <c r="CF194" i="6" s="1"/>
  <c r="D337" i="25"/>
  <c r="E337" i="25" s="1"/>
  <c r="F337" i="25" s="1"/>
  <c r="G337" i="25" s="1"/>
  <c r="CF337" i="6" s="1"/>
  <c r="W337" i="25"/>
  <c r="D86" i="25"/>
  <c r="E86" i="25" s="1"/>
  <c r="F86" i="25" s="1"/>
  <c r="W86" i="25"/>
  <c r="W317" i="25"/>
  <c r="D317" i="25"/>
  <c r="E317" i="25" s="1"/>
  <c r="F317" i="25" s="1"/>
  <c r="D275" i="25"/>
  <c r="E275" i="25" s="1"/>
  <c r="F275" i="25" s="1"/>
  <c r="W275" i="25"/>
  <c r="D222" i="25"/>
  <c r="E222" i="25" s="1"/>
  <c r="F222" i="25" s="1"/>
  <c r="W222" i="25"/>
  <c r="D330" i="25"/>
  <c r="E330" i="25" s="1"/>
  <c r="F330" i="25" s="1"/>
  <c r="G330" i="25" s="1"/>
  <c r="CF330" i="6" s="1"/>
  <c r="W330" i="25"/>
  <c r="D103" i="25"/>
  <c r="E103" i="25" s="1"/>
  <c r="F103" i="25" s="1"/>
  <c r="W103" i="25"/>
  <c r="W314" i="25"/>
  <c r="D314" i="25"/>
  <c r="E314" i="25" s="1"/>
  <c r="F314" i="25" s="1"/>
  <c r="W378" i="25"/>
  <c r="D378" i="25"/>
  <c r="E378" i="25" s="1"/>
  <c r="F378" i="25" s="1"/>
  <c r="W346" i="25"/>
  <c r="D346" i="25"/>
  <c r="E346" i="25" s="1"/>
  <c r="F346" i="25" s="1"/>
  <c r="D152" i="25"/>
  <c r="E152" i="25" s="1"/>
  <c r="F152" i="25" s="1"/>
  <c r="W152" i="25"/>
  <c r="D191" i="25"/>
  <c r="E191" i="25" s="1"/>
  <c r="F191" i="25" s="1"/>
  <c r="G191" i="25" s="1"/>
  <c r="CF191" i="6" s="1"/>
  <c r="W191" i="25"/>
  <c r="G47" i="25"/>
  <c r="CF47" i="6" s="1"/>
  <c r="AA277" i="25"/>
  <c r="Z277" i="25" s="1"/>
  <c r="Y277" i="25" s="1"/>
  <c r="AA336" i="25"/>
  <c r="Z336" i="25" s="1"/>
  <c r="Y336" i="25" s="1"/>
  <c r="AA298" i="25"/>
  <c r="Z298" i="25" s="1"/>
  <c r="Y298" i="25" s="1"/>
  <c r="AA37" i="25"/>
  <c r="Z37" i="25" s="1"/>
  <c r="Y37" i="25" s="1"/>
  <c r="AA78" i="25"/>
  <c r="Z78" i="25" s="1"/>
  <c r="Y78" i="25" s="1"/>
  <c r="J330" i="24"/>
  <c r="I330" i="24"/>
  <c r="J282" i="24"/>
  <c r="I282" i="24"/>
  <c r="W39" i="25"/>
  <c r="D39" i="25"/>
  <c r="E39" i="25" s="1"/>
  <c r="F39" i="25" s="1"/>
  <c r="W72" i="25"/>
  <c r="D72" i="25"/>
  <c r="E72" i="25" s="1"/>
  <c r="F72" i="25" s="1"/>
  <c r="AA72" i="25" s="1"/>
  <c r="Z72" i="25" s="1"/>
  <c r="Y72" i="25" s="1"/>
  <c r="D122" i="25"/>
  <c r="E122" i="25" s="1"/>
  <c r="F122" i="25" s="1"/>
  <c r="G122" i="25" s="1"/>
  <c r="CF122" i="6" s="1"/>
  <c r="W122" i="25"/>
  <c r="B379" i="24"/>
  <c r="M69" i="19"/>
  <c r="BF15" i="7"/>
  <c r="W207" i="25"/>
  <c r="D207" i="25"/>
  <c r="E207" i="25" s="1"/>
  <c r="F207" i="25" s="1"/>
  <c r="G207" i="25" s="1"/>
  <c r="CF207" i="6" s="1"/>
  <c r="D196" i="25"/>
  <c r="E196" i="25" s="1"/>
  <c r="F196" i="25" s="1"/>
  <c r="W196" i="25"/>
  <c r="D367" i="25"/>
  <c r="E367" i="25" s="1"/>
  <c r="F367" i="25" s="1"/>
  <c r="W367" i="25"/>
  <c r="D347" i="25"/>
  <c r="E347" i="25" s="1"/>
  <c r="F347" i="25" s="1"/>
  <c r="W347" i="25"/>
  <c r="D139" i="25"/>
  <c r="E139" i="25" s="1"/>
  <c r="F139" i="25" s="1"/>
  <c r="G139" i="25" s="1"/>
  <c r="CF139" i="6" s="1"/>
  <c r="W139" i="25"/>
  <c r="J36" i="24"/>
  <c r="I36" i="24"/>
  <c r="H36" i="25" s="1"/>
  <c r="W219" i="25"/>
  <c r="D219" i="25"/>
  <c r="E219" i="25" s="1"/>
  <c r="F219" i="25" s="1"/>
  <c r="W83" i="25"/>
  <c r="D83" i="25"/>
  <c r="E83" i="25" s="1"/>
  <c r="F83" i="25" s="1"/>
  <c r="W169" i="25"/>
  <c r="D169" i="25"/>
  <c r="E169" i="25" s="1"/>
  <c r="F169" i="25" s="1"/>
  <c r="D243" i="25"/>
  <c r="E243" i="25" s="1"/>
  <c r="F243" i="25" s="1"/>
  <c r="AA243" i="25" s="1"/>
  <c r="Z243" i="25" s="1"/>
  <c r="Y243" i="25" s="1"/>
  <c r="W243" i="25"/>
  <c r="W141" i="25"/>
  <c r="D141" i="25"/>
  <c r="E141" i="25" s="1"/>
  <c r="F141" i="25" s="1"/>
  <c r="W215" i="25"/>
  <c r="D215" i="25"/>
  <c r="E215" i="25" s="1"/>
  <c r="F215" i="25" s="1"/>
  <c r="AA215" i="25" s="1"/>
  <c r="Z215" i="25" s="1"/>
  <c r="Y215" i="25" s="1"/>
  <c r="W192" i="25"/>
  <c r="D192" i="25"/>
  <c r="E192" i="25" s="1"/>
  <c r="F192" i="25" s="1"/>
  <c r="AA192" i="25" s="1"/>
  <c r="Z192" i="25" s="1"/>
  <c r="Y192" i="25" s="1"/>
  <c r="D328" i="25"/>
  <c r="E328" i="25" s="1"/>
  <c r="F328" i="25" s="1"/>
  <c r="AA328" i="25" s="1"/>
  <c r="Z328" i="25" s="1"/>
  <c r="Y328" i="25" s="1"/>
  <c r="W328" i="25"/>
  <c r="D253" i="25"/>
  <c r="E253" i="25" s="1"/>
  <c r="F253" i="25" s="1"/>
  <c r="W253" i="25"/>
  <c r="W295" i="25"/>
  <c r="D295" i="25"/>
  <c r="E295" i="25" s="1"/>
  <c r="F295" i="25" s="1"/>
  <c r="W145" i="25"/>
  <c r="D145" i="25"/>
  <c r="E145" i="25" s="1"/>
  <c r="F145" i="25" s="1"/>
  <c r="AA145" i="25" s="1"/>
  <c r="Z145" i="25" s="1"/>
  <c r="Y145" i="25" s="1"/>
  <c r="W144" i="25"/>
  <c r="D144" i="25"/>
  <c r="E144" i="25" s="1"/>
  <c r="F144" i="25" s="1"/>
  <c r="W151" i="25"/>
  <c r="D151" i="25"/>
  <c r="E151" i="25" s="1"/>
  <c r="F151" i="25" s="1"/>
  <c r="AA151" i="25" s="1"/>
  <c r="Z151" i="25" s="1"/>
  <c r="Y151" i="25" s="1"/>
  <c r="W206" i="25"/>
  <c r="D206" i="25"/>
  <c r="E206" i="25" s="1"/>
  <c r="F206" i="25" s="1"/>
  <c r="W341" i="25"/>
  <c r="D341" i="25"/>
  <c r="E341" i="25" s="1"/>
  <c r="F341" i="25" s="1"/>
  <c r="AA341" i="25" s="1"/>
  <c r="Z341" i="25" s="1"/>
  <c r="Y341" i="25" s="1"/>
  <c r="D338" i="25"/>
  <c r="E338" i="25" s="1"/>
  <c r="F338" i="25" s="1"/>
  <c r="G338" i="25" s="1"/>
  <c r="CF338" i="6" s="1"/>
  <c r="W338" i="25"/>
  <c r="I364" i="24"/>
  <c r="J364" i="24"/>
  <c r="J29" i="24"/>
  <c r="I29" i="24"/>
  <c r="H29" i="25" s="1"/>
  <c r="I29" i="25" s="1"/>
  <c r="D292" i="25"/>
  <c r="E292" i="25" s="1"/>
  <c r="F292" i="25" s="1"/>
  <c r="W292" i="25"/>
  <c r="D205" i="25"/>
  <c r="E205" i="25" s="1"/>
  <c r="F205" i="25" s="1"/>
  <c r="W205" i="25"/>
  <c r="W304" i="25"/>
  <c r="D304" i="25"/>
  <c r="E304" i="25" s="1"/>
  <c r="F304" i="25" s="1"/>
  <c r="W326" i="25"/>
  <c r="D326" i="25"/>
  <c r="E326" i="25" s="1"/>
  <c r="F326" i="25" s="1"/>
  <c r="W373" i="25"/>
  <c r="D373" i="25"/>
  <c r="E373" i="25" s="1"/>
  <c r="F373" i="25" s="1"/>
  <c r="G373" i="25" s="1"/>
  <c r="CF373" i="6" s="1"/>
  <c r="W22" i="25"/>
  <c r="D22" i="25"/>
  <c r="E22" i="25" s="1"/>
  <c r="F22" i="25" s="1"/>
  <c r="W202" i="25"/>
  <c r="D202" i="25"/>
  <c r="E202" i="25" s="1"/>
  <c r="F202" i="25" s="1"/>
  <c r="W211" i="25"/>
  <c r="D211" i="25"/>
  <c r="E211" i="25" s="1"/>
  <c r="F211" i="25" s="1"/>
  <c r="G211" i="25" s="1"/>
  <c r="CF211" i="6" s="1"/>
  <c r="W69" i="25"/>
  <c r="D69" i="25"/>
  <c r="E69" i="25" s="1"/>
  <c r="F69" i="25" s="1"/>
  <c r="D318" i="25"/>
  <c r="E318" i="25" s="1"/>
  <c r="F318" i="25" s="1"/>
  <c r="W318" i="25"/>
  <c r="W251" i="25"/>
  <c r="D251" i="25"/>
  <c r="E251" i="25" s="1"/>
  <c r="F251" i="25" s="1"/>
  <c r="D40" i="25"/>
  <c r="E40" i="25" s="1"/>
  <c r="F40" i="25" s="1"/>
  <c r="AA40" i="25" s="1"/>
  <c r="Z40" i="25" s="1"/>
  <c r="Y40" i="25" s="1"/>
  <c r="W40" i="25"/>
  <c r="W244" i="25"/>
  <c r="D244" i="25"/>
  <c r="E244" i="25" s="1"/>
  <c r="F244" i="25" s="1"/>
  <c r="P379" i="25"/>
  <c r="D248" i="25"/>
  <c r="E248" i="25" s="1"/>
  <c r="F248" i="25" s="1"/>
  <c r="W248" i="25"/>
  <c r="W110" i="25"/>
  <c r="D110" i="25"/>
  <c r="E110" i="25" s="1"/>
  <c r="F110" i="25" s="1"/>
  <c r="D245" i="25"/>
  <c r="E245" i="25" s="1"/>
  <c r="F245" i="25" s="1"/>
  <c r="W245" i="25"/>
  <c r="W116" i="25"/>
  <c r="D116" i="25"/>
  <c r="E116" i="25" s="1"/>
  <c r="F116" i="25" s="1"/>
  <c r="B172" i="25"/>
  <c r="D43" i="25"/>
  <c r="E43" i="25" s="1"/>
  <c r="F43" i="25" s="1"/>
  <c r="W43" i="25"/>
  <c r="J320" i="24"/>
  <c r="I320" i="24"/>
  <c r="AE383" i="25"/>
  <c r="AE382" i="25"/>
  <c r="AE381" i="25"/>
  <c r="W218" i="25"/>
  <c r="D218" i="25"/>
  <c r="E218" i="25" s="1"/>
  <c r="F218" i="25" s="1"/>
  <c r="Q383" i="25"/>
  <c r="Q381" i="25"/>
  <c r="I74" i="24"/>
  <c r="J74" i="24"/>
  <c r="J135" i="24"/>
  <c r="I135" i="24"/>
  <c r="B210" i="25"/>
  <c r="H70" i="19"/>
  <c r="AA47" i="25"/>
  <c r="Z47" i="25" s="1"/>
  <c r="Y47" i="25" s="1"/>
  <c r="AA66" i="25"/>
  <c r="Z66" i="25" s="1"/>
  <c r="Y66" i="25" s="1"/>
  <c r="AA128" i="25"/>
  <c r="Z128" i="25" s="1"/>
  <c r="Y128" i="25" s="1"/>
  <c r="AA77" i="25"/>
  <c r="Z77" i="25" s="1"/>
  <c r="Y77" i="25" s="1"/>
  <c r="J148" i="24"/>
  <c r="I148" i="24"/>
  <c r="H148" i="25" s="1"/>
  <c r="D214" i="25"/>
  <c r="E214" i="25" s="1"/>
  <c r="F214" i="25" s="1"/>
  <c r="W214" i="25"/>
  <c r="B50" i="25"/>
  <c r="D193" i="25"/>
  <c r="E193" i="25" s="1"/>
  <c r="F193" i="25" s="1"/>
  <c r="W193" i="25"/>
  <c r="W224" i="25"/>
  <c r="D224" i="25"/>
  <c r="E224" i="25" s="1"/>
  <c r="F224" i="25" s="1"/>
  <c r="D370" i="25"/>
  <c r="E370" i="25" s="1"/>
  <c r="F370" i="25" s="1"/>
  <c r="W370" i="25"/>
  <c r="I166" i="24"/>
  <c r="H166" i="25" s="1"/>
  <c r="I166" i="25" s="1"/>
  <c r="J166" i="24"/>
  <c r="J197" i="24"/>
  <c r="I197" i="24"/>
  <c r="W274" i="25"/>
  <c r="D274" i="25"/>
  <c r="E274" i="25" s="1"/>
  <c r="F274" i="25" s="1"/>
  <c r="B297" i="25"/>
  <c r="Q382" i="25"/>
  <c r="J105" i="24"/>
  <c r="I105" i="24"/>
  <c r="H105" i="25" s="1"/>
  <c r="I105" i="25" s="1"/>
  <c r="I149" i="24"/>
  <c r="J149" i="24"/>
  <c r="I119" i="24"/>
  <c r="J119" i="24"/>
  <c r="G53" i="25"/>
  <c r="CF53" i="6" s="1"/>
  <c r="H53" i="25"/>
  <c r="AA53" i="25"/>
  <c r="Z53" i="25" s="1"/>
  <c r="Y53" i="25" s="1"/>
  <c r="H160" i="25"/>
  <c r="G160" i="25"/>
  <c r="CF160" i="6" s="1"/>
  <c r="AA160" i="25"/>
  <c r="Z160" i="25" s="1"/>
  <c r="Y160" i="25" s="1"/>
  <c r="AA360" i="25"/>
  <c r="Z360" i="25" s="1"/>
  <c r="Y360" i="25" s="1"/>
  <c r="G360" i="25"/>
  <c r="CF360" i="6" s="1"/>
  <c r="H37" i="25"/>
  <c r="G37" i="25"/>
  <c r="CF37" i="6" s="1"/>
  <c r="G91" i="25"/>
  <c r="CF91" i="6" s="1"/>
  <c r="AA91" i="25"/>
  <c r="Z91" i="25" s="1"/>
  <c r="Y91" i="25" s="1"/>
  <c r="G232" i="25"/>
  <c r="CF232" i="6" s="1"/>
  <c r="H78" i="25"/>
  <c r="G78" i="25"/>
  <c r="CF78" i="6" s="1"/>
  <c r="G336" i="25"/>
  <c r="CF336" i="6" s="1"/>
  <c r="AA157" i="25"/>
  <c r="Z157" i="25" s="1"/>
  <c r="Y157" i="25" s="1"/>
  <c r="H157" i="25"/>
  <c r="G157" i="25"/>
  <c r="CF157" i="6" s="1"/>
  <c r="G170" i="25"/>
  <c r="CF170" i="6" s="1"/>
  <c r="H170" i="25"/>
  <c r="H178" i="25"/>
  <c r="G178" i="25"/>
  <c r="CF178" i="6" s="1"/>
  <c r="AA48" i="25"/>
  <c r="Z48" i="25" s="1"/>
  <c r="Y48" i="25" s="1"/>
  <c r="G48" i="25"/>
  <c r="CF48" i="6" s="1"/>
  <c r="AA351" i="25"/>
  <c r="Z351" i="25" s="1"/>
  <c r="Y351" i="25" s="1"/>
  <c r="G351" i="25"/>
  <c r="CF351" i="6" s="1"/>
  <c r="G127" i="25"/>
  <c r="CF127" i="6" s="1"/>
  <c r="AA127" i="25"/>
  <c r="Z127" i="25" s="1"/>
  <c r="Y127" i="25" s="1"/>
  <c r="H348" i="25"/>
  <c r="G348" i="25"/>
  <c r="CF348" i="6" s="1"/>
  <c r="AA348" i="25"/>
  <c r="Z348" i="25" s="1"/>
  <c r="Y348" i="25" s="1"/>
  <c r="G19" i="25"/>
  <c r="CF19" i="6" s="1"/>
  <c r="G299" i="25"/>
  <c r="CF299" i="6" s="1"/>
  <c r="AA299" i="25"/>
  <c r="Z299" i="25" s="1"/>
  <c r="Y299" i="25" s="1"/>
  <c r="H299" i="25"/>
  <c r="H25" i="25"/>
  <c r="AA25" i="25"/>
  <c r="Z25" i="25" s="1"/>
  <c r="Y25" i="25" s="1"/>
  <c r="G25" i="25"/>
  <c r="CF25" i="6" s="1"/>
  <c r="AA323" i="25"/>
  <c r="Z323" i="25" s="1"/>
  <c r="Y323" i="25" s="1"/>
  <c r="G323" i="25"/>
  <c r="CF323" i="6" s="1"/>
  <c r="H65" i="25"/>
  <c r="AA65" i="25"/>
  <c r="Z65" i="25" s="1"/>
  <c r="Y65" i="25" s="1"/>
  <c r="G65" i="25"/>
  <c r="CF65" i="6" s="1"/>
  <c r="W195" i="25"/>
  <c r="D195" i="25"/>
  <c r="E195" i="25" s="1"/>
  <c r="F195" i="25" s="1"/>
  <c r="G106" i="25"/>
  <c r="CF106" i="6" s="1"/>
  <c r="H106" i="25"/>
  <c r="G264" i="25"/>
  <c r="CF264" i="6" s="1"/>
  <c r="H221" i="25"/>
  <c r="G221" i="25"/>
  <c r="CF221" i="6" s="1"/>
  <c r="G118" i="25"/>
  <c r="CF118" i="6" s="1"/>
  <c r="J380" i="24"/>
  <c r="I380" i="24"/>
  <c r="H380" i="25" s="1"/>
  <c r="I272" i="24"/>
  <c r="J272" i="24"/>
  <c r="D15" i="23"/>
  <c r="W15" i="23"/>
  <c r="AG383" i="25"/>
  <c r="AG381" i="25"/>
  <c r="AG382" i="25"/>
  <c r="AF15" i="25"/>
  <c r="S381" i="25"/>
  <c r="R15" i="25"/>
  <c r="S383" i="25"/>
  <c r="S382" i="25"/>
  <c r="G15" i="22"/>
  <c r="CC15" i="6" s="1"/>
  <c r="AA15" i="22"/>
  <c r="BA15" i="6"/>
  <c r="J15" i="20"/>
  <c r="I15" i="20"/>
  <c r="Z15" i="20"/>
  <c r="P382" i="24"/>
  <c r="P383" i="24"/>
  <c r="P381" i="24"/>
  <c r="V15" i="24"/>
  <c r="AD383" i="24"/>
  <c r="AD381" i="24"/>
  <c r="AD382" i="24"/>
  <c r="I239" i="24" l="1"/>
  <c r="H239" i="25" s="1"/>
  <c r="J56" i="25"/>
  <c r="H154" i="25"/>
  <c r="I154" i="25" s="1"/>
  <c r="H44" i="25"/>
  <c r="I44" i="25" s="1"/>
  <c r="B333" i="25"/>
  <c r="D333" i="25" s="1"/>
  <c r="E333" i="25" s="1"/>
  <c r="F333" i="25" s="1"/>
  <c r="H258" i="25"/>
  <c r="I258" i="25" s="1"/>
  <c r="AA132" i="25"/>
  <c r="Z132" i="25" s="1"/>
  <c r="Y132" i="25" s="1"/>
  <c r="I357" i="25"/>
  <c r="AA290" i="25"/>
  <c r="Z290" i="25" s="1"/>
  <c r="Y290" i="25" s="1"/>
  <c r="I190" i="25"/>
  <c r="H111" i="25"/>
  <c r="I111" i="25" s="1"/>
  <c r="G353" i="25"/>
  <c r="CF353" i="6" s="1"/>
  <c r="G343" i="25"/>
  <c r="CF343" i="6" s="1"/>
  <c r="J343" i="25"/>
  <c r="H290" i="25"/>
  <c r="J290" i="25" s="1"/>
  <c r="H74" i="25"/>
  <c r="J74" i="25" s="1"/>
  <c r="AA74" i="25"/>
  <c r="Z74" i="25" s="1"/>
  <c r="Y74" i="25" s="1"/>
  <c r="AA100" i="25"/>
  <c r="Z100" i="25" s="1"/>
  <c r="Y100" i="25" s="1"/>
  <c r="H100" i="25"/>
  <c r="I100" i="25" s="1"/>
  <c r="H73" i="25"/>
  <c r="I73" i="25" s="1"/>
  <c r="AA357" i="25"/>
  <c r="Z357" i="25" s="1"/>
  <c r="Y357" i="25" s="1"/>
  <c r="AA73" i="25"/>
  <c r="Z73" i="25" s="1"/>
  <c r="Y73" i="25" s="1"/>
  <c r="AA80" i="25"/>
  <c r="Z80" i="25" s="1"/>
  <c r="Y80" i="25" s="1"/>
  <c r="AA353" i="25"/>
  <c r="Z353" i="25" s="1"/>
  <c r="Y353" i="25" s="1"/>
  <c r="AA111" i="25"/>
  <c r="Z111" i="25" s="1"/>
  <c r="Y111" i="25" s="1"/>
  <c r="H293" i="25"/>
  <c r="I293" i="25" s="1"/>
  <c r="D60" i="25"/>
  <c r="E60" i="25" s="1"/>
  <c r="F60" i="25" s="1"/>
  <c r="AA60" i="25" s="1"/>
  <c r="Z60" i="25" s="1"/>
  <c r="Y60" i="25" s="1"/>
  <c r="G357" i="25"/>
  <c r="CF357" i="6" s="1"/>
  <c r="H320" i="25"/>
  <c r="J320" i="25" s="1"/>
  <c r="AA320" i="25"/>
  <c r="Z320" i="25" s="1"/>
  <c r="Y320" i="25" s="1"/>
  <c r="J70" i="19"/>
  <c r="J57" i="19" s="1"/>
  <c r="AA258" i="25"/>
  <c r="Z258" i="25" s="1"/>
  <c r="Y258" i="25" s="1"/>
  <c r="AA343" i="25"/>
  <c r="Z343" i="25" s="1"/>
  <c r="Y343" i="25" s="1"/>
  <c r="AA96" i="25"/>
  <c r="Z96" i="25" s="1"/>
  <c r="Y96" i="25" s="1"/>
  <c r="AA293" i="25"/>
  <c r="Z293" i="25" s="1"/>
  <c r="Y293" i="25" s="1"/>
  <c r="I98" i="25"/>
  <c r="I250" i="25"/>
  <c r="G143" i="25"/>
  <c r="CF143" i="6" s="1"/>
  <c r="AA44" i="25"/>
  <c r="Z44" i="25" s="1"/>
  <c r="Y44" i="25" s="1"/>
  <c r="H310" i="25"/>
  <c r="I310" i="25" s="1"/>
  <c r="AA310" i="25"/>
  <c r="Z310" i="25" s="1"/>
  <c r="Y310" i="25" s="1"/>
  <c r="AA71" i="25"/>
  <c r="Z71" i="25" s="1"/>
  <c r="Y71" i="25" s="1"/>
  <c r="H71" i="25"/>
  <c r="I71" i="25" s="1"/>
  <c r="AA102" i="25"/>
  <c r="Z102" i="25" s="1"/>
  <c r="Y102" i="25" s="1"/>
  <c r="J261" i="25"/>
  <c r="AA120" i="25"/>
  <c r="Z120" i="25" s="1"/>
  <c r="Y120" i="25" s="1"/>
  <c r="H120" i="25"/>
  <c r="J120" i="25" s="1"/>
  <c r="AA282" i="25"/>
  <c r="Z282" i="25" s="1"/>
  <c r="Y282" i="25" s="1"/>
  <c r="AA158" i="25"/>
  <c r="Z158" i="25" s="1"/>
  <c r="Y158" i="25" s="1"/>
  <c r="H289" i="25"/>
  <c r="I289" i="25" s="1"/>
  <c r="I66" i="25"/>
  <c r="G147" i="25"/>
  <c r="CF147" i="6" s="1"/>
  <c r="J46" i="24"/>
  <c r="H282" i="25"/>
  <c r="I282" i="25" s="1"/>
  <c r="AA152" i="25"/>
  <c r="Z152" i="25" s="1"/>
  <c r="Y152" i="25" s="1"/>
  <c r="AA121" i="25"/>
  <c r="Z121" i="25" s="1"/>
  <c r="Y121" i="25" s="1"/>
  <c r="AA143" i="25"/>
  <c r="Z143" i="25" s="1"/>
  <c r="Y143" i="25" s="1"/>
  <c r="H121" i="25"/>
  <c r="J121" i="25" s="1"/>
  <c r="G79" i="25"/>
  <c r="CF79" i="6" s="1"/>
  <c r="G134" i="25"/>
  <c r="CF134" i="6" s="1"/>
  <c r="AA56" i="25"/>
  <c r="Z56" i="25" s="1"/>
  <c r="Y56" i="25" s="1"/>
  <c r="I62" i="25"/>
  <c r="G366" i="25"/>
  <c r="CF366" i="6" s="1"/>
  <c r="G263" i="25"/>
  <c r="CF263" i="6" s="1"/>
  <c r="D88" i="25"/>
  <c r="E88" i="25" s="1"/>
  <c r="F88" i="25" s="1"/>
  <c r="H88" i="25" s="1"/>
  <c r="I216" i="25"/>
  <c r="D119" i="25"/>
  <c r="E119" i="25" s="1"/>
  <c r="F119" i="25" s="1"/>
  <c r="AA119" i="25" s="1"/>
  <c r="Z119" i="25" s="1"/>
  <c r="Y119" i="25" s="1"/>
  <c r="AA133" i="25"/>
  <c r="Z133" i="25" s="1"/>
  <c r="Y133" i="25" s="1"/>
  <c r="I38" i="25"/>
  <c r="H315" i="25"/>
  <c r="J315" i="25" s="1"/>
  <c r="J33" i="25"/>
  <c r="H208" i="25"/>
  <c r="I208" i="25" s="1"/>
  <c r="G265" i="25"/>
  <c r="CF265" i="6" s="1"/>
  <c r="AA115" i="25"/>
  <c r="Z115" i="25" s="1"/>
  <c r="Y115" i="25" s="1"/>
  <c r="G167" i="25"/>
  <c r="CF167" i="6" s="1"/>
  <c r="AA203" i="25"/>
  <c r="Z203" i="25" s="1"/>
  <c r="Y203" i="25" s="1"/>
  <c r="AA156" i="25"/>
  <c r="Z156" i="25" s="1"/>
  <c r="Y156" i="25" s="1"/>
  <c r="H156" i="25"/>
  <c r="I156" i="25" s="1"/>
  <c r="G177" i="25"/>
  <c r="CF177" i="6" s="1"/>
  <c r="AA112" i="25"/>
  <c r="Z112" i="25" s="1"/>
  <c r="Y112" i="25" s="1"/>
  <c r="H133" i="25"/>
  <c r="I133" i="25" s="1"/>
  <c r="J359" i="25"/>
  <c r="AA246" i="25"/>
  <c r="Z246" i="25" s="1"/>
  <c r="Y246" i="25" s="1"/>
  <c r="AA81" i="25"/>
  <c r="Z81" i="25" s="1"/>
  <c r="Y81" i="25" s="1"/>
  <c r="J186" i="25"/>
  <c r="H96" i="25"/>
  <c r="I96" i="25" s="1"/>
  <c r="J134" i="25"/>
  <c r="H112" i="25"/>
  <c r="I112" i="25" s="1"/>
  <c r="I290" i="25"/>
  <c r="H57" i="25"/>
  <c r="J57" i="25" s="1"/>
  <c r="H296" i="25"/>
  <c r="I296" i="25" s="1"/>
  <c r="AA46" i="25"/>
  <c r="Z46" i="25" s="1"/>
  <c r="Y46" i="25" s="1"/>
  <c r="AA266" i="25"/>
  <c r="Z266" i="25" s="1"/>
  <c r="Y266" i="25" s="1"/>
  <c r="H123" i="25"/>
  <c r="J123" i="25" s="1"/>
  <c r="G365" i="25"/>
  <c r="CF365" i="6" s="1"/>
  <c r="AA159" i="25"/>
  <c r="Z159" i="25" s="1"/>
  <c r="Y159" i="25" s="1"/>
  <c r="H256" i="25"/>
  <c r="J256" i="25" s="1"/>
  <c r="J349" i="25"/>
  <c r="J31" i="25"/>
  <c r="G315" i="25"/>
  <c r="CF315" i="6" s="1"/>
  <c r="H203" i="25"/>
  <c r="J203" i="25" s="1"/>
  <c r="H344" i="25"/>
  <c r="J344" i="25" s="1"/>
  <c r="C70" i="19"/>
  <c r="C59" i="19" s="1"/>
  <c r="AA24" i="25"/>
  <c r="Z24" i="25" s="1"/>
  <c r="Y24" i="25" s="1"/>
  <c r="AA38" i="25"/>
  <c r="Z38" i="25" s="1"/>
  <c r="Y38" i="25" s="1"/>
  <c r="G38" i="25"/>
  <c r="CF38" i="6" s="1"/>
  <c r="AA303" i="25"/>
  <c r="Z303" i="25" s="1"/>
  <c r="Y303" i="25" s="1"/>
  <c r="G303" i="25"/>
  <c r="CF303" i="6" s="1"/>
  <c r="J303" i="25"/>
  <c r="H374" i="25"/>
  <c r="J374" i="25" s="1"/>
  <c r="J242" i="25"/>
  <c r="H368" i="25"/>
  <c r="I368" i="25" s="1"/>
  <c r="G137" i="25"/>
  <c r="CF137" i="6" s="1"/>
  <c r="AA189" i="25"/>
  <c r="Z189" i="25" s="1"/>
  <c r="Y189" i="25" s="1"/>
  <c r="I312" i="25"/>
  <c r="J112" i="24"/>
  <c r="J112" i="25" s="1"/>
  <c r="H358" i="25"/>
  <c r="I358" i="25" s="1"/>
  <c r="H46" i="25"/>
  <c r="I46" i="25" s="1"/>
  <c r="J302" i="24"/>
  <c r="J132" i="25"/>
  <c r="I132" i="25"/>
  <c r="J363" i="25"/>
  <c r="AA289" i="25"/>
  <c r="Z289" i="25" s="1"/>
  <c r="Y289" i="25" s="1"/>
  <c r="J102" i="25"/>
  <c r="J189" i="25"/>
  <c r="H324" i="25"/>
  <c r="I324" i="25" s="1"/>
  <c r="AA368" i="25"/>
  <c r="Z368" i="25" s="1"/>
  <c r="Y368" i="25" s="1"/>
  <c r="AA296" i="25"/>
  <c r="Z296" i="25" s="1"/>
  <c r="Y296" i="25" s="1"/>
  <c r="H150" i="25"/>
  <c r="J150" i="25" s="1"/>
  <c r="I301" i="24"/>
  <c r="H301" i="25" s="1"/>
  <c r="J301" i="25" s="1"/>
  <c r="AA344" i="25"/>
  <c r="Z344" i="25" s="1"/>
  <c r="Y344" i="25" s="1"/>
  <c r="AA324" i="25"/>
  <c r="Z324" i="25" s="1"/>
  <c r="Y324" i="25" s="1"/>
  <c r="AA153" i="25"/>
  <c r="Z153" i="25" s="1"/>
  <c r="Y153" i="25" s="1"/>
  <c r="I32" i="25"/>
  <c r="J284" i="25"/>
  <c r="H136" i="25"/>
  <c r="I136" i="25" s="1"/>
  <c r="AA64" i="25"/>
  <c r="Z64" i="25" s="1"/>
  <c r="Y64" i="25" s="1"/>
  <c r="H64" i="25"/>
  <c r="J64" i="25" s="1"/>
  <c r="AA270" i="25"/>
  <c r="Z270" i="25" s="1"/>
  <c r="Y270" i="25" s="1"/>
  <c r="I187" i="25"/>
  <c r="AA79" i="25"/>
  <c r="Z79" i="25" s="1"/>
  <c r="Y79" i="25" s="1"/>
  <c r="AA134" i="25"/>
  <c r="Z134" i="25" s="1"/>
  <c r="Y134" i="25" s="1"/>
  <c r="G189" i="25"/>
  <c r="CF189" i="6" s="1"/>
  <c r="H159" i="25"/>
  <c r="I159" i="25" s="1"/>
  <c r="AA147" i="25"/>
  <c r="Z147" i="25" s="1"/>
  <c r="Y147" i="25" s="1"/>
  <c r="J258" i="25"/>
  <c r="I47" i="25"/>
  <c r="G104" i="25"/>
  <c r="CF104" i="6" s="1"/>
  <c r="H366" i="25"/>
  <c r="J366" i="25" s="1"/>
  <c r="H267" i="25"/>
  <c r="J267" i="25" s="1"/>
  <c r="G327" i="25"/>
  <c r="CF327" i="6" s="1"/>
  <c r="H197" i="25"/>
  <c r="I197" i="25" s="1"/>
  <c r="AA164" i="25"/>
  <c r="Z164" i="25" s="1"/>
  <c r="Y164" i="25" s="1"/>
  <c r="AA199" i="25"/>
  <c r="Z199" i="25" s="1"/>
  <c r="Y199" i="25" s="1"/>
  <c r="AA281" i="25"/>
  <c r="Z281" i="25" s="1"/>
  <c r="Y281" i="25" s="1"/>
  <c r="E70" i="19"/>
  <c r="AA342" i="25"/>
  <c r="Z342" i="25" s="1"/>
  <c r="Y342" i="25" s="1"/>
  <c r="J34" i="25"/>
  <c r="H361" i="25"/>
  <c r="J361" i="25" s="1"/>
  <c r="G154" i="25"/>
  <c r="CF154" i="6" s="1"/>
  <c r="AA168" i="25"/>
  <c r="Z168" i="25" s="1"/>
  <c r="Y168" i="25" s="1"/>
  <c r="H168" i="25"/>
  <c r="I168" i="25" s="1"/>
  <c r="AA23" i="25"/>
  <c r="Z23" i="25" s="1"/>
  <c r="Y23" i="25" s="1"/>
  <c r="I342" i="25"/>
  <c r="H246" i="25"/>
  <c r="J246" i="25" s="1"/>
  <c r="AA197" i="25"/>
  <c r="Z197" i="25" s="1"/>
  <c r="Y197" i="25" s="1"/>
  <c r="AA256" i="25"/>
  <c r="Z256" i="25" s="1"/>
  <c r="Y256" i="25" s="1"/>
  <c r="I23" i="25"/>
  <c r="G267" i="25"/>
  <c r="CF267" i="6" s="1"/>
  <c r="H179" i="25"/>
  <c r="J179" i="25" s="1"/>
  <c r="W302" i="25"/>
  <c r="H27" i="25"/>
  <c r="J27" i="25" s="1"/>
  <c r="AA222" i="25"/>
  <c r="Z222" i="25" s="1"/>
  <c r="Y222" i="25" s="1"/>
  <c r="G249" i="25"/>
  <c r="CF249" i="6" s="1"/>
  <c r="H165" i="25"/>
  <c r="I165" i="25" s="1"/>
  <c r="H327" i="25"/>
  <c r="I327" i="25" s="1"/>
  <c r="AA249" i="25"/>
  <c r="Z249" i="25" s="1"/>
  <c r="Y249" i="25" s="1"/>
  <c r="AA286" i="25"/>
  <c r="Z286" i="25" s="1"/>
  <c r="Y286" i="25" s="1"/>
  <c r="H356" i="25"/>
  <c r="G225" i="25"/>
  <c r="CF225" i="6" s="1"/>
  <c r="H142" i="25"/>
  <c r="I142" i="25" s="1"/>
  <c r="H198" i="25"/>
  <c r="I198" i="25" s="1"/>
  <c r="H223" i="25"/>
  <c r="I223" i="25" s="1"/>
  <c r="G23" i="25"/>
  <c r="CF23" i="6" s="1"/>
  <c r="H81" i="25"/>
  <c r="H229" i="25"/>
  <c r="I229" i="25" s="1"/>
  <c r="AA109" i="25"/>
  <c r="Z109" i="25" s="1"/>
  <c r="Y109" i="25" s="1"/>
  <c r="G199" i="25"/>
  <c r="CF199" i="6" s="1"/>
  <c r="H138" i="25"/>
  <c r="J138" i="25" s="1"/>
  <c r="AA27" i="25"/>
  <c r="Z27" i="25" s="1"/>
  <c r="Y27" i="25" s="1"/>
  <c r="AA361" i="25"/>
  <c r="Z361" i="25" s="1"/>
  <c r="Y361" i="25" s="1"/>
  <c r="J262" i="25"/>
  <c r="AA223" i="25"/>
  <c r="Z223" i="25" s="1"/>
  <c r="Y223" i="25" s="1"/>
  <c r="G101" i="25"/>
  <c r="CF101" i="6" s="1"/>
  <c r="AA217" i="25"/>
  <c r="Z217" i="25" s="1"/>
  <c r="Y217" i="25" s="1"/>
  <c r="J130" i="25"/>
  <c r="I171" i="25"/>
  <c r="G229" i="25"/>
  <c r="CF229" i="6" s="1"/>
  <c r="H217" i="25"/>
  <c r="I217" i="25" s="1"/>
  <c r="AA142" i="25"/>
  <c r="Z142" i="25" s="1"/>
  <c r="Y142" i="25" s="1"/>
  <c r="AA138" i="25"/>
  <c r="Z138" i="25" s="1"/>
  <c r="Y138" i="25" s="1"/>
  <c r="I186" i="25"/>
  <c r="AA374" i="25"/>
  <c r="Z374" i="25" s="1"/>
  <c r="Y374" i="25" s="1"/>
  <c r="AA154" i="25"/>
  <c r="Z154" i="25" s="1"/>
  <c r="Y154" i="25" s="1"/>
  <c r="AA242" i="25"/>
  <c r="Z242" i="25" s="1"/>
  <c r="Y242" i="25" s="1"/>
  <c r="G242" i="25"/>
  <c r="CF242" i="6" s="1"/>
  <c r="H164" i="25"/>
  <c r="J164" i="25" s="1"/>
  <c r="H237" i="25"/>
  <c r="G237" i="25"/>
  <c r="CF237" i="6" s="1"/>
  <c r="I140" i="25"/>
  <c r="W180" i="25"/>
  <c r="G281" i="25"/>
  <c r="CF281" i="6" s="1"/>
  <c r="H137" i="25"/>
  <c r="I137" i="25" s="1"/>
  <c r="G208" i="25"/>
  <c r="CF208" i="6" s="1"/>
  <c r="G255" i="25"/>
  <c r="CF255" i="6" s="1"/>
  <c r="G28" i="25"/>
  <c r="CF28" i="6" s="1"/>
  <c r="B149" i="25"/>
  <c r="W149" i="25" s="1"/>
  <c r="G70" i="19"/>
  <c r="G58" i="19" s="1"/>
  <c r="AA241" i="25"/>
  <c r="Z241" i="25" s="1"/>
  <c r="Y241" i="25" s="1"/>
  <c r="H153" i="25"/>
  <c r="J153" i="25" s="1"/>
  <c r="H270" i="25"/>
  <c r="J270" i="25" s="1"/>
  <c r="D70" i="19"/>
  <c r="D58" i="19" s="1"/>
  <c r="AA355" i="25"/>
  <c r="Z355" i="25" s="1"/>
  <c r="Y355" i="25" s="1"/>
  <c r="H355" i="25"/>
  <c r="J355" i="25" s="1"/>
  <c r="H67" i="25"/>
  <c r="I67" i="25" s="1"/>
  <c r="J173" i="25"/>
  <c r="H266" i="25"/>
  <c r="I266" i="25" s="1"/>
  <c r="J114" i="25"/>
  <c r="I79" i="25"/>
  <c r="G226" i="25"/>
  <c r="CF226" i="6" s="1"/>
  <c r="H226" i="25"/>
  <c r="J252" i="25"/>
  <c r="I252" i="25"/>
  <c r="AA226" i="25"/>
  <c r="Z226" i="25" s="1"/>
  <c r="Y226" i="25" s="1"/>
  <c r="AA338" i="25"/>
  <c r="Z338" i="25" s="1"/>
  <c r="Y338" i="25" s="1"/>
  <c r="I147" i="25"/>
  <c r="J259" i="25"/>
  <c r="G247" i="25"/>
  <c r="CF247" i="6" s="1"/>
  <c r="H247" i="25"/>
  <c r="J45" i="25"/>
  <c r="I45" i="25"/>
  <c r="H158" i="25"/>
  <c r="G158" i="25"/>
  <c r="CF158" i="6" s="1"/>
  <c r="G283" i="25"/>
  <c r="CF283" i="6" s="1"/>
  <c r="H283" i="25"/>
  <c r="G54" i="25"/>
  <c r="CF54" i="6" s="1"/>
  <c r="H54" i="25"/>
  <c r="G369" i="25"/>
  <c r="CF369" i="6" s="1"/>
  <c r="H369" i="25"/>
  <c r="G89" i="25"/>
  <c r="CF89" i="6" s="1"/>
  <c r="H89" i="25"/>
  <c r="H124" i="25"/>
  <c r="G124" i="25"/>
  <c r="CF124" i="6" s="1"/>
  <c r="AA54" i="25"/>
  <c r="Z54" i="25" s="1"/>
  <c r="Y54" i="25" s="1"/>
  <c r="AA18" i="25"/>
  <c r="Z18" i="25" s="1"/>
  <c r="Y18" i="25" s="1"/>
  <c r="AA255" i="25"/>
  <c r="Z255" i="25" s="1"/>
  <c r="Y255" i="25" s="1"/>
  <c r="AA28" i="25"/>
  <c r="Z28" i="25" s="1"/>
  <c r="Y28" i="25" s="1"/>
  <c r="AA67" i="25"/>
  <c r="Z67" i="25" s="1"/>
  <c r="Y67" i="25" s="1"/>
  <c r="G342" i="25"/>
  <c r="CF342" i="6" s="1"/>
  <c r="AA228" i="25"/>
  <c r="Z228" i="25" s="1"/>
  <c r="Y228" i="25" s="1"/>
  <c r="J321" i="25"/>
  <c r="AA322" i="25"/>
  <c r="Z322" i="25" s="1"/>
  <c r="Y322" i="25" s="1"/>
  <c r="AA165" i="25"/>
  <c r="Z165" i="25" s="1"/>
  <c r="Y165" i="25" s="1"/>
  <c r="H101" i="25"/>
  <c r="I101" i="25" s="1"/>
  <c r="J51" i="25"/>
  <c r="J200" i="25"/>
  <c r="I212" i="25"/>
  <c r="I268" i="25"/>
  <c r="AA162" i="25"/>
  <c r="Z162" i="25" s="1"/>
  <c r="Y162" i="25" s="1"/>
  <c r="AA332" i="25"/>
  <c r="Z332" i="25" s="1"/>
  <c r="Y332" i="25" s="1"/>
  <c r="J351" i="25"/>
  <c r="AA124" i="25"/>
  <c r="Z124" i="25" s="1"/>
  <c r="Y124" i="25" s="1"/>
  <c r="H322" i="25"/>
  <c r="I322" i="25" s="1"/>
  <c r="H286" i="25"/>
  <c r="J286" i="25" s="1"/>
  <c r="H309" i="25"/>
  <c r="AA283" i="25"/>
  <c r="Z283" i="25" s="1"/>
  <c r="Y283" i="25" s="1"/>
  <c r="G329" i="25"/>
  <c r="CF329" i="6" s="1"/>
  <c r="H329" i="25"/>
  <c r="G308" i="25"/>
  <c r="CF308" i="6" s="1"/>
  <c r="H308" i="25"/>
  <c r="AA369" i="25"/>
  <c r="Z369" i="25" s="1"/>
  <c r="Y369" i="25" s="1"/>
  <c r="AA356" i="25"/>
  <c r="Z356" i="25" s="1"/>
  <c r="Y356" i="25" s="1"/>
  <c r="J241" i="25"/>
  <c r="I52" i="25"/>
  <c r="G241" i="25"/>
  <c r="CF241" i="6" s="1"/>
  <c r="H18" i="25"/>
  <c r="J18" i="25" s="1"/>
  <c r="AA179" i="25"/>
  <c r="Z179" i="25" s="1"/>
  <c r="Y179" i="25" s="1"/>
  <c r="AA292" i="25"/>
  <c r="Z292" i="25" s="1"/>
  <c r="Y292" i="25" s="1"/>
  <c r="J97" i="25"/>
  <c r="J354" i="25"/>
  <c r="AA365" i="25"/>
  <c r="Z365" i="25" s="1"/>
  <c r="Y365" i="25" s="1"/>
  <c r="D272" i="25"/>
  <c r="E272" i="25" s="1"/>
  <c r="F272" i="25" s="1"/>
  <c r="AA272" i="25" s="1"/>
  <c r="Z272" i="25" s="1"/>
  <c r="Y272" i="25" s="1"/>
  <c r="J94" i="25"/>
  <c r="H225" i="25"/>
  <c r="J225" i="25" s="1"/>
  <c r="J59" i="25"/>
  <c r="J306" i="25"/>
  <c r="AA287" i="25"/>
  <c r="Z287" i="25" s="1"/>
  <c r="Y287" i="25" s="1"/>
  <c r="AA340" i="25"/>
  <c r="Z340" i="25" s="1"/>
  <c r="Y340" i="25" s="1"/>
  <c r="H185" i="25"/>
  <c r="I185" i="25" s="1"/>
  <c r="H340" i="25"/>
  <c r="J340" i="25" s="1"/>
  <c r="I233" i="25"/>
  <c r="J233" i="25"/>
  <c r="I234" i="25"/>
  <c r="J234" i="25"/>
  <c r="I183" i="25"/>
  <c r="J183" i="25"/>
  <c r="H204" i="25"/>
  <c r="G204" i="25"/>
  <c r="CF204" i="6" s="1"/>
  <c r="I235" i="25"/>
  <c r="J235" i="25"/>
  <c r="AA236" i="25"/>
  <c r="Z236" i="25" s="1"/>
  <c r="Y236" i="25" s="1"/>
  <c r="I75" i="25"/>
  <c r="J154" i="25"/>
  <c r="J108" i="25"/>
  <c r="H265" i="25"/>
  <c r="I265" i="25" s="1"/>
  <c r="H104" i="25"/>
  <c r="J104" i="25" s="1"/>
  <c r="AA57" i="25"/>
  <c r="Z57" i="25" s="1"/>
  <c r="Y57" i="25" s="1"/>
  <c r="G257" i="25"/>
  <c r="CF257" i="6" s="1"/>
  <c r="K70" i="19"/>
  <c r="K57" i="19" s="1"/>
  <c r="H109" i="25"/>
  <c r="I109" i="25" s="1"/>
  <c r="J273" i="25"/>
  <c r="J58" i="25"/>
  <c r="J220" i="25"/>
  <c r="H162" i="25"/>
  <c r="I162" i="25" s="1"/>
  <c r="H115" i="25"/>
  <c r="I115" i="25" s="1"/>
  <c r="AA185" i="25"/>
  <c r="Z185" i="25" s="1"/>
  <c r="Y185" i="25" s="1"/>
  <c r="AA70" i="25"/>
  <c r="Z70" i="25" s="1"/>
  <c r="Y70" i="25" s="1"/>
  <c r="H70" i="25"/>
  <c r="J70" i="25" s="1"/>
  <c r="H287" i="25"/>
  <c r="J287" i="25" s="1"/>
  <c r="H332" i="25"/>
  <c r="I332" i="25" s="1"/>
  <c r="H236" i="25"/>
  <c r="I236" i="25" s="1"/>
  <c r="J305" i="25"/>
  <c r="I305" i="25"/>
  <c r="AA107" i="25"/>
  <c r="Z107" i="25" s="1"/>
  <c r="Y107" i="25" s="1"/>
  <c r="G307" i="25"/>
  <c r="CF307" i="6" s="1"/>
  <c r="H307" i="25"/>
  <c r="H107" i="25"/>
  <c r="J277" i="25"/>
  <c r="I316" i="25"/>
  <c r="I77" i="25"/>
  <c r="J77" i="25"/>
  <c r="I128" i="25"/>
  <c r="I134" i="25"/>
  <c r="I200" i="25"/>
  <c r="J143" i="25"/>
  <c r="I30" i="25"/>
  <c r="I59" i="25"/>
  <c r="J85" i="25"/>
  <c r="I353" i="25"/>
  <c r="J44" i="25"/>
  <c r="AA146" i="25"/>
  <c r="Z146" i="25" s="1"/>
  <c r="Y146" i="25" s="1"/>
  <c r="H227" i="25"/>
  <c r="G227" i="25"/>
  <c r="CF227" i="6" s="1"/>
  <c r="AA198" i="25"/>
  <c r="Z198" i="25" s="1"/>
  <c r="Y198" i="25" s="1"/>
  <c r="AA227" i="25"/>
  <c r="Z227" i="25" s="1"/>
  <c r="Y227" i="25" s="1"/>
  <c r="G213" i="25"/>
  <c r="CF213" i="6" s="1"/>
  <c r="H213" i="25"/>
  <c r="H174" i="25"/>
  <c r="G174" i="25"/>
  <c r="CF174" i="6" s="1"/>
  <c r="AA213" i="25"/>
  <c r="Z213" i="25" s="1"/>
  <c r="Y213" i="25" s="1"/>
  <c r="J313" i="25"/>
  <c r="I313" i="25"/>
  <c r="H269" i="25"/>
  <c r="G269" i="25"/>
  <c r="CF269" i="6" s="1"/>
  <c r="AA269" i="25"/>
  <c r="Z269" i="25" s="1"/>
  <c r="Y269" i="25" s="1"/>
  <c r="G49" i="25"/>
  <c r="CF49" i="6" s="1"/>
  <c r="H49" i="25"/>
  <c r="H76" i="25"/>
  <c r="G76" i="25"/>
  <c r="CF76" i="6" s="1"/>
  <c r="H345" i="25"/>
  <c r="G345" i="25"/>
  <c r="CF345" i="6" s="1"/>
  <c r="I26" i="25"/>
  <c r="J26" i="25"/>
  <c r="AA358" i="25"/>
  <c r="Z358" i="25" s="1"/>
  <c r="Y358" i="25" s="1"/>
  <c r="G362" i="25"/>
  <c r="CF362" i="6" s="1"/>
  <c r="H362" i="25"/>
  <c r="AA362" i="25"/>
  <c r="Z362" i="25" s="1"/>
  <c r="Y362" i="25" s="1"/>
  <c r="AA345" i="25"/>
  <c r="Z345" i="25" s="1"/>
  <c r="Y345" i="25" s="1"/>
  <c r="AA76" i="25"/>
  <c r="Z76" i="25" s="1"/>
  <c r="Y76" i="25" s="1"/>
  <c r="H24" i="25"/>
  <c r="I335" i="25"/>
  <c r="J335" i="25"/>
  <c r="I188" i="25"/>
  <c r="J188" i="25"/>
  <c r="I125" i="25"/>
  <c r="J125" i="25"/>
  <c r="H161" i="25"/>
  <c r="G161" i="25"/>
  <c r="CF161" i="6" s="1"/>
  <c r="I16" i="25"/>
  <c r="J16" i="25"/>
  <c r="I82" i="25"/>
  <c r="J82" i="25"/>
  <c r="I167" i="24"/>
  <c r="H167" i="25" s="1"/>
  <c r="I167" i="25" s="1"/>
  <c r="J167" i="24"/>
  <c r="H285" i="25"/>
  <c r="J17" i="25"/>
  <c r="I17" i="25"/>
  <c r="G319" i="25"/>
  <c r="CF319" i="6" s="1"/>
  <c r="H319" i="25"/>
  <c r="H278" i="25"/>
  <c r="G278" i="25"/>
  <c r="CF278" i="6" s="1"/>
  <c r="J182" i="25"/>
  <c r="I182" i="25"/>
  <c r="J126" i="25"/>
  <c r="I126" i="25"/>
  <c r="AA161" i="25"/>
  <c r="Z161" i="25" s="1"/>
  <c r="Y161" i="25" s="1"/>
  <c r="AA325" i="25"/>
  <c r="Z325" i="25" s="1"/>
  <c r="Y325" i="25" s="1"/>
  <c r="H325" i="25"/>
  <c r="J325" i="25" s="1"/>
  <c r="J87" i="25"/>
  <c r="I80" i="24"/>
  <c r="H80" i="25" s="1"/>
  <c r="I80" i="25" s="1"/>
  <c r="J80" i="24"/>
  <c r="G210" i="24"/>
  <c r="CE210" i="6" s="1"/>
  <c r="AA210" i="24"/>
  <c r="Z210" i="24" s="1"/>
  <c r="Y210" i="24" s="1"/>
  <c r="H210" i="24"/>
  <c r="J100" i="25"/>
  <c r="J68" i="25"/>
  <c r="G150" i="25"/>
  <c r="CF150" i="6" s="1"/>
  <c r="AA136" i="25"/>
  <c r="Z136" i="25" s="1"/>
  <c r="Y136" i="25" s="1"/>
  <c r="H163" i="25"/>
  <c r="I163" i="25" s="1"/>
  <c r="H61" i="25"/>
  <c r="I61" i="25" s="1"/>
  <c r="AA276" i="25"/>
  <c r="Z276" i="25" s="1"/>
  <c r="Y276" i="25" s="1"/>
  <c r="J257" i="25"/>
  <c r="AA301" i="25"/>
  <c r="Z301" i="25" s="1"/>
  <c r="Y301" i="25" s="1"/>
  <c r="H146" i="25"/>
  <c r="J146" i="25" s="1"/>
  <c r="H330" i="25"/>
  <c r="I330" i="25" s="1"/>
  <c r="AA257" i="25"/>
  <c r="Z257" i="25" s="1"/>
  <c r="Y257" i="25" s="1"/>
  <c r="H364" i="25"/>
  <c r="J364" i="25" s="1"/>
  <c r="J365" i="25"/>
  <c r="I365" i="25"/>
  <c r="I177" i="25"/>
  <c r="J177" i="25"/>
  <c r="I249" i="25"/>
  <c r="J249" i="25"/>
  <c r="J279" i="25"/>
  <c r="I279" i="25"/>
  <c r="J294" i="25"/>
  <c r="I294" i="25"/>
  <c r="G375" i="25"/>
  <c r="CF375" i="6" s="1"/>
  <c r="AA375" i="25"/>
  <c r="Z375" i="25" s="1"/>
  <c r="Y375" i="25" s="1"/>
  <c r="H375" i="25"/>
  <c r="H139" i="25"/>
  <c r="J139" i="25" s="1"/>
  <c r="H135" i="25"/>
  <c r="I135" i="25" s="1"/>
  <c r="AA372" i="25"/>
  <c r="Z372" i="25" s="1"/>
  <c r="Y372" i="25" s="1"/>
  <c r="J166" i="25"/>
  <c r="G123" i="25"/>
  <c r="CF123" i="6" s="1"/>
  <c r="AA123" i="25"/>
  <c r="Z123" i="25" s="1"/>
  <c r="Y123" i="25" s="1"/>
  <c r="J92" i="25"/>
  <c r="J240" i="25"/>
  <c r="I131" i="25"/>
  <c r="I298" i="25"/>
  <c r="I58" i="19"/>
  <c r="H228" i="25"/>
  <c r="I228" i="25" s="1"/>
  <c r="H263" i="25"/>
  <c r="I263" i="25" s="1"/>
  <c r="AA240" i="25"/>
  <c r="Z240" i="25" s="1"/>
  <c r="Y240" i="25" s="1"/>
  <c r="H372" i="25"/>
  <c r="H117" i="25"/>
  <c r="AA117" i="25"/>
  <c r="Z117" i="25" s="1"/>
  <c r="Y117" i="25" s="1"/>
  <c r="G117" i="25"/>
  <c r="CF117" i="6" s="1"/>
  <c r="AA61" i="25"/>
  <c r="Z61" i="25" s="1"/>
  <c r="Y61" i="25" s="1"/>
  <c r="I264" i="24"/>
  <c r="H264" i="25" s="1"/>
  <c r="I264" i="25" s="1"/>
  <c r="J264" i="24"/>
  <c r="AA90" i="25"/>
  <c r="Z90" i="25" s="1"/>
  <c r="Y90" i="25" s="1"/>
  <c r="G90" i="25"/>
  <c r="CF90" i="6" s="1"/>
  <c r="G240" i="25"/>
  <c r="CF240" i="6" s="1"/>
  <c r="J29" i="25"/>
  <c r="H276" i="25"/>
  <c r="I276" i="25" s="1"/>
  <c r="I90" i="25"/>
  <c r="J90" i="25"/>
  <c r="J288" i="25"/>
  <c r="I288" i="25"/>
  <c r="AA163" i="25"/>
  <c r="Z163" i="25" s="1"/>
  <c r="Y163" i="25" s="1"/>
  <c r="G176" i="25"/>
  <c r="CF176" i="6" s="1"/>
  <c r="H176" i="25"/>
  <c r="J99" i="25"/>
  <c r="J175" i="25"/>
  <c r="J181" i="25"/>
  <c r="I59" i="19"/>
  <c r="J105" i="25"/>
  <c r="H231" i="25"/>
  <c r="J231" i="25" s="1"/>
  <c r="J282" i="25"/>
  <c r="AA231" i="25"/>
  <c r="Z231" i="25" s="1"/>
  <c r="Y231" i="25" s="1"/>
  <c r="H346" i="25"/>
  <c r="G346" i="25"/>
  <c r="CF346" i="6" s="1"/>
  <c r="G378" i="25"/>
  <c r="CF378" i="6" s="1"/>
  <c r="H378" i="25"/>
  <c r="H314" i="25"/>
  <c r="G314" i="25"/>
  <c r="CF314" i="6" s="1"/>
  <c r="G317" i="25"/>
  <c r="CF317" i="6" s="1"/>
  <c r="H317" i="25"/>
  <c r="H271" i="25"/>
  <c r="G271" i="25"/>
  <c r="CF271" i="6" s="1"/>
  <c r="G280" i="25"/>
  <c r="CF280" i="6" s="1"/>
  <c r="H280" i="25"/>
  <c r="AA378" i="25"/>
  <c r="Z378" i="25" s="1"/>
  <c r="Y378" i="25" s="1"/>
  <c r="H337" i="25"/>
  <c r="AA280" i="25"/>
  <c r="Z280" i="25" s="1"/>
  <c r="Y280" i="25" s="1"/>
  <c r="AA317" i="25"/>
  <c r="Z317" i="25" s="1"/>
  <c r="Y317" i="25" s="1"/>
  <c r="AA346" i="25"/>
  <c r="Z346" i="25" s="1"/>
  <c r="Y346" i="25" s="1"/>
  <c r="AA314" i="25"/>
  <c r="Z314" i="25" s="1"/>
  <c r="Y314" i="25" s="1"/>
  <c r="G209" i="25"/>
  <c r="CF209" i="6" s="1"/>
  <c r="H209" i="25"/>
  <c r="G300" i="25"/>
  <c r="CF300" i="6" s="1"/>
  <c r="H300" i="25"/>
  <c r="AA135" i="25"/>
  <c r="Z135" i="25" s="1"/>
  <c r="Y135" i="25" s="1"/>
  <c r="G135" i="25"/>
  <c r="CF135" i="6" s="1"/>
  <c r="H184" i="25"/>
  <c r="G184" i="25"/>
  <c r="CF184" i="6" s="1"/>
  <c r="H155" i="25"/>
  <c r="G155" i="25"/>
  <c r="CF155" i="6" s="1"/>
  <c r="H21" i="25"/>
  <c r="G21" i="25"/>
  <c r="CF21" i="6" s="1"/>
  <c r="H35" i="25"/>
  <c r="G35" i="25"/>
  <c r="CF35" i="6" s="1"/>
  <c r="H191" i="25"/>
  <c r="H194" i="25"/>
  <c r="AA337" i="25"/>
  <c r="Z337" i="25" s="1"/>
  <c r="Y337" i="25" s="1"/>
  <c r="AA191" i="25"/>
  <c r="Z191" i="25" s="1"/>
  <c r="Y191" i="25" s="1"/>
  <c r="AA41" i="25"/>
  <c r="Z41" i="25" s="1"/>
  <c r="Y41" i="25" s="1"/>
  <c r="G152" i="25"/>
  <c r="CF152" i="6" s="1"/>
  <c r="H152" i="25"/>
  <c r="G103" i="25"/>
  <c r="CF103" i="6" s="1"/>
  <c r="H103" i="25"/>
  <c r="H222" i="25"/>
  <c r="G222" i="25"/>
  <c r="CF222" i="6" s="1"/>
  <c r="G275" i="25"/>
  <c r="CF275" i="6" s="1"/>
  <c r="H275" i="25"/>
  <c r="G86" i="25"/>
  <c r="CF86" i="6" s="1"/>
  <c r="H86" i="25"/>
  <c r="H84" i="25"/>
  <c r="G84" i="25"/>
  <c r="CF84" i="6" s="1"/>
  <c r="H260" i="25"/>
  <c r="G260" i="25"/>
  <c r="CF260" i="6" s="1"/>
  <c r="G377" i="25"/>
  <c r="CF377" i="6" s="1"/>
  <c r="H377" i="25"/>
  <c r="G239" i="25"/>
  <c r="CF239" i="6" s="1"/>
  <c r="H63" i="25"/>
  <c r="G63" i="25"/>
  <c r="CF63" i="6" s="1"/>
  <c r="AA275" i="25"/>
  <c r="Z275" i="25" s="1"/>
  <c r="Y275" i="25" s="1"/>
  <c r="AA86" i="25"/>
  <c r="Z86" i="25" s="1"/>
  <c r="Y86" i="25" s="1"/>
  <c r="AA84" i="25"/>
  <c r="Z84" i="25" s="1"/>
  <c r="Y84" i="25" s="1"/>
  <c r="AA194" i="25"/>
  <c r="Z194" i="25" s="1"/>
  <c r="Y194" i="25" s="1"/>
  <c r="H93" i="25"/>
  <c r="G93" i="25"/>
  <c r="CF93" i="6" s="1"/>
  <c r="H371" i="25"/>
  <c r="G371" i="25"/>
  <c r="CF371" i="6" s="1"/>
  <c r="AA371" i="25"/>
  <c r="Z371" i="25" s="1"/>
  <c r="Y371" i="25" s="1"/>
  <c r="G113" i="25"/>
  <c r="CF113" i="6" s="1"/>
  <c r="H113" i="25"/>
  <c r="H254" i="25"/>
  <c r="G254" i="25"/>
  <c r="CF254" i="6" s="1"/>
  <c r="H352" i="25"/>
  <c r="AA352" i="25"/>
  <c r="Z352" i="25" s="1"/>
  <c r="Y352" i="25" s="1"/>
  <c r="G352" i="25"/>
  <c r="CF352" i="6" s="1"/>
  <c r="G339" i="25"/>
  <c r="CF339" i="6" s="1"/>
  <c r="H339" i="25"/>
  <c r="AA339" i="25"/>
  <c r="Z339" i="25" s="1"/>
  <c r="Y339" i="25" s="1"/>
  <c r="H331" i="25"/>
  <c r="G331" i="25"/>
  <c r="CF331" i="6" s="1"/>
  <c r="G364" i="25"/>
  <c r="CF364" i="6" s="1"/>
  <c r="AA364" i="25"/>
  <c r="Z364" i="25" s="1"/>
  <c r="Y364" i="25" s="1"/>
  <c r="H350" i="25"/>
  <c r="G350" i="25"/>
  <c r="CF350" i="6" s="1"/>
  <c r="H42" i="25"/>
  <c r="G42" i="25"/>
  <c r="CF42" i="6" s="1"/>
  <c r="H230" i="25"/>
  <c r="G230" i="25"/>
  <c r="CF230" i="6" s="1"/>
  <c r="AA230" i="25"/>
  <c r="Z230" i="25" s="1"/>
  <c r="Y230" i="25" s="1"/>
  <c r="G129" i="25"/>
  <c r="CF129" i="6" s="1"/>
  <c r="H129" i="25"/>
  <c r="J311" i="25"/>
  <c r="I311" i="25"/>
  <c r="H376" i="25"/>
  <c r="H41" i="25"/>
  <c r="AA209" i="25"/>
  <c r="Z209" i="25" s="1"/>
  <c r="Y209" i="25" s="1"/>
  <c r="AA21" i="25"/>
  <c r="Z21" i="25" s="1"/>
  <c r="Y21" i="25" s="1"/>
  <c r="AA155" i="25"/>
  <c r="Z155" i="25" s="1"/>
  <c r="Y155" i="25" s="1"/>
  <c r="AA271" i="25"/>
  <c r="Z271" i="25" s="1"/>
  <c r="Y271" i="25" s="1"/>
  <c r="AA103" i="25"/>
  <c r="Z103" i="25" s="1"/>
  <c r="Y103" i="25" s="1"/>
  <c r="AA113" i="25"/>
  <c r="Z113" i="25" s="1"/>
  <c r="Y113" i="25" s="1"/>
  <c r="AA330" i="25"/>
  <c r="Z330" i="25" s="1"/>
  <c r="Y330" i="25" s="1"/>
  <c r="AA376" i="25"/>
  <c r="Z376" i="25" s="1"/>
  <c r="Y376" i="25" s="1"/>
  <c r="AA207" i="25"/>
  <c r="Z207" i="25" s="1"/>
  <c r="Y207" i="25" s="1"/>
  <c r="W379" i="24"/>
  <c r="D379" i="24"/>
  <c r="E379" i="24" s="1"/>
  <c r="F379" i="24" s="1"/>
  <c r="AA122" i="25"/>
  <c r="Z122" i="25" s="1"/>
  <c r="Y122" i="25" s="1"/>
  <c r="G196" i="25"/>
  <c r="CF196" i="6" s="1"/>
  <c r="H196" i="25"/>
  <c r="AA196" i="25"/>
  <c r="Z196" i="25" s="1"/>
  <c r="Y196" i="25" s="1"/>
  <c r="H207" i="25"/>
  <c r="G72" i="25"/>
  <c r="CF72" i="6" s="1"/>
  <c r="H72" i="25"/>
  <c r="G39" i="25"/>
  <c r="CF39" i="6" s="1"/>
  <c r="H39" i="25"/>
  <c r="H122" i="25"/>
  <c r="AA39" i="25"/>
  <c r="Z39" i="25" s="1"/>
  <c r="Y39" i="25" s="1"/>
  <c r="AA169" i="25"/>
  <c r="Z169" i="25" s="1"/>
  <c r="Y169" i="25" s="1"/>
  <c r="G169" i="25"/>
  <c r="CF169" i="6" s="1"/>
  <c r="H83" i="25"/>
  <c r="G83" i="25"/>
  <c r="CF83" i="6" s="1"/>
  <c r="AA83" i="25"/>
  <c r="Z83" i="25" s="1"/>
  <c r="Y83" i="25" s="1"/>
  <c r="G219" i="25"/>
  <c r="CF219" i="6" s="1"/>
  <c r="H219" i="25"/>
  <c r="I36" i="25"/>
  <c r="J36" i="25"/>
  <c r="H347" i="25"/>
  <c r="G347" i="25"/>
  <c r="CF347" i="6" s="1"/>
  <c r="H367" i="25"/>
  <c r="G367" i="25"/>
  <c r="CF367" i="6" s="1"/>
  <c r="AA367" i="25"/>
  <c r="Z367" i="25" s="1"/>
  <c r="Y367" i="25" s="1"/>
  <c r="AA139" i="25"/>
  <c r="Z139" i="25" s="1"/>
  <c r="Y139" i="25" s="1"/>
  <c r="H169" i="25"/>
  <c r="AA347" i="25"/>
  <c r="Z347" i="25" s="1"/>
  <c r="Y347" i="25" s="1"/>
  <c r="AA219" i="25"/>
  <c r="Z219" i="25" s="1"/>
  <c r="Y219" i="25" s="1"/>
  <c r="G202" i="25"/>
  <c r="CF202" i="6" s="1"/>
  <c r="AA202" i="25"/>
  <c r="Z202" i="25" s="1"/>
  <c r="Y202" i="25" s="1"/>
  <c r="H202" i="25"/>
  <c r="G22" i="25"/>
  <c r="CF22" i="6" s="1"/>
  <c r="H22" i="25"/>
  <c r="H326" i="25"/>
  <c r="G326" i="25"/>
  <c r="CF326" i="6" s="1"/>
  <c r="AA304" i="25"/>
  <c r="Z304" i="25" s="1"/>
  <c r="Y304" i="25" s="1"/>
  <c r="G304" i="25"/>
  <c r="CF304" i="6" s="1"/>
  <c r="H304" i="25"/>
  <c r="H373" i="25"/>
  <c r="AA373" i="25"/>
  <c r="Z373" i="25" s="1"/>
  <c r="Y373" i="25" s="1"/>
  <c r="AA211" i="25"/>
  <c r="Z211" i="25" s="1"/>
  <c r="Y211" i="25" s="1"/>
  <c r="G253" i="25"/>
  <c r="CF253" i="6" s="1"/>
  <c r="H253" i="25"/>
  <c r="G328" i="25"/>
  <c r="CF328" i="6" s="1"/>
  <c r="H328" i="25"/>
  <c r="H243" i="25"/>
  <c r="G243" i="25"/>
  <c r="CF243" i="6" s="1"/>
  <c r="H338" i="25"/>
  <c r="AA253" i="25"/>
  <c r="Z253" i="25" s="1"/>
  <c r="Y253" i="25" s="1"/>
  <c r="AA22" i="25"/>
  <c r="Z22" i="25" s="1"/>
  <c r="Y22" i="25" s="1"/>
  <c r="G205" i="25"/>
  <c r="CF205" i="6" s="1"/>
  <c r="H205" i="25"/>
  <c r="G292" i="25"/>
  <c r="CF292" i="6" s="1"/>
  <c r="H292" i="25"/>
  <c r="G341" i="25"/>
  <c r="CF341" i="6" s="1"/>
  <c r="H341" i="25"/>
  <c r="G206" i="25"/>
  <c r="CF206" i="6" s="1"/>
  <c r="H206" i="25"/>
  <c r="H151" i="25"/>
  <c r="G151" i="25"/>
  <c r="CF151" i="6" s="1"/>
  <c r="AA144" i="25"/>
  <c r="Z144" i="25" s="1"/>
  <c r="Y144" i="25" s="1"/>
  <c r="H144" i="25"/>
  <c r="G144" i="25"/>
  <c r="CF144" i="6" s="1"/>
  <c r="H145" i="25"/>
  <c r="G145" i="25"/>
  <c r="CF145" i="6" s="1"/>
  <c r="H295" i="25"/>
  <c r="G295" i="25"/>
  <c r="CF295" i="6" s="1"/>
  <c r="H192" i="25"/>
  <c r="G192" i="25"/>
  <c r="CF192" i="6" s="1"/>
  <c r="H215" i="25"/>
  <c r="G215" i="25"/>
  <c r="CF215" i="6" s="1"/>
  <c r="G141" i="25"/>
  <c r="CF141" i="6" s="1"/>
  <c r="H141" i="25"/>
  <c r="AA141" i="25"/>
  <c r="Z141" i="25" s="1"/>
  <c r="Y141" i="25" s="1"/>
  <c r="H211" i="25"/>
  <c r="AA206" i="25"/>
  <c r="Z206" i="25" s="1"/>
  <c r="Y206" i="25" s="1"/>
  <c r="AA205" i="25"/>
  <c r="Z205" i="25" s="1"/>
  <c r="Y205" i="25" s="1"/>
  <c r="AA295" i="25"/>
  <c r="Z295" i="25" s="1"/>
  <c r="Y295" i="25" s="1"/>
  <c r="AA326" i="25"/>
  <c r="Z326" i="25" s="1"/>
  <c r="Y326" i="25" s="1"/>
  <c r="H69" i="25"/>
  <c r="G69" i="25"/>
  <c r="CF69" i="6" s="1"/>
  <c r="AA69" i="25"/>
  <c r="Z69" i="25" s="1"/>
  <c r="Y69" i="25" s="1"/>
  <c r="H318" i="25"/>
  <c r="G318" i="25"/>
  <c r="CF318" i="6" s="1"/>
  <c r="AA318" i="25"/>
  <c r="Z318" i="25" s="1"/>
  <c r="Y318" i="25" s="1"/>
  <c r="G244" i="25"/>
  <c r="CF244" i="6" s="1"/>
  <c r="H244" i="25"/>
  <c r="H251" i="25"/>
  <c r="G251" i="25"/>
  <c r="CF251" i="6" s="1"/>
  <c r="AA251" i="25"/>
  <c r="Z251" i="25" s="1"/>
  <c r="Y251" i="25" s="1"/>
  <c r="V379" i="25"/>
  <c r="D44" i="19"/>
  <c r="H40" i="25"/>
  <c r="G40" i="25"/>
  <c r="CF40" i="6" s="1"/>
  <c r="AA244" i="25"/>
  <c r="Z244" i="25" s="1"/>
  <c r="Y244" i="25" s="1"/>
  <c r="J221" i="25"/>
  <c r="I221" i="25"/>
  <c r="I323" i="25"/>
  <c r="J323" i="25"/>
  <c r="I348" i="25"/>
  <c r="J348" i="25"/>
  <c r="J48" i="25"/>
  <c r="I48" i="25"/>
  <c r="I170" i="25"/>
  <c r="J170" i="25"/>
  <c r="J281" i="25"/>
  <c r="I281" i="25"/>
  <c r="J336" i="25"/>
  <c r="I336" i="25"/>
  <c r="L58" i="19"/>
  <c r="L57" i="19"/>
  <c r="L59" i="19"/>
  <c r="I255" i="25"/>
  <c r="J255" i="25"/>
  <c r="I91" i="25"/>
  <c r="J91" i="25"/>
  <c r="J37" i="25"/>
  <c r="I37" i="25"/>
  <c r="I160" i="25"/>
  <c r="J160" i="25"/>
  <c r="I53" i="25"/>
  <c r="J53" i="25"/>
  <c r="F58" i="19"/>
  <c r="F57" i="19"/>
  <c r="F59" i="19"/>
  <c r="W297" i="25"/>
  <c r="D297" i="25"/>
  <c r="E297" i="25" s="1"/>
  <c r="F297" i="25" s="1"/>
  <c r="G370" i="25"/>
  <c r="CF370" i="6" s="1"/>
  <c r="H370" i="25"/>
  <c r="G193" i="25"/>
  <c r="CF193" i="6" s="1"/>
  <c r="AA193" i="25"/>
  <c r="Z193" i="25" s="1"/>
  <c r="Y193" i="25" s="1"/>
  <c r="H193" i="25"/>
  <c r="D50" i="25"/>
  <c r="E50" i="25" s="1"/>
  <c r="F50" i="25" s="1"/>
  <c r="W50" i="25"/>
  <c r="G214" i="25"/>
  <c r="CF214" i="6" s="1"/>
  <c r="H214" i="25"/>
  <c r="J199" i="25"/>
  <c r="I199" i="25"/>
  <c r="D210" i="25"/>
  <c r="E210" i="25" s="1"/>
  <c r="F210" i="25" s="1"/>
  <c r="W210" i="25"/>
  <c r="H302" i="25"/>
  <c r="AA302" i="25"/>
  <c r="Z302" i="25" s="1"/>
  <c r="Y302" i="25" s="1"/>
  <c r="G302" i="25"/>
  <c r="CF302" i="6" s="1"/>
  <c r="H116" i="25"/>
  <c r="AA116" i="25"/>
  <c r="Z116" i="25" s="1"/>
  <c r="Y116" i="25" s="1"/>
  <c r="G116" i="25"/>
  <c r="CF116" i="6" s="1"/>
  <c r="AA110" i="25"/>
  <c r="Z110" i="25" s="1"/>
  <c r="Y110" i="25" s="1"/>
  <c r="G110" i="25"/>
  <c r="CF110" i="6" s="1"/>
  <c r="H110" i="25"/>
  <c r="AA214" i="25"/>
  <c r="Z214" i="25" s="1"/>
  <c r="Y214" i="25" s="1"/>
  <c r="AA180" i="25"/>
  <c r="Z180" i="25" s="1"/>
  <c r="Y180" i="25" s="1"/>
  <c r="H180" i="25"/>
  <c r="G180" i="25"/>
  <c r="CF180" i="6" s="1"/>
  <c r="I118" i="25"/>
  <c r="J118" i="25"/>
  <c r="G60" i="25"/>
  <c r="CF60" i="6" s="1"/>
  <c r="J106" i="25"/>
  <c r="I106" i="25"/>
  <c r="AA195" i="25"/>
  <c r="Z195" i="25" s="1"/>
  <c r="Y195" i="25" s="1"/>
  <c r="G195" i="25"/>
  <c r="CF195" i="6" s="1"/>
  <c r="H195" i="25"/>
  <c r="I65" i="25"/>
  <c r="J65" i="25"/>
  <c r="J25" i="25"/>
  <c r="I25" i="25"/>
  <c r="J299" i="25"/>
  <c r="I299" i="25"/>
  <c r="I19" i="25"/>
  <c r="J19" i="25"/>
  <c r="J178" i="25"/>
  <c r="I178" i="25"/>
  <c r="J157" i="25"/>
  <c r="I157" i="25"/>
  <c r="W333" i="25"/>
  <c r="J78" i="25"/>
  <c r="I78" i="25"/>
  <c r="I232" i="25"/>
  <c r="J232" i="25"/>
  <c r="J28" i="25"/>
  <c r="I28" i="25"/>
  <c r="J360" i="25"/>
  <c r="I360" i="25"/>
  <c r="AA274" i="25"/>
  <c r="Z274" i="25" s="1"/>
  <c r="Y274" i="25" s="1"/>
  <c r="H274" i="25"/>
  <c r="G274" i="25"/>
  <c r="CF274" i="6" s="1"/>
  <c r="H224" i="25"/>
  <c r="AA224" i="25"/>
  <c r="Z224" i="25" s="1"/>
  <c r="Y224" i="25" s="1"/>
  <c r="G224" i="25"/>
  <c r="CF224" i="6" s="1"/>
  <c r="I148" i="25"/>
  <c r="J148" i="25"/>
  <c r="AA370" i="25"/>
  <c r="Z370" i="25" s="1"/>
  <c r="Y370" i="25" s="1"/>
  <c r="H57" i="19"/>
  <c r="H59" i="19"/>
  <c r="H58" i="19"/>
  <c r="H218" i="25"/>
  <c r="AA218" i="25"/>
  <c r="Z218" i="25" s="1"/>
  <c r="Y218" i="25" s="1"/>
  <c r="G218" i="25"/>
  <c r="CF218" i="6" s="1"/>
  <c r="AA43" i="25"/>
  <c r="Z43" i="25" s="1"/>
  <c r="Y43" i="25" s="1"/>
  <c r="H43" i="25"/>
  <c r="G43" i="25"/>
  <c r="CF43" i="6" s="1"/>
  <c r="W172" i="25"/>
  <c r="D172" i="25"/>
  <c r="E172" i="25" s="1"/>
  <c r="F172" i="25" s="1"/>
  <c r="G245" i="25"/>
  <c r="CF245" i="6" s="1"/>
  <c r="H245" i="25"/>
  <c r="AA248" i="25"/>
  <c r="Z248" i="25" s="1"/>
  <c r="Y248" i="25" s="1"/>
  <c r="G248" i="25"/>
  <c r="CF248" i="6" s="1"/>
  <c r="H248" i="25"/>
  <c r="AA245" i="25"/>
  <c r="Z245" i="25" s="1"/>
  <c r="Y245" i="25" s="1"/>
  <c r="I380" i="25"/>
  <c r="J380" i="25"/>
  <c r="V382" i="24"/>
  <c r="B69" i="19"/>
  <c r="N69" i="19" s="1"/>
  <c r="V383" i="24"/>
  <c r="V381" i="24"/>
  <c r="Z15" i="22"/>
  <c r="Y15" i="20"/>
  <c r="H15" i="22"/>
  <c r="R381" i="25"/>
  <c r="R383" i="25"/>
  <c r="R382" i="25"/>
  <c r="P15" i="25"/>
  <c r="AF383" i="25"/>
  <c r="AD15" i="25"/>
  <c r="AF381" i="25"/>
  <c r="AF382" i="25"/>
  <c r="B15" i="24"/>
  <c r="E15" i="23"/>
  <c r="J73" i="25" l="1"/>
  <c r="I74" i="25"/>
  <c r="I315" i="25"/>
  <c r="H60" i="25"/>
  <c r="J60" i="25" s="1"/>
  <c r="I320" i="25"/>
  <c r="G119" i="25"/>
  <c r="CF119" i="6" s="1"/>
  <c r="H119" i="25"/>
  <c r="I119" i="25" s="1"/>
  <c r="J111" i="25"/>
  <c r="J293" i="25"/>
  <c r="J58" i="19"/>
  <c r="J59" i="19"/>
  <c r="I267" i="25"/>
  <c r="I344" i="25"/>
  <c r="I57" i="25"/>
  <c r="J310" i="25"/>
  <c r="H272" i="25"/>
  <c r="I272" i="25" s="1"/>
  <c r="G88" i="25"/>
  <c r="CF88" i="6" s="1"/>
  <c r="J296" i="25"/>
  <c r="I120" i="25"/>
  <c r="J71" i="25"/>
  <c r="J289" i="25"/>
  <c r="J208" i="25"/>
  <c r="I121" i="25"/>
  <c r="J229" i="25"/>
  <c r="G57" i="19"/>
  <c r="J324" i="25"/>
  <c r="I123" i="25"/>
  <c r="J156" i="25"/>
  <c r="I374" i="25"/>
  <c r="AA88" i="25"/>
  <c r="Z88" i="25" s="1"/>
  <c r="Y88" i="25" s="1"/>
  <c r="C57" i="19"/>
  <c r="J197" i="25"/>
  <c r="I150" i="25"/>
  <c r="I203" i="25"/>
  <c r="I27" i="25"/>
  <c r="J133" i="25"/>
  <c r="I256" i="25"/>
  <c r="J96" i="25"/>
  <c r="I104" i="25"/>
  <c r="J368" i="25"/>
  <c r="J142" i="25"/>
  <c r="I361" i="25"/>
  <c r="I246" i="25"/>
  <c r="C58" i="19"/>
  <c r="I179" i="25"/>
  <c r="J358" i="25"/>
  <c r="J168" i="25"/>
  <c r="J327" i="25"/>
  <c r="G59" i="19"/>
  <c r="I18" i="25"/>
  <c r="J46" i="25"/>
  <c r="G272" i="25"/>
  <c r="CF272" i="6" s="1"/>
  <c r="J223" i="25"/>
  <c r="I366" i="25"/>
  <c r="J159" i="25"/>
  <c r="J136" i="25"/>
  <c r="I64" i="25"/>
  <c r="D149" i="25"/>
  <c r="E149" i="25" s="1"/>
  <c r="F149" i="25" s="1"/>
  <c r="G149" i="25" s="1"/>
  <c r="CF149" i="6" s="1"/>
  <c r="I138" i="25"/>
  <c r="I270" i="25"/>
  <c r="E59" i="19"/>
  <c r="E58" i="19"/>
  <c r="E57" i="19"/>
  <c r="I153" i="25"/>
  <c r="I355" i="25"/>
  <c r="J198" i="25"/>
  <c r="J165" i="25"/>
  <c r="J272" i="25"/>
  <c r="J137" i="25"/>
  <c r="I356" i="25"/>
  <c r="J356" i="25"/>
  <c r="I164" i="25"/>
  <c r="I225" i="25"/>
  <c r="J217" i="25"/>
  <c r="J266" i="25"/>
  <c r="I286" i="25"/>
  <c r="I81" i="25"/>
  <c r="J81" i="25"/>
  <c r="I237" i="25"/>
  <c r="J237" i="25"/>
  <c r="D57" i="19"/>
  <c r="J109" i="25"/>
  <c r="D59" i="19"/>
  <c r="J162" i="25"/>
  <c r="J332" i="25"/>
  <c r="J185" i="25"/>
  <c r="J322" i="25"/>
  <c r="I226" i="25"/>
  <c r="J226" i="25"/>
  <c r="J67" i="25"/>
  <c r="I325" i="25"/>
  <c r="I70" i="25"/>
  <c r="I247" i="25"/>
  <c r="J247" i="25"/>
  <c r="I308" i="25"/>
  <c r="J308" i="25"/>
  <c r="J329" i="25"/>
  <c r="I329" i="25"/>
  <c r="I89" i="25"/>
  <c r="J89" i="25"/>
  <c r="I369" i="25"/>
  <c r="J369" i="25"/>
  <c r="J54" i="25"/>
  <c r="I54" i="25"/>
  <c r="I283" i="25"/>
  <c r="J283" i="25"/>
  <c r="J61" i="25"/>
  <c r="K59" i="19"/>
  <c r="J265" i="25"/>
  <c r="J101" i="25"/>
  <c r="I340" i="25"/>
  <c r="J309" i="25"/>
  <c r="I309" i="25"/>
  <c r="J124" i="25"/>
  <c r="I124" i="25"/>
  <c r="I158" i="25"/>
  <c r="J158" i="25"/>
  <c r="K58" i="19"/>
  <c r="J107" i="25"/>
  <c r="I107" i="25"/>
  <c r="J228" i="25"/>
  <c r="J115" i="25"/>
  <c r="J236" i="25"/>
  <c r="I287" i="25"/>
  <c r="J307" i="25"/>
  <c r="I307" i="25"/>
  <c r="I204" i="25"/>
  <c r="J204" i="25"/>
  <c r="I227" i="25"/>
  <c r="J227" i="25"/>
  <c r="J174" i="25"/>
  <c r="I174" i="25"/>
  <c r="J213" i="25"/>
  <c r="I213" i="25"/>
  <c r="J167" i="25"/>
  <c r="J163" i="25"/>
  <c r="J263" i="25"/>
  <c r="I364" i="25"/>
  <c r="J330" i="25"/>
  <c r="J269" i="25"/>
  <c r="I269" i="25"/>
  <c r="J135" i="25"/>
  <c r="I49" i="25"/>
  <c r="J49" i="25"/>
  <c r="I362" i="25"/>
  <c r="J362" i="25"/>
  <c r="J345" i="25"/>
  <c r="I345" i="25"/>
  <c r="I76" i="25"/>
  <c r="J76" i="25"/>
  <c r="J119" i="25"/>
  <c r="J80" i="25"/>
  <c r="I24" i="25"/>
  <c r="J24" i="25"/>
  <c r="I231" i="25"/>
  <c r="J319" i="25"/>
  <c r="I319" i="25"/>
  <c r="J278" i="25"/>
  <c r="I278" i="25"/>
  <c r="I285" i="25"/>
  <c r="J285" i="25"/>
  <c r="I161" i="25"/>
  <c r="J161" i="25"/>
  <c r="I210" i="24"/>
  <c r="H210" i="25" s="1"/>
  <c r="J210" i="24"/>
  <c r="I146" i="25"/>
  <c r="I139" i="25"/>
  <c r="I301" i="25"/>
  <c r="I375" i="25"/>
  <c r="J375" i="25"/>
  <c r="J264" i="25"/>
  <c r="J117" i="25"/>
  <c r="I117" i="25"/>
  <c r="I372" i="25"/>
  <c r="J372" i="25"/>
  <c r="J276" i="25"/>
  <c r="I176" i="25"/>
  <c r="J176" i="25"/>
  <c r="J376" i="25"/>
  <c r="I376" i="25"/>
  <c r="J113" i="25"/>
  <c r="I113" i="25"/>
  <c r="I371" i="25"/>
  <c r="J371" i="25"/>
  <c r="I93" i="25"/>
  <c r="J93" i="25"/>
  <c r="I63" i="25"/>
  <c r="J63" i="25"/>
  <c r="J260" i="25"/>
  <c r="I260" i="25"/>
  <c r="J84" i="25"/>
  <c r="I84" i="25"/>
  <c r="J222" i="25"/>
  <c r="I222" i="25"/>
  <c r="I194" i="25"/>
  <c r="J194" i="25"/>
  <c r="J300" i="25"/>
  <c r="I300" i="25"/>
  <c r="I209" i="25"/>
  <c r="J209" i="25"/>
  <c r="I337" i="25"/>
  <c r="J337" i="25"/>
  <c r="J280" i="25"/>
  <c r="I280" i="25"/>
  <c r="I317" i="25"/>
  <c r="J317" i="25"/>
  <c r="J378" i="25"/>
  <c r="I378" i="25"/>
  <c r="I41" i="25"/>
  <c r="J41" i="25"/>
  <c r="I129" i="25"/>
  <c r="J129" i="25"/>
  <c r="I230" i="25"/>
  <c r="J230" i="25"/>
  <c r="I42" i="25"/>
  <c r="J42" i="25"/>
  <c r="J350" i="25"/>
  <c r="I350" i="25"/>
  <c r="I331" i="25"/>
  <c r="J331" i="25"/>
  <c r="I339" i="25"/>
  <c r="J339" i="25"/>
  <c r="J352" i="25"/>
  <c r="I352" i="25"/>
  <c r="I254" i="25"/>
  <c r="J254" i="25"/>
  <c r="I239" i="25"/>
  <c r="J239" i="25"/>
  <c r="J377" i="25"/>
  <c r="I377" i="25"/>
  <c r="J86" i="25"/>
  <c r="I86" i="25"/>
  <c r="J275" i="25"/>
  <c r="I275" i="25"/>
  <c r="I103" i="25"/>
  <c r="J103" i="25"/>
  <c r="J152" i="25"/>
  <c r="I152" i="25"/>
  <c r="I191" i="25"/>
  <c r="J191" i="25"/>
  <c r="J35" i="25"/>
  <c r="I35" i="25"/>
  <c r="I21" i="25"/>
  <c r="J21" i="25"/>
  <c r="I155" i="25"/>
  <c r="J155" i="25"/>
  <c r="J184" i="25"/>
  <c r="I184" i="25"/>
  <c r="J271" i="25"/>
  <c r="I271" i="25"/>
  <c r="J314" i="25"/>
  <c r="I314" i="25"/>
  <c r="I346" i="25"/>
  <c r="J346" i="25"/>
  <c r="J39" i="25"/>
  <c r="I39" i="25"/>
  <c r="J72" i="25"/>
  <c r="I72" i="25"/>
  <c r="J207" i="25"/>
  <c r="I207" i="25"/>
  <c r="I196" i="25"/>
  <c r="J196" i="25"/>
  <c r="J122" i="25"/>
  <c r="I122" i="25"/>
  <c r="G379" i="24"/>
  <c r="CE379" i="6" s="1"/>
  <c r="AA379" i="24"/>
  <c r="Z379" i="24" s="1"/>
  <c r="Y379" i="24" s="1"/>
  <c r="H379" i="24"/>
  <c r="I169" i="25"/>
  <c r="J169" i="25"/>
  <c r="I367" i="25"/>
  <c r="J367" i="25"/>
  <c r="J347" i="25"/>
  <c r="I347" i="25"/>
  <c r="J219" i="25"/>
  <c r="I219" i="25"/>
  <c r="J83" i="25"/>
  <c r="I83" i="25"/>
  <c r="I215" i="25"/>
  <c r="J215" i="25"/>
  <c r="I192" i="25"/>
  <c r="J192" i="25"/>
  <c r="J295" i="25"/>
  <c r="I295" i="25"/>
  <c r="I145" i="25"/>
  <c r="J145" i="25"/>
  <c r="I144" i="25"/>
  <c r="J144" i="25"/>
  <c r="J206" i="25"/>
  <c r="I206" i="25"/>
  <c r="I341" i="25"/>
  <c r="J341" i="25"/>
  <c r="J292" i="25"/>
  <c r="I292" i="25"/>
  <c r="J205" i="25"/>
  <c r="I205" i="25"/>
  <c r="I338" i="25"/>
  <c r="J338" i="25"/>
  <c r="J243" i="25"/>
  <c r="I243" i="25"/>
  <c r="J304" i="25"/>
  <c r="I304" i="25"/>
  <c r="I326" i="25"/>
  <c r="J326" i="25"/>
  <c r="J211" i="25"/>
  <c r="I211" i="25"/>
  <c r="J141" i="25"/>
  <c r="I141" i="25"/>
  <c r="I151" i="25"/>
  <c r="J151" i="25"/>
  <c r="J328" i="25"/>
  <c r="I328" i="25"/>
  <c r="J253" i="25"/>
  <c r="I253" i="25"/>
  <c r="I373" i="25"/>
  <c r="J373" i="25"/>
  <c r="J22" i="25"/>
  <c r="I22" i="25"/>
  <c r="I202" i="25"/>
  <c r="J202" i="25"/>
  <c r="I318" i="25"/>
  <c r="J318" i="25"/>
  <c r="I69" i="25"/>
  <c r="J69" i="25"/>
  <c r="J40" i="25"/>
  <c r="I40" i="25"/>
  <c r="B379" i="25"/>
  <c r="M70" i="19"/>
  <c r="J244" i="25"/>
  <c r="I244" i="25"/>
  <c r="J251" i="25"/>
  <c r="I251" i="25"/>
  <c r="J248" i="25"/>
  <c r="I248" i="25"/>
  <c r="I43" i="25"/>
  <c r="J43" i="25"/>
  <c r="I218" i="25"/>
  <c r="J218" i="25"/>
  <c r="I88" i="25"/>
  <c r="J88" i="25"/>
  <c r="H149" i="25"/>
  <c r="H333" i="25"/>
  <c r="AA333" i="25"/>
  <c r="Z333" i="25" s="1"/>
  <c r="Y333" i="25" s="1"/>
  <c r="G333" i="25"/>
  <c r="CF333" i="6" s="1"/>
  <c r="I195" i="25"/>
  <c r="J195" i="25"/>
  <c r="I116" i="25"/>
  <c r="J116" i="25"/>
  <c r="I302" i="25"/>
  <c r="J302" i="25"/>
  <c r="AA210" i="25"/>
  <c r="Z210" i="25" s="1"/>
  <c r="Y210" i="25" s="1"/>
  <c r="G210" i="25"/>
  <c r="CF210" i="6" s="1"/>
  <c r="G50" i="25"/>
  <c r="CF50" i="6" s="1"/>
  <c r="H50" i="25"/>
  <c r="AA50" i="25"/>
  <c r="Z50" i="25" s="1"/>
  <c r="Y50" i="25" s="1"/>
  <c r="J370" i="25"/>
  <c r="I370" i="25"/>
  <c r="G297" i="25"/>
  <c r="CF297" i="6" s="1"/>
  <c r="AA297" i="25"/>
  <c r="Z297" i="25" s="1"/>
  <c r="Y297" i="25" s="1"/>
  <c r="H297" i="25"/>
  <c r="I245" i="25"/>
  <c r="J245" i="25"/>
  <c r="H172" i="25"/>
  <c r="G172" i="25"/>
  <c r="CF172" i="6" s="1"/>
  <c r="AA172" i="25"/>
  <c r="Z172" i="25" s="1"/>
  <c r="Y172" i="25" s="1"/>
  <c r="J224" i="25"/>
  <c r="I224" i="25"/>
  <c r="J274" i="25"/>
  <c r="I274" i="25"/>
  <c r="I180" i="25"/>
  <c r="J180" i="25"/>
  <c r="J110" i="25"/>
  <c r="I110" i="25"/>
  <c r="I214" i="25"/>
  <c r="J214" i="25"/>
  <c r="I193" i="25"/>
  <c r="J193" i="25"/>
  <c r="AD381" i="25"/>
  <c r="AD383" i="25"/>
  <c r="AD382" i="25"/>
  <c r="Y15" i="22"/>
  <c r="F15" i="23"/>
  <c r="D15" i="24"/>
  <c r="W15" i="24"/>
  <c r="P382" i="25"/>
  <c r="V15" i="25"/>
  <c r="P383" i="25"/>
  <c r="P381" i="25"/>
  <c r="J15" i="22"/>
  <c r="I15" i="22"/>
  <c r="I60" i="25" l="1"/>
  <c r="AA149" i="25"/>
  <c r="Z149" i="25" s="1"/>
  <c r="Y149" i="25" s="1"/>
  <c r="J379" i="24"/>
  <c r="I379" i="24"/>
  <c r="M58" i="19"/>
  <c r="M57" i="19"/>
  <c r="M59" i="19"/>
  <c r="W379" i="25"/>
  <c r="D379" i="25"/>
  <c r="E379" i="25" s="1"/>
  <c r="F379" i="25" s="1"/>
  <c r="J172" i="25"/>
  <c r="I172" i="25"/>
  <c r="I210" i="25"/>
  <c r="J210" i="25"/>
  <c r="I333" i="25"/>
  <c r="J333" i="25"/>
  <c r="J297" i="25"/>
  <c r="I297" i="25"/>
  <c r="J50" i="25"/>
  <c r="I50" i="25"/>
  <c r="I149" i="25"/>
  <c r="J149" i="25"/>
  <c r="E15" i="24"/>
  <c r="H15" i="23"/>
  <c r="B70" i="19"/>
  <c r="V380" i="25"/>
  <c r="V381" i="25" s="1"/>
  <c r="B15" i="25"/>
  <c r="G15" i="23"/>
  <c r="CD15" i="6" s="1"/>
  <c r="AA15" i="23"/>
  <c r="G379" i="25" l="1"/>
  <c r="CF379" i="6" s="1"/>
  <c r="AA379" i="25"/>
  <c r="Z379" i="25" s="1"/>
  <c r="Y379" i="25" s="1"/>
  <c r="H379" i="25"/>
  <c r="V383" i="25"/>
  <c r="V382" i="25"/>
  <c r="Z15" i="23"/>
  <c r="D15" i="25"/>
  <c r="W15" i="25"/>
  <c r="N70" i="19"/>
  <c r="B57" i="19"/>
  <c r="B59" i="19"/>
  <c r="B58" i="19"/>
  <c r="I15" i="23"/>
  <c r="J15" i="23"/>
  <c r="F15" i="24"/>
  <c r="I379" i="25" l="1"/>
  <c r="J379" i="25"/>
  <c r="Y15" i="23"/>
  <c r="G15" i="24"/>
  <c r="CE15" i="6" s="1"/>
  <c r="H15" i="24"/>
  <c r="AA15" i="24"/>
  <c r="N59" i="19"/>
  <c r="N57" i="19"/>
  <c r="N58" i="19"/>
  <c r="E15" i="25"/>
  <c r="Z15" i="24" l="1"/>
  <c r="J15" i="24"/>
  <c r="I15" i="24"/>
  <c r="F15" i="25"/>
  <c r="H15" i="25" l="1"/>
  <c r="Y15" i="24"/>
  <c r="G15" i="25"/>
  <c r="CF15" i="6" s="1"/>
  <c r="AA15" i="25"/>
  <c r="Z15" i="25" l="1"/>
  <c r="J15" i="25"/>
  <c r="I15" i="25"/>
  <c r="Y15" i="25" l="1"/>
  <c r="W20" i="18" l="1"/>
  <c r="B382" i="18"/>
  <c r="B381" i="18"/>
  <c r="B383" i="18"/>
  <c r="AJ5" i="18"/>
  <c r="AK6" i="18"/>
  <c r="H9" i="18"/>
  <c r="B15" i="19" s="1"/>
  <c r="B31" i="19" s="1"/>
  <c r="B20" i="20"/>
  <c r="AK5" i="20" s="1"/>
  <c r="E20" i="18"/>
  <c r="AJ10" i="18" s="1"/>
  <c r="AJ12" i="18" s="1"/>
  <c r="B20" i="22" l="1"/>
  <c r="B381" i="22" s="1"/>
  <c r="AJ5" i="20"/>
  <c r="E382" i="18"/>
  <c r="E381" i="18"/>
  <c r="E383" i="18"/>
  <c r="AJ9" i="18"/>
  <c r="AK8" i="18"/>
  <c r="F20" i="18"/>
  <c r="D382" i="18"/>
  <c r="D9" i="18"/>
  <c r="D11" i="18" s="1"/>
  <c r="D383" i="18"/>
  <c r="D381" i="18"/>
  <c r="AJ7" i="18"/>
  <c r="B382" i="20"/>
  <c r="B381" i="20"/>
  <c r="B383" i="20"/>
  <c r="W20" i="20"/>
  <c r="AK6" i="20"/>
  <c r="AJ6" i="20"/>
  <c r="H9" i="20"/>
  <c r="B16" i="19" s="1"/>
  <c r="E9" i="18"/>
  <c r="D20" i="20"/>
  <c r="AJ7" i="20" s="1"/>
  <c r="B382" i="22" l="1"/>
  <c r="D20" i="22"/>
  <c r="AJ7" i="22" s="1"/>
  <c r="AK6" i="22"/>
  <c r="E11" i="18"/>
  <c r="F39" i="19" s="1"/>
  <c r="AJ6" i="22"/>
  <c r="B20" i="23"/>
  <c r="AJ5" i="23" s="1"/>
  <c r="H9" i="22"/>
  <c r="B17" i="19" s="1"/>
  <c r="W20" i="22"/>
  <c r="AJ5" i="22"/>
  <c r="AK5" i="22"/>
  <c r="B383" i="22"/>
  <c r="E39" i="19"/>
  <c r="AJ11" i="18"/>
  <c r="AJ13" i="18" s="1"/>
  <c r="F381" i="18"/>
  <c r="F382" i="18"/>
  <c r="AK10" i="18"/>
  <c r="AK12" i="18" s="1"/>
  <c r="AK13" i="18" s="1"/>
  <c r="F383" i="18"/>
  <c r="AM10" i="18"/>
  <c r="H20" i="18"/>
  <c r="G20" i="18"/>
  <c r="CA20" i="6" s="1"/>
  <c r="AA20" i="18"/>
  <c r="AL10" i="18" s="1"/>
  <c r="F9" i="18"/>
  <c r="D382" i="20"/>
  <c r="AJ8" i="20"/>
  <c r="D381" i="20"/>
  <c r="D383" i="20"/>
  <c r="D9" i="20"/>
  <c r="D11" i="20" s="1"/>
  <c r="E20" i="20"/>
  <c r="B381" i="23" l="1"/>
  <c r="C15" i="19"/>
  <c r="AK5" i="23"/>
  <c r="D381" i="22"/>
  <c r="H9" i="23"/>
  <c r="B18" i="19" s="1"/>
  <c r="AJ6" i="23"/>
  <c r="D382" i="22"/>
  <c r="AJ8" i="22"/>
  <c r="E20" i="22"/>
  <c r="AJ10" i="22" s="1"/>
  <c r="D383" i="22"/>
  <c r="D9" i="22"/>
  <c r="D11" i="22" s="1"/>
  <c r="B20" i="24"/>
  <c r="AJ6" i="24" s="1"/>
  <c r="AK6" i="23"/>
  <c r="D20" i="23"/>
  <c r="AJ7" i="23" s="1"/>
  <c r="B383" i="23"/>
  <c r="W20" i="23"/>
  <c r="B382" i="23"/>
  <c r="AJ9" i="20"/>
  <c r="AJ11" i="20" s="1"/>
  <c r="AK7" i="20"/>
  <c r="AJ5" i="24"/>
  <c r="AK5" i="24"/>
  <c r="AK7" i="22"/>
  <c r="E40" i="19"/>
  <c r="AB9" i="18"/>
  <c r="G15" i="19"/>
  <c r="F11" i="18"/>
  <c r="G382" i="18"/>
  <c r="G381" i="18"/>
  <c r="G383" i="18"/>
  <c r="G12" i="18" s="1"/>
  <c r="AJ8" i="23"/>
  <c r="E383" i="20"/>
  <c r="AJ10" i="20"/>
  <c r="AJ12" i="20" s="1"/>
  <c r="AK8" i="20"/>
  <c r="E381" i="20"/>
  <c r="E382" i="20"/>
  <c r="F20" i="20"/>
  <c r="E9" i="20"/>
  <c r="E11" i="20" s="1"/>
  <c r="AA382" i="18"/>
  <c r="AA383" i="18"/>
  <c r="AA381" i="18"/>
  <c r="AL9" i="18"/>
  <c r="AM8" i="18"/>
  <c r="AA9" i="18"/>
  <c r="Z20" i="18"/>
  <c r="AL8" i="18" s="1"/>
  <c r="J20" i="18"/>
  <c r="C20" i="6" s="1"/>
  <c r="I20" i="18"/>
  <c r="C31" i="19" l="1"/>
  <c r="E41" i="19"/>
  <c r="J39" i="19"/>
  <c r="G31" i="19"/>
  <c r="AJ9" i="22"/>
  <c r="AJ11" i="22" s="1"/>
  <c r="F20" i="22"/>
  <c r="AM10" i="22" s="1"/>
  <c r="AK6" i="24"/>
  <c r="E382" i="22"/>
  <c r="AK8" i="22"/>
  <c r="E383" i="22"/>
  <c r="AJ12" i="22"/>
  <c r="AJ13" i="22" s="1"/>
  <c r="E9" i="22"/>
  <c r="E11" i="22" s="1"/>
  <c r="C17" i="19" s="1"/>
  <c r="E381" i="22"/>
  <c r="B20" i="25"/>
  <c r="B382" i="25" s="1"/>
  <c r="D381" i="23"/>
  <c r="D20" i="24"/>
  <c r="AJ7" i="24" s="1"/>
  <c r="B383" i="24"/>
  <c r="B382" i="24"/>
  <c r="H9" i="24"/>
  <c r="B19" i="19" s="1"/>
  <c r="W20" i="24"/>
  <c r="B381" i="24"/>
  <c r="AJ13" i="20"/>
  <c r="D383" i="23"/>
  <c r="E20" i="23"/>
  <c r="AJ9" i="23" s="1"/>
  <c r="AJ11" i="23" s="1"/>
  <c r="D9" i="23"/>
  <c r="D11" i="23" s="1"/>
  <c r="D382" i="23"/>
  <c r="AK9" i="20"/>
  <c r="AK11" i="20" s="1"/>
  <c r="AM9" i="20"/>
  <c r="AM9" i="22"/>
  <c r="AK9" i="22"/>
  <c r="AK11" i="22" s="1"/>
  <c r="AK5" i="25"/>
  <c r="D15" i="19"/>
  <c r="G39" i="19"/>
  <c r="C16" i="19"/>
  <c r="F40" i="19"/>
  <c r="J381" i="18"/>
  <c r="J382" i="18"/>
  <c r="J383" i="18"/>
  <c r="F382" i="20"/>
  <c r="AM10" i="20"/>
  <c r="H20" i="20"/>
  <c r="F381" i="20"/>
  <c r="F383" i="20"/>
  <c r="AK10" i="20"/>
  <c r="AK12" i="20" s="1"/>
  <c r="G20" i="20"/>
  <c r="CB20" i="6" s="1"/>
  <c r="F9" i="20"/>
  <c r="AA20" i="20"/>
  <c r="I382" i="18"/>
  <c r="I381" i="18"/>
  <c r="I383" i="18"/>
  <c r="B20" i="6"/>
  <c r="Z381" i="18"/>
  <c r="Z383" i="18"/>
  <c r="Z382" i="18"/>
  <c r="Z9" i="18"/>
  <c r="Y20" i="18"/>
  <c r="AL6" i="18" s="1"/>
  <c r="AL12" i="18" s="1"/>
  <c r="AJ4" i="18" s="1"/>
  <c r="P15" i="19" s="1"/>
  <c r="AL7" i="18"/>
  <c r="AC7" i="7"/>
  <c r="E7" i="6"/>
  <c r="AK7" i="23" l="1"/>
  <c r="E42" i="19"/>
  <c r="E15" i="19"/>
  <c r="E31" i="19" s="1"/>
  <c r="D31" i="19"/>
  <c r="AJ10" i="23"/>
  <c r="AJ12" i="23" s="1"/>
  <c r="AK10" i="22"/>
  <c r="F381" i="22"/>
  <c r="F9" i="22"/>
  <c r="G17" i="19" s="1"/>
  <c r="J41" i="19" s="1"/>
  <c r="F382" i="22"/>
  <c r="AJ6" i="25"/>
  <c r="AA20" i="22"/>
  <c r="AA381" i="22" s="1"/>
  <c r="G20" i="22"/>
  <c r="CC20" i="6" s="1"/>
  <c r="F383" i="22"/>
  <c r="AK12" i="22"/>
  <c r="AK13" i="22" s="1"/>
  <c r="D20" i="25"/>
  <c r="AJ7" i="25" s="1"/>
  <c r="B383" i="25"/>
  <c r="F41" i="19"/>
  <c r="W20" i="25"/>
  <c r="B381" i="25"/>
  <c r="D383" i="24"/>
  <c r="AJ5" i="25"/>
  <c r="H9" i="25"/>
  <c r="B20" i="19" s="1"/>
  <c r="AK6" i="25"/>
  <c r="AJ8" i="24"/>
  <c r="D382" i="24"/>
  <c r="E20" i="24"/>
  <c r="AJ10" i="24" s="1"/>
  <c r="D9" i="24"/>
  <c r="D11" i="24" s="1"/>
  <c r="D381" i="24"/>
  <c r="E383" i="23"/>
  <c r="F20" i="23"/>
  <c r="AK10" i="23" s="1"/>
  <c r="AK8" i="23"/>
  <c r="E9" i="23"/>
  <c r="E382" i="23"/>
  <c r="E381" i="23"/>
  <c r="AJ13" i="23"/>
  <c r="E11" i="23"/>
  <c r="C18" i="19" s="1"/>
  <c r="AL9" i="20"/>
  <c r="AM7" i="20"/>
  <c r="AK13" i="20"/>
  <c r="AK9" i="23"/>
  <c r="AM7" i="22"/>
  <c r="AJ9" i="24"/>
  <c r="AJ11" i="24" s="1"/>
  <c r="AK7" i="24"/>
  <c r="Y383" i="18"/>
  <c r="Y381" i="18"/>
  <c r="AL5" i="18"/>
  <c r="AL11" i="18" s="1"/>
  <c r="AM6" i="18"/>
  <c r="AM12" i="18" s="1"/>
  <c r="Y382" i="18"/>
  <c r="X9" i="18"/>
  <c r="Z11" i="18" s="1"/>
  <c r="Z5" i="18" s="1"/>
  <c r="H15" i="19" s="1"/>
  <c r="AA382" i="20"/>
  <c r="AA381" i="20"/>
  <c r="AA383" i="20"/>
  <c r="AL10" i="20"/>
  <c r="AM8" i="20"/>
  <c r="AA9" i="20"/>
  <c r="Z20" i="20"/>
  <c r="AL7" i="20" s="1"/>
  <c r="G382" i="20"/>
  <c r="G381" i="20"/>
  <c r="G383" i="20"/>
  <c r="G12" i="20" s="1"/>
  <c r="J20" i="20"/>
  <c r="I20" i="20"/>
  <c r="C12" i="6"/>
  <c r="C13" i="6"/>
  <c r="B13" i="6"/>
  <c r="B12" i="6"/>
  <c r="BA20" i="6"/>
  <c r="G16" i="19"/>
  <c r="J40" i="19" s="1"/>
  <c r="F11" i="20"/>
  <c r="AB9" i="20"/>
  <c r="F15" i="19" l="1"/>
  <c r="F31" i="19" s="1"/>
  <c r="AK11" i="23"/>
  <c r="AM9" i="23"/>
  <c r="H31" i="19"/>
  <c r="E43" i="19"/>
  <c r="AB9" i="22"/>
  <c r="B9" i="19"/>
  <c r="AJ12" i="24"/>
  <c r="D381" i="25"/>
  <c r="AL9" i="22"/>
  <c r="G383" i="22"/>
  <c r="G12" i="22" s="1"/>
  <c r="AO7" i="7" s="1"/>
  <c r="G381" i="22"/>
  <c r="G382" i="22"/>
  <c r="F11" i="22"/>
  <c r="D17" i="19" s="1"/>
  <c r="AA383" i="22"/>
  <c r="AJ8" i="25"/>
  <c r="AA9" i="22"/>
  <c r="AA382" i="22"/>
  <c r="Z20" i="22"/>
  <c r="AL7" i="22" s="1"/>
  <c r="AM8" i="22"/>
  <c r="AL10" i="22"/>
  <c r="D383" i="25"/>
  <c r="F9" i="23"/>
  <c r="G18" i="19" s="1"/>
  <c r="J42" i="19" s="1"/>
  <c r="E20" i="25"/>
  <c r="AJ10" i="25" s="1"/>
  <c r="AJ12" i="25" s="1"/>
  <c r="D9" i="25"/>
  <c r="D382" i="25"/>
  <c r="E381" i="24"/>
  <c r="F383" i="23"/>
  <c r="E382" i="24"/>
  <c r="AJ13" i="24"/>
  <c r="D11" i="25"/>
  <c r="Y11" i="18"/>
  <c r="G20" i="23"/>
  <c r="F382" i="23"/>
  <c r="F20" i="24"/>
  <c r="AK10" i="24" s="1"/>
  <c r="AK8" i="24"/>
  <c r="AA20" i="23"/>
  <c r="AA382" i="23" s="1"/>
  <c r="F381" i="23"/>
  <c r="AM10" i="23"/>
  <c r="E9" i="24"/>
  <c r="E11" i="24" s="1"/>
  <c r="F43" i="19" s="1"/>
  <c r="E383" i="24"/>
  <c r="AK12" i="23"/>
  <c r="F42" i="19"/>
  <c r="AK9" i="24"/>
  <c r="AM9" i="24"/>
  <c r="AK11" i="24"/>
  <c r="AK7" i="25"/>
  <c r="H39" i="19"/>
  <c r="D16" i="19"/>
  <c r="G40" i="19"/>
  <c r="I383" i="20"/>
  <c r="I381" i="20"/>
  <c r="I382" i="20"/>
  <c r="H20" i="22"/>
  <c r="F7" i="6"/>
  <c r="AI7" i="7"/>
  <c r="J15" i="19"/>
  <c r="J31" i="19" s="1"/>
  <c r="AA11" i="18"/>
  <c r="AA5" i="18" s="1"/>
  <c r="I15" i="19" s="1"/>
  <c r="AM13" i="18"/>
  <c r="AK4" i="18"/>
  <c r="R15" i="19" s="1"/>
  <c r="N4" i="6"/>
  <c r="AL13" i="18"/>
  <c r="AJ3" i="18"/>
  <c r="O15" i="19" s="1"/>
  <c r="M15" i="19" s="1"/>
  <c r="J381" i="20"/>
  <c r="J382" i="20"/>
  <c r="J383" i="20"/>
  <c r="Z382" i="20"/>
  <c r="Z383" i="20"/>
  <c r="Z381" i="20"/>
  <c r="Z9" i="20"/>
  <c r="Y20" i="20"/>
  <c r="AL8" i="20"/>
  <c r="AK13" i="23" l="1"/>
  <c r="AM7" i="23"/>
  <c r="E16" i="19"/>
  <c r="F16" i="19" s="1"/>
  <c r="E17" i="19"/>
  <c r="F17" i="19" s="1"/>
  <c r="I31" i="19"/>
  <c r="E44" i="19"/>
  <c r="AL10" i="23"/>
  <c r="G7" i="6"/>
  <c r="AJ9" i="25"/>
  <c r="AJ11" i="25" s="1"/>
  <c r="AJ13" i="25" s="1"/>
  <c r="AA20" i="24"/>
  <c r="AL10" i="24" s="1"/>
  <c r="Y20" i="22"/>
  <c r="Y381" i="22" s="1"/>
  <c r="AL9" i="23"/>
  <c r="G41" i="19"/>
  <c r="Z9" i="22"/>
  <c r="Z381" i="22"/>
  <c r="E382" i="25"/>
  <c r="E9" i="25"/>
  <c r="E381" i="25"/>
  <c r="F20" i="25"/>
  <c r="F382" i="25" s="1"/>
  <c r="E383" i="25"/>
  <c r="AK8" i="25"/>
  <c r="AL8" i="22"/>
  <c r="Z383" i="22"/>
  <c r="Z382" i="22"/>
  <c r="AM8" i="23"/>
  <c r="F11" i="23"/>
  <c r="D18" i="19" s="1"/>
  <c r="F383" i="24"/>
  <c r="AA383" i="23"/>
  <c r="AB9" i="23"/>
  <c r="G20" i="24"/>
  <c r="CE20" i="6" s="1"/>
  <c r="F381" i="24"/>
  <c r="AA9" i="23"/>
  <c r="E11" i="25"/>
  <c r="F44" i="19" s="1"/>
  <c r="G381" i="23"/>
  <c r="CD20" i="6"/>
  <c r="F9" i="24"/>
  <c r="F11" i="24" s="1"/>
  <c r="AM10" i="24"/>
  <c r="F382" i="24"/>
  <c r="Z20" i="23"/>
  <c r="AL7" i="23" s="1"/>
  <c r="AA381" i="23"/>
  <c r="G382" i="23"/>
  <c r="C19" i="19"/>
  <c r="G383" i="23"/>
  <c r="G12" i="23" s="1"/>
  <c r="H7" i="6" s="1"/>
  <c r="AK12" i="24"/>
  <c r="AK13" i="24" s="1"/>
  <c r="AL5" i="20"/>
  <c r="AL11" i="20" s="1"/>
  <c r="AJ3" i="20" s="1"/>
  <c r="O16" i="19" s="1"/>
  <c r="M16" i="19" s="1"/>
  <c r="AM5" i="20"/>
  <c r="AM11" i="20" s="1"/>
  <c r="AK3" i="20" s="1"/>
  <c r="Q16" i="19" s="1"/>
  <c r="N16" i="19" s="1"/>
  <c r="AM7" i="24"/>
  <c r="AL5" i="22"/>
  <c r="AL11" i="22" s="1"/>
  <c r="AJ3" i="22" s="1"/>
  <c r="O17" i="19" s="1"/>
  <c r="AM5" i="22"/>
  <c r="AM11" i="22" s="1"/>
  <c r="AK3" i="22" s="1"/>
  <c r="Q17" i="19" s="1"/>
  <c r="AM9" i="25"/>
  <c r="AK9" i="25"/>
  <c r="AK11" i="25" s="1"/>
  <c r="I39" i="19"/>
  <c r="AL8" i="23"/>
  <c r="J20" i="22"/>
  <c r="I20" i="22"/>
  <c r="AL6" i="20"/>
  <c r="AL12" i="20" s="1"/>
  <c r="Y381" i="20"/>
  <c r="Y382" i="20"/>
  <c r="Y383" i="20"/>
  <c r="AM6" i="20"/>
  <c r="AM12" i="20" s="1"/>
  <c r="X9" i="20"/>
  <c r="Z11" i="20" s="1"/>
  <c r="Z5" i="20" s="1"/>
  <c r="H16" i="19" s="1"/>
  <c r="B32" i="19" s="1"/>
  <c r="AL9" i="24" l="1"/>
  <c r="AL6" i="22"/>
  <c r="AL12" i="22" s="1"/>
  <c r="AL13" i="22" s="1"/>
  <c r="AA381" i="24"/>
  <c r="F33" i="19"/>
  <c r="E33" i="19"/>
  <c r="AA9" i="24"/>
  <c r="Y383" i="22"/>
  <c r="AM6" i="22"/>
  <c r="AM12" i="22" s="1"/>
  <c r="AM13" i="22" s="1"/>
  <c r="AM8" i="24"/>
  <c r="AA383" i="24"/>
  <c r="Z20" i="24"/>
  <c r="AL7" i="24" s="1"/>
  <c r="AA382" i="24"/>
  <c r="X9" i="22"/>
  <c r="AA11" i="22" s="1"/>
  <c r="AA5" i="22" s="1"/>
  <c r="I17" i="19" s="1"/>
  <c r="Y382" i="22"/>
  <c r="G382" i="24"/>
  <c r="G20" i="25"/>
  <c r="CF20" i="6" s="1"/>
  <c r="J2" i="6" s="1"/>
  <c r="F381" i="25"/>
  <c r="AM10" i="25"/>
  <c r="F383" i="25"/>
  <c r="AB9" i="24"/>
  <c r="G42" i="19"/>
  <c r="F9" i="25"/>
  <c r="F11" i="25" s="1"/>
  <c r="AA20" i="25"/>
  <c r="AA382" i="25" s="1"/>
  <c r="AK10" i="25"/>
  <c r="AK12" i="25" s="1"/>
  <c r="AK13" i="25" s="1"/>
  <c r="C20" i="19"/>
  <c r="G383" i="24"/>
  <c r="G12" i="24" s="1"/>
  <c r="I7" i="6" s="1"/>
  <c r="G19" i="19"/>
  <c r="J43" i="19" s="1"/>
  <c r="G381" i="24"/>
  <c r="Y20" i="23"/>
  <c r="Y381" i="23" s="1"/>
  <c r="Z382" i="23"/>
  <c r="Z9" i="23"/>
  <c r="Z383" i="23"/>
  <c r="Z381" i="23"/>
  <c r="AU7" i="7"/>
  <c r="AL5" i="23"/>
  <c r="AL11" i="23" s="1"/>
  <c r="AJ3" i="23" s="1"/>
  <c r="O18" i="19" s="1"/>
  <c r="AM7" i="25"/>
  <c r="E18" i="19"/>
  <c r="F18" i="19" s="1"/>
  <c r="H40" i="19"/>
  <c r="D19" i="19"/>
  <c r="G43" i="19"/>
  <c r="AL13" i="20"/>
  <c r="AJ4" i="20"/>
  <c r="P16" i="19" s="1"/>
  <c r="M17" i="19" s="1"/>
  <c r="AM13" i="20"/>
  <c r="AK4" i="20"/>
  <c r="R16" i="19" s="1"/>
  <c r="N17" i="19" s="1"/>
  <c r="J383" i="22"/>
  <c r="J381" i="22"/>
  <c r="J382" i="22"/>
  <c r="J16" i="19"/>
  <c r="AA11" i="20"/>
  <c r="AA5" i="20" s="1"/>
  <c r="I16" i="19" s="1"/>
  <c r="I383" i="22"/>
  <c r="I382" i="22"/>
  <c r="I381" i="22"/>
  <c r="H20" i="23"/>
  <c r="Y11" i="20"/>
  <c r="Z381" i="24" l="1"/>
  <c r="J17" i="19"/>
  <c r="AM5" i="23"/>
  <c r="AM11" i="23" s="1"/>
  <c r="AK3" i="23" s="1"/>
  <c r="Q18" i="19" s="1"/>
  <c r="E19" i="19"/>
  <c r="F19" i="19" s="1"/>
  <c r="AK4" i="22"/>
  <c r="R17" i="19" s="1"/>
  <c r="N18" i="19" s="1"/>
  <c r="Y20" i="24"/>
  <c r="Y383" i="24" s="1"/>
  <c r="Z9" i="24"/>
  <c r="AL8" i="24"/>
  <c r="Z383" i="24"/>
  <c r="Z382" i="24"/>
  <c r="Z11" i="22"/>
  <c r="Z5" i="22" s="1"/>
  <c r="H17" i="19" s="1"/>
  <c r="AL9" i="25"/>
  <c r="AJ4" i="22"/>
  <c r="P17" i="19" s="1"/>
  <c r="M18" i="19" s="1"/>
  <c r="Y11" i="22"/>
  <c r="G383" i="25"/>
  <c r="G12" i="25" s="1"/>
  <c r="BG7" i="7" s="1"/>
  <c r="G381" i="25"/>
  <c r="G382" i="25"/>
  <c r="AA381" i="25"/>
  <c r="AL6" i="23"/>
  <c r="AL12" i="23" s="1"/>
  <c r="AJ4" i="23" s="1"/>
  <c r="P18" i="19" s="1"/>
  <c r="AM8" i="25"/>
  <c r="AL10" i="25"/>
  <c r="Z20" i="25"/>
  <c r="AL7" i="25" s="1"/>
  <c r="AA9" i="25"/>
  <c r="AA383" i="25"/>
  <c r="C9" i="19"/>
  <c r="BA7" i="7"/>
  <c r="AB9" i="25"/>
  <c r="G20" i="19"/>
  <c r="J44" i="19" s="1"/>
  <c r="X9" i="23"/>
  <c r="J18" i="19" s="1"/>
  <c r="Y383" i="23"/>
  <c r="AM6" i="23"/>
  <c r="AM12" i="23" s="1"/>
  <c r="AM13" i="23" s="1"/>
  <c r="Y382" i="23"/>
  <c r="AM5" i="24"/>
  <c r="AM11" i="24" s="1"/>
  <c r="AK3" i="24" s="1"/>
  <c r="Q19" i="19" s="1"/>
  <c r="I40" i="19"/>
  <c r="I41" i="19"/>
  <c r="D20" i="19"/>
  <c r="G44" i="19"/>
  <c r="D33" i="19"/>
  <c r="I20" i="23"/>
  <c r="J20" i="23"/>
  <c r="G33" i="19" l="1"/>
  <c r="H41" i="19"/>
  <c r="E20" i="19"/>
  <c r="F20" i="19" s="1"/>
  <c r="F9" i="19" s="1"/>
  <c r="Y382" i="24"/>
  <c r="AL5" i="24"/>
  <c r="AL11" i="24" s="1"/>
  <c r="AJ3" i="24" s="1"/>
  <c r="O19" i="19" s="1"/>
  <c r="X9" i="24"/>
  <c r="AA11" i="24" s="1"/>
  <c r="AA5" i="24" s="1"/>
  <c r="I19" i="19" s="1"/>
  <c r="AM6" i="24"/>
  <c r="AM12" i="24" s="1"/>
  <c r="AM13" i="24" s="1"/>
  <c r="AL13" i="23"/>
  <c r="Y381" i="24"/>
  <c r="AL6" i="24"/>
  <c r="AL12" i="24" s="1"/>
  <c r="Z381" i="25"/>
  <c r="G9" i="19"/>
  <c r="J7" i="6"/>
  <c r="Z383" i="25"/>
  <c r="Y11" i="23"/>
  <c r="Y20" i="25"/>
  <c r="AM6" i="25" s="1"/>
  <c r="AM12" i="25" s="1"/>
  <c r="Z9" i="25"/>
  <c r="AL8" i="25"/>
  <c r="Z382" i="25"/>
  <c r="Z11" i="23"/>
  <c r="Z5" i="23" s="1"/>
  <c r="H18" i="19" s="1"/>
  <c r="AK4" i="23"/>
  <c r="R18" i="19" s="1"/>
  <c r="N19" i="19" s="1"/>
  <c r="AA11" i="23"/>
  <c r="AA5" i="23" s="1"/>
  <c r="I18" i="19" s="1"/>
  <c r="M19" i="19"/>
  <c r="AM5" i="25"/>
  <c r="AM11" i="25" s="1"/>
  <c r="AK3" i="25" s="1"/>
  <c r="Q20" i="19" s="1"/>
  <c r="D9" i="19"/>
  <c r="B33" i="19"/>
  <c r="I381" i="23"/>
  <c r="I383" i="23"/>
  <c r="I382" i="23"/>
  <c r="H20" i="24"/>
  <c r="J382" i="23"/>
  <c r="J381" i="23"/>
  <c r="J383" i="23"/>
  <c r="E9" i="19" l="1"/>
  <c r="I42" i="19"/>
  <c r="H42" i="19"/>
  <c r="J19" i="19"/>
  <c r="AK4" i="24"/>
  <c r="R19" i="19" s="1"/>
  <c r="N20" i="19" s="1"/>
  <c r="Y11" i="24"/>
  <c r="Z11" i="24"/>
  <c r="Z5" i="24" s="1"/>
  <c r="H19" i="19" s="1"/>
  <c r="Y382" i="25"/>
  <c r="AJ4" i="24"/>
  <c r="P19" i="19" s="1"/>
  <c r="AL13" i="24"/>
  <c r="AL5" i="25"/>
  <c r="AL11" i="25" s="1"/>
  <c r="AJ3" i="25" s="1"/>
  <c r="O20" i="19" s="1"/>
  <c r="M20" i="19" s="1"/>
  <c r="Y383" i="25"/>
  <c r="Y381" i="25"/>
  <c r="X9" i="25"/>
  <c r="J20" i="19" s="1"/>
  <c r="AL6" i="25"/>
  <c r="AL12" i="25" s="1"/>
  <c r="I43" i="19"/>
  <c r="C33" i="19"/>
  <c r="AM13" i="25"/>
  <c r="AK4" i="25"/>
  <c r="R20" i="19" s="1"/>
  <c r="J20" i="24"/>
  <c r="I20" i="24"/>
  <c r="H43" i="19" l="1"/>
  <c r="Y11" i="25"/>
  <c r="AA11" i="25"/>
  <c r="AA5" i="25" s="1"/>
  <c r="I20" i="19" s="1"/>
  <c r="Z11" i="25"/>
  <c r="Z5" i="25" s="1"/>
  <c r="H20" i="19" s="1"/>
  <c r="O34" i="19" s="1"/>
  <c r="AL13" i="25"/>
  <c r="AJ4" i="25"/>
  <c r="P20" i="19" s="1"/>
  <c r="J9" i="19"/>
  <c r="J33" i="19"/>
  <c r="J383" i="24"/>
  <c r="J382" i="24"/>
  <c r="J381" i="24"/>
  <c r="I381" i="24"/>
  <c r="I382" i="24"/>
  <c r="I383" i="24"/>
  <c r="H20" i="25"/>
  <c r="O35" i="19" l="1"/>
  <c r="N35" i="19" s="1"/>
  <c r="O33" i="19"/>
  <c r="N33" i="19" s="1"/>
  <c r="O36" i="19"/>
  <c r="N34" i="19"/>
  <c r="I9" i="19"/>
  <c r="H44" i="19"/>
  <c r="H33" i="19" s="1"/>
  <c r="H9" i="19"/>
  <c r="I44" i="19"/>
  <c r="I33" i="19" s="1"/>
  <c r="J20" i="25"/>
  <c r="I20" i="25"/>
  <c r="O32" i="19" l="1"/>
  <c r="N36" i="19"/>
  <c r="N32" i="19" s="1"/>
  <c r="I382" i="25"/>
  <c r="I383" i="25"/>
  <c r="I381" i="25"/>
  <c r="J382" i="25"/>
  <c r="J383" i="25"/>
  <c r="J381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  <author>Eric N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L46" authorId="1" shapeId="0">
      <text>
        <r>
          <rPr>
            <sz val="9"/>
            <color indexed="81"/>
            <rFont val="Tahoma"/>
            <family val="2"/>
          </rPr>
          <t>Hauteur A8, relevée à l'arbre 9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23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163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16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6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6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6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6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6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169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compensation des valeurs exceptionnelles écrasées</t>
        </r>
      </text>
    </comment>
  </commentList>
</comments>
</file>

<file path=xl/sharedStrings.xml><?xml version="1.0" encoding="utf-8"?>
<sst xmlns="http://schemas.openxmlformats.org/spreadsheetml/2006/main" count="2121" uniqueCount="357">
  <si>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</si>
  <si>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</si>
  <si>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</si>
  <si>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</si>
  <si>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</si>
  <si>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</si>
  <si>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</si>
  <si>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</si>
  <si>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</si>
  <si>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</si>
  <si>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</si>
  <si>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</si>
  <si>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</si>
  <si>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</si>
  <si>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</si>
  <si>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</si>
  <si>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</si>
  <si>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</si>
  <si>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</si>
  <si>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</si>
  <si>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</si>
  <si>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</si>
  <si>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</si>
  <si>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</si>
  <si>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</si>
  <si>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</si>
  <si>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</si>
  <si>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</si>
  <si>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</si>
  <si>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</si>
  <si>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</si>
  <si>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</si>
  <si>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</si>
  <si>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</si>
  <si>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</si>
  <si>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</si>
  <si>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</si>
  <si>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</si>
  <si>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</si>
  <si>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</si>
  <si>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</si>
  <si>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</si>
  <si>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</si>
  <si>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</si>
  <si>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</si>
  <si>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</si>
  <si>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</si>
  <si>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</si>
  <si>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</si>
  <si>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</si>
  <si>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</si>
  <si>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</si>
  <si>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</si>
  <si>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</si>
  <si>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</si>
  <si>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Min:</t>
  </si>
  <si>
    <t>Moy:</t>
  </si>
  <si>
    <t>Max:</t>
  </si>
  <si>
    <t>Annuel</t>
  </si>
  <si>
    <t>Pertes par salissure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</si>
  <si>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</si>
  <si>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</si>
  <si>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</si>
  <si>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</si>
  <si>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</si>
  <si>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</si>
  <si>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</si>
  <si>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</si>
  <si>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</si>
  <si>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</si>
  <si>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</si>
  <si>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</si>
  <si>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</si>
  <si>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</si>
  <si>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</si>
  <si>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</si>
  <si>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</si>
  <si>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</si>
  <si>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</si>
  <si>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</si>
  <si>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</si>
  <si>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</si>
  <si>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</si>
  <si>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</si>
  <si>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</si>
  <si>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</si>
  <si>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</si>
  <si>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</si>
  <si>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</si>
  <si>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</si>
  <si>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</si>
  <si>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</si>
  <si>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</si>
  <si>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</si>
  <si>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</si>
  <si>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</si>
  <si>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</si>
  <si>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</si>
  <si>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</si>
  <si>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</si>
  <si>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</si>
  <si>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</si>
  <si>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</si>
  <si>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</si>
  <si>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</si>
  <si>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</si>
  <si>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</si>
  <si>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</si>
  <si>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</si>
  <si>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</si>
  <si>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</si>
  <si>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</si>
  <si>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</si>
  <si>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</si>
  <si>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</si>
  <si>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</si>
  <si>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</si>
  <si>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</si>
  <si>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</si>
  <si>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</si>
  <si>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</si>
  <si>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</si>
  <si>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</si>
  <si>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</si>
  <si>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</si>
  <si>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</si>
  <si>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</si>
  <si>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</si>
  <si>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</si>
  <si>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</si>
  <si>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</si>
  <si>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</si>
  <si>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</si>
  <si>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</si>
  <si>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Répartition panneaux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</si>
  <si>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</si>
  <si>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</si>
  <si>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</si>
  <si>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</si>
  <si>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</si>
  <si>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</si>
  <si>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</si>
  <si>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</si>
  <si>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</si>
  <si>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</si>
  <si>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</si>
  <si>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</si>
  <si>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</si>
  <si>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</si>
  <si>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</si>
  <si>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</si>
  <si>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</si>
  <si>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Centre PV</t>
  </si>
  <si>
    <t>Arbre 1</t>
  </si>
  <si>
    <t>Arbre 2</t>
  </si>
  <si>
    <t>Arbre 3</t>
  </si>
  <si>
    <t>Arbre 4</t>
  </si>
  <si>
    <t>Arbre 5</t>
  </si>
  <si>
    <t>Arbre 6</t>
  </si>
  <si>
    <t>Arbre 8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</si>
  <si>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</si>
  <si>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</si>
  <si>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</si>
  <si>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</si>
  <si>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</si>
  <si>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</si>
  <si>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</si>
  <si>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</si>
  <si>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</si>
  <si>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</si>
  <si>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</si>
  <si>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</si>
  <si>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</si>
  <si>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</si>
  <si>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</si>
  <si>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</si>
  <si>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</si>
  <si>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</si>
  <si>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</si>
  <si>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</si>
  <si>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</si>
  <si>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</si>
  <si>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</si>
  <si>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</si>
  <si>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</si>
  <si>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</si>
  <si>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</si>
  <si>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</si>
  <si>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</si>
  <si>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</si>
  <si>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</si>
  <si>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</si>
  <si>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</si>
  <si>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</si>
  <si>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</si>
  <si>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</si>
  <si>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</si>
  <si>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Pousse en Hauteur: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</si>
  <si>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</si>
  <si>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</si>
  <si>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</si>
  <si>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</si>
  <si>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</si>
  <si>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</si>
  <si>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</si>
  <si>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</si>
  <si>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</si>
  <si>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</si>
  <si>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</si>
  <si>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</si>
  <si>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</si>
  <si>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</si>
  <si>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</si>
  <si>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</si>
  <si>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</si>
  <si>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</si>
  <si>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</si>
  <si>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</si>
  <si>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</si>
  <si>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</si>
  <si>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</si>
  <si>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</si>
  <si>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</si>
  <si>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</si>
  <si>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</si>
  <si>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</si>
  <si>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</si>
  <si>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</si>
  <si>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</si>
  <si>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</si>
  <si>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</si>
  <si>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</si>
  <si>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</si>
  <si>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</si>
  <si>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</si>
  <si>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</si>
  <si>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</si>
  <si>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</si>
  <si>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</si>
  <si>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</si>
  <si>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</si>
  <si>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</si>
  <si>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</si>
  <si>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</si>
  <si>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</si>
  <si>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</si>
  <si>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</si>
  <si>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</si>
  <si>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</si>
  <si>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</si>
  <si>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</si>
  <si>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>Donneville</t>
  </si>
  <si>
    <t>Mur entrée angle Sud Est</t>
  </si>
  <si>
    <t>Mur entrée angle Sud Est H</t>
  </si>
  <si>
    <t>Observateur 1: loin (parking)</t>
  </si>
  <si>
    <t>Observateur 2 près champ PV</t>
  </si>
  <si>
    <t xml:space="preserve">Photo1: 2021-11-02 Vg Donneville pour les arbres </t>
  </si>
  <si>
    <t>Photo: 2021-11-02 Donneville Panorama pour les points</t>
  </si>
  <si>
    <t>Hauteur 0 = sol base verstiaire</t>
  </si>
  <si>
    <t>Arbre 7G</t>
  </si>
  <si>
    <t>Arbre 7D</t>
  </si>
  <si>
    <t>Arbre 9D</t>
  </si>
  <si>
    <t>Arbre 10 G</t>
  </si>
  <si>
    <t>Arbre 10 D</t>
  </si>
  <si>
    <t>Plat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</si>
  <si>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</si>
  <si>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</si>
  <si>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</si>
  <si>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</si>
  <si>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</si>
  <si>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</si>
  <si>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</si>
  <si>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</si>
  <si>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</si>
  <si>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</si>
  <si>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</si>
  <si>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</si>
  <si>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</si>
  <si>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</si>
  <si>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</si>
  <si>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</si>
  <si>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</si>
  <si>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</si>
  <si>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</si>
  <si>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</si>
  <si>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</si>
  <si>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</si>
  <si>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</si>
  <si>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</si>
  <si>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</si>
  <si>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</si>
  <si>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</si>
  <si>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</si>
  <si>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</si>
  <si>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</si>
  <si>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</si>
  <si>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</si>
  <si>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</si>
  <si>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</si>
  <si>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</si>
  <si>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</si>
  <si>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Toiture 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</si>
  <si>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</si>
  <si>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</si>
  <si>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</si>
  <si>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</si>
  <si>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</si>
  <si>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</si>
  <si>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</si>
  <si>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</si>
  <si>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</si>
  <si>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</si>
  <si>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</si>
  <si>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C.:</t>
  </si>
  <si>
    <t>Centre du champ PV D.:</t>
  </si>
  <si>
    <t>Arbre 1G</t>
  </si>
  <si>
    <t>Arbre 10C</t>
  </si>
  <si>
    <t>/ Pousse en hauteur initiale</t>
  </si>
  <si>
    <t>Référence pousse en hauteur:</t>
  </si>
  <si>
    <t>Gauche/Centre/ Droit:</t>
  </si>
  <si>
    <t>Azimut(s) G &amp; D:</t>
  </si>
  <si>
    <t>Arbre 10 DE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</si>
  <si>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</si>
  <si>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</si>
  <si>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</si>
  <si>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</si>
  <si>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</si>
  <si>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</si>
  <si>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</si>
  <si>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Seuil forte prod.:</t>
  </si>
  <si>
    <t>Date de relevés hauteurs (ref. 0m):</t>
  </si>
  <si>
    <t>Ratio de pousse</t>
  </si>
  <si>
    <t>Pertes annuelles totales</t>
  </si>
  <si>
    <t>Gain annuel de nettoyage</t>
  </si>
  <si>
    <t>Gain de nettoyage</t>
  </si>
  <si>
    <t>Gain de taille végétation</t>
  </si>
  <si>
    <t>Gain annuel de taille v.g.</t>
  </si>
  <si>
    <t>Gain instantané de nettoyag</t>
  </si>
  <si>
    <t>Théorique avec vieillis sement</t>
  </si>
  <si>
    <t>date de nettoyage</t>
  </si>
  <si>
    <t>Date de nettoyage</t>
  </si>
  <si>
    <t>Date de taille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</si>
  <si>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</si>
  <si>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</si>
  <si>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</si>
  <si>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</si>
  <si>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</si>
  <si>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</si>
  <si>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Compilation Ratios /MaxiM</t>
  </si>
  <si>
    <t>Moyenne ratios forte prod. &gt;0,97 :</t>
  </si>
  <si>
    <t>periode net</t>
  </si>
  <si>
    <t>Cumul 22</t>
  </si>
  <si>
    <t>moyennes annuelles</t>
  </si>
  <si>
    <t>gain/an</t>
  </si>
  <si>
    <t>23 hors net</t>
  </si>
  <si>
    <t>action</t>
  </si>
  <si>
    <t>Gains depuis le "début" ou depuis dernière "action":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</si>
</sst>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  <numFmt numFmtId="189" formatCode="d/m/yy;@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9"/>
      <name val="Arial Narrow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3" applyNumberFormat="0" applyAlignment="0" applyProtection="0"/>
    <xf numFmtId="0" fontId="15" fillId="0" borderId="54" applyNumberFormat="0" applyFill="0" applyAlignment="0" applyProtection="0"/>
    <xf numFmtId="0" fontId="11" fillId="27" borderId="55" applyNumberFormat="0" applyFont="0" applyAlignment="0" applyProtection="0"/>
    <xf numFmtId="0" fontId="16" fillId="28" borderId="53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6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7" applyNumberFormat="0" applyFill="0" applyAlignment="0" applyProtection="0"/>
    <xf numFmtId="0" fontId="24" fillId="0" borderId="58" applyNumberFormat="0" applyFill="0" applyAlignment="0" applyProtection="0"/>
    <xf numFmtId="0" fontId="25" fillId="0" borderId="5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0" applyNumberFormat="0" applyFill="0" applyAlignment="0" applyProtection="0"/>
    <xf numFmtId="0" fontId="27" fillId="32" borderId="61" applyNumberFormat="0" applyAlignment="0" applyProtection="0"/>
  </cellStyleXfs>
  <cellXfs count="1252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2" fontId="31" fillId="0" borderId="0" xfId="0" applyNumberFormat="1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171" fontId="31" fillId="0" borderId="4" xfId="0" applyNumberFormat="1" applyFont="1" applyBorder="1" applyProtection="1"/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1" fontId="32" fillId="0" borderId="21" xfId="0" applyNumberFormat="1" applyFont="1" applyBorder="1" applyProtection="1"/>
    <xf numFmtId="1" fontId="32" fillId="0" borderId="24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70" fontId="34" fillId="0" borderId="0" xfId="0" applyNumberFormat="1" applyFont="1" applyAlignment="1" applyProtection="1">
      <alignment horizontal="left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5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6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32" fillId="0" borderId="0" xfId="0" applyFont="1" applyAlignment="1" applyProtection="1">
      <alignment horizontal="left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166" fontId="104" fillId="0" borderId="29" xfId="33" applyNumberFormat="1" applyFont="1" applyBorder="1" applyAlignment="1" applyProtection="1">
      <alignment horizontal="center"/>
      <protection locked="0"/>
    </xf>
    <xf numFmtId="166" fontId="105" fillId="0" borderId="29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30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2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167" fontId="83" fillId="0" borderId="0" xfId="0" applyNumberFormat="1" applyFont="1" applyProtection="1"/>
    <xf numFmtId="0" fontId="110" fillId="0" borderId="0" xfId="0" applyFont="1" applyProtection="1"/>
    <xf numFmtId="0" fontId="83" fillId="0" borderId="0" xfId="0" applyFont="1" applyBorder="1" applyAlignment="1" applyProtection="1">
      <alignment horizontal="right"/>
    </xf>
    <xf numFmtId="179" fontId="33" fillId="0" borderId="0" xfId="0" applyNumberFormat="1" applyFont="1" applyBorder="1" applyAlignment="1" applyProtection="1">
      <alignment horizontal="center"/>
    </xf>
    <xf numFmtId="179" fontId="83" fillId="0" borderId="0" xfId="0" applyNumberFormat="1" applyFont="1" applyBorder="1" applyAlignment="1" applyProtection="1">
      <alignment horizontal="center"/>
    </xf>
    <xf numFmtId="166" fontId="111" fillId="0" borderId="31" xfId="33" applyNumberFormat="1" applyFont="1" applyBorder="1" applyAlignment="1" applyProtection="1">
      <alignment horizontal="center"/>
      <protection locked="0"/>
    </xf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2" fillId="0" borderId="29" xfId="0" applyNumberFormat="1" applyFont="1" applyFill="1" applyBorder="1" applyProtection="1">
      <protection locked="0"/>
    </xf>
    <xf numFmtId="0" fontId="112" fillId="0" borderId="0" xfId="0" applyFont="1" applyAlignment="1" applyProtection="1">
      <alignment horizontal="center"/>
    </xf>
    <xf numFmtId="2" fontId="112" fillId="34" borderId="29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7" xfId="33" applyNumberFormat="1" applyFont="1" applyBorder="1" applyAlignment="1" applyProtection="1">
      <alignment horizontal="center"/>
      <protection locked="0"/>
    </xf>
    <xf numFmtId="167" fontId="104" fillId="0" borderId="29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3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2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2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2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4" fillId="0" borderId="13" xfId="0" applyNumberFormat="1" applyFont="1" applyBorder="1" applyAlignment="1" applyProtection="1">
      <alignment horizontal="center"/>
    </xf>
    <xf numFmtId="1" fontId="114" fillId="0" borderId="11" xfId="0" applyNumberFormat="1" applyFont="1" applyBorder="1" applyAlignment="1" applyProtection="1">
      <alignment horizontal="center"/>
    </xf>
    <xf numFmtId="1" fontId="114" fillId="0" borderId="2" xfId="0" applyNumberFormat="1" applyFont="1" applyBorder="1" applyAlignment="1" applyProtection="1">
      <alignment horizontal="center"/>
    </xf>
    <xf numFmtId="1" fontId="114" fillId="0" borderId="10" xfId="0" applyNumberFormat="1" applyFont="1" applyBorder="1" applyAlignment="1" applyProtection="1">
      <alignment horizontal="center"/>
    </xf>
    <xf numFmtId="1" fontId="114" fillId="0" borderId="17" xfId="0" applyNumberFormat="1" applyFont="1" applyBorder="1" applyAlignment="1" applyProtection="1">
      <alignment horizontal="center"/>
    </xf>
    <xf numFmtId="1" fontId="114" fillId="0" borderId="32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5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6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7" fillId="0" borderId="0" xfId="0" applyNumberFormat="1" applyFont="1" applyAlignment="1" applyProtection="1">
      <alignment horizontal="center"/>
    </xf>
    <xf numFmtId="15" fontId="118" fillId="0" borderId="0" xfId="0" applyNumberFormat="1" applyFont="1" applyBorder="1" applyAlignment="1" applyProtection="1">
      <alignment horizontal="center" vertical="center"/>
      <protection locked="0"/>
    </xf>
    <xf numFmtId="9" fontId="118" fillId="0" borderId="19" xfId="33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8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3" xfId="0" applyNumberFormat="1" applyFont="1" applyBorder="1" applyAlignment="1" applyProtection="1">
      <alignment horizontal="center"/>
      <protection locked="0"/>
    </xf>
    <xf numFmtId="1" fontId="55" fillId="0" borderId="34" xfId="0" applyNumberFormat="1" applyFont="1" applyBorder="1" applyAlignment="1" applyProtection="1">
      <alignment horizontal="center"/>
      <protection locked="0"/>
    </xf>
    <xf numFmtId="166" fontId="55" fillId="0" borderId="35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1" fillId="0" borderId="36" xfId="0" applyNumberFormat="1" applyFont="1" applyBorder="1" applyProtection="1">
      <protection locked="0"/>
    </xf>
    <xf numFmtId="2" fontId="111" fillId="0" borderId="37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25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1" fillId="0" borderId="27" xfId="0" applyNumberFormat="1" applyFont="1" applyFill="1" applyBorder="1" applyAlignment="1" applyProtection="1">
      <alignment horizontal="center"/>
      <protection locked="0"/>
    </xf>
    <xf numFmtId="2" fontId="111" fillId="0" borderId="38" xfId="0" applyNumberFormat="1" applyFont="1" applyBorder="1" applyProtection="1">
      <protection locked="0"/>
    </xf>
    <xf numFmtId="2" fontId="111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1" fillId="0" borderId="28" xfId="0" applyNumberFormat="1" applyFont="1" applyBorder="1" applyAlignment="1" applyProtection="1">
      <alignment horizontal="center"/>
      <protection locked="0"/>
    </xf>
    <xf numFmtId="2" fontId="111" fillId="0" borderId="40" xfId="0" applyNumberFormat="1" applyFont="1" applyBorder="1" applyProtection="1">
      <protection locked="0"/>
    </xf>
    <xf numFmtId="2" fontId="111" fillId="0" borderId="41" xfId="0" applyNumberFormat="1" applyFont="1" applyBorder="1" applyProtection="1"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42" xfId="0" applyNumberFormat="1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2" fontId="111" fillId="0" borderId="29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3" xfId="0" applyFont="1" applyBorder="1" applyAlignment="1" applyProtection="1">
      <alignment horizontal="center"/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5" fillId="0" borderId="26" xfId="0" applyFont="1" applyBorder="1" applyAlignment="1" applyProtection="1">
      <alignment horizontal="right"/>
      <protection locked="0"/>
    </xf>
    <xf numFmtId="179" fontId="37" fillId="0" borderId="10" xfId="0" applyNumberFormat="1" applyFont="1" applyBorder="1" applyAlignment="1" applyProtection="1">
      <alignment horizontal="center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7" fillId="0" borderId="7" xfId="0" applyFont="1" applyBorder="1" applyProtection="1">
      <protection locked="0"/>
    </xf>
    <xf numFmtId="187" fontId="37" fillId="0" borderId="2" xfId="31" applyNumberFormat="1" applyFont="1" applyBorder="1" applyAlignment="1" applyProtection="1">
      <alignment horizontal="center"/>
      <protection locked="0"/>
    </xf>
    <xf numFmtId="187" fontId="37" fillId="0" borderId="0" xfId="31" applyNumberFormat="1" applyFont="1" applyBorder="1" applyAlignment="1" applyProtection="1">
      <alignment horizontal="center"/>
      <protection locked="0"/>
    </xf>
    <xf numFmtId="187" fontId="37" fillId="0" borderId="10" xfId="31" applyNumberFormat="1" applyFont="1" applyBorder="1" applyAlignment="1" applyProtection="1">
      <alignment horizontal="center"/>
      <protection locked="0"/>
    </xf>
    <xf numFmtId="187" fontId="50" fillId="0" borderId="7" xfId="31" applyNumberFormat="1" applyFont="1" applyBorder="1" applyAlignment="1" applyProtection="1">
      <alignment horizontal="center"/>
      <protection locked="0"/>
    </xf>
    <xf numFmtId="0" fontId="32" fillId="0" borderId="7" xfId="0" applyFont="1" applyBorder="1" applyAlignment="1" applyProtection="1">
      <alignment horizontal="right"/>
    </xf>
    <xf numFmtId="179" fontId="37" fillId="0" borderId="2" xfId="0" applyNumberFormat="1" applyFont="1" applyBorder="1" applyAlignment="1" applyProtection="1">
      <alignment horizontal="center"/>
      <protection locked="0"/>
    </xf>
    <xf numFmtId="179" fontId="37" fillId="0" borderId="0" xfId="0" applyNumberFormat="1" applyFont="1" applyBorder="1" applyAlignment="1" applyProtection="1">
      <alignment horizontal="center"/>
      <protection locked="0"/>
    </xf>
    <xf numFmtId="179" fontId="50" fillId="0" borderId="7" xfId="0" applyNumberFormat="1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horizontal="center"/>
    </xf>
    <xf numFmtId="179" fontId="38" fillId="0" borderId="0" xfId="0" applyNumberFormat="1" applyFont="1" applyFill="1" applyBorder="1" applyAlignment="1" applyProtection="1">
      <alignment horizontal="center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0" fontId="37" fillId="0" borderId="7" xfId="0" applyFont="1" applyBorder="1" applyAlignment="1" applyProtection="1">
      <alignment horizontal="left"/>
      <protection locked="0"/>
    </xf>
    <xf numFmtId="179" fontId="34" fillId="0" borderId="10" xfId="0" applyNumberFormat="1" applyFont="1" applyBorder="1" applyAlignment="1" applyProtection="1">
      <alignment horizontal="center" vertical="center"/>
    </xf>
    <xf numFmtId="187" fontId="50" fillId="0" borderId="0" xfId="31" applyNumberFormat="1" applyFont="1" applyBorder="1" applyAlignment="1" applyProtection="1">
      <alignment horizontal="center"/>
      <protection locked="0"/>
    </xf>
    <xf numFmtId="0" fontId="37" fillId="0" borderId="8" xfId="0" applyFont="1" applyBorder="1" applyAlignment="1" applyProtection="1">
      <alignment horizontal="left"/>
      <protection locked="0"/>
    </xf>
    <xf numFmtId="187" fontId="50" fillId="0" borderId="8" xfId="31" applyNumberFormat="1" applyFont="1" applyBorder="1" applyAlignment="1" applyProtection="1">
      <alignment horizontal="center"/>
      <protection locked="0"/>
    </xf>
    <xf numFmtId="187" fontId="37" fillId="0" borderId="4" xfId="31" applyNumberFormat="1" applyFont="1" applyBorder="1" applyAlignment="1" applyProtection="1">
      <alignment horizontal="center"/>
      <protection locked="0"/>
    </xf>
    <xf numFmtId="187" fontId="50" fillId="0" borderId="1" xfId="31" applyNumberFormat="1" applyFont="1" applyBorder="1" applyAlignment="1" applyProtection="1">
      <alignment horizontal="center"/>
      <protection locked="0"/>
    </xf>
    <xf numFmtId="187" fontId="37" fillId="0" borderId="1" xfId="31" applyNumberFormat="1" applyFont="1" applyBorder="1" applyAlignment="1" applyProtection="1">
      <alignment horizontal="center"/>
      <protection locked="0"/>
    </xf>
    <xf numFmtId="187" fontId="37" fillId="0" borderId="9" xfId="31" applyNumberFormat="1" applyFont="1" applyBorder="1" applyAlignment="1" applyProtection="1">
      <alignment horizontal="center"/>
      <protection locked="0"/>
    </xf>
    <xf numFmtId="0" fontId="32" fillId="0" borderId="8" xfId="0" applyFont="1" applyBorder="1" applyAlignment="1" applyProtection="1">
      <alignment horizontal="right"/>
    </xf>
    <xf numFmtId="179" fontId="37" fillId="0" borderId="4" xfId="0" applyNumberFormat="1" applyFont="1" applyBorder="1" applyAlignment="1" applyProtection="1">
      <alignment horizontal="center"/>
      <protection locked="0"/>
    </xf>
    <xf numFmtId="179" fontId="37" fillId="0" borderId="1" xfId="0" applyNumberFormat="1" applyFont="1" applyBorder="1" applyAlignment="1" applyProtection="1">
      <alignment horizontal="center"/>
      <protection locked="0"/>
    </xf>
    <xf numFmtId="179" fontId="37" fillId="0" borderId="9" xfId="0" applyNumberFormat="1" applyFont="1" applyBorder="1" applyAlignment="1" applyProtection="1">
      <alignment horizontal="center"/>
      <protection locked="0"/>
    </xf>
    <xf numFmtId="179" fontId="50" fillId="0" borderId="8" xfId="0" applyNumberFormat="1" applyFont="1" applyBorder="1" applyAlignment="1" applyProtection="1">
      <alignment horizontal="center"/>
      <protection locked="0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0" fontId="37" fillId="0" borderId="0" xfId="0" applyFont="1" applyBorder="1" applyProtection="1">
      <protection locked="0"/>
    </xf>
    <xf numFmtId="0" fontId="115" fillId="0" borderId="44" xfId="0" applyFont="1" applyBorder="1" applyAlignment="1" applyProtection="1">
      <alignment horizontal="right"/>
      <protection locked="0"/>
    </xf>
    <xf numFmtId="0" fontId="95" fillId="0" borderId="45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6" xfId="0" applyFont="1" applyBorder="1" applyAlignment="1" applyProtection="1">
      <alignment horizontal="right"/>
      <protection locked="0"/>
    </xf>
    <xf numFmtId="0" fontId="65" fillId="0" borderId="26" xfId="0" applyFont="1" applyBorder="1" applyAlignment="1" applyProtection="1">
      <alignment horizontal="right"/>
      <protection locked="0"/>
    </xf>
    <xf numFmtId="0" fontId="65" fillId="0" borderId="47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8" xfId="0" applyNumberFormat="1" applyFont="1" applyBorder="1" applyAlignment="1" applyProtection="1">
      <alignment horizontal="center"/>
      <protection locked="0"/>
    </xf>
    <xf numFmtId="2" fontId="111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1" fillId="0" borderId="45" xfId="0" applyNumberFormat="1" applyFont="1" applyBorder="1" applyProtection="1">
      <protection locked="0"/>
    </xf>
    <xf numFmtId="179" fontId="95" fillId="0" borderId="45" xfId="0" applyNumberFormat="1" applyFont="1" applyBorder="1" applyAlignment="1" applyProtection="1">
      <alignment horizontal="center"/>
      <protection locked="0"/>
    </xf>
    <xf numFmtId="2" fontId="111" fillId="0" borderId="43" xfId="0" applyNumberFormat="1" applyFont="1" applyBorder="1" applyAlignment="1" applyProtection="1">
      <alignment horizontal="center"/>
      <protection locked="0"/>
    </xf>
    <xf numFmtId="2" fontId="111" fillId="0" borderId="0" xfId="0" applyNumberFormat="1" applyFont="1" applyBorder="1" applyAlignment="1" applyProtection="1">
      <alignment horizontal="center"/>
      <protection locked="0"/>
    </xf>
    <xf numFmtId="2" fontId="111" fillId="0" borderId="0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50" xfId="0" applyNumberFormat="1" applyFont="1" applyFill="1" applyBorder="1" applyAlignment="1" applyProtection="1">
      <alignment horizontal="center"/>
      <protection locked="0"/>
    </xf>
    <xf numFmtId="179" fontId="37" fillId="33" borderId="26" xfId="0" applyNumberFormat="1" applyFont="1" applyFill="1" applyBorder="1" applyAlignment="1" applyProtection="1">
      <alignment horizontal="center"/>
      <protection locked="0"/>
    </xf>
    <xf numFmtId="179" fontId="38" fillId="33" borderId="26" xfId="0" applyNumberFormat="1" applyFont="1" applyFill="1" applyBorder="1" applyAlignment="1" applyProtection="1">
      <alignment horizontal="center"/>
      <protection locked="0"/>
    </xf>
    <xf numFmtId="179" fontId="38" fillId="33" borderId="44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51" xfId="0" applyNumberFormat="1" applyFont="1" applyBorder="1" applyAlignment="1" applyProtection="1">
      <alignment horizontal="right"/>
      <protection locked="0"/>
    </xf>
    <xf numFmtId="2" fontId="63" fillId="0" borderId="5" xfId="0" applyNumberFormat="1" applyFont="1" applyBorder="1" applyProtection="1"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179" fontId="63" fillId="0" borderId="9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5" fillId="0" borderId="50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1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2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2" fontId="55" fillId="0" borderId="19" xfId="0" applyNumberFormat="1" applyFont="1" applyBorder="1" applyAlignment="1" applyProtection="1">
      <alignment horizontal="center" vertical="center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0" fontId="46" fillId="33" borderId="0" xfId="0" applyFont="1" applyFill="1" applyBorder="1" applyAlignment="1" applyProtection="1">
      <alignment horizontal="center"/>
    </xf>
    <xf numFmtId="186" fontId="52" fillId="0" borderId="0" xfId="0" applyNumberFormat="1" applyFont="1" applyBorder="1" applyAlignment="1" applyProtection="1">
      <alignment horizontal="center"/>
    </xf>
    <xf numFmtId="186" fontId="42" fillId="0" borderId="3" xfId="0" applyNumberFormat="1" applyFont="1" applyBorder="1" applyAlignment="1" applyProtection="1">
      <alignment horizontal="center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Alignment="1" applyProtection="1">
      <alignment horizontal="left"/>
      <protection locked="0"/>
    </xf>
    <xf numFmtId="183" fontId="50" fillId="0" borderId="3" xfId="33" applyNumberFormat="1" applyFont="1" applyBorder="1" applyAlignment="1" applyProtection="1">
      <alignment horizontal="center"/>
    </xf>
    <xf numFmtId="0" fontId="32" fillId="0" borderId="6" xfId="0" applyFont="1" applyBorder="1" applyAlignment="1" applyProtection="1">
      <alignment horizontal="center"/>
    </xf>
    <xf numFmtId="2" fontId="32" fillId="0" borderId="7" xfId="0" applyNumberFormat="1" applyFont="1" applyBorder="1" applyAlignment="1" applyProtection="1">
      <alignment horizontal="center"/>
    </xf>
    <xf numFmtId="167" fontId="32" fillId="0" borderId="7" xfId="0" applyNumberFormat="1" applyFont="1" applyBorder="1" applyAlignment="1" applyProtection="1">
      <alignment horizontal="center"/>
    </xf>
    <xf numFmtId="0" fontId="32" fillId="0" borderId="8" xfId="0" applyFont="1" applyBorder="1" applyAlignment="1" applyProtection="1">
      <alignment horizontal="center"/>
    </xf>
    <xf numFmtId="1" fontId="30" fillId="33" borderId="3" xfId="0" applyNumberFormat="1" applyFont="1" applyFill="1" applyBorder="1" applyAlignment="1" applyProtection="1">
      <alignment horizontal="center" vertical="center" wrapText="1"/>
    </xf>
    <xf numFmtId="166" fontId="32" fillId="0" borderId="6" xfId="0" applyNumberFormat="1" applyFont="1" applyFill="1" applyBorder="1" applyAlignment="1" applyProtection="1">
      <alignment horizontal="center"/>
    </xf>
    <xf numFmtId="166" fontId="32" fillId="0" borderId="7" xfId="0" applyNumberFormat="1" applyFont="1" applyFill="1" applyBorder="1" applyAlignment="1" applyProtection="1">
      <alignment horizontal="center"/>
    </xf>
    <xf numFmtId="166" fontId="32" fillId="0" borderId="3" xfId="0" applyNumberFormat="1" applyFont="1" applyFill="1" applyBorder="1" applyAlignment="1" applyProtection="1">
      <alignment horizontal="center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63" xfId="0" applyNumberFormat="1" applyFont="1" applyBorder="1" applyAlignment="1" applyProtection="1">
      <alignment horizontal="center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170" fontId="34" fillId="0" borderId="0" xfId="0" applyNumberFormat="1" applyFont="1" applyAlignment="1" applyProtection="1">
      <alignment horizontal="right"/>
    </xf>
    <xf numFmtId="2" fontId="100" fillId="0" borderId="0" xfId="0" applyNumberFormat="1" applyFont="1" applyFill="1" applyBorder="1" applyProtection="1">
      <protection locked="0"/>
    </xf>
    <xf numFmtId="9" fontId="66" fillId="0" borderId="19" xfId="33" applyFont="1" applyFill="1" applyBorder="1" applyAlignment="1" applyProtection="1">
      <alignment horizontal="center" vertical="center"/>
      <protection locked="0"/>
    </xf>
    <xf numFmtId="168" fontId="66" fillId="0" borderId="0" xfId="33" applyNumberFormat="1" applyFont="1" applyAlignment="1" applyProtection="1">
      <alignment horizontal="center"/>
    </xf>
    <xf numFmtId="168" fontId="117" fillId="0" borderId="0" xfId="33" applyNumberFormat="1" applyFont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168" fontId="40" fillId="0" borderId="5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68" fontId="73" fillId="0" borderId="11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73" fillId="0" borderId="32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68" fontId="37" fillId="0" borderId="32" xfId="33" applyNumberFormat="1" applyFont="1" applyBorder="1" applyAlignment="1" applyProtection="1">
      <alignment horizontal="center"/>
    </xf>
    <xf numFmtId="1" fontId="37" fillId="0" borderId="2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63" fillId="0" borderId="2" xfId="0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0" fontId="114" fillId="0" borderId="11" xfId="33" applyNumberFormat="1" applyFont="1" applyBorder="1" applyAlignment="1" applyProtection="1">
      <alignment horizontal="center"/>
    </xf>
    <xf numFmtId="10" fontId="114" fillId="0" borderId="10" xfId="33" applyNumberFormat="1" applyFont="1" applyBorder="1" applyAlignment="1" applyProtection="1">
      <alignment horizontal="center"/>
    </xf>
    <xf numFmtId="10" fontId="114" fillId="0" borderId="32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68" fontId="62" fillId="0" borderId="2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3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2" fontId="93" fillId="34" borderId="22" xfId="0" applyNumberFormat="1" applyFont="1" applyFill="1" applyBorder="1" applyProtection="1">
      <protection locked="0"/>
    </xf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2" fontId="93" fillId="0" borderId="21" xfId="0" applyNumberFormat="1" applyFont="1" applyBorder="1" applyProtection="1">
      <protection locked="0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168" fontId="32" fillId="33" borderId="15" xfId="33" applyNumberFormat="1" applyFont="1" applyFill="1" applyBorder="1" applyAlignment="1" applyProtection="1">
      <alignment horizontal="left" vertical="center" wrapText="1"/>
    </xf>
    <xf numFmtId="183" fontId="11" fillId="33" borderId="3" xfId="33" applyNumberFormat="1" applyFont="1" applyFill="1" applyBorder="1" applyAlignment="1" applyProtection="1">
      <alignment horizontal="center" vertical="center"/>
    </xf>
    <xf numFmtId="183" fontId="11" fillId="33" borderId="14" xfId="33" applyNumberFormat="1" applyFont="1" applyFill="1" applyBorder="1" applyAlignment="1" applyProtection="1">
      <alignment horizontal="center" vertical="center"/>
    </xf>
    <xf numFmtId="183" fontId="26" fillId="33" borderId="19" xfId="33" applyNumberFormat="1" applyFont="1" applyFill="1" applyBorder="1" applyAlignment="1" applyProtection="1">
      <alignment horizontal="center" vertical="center"/>
    </xf>
    <xf numFmtId="168" fontId="32" fillId="33" borderId="14" xfId="33" applyNumberFormat="1" applyFont="1" applyFill="1" applyBorder="1" applyAlignment="1" applyProtection="1">
      <alignment horizontal="left" vertical="center" wrapText="1"/>
    </xf>
    <xf numFmtId="0" fontId="0" fillId="33" borderId="3" xfId="0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175" fontId="124" fillId="0" borderId="15" xfId="0" applyNumberFormat="1" applyFont="1" applyFill="1" applyBorder="1" applyAlignment="1" applyProtection="1">
      <alignment horizontal="center" vertical="center"/>
    </xf>
    <xf numFmtId="168" fontId="32" fillId="0" borderId="0" xfId="0" applyNumberFormat="1" applyFont="1" applyFill="1" applyAlignment="1" applyProtection="1">
      <alignment horizontal="center" vertical="center"/>
    </xf>
    <xf numFmtId="189" fontId="124" fillId="0" borderId="0" xfId="0" applyNumberFormat="1" applyFont="1" applyAlignment="1" applyProtection="1">
      <alignment horizontal="center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0" fontId="37" fillId="0" borderId="5" xfId="0" applyFont="1" applyBorder="1" applyAlignment="1" applyProtection="1">
      <alignment horizontal="left"/>
    </xf>
    <xf numFmtId="10" fontId="34" fillId="0" borderId="6" xfId="33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0" fontId="66" fillId="0" borderId="3" xfId="33" applyNumberFormat="1" applyFont="1" applyBorder="1" applyAlignment="1" applyProtection="1">
      <alignment horizontal="center"/>
    </xf>
    <xf numFmtId="0" fontId="85" fillId="0" borderId="0" xfId="0" applyFont="1" applyAlignment="1" applyProtection="1">
      <alignment horizontal="left"/>
    </xf>
    <xf numFmtId="1" fontId="34" fillId="0" borderId="6" xfId="0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3" xfId="0" applyFont="1" applyBorder="1" applyAlignment="1" applyProtection="1">
      <alignment horizontal="center"/>
      <protection locked="0"/>
    </xf>
    <xf numFmtId="0" fontId="121" fillId="0" borderId="35" xfId="0" applyFont="1" applyBorder="1" applyAlignment="1" applyProtection="1">
      <alignment horizontal="center"/>
      <protection locked="0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8" fillId="0" borderId="33" xfId="0" applyNumberFormat="1" applyFont="1" applyBorder="1" applyAlignment="1" applyProtection="1">
      <alignment horizontal="center" vertical="center"/>
      <protection locked="0"/>
    </xf>
    <xf numFmtId="15" fontId="118" fillId="0" borderId="35" xfId="0" applyNumberFormat="1" applyFont="1" applyBorder="1" applyAlignment="1" applyProtection="1">
      <alignment horizontal="center" vertical="center"/>
      <protection locked="0"/>
    </xf>
    <xf numFmtId="0" fontId="37" fillId="33" borderId="5" xfId="0" applyFont="1" applyFill="1" applyBorder="1" applyAlignment="1" applyProtection="1">
      <alignment horizontal="center" wrapText="1"/>
    </xf>
    <xf numFmtId="0" fontId="37" fillId="33" borderId="1" xfId="0" applyFont="1" applyFill="1" applyBorder="1" applyAlignment="1" applyProtection="1">
      <alignment horizontal="center" wrapText="1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" xfId="0" applyFont="1" applyBorder="1" applyAlignment="1" applyProtection="1">
      <alignment horizontal="center" vertical="center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183" fontId="75" fillId="0" borderId="35" xfId="0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168" fontId="66" fillId="0" borderId="35" xfId="33" applyNumberFormat="1" applyFont="1" applyBorder="1" applyAlignment="1" applyProtection="1">
      <alignment horizontal="center" vertical="center"/>
      <protection locked="0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14" fontId="55" fillId="0" borderId="35" xfId="0" applyNumberFormat="1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0" fontId="123" fillId="0" borderId="34" xfId="0" applyFont="1" applyBorder="1" applyAlignment="1" applyProtection="1">
      <alignment horizontal="center" vertical="center"/>
      <protection locked="0"/>
    </xf>
    <xf numFmtId="0" fontId="123" fillId="0" borderId="35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4">
    <dxf>
      <font>
        <b val="0"/>
        <i val="0"/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7.1102008718806111</c:v>
                </c:pt>
                <c:pt idx="6">
                  <c:v>6.8020974015852138</c:v>
                </c:pt>
                <c:pt idx="7">
                  <c:v>6.2766025915697439</c:v>
                </c:pt>
                <c:pt idx="8">
                  <c:v>5.4536279799564653</c:v>
                </c:pt>
                <c:pt idx="9">
                  <c:v>4.1645841739538794</c:v>
                </c:pt>
                <c:pt idx="10">
                  <c:v>2.6297661869359863</c:v>
                </c:pt>
                <c:pt idx="11">
                  <c:v>1.9545506403320569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2.5596793039106465</c:v>
                </c:pt>
                <c:pt idx="1">
                  <c:v>3.8493910524980426</c:v>
                </c:pt>
                <c:pt idx="2">
                  <c:v>5.2587072353533904</c:v>
                </c:pt>
                <c:pt idx="3">
                  <c:v>6.2901075508036408</c:v>
                </c:pt>
                <c:pt idx="4">
                  <c:v>6.7244291296167722</c:v>
                </c:pt>
                <c:pt idx="5">
                  <c:v>6.6756952832162533</c:v>
                </c:pt>
                <c:pt idx="6">
                  <c:v>6.3962579668463571</c:v>
                </c:pt>
                <c:pt idx="7">
                  <c:v>5.9138125161923432</c:v>
                </c:pt>
                <c:pt idx="8">
                  <c:v>5.148781024035217</c:v>
                </c:pt>
                <c:pt idx="9">
                  <c:v>3.9276057795164889</c:v>
                </c:pt>
                <c:pt idx="10">
                  <c:v>2.4683598239818436</c:v>
                </c:pt>
                <c:pt idx="11">
                  <c:v>1.8387974432516596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2.4147445652156327</c:v>
                </c:pt>
                <c:pt idx="1">
                  <c:v>3.6768922152082673</c:v>
                </c:pt>
                <c:pt idx="2">
                  <c:v>5.063893835367856</c:v>
                </c:pt>
                <c:pt idx="3">
                  <c:v>6.0394217767033451</c:v>
                </c:pt>
                <c:pt idx="4">
                  <c:v>6.4421998353443577</c:v>
                </c:pt>
                <c:pt idx="5">
                  <c:v>6.3896716966723881</c:v>
                </c:pt>
                <c:pt idx="6">
                  <c:v>6.1216769108639433</c:v>
                </c:pt>
                <c:pt idx="7">
                  <c:v>5.6610007633471033</c:v>
                </c:pt>
                <c:pt idx="8">
                  <c:v>4.9180576235519649</c:v>
                </c:pt>
                <c:pt idx="9">
                  <c:v>3.721697966220292</c:v>
                </c:pt>
                <c:pt idx="10">
                  <c:v>2.3231614433554331</c:v>
                </c:pt>
                <c:pt idx="11">
                  <c:v>1.7656707235523934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2.3188594063676873</c:v>
                </c:pt>
                <c:pt idx="1">
                  <c:v>3.5178623594313634</c:v>
                </c:pt>
                <c:pt idx="2">
                  <c:v>4.8620932506971171</c:v>
                </c:pt>
                <c:pt idx="3">
                  <c:v>6.0634007241981074</c:v>
                </c:pt>
                <c:pt idx="4">
                  <c:v>6.8799240477871644</c:v>
                </c:pt>
                <c:pt idx="5">
                  <c:v>6.8224864732040835</c:v>
                </c:pt>
                <c:pt idx="6">
                  <c:v>6.5270630530562883</c:v>
                </c:pt>
                <c:pt idx="7">
                  <c:v>6.0238716215927468</c:v>
                </c:pt>
                <c:pt idx="8">
                  <c:v>5.2332083634172291</c:v>
                </c:pt>
                <c:pt idx="9">
                  <c:v>3.9521187745800792</c:v>
                </c:pt>
                <c:pt idx="10">
                  <c:v>2.4576152506795839</c:v>
                </c:pt>
                <c:pt idx="11">
                  <c:v>1.8326047291629866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2.402454044465784</c:v>
                </c:pt>
                <c:pt idx="1">
                  <c:v>3.6413062417929525</c:v>
                </c:pt>
                <c:pt idx="2">
                  <c:v>5.0450442205644732</c:v>
                </c:pt>
                <c:pt idx="3">
                  <c:v>6.0484064415957342</c:v>
                </c:pt>
                <c:pt idx="4">
                  <c:v>6.4652606224057187</c:v>
                </c:pt>
                <c:pt idx="5">
                  <c:v>6.4172011243688756</c:v>
                </c:pt>
                <c:pt idx="6">
                  <c:v>6.1484749050221481</c:v>
                </c:pt>
                <c:pt idx="7">
                  <c:v>5.6853856283765545</c:v>
                </c:pt>
                <c:pt idx="8">
                  <c:v>4.9480761009986072</c:v>
                </c:pt>
                <c:pt idx="9">
                  <c:v>3.7291589856623895</c:v>
                </c:pt>
                <c:pt idx="10">
                  <c:v>2.315724518475883</c:v>
                </c:pt>
                <c:pt idx="11">
                  <c:v>1.7336989716275146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2.2760567860776364</c:v>
                </c:pt>
                <c:pt idx="1">
                  <c:v>3.4593848955928208</c:v>
                </c:pt>
                <c:pt idx="2">
                  <c:v>4.8217993121341438</c:v>
                </c:pt>
                <c:pt idx="3">
                  <c:v>5.8125940260862698</c:v>
                </c:pt>
                <c:pt idx="4">
                  <c:v>6.7838233147262308</c:v>
                </c:pt>
                <c:pt idx="5">
                  <c:v>6.727950089237364</c:v>
                </c:pt>
                <c:pt idx="6">
                  <c:v>6.4372107058048043</c:v>
                </c:pt>
                <c:pt idx="7">
                  <c:v>5.9413827222180222</c:v>
                </c:pt>
                <c:pt idx="8">
                  <c:v>5.15945358246928</c:v>
                </c:pt>
                <c:pt idx="9">
                  <c:v>3.8617984656613511</c:v>
                </c:pt>
                <c:pt idx="10">
                  <c:v>2.3840634059177206</c:v>
                </c:pt>
                <c:pt idx="11">
                  <c:v>1.78424242125514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2.338046281320922</c:v>
                </c:pt>
                <c:pt idx="1">
                  <c:v>3.5515000405706663</c:v>
                </c:pt>
                <c:pt idx="2">
                  <c:v>4.966587003223478</c:v>
                </c:pt>
                <c:pt idx="3">
                  <c:v>5.9678369723572535</c:v>
                </c:pt>
                <c:pt idx="4">
                  <c:v>6.3797473594301017</c:v>
                </c:pt>
                <c:pt idx="5">
                  <c:v>6.3329962997414029</c:v>
                </c:pt>
                <c:pt idx="6">
                  <c:v>6.0682523730098668</c:v>
                </c:pt>
                <c:pt idx="7">
                  <c:v>5.6114801724571999</c:v>
                </c:pt>
                <c:pt idx="8">
                  <c:v>4.8792564451253195</c:v>
                </c:pt>
                <c:pt idx="9">
                  <c:v>3.6286806383342789</c:v>
                </c:pt>
                <c:pt idx="10">
                  <c:v>2.2390193877138613</c:v>
                </c:pt>
                <c:pt idx="11">
                  <c:v>1.6847124599156356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2.2105292670251067</c:v>
                </c:pt>
                <c:pt idx="1">
                  <c:v>3.3605096678278348</c:v>
                </c:pt>
                <c:pt idx="2">
                  <c:v>4.7410330571724035</c:v>
                </c:pt>
                <c:pt idx="3">
                  <c:v>5.7368615944603301</c:v>
                </c:pt>
                <c:pt idx="4">
                  <c:v>6.676072745685655</c:v>
                </c:pt>
                <c:pt idx="5">
                  <c:v>6.6210869801970356</c:v>
                </c:pt>
                <c:pt idx="6">
                  <c:v>6.3349655433967946</c:v>
                </c:pt>
                <c:pt idx="7">
                  <c:v>5.8470135052864185</c:v>
                </c:pt>
                <c:pt idx="8">
                  <c:v>5.0818570081418075</c:v>
                </c:pt>
                <c:pt idx="9">
                  <c:v>3.8830505584973363</c:v>
                </c:pt>
                <c:pt idx="10">
                  <c:v>2.4543431170716548</c:v>
                </c:pt>
                <c:pt idx="11">
                  <c:v>1.8248785707664812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2.3902805756996774</c:v>
                </c:pt>
                <c:pt idx="1">
                  <c:v>3.5943258624604475</c:v>
                </c:pt>
                <c:pt idx="2">
                  <c:v>4.9096041836816058</c:v>
                </c:pt>
                <c:pt idx="3">
                  <c:v>5.8730571476897522</c:v>
                </c:pt>
                <c:pt idx="4">
                  <c:v>6.2784149332166095</c:v>
                </c:pt>
                <c:pt idx="5">
                  <c:v>6.2324064224154867</c:v>
                </c:pt>
                <c:pt idx="6">
                  <c:v>5.9718675446083056</c:v>
                </c:pt>
                <c:pt idx="7">
                  <c:v>5.5223534866343877</c:v>
                </c:pt>
                <c:pt idx="8">
                  <c:v>4.8089103079255979</c:v>
                </c:pt>
                <c:pt idx="9">
                  <c:v>3.6670527237513788</c:v>
                </c:pt>
                <c:pt idx="10">
                  <c:v>2.3022308682910757</c:v>
                </c:pt>
                <c:pt idx="11">
                  <c:v>1.715546525799992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2.2536830284809874</c:v>
                </c:pt>
                <c:pt idx="1">
                  <c:v>3.4122095266037444</c:v>
                </c:pt>
                <c:pt idx="2">
                  <c:v>4.6966017807307514</c:v>
                </c:pt>
                <c:pt idx="3">
                  <c:v>5.6462677245244626</c:v>
                </c:pt>
                <c:pt idx="4">
                  <c:v>6.5701775319746751</c:v>
                </c:pt>
                <c:pt idx="5">
                  <c:v>6.5160639453267128</c:v>
                </c:pt>
                <c:pt idx="6">
                  <c:v>6.2344809388059863</c:v>
                </c:pt>
                <c:pt idx="7">
                  <c:v>5.7542687482456296</c:v>
                </c:pt>
                <c:pt idx="8">
                  <c:v>4.9993850241524331</c:v>
                </c:pt>
                <c:pt idx="9">
                  <c:v>3.7770283975439773</c:v>
                </c:pt>
                <c:pt idx="10">
                  <c:v>2.3494998800916687</c:v>
                </c:pt>
                <c:pt idx="11">
                  <c:v>1.7517867194332719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855560"/>
        <c:axId val="245856344"/>
      </c:lineChart>
      <c:dateAx>
        <c:axId val="245855560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85634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245856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85556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11.9070399675192</c:v>
                </c:pt>
                <c:pt idx="1">
                  <c:v>12.034001869973773</c:v>
                </c:pt>
                <c:pt idx="2">
                  <c:v>12.165384982244968</c:v>
                </c:pt>
                <c:pt idx="3">
                  <c:v>12.300817329839633</c:v>
                </c:pt>
                <c:pt idx="4">
                  <c:v>12.439927134995962</c:v>
                </c:pt>
                <c:pt idx="5">
                  <c:v>12.582342829391987</c:v>
                </c:pt>
                <c:pt idx="6">
                  <c:v>12.727693072335541</c:v>
                </c:pt>
                <c:pt idx="7">
                  <c:v>12.875606760774067</c:v>
                </c:pt>
                <c:pt idx="8">
                  <c:v>13.026498030119427</c:v>
                </c:pt>
                <c:pt idx="9">
                  <c:v>13.181405668129775</c:v>
                </c:pt>
                <c:pt idx="10">
                  <c:v>13.340891846992971</c:v>
                </c:pt>
                <c:pt idx="11">
                  <c:v>13.505050173105042</c:v>
                </c:pt>
                <c:pt idx="12">
                  <c:v>13.673974211125589</c:v>
                </c:pt>
                <c:pt idx="13">
                  <c:v>13.84775748093241</c:v>
                </c:pt>
                <c:pt idx="14">
                  <c:v>14.026493455023655</c:v>
                </c:pt>
                <c:pt idx="15">
                  <c:v>14.210261643244232</c:v>
                </c:pt>
                <c:pt idx="16">
                  <c:v>14.399180477393838</c:v>
                </c:pt>
                <c:pt idx="17">
                  <c:v>14.593343275977995</c:v>
                </c:pt>
                <c:pt idx="18">
                  <c:v>14.792843299851123</c:v>
                </c:pt>
                <c:pt idx="19">
                  <c:v>14.997770599785097</c:v>
                </c:pt>
                <c:pt idx="20">
                  <c:v>15.208213600875863</c:v>
                </c:pt>
                <c:pt idx="21">
                  <c:v>15.424262992817141</c:v>
                </c:pt>
                <c:pt idx="22">
                  <c:v>15.647045505590429</c:v>
                </c:pt>
                <c:pt idx="23">
                  <c:v>15.877322489268291</c:v>
                </c:pt>
                <c:pt idx="24">
                  <c:v>16.114188215001658</c:v>
                </c:pt>
                <c:pt idx="25">
                  <c:v>16.357052904601616</c:v>
                </c:pt>
                <c:pt idx="26">
                  <c:v>16.605327143683006</c:v>
                </c:pt>
                <c:pt idx="27">
                  <c:v>16.858421878342686</c:v>
                </c:pt>
                <c:pt idx="28">
                  <c:v>17.115748427960412</c:v>
                </c:pt>
                <c:pt idx="29">
                  <c:v>17.377495690042696</c:v>
                </c:pt>
                <c:pt idx="30">
                  <c:v>17.643089313695764</c:v>
                </c:pt>
                <c:pt idx="31">
                  <c:v>17.911941399895515</c:v>
                </c:pt>
                <c:pt idx="32">
                  <c:v>18.183464420107047</c:v>
                </c:pt>
                <c:pt idx="33">
                  <c:v>18.457071231312373</c:v>
                </c:pt>
                <c:pt idx="34">
                  <c:v>18.732175081641927</c:v>
                </c:pt>
                <c:pt idx="35">
                  <c:v>19.008189612427167</c:v>
                </c:pt>
                <c:pt idx="36">
                  <c:v>19.2874703743129</c:v>
                </c:pt>
                <c:pt idx="37">
                  <c:v>19.572882607498297</c:v>
                </c:pt>
                <c:pt idx="38">
                  <c:v>19.863652542719329</c:v>
                </c:pt>
                <c:pt idx="39">
                  <c:v>20.159095224542543</c:v>
                </c:pt>
                <c:pt idx="40">
                  <c:v>20.458526191380983</c:v>
                </c:pt>
                <c:pt idx="41">
                  <c:v>20.761261477404407</c:v>
                </c:pt>
                <c:pt idx="42">
                  <c:v>21.066617612311191</c:v>
                </c:pt>
                <c:pt idx="43">
                  <c:v>21.373972498048833</c:v>
                </c:pt>
                <c:pt idx="44">
                  <c:v>21.681868191831558</c:v>
                </c:pt>
                <c:pt idx="45">
                  <c:v>21.989623092250227</c:v>
                </c:pt>
                <c:pt idx="46">
                  <c:v>22.296556080725821</c:v>
                </c:pt>
                <c:pt idx="47">
                  <c:v>22.601986520260088</c:v>
                </c:pt>
                <c:pt idx="48">
                  <c:v>22.905234258651017</c:v>
                </c:pt>
                <c:pt idx="49">
                  <c:v>23.205619626753968</c:v>
                </c:pt>
                <c:pt idx="50">
                  <c:v>23.504166219490237</c:v>
                </c:pt>
                <c:pt idx="51">
                  <c:v>23.802593139077473</c:v>
                </c:pt>
                <c:pt idx="52">
                  <c:v>24.100328495608338</c:v>
                </c:pt>
                <c:pt idx="53">
                  <c:v>24.397375901943047</c:v>
                </c:pt>
                <c:pt idx="54">
                  <c:v>24.693736666385174</c:v>
                </c:pt>
                <c:pt idx="55">
                  <c:v>24.989412052299343</c:v>
                </c:pt>
                <c:pt idx="56">
                  <c:v>25.284403282144549</c:v>
                </c:pt>
                <c:pt idx="57">
                  <c:v>25.578520778902103</c:v>
                </c:pt>
                <c:pt idx="58">
                  <c:v>25.871704041290613</c:v>
                </c:pt>
                <c:pt idx="59">
                  <c:v>26.163953980299858</c:v>
                </c:pt>
                <c:pt idx="60">
                  <c:v>26.455271473209653</c:v>
                </c:pt>
                <c:pt idx="61">
                  <c:v>26.745657371197517</c:v>
                </c:pt>
                <c:pt idx="62">
                  <c:v>27.035112507421079</c:v>
                </c:pt>
                <c:pt idx="63">
                  <c:v>27.323637709729347</c:v>
                </c:pt>
                <c:pt idx="64">
                  <c:v>27.612075323912578</c:v>
                </c:pt>
                <c:pt idx="65">
                  <c:v>27.900318657097962</c:v>
                </c:pt>
                <c:pt idx="66">
                  <c:v>28.187736142843946</c:v>
                </c:pt>
                <c:pt idx="67">
                  <c:v>28.473939375519514</c:v>
                </c:pt>
                <c:pt idx="68">
                  <c:v>28.758540135192295</c:v>
                </c:pt>
                <c:pt idx="69">
                  <c:v>29.041150387430623</c:v>
                </c:pt>
                <c:pt idx="70">
                  <c:v>29.321382277130674</c:v>
                </c:pt>
                <c:pt idx="71">
                  <c:v>29.598425085248461</c:v>
                </c:pt>
                <c:pt idx="72">
                  <c:v>29.872081755238558</c:v>
                </c:pt>
                <c:pt idx="73">
                  <c:v>30.141964549858013</c:v>
                </c:pt>
                <c:pt idx="74">
                  <c:v>30.407685844109498</c:v>
                </c:pt>
                <c:pt idx="75">
                  <c:v>30.668858109884759</c:v>
                </c:pt>
                <c:pt idx="76">
                  <c:v>30.925093904669254</c:v>
                </c:pt>
                <c:pt idx="77">
                  <c:v>31.176005857835456</c:v>
                </c:pt>
                <c:pt idx="78">
                  <c:v>31.423225328412862</c:v>
                </c:pt>
                <c:pt idx="79">
                  <c:v>31.668208581058582</c:v>
                </c:pt>
                <c:pt idx="80">
                  <c:v>31.91116135907523</c:v>
                </c:pt>
                <c:pt idx="81">
                  <c:v>32.151598402787727</c:v>
                </c:pt>
                <c:pt idx="82">
                  <c:v>32.389034579799109</c:v>
                </c:pt>
                <c:pt idx="83">
                  <c:v>32.622984879594718</c:v>
                </c:pt>
                <c:pt idx="84">
                  <c:v>32.852964400022657</c:v>
                </c:pt>
                <c:pt idx="85">
                  <c:v>33.078488323648394</c:v>
                </c:pt>
                <c:pt idx="86">
                  <c:v>33.299498540879291</c:v>
                </c:pt>
                <c:pt idx="87">
                  <c:v>33.515511641742521</c:v>
                </c:pt>
                <c:pt idx="88">
                  <c:v>33.726044462508376</c:v>
                </c:pt>
                <c:pt idx="89">
                  <c:v>33.930614077633564</c:v>
                </c:pt>
                <c:pt idx="90">
                  <c:v>34.128737816541538</c:v>
                </c:pt>
                <c:pt idx="91">
                  <c:v>34.319933253543525</c:v>
                </c:pt>
                <c:pt idx="92">
                  <c:v>34.50387937607568</c:v>
                </c:pt>
                <c:pt idx="93">
                  <c:v>34.680899832012599</c:v>
                </c:pt>
                <c:pt idx="94">
                  <c:v>34.851590762264173</c:v>
                </c:pt>
                <c:pt idx="95">
                  <c:v>35.016437038756237</c:v>
                </c:pt>
                <c:pt idx="96">
                  <c:v>35.175923252165383</c:v>
                </c:pt>
                <c:pt idx="97">
                  <c:v>35.330533722671461</c:v>
                </c:pt>
                <c:pt idx="98">
                  <c:v>35.480752491188632</c:v>
                </c:pt>
                <c:pt idx="99">
                  <c:v>35.627063327540966</c:v>
                </c:pt>
                <c:pt idx="100">
                  <c:v>35.769949743955337</c:v>
                </c:pt>
                <c:pt idx="101">
                  <c:v>35.909894959399658</c:v>
                </c:pt>
                <c:pt idx="102">
                  <c:v>36.047381914640177</c:v>
                </c:pt>
                <c:pt idx="103">
                  <c:v>36.182893276713138</c:v>
                </c:pt>
                <c:pt idx="104">
                  <c:v>36.316911433828466</c:v>
                </c:pt>
                <c:pt idx="105">
                  <c:v>36.449918495688181</c:v>
                </c:pt>
                <c:pt idx="106">
                  <c:v>36.581608419340455</c:v>
                </c:pt>
                <c:pt idx="107">
                  <c:v>36.711225268750859</c:v>
                </c:pt>
                <c:pt idx="108">
                  <c:v>36.838576240977766</c:v>
                </c:pt>
                <c:pt idx="109">
                  <c:v>36.96346871632683</c:v>
                </c:pt>
                <c:pt idx="110">
                  <c:v>37.085710265147668</c:v>
                </c:pt>
                <c:pt idx="111">
                  <c:v>37.205108655873708</c:v>
                </c:pt>
                <c:pt idx="112">
                  <c:v>37.321471857678908</c:v>
                </c:pt>
                <c:pt idx="113">
                  <c:v>37.434608047080047</c:v>
                </c:pt>
                <c:pt idx="114">
                  <c:v>37.54432561720936</c:v>
                </c:pt>
                <c:pt idx="115">
                  <c:v>37.650433180242182</c:v>
                </c:pt>
                <c:pt idx="116">
                  <c:v>37.752739575667867</c:v>
                </c:pt>
                <c:pt idx="117">
                  <c:v>37.851053874999131</c:v>
                </c:pt>
                <c:pt idx="118">
                  <c:v>37.945185390827753</c:v>
                </c:pt>
                <c:pt idx="119">
                  <c:v>38.034943680124655</c:v>
                </c:pt>
                <c:pt idx="120">
                  <c:v>38.120828272598722</c:v>
                </c:pt>
                <c:pt idx="121">
                  <c:v>38.203402609078239</c:v>
                </c:pt>
                <c:pt idx="122">
                  <c:v>38.282572431371669</c:v>
                </c:pt>
                <c:pt idx="123">
                  <c:v>38.358243669850509</c:v>
                </c:pt>
                <c:pt idx="124">
                  <c:v>38.430322451479668</c:v>
                </c:pt>
                <c:pt idx="125">
                  <c:v>38.498715095821453</c:v>
                </c:pt>
                <c:pt idx="126">
                  <c:v>38.563328123734372</c:v>
                </c:pt>
                <c:pt idx="127">
                  <c:v>38.624068257859051</c:v>
                </c:pt>
                <c:pt idx="128">
                  <c:v>38.680842427796023</c:v>
                </c:pt>
                <c:pt idx="129">
                  <c:v>38.733557768880196</c:v>
                </c:pt>
                <c:pt idx="130">
                  <c:v>38.782121622532458</c:v>
                </c:pt>
                <c:pt idx="131">
                  <c:v>38.826441541288226</c:v>
                </c:pt>
                <c:pt idx="132">
                  <c:v>38.866425282693697</c:v>
                </c:pt>
                <c:pt idx="133">
                  <c:v>38.901980814763483</c:v>
                </c:pt>
                <c:pt idx="134">
                  <c:v>38.932216398694692</c:v>
                </c:pt>
                <c:pt idx="135">
                  <c:v>38.956624997235551</c:v>
                </c:pt>
                <c:pt idx="136">
                  <c:v>38.975691602871905</c:v>
                </c:pt>
                <c:pt idx="137">
                  <c:v>38.989900955939476</c:v>
                </c:pt>
                <c:pt idx="138">
                  <c:v>38.999737541979933</c:v>
                </c:pt>
                <c:pt idx="139">
                  <c:v>39.005685581888052</c:v>
                </c:pt>
                <c:pt idx="140">
                  <c:v>39.008229020747599</c:v>
                </c:pt>
                <c:pt idx="141">
                  <c:v>39.007851519818409</c:v>
                </c:pt>
                <c:pt idx="142">
                  <c:v>39.005036449200084</c:v>
                </c:pt>
                <c:pt idx="143">
                  <c:v>39.000266875941584</c:v>
                </c:pt>
                <c:pt idx="144">
                  <c:v>38.99402555673786</c:v>
                </c:pt>
                <c:pt idx="145">
                  <c:v>38.986794926816536</c:v>
                </c:pt>
                <c:pt idx="146">
                  <c:v>38.979057091678008</c:v>
                </c:pt>
                <c:pt idx="147">
                  <c:v>38.971293819916333</c:v>
                </c:pt>
                <c:pt idx="148">
                  <c:v>38.962582526055677</c:v>
                </c:pt>
                <c:pt idx="149">
                  <c:v>38.951746140792665</c:v>
                </c:pt>
                <c:pt idx="150">
                  <c:v>38.938884391401643</c:v>
                </c:pt>
                <c:pt idx="151">
                  <c:v>38.924096920573156</c:v>
                </c:pt>
                <c:pt idx="152">
                  <c:v>38.907483277891089</c:v>
                </c:pt>
                <c:pt idx="153">
                  <c:v>38.889142908251983</c:v>
                </c:pt>
                <c:pt idx="154">
                  <c:v>38.869175138553054</c:v>
                </c:pt>
                <c:pt idx="155">
                  <c:v>38.847679168442362</c:v>
                </c:pt>
                <c:pt idx="156">
                  <c:v>38.824754059688402</c:v>
                </c:pt>
                <c:pt idx="157">
                  <c:v>38.800498723794718</c:v>
                </c:pt>
                <c:pt idx="158">
                  <c:v>38.775011914051561</c:v>
                </c:pt>
                <c:pt idx="159">
                  <c:v>38.748392214004731</c:v>
                </c:pt>
                <c:pt idx="160">
                  <c:v>38.720738029241495</c:v>
                </c:pt>
                <c:pt idx="161">
                  <c:v>38.692147579647397</c:v>
                </c:pt>
                <c:pt idx="162">
                  <c:v>38.662273353624528</c:v>
                </c:pt>
                <c:pt idx="163">
                  <c:v>38.63076796569581</c:v>
                </c:pt>
                <c:pt idx="164">
                  <c:v>38.597729518165217</c:v>
                </c:pt>
                <c:pt idx="165">
                  <c:v>38.563255891227499</c:v>
                </c:pt>
                <c:pt idx="166">
                  <c:v>38.527444739149537</c:v>
                </c:pt>
                <c:pt idx="167">
                  <c:v>38.490393486125249</c:v>
                </c:pt>
                <c:pt idx="168">
                  <c:v>38.452199322996485</c:v>
                </c:pt>
                <c:pt idx="169">
                  <c:v>38.41295920424573</c:v>
                </c:pt>
                <c:pt idx="170">
                  <c:v>38.372769847622067</c:v>
                </c:pt>
                <c:pt idx="171">
                  <c:v>38.331727733158232</c:v>
                </c:pt>
                <c:pt idx="172">
                  <c:v>38.289929104801487</c:v>
                </c:pt>
                <c:pt idx="173">
                  <c:v>38.247469970999092</c:v>
                </c:pt>
                <c:pt idx="174">
                  <c:v>38.204446108072254</c:v>
                </c:pt>
                <c:pt idx="175">
                  <c:v>38.160953063782806</c:v>
                </c:pt>
                <c:pt idx="176">
                  <c:v>38.117467114454115</c:v>
                </c:pt>
                <c:pt idx="177">
                  <c:v>38.074210140117536</c:v>
                </c:pt>
                <c:pt idx="178">
                  <c:v>38.030895960244067</c:v>
                </c:pt>
                <c:pt idx="179">
                  <c:v>37.987238439122827</c:v>
                </c:pt>
                <c:pt idx="180">
                  <c:v>37.942951488652902</c:v>
                </c:pt>
                <c:pt idx="181">
                  <c:v>37.897749069976918</c:v>
                </c:pt>
                <c:pt idx="182">
                  <c:v>37.851345198738628</c:v>
                </c:pt>
                <c:pt idx="183">
                  <c:v>37.80345394768834</c:v>
                </c:pt>
                <c:pt idx="184">
                  <c:v>37.753789452478607</c:v>
                </c:pt>
                <c:pt idx="185">
                  <c:v>37.702065918723427</c:v>
                </c:pt>
                <c:pt idx="186">
                  <c:v>37.647997624831412</c:v>
                </c:pt>
                <c:pt idx="187">
                  <c:v>37.591298932094091</c:v>
                </c:pt>
                <c:pt idx="188">
                  <c:v>37.531684291252475</c:v>
                </c:pt>
                <c:pt idx="189">
                  <c:v>37.468868248619131</c:v>
                </c:pt>
                <c:pt idx="190">
                  <c:v>37.402454584844612</c:v>
                </c:pt>
                <c:pt idx="191">
                  <c:v>37.332490674074563</c:v>
                </c:pt>
                <c:pt idx="192">
                  <c:v>37.25935633172174</c:v>
                </c:pt>
                <c:pt idx="193">
                  <c:v>37.18343112240607</c:v>
                </c:pt>
                <c:pt idx="194">
                  <c:v>37.105094374582045</c:v>
                </c:pt>
                <c:pt idx="195">
                  <c:v>37.024725198048074</c:v>
                </c:pt>
                <c:pt idx="196">
                  <c:v>36.942702493310037</c:v>
                </c:pt>
                <c:pt idx="197">
                  <c:v>36.859404967566952</c:v>
                </c:pt>
                <c:pt idx="198">
                  <c:v>36.775211147013835</c:v>
                </c:pt>
                <c:pt idx="199">
                  <c:v>36.690499386468851</c:v>
                </c:pt>
                <c:pt idx="200">
                  <c:v>36.605647880203009</c:v>
                </c:pt>
                <c:pt idx="201">
                  <c:v>36.521034672549334</c:v>
                </c:pt>
                <c:pt idx="202">
                  <c:v>36.437037664434129</c:v>
                </c:pt>
                <c:pt idx="203">
                  <c:v>36.354034622269296</c:v>
                </c:pt>
                <c:pt idx="204">
                  <c:v>36.271865725795386</c:v>
                </c:pt>
                <c:pt idx="205">
                  <c:v>36.189991988294821</c:v>
                </c:pt>
                <c:pt idx="206">
                  <c:v>36.108222467536677</c:v>
                </c:pt>
                <c:pt idx="207">
                  <c:v>36.026366405490016</c:v>
                </c:pt>
                <c:pt idx="208">
                  <c:v>35.944233227912825</c:v>
                </c:pt>
                <c:pt idx="209">
                  <c:v>35.861632544892409</c:v>
                </c:pt>
                <c:pt idx="210">
                  <c:v>35.778374150450368</c:v>
                </c:pt>
                <c:pt idx="211">
                  <c:v>35.694268019851279</c:v>
                </c:pt>
                <c:pt idx="212">
                  <c:v>35.609124309296078</c:v>
                </c:pt>
                <c:pt idx="213">
                  <c:v>35.522753352789927</c:v>
                </c:pt>
                <c:pt idx="214">
                  <c:v>35.434965659703458</c:v>
                </c:pt>
                <c:pt idx="215">
                  <c:v>35.345571911707658</c:v>
                </c:pt>
                <c:pt idx="216">
                  <c:v>35.254382958492656</c:v>
                </c:pt>
                <c:pt idx="217">
                  <c:v>35.161209814744218</c:v>
                </c:pt>
                <c:pt idx="218">
                  <c:v>35.066337012636964</c:v>
                </c:pt>
                <c:pt idx="219">
                  <c:v>34.970175210587591</c:v>
                </c:pt>
                <c:pt idx="220">
                  <c:v>34.872724773620575</c:v>
                </c:pt>
                <c:pt idx="221">
                  <c:v>34.773986119338538</c:v>
                </c:pt>
                <c:pt idx="222">
                  <c:v>34.673959713672637</c:v>
                </c:pt>
                <c:pt idx="223">
                  <c:v>34.57264606631098</c:v>
                </c:pt>
                <c:pt idx="224">
                  <c:v>34.470045726683395</c:v>
                </c:pt>
                <c:pt idx="225">
                  <c:v>34.366159279636754</c:v>
                </c:pt>
                <c:pt idx="226">
                  <c:v>34.260987342366214</c:v>
                </c:pt>
                <c:pt idx="227">
                  <c:v>34.15453055960112</c:v>
                </c:pt>
                <c:pt idx="228">
                  <c:v>34.046789600659821</c:v>
                </c:pt>
                <c:pt idx="229">
                  <c:v>33.937765156126638</c:v>
                </c:pt>
                <c:pt idx="230">
                  <c:v>33.827457934862188</c:v>
                </c:pt>
                <c:pt idx="231">
                  <c:v>33.71586866120596</c:v>
                </c:pt>
                <c:pt idx="232">
                  <c:v>33.604431393487175</c:v>
                </c:pt>
                <c:pt idx="233">
                  <c:v>33.494138529855995</c:v>
                </c:pt>
                <c:pt idx="234">
                  <c:v>33.384328568904898</c:v>
                </c:pt>
                <c:pt idx="235">
                  <c:v>33.274340348262122</c:v>
                </c:pt>
                <c:pt idx="236">
                  <c:v>33.163513038940117</c:v>
                </c:pt>
                <c:pt idx="237">
                  <c:v>33.051186143288561</c:v>
                </c:pt>
                <c:pt idx="238">
                  <c:v>32.936699488055055</c:v>
                </c:pt>
                <c:pt idx="239">
                  <c:v>32.819393225250657</c:v>
                </c:pt>
                <c:pt idx="240">
                  <c:v>32.698607826549718</c:v>
                </c:pt>
                <c:pt idx="241">
                  <c:v>32.57368407647381</c:v>
                </c:pt>
                <c:pt idx="242">
                  <c:v>32.443963074927836</c:v>
                </c:pt>
                <c:pt idx="243">
                  <c:v>32.30878622985967</c:v>
                </c:pt>
                <c:pt idx="244">
                  <c:v>32.167495251403281</c:v>
                </c:pt>
                <c:pt idx="245">
                  <c:v>32.01943215359546</c:v>
                </c:pt>
                <c:pt idx="246">
                  <c:v>31.864363801494964</c:v>
                </c:pt>
                <c:pt idx="247">
                  <c:v>31.702874704861291</c:v>
                </c:pt>
                <c:pt idx="248">
                  <c:v>31.535533402401128</c:v>
                </c:pt>
                <c:pt idx="249">
                  <c:v>31.362908163158835</c:v>
                </c:pt>
                <c:pt idx="250">
                  <c:v>31.185566992748548</c:v>
                </c:pt>
                <c:pt idx="251">
                  <c:v>31.004077630299626</c:v>
                </c:pt>
                <c:pt idx="252">
                  <c:v>30.819007556607975</c:v>
                </c:pt>
                <c:pt idx="253">
                  <c:v>30.630729346612654</c:v>
                </c:pt>
                <c:pt idx="254">
                  <c:v>30.439810143846955</c:v>
                </c:pt>
                <c:pt idx="255">
                  <c:v>30.246816881029304</c:v>
                </c:pt>
                <c:pt idx="256">
                  <c:v>30.052316283752276</c:v>
                </c:pt>
                <c:pt idx="257">
                  <c:v>29.856874871954396</c:v>
                </c:pt>
                <c:pt idx="258">
                  <c:v>29.661058966327513</c:v>
                </c:pt>
                <c:pt idx="259">
                  <c:v>29.465434691789156</c:v>
                </c:pt>
                <c:pt idx="260">
                  <c:v>29.269563162485575</c:v>
                </c:pt>
                <c:pt idx="261">
                  <c:v>29.071866164147814</c:v>
                </c:pt>
                <c:pt idx="262">
                  <c:v>28.872157868269273</c:v>
                </c:pt>
                <c:pt idx="263">
                  <c:v>28.670252657241729</c:v>
                </c:pt>
                <c:pt idx="264">
                  <c:v>28.465965159959453</c:v>
                </c:pt>
                <c:pt idx="265">
                  <c:v>28.259110109275824</c:v>
                </c:pt>
                <c:pt idx="266">
                  <c:v>28.049502434660635</c:v>
                </c:pt>
                <c:pt idx="267">
                  <c:v>27.836018153277529</c:v>
                </c:pt>
                <c:pt idx="268">
                  <c:v>27.618668377220299</c:v>
                </c:pt>
                <c:pt idx="269">
                  <c:v>27.39727115064569</c:v>
                </c:pt>
                <c:pt idx="270">
                  <c:v>27.171644967742591</c:v>
                </c:pt>
                <c:pt idx="271">
                  <c:v>26.94160879780372</c:v>
                </c:pt>
                <c:pt idx="272">
                  <c:v>26.706982105276108</c:v>
                </c:pt>
                <c:pt idx="273">
                  <c:v>26.467584872329564</c:v>
                </c:pt>
                <c:pt idx="274">
                  <c:v>26.223707997548196</c:v>
                </c:pt>
                <c:pt idx="275">
                  <c:v>25.975529355625916</c:v>
                </c:pt>
                <c:pt idx="276">
                  <c:v>25.723687660686036</c:v>
                </c:pt>
                <c:pt idx="277">
                  <c:v>25.468191436838566</c:v>
                </c:pt>
                <c:pt idx="278">
                  <c:v>25.209049596579973</c:v>
                </c:pt>
                <c:pt idx="279">
                  <c:v>24.946271430714507</c:v>
                </c:pt>
                <c:pt idx="280">
                  <c:v>24.679866605925167</c:v>
                </c:pt>
                <c:pt idx="281">
                  <c:v>24.410295757567049</c:v>
                </c:pt>
                <c:pt idx="282">
                  <c:v>24.138488820331581</c:v>
                </c:pt>
                <c:pt idx="283">
                  <c:v>23.864449432717056</c:v>
                </c:pt>
                <c:pt idx="284">
                  <c:v>23.588181015886164</c:v>
                </c:pt>
                <c:pt idx="285">
                  <c:v>23.309686742825555</c:v>
                </c:pt>
                <c:pt idx="286">
                  <c:v>23.028969511690796</c:v>
                </c:pt>
                <c:pt idx="287">
                  <c:v>22.746031915448647</c:v>
                </c:pt>
                <c:pt idx="288">
                  <c:v>22.460265349579952</c:v>
                </c:pt>
                <c:pt idx="289">
                  <c:v>22.171457351911076</c:v>
                </c:pt>
                <c:pt idx="290">
                  <c:v>21.880122908116068</c:v>
                </c:pt>
                <c:pt idx="291">
                  <c:v>21.586542199607688</c:v>
                </c:pt>
                <c:pt idx="292">
                  <c:v>21.29099475581398</c:v>
                </c:pt>
                <c:pt idx="293">
                  <c:v>20.993759454230933</c:v>
                </c:pt>
                <c:pt idx="294">
                  <c:v>20.69511451814531</c:v>
                </c:pt>
                <c:pt idx="295">
                  <c:v>20.396053867357331</c:v>
                </c:pt>
                <c:pt idx="296">
                  <c:v>20.096404109900533</c:v>
                </c:pt>
                <c:pt idx="297">
                  <c:v>19.79643293145956</c:v>
                </c:pt>
                <c:pt idx="298">
                  <c:v>19.496412593658405</c:v>
                </c:pt>
                <c:pt idx="299">
                  <c:v>19.19661482877623</c:v>
                </c:pt>
                <c:pt idx="300">
                  <c:v>18.897310870915085</c:v>
                </c:pt>
                <c:pt idx="301">
                  <c:v>18.59877149430304</c:v>
                </c:pt>
                <c:pt idx="302">
                  <c:v>18.297103760168785</c:v>
                </c:pt>
                <c:pt idx="303">
                  <c:v>17.99021818654591</c:v>
                </c:pt>
                <c:pt idx="304">
                  <c:v>17.679491528370384</c:v>
                </c:pt>
                <c:pt idx="305">
                  <c:v>17.366502429967007</c:v>
                </c:pt>
                <c:pt idx="306">
                  <c:v>17.052829079701223</c:v>
                </c:pt>
                <c:pt idx="307">
                  <c:v>16.740049298912133</c:v>
                </c:pt>
                <c:pt idx="308">
                  <c:v>16.429740633048851</c:v>
                </c:pt>
                <c:pt idx="309">
                  <c:v>16.123524862809738</c:v>
                </c:pt>
                <c:pt idx="310">
                  <c:v>15.822291315562838</c:v>
                </c:pt>
                <c:pt idx="311">
                  <c:v>15.527622618143587</c:v>
                </c:pt>
                <c:pt idx="312">
                  <c:v>15.241101370412773</c:v>
                </c:pt>
                <c:pt idx="313">
                  <c:v>14.964310190715294</c:v>
                </c:pt>
                <c:pt idx="314">
                  <c:v>14.698831757355341</c:v>
                </c:pt>
                <c:pt idx="315">
                  <c:v>14.446248843135345</c:v>
                </c:pt>
                <c:pt idx="316">
                  <c:v>14.204155865763619</c:v>
                </c:pt>
                <c:pt idx="317">
                  <c:v>13.969059694572993</c:v>
                </c:pt>
                <c:pt idx="318">
                  <c:v>13.740061070973109</c:v>
                </c:pt>
                <c:pt idx="319">
                  <c:v>13.517157070628864</c:v>
                </c:pt>
                <c:pt idx="320">
                  <c:v>13.300345099813768</c:v>
                </c:pt>
                <c:pt idx="321">
                  <c:v>13.089622896342458</c:v>
                </c:pt>
                <c:pt idx="322">
                  <c:v>12.884988525980273</c:v>
                </c:pt>
                <c:pt idx="323">
                  <c:v>12.686894016401057</c:v>
                </c:pt>
                <c:pt idx="324">
                  <c:v>12.495292227803574</c:v>
                </c:pt>
                <c:pt idx="325">
                  <c:v>12.310179480597348</c:v>
                </c:pt>
                <c:pt idx="326">
                  <c:v>12.131556647177447</c:v>
                </c:pt>
                <c:pt idx="327">
                  <c:v>11.959422103307947</c:v>
                </c:pt>
                <c:pt idx="328">
                  <c:v>11.793771265121563</c:v>
                </c:pt>
                <c:pt idx="329">
                  <c:v>11.634600067906689</c:v>
                </c:pt>
                <c:pt idx="330">
                  <c:v>11.47967012958687</c:v>
                </c:pt>
                <c:pt idx="331">
                  <c:v>11.327381863186993</c:v>
                </c:pt>
                <c:pt idx="332">
                  <c:v>11.178789237829234</c:v>
                </c:pt>
                <c:pt idx="333">
                  <c:v>11.034922134530639</c:v>
                </c:pt>
                <c:pt idx="334">
                  <c:v>10.896810585701552</c:v>
                </c:pt>
                <c:pt idx="335">
                  <c:v>10.765484729742704</c:v>
                </c:pt>
                <c:pt idx="336">
                  <c:v>10.641974775773718</c:v>
                </c:pt>
                <c:pt idx="337">
                  <c:v>10.526667790917207</c:v>
                </c:pt>
                <c:pt idx="338">
                  <c:v>10.420156388397535</c:v>
                </c:pt>
                <c:pt idx="339">
                  <c:v>10.323475213572655</c:v>
                </c:pt>
                <c:pt idx="340">
                  <c:v>10.237658321090455</c:v>
                </c:pt>
                <c:pt idx="341">
                  <c:v>10.163739135588536</c:v>
                </c:pt>
                <c:pt idx="342">
                  <c:v>10.102750419954805</c:v>
                </c:pt>
                <c:pt idx="343">
                  <c:v>10.055724245208841</c:v>
                </c:pt>
                <c:pt idx="344">
                  <c:v>10.023328941310981</c:v>
                </c:pt>
                <c:pt idx="345">
                  <c:v>10.004864656634926</c:v>
                </c:pt>
                <c:pt idx="346">
                  <c:v>9.9992432863208727</c:v>
                </c:pt>
                <c:pt idx="347">
                  <c:v>10.005444283689908</c:v>
                </c:pt>
                <c:pt idx="348">
                  <c:v>10.022447090585469</c:v>
                </c:pt>
                <c:pt idx="349">
                  <c:v>10.049231151289003</c:v>
                </c:pt>
                <c:pt idx="350">
                  <c:v>10.084775920698451</c:v>
                </c:pt>
                <c:pt idx="351">
                  <c:v>10.1279450490009</c:v>
                </c:pt>
                <c:pt idx="352">
                  <c:v>10.178351912271133</c:v>
                </c:pt>
                <c:pt idx="353">
                  <c:v>10.234975376430111</c:v>
                </c:pt>
                <c:pt idx="354">
                  <c:v>10.296794560249051</c:v>
                </c:pt>
                <c:pt idx="355">
                  <c:v>10.362788839005686</c:v>
                </c:pt>
                <c:pt idx="356">
                  <c:v>10.431938416026231</c:v>
                </c:pt>
                <c:pt idx="357">
                  <c:v>10.503223262680079</c:v>
                </c:pt>
                <c:pt idx="358">
                  <c:v>10.57900132229525</c:v>
                </c:pt>
                <c:pt idx="359">
                  <c:v>10.662073292411808</c:v>
                </c:pt>
                <c:pt idx="360">
                  <c:v>10.751452848282943</c:v>
                </c:pt>
                <c:pt idx="361">
                  <c:v>10.846901812908396</c:v>
                </c:pt>
                <c:pt idx="362">
                  <c:v>10.948066330320415</c:v>
                </c:pt>
                <c:pt idx="363">
                  <c:v>11.054592476543851</c:v>
                </c:pt>
                <c:pt idx="364">
                  <c:v>11.166126287814199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11.614000000000001</c:v>
                </c:pt>
                <c:pt idx="1">
                  <c:v>9.0670000000000002</c:v>
                </c:pt>
                <c:pt idx="2">
                  <c:v>10.402000000000001</c:v>
                </c:pt>
                <c:pt idx="3">
                  <c:v>10.907999999999999</c:v>
                </c:pt>
                <c:pt idx="4">
                  <c:v>9.0229999999999997</c:v>
                </c:pt>
                <c:pt idx="5">
                  <c:v>12.9276</c:v>
                </c:pt>
                <c:pt idx="6">
                  <c:v>5.758</c:v>
                </c:pt>
                <c:pt idx="7">
                  <c:v>4.641</c:v>
                </c:pt>
                <c:pt idx="8">
                  <c:v>1.28</c:v>
                </c:pt>
                <c:pt idx="9">
                  <c:v>0.91900000000000004</c:v>
                </c:pt>
                <c:pt idx="10">
                  <c:v>13.287000000000001</c:v>
                </c:pt>
                <c:pt idx="11">
                  <c:v>10.834</c:v>
                </c:pt>
                <c:pt idx="12">
                  <c:v>3.3029999999999999</c:v>
                </c:pt>
                <c:pt idx="13">
                  <c:v>13.8</c:v>
                </c:pt>
                <c:pt idx="14">
                  <c:v>14.103</c:v>
                </c:pt>
                <c:pt idx="15">
                  <c:v>14.18</c:v>
                </c:pt>
                <c:pt idx="16">
                  <c:v>10.277000000000001</c:v>
                </c:pt>
                <c:pt idx="17">
                  <c:v>2.4889999999999999</c:v>
                </c:pt>
                <c:pt idx="18">
                  <c:v>7.46</c:v>
                </c:pt>
                <c:pt idx="19">
                  <c:v>3.9769999999999999</c:v>
                </c:pt>
                <c:pt idx="20">
                  <c:v>10.901</c:v>
                </c:pt>
                <c:pt idx="21">
                  <c:v>15.675000000000001</c:v>
                </c:pt>
                <c:pt idx="22">
                  <c:v>15.731</c:v>
                </c:pt>
                <c:pt idx="23">
                  <c:v>16.012</c:v>
                </c:pt>
                <c:pt idx="24">
                  <c:v>15.189</c:v>
                </c:pt>
                <c:pt idx="25">
                  <c:v>16.512</c:v>
                </c:pt>
                <c:pt idx="26">
                  <c:v>14.106</c:v>
                </c:pt>
                <c:pt idx="27">
                  <c:v>2.6379999999999999</c:v>
                </c:pt>
                <c:pt idx="28">
                  <c:v>4.5090000000000003</c:v>
                </c:pt>
                <c:pt idx="29">
                  <c:v>2.9250000000000003</c:v>
                </c:pt>
                <c:pt idx="30">
                  <c:v>6.8650000000000002</c:v>
                </c:pt>
                <c:pt idx="31">
                  <c:v>8.5519999999999996</c:v>
                </c:pt>
                <c:pt idx="32">
                  <c:v>3.7669999999999999</c:v>
                </c:pt>
                <c:pt idx="33">
                  <c:v>8.0350000000000001</c:v>
                </c:pt>
                <c:pt idx="34">
                  <c:v>7.7960000000000003</c:v>
                </c:pt>
                <c:pt idx="35">
                  <c:v>7.2350000000000003</c:v>
                </c:pt>
                <c:pt idx="36">
                  <c:v>14.829000000000001</c:v>
                </c:pt>
                <c:pt idx="37">
                  <c:v>8.7000000000000011</c:v>
                </c:pt>
                <c:pt idx="38">
                  <c:v>20.684000000000001</c:v>
                </c:pt>
                <c:pt idx="39">
                  <c:v>20.724</c:v>
                </c:pt>
                <c:pt idx="40">
                  <c:v>19.658000000000001</c:v>
                </c:pt>
                <c:pt idx="41">
                  <c:v>10.656000000000001</c:v>
                </c:pt>
                <c:pt idx="42">
                  <c:v>16.940000000000001</c:v>
                </c:pt>
                <c:pt idx="43">
                  <c:v>19.443000000000001</c:v>
                </c:pt>
                <c:pt idx="44">
                  <c:v>10.759</c:v>
                </c:pt>
                <c:pt idx="45">
                  <c:v>13.595000000000001</c:v>
                </c:pt>
                <c:pt idx="46">
                  <c:v>5.9450000000000003</c:v>
                </c:pt>
                <c:pt idx="47">
                  <c:v>10.157999999999999</c:v>
                </c:pt>
                <c:pt idx="48">
                  <c:v>19.170000000000002</c:v>
                </c:pt>
                <c:pt idx="49">
                  <c:v>12.362</c:v>
                </c:pt>
                <c:pt idx="50">
                  <c:v>13.889000000000001</c:v>
                </c:pt>
                <c:pt idx="51">
                  <c:v>14.384</c:v>
                </c:pt>
                <c:pt idx="52">
                  <c:v>22.420999999999999</c:v>
                </c:pt>
                <c:pt idx="53">
                  <c:v>22.934999999999999</c:v>
                </c:pt>
                <c:pt idx="54">
                  <c:v>14.826000000000001</c:v>
                </c:pt>
                <c:pt idx="55">
                  <c:v>20.689</c:v>
                </c:pt>
                <c:pt idx="56">
                  <c:v>25.931199999999997</c:v>
                </c:pt>
                <c:pt idx="57">
                  <c:v>17.542000000000002</c:v>
                </c:pt>
                <c:pt idx="58">
                  <c:v>22.943999999999999</c:v>
                </c:pt>
                <c:pt idx="59">
                  <c:v>25.757999999999999</c:v>
                </c:pt>
                <c:pt idx="60">
                  <c:v>9.4770000000000003</c:v>
                </c:pt>
                <c:pt idx="61">
                  <c:v>24.321000000000002</c:v>
                </c:pt>
                <c:pt idx="62">
                  <c:v>3.714</c:v>
                </c:pt>
                <c:pt idx="63">
                  <c:v>9.5229999999999997</c:v>
                </c:pt>
                <c:pt idx="64">
                  <c:v>12.955</c:v>
                </c:pt>
                <c:pt idx="65">
                  <c:v>24.559000000000001</c:v>
                </c:pt>
                <c:pt idx="66">
                  <c:v>20.388999999999999</c:v>
                </c:pt>
                <c:pt idx="67">
                  <c:v>22.914999999999999</c:v>
                </c:pt>
                <c:pt idx="68">
                  <c:v>15.855</c:v>
                </c:pt>
                <c:pt idx="69">
                  <c:v>10.269</c:v>
                </c:pt>
                <c:pt idx="70">
                  <c:v>10.347</c:v>
                </c:pt>
                <c:pt idx="71">
                  <c:v>5.6520000000000001</c:v>
                </c:pt>
                <c:pt idx="72">
                  <c:v>8.09</c:v>
                </c:pt>
                <c:pt idx="73">
                  <c:v>8.2810000000000006</c:v>
                </c:pt>
                <c:pt idx="74">
                  <c:v>6.3630000000000004</c:v>
                </c:pt>
                <c:pt idx="75">
                  <c:v>7.4630000000000001</c:v>
                </c:pt>
                <c:pt idx="76">
                  <c:v>9.3140000000000001</c:v>
                </c:pt>
                <c:pt idx="77">
                  <c:v>18.707000000000001</c:v>
                </c:pt>
                <c:pt idx="78">
                  <c:v>20.856999999999999</c:v>
                </c:pt>
                <c:pt idx="79">
                  <c:v>29.872</c:v>
                </c:pt>
                <c:pt idx="80">
                  <c:v>27.577999999999999</c:v>
                </c:pt>
                <c:pt idx="81">
                  <c:v>30.972999999999999</c:v>
                </c:pt>
                <c:pt idx="82">
                  <c:v>30.661999999999999</c:v>
                </c:pt>
                <c:pt idx="83">
                  <c:v>27.382000000000001</c:v>
                </c:pt>
                <c:pt idx="84">
                  <c:v>29.135999999999999</c:v>
                </c:pt>
                <c:pt idx="85">
                  <c:v>29.061</c:v>
                </c:pt>
                <c:pt idx="86">
                  <c:v>22.452999999999999</c:v>
                </c:pt>
                <c:pt idx="87">
                  <c:v>18.061</c:v>
                </c:pt>
                <c:pt idx="88">
                  <c:v>4.4660000000000002</c:v>
                </c:pt>
                <c:pt idx="89">
                  <c:v>19.273</c:v>
                </c:pt>
                <c:pt idx="90">
                  <c:v>21.219000000000001</c:v>
                </c:pt>
                <c:pt idx="91">
                  <c:v>13.096</c:v>
                </c:pt>
                <c:pt idx="92">
                  <c:v>15.564</c:v>
                </c:pt>
                <c:pt idx="93">
                  <c:v>28.343</c:v>
                </c:pt>
                <c:pt idx="94">
                  <c:v>34.94</c:v>
                </c:pt>
                <c:pt idx="95">
                  <c:v>8.0359999999999996</c:v>
                </c:pt>
                <c:pt idx="96">
                  <c:v>25.975999999999999</c:v>
                </c:pt>
                <c:pt idx="97">
                  <c:v>20.481000000000002</c:v>
                </c:pt>
                <c:pt idx="98">
                  <c:v>24.721</c:v>
                </c:pt>
                <c:pt idx="99">
                  <c:v>34.994999999999997</c:v>
                </c:pt>
                <c:pt idx="100">
                  <c:v>28.047000000000001</c:v>
                </c:pt>
                <c:pt idx="101">
                  <c:v>23.795000000000002</c:v>
                </c:pt>
                <c:pt idx="102">
                  <c:v>4.6219999999999999</c:v>
                </c:pt>
                <c:pt idx="103">
                  <c:v>26.202000000000002</c:v>
                </c:pt>
                <c:pt idx="104">
                  <c:v>29.059000000000001</c:v>
                </c:pt>
                <c:pt idx="105">
                  <c:v>29.253</c:v>
                </c:pt>
                <c:pt idx="106">
                  <c:v>36.268999999999998</c:v>
                </c:pt>
                <c:pt idx="107">
                  <c:v>25.972000000000001</c:v>
                </c:pt>
                <c:pt idx="108">
                  <c:v>6.3630000000000004</c:v>
                </c:pt>
                <c:pt idx="109">
                  <c:v>6.5070000000000006</c:v>
                </c:pt>
                <c:pt idx="110">
                  <c:v>6.9510000000000005</c:v>
                </c:pt>
                <c:pt idx="111">
                  <c:v>18.326000000000001</c:v>
                </c:pt>
                <c:pt idx="112">
                  <c:v>5.718</c:v>
                </c:pt>
                <c:pt idx="113">
                  <c:v>22.475999999999999</c:v>
                </c:pt>
                <c:pt idx="114">
                  <c:v>31.153000000000002</c:v>
                </c:pt>
                <c:pt idx="115">
                  <c:v>35.980000000000004</c:v>
                </c:pt>
                <c:pt idx="116">
                  <c:v>26.102</c:v>
                </c:pt>
                <c:pt idx="117">
                  <c:v>16.704000000000001</c:v>
                </c:pt>
                <c:pt idx="118">
                  <c:v>28.435000000000002</c:v>
                </c:pt>
                <c:pt idx="119">
                  <c:v>29.925000000000001</c:v>
                </c:pt>
                <c:pt idx="120">
                  <c:v>30.844000000000001</c:v>
                </c:pt>
                <c:pt idx="121">
                  <c:v>17.969000000000001</c:v>
                </c:pt>
                <c:pt idx="122">
                  <c:v>19.968</c:v>
                </c:pt>
                <c:pt idx="123">
                  <c:v>13.919</c:v>
                </c:pt>
                <c:pt idx="124">
                  <c:v>27.22</c:v>
                </c:pt>
                <c:pt idx="125">
                  <c:v>25.259</c:v>
                </c:pt>
                <c:pt idx="126">
                  <c:v>31.396000000000001</c:v>
                </c:pt>
                <c:pt idx="127">
                  <c:v>32.387999999999998</c:v>
                </c:pt>
                <c:pt idx="128">
                  <c:v>36.494999999999997</c:v>
                </c:pt>
                <c:pt idx="129">
                  <c:v>33.734000000000002</c:v>
                </c:pt>
                <c:pt idx="130">
                  <c:v>36.377000000000002</c:v>
                </c:pt>
                <c:pt idx="131">
                  <c:v>27.994</c:v>
                </c:pt>
                <c:pt idx="132">
                  <c:v>30.560000000000002</c:v>
                </c:pt>
                <c:pt idx="133">
                  <c:v>31.827000000000002</c:v>
                </c:pt>
                <c:pt idx="134">
                  <c:v>33.896999999999998</c:v>
                </c:pt>
                <c:pt idx="135">
                  <c:v>32.828000000000003</c:v>
                </c:pt>
                <c:pt idx="136">
                  <c:v>35.283000000000001</c:v>
                </c:pt>
                <c:pt idx="137">
                  <c:v>33.930999999999997</c:v>
                </c:pt>
                <c:pt idx="138">
                  <c:v>35.014000000000003</c:v>
                </c:pt>
                <c:pt idx="139">
                  <c:v>31.231000000000002</c:v>
                </c:pt>
                <c:pt idx="140">
                  <c:v>31.131</c:v>
                </c:pt>
                <c:pt idx="141">
                  <c:v>23.266999999999999</c:v>
                </c:pt>
                <c:pt idx="142">
                  <c:v>12.112</c:v>
                </c:pt>
                <c:pt idx="143">
                  <c:v>10.841000000000001</c:v>
                </c:pt>
                <c:pt idx="144">
                  <c:v>26.705000000000002</c:v>
                </c:pt>
                <c:pt idx="145">
                  <c:v>14.298999999999999</c:v>
                </c:pt>
                <c:pt idx="146">
                  <c:v>28.363</c:v>
                </c:pt>
                <c:pt idx="147">
                  <c:v>36.073</c:v>
                </c:pt>
                <c:pt idx="148">
                  <c:v>39.148000000000003</c:v>
                </c:pt>
                <c:pt idx="149">
                  <c:v>32.420999999999999</c:v>
                </c:pt>
                <c:pt idx="150">
                  <c:v>35.477000000000004</c:v>
                </c:pt>
                <c:pt idx="151">
                  <c:v>36.283000000000001</c:v>
                </c:pt>
                <c:pt idx="152">
                  <c:v>28.972000000000001</c:v>
                </c:pt>
                <c:pt idx="153">
                  <c:v>35.087000000000003</c:v>
                </c:pt>
                <c:pt idx="154">
                  <c:v>17.43</c:v>
                </c:pt>
                <c:pt idx="155">
                  <c:v>21.384</c:v>
                </c:pt>
                <c:pt idx="156">
                  <c:v>29.673999999999999</c:v>
                </c:pt>
                <c:pt idx="157">
                  <c:v>17.195</c:v>
                </c:pt>
                <c:pt idx="158">
                  <c:v>15.177</c:v>
                </c:pt>
                <c:pt idx="159">
                  <c:v>29.706</c:v>
                </c:pt>
                <c:pt idx="160">
                  <c:v>37.786999999999999</c:v>
                </c:pt>
                <c:pt idx="161">
                  <c:v>35.802</c:v>
                </c:pt>
                <c:pt idx="162">
                  <c:v>28.343</c:v>
                </c:pt>
                <c:pt idx="163">
                  <c:v>34.493000000000002</c:v>
                </c:pt>
                <c:pt idx="164">
                  <c:v>30.900000000000002</c:v>
                </c:pt>
                <c:pt idx="165">
                  <c:v>35.021999999999998</c:v>
                </c:pt>
                <c:pt idx="166">
                  <c:v>33.044000000000004</c:v>
                </c:pt>
                <c:pt idx="167">
                  <c:v>33.646000000000001</c:v>
                </c:pt>
                <c:pt idx="168">
                  <c:v>34.884</c:v>
                </c:pt>
                <c:pt idx="169">
                  <c:v>35.716999999999999</c:v>
                </c:pt>
                <c:pt idx="170">
                  <c:v>20.074000000000002</c:v>
                </c:pt>
                <c:pt idx="171">
                  <c:v>14.05</c:v>
                </c:pt>
                <c:pt idx="172">
                  <c:v>29.315000000000001</c:v>
                </c:pt>
                <c:pt idx="173">
                  <c:v>26.337</c:v>
                </c:pt>
                <c:pt idx="174">
                  <c:v>29.89</c:v>
                </c:pt>
                <c:pt idx="175">
                  <c:v>21.315999999999999</c:v>
                </c:pt>
                <c:pt idx="176">
                  <c:v>7.6050000000000004</c:v>
                </c:pt>
                <c:pt idx="177">
                  <c:v>9.8460000000000001</c:v>
                </c:pt>
                <c:pt idx="178">
                  <c:v>38.271999999999998</c:v>
                </c:pt>
                <c:pt idx="179">
                  <c:v>36.975999999999999</c:v>
                </c:pt>
                <c:pt idx="180">
                  <c:v>8.9920000000000009</c:v>
                </c:pt>
                <c:pt idx="181">
                  <c:v>34.835999999999999</c:v>
                </c:pt>
                <c:pt idx="182">
                  <c:v>35.902000000000001</c:v>
                </c:pt>
                <c:pt idx="183">
                  <c:v>29.71</c:v>
                </c:pt>
                <c:pt idx="184">
                  <c:v>28.471</c:v>
                </c:pt>
                <c:pt idx="185">
                  <c:v>35.529000000000003</c:v>
                </c:pt>
                <c:pt idx="186">
                  <c:v>28.38</c:v>
                </c:pt>
                <c:pt idx="187">
                  <c:v>36.567999999999998</c:v>
                </c:pt>
                <c:pt idx="188">
                  <c:v>37.721000000000004</c:v>
                </c:pt>
                <c:pt idx="189">
                  <c:v>37.002000000000002</c:v>
                </c:pt>
                <c:pt idx="190">
                  <c:v>36.566000000000003</c:v>
                </c:pt>
                <c:pt idx="191">
                  <c:v>35.274999999999999</c:v>
                </c:pt>
                <c:pt idx="192">
                  <c:v>35.097000000000001</c:v>
                </c:pt>
                <c:pt idx="193">
                  <c:v>34.956000000000003</c:v>
                </c:pt>
                <c:pt idx="194">
                  <c:v>34.340000000000003</c:v>
                </c:pt>
                <c:pt idx="195">
                  <c:v>33.249000000000002</c:v>
                </c:pt>
                <c:pt idx="196">
                  <c:v>34.460999999999999</c:v>
                </c:pt>
                <c:pt idx="197">
                  <c:v>33.785000000000004</c:v>
                </c:pt>
                <c:pt idx="198">
                  <c:v>33.716000000000001</c:v>
                </c:pt>
                <c:pt idx="199">
                  <c:v>26.175000000000001</c:v>
                </c:pt>
                <c:pt idx="200">
                  <c:v>25.619</c:v>
                </c:pt>
                <c:pt idx="201">
                  <c:v>33.448999999999998</c:v>
                </c:pt>
                <c:pt idx="202">
                  <c:v>26.548000000000002</c:v>
                </c:pt>
                <c:pt idx="203">
                  <c:v>31.077000000000002</c:v>
                </c:pt>
                <c:pt idx="204">
                  <c:v>33.579000000000001</c:v>
                </c:pt>
                <c:pt idx="205">
                  <c:v>18.919</c:v>
                </c:pt>
                <c:pt idx="206">
                  <c:v>34.822000000000003</c:v>
                </c:pt>
                <c:pt idx="207">
                  <c:v>36.558</c:v>
                </c:pt>
                <c:pt idx="208">
                  <c:v>29.5</c:v>
                </c:pt>
                <c:pt idx="209">
                  <c:v>18.812999999999999</c:v>
                </c:pt>
                <c:pt idx="210">
                  <c:v>30.064</c:v>
                </c:pt>
                <c:pt idx="211">
                  <c:v>35.035000000000004</c:v>
                </c:pt>
                <c:pt idx="212">
                  <c:v>34.935000000000002</c:v>
                </c:pt>
                <c:pt idx="213">
                  <c:v>34.831000000000003</c:v>
                </c:pt>
                <c:pt idx="214">
                  <c:v>32.5</c:v>
                </c:pt>
                <c:pt idx="215">
                  <c:v>31.952000000000002</c:v>
                </c:pt>
                <c:pt idx="216">
                  <c:v>29.009</c:v>
                </c:pt>
                <c:pt idx="217">
                  <c:v>31.481000000000002</c:v>
                </c:pt>
                <c:pt idx="218">
                  <c:v>33.731000000000002</c:v>
                </c:pt>
                <c:pt idx="219">
                  <c:v>34.362000000000002</c:v>
                </c:pt>
                <c:pt idx="220">
                  <c:v>32.335000000000001</c:v>
                </c:pt>
                <c:pt idx="221">
                  <c:v>31.113</c:v>
                </c:pt>
                <c:pt idx="222">
                  <c:v>29.051000000000002</c:v>
                </c:pt>
                <c:pt idx="223">
                  <c:v>30.295000000000002</c:v>
                </c:pt>
                <c:pt idx="224">
                  <c:v>21.803000000000001</c:v>
                </c:pt>
                <c:pt idx="225">
                  <c:v>23.077000000000002</c:v>
                </c:pt>
                <c:pt idx="226">
                  <c:v>22.052</c:v>
                </c:pt>
                <c:pt idx="227">
                  <c:v>21.812999999999999</c:v>
                </c:pt>
                <c:pt idx="228">
                  <c:v>17.327000000000002</c:v>
                </c:pt>
                <c:pt idx="229">
                  <c:v>25.708000000000002</c:v>
                </c:pt>
                <c:pt idx="230">
                  <c:v>25.916</c:v>
                </c:pt>
                <c:pt idx="231">
                  <c:v>32.166000000000004</c:v>
                </c:pt>
                <c:pt idx="232">
                  <c:v>20.163</c:v>
                </c:pt>
                <c:pt idx="233">
                  <c:v>16.718</c:v>
                </c:pt>
                <c:pt idx="234">
                  <c:v>29.939</c:v>
                </c:pt>
                <c:pt idx="235">
                  <c:v>29.420999999999999</c:v>
                </c:pt>
                <c:pt idx="236">
                  <c:v>21.696000000000002</c:v>
                </c:pt>
                <c:pt idx="237">
                  <c:v>26.405999999999999</c:v>
                </c:pt>
                <c:pt idx="238">
                  <c:v>31.946000000000002</c:v>
                </c:pt>
                <c:pt idx="239">
                  <c:v>30.908999999999999</c:v>
                </c:pt>
                <c:pt idx="240">
                  <c:v>21.187000000000001</c:v>
                </c:pt>
                <c:pt idx="241">
                  <c:v>30.544</c:v>
                </c:pt>
                <c:pt idx="242">
                  <c:v>14.313000000000001</c:v>
                </c:pt>
                <c:pt idx="243">
                  <c:v>26.995000000000001</c:v>
                </c:pt>
                <c:pt idx="244">
                  <c:v>26.62</c:v>
                </c:pt>
                <c:pt idx="245">
                  <c:v>25.861000000000001</c:v>
                </c:pt>
                <c:pt idx="246">
                  <c:v>28.654</c:v>
                </c:pt>
                <c:pt idx="247">
                  <c:v>25.400000000000002</c:v>
                </c:pt>
                <c:pt idx="248">
                  <c:v>29.047000000000001</c:v>
                </c:pt>
                <c:pt idx="249">
                  <c:v>22.064</c:v>
                </c:pt>
                <c:pt idx="250">
                  <c:v>24.408999999999999</c:v>
                </c:pt>
                <c:pt idx="251">
                  <c:v>13.611000000000001</c:v>
                </c:pt>
                <c:pt idx="252">
                  <c:v>29.176000000000002</c:v>
                </c:pt>
                <c:pt idx="253">
                  <c:v>29.068000000000001</c:v>
                </c:pt>
                <c:pt idx="254">
                  <c:v>20.408999999999999</c:v>
                </c:pt>
                <c:pt idx="255">
                  <c:v>7.6779999999999999</c:v>
                </c:pt>
                <c:pt idx="256">
                  <c:v>22.779</c:v>
                </c:pt>
                <c:pt idx="257">
                  <c:v>27.635000000000002</c:v>
                </c:pt>
                <c:pt idx="258">
                  <c:v>20.675000000000001</c:v>
                </c:pt>
                <c:pt idx="259">
                  <c:v>29.159299999999998</c:v>
                </c:pt>
                <c:pt idx="260">
                  <c:v>29.275000000000002</c:v>
                </c:pt>
                <c:pt idx="261">
                  <c:v>28.690999999999999</c:v>
                </c:pt>
                <c:pt idx="262">
                  <c:v>29.931000000000001</c:v>
                </c:pt>
                <c:pt idx="263">
                  <c:v>28.882999999999999</c:v>
                </c:pt>
                <c:pt idx="264">
                  <c:v>27.803000000000001</c:v>
                </c:pt>
                <c:pt idx="265">
                  <c:v>17.201000000000001</c:v>
                </c:pt>
                <c:pt idx="266">
                  <c:v>10.737</c:v>
                </c:pt>
                <c:pt idx="267">
                  <c:v>20.061</c:v>
                </c:pt>
                <c:pt idx="268">
                  <c:v>19.120999999999999</c:v>
                </c:pt>
                <c:pt idx="269">
                  <c:v>9.5960000000000001</c:v>
                </c:pt>
                <c:pt idx="270">
                  <c:v>10.864000000000001</c:v>
                </c:pt>
                <c:pt idx="271">
                  <c:v>14.784000000000001</c:v>
                </c:pt>
                <c:pt idx="272">
                  <c:v>18.428000000000001</c:v>
                </c:pt>
                <c:pt idx="273">
                  <c:v>23.612000000000002</c:v>
                </c:pt>
                <c:pt idx="274">
                  <c:v>24.786000000000001</c:v>
                </c:pt>
                <c:pt idx="275">
                  <c:v>22.896000000000001</c:v>
                </c:pt>
                <c:pt idx="276">
                  <c:v>25.603000000000002</c:v>
                </c:pt>
                <c:pt idx="277">
                  <c:v>25.73</c:v>
                </c:pt>
                <c:pt idx="278">
                  <c:v>8.4670000000000005</c:v>
                </c:pt>
                <c:pt idx="279">
                  <c:v>17.623000000000001</c:v>
                </c:pt>
                <c:pt idx="280">
                  <c:v>11.17</c:v>
                </c:pt>
                <c:pt idx="281">
                  <c:v>23.295000000000002</c:v>
                </c:pt>
                <c:pt idx="282">
                  <c:v>18.628</c:v>
                </c:pt>
                <c:pt idx="283">
                  <c:v>14.624000000000001</c:v>
                </c:pt>
                <c:pt idx="284">
                  <c:v>17.716999999999999</c:v>
                </c:pt>
                <c:pt idx="285">
                  <c:v>13.702</c:v>
                </c:pt>
                <c:pt idx="286">
                  <c:v>10.825000000000001</c:v>
                </c:pt>
                <c:pt idx="287">
                  <c:v>22.349</c:v>
                </c:pt>
                <c:pt idx="288">
                  <c:v>19.870999999999999</c:v>
                </c:pt>
                <c:pt idx="289">
                  <c:v>11.694000000000001</c:v>
                </c:pt>
                <c:pt idx="290">
                  <c:v>20.068000000000001</c:v>
                </c:pt>
                <c:pt idx="291">
                  <c:v>9.3670000000000009</c:v>
                </c:pt>
                <c:pt idx="292">
                  <c:v>4.54</c:v>
                </c:pt>
                <c:pt idx="293">
                  <c:v>9.7409999999999997</c:v>
                </c:pt>
                <c:pt idx="294">
                  <c:v>18.983000000000001</c:v>
                </c:pt>
                <c:pt idx="295">
                  <c:v>12.294</c:v>
                </c:pt>
                <c:pt idx="296">
                  <c:v>14.984</c:v>
                </c:pt>
                <c:pt idx="297">
                  <c:v>13.018000000000001</c:v>
                </c:pt>
                <c:pt idx="298">
                  <c:v>8.7249999999999996</c:v>
                </c:pt>
                <c:pt idx="299">
                  <c:v>8.0830000000000002</c:v>
                </c:pt>
                <c:pt idx="300">
                  <c:v>10.601000000000001</c:v>
                </c:pt>
                <c:pt idx="301">
                  <c:v>15.399000000000001</c:v>
                </c:pt>
                <c:pt idx="302">
                  <c:v>12.926</c:v>
                </c:pt>
                <c:pt idx="303">
                  <c:v>12.252000000000001</c:v>
                </c:pt>
                <c:pt idx="304">
                  <c:v>13.074</c:v>
                </c:pt>
                <c:pt idx="305">
                  <c:v>15.146000000000001</c:v>
                </c:pt>
                <c:pt idx="306">
                  <c:v>5.6980000000000004</c:v>
                </c:pt>
                <c:pt idx="307">
                  <c:v>8.1530000000000005</c:v>
                </c:pt>
                <c:pt idx="308">
                  <c:v>16.734999999999999</c:v>
                </c:pt>
                <c:pt idx="309">
                  <c:v>15.936</c:v>
                </c:pt>
                <c:pt idx="310">
                  <c:v>15.297000000000001</c:v>
                </c:pt>
                <c:pt idx="311">
                  <c:v>11.143000000000001</c:v>
                </c:pt>
                <c:pt idx="312">
                  <c:v>6.173</c:v>
                </c:pt>
                <c:pt idx="313">
                  <c:v>11.846</c:v>
                </c:pt>
                <c:pt idx="314">
                  <c:v>13.801</c:v>
                </c:pt>
                <c:pt idx="315">
                  <c:v>13.596</c:v>
                </c:pt>
                <c:pt idx="316">
                  <c:v>13.617000000000001</c:v>
                </c:pt>
                <c:pt idx="317">
                  <c:v>6.1210000000000004</c:v>
                </c:pt>
                <c:pt idx="318">
                  <c:v>7.5730000000000004</c:v>
                </c:pt>
                <c:pt idx="319">
                  <c:v>12.179</c:v>
                </c:pt>
                <c:pt idx="320">
                  <c:v>9.1920000000000002</c:v>
                </c:pt>
                <c:pt idx="321">
                  <c:v>7.6660000000000004</c:v>
                </c:pt>
                <c:pt idx="322">
                  <c:v>5.2110000000000003</c:v>
                </c:pt>
                <c:pt idx="323">
                  <c:v>9.9359999999999999</c:v>
                </c:pt>
                <c:pt idx="324">
                  <c:v>1.954</c:v>
                </c:pt>
                <c:pt idx="325">
                  <c:v>5.6610000000000005</c:v>
                </c:pt>
                <c:pt idx="326">
                  <c:v>7.5090000000000003</c:v>
                </c:pt>
                <c:pt idx="327">
                  <c:v>7.2759999999999998</c:v>
                </c:pt>
                <c:pt idx="328">
                  <c:v>3.0680000000000001</c:v>
                </c:pt>
                <c:pt idx="329">
                  <c:v>6.0650000000000004</c:v>
                </c:pt>
                <c:pt idx="330">
                  <c:v>8.35</c:v>
                </c:pt>
                <c:pt idx="331">
                  <c:v>5.57</c:v>
                </c:pt>
                <c:pt idx="332">
                  <c:v>6.2279999999999998</c:v>
                </c:pt>
                <c:pt idx="333">
                  <c:v>2.3149999999999999</c:v>
                </c:pt>
                <c:pt idx="334">
                  <c:v>2.1430000000000002</c:v>
                </c:pt>
                <c:pt idx="335">
                  <c:v>3.3120000000000003</c:v>
                </c:pt>
                <c:pt idx="336">
                  <c:v>5.7750000000000004</c:v>
                </c:pt>
                <c:pt idx="337">
                  <c:v>8.31</c:v>
                </c:pt>
                <c:pt idx="338">
                  <c:v>9.6829999999999998</c:v>
                </c:pt>
                <c:pt idx="339">
                  <c:v>7.0230000000000006</c:v>
                </c:pt>
                <c:pt idx="340">
                  <c:v>8.1950000000000003</c:v>
                </c:pt>
                <c:pt idx="341">
                  <c:v>2.698</c:v>
                </c:pt>
                <c:pt idx="342">
                  <c:v>3.843</c:v>
                </c:pt>
                <c:pt idx="343">
                  <c:v>6.6189999999999998</c:v>
                </c:pt>
                <c:pt idx="344">
                  <c:v>7.718</c:v>
                </c:pt>
                <c:pt idx="345">
                  <c:v>3.11</c:v>
                </c:pt>
                <c:pt idx="346">
                  <c:v>3.0859999999999999</c:v>
                </c:pt>
                <c:pt idx="347">
                  <c:v>7.2709999999999999</c:v>
                </c:pt>
                <c:pt idx="348">
                  <c:v>3.62</c:v>
                </c:pt>
                <c:pt idx="349">
                  <c:v>3.0249999999999999</c:v>
                </c:pt>
                <c:pt idx="350">
                  <c:v>1.768</c:v>
                </c:pt>
                <c:pt idx="351">
                  <c:v>9.4310000000000009</c:v>
                </c:pt>
                <c:pt idx="352">
                  <c:v>9.4190000000000005</c:v>
                </c:pt>
                <c:pt idx="353">
                  <c:v>2.4300000000000002</c:v>
                </c:pt>
                <c:pt idx="354">
                  <c:v>8.5909999999999993</c:v>
                </c:pt>
                <c:pt idx="355">
                  <c:v>9.6840000000000011</c:v>
                </c:pt>
                <c:pt idx="356">
                  <c:v>9.5419999999999998</c:v>
                </c:pt>
                <c:pt idx="357">
                  <c:v>9.7530000000000001</c:v>
                </c:pt>
                <c:pt idx="358">
                  <c:v>5.8150000000000004</c:v>
                </c:pt>
                <c:pt idx="359">
                  <c:v>10.059000000000001</c:v>
                </c:pt>
                <c:pt idx="360">
                  <c:v>3.8980000000000001</c:v>
                </c:pt>
                <c:pt idx="361">
                  <c:v>10.596</c:v>
                </c:pt>
                <c:pt idx="362">
                  <c:v>6.048</c:v>
                </c:pt>
                <c:pt idx="363">
                  <c:v>7.7110000000000003</c:v>
                </c:pt>
                <c:pt idx="364">
                  <c:v>7.25</c:v>
                </c:pt>
                <c:pt idx="365">
                  <c:v>3.5799000000000003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828768"/>
        <c:axId val="245858304"/>
      </c:lineChart>
      <c:dateAx>
        <c:axId val="180828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858304"/>
        <c:crosses val="autoZero"/>
        <c:auto val="1"/>
        <c:lblOffset val="100"/>
        <c:baseTimeUnit val="days"/>
        <c:majorUnit val="1"/>
        <c:majorTimeUnit val="months"/>
      </c:dateAx>
      <c:valAx>
        <c:axId val="24585830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8287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11.46683957385765</c:v>
                </c:pt>
                <c:pt idx="1">
                  <c:v>11.590411929900819</c:v>
                </c:pt>
                <c:pt idx="2">
                  <c:v>11.718449055634329</c:v>
                </c:pt>
                <c:pt idx="3">
                  <c:v>11.850595847596088</c:v>
                </c:pt>
                <c:pt idx="4">
                  <c:v>11.98649726161546</c:v>
                </c:pt>
                <c:pt idx="5">
                  <c:v>12.125798319112112</c:v>
                </c:pt>
                <c:pt idx="6">
                  <c:v>12.268144119009328</c:v>
                </c:pt>
                <c:pt idx="7">
                  <c:v>12.413179842167279</c:v>
                </c:pt>
                <c:pt idx="8">
                  <c:v>12.561302696053072</c:v>
                </c:pt>
                <c:pt idx="9">
                  <c:v>12.713373431447957</c:v>
                </c:pt>
                <c:pt idx="10">
                  <c:v>12.869743266875142</c:v>
                </c:pt>
                <c:pt idx="11">
                  <c:v>13.030502527257116</c:v>
                </c:pt>
                <c:pt idx="12">
                  <c:v>13.195741500195103</c:v>
                </c:pt>
                <c:pt idx="13">
                  <c:v>13.365550436732956</c:v>
                </c:pt>
                <c:pt idx="14">
                  <c:v>13.540019552330289</c:v>
                </c:pt>
                <c:pt idx="15">
                  <c:v>13.719236091008284</c:v>
                </c:pt>
                <c:pt idx="16">
                  <c:v>13.90328923924811</c:v>
                </c:pt>
                <c:pt idx="17">
                  <c:v>14.092269110904409</c:v>
                </c:pt>
                <c:pt idx="18">
                  <c:v>14.286265788988434</c:v>
                </c:pt>
                <c:pt idx="19">
                  <c:v>14.485366899421839</c:v>
                </c:pt>
                <c:pt idx="20">
                  <c:v>14.689658840927063</c:v>
                </c:pt>
                <c:pt idx="21">
                  <c:v>14.899229781594039</c:v>
                </c:pt>
                <c:pt idx="22">
                  <c:v>15.11516146806404</c:v>
                </c:pt>
                <c:pt idx="23">
                  <c:v>15.33822947540536</c:v>
                </c:pt>
                <c:pt idx="24">
                  <c:v>15.567701928713674</c:v>
                </c:pt>
                <c:pt idx="25">
                  <c:v>15.803014582352226</c:v>
                </c:pt>
                <c:pt idx="26">
                  <c:v>16.043603359272915</c:v>
                </c:pt>
                <c:pt idx="27">
                  <c:v>16.288904350159008</c:v>
                </c:pt>
                <c:pt idx="28">
                  <c:v>16.538353828009289</c:v>
                </c:pt>
                <c:pt idx="29">
                  <c:v>16.792033282672811</c:v>
                </c:pt>
                <c:pt idx="30">
                  <c:v>17.049382197863704</c:v>
                </c:pt>
                <c:pt idx="31">
                  <c:v>17.309837291972133</c:v>
                </c:pt>
                <c:pt idx="32">
                  <c:v>17.572835472811803</c:v>
                </c:pt>
                <c:pt idx="33">
                  <c:v>17.83781385288686</c:v>
                </c:pt>
                <c:pt idx="34">
                  <c:v>18.104209755597353</c:v>
                </c:pt>
                <c:pt idx="35">
                  <c:v>18.371460717941279</c:v>
                </c:pt>
                <c:pt idx="36">
                  <c:v>18.641828408895567</c:v>
                </c:pt>
                <c:pt idx="37">
                  <c:v>18.917977404214216</c:v>
                </c:pt>
                <c:pt idx="38">
                  <c:v>19.199122407882527</c:v>
                </c:pt>
                <c:pt idx="39">
                  <c:v>19.484607030703309</c:v>
                </c:pt>
                <c:pt idx="40">
                  <c:v>19.773775159526934</c:v>
                </c:pt>
                <c:pt idx="41">
                  <c:v>20.065970958630583</c:v>
                </c:pt>
                <c:pt idx="42">
                  <c:v>20.360538868870083</c:v>
                </c:pt>
                <c:pt idx="43">
                  <c:v>20.656755836232435</c:v>
                </c:pt>
                <c:pt idx="44">
                  <c:v>20.953322529965661</c:v>
                </c:pt>
                <c:pt idx="45">
                  <c:v>21.249584429154506</c:v>
                </c:pt>
                <c:pt idx="46">
                  <c:v>21.544887271387246</c:v>
                </c:pt>
                <c:pt idx="47">
                  <c:v>21.838577049376138</c:v>
                </c:pt>
                <c:pt idx="48">
                  <c:v>22.13000001153884</c:v>
                </c:pt>
                <c:pt idx="49">
                  <c:v>22.418502657486389</c:v>
                </c:pt>
                <c:pt idx="50">
                  <c:v>22.705068179100294</c:v>
                </c:pt>
                <c:pt idx="51">
                  <c:v>22.99118844840482</c:v>
                </c:pt>
                <c:pt idx="52">
                  <c:v>23.276400239974262</c:v>
                </c:pt>
                <c:pt idx="53">
                  <c:v>23.560706212811763</c:v>
                </c:pt>
                <c:pt idx="54">
                  <c:v>23.844107382756771</c:v>
                </c:pt>
                <c:pt idx="55">
                  <c:v>24.126604714609016</c:v>
                </c:pt>
                <c:pt idx="56">
                  <c:v>24.408199123926835</c:v>
                </c:pt>
                <c:pt idx="57">
                  <c:v>24.688729986474158</c:v>
                </c:pt>
                <c:pt idx="58">
                  <c:v>24.968264981337331</c:v>
                </c:pt>
                <c:pt idx="59">
                  <c:v>25.246804622239498</c:v>
                </c:pt>
                <c:pt idx="60">
                  <c:v>25.524349368935184</c:v>
                </c:pt>
                <c:pt idx="61">
                  <c:v>25.800899630957872</c:v>
                </c:pt>
                <c:pt idx="62">
                  <c:v>26.076455771750748</c:v>
                </c:pt>
                <c:pt idx="63">
                  <c:v>26.351018117207548</c:v>
                </c:pt>
                <c:pt idx="64">
                  <c:v>26.625396537777135</c:v>
                </c:pt>
                <c:pt idx="65">
                  <c:v>26.899627072425712</c:v>
                </c:pt>
                <c:pt idx="66">
                  <c:v>27.173261649087372</c:v>
                </c:pt>
                <c:pt idx="67">
                  <c:v>27.445925914493873</c:v>
                </c:pt>
                <c:pt idx="68">
                  <c:v>27.717245542029676</c:v>
                </c:pt>
                <c:pt idx="69">
                  <c:v>27.986846231691217</c:v>
                </c:pt>
                <c:pt idx="70">
                  <c:v>28.254353704889134</c:v>
                </c:pt>
                <c:pt idx="71">
                  <c:v>28.519123456814</c:v>
                </c:pt>
                <c:pt idx="72">
                  <c:v>28.78094256691757</c:v>
                </c:pt>
                <c:pt idx="73">
                  <c:v>29.039436400815944</c:v>
                </c:pt>
                <c:pt idx="74">
                  <c:v>29.294230298477046</c:v>
                </c:pt>
                <c:pt idx="75">
                  <c:v>29.544949564596209</c:v>
                </c:pt>
                <c:pt idx="76">
                  <c:v>29.79121946346412</c:v>
                </c:pt>
                <c:pt idx="77">
                  <c:v>30.032665212051903</c:v>
                </c:pt>
                <c:pt idx="78">
                  <c:v>30.270856013041811</c:v>
                </c:pt>
                <c:pt idx="79">
                  <c:v>30.507254822667189</c:v>
                </c:pt>
                <c:pt idx="80">
                  <c:v>30.741919438579931</c:v>
                </c:pt>
                <c:pt idx="81">
                  <c:v>30.974381228570095</c:v>
                </c:pt>
                <c:pt idx="82">
                  <c:v>31.204171565348684</c:v>
                </c:pt>
                <c:pt idx="83">
                  <c:v>31.430821828401662</c:v>
                </c:pt>
                <c:pt idx="84">
                  <c:v>31.653863398236556</c:v>
                </c:pt>
                <c:pt idx="85">
                  <c:v>31.872827652286265</c:v>
                </c:pt>
                <c:pt idx="86">
                  <c:v>32.087519732284321</c:v>
                </c:pt>
                <c:pt idx="87">
                  <c:v>32.297472111393958</c:v>
                </c:pt>
                <c:pt idx="88">
                  <c:v>32.502217394745749</c:v>
                </c:pt>
                <c:pt idx="89">
                  <c:v>32.701288317485748</c:v>
                </c:pt>
                <c:pt idx="90">
                  <c:v>32.894217766833279</c:v>
                </c:pt>
                <c:pt idx="91">
                  <c:v>33.080538778312572</c:v>
                </c:pt>
                <c:pt idx="92">
                  <c:v>33.259939899508637</c:v>
                </c:pt>
                <c:pt idx="93">
                  <c:v>33.432731101348061</c:v>
                </c:pt>
                <c:pt idx="94">
                  <c:v>33.599422894637328</c:v>
                </c:pt>
                <c:pt idx="95">
                  <c:v>33.760480860624789</c:v>
                </c:pt>
                <c:pt idx="96">
                  <c:v>33.916370459716646</c:v>
                </c:pt>
                <c:pt idx="97">
                  <c:v>34.067557041068255</c:v>
                </c:pt>
                <c:pt idx="98">
                  <c:v>34.214505833185044</c:v>
                </c:pt>
                <c:pt idx="99">
                  <c:v>34.357681950708347</c:v>
                </c:pt>
                <c:pt idx="100">
                  <c:v>34.497550394848751</c:v>
                </c:pt>
                <c:pt idx="101">
                  <c:v>34.634576040305006</c:v>
                </c:pt>
                <c:pt idx="102">
                  <c:v>34.769223637015678</c:v>
                </c:pt>
                <c:pt idx="103">
                  <c:v>34.90195781294041</c:v>
                </c:pt>
                <c:pt idx="104">
                  <c:v>35.033243067550799</c:v>
                </c:pt>
                <c:pt idx="105">
                  <c:v>35.163543770499999</c:v>
                </c:pt>
                <c:pt idx="106">
                  <c:v>35.292564048528099</c:v>
                </c:pt>
                <c:pt idx="107">
                  <c:v>35.419573931640329</c:v>
                </c:pt>
                <c:pt idx="108">
                  <c:v>35.544386675315394</c:v>
                </c:pt>
                <c:pt idx="109">
                  <c:v>39.370247142208129</c:v>
                </c:pt>
                <c:pt idx="110">
                  <c:v>39.498658365680591</c:v>
                </c:pt>
                <c:pt idx="111">
                  <c:v>39.62406283320319</c:v>
                </c:pt>
                <c:pt idx="112">
                  <c:v>39.746256769717711</c:v>
                </c:pt>
                <c:pt idx="113">
                  <c:v>39.865036589600621</c:v>
                </c:pt>
                <c:pt idx="114">
                  <c:v>39.980198902274438</c:v>
                </c:pt>
                <c:pt idx="115">
                  <c:v>40.091540510556555</c:v>
                </c:pt>
                <c:pt idx="116">
                  <c:v>40.198858415284633</c:v>
                </c:pt>
                <c:pt idx="117">
                  <c:v>40.301949816232501</c:v>
                </c:pt>
                <c:pt idx="118">
                  <c:v>40.400612117769825</c:v>
                </c:pt>
                <c:pt idx="119">
                  <c:v>40.49464292854362</c:v>
                </c:pt>
                <c:pt idx="120">
                  <c:v>40.584574363282606</c:v>
                </c:pt>
                <c:pt idx="121">
                  <c:v>40.671006406173184</c:v>
                </c:pt>
                <c:pt idx="122">
                  <c:v>40.753838708767034</c:v>
                </c:pt>
                <c:pt idx="123">
                  <c:v>40.83297104706444</c:v>
                </c:pt>
                <c:pt idx="124">
                  <c:v>40.908303328044639</c:v>
                </c:pt>
                <c:pt idx="125">
                  <c:v>40.979735583708639</c:v>
                </c:pt>
                <c:pt idx="126">
                  <c:v>41.047167978987048</c:v>
                </c:pt>
                <c:pt idx="127">
                  <c:v>41.110500811291899</c:v>
                </c:pt>
                <c:pt idx="128">
                  <c:v>41.169634515483935</c:v>
                </c:pt>
                <c:pt idx="129">
                  <c:v>41.224469662478846</c:v>
                </c:pt>
                <c:pt idx="130">
                  <c:v>41.274906960018463</c:v>
                </c:pt>
                <c:pt idx="131">
                  <c:v>41.320847258934045</c:v>
                </c:pt>
                <c:pt idx="132">
                  <c:v>41.362191548101997</c:v>
                </c:pt>
                <c:pt idx="133">
                  <c:v>41.398840962267194</c:v>
                </c:pt>
                <c:pt idx="134">
                  <c:v>41.429845550039893</c:v>
                </c:pt>
                <c:pt idx="135">
                  <c:v>41.454664752616814</c:v>
                </c:pt>
                <c:pt idx="136">
                  <c:v>41.473813602650758</c:v>
                </c:pt>
                <c:pt idx="137">
                  <c:v>41.487806731307003</c:v>
                </c:pt>
                <c:pt idx="138">
                  <c:v>41.497158372862835</c:v>
                </c:pt>
                <c:pt idx="139">
                  <c:v>41.502382361740992</c:v>
                </c:pt>
                <c:pt idx="140">
                  <c:v>41.503992128214819</c:v>
                </c:pt>
                <c:pt idx="141">
                  <c:v>41.502500697492366</c:v>
                </c:pt>
                <c:pt idx="142">
                  <c:v>41.498420689503597</c:v>
                </c:pt>
                <c:pt idx="143">
                  <c:v>41.492264313781675</c:v>
                </c:pt>
                <c:pt idx="144">
                  <c:v>41.48454336911977</c:v>
                </c:pt>
                <c:pt idx="145">
                  <c:v>41.475769239024352</c:v>
                </c:pt>
                <c:pt idx="146">
                  <c:v>41.466452890009954</c:v>
                </c:pt>
                <c:pt idx="147">
                  <c:v>41.457104870805004</c:v>
                </c:pt>
                <c:pt idx="148">
                  <c:v>41.446741785038945</c:v>
                </c:pt>
                <c:pt idx="149">
                  <c:v>41.43410964715212</c:v>
                </c:pt>
                <c:pt idx="150">
                  <c:v>41.419312752447475</c:v>
                </c:pt>
                <c:pt idx="151">
                  <c:v>41.402455321542334</c:v>
                </c:pt>
                <c:pt idx="152">
                  <c:v>41.383641499278447</c:v>
                </c:pt>
                <c:pt idx="153">
                  <c:v>41.36297535024687</c:v>
                </c:pt>
                <c:pt idx="154">
                  <c:v>41.340560852287375</c:v>
                </c:pt>
                <c:pt idx="155">
                  <c:v>41.316501894072957</c:v>
                </c:pt>
                <c:pt idx="156">
                  <c:v>41.290902270939633</c:v>
                </c:pt>
                <c:pt idx="157">
                  <c:v>41.263865678514819</c:v>
                </c:pt>
                <c:pt idx="158">
                  <c:v>41.235495710682819</c:v>
                </c:pt>
                <c:pt idx="159">
                  <c:v>41.205895853313308</c:v>
                </c:pt>
                <c:pt idx="160">
                  <c:v>41.175169481049373</c:v>
                </c:pt>
                <c:pt idx="161">
                  <c:v>41.143419854089501</c:v>
                </c:pt>
                <c:pt idx="162">
                  <c:v>41.110276365982514</c:v>
                </c:pt>
                <c:pt idx="163">
                  <c:v>41.075368700691314</c:v>
                </c:pt>
                <c:pt idx="164">
                  <c:v>41.03880036770412</c:v>
                </c:pt>
                <c:pt idx="165">
                  <c:v>41.000674742374514</c:v>
                </c:pt>
                <c:pt idx="166">
                  <c:v>40.961095064088155</c:v>
                </c:pt>
                <c:pt idx="167">
                  <c:v>40.920164433392301</c:v>
                </c:pt>
                <c:pt idx="168">
                  <c:v>40.877985809347663</c:v>
                </c:pt>
                <c:pt idx="169">
                  <c:v>40.834662006467816</c:v>
                </c:pt>
                <c:pt idx="170">
                  <c:v>40.79029569375902</c:v>
                </c:pt>
                <c:pt idx="171">
                  <c:v>40.744989392421239</c:v>
                </c:pt>
                <c:pt idx="172">
                  <c:v>40.698845475649804</c:v>
                </c:pt>
                <c:pt idx="173">
                  <c:v>40.651966166665666</c:v>
                </c:pt>
                <c:pt idx="174">
                  <c:v>40.604453539073518</c:v>
                </c:pt>
                <c:pt idx="175">
                  <c:v>40.55640951681594</c:v>
                </c:pt>
                <c:pt idx="176">
                  <c:v>40.508340721973063</c:v>
                </c:pt>
                <c:pt idx="177">
                  <c:v>40.460483444567032</c:v>
                </c:pt>
                <c:pt idx="178">
                  <c:v>40.412534148048891</c:v>
                </c:pt>
                <c:pt idx="179">
                  <c:v>40.364189491574074</c:v>
                </c:pt>
                <c:pt idx="180">
                  <c:v>40.315146330121038</c:v>
                </c:pt>
                <c:pt idx="181">
                  <c:v>40.265101712887649</c:v>
                </c:pt>
                <c:pt idx="182">
                  <c:v>40.213752885069297</c:v>
                </c:pt>
                <c:pt idx="183">
                  <c:v>40.160797286378518</c:v>
                </c:pt>
                <c:pt idx="184">
                  <c:v>40.105932552546484</c:v>
                </c:pt>
                <c:pt idx="185">
                  <c:v>40.048856517795585</c:v>
                </c:pt>
                <c:pt idx="186">
                  <c:v>39.989267212493125</c:v>
                </c:pt>
                <c:pt idx="187">
                  <c:v>39.926862868227154</c:v>
                </c:pt>
                <c:pt idx="188">
                  <c:v>39.861341918903825</c:v>
                </c:pt>
                <c:pt idx="189">
                  <c:v>39.792403001186209</c:v>
                </c:pt>
                <c:pt idx="190">
                  <c:v>39.719627218942854</c:v>
                </c:pt>
                <c:pt idx="191">
                  <c:v>39.643066840021092</c:v>
                </c:pt>
                <c:pt idx="192">
                  <c:v>39.563127130111553</c:v>
                </c:pt>
                <c:pt idx="193">
                  <c:v>39.480213000013009</c:v>
                </c:pt>
                <c:pt idx="194">
                  <c:v>39.394729011785564</c:v>
                </c:pt>
                <c:pt idx="195">
                  <c:v>39.307079388524684</c:v>
                </c:pt>
                <c:pt idx="196">
                  <c:v>39.217668016088687</c:v>
                </c:pt>
                <c:pt idx="197">
                  <c:v>39.12689845249362</c:v>
                </c:pt>
                <c:pt idx="198">
                  <c:v>39.035173934059721</c:v>
                </c:pt>
                <c:pt idx="199">
                  <c:v>38.942897379398588</c:v>
                </c:pt>
                <c:pt idx="200">
                  <c:v>38.850471395368587</c:v>
                </c:pt>
                <c:pt idx="201">
                  <c:v>38.758298283491023</c:v>
                </c:pt>
                <c:pt idx="202">
                  <c:v>38.666780042730075</c:v>
                </c:pt>
                <c:pt idx="203">
                  <c:v>38.576318375460076</c:v>
                </c:pt>
                <c:pt idx="204">
                  <c:v>38.486744413919418</c:v>
                </c:pt>
                <c:pt idx="205">
                  <c:v>38.397486978523162</c:v>
                </c:pt>
                <c:pt idx="206">
                  <c:v>38.308344223389668</c:v>
                </c:pt>
                <c:pt idx="207">
                  <c:v>38.219114488665824</c:v>
                </c:pt>
                <c:pt idx="208">
                  <c:v>38.129596300169752</c:v>
                </c:pt>
                <c:pt idx="209">
                  <c:v>38.039588370401034</c:v>
                </c:pt>
                <c:pt idx="210">
                  <c:v>37.948889598903307</c:v>
                </c:pt>
                <c:pt idx="211">
                  <c:v>37.857299070520135</c:v>
                </c:pt>
                <c:pt idx="212">
                  <c:v>37.764616056489949</c:v>
                </c:pt>
                <c:pt idx="213">
                  <c:v>37.670640012832017</c:v>
                </c:pt>
                <c:pt idx="214">
                  <c:v>37.575170579731214</c:v>
                </c:pt>
                <c:pt idx="215">
                  <c:v>37.478007580495742</c:v>
                </c:pt>
                <c:pt idx="216">
                  <c:v>37.378951019433572</c:v>
                </c:pt>
                <c:pt idx="217">
                  <c:v>37.277801081241307</c:v>
                </c:pt>
                <c:pt idx="218">
                  <c:v>37.174859948709091</c:v>
                </c:pt>
                <c:pt idx="219">
                  <c:v>37.070563389999023</c:v>
                </c:pt>
                <c:pt idx="220">
                  <c:v>36.964912116846108</c:v>
                </c:pt>
                <c:pt idx="221">
                  <c:v>36.857906862531621</c:v>
                </c:pt>
                <c:pt idx="222">
                  <c:v>36.749548380319958</c:v>
                </c:pt>
                <c:pt idx="223">
                  <c:v>36.639837441524477</c:v>
                </c:pt>
                <c:pt idx="224">
                  <c:v>36.528774834100027</c:v>
                </c:pt>
                <c:pt idx="225">
                  <c:v>36.416361360814136</c:v>
                </c:pt>
                <c:pt idx="226">
                  <c:v>36.302597838627825</c:v>
                </c:pt>
                <c:pt idx="227">
                  <c:v>36.187485096080572</c:v>
                </c:pt>
                <c:pt idx="228">
                  <c:v>36.071023972488199</c:v>
                </c:pt>
                <c:pt idx="229">
                  <c:v>35.953215316554349</c:v>
                </c:pt>
                <c:pt idx="230">
                  <c:v>35.834059985134864</c:v>
                </c:pt>
                <c:pt idx="231">
                  <c:v>35.713558841994583</c:v>
                </c:pt>
                <c:pt idx="232">
                  <c:v>35.593230905416732</c:v>
                </c:pt>
                <c:pt idx="233">
                  <c:v>35.474127027403249</c:v>
                </c:pt>
                <c:pt idx="234">
                  <c:v>35.355546226565643</c:v>
                </c:pt>
                <c:pt idx="235">
                  <c:v>35.236788055298618</c:v>
                </c:pt>
                <c:pt idx="236">
                  <c:v>35.117152594904972</c:v>
                </c:pt>
                <c:pt idx="237">
                  <c:v>34.995940454428201</c:v>
                </c:pt>
                <c:pt idx="238">
                  <c:v>34.872452764214522</c:v>
                </c:pt>
                <c:pt idx="239">
                  <c:v>34.745991177740258</c:v>
                </c:pt>
                <c:pt idx="240">
                  <c:v>34.615857866344022</c:v>
                </c:pt>
                <c:pt idx="241">
                  <c:v>34.481355512863921</c:v>
                </c:pt>
                <c:pt idx="242">
                  <c:v>34.341787315122531</c:v>
                </c:pt>
                <c:pt idx="243">
                  <c:v>34.196456979004196</c:v>
                </c:pt>
                <c:pt idx="244">
                  <c:v>34.044668713187306</c:v>
                </c:pt>
                <c:pt idx="245">
                  <c:v>33.885727232012812</c:v>
                </c:pt>
                <c:pt idx="246">
                  <c:v>33.719387019344772</c:v>
                </c:pt>
                <c:pt idx="247">
                  <c:v>33.546267827926314</c:v>
                </c:pt>
                <c:pt idx="248">
                  <c:v>33.366972335208018</c:v>
                </c:pt>
                <c:pt idx="249">
                  <c:v>33.182102774420443</c:v>
                </c:pt>
                <c:pt idx="250">
                  <c:v>32.992260940423009</c:v>
                </c:pt>
                <c:pt idx="251">
                  <c:v>32.798048185770014</c:v>
                </c:pt>
                <c:pt idx="252">
                  <c:v>32.600065428687856</c:v>
                </c:pt>
                <c:pt idx="253">
                  <c:v>32.398785090775235</c:v>
                </c:pt>
                <c:pt idx="254">
                  <c:v>32.19480729124048</c:v>
                </c:pt>
                <c:pt idx="255">
                  <c:v>31.988731754288782</c:v>
                </c:pt>
                <c:pt idx="256">
                  <c:v>31.781157811778932</c:v>
                </c:pt>
                <c:pt idx="257">
                  <c:v>31.572684403625395</c:v>
                </c:pt>
                <c:pt idx="258">
                  <c:v>31.363910083437865</c:v>
                </c:pt>
                <c:pt idx="259">
                  <c:v>31.155433021068902</c:v>
                </c:pt>
                <c:pt idx="260">
                  <c:v>30.94678870358738</c:v>
                </c:pt>
                <c:pt idx="261">
                  <c:v>30.736479527131248</c:v>
                </c:pt>
                <c:pt idx="262">
                  <c:v>30.524308503271534</c:v>
                </c:pt>
                <c:pt idx="263">
                  <c:v>30.310078902611238</c:v>
                </c:pt>
                <c:pt idx="264">
                  <c:v>30.093594279088428</c:v>
                </c:pt>
                <c:pt idx="265">
                  <c:v>29.874658371144751</c:v>
                </c:pt>
                <c:pt idx="266">
                  <c:v>29.653075163394977</c:v>
                </c:pt>
                <c:pt idx="267">
                  <c:v>29.427829373243618</c:v>
                </c:pt>
                <c:pt idx="268">
                  <c:v>29.1988551485287</c:v>
                </c:pt>
                <c:pt idx="269">
                  <c:v>28.965959653280724</c:v>
                </c:pt>
                <c:pt idx="270">
                  <c:v>28.728950527570998</c:v>
                </c:pt>
                <c:pt idx="271">
                  <c:v>28.487635910676435</c:v>
                </c:pt>
                <c:pt idx="272">
                  <c:v>28.241824459371028</c:v>
                </c:pt>
                <c:pt idx="273">
                  <c:v>27.991325369346846</c:v>
                </c:pt>
                <c:pt idx="274">
                  <c:v>27.736445170887137</c:v>
                </c:pt>
                <c:pt idx="275">
                  <c:v>27.477397874017484</c:v>
                </c:pt>
                <c:pt idx="276">
                  <c:v>27.214688540025683</c:v>
                </c:pt>
                <c:pt idx="277">
                  <c:v>26.948325609893665</c:v>
                </c:pt>
                <c:pt idx="278">
                  <c:v>26.678317900669096</c:v>
                </c:pt>
                <c:pt idx="279">
                  <c:v>26.404674597090033</c:v>
                </c:pt>
                <c:pt idx="280">
                  <c:v>26.127405251667348</c:v>
                </c:pt>
                <c:pt idx="281">
                  <c:v>25.846800235725041</c:v>
                </c:pt>
                <c:pt idx="282">
                  <c:v>25.563672004589403</c:v>
                </c:pt>
                <c:pt idx="283">
                  <c:v>25.278025376529992</c:v>
                </c:pt>
                <c:pt idx="284">
                  <c:v>24.989865057958806</c:v>
                </c:pt>
                <c:pt idx="285">
                  <c:v>24.699195616986529</c:v>
                </c:pt>
                <c:pt idx="286">
                  <c:v>24.406021460523295</c:v>
                </c:pt>
                <c:pt idx="287">
                  <c:v>24.11034680652622</c:v>
                </c:pt>
                <c:pt idx="288">
                  <c:v>23.811531243866941</c:v>
                </c:pt>
                <c:pt idx="289">
                  <c:v>23.509201162069512</c:v>
                </c:pt>
                <c:pt idx="290">
                  <c:v>23.203876647383471</c:v>
                </c:pt>
                <c:pt idx="291">
                  <c:v>22.895856607092092</c:v>
                </c:pt>
                <c:pt idx="292">
                  <c:v>22.585439359862992</c:v>
                </c:pt>
                <c:pt idx="293">
                  <c:v>22.272922629417323</c:v>
                </c:pt>
                <c:pt idx="294">
                  <c:v>21.958603534094607</c:v>
                </c:pt>
                <c:pt idx="295">
                  <c:v>21.643430899897506</c:v>
                </c:pt>
                <c:pt idx="296">
                  <c:v>21.327416960324502</c:v>
                </c:pt>
                <c:pt idx="297">
                  <c:v>21.010848408901715</c:v>
                </c:pt>
                <c:pt idx="298">
                  <c:v>20.694015601030848</c:v>
                </c:pt>
                <c:pt idx="299">
                  <c:v>20.37720830204195</c:v>
                </c:pt>
                <c:pt idx="300">
                  <c:v>20.060715706714571</c:v>
                </c:pt>
                <c:pt idx="301">
                  <c:v>19.744826465644458</c:v>
                </c:pt>
                <c:pt idx="302">
                  <c:v>19.425442135828536</c:v>
                </c:pt>
                <c:pt idx="303">
                  <c:v>19.100249535287304</c:v>
                </c:pt>
                <c:pt idx="304">
                  <c:v>18.770850447520665</c:v>
                </c:pt>
                <c:pt idx="305">
                  <c:v>18.438912034958452</c:v>
                </c:pt>
                <c:pt idx="306">
                  <c:v>18.106100347918375</c:v>
                </c:pt>
                <c:pt idx="307">
                  <c:v>17.774080404726075</c:v>
                </c:pt>
                <c:pt idx="308">
                  <c:v>17.444516275867795</c:v>
                </c:pt>
                <c:pt idx="309">
                  <c:v>17.119167700958172</c:v>
                </c:pt>
                <c:pt idx="310">
                  <c:v>16.79907096834393</c:v>
                </c:pt>
                <c:pt idx="311">
                  <c:v>16.485892363378611</c:v>
                </c:pt>
                <c:pt idx="312">
                  <c:v>16.181297475271826</c:v>
                </c:pt>
                <c:pt idx="313">
                  <c:v>15.886951248834173</c:v>
                </c:pt>
                <c:pt idx="314">
                  <c:v>15.604518034111486</c:v>
                </c:pt>
                <c:pt idx="315">
                  <c:v>15.33566163074722</c:v>
                </c:pt>
                <c:pt idx="316">
                  <c:v>15.077848050021695</c:v>
                </c:pt>
                <c:pt idx="317">
                  <c:v>14.827411211998399</c:v>
                </c:pt>
                <c:pt idx="318">
                  <c:v>14.583515079738776</c:v>
                </c:pt>
                <c:pt idx="319">
                  <c:v>14.346154641084455</c:v>
                </c:pt>
                <c:pt idx="320">
                  <c:v>14.115325169058577</c:v>
                </c:pt>
                <c:pt idx="321">
                  <c:v>13.891022226934675</c:v>
                </c:pt>
                <c:pt idx="322">
                  <c:v>13.673241668780891</c:v>
                </c:pt>
                <c:pt idx="323">
                  <c:v>13.462309332922736</c:v>
                </c:pt>
                <c:pt idx="324">
                  <c:v>13.258126647028581</c:v>
                </c:pt>
                <c:pt idx="325">
                  <c:v>13.060688761013695</c:v>
                </c:pt>
                <c:pt idx="326">
                  <c:v>12.869994801156173</c:v>
                </c:pt>
                <c:pt idx="327">
                  <c:v>12.686041679454364</c:v>
                </c:pt>
                <c:pt idx="328">
                  <c:v>12.508823682708584</c:v>
                </c:pt>
                <c:pt idx="329">
                  <c:v>12.338335531317382</c:v>
                </c:pt>
                <c:pt idx="330">
                  <c:v>12.172223118526666</c:v>
                </c:pt>
                <c:pt idx="331">
                  <c:v>12.008831124654657</c:v>
                </c:pt>
                <c:pt idx="332">
                  <c:v>11.849255563720586</c:v>
                </c:pt>
                <c:pt idx="333">
                  <c:v>11.6945778995673</c:v>
                </c:pt>
                <c:pt idx="334">
                  <c:v>11.545879354529289</c:v>
                </c:pt>
                <c:pt idx="335">
                  <c:v>11.404240877438804</c:v>
                </c:pt>
                <c:pt idx="336">
                  <c:v>11.270743122398867</c:v>
                </c:pt>
                <c:pt idx="337">
                  <c:v>11.145990140397732</c:v>
                </c:pt>
                <c:pt idx="338">
                  <c:v>11.030744310736198</c:v>
                </c:pt>
                <c:pt idx="339">
                  <c:v>10.926088660982552</c:v>
                </c:pt>
                <c:pt idx="340">
                  <c:v>10.833105441856699</c:v>
                </c:pt>
                <c:pt idx="341">
                  <c:v>10.752876099518815</c:v>
                </c:pt>
                <c:pt idx="342">
                  <c:v>10.686481254120819</c:v>
                </c:pt>
                <c:pt idx="343">
                  <c:v>10.635000678418978</c:v>
                </c:pt>
                <c:pt idx="344">
                  <c:v>10.599132019851467</c:v>
                </c:pt>
                <c:pt idx="345">
                  <c:v>10.57813608748379</c:v>
                </c:pt>
                <c:pt idx="346">
                  <c:v>10.570821122899201</c:v>
                </c:pt>
                <c:pt idx="347">
                  <c:v>10.576112037002552</c:v>
                </c:pt>
                <c:pt idx="348">
                  <c:v>10.592934101380983</c:v>
                </c:pt>
                <c:pt idx="349">
                  <c:v>10.620212954521801</c:v>
                </c:pt>
                <c:pt idx="350">
                  <c:v>10.656874602380478</c:v>
                </c:pt>
                <c:pt idx="351">
                  <c:v>10.701704885263242</c:v>
                </c:pt>
                <c:pt idx="352">
                  <c:v>10.754099646807923</c:v>
                </c:pt>
                <c:pt idx="353">
                  <c:v>10.812985521379204</c:v>
                </c:pt>
                <c:pt idx="354">
                  <c:v>10.87728965433584</c:v>
                </c:pt>
                <c:pt idx="355">
                  <c:v>10.945939702562578</c:v>
                </c:pt>
                <c:pt idx="356">
                  <c:v>11.017864479401682</c:v>
                </c:pt>
                <c:pt idx="357">
                  <c:v>11.091992589218229</c:v>
                </c:pt>
                <c:pt idx="358">
                  <c:v>11.170797565999207</c:v>
                </c:pt>
                <c:pt idx="359">
                  <c:v>11.257217027415365</c:v>
                </c:pt>
                <c:pt idx="360">
                  <c:v>11.350410227239646</c:v>
                </c:pt>
                <c:pt idx="361">
                  <c:v>11.450144577278326</c:v>
                </c:pt>
                <c:pt idx="362">
                  <c:v>11.556047351244004</c:v>
                </c:pt>
                <c:pt idx="363">
                  <c:v>11.667745892907808</c:v>
                </c:pt>
                <c:pt idx="364">
                  <c:v>11.784867637343426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6.3550000000000004</c:v>
                </c:pt>
                <c:pt idx="1">
                  <c:v>2.444</c:v>
                </c:pt>
                <c:pt idx="2">
                  <c:v>11.322000000000001</c:v>
                </c:pt>
                <c:pt idx="3">
                  <c:v>10.838000000000001</c:v>
                </c:pt>
                <c:pt idx="4">
                  <c:v>2.1680000000000001</c:v>
                </c:pt>
                <c:pt idx="5">
                  <c:v>4.5990000000000002</c:v>
                </c:pt>
                <c:pt idx="6">
                  <c:v>7.7560000000000002</c:v>
                </c:pt>
                <c:pt idx="7">
                  <c:v>10.569000000000001</c:v>
                </c:pt>
                <c:pt idx="8">
                  <c:v>3.214</c:v>
                </c:pt>
                <c:pt idx="9">
                  <c:v>3.09</c:v>
                </c:pt>
                <c:pt idx="10">
                  <c:v>4.468</c:v>
                </c:pt>
                <c:pt idx="11">
                  <c:v>8.3230000000000004</c:v>
                </c:pt>
                <c:pt idx="12">
                  <c:v>7.3170000000000002</c:v>
                </c:pt>
                <c:pt idx="13">
                  <c:v>6.8719999999999999</c:v>
                </c:pt>
                <c:pt idx="14">
                  <c:v>9.8800000000000008</c:v>
                </c:pt>
                <c:pt idx="15">
                  <c:v>10.75</c:v>
                </c:pt>
                <c:pt idx="16">
                  <c:v>3.698</c:v>
                </c:pt>
                <c:pt idx="17">
                  <c:v>13.895</c:v>
                </c:pt>
                <c:pt idx="18">
                  <c:v>14.312000000000001</c:v>
                </c:pt>
                <c:pt idx="19">
                  <c:v>3.8770000000000002</c:v>
                </c:pt>
                <c:pt idx="20">
                  <c:v>7.9060000000000006</c:v>
                </c:pt>
                <c:pt idx="21">
                  <c:v>3.52</c:v>
                </c:pt>
                <c:pt idx="22">
                  <c:v>5.4470000000000001</c:v>
                </c:pt>
                <c:pt idx="23">
                  <c:v>9.8849999999999998</c:v>
                </c:pt>
                <c:pt idx="24">
                  <c:v>4.4489999999999998</c:v>
                </c:pt>
                <c:pt idx="25">
                  <c:v>11.26</c:v>
                </c:pt>
                <c:pt idx="26">
                  <c:v>3.6560000000000001</c:v>
                </c:pt>
                <c:pt idx="27">
                  <c:v>7.0940000000000003</c:v>
                </c:pt>
                <c:pt idx="28">
                  <c:v>1.22</c:v>
                </c:pt>
                <c:pt idx="29">
                  <c:v>4.6850000000000005</c:v>
                </c:pt>
                <c:pt idx="30">
                  <c:v>6.1459999999999999</c:v>
                </c:pt>
                <c:pt idx="31">
                  <c:v>5.6269999999999998</c:v>
                </c:pt>
                <c:pt idx="32">
                  <c:v>15.959</c:v>
                </c:pt>
                <c:pt idx="33">
                  <c:v>13.277000000000001</c:v>
                </c:pt>
                <c:pt idx="34">
                  <c:v>9.5820000000000007</c:v>
                </c:pt>
                <c:pt idx="35">
                  <c:v>7.32</c:v>
                </c:pt>
                <c:pt idx="36">
                  <c:v>5.5190000000000001</c:v>
                </c:pt>
                <c:pt idx="37">
                  <c:v>12.965</c:v>
                </c:pt>
                <c:pt idx="38">
                  <c:v>2.5150000000000001</c:v>
                </c:pt>
                <c:pt idx="39">
                  <c:v>8.0640000000000001</c:v>
                </c:pt>
                <c:pt idx="40">
                  <c:v>7.7240000000000002</c:v>
                </c:pt>
                <c:pt idx="41">
                  <c:v>17.183</c:v>
                </c:pt>
                <c:pt idx="42">
                  <c:v>2.4929999999999999</c:v>
                </c:pt>
                <c:pt idx="43">
                  <c:v>5.0120000000000005</c:v>
                </c:pt>
                <c:pt idx="44">
                  <c:v>18.288</c:v>
                </c:pt>
                <c:pt idx="45">
                  <c:v>19.615000000000002</c:v>
                </c:pt>
                <c:pt idx="46">
                  <c:v>18.553000000000001</c:v>
                </c:pt>
                <c:pt idx="47">
                  <c:v>20.655000000000001</c:v>
                </c:pt>
                <c:pt idx="48">
                  <c:v>9.5340000000000007</c:v>
                </c:pt>
                <c:pt idx="49">
                  <c:v>21.719000000000001</c:v>
                </c:pt>
                <c:pt idx="50">
                  <c:v>18.442</c:v>
                </c:pt>
                <c:pt idx="51">
                  <c:v>6.9690000000000003</c:v>
                </c:pt>
                <c:pt idx="52">
                  <c:v>4.7439999999999998</c:v>
                </c:pt>
                <c:pt idx="53">
                  <c:v>18.634</c:v>
                </c:pt>
                <c:pt idx="54">
                  <c:v>22.772000000000002</c:v>
                </c:pt>
                <c:pt idx="55">
                  <c:v>20.687000000000001</c:v>
                </c:pt>
                <c:pt idx="56">
                  <c:v>5.3440000000000003</c:v>
                </c:pt>
                <c:pt idx="57">
                  <c:v>24.754999999999999</c:v>
                </c:pt>
                <c:pt idx="58">
                  <c:v>19.978999999999999</c:v>
                </c:pt>
                <c:pt idx="59">
                  <c:v>22.209</c:v>
                </c:pt>
                <c:pt idx="60">
                  <c:v>10.113</c:v>
                </c:pt>
                <c:pt idx="61">
                  <c:v>10.052</c:v>
                </c:pt>
                <c:pt idx="62">
                  <c:v>19.029</c:v>
                </c:pt>
                <c:pt idx="63">
                  <c:v>20.513000000000002</c:v>
                </c:pt>
                <c:pt idx="64">
                  <c:v>6.0000000000000001E-3</c:v>
                </c:pt>
                <c:pt idx="65">
                  <c:v>5.0030000000000001</c:v>
                </c:pt>
                <c:pt idx="66">
                  <c:v>15.741</c:v>
                </c:pt>
                <c:pt idx="67">
                  <c:v>26.315000000000001</c:v>
                </c:pt>
                <c:pt idx="68">
                  <c:v>26.542000000000002</c:v>
                </c:pt>
                <c:pt idx="69">
                  <c:v>20.135999999999999</c:v>
                </c:pt>
                <c:pt idx="70">
                  <c:v>20.16</c:v>
                </c:pt>
                <c:pt idx="71">
                  <c:v>25.606000000000002</c:v>
                </c:pt>
                <c:pt idx="72">
                  <c:v>16.594999999999999</c:v>
                </c:pt>
                <c:pt idx="73">
                  <c:v>10.691000000000001</c:v>
                </c:pt>
                <c:pt idx="74">
                  <c:v>20.382000000000001</c:v>
                </c:pt>
                <c:pt idx="75">
                  <c:v>15.871</c:v>
                </c:pt>
                <c:pt idx="76">
                  <c:v>14.621</c:v>
                </c:pt>
                <c:pt idx="77">
                  <c:v>7.4770000000000003</c:v>
                </c:pt>
                <c:pt idx="78">
                  <c:v>26.312999999999999</c:v>
                </c:pt>
                <c:pt idx="79">
                  <c:v>25.16</c:v>
                </c:pt>
                <c:pt idx="80">
                  <c:v>27.189</c:v>
                </c:pt>
                <c:pt idx="81">
                  <c:v>31.661999999999999</c:v>
                </c:pt>
                <c:pt idx="82">
                  <c:v>31.347999999999999</c:v>
                </c:pt>
                <c:pt idx="83">
                  <c:v>22.247</c:v>
                </c:pt>
                <c:pt idx="84">
                  <c:v>26.145</c:v>
                </c:pt>
                <c:pt idx="85">
                  <c:v>26.286000000000001</c:v>
                </c:pt>
                <c:pt idx="86">
                  <c:v>31.446999999999999</c:v>
                </c:pt>
                <c:pt idx="87">
                  <c:v>31.965</c:v>
                </c:pt>
                <c:pt idx="88">
                  <c:v>29.77</c:v>
                </c:pt>
                <c:pt idx="89">
                  <c:v>28.91</c:v>
                </c:pt>
                <c:pt idx="90">
                  <c:v>29.201000000000001</c:v>
                </c:pt>
                <c:pt idx="91">
                  <c:v>25.269000000000002</c:v>
                </c:pt>
                <c:pt idx="92">
                  <c:v>32.514000000000003</c:v>
                </c:pt>
                <c:pt idx="93">
                  <c:v>32.640999999999998</c:v>
                </c:pt>
                <c:pt idx="94">
                  <c:v>31.077000000000002</c:v>
                </c:pt>
                <c:pt idx="95">
                  <c:v>20.411999999999999</c:v>
                </c:pt>
                <c:pt idx="96">
                  <c:v>34.557000000000002</c:v>
                </c:pt>
                <c:pt idx="97">
                  <c:v>32.055999999999997</c:v>
                </c:pt>
                <c:pt idx="98">
                  <c:v>18.683</c:v>
                </c:pt>
                <c:pt idx="99">
                  <c:v>19.809999999999999</c:v>
                </c:pt>
                <c:pt idx="100">
                  <c:v>4.5410000000000004</c:v>
                </c:pt>
                <c:pt idx="101">
                  <c:v>26.387</c:v>
                </c:pt>
                <c:pt idx="102">
                  <c:v>0</c:v>
                </c:pt>
                <c:pt idx="103">
                  <c:v>13.951000000000001</c:v>
                </c:pt>
                <c:pt idx="104">
                  <c:v>33.997</c:v>
                </c:pt>
                <c:pt idx="105">
                  <c:v>29.29</c:v>
                </c:pt>
                <c:pt idx="106">
                  <c:v>31.616</c:v>
                </c:pt>
                <c:pt idx="107">
                  <c:v>22.283000000000001</c:v>
                </c:pt>
                <c:pt idx="108">
                  <c:v>33.861000000000004</c:v>
                </c:pt>
                <c:pt idx="109">
                  <c:v>24.797000000000001</c:v>
                </c:pt>
                <c:pt idx="110">
                  <c:v>36.225000000000001</c:v>
                </c:pt>
                <c:pt idx="111">
                  <c:v>39.497999999999998</c:v>
                </c:pt>
                <c:pt idx="112">
                  <c:v>39.569000000000003</c:v>
                </c:pt>
                <c:pt idx="113">
                  <c:v>37.169000000000004</c:v>
                </c:pt>
                <c:pt idx="114">
                  <c:v>18.914000000000001</c:v>
                </c:pt>
                <c:pt idx="115">
                  <c:v>4.069</c:v>
                </c:pt>
                <c:pt idx="116">
                  <c:v>13.869</c:v>
                </c:pt>
                <c:pt idx="117">
                  <c:v>11.727</c:v>
                </c:pt>
                <c:pt idx="118">
                  <c:v>18.141000000000002</c:v>
                </c:pt>
                <c:pt idx="119">
                  <c:v>10.246</c:v>
                </c:pt>
                <c:pt idx="120">
                  <c:v>13.23</c:v>
                </c:pt>
                <c:pt idx="121">
                  <c:v>26.882999999999999</c:v>
                </c:pt>
                <c:pt idx="122">
                  <c:v>40.570999999999998</c:v>
                </c:pt>
                <c:pt idx="123">
                  <c:v>35.817999999999998</c:v>
                </c:pt>
                <c:pt idx="124">
                  <c:v>24.683</c:v>
                </c:pt>
                <c:pt idx="125">
                  <c:v>26.202999999999999</c:v>
                </c:pt>
                <c:pt idx="126">
                  <c:v>21.016999999999999</c:v>
                </c:pt>
                <c:pt idx="127">
                  <c:v>38.978999999999999</c:v>
                </c:pt>
                <c:pt idx="128">
                  <c:v>14.354000000000001</c:v>
                </c:pt>
                <c:pt idx="129">
                  <c:v>29.155000000000001</c:v>
                </c:pt>
                <c:pt idx="130">
                  <c:v>23.887</c:v>
                </c:pt>
                <c:pt idx="131">
                  <c:v>25.672000000000001</c:v>
                </c:pt>
                <c:pt idx="132">
                  <c:v>33.058</c:v>
                </c:pt>
                <c:pt idx="133">
                  <c:v>29.667000000000002</c:v>
                </c:pt>
                <c:pt idx="134">
                  <c:v>14.177</c:v>
                </c:pt>
                <c:pt idx="135">
                  <c:v>9.42</c:v>
                </c:pt>
                <c:pt idx="136">
                  <c:v>38.239000000000004</c:v>
                </c:pt>
                <c:pt idx="137">
                  <c:v>23.525000000000002</c:v>
                </c:pt>
                <c:pt idx="138">
                  <c:v>32.055999999999997</c:v>
                </c:pt>
                <c:pt idx="139">
                  <c:v>41.637999999999998</c:v>
                </c:pt>
                <c:pt idx="140">
                  <c:v>27.681000000000001</c:v>
                </c:pt>
                <c:pt idx="141">
                  <c:v>22.655000000000001</c:v>
                </c:pt>
                <c:pt idx="142">
                  <c:v>26.146000000000001</c:v>
                </c:pt>
                <c:pt idx="143">
                  <c:v>18.629000000000001</c:v>
                </c:pt>
                <c:pt idx="144">
                  <c:v>33.581000000000003</c:v>
                </c:pt>
                <c:pt idx="145">
                  <c:v>35.238</c:v>
                </c:pt>
                <c:pt idx="146">
                  <c:v>40.997</c:v>
                </c:pt>
                <c:pt idx="147">
                  <c:v>30.937000000000001</c:v>
                </c:pt>
                <c:pt idx="148">
                  <c:v>25.111000000000001</c:v>
                </c:pt>
                <c:pt idx="149">
                  <c:v>36.122999999999998</c:v>
                </c:pt>
                <c:pt idx="150">
                  <c:v>39.472000000000001</c:v>
                </c:pt>
                <c:pt idx="151">
                  <c:v>23.153000000000002</c:v>
                </c:pt>
                <c:pt idx="152">
                  <c:v>30.535</c:v>
                </c:pt>
                <c:pt idx="153">
                  <c:v>33.746000000000002</c:v>
                </c:pt>
                <c:pt idx="154">
                  <c:v>6.0060000000000002</c:v>
                </c:pt>
                <c:pt idx="155">
                  <c:v>30.365000000000002</c:v>
                </c:pt>
                <c:pt idx="156">
                  <c:v>30.759</c:v>
                </c:pt>
                <c:pt idx="157">
                  <c:v>36.893999999999998</c:v>
                </c:pt>
                <c:pt idx="158">
                  <c:v>40.987000000000002</c:v>
                </c:pt>
                <c:pt idx="159">
                  <c:v>40.169000000000004</c:v>
                </c:pt>
                <c:pt idx="160">
                  <c:v>39.408999999999999</c:v>
                </c:pt>
                <c:pt idx="161">
                  <c:v>30.629000000000001</c:v>
                </c:pt>
                <c:pt idx="162">
                  <c:v>32.613999999999997</c:v>
                </c:pt>
                <c:pt idx="163">
                  <c:v>39.366</c:v>
                </c:pt>
                <c:pt idx="164">
                  <c:v>36.497999999999998</c:v>
                </c:pt>
                <c:pt idx="165">
                  <c:v>34.991</c:v>
                </c:pt>
                <c:pt idx="166">
                  <c:v>32.456000000000003</c:v>
                </c:pt>
                <c:pt idx="167">
                  <c:v>10.263999999999999</c:v>
                </c:pt>
                <c:pt idx="168">
                  <c:v>28.434000000000001</c:v>
                </c:pt>
                <c:pt idx="169">
                  <c:v>22.530999999999999</c:v>
                </c:pt>
                <c:pt idx="170">
                  <c:v>23.748000000000001</c:v>
                </c:pt>
                <c:pt idx="171">
                  <c:v>25.423000000000002</c:v>
                </c:pt>
                <c:pt idx="172">
                  <c:v>27.274000000000001</c:v>
                </c:pt>
                <c:pt idx="173">
                  <c:v>16.847999999999999</c:v>
                </c:pt>
                <c:pt idx="174">
                  <c:v>26.831</c:v>
                </c:pt>
                <c:pt idx="175">
                  <c:v>37.722999999999999</c:v>
                </c:pt>
                <c:pt idx="176">
                  <c:v>38.904000000000003</c:v>
                </c:pt>
                <c:pt idx="177">
                  <c:v>5.7590000000000003</c:v>
                </c:pt>
                <c:pt idx="178">
                  <c:v>18.202000000000002</c:v>
                </c:pt>
                <c:pt idx="179">
                  <c:v>26.802</c:v>
                </c:pt>
                <c:pt idx="180">
                  <c:v>33.765000000000001</c:v>
                </c:pt>
                <c:pt idx="181">
                  <c:v>37.026000000000003</c:v>
                </c:pt>
                <c:pt idx="182">
                  <c:v>36.073</c:v>
                </c:pt>
                <c:pt idx="183">
                  <c:v>23.266000000000002</c:v>
                </c:pt>
                <c:pt idx="184">
                  <c:v>24.442</c:v>
                </c:pt>
                <c:pt idx="185">
                  <c:v>39.087000000000003</c:v>
                </c:pt>
                <c:pt idx="186">
                  <c:v>13.949</c:v>
                </c:pt>
                <c:pt idx="187">
                  <c:v>25.272000000000002</c:v>
                </c:pt>
                <c:pt idx="188">
                  <c:v>34.073</c:v>
                </c:pt>
                <c:pt idx="189">
                  <c:v>40.158999999999999</c:v>
                </c:pt>
                <c:pt idx="190">
                  <c:v>34.907000000000004</c:v>
                </c:pt>
                <c:pt idx="191">
                  <c:v>33.712000000000003</c:v>
                </c:pt>
                <c:pt idx="192">
                  <c:v>8.8960000000000008</c:v>
                </c:pt>
                <c:pt idx="193">
                  <c:v>18.712</c:v>
                </c:pt>
                <c:pt idx="194">
                  <c:v>19.672000000000001</c:v>
                </c:pt>
                <c:pt idx="195">
                  <c:v>25.8</c:v>
                </c:pt>
                <c:pt idx="196">
                  <c:v>28.055</c:v>
                </c:pt>
                <c:pt idx="197">
                  <c:v>39.454000000000001</c:v>
                </c:pt>
                <c:pt idx="198">
                  <c:v>34.719000000000001</c:v>
                </c:pt>
                <c:pt idx="199">
                  <c:v>38.529000000000003</c:v>
                </c:pt>
                <c:pt idx="200">
                  <c:v>30.292000000000002</c:v>
                </c:pt>
                <c:pt idx="201">
                  <c:v>30.341000000000001</c:v>
                </c:pt>
                <c:pt idx="202">
                  <c:v>35.432000000000002</c:v>
                </c:pt>
                <c:pt idx="203">
                  <c:v>28.63</c:v>
                </c:pt>
                <c:pt idx="204">
                  <c:v>19.067</c:v>
                </c:pt>
                <c:pt idx="205">
                  <c:v>24.962</c:v>
                </c:pt>
                <c:pt idx="206">
                  <c:v>22.337</c:v>
                </c:pt>
                <c:pt idx="207">
                  <c:v>31.815999999999999</c:v>
                </c:pt>
                <c:pt idx="208">
                  <c:v>17.45</c:v>
                </c:pt>
                <c:pt idx="209">
                  <c:v>35.997999999999998</c:v>
                </c:pt>
                <c:pt idx="210">
                  <c:v>11.509</c:v>
                </c:pt>
                <c:pt idx="211">
                  <c:v>8.5340000000000007</c:v>
                </c:pt>
                <c:pt idx="212">
                  <c:v>30.431000000000001</c:v>
                </c:pt>
                <c:pt idx="213">
                  <c:v>35.11</c:v>
                </c:pt>
                <c:pt idx="214">
                  <c:v>24.561</c:v>
                </c:pt>
                <c:pt idx="215">
                  <c:v>23.867000000000001</c:v>
                </c:pt>
                <c:pt idx="216">
                  <c:v>32.834000000000003</c:v>
                </c:pt>
                <c:pt idx="217">
                  <c:v>13.4</c:v>
                </c:pt>
                <c:pt idx="218">
                  <c:v>16.260999999999999</c:v>
                </c:pt>
                <c:pt idx="219">
                  <c:v>22.78</c:v>
                </c:pt>
                <c:pt idx="220">
                  <c:v>35.977000000000004</c:v>
                </c:pt>
                <c:pt idx="221">
                  <c:v>33.67</c:v>
                </c:pt>
                <c:pt idx="222">
                  <c:v>33.052999999999997</c:v>
                </c:pt>
                <c:pt idx="223">
                  <c:v>31.891000000000002</c:v>
                </c:pt>
                <c:pt idx="224">
                  <c:v>21.304000000000002</c:v>
                </c:pt>
                <c:pt idx="225">
                  <c:v>32.137999999999998</c:v>
                </c:pt>
                <c:pt idx="226">
                  <c:v>13.854000000000001</c:v>
                </c:pt>
                <c:pt idx="227">
                  <c:v>20.862000000000002</c:v>
                </c:pt>
                <c:pt idx="228">
                  <c:v>26.359000000000002</c:v>
                </c:pt>
                <c:pt idx="229">
                  <c:v>34.503999999999998</c:v>
                </c:pt>
                <c:pt idx="230">
                  <c:v>31.408000000000001</c:v>
                </c:pt>
                <c:pt idx="231">
                  <c:v>34.194000000000003</c:v>
                </c:pt>
                <c:pt idx="232">
                  <c:v>32.261000000000003</c:v>
                </c:pt>
                <c:pt idx="233">
                  <c:v>12.318</c:v>
                </c:pt>
                <c:pt idx="234">
                  <c:v>32.448</c:v>
                </c:pt>
                <c:pt idx="235">
                  <c:v>31.463000000000001</c:v>
                </c:pt>
                <c:pt idx="236">
                  <c:v>32.186</c:v>
                </c:pt>
                <c:pt idx="237">
                  <c:v>33.896000000000001</c:v>
                </c:pt>
                <c:pt idx="238">
                  <c:v>30.602</c:v>
                </c:pt>
                <c:pt idx="239">
                  <c:v>35.161999999999999</c:v>
                </c:pt>
                <c:pt idx="240">
                  <c:v>34.704000000000001</c:v>
                </c:pt>
                <c:pt idx="241">
                  <c:v>33.375999999999998</c:v>
                </c:pt>
                <c:pt idx="242">
                  <c:v>33.581000000000003</c:v>
                </c:pt>
                <c:pt idx="243">
                  <c:v>21.01</c:v>
                </c:pt>
                <c:pt idx="244">
                  <c:v>13.812000000000001</c:v>
                </c:pt>
                <c:pt idx="245">
                  <c:v>20.751000000000001</c:v>
                </c:pt>
                <c:pt idx="246">
                  <c:v>26.491</c:v>
                </c:pt>
                <c:pt idx="247">
                  <c:v>29.53</c:v>
                </c:pt>
                <c:pt idx="248">
                  <c:v>31.868000000000002</c:v>
                </c:pt>
                <c:pt idx="249">
                  <c:v>24.536000000000001</c:v>
                </c:pt>
                <c:pt idx="250">
                  <c:v>22.216000000000001</c:v>
                </c:pt>
                <c:pt idx="251">
                  <c:v>13.567</c:v>
                </c:pt>
                <c:pt idx="252">
                  <c:v>24.663</c:v>
                </c:pt>
                <c:pt idx="253">
                  <c:v>25.493000000000002</c:v>
                </c:pt>
                <c:pt idx="254">
                  <c:v>30.198</c:v>
                </c:pt>
                <c:pt idx="255">
                  <c:v>21.231000000000002</c:v>
                </c:pt>
                <c:pt idx="256">
                  <c:v>12.548</c:v>
                </c:pt>
                <c:pt idx="257">
                  <c:v>19.908999999999999</c:v>
                </c:pt>
                <c:pt idx="258">
                  <c:v>14.41</c:v>
                </c:pt>
                <c:pt idx="259">
                  <c:v>28.231000000000002</c:v>
                </c:pt>
                <c:pt idx="260">
                  <c:v>5.6610000000000005</c:v>
                </c:pt>
                <c:pt idx="261">
                  <c:v>22.007000000000001</c:v>
                </c:pt>
                <c:pt idx="262">
                  <c:v>19.402999999999999</c:v>
                </c:pt>
                <c:pt idx="263">
                  <c:v>9.3239999999999998</c:v>
                </c:pt>
                <c:pt idx="264">
                  <c:v>28.940999999999999</c:v>
                </c:pt>
                <c:pt idx="265">
                  <c:v>23.702000000000002</c:v>
                </c:pt>
                <c:pt idx="266">
                  <c:v>24.844000000000001</c:v>
                </c:pt>
                <c:pt idx="267">
                  <c:v>20.701000000000001</c:v>
                </c:pt>
                <c:pt idx="268">
                  <c:v>23.433</c:v>
                </c:pt>
                <c:pt idx="269">
                  <c:v>15.282999999999999</c:v>
                </c:pt>
                <c:pt idx="270">
                  <c:v>16.724</c:v>
                </c:pt>
                <c:pt idx="271">
                  <c:v>18.244</c:v>
                </c:pt>
                <c:pt idx="272">
                  <c:v>12.119</c:v>
                </c:pt>
                <c:pt idx="273">
                  <c:v>20.798999999999999</c:v>
                </c:pt>
                <c:pt idx="274">
                  <c:v>25.504000000000001</c:v>
                </c:pt>
                <c:pt idx="275">
                  <c:v>3.8650000000000002</c:v>
                </c:pt>
                <c:pt idx="276">
                  <c:v>21.442</c:v>
                </c:pt>
                <c:pt idx="277">
                  <c:v>8.766</c:v>
                </c:pt>
                <c:pt idx="278">
                  <c:v>20.562000000000001</c:v>
                </c:pt>
                <c:pt idx="279">
                  <c:v>26.667999999999999</c:v>
                </c:pt>
                <c:pt idx="280">
                  <c:v>26.137</c:v>
                </c:pt>
                <c:pt idx="281">
                  <c:v>10.221</c:v>
                </c:pt>
                <c:pt idx="282">
                  <c:v>17.946999999999999</c:v>
                </c:pt>
                <c:pt idx="283">
                  <c:v>25.673000000000002</c:v>
                </c:pt>
                <c:pt idx="284">
                  <c:v>24.654</c:v>
                </c:pt>
                <c:pt idx="285">
                  <c:v>23.461000000000002</c:v>
                </c:pt>
                <c:pt idx="286">
                  <c:v>25.457000000000001</c:v>
                </c:pt>
                <c:pt idx="287">
                  <c:v>22.277000000000001</c:v>
                </c:pt>
                <c:pt idx="288">
                  <c:v>23.02</c:v>
                </c:pt>
                <c:pt idx="289">
                  <c:v>21.393000000000001</c:v>
                </c:pt>
                <c:pt idx="290">
                  <c:v>21.442</c:v>
                </c:pt>
                <c:pt idx="291">
                  <c:v>21.507000000000001</c:v>
                </c:pt>
                <c:pt idx="292">
                  <c:v>17.821999999999999</c:v>
                </c:pt>
                <c:pt idx="293">
                  <c:v>8.5540000000000003</c:v>
                </c:pt>
                <c:pt idx="294">
                  <c:v>8.5310000000000006</c:v>
                </c:pt>
                <c:pt idx="295">
                  <c:v>21.329000000000001</c:v>
                </c:pt>
                <c:pt idx="296">
                  <c:v>22.04</c:v>
                </c:pt>
                <c:pt idx="297">
                  <c:v>20.189</c:v>
                </c:pt>
                <c:pt idx="298">
                  <c:v>15.265000000000001</c:v>
                </c:pt>
                <c:pt idx="299">
                  <c:v>18.5</c:v>
                </c:pt>
                <c:pt idx="300">
                  <c:v>19.853000000000002</c:v>
                </c:pt>
                <c:pt idx="301">
                  <c:v>10.946</c:v>
                </c:pt>
                <c:pt idx="302">
                  <c:v>6.92</c:v>
                </c:pt>
                <c:pt idx="303">
                  <c:v>11.633000000000001</c:v>
                </c:pt>
                <c:pt idx="304">
                  <c:v>11.035</c:v>
                </c:pt>
                <c:pt idx="305">
                  <c:v>16.254000000000001</c:v>
                </c:pt>
                <c:pt idx="306">
                  <c:v>10.623000000000001</c:v>
                </c:pt>
                <c:pt idx="307">
                  <c:v>8.3640000000000008</c:v>
                </c:pt>
                <c:pt idx="308">
                  <c:v>6.9160000000000004</c:v>
                </c:pt>
                <c:pt idx="309">
                  <c:v>11.552</c:v>
                </c:pt>
                <c:pt idx="310">
                  <c:v>6.0449999999999999</c:v>
                </c:pt>
                <c:pt idx="311">
                  <c:v>14.984</c:v>
                </c:pt>
                <c:pt idx="312">
                  <c:v>12.402000000000001</c:v>
                </c:pt>
                <c:pt idx="313">
                  <c:v>3.956</c:v>
                </c:pt>
                <c:pt idx="314">
                  <c:v>5.649</c:v>
                </c:pt>
                <c:pt idx="315">
                  <c:v>4.7629999999999999</c:v>
                </c:pt>
                <c:pt idx="316">
                  <c:v>3.6160000000000001</c:v>
                </c:pt>
                <c:pt idx="317">
                  <c:v>3.0500000000000003</c:v>
                </c:pt>
                <c:pt idx="318">
                  <c:v>3.7070000000000003</c:v>
                </c:pt>
                <c:pt idx="319">
                  <c:v>5.835</c:v>
                </c:pt>
                <c:pt idx="320">
                  <c:v>1.8540000000000001</c:v>
                </c:pt>
                <c:pt idx="321">
                  <c:v>9.4550000000000001</c:v>
                </c:pt>
                <c:pt idx="322">
                  <c:v>12.734999999999999</c:v>
                </c:pt>
                <c:pt idx="323">
                  <c:v>12.224</c:v>
                </c:pt>
                <c:pt idx="324">
                  <c:v>5.9420000000000002</c:v>
                </c:pt>
                <c:pt idx="325">
                  <c:v>8.636000000000001</c:v>
                </c:pt>
                <c:pt idx="326">
                  <c:v>6.67</c:v>
                </c:pt>
                <c:pt idx="327">
                  <c:v>0.83100000000000007</c:v>
                </c:pt>
                <c:pt idx="328">
                  <c:v>9.5790000000000006</c:v>
                </c:pt>
                <c:pt idx="329">
                  <c:v>4.8780000000000001</c:v>
                </c:pt>
                <c:pt idx="330">
                  <c:v>6.5049999999999999</c:v>
                </c:pt>
                <c:pt idx="331">
                  <c:v>3.5510000000000002</c:v>
                </c:pt>
                <c:pt idx="332">
                  <c:v>4.8010000000000002</c:v>
                </c:pt>
                <c:pt idx="333">
                  <c:v>7.3319999999999999</c:v>
                </c:pt>
                <c:pt idx="334">
                  <c:v>2.7480000000000002</c:v>
                </c:pt>
                <c:pt idx="335">
                  <c:v>5.3860000000000001</c:v>
                </c:pt>
                <c:pt idx="336">
                  <c:v>9.0630000000000006</c:v>
                </c:pt>
                <c:pt idx="337">
                  <c:v>3.2210000000000001</c:v>
                </c:pt>
                <c:pt idx="338">
                  <c:v>3.9370000000000003</c:v>
                </c:pt>
                <c:pt idx="339">
                  <c:v>6.7770000000000001</c:v>
                </c:pt>
                <c:pt idx="340">
                  <c:v>3.4079999999999999</c:v>
                </c:pt>
                <c:pt idx="341">
                  <c:v>6.2770000000000001</c:v>
                </c:pt>
                <c:pt idx="342">
                  <c:v>5.0890000000000004</c:v>
                </c:pt>
                <c:pt idx="343">
                  <c:v>1.4159999999999999</c:v>
                </c:pt>
                <c:pt idx="344">
                  <c:v>9.343</c:v>
                </c:pt>
                <c:pt idx="345">
                  <c:v>9.5250000000000004</c:v>
                </c:pt>
                <c:pt idx="346">
                  <c:v>9.9390000000000001</c:v>
                </c:pt>
                <c:pt idx="347">
                  <c:v>9.6509999999999998</c:v>
                </c:pt>
                <c:pt idx="348">
                  <c:v>9.9420000000000002</c:v>
                </c:pt>
                <c:pt idx="349">
                  <c:v>9.9730000000000008</c:v>
                </c:pt>
                <c:pt idx="350">
                  <c:v>10.506</c:v>
                </c:pt>
                <c:pt idx="351">
                  <c:v>10.353</c:v>
                </c:pt>
                <c:pt idx="352">
                  <c:v>10.506</c:v>
                </c:pt>
                <c:pt idx="353">
                  <c:v>9.6620000000000008</c:v>
                </c:pt>
                <c:pt idx="354">
                  <c:v>9.6980000000000004</c:v>
                </c:pt>
                <c:pt idx="355">
                  <c:v>11.22</c:v>
                </c:pt>
                <c:pt idx="356">
                  <c:v>3.496</c:v>
                </c:pt>
                <c:pt idx="357">
                  <c:v>7.2709999999999999</c:v>
                </c:pt>
                <c:pt idx="358">
                  <c:v>5.1109999999999998</c:v>
                </c:pt>
                <c:pt idx="359">
                  <c:v>6.9169999999999998</c:v>
                </c:pt>
                <c:pt idx="360">
                  <c:v>6.9279999999999999</c:v>
                </c:pt>
                <c:pt idx="361">
                  <c:v>3.254</c:v>
                </c:pt>
                <c:pt idx="362">
                  <c:v>2.887</c:v>
                </c:pt>
                <c:pt idx="363">
                  <c:v>7.5960000000000001</c:v>
                </c:pt>
                <c:pt idx="364">
                  <c:v>11.206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690912"/>
        <c:axId val="250629936"/>
      </c:lineChart>
      <c:dateAx>
        <c:axId val="178690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0629936"/>
        <c:crosses val="autoZero"/>
        <c:auto val="1"/>
        <c:lblOffset val="100"/>
        <c:baseTimeUnit val="days"/>
        <c:majorUnit val="1"/>
        <c:majorTimeUnit val="months"/>
      </c:dateAx>
      <c:valAx>
        <c:axId val="2506299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7869091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13.460776979858096</c:v>
                </c:pt>
                <c:pt idx="1">
                  <c:v>13.607433876769857</c:v>
                </c:pt>
                <c:pt idx="2">
                  <c:v>13.759510784829221</c:v>
                </c:pt>
                <c:pt idx="3">
                  <c:v>13.916602556996999</c:v>
                </c:pt>
                <c:pt idx="4">
                  <c:v>14.078304042639758</c:v>
                </c:pt>
                <c:pt idx="5">
                  <c:v>14.244210085901953</c:v>
                </c:pt>
                <c:pt idx="6">
                  <c:v>14.413915530479251</c:v>
                </c:pt>
                <c:pt idx="7">
                  <c:v>14.587015215742577</c:v>
                </c:pt>
                <c:pt idx="8">
                  <c:v>14.763961946042967</c:v>
                </c:pt>
                <c:pt idx="9">
                  <c:v>14.945547018176502</c:v>
                </c:pt>
                <c:pt idx="10">
                  <c:v>15.131873038278334</c:v>
                </c:pt>
                <c:pt idx="11">
                  <c:v>15.323042572846337</c:v>
                </c:pt>
                <c:pt idx="12">
                  <c:v>15.519158186579688</c:v>
                </c:pt>
                <c:pt idx="13">
                  <c:v>15.720322444124976</c:v>
                </c:pt>
                <c:pt idx="14">
                  <c:v>15.926637911079347</c:v>
                </c:pt>
                <c:pt idx="15">
                  <c:v>16.138207152397801</c:v>
                </c:pt>
                <c:pt idx="16">
                  <c:v>16.355132715315722</c:v>
                </c:pt>
                <c:pt idx="17">
                  <c:v>16.577517158421031</c:v>
                </c:pt>
                <c:pt idx="18">
                  <c:v>16.80546303725291</c:v>
                </c:pt>
                <c:pt idx="19">
                  <c:v>17.039072906209665</c:v>
                </c:pt>
                <c:pt idx="20">
                  <c:v>17.27844931662025</c:v>
                </c:pt>
                <c:pt idx="21">
                  <c:v>17.523694814459642</c:v>
                </c:pt>
                <c:pt idx="22">
                  <c:v>17.776046872629522</c:v>
                </c:pt>
                <c:pt idx="23">
                  <c:v>18.036246622108184</c:v>
                </c:pt>
                <c:pt idx="24">
                  <c:v>18.303651739496228</c:v>
                </c:pt>
                <c:pt idx="25">
                  <c:v>18.577619981380902</c:v>
                </c:pt>
                <c:pt idx="26">
                  <c:v>18.85750910858426</c:v>
                </c:pt>
                <c:pt idx="27">
                  <c:v>19.142676876681392</c:v>
                </c:pt>
                <c:pt idx="28">
                  <c:v>19.432481044834322</c:v>
                </c:pt>
                <c:pt idx="29">
                  <c:v>19.726280424649229</c:v>
                </c:pt>
                <c:pt idx="30">
                  <c:v>20.023432954455402</c:v>
                </c:pt>
                <c:pt idx="31">
                  <c:v>20.323296597979887</c:v>
                </c:pt>
                <c:pt idx="32">
                  <c:v>20.625229331842895</c:v>
                </c:pt>
                <c:pt idx="33">
                  <c:v>20.92858915361186</c:v>
                </c:pt>
                <c:pt idx="34">
                  <c:v>21.232734081262578</c:v>
                </c:pt>
                <c:pt idx="35">
                  <c:v>21.537022150384693</c:v>
                </c:pt>
                <c:pt idx="36">
                  <c:v>21.844040267475673</c:v>
                </c:pt>
                <c:pt idx="37">
                  <c:v>22.156305159393202</c:v>
                </c:pt>
                <c:pt idx="38">
                  <c:v>22.473067617996719</c:v>
                </c:pt>
                <c:pt idx="39">
                  <c:v>22.793578870638896</c:v>
                </c:pt>
                <c:pt idx="40">
                  <c:v>23.117090187249012</c:v>
                </c:pt>
                <c:pt idx="41">
                  <c:v>23.442852881104358</c:v>
                </c:pt>
                <c:pt idx="42">
                  <c:v>23.770118307960274</c:v>
                </c:pt>
                <c:pt idx="43">
                  <c:v>24.098137287771976</c:v>
                </c:pt>
                <c:pt idx="44">
                  <c:v>24.426158858148593</c:v>
                </c:pt>
                <c:pt idx="45">
                  <c:v>24.75343408908655</c:v>
                </c:pt>
                <c:pt idx="46">
                  <c:v>25.07921407269939</c:v>
                </c:pt>
                <c:pt idx="47">
                  <c:v>25.40274992365773</c:v>
                </c:pt>
                <c:pt idx="48">
                  <c:v>25.723292783716747</c:v>
                </c:pt>
                <c:pt idx="49">
                  <c:v>26.040093819812636</c:v>
                </c:pt>
                <c:pt idx="50">
                  <c:v>26.354277315431126</c:v>
                </c:pt>
                <c:pt idx="51">
                  <c:v>26.66746687287888</c:v>
                </c:pt>
                <c:pt idx="52">
                  <c:v>26.979660560188886</c:v>
                </c:pt>
                <c:pt idx="53">
                  <c:v>27.29085854293433</c:v>
                </c:pt>
                <c:pt idx="54">
                  <c:v>27.601060984794259</c:v>
                </c:pt>
                <c:pt idx="55">
                  <c:v>27.910268055468084</c:v>
                </c:pt>
                <c:pt idx="56">
                  <c:v>28.218479930323195</c:v>
                </c:pt>
                <c:pt idx="57">
                  <c:v>28.525695702282309</c:v>
                </c:pt>
                <c:pt idx="58">
                  <c:v>28.83191659283737</c:v>
                </c:pt>
                <c:pt idx="59">
                  <c:v>29.137142793468659</c:v>
                </c:pt>
                <c:pt idx="60">
                  <c:v>29.441374502468616</c:v>
                </c:pt>
                <c:pt idx="61">
                  <c:v>29.744611923921486</c:v>
                </c:pt>
                <c:pt idx="62">
                  <c:v>30.046855266461748</c:v>
                </c:pt>
                <c:pt idx="63">
                  <c:v>30.348104746466763</c:v>
                </c:pt>
                <c:pt idx="64">
                  <c:v>30.649288209078726</c:v>
                </c:pt>
                <c:pt idx="65">
                  <c:v>30.951043551817637</c:v>
                </c:pt>
                <c:pt idx="66">
                  <c:v>31.252942665639392</c:v>
                </c:pt>
                <c:pt idx="67">
                  <c:v>31.554557056693501</c:v>
                </c:pt>
                <c:pt idx="68">
                  <c:v>31.855458189210605</c:v>
                </c:pt>
                <c:pt idx="69">
                  <c:v>32.155217483980159</c:v>
                </c:pt>
                <c:pt idx="70">
                  <c:v>32.453406311216192</c:v>
                </c:pt>
                <c:pt idx="71">
                  <c:v>32.749593591399616</c:v>
                </c:pt>
                <c:pt idx="72">
                  <c:v>33.043352364419668</c:v>
                </c:pt>
                <c:pt idx="73">
                  <c:v>33.334253767889045</c:v>
                </c:pt>
                <c:pt idx="74">
                  <c:v>33.621868871716927</c:v>
                </c:pt>
                <c:pt idx="75">
                  <c:v>33.905768670108351</c:v>
                </c:pt>
                <c:pt idx="76">
                  <c:v>34.185524078814467</c:v>
                </c:pt>
                <c:pt idx="77">
                  <c:v>34.460705930356205</c:v>
                </c:pt>
                <c:pt idx="78">
                  <c:v>34.733114832207676</c:v>
                </c:pt>
                <c:pt idx="79">
                  <c:v>35.004479938920667</c:v>
                </c:pt>
                <c:pt idx="80">
                  <c:v>35.274273313849697</c:v>
                </c:pt>
                <c:pt idx="81">
                  <c:v>35.541959442448004</c:v>
                </c:pt>
                <c:pt idx="82">
                  <c:v>35.807002779964115</c:v>
                </c:pt>
                <c:pt idx="83">
                  <c:v>36.068867751983767</c:v>
                </c:pt>
                <c:pt idx="84">
                  <c:v>36.327018745839609</c:v>
                </c:pt>
                <c:pt idx="85">
                  <c:v>36.580920112655832</c:v>
                </c:pt>
                <c:pt idx="86">
                  <c:v>36.830040649448286</c:v>
                </c:pt>
                <c:pt idx="87">
                  <c:v>37.073845186587711</c:v>
                </c:pt>
                <c:pt idx="88">
                  <c:v>37.311798559472827</c:v>
                </c:pt>
                <c:pt idx="89">
                  <c:v>37.543365596316619</c:v>
                </c:pt>
                <c:pt idx="90">
                  <c:v>37.768011133153848</c:v>
                </c:pt>
                <c:pt idx="91">
                  <c:v>37.985199998886607</c:v>
                </c:pt>
                <c:pt idx="92">
                  <c:v>38.194575418771379</c:v>
                </c:pt>
                <c:pt idx="93">
                  <c:v>38.396494169586475</c:v>
                </c:pt>
                <c:pt idx="94">
                  <c:v>38.591491417267491</c:v>
                </c:pt>
                <c:pt idx="95">
                  <c:v>38.780102332574977</c:v>
                </c:pt>
                <c:pt idx="96">
                  <c:v>38.962862080388831</c:v>
                </c:pt>
                <c:pt idx="97">
                  <c:v>39.140305830910805</c:v>
                </c:pt>
                <c:pt idx="98">
                  <c:v>39.312968749552965</c:v>
                </c:pt>
                <c:pt idx="99">
                  <c:v>39.481386005878448</c:v>
                </c:pt>
                <c:pt idx="100">
                  <c:v>39.646092765964568</c:v>
                </c:pt>
                <c:pt idx="101">
                  <c:v>39.807624198549561</c:v>
                </c:pt>
                <c:pt idx="102">
                  <c:v>39.966515469737352</c:v>
                </c:pt>
                <c:pt idx="103">
                  <c:v>40.123301748718532</c:v>
                </c:pt>
                <c:pt idx="104">
                  <c:v>40.278518203033933</c:v>
                </c:pt>
                <c:pt idx="105">
                  <c:v>40.432699999958274</c:v>
                </c:pt>
                <c:pt idx="106">
                  <c:v>40.585508199727961</c:v>
                </c:pt>
                <c:pt idx="107">
                  <c:v>40.736104372888803</c:v>
                </c:pt>
                <c:pt idx="108">
                  <c:v>40.884274453323869</c:v>
                </c:pt>
                <c:pt idx="109">
                  <c:v>41.020990342757564</c:v>
                </c:pt>
                <c:pt idx="110">
                  <c:v>41.154795970573261</c:v>
                </c:pt>
                <c:pt idx="111">
                  <c:v>41.285478964273516</c:v>
                </c:pt>
                <c:pt idx="112">
                  <c:v>41.412827126154511</c:v>
                </c:pt>
                <c:pt idx="113">
                  <c:v>41.536628434794494</c:v>
                </c:pt>
                <c:pt idx="114">
                  <c:v>41.656671049502677</c:v>
                </c:pt>
                <c:pt idx="115">
                  <c:v>41.772743307203001</c:v>
                </c:pt>
                <c:pt idx="116">
                  <c:v>41.884633725867843</c:v>
                </c:pt>
                <c:pt idx="117">
                  <c:v>41.992131004106419</c:v>
                </c:pt>
                <c:pt idx="118">
                  <c:v>42.095024025725714</c:v>
                </c:pt>
                <c:pt idx="119">
                  <c:v>42.193101858103674</c:v>
                </c:pt>
                <c:pt idx="120">
                  <c:v>42.286918853484302</c:v>
                </c:pt>
                <c:pt idx="121">
                  <c:v>42.377100057841801</c:v>
                </c:pt>
                <c:pt idx="122">
                  <c:v>42.463540782999203</c:v>
                </c:pt>
                <c:pt idx="123">
                  <c:v>42.546136440228281</c:v>
                </c:pt>
                <c:pt idx="124">
                  <c:v>42.624782546306967</c:v>
                </c:pt>
                <c:pt idx="125">
                  <c:v>42.69937471666136</c:v>
                </c:pt>
                <c:pt idx="126">
                  <c:v>42.769808673062279</c:v>
                </c:pt>
                <c:pt idx="127">
                  <c:v>42.835980242735168</c:v>
                </c:pt>
                <c:pt idx="128">
                  <c:v>42.897785363244388</c:v>
                </c:pt>
                <c:pt idx="129">
                  <c:v>42.955120080892158</c:v>
                </c:pt>
                <c:pt idx="130">
                  <c:v>43.007880551526952</c:v>
                </c:pt>
                <c:pt idx="131">
                  <c:v>43.055963047238116</c:v>
                </c:pt>
                <c:pt idx="132">
                  <c:v>43.099263951440946</c:v>
                </c:pt>
                <c:pt idx="133">
                  <c:v>43.137679767550409</c:v>
                </c:pt>
                <c:pt idx="134">
                  <c:v>43.170220129346994</c:v>
                </c:pt>
                <c:pt idx="135">
                  <c:v>43.196321213184163</c:v>
                </c:pt>
                <c:pt idx="136">
                  <c:v>43.216519101869558</c:v>
                </c:pt>
                <c:pt idx="137">
                  <c:v>43.231349445785938</c:v>
                </c:pt>
                <c:pt idx="138">
                  <c:v>43.241347469942852</c:v>
                </c:pt>
                <c:pt idx="139">
                  <c:v>43.247047973189126</c:v>
                </c:pt>
                <c:pt idx="140">
                  <c:v>43.2489853260739</c:v>
                </c:pt>
                <c:pt idx="141">
                  <c:v>43.247693472247974</c:v>
                </c:pt>
                <c:pt idx="142">
                  <c:v>43.243705930604357</c:v>
                </c:pt>
                <c:pt idx="143">
                  <c:v>43.237555792298544</c:v>
                </c:pt>
                <c:pt idx="144">
                  <c:v>43.229775722722898</c:v>
                </c:pt>
                <c:pt idx="145">
                  <c:v>43.220897959064033</c:v>
                </c:pt>
                <c:pt idx="146">
                  <c:v>43.211454310769639</c:v>
                </c:pt>
                <c:pt idx="147">
                  <c:v>43.201976160899065</c:v>
                </c:pt>
                <c:pt idx="148">
                  <c:v>43.191438071031776</c:v>
                </c:pt>
                <c:pt idx="149">
                  <c:v>43.17853259727822</c:v>
                </c:pt>
                <c:pt idx="150">
                  <c:v>43.163367742411019</c:v>
                </c:pt>
                <c:pt idx="151">
                  <c:v>43.146051440284573</c:v>
                </c:pt>
                <c:pt idx="152">
                  <c:v>43.126691557304525</c:v>
                </c:pt>
                <c:pt idx="153">
                  <c:v>43.105395890339523</c:v>
                </c:pt>
                <c:pt idx="154">
                  <c:v>43.082272162475093</c:v>
                </c:pt>
                <c:pt idx="155">
                  <c:v>43.057428022960416</c:v>
                </c:pt>
                <c:pt idx="156">
                  <c:v>43.030971045245913</c:v>
                </c:pt>
                <c:pt idx="157">
                  <c:v>43.003008722629218</c:v>
                </c:pt>
                <c:pt idx="158">
                  <c:v>42.973648468308248</c:v>
                </c:pt>
                <c:pt idx="159">
                  <c:v>42.942997610890231</c:v>
                </c:pt>
                <c:pt idx="160">
                  <c:v>42.911163392946982</c:v>
                </c:pt>
                <c:pt idx="161">
                  <c:v>42.878252969407967</c:v>
                </c:pt>
                <c:pt idx="162">
                  <c:v>42.843879678999684</c:v>
                </c:pt>
                <c:pt idx="163">
                  <c:v>42.807657190464099</c:v>
                </c:pt>
                <c:pt idx="164">
                  <c:v>42.76969301240505</c:v>
                </c:pt>
                <c:pt idx="165">
                  <c:v>42.730094552019295</c:v>
                </c:pt>
                <c:pt idx="166">
                  <c:v>42.68896911406177</c:v>
                </c:pt>
                <c:pt idx="167">
                  <c:v>42.64642389850799</c:v>
                </c:pt>
                <c:pt idx="168">
                  <c:v>42.602565998222246</c:v>
                </c:pt>
                <c:pt idx="169">
                  <c:v>42.557502395967965</c:v>
                </c:pt>
                <c:pt idx="170">
                  <c:v>42.511339963377978</c:v>
                </c:pt>
                <c:pt idx="171">
                  <c:v>42.464185458302538</c:v>
                </c:pt>
                <c:pt idx="172">
                  <c:v>42.416145524121447</c:v>
                </c:pt>
                <c:pt idx="173">
                  <c:v>42.367326686990879</c:v>
                </c:pt>
                <c:pt idx="174">
                  <c:v>42.317835355302428</c:v>
                </c:pt>
                <c:pt idx="175">
                  <c:v>42.267777818516137</c:v>
                </c:pt>
                <c:pt idx="176">
                  <c:v>42.217682177117474</c:v>
                </c:pt>
                <c:pt idx="177">
                  <c:v>42.167794826135157</c:v>
                </c:pt>
                <c:pt idx="178">
                  <c:v>42.117799586797197</c:v>
                </c:pt>
                <c:pt idx="179">
                  <c:v>42.067380515459561</c:v>
                </c:pt>
                <c:pt idx="180">
                  <c:v>42.016221902948402</c:v>
                </c:pt>
                <c:pt idx="181">
                  <c:v>41.964008271940067</c:v>
                </c:pt>
                <c:pt idx="182">
                  <c:v>41.910424377705347</c:v>
                </c:pt>
                <c:pt idx="183">
                  <c:v>41.855155205305742</c:v>
                </c:pt>
                <c:pt idx="184">
                  <c:v>41.797885969755384</c:v>
                </c:pt>
                <c:pt idx="185">
                  <c:v>41.738302117064677</c:v>
                </c:pt>
                <c:pt idx="186">
                  <c:v>41.676089320144229</c:v>
                </c:pt>
                <c:pt idx="187">
                  <c:v>41.610933482340705</c:v>
                </c:pt>
                <c:pt idx="188">
                  <c:v>41.54252073673851</c:v>
                </c:pt>
                <c:pt idx="189">
                  <c:v>41.470537444703538</c:v>
                </c:pt>
                <c:pt idx="190">
                  <c:v>41.394547493622859</c:v>
                </c:pt>
                <c:pt idx="191">
                  <c:v>41.314605816180389</c:v>
                </c:pt>
                <c:pt idx="192">
                  <c:v>41.231135230926363</c:v>
                </c:pt>
                <c:pt idx="193">
                  <c:v>41.144558183291778</c:v>
                </c:pt>
                <c:pt idx="194">
                  <c:v>41.055296748794468</c:v>
                </c:pt>
                <c:pt idx="195">
                  <c:v>40.963772640190797</c:v>
                </c:pt>
                <c:pt idx="196">
                  <c:v>40.870407206429057</c:v>
                </c:pt>
                <c:pt idx="197">
                  <c:v>40.775621439793113</c:v>
                </c:pt>
                <c:pt idx="198">
                  <c:v>40.679835979870681</c:v>
                </c:pt>
                <c:pt idx="199">
                  <c:v>40.5834711154884</c:v>
                </c:pt>
                <c:pt idx="200">
                  <c:v>40.486946788920456</c:v>
                </c:pt>
                <c:pt idx="201">
                  <c:v>40.390682600802187</c:v>
                </c:pt>
                <c:pt idx="202">
                  <c:v>40.29509781147906</c:v>
                </c:pt>
                <c:pt idx="203">
                  <c:v>40.200611345900342</c:v>
                </c:pt>
                <c:pt idx="204">
                  <c:v>40.107047510285064</c:v>
                </c:pt>
                <c:pt idx="205">
                  <c:v>40.013811348704742</c:v>
                </c:pt>
                <c:pt idx="206">
                  <c:v>39.920692777640703</c:v>
                </c:pt>
                <c:pt idx="207">
                  <c:v>39.827481892794694</c:v>
                </c:pt>
                <c:pt idx="208">
                  <c:v>39.733968968704652</c:v>
                </c:pt>
                <c:pt idx="209">
                  <c:v>39.639944459907142</c:v>
                </c:pt>
                <c:pt idx="210">
                  <c:v>39.545199001543146</c:v>
                </c:pt>
                <c:pt idx="211">
                  <c:v>39.449523407881458</c:v>
                </c:pt>
                <c:pt idx="212">
                  <c:v>39.352708673908253</c:v>
                </c:pt>
                <c:pt idx="213">
                  <c:v>39.254545974194116</c:v>
                </c:pt>
                <c:pt idx="214">
                  <c:v>39.154826662894834</c:v>
                </c:pt>
                <c:pt idx="215">
                  <c:v>39.053342273391301</c:v>
                </c:pt>
                <c:pt idx="216">
                  <c:v>38.9498845168781</c:v>
                </c:pt>
                <c:pt idx="217">
                  <c:v>38.844245282592929</c:v>
                </c:pt>
                <c:pt idx="218">
                  <c:v>38.736739540014874</c:v>
                </c:pt>
                <c:pt idx="219">
                  <c:v>38.627821434631976</c:v>
                </c:pt>
                <c:pt idx="220">
                  <c:v>38.517491758853616</c:v>
                </c:pt>
                <c:pt idx="221">
                  <c:v>38.405751316059906</c:v>
                </c:pt>
                <c:pt idx="222">
                  <c:v>38.292600919936774</c:v>
                </c:pt>
                <c:pt idx="223">
                  <c:v>38.17804139341888</c:v>
                </c:pt>
                <c:pt idx="224">
                  <c:v>38.06207356816482</c:v>
                </c:pt>
                <c:pt idx="225">
                  <c:v>37.944698283565629</c:v>
                </c:pt>
                <c:pt idx="226">
                  <c:v>37.825916386976502</c:v>
                </c:pt>
                <c:pt idx="227">
                  <c:v>37.705728731822916</c:v>
                </c:pt>
                <c:pt idx="228">
                  <c:v>37.584136177541843</c:v>
                </c:pt>
                <c:pt idx="229">
                  <c:v>37.461139588851687</c:v>
                </c:pt>
                <c:pt idx="230">
                  <c:v>37.336739835115544</c:v>
                </c:pt>
                <c:pt idx="231">
                  <c:v>37.210937789626811</c:v>
                </c:pt>
                <c:pt idx="232">
                  <c:v>37.085316119198318</c:v>
                </c:pt>
                <c:pt idx="233">
                  <c:v>36.960969656833072</c:v>
                </c:pt>
                <c:pt idx="234">
                  <c:v>36.83716795695922</c:v>
                </c:pt>
                <c:pt idx="235">
                  <c:v>36.713181147657458</c:v>
                </c:pt>
                <c:pt idx="236">
                  <c:v>36.5882799261258</c:v>
                </c:pt>
                <c:pt idx="237">
                  <c:v>36.46173555797175</c:v>
                </c:pt>
                <c:pt idx="238">
                  <c:v>36.332819870984103</c:v>
                </c:pt>
                <c:pt idx="239">
                  <c:v>36.200805257611428</c:v>
                </c:pt>
                <c:pt idx="240">
                  <c:v>36.064964669685928</c:v>
                </c:pt>
                <c:pt idx="241">
                  <c:v>35.924571612352899</c:v>
                </c:pt>
                <c:pt idx="242">
                  <c:v>35.778900148151209</c:v>
                </c:pt>
                <c:pt idx="243">
                  <c:v>35.62722489026968</c:v>
                </c:pt>
                <c:pt idx="244">
                  <c:v>35.468820997559263</c:v>
                </c:pt>
                <c:pt idx="245">
                  <c:v>35.302964178066368</c:v>
                </c:pt>
                <c:pt idx="246">
                  <c:v>35.129398739938324</c:v>
                </c:pt>
                <c:pt idx="247">
                  <c:v>34.948770468761737</c:v>
                </c:pt>
                <c:pt idx="248">
                  <c:v>34.761707318280301</c:v>
                </c:pt>
                <c:pt idx="249">
                  <c:v>34.568836760928072</c:v>
                </c:pt>
                <c:pt idx="250">
                  <c:v>34.370785793509469</c:v>
                </c:pt>
                <c:pt idx="251">
                  <c:v>34.168180932700452</c:v>
                </c:pt>
                <c:pt idx="252">
                  <c:v>33.961648222976635</c:v>
                </c:pt>
                <c:pt idx="253">
                  <c:v>33.751813234885098</c:v>
                </c:pt>
                <c:pt idx="254">
                  <c:v>33.539301070392497</c:v>
                </c:pt>
                <c:pt idx="255">
                  <c:v>33.324736366109896</c:v>
                </c:pt>
                <c:pt idx="256">
                  <c:v>33.108743295230916</c:v>
                </c:pt>
                <c:pt idx="257">
                  <c:v>32.891945567126292</c:v>
                </c:pt>
                <c:pt idx="258">
                  <c:v>32.674966432288706</c:v>
                </c:pt>
                <c:pt idx="259">
                  <c:v>32.458428683957429</c:v>
                </c:pt>
                <c:pt idx="260">
                  <c:v>32.241848067538605</c:v>
                </c:pt>
                <c:pt idx="261">
                  <c:v>32.024074701840405</c:v>
                </c:pt>
                <c:pt idx="262">
                  <c:v>31.804901983736805</c:v>
                </c:pt>
                <c:pt idx="263">
                  <c:v>31.584123491845276</c:v>
                </c:pt>
                <c:pt idx="264">
                  <c:v>31.361532983874131</c:v>
                </c:pt>
                <c:pt idx="265">
                  <c:v>31.136924386833769</c:v>
                </c:pt>
                <c:pt idx="266">
                  <c:v>30.910091792347931</c:v>
                </c:pt>
                <c:pt idx="267">
                  <c:v>30.680554569903187</c:v>
                </c:pt>
                <c:pt idx="268">
                  <c:v>30.448107644729969</c:v>
                </c:pt>
                <c:pt idx="269">
                  <c:v>30.212546191769757</c:v>
                </c:pt>
                <c:pt idx="270">
                  <c:v>29.973665643245987</c:v>
                </c:pt>
                <c:pt idx="271">
                  <c:v>29.731261691761311</c:v>
                </c:pt>
                <c:pt idx="272">
                  <c:v>29.485130289755514</c:v>
                </c:pt>
                <c:pt idx="273">
                  <c:v>29.235067653895651</c:v>
                </c:pt>
                <c:pt idx="274">
                  <c:v>28.981387680727071</c:v>
                </c:pt>
                <c:pt idx="275">
                  <c:v>28.724448847107556</c:v>
                </c:pt>
                <c:pt idx="276">
                  <c:v>28.464366420473564</c:v>
                </c:pt>
                <c:pt idx="277">
                  <c:v>28.20114377226011</c:v>
                </c:pt>
                <c:pt idx="278">
                  <c:v>27.934784395043227</c:v>
                </c:pt>
                <c:pt idx="279">
                  <c:v>27.665291893787543</c:v>
                </c:pt>
                <c:pt idx="280">
                  <c:v>27.392669988476644</c:v>
                </c:pt>
                <c:pt idx="281">
                  <c:v>27.116899960192629</c:v>
                </c:pt>
                <c:pt idx="282">
                  <c:v>26.838256505325518</c:v>
                </c:pt>
                <c:pt idx="283">
                  <c:v>26.55674247833592</c:v>
                </c:pt>
                <c:pt idx="284">
                  <c:v>26.27236071959447</c:v>
                </c:pt>
                <c:pt idx="285">
                  <c:v>25.9851140467992</c:v>
                </c:pt>
                <c:pt idx="286">
                  <c:v>25.695005249880357</c:v>
                </c:pt>
                <c:pt idx="287">
                  <c:v>25.402037080462939</c:v>
                </c:pt>
                <c:pt idx="288">
                  <c:v>25.105541189207212</c:v>
                </c:pt>
                <c:pt idx="289">
                  <c:v>24.804960973556597</c:v>
                </c:pt>
                <c:pt idx="290">
                  <c:v>24.500700872381699</c:v>
                </c:pt>
                <c:pt idx="291">
                  <c:v>24.193073425652045</c:v>
                </c:pt>
                <c:pt idx="292">
                  <c:v>23.882390895521219</c:v>
                </c:pt>
                <c:pt idx="293">
                  <c:v>23.568965266109092</c:v>
                </c:pt>
                <c:pt idx="294">
                  <c:v>23.25310823644789</c:v>
                </c:pt>
                <c:pt idx="295">
                  <c:v>22.935381104759433</c:v>
                </c:pt>
                <c:pt idx="296">
                  <c:v>22.616112968238866</c:v>
                </c:pt>
                <c:pt idx="297">
                  <c:v>22.295610802004482</c:v>
                </c:pt>
                <c:pt idx="298">
                  <c:v>21.974182448086886</c:v>
                </c:pt>
                <c:pt idx="299">
                  <c:v>21.652135394208784</c:v>
                </c:pt>
                <c:pt idx="300">
                  <c:v>21.329776778691031</c:v>
                </c:pt>
                <c:pt idx="301">
                  <c:v>21.007413399675631</c:v>
                </c:pt>
                <c:pt idx="302">
                  <c:v>20.680784858318145</c:v>
                </c:pt>
                <c:pt idx="303">
                  <c:v>20.346941050199867</c:v>
                </c:pt>
                <c:pt idx="304">
                  <c:v>20.007721913084538</c:v>
                </c:pt>
                <c:pt idx="305">
                  <c:v>19.664873860947559</c:v>
                </c:pt>
                <c:pt idx="306">
                  <c:v>19.32014212891675</c:v>
                </c:pt>
                <c:pt idx="307">
                  <c:v>18.97527081131987</c:v>
                </c:pt>
                <c:pt idx="308">
                  <c:v>18.632002903055831</c:v>
                </c:pt>
                <c:pt idx="309">
                  <c:v>18.292173629888179</c:v>
                </c:pt>
                <c:pt idx="310">
                  <c:v>17.95728328364914</c:v>
                </c:pt>
                <c:pt idx="311">
                  <c:v>17.629073039973086</c:v>
                </c:pt>
                <c:pt idx="312">
                  <c:v>17.309283107966891</c:v>
                </c:pt>
                <c:pt idx="313">
                  <c:v>16.999652756250228</c:v>
                </c:pt>
                <c:pt idx="314">
                  <c:v>16.701920338365124</c:v>
                </c:pt>
                <c:pt idx="315">
                  <c:v>16.417823314562451</c:v>
                </c:pt>
                <c:pt idx="316">
                  <c:v>16.144729510357294</c:v>
                </c:pt>
                <c:pt idx="317">
                  <c:v>15.878846003285741</c:v>
                </c:pt>
                <c:pt idx="318">
                  <c:v>15.61983287470272</c:v>
                </c:pt>
                <c:pt idx="319">
                  <c:v>15.367685329791813</c:v>
                </c:pt>
                <c:pt idx="320">
                  <c:v>15.122398716790382</c:v>
                </c:pt>
                <c:pt idx="321">
                  <c:v>14.883968531111051</c:v>
                </c:pt>
                <c:pt idx="322">
                  <c:v>14.652390415747446</c:v>
                </c:pt>
                <c:pt idx="323">
                  <c:v>14.427703949711738</c:v>
                </c:pt>
                <c:pt idx="324">
                  <c:v>14.209815141680073</c:v>
                </c:pt>
                <c:pt idx="325">
                  <c:v>13.99872042755009</c:v>
                </c:pt>
                <c:pt idx="326">
                  <c:v>13.794417639721312</c:v>
                </c:pt>
                <c:pt idx="327">
                  <c:v>13.596903842276488</c:v>
                </c:pt>
                <c:pt idx="328">
                  <c:v>13.406175175646299</c:v>
                </c:pt>
                <c:pt idx="329">
                  <c:v>13.222227927908666</c:v>
                </c:pt>
                <c:pt idx="330">
                  <c:v>13.042613777379863</c:v>
                </c:pt>
                <c:pt idx="331">
                  <c:v>12.865647990627634</c:v>
                </c:pt>
                <c:pt idx="332">
                  <c:v>12.692454877751729</c:v>
                </c:pt>
                <c:pt idx="333">
                  <c:v>12.524160428457662</c:v>
                </c:pt>
                <c:pt idx="334">
                  <c:v>12.361890061371263</c:v>
                </c:pt>
                <c:pt idx="335">
                  <c:v>12.20676860552167</c:v>
                </c:pt>
                <c:pt idx="336">
                  <c:v>12.059920294115569</c:v>
                </c:pt>
                <c:pt idx="337">
                  <c:v>11.922393844800066</c:v>
                </c:pt>
                <c:pt idx="338">
                  <c:v>11.795270126331554</c:v>
                </c:pt>
                <c:pt idx="339">
                  <c:v>11.679672004646759</c:v>
                </c:pt>
                <c:pt idx="340">
                  <c:v>11.576721644668252</c:v>
                </c:pt>
                <c:pt idx="341">
                  <c:v>11.487540497651317</c:v>
                </c:pt>
                <c:pt idx="342">
                  <c:v>11.413249292870363</c:v>
                </c:pt>
                <c:pt idx="343">
                  <c:v>11.35496802729353</c:v>
                </c:pt>
                <c:pt idx="344">
                  <c:v>11.313419253951851</c:v>
                </c:pt>
                <c:pt idx="345">
                  <c:v>11.287830680477949</c:v>
                </c:pt>
                <c:pt idx="346">
                  <c:v>11.276980393205111</c:v>
                </c:pt>
                <c:pt idx="347">
                  <c:v>11.279747014816174</c:v>
                </c:pt>
                <c:pt idx="348">
                  <c:v>11.295009796559144</c:v>
                </c:pt>
                <c:pt idx="349">
                  <c:v>11.32164862324302</c:v>
                </c:pt>
                <c:pt idx="350">
                  <c:v>11.358544011890764</c:v>
                </c:pt>
                <c:pt idx="351">
                  <c:v>11.404487484237462</c:v>
                </c:pt>
                <c:pt idx="352">
                  <c:v>11.458434714666803</c:v>
                </c:pt>
                <c:pt idx="353">
                  <c:v>11.519268134552641</c:v>
                </c:pt>
                <c:pt idx="354">
                  <c:v>11.585870806177812</c:v>
                </c:pt>
                <c:pt idx="355">
                  <c:v>11.657126424656351</c:v>
                </c:pt>
                <c:pt idx="356">
                  <c:v>11.731921198167253</c:v>
                </c:pt>
                <c:pt idx="357">
                  <c:v>11.809138361783608</c:v>
                </c:pt>
                <c:pt idx="358">
                  <c:v>11.891349831668139</c:v>
                </c:pt>
                <c:pt idx="359">
                  <c:v>11.9816103683925</c:v>
                </c:pt>
                <c:pt idx="360">
                  <c:v>12.079456922353026</c:v>
                </c:pt>
                <c:pt idx="361">
                  <c:v>12.184589606375747</c:v>
                </c:pt>
                <c:pt idx="362">
                  <c:v>12.296619327846196</c:v>
                </c:pt>
                <c:pt idx="363">
                  <c:v>12.415157200437324</c:v>
                </c:pt>
                <c:pt idx="364">
                  <c:v>12.539814547033355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</c:formatCode>
                <c:ptCount val="366"/>
                <c:pt idx="154" formatCode="0.00">
                  <c:v>14.737</c:v>
                </c:pt>
                <c:pt idx="155" formatCode="0.00">
                  <c:v>13.129</c:v>
                </c:pt>
                <c:pt idx="156" formatCode="0.00">
                  <c:v>12.707000000000001</c:v>
                </c:pt>
                <c:pt idx="157" formatCode="0.00">
                  <c:v>34.430999999999997</c:v>
                </c:pt>
                <c:pt idx="158" formatCode="0.00">
                  <c:v>32.472000000000001</c:v>
                </c:pt>
                <c:pt idx="159" formatCode="0.00">
                  <c:v>30.879000000000001</c:v>
                </c:pt>
                <c:pt idx="160" formatCode="0.00">
                  <c:v>13.007999999999999</c:v>
                </c:pt>
                <c:pt idx="161" formatCode="0.00">
                  <c:v>15.669</c:v>
                </c:pt>
                <c:pt idx="162" formatCode="0.00">
                  <c:v>15.404</c:v>
                </c:pt>
                <c:pt idx="163" formatCode="0.00">
                  <c:v>33.49</c:v>
                </c:pt>
                <c:pt idx="164" formatCode="0.00">
                  <c:v>31.681000000000001</c:v>
                </c:pt>
                <c:pt idx="165" formatCode="0.00">
                  <c:v>24.001999999999999</c:v>
                </c:pt>
                <c:pt idx="166" formatCode="0.00">
                  <c:v>24.66</c:v>
                </c:pt>
                <c:pt idx="167" formatCode="0.00">
                  <c:v>25.785</c:v>
                </c:pt>
                <c:pt idx="168" formatCode="0.00">
                  <c:v>27.600999999999999</c:v>
                </c:pt>
                <c:pt idx="169" formatCode="0.00">
                  <c:v>38.831000000000003</c:v>
                </c:pt>
                <c:pt idx="170" formatCode="0.00">
                  <c:v>6.39</c:v>
                </c:pt>
                <c:pt idx="171" formatCode="0.00">
                  <c:v>30.151</c:v>
                </c:pt>
                <c:pt idx="172" formatCode="0.00">
                  <c:v>34.847000000000001</c:v>
                </c:pt>
                <c:pt idx="173" formatCode="0.00">
                  <c:v>42.720999999999997</c:v>
                </c:pt>
                <c:pt idx="174" formatCode="0.00">
                  <c:v>37.033000000000001</c:v>
                </c:pt>
                <c:pt idx="175" formatCode="0.00">
                  <c:v>41.579000000000001</c:v>
                </c:pt>
                <c:pt idx="176" formatCode="0.00">
                  <c:v>40.439</c:v>
                </c:pt>
                <c:pt idx="177" formatCode="0.00">
                  <c:v>37.918999999999997</c:v>
                </c:pt>
                <c:pt idx="178" formatCode="0.00">
                  <c:v>28.207000000000001</c:v>
                </c:pt>
                <c:pt idx="179" formatCode="0.00">
                  <c:v>35.695999999999998</c:v>
                </c:pt>
                <c:pt idx="180" formatCode="0.00">
                  <c:v>39.329000000000001</c:v>
                </c:pt>
                <c:pt idx="181" formatCode="0.00">
                  <c:v>35.72</c:v>
                </c:pt>
                <c:pt idx="182" formatCode="0.00">
                  <c:v>32.353000000000002</c:v>
                </c:pt>
                <c:pt idx="183" formatCode="0.00">
                  <c:v>32.554000000000002</c:v>
                </c:pt>
                <c:pt idx="184" formatCode="0.00">
                  <c:v>30.202000000000002</c:v>
                </c:pt>
                <c:pt idx="185" formatCode="0.00">
                  <c:v>26.085000000000001</c:v>
                </c:pt>
                <c:pt idx="186" formatCode="0.00">
                  <c:v>34.454999999999998</c:v>
                </c:pt>
                <c:pt idx="187" formatCode="0.00">
                  <c:v>38.377000000000002</c:v>
                </c:pt>
                <c:pt idx="188" formatCode="0.00">
                  <c:v>38.091000000000001</c:v>
                </c:pt>
                <c:pt idx="189" formatCode="0.00">
                  <c:v>37.137</c:v>
                </c:pt>
                <c:pt idx="190" formatCode="0.00">
                  <c:v>39.478999999999999</c:v>
                </c:pt>
                <c:pt idx="191" formatCode="0.00">
                  <c:v>38.936999999999998</c:v>
                </c:pt>
                <c:pt idx="192" formatCode="0.00">
                  <c:v>31.431999999999999</c:v>
                </c:pt>
                <c:pt idx="193" formatCode="0.00">
                  <c:v>36.786999999999999</c:v>
                </c:pt>
                <c:pt idx="194" formatCode="0.00">
                  <c:v>37.252000000000002</c:v>
                </c:pt>
                <c:pt idx="195" formatCode="0.00">
                  <c:v>37.392000000000003</c:v>
                </c:pt>
                <c:pt idx="196" formatCode="0.00">
                  <c:v>18.690999999999999</c:v>
                </c:pt>
                <c:pt idx="197" formatCode="0.00">
                  <c:v>33.862000000000002</c:v>
                </c:pt>
                <c:pt idx="198" formatCode="0.00">
                  <c:v>28.032</c:v>
                </c:pt>
                <c:pt idx="199" formatCode="0.00">
                  <c:v>38.057000000000002</c:v>
                </c:pt>
                <c:pt idx="200" formatCode="0.00">
                  <c:v>18.324999999999999</c:v>
                </c:pt>
                <c:pt idx="201" formatCode="0.00">
                  <c:v>21.617000000000001</c:v>
                </c:pt>
                <c:pt idx="202" formatCode="0.00">
                  <c:v>39.131999999999998</c:v>
                </c:pt>
                <c:pt idx="203" formatCode="0.00">
                  <c:v>39.430999999999997</c:v>
                </c:pt>
                <c:pt idx="204" formatCode="0.00">
                  <c:v>31.189</c:v>
                </c:pt>
                <c:pt idx="205" formatCode="0.00">
                  <c:v>37.933999999999997</c:v>
                </c:pt>
                <c:pt idx="206" formatCode="0.00">
                  <c:v>37.122</c:v>
                </c:pt>
                <c:pt idx="207" formatCode="0.00">
                  <c:v>33.005000000000003</c:v>
                </c:pt>
                <c:pt idx="208" formatCode="0.00">
                  <c:v>18.192</c:v>
                </c:pt>
                <c:pt idx="209" formatCode="0.00">
                  <c:v>35.362000000000002</c:v>
                </c:pt>
                <c:pt idx="210" formatCode="0.00">
                  <c:v>36.561999999999998</c:v>
                </c:pt>
                <c:pt idx="211" formatCode="0.00">
                  <c:v>32.948</c:v>
                </c:pt>
                <c:pt idx="212" formatCode="0.00">
                  <c:v>35.884999999999998</c:v>
                </c:pt>
                <c:pt idx="213" formatCode="0.00">
                  <c:v>36.17</c:v>
                </c:pt>
                <c:pt idx="214" formatCode="0.00">
                  <c:v>36.777999999999999</c:v>
                </c:pt>
                <c:pt idx="215" formatCode="0.00">
                  <c:v>35.372</c:v>
                </c:pt>
                <c:pt idx="216" formatCode="0.00">
                  <c:v>35.185000000000002</c:v>
                </c:pt>
                <c:pt idx="217" formatCode="0.00">
                  <c:v>34.683999999999997</c:v>
                </c:pt>
                <c:pt idx="218" formatCode="0.00">
                  <c:v>22.65</c:v>
                </c:pt>
                <c:pt idx="219" formatCode="0.00">
                  <c:v>31.251000000000001</c:v>
                </c:pt>
                <c:pt idx="220" formatCode="0.00">
                  <c:v>8.41</c:v>
                </c:pt>
                <c:pt idx="221" formatCode="0.00">
                  <c:v>35.131</c:v>
                </c:pt>
                <c:pt idx="222" formatCode="0.00">
                  <c:v>35.9</c:v>
                </c:pt>
                <c:pt idx="223" formatCode="0.00">
                  <c:v>33.366999999999997</c:v>
                </c:pt>
                <c:pt idx="224" formatCode="0.00">
                  <c:v>19.3</c:v>
                </c:pt>
                <c:pt idx="225" formatCode="0.00">
                  <c:v>23.251999999999999</c:v>
                </c:pt>
                <c:pt idx="226" formatCode="0.00">
                  <c:v>37.088000000000001</c:v>
                </c:pt>
                <c:pt idx="227" formatCode="0.00">
                  <c:v>33.487000000000002</c:v>
                </c:pt>
                <c:pt idx="228" formatCode="0.00">
                  <c:v>22.332000000000001</c:v>
                </c:pt>
                <c:pt idx="229" formatCode="0.00">
                  <c:v>19.54</c:v>
                </c:pt>
                <c:pt idx="230" formatCode="0.00">
                  <c:v>34.491999999999997</c:v>
                </c:pt>
                <c:pt idx="231" formatCode="0.00">
                  <c:v>35.444000000000003</c:v>
                </c:pt>
                <c:pt idx="232" formatCode="0.00">
                  <c:v>34.524999999999999</c:v>
                </c:pt>
                <c:pt idx="233" formatCode="0.00">
                  <c:v>34.037999999999997</c:v>
                </c:pt>
                <c:pt idx="234" formatCode="0.00">
                  <c:v>30.071999999999999</c:v>
                </c:pt>
                <c:pt idx="235" formatCode="0.00">
                  <c:v>26.347999999999999</c:v>
                </c:pt>
                <c:pt idx="236" formatCode="0.00">
                  <c:v>4.3140000000000001</c:v>
                </c:pt>
                <c:pt idx="237" formatCode="0.00">
                  <c:v>35.313000000000002</c:v>
                </c:pt>
                <c:pt idx="238" formatCode="0.00">
                  <c:v>26.745999999999999</c:v>
                </c:pt>
                <c:pt idx="239" formatCode="0.00">
                  <c:v>27.812999999999999</c:v>
                </c:pt>
                <c:pt idx="240" formatCode="0.00">
                  <c:v>23.361999999999998</c:v>
                </c:pt>
                <c:pt idx="241" formatCode="0.00">
                  <c:v>29.515999999999998</c:v>
                </c:pt>
                <c:pt idx="242" formatCode="0.00">
                  <c:v>29.366</c:v>
                </c:pt>
                <c:pt idx="243" formatCode="0.00">
                  <c:v>35.783000000000001</c:v>
                </c:pt>
                <c:pt idx="244" formatCode="0.00">
                  <c:v>33.802999999999997</c:v>
                </c:pt>
                <c:pt idx="245" formatCode="0.00">
                  <c:v>34.161999999999999</c:v>
                </c:pt>
                <c:pt idx="246" formatCode="0.00">
                  <c:v>31.498999999999999</c:v>
                </c:pt>
                <c:pt idx="247" formatCode="0.00">
                  <c:v>28.43</c:v>
                </c:pt>
                <c:pt idx="248" formatCode="0.00">
                  <c:v>21.053000000000001</c:v>
                </c:pt>
                <c:pt idx="249" formatCode="0.00">
                  <c:v>25.722000000000001</c:v>
                </c:pt>
                <c:pt idx="250" formatCode="0.00">
                  <c:v>31.077999999999999</c:v>
                </c:pt>
                <c:pt idx="251" formatCode="0.00">
                  <c:v>23.061</c:v>
                </c:pt>
                <c:pt idx="252" formatCode="0.00">
                  <c:v>26.622</c:v>
                </c:pt>
                <c:pt idx="253" formatCode="0.00">
                  <c:v>30.878</c:v>
                </c:pt>
                <c:pt idx="254" formatCode="0.00">
                  <c:v>20.341999999999999</c:v>
                </c:pt>
                <c:pt idx="255" formatCode="0.00">
                  <c:v>16.475000000000001</c:v>
                </c:pt>
                <c:pt idx="256" formatCode="0.00">
                  <c:v>19.248999999999999</c:v>
                </c:pt>
                <c:pt idx="257" formatCode="0.00">
                  <c:v>25.213999999999999</c:v>
                </c:pt>
                <c:pt idx="258" formatCode="0.00">
                  <c:v>30.59</c:v>
                </c:pt>
                <c:pt idx="259" formatCode="0.00">
                  <c:v>27.849</c:v>
                </c:pt>
                <c:pt idx="260" formatCode="0.00">
                  <c:v>25.273</c:v>
                </c:pt>
                <c:pt idx="261" formatCode="0.00">
                  <c:v>25.16</c:v>
                </c:pt>
                <c:pt idx="262" formatCode="0.00">
                  <c:v>29.643999999999998</c:v>
                </c:pt>
                <c:pt idx="263" formatCode="0.00">
                  <c:v>22.997</c:v>
                </c:pt>
                <c:pt idx="264" formatCode="0.00">
                  <c:v>29.184000000000001</c:v>
                </c:pt>
                <c:pt idx="265" formatCode="0.00">
                  <c:v>29.483000000000001</c:v>
                </c:pt>
                <c:pt idx="266" formatCode="0.00">
                  <c:v>23.332000000000001</c:v>
                </c:pt>
                <c:pt idx="267" formatCode="0.00">
                  <c:v>30.92</c:v>
                </c:pt>
                <c:pt idx="268" formatCode="0.00">
                  <c:v>29.907</c:v>
                </c:pt>
                <c:pt idx="269" formatCode="0.00">
                  <c:v>29.297000000000001</c:v>
                </c:pt>
                <c:pt idx="270" formatCode="0.00">
                  <c:v>28.405999999999999</c:v>
                </c:pt>
                <c:pt idx="271" formatCode="0.00">
                  <c:v>28.832000000000001</c:v>
                </c:pt>
                <c:pt idx="272" formatCode="0.00">
                  <c:v>26.972000000000001</c:v>
                </c:pt>
                <c:pt idx="273" formatCode="0.00">
                  <c:v>17.788</c:v>
                </c:pt>
                <c:pt idx="274" formatCode="0.00">
                  <c:v>28.652000000000001</c:v>
                </c:pt>
                <c:pt idx="275" formatCode="0.00">
                  <c:v>27.609000000000002</c:v>
                </c:pt>
                <c:pt idx="276" formatCode="0.00">
                  <c:v>27.457999999999998</c:v>
                </c:pt>
                <c:pt idx="277" formatCode="0.00">
                  <c:v>26.946000000000002</c:v>
                </c:pt>
                <c:pt idx="278" formatCode="0.00">
                  <c:v>24.920999999999999</c:v>
                </c:pt>
                <c:pt idx="279" formatCode="0.00">
                  <c:v>9.3979999999999997</c:v>
                </c:pt>
                <c:pt idx="280" formatCode="0.00">
                  <c:v>10.336</c:v>
                </c:pt>
                <c:pt idx="281" formatCode="0.00">
                  <c:v>23.795999999999999</c:v>
                </c:pt>
                <c:pt idx="282" formatCode="0.00">
                  <c:v>12.503</c:v>
                </c:pt>
                <c:pt idx="283" formatCode="0.00">
                  <c:v>18.47</c:v>
                </c:pt>
                <c:pt idx="284" formatCode="0.00">
                  <c:v>23.02</c:v>
                </c:pt>
                <c:pt idx="285" formatCode="0.00">
                  <c:v>15.071</c:v>
                </c:pt>
                <c:pt idx="286" formatCode="0.00">
                  <c:v>22.053000000000001</c:v>
                </c:pt>
                <c:pt idx="287" formatCode="0.00">
                  <c:v>7.1040000000000001</c:v>
                </c:pt>
                <c:pt idx="288" formatCode="0.00">
                  <c:v>13.923999999999999</c:v>
                </c:pt>
                <c:pt idx="289" formatCode="0.00">
                  <c:v>14.38</c:v>
                </c:pt>
                <c:pt idx="290" formatCode="0.00">
                  <c:v>6.4189999999999996</c:v>
                </c:pt>
                <c:pt idx="291" formatCode="0.00">
                  <c:v>14.715999999999999</c:v>
                </c:pt>
                <c:pt idx="292" formatCode="0.00">
                  <c:v>6.1379999999999999</c:v>
                </c:pt>
                <c:pt idx="293" formatCode="0.00">
                  <c:v>11.42</c:v>
                </c:pt>
                <c:pt idx="294" formatCode="0.00">
                  <c:v>13.683999999999999</c:v>
                </c:pt>
                <c:pt idx="295" formatCode="0.00">
                  <c:v>22.841999999999999</c:v>
                </c:pt>
                <c:pt idx="296" formatCode="0.00">
                  <c:v>22.079000000000001</c:v>
                </c:pt>
                <c:pt idx="297" formatCode="0.00">
                  <c:v>21.965</c:v>
                </c:pt>
                <c:pt idx="298" formatCode="0.00">
                  <c:v>2.3780000000000001</c:v>
                </c:pt>
                <c:pt idx="299" formatCode="0.00">
                  <c:v>5.5140000000000002</c:v>
                </c:pt>
                <c:pt idx="300" formatCode="0.00">
                  <c:v>2.4580000000000002</c:v>
                </c:pt>
                <c:pt idx="301" formatCode="0.00">
                  <c:v>3.29</c:v>
                </c:pt>
                <c:pt idx="302" formatCode="0.00">
                  <c:v>19.004000000000001</c:v>
                </c:pt>
                <c:pt idx="303" formatCode="0.00">
                  <c:v>6.5739999999999998</c:v>
                </c:pt>
                <c:pt idx="304" formatCode="0.00">
                  <c:v>13.843999999999999</c:v>
                </c:pt>
                <c:pt idx="305" formatCode="0.00">
                  <c:v>6.4859999999999998</c:v>
                </c:pt>
                <c:pt idx="306" formatCode="0.00">
                  <c:v>16.398</c:v>
                </c:pt>
                <c:pt idx="307" formatCode="0.00">
                  <c:v>13.548999999999999</c:v>
                </c:pt>
                <c:pt idx="308" formatCode="0.00">
                  <c:v>5.3979999999999997</c:v>
                </c:pt>
                <c:pt idx="309" formatCode="0.00">
                  <c:v>13.414999999999999</c:v>
                </c:pt>
                <c:pt idx="310" formatCode="0.00">
                  <c:v>6.7949999999999999</c:v>
                </c:pt>
                <c:pt idx="311" formatCode="0.00">
                  <c:v>9.66</c:v>
                </c:pt>
                <c:pt idx="312" formatCode="0.00">
                  <c:v>3.18</c:v>
                </c:pt>
                <c:pt idx="313" formatCode="0.00">
                  <c:v>11.167</c:v>
                </c:pt>
                <c:pt idx="314" formatCode="0.00">
                  <c:v>15.058</c:v>
                </c:pt>
                <c:pt idx="315" formatCode="0.00">
                  <c:v>14.494999999999999</c:v>
                </c:pt>
                <c:pt idx="316" formatCode="0.00">
                  <c:v>5.2210000000000001</c:v>
                </c:pt>
                <c:pt idx="317" formatCode="0.00">
                  <c:v>10.917</c:v>
                </c:pt>
                <c:pt idx="318" formatCode="0.00">
                  <c:v>11.087999999999999</c:v>
                </c:pt>
                <c:pt idx="319" formatCode="0.00">
                  <c:v>12.146000000000001</c:v>
                </c:pt>
                <c:pt idx="320" formatCode="0.00">
                  <c:v>15.441000000000001</c:v>
                </c:pt>
                <c:pt idx="321" formatCode="0.00">
                  <c:v>13.757999999999999</c:v>
                </c:pt>
                <c:pt idx="322" formatCode="0.00">
                  <c:v>10.821999999999999</c:v>
                </c:pt>
                <c:pt idx="323" formatCode="0.00">
                  <c:v>5.6879999999999997</c:v>
                </c:pt>
                <c:pt idx="324" formatCode="0.00">
                  <c:v>13.824</c:v>
                </c:pt>
                <c:pt idx="325" formatCode="0.00">
                  <c:v>12.664</c:v>
                </c:pt>
                <c:pt idx="326" formatCode="0.00">
                  <c:v>7.5780000000000003</c:v>
                </c:pt>
                <c:pt idx="327" formatCode="0.00">
                  <c:v>12.462999999999999</c:v>
                </c:pt>
                <c:pt idx="328" formatCode="0.00">
                  <c:v>6.024</c:v>
                </c:pt>
                <c:pt idx="329" formatCode="0.00">
                  <c:v>2.798</c:v>
                </c:pt>
                <c:pt idx="330" formatCode="0.00">
                  <c:v>13.603999999999999</c:v>
                </c:pt>
                <c:pt idx="331" formatCode="0.00">
                  <c:v>11.055</c:v>
                </c:pt>
                <c:pt idx="332" formatCode="0.00">
                  <c:v>12.989000000000001</c:v>
                </c:pt>
                <c:pt idx="333" formatCode="0.00">
                  <c:v>6.7910000000000004</c:v>
                </c:pt>
                <c:pt idx="334" formatCode="0.00">
                  <c:v>10.698</c:v>
                </c:pt>
                <c:pt idx="335" formatCode="0.00">
                  <c:v>5.01</c:v>
                </c:pt>
                <c:pt idx="336" formatCode="0.00">
                  <c:v>6.2050000000000001</c:v>
                </c:pt>
                <c:pt idx="337" formatCode="0.00">
                  <c:v>3.569</c:v>
                </c:pt>
                <c:pt idx="338" formatCode="0.00">
                  <c:v>10.295</c:v>
                </c:pt>
                <c:pt idx="339" formatCode="0.00">
                  <c:v>7.2279999999999998</c:v>
                </c:pt>
                <c:pt idx="340" formatCode="0.00">
                  <c:v>11.061999999999999</c:v>
                </c:pt>
                <c:pt idx="341" formatCode="0.00">
                  <c:v>9.8000000000000007</c:v>
                </c:pt>
                <c:pt idx="342" formatCode="0.00">
                  <c:v>3.4849999999999999</c:v>
                </c:pt>
                <c:pt idx="343" formatCode="0.00">
                  <c:v>7.81</c:v>
                </c:pt>
                <c:pt idx="344" formatCode="0.00">
                  <c:v>8.27</c:v>
                </c:pt>
                <c:pt idx="345" formatCode="0.00">
                  <c:v>2.0659999999999998</c:v>
                </c:pt>
                <c:pt idx="346" formatCode="0.00">
                  <c:v>0.96699999999999997</c:v>
                </c:pt>
                <c:pt idx="347" formatCode="0.00">
                  <c:v>1.4139999999999999</c:v>
                </c:pt>
                <c:pt idx="348" formatCode="0.00">
                  <c:v>3.61</c:v>
                </c:pt>
                <c:pt idx="349" formatCode="0.00">
                  <c:v>1.98</c:v>
                </c:pt>
                <c:pt idx="350" formatCode="0.00">
                  <c:v>11.335000000000001</c:v>
                </c:pt>
                <c:pt idx="351" formatCode="0.00">
                  <c:v>7.84</c:v>
                </c:pt>
                <c:pt idx="352" formatCode="0.00">
                  <c:v>11.18</c:v>
                </c:pt>
                <c:pt idx="353" formatCode="0.00">
                  <c:v>8.7530000000000001</c:v>
                </c:pt>
                <c:pt idx="354" formatCode="0.00">
                  <c:v>5.2709999999999999</c:v>
                </c:pt>
                <c:pt idx="355" formatCode="0.00">
                  <c:v>4.3520000000000003</c:v>
                </c:pt>
                <c:pt idx="356" formatCode="0.00">
                  <c:v>2.9209999999999998</c:v>
                </c:pt>
                <c:pt idx="357" formatCode="0.00">
                  <c:v>3.2210000000000001</c:v>
                </c:pt>
                <c:pt idx="358" formatCode="0.00">
                  <c:v>6.8970000000000002</c:v>
                </c:pt>
                <c:pt idx="359" formatCode="0.00">
                  <c:v>12.209</c:v>
                </c:pt>
                <c:pt idx="360" formatCode="0.00">
                  <c:v>12.43</c:v>
                </c:pt>
                <c:pt idx="361" formatCode="0.00">
                  <c:v>1.881</c:v>
                </c:pt>
                <c:pt idx="362" formatCode="0.00">
                  <c:v>2.0870000000000002</c:v>
                </c:pt>
                <c:pt idx="363" formatCode="0.00">
                  <c:v>1.9770000000000001</c:v>
                </c:pt>
                <c:pt idx="364" formatCode="0.00">
                  <c:v>3.0169999999999999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0630720"/>
        <c:axId val="250631112"/>
      </c:lineChart>
      <c:dateAx>
        <c:axId val="250630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0631112"/>
        <c:crosses val="autoZero"/>
        <c:auto val="1"/>
        <c:lblOffset val="100"/>
        <c:baseTimeUnit val="days"/>
        <c:majorUnit val="1"/>
        <c:majorTimeUnit val="months"/>
      </c:dateAx>
      <c:valAx>
        <c:axId val="25063111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063072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2.1902566432308035E-5</c:v>
                </c:pt>
                <c:pt idx="110">
                  <c:v>4.3804653142243133E-5</c:v>
                </c:pt>
                <c:pt idx="111">
                  <c:v>6.570626014024139E-5</c:v>
                </c:pt>
                <c:pt idx="112">
                  <c:v>8.7607387436960948E-5</c:v>
                </c:pt>
                <c:pt idx="113">
                  <c:v>1.0950803504261586E-4</c:v>
                </c:pt>
                <c:pt idx="114">
                  <c:v>1.3140820296797528E-4</c:v>
                </c:pt>
                <c:pt idx="115">
                  <c:v>1.5330789122347532E-4</c:v>
                </c:pt>
                <c:pt idx="116">
                  <c:v>1.7520709981955207E-4</c:v>
                </c:pt>
                <c:pt idx="117">
                  <c:v>1.9710582876675264E-4</c:v>
                </c:pt>
                <c:pt idx="118">
                  <c:v>2.1900407807551314E-4</c:v>
                </c:pt>
                <c:pt idx="119">
                  <c:v>2.409018477564917E-4</c:v>
                </c:pt>
                <c:pt idx="120">
                  <c:v>2.6279913782012443E-4</c:v>
                </c:pt>
                <c:pt idx="121">
                  <c:v>2.8469594827695843E-4</c:v>
                </c:pt>
                <c:pt idx="122">
                  <c:v>3.0659227913731879E-4</c:v>
                </c:pt>
                <c:pt idx="123">
                  <c:v>3.2848813041197467E-4</c:v>
                </c:pt>
                <c:pt idx="124">
                  <c:v>3.5038350211114011E-4</c:v>
                </c:pt>
                <c:pt idx="125">
                  <c:v>3.7227839424558429E-4</c:v>
                </c:pt>
                <c:pt idx="126">
                  <c:v>3.9417280682563227E-4</c:v>
                </c:pt>
                <c:pt idx="127">
                  <c:v>4.160667398619422E-4</c:v>
                </c:pt>
                <c:pt idx="128">
                  <c:v>4.3796019336483916E-4</c:v>
                </c:pt>
                <c:pt idx="129">
                  <c:v>4.5985316734498127E-4</c:v>
                </c:pt>
                <c:pt idx="130">
                  <c:v>4.8174566181280465E-4</c:v>
                </c:pt>
                <c:pt idx="131">
                  <c:v>5.0363767677874538E-4</c:v>
                </c:pt>
                <c:pt idx="132">
                  <c:v>5.2552921225346161E-4</c:v>
                </c:pt>
                <c:pt idx="133">
                  <c:v>5.4742026824727841E-4</c:v>
                </c:pt>
                <c:pt idx="134">
                  <c:v>5.6931084477085392E-4</c:v>
                </c:pt>
                <c:pt idx="135">
                  <c:v>5.9120094183462424E-4</c:v>
                </c:pt>
                <c:pt idx="136">
                  <c:v>6.1309055944902546E-4</c:v>
                </c:pt>
                <c:pt idx="137">
                  <c:v>6.3497969762471573E-4</c:v>
                </c:pt>
                <c:pt idx="138">
                  <c:v>6.5686835637202012E-4</c:v>
                </c:pt>
                <c:pt idx="139">
                  <c:v>6.7875653570159677E-4</c:v>
                </c:pt>
                <c:pt idx="140">
                  <c:v>7.0064423562377076E-4</c:v>
                </c:pt>
                <c:pt idx="141">
                  <c:v>7.2253145614920022E-4</c:v>
                </c:pt>
                <c:pt idx="142">
                  <c:v>7.4441819728832126E-4</c:v>
                </c:pt>
                <c:pt idx="143">
                  <c:v>7.6630445905168099E-4</c:v>
                </c:pt>
                <c:pt idx="144">
                  <c:v>7.881902414497155E-4</c:v>
                </c:pt>
                <c:pt idx="145">
                  <c:v>8.100755444928609E-4</c:v>
                </c:pt>
                <c:pt idx="146">
                  <c:v>8.3196036819188635E-4</c:v>
                </c:pt>
                <c:pt idx="147">
                  <c:v>8.5384471255689487E-4</c:v>
                </c:pt>
                <c:pt idx="148">
                  <c:v>8.7572857759876666E-4</c:v>
                </c:pt>
                <c:pt idx="149">
                  <c:v>8.9761196332771576E-4</c:v>
                </c:pt>
                <c:pt idx="150">
                  <c:v>9.1949486975440031E-4</c:v>
                </c:pt>
                <c:pt idx="151">
                  <c:v>9.4137729688936744E-4</c:v>
                </c:pt>
                <c:pt idx="152">
                  <c:v>9.632592447428312E-4</c:v>
                </c:pt>
                <c:pt idx="153">
                  <c:v>9.8514071332567177E-4</c:v>
                </c:pt>
                <c:pt idx="154">
                  <c:v>1.0070217026481032E-3</c:v>
                </c:pt>
                <c:pt idx="155">
                  <c:v>1.0289022127206726E-3</c:v>
                </c:pt>
                <c:pt idx="156">
                  <c:v>1.0507822435539271E-3</c:v>
                </c:pt>
                <c:pt idx="157">
                  <c:v>1.0726617951584139E-3</c:v>
                </c:pt>
                <c:pt idx="158">
                  <c:v>1.0945408675444579E-3</c:v>
                </c:pt>
                <c:pt idx="159">
                  <c:v>1.1164194607228284E-3</c:v>
                </c:pt>
                <c:pt idx="160">
                  <c:v>1.1382975747037394E-3</c:v>
                </c:pt>
                <c:pt idx="161">
                  <c:v>1.160175209497849E-3</c:v>
                </c:pt>
                <c:pt idx="162">
                  <c:v>1.1820523651155934E-3</c:v>
                </c:pt>
                <c:pt idx="163">
                  <c:v>1.2039290415675197E-3</c:v>
                </c:pt>
                <c:pt idx="164">
                  <c:v>1.2258052388639529E-3</c:v>
                </c:pt>
                <c:pt idx="165">
                  <c:v>1.2476809570156622E-3</c:v>
                </c:pt>
                <c:pt idx="166">
                  <c:v>1.2695561960329727E-3</c:v>
                </c:pt>
                <c:pt idx="167">
                  <c:v>1.2914309559264314E-3</c:v>
                </c:pt>
                <c:pt idx="168">
                  <c:v>1.3133052367064746E-3</c:v>
                </c:pt>
                <c:pt idx="169">
                  <c:v>1.3351790383835382E-3</c:v>
                </c:pt>
                <c:pt idx="170">
                  <c:v>1.3570523609683915E-3</c:v>
                </c:pt>
                <c:pt idx="171">
                  <c:v>1.3789252044712486E-3</c:v>
                </c:pt>
                <c:pt idx="172">
                  <c:v>1.4007975689026564E-3</c:v>
                </c:pt>
                <c:pt idx="173">
                  <c:v>1.4226694542731622E-3</c:v>
                </c:pt>
                <c:pt idx="174">
                  <c:v>1.444540860593313E-3</c:v>
                </c:pt>
                <c:pt idx="175">
                  <c:v>1.466411787873434E-3</c:v>
                </c:pt>
                <c:pt idx="176">
                  <c:v>1.4882822361241832E-3</c:v>
                </c:pt>
                <c:pt idx="177">
                  <c:v>1.5101522053559968E-3</c:v>
                </c:pt>
                <c:pt idx="178">
                  <c:v>1.5320216955794219E-3</c:v>
                </c:pt>
                <c:pt idx="179">
                  <c:v>1.5538907068047836E-3</c:v>
                </c:pt>
                <c:pt idx="180">
                  <c:v>1.5757592390426289E-3</c:v>
                </c:pt>
                <c:pt idx="181">
                  <c:v>1.5976272923036161E-3</c:v>
                </c:pt>
                <c:pt idx="182">
                  <c:v>1.6194948665980702E-3</c:v>
                </c:pt>
                <c:pt idx="183">
                  <c:v>1.6413619619365383E-3</c:v>
                </c:pt>
                <c:pt idx="184">
                  <c:v>1.6632285783294565E-3</c:v>
                </c:pt>
                <c:pt idx="185">
                  <c:v>1.6850947157873719E-3</c:v>
                </c:pt>
                <c:pt idx="186">
                  <c:v>1.7069603743207207E-3</c:v>
                </c:pt>
                <c:pt idx="187">
                  <c:v>1.7288255539400499E-3</c:v>
                </c:pt>
                <c:pt idx="188">
                  <c:v>1.7506902546559067E-3</c:v>
                </c:pt>
                <c:pt idx="189">
                  <c:v>1.7725544764786161E-3</c:v>
                </c:pt>
                <c:pt idx="190">
                  <c:v>1.7944182194188363E-3</c:v>
                </c:pt>
                <c:pt idx="191">
                  <c:v>1.8162814834868923E-3</c:v>
                </c:pt>
                <c:pt idx="192">
                  <c:v>1.8381442686933314E-3</c:v>
                </c:pt>
                <c:pt idx="193">
                  <c:v>1.8600065750488115E-3</c:v>
                </c:pt>
                <c:pt idx="194">
                  <c:v>1.8818684025635468E-3</c:v>
                </c:pt>
                <c:pt idx="195">
                  <c:v>1.9037297512481954E-3</c:v>
                </c:pt>
                <c:pt idx="196">
                  <c:v>1.9255906211131935E-3</c:v>
                </c:pt>
                <c:pt idx="197">
                  <c:v>1.947451012168977E-3</c:v>
                </c:pt>
                <c:pt idx="198">
                  <c:v>1.9693109244262041E-3</c:v>
                </c:pt>
                <c:pt idx="199">
                  <c:v>1.9911703578952E-3</c:v>
                </c:pt>
                <c:pt idx="200">
                  <c:v>2.0130293125865117E-3</c:v>
                </c:pt>
                <c:pt idx="201">
                  <c:v>2.0348877885105754E-3</c:v>
                </c:pt>
                <c:pt idx="202">
                  <c:v>2.0567457856779381E-3</c:v>
                </c:pt>
                <c:pt idx="203">
                  <c:v>2.078603304099147E-3</c:v>
                </c:pt>
                <c:pt idx="204">
                  <c:v>2.1004603437845271E-3</c:v>
                </c:pt>
                <c:pt idx="205">
                  <c:v>2.1223169047446255E-3</c:v>
                </c:pt>
                <c:pt idx="206">
                  <c:v>2.1441729869899895E-3</c:v>
                </c:pt>
                <c:pt idx="207">
                  <c:v>2.166028590531055E-3</c:v>
                </c:pt>
                <c:pt idx="208">
                  <c:v>2.1878837153782582E-3</c:v>
                </c:pt>
                <c:pt idx="209">
                  <c:v>2.2097383615422572E-3</c:v>
                </c:pt>
                <c:pt idx="210">
                  <c:v>2.2315925290332661E-3</c:v>
                </c:pt>
                <c:pt idx="211">
                  <c:v>2.253446217862054E-3</c:v>
                </c:pt>
                <c:pt idx="212">
                  <c:v>2.275299428038835E-3</c:v>
                </c:pt>
                <c:pt idx="213">
                  <c:v>2.2971521595743782E-3</c:v>
                </c:pt>
                <c:pt idx="214">
                  <c:v>2.3190044124788978E-3</c:v>
                </c:pt>
                <c:pt idx="215">
                  <c:v>2.3408561867630517E-3</c:v>
                </c:pt>
                <c:pt idx="216">
                  <c:v>2.3627074824372762E-3</c:v>
                </c:pt>
                <c:pt idx="217">
                  <c:v>2.3845582995120074E-3</c:v>
                </c:pt>
                <c:pt idx="218">
                  <c:v>2.4064086379977923E-3</c:v>
                </c:pt>
                <c:pt idx="219">
                  <c:v>2.428258497905067E-3</c:v>
                </c:pt>
                <c:pt idx="220">
                  <c:v>2.4501078792443787E-3</c:v>
                </c:pt>
                <c:pt idx="221">
                  <c:v>2.4719567820261634E-3</c:v>
                </c:pt>
                <c:pt idx="222">
                  <c:v>2.4938052062608573E-3</c:v>
                </c:pt>
                <c:pt idx="223">
                  <c:v>2.5156531519590075E-3</c:v>
                </c:pt>
                <c:pt idx="224">
                  <c:v>2.5375006191310501E-3</c:v>
                </c:pt>
                <c:pt idx="225">
                  <c:v>2.5593476077875321E-3</c:v>
                </c:pt>
                <c:pt idx="226">
                  <c:v>2.5811941179388898E-3</c:v>
                </c:pt>
                <c:pt idx="227">
                  <c:v>2.6030401495955591E-3</c:v>
                </c:pt>
                <c:pt idx="228">
                  <c:v>2.6248857027680872E-3</c:v>
                </c:pt>
                <c:pt idx="229">
                  <c:v>2.6467307774669102E-3</c:v>
                </c:pt>
                <c:pt idx="230">
                  <c:v>2.6685753737025752E-3</c:v>
                </c:pt>
                <c:pt idx="231">
                  <c:v>2.6904194914855184E-3</c:v>
                </c:pt>
                <c:pt idx="232">
                  <c:v>2.7122631308262868E-3</c:v>
                </c:pt>
                <c:pt idx="233">
                  <c:v>2.7341062917352055E-3</c:v>
                </c:pt>
                <c:pt idx="234">
                  <c:v>2.7559489742228216E-3</c:v>
                </c:pt>
                <c:pt idx="235">
                  <c:v>2.7777911782996823E-3</c:v>
                </c:pt>
                <c:pt idx="236">
                  <c:v>2.7996329039762236E-3</c:v>
                </c:pt>
                <c:pt idx="237">
                  <c:v>2.8214741512629926E-3</c:v>
                </c:pt>
                <c:pt idx="238">
                  <c:v>2.8433149201702035E-3</c:v>
                </c:pt>
                <c:pt idx="239">
                  <c:v>2.8651552107086253E-3</c:v>
                </c:pt>
                <c:pt idx="240">
                  <c:v>2.8869950228886943E-3</c:v>
                </c:pt>
                <c:pt idx="241">
                  <c:v>2.9088343567207353E-3</c:v>
                </c:pt>
                <c:pt idx="242">
                  <c:v>2.9306732122152956E-3</c:v>
                </c:pt>
                <c:pt idx="243">
                  <c:v>2.9525115893829224E-3</c:v>
                </c:pt>
                <c:pt idx="244">
                  <c:v>2.9743494882340515E-3</c:v>
                </c:pt>
                <c:pt idx="245">
                  <c:v>2.9961869087792303E-3</c:v>
                </c:pt>
                <c:pt idx="246">
                  <c:v>3.0180238510286728E-3</c:v>
                </c:pt>
                <c:pt idx="247">
                  <c:v>3.039860314993148E-3</c:v>
                </c:pt>
                <c:pt idx="248">
                  <c:v>3.0616963006829812E-3</c:v>
                </c:pt>
                <c:pt idx="249">
                  <c:v>3.0835318081087193E-3</c:v>
                </c:pt>
                <c:pt idx="250">
                  <c:v>3.1053668372807985E-3</c:v>
                </c:pt>
                <c:pt idx="251">
                  <c:v>3.127201388209766E-3</c:v>
                </c:pt>
                <c:pt idx="252">
                  <c:v>3.1490354609059468E-3</c:v>
                </c:pt>
                <c:pt idx="253">
                  <c:v>3.1708690553798879E-3</c:v>
                </c:pt>
                <c:pt idx="254">
                  <c:v>3.1927021716421367E-3</c:v>
                </c:pt>
                <c:pt idx="255">
                  <c:v>3.214534809703018E-3</c:v>
                </c:pt>
                <c:pt idx="256">
                  <c:v>3.23636696957319E-3</c:v>
                </c:pt>
                <c:pt idx="257">
                  <c:v>3.2581986512629779E-3</c:v>
                </c:pt>
                <c:pt idx="258">
                  <c:v>3.2800298547829287E-3</c:v>
                </c:pt>
                <c:pt idx="259">
                  <c:v>3.3018605801434786E-3</c:v>
                </c:pt>
                <c:pt idx="260">
                  <c:v>3.3236908273550636E-3</c:v>
                </c:pt>
                <c:pt idx="261">
                  <c:v>3.3455205964282309E-3</c:v>
                </c:pt>
                <c:pt idx="262">
                  <c:v>3.3673498873735275E-3</c:v>
                </c:pt>
                <c:pt idx="263">
                  <c:v>3.3891787002012785E-3</c:v>
                </c:pt>
                <c:pt idx="264">
                  <c:v>3.4110070349219201E-3</c:v>
                </c:pt>
                <c:pt idx="265">
                  <c:v>3.4328348915461104E-3</c:v>
                </c:pt>
                <c:pt idx="266">
                  <c:v>3.4546622700841745E-3</c:v>
                </c:pt>
                <c:pt idx="267">
                  <c:v>3.4764891705466594E-3</c:v>
                </c:pt>
                <c:pt idx="268">
                  <c:v>3.4983155929440013E-3</c:v>
                </c:pt>
                <c:pt idx="269">
                  <c:v>3.5201415372866363E-3</c:v>
                </c:pt>
                <c:pt idx="270">
                  <c:v>3.5419670035851114E-3</c:v>
                </c:pt>
                <c:pt idx="271">
                  <c:v>3.5637919918498628E-3</c:v>
                </c:pt>
                <c:pt idx="272">
                  <c:v>3.5856165020914377E-3</c:v>
                </c:pt>
                <c:pt idx="273">
                  <c:v>3.60744053432005E-3</c:v>
                </c:pt>
                <c:pt idx="274">
                  <c:v>3.6292640885464689E-3</c:v>
                </c:pt>
                <c:pt idx="275">
                  <c:v>3.6510871647810195E-3</c:v>
                </c:pt>
                <c:pt idx="276">
                  <c:v>3.6729097630342489E-3</c:v>
                </c:pt>
                <c:pt idx="277">
                  <c:v>3.6947318833164822E-3</c:v>
                </c:pt>
                <c:pt idx="278">
                  <c:v>3.7165535256382665E-3</c:v>
                </c:pt>
                <c:pt idx="279">
                  <c:v>3.7383746900101489E-3</c:v>
                </c:pt>
                <c:pt idx="280">
                  <c:v>3.7601953764424545E-3</c:v>
                </c:pt>
                <c:pt idx="281">
                  <c:v>3.7820155849458414E-3</c:v>
                </c:pt>
                <c:pt idx="282">
                  <c:v>3.8038353155305238E-3</c:v>
                </c:pt>
                <c:pt idx="283">
                  <c:v>3.8256545682071597E-3</c:v>
                </c:pt>
                <c:pt idx="284">
                  <c:v>3.8474733429861852E-3</c:v>
                </c:pt>
                <c:pt idx="285">
                  <c:v>3.8692916398780364E-3</c:v>
                </c:pt>
                <c:pt idx="286">
                  <c:v>3.8911094588932604E-3</c:v>
                </c:pt>
                <c:pt idx="287">
                  <c:v>3.9129268000421824E-3</c:v>
                </c:pt>
                <c:pt idx="288">
                  <c:v>3.9347436633353494E-3</c:v>
                </c:pt>
                <c:pt idx="289">
                  <c:v>3.9565600487831976E-3</c:v>
                </c:pt>
                <c:pt idx="290">
                  <c:v>3.9783759563962739E-3</c:v>
                </c:pt>
                <c:pt idx="291">
                  <c:v>4.0001913861849037E-3</c:v>
                </c:pt>
                <c:pt idx="292">
                  <c:v>4.0220063381596338E-3</c:v>
                </c:pt>
                <c:pt idx="293">
                  <c:v>4.0438208123310115E-3</c:v>
                </c:pt>
                <c:pt idx="294">
                  <c:v>4.0656348087093619E-3</c:v>
                </c:pt>
                <c:pt idx="295">
                  <c:v>4.087448327305232E-3</c:v>
                </c:pt>
                <c:pt idx="296">
                  <c:v>4.109261368129058E-3</c:v>
                </c:pt>
                <c:pt idx="297">
                  <c:v>4.1310739311912759E-3</c:v>
                </c:pt>
                <c:pt idx="298">
                  <c:v>4.1528860165024328E-3</c:v>
                </c:pt>
                <c:pt idx="299">
                  <c:v>4.1746976240728539E-3</c:v>
                </c:pt>
                <c:pt idx="300">
                  <c:v>4.1965087539131973E-3</c:v>
                </c:pt>
                <c:pt idx="301">
                  <c:v>4.2183194060337881E-3</c:v>
                </c:pt>
                <c:pt idx="302">
                  <c:v>4.2401295804450623E-3</c:v>
                </c:pt>
                <c:pt idx="303">
                  <c:v>4.2619392771576781E-3</c:v>
                </c:pt>
                <c:pt idx="304">
                  <c:v>4.2837484961818495E-3</c:v>
                </c:pt>
                <c:pt idx="305">
                  <c:v>4.3055572375281237E-3</c:v>
                </c:pt>
                <c:pt idx="306">
                  <c:v>4.3273655012070478E-3</c:v>
                </c:pt>
                <c:pt idx="307">
                  <c:v>4.3491732872290578E-3</c:v>
                </c:pt>
                <c:pt idx="308">
                  <c:v>4.37098059560459E-3</c:v>
                </c:pt>
                <c:pt idx="309">
                  <c:v>4.3927874263440803E-3</c:v>
                </c:pt>
                <c:pt idx="310">
                  <c:v>4.4145937794579648E-3</c:v>
                </c:pt>
                <c:pt idx="311">
                  <c:v>4.4363996549567908E-3</c:v>
                </c:pt>
                <c:pt idx="312">
                  <c:v>4.4582050528509942E-3</c:v>
                </c:pt>
                <c:pt idx="313">
                  <c:v>4.4800099731510112E-3</c:v>
                </c:pt>
                <c:pt idx="314">
                  <c:v>4.5018144158672779E-3</c:v>
                </c:pt>
                <c:pt idx="315">
                  <c:v>4.5236183810103414E-3</c:v>
                </c:pt>
                <c:pt idx="316">
                  <c:v>4.5454218685905268E-3</c:v>
                </c:pt>
                <c:pt idx="317">
                  <c:v>4.5672248786184921E-3</c:v>
                </c:pt>
                <c:pt idx="318">
                  <c:v>4.5890274111044516E-3</c:v>
                </c:pt>
                <c:pt idx="319">
                  <c:v>4.6108294660590632E-3</c:v>
                </c:pt>
                <c:pt idx="320">
                  <c:v>4.6326310434927631E-3</c:v>
                </c:pt>
                <c:pt idx="321">
                  <c:v>4.6544321434158764E-3</c:v>
                </c:pt>
                <c:pt idx="322">
                  <c:v>4.6762327658390612E-3</c:v>
                </c:pt>
                <c:pt idx="323">
                  <c:v>4.6980329107725316E-3</c:v>
                </c:pt>
                <c:pt idx="324">
                  <c:v>4.7198325782269457E-3</c:v>
                </c:pt>
                <c:pt idx="325">
                  <c:v>4.7416317682127396E-3</c:v>
                </c:pt>
                <c:pt idx="326">
                  <c:v>4.7634304807402383E-3</c:v>
                </c:pt>
                <c:pt idx="327">
                  <c:v>4.7852287158201001E-3</c:v>
                </c:pt>
                <c:pt idx="328">
                  <c:v>4.807026473462539E-3</c:v>
                </c:pt>
                <c:pt idx="329">
                  <c:v>4.828823753678213E-3</c:v>
                </c:pt>
                <c:pt idx="330">
                  <c:v>4.8506205564775584E-3</c:v>
                </c:pt>
                <c:pt idx="331">
                  <c:v>4.8724168818709002E-3</c:v>
                </c:pt>
                <c:pt idx="332">
                  <c:v>4.8942127298687854E-3</c:v>
                </c:pt>
                <c:pt idx="333">
                  <c:v>4.9160081004816503E-3</c:v>
                </c:pt>
                <c:pt idx="334">
                  <c:v>4.9378029937200418E-3</c:v>
                </c:pt>
                <c:pt idx="335">
                  <c:v>4.9595974095942852E-3</c:v>
                </c:pt>
                <c:pt idx="336">
                  <c:v>4.9813913481149275E-3</c:v>
                </c:pt>
                <c:pt idx="337">
                  <c:v>5.0031848092922937E-3</c:v>
                </c:pt>
                <c:pt idx="338">
                  <c:v>5.0249777931370421E-3</c:v>
                </c:pt>
                <c:pt idx="339">
                  <c:v>5.0467702996593866E-3</c:v>
                </c:pt>
                <c:pt idx="340">
                  <c:v>5.0685623288699855E-3</c:v>
                </c:pt>
                <c:pt idx="341">
                  <c:v>5.0903538807792748E-3</c:v>
                </c:pt>
                <c:pt idx="342">
                  <c:v>5.1121449553975795E-3</c:v>
                </c:pt>
                <c:pt idx="343">
                  <c:v>5.1339355527353359E-3</c:v>
                </c:pt>
                <c:pt idx="344">
                  <c:v>5.1557256728032019E-3</c:v>
                </c:pt>
                <c:pt idx="345">
                  <c:v>5.1775153156115028E-3</c:v>
                </c:pt>
                <c:pt idx="346">
                  <c:v>5.1993044811706746E-3</c:v>
                </c:pt>
                <c:pt idx="347">
                  <c:v>5.2210931694912643E-3</c:v>
                </c:pt>
                <c:pt idx="348">
                  <c:v>5.2428813805835972E-3</c:v>
                </c:pt>
                <c:pt idx="349">
                  <c:v>5.2646691144582203E-3</c:v>
                </c:pt>
                <c:pt idx="350">
                  <c:v>5.2864563711255697E-3</c:v>
                </c:pt>
                <c:pt idx="351">
                  <c:v>5.3082431505960814E-3</c:v>
                </c:pt>
                <c:pt idx="352">
                  <c:v>5.3300294528800807E-3</c:v>
                </c:pt>
                <c:pt idx="353">
                  <c:v>5.3518152779883366E-3</c:v>
                </c:pt>
                <c:pt idx="354">
                  <c:v>5.3736006259309521E-3</c:v>
                </c:pt>
                <c:pt idx="355">
                  <c:v>5.3953854967185855E-3</c:v>
                </c:pt>
                <c:pt idx="356">
                  <c:v>5.4171698903616727E-3</c:v>
                </c:pt>
                <c:pt idx="357">
                  <c:v>5.43895380687065E-3</c:v>
                </c:pt>
                <c:pt idx="358">
                  <c:v>5.4607372462559534E-3</c:v>
                </c:pt>
                <c:pt idx="359">
                  <c:v>5.4825202085280189E-3</c:v>
                </c:pt>
                <c:pt idx="360">
                  <c:v>5.5043026936972828E-3</c:v>
                </c:pt>
                <c:pt idx="361">
                  <c:v>5.526084701774181E-3</c:v>
                </c:pt>
                <c:pt idx="362">
                  <c:v>5.5478662327692607E-3</c:v>
                </c:pt>
                <c:pt idx="363">
                  <c:v>5.569647286692847E-3</c:v>
                </c:pt>
                <c:pt idx="364">
                  <c:v>5.591427863555487E-3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1.9292185759604323E-4</c:v>
                </c:pt>
                <c:pt idx="110">
                  <c:v>3.8572474496583603E-4</c:v>
                </c:pt>
                <c:pt idx="111">
                  <c:v>5.7841682921976176E-4</c:v>
                </c:pt>
                <c:pt idx="112">
                  <c:v>7.7100629339612247E-4</c:v>
                </c:pt>
                <c:pt idx="113">
                  <c:v>9.6350131481671606E-4</c:v>
                </c:pt>
                <c:pt idx="114">
                  <c:v>1.1559100425108039E-3</c:v>
                </c:pt>
                <c:pt idx="115">
                  <c:v>1.3482405736955727E-3</c:v>
                </c:pt>
                <c:pt idx="116">
                  <c:v>1.5405009293105493E-3</c:v>
                </c:pt>
                <c:pt idx="117">
                  <c:v>1.7326990286142306E-3</c:v>
                </c:pt>
                <c:pt idx="118">
                  <c:v>1.9248426628640451E-3</c:v>
                </c:pt>
                <c:pt idx="119">
                  <c:v>2.1169394681139837E-3</c:v>
                </c:pt>
                <c:pt idx="120">
                  <c:v>2.3089968971797023E-3</c:v>
                </c:pt>
                <c:pt idx="121">
                  <c:v>2.5010221908363952E-3</c:v>
                </c:pt>
                <c:pt idx="122">
                  <c:v>2.6930223483313744E-3</c:v>
                </c:pt>
                <c:pt idx="123">
                  <c:v>2.8850040973106821E-3</c:v>
                </c:pt>
                <c:pt idx="124">
                  <c:v>3.0769738632761734E-3</c:v>
                </c:pt>
                <c:pt idx="125">
                  <c:v>3.2689377387070586E-3</c:v>
                </c:pt>
                <c:pt idx="126">
                  <c:v>3.4609014519967371E-3</c:v>
                </c:pt>
                <c:pt idx="127">
                  <c:v>3.6528703363729489E-3</c:v>
                </c:pt>
                <c:pt idx="128">
                  <c:v>3.8448492989842571E-3</c:v>
                </c:pt>
                <c:pt idx="129">
                  <c:v>4.0368427903509172E-3</c:v>
                </c:pt>
                <c:pt idx="130">
                  <c:v>4.2288547743916591E-3</c:v>
                </c:pt>
                <c:pt idx="131">
                  <c:v>4.4208886992490289E-3</c:v>
                </c:pt>
                <c:pt idx="132">
                  <c:v>4.6129474691461734E-3</c:v>
                </c:pt>
                <c:pt idx="133">
                  <c:v>4.8050334175154946E-3</c:v>
                </c:pt>
                <c:pt idx="134">
                  <c:v>4.997148281644619E-3</c:v>
                </c:pt>
                <c:pt idx="135">
                  <c:v>5.1892931790887917E-3</c:v>
                </c:pt>
                <c:pt idx="136">
                  <c:v>5.3814685860980116E-3</c:v>
                </c:pt>
                <c:pt idx="137">
                  <c:v>5.5736743183056933E-3</c:v>
                </c:pt>
                <c:pt idx="138">
                  <c:v>5.7659095139193399E-3</c:v>
                </c:pt>
                <c:pt idx="139">
                  <c:v>5.9581726196461437E-3</c:v>
                </c:pt>
                <c:pt idx="140">
                  <c:v>6.1504613795745977E-3</c:v>
                </c:pt>
                <c:pt idx="141">
                  <c:v>6.3427728272193225E-3</c:v>
                </c:pt>
                <c:pt idx="142">
                  <c:v>6.5351032809192232E-3</c:v>
                </c:pt>
                <c:pt idx="143">
                  <c:v>6.7274483427590655E-3</c:v>
                </c:pt>
                <c:pt idx="144">
                  <c:v>6.9198029011623505E-3</c:v>
                </c:pt>
                <c:pt idx="145">
                  <c:v>7.1121611372780688E-3</c:v>
                </c:pt>
                <c:pt idx="146">
                  <c:v>7.3045165352568853E-3</c:v>
                </c:pt>
                <c:pt idx="147">
                  <c:v>7.4968618964828745E-3</c:v>
                </c:pt>
                <c:pt idx="148">
                  <c:v>7.6891893577956984E-3</c:v>
                </c:pt>
                <c:pt idx="149">
                  <c:v>7.8814904137058193E-3</c:v>
                </c:pt>
                <c:pt idx="150">
                  <c:v>8.0737559425711983E-3</c:v>
                </c:pt>
                <c:pt idx="151">
                  <c:v>8.2659762366692566E-3</c:v>
                </c:pt>
                <c:pt idx="152">
                  <c:v>8.4581410360633717E-3</c:v>
                </c:pt>
                <c:pt idx="153">
                  <c:v>8.6502395661269653E-3</c:v>
                </c:pt>
                <c:pt idx="154">
                  <c:v>8.8422605785542889E-3</c:v>
                </c:pt>
                <c:pt idx="155">
                  <c:v>9.0341923956518844E-3</c:v>
                </c:pt>
                <c:pt idx="156">
                  <c:v>9.2260229576721919E-3</c:v>
                </c:pt>
                <c:pt idx="157">
                  <c:v>9.4177398729183119E-3</c:v>
                </c:pt>
                <c:pt idx="158">
                  <c:v>9.6093304703194719E-3</c:v>
                </c:pt>
                <c:pt idx="159">
                  <c:v>9.8007818541486717E-3</c:v>
                </c:pt>
                <c:pt idx="160">
                  <c:v>9.9920809605288773E-3</c:v>
                </c:pt>
                <c:pt idx="161">
                  <c:v>1.0183214615351457E-2</c:v>
                </c:pt>
                <c:pt idx="162">
                  <c:v>1.0374169593211599E-2</c:v>
                </c:pt>
                <c:pt idx="163">
                  <c:v>1.0564932676949385E-2</c:v>
                </c:pt>
                <c:pt idx="164">
                  <c:v>1.0755490717373056E-2</c:v>
                </c:pt>
                <c:pt idx="165">
                  <c:v>1.0945830692732634E-2</c:v>
                </c:pt>
                <c:pt idx="166">
                  <c:v>1.1135939767507673E-2</c:v>
                </c:pt>
                <c:pt idx="167">
                  <c:v>1.1325805350072764E-2</c:v>
                </c:pt>
                <c:pt idx="168">
                  <c:v>1.1515415148808312E-2</c:v>
                </c:pt>
                <c:pt idx="169">
                  <c:v>1.1704757226232152E-2</c:v>
                </c:pt>
                <c:pt idx="170">
                  <c:v>1.1893820050740005E-2</c:v>
                </c:pt>
                <c:pt idx="171">
                  <c:v>1.2082592545559472E-2</c:v>
                </c:pt>
                <c:pt idx="172">
                  <c:v>1.2271064134541994E-2</c:v>
                </c:pt>
                <c:pt idx="173">
                  <c:v>1.2459224784442459E-2</c:v>
                </c:pt>
                <c:pt idx="174">
                  <c:v>1.2647065043363217E-2</c:v>
                </c:pt>
                <c:pt idx="175">
                  <c:v>1.2834576075070906E-2</c:v>
                </c:pt>
                <c:pt idx="176">
                  <c:v>1.3021749688929109E-2</c:v>
                </c:pt>
                <c:pt idx="177">
                  <c:v>1.3208578365226256E-2</c:v>
                </c:pt>
                <c:pt idx="178">
                  <c:v>1.3395055275718536E-2</c:v>
                </c:pt>
                <c:pt idx="179">
                  <c:v>1.3581174299248435E-2</c:v>
                </c:pt>
                <c:pt idx="180">
                  <c:v>1.376693003234288E-2</c:v>
                </c:pt>
                <c:pt idx="181">
                  <c:v>1.3952317794739188E-2</c:v>
                </c:pt>
                <c:pt idx="182">
                  <c:v>1.413733362983171E-2</c:v>
                </c:pt>
                <c:pt idx="183">
                  <c:v>1.432197430007728E-2</c:v>
                </c:pt>
                <c:pt idx="184">
                  <c:v>1.4506237277442198E-2</c:v>
                </c:pt>
                <c:pt idx="185">
                  <c:v>1.469012072901772E-2</c:v>
                </c:pt>
                <c:pt idx="186">
                  <c:v>1.4873623497973647E-2</c:v>
                </c:pt>
                <c:pt idx="187">
                  <c:v>1.505674508006054E-2</c:v>
                </c:pt>
                <c:pt idx="188">
                  <c:v>1.5239485595910558E-2</c:v>
                </c:pt>
                <c:pt idx="189">
                  <c:v>1.5421845759422442E-2</c:v>
                </c:pt>
                <c:pt idx="190">
                  <c:v>1.5603826842550393E-2</c:v>
                </c:pt>
                <c:pt idx="191">
                  <c:v>1.5785430636846096E-2</c:v>
                </c:pt>
                <c:pt idx="192">
                  <c:v>1.5966659412129377E-2</c:v>
                </c:pt>
                <c:pt idx="193">
                  <c:v>1.6147515872685939E-2</c:v>
                </c:pt>
                <c:pt idx="194">
                  <c:v>1.632800311140796E-2</c:v>
                </c:pt>
                <c:pt idx="195">
                  <c:v>1.6508124562307637E-2</c:v>
                </c:pt>
                <c:pt idx="196">
                  <c:v>1.6687883951842293E-2</c:v>
                </c:pt>
                <c:pt idx="197">
                  <c:v>1.6867285249494626E-2</c:v>
                </c:pt>
                <c:pt idx="198">
                  <c:v>1.7046332618050445E-2</c:v>
                </c:pt>
                <c:pt idx="199">
                  <c:v>1.7225030364012059E-2</c:v>
                </c:pt>
                <c:pt idx="200">
                  <c:v>1.7403382888574646E-2</c:v>
                </c:pt>
                <c:pt idx="201">
                  <c:v>1.7581394639579265E-2</c:v>
                </c:pt>
                <c:pt idx="202">
                  <c:v>1.7759070064836839E-2</c:v>
                </c:pt>
                <c:pt idx="203">
                  <c:v>1.793641356719456E-2</c:v>
                </c:pt>
                <c:pt idx="204">
                  <c:v>1.8113429461688913E-2</c:v>
                </c:pt>
                <c:pt idx="205">
                  <c:v>1.8290121935099414E-2</c:v>
                </c:pt>
                <c:pt idx="206">
                  <c:v>1.8466495008182524E-2</c:v>
                </c:pt>
                <c:pt idx="207">
                  <c:v>1.8642552500829104E-2</c:v>
                </c:pt>
                <c:pt idx="208">
                  <c:v>1.881829800034927E-2</c:v>
                </c:pt>
                <c:pt idx="209">
                  <c:v>1.8993734833047213E-2</c:v>
                </c:pt>
                <c:pt idx="210">
                  <c:v>1.9168866039206468E-2</c:v>
                </c:pt>
                <c:pt idx="211">
                  <c:v>1.9343694351561958E-2</c:v>
                </c:pt>
                <c:pt idx="212">
                  <c:v>1.9518222177291454E-2</c:v>
                </c:pt>
                <c:pt idx="213">
                  <c:v>1.9692451583515191E-2</c:v>
                </c:pt>
                <c:pt idx="214">
                  <c:v>1.9866384286249008E-2</c:v>
                </c:pt>
                <c:pt idx="215">
                  <c:v>2.0040021642714453E-2</c:v>
                </c:pt>
                <c:pt idx="216">
                  <c:v>2.0213364646868456E-2</c:v>
                </c:pt>
                <c:pt idx="217">
                  <c:v>2.0386413927977989E-2</c:v>
                </c:pt>
                <c:pt idx="218">
                  <c:v>2.055916975202807E-2</c:v>
                </c:pt>
                <c:pt idx="219">
                  <c:v>2.0731632025720828E-2</c:v>
                </c:pt>
                <c:pt idx="220">
                  <c:v>2.0903800302792812E-2</c:v>
                </c:pt>
                <c:pt idx="221">
                  <c:v>2.107567379235439E-2</c:v>
                </c:pt>
                <c:pt idx="222">
                  <c:v>2.1247251368932931E-2</c:v>
                </c:pt>
                <c:pt idx="223">
                  <c:v>2.1418531583886569E-2</c:v>
                </c:pt>
                <c:pt idx="224">
                  <c:v>2.1589512677843273E-2</c:v>
                </c:pt>
                <c:pt idx="225">
                  <c:v>2.1760192593813572E-2</c:v>
                </c:pt>
                <c:pt idx="226">
                  <c:v>2.1930568990624469E-2</c:v>
                </c:pt>
                <c:pt idx="227">
                  <c:v>2.2100639256324866E-2</c:v>
                </c:pt>
                <c:pt idx="228">
                  <c:v>2.2270400521222814E-2</c:v>
                </c:pt>
                <c:pt idx="229">
                  <c:v>2.2439849670227642E-2</c:v>
                </c:pt>
                <c:pt idx="230">
                  <c:v>2.260898335418967E-2</c:v>
                </c:pt>
                <c:pt idx="231">
                  <c:v>2.277779799995314E-2</c:v>
                </c:pt>
                <c:pt idx="232">
                  <c:v>2.2946289818866043E-2</c:v>
                </c:pt>
                <c:pt idx="233">
                  <c:v>2.3114454813522738E-2</c:v>
                </c:pt>
                <c:pt idx="234">
                  <c:v>2.3282288782550589E-2</c:v>
                </c:pt>
                <c:pt idx="235">
                  <c:v>2.3449787323291352E-2</c:v>
                </c:pt>
                <c:pt idx="236">
                  <c:v>2.3616945832270024E-2</c:v>
                </c:pt>
                <c:pt idx="237">
                  <c:v>2.3783759503387788E-2</c:v>
                </c:pt>
                <c:pt idx="238">
                  <c:v>2.3950223323822253E-2</c:v>
                </c:pt>
                <c:pt idx="239">
                  <c:v>2.4116332067665586E-2</c:v>
                </c:pt>
                <c:pt idx="240">
                  <c:v>2.4282080287378719E-2</c:v>
                </c:pt>
                <c:pt idx="241">
                  <c:v>2.4447462303188415E-2</c:v>
                </c:pt>
                <c:pt idx="242">
                  <c:v>2.4612472190601073E-2</c:v>
                </c:pt>
                <c:pt idx="243">
                  <c:v>2.47771037662536E-2</c:v>
                </c:pt>
                <c:pt idx="244">
                  <c:v>2.494135057236577E-2</c:v>
                </c:pt>
                <c:pt idx="245">
                  <c:v>2.5105205860100645E-2</c:v>
                </c:pt>
                <c:pt idx="246">
                  <c:v>2.5268662572178548E-2</c:v>
                </c:pt>
                <c:pt idx="247">
                  <c:v>2.5431713325124779E-2</c:v>
                </c:pt>
                <c:pt idx="248">
                  <c:v>2.5594350391563152E-2</c:v>
                </c:pt>
                <c:pt idx="249">
                  <c:v>2.5756565682992894E-2</c:v>
                </c:pt>
                <c:pt idx="250">
                  <c:v>2.5918350733508674E-2</c:v>
                </c:pt>
                <c:pt idx="251">
                  <c:v>2.6079696684938564E-2</c:v>
                </c:pt>
                <c:pt idx="252">
                  <c:v>2.624059427388541E-2</c:v>
                </c:pt>
                <c:pt idx="253">
                  <c:v>2.6401033821160363E-2</c:v>
                </c:pt>
                <c:pt idx="254">
                  <c:v>2.6561005224095529E-2</c:v>
                </c:pt>
                <c:pt idx="255">
                  <c:v>2.67204979522132E-2</c:v>
                </c:pt>
                <c:pt idx="256">
                  <c:v>2.6879501046714511E-2</c:v>
                </c:pt>
                <c:pt idx="257">
                  <c:v>2.7038003124227845E-2</c:v>
                </c:pt>
                <c:pt idx="258">
                  <c:v>2.7195992385229413E-2</c:v>
                </c:pt>
                <c:pt idx="259">
                  <c:v>2.7353456627514001E-2</c:v>
                </c:pt>
                <c:pt idx="260">
                  <c:v>2.7510383265053198E-2</c:v>
                </c:pt>
                <c:pt idx="261">
                  <c:v>2.7666759352532308E-2</c:v>
                </c:pt>
                <c:pt idx="262">
                  <c:v>2.7822571615805602E-2</c:v>
                </c:pt>
                <c:pt idx="263">
                  <c:v>2.7977806488453386E-2</c:v>
                </c:pt>
                <c:pt idx="264">
                  <c:v>2.8132450154563466E-2</c:v>
                </c:pt>
                <c:pt idx="265">
                  <c:v>2.8286488597795107E-2</c:v>
                </c:pt>
                <c:pt idx="266">
                  <c:v>2.8439907656716442E-2</c:v>
                </c:pt>
                <c:pt idx="267">
                  <c:v>2.8592693086335309E-2</c:v>
                </c:pt>
                <c:pt idx="268">
                  <c:v>2.8744830625672856E-2</c:v>
                </c:pt>
                <c:pt idx="269">
                  <c:v>2.8896306071155387E-2</c:v>
                </c:pt>
                <c:pt idx="270">
                  <c:v>2.9047105355527719E-2</c:v>
                </c:pt>
                <c:pt idx="271">
                  <c:v>2.9197214631918315E-2</c:v>
                </c:pt>
                <c:pt idx="272">
                  <c:v>2.9346620362616052E-2</c:v>
                </c:pt>
                <c:pt idx="273">
                  <c:v>2.9495309412048809E-2</c:v>
                </c:pt>
                <c:pt idx="274">
                  <c:v>2.9643269143389217E-2</c:v>
                </c:pt>
                <c:pt idx="275">
                  <c:v>2.9790487518150003E-2</c:v>
                </c:pt>
                <c:pt idx="276">
                  <c:v>2.993695319807425E-2</c:v>
                </c:pt>
                <c:pt idx="277">
                  <c:v>3.0082655648573649E-2</c:v>
                </c:pt>
                <c:pt idx="278">
                  <c:v>3.0227585242921275E-2</c:v>
                </c:pt>
                <c:pt idx="279">
                  <c:v>3.0371733366365703E-2</c:v>
                </c:pt>
                <c:pt idx="280">
                  <c:v>3.0515092519300728E-2</c:v>
                </c:pt>
                <c:pt idx="281">
                  <c:v>3.0657656418599907E-2</c:v>
                </c:pt>
                <c:pt idx="282">
                  <c:v>3.0799420096208029E-2</c:v>
                </c:pt>
                <c:pt idx="283">
                  <c:v>3.0940379994073421E-2</c:v>
                </c:pt>
                <c:pt idx="284">
                  <c:v>3.1080534054504831E-2</c:v>
                </c:pt>
                <c:pt idx="285">
                  <c:v>3.1219881805046271E-2</c:v>
                </c:pt>
                <c:pt idx="286">
                  <c:v>3.1358424436980524E-2</c:v>
                </c:pt>
                <c:pt idx="287">
                  <c:v>3.1496164876600008E-2</c:v>
                </c:pt>
                <c:pt idx="288">
                  <c:v>3.1633107848418981E-2</c:v>
                </c:pt>
                <c:pt idx="289">
                  <c:v>3.1769259929546267E-2</c:v>
                </c:pt>
                <c:pt idx="290">
                  <c:v>3.1904629594490974E-2</c:v>
                </c:pt>
                <c:pt idx="291">
                  <c:v>3.2039227249734722E-2</c:v>
                </c:pt>
                <c:pt idx="292">
                  <c:v>3.2173065257473397E-2</c:v>
                </c:pt>
                <c:pt idx="293">
                  <c:v>3.2306157948007279E-2</c:v>
                </c:pt>
                <c:pt idx="294">
                  <c:v>3.2438521620341478E-2</c:v>
                </c:pt>
                <c:pt idx="295">
                  <c:v>3.2570174530646763E-2</c:v>
                </c:pt>
                <c:pt idx="296">
                  <c:v>3.2701136868325098E-2</c:v>
                </c:pt>
                <c:pt idx="297">
                  <c:v>3.2831430719521375E-2</c:v>
                </c:pt>
                <c:pt idx="298">
                  <c:v>3.2961080018025023E-2</c:v>
                </c:pt>
                <c:pt idx="299">
                  <c:v>3.3090110483608104E-2</c:v>
                </c:pt>
                <c:pt idx="300">
                  <c:v>3.3218549547952531E-2</c:v>
                </c:pt>
                <c:pt idx="301">
                  <c:v>3.334642626842426E-2</c:v>
                </c:pt>
                <c:pt idx="302">
                  <c:v>3.3473771230058243E-2</c:v>
                </c:pt>
                <c:pt idx="303">
                  <c:v>3.3600616436221281E-2</c:v>
                </c:pt>
                <c:pt idx="304">
                  <c:v>3.3726995188521861E-2</c:v>
                </c:pt>
                <c:pt idx="305">
                  <c:v>3.3852941956633319E-2</c:v>
                </c:pt>
                <c:pt idx="306">
                  <c:v>3.3978492238790993E-2</c:v>
                </c:pt>
                <c:pt idx="307">
                  <c:v>3.410368241381119E-2</c:v>
                </c:pt>
                <c:pt idx="308">
                  <c:v>3.4228549585562346E-2</c:v>
                </c:pt>
                <c:pt idx="309">
                  <c:v>3.4353131420893072E-2</c:v>
                </c:pt>
                <c:pt idx="310">
                  <c:v>3.4477465982088486E-2</c:v>
                </c:pt>
                <c:pt idx="311">
                  <c:v>3.4601591554984629E-2</c:v>
                </c:pt>
                <c:pt idx="312">
                  <c:v>3.4725546473919351E-2</c:v>
                </c:pt>
                <c:pt idx="313">
                  <c:v>3.4849368944737474E-2</c:v>
                </c:pt>
                <c:pt idx="314">
                  <c:v>3.4973096867096508E-2</c:v>
                </c:pt>
                <c:pt idx="315">
                  <c:v>3.5096767657337408E-2</c:v>
                </c:pt>
                <c:pt idx="316">
                  <c:v>3.5220418073192497E-2</c:v>
                </c:pt>
                <c:pt idx="317">
                  <c:v>3.534408404159841E-2</c:v>
                </c:pt>
                <c:pt idx="318">
                  <c:v>3.5467800490867105E-2</c:v>
                </c:pt>
                <c:pt idx="319">
                  <c:v>3.559160118844254E-2</c:v>
                </c:pt>
                <c:pt idx="320">
                  <c:v>3.5715518585432836E-2</c:v>
                </c:pt>
                <c:pt idx="321">
                  <c:v>3.5839583669061148E-2</c:v>
                </c:pt>
                <c:pt idx="322">
                  <c:v>3.5963825824119972E-2</c:v>
                </c:pt>
                <c:pt idx="323">
                  <c:v>3.6088272704446638E-2</c:v>
                </c:pt>
                <c:pt idx="324">
                  <c:v>3.6212950115360361E-2</c:v>
                </c:pt>
                <c:pt idx="325">
                  <c:v>3.6337881907916571E-2</c:v>
                </c:pt>
                <c:pt idx="326">
                  <c:v>3.6463089885740263E-2</c:v>
                </c:pt>
                <c:pt idx="327">
                  <c:v>3.6588593725100794E-2</c:v>
                </c:pt>
                <c:pt idx="328">
                  <c:v>3.6714410908783454E-2</c:v>
                </c:pt>
                <c:pt idx="329">
                  <c:v>3.6840556674202656E-2</c:v>
                </c:pt>
                <c:pt idx="330">
                  <c:v>3.6967043976085134E-2</c:v>
                </c:pt>
                <c:pt idx="331">
                  <c:v>3.7093883463933885E-2</c:v>
                </c:pt>
                <c:pt idx="332">
                  <c:v>3.7221083474362322E-2</c:v>
                </c:pt>
                <c:pt idx="333">
                  <c:v>3.7348650038267192E-2</c:v>
                </c:pt>
                <c:pt idx="334">
                  <c:v>3.747658690268723E-2</c:v>
                </c:pt>
                <c:pt idx="335">
                  <c:v>3.7604895567075372E-2</c:v>
                </c:pt>
                <c:pt idx="336">
                  <c:v>3.7733575333594421E-2</c:v>
                </c:pt>
                <c:pt idx="337">
                  <c:v>3.7862623370932651E-2</c:v>
                </c:pt>
                <c:pt idx="338">
                  <c:v>3.7992034791027023E-2</c:v>
                </c:pt>
                <c:pt idx="339">
                  <c:v>3.8121802737977863E-2</c:v>
                </c:pt>
                <c:pt idx="340">
                  <c:v>3.8251918488342362E-2</c:v>
                </c:pt>
                <c:pt idx="341">
                  <c:v>3.8382371561904917E-2</c:v>
                </c:pt>
                <c:pt idx="342">
                  <c:v>3.8513149841941222E-2</c:v>
                </c:pt>
                <c:pt idx="343">
                  <c:v>3.8644239703921501E-2</c:v>
                </c:pt>
                <c:pt idx="344">
                  <c:v>3.8775626151535847E-2</c:v>
                </c:pt>
                <c:pt idx="345">
                  <c:v>3.8907292958872686E-2</c:v>
                </c:pt>
                <c:pt idx="346">
                  <c:v>3.9039222817540832E-2</c:v>
                </c:pt>
                <c:pt idx="347">
                  <c:v>3.917139748749493E-2</c:v>
                </c:pt>
                <c:pt idx="348">
                  <c:v>3.9303797950306044E-2</c:v>
                </c:pt>
                <c:pt idx="349">
                  <c:v>3.943640456361136E-2</c:v>
                </c:pt>
                <c:pt idx="350">
                  <c:v>3.956919721548216E-2</c:v>
                </c:pt>
                <c:pt idx="351">
                  <c:v>3.9702155477464217E-2</c:v>
                </c:pt>
                <c:pt idx="352">
                  <c:v>3.9835258755072468E-2</c:v>
                </c:pt>
                <c:pt idx="353">
                  <c:v>3.996848643455906E-2</c:v>
                </c:pt>
                <c:pt idx="354">
                  <c:v>4.0101818024823134E-2</c:v>
                </c:pt>
                <c:pt idx="355">
                  <c:v>4.0235233293388489E-2</c:v>
                </c:pt>
                <c:pt idx="356">
                  <c:v>4.0368712395443318E-2</c:v>
                </c:pt>
                <c:pt idx="357">
                  <c:v>4.0502235995012938E-2</c:v>
                </c:pt>
                <c:pt idx="358">
                  <c:v>4.0635785377420471E-2</c:v>
                </c:pt>
                <c:pt idx="359">
                  <c:v>4.0769342552282054E-2</c:v>
                </c:pt>
                <c:pt idx="360">
                  <c:v>4.0902890346380706E-2</c:v>
                </c:pt>
                <c:pt idx="361">
                  <c:v>4.103641248586571E-2</c:v>
                </c:pt>
                <c:pt idx="362">
                  <c:v>4.116989366733087E-2</c:v>
                </c:pt>
                <c:pt idx="363">
                  <c:v>4.1303319617435323E-2</c:v>
                </c:pt>
                <c:pt idx="364">
                  <c:v>4.1436677140841767E-2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2.9558210076065749E-8</c:v>
                </c:pt>
                <c:pt idx="1">
                  <c:v>7.5263887851411872E-7</c:v>
                </c:pt>
                <c:pt idx="2">
                  <c:v>1.5074593908395823E-6</c:v>
                </c:pt>
                <c:pt idx="3">
                  <c:v>2.2954377487424648E-6</c:v>
                </c:pt>
                <c:pt idx="4">
                  <c:v>3.1181288739111583E-6</c:v>
                </c:pt>
                <c:pt idx="5">
                  <c:v>3.9772311438251818E-6</c:v>
                </c:pt>
                <c:pt idx="6">
                  <c:v>4.8745931609288814E-6</c:v>
                </c:pt>
                <c:pt idx="7">
                  <c:v>5.8122208530224914E-6</c:v>
                </c:pt>
                <c:pt idx="8">
                  <c:v>6.7918902817211392E-6</c:v>
                </c:pt>
                <c:pt idx="9">
                  <c:v>7.8133169688924152E-6</c:v>
                </c:pt>
                <c:pt idx="10">
                  <c:v>8.8740234133683952E-6</c:v>
                </c:pt>
                <c:pt idx="11">
                  <c:v>9.9739773006176259E-6</c:v>
                </c:pt>
                <c:pt idx="12">
                  <c:v>1.1113117130717382E-5</c:v>
                </c:pt>
                <c:pt idx="13">
                  <c:v>1.2291352268100466E-5</c:v>
                </c:pt>
                <c:pt idx="14">
                  <c:v>1.3508562999586845E-5</c:v>
                </c:pt>
                <c:pt idx="15">
                  <c:v>1.4764431831575542E-5</c:v>
                </c:pt>
                <c:pt idx="16">
                  <c:v>1.6059540995745926E-5</c:v>
                </c:pt>
                <c:pt idx="17">
                  <c:v>1.7393817074062639E-5</c:v>
                </c:pt>
                <c:pt idx="18">
                  <c:v>1.876716210785416E-5</c:v>
                </c:pt>
                <c:pt idx="19">
                  <c:v>2.0179566064418925E-5</c:v>
                </c:pt>
                <c:pt idx="20">
                  <c:v>2.1631080999411283E-5</c:v>
                </c:pt>
                <c:pt idx="21">
                  <c:v>2.3121683662018779E-5</c:v>
                </c:pt>
                <c:pt idx="22">
                  <c:v>2.4649777885006657E-5</c:v>
                </c:pt>
                <c:pt idx="23">
                  <c:v>2.6203207461888997E-5</c:v>
                </c:pt>
                <c:pt idx="24">
                  <c:v>2.7786628587318116E-5</c:v>
                </c:pt>
                <c:pt idx="25">
                  <c:v>2.9400074412851765E-5</c:v>
                </c:pt>
                <c:pt idx="26">
                  <c:v>3.1043747928418167E-5</c:v>
                </c:pt>
                <c:pt idx="27">
                  <c:v>3.2718015587879045E-5</c:v>
                </c:pt>
                <c:pt idx="28">
                  <c:v>3.4423400456807253E-5</c:v>
                </c:pt>
                <c:pt idx="29">
                  <c:v>3.6107215428960022E-5</c:v>
                </c:pt>
                <c:pt idx="30">
                  <c:v>3.7763578978821941E-5</c:v>
                </c:pt>
                <c:pt idx="31">
                  <c:v>3.9386097015900459E-5</c:v>
                </c:pt>
                <c:pt idx="32">
                  <c:v>4.0968156248245318E-5</c:v>
                </c:pt>
                <c:pt idx="33">
                  <c:v>4.250287537458248E-5</c:v>
                </c:pt>
                <c:pt idx="34">
                  <c:v>4.3983052896845096E-5</c:v>
                </c:pt>
                <c:pt idx="35">
                  <c:v>4.5401111453671834E-5</c:v>
                </c:pt>
                <c:pt idx="36">
                  <c:v>4.6742128654721846E-5</c:v>
                </c:pt>
                <c:pt idx="37">
                  <c:v>4.7938319844425089E-5</c:v>
                </c:pt>
                <c:pt idx="38">
                  <c:v>4.8995458750770154E-5</c:v>
                </c:pt>
                <c:pt idx="39">
                  <c:v>4.9899986659348805E-5</c:v>
                </c:pt>
                <c:pt idx="40">
                  <c:v>5.0637645694162366E-5</c:v>
                </c:pt>
                <c:pt idx="41">
                  <c:v>5.1193378500133704E-5</c:v>
                </c:pt>
                <c:pt idx="42">
                  <c:v>5.1551221260700627E-5</c:v>
                </c:pt>
                <c:pt idx="43">
                  <c:v>5.1718579286770206E-5</c:v>
                </c:pt>
                <c:pt idx="44">
                  <c:v>5.1775364168373372E-5</c:v>
                </c:pt>
                <c:pt idx="45">
                  <c:v>5.1715257189448648E-5</c:v>
                </c:pt>
                <c:pt idx="46">
                  <c:v>5.1531354264854233E-5</c:v>
                </c:pt>
                <c:pt idx="47">
                  <c:v>5.1216109467959022E-5</c:v>
                </c:pt>
                <c:pt idx="48">
                  <c:v>5.0761274846553181E-5</c:v>
                </c:pt>
                <c:pt idx="49">
                  <c:v>5.0157835900673747E-5</c:v>
                </c:pt>
                <c:pt idx="50">
                  <c:v>4.9392431423896801E-5</c:v>
                </c:pt>
                <c:pt idx="51">
                  <c:v>4.8457856029998345E-5</c:v>
                </c:pt>
                <c:pt idx="52">
                  <c:v>4.743148101399397E-5</c:v>
                </c:pt>
                <c:pt idx="53">
                  <c:v>4.631029271836039E-5</c:v>
                </c:pt>
                <c:pt idx="54">
                  <c:v>4.5091431754565862E-5</c:v>
                </c:pt>
                <c:pt idx="55">
                  <c:v>4.3771950349339505E-5</c:v>
                </c:pt>
                <c:pt idx="56">
                  <c:v>4.2348814501091317E-5</c:v>
                </c:pt>
                <c:pt idx="57">
                  <c:v>4.0857009058772875E-5</c:v>
                </c:pt>
                <c:pt idx="58">
                  <c:v>3.9256228389627426E-5</c:v>
                </c:pt>
                <c:pt idx="59">
                  <c:v>3.7543151224310075E-5</c:v>
                </c:pt>
                <c:pt idx="60">
                  <c:v>3.5714373883104188E-5</c:v>
                </c:pt>
                <c:pt idx="61">
                  <c:v>3.3766412329509866E-5</c:v>
                </c:pt>
                <c:pt idx="62">
                  <c:v>3.1695704336968138E-5</c:v>
                </c:pt>
                <c:pt idx="63">
                  <c:v>2.9498611793806165E-5</c:v>
                </c:pt>
                <c:pt idx="64">
                  <c:v>2.7170600849357558E-5</c:v>
                </c:pt>
                <c:pt idx="65">
                  <c:v>2.4853996524600537E-5</c:v>
                </c:pt>
                <c:pt idx="66">
                  <c:v>2.2548111251382931E-5</c:v>
                </c:pt>
                <c:pt idx="67">
                  <c:v>2.02643358619757E-5</c:v>
                </c:pt>
                <c:pt idx="68">
                  <c:v>1.8014820771373254E-5</c:v>
                </c:pt>
                <c:pt idx="69">
                  <c:v>1.5812544284486195E-5</c:v>
                </c:pt>
                <c:pt idx="70">
                  <c:v>1.367138676819992E-5</c:v>
                </c:pt>
                <c:pt idx="71">
                  <c:v>1.1679473600891102E-5</c:v>
                </c:pt>
                <c:pt idx="72">
                  <c:v>9.7970148819119458E-6</c:v>
                </c:pt>
                <c:pt idx="73">
                  <c:v>8.0426550946568826E-6</c:v>
                </c:pt>
                <c:pt idx="74">
                  <c:v>6.4364131981259112E-6</c:v>
                </c:pt>
                <c:pt idx="75">
                  <c:v>4.9998014996864588E-6</c:v>
                </c:pt>
                <c:pt idx="76">
                  <c:v>3.7559541610695382E-6</c:v>
                </c:pt>
                <c:pt idx="77">
                  <c:v>2.7297661094253002E-6</c:v>
                </c:pt>
                <c:pt idx="78">
                  <c:v>1.947918196889349E-6</c:v>
                </c:pt>
                <c:pt idx="79">
                  <c:v>1.4393095223304328E-6</c:v>
                </c:pt>
                <c:pt idx="80">
                  <c:v>9.926257884031684E-7</c:v>
                </c:pt>
                <c:pt idx="81">
                  <c:v>6.1615290462997268E-7</c:v>
                </c:pt>
                <c:pt idx="82">
                  <c:v>3.1877422067358664E-7</c:v>
                </c:pt>
                <c:pt idx="83">
                  <c:v>1.100218589457957E-7</c:v>
                </c:pt>
                <c:pt idx="84">
                  <c:v>1.3228745910927377E-10</c:v>
                </c:pt>
                <c:pt idx="85">
                  <c:v>1.0645779269066653E-10</c:v>
                </c:pt>
                <c:pt idx="86">
                  <c:v>8.2619111781321001E-11</c:v>
                </c:pt>
                <c:pt idx="87">
                  <c:v>6.1071441254059336E-11</c:v>
                </c:pt>
                <c:pt idx="88">
                  <c:v>4.2138745970741028E-11</c:v>
                </c:pt>
                <c:pt idx="89">
                  <c:v>2.6171071797128397E-11</c:v>
                </c:pt>
                <c:pt idx="90">
                  <c:v>1.3546867415452112E-11</c:v>
                </c:pt>
                <c:pt idx="91">
                  <c:v>4.6755025799239003E-12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1.0805689052532862E-10</c:v>
                </c:pt>
                <c:pt idx="254">
                  <c:v>3.2627945776679428E-10</c:v>
                </c:pt>
                <c:pt idx="255">
                  <c:v>6.5683419346634766E-10</c:v>
                </c:pt>
                <c:pt idx="256">
                  <c:v>1.1019279198019878E-9</c:v>
                </c:pt>
                <c:pt idx="257">
                  <c:v>1.66378882930209E-9</c:v>
                </c:pt>
                <c:pt idx="258">
                  <c:v>2.3446458340221099E-9</c:v>
                </c:pt>
                <c:pt idx="259">
                  <c:v>3.1467061344250107E-9</c:v>
                </c:pt>
                <c:pt idx="260">
                  <c:v>4.0722706998636875E-9</c:v>
                </c:pt>
                <c:pt idx="261">
                  <c:v>3.5270628157275644E-6</c:v>
                </c:pt>
                <c:pt idx="262">
                  <c:v>1.0641912933089008E-5</c:v>
                </c:pt>
                <c:pt idx="263">
                  <c:v>2.1420157819029229E-5</c:v>
                </c:pt>
                <c:pt idx="264">
                  <c:v>3.5935393113523342E-5</c:v>
                </c:pt>
                <c:pt idx="265">
                  <c:v>5.4263907811639025E-5</c:v>
                </c:pt>
                <c:pt idx="266">
                  <c:v>7.6485035714368471E-5</c:v>
                </c:pt>
                <c:pt idx="267">
                  <c:v>1.116401111523072E-4</c:v>
                </c:pt>
                <c:pt idx="268">
                  <c:v>1.6000287066325898E-4</c:v>
                </c:pt>
                <c:pt idx="269">
                  <c:v>2.218588878285033E-4</c:v>
                </c:pt>
                <c:pt idx="270">
                  <c:v>2.9750685048370235E-4</c:v>
                </c:pt>
                <c:pt idx="271">
                  <c:v>3.8726008523002638E-4</c:v>
                </c:pt>
                <c:pt idx="272">
                  <c:v>4.9144822970987581E-4</c:v>
                </c:pt>
                <c:pt idx="273">
                  <c:v>6.104190721325423E-4</c:v>
                </c:pt>
                <c:pt idx="274">
                  <c:v>7.4452729759927848E-4</c:v>
                </c:pt>
                <c:pt idx="275">
                  <c:v>8.9737894424586563E-4</c:v>
                </c:pt>
                <c:pt idx="276">
                  <c:v>1.0655169209668356E-3</c:v>
                </c:pt>
                <c:pt idx="277">
                  <c:v>1.2493296733741418E-3</c:v>
                </c:pt>
                <c:pt idx="278">
                  <c:v>1.4492232500718562E-3</c:v>
                </c:pt>
                <c:pt idx="279">
                  <c:v>1.6656225052323521E-3</c:v>
                </c:pt>
                <c:pt idx="280">
                  <c:v>1.8989724385733891E-3</c:v>
                </c:pt>
                <c:pt idx="281">
                  <c:v>2.1505694550605771E-3</c:v>
                </c:pt>
                <c:pt idx="282">
                  <c:v>2.4108643663100639E-3</c:v>
                </c:pt>
                <c:pt idx="283">
                  <c:v>2.6801315608130719E-3</c:v>
                </c:pt>
                <c:pt idx="284">
                  <c:v>2.9586607777786532E-3</c:v>
                </c:pt>
                <c:pt idx="285">
                  <c:v>3.2467584917942414E-3</c:v>
                </c:pt>
                <c:pt idx="286">
                  <c:v>3.544749436342573E-3</c:v>
                </c:pt>
                <c:pt idx="287">
                  <c:v>3.8529782795542742E-3</c:v>
                </c:pt>
                <c:pt idx="288">
                  <c:v>4.1719225096493165E-3</c:v>
                </c:pt>
                <c:pt idx="289">
                  <c:v>4.5059026690914628E-3</c:v>
                </c:pt>
                <c:pt idx="290">
                  <c:v>4.8517449957402297E-3</c:v>
                </c:pt>
                <c:pt idx="291">
                  <c:v>5.2098831201843479E-3</c:v>
                </c:pt>
                <c:pt idx="292">
                  <c:v>5.5807651830165755E-3</c:v>
                </c:pt>
                <c:pt idx="293">
                  <c:v>5.9648541563907097E-3</c:v>
                </c:pt>
                <c:pt idx="294">
                  <c:v>6.3626281034693706E-3</c:v>
                </c:pt>
                <c:pt idx="295">
                  <c:v>6.7637587505025654E-3</c:v>
                </c:pt>
                <c:pt idx="296">
                  <c:v>7.1675205588342594E-3</c:v>
                </c:pt>
                <c:pt idx="297">
                  <c:v>7.5741018799385593E-3</c:v>
                </c:pt>
                <c:pt idx="298">
                  <c:v>7.9836313273456781E-3</c:v>
                </c:pt>
                <c:pt idx="299">
                  <c:v>8.3962296213940992E-3</c:v>
                </c:pt>
                <c:pt idx="300">
                  <c:v>8.8120086164055391E-3</c:v>
                </c:pt>
                <c:pt idx="301">
                  <c:v>9.2310701448960787E-3</c:v>
                </c:pt>
                <c:pt idx="302">
                  <c:v>9.6556158316110502E-3</c:v>
                </c:pt>
                <c:pt idx="303">
                  <c:v>1.0071016050131295E-2</c:v>
                </c:pt>
                <c:pt idx="304">
                  <c:v>1.0472098555837941E-2</c:v>
                </c:pt>
                <c:pt idx="305">
                  <c:v>1.0857828187825248E-2</c:v>
                </c:pt>
                <c:pt idx="306">
                  <c:v>1.1226944626074849E-2</c:v>
                </c:pt>
                <c:pt idx="307">
                  <c:v>1.1577953712173612E-2</c:v>
                </c:pt>
                <c:pt idx="308">
                  <c:v>1.1909119855308356E-2</c:v>
                </c:pt>
                <c:pt idx="309">
                  <c:v>1.2213422599111505E-2</c:v>
                </c:pt>
                <c:pt idx="310">
                  <c:v>1.2501584488080588E-2</c:v>
                </c:pt>
                <c:pt idx="311">
                  <c:v>1.2771496589245618E-2</c:v>
                </c:pt>
                <c:pt idx="312">
                  <c:v>1.3020818410922411E-2</c:v>
                </c:pt>
                <c:pt idx="313">
                  <c:v>1.3246984092227278E-2</c:v>
                </c:pt>
                <c:pt idx="314">
                  <c:v>1.3447215956513558E-2</c:v>
                </c:pt>
                <c:pt idx="315">
                  <c:v>1.3618547069079298E-2</c:v>
                </c:pt>
                <c:pt idx="316">
                  <c:v>1.3761526065928854E-2</c:v>
                </c:pt>
                <c:pt idx="317">
                  <c:v>1.3877804712828882E-2</c:v>
                </c:pt>
                <c:pt idx="318">
                  <c:v>1.3987113914097465E-2</c:v>
                </c:pt>
                <c:pt idx="319">
                  <c:v>1.4089044903393884E-2</c:v>
                </c:pt>
                <c:pt idx="320">
                  <c:v>1.4183175186836575E-2</c:v>
                </c:pt>
                <c:pt idx="321">
                  <c:v>1.4269068972463394E-2</c:v>
                </c:pt>
                <c:pt idx="322">
                  <c:v>1.4346277788885517E-2</c:v>
                </c:pt>
                <c:pt idx="323">
                  <c:v>1.441135044883338E-2</c:v>
                </c:pt>
                <c:pt idx="324">
                  <c:v>1.4469916144972252E-2</c:v>
                </c:pt>
                <c:pt idx="325">
                  <c:v>1.4521614405383458E-2</c:v>
                </c:pt>
                <c:pt idx="326">
                  <c:v>1.4565985447486067E-2</c:v>
                </c:pt>
                <c:pt idx="327">
                  <c:v>1.4602621640542324E-2</c:v>
                </c:pt>
                <c:pt idx="328">
                  <c:v>1.4631184338977487E-2</c:v>
                </c:pt>
                <c:pt idx="329">
                  <c:v>1.4651331072304871E-2</c:v>
                </c:pt>
                <c:pt idx="330">
                  <c:v>1.4665425308851532E-2</c:v>
                </c:pt>
                <c:pt idx="331">
                  <c:v>1.4674380891105371E-2</c:v>
                </c:pt>
                <c:pt idx="332">
                  <c:v>1.4676894442806411E-2</c:v>
                </c:pt>
                <c:pt idx="333">
                  <c:v>1.4671415243277664E-2</c:v>
                </c:pt>
                <c:pt idx="334">
                  <c:v>1.4656319286423197E-2</c:v>
                </c:pt>
                <c:pt idx="335">
                  <c:v>1.4629919786220908E-2</c:v>
                </c:pt>
                <c:pt idx="336">
                  <c:v>1.4590482050260844E-2</c:v>
                </c:pt>
                <c:pt idx="337">
                  <c:v>1.4542434215605492E-2</c:v>
                </c:pt>
                <c:pt idx="338">
                  <c:v>1.4487731030641791E-2</c:v>
                </c:pt>
                <c:pt idx="339">
                  <c:v>1.4424868130269648E-2</c:v>
                </c:pt>
                <c:pt idx="340">
                  <c:v>1.4352348789312514E-2</c:v>
                </c:pt>
                <c:pt idx="341">
                  <c:v>1.4268708997281396E-2</c:v>
                </c:pt>
                <c:pt idx="342">
                  <c:v>1.4172546248617208E-2</c:v>
                </c:pt>
                <c:pt idx="343">
                  <c:v>1.4062551426703375E-2</c:v>
                </c:pt>
                <c:pt idx="344">
                  <c:v>1.3938024742174678E-2</c:v>
                </c:pt>
                <c:pt idx="345">
                  <c:v>1.3800214794192999E-2</c:v>
                </c:pt>
                <c:pt idx="346">
                  <c:v>1.3659592376379908E-2</c:v>
                </c:pt>
                <c:pt idx="347">
                  <c:v>1.351793935196296E-2</c:v>
                </c:pt>
                <c:pt idx="348">
                  <c:v>1.3376998792984159E-2</c:v>
                </c:pt>
                <c:pt idx="349">
                  <c:v>1.3238454924844611E-2</c:v>
                </c:pt>
                <c:pt idx="350">
                  <c:v>1.3103917421961259E-2</c:v>
                </c:pt>
                <c:pt idx="351">
                  <c:v>1.2982667211026207E-2</c:v>
                </c:pt>
                <c:pt idx="352">
                  <c:v>1.2869663258128546E-2</c:v>
                </c:pt>
                <c:pt idx="353">
                  <c:v>1.2766206490458206E-2</c:v>
                </c:pt>
                <c:pt idx="354">
                  <c:v>1.267350330776471E-2</c:v>
                </c:pt>
                <c:pt idx="355">
                  <c:v>1.2592670977336202E-2</c:v>
                </c:pt>
                <c:pt idx="356">
                  <c:v>1.2524587320813923E-2</c:v>
                </c:pt>
                <c:pt idx="357">
                  <c:v>1.247036506522051E-2</c:v>
                </c:pt>
                <c:pt idx="358">
                  <c:v>1.2427047735470308E-2</c:v>
                </c:pt>
                <c:pt idx="359">
                  <c:v>1.2391284317519667E-2</c:v>
                </c:pt>
                <c:pt idx="360">
                  <c:v>1.2369331418978065E-2</c:v>
                </c:pt>
                <c:pt idx="361">
                  <c:v>1.2353991570136917E-2</c:v>
                </c:pt>
                <c:pt idx="362">
                  <c:v>1.2345462183697769E-2</c:v>
                </c:pt>
                <c:pt idx="363">
                  <c:v>1.2343912182465383E-2</c:v>
                </c:pt>
                <c:pt idx="364">
                  <c:v>1.2349484004259829E-2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0631896"/>
        <c:axId val="250632288"/>
      </c:lineChart>
      <c:dateAx>
        <c:axId val="2506318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0632288"/>
        <c:crosses val="autoZero"/>
        <c:auto val="1"/>
        <c:lblOffset val="100"/>
        <c:baseTimeUnit val="days"/>
        <c:majorUnit val="1"/>
        <c:majorTimeUnit val="months"/>
      </c:dateAx>
      <c:valAx>
        <c:axId val="2506322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06318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5.6132079633676168E-3</c:v>
                </c:pt>
                <c:pt idx="1">
                  <c:v>5.6349875861396725E-3</c:v>
                </c:pt>
                <c:pt idx="2">
                  <c:v>5.6567667318819792E-3</c:v>
                </c:pt>
                <c:pt idx="3">
                  <c:v>5.678545400605195E-3</c:v>
                </c:pt>
                <c:pt idx="4">
                  <c:v>5.7003235923197559E-3</c:v>
                </c:pt>
                <c:pt idx="5">
                  <c:v>5.7221013070358762E-3</c:v>
                </c:pt>
                <c:pt idx="6">
                  <c:v>5.7438785447642138E-3</c:v>
                </c:pt>
                <c:pt idx="7">
                  <c:v>5.7656553055152049E-3</c:v>
                </c:pt>
                <c:pt idx="8">
                  <c:v>5.7874315892991746E-3</c:v>
                </c:pt>
                <c:pt idx="9">
                  <c:v>5.8092073961266699E-3</c:v>
                </c:pt>
                <c:pt idx="10">
                  <c:v>5.8309827260081271E-3</c:v>
                </c:pt>
                <c:pt idx="11">
                  <c:v>5.8527575789538711E-3</c:v>
                </c:pt>
                <c:pt idx="12">
                  <c:v>5.87453195497456E-3</c:v>
                </c:pt>
                <c:pt idx="13">
                  <c:v>5.8963058540805191E-3</c:v>
                </c:pt>
                <c:pt idx="14">
                  <c:v>5.9180792762821843E-3</c:v>
                </c:pt>
                <c:pt idx="15">
                  <c:v>5.9398522215899918E-3</c:v>
                </c:pt>
                <c:pt idx="16">
                  <c:v>5.9616246900144887E-3</c:v>
                </c:pt>
                <c:pt idx="17">
                  <c:v>5.983396681566E-3</c:v>
                </c:pt>
                <c:pt idx="18">
                  <c:v>6.0051681962550729E-3</c:v>
                </c:pt>
                <c:pt idx="19">
                  <c:v>6.0269392340920325E-3</c:v>
                </c:pt>
                <c:pt idx="20">
                  <c:v>6.0487097950874258E-3</c:v>
                </c:pt>
                <c:pt idx="21">
                  <c:v>6.070479879251689E-3</c:v>
                </c:pt>
                <c:pt idx="22">
                  <c:v>6.0922494865951471E-3</c:v>
                </c:pt>
                <c:pt idx="23">
                  <c:v>6.1140186171284583E-3</c:v>
                </c:pt>
                <c:pt idx="24">
                  <c:v>6.1357872708618366E-3</c:v>
                </c:pt>
                <c:pt idx="25">
                  <c:v>6.1575554478058292E-3</c:v>
                </c:pt>
                <c:pt idx="26">
                  <c:v>6.1793231479709831E-3</c:v>
                </c:pt>
                <c:pt idx="27">
                  <c:v>6.2010903713675125E-3</c:v>
                </c:pt>
                <c:pt idx="28">
                  <c:v>6.2228571180060754E-3</c:v>
                </c:pt>
                <c:pt idx="29">
                  <c:v>6.244623387896997E-3</c:v>
                </c:pt>
                <c:pt idx="30">
                  <c:v>6.2663891810507133E-3</c:v>
                </c:pt>
                <c:pt idx="31">
                  <c:v>6.2881544974777714E-3</c:v>
                </c:pt>
                <c:pt idx="32">
                  <c:v>6.3099193371884965E-3</c:v>
                </c:pt>
                <c:pt idx="33">
                  <c:v>6.3316837001933246E-3</c:v>
                </c:pt>
                <c:pt idx="34">
                  <c:v>6.3534475865028028E-3</c:v>
                </c:pt>
                <c:pt idx="35">
                  <c:v>6.3752109961273673E-3</c:v>
                </c:pt>
                <c:pt idx="36">
                  <c:v>6.3969739290773431E-3</c:v>
                </c:pt>
                <c:pt idx="37">
                  <c:v>6.4187363853632773E-3</c:v>
                </c:pt>
                <c:pt idx="38">
                  <c:v>6.440498364995495E-3</c:v>
                </c:pt>
                <c:pt idx="39">
                  <c:v>6.4622598679845433E-3</c:v>
                </c:pt>
                <c:pt idx="40">
                  <c:v>6.4840208943408584E-3</c:v>
                </c:pt>
                <c:pt idx="41">
                  <c:v>6.5057814440747652E-3</c:v>
                </c:pt>
                <c:pt idx="42">
                  <c:v>6.527541517196811E-3</c:v>
                </c:pt>
                <c:pt idx="43">
                  <c:v>6.5493011137175428E-3</c:v>
                </c:pt>
                <c:pt idx="44">
                  <c:v>6.5710602336470636E-3</c:v>
                </c:pt>
                <c:pt idx="45">
                  <c:v>6.5928188769961427E-3</c:v>
                </c:pt>
                <c:pt idx="46">
                  <c:v>6.614577043775105E-3</c:v>
                </c:pt>
                <c:pt idx="47">
                  <c:v>6.6363347339942758E-3</c:v>
                </c:pt>
                <c:pt idx="48">
                  <c:v>6.658091947664313E-3</c:v>
                </c:pt>
                <c:pt idx="49">
                  <c:v>6.6798486847954308E-3</c:v>
                </c:pt>
                <c:pt idx="50">
                  <c:v>6.7016049453981763E-3</c:v>
                </c:pt>
                <c:pt idx="51">
                  <c:v>6.7233607294829856E-3</c:v>
                </c:pt>
                <c:pt idx="52">
                  <c:v>6.7451160370602947E-3</c:v>
                </c:pt>
                <c:pt idx="53">
                  <c:v>6.7668708681405398E-3</c:v>
                </c:pt>
                <c:pt idx="54">
                  <c:v>6.788625222734157E-3</c:v>
                </c:pt>
                <c:pt idx="55">
                  <c:v>6.8103791008515824E-3</c:v>
                </c:pt>
                <c:pt idx="56">
                  <c:v>6.832132502503252E-3</c:v>
                </c:pt>
                <c:pt idx="57">
                  <c:v>6.853885427699602E-3</c:v>
                </c:pt>
                <c:pt idx="58">
                  <c:v>6.8756378764510684E-3</c:v>
                </c:pt>
                <c:pt idx="59">
                  <c:v>6.8973898487680874E-3</c:v>
                </c:pt>
                <c:pt idx="60">
                  <c:v>6.919141344660984E-3</c:v>
                </c:pt>
                <c:pt idx="61">
                  <c:v>6.9408923641404163E-3</c:v>
                </c:pt>
                <c:pt idx="62">
                  <c:v>6.9626429072165985E-3</c:v>
                </c:pt>
                <c:pt idx="63">
                  <c:v>6.9843929739001887E-3</c:v>
                </c:pt>
                <c:pt idx="64">
                  <c:v>7.0061425642014008E-3</c:v>
                </c:pt>
                <c:pt idx="65">
                  <c:v>7.0278916781307821E-3</c:v>
                </c:pt>
                <c:pt idx="66">
                  <c:v>7.0496403156987686E-3</c:v>
                </c:pt>
                <c:pt idx="67">
                  <c:v>7.0713884769157964E-3</c:v>
                </c:pt>
                <c:pt idx="68">
                  <c:v>7.0931361617923017E-3</c:v>
                </c:pt>
                <c:pt idx="69">
                  <c:v>7.1148833703386094E-3</c:v>
                </c:pt>
                <c:pt idx="70">
                  <c:v>7.1366301025652668E-3</c:v>
                </c:pt>
                <c:pt idx="71">
                  <c:v>7.1583763584827098E-3</c:v>
                </c:pt>
                <c:pt idx="72">
                  <c:v>7.1801221381013747E-3</c:v>
                </c:pt>
                <c:pt idx="73">
                  <c:v>7.2018674414315864E-3</c:v>
                </c:pt>
                <c:pt idx="74">
                  <c:v>7.2236122684837811E-3</c:v>
                </c:pt>
                <c:pt idx="75">
                  <c:v>7.245356619268617E-3</c:v>
                </c:pt>
                <c:pt idx="76">
                  <c:v>7.2671004937961969E-3</c:v>
                </c:pt>
                <c:pt idx="77">
                  <c:v>7.2888438920772902E-3</c:v>
                </c:pt>
                <c:pt idx="78">
                  <c:v>7.3105868141219998E-3</c:v>
                </c:pt>
                <c:pt idx="79">
                  <c:v>7.3323292599409839E-3</c:v>
                </c:pt>
                <c:pt idx="80">
                  <c:v>7.3540712295446786E-3</c:v>
                </c:pt>
                <c:pt idx="81">
                  <c:v>7.3758127229432979E-3</c:v>
                </c:pt>
                <c:pt idx="82">
                  <c:v>7.3975537401475E-3</c:v>
                </c:pt>
                <c:pt idx="83">
                  <c:v>7.4192942811676099E-3</c:v>
                </c:pt>
                <c:pt idx="84">
                  <c:v>7.4410343460141748E-3</c:v>
                </c:pt>
                <c:pt idx="85">
                  <c:v>7.4627739346974087E-3</c:v>
                </c:pt>
                <c:pt idx="86">
                  <c:v>7.4845130472278587E-3</c:v>
                </c:pt>
                <c:pt idx="87">
                  <c:v>7.506251683615961E-3</c:v>
                </c:pt>
                <c:pt idx="88">
                  <c:v>7.5279898438721515E-3</c:v>
                </c:pt>
                <c:pt idx="89">
                  <c:v>7.5497275280068665E-3</c:v>
                </c:pt>
                <c:pt idx="90">
                  <c:v>7.571464736030431E-3</c:v>
                </c:pt>
                <c:pt idx="91">
                  <c:v>7.5932014679533921E-3</c:v>
                </c:pt>
                <c:pt idx="92">
                  <c:v>7.6149377237861859E-3</c:v>
                </c:pt>
                <c:pt idx="93">
                  <c:v>7.6366735035391375E-3</c:v>
                </c:pt>
                <c:pt idx="94">
                  <c:v>7.658408807222794E-3</c:v>
                </c:pt>
                <c:pt idx="95">
                  <c:v>7.6801436348474805E-3</c:v>
                </c:pt>
                <c:pt idx="96">
                  <c:v>7.7018779864236331E-3</c:v>
                </c:pt>
                <c:pt idx="97">
                  <c:v>7.7236118619616878E-3</c:v>
                </c:pt>
                <c:pt idx="98">
                  <c:v>7.7453452614721918E-3</c:v>
                </c:pt>
                <c:pt idx="99">
                  <c:v>7.7670781849653592E-3</c:v>
                </c:pt>
                <c:pt idx="100">
                  <c:v>7.788810632451848E-3</c:v>
                </c:pt>
                <c:pt idx="101">
                  <c:v>7.8105426039418724E-3</c:v>
                </c:pt>
                <c:pt idx="102">
                  <c:v>7.8322740994459794E-3</c:v>
                </c:pt>
                <c:pt idx="103">
                  <c:v>7.8540051189744942E-3</c:v>
                </c:pt>
                <c:pt idx="104">
                  <c:v>7.8757356625379638E-3</c:v>
                </c:pt>
                <c:pt idx="105">
                  <c:v>7.8974657301467133E-3</c:v>
                </c:pt>
                <c:pt idx="106">
                  <c:v>7.9191953218112898E-3</c:v>
                </c:pt>
                <c:pt idx="107">
                  <c:v>7.9409244375420185E-3</c:v>
                </c:pt>
                <c:pt idx="108">
                  <c:v>7.9626530773493354E-3</c:v>
                </c:pt>
                <c:pt idx="109">
                  <c:v>7.9843812412436765E-3</c:v>
                </c:pt>
                <c:pt idx="110">
                  <c:v>8.0061089292354781E-3</c:v>
                </c:pt>
                <c:pt idx="111">
                  <c:v>8.0278361413351762E-3</c:v>
                </c:pt>
                <c:pt idx="112">
                  <c:v>8.0495628775530959E-3</c:v>
                </c:pt>
                <c:pt idx="113">
                  <c:v>8.0712891378997842E-3</c:v>
                </c:pt>
                <c:pt idx="114">
                  <c:v>8.0930149223855663E-3</c:v>
                </c:pt>
                <c:pt idx="115">
                  <c:v>8.1147402310209893E-3</c:v>
                </c:pt>
                <c:pt idx="116">
                  <c:v>8.1364650638162672E-3</c:v>
                </c:pt>
                <c:pt idx="117">
                  <c:v>8.1581894207820582E-3</c:v>
                </c:pt>
                <c:pt idx="118">
                  <c:v>8.1799133019286874E-3</c:v>
                </c:pt>
                <c:pt idx="119">
                  <c:v>8.2016367072664798E-3</c:v>
                </c:pt>
                <c:pt idx="120">
                  <c:v>8.2233596368059825E-3</c:v>
                </c:pt>
                <c:pt idx="121">
                  <c:v>8.2450820905576316E-3</c:v>
                </c:pt>
                <c:pt idx="122">
                  <c:v>8.2668040685317523E-3</c:v>
                </c:pt>
                <c:pt idx="123">
                  <c:v>8.2885255707387806E-3</c:v>
                </c:pt>
                <c:pt idx="124">
                  <c:v>8.3102465971891526E-3</c:v>
                </c:pt>
                <c:pt idx="125">
                  <c:v>8.3319671478934154E-3</c:v>
                </c:pt>
                <c:pt idx="126">
                  <c:v>8.3536872228617831E-3</c:v>
                </c:pt>
                <c:pt idx="127">
                  <c:v>8.3754068221046918E-3</c:v>
                </c:pt>
                <c:pt idx="128">
                  <c:v>8.3971259456327996E-3</c:v>
                </c:pt>
                <c:pt idx="129">
                  <c:v>8.4188445934562095E-3</c:v>
                </c:pt>
                <c:pt idx="130">
                  <c:v>8.4405627655855797E-3</c:v>
                </c:pt>
                <c:pt idx="131">
                  <c:v>8.4622804620312353E-3</c:v>
                </c:pt>
                <c:pt idx="132">
                  <c:v>8.4839976828036123E-3</c:v>
                </c:pt>
                <c:pt idx="133">
                  <c:v>8.5057144279130359E-3</c:v>
                </c:pt>
                <c:pt idx="134">
                  <c:v>8.5274306973701641E-3</c:v>
                </c:pt>
                <c:pt idx="135">
                  <c:v>8.5491464911851001E-3</c:v>
                </c:pt>
                <c:pt idx="136">
                  <c:v>8.5708618093685018E-3</c:v>
                </c:pt>
                <c:pt idx="137">
                  <c:v>8.5925766519306945E-3</c:v>
                </c:pt>
                <c:pt idx="138">
                  <c:v>8.6142910188821142E-3</c:v>
                </c:pt>
                <c:pt idx="139">
                  <c:v>8.636004910233086E-3</c:v>
                </c:pt>
                <c:pt idx="140">
                  <c:v>8.657718325994268E-3</c:v>
                </c:pt>
                <c:pt idx="141">
                  <c:v>8.6794312661757633E-3</c:v>
                </c:pt>
                <c:pt idx="142">
                  <c:v>8.70114373078823E-3</c:v>
                </c:pt>
                <c:pt idx="143">
                  <c:v>8.7228557198419931E-3</c:v>
                </c:pt>
                <c:pt idx="144">
                  <c:v>8.7445672333473778E-3</c:v>
                </c:pt>
                <c:pt idx="145">
                  <c:v>8.7662782713150422E-3</c:v>
                </c:pt>
                <c:pt idx="146">
                  <c:v>8.7879888337552003E-3</c:v>
                </c:pt>
                <c:pt idx="147">
                  <c:v>8.8096989206782883E-3</c:v>
                </c:pt>
                <c:pt idx="148">
                  <c:v>8.8314085320947422E-3</c:v>
                </c:pt>
                <c:pt idx="149">
                  <c:v>8.8531176680149981E-3</c:v>
                </c:pt>
                <c:pt idx="150">
                  <c:v>8.8748263284494922E-3</c:v>
                </c:pt>
                <c:pt idx="151">
                  <c:v>8.8965345134086604E-3</c:v>
                </c:pt>
                <c:pt idx="152">
                  <c:v>8.918242222902828E-3</c:v>
                </c:pt>
                <c:pt idx="153">
                  <c:v>8.9399494569424309E-3</c:v>
                </c:pt>
                <c:pt idx="154">
                  <c:v>8.9616562155379054E-3</c:v>
                </c:pt>
                <c:pt idx="155">
                  <c:v>8.9833624986995764E-3</c:v>
                </c:pt>
                <c:pt idx="156">
                  <c:v>9.0050683064379911E-3</c:v>
                </c:pt>
                <c:pt idx="157">
                  <c:v>9.0267736387635855E-3</c:v>
                </c:pt>
                <c:pt idx="158">
                  <c:v>9.0484784956865738E-3</c:v>
                </c:pt>
                <c:pt idx="159">
                  <c:v>9.0701828772176141E-3</c:v>
                </c:pt>
                <c:pt idx="160">
                  <c:v>9.0918867833669204E-3</c:v>
                </c:pt>
                <c:pt idx="161">
                  <c:v>9.1135902141450398E-3</c:v>
                </c:pt>
                <c:pt idx="162">
                  <c:v>9.1352931695622974E-3</c:v>
                </c:pt>
                <c:pt idx="163">
                  <c:v>9.1569956496290184E-3</c:v>
                </c:pt>
                <c:pt idx="164">
                  <c:v>9.1786976543558607E-3</c:v>
                </c:pt>
                <c:pt idx="165">
                  <c:v>9.2003991837530386E-3</c:v>
                </c:pt>
                <c:pt idx="166">
                  <c:v>9.222100237831099E-3</c:v>
                </c:pt>
                <c:pt idx="167">
                  <c:v>9.2438008166003671E-3</c:v>
                </c:pt>
                <c:pt idx="168">
                  <c:v>9.265500920071168E-3</c:v>
                </c:pt>
                <c:pt idx="169">
                  <c:v>9.2872005482541597E-3</c:v>
                </c:pt>
                <c:pt idx="170">
                  <c:v>9.3088997011595565E-3</c:v>
                </c:pt>
                <c:pt idx="171">
                  <c:v>9.3305983787976832E-3</c:v>
                </c:pt>
                <c:pt idx="172">
                  <c:v>9.352296581179198E-3</c:v>
                </c:pt>
                <c:pt idx="173">
                  <c:v>9.3739943083144261E-3</c:v>
                </c:pt>
                <c:pt idx="174">
                  <c:v>9.3956915602136926E-3</c:v>
                </c:pt>
                <c:pt idx="175">
                  <c:v>9.4173883368874334E-3</c:v>
                </c:pt>
                <c:pt idx="176">
                  <c:v>9.4390846383460847E-3</c:v>
                </c:pt>
                <c:pt idx="177">
                  <c:v>9.4607804646000826E-3</c:v>
                </c:pt>
                <c:pt idx="178">
                  <c:v>9.4824758156598632E-3</c:v>
                </c:pt>
                <c:pt idx="179">
                  <c:v>9.5041706915357516E-3</c:v>
                </c:pt>
                <c:pt idx="180">
                  <c:v>9.5258650922380728E-3</c:v>
                </c:pt>
                <c:pt idx="181">
                  <c:v>9.5475590177774849E-3</c:v>
                </c:pt>
                <c:pt idx="182">
                  <c:v>9.5692524681640911E-3</c:v>
                </c:pt>
                <c:pt idx="183">
                  <c:v>9.5909454434085495E-3</c:v>
                </c:pt>
                <c:pt idx="184">
                  <c:v>9.6126379435211851E-3</c:v>
                </c:pt>
                <c:pt idx="185">
                  <c:v>9.634329968512434E-3</c:v>
                </c:pt>
                <c:pt idx="186">
                  <c:v>9.6560215183926212E-3</c:v>
                </c:pt>
                <c:pt idx="187">
                  <c:v>9.677712593172183E-3</c:v>
                </c:pt>
                <c:pt idx="188">
                  <c:v>9.6994031928615554E-3</c:v>
                </c:pt>
                <c:pt idx="189">
                  <c:v>9.7210933174710634E-3</c:v>
                </c:pt>
                <c:pt idx="190">
                  <c:v>9.7427829670112542E-3</c:v>
                </c:pt>
                <c:pt idx="191">
                  <c:v>9.7644721414924529E-3</c:v>
                </c:pt>
                <c:pt idx="192">
                  <c:v>9.7861608409249845E-3</c:v>
                </c:pt>
                <c:pt idx="193">
                  <c:v>9.8078490653193962E-3</c:v>
                </c:pt>
                <c:pt idx="194">
                  <c:v>9.8295368146860129E-3</c:v>
                </c:pt>
                <c:pt idx="195">
                  <c:v>9.8512240890352709E-3</c:v>
                </c:pt>
                <c:pt idx="196">
                  <c:v>9.8729108883776062E-3</c:v>
                </c:pt>
                <c:pt idx="197">
                  <c:v>9.8945972127233439E-3</c:v>
                </c:pt>
                <c:pt idx="198">
                  <c:v>9.9162830620829201E-3</c:v>
                </c:pt>
                <c:pt idx="199">
                  <c:v>9.9379684364667709E-3</c:v>
                </c:pt>
                <c:pt idx="200">
                  <c:v>9.9596533358852213E-3</c:v>
                </c:pt>
                <c:pt idx="201">
                  <c:v>9.9813377603487075E-3</c:v>
                </c:pt>
                <c:pt idx="202">
                  <c:v>1.0003021709867665E-2</c:v>
                </c:pt>
                <c:pt idx="203">
                  <c:v>1.0024705184452531E-2</c:v>
                </c:pt>
                <c:pt idx="204">
                  <c:v>1.0046388184113519E-2</c:v>
                </c:pt>
                <c:pt idx="205">
                  <c:v>1.0068070708861288E-2</c:v>
                </c:pt>
                <c:pt idx="206">
                  <c:v>1.0089752758706161E-2</c:v>
                </c:pt>
                <c:pt idx="207">
                  <c:v>1.0111434333658353E-2</c:v>
                </c:pt>
                <c:pt idx="208">
                  <c:v>1.0133115433728523E-2</c:v>
                </c:pt>
                <c:pt idx="209">
                  <c:v>1.0154796058926885E-2</c:v>
                </c:pt>
                <c:pt idx="210">
                  <c:v>1.0176476209263985E-2</c:v>
                </c:pt>
                <c:pt idx="211">
                  <c:v>1.0198155884750038E-2</c:v>
                </c:pt>
                <c:pt idx="212">
                  <c:v>1.0219835085395701E-2</c:v>
                </c:pt>
                <c:pt idx="213">
                  <c:v>1.0241513811211078E-2</c:v>
                </c:pt>
                <c:pt idx="214">
                  <c:v>1.0263192062206827E-2</c:v>
                </c:pt>
                <c:pt idx="215">
                  <c:v>1.0284869838393274E-2</c:v>
                </c:pt>
                <c:pt idx="216">
                  <c:v>1.0306547139780742E-2</c:v>
                </c:pt>
                <c:pt idx="217">
                  <c:v>1.0328223966379668E-2</c:v>
                </c:pt>
                <c:pt idx="218">
                  <c:v>1.0349900318200489E-2</c:v>
                </c:pt>
                <c:pt idx="219">
                  <c:v>1.0371576195253529E-2</c:v>
                </c:pt>
                <c:pt idx="220">
                  <c:v>1.0393251597549225E-2</c:v>
                </c:pt>
                <c:pt idx="221">
                  <c:v>1.0414926525098012E-2</c:v>
                </c:pt>
                <c:pt idx="222">
                  <c:v>1.0436600977910215E-2</c:v>
                </c:pt>
                <c:pt idx="223">
                  <c:v>1.0458274955996383E-2</c:v>
                </c:pt>
                <c:pt idx="224">
                  <c:v>1.0479948459366728E-2</c:v>
                </c:pt>
                <c:pt idx="225">
                  <c:v>1.0501621488031687E-2</c:v>
                </c:pt>
                <c:pt idx="226">
                  <c:v>1.0523294042001807E-2</c:v>
                </c:pt>
                <c:pt idx="227">
                  <c:v>1.0544966121287302E-2</c:v>
                </c:pt>
                <c:pt idx="228">
                  <c:v>1.0566637725898609E-2</c:v>
                </c:pt>
                <c:pt idx="229">
                  <c:v>1.0588308855846162E-2</c:v>
                </c:pt>
                <c:pt idx="230">
                  <c:v>1.0609979511140399E-2</c:v>
                </c:pt>
                <c:pt idx="231">
                  <c:v>1.0631649691791645E-2</c:v>
                </c:pt>
                <c:pt idx="232">
                  <c:v>1.0653319397810335E-2</c:v>
                </c:pt>
                <c:pt idx="233">
                  <c:v>1.0674988629206905E-2</c:v>
                </c:pt>
                <c:pt idx="234">
                  <c:v>1.069665738599157E-2</c:v>
                </c:pt>
                <c:pt idx="235">
                  <c:v>1.0718325668174988E-2</c:v>
                </c:pt>
                <c:pt idx="236">
                  <c:v>1.0739993475767262E-2</c:v>
                </c:pt>
                <c:pt idx="237">
                  <c:v>1.076166080877905E-2</c:v>
                </c:pt>
                <c:pt idx="238">
                  <c:v>1.0783327667220677E-2</c:v>
                </c:pt>
                <c:pt idx="239">
                  <c:v>1.0804994051102357E-2</c:v>
                </c:pt>
                <c:pt idx="240">
                  <c:v>1.0826659960434748E-2</c:v>
                </c:pt>
                <c:pt idx="241">
                  <c:v>1.0848325395228064E-2</c:v>
                </c:pt>
                <c:pt idx="242">
                  <c:v>1.0869990355492742E-2</c:v>
                </c:pt>
                <c:pt idx="243">
                  <c:v>1.0891654841239218E-2</c:v>
                </c:pt>
                <c:pt idx="244">
                  <c:v>1.0913318852477816E-2</c:v>
                </c:pt>
                <c:pt idx="245">
                  <c:v>1.0934982389218972E-2</c:v>
                </c:pt>
                <c:pt idx="246">
                  <c:v>1.0956645451473124E-2</c:v>
                </c:pt>
                <c:pt idx="247">
                  <c:v>1.0978308039250595E-2</c:v>
                </c:pt>
                <c:pt idx="248">
                  <c:v>1.0999970152561822E-2</c:v>
                </c:pt>
                <c:pt idx="249">
                  <c:v>1.102163179141713E-2</c:v>
                </c:pt>
                <c:pt idx="250">
                  <c:v>1.1043292955826955E-2</c:v>
                </c:pt>
                <c:pt idx="251">
                  <c:v>1.1064953645801734E-2</c:v>
                </c:pt>
                <c:pt idx="252">
                  <c:v>1.1086613861351791E-2</c:v>
                </c:pt>
                <c:pt idx="253">
                  <c:v>1.1108273602487562E-2</c:v>
                </c:pt>
                <c:pt idx="254">
                  <c:v>1.1129932869219372E-2</c:v>
                </c:pt>
                <c:pt idx="255">
                  <c:v>1.1151591661557658E-2</c:v>
                </c:pt>
                <c:pt idx="256">
                  <c:v>1.1173249979512745E-2</c:v>
                </c:pt>
                <c:pt idx="257">
                  <c:v>1.1194907823095179E-2</c:v>
                </c:pt>
                <c:pt idx="258">
                  <c:v>1.1216565192315286E-2</c:v>
                </c:pt>
                <c:pt idx="259">
                  <c:v>1.1238222087183281E-2</c:v>
                </c:pt>
                <c:pt idx="260">
                  <c:v>1.125987850770982E-2</c:v>
                </c:pt>
                <c:pt idx="261">
                  <c:v>1.1281534453905118E-2</c:v>
                </c:pt>
                <c:pt idx="262">
                  <c:v>1.1303189925779611E-2</c:v>
                </c:pt>
                <c:pt idx="263">
                  <c:v>1.1324844923343735E-2</c:v>
                </c:pt>
                <c:pt idx="264">
                  <c:v>1.1346499446607816E-2</c:v>
                </c:pt>
                <c:pt idx="265">
                  <c:v>1.1368153495582289E-2</c:v>
                </c:pt>
                <c:pt idx="266">
                  <c:v>1.138980707027748E-2</c:v>
                </c:pt>
                <c:pt idx="267">
                  <c:v>1.1411460170703824E-2</c:v>
                </c:pt>
                <c:pt idx="268">
                  <c:v>1.1433112796871647E-2</c:v>
                </c:pt>
                <c:pt idx="269">
                  <c:v>1.1454764948791496E-2</c:v>
                </c:pt>
                <c:pt idx="270">
                  <c:v>1.1476416626473585E-2</c:v>
                </c:pt>
                <c:pt idx="271">
                  <c:v>1.1498067829928349E-2</c:v>
                </c:pt>
                <c:pt idx="272">
                  <c:v>1.1519718559166225E-2</c:v>
                </c:pt>
                <c:pt idx="273">
                  <c:v>1.1541368814197539E-2</c:v>
                </c:pt>
                <c:pt idx="274">
                  <c:v>1.1563018595032615E-2</c:v>
                </c:pt>
                <c:pt idx="275">
                  <c:v>1.1584667901682111E-2</c:v>
                </c:pt>
                <c:pt idx="276">
                  <c:v>1.160631673415613E-2</c:v>
                </c:pt>
                <c:pt idx="277">
                  <c:v>1.1627965092465109E-2</c:v>
                </c:pt>
                <c:pt idx="278">
                  <c:v>1.1649612976619594E-2</c:v>
                </c:pt>
                <c:pt idx="279">
                  <c:v>1.16712603866298E-2</c:v>
                </c:pt>
                <c:pt idx="280">
                  <c:v>1.1692907322506163E-2</c:v>
                </c:pt>
                <c:pt idx="281">
                  <c:v>1.1714553784259119E-2</c:v>
                </c:pt>
                <c:pt idx="282">
                  <c:v>1.1736199771898992E-2</c:v>
                </c:pt>
                <c:pt idx="283">
                  <c:v>1.1757845285436108E-2</c:v>
                </c:pt>
                <c:pt idx="284">
                  <c:v>1.1779490324881015E-2</c:v>
                </c:pt>
                <c:pt idx="285">
                  <c:v>1.1801134890244036E-2</c:v>
                </c:pt>
                <c:pt idx="286">
                  <c:v>1.1822778981535387E-2</c:v>
                </c:pt>
                <c:pt idx="287">
                  <c:v>1.1844422598765725E-2</c:v>
                </c:pt>
                <c:pt idx="288">
                  <c:v>1.1866065741945264E-2</c:v>
                </c:pt>
                <c:pt idx="289">
                  <c:v>1.1887708411084441E-2</c:v>
                </c:pt>
                <c:pt idx="290">
                  <c:v>1.1909350606193581E-2</c:v>
                </c:pt>
                <c:pt idx="291">
                  <c:v>1.1930992327283008E-2</c:v>
                </c:pt>
                <c:pt idx="292">
                  <c:v>1.195263357436338E-2</c:v>
                </c:pt>
                <c:pt idx="293">
                  <c:v>1.1974274347444802E-2</c:v>
                </c:pt>
                <c:pt idx="294">
                  <c:v>1.199591464653782E-2</c:v>
                </c:pt>
                <c:pt idx="295">
                  <c:v>1.2017554471652647E-2</c:v>
                </c:pt>
                <c:pt idx="296">
                  <c:v>1.2039193822799832E-2</c:v>
                </c:pt>
                <c:pt idx="297">
                  <c:v>1.2060832699989699E-2</c:v>
                </c:pt>
                <c:pt idx="298">
                  <c:v>1.2082471103232573E-2</c:v>
                </c:pt>
                <c:pt idx="299">
                  <c:v>1.210410903253889E-2</c:v>
                </c:pt>
                <c:pt idx="300">
                  <c:v>1.2125746487919087E-2</c:v>
                </c:pt>
                <c:pt idx="301">
                  <c:v>1.2147383469383488E-2</c:v>
                </c:pt>
                <c:pt idx="302">
                  <c:v>1.2169019976942308E-2</c:v>
                </c:pt>
                <c:pt idx="303">
                  <c:v>1.2190656010606205E-2</c:v>
                </c:pt>
                <c:pt idx="304">
                  <c:v>1.2212291570385503E-2</c:v>
                </c:pt>
                <c:pt idx="305">
                  <c:v>1.2233926656290417E-2</c:v>
                </c:pt>
                <c:pt idx="306">
                  <c:v>1.2255561268331383E-2</c:v>
                </c:pt>
                <c:pt idx="307">
                  <c:v>1.2277195406518948E-2</c:v>
                </c:pt>
                <c:pt idx="308">
                  <c:v>1.2298829070863326E-2</c:v>
                </c:pt>
                <c:pt idx="309">
                  <c:v>1.2320462261374843E-2</c:v>
                </c:pt>
                <c:pt idx="310">
                  <c:v>1.2342094978064044E-2</c:v>
                </c:pt>
                <c:pt idx="311">
                  <c:v>1.2363727220941256E-2</c:v>
                </c:pt>
                <c:pt idx="312">
                  <c:v>1.2385358990016804E-2</c:v>
                </c:pt>
                <c:pt idx="313">
                  <c:v>1.2406990285301012E-2</c:v>
                </c:pt>
                <c:pt idx="314">
                  <c:v>1.2428621106804427E-2</c:v>
                </c:pt>
                <c:pt idx="315">
                  <c:v>1.2450251454537375E-2</c:v>
                </c:pt>
                <c:pt idx="316">
                  <c:v>1.247188132851007E-2</c:v>
                </c:pt>
                <c:pt idx="317">
                  <c:v>1.2493510728733059E-2</c:v>
                </c:pt>
                <c:pt idx="318">
                  <c:v>1.2515139655216778E-2</c:v>
                </c:pt>
                <c:pt idx="319">
                  <c:v>1.253676810797133E-2</c:v>
                </c:pt>
                <c:pt idx="320">
                  <c:v>1.2558396087007373E-2</c:v>
                </c:pt>
                <c:pt idx="321">
                  <c:v>1.2580023592335121E-2</c:v>
                </c:pt>
                <c:pt idx="322">
                  <c:v>1.2601650623965011E-2</c:v>
                </c:pt>
                <c:pt idx="323">
                  <c:v>1.2623277181907477E-2</c:v>
                </c:pt>
                <c:pt idx="324">
                  <c:v>1.2644903266172736E-2</c:v>
                </c:pt>
                <c:pt idx="325">
                  <c:v>1.2666528876771221E-2</c:v>
                </c:pt>
                <c:pt idx="326">
                  <c:v>1.2688154013713371E-2</c:v>
                </c:pt>
                <c:pt idx="327">
                  <c:v>1.270977867700962E-2</c:v>
                </c:pt>
                <c:pt idx="328">
                  <c:v>1.2731402866670072E-2</c:v>
                </c:pt>
                <c:pt idx="329">
                  <c:v>1.2753026582705385E-2</c:v>
                </c:pt>
                <c:pt idx="330">
                  <c:v>1.2774649825125772E-2</c:v>
                </c:pt>
                <c:pt idx="331">
                  <c:v>1.2796272593941671E-2</c:v>
                </c:pt>
                <c:pt idx="332">
                  <c:v>1.2817894889163517E-2</c:v>
                </c:pt>
                <c:pt idx="333">
                  <c:v>1.2839516710801524E-2</c:v>
                </c:pt>
                <c:pt idx="334">
                  <c:v>1.2861138058866128E-2</c:v>
                </c:pt>
                <c:pt idx="335">
                  <c:v>1.2882758933367766E-2</c:v>
                </c:pt>
                <c:pt idx="336">
                  <c:v>1.2904379334316651E-2</c:v>
                </c:pt>
                <c:pt idx="337">
                  <c:v>1.2925999261723442E-2</c:v>
                </c:pt>
                <c:pt idx="338">
                  <c:v>1.2947618715598241E-2</c:v>
                </c:pt>
                <c:pt idx="339">
                  <c:v>1.2969237695951485E-2</c:v>
                </c:pt>
                <c:pt idx="340">
                  <c:v>1.299085620279361E-2</c:v>
                </c:pt>
                <c:pt idx="341">
                  <c:v>1.3012474236134941E-2</c:v>
                </c:pt>
                <c:pt idx="342">
                  <c:v>1.3034091795985914E-2</c:v>
                </c:pt>
                <c:pt idx="343">
                  <c:v>1.3055708882356853E-2</c:v>
                </c:pt>
                <c:pt idx="344">
                  <c:v>1.3077325495258085E-2</c:v>
                </c:pt>
                <c:pt idx="345">
                  <c:v>1.3098941634700045E-2</c:v>
                </c:pt>
                <c:pt idx="346">
                  <c:v>1.3120557300692948E-2</c:v>
                </c:pt>
                <c:pt idx="347">
                  <c:v>1.314217249324745E-2</c:v>
                </c:pt>
                <c:pt idx="348">
                  <c:v>1.3163787212373657E-2</c:v>
                </c:pt>
                <c:pt idx="349">
                  <c:v>1.3185401458082113E-2</c:v>
                </c:pt>
                <c:pt idx="350">
                  <c:v>1.3207015230383035E-2</c:v>
                </c:pt>
                <c:pt idx="351">
                  <c:v>1.3228628529286968E-2</c:v>
                </c:pt>
                <c:pt idx="352">
                  <c:v>1.3250241354804126E-2</c:v>
                </c:pt>
                <c:pt idx="353">
                  <c:v>1.3271853706944947E-2</c:v>
                </c:pt>
                <c:pt idx="354">
                  <c:v>1.3293465585719866E-2</c:v>
                </c:pt>
                <c:pt idx="355">
                  <c:v>1.3315076991139096E-2</c:v>
                </c:pt>
                <c:pt idx="356">
                  <c:v>1.3336687923213075E-2</c:v>
                </c:pt>
                <c:pt idx="357">
                  <c:v>1.3358298381952127E-2</c:v>
                </c:pt>
                <c:pt idx="358">
                  <c:v>1.33799083673668E-2</c:v>
                </c:pt>
                <c:pt idx="359">
                  <c:v>1.3401517879467306E-2</c:v>
                </c:pt>
                <c:pt idx="360">
                  <c:v>1.3423126918263972E-2</c:v>
                </c:pt>
                <c:pt idx="361">
                  <c:v>1.3444735483767234E-2</c:v>
                </c:pt>
                <c:pt idx="362">
                  <c:v>1.3466343575987527E-2</c:v>
                </c:pt>
                <c:pt idx="363">
                  <c:v>1.3487951194935066E-2</c:v>
                </c:pt>
                <c:pt idx="364">
                  <c:v>1.3509558340620287E-2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4.1569954156360278E-2</c:v>
                </c:pt>
                <c:pt idx="1">
                  <c:v>4.1703139721297661E-2</c:v>
                </c:pt>
                <c:pt idx="2">
                  <c:v>4.1836224044123835E-2</c:v>
                </c:pt>
                <c:pt idx="3">
                  <c:v>4.1969198485675117E-2</c:v>
                </c:pt>
                <c:pt idx="4">
                  <c:v>4.2102055549219614E-2</c:v>
                </c:pt>
                <c:pt idx="5">
                  <c:v>4.2234788859810579E-2</c:v>
                </c:pt>
                <c:pt idx="6">
                  <c:v>4.2367393133449199E-2</c:v>
                </c:pt>
                <c:pt idx="7">
                  <c:v>4.2499864136666857E-2</c:v>
                </c:pt>
                <c:pt idx="8">
                  <c:v>4.2632198637219468E-2</c:v>
                </c:pt>
                <c:pt idx="9">
                  <c:v>4.2764394346659955E-2</c:v>
                </c:pt>
                <c:pt idx="10">
                  <c:v>4.2896449855621271E-2</c:v>
                </c:pt>
                <c:pt idx="11">
                  <c:v>4.302836456269795E-2</c:v>
                </c:pt>
                <c:pt idx="12">
                  <c:v>4.3160138597862115E-2</c:v>
                </c:pt>
                <c:pt idx="13">
                  <c:v>4.3291772741386257E-2</c:v>
                </c:pt>
                <c:pt idx="14">
                  <c:v>4.3423268339272153E-2</c:v>
                </c:pt>
                <c:pt idx="15">
                  <c:v>4.3554627216202166E-2</c:v>
                </c:pt>
                <c:pt idx="16">
                  <c:v>4.3685851587034891E-2</c:v>
                </c:pt>
                <c:pt idx="17">
                  <c:v>4.3816943967862947E-2</c:v>
                </c:pt>
                <c:pt idx="18">
                  <c:v>4.3947907087637177E-2</c:v>
                </c:pt>
                <c:pt idx="19">
                  <c:v>4.4078743801335959E-2</c:v>
                </c:pt>
                <c:pt idx="20">
                  <c:v>4.4209457005625764E-2</c:v>
                </c:pt>
                <c:pt idx="21">
                  <c:v>4.434004955791572E-2</c:v>
                </c:pt>
                <c:pt idx="22">
                  <c:v>4.4470524199657059E-2</c:v>
                </c:pt>
                <c:pt idx="23">
                  <c:v>4.4600883484680387E-2</c:v>
                </c:pt>
                <c:pt idx="24">
                  <c:v>4.4731129713295563E-2</c:v>
                </c:pt>
                <c:pt idx="25">
                  <c:v>4.4861264872807269E-2</c:v>
                </c:pt>
                <c:pt idx="26">
                  <c:v>4.4991290585020452E-2</c:v>
                </c:pt>
                <c:pt idx="27">
                  <c:v>4.5121208061226305E-2</c:v>
                </c:pt>
                <c:pt idx="28">
                  <c:v>4.5251018065072965E-2</c:v>
                </c:pt>
                <c:pt idx="29">
                  <c:v>4.5380720883635088E-2</c:v>
                </c:pt>
                <c:pt idx="30">
                  <c:v>4.5510316306904497E-2</c:v>
                </c:pt>
                <c:pt idx="31">
                  <c:v>4.5639803615832121E-2</c:v>
                </c:pt>
                <c:pt idx="32">
                  <c:v>4.5769181578958415E-2</c:v>
                </c:pt>
                <c:pt idx="33">
                  <c:v>4.5898448457578643E-2</c:v>
                </c:pt>
                <c:pt idx="34">
                  <c:v>4.6027602019299417E-2</c:v>
                </c:pt>
                <c:pt idx="35">
                  <c:v>4.6156639559757205E-2</c:v>
                </c:pt>
                <c:pt idx="36">
                  <c:v>4.6285557932186243E-2</c:v>
                </c:pt>
                <c:pt idx="37">
                  <c:v>4.6414353584445713E-2</c:v>
                </c:pt>
                <c:pt idx="38">
                  <c:v>4.6543022603043258E-2</c:v>
                </c:pt>
                <c:pt idx="39">
                  <c:v>4.6671560763625233E-2</c:v>
                </c:pt>
                <c:pt idx="40">
                  <c:v>4.6799963587344853E-2</c:v>
                </c:pt>
                <c:pt idx="41">
                  <c:v>4.6928226402465502E-2</c:v>
                </c:pt>
                <c:pt idx="42">
                  <c:v>4.7056344410513054E-2</c:v>
                </c:pt>
                <c:pt idx="43">
                  <c:v>4.7184312756252948E-2</c:v>
                </c:pt>
                <c:pt idx="44">
                  <c:v>4.7312126600739302E-2</c:v>
                </c:pt>
                <c:pt idx="45">
                  <c:v>4.7439781196664081E-2</c:v>
                </c:pt>
                <c:pt idx="46">
                  <c:v>4.7567271965221279E-2</c:v>
                </c:pt>
                <c:pt idx="47">
                  <c:v>4.7694594573699192E-2</c:v>
                </c:pt>
                <c:pt idx="48">
                  <c:v>4.7821745013018696E-2</c:v>
                </c:pt>
                <c:pt idx="49">
                  <c:v>4.7948719674448907E-2</c:v>
                </c:pt>
                <c:pt idx="50">
                  <c:v>4.8075515424753308E-2</c:v>
                </c:pt>
                <c:pt idx="51">
                  <c:v>4.8202129679048307E-2</c:v>
                </c:pt>
                <c:pt idx="52">
                  <c:v>4.8328560470692117E-2</c:v>
                </c:pt>
                <c:pt idx="53">
                  <c:v>4.8454806517564897E-2</c:v>
                </c:pt>
                <c:pt idx="54">
                  <c:v>4.8580867284148933E-2</c:v>
                </c:pt>
                <c:pt idx="55">
                  <c:v>4.8706743038872298E-2</c:v>
                </c:pt>
                <c:pt idx="56">
                  <c:v>4.8832434906236968E-2</c:v>
                </c:pt>
                <c:pt idx="57">
                  <c:v>4.8957944913315218E-2</c:v>
                </c:pt>
                <c:pt idx="58">
                  <c:v>4.9083276030263155E-2</c:v>
                </c:pt>
                <c:pt idx="59">
                  <c:v>4.9208432204567186E-2</c:v>
                </c:pt>
                <c:pt idx="60">
                  <c:v>4.9333418388808982E-2</c:v>
                </c:pt>
                <c:pt idx="61">
                  <c:v>4.9458240561802827E-2</c:v>
                </c:pt>
                <c:pt idx="62">
                  <c:v>4.9582905743029128E-2</c:v>
                </c:pt>
                <c:pt idx="63">
                  <c:v>4.9707422000355161E-2</c:v>
                </c:pt>
                <c:pt idx="64">
                  <c:v>4.9831798451100986E-2</c:v>
                </c:pt>
                <c:pt idx="65">
                  <c:v>4.9956045256571213E-2</c:v>
                </c:pt>
                <c:pt idx="66">
                  <c:v>5.0080173610234015E-2</c:v>
                </c:pt>
                <c:pt idx="67">
                  <c:v>5.0204195719784808E-2</c:v>
                </c:pt>
                <c:pt idx="68">
                  <c:v>5.0328124783383187E-2</c:v>
                </c:pt>
                <c:pt idx="69">
                  <c:v>5.0451974960398958E-2</c:v>
                </c:pt>
                <c:pt idx="70">
                  <c:v>5.0575761337043175E-2</c:v>
                </c:pt>
                <c:pt idx="71">
                  <c:v>5.0699499887295267E-2</c:v>
                </c:pt>
                <c:pt idx="72">
                  <c:v>5.0823207429566183E-2</c:v>
                </c:pt>
                <c:pt idx="73">
                  <c:v>5.0946901579558709E-2</c:v>
                </c:pt>
                <c:pt idx="74">
                  <c:v>5.1070600699802668E-2</c:v>
                </c:pt>
                <c:pt idx="75">
                  <c:v>5.1194323846349928E-2</c:v>
                </c:pt>
                <c:pt idx="76">
                  <c:v>5.1318090713117562E-2</c:v>
                </c:pt>
                <c:pt idx="77">
                  <c:v>5.144192157436181E-2</c:v>
                </c:pt>
                <c:pt idx="78">
                  <c:v>5.1565837225754842E-2</c:v>
                </c:pt>
                <c:pt idx="79">
                  <c:v>5.1689858924519612E-2</c:v>
                </c:pt>
                <c:pt idx="80">
                  <c:v>5.1814008329054695E-2</c:v>
                </c:pt>
                <c:pt idx="81">
                  <c:v>5.1938307438453409E-2</c:v>
                </c:pt>
                <c:pt idx="82">
                  <c:v>5.2062778532288204E-2</c:v>
                </c:pt>
                <c:pt idx="83">
                  <c:v>5.2187444110994685E-2</c:v>
                </c:pt>
                <c:pt idx="84">
                  <c:v>5.2312326837148336E-2</c:v>
                </c:pt>
                <c:pt idx="85">
                  <c:v>5.2437449477883667E-2</c:v>
                </c:pt>
                <c:pt idx="86">
                  <c:v>5.2562834848659444E-2</c:v>
                </c:pt>
                <c:pt idx="87">
                  <c:v>5.2688505758525905E-2</c:v>
                </c:pt>
                <c:pt idx="88">
                  <c:v>5.281448495700166E-2</c:v>
                </c:pt>
                <c:pt idx="89">
                  <c:v>5.2940795082619563E-2</c:v>
                </c:pt>
                <c:pt idx="90">
                  <c:v>5.3067458613152867E-2</c:v>
                </c:pt>
                <c:pt idx="91">
                  <c:v>5.3194497817486794E-2</c:v>
                </c:pt>
                <c:pt idx="92">
                  <c:v>5.3321934709056204E-2</c:v>
                </c:pt>
                <c:pt idx="93">
                  <c:v>5.3449791000728927E-2</c:v>
                </c:pt>
                <c:pt idx="94">
                  <c:v>5.3578088060975998E-2</c:v>
                </c:pt>
                <c:pt idx="95">
                  <c:v>5.3706846871136284E-2</c:v>
                </c:pt>
                <c:pt idx="96">
                  <c:v>5.3836087983554111E-2</c:v>
                </c:pt>
                <c:pt idx="97">
                  <c:v>5.3965831480343243E-2</c:v>
                </c:pt>
                <c:pt idx="98">
                  <c:v>5.4096096932513445E-2</c:v>
                </c:pt>
                <c:pt idx="99">
                  <c:v>5.4226903359181546E-2</c:v>
                </c:pt>
                <c:pt idx="100">
                  <c:v>5.4358269186583506E-2</c:v>
                </c:pt>
                <c:pt idx="101">
                  <c:v>5.4490212206602821E-2</c:v>
                </c:pt>
                <c:pt idx="102">
                  <c:v>5.4622749534537281E-2</c:v>
                </c:pt>
                <c:pt idx="103">
                  <c:v>5.4755897565838076E-2</c:v>
                </c:pt>
                <c:pt idx="104">
                  <c:v>5.4889671931574936E-2</c:v>
                </c:pt>
                <c:pt idx="105">
                  <c:v>5.5024087452404925E-2</c:v>
                </c:pt>
                <c:pt idx="106">
                  <c:v>5.5159158090854699E-2</c:v>
                </c:pt>
                <c:pt idx="107">
                  <c:v>5.52948969017618E-2</c:v>
                </c:pt>
                <c:pt idx="108">
                  <c:v>5.5431315980762758E-2</c:v>
                </c:pt>
                <c:pt idx="109">
                  <c:v>5.5568426410761977E-2</c:v>
                </c:pt>
                <c:pt idx="110">
                  <c:v>5.5706238206366242E-2</c:v>
                </c:pt>
                <c:pt idx="111">
                  <c:v>5.5844760256323581E-2</c:v>
                </c:pt>
                <c:pt idx="112">
                  <c:v>5.5984000264061931E-2</c:v>
                </c:pt>
                <c:pt idx="113">
                  <c:v>5.6123964686482307E-2</c:v>
                </c:pt>
                <c:pt idx="114">
                  <c:v>5.6264658671221025E-2</c:v>
                </c:pt>
                <c:pt idx="115">
                  <c:v>5.6406085992656285E-2</c:v>
                </c:pt>
                <c:pt idx="116">
                  <c:v>5.654824898699487E-2</c:v>
                </c:pt>
                <c:pt idx="117">
                  <c:v>5.6691148486833286E-2</c:v>
                </c:pt>
                <c:pt idx="118">
                  <c:v>5.683478375564497E-2</c:v>
                </c:pt>
                <c:pt idx="119">
                  <c:v>5.6979152422699263E-2</c:v>
                </c:pt>
                <c:pt idx="120">
                  <c:v>5.7124250418967758E-2</c:v>
                </c:pt>
                <c:pt idx="121">
                  <c:v>5.7270071914619546E-2</c:v>
                </c:pt>
                <c:pt idx="122">
                  <c:v>5.7416609258747538E-2</c:v>
                </c:pt>
                <c:pt idx="123">
                  <c:v>5.756385292200198E-2</c:v>
                </c:pt>
                <c:pt idx="124">
                  <c:v>5.7711791442835371E-2</c:v>
                </c:pt>
                <c:pt idx="125">
                  <c:v>5.7860411378083218E-2</c:v>
                </c:pt>
                <c:pt idx="126">
                  <c:v>5.8009697258618285E-2</c:v>
                </c:pt>
                <c:pt idx="127">
                  <c:v>5.8159631550819844E-2</c:v>
                </c:pt>
                <c:pt idx="128">
                  <c:v>5.8310194624595843E-2</c:v>
                </c:pt>
                <c:pt idx="129">
                  <c:v>5.8461364728683615E-2</c:v>
                </c:pt>
                <c:pt idx="130">
                  <c:v>5.8613117973931747E-2</c:v>
                </c:pt>
                <c:pt idx="131">
                  <c:v>5.8765428325236943E-2</c:v>
                </c:pt>
                <c:pt idx="132">
                  <c:v>5.8918267602768352E-2</c:v>
                </c:pt>
                <c:pt idx="133">
                  <c:v>5.9071605493064901E-2</c:v>
                </c:pt>
                <c:pt idx="134">
                  <c:v>5.9225409570533717E-2</c:v>
                </c:pt>
                <c:pt idx="135">
                  <c:v>5.9379645329813061E-2</c:v>
                </c:pt>
                <c:pt idx="136">
                  <c:v>5.9534276229390511E-2</c:v>
                </c:pt>
                <c:pt idx="137">
                  <c:v>5.9689263746788096E-2</c:v>
                </c:pt>
                <c:pt idx="138">
                  <c:v>5.9844567445539079E-2</c:v>
                </c:pt>
                <c:pt idx="139">
                  <c:v>6.0000145054090549E-2</c:v>
                </c:pt>
                <c:pt idx="140">
                  <c:v>6.0155952556668758E-2</c:v>
                </c:pt>
                <c:pt idx="141">
                  <c:v>6.0311944296043578E-2</c:v>
                </c:pt>
                <c:pt idx="142">
                  <c:v>6.0468073088025903E-2</c:v>
                </c:pt>
                <c:pt idx="143">
                  <c:v>6.0624290347424954E-2</c:v>
                </c:pt>
                <c:pt idx="144">
                  <c:v>6.0780546225087689E-2</c:v>
                </c:pt>
                <c:pt idx="145">
                  <c:v>6.0936789755534911E-2</c:v>
                </c:pt>
                <c:pt idx="146">
                  <c:v>6.1092969014604426E-2</c:v>
                </c:pt>
                <c:pt idx="147">
                  <c:v>6.1249031286408961E-2</c:v>
                </c:pt>
                <c:pt idx="148">
                  <c:v>6.1404923238817168E-2</c:v>
                </c:pt>
                <c:pt idx="149">
                  <c:v>6.1560591106571479E-2</c:v>
                </c:pt>
                <c:pt idx="150">
                  <c:v>6.1715980881067972E-2</c:v>
                </c:pt>
                <c:pt idx="151">
                  <c:v>6.1871038505740425E-2</c:v>
                </c:pt>
                <c:pt idx="152">
                  <c:v>6.2025710075916528E-2</c:v>
                </c:pt>
                <c:pt idx="153">
                  <c:v>6.2179942041947857E-2</c:v>
                </c:pt>
                <c:pt idx="154">
                  <c:v>6.2333681414357987E-2</c:v>
                </c:pt>
                <c:pt idx="155">
                  <c:v>6.2486875969706819E-2</c:v>
                </c:pt>
                <c:pt idx="156">
                  <c:v>6.263947445583265E-2</c:v>
                </c:pt>
                <c:pt idx="157">
                  <c:v>6.2791426795108962E-2</c:v>
                </c:pt>
                <c:pt idx="158">
                  <c:v>6.2942684284339606E-2</c:v>
                </c:pt>
                <c:pt idx="159">
                  <c:v>6.3093199789915275E-2</c:v>
                </c:pt>
                <c:pt idx="160">
                  <c:v>6.324292793686527E-2</c:v>
                </c:pt>
                <c:pt idx="161">
                  <c:v>6.3391825290461917E-2</c:v>
                </c:pt>
                <c:pt idx="162">
                  <c:v>6.353985052907149E-2</c:v>
                </c:pt>
                <c:pt idx="163">
                  <c:v>6.3686964606992608E-2</c:v>
                </c:pt>
                <c:pt idx="164">
                  <c:v>6.3833130906084279E-2</c:v>
                </c:pt>
                <c:pt idx="165">
                  <c:v>6.3978315375055467E-2</c:v>
                </c:pt>
                <c:pt idx="166">
                  <c:v>6.4122486655371971E-2</c:v>
                </c:pt>
                <c:pt idx="167">
                  <c:v>6.426561619282746E-2</c:v>
                </c:pt>
                <c:pt idx="168">
                  <c:v>6.44076783339287E-2</c:v>
                </c:pt>
                <c:pt idx="169">
                  <c:v>6.4548650406354338E-2</c:v>
                </c:pt>
                <c:pt idx="170">
                  <c:v>6.4688512782866234E-2</c:v>
                </c:pt>
                <c:pt idx="171">
                  <c:v>6.4827248928175957E-2</c:v>
                </c:pt>
                <c:pt idx="172">
                  <c:v>6.4964845428399809E-2</c:v>
                </c:pt>
                <c:pt idx="173">
                  <c:v>6.5101292002870653E-2</c:v>
                </c:pt>
                <c:pt idx="174">
                  <c:v>6.523658149821171E-2</c:v>
                </c:pt>
                <c:pt idx="175">
                  <c:v>6.5370709864717269E-2</c:v>
                </c:pt>
                <c:pt idx="176">
                  <c:v>6.5503676115224604E-2</c:v>
                </c:pt>
                <c:pt idx="177">
                  <c:v>6.5635482266800799E-2</c:v>
                </c:pt>
                <c:pt idx="178">
                  <c:v>6.5766133265703269E-2</c:v>
                </c:pt>
                <c:pt idx="179">
                  <c:v>6.5895636896207851E-2</c:v>
                </c:pt>
                <c:pt idx="180">
                  <c:v>6.602400367402389E-2</c:v>
                </c:pt>
                <c:pt idx="181">
                  <c:v>6.6151246725139765E-2</c:v>
                </c:pt>
                <c:pt idx="182">
                  <c:v>6.6277381651055192E-2</c:v>
                </c:pt>
                <c:pt idx="183">
                  <c:v>6.6402426381464083E-2</c:v>
                </c:pt>
                <c:pt idx="184">
                  <c:v>6.6526401015546882E-2</c:v>
                </c:pt>
                <c:pt idx="185">
                  <c:v>6.6649327653118567E-2</c:v>
                </c:pt>
                <c:pt idx="186">
                  <c:v>6.6771230216952498E-2</c:v>
                </c:pt>
                <c:pt idx="187">
                  <c:v>6.6892134267662925E-2</c:v>
                </c:pt>
                <c:pt idx="188">
                  <c:v>6.7012066812578944E-2</c:v>
                </c:pt>
                <c:pt idx="189">
                  <c:v>6.713105611007926E-2</c:v>
                </c:pt>
                <c:pt idx="190">
                  <c:v>6.7249131470879908E-2</c:v>
                </c:pt>
                <c:pt idx="191">
                  <c:v>6.7366323057776428E-2</c:v>
                </c:pt>
                <c:pt idx="192">
                  <c:v>6.7482661685336884E-2</c:v>
                </c:pt>
                <c:pt idx="193">
                  <c:v>6.7598178621023727E-2</c:v>
                </c:pt>
                <c:pt idx="194">
                  <c:v>6.7712905389189684E-2</c:v>
                </c:pt>
                <c:pt idx="195">
                  <c:v>6.7826873579347371E-2</c:v>
                </c:pt>
                <c:pt idx="196">
                  <c:v>6.7940114660053119E-2</c:v>
                </c:pt>
                <c:pt idx="197">
                  <c:v>6.8052659799675563E-2</c:v>
                </c:pt>
                <c:pt idx="198">
                  <c:v>6.8164539695235282E-2</c:v>
                </c:pt>
                <c:pt idx="199">
                  <c:v>6.8275784410410295E-2</c:v>
                </c:pt>
                <c:pt idx="200">
                  <c:v>6.8386423223697868E-2</c:v>
                </c:pt>
                <c:pt idx="201">
                  <c:v>6.8496484487612058E-2</c:v>
                </c:pt>
                <c:pt idx="202">
                  <c:v>6.8605995499677414E-2</c:v>
                </c:pt>
                <c:pt idx="203">
                  <c:v>6.8714982385852733E-2</c:v>
                </c:pt>
                <c:pt idx="204">
                  <c:v>6.8823469996890249E-2</c:v>
                </c:pt>
                <c:pt idx="205">
                  <c:v>6.8931481817999685E-2</c:v>
                </c:pt>
                <c:pt idx="206">
                  <c:v>6.9039039892052151E-2</c:v>
                </c:pt>
                <c:pt idx="207">
                  <c:v>6.9146164756420825E-2</c:v>
                </c:pt>
                <c:pt idx="208">
                  <c:v>6.925287539342008E-2</c:v>
                </c:pt>
                <c:pt idx="209">
                  <c:v>6.9359189194170168E-2</c:v>
                </c:pt>
                <c:pt idx="210">
                  <c:v>6.9465121935584531E-2</c:v>
                </c:pt>
                <c:pt idx="211">
                  <c:v>6.9570687770050862E-2</c:v>
                </c:pt>
                <c:pt idx="212">
                  <c:v>6.9675899227258364E-2</c:v>
                </c:pt>
                <c:pt idx="213">
                  <c:v>6.9780767227511489E-2</c:v>
                </c:pt>
                <c:pt idx="214">
                  <c:v>6.9885301105767517E-2</c:v>
                </c:pt>
                <c:pt idx="215">
                  <c:v>6.9989508645542514E-2</c:v>
                </c:pt>
                <c:pt idx="216">
                  <c:v>7.0093396121747004E-2</c:v>
                </c:pt>
                <c:pt idx="217">
                  <c:v>7.0196968351442915E-2</c:v>
                </c:pt>
                <c:pt idx="218">
                  <c:v>7.0300228751454141E-2</c:v>
                </c:pt>
                <c:pt idx="219">
                  <c:v>7.0403179401718086E-2</c:v>
                </c:pt>
                <c:pt idx="220">
                  <c:v>7.0505821113233794E-2</c:v>
                </c:pt>
                <c:pt idx="221">
                  <c:v>7.0608153499443882E-2</c:v>
                </c:pt>
                <c:pt idx="222">
                  <c:v>7.0710175049883583E-2</c:v>
                </c:pt>
                <c:pt idx="223">
                  <c:v>7.0811883204940321E-2</c:v>
                </c:pt>
                <c:pt idx="224">
                  <c:v>7.0913274430590437E-2</c:v>
                </c:pt>
                <c:pt idx="225">
                  <c:v>7.1014344292017723E-2</c:v>
                </c:pt>
                <c:pt idx="226">
                  <c:v>7.1115087525068357E-2</c:v>
                </c:pt>
                <c:pt idx="227">
                  <c:v>7.1215498104560265E-2</c:v>
                </c:pt>
                <c:pt idx="228">
                  <c:v>7.1315569308539314E-2</c:v>
                </c:pt>
                <c:pt idx="229">
                  <c:v>7.1415293777661232E-2</c:v>
                </c:pt>
                <c:pt idx="230">
                  <c:v>7.1514663568973111E-2</c:v>
                </c:pt>
                <c:pt idx="231">
                  <c:v>7.1613670203473784E-2</c:v>
                </c:pt>
                <c:pt idx="232">
                  <c:v>7.1712304706943869E-2</c:v>
                </c:pt>
                <c:pt idx="233">
                  <c:v>7.1810557643655973E-2</c:v>
                </c:pt>
                <c:pt idx="234">
                  <c:v>7.1908419142697633E-2</c:v>
                </c:pt>
                <c:pt idx="235">
                  <c:v>7.2005878916768601E-2</c:v>
                </c:pt>
                <c:pt idx="236">
                  <c:v>7.2102926273441781E-2</c:v>
                </c:pt>
                <c:pt idx="237">
                  <c:v>7.2199550119007569E-2</c:v>
                </c:pt>
                <c:pt idx="238">
                  <c:v>7.2295738955150124E-2</c:v>
                </c:pt>
                <c:pt idx="239">
                  <c:v>7.2391480868829905E-2</c:v>
                </c:pt>
                <c:pt idx="240">
                  <c:v>7.248676351586944E-2</c:v>
                </c:pt>
                <c:pt idx="241">
                  <c:v>7.2581574098855448E-2</c:v>
                </c:pt>
                <c:pt idx="242">
                  <c:v>7.267589934008048E-2</c:v>
                </c:pt>
                <c:pt idx="243">
                  <c:v>7.2769725450348002E-2</c:v>
                </c:pt>
                <c:pt idx="244">
                  <c:v>7.2863038094557103E-2</c:v>
                </c:pt>
                <c:pt idx="245">
                  <c:v>7.2955822355063413E-2</c:v>
                </c:pt>
                <c:pt idx="246">
                  <c:v>7.3048062693882088E-2</c:v>
                </c:pt>
                <c:pt idx="247">
                  <c:v>7.3139742914854519E-2</c:v>
                </c:pt>
                <c:pt idx="248">
                  <c:v>7.323084612694343E-2</c:v>
                </c:pt>
                <c:pt idx="249">
                  <c:v>7.3321354709848588E-2</c:v>
                </c:pt>
                <c:pt idx="250">
                  <c:v>7.3411250283149099E-2</c:v>
                </c:pt>
                <c:pt idx="251">
                  <c:v>7.3500513680176446E-2</c:v>
                </c:pt>
                <c:pt idx="252">
                  <c:v>7.3589124927804381E-2</c:v>
                </c:pt>
                <c:pt idx="253">
                  <c:v>7.3677063233310219E-2</c:v>
                </c:pt>
                <c:pt idx="254">
                  <c:v>7.3764306979413385E-2</c:v>
                </c:pt>
                <c:pt idx="255">
                  <c:v>7.3850833728533613E-2</c:v>
                </c:pt>
                <c:pt idx="256">
                  <c:v>7.3936620237235184E-2</c:v>
                </c:pt>
                <c:pt idx="257">
                  <c:v>7.4021642481730751E-2</c:v>
                </c:pt>
                <c:pt idx="258">
                  <c:v>7.4105875695215012E-2</c:v>
                </c:pt>
                <c:pt idx="259">
                  <c:v>7.418929441768142E-2</c:v>
                </c:pt>
                <c:pt idx="260">
                  <c:v>7.4271872558748314E-2</c:v>
                </c:pt>
                <c:pt idx="261">
                  <c:v>7.4353583473883031E-2</c:v>
                </c:pt>
                <c:pt idx="262">
                  <c:v>7.4434400054267741E-2</c:v>
                </c:pt>
                <c:pt idx="263">
                  <c:v>7.4514294830397745E-2</c:v>
                </c:pt>
                <c:pt idx="264">
                  <c:v>7.4593240089345467E-2</c:v>
                </c:pt>
                <c:pt idx="265">
                  <c:v>7.4671208005461925E-2</c:v>
                </c:pt>
                <c:pt idx="266">
                  <c:v>7.474817078412313E-2</c:v>
                </c:pt>
                <c:pt idx="267">
                  <c:v>7.4824100817966047E-2</c:v>
                </c:pt>
                <c:pt idx="268">
                  <c:v>7.4898970854895594E-2</c:v>
                </c:pt>
                <c:pt idx="269">
                  <c:v>7.4972754176985207E-2</c:v>
                </c:pt>
                <c:pt idx="270">
                  <c:v>7.5045424789238688E-2</c:v>
                </c:pt>
                <c:pt idx="271">
                  <c:v>7.5116957617034935E-2</c:v>
                </c:pt>
                <c:pt idx="272">
                  <c:v>7.5187328710936308E-2</c:v>
                </c:pt>
                <c:pt idx="273">
                  <c:v>7.5256515457413645E-2</c:v>
                </c:pt>
                <c:pt idx="274">
                  <c:v>7.5324496793922793E-2</c:v>
                </c:pt>
                <c:pt idx="275">
                  <c:v>7.539125342666296E-2</c:v>
                </c:pt>
                <c:pt idx="276">
                  <c:v>7.5456768049256898E-2</c:v>
                </c:pt>
                <c:pt idx="277">
                  <c:v>7.5521025560518845E-2</c:v>
                </c:pt>
                <c:pt idx="278">
                  <c:v>7.5584013279416287E-2</c:v>
                </c:pt>
                <c:pt idx="279">
                  <c:v>7.5645721155292667E-2</c:v>
                </c:pt>
                <c:pt idx="280">
                  <c:v>7.5706141971393789E-2</c:v>
                </c:pt>
                <c:pt idx="281">
                  <c:v>7.5765271539737458E-2</c:v>
                </c:pt>
                <c:pt idx="282">
                  <c:v>7.5823108885380547E-2</c:v>
                </c:pt>
                <c:pt idx="283">
                  <c:v>7.5879656418171654E-2</c:v>
                </c:pt>
                <c:pt idx="284">
                  <c:v>7.5934920090130947E-2</c:v>
                </c:pt>
                <c:pt idx="285">
                  <c:v>7.598890953667084E-2</c:v>
                </c:pt>
                <c:pt idx="286">
                  <c:v>7.6041638199961931E-2</c:v>
                </c:pt>
                <c:pt idx="287">
                  <c:v>7.6093123432857374E-2</c:v>
                </c:pt>
                <c:pt idx="288">
                  <c:v>7.6143386581914316E-2</c:v>
                </c:pt>
                <c:pt idx="289">
                  <c:v>7.6192453048193581E-2</c:v>
                </c:pt>
                <c:pt idx="290">
                  <c:v>7.6240352324675312E-2</c:v>
                </c:pt>
                <c:pt idx="291">
                  <c:v>7.6287118009299118E-2</c:v>
                </c:pt>
                <c:pt idx="292">
                  <c:v>7.633278779282085E-2</c:v>
                </c:pt>
                <c:pt idx="293">
                  <c:v>7.6377403420871431E-2</c:v>
                </c:pt>
                <c:pt idx="294">
                  <c:v>7.6421010629805816E-2</c:v>
                </c:pt>
                <c:pt idx="295">
                  <c:v>7.6463659056141234E-2</c:v>
                </c:pt>
                <c:pt idx="296">
                  <c:v>7.650540211959779E-2</c:v>
                </c:pt>
                <c:pt idx="297">
                  <c:v>7.6546296879974204E-2</c:v>
                </c:pt>
                <c:pt idx="298">
                  <c:v>7.6586403868311156E-2</c:v>
                </c:pt>
                <c:pt idx="299">
                  <c:v>7.6625786893013678E-2</c:v>
                </c:pt>
                <c:pt idx="300">
                  <c:v>7.6664512821821421E-2</c:v>
                </c:pt>
                <c:pt idx="301">
                  <c:v>7.6702651340725486E-2</c:v>
                </c:pt>
                <c:pt idx="302">
                  <c:v>7.6740274691137908E-2</c:v>
                </c:pt>
                <c:pt idx="303">
                  <c:v>7.6777457386812881E-2</c:v>
                </c:pt>
                <c:pt idx="304">
                  <c:v>7.6814275912206603E-2</c:v>
                </c:pt>
                <c:pt idx="305">
                  <c:v>7.6850808404133539E-2</c:v>
                </c:pt>
                <c:pt idx="306">
                  <c:v>7.6887134318735992E-2</c:v>
                </c:pt>
                <c:pt idx="307">
                  <c:v>7.6923334085926831E-2</c:v>
                </c:pt>
                <c:pt idx="308">
                  <c:v>7.6959488753589142E-2</c:v>
                </c:pt>
                <c:pt idx="309">
                  <c:v>7.6995679623925312E-2</c:v>
                </c:pt>
                <c:pt idx="310">
                  <c:v>7.7031987884433106E-2</c:v>
                </c:pt>
                <c:pt idx="311">
                  <c:v>7.7068494236054108E-2</c:v>
                </c:pt>
                <c:pt idx="312">
                  <c:v>7.7105278521084175E-2</c:v>
                </c:pt>
                <c:pt idx="313">
                  <c:v>7.7142419353459321E-2</c:v>
                </c:pt>
                <c:pt idx="314">
                  <c:v>7.7179993754030632E-2</c:v>
                </c:pt>
                <c:pt idx="315">
                  <c:v>7.7218076793421256E-2</c:v>
                </c:pt>
                <c:pt idx="316">
                  <c:v>7.7256741245013402E-2</c:v>
                </c:pt>
                <c:pt idx="317">
                  <c:v>7.7296057250549194E-2</c:v>
                </c:pt>
                <c:pt idx="318">
                  <c:v>7.7336092000739917E-2</c:v>
                </c:pt>
                <c:pt idx="319">
                  <c:v>7.7376909433171867E-2</c:v>
                </c:pt>
                <c:pt idx="320">
                  <c:v>7.741856994966731E-2</c:v>
                </c:pt>
                <c:pt idx="321">
                  <c:v>7.7461130155113508E-2</c:v>
                </c:pt>
                <c:pt idx="322">
                  <c:v>7.7504642619607003E-2</c:v>
                </c:pt>
                <c:pt idx="323">
                  <c:v>7.7549155665580766E-2</c:v>
                </c:pt>
                <c:pt idx="324">
                  <c:v>7.7594713181385749E-2</c:v>
                </c:pt>
                <c:pt idx="325">
                  <c:v>7.764135446259128E-2</c:v>
                </c:pt>
                <c:pt idx="326">
                  <c:v>7.7689114082048746E-2</c:v>
                </c:pt>
                <c:pt idx="327">
                  <c:v>7.7738021789536232E-2</c:v>
                </c:pt>
                <c:pt idx="328">
                  <c:v>7.7788102441565865E-2</c:v>
                </c:pt>
                <c:pt idx="329">
                  <c:v>7.7839375961696822E-2</c:v>
                </c:pt>
                <c:pt idx="330">
                  <c:v>7.7891857331453623E-2</c:v>
                </c:pt>
                <c:pt idx="331">
                  <c:v>7.7945556611707323E-2</c:v>
                </c:pt>
                <c:pt idx="332">
                  <c:v>7.8000478994135841E-2</c:v>
                </c:pt>
                <c:pt idx="333">
                  <c:v>7.8056624882141878E-2</c:v>
                </c:pt>
                <c:pt idx="334">
                  <c:v>7.8113990000376013E-2</c:v>
                </c:pt>
                <c:pt idx="335">
                  <c:v>7.8172565531789764E-2</c:v>
                </c:pt>
                <c:pt idx="336">
                  <c:v>7.8232338280929264E-2</c:v>
                </c:pt>
                <c:pt idx="337">
                  <c:v>7.8293290861980155E-2</c:v>
                </c:pt>
                <c:pt idx="338">
                  <c:v>7.8355401909886074E-2</c:v>
                </c:pt>
                <c:pt idx="339">
                  <c:v>7.8418646312692034E-2</c:v>
                </c:pt>
                <c:pt idx="340">
                  <c:v>7.8482995463107816E-2</c:v>
                </c:pt>
                <c:pt idx="341">
                  <c:v>7.8548417527151415E-2</c:v>
                </c:pt>
                <c:pt idx="342">
                  <c:v>7.8614877727613164E-2</c:v>
                </c:pt>
                <c:pt idx="343">
                  <c:v>7.8682338639986249E-2</c:v>
                </c:pt>
                <c:pt idx="344">
                  <c:v>7.8750760498432493E-2</c:v>
                </c:pt>
                <c:pt idx="345">
                  <c:v>7.8820101509297941E-2</c:v>
                </c:pt>
                <c:pt idx="346">
                  <c:v>7.8890318169662396E-2</c:v>
                </c:pt>
                <c:pt idx="347">
                  <c:v>7.8961365588396046E-2</c:v>
                </c:pt>
                <c:pt idx="348">
                  <c:v>7.9033197807209923E-2</c:v>
                </c:pt>
                <c:pt idx="349">
                  <c:v>7.9105768119221043E-2</c:v>
                </c:pt>
                <c:pt idx="350">
                  <c:v>7.9179029382609775E-2</c:v>
                </c:pt>
                <c:pt idx="351">
                  <c:v>7.9252934327024002E-2</c:v>
                </c:pt>
                <c:pt idx="352">
                  <c:v>7.9327435850481021E-2</c:v>
                </c:pt>
                <c:pt idx="353">
                  <c:v>7.9402487304634936E-2</c:v>
                </c:pt>
                <c:pt idx="354">
                  <c:v>7.9478042766410531E-2</c:v>
                </c:pt>
                <c:pt idx="355">
                  <c:v>7.9554057294154795E-2</c:v>
                </c:pt>
                <c:pt idx="356">
                  <c:v>7.9630487166621716E-2</c:v>
                </c:pt>
                <c:pt idx="357">
                  <c:v>7.9707290103284451E-2</c:v>
                </c:pt>
                <c:pt idx="358">
                  <c:v>7.9784425464657902E-2</c:v>
                </c:pt>
                <c:pt idx="359">
                  <c:v>7.9861854431513238E-2</c:v>
                </c:pt>
                <c:pt idx="360">
                  <c:v>7.9939540162073178E-2</c:v>
                </c:pt>
                <c:pt idx="361">
                  <c:v>8.0017447926487489E-2</c:v>
                </c:pt>
                <c:pt idx="362">
                  <c:v>8.0095545218104025E-2</c:v>
                </c:pt>
                <c:pt idx="363">
                  <c:v>8.0173801841267892E-2</c:v>
                </c:pt>
                <c:pt idx="364">
                  <c:v>8.0252189975595953E-2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1.2362319384913827E-2</c:v>
                </c:pt>
                <c:pt idx="1">
                  <c:v>1.2375411077707316E-2</c:v>
                </c:pt>
                <c:pt idx="2">
                  <c:v>1.2388554446318882E-2</c:v>
                </c:pt>
                <c:pt idx="3">
                  <c:v>1.2402061670849536E-2</c:v>
                </c:pt>
                <c:pt idx="4">
                  <c:v>1.2416232241617555E-2</c:v>
                </c:pt>
                <c:pt idx="5">
                  <c:v>1.2431352682528487E-2</c:v>
                </c:pt>
                <c:pt idx="6">
                  <c:v>1.2447696507414386E-2</c:v>
                </c:pt>
                <c:pt idx="7">
                  <c:v>1.2465524390726962E-2</c:v>
                </c:pt>
                <c:pt idx="8">
                  <c:v>1.2484358978409289E-2</c:v>
                </c:pt>
                <c:pt idx="9">
                  <c:v>1.2500513791745178E-2</c:v>
                </c:pt>
                <c:pt idx="10">
                  <c:v>1.2508830797831912E-2</c:v>
                </c:pt>
                <c:pt idx="11">
                  <c:v>1.2509465614309857E-2</c:v>
                </c:pt>
                <c:pt idx="12">
                  <c:v>1.2502580310616429E-2</c:v>
                </c:pt>
                <c:pt idx="13">
                  <c:v>1.2488343027058165E-2</c:v>
                </c:pt>
                <c:pt idx="14">
                  <c:v>1.2466927556184748E-2</c:v>
                </c:pt>
                <c:pt idx="15">
                  <c:v>1.2438370726815303E-2</c:v>
                </c:pt>
                <c:pt idx="16">
                  <c:v>1.240347871868437E-2</c:v>
                </c:pt>
                <c:pt idx="17">
                  <c:v>1.2362420685575788E-2</c:v>
                </c:pt>
                <c:pt idx="18">
                  <c:v>1.2315369518070388E-2</c:v>
                </c:pt>
                <c:pt idx="19">
                  <c:v>1.2262569751525133E-2</c:v>
                </c:pt>
                <c:pt idx="20">
                  <c:v>1.2204298128406135E-2</c:v>
                </c:pt>
                <c:pt idx="21">
                  <c:v>1.2140779004745273E-2</c:v>
                </c:pt>
                <c:pt idx="22">
                  <c:v>1.2071466346652121E-2</c:v>
                </c:pt>
                <c:pt idx="23">
                  <c:v>1.1991182508905948E-2</c:v>
                </c:pt>
                <c:pt idx="24">
                  <c:v>1.1903342300819372E-2</c:v>
                </c:pt>
                <c:pt idx="25">
                  <c:v>1.1808796540647291E-2</c:v>
                </c:pt>
                <c:pt idx="26">
                  <c:v>1.170834913693196E-2</c:v>
                </c:pt>
                <c:pt idx="27">
                  <c:v>1.1602755572783494E-2</c:v>
                </c:pt>
                <c:pt idx="28">
                  <c:v>1.1492722257302315E-2</c:v>
                </c:pt>
                <c:pt idx="29">
                  <c:v>1.1362115533439738E-2</c:v>
                </c:pt>
                <c:pt idx="30">
                  <c:v>1.1212400337764659E-2</c:v>
                </c:pt>
                <c:pt idx="31">
                  <c:v>1.1044844164009747E-2</c:v>
                </c:pt>
                <c:pt idx="32">
                  <c:v>1.0860634875411933E-2</c:v>
                </c:pt>
                <c:pt idx="33">
                  <c:v>1.0660879507328335E-2</c:v>
                </c:pt>
                <c:pt idx="34">
                  <c:v>1.0446604010089133E-2</c:v>
                </c:pt>
                <c:pt idx="35">
                  <c:v>1.0218753750826778E-2</c:v>
                </c:pt>
                <c:pt idx="36">
                  <c:v>9.9767197651700022E-3</c:v>
                </c:pt>
                <c:pt idx="37">
                  <c:v>9.7095105676699607E-3</c:v>
                </c:pt>
                <c:pt idx="38">
                  <c:v>9.4227100252931781E-3</c:v>
                </c:pt>
                <c:pt idx="39">
                  <c:v>9.117596037878822E-3</c:v>
                </c:pt>
                <c:pt idx="40">
                  <c:v>8.795353217365437E-3</c:v>
                </c:pt>
                <c:pt idx="41">
                  <c:v>8.4570716958764346E-3</c:v>
                </c:pt>
                <c:pt idx="42">
                  <c:v>8.1037469212511346E-3</c:v>
                </c:pt>
                <c:pt idx="43">
                  <c:v>7.739930275195696E-3</c:v>
                </c:pt>
                <c:pt idx="44">
                  <c:v>7.3798834281914895E-3</c:v>
                </c:pt>
                <c:pt idx="45">
                  <c:v>7.0236600020623903E-3</c:v>
                </c:pt>
                <c:pt idx="46">
                  <c:v>6.6712672104337137E-3</c:v>
                </c:pt>
                <c:pt idx="47">
                  <c:v>6.3226699052438187E-3</c:v>
                </c:pt>
                <c:pt idx="48">
                  <c:v>5.9777942518908977E-3</c:v>
                </c:pt>
                <c:pt idx="49">
                  <c:v>5.6365310317005512E-3</c:v>
                </c:pt>
                <c:pt idx="50">
                  <c:v>5.2983619888358419E-3</c:v>
                </c:pt>
                <c:pt idx="51">
                  <c:v>4.9635308595243352E-3</c:v>
                </c:pt>
                <c:pt idx="52">
                  <c:v>4.6405550648637864E-3</c:v>
                </c:pt>
                <c:pt idx="53">
                  <c:v>4.32895926837448E-3</c:v>
                </c:pt>
                <c:pt idx="54">
                  <c:v>4.0283178700064566E-3</c:v>
                </c:pt>
                <c:pt idx="55">
                  <c:v>3.7382271854484316E-3</c:v>
                </c:pt>
                <c:pt idx="56">
                  <c:v>3.4583039965460222E-3</c:v>
                </c:pt>
                <c:pt idx="57">
                  <c:v>3.1911602531066396E-3</c:v>
                </c:pt>
                <c:pt idx="58">
                  <c:v>2.9332903077184174E-3</c:v>
                </c:pt>
                <c:pt idx="59">
                  <c:v>2.6843706608169946E-3</c:v>
                </c:pt>
                <c:pt idx="60">
                  <c:v>2.4440931397956668E-3</c:v>
                </c:pt>
                <c:pt idx="61">
                  <c:v>2.2121639105166895E-3</c:v>
                </c:pt>
                <c:pt idx="62">
                  <c:v>1.9883025589316444E-3</c:v>
                </c:pt>
                <c:pt idx="63">
                  <c:v>1.7722412380407151E-3</c:v>
                </c:pt>
                <c:pt idx="64">
                  <c:v>1.5636765507944048E-3</c:v>
                </c:pt>
                <c:pt idx="65">
                  <c:v>1.3704256303031966E-3</c:v>
                </c:pt>
                <c:pt idx="66">
                  <c:v>1.1914181190677488E-3</c:v>
                </c:pt>
                <c:pt idx="67">
                  <c:v>1.0262725441300222E-3</c:v>
                </c:pt>
                <c:pt idx="68">
                  <c:v>8.7461424237151458E-4</c:v>
                </c:pt>
                <c:pt idx="69">
                  <c:v>7.3607690445913075E-4</c:v>
                </c:pt>
                <c:pt idx="70">
                  <c:v>6.1030395875599894E-4</c:v>
                </c:pt>
                <c:pt idx="71">
                  <c:v>5.0008673331600846E-4</c:v>
                </c:pt>
                <c:pt idx="72">
                  <c:v>4.0242005226027116E-4</c:v>
                </c:pt>
                <c:pt idx="73">
                  <c:v>3.1697398160205237E-4</c:v>
                </c:pt>
                <c:pt idx="74">
                  <c:v>2.4343347683911318E-4</c:v>
                </c:pt>
                <c:pt idx="75">
                  <c:v>1.8149920587193672E-4</c:v>
                </c:pt>
                <c:pt idx="76">
                  <c:v>1.3088829289972833E-4</c:v>
                </c:pt>
                <c:pt idx="77">
                  <c:v>9.133499564952019E-5</c:v>
                </c:pt>
                <c:pt idx="78">
                  <c:v>6.2587311330823754E-5</c:v>
                </c:pt>
                <c:pt idx="79">
                  <c:v>4.4416681021699221E-5</c:v>
                </c:pt>
                <c:pt idx="80">
                  <c:v>2.9425671537892321E-5</c:v>
                </c:pt>
                <c:pt idx="81">
                  <c:v>1.7548946370865715E-5</c:v>
                </c:pt>
                <c:pt idx="82">
                  <c:v>8.7245001217757305E-6</c:v>
                </c:pt>
                <c:pt idx="83">
                  <c:v>2.8940408557260582E-6</c:v>
                </c:pt>
                <c:pt idx="84">
                  <c:v>3.3449273666343283E-9</c:v>
                </c:pt>
                <c:pt idx="85">
                  <c:v>2.5879891187441E-9</c:v>
                </c:pt>
                <c:pt idx="86">
                  <c:v>1.9313359858300624E-9</c:v>
                </c:pt>
                <c:pt idx="87">
                  <c:v>1.3730424565325389E-9</c:v>
                </c:pt>
                <c:pt idx="88">
                  <c:v>9.1132432985638673E-10</c:v>
                </c:pt>
                <c:pt idx="89">
                  <c:v>5.4454842474439453E-10</c:v>
                </c:pt>
                <c:pt idx="90">
                  <c:v>2.7124184672070265E-10</c:v>
                </c:pt>
                <c:pt idx="91">
                  <c:v>9.0100933699419963E-11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1.9659106065399201E-10</c:v>
                </c:pt>
                <c:pt idx="254">
                  <c:v>5.9332192364385441E-10</c:v>
                </c:pt>
                <c:pt idx="255">
                  <c:v>1.1938621042958383E-9</c:v>
                </c:pt>
                <c:pt idx="256">
                  <c:v>2.0019692635585586E-9</c:v>
                </c:pt>
                <c:pt idx="257">
                  <c:v>3.0214538467494033E-9</c:v>
                </c:pt>
                <c:pt idx="258">
                  <c:v>4.2561407900755892E-9</c:v>
                </c:pt>
                <c:pt idx="259">
                  <c:v>5.7098281260817667E-9</c:v>
                </c:pt>
                <c:pt idx="260">
                  <c:v>7.386495862605565E-9</c:v>
                </c:pt>
                <c:pt idx="261">
                  <c:v>6.3952359189755459E-6</c:v>
                </c:pt>
                <c:pt idx="262">
                  <c:v>1.9289055333226886E-5</c:v>
                </c:pt>
                <c:pt idx="263">
                  <c:v>3.8812166016152696E-5</c:v>
                </c:pt>
                <c:pt idx="264">
                  <c:v>6.5091968407947329E-5</c:v>
                </c:pt>
                <c:pt idx="265">
                  <c:v>9.8261064491690918E-5</c:v>
                </c:pt>
                <c:pt idx="266">
                  <c:v>1.384578700610186E-4</c:v>
                </c:pt>
                <c:pt idx="267">
                  <c:v>2.0204000661589564E-4</c:v>
                </c:pt>
                <c:pt idx="268">
                  <c:v>2.8948481751693892E-4</c:v>
                </c:pt>
                <c:pt idx="269">
                  <c:v>4.0129201308748106E-4</c:v>
                </c:pt>
                <c:pt idx="270">
                  <c:v>5.3798590527095568E-4</c:v>
                </c:pt>
                <c:pt idx="271">
                  <c:v>7.0011809116217894E-4</c:v>
                </c:pt>
                <c:pt idx="272">
                  <c:v>8.8827040489624308E-4</c:v>
                </c:pt>
                <c:pt idx="273">
                  <c:v>1.1030581728680734E-3</c:v>
                </c:pt>
                <c:pt idx="274">
                  <c:v>1.3451098148625311E-3</c:v>
                </c:pt>
                <c:pt idx="275">
                  <c:v>1.6209272338866174E-3</c:v>
                </c:pt>
                <c:pt idx="276">
                  <c:v>1.9242527139015622E-3</c:v>
                </c:pt>
                <c:pt idx="277">
                  <c:v>2.2557780537384702E-3</c:v>
                </c:pt>
                <c:pt idx="278">
                  <c:v>2.6162272490189388E-3</c:v>
                </c:pt>
                <c:pt idx="279">
                  <c:v>3.0063586185434849E-3</c:v>
                </c:pt>
                <c:pt idx="280">
                  <c:v>3.426967179965506E-3</c:v>
                </c:pt>
                <c:pt idx="281">
                  <c:v>3.8803844939784005E-3</c:v>
                </c:pt>
                <c:pt idx="282">
                  <c:v>4.3493752276604425E-3</c:v>
                </c:pt>
                <c:pt idx="283">
                  <c:v>4.8344349216435049E-3</c:v>
                </c:pt>
                <c:pt idx="284">
                  <c:v>5.3360866636782177E-3</c:v>
                </c:pt>
                <c:pt idx="285">
                  <c:v>5.8548835787546388E-3</c:v>
                </c:pt>
                <c:pt idx="286">
                  <c:v>6.3914115688550712E-3</c:v>
                </c:pt>
                <c:pt idx="287">
                  <c:v>6.9462923263834781E-3</c:v>
                </c:pt>
                <c:pt idx="288">
                  <c:v>7.5203868154681448E-3</c:v>
                </c:pt>
                <c:pt idx="289">
                  <c:v>8.1214825089925054E-3</c:v>
                </c:pt>
                <c:pt idx="290">
                  <c:v>8.7438572647859248E-3</c:v>
                </c:pt>
                <c:pt idx="291">
                  <c:v>9.3882923194387822E-3</c:v>
                </c:pt>
                <c:pt idx="292">
                  <c:v>1.0055594907572627E-2</c:v>
                </c:pt>
                <c:pt idx="293">
                  <c:v>1.0746598843123317E-2</c:v>
                </c:pt>
                <c:pt idx="294">
                  <c:v>1.1462164988634838E-2</c:v>
                </c:pt>
                <c:pt idx="295">
                  <c:v>1.2183688411426195E-2</c:v>
                </c:pt>
                <c:pt idx="296">
                  <c:v>1.2909866929632086E-2</c:v>
                </c:pt>
                <c:pt idx="297">
                  <c:v>1.3641044497038879E-2</c:v>
                </c:pt>
                <c:pt idx="298">
                  <c:v>1.4377457133708088E-2</c:v>
                </c:pt>
                <c:pt idx="299">
                  <c:v>1.5119326348094059E-2</c:v>
                </c:pt>
                <c:pt idx="300">
                  <c:v>1.5866857408280585E-2</c:v>
                </c:pt>
                <c:pt idx="301">
                  <c:v>1.6620237282881766E-2</c:v>
                </c:pt>
                <c:pt idx="302">
                  <c:v>1.7383433053693213E-2</c:v>
                </c:pt>
                <c:pt idx="303">
                  <c:v>1.8130110525788123E-2</c:v>
                </c:pt>
                <c:pt idx="304">
                  <c:v>1.8850966374973941E-2</c:v>
                </c:pt>
                <c:pt idx="305">
                  <c:v>1.9544145792835577E-2</c:v>
                </c:pt>
                <c:pt idx="306">
                  <c:v>2.0207388532505824E-2</c:v>
                </c:pt>
                <c:pt idx="307">
                  <c:v>2.0838013394282862E-2</c:v>
                </c:pt>
                <c:pt idx="308">
                  <c:v>2.1432904657186551E-2</c:v>
                </c:pt>
                <c:pt idx="309">
                  <c:v>2.197943594075432E-2</c:v>
                </c:pt>
                <c:pt idx="310">
                  <c:v>2.2496911729192055E-2</c:v>
                </c:pt>
                <c:pt idx="311">
                  <c:v>2.2981542698162306E-2</c:v>
                </c:pt>
                <c:pt idx="312">
                  <c:v>2.3429123119130014E-2</c:v>
                </c:pt>
                <c:pt idx="313">
                  <c:v>2.3835042045425536E-2</c:v>
                </c:pt>
                <c:pt idx="314">
                  <c:v>2.4194307737731478E-2</c:v>
                </c:pt>
                <c:pt idx="315">
                  <c:v>2.450158827761097E-2</c:v>
                </c:pt>
                <c:pt idx="316">
                  <c:v>2.4757876811069484E-2</c:v>
                </c:pt>
                <c:pt idx="317">
                  <c:v>2.4966150357109033E-2</c:v>
                </c:pt>
                <c:pt idx="318">
                  <c:v>2.5161908241870423E-2</c:v>
                </c:pt>
                <c:pt idx="319">
                  <c:v>2.5344415837063889E-2</c:v>
                </c:pt>
                <c:pt idx="320">
                  <c:v>2.5512913825671134E-2</c:v>
                </c:pt>
                <c:pt idx="321">
                  <c:v>2.5666618975571251E-2</c:v>
                </c:pt>
                <c:pt idx="322">
                  <c:v>2.5804725253204819E-2</c:v>
                </c:pt>
                <c:pt idx="323">
                  <c:v>2.5921025784699694E-2</c:v>
                </c:pt>
                <c:pt idx="324">
                  <c:v>2.6025646301334894E-2</c:v>
                </c:pt>
                <c:pt idx="325">
                  <c:v>2.611793859149291E-2</c:v>
                </c:pt>
                <c:pt idx="326">
                  <c:v>2.6197075850841339E-2</c:v>
                </c:pt>
                <c:pt idx="327">
                  <c:v>2.6262325101866036E-2</c:v>
                </c:pt>
                <c:pt idx="328">
                  <c:v>2.6313077452325941E-2</c:v>
                </c:pt>
                <c:pt idx="329">
                  <c:v>2.6348717138094578E-2</c:v>
                </c:pt>
                <c:pt idx="330">
                  <c:v>2.6373494612671158E-2</c:v>
                </c:pt>
                <c:pt idx="331">
                  <c:v>2.6389053057644152E-2</c:v>
                </c:pt>
                <c:pt idx="332">
                  <c:v>2.6393048340567802E-2</c:v>
                </c:pt>
                <c:pt idx="333">
                  <c:v>2.6382691713207659E-2</c:v>
                </c:pt>
                <c:pt idx="334">
                  <c:v>2.635506282963725E-2</c:v>
                </c:pt>
                <c:pt idx="335">
                  <c:v>2.6307128630203153E-2</c:v>
                </c:pt>
                <c:pt idx="336">
                  <c:v>2.62357700780406E-2</c:v>
                </c:pt>
                <c:pt idx="337">
                  <c:v>2.6148949758039781E-2</c:v>
                </c:pt>
                <c:pt idx="338">
                  <c:v>2.6050182338948277E-2</c:v>
                </c:pt>
                <c:pt idx="339">
                  <c:v>2.5936762568289962E-2</c:v>
                </c:pt>
                <c:pt idx="340">
                  <c:v>2.5805999078635067E-2</c:v>
                </c:pt>
                <c:pt idx="341">
                  <c:v>2.5655259457041866E-2</c:v>
                </c:pt>
                <c:pt idx="342">
                  <c:v>2.5482021992565537E-2</c:v>
                </c:pt>
                <c:pt idx="343">
                  <c:v>2.5283932983845261E-2</c:v>
                </c:pt>
                <c:pt idx="344">
                  <c:v>2.5059734344973009E-2</c:v>
                </c:pt>
                <c:pt idx="345">
                  <c:v>2.4811671057135696E-2</c:v>
                </c:pt>
                <c:pt idx="346">
                  <c:v>2.4558568539015578E-2</c:v>
                </c:pt>
                <c:pt idx="347">
                  <c:v>2.4303629720925531E-2</c:v>
                </c:pt>
                <c:pt idx="348">
                  <c:v>2.4049987683874733E-2</c:v>
                </c:pt>
                <c:pt idx="349">
                  <c:v>2.3800669618948948E-2</c:v>
                </c:pt>
                <c:pt idx="350">
                  <c:v>2.355856860982343E-2</c:v>
                </c:pt>
                <c:pt idx="351">
                  <c:v>2.3340369131359156E-2</c:v>
                </c:pt>
                <c:pt idx="352">
                  <c:v>2.3137007182481809E-2</c:v>
                </c:pt>
                <c:pt idx="353">
                  <c:v>2.2950820591634107E-2</c:v>
                </c:pt>
                <c:pt idx="354">
                  <c:v>2.278397723023718E-2</c:v>
                </c:pt>
                <c:pt idx="355">
                  <c:v>2.2638484722467791E-2</c:v>
                </c:pt>
                <c:pt idx="356">
                  <c:v>2.2516087272331661E-2</c:v>
                </c:pt>
                <c:pt idx="357">
                  <c:v>2.2418609167243527E-2</c:v>
                </c:pt>
                <c:pt idx="358">
                  <c:v>2.2340735401659293E-2</c:v>
                </c:pt>
                <c:pt idx="359">
                  <c:v>2.2276441687295142E-2</c:v>
                </c:pt>
                <c:pt idx="360">
                  <c:v>2.2236975845684358E-2</c:v>
                </c:pt>
                <c:pt idx="361">
                  <c:v>2.2209398619672534E-2</c:v>
                </c:pt>
                <c:pt idx="362">
                  <c:v>2.2194064908107863E-2</c:v>
                </c:pt>
                <c:pt idx="363">
                  <c:v>2.2191278392103268E-2</c:v>
                </c:pt>
                <c:pt idx="364">
                  <c:v>2.2201295139368141E-2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0633072"/>
        <c:axId val="250633464"/>
      </c:lineChart>
      <c:dateAx>
        <c:axId val="2506330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0633464"/>
        <c:crosses val="autoZero"/>
        <c:auto val="1"/>
        <c:lblOffset val="100"/>
        <c:baseTimeUnit val="days"/>
        <c:majorUnit val="1"/>
        <c:majorTimeUnit val="months"/>
      </c:dateAx>
      <c:valAx>
        <c:axId val="2506334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06330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12.670202607995348</c:v>
                </c:pt>
                <c:pt idx="1">
                  <c:v>12.806025245252725</c:v>
                </c:pt>
                <c:pt idx="2">
                  <c:v>12.946901165185048</c:v>
                </c:pt>
                <c:pt idx="3">
                  <c:v>13.092442600809845</c:v>
                </c:pt>
                <c:pt idx="4">
                  <c:v>13.242262021567937</c:v>
                </c:pt>
                <c:pt idx="5">
                  <c:v>13.39597213268317</c:v>
                </c:pt>
                <c:pt idx="6">
                  <c:v>13.553185880746875</c:v>
                </c:pt>
                <c:pt idx="7">
                  <c:v>13.713516451228593</c:v>
                </c:pt>
                <c:pt idx="8">
                  <c:v>13.877393908301428</c:v>
                </c:pt>
                <c:pt idx="9">
                  <c:v>14.045612024796604</c:v>
                </c:pt>
                <c:pt idx="10">
                  <c:v>14.21834064443447</c:v>
                </c:pt>
                <c:pt idx="11">
                  <c:v>14.395675848662023</c:v>
                </c:pt>
                <c:pt idx="12">
                  <c:v>14.57771365271749</c:v>
                </c:pt>
                <c:pt idx="13">
                  <c:v>14.764550007684489</c:v>
                </c:pt>
                <c:pt idx="14">
                  <c:v>14.956280802184629</c:v>
                </c:pt>
                <c:pt idx="15">
                  <c:v>15.153004040755537</c:v>
                </c:pt>
                <c:pt idx="16">
                  <c:v>15.354805892241549</c:v>
                </c:pt>
                <c:pt idx="17">
                  <c:v>15.561782055858982</c:v>
                </c:pt>
                <c:pt idx="18">
                  <c:v>15.774028171463529</c:v>
                </c:pt>
                <c:pt idx="19">
                  <c:v>15.991638717832794</c:v>
                </c:pt>
                <c:pt idx="20">
                  <c:v>16.214707575140437</c:v>
                </c:pt>
                <c:pt idx="21">
                  <c:v>16.443329385182064</c:v>
                </c:pt>
                <c:pt idx="22">
                  <c:v>16.678676569753787</c:v>
                </c:pt>
                <c:pt idx="23">
                  <c:v>16.921535365299732</c:v>
                </c:pt>
                <c:pt idx="24">
                  <c:v>17.171250350899591</c:v>
                </c:pt>
                <c:pt idx="25">
                  <c:v>17.427208429005248</c:v>
                </c:pt>
                <c:pt idx="26">
                  <c:v>17.688796896121683</c:v>
                </c:pt>
                <c:pt idx="27">
                  <c:v>17.955403436676498</c:v>
                </c:pt>
                <c:pt idx="28">
                  <c:v>18.226416134015839</c:v>
                </c:pt>
                <c:pt idx="29">
                  <c:v>18.501537700500062</c:v>
                </c:pt>
                <c:pt idx="30">
                  <c:v>18.780154812382261</c:v>
                </c:pt>
                <c:pt idx="31">
                  <c:v>19.061656736022179</c:v>
                </c:pt>
                <c:pt idx="32">
                  <c:v>19.3454331440084</c:v>
                </c:pt>
                <c:pt idx="33">
                  <c:v>19.630874126263475</c:v>
                </c:pt>
                <c:pt idx="34">
                  <c:v>19.917370192291813</c:v>
                </c:pt>
                <c:pt idx="35">
                  <c:v>20.204312270593789</c:v>
                </c:pt>
                <c:pt idx="36">
                  <c:v>20.494151415205089</c:v>
                </c:pt>
                <c:pt idx="37">
                  <c:v>20.789491396216853</c:v>
                </c:pt>
                <c:pt idx="38">
                  <c:v>21.089534158743049</c:v>
                </c:pt>
                <c:pt idx="39">
                  <c:v>21.393568193719105</c:v>
                </c:pt>
                <c:pt idx="40">
                  <c:v>21.700882505816502</c:v>
                </c:pt>
                <c:pt idx="41">
                  <c:v>22.010766613831269</c:v>
                </c:pt>
                <c:pt idx="42">
                  <c:v>22.322510549191676</c:v>
                </c:pt>
                <c:pt idx="43">
                  <c:v>22.635321599791386</c:v>
                </c:pt>
                <c:pt idx="44">
                  <c:v>22.94817645106308</c:v>
                </c:pt>
                <c:pt idx="45">
                  <c:v>23.26036654133592</c:v>
                </c:pt>
                <c:pt idx="46">
                  <c:v>23.571183788039527</c:v>
                </c:pt>
                <c:pt idx="47">
                  <c:v>23.879920584881575</c:v>
                </c:pt>
                <c:pt idx="48">
                  <c:v>24.185869803036354</c:v>
                </c:pt>
                <c:pt idx="49">
                  <c:v>24.48832478644427</c:v>
                </c:pt>
                <c:pt idx="50">
                  <c:v>24.788350441461713</c:v>
                </c:pt>
                <c:pt idx="51">
                  <c:v>25.087463772131887</c:v>
                </c:pt>
                <c:pt idx="52">
                  <c:v>25.385444252139386</c:v>
                </c:pt>
                <c:pt idx="53">
                  <c:v>25.682293433618621</c:v>
                </c:pt>
                <c:pt idx="54">
                  <c:v>25.978012174539636</c:v>
                </c:pt>
                <c:pt idx="55">
                  <c:v>26.272601294320776</c:v>
                </c:pt>
                <c:pt idx="56">
                  <c:v>26.566061573474489</c:v>
                </c:pt>
                <c:pt idx="57">
                  <c:v>26.858313565100161</c:v>
                </c:pt>
                <c:pt idx="58">
                  <c:v>27.14944145638896</c:v>
                </c:pt>
                <c:pt idx="59">
                  <c:v>27.439445910724963</c:v>
                </c:pt>
                <c:pt idx="60">
                  <c:v>27.7283275550128</c:v>
                </c:pt>
                <c:pt idx="61">
                  <c:v>28.016086979341971</c:v>
                </c:pt>
                <c:pt idx="62">
                  <c:v>28.302724736545162</c:v>
                </c:pt>
                <c:pt idx="63">
                  <c:v>28.588241346029751</c:v>
                </c:pt>
                <c:pt idx="64">
                  <c:v>28.873512515480538</c:v>
                </c:pt>
                <c:pt idx="65">
                  <c:v>29.158908462921289</c:v>
                </c:pt>
                <c:pt idx="66">
                  <c:v>29.444044317375198</c:v>
                </c:pt>
                <c:pt idx="67">
                  <c:v>29.728515801562764</c:v>
                </c:pt>
                <c:pt idx="68">
                  <c:v>30.011918811861296</c:v>
                </c:pt>
                <c:pt idx="69">
                  <c:v>30.293849415919283</c:v>
                </c:pt>
                <c:pt idx="70">
                  <c:v>30.573903844885994</c:v>
                </c:pt>
                <c:pt idx="71">
                  <c:v>30.851581665008556</c:v>
                </c:pt>
                <c:pt idx="72">
                  <c:v>31.126560058317157</c:v>
                </c:pt>
                <c:pt idx="73">
                  <c:v>31.398435674503364</c:v>
                </c:pt>
                <c:pt idx="74">
                  <c:v>31.66680530550142</c:v>
                </c:pt>
                <c:pt idx="75">
                  <c:v>31.931265876725476</c:v>
                </c:pt>
                <c:pt idx="76">
                  <c:v>32.191414443349082</c:v>
                </c:pt>
                <c:pt idx="77">
                  <c:v>32.446848184804743</c:v>
                </c:pt>
                <c:pt idx="78">
                  <c:v>32.699263816591738</c:v>
                </c:pt>
                <c:pt idx="79">
                  <c:v>32.950289702127684</c:v>
                </c:pt>
                <c:pt idx="80">
                  <c:v>33.199659355786288</c:v>
                </c:pt>
                <c:pt idx="81">
                  <c:v>33.446868701197729</c:v>
                </c:pt>
                <c:pt idx="82">
                  <c:v>33.691413902590739</c:v>
                </c:pt>
                <c:pt idx="83">
                  <c:v>33.93279136736443</c:v>
                </c:pt>
                <c:pt idx="84">
                  <c:v>34.170497740384526</c:v>
                </c:pt>
                <c:pt idx="85">
                  <c:v>34.404029908605942</c:v>
                </c:pt>
                <c:pt idx="86">
                  <c:v>34.632983525547736</c:v>
                </c:pt>
                <c:pt idx="87">
                  <c:v>34.856856475517517</c:v>
                </c:pt>
                <c:pt idx="88">
                  <c:v>35.07514694719594</c:v>
                </c:pt>
                <c:pt idx="89">
                  <c:v>35.287353426949601</c:v>
                </c:pt>
                <c:pt idx="90">
                  <c:v>35.492974717977283</c:v>
                </c:pt>
                <c:pt idx="91">
                  <c:v>35.691509931521566</c:v>
                </c:pt>
                <c:pt idx="92">
                  <c:v>35.882626096939774</c:v>
                </c:pt>
                <c:pt idx="93">
                  <c:v>36.066660718746611</c:v>
                </c:pt>
                <c:pt idx="94">
                  <c:v>36.244118646685664</c:v>
                </c:pt>
                <c:pt idx="95">
                  <c:v>36.415504431915949</c:v>
                </c:pt>
                <c:pt idx="96">
                  <c:v>36.581322321019499</c:v>
                </c:pt>
                <c:pt idx="97">
                  <c:v>36.742076267297456</c:v>
                </c:pt>
                <c:pt idx="98">
                  <c:v>36.89826992182612</c:v>
                </c:pt>
                <c:pt idx="99">
                  <c:v>37.050406642190758</c:v>
                </c:pt>
                <c:pt idx="100">
                  <c:v>37.1989894854634</c:v>
                </c:pt>
                <c:pt idx="101">
                  <c:v>37.344521213942734</c:v>
                </c:pt>
                <c:pt idx="102">
                  <c:v>37.487504290000409</c:v>
                </c:pt>
                <c:pt idx="103">
                  <c:v>37.628440881128178</c:v>
                </c:pt>
                <c:pt idx="104">
                  <c:v>37.767832855060448</c:v>
                </c:pt>
                <c:pt idx="105">
                  <c:v>37.906181780546873</c:v>
                </c:pt>
                <c:pt idx="106">
                  <c:v>38.043169575376865</c:v>
                </c:pt>
                <c:pt idx="107">
                  <c:v>38.178010276610266</c:v>
                </c:pt>
                <c:pt idx="108">
                  <c:v>38.310503538575297</c:v>
                </c:pt>
                <c:pt idx="109">
                  <c:v>38.440449191280749</c:v>
                </c:pt>
                <c:pt idx="110">
                  <c:v>38.567647246193026</c:v>
                </c:pt>
                <c:pt idx="111">
                  <c:v>38.69189790339076</c:v>
                </c:pt>
                <c:pt idx="112">
                  <c:v>38.81300155310506</c:v>
                </c:pt>
                <c:pt idx="113">
                  <c:v>38.930758781351841</c:v>
                </c:pt>
                <c:pt idx="114">
                  <c:v>39.044970378335584</c:v>
                </c:pt>
                <c:pt idx="115">
                  <c:v>39.155437339735471</c:v>
                </c:pt>
                <c:pt idx="116">
                  <c:v>39.261960874076792</c:v>
                </c:pt>
                <c:pt idx="117">
                  <c:v>39.364342406414828</c:v>
                </c:pt>
                <c:pt idx="118">
                  <c:v>39.462383586564762</c:v>
                </c:pt>
                <c:pt idx="119">
                  <c:v>39.555886291381185</c:v>
                </c:pt>
                <c:pt idx="120">
                  <c:v>39.645369935871337</c:v>
                </c:pt>
                <c:pt idx="121">
                  <c:v>39.731420385687962</c:v>
                </c:pt>
                <c:pt idx="122">
                  <c:v>39.813939483463038</c:v>
                </c:pt>
                <c:pt idx="123">
                  <c:v>39.892829240586366</c:v>
                </c:pt>
                <c:pt idx="124">
                  <c:v>39.967991844885816</c:v>
                </c:pt>
                <c:pt idx="125">
                  <c:v>40.039329655884508</c:v>
                </c:pt>
                <c:pt idx="126">
                  <c:v>40.106745213355602</c:v>
                </c:pt>
                <c:pt idx="127">
                  <c:v>40.170141237441207</c:v>
                </c:pt>
                <c:pt idx="128">
                  <c:v>40.229420633766935</c:v>
                </c:pt>
                <c:pt idx="129">
                  <c:v>40.284486492022914</c:v>
                </c:pt>
                <c:pt idx="130">
                  <c:v>40.33524208632047</c:v>
                </c:pt>
                <c:pt idx="131">
                  <c:v>40.381590880557724</c:v>
                </c:pt>
                <c:pt idx="132">
                  <c:v>40.423436522359722</c:v>
                </c:pt>
                <c:pt idx="133">
                  <c:v>40.460682849203046</c:v>
                </c:pt>
                <c:pt idx="134">
                  <c:v>40.492401915533051</c:v>
                </c:pt>
                <c:pt idx="135">
                  <c:v>40.518065846353096</c:v>
                </c:pt>
                <c:pt idx="136">
                  <c:v>40.538178526371922</c:v>
                </c:pt>
                <c:pt idx="137">
                  <c:v>40.553243568670524</c:v>
                </c:pt>
                <c:pt idx="138">
                  <c:v>40.563764313937845</c:v>
                </c:pt>
                <c:pt idx="139">
                  <c:v>40.570243822249488</c:v>
                </c:pt>
                <c:pt idx="140">
                  <c:v>40.573184863512481</c:v>
                </c:pt>
                <c:pt idx="141">
                  <c:v>40.573089911206203</c:v>
                </c:pt>
                <c:pt idx="142">
                  <c:v>40.570461136833835</c:v>
                </c:pt>
                <c:pt idx="143">
                  <c:v>40.565800399631257</c:v>
                </c:pt>
                <c:pt idx="144">
                  <c:v>40.559609241028532</c:v>
                </c:pt>
                <c:pt idx="145">
                  <c:v>40.552388875117195</c:v>
                </c:pt>
                <c:pt idx="146">
                  <c:v>40.544640182041306</c:v>
                </c:pt>
                <c:pt idx="147">
                  <c:v>40.536863702455456</c:v>
                </c:pt>
                <c:pt idx="148">
                  <c:v>40.528099208803589</c:v>
                </c:pt>
                <c:pt idx="149">
                  <c:v>40.517121734770896</c:v>
                </c:pt>
                <c:pt idx="150">
                  <c:v>40.504034398796122</c:v>
                </c:pt>
                <c:pt idx="151">
                  <c:v>40.488940239650482</c:v>
                </c:pt>
                <c:pt idx="152">
                  <c:v>40.471942209882968</c:v>
                </c:pt>
                <c:pt idx="153">
                  <c:v>40.45314316605959</c:v>
                </c:pt>
                <c:pt idx="154">
                  <c:v>40.432645857161162</c:v>
                </c:pt>
                <c:pt idx="155">
                  <c:v>40.410552917151257</c:v>
                </c:pt>
                <c:pt idx="156">
                  <c:v>40.38696685603761</c:v>
                </c:pt>
                <c:pt idx="157">
                  <c:v>40.361990049022992</c:v>
                </c:pt>
                <c:pt idx="158">
                  <c:v>40.335724730172807</c:v>
                </c:pt>
                <c:pt idx="159">
                  <c:v>40.308272982242869</c:v>
                </c:pt>
                <c:pt idx="160">
                  <c:v>40.279736729832756</c:v>
                </c:pt>
                <c:pt idx="161">
                  <c:v>40.250217732891642</c:v>
                </c:pt>
                <c:pt idx="162">
                  <c:v>40.219354098480473</c:v>
                </c:pt>
                <c:pt idx="163">
                  <c:v>40.186784086638234</c:v>
                </c:pt>
                <c:pt idx="164">
                  <c:v>40.152609415288147</c:v>
                </c:pt>
                <c:pt idx="165">
                  <c:v>40.11693160587896</c:v>
                </c:pt>
                <c:pt idx="166">
                  <c:v>40.079851980204936</c:v>
                </c:pt>
                <c:pt idx="167">
                  <c:v>40.0414716566899</c:v>
                </c:pt>
                <c:pt idx="168">
                  <c:v>40.001891547371898</c:v>
                </c:pt>
                <c:pt idx="169">
                  <c:v>39.961212354968445</c:v>
                </c:pt>
                <c:pt idx="170">
                  <c:v>39.919534572478099</c:v>
                </c:pt>
                <c:pt idx="171">
                  <c:v>39.876958481946545</c:v>
                </c:pt>
                <c:pt idx="172">
                  <c:v>39.833584155752412</c:v>
                </c:pt>
                <c:pt idx="173">
                  <c:v>39.789511456610171</c:v>
                </c:pt>
                <c:pt idx="174">
                  <c:v>39.744840040283961</c:v>
                </c:pt>
                <c:pt idx="175">
                  <c:v>39.699669358319099</c:v>
                </c:pt>
                <c:pt idx="176">
                  <c:v>39.654494975515703</c:v>
                </c:pt>
                <c:pt idx="177">
                  <c:v>39.609547835134407</c:v>
                </c:pt>
                <c:pt idx="178">
                  <c:v>39.564530361366927</c:v>
                </c:pt>
                <c:pt idx="179">
                  <c:v>39.51914505087489</c:v>
                </c:pt>
                <c:pt idx="180">
                  <c:v>39.473094475016445</c:v>
                </c:pt>
                <c:pt idx="181">
                  <c:v>39.426081280719096</c:v>
                </c:pt>
                <c:pt idx="182">
                  <c:v>39.377808194979671</c:v>
                </c:pt>
                <c:pt idx="183">
                  <c:v>39.327978026469523</c:v>
                </c:pt>
                <c:pt idx="184">
                  <c:v>39.276293670331789</c:v>
                </c:pt>
                <c:pt idx="185">
                  <c:v>39.222458114176398</c:v>
                </c:pt>
                <c:pt idx="186">
                  <c:v>39.166174439573446</c:v>
                </c:pt>
                <c:pt idx="187">
                  <c:v>39.107145831001453</c:v>
                </c:pt>
                <c:pt idx="188">
                  <c:v>39.04507558105292</c:v>
                </c:pt>
                <c:pt idx="189">
                  <c:v>38.979667095112752</c:v>
                </c:pt>
                <c:pt idx="190">
                  <c:v>38.910508558498471</c:v>
                </c:pt>
                <c:pt idx="191">
                  <c:v>38.837649645412625</c:v>
                </c:pt>
                <c:pt idx="192">
                  <c:v>38.761485879161683</c:v>
                </c:pt>
                <c:pt idx="193">
                  <c:v>38.682412521947796</c:v>
                </c:pt>
                <c:pt idx="194">
                  <c:v>38.600824587226462</c:v>
                </c:pt>
                <c:pt idx="195">
                  <c:v>38.517116855214006</c:v>
                </c:pt>
                <c:pt idx="196">
                  <c:v>38.431683880085963</c:v>
                </c:pt>
                <c:pt idx="197">
                  <c:v>38.344920004241111</c:v>
                </c:pt>
                <c:pt idx="198">
                  <c:v>38.25721936891938</c:v>
                </c:pt>
                <c:pt idx="199">
                  <c:v>38.16897592222864</c:v>
                </c:pt>
                <c:pt idx="200">
                  <c:v>38.080583428619065</c:v>
                </c:pt>
                <c:pt idx="201">
                  <c:v>37.992435478327323</c:v>
                </c:pt>
                <c:pt idx="202">
                  <c:v>37.904925492777934</c:v>
                </c:pt>
                <c:pt idx="203">
                  <c:v>37.81844673263852</c:v>
                </c:pt>
                <c:pt idx="204">
                  <c:v>37.732833197026416</c:v>
                </c:pt>
                <c:pt idx="205">
                  <c:v>37.647524433392974</c:v>
                </c:pt>
                <c:pt idx="206">
                  <c:v>37.562322040780458</c:v>
                </c:pt>
                <c:pt idx="207">
                  <c:v>37.477027795650677</c:v>
                </c:pt>
                <c:pt idx="208">
                  <c:v>37.391443651442678</c:v>
                </c:pt>
                <c:pt idx="209">
                  <c:v>37.305371739228839</c:v>
                </c:pt>
                <c:pt idx="210">
                  <c:v>37.218614367503065</c:v>
                </c:pt>
                <c:pt idx="211">
                  <c:v>37.130974019681304</c:v>
                </c:pt>
                <c:pt idx="212">
                  <c:v>37.042253354178527</c:v>
                </c:pt>
                <c:pt idx="213">
                  <c:v>36.952255201636561</c:v>
                </c:pt>
                <c:pt idx="214">
                  <c:v>36.860782562955904</c:v>
                </c:pt>
                <c:pt idx="215">
                  <c:v>36.767638606751866</c:v>
                </c:pt>
                <c:pt idx="216">
                  <c:v>36.67262666561259</c:v>
                </c:pt>
                <c:pt idx="217">
                  <c:v>36.575550233724243</c:v>
                </c:pt>
                <c:pt idx="218">
                  <c:v>36.476705358424695</c:v>
                </c:pt>
                <c:pt idx="219">
                  <c:v>36.376519268691247</c:v>
                </c:pt>
                <c:pt idx="220">
                  <c:v>36.274992383412027</c:v>
                </c:pt>
                <c:pt idx="221">
                  <c:v>36.172125165956238</c:v>
                </c:pt>
                <c:pt idx="222">
                  <c:v>36.067918120608503</c:v>
                </c:pt>
                <c:pt idx="223">
                  <c:v>35.962371788663901</c:v>
                </c:pt>
                <c:pt idx="224">
                  <c:v>35.855486745087347</c:v>
                </c:pt>
                <c:pt idx="225">
                  <c:v>35.747263594826933</c:v>
                </c:pt>
                <c:pt idx="226">
                  <c:v>35.637702970401058</c:v>
                </c:pt>
                <c:pt idx="227">
                  <c:v>35.526805527629314</c:v>
                </c:pt>
                <c:pt idx="228">
                  <c:v>35.414571943259858</c:v>
                </c:pt>
                <c:pt idx="229">
                  <c:v>35.30100291215021</c:v>
                </c:pt>
                <c:pt idx="230">
                  <c:v>35.186099144736495</c:v>
                </c:pt>
                <c:pt idx="231">
                  <c:v>35.069861364640467</c:v>
                </c:pt>
                <c:pt idx="232">
                  <c:v>34.9537811809952</c:v>
                </c:pt>
                <c:pt idx="233">
                  <c:v>34.838890779613287</c:v>
                </c:pt>
                <c:pt idx="234">
                  <c:v>34.724502030542837</c:v>
                </c:pt>
                <c:pt idx="235">
                  <c:v>34.609927167802716</c:v>
                </c:pt>
                <c:pt idx="236">
                  <c:v>34.494478784005608</c:v>
                </c:pt>
                <c:pt idx="237">
                  <c:v>34.3774698286987</c:v>
                </c:pt>
                <c:pt idx="238">
                  <c:v>34.258213601590164</c:v>
                </c:pt>
                <c:pt idx="239">
                  <c:v>34.136023754051934</c:v>
                </c:pt>
                <c:pt idx="240">
                  <c:v>34.010214283354365</c:v>
                </c:pt>
                <c:pt idx="241">
                  <c:v>33.880099526165523</c:v>
                </c:pt>
                <c:pt idx="242">
                  <c:v>33.74499416160743</c:v>
                </c:pt>
                <c:pt idx="243">
                  <c:v>33.604213204057118</c:v>
                </c:pt>
                <c:pt idx="244">
                  <c:v>33.457071997518845</c:v>
                </c:pt>
                <c:pt idx="245">
                  <c:v>33.302886217913894</c:v>
                </c:pt>
                <c:pt idx="246">
                  <c:v>33.141413435617551</c:v>
                </c:pt>
                <c:pt idx="247">
                  <c:v>32.973261673624201</c:v>
                </c:pt>
                <c:pt idx="248">
                  <c:v>32.799022294396693</c:v>
                </c:pt>
                <c:pt idx="249">
                  <c:v>32.619286367062685</c:v>
                </c:pt>
                <c:pt idx="250">
                  <c:v>32.434644673512075</c:v>
                </c:pt>
                <c:pt idx="251">
                  <c:v>32.245687704847143</c:v>
                </c:pt>
                <c:pt idx="252">
                  <c:v>32.053005669503094</c:v>
                </c:pt>
                <c:pt idx="253">
                  <c:v>31.857188489371051</c:v>
                </c:pt>
                <c:pt idx="254">
                  <c:v>31.65882581099606</c:v>
                </c:pt>
                <c:pt idx="255">
                  <c:v>31.45850700622259</c:v>
                </c:pt>
                <c:pt idx="256">
                  <c:v>31.256821174380015</c:v>
                </c:pt>
                <c:pt idx="257">
                  <c:v>31.054357142186113</c:v>
                </c:pt>
                <c:pt idx="258">
                  <c:v>30.851703468639517</c:v>
                </c:pt>
                <c:pt idx="259">
                  <c:v>30.649448446726414</c:v>
                </c:pt>
                <c:pt idx="260">
                  <c:v>30.447135110321895</c:v>
                </c:pt>
                <c:pt idx="261">
                  <c:v>30.243591117026543</c:v>
                </c:pt>
                <c:pt idx="262">
                  <c:v>30.038621574972119</c:v>
                </c:pt>
                <c:pt idx="263">
                  <c:v>29.83203170629913</c:v>
                </c:pt>
                <c:pt idx="264">
                  <c:v>29.623626842403322</c:v>
                </c:pt>
                <c:pt idx="265">
                  <c:v>29.413212405303312</c:v>
                </c:pt>
                <c:pt idx="266">
                  <c:v>29.200593901213253</c:v>
                </c:pt>
                <c:pt idx="267">
                  <c:v>28.985106893863591</c:v>
                </c:pt>
                <c:pt idx="268">
                  <c:v>28.766558197027667</c:v>
                </c:pt>
                <c:pt idx="269">
                  <c:v>28.544754820300646</c:v>
                </c:pt>
                <c:pt idx="270">
                  <c:v>28.31950398260588</c:v>
                </c:pt>
                <c:pt idx="271">
                  <c:v>28.090613118387349</c:v>
                </c:pt>
                <c:pt idx="272">
                  <c:v>27.857889880039409</c:v>
                </c:pt>
                <c:pt idx="273">
                  <c:v>27.621142144649689</c:v>
                </c:pt>
                <c:pt idx="274">
                  <c:v>27.380667147585907</c:v>
                </c:pt>
                <c:pt idx="275">
                  <c:v>27.136733301319399</c:v>
                </c:pt>
                <c:pt idx="276">
                  <c:v>26.88953572311523</c:v>
                </c:pt>
                <c:pt idx="277">
                  <c:v>26.63907835493259</c:v>
                </c:pt>
                <c:pt idx="278">
                  <c:v>26.385365299456236</c:v>
                </c:pt>
                <c:pt idx="279">
                  <c:v>26.128400812677945</c:v>
                </c:pt>
                <c:pt idx="280">
                  <c:v>25.868189306740451</c:v>
                </c:pt>
                <c:pt idx="281">
                  <c:v>25.604696860838693</c:v>
                </c:pt>
                <c:pt idx="282">
                  <c:v>25.338390265105552</c:v>
                </c:pt>
                <c:pt idx="283">
                  <c:v>25.069272270746932</c:v>
                </c:pt>
                <c:pt idx="284">
                  <c:v>24.797345593406639</c:v>
                </c:pt>
                <c:pt idx="285">
                  <c:v>24.522612901548889</c:v>
                </c:pt>
                <c:pt idx="286">
                  <c:v>24.2450768082001</c:v>
                </c:pt>
                <c:pt idx="287">
                  <c:v>23.964739857632807</c:v>
                </c:pt>
                <c:pt idx="288">
                  <c:v>23.680969402221589</c:v>
                </c:pt>
                <c:pt idx="289">
                  <c:v>23.393166090210102</c:v>
                </c:pt>
                <c:pt idx="290">
                  <c:v>23.101781929898614</c:v>
                </c:pt>
                <c:pt idx="291">
                  <c:v>22.807112400776063</c:v>
                </c:pt>
                <c:pt idx="292">
                  <c:v>22.50945277572648</c:v>
                </c:pt>
                <c:pt idx="293">
                  <c:v>22.209098119902567</c:v>
                </c:pt>
                <c:pt idx="294">
                  <c:v>21.906343283267994</c:v>
                </c:pt>
                <c:pt idx="295">
                  <c:v>21.601909179925418</c:v>
                </c:pt>
                <c:pt idx="296">
                  <c:v>21.296120892600804</c:v>
                </c:pt>
                <c:pt idx="297">
                  <c:v>20.989266052106043</c:v>
                </c:pt>
                <c:pt idx="298">
                  <c:v>20.681634058956927</c:v>
                </c:pt>
                <c:pt idx="299">
                  <c:v>20.373513997477033</c:v>
                </c:pt>
                <c:pt idx="300">
                  <c:v>20.065194646840634</c:v>
                </c:pt>
                <c:pt idx="301">
                  <c:v>19.756964496848589</c:v>
                </c:pt>
                <c:pt idx="302">
                  <c:v>19.444784070331789</c:v>
                </c:pt>
                <c:pt idx="303">
                  <c:v>19.126116945019263</c:v>
                </c:pt>
                <c:pt idx="304">
                  <c:v>18.802770021057974</c:v>
                </c:pt>
                <c:pt idx="305">
                  <c:v>18.476392131322179</c:v>
                </c:pt>
                <c:pt idx="306">
                  <c:v>18.14863157374149</c:v>
                </c:pt>
                <c:pt idx="307">
                  <c:v>17.821136168925097</c:v>
                </c:pt>
                <c:pt idx="308">
                  <c:v>17.495553319855475</c:v>
                </c:pt>
                <c:pt idx="309">
                  <c:v>17.173689265616552</c:v>
                </c:pt>
                <c:pt idx="310">
                  <c:v>16.856780137990981</c:v>
                </c:pt>
                <c:pt idx="311">
                  <c:v>16.546474516408257</c:v>
                </c:pt>
                <c:pt idx="312">
                  <c:v>16.244420741595771</c:v>
                </c:pt>
                <c:pt idx="313">
                  <c:v>15.952266947843766</c:v>
                </c:pt>
                <c:pt idx="314">
                  <c:v>15.671661092507041</c:v>
                </c:pt>
                <c:pt idx="315">
                  <c:v>15.404250979825147</c:v>
                </c:pt>
                <c:pt idx="316">
                  <c:v>15.147539141451514</c:v>
                </c:pt>
                <c:pt idx="317">
                  <c:v>14.897927710619285</c:v>
                </c:pt>
                <c:pt idx="318">
                  <c:v>14.654840878045878</c:v>
                </c:pt>
                <c:pt idx="319">
                  <c:v>14.418274852844188</c:v>
                </c:pt>
                <c:pt idx="320">
                  <c:v>14.188226085738011</c:v>
                </c:pt>
                <c:pt idx="321">
                  <c:v>13.964691273224366</c:v>
                </c:pt>
                <c:pt idx="322">
                  <c:v>13.747667357468218</c:v>
                </c:pt>
                <c:pt idx="323">
                  <c:v>13.537226292610557</c:v>
                </c:pt>
                <c:pt idx="324">
                  <c:v>13.333211946614801</c:v>
                </c:pt>
                <c:pt idx="325">
                  <c:v>13.135622569649312</c:v>
                </c:pt>
                <c:pt idx="326">
                  <c:v>12.944458783250683</c:v>
                </c:pt>
                <c:pt idx="327">
                  <c:v>12.759719879847593</c:v>
                </c:pt>
                <c:pt idx="328">
                  <c:v>12.581403559382695</c:v>
                </c:pt>
                <c:pt idx="329">
                  <c:v>12.40950775329117</c:v>
                </c:pt>
                <c:pt idx="330">
                  <c:v>12.241708393206457</c:v>
                </c:pt>
                <c:pt idx="331">
                  <c:v>12.076413640206471</c:v>
                </c:pt>
                <c:pt idx="332">
                  <c:v>11.914690724968318</c:v>
                </c:pt>
                <c:pt idx="333">
                  <c:v>11.757610577622581</c:v>
                </c:pt>
                <c:pt idx="334">
                  <c:v>11.606243969352176</c:v>
                </c:pt>
                <c:pt idx="335">
                  <c:v>11.461661478123132</c:v>
                </c:pt>
                <c:pt idx="336">
                  <c:v>11.324933466194711</c:v>
                </c:pt>
                <c:pt idx="337">
                  <c:v>11.197002052035391</c:v>
                </c:pt>
                <c:pt idx="338">
                  <c:v>11.07886506139625</c:v>
                </c:pt>
                <c:pt idx="339">
                  <c:v>10.971592863911027</c:v>
                </c:pt>
                <c:pt idx="340">
                  <c:v>10.876255410883344</c:v>
                </c:pt>
                <c:pt idx="341">
                  <c:v>10.793922209436079</c:v>
                </c:pt>
                <c:pt idx="342">
                  <c:v>10.725662301865905</c:v>
                </c:pt>
                <c:pt idx="343">
                  <c:v>10.672544244206353</c:v>
                </c:pt>
                <c:pt idx="344">
                  <c:v>10.635258909956761</c:v>
                </c:pt>
                <c:pt idx="345">
                  <c:v>10.613075911753707</c:v>
                </c:pt>
                <c:pt idx="346">
                  <c:v>10.604761502219313</c:v>
                </c:pt>
                <c:pt idx="347">
                  <c:v>10.609252939844596</c:v>
                </c:pt>
                <c:pt idx="348">
                  <c:v>10.625487723574212</c:v>
                </c:pt>
                <c:pt idx="349">
                  <c:v>10.652403604585119</c:v>
                </c:pt>
                <c:pt idx="350">
                  <c:v>10.688938591725574</c:v>
                </c:pt>
                <c:pt idx="351">
                  <c:v>10.733877690034637</c:v>
                </c:pt>
                <c:pt idx="352">
                  <c:v>10.786285780601075</c:v>
                </c:pt>
                <c:pt idx="353">
                  <c:v>10.845101698165342</c:v>
                </c:pt>
                <c:pt idx="354">
                  <c:v>10.909264551975568</c:v>
                </c:pt>
                <c:pt idx="355">
                  <c:v>10.977713732051111</c:v>
                </c:pt>
                <c:pt idx="356">
                  <c:v>11.049390242037518</c:v>
                </c:pt>
                <c:pt idx="357">
                  <c:v>11.123233050077889</c:v>
                </c:pt>
                <c:pt idx="358">
                  <c:v>11.201690675470433</c:v>
                </c:pt>
                <c:pt idx="359">
                  <c:v>11.287671589965781</c:v>
                </c:pt>
                <c:pt idx="360">
                  <c:v>11.380681217640259</c:v>
                </c:pt>
                <c:pt idx="361">
                  <c:v>11.480503827895463</c:v>
                </c:pt>
                <c:pt idx="362">
                  <c:v>11.586770804562573</c:v>
                </c:pt>
                <c:pt idx="363">
                  <c:v>11.699113599982979</c:v>
                </c:pt>
                <c:pt idx="364">
                  <c:v>11.817163743284397</c:v>
                </c:pt>
                <c:pt idx="365">
                  <c:v>12.243683175639873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1.129</c:v>
                </c:pt>
                <c:pt idx="1">
                  <c:v>4.5839999999999996</c:v>
                </c:pt>
                <c:pt idx="2">
                  <c:v>13.29</c:v>
                </c:pt>
                <c:pt idx="3">
                  <c:v>13.297000000000001</c:v>
                </c:pt>
                <c:pt idx="4">
                  <c:v>13.435</c:v>
                </c:pt>
                <c:pt idx="5">
                  <c:v>3.4</c:v>
                </c:pt>
                <c:pt idx="6">
                  <c:v>1.6919999999999999</c:v>
                </c:pt>
                <c:pt idx="7">
                  <c:v>3.899</c:v>
                </c:pt>
                <c:pt idx="8">
                  <c:v>6.0350000000000001</c:v>
                </c:pt>
                <c:pt idx="9">
                  <c:v>9.6760000000000002</c:v>
                </c:pt>
                <c:pt idx="10">
                  <c:v>13.946999999999999</c:v>
                </c:pt>
                <c:pt idx="11">
                  <c:v>6.6040000000000001</c:v>
                </c:pt>
                <c:pt idx="12">
                  <c:v>3.3239999999999998</c:v>
                </c:pt>
                <c:pt idx="13">
                  <c:v>4.33</c:v>
                </c:pt>
                <c:pt idx="14">
                  <c:v>14.978</c:v>
                </c:pt>
                <c:pt idx="15">
                  <c:v>15.042999999999999</c:v>
                </c:pt>
                <c:pt idx="16">
                  <c:v>6.59</c:v>
                </c:pt>
                <c:pt idx="17">
                  <c:v>8.5739999999999998</c:v>
                </c:pt>
                <c:pt idx="18">
                  <c:v>9.8710000000000004</c:v>
                </c:pt>
                <c:pt idx="19">
                  <c:v>4.8070000000000004</c:v>
                </c:pt>
                <c:pt idx="20">
                  <c:v>6.1950000000000003</c:v>
                </c:pt>
                <c:pt idx="21">
                  <c:v>7.0650000000000004</c:v>
                </c:pt>
                <c:pt idx="22">
                  <c:v>5.7969999999999997</c:v>
                </c:pt>
                <c:pt idx="23">
                  <c:v>7.01</c:v>
                </c:pt>
                <c:pt idx="24">
                  <c:v>2.61</c:v>
                </c:pt>
                <c:pt idx="25">
                  <c:v>11.548</c:v>
                </c:pt>
                <c:pt idx="26">
                  <c:v>8.6059999999999999</c:v>
                </c:pt>
                <c:pt idx="27">
                  <c:v>7.8659999999999997</c:v>
                </c:pt>
                <c:pt idx="28">
                  <c:v>3.427</c:v>
                </c:pt>
                <c:pt idx="29">
                  <c:v>5.8650000000000002</c:v>
                </c:pt>
                <c:pt idx="30">
                  <c:v>4.9720000000000004</c:v>
                </c:pt>
                <c:pt idx="31">
                  <c:v>15.436</c:v>
                </c:pt>
                <c:pt idx="32">
                  <c:v>2.1440000000000001</c:v>
                </c:pt>
                <c:pt idx="33">
                  <c:v>8.2629999999999999</c:v>
                </c:pt>
                <c:pt idx="34">
                  <c:v>16.890999999999998</c:v>
                </c:pt>
                <c:pt idx="35">
                  <c:v>3.0249999999999999</c:v>
                </c:pt>
                <c:pt idx="36">
                  <c:v>7.7279999999999998</c:v>
                </c:pt>
                <c:pt idx="37">
                  <c:v>3.9590000000000001</c:v>
                </c:pt>
                <c:pt idx="38">
                  <c:v>18.582999999999998</c:v>
                </c:pt>
                <c:pt idx="39">
                  <c:v>18.152999999999999</c:v>
                </c:pt>
                <c:pt idx="40">
                  <c:v>6.0519999999999996</c:v>
                </c:pt>
                <c:pt idx="41">
                  <c:v>13.84</c:v>
                </c:pt>
                <c:pt idx="42">
                  <c:v>22.841000000000001</c:v>
                </c:pt>
                <c:pt idx="43">
                  <c:v>23.423999999999999</c:v>
                </c:pt>
                <c:pt idx="44">
                  <c:v>23.527000000000001</c:v>
                </c:pt>
                <c:pt idx="45">
                  <c:v>23.829000000000001</c:v>
                </c:pt>
                <c:pt idx="46">
                  <c:v>24.277999999999999</c:v>
                </c:pt>
                <c:pt idx="47">
                  <c:v>24.494</c:v>
                </c:pt>
                <c:pt idx="48">
                  <c:v>24.164999999999999</c:v>
                </c:pt>
                <c:pt idx="49">
                  <c:v>17.352</c:v>
                </c:pt>
                <c:pt idx="50">
                  <c:v>24.658999999999999</c:v>
                </c:pt>
                <c:pt idx="51">
                  <c:v>23.658999999999999</c:v>
                </c:pt>
                <c:pt idx="52">
                  <c:v>24.986000000000001</c:v>
                </c:pt>
                <c:pt idx="53">
                  <c:v>25.654</c:v>
                </c:pt>
                <c:pt idx="54">
                  <c:v>25.532</c:v>
                </c:pt>
                <c:pt idx="55">
                  <c:v>25.907</c:v>
                </c:pt>
                <c:pt idx="56">
                  <c:v>23.702999999999999</c:v>
                </c:pt>
                <c:pt idx="57">
                  <c:v>26.765999999999998</c:v>
                </c:pt>
                <c:pt idx="58">
                  <c:v>20.788</c:v>
                </c:pt>
                <c:pt idx="59">
                  <c:v>9.5329999999999995</c:v>
                </c:pt>
                <c:pt idx="60">
                  <c:v>14.63</c:v>
                </c:pt>
                <c:pt idx="61">
                  <c:v>24.257000000000001</c:v>
                </c:pt>
                <c:pt idx="62">
                  <c:v>6.8570000000000002</c:v>
                </c:pt>
                <c:pt idx="63">
                  <c:v>28.045999999999999</c:v>
                </c:pt>
                <c:pt idx="64">
                  <c:v>15.073</c:v>
                </c:pt>
                <c:pt idx="65">
                  <c:v>27.812000000000001</c:v>
                </c:pt>
                <c:pt idx="66">
                  <c:v>17.599</c:v>
                </c:pt>
                <c:pt idx="67">
                  <c:v>14.430999999999999</c:v>
                </c:pt>
                <c:pt idx="68">
                  <c:v>10.278</c:v>
                </c:pt>
                <c:pt idx="69">
                  <c:v>21.521999999999998</c:v>
                </c:pt>
                <c:pt idx="70">
                  <c:v>25.991</c:v>
                </c:pt>
                <c:pt idx="71">
                  <c:v>15.943</c:v>
                </c:pt>
                <c:pt idx="72">
                  <c:v>16.559000000000001</c:v>
                </c:pt>
                <c:pt idx="73">
                  <c:v>9.4689999999999994</c:v>
                </c:pt>
                <c:pt idx="74">
                  <c:v>31.241</c:v>
                </c:pt>
                <c:pt idx="75">
                  <c:v>11.262</c:v>
                </c:pt>
                <c:pt idx="76">
                  <c:v>21.297999999999998</c:v>
                </c:pt>
                <c:pt idx="77">
                  <c:v>8.6110000000000007</c:v>
                </c:pt>
                <c:pt idx="78">
                  <c:v>33.223999999999997</c:v>
                </c:pt>
                <c:pt idx="79">
                  <c:v>33.164999999999999</c:v>
                </c:pt>
                <c:pt idx="80">
                  <c:v>32.317999999999998</c:v>
                </c:pt>
                <c:pt idx="81">
                  <c:v>30.632000000000001</c:v>
                </c:pt>
                <c:pt idx="82">
                  <c:v>33.322000000000003</c:v>
                </c:pt>
                <c:pt idx="83">
                  <c:v>28.57</c:v>
                </c:pt>
                <c:pt idx="84">
                  <c:v>35.716999999999999</c:v>
                </c:pt>
                <c:pt idx="85">
                  <c:v>35.116999999999997</c:v>
                </c:pt>
                <c:pt idx="86">
                  <c:v>34.354999999999997</c:v>
                </c:pt>
                <c:pt idx="87">
                  <c:v>33.619999999999997</c:v>
                </c:pt>
                <c:pt idx="88">
                  <c:v>34.277000000000001</c:v>
                </c:pt>
                <c:pt idx="89">
                  <c:v>29.190999999999999</c:v>
                </c:pt>
                <c:pt idx="90">
                  <c:v>25.111999999999998</c:v>
                </c:pt>
                <c:pt idx="91">
                  <c:v>11.843</c:v>
                </c:pt>
                <c:pt idx="92">
                  <c:v>10.494</c:v>
                </c:pt>
                <c:pt idx="93">
                  <c:v>26.510999999999999</c:v>
                </c:pt>
                <c:pt idx="94">
                  <c:v>33.000999999999998</c:v>
                </c:pt>
                <c:pt idx="95">
                  <c:v>14.321999999999999</c:v>
                </c:pt>
                <c:pt idx="96">
                  <c:v>22.914999999999999</c:v>
                </c:pt>
                <c:pt idx="97">
                  <c:v>21.114999999999998</c:v>
                </c:pt>
                <c:pt idx="98">
                  <c:v>29.337</c:v>
                </c:pt>
                <c:pt idx="99">
                  <c:v>22.381</c:v>
                </c:pt>
                <c:pt idx="100">
                  <c:v>6.19</c:v>
                </c:pt>
                <c:pt idx="101">
                  <c:v>38.122</c:v>
                </c:pt>
                <c:pt idx="102">
                  <c:v>38.412999999999997</c:v>
                </c:pt>
                <c:pt idx="103">
                  <c:v>18.440999999999999</c:v>
                </c:pt>
                <c:pt idx="104">
                  <c:v>24.869</c:v>
                </c:pt>
                <c:pt idx="105">
                  <c:v>26.417999999999999</c:v>
                </c:pt>
                <c:pt idx="106">
                  <c:v>21.847999999999999</c:v>
                </c:pt>
                <c:pt idx="107">
                  <c:v>18.053999999999998</c:v>
                </c:pt>
                <c:pt idx="108">
                  <c:v>33.36</c:v>
                </c:pt>
                <c:pt idx="109">
                  <c:v>32.338999999999999</c:v>
                </c:pt>
                <c:pt idx="110">
                  <c:v>12.340999999999999</c:v>
                </c:pt>
                <c:pt idx="111">
                  <c:v>21.928999999999998</c:v>
                </c:pt>
                <c:pt idx="112">
                  <c:v>24.51</c:v>
                </c:pt>
                <c:pt idx="113">
                  <c:v>33.697000000000003</c:v>
                </c:pt>
                <c:pt idx="114">
                  <c:v>23.175999999999998</c:v>
                </c:pt>
                <c:pt idx="115">
                  <c:v>22.399000000000001</c:v>
                </c:pt>
                <c:pt idx="116">
                  <c:v>20.82</c:v>
                </c:pt>
                <c:pt idx="117">
                  <c:v>29.155999999999999</c:v>
                </c:pt>
                <c:pt idx="118">
                  <c:v>37.158999999999999</c:v>
                </c:pt>
                <c:pt idx="119">
                  <c:v>40.408999999999999</c:v>
                </c:pt>
                <c:pt idx="120">
                  <c:v>37.661000000000001</c:v>
                </c:pt>
                <c:pt idx="121">
                  <c:v>24.391999999999999</c:v>
                </c:pt>
                <c:pt idx="122">
                  <c:v>13.984999999999999</c:v>
                </c:pt>
                <c:pt idx="123">
                  <c:v>21.09</c:v>
                </c:pt>
                <c:pt idx="124">
                  <c:v>30.154</c:v>
                </c:pt>
                <c:pt idx="125">
                  <c:v>41.688000000000002</c:v>
                </c:pt>
                <c:pt idx="126">
                  <c:v>30.056999999999999</c:v>
                </c:pt>
                <c:pt idx="127">
                  <c:v>20.175000000000001</c:v>
                </c:pt>
                <c:pt idx="128">
                  <c:v>33.213999999999999</c:v>
                </c:pt>
                <c:pt idx="129">
                  <c:v>26.721</c:v>
                </c:pt>
                <c:pt idx="130">
                  <c:v>25.893999999999998</c:v>
                </c:pt>
                <c:pt idx="131">
                  <c:v>38.219000000000001</c:v>
                </c:pt>
                <c:pt idx="132">
                  <c:v>42.262</c:v>
                </c:pt>
                <c:pt idx="133">
                  <c:v>41.009</c:v>
                </c:pt>
                <c:pt idx="134">
                  <c:v>41.281999999999996</c:v>
                </c:pt>
                <c:pt idx="135">
                  <c:v>33.994999999999997</c:v>
                </c:pt>
                <c:pt idx="136">
                  <c:v>5.0339999999999998</c:v>
                </c:pt>
                <c:pt idx="137">
                  <c:v>25.626000000000001</c:v>
                </c:pt>
                <c:pt idx="138">
                  <c:v>18.573</c:v>
                </c:pt>
                <c:pt idx="139">
                  <c:v>37.005000000000003</c:v>
                </c:pt>
                <c:pt idx="140">
                  <c:v>28.981000000000002</c:v>
                </c:pt>
                <c:pt idx="141">
                  <c:v>39.984000000000002</c:v>
                </c:pt>
                <c:pt idx="142">
                  <c:v>34.427999999999997</c:v>
                </c:pt>
                <c:pt idx="143">
                  <c:v>8.6560000000000006</c:v>
                </c:pt>
                <c:pt idx="144">
                  <c:v>19.491</c:v>
                </c:pt>
                <c:pt idx="145">
                  <c:v>19.265999999999998</c:v>
                </c:pt>
                <c:pt idx="146">
                  <c:v>20.486000000000001</c:v>
                </c:pt>
                <c:pt idx="147">
                  <c:v>19.082000000000001</c:v>
                </c:pt>
                <c:pt idx="148">
                  <c:v>23.777999999999999</c:v>
                </c:pt>
                <c:pt idx="149">
                  <c:v>39.677999999999997</c:v>
                </c:pt>
                <c:pt idx="150">
                  <c:v>40.353999999999999</c:v>
                </c:pt>
                <c:pt idx="151">
                  <c:v>40.506999999999998</c:v>
                </c:pt>
                <c:pt idx="152">
                  <c:v>39.860999999999997</c:v>
                </c:pt>
                <c:pt idx="153">
                  <c:v>29.798999999999999</c:v>
                </c:pt>
                <c:pt idx="154">
                  <c:v>36.435000000000002</c:v>
                </c:pt>
                <c:pt idx="155">
                  <c:v>7.3220000000000001</c:v>
                </c:pt>
                <c:pt idx="156">
                  <c:v>38.136000000000003</c:v>
                </c:pt>
                <c:pt idx="157">
                  <c:v>12.025</c:v>
                </c:pt>
                <c:pt idx="158">
                  <c:v>40.713999999999999</c:v>
                </c:pt>
                <c:pt idx="159">
                  <c:v>33.064</c:v>
                </c:pt>
                <c:pt idx="160">
                  <c:v>15.201000000000001</c:v>
                </c:pt>
                <c:pt idx="161">
                  <c:v>21.59</c:v>
                </c:pt>
                <c:pt idx="162">
                  <c:v>39.293999999999997</c:v>
                </c:pt>
                <c:pt idx="163">
                  <c:v>39.273000000000003</c:v>
                </c:pt>
                <c:pt idx="164">
                  <c:v>15.272</c:v>
                </c:pt>
                <c:pt idx="165">
                  <c:v>13.907999999999999</c:v>
                </c:pt>
                <c:pt idx="166">
                  <c:v>41.136000000000003</c:v>
                </c:pt>
                <c:pt idx="167">
                  <c:v>39.795999999999999</c:v>
                </c:pt>
                <c:pt idx="168">
                  <c:v>38.426000000000002</c:v>
                </c:pt>
                <c:pt idx="169">
                  <c:v>32.296999999999997</c:v>
                </c:pt>
                <c:pt idx="170">
                  <c:v>17.959</c:v>
                </c:pt>
                <c:pt idx="171">
                  <c:v>6.774</c:v>
                </c:pt>
                <c:pt idx="172">
                  <c:v>37.505000000000003</c:v>
                </c:pt>
                <c:pt idx="173">
                  <c:v>35.018999999999998</c:v>
                </c:pt>
                <c:pt idx="174">
                  <c:v>25.187999999999999</c:v>
                </c:pt>
                <c:pt idx="175">
                  <c:v>35.244999999999997</c:v>
                </c:pt>
                <c:pt idx="176">
                  <c:v>37.363999999999997</c:v>
                </c:pt>
                <c:pt idx="177">
                  <c:v>37.674999999999997</c:v>
                </c:pt>
                <c:pt idx="178">
                  <c:v>36.744999999999997</c:v>
                </c:pt>
                <c:pt idx="179">
                  <c:v>36.145000000000003</c:v>
                </c:pt>
                <c:pt idx="180">
                  <c:v>33.811</c:v>
                </c:pt>
                <c:pt idx="181">
                  <c:v>12.109</c:v>
                </c:pt>
                <c:pt idx="182">
                  <c:v>19.478999999999999</c:v>
                </c:pt>
                <c:pt idx="183">
                  <c:v>31.452999999999999</c:v>
                </c:pt>
                <c:pt idx="184">
                  <c:v>36.375</c:v>
                </c:pt>
                <c:pt idx="185">
                  <c:v>35.351999999999997</c:v>
                </c:pt>
                <c:pt idx="186">
                  <c:v>35.701999999999998</c:v>
                </c:pt>
                <c:pt idx="187">
                  <c:v>33.372</c:v>
                </c:pt>
                <c:pt idx="188">
                  <c:v>22.117000000000001</c:v>
                </c:pt>
                <c:pt idx="189">
                  <c:v>13.702</c:v>
                </c:pt>
                <c:pt idx="190">
                  <c:v>37.796999999999997</c:v>
                </c:pt>
                <c:pt idx="191">
                  <c:v>38.716000000000001</c:v>
                </c:pt>
                <c:pt idx="192">
                  <c:v>39.241</c:v>
                </c:pt>
                <c:pt idx="193">
                  <c:v>33.857999999999997</c:v>
                </c:pt>
                <c:pt idx="194">
                  <c:v>38.807000000000002</c:v>
                </c:pt>
                <c:pt idx="195">
                  <c:v>39.722999999999999</c:v>
                </c:pt>
                <c:pt idx="196">
                  <c:v>38.561999999999998</c:v>
                </c:pt>
                <c:pt idx="197">
                  <c:v>36.468000000000004</c:v>
                </c:pt>
                <c:pt idx="198">
                  <c:v>26.291</c:v>
                </c:pt>
                <c:pt idx="199">
                  <c:v>37.110999999999997</c:v>
                </c:pt>
                <c:pt idx="200">
                  <c:v>18.465</c:v>
                </c:pt>
                <c:pt idx="201">
                  <c:v>30.134</c:v>
                </c:pt>
                <c:pt idx="202">
                  <c:v>31.143000000000001</c:v>
                </c:pt>
                <c:pt idx="203">
                  <c:v>34.595999999999997</c:v>
                </c:pt>
                <c:pt idx="204">
                  <c:v>34.654000000000003</c:v>
                </c:pt>
                <c:pt idx="205">
                  <c:v>34.767000000000003</c:v>
                </c:pt>
                <c:pt idx="206">
                  <c:v>17.5</c:v>
                </c:pt>
                <c:pt idx="207">
                  <c:v>7.5170000000000003</c:v>
                </c:pt>
                <c:pt idx="208">
                  <c:v>36.677999999999997</c:v>
                </c:pt>
                <c:pt idx="209">
                  <c:v>34.700000000000003</c:v>
                </c:pt>
                <c:pt idx="210">
                  <c:v>18.055</c:v>
                </c:pt>
                <c:pt idx="211">
                  <c:v>35.362000000000002</c:v>
                </c:pt>
                <c:pt idx="212">
                  <c:v>32.478999999999999</c:v>
                </c:pt>
                <c:pt idx="213">
                  <c:v>34.036000000000001</c:v>
                </c:pt>
                <c:pt idx="214">
                  <c:v>35.843000000000004</c:v>
                </c:pt>
                <c:pt idx="215">
                  <c:v>33.634999999999998</c:v>
                </c:pt>
                <c:pt idx="216">
                  <c:v>34.173999999999999</c:v>
                </c:pt>
                <c:pt idx="217">
                  <c:v>27.193999999999999</c:v>
                </c:pt>
                <c:pt idx="218">
                  <c:v>28.039000000000001</c:v>
                </c:pt>
                <c:pt idx="219">
                  <c:v>34.691000000000003</c:v>
                </c:pt>
                <c:pt idx="220">
                  <c:v>31.905999999999999</c:v>
                </c:pt>
                <c:pt idx="221">
                  <c:v>24.225000000000001</c:v>
                </c:pt>
                <c:pt idx="222">
                  <c:v>18.082000000000001</c:v>
                </c:pt>
                <c:pt idx="223">
                  <c:v>19.295999999999999</c:v>
                </c:pt>
                <c:pt idx="224">
                  <c:v>31.725999999999999</c:v>
                </c:pt>
                <c:pt idx="225">
                  <c:v>35.707000000000001</c:v>
                </c:pt>
                <c:pt idx="226">
                  <c:v>16.672999999999998</c:v>
                </c:pt>
                <c:pt idx="227">
                  <c:v>35.085000000000001</c:v>
                </c:pt>
                <c:pt idx="228">
                  <c:v>34.289000000000001</c:v>
                </c:pt>
                <c:pt idx="229">
                  <c:v>22.544</c:v>
                </c:pt>
                <c:pt idx="230">
                  <c:v>22.244</c:v>
                </c:pt>
                <c:pt idx="231">
                  <c:v>20.382000000000001</c:v>
                </c:pt>
                <c:pt idx="232">
                  <c:v>31.396000000000001</c:v>
                </c:pt>
                <c:pt idx="233">
                  <c:v>35.622999999999998</c:v>
                </c:pt>
                <c:pt idx="234">
                  <c:v>33.475000000000001</c:v>
                </c:pt>
                <c:pt idx="235">
                  <c:v>33.259</c:v>
                </c:pt>
                <c:pt idx="236">
                  <c:v>29.481000000000002</c:v>
                </c:pt>
                <c:pt idx="237">
                  <c:v>27.510999999999999</c:v>
                </c:pt>
                <c:pt idx="238">
                  <c:v>21.942</c:v>
                </c:pt>
                <c:pt idx="239">
                  <c:v>25.42</c:v>
                </c:pt>
                <c:pt idx="240">
                  <c:v>31.588999999999999</c:v>
                </c:pt>
                <c:pt idx="241">
                  <c:v>31.19</c:v>
                </c:pt>
                <c:pt idx="242">
                  <c:v>29.49</c:v>
                </c:pt>
                <c:pt idx="243">
                  <c:v>10.327</c:v>
                </c:pt>
                <c:pt idx="244">
                  <c:v>31.597999999999999</c:v>
                </c:pt>
                <c:pt idx="245">
                  <c:v>33.456000000000003</c:v>
                </c:pt>
                <c:pt idx="246">
                  <c:v>33.246000000000002</c:v>
                </c:pt>
                <c:pt idx="247">
                  <c:v>26.15</c:v>
                </c:pt>
                <c:pt idx="248">
                  <c:v>34.11</c:v>
                </c:pt>
                <c:pt idx="249">
                  <c:v>32.713999999999999</c:v>
                </c:pt>
                <c:pt idx="250">
                  <c:v>28.695</c:v>
                </c:pt>
                <c:pt idx="251">
                  <c:v>25.358000000000001</c:v>
                </c:pt>
                <c:pt idx="252">
                  <c:v>8.4559999999999995</c:v>
                </c:pt>
                <c:pt idx="253">
                  <c:v>28.576000000000001</c:v>
                </c:pt>
                <c:pt idx="254">
                  <c:v>31.472999999999999</c:v>
                </c:pt>
                <c:pt idx="255">
                  <c:v>23.559000000000001</c:v>
                </c:pt>
                <c:pt idx="256">
                  <c:v>25.963999999999999</c:v>
                </c:pt>
                <c:pt idx="257">
                  <c:v>26.552</c:v>
                </c:pt>
                <c:pt idx="258">
                  <c:v>26.888000000000002</c:v>
                </c:pt>
                <c:pt idx="259">
                  <c:v>26.201000000000001</c:v>
                </c:pt>
                <c:pt idx="260">
                  <c:v>16.201000000000001</c:v>
                </c:pt>
                <c:pt idx="261">
                  <c:v>26.254999999999999</c:v>
                </c:pt>
                <c:pt idx="262">
                  <c:v>28.341999999999999</c:v>
                </c:pt>
                <c:pt idx="263">
                  <c:v>19.358000000000001</c:v>
                </c:pt>
                <c:pt idx="264">
                  <c:v>6.4269999999999996</c:v>
                </c:pt>
                <c:pt idx="265">
                  <c:v>25.263000000000002</c:v>
                </c:pt>
                <c:pt idx="266">
                  <c:v>19.03</c:v>
                </c:pt>
                <c:pt idx="267">
                  <c:v>18.77</c:v>
                </c:pt>
                <c:pt idx="268">
                  <c:v>22.597999999999999</c:v>
                </c:pt>
                <c:pt idx="269">
                  <c:v>22.183</c:v>
                </c:pt>
                <c:pt idx="270">
                  <c:v>22.087</c:v>
                </c:pt>
                <c:pt idx="271">
                  <c:v>26.86</c:v>
                </c:pt>
                <c:pt idx="272">
                  <c:v>15.784000000000001</c:v>
                </c:pt>
                <c:pt idx="273">
                  <c:v>21.285</c:v>
                </c:pt>
                <c:pt idx="274">
                  <c:v>17.068000000000001</c:v>
                </c:pt>
                <c:pt idx="275">
                  <c:v>21.54</c:v>
                </c:pt>
                <c:pt idx="276">
                  <c:v>6.6150000000000002</c:v>
                </c:pt>
                <c:pt idx="277">
                  <c:v>22.384</c:v>
                </c:pt>
                <c:pt idx="278">
                  <c:v>12.206</c:v>
                </c:pt>
                <c:pt idx="279">
                  <c:v>19.312000000000001</c:v>
                </c:pt>
                <c:pt idx="280">
                  <c:v>23.673999999999999</c:v>
                </c:pt>
                <c:pt idx="281">
                  <c:v>5.8209999999999997</c:v>
                </c:pt>
                <c:pt idx="282">
                  <c:v>18.763000000000002</c:v>
                </c:pt>
                <c:pt idx="283">
                  <c:v>24.474</c:v>
                </c:pt>
                <c:pt idx="284">
                  <c:v>11.612</c:v>
                </c:pt>
                <c:pt idx="285">
                  <c:v>22.356000000000002</c:v>
                </c:pt>
                <c:pt idx="286">
                  <c:v>6.8630000000000004</c:v>
                </c:pt>
                <c:pt idx="287">
                  <c:v>19.763000000000002</c:v>
                </c:pt>
                <c:pt idx="288">
                  <c:v>20.138999999999999</c:v>
                </c:pt>
                <c:pt idx="289">
                  <c:v>11.797000000000001</c:v>
                </c:pt>
                <c:pt idx="290">
                  <c:v>9.0890000000000004</c:v>
                </c:pt>
                <c:pt idx="291">
                  <c:v>17.751000000000001</c:v>
                </c:pt>
                <c:pt idx="292">
                  <c:v>7.77</c:v>
                </c:pt>
                <c:pt idx="293">
                  <c:v>13.648999999999999</c:v>
                </c:pt>
                <c:pt idx="294">
                  <c:v>2.6070000000000002</c:v>
                </c:pt>
                <c:pt idx="295">
                  <c:v>10.579000000000001</c:v>
                </c:pt>
                <c:pt idx="296">
                  <c:v>12.013999999999999</c:v>
                </c:pt>
                <c:pt idx="297">
                  <c:v>16.696999999999999</c:v>
                </c:pt>
                <c:pt idx="298">
                  <c:v>20.027999999999999</c:v>
                </c:pt>
                <c:pt idx="299">
                  <c:v>14.667999999999999</c:v>
                </c:pt>
                <c:pt idx="300">
                  <c:v>5.7949999999999999</c:v>
                </c:pt>
                <c:pt idx="301">
                  <c:v>15.989000000000001</c:v>
                </c:pt>
                <c:pt idx="302">
                  <c:v>11.161</c:v>
                </c:pt>
                <c:pt idx="303">
                  <c:v>11.52</c:v>
                </c:pt>
                <c:pt idx="304">
                  <c:v>4.8529999999999998</c:v>
                </c:pt>
                <c:pt idx="305">
                  <c:v>3.6560000000000001</c:v>
                </c:pt>
                <c:pt idx="306">
                  <c:v>7.1340000000000003</c:v>
                </c:pt>
                <c:pt idx="307">
                  <c:v>8.0739999999999998</c:v>
                </c:pt>
                <c:pt idx="308">
                  <c:v>8.0229999999999997</c:v>
                </c:pt>
                <c:pt idx="309">
                  <c:v>7.9029999999999996</c:v>
                </c:pt>
                <c:pt idx="310">
                  <c:v>2.3940000000000001</c:v>
                </c:pt>
                <c:pt idx="311">
                  <c:v>9.6489999999999991</c:v>
                </c:pt>
                <c:pt idx="312">
                  <c:v>11.694000000000001</c:v>
                </c:pt>
                <c:pt idx="313">
                  <c:v>11.933999999999999</c:v>
                </c:pt>
                <c:pt idx="314">
                  <c:v>13.153</c:v>
                </c:pt>
                <c:pt idx="315">
                  <c:v>9.4339999999999993</c:v>
                </c:pt>
                <c:pt idx="316">
                  <c:v>10.143000000000001</c:v>
                </c:pt>
                <c:pt idx="317">
                  <c:v>3.58</c:v>
                </c:pt>
                <c:pt idx="318">
                  <c:v>8.6649999999999991</c:v>
                </c:pt>
                <c:pt idx="319">
                  <c:v>8.843</c:v>
                </c:pt>
                <c:pt idx="320">
                  <c:v>5.1840000000000002</c:v>
                </c:pt>
                <c:pt idx="321">
                  <c:v>6.7050000000000001</c:v>
                </c:pt>
                <c:pt idx="322">
                  <c:v>8.5890000000000004</c:v>
                </c:pt>
                <c:pt idx="323">
                  <c:v>13.276</c:v>
                </c:pt>
                <c:pt idx="324">
                  <c:v>12.475</c:v>
                </c:pt>
                <c:pt idx="325">
                  <c:v>7.1360000000000001</c:v>
                </c:pt>
                <c:pt idx="326">
                  <c:v>4.0179999999999998</c:v>
                </c:pt>
                <c:pt idx="327">
                  <c:v>7.2030000000000003</c:v>
                </c:pt>
                <c:pt idx="328">
                  <c:v>6.5970000000000004</c:v>
                </c:pt>
                <c:pt idx="329">
                  <c:v>11.638</c:v>
                </c:pt>
                <c:pt idx="330">
                  <c:v>10.775</c:v>
                </c:pt>
                <c:pt idx="331">
                  <c:v>6.298</c:v>
                </c:pt>
                <c:pt idx="332">
                  <c:v>7.8819999999999997</c:v>
                </c:pt>
                <c:pt idx="333">
                  <c:v>7.1989999999999998</c:v>
                </c:pt>
                <c:pt idx="334">
                  <c:v>4.2119999999999997</c:v>
                </c:pt>
                <c:pt idx="335">
                  <c:v>2.4550000000000001</c:v>
                </c:pt>
                <c:pt idx="336">
                  <c:v>2.3479999999999999</c:v>
                </c:pt>
                <c:pt idx="337">
                  <c:v>3.859</c:v>
                </c:pt>
                <c:pt idx="338">
                  <c:v>5.3070000000000004</c:v>
                </c:pt>
                <c:pt idx="339">
                  <c:v>4.6150000000000002</c:v>
                </c:pt>
                <c:pt idx="340">
                  <c:v>6.7080000000000002</c:v>
                </c:pt>
                <c:pt idx="341">
                  <c:v>9.1340000000000003</c:v>
                </c:pt>
                <c:pt idx="342">
                  <c:v>5.7329999999999997</c:v>
                </c:pt>
                <c:pt idx="343">
                  <c:v>9.9540000000000006</c:v>
                </c:pt>
                <c:pt idx="344">
                  <c:v>0.98299999999999998</c:v>
                </c:pt>
                <c:pt idx="345">
                  <c:v>3.58</c:v>
                </c:pt>
                <c:pt idx="346">
                  <c:v>0.97599999999999998</c:v>
                </c:pt>
                <c:pt idx="347">
                  <c:v>9.1389999999999993</c:v>
                </c:pt>
                <c:pt idx="348">
                  <c:v>9.9440000000000008</c:v>
                </c:pt>
                <c:pt idx="349">
                  <c:v>7.8840000000000003</c:v>
                </c:pt>
                <c:pt idx="350">
                  <c:v>5.8230000000000004</c:v>
                </c:pt>
                <c:pt idx="351">
                  <c:v>8.3480000000000008</c:v>
                </c:pt>
                <c:pt idx="352">
                  <c:v>5.9619999999999997</c:v>
                </c:pt>
                <c:pt idx="353">
                  <c:v>4.4669999999999996</c:v>
                </c:pt>
                <c:pt idx="354">
                  <c:v>9.6660000000000004</c:v>
                </c:pt>
                <c:pt idx="355">
                  <c:v>4.282</c:v>
                </c:pt>
                <c:pt idx="356">
                  <c:v>4.3949999999999996</c:v>
                </c:pt>
                <c:pt idx="357">
                  <c:v>8.2850000000000001</c:v>
                </c:pt>
                <c:pt idx="358">
                  <c:v>6.2549999999999999</c:v>
                </c:pt>
                <c:pt idx="359">
                  <c:v>4.1230000000000002</c:v>
                </c:pt>
                <c:pt idx="360">
                  <c:v>10.782999999999999</c:v>
                </c:pt>
                <c:pt idx="361">
                  <c:v>2.0339999999999998</c:v>
                </c:pt>
                <c:pt idx="362">
                  <c:v>10.760999999999999</c:v>
                </c:pt>
                <c:pt idx="363">
                  <c:v>11.215999999999999</c:v>
                </c:pt>
                <c:pt idx="364">
                  <c:v>9.4740000000000002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233744"/>
        <c:axId val="324234136"/>
      </c:lineChart>
      <c:dateAx>
        <c:axId val="32423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234136"/>
        <c:crosses val="autoZero"/>
        <c:auto val="1"/>
        <c:lblOffset val="100"/>
        <c:baseTimeUnit val="days"/>
        <c:majorUnit val="1"/>
        <c:majorTimeUnit val="months"/>
      </c:dateAx>
      <c:valAx>
        <c:axId val="3242341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2337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1.3531165013053625E-2</c:v>
                </c:pt>
                <c:pt idx="1">
                  <c:v>1.3552771212245407E-2</c:v>
                </c:pt>
                <c:pt idx="2">
                  <c:v>1.3574376938205956E-2</c:v>
                </c:pt>
                <c:pt idx="3">
                  <c:v>1.3595982190945599E-2</c:v>
                </c:pt>
                <c:pt idx="4">
                  <c:v>1.3617586970474771E-2</c:v>
                </c:pt>
                <c:pt idx="5">
                  <c:v>1.3639191276803908E-2</c:v>
                </c:pt>
                <c:pt idx="6">
                  <c:v>1.3660795109943225E-2</c:v>
                </c:pt>
                <c:pt idx="7">
                  <c:v>1.3682398469903156E-2</c:v>
                </c:pt>
                <c:pt idx="8">
                  <c:v>1.3704001356694029E-2</c:v>
                </c:pt>
                <c:pt idx="9">
                  <c:v>1.3725603770326278E-2</c:v>
                </c:pt>
                <c:pt idx="10">
                  <c:v>1.3747205710810229E-2</c:v>
                </c:pt>
                <c:pt idx="11">
                  <c:v>1.3768807178156206E-2</c:v>
                </c:pt>
                <c:pt idx="12">
                  <c:v>1.3790408172374646E-2</c:v>
                </c:pt>
                <c:pt idx="13">
                  <c:v>1.3812008693475875E-2</c:v>
                </c:pt>
                <c:pt idx="14">
                  <c:v>1.3833608741470216E-2</c:v>
                </c:pt>
                <c:pt idx="15">
                  <c:v>1.3855208316368106E-2</c:v>
                </c:pt>
                <c:pt idx="16">
                  <c:v>1.3876807418179871E-2</c:v>
                </c:pt>
                <c:pt idx="17">
                  <c:v>1.3898406046915945E-2</c:v>
                </c:pt>
                <c:pt idx="18">
                  <c:v>1.3920004202586544E-2</c:v>
                </c:pt>
                <c:pt idx="19">
                  <c:v>1.3941601885202104E-2</c:v>
                </c:pt>
                <c:pt idx="20">
                  <c:v>1.3963199094772949E-2</c:v>
                </c:pt>
                <c:pt idx="21">
                  <c:v>1.3984795831309516E-2</c:v>
                </c:pt>
                <c:pt idx="22">
                  <c:v>1.4006392094822129E-2</c:v>
                </c:pt>
                <c:pt idx="23">
                  <c:v>1.4027987885321114E-2</c:v>
                </c:pt>
                <c:pt idx="24">
                  <c:v>1.4049583202816907E-2</c:v>
                </c:pt>
                <c:pt idx="25">
                  <c:v>1.4071178047319832E-2</c:v>
                </c:pt>
                <c:pt idx="26">
                  <c:v>1.4092772418840216E-2</c:v>
                </c:pt>
                <c:pt idx="27">
                  <c:v>1.4114366317388383E-2</c:v>
                </c:pt>
                <c:pt idx="28">
                  <c:v>1.413595974297488E-2</c:v>
                </c:pt>
                <c:pt idx="29">
                  <c:v>1.415755269560981E-2</c:v>
                </c:pt>
                <c:pt idx="30">
                  <c:v>1.417914517530372E-2</c:v>
                </c:pt>
                <c:pt idx="31">
                  <c:v>1.4200737182066936E-2</c:v>
                </c:pt>
                <c:pt idx="32">
                  <c:v>1.4222328715909782E-2</c:v>
                </c:pt>
                <c:pt idx="33">
                  <c:v>1.4243919776842584E-2</c:v>
                </c:pt>
                <c:pt idx="34">
                  <c:v>1.4265510364875778E-2</c:v>
                </c:pt>
                <c:pt idx="35">
                  <c:v>1.4287100480019688E-2</c:v>
                </c:pt>
                <c:pt idx="36">
                  <c:v>1.430869012228464E-2</c:v>
                </c:pt>
                <c:pt idx="37">
                  <c:v>1.4330279291680958E-2</c:v>
                </c:pt>
                <c:pt idx="38">
                  <c:v>1.4351867988219191E-2</c:v>
                </c:pt>
                <c:pt idx="39">
                  <c:v>1.4373456211909441E-2</c:v>
                </c:pt>
                <c:pt idx="40">
                  <c:v>1.4395043962762255E-2</c:v>
                </c:pt>
                <c:pt idx="41">
                  <c:v>1.4416631240787958E-2</c:v>
                </c:pt>
                <c:pt idx="42">
                  <c:v>1.4438218045996765E-2</c:v>
                </c:pt>
                <c:pt idx="43">
                  <c:v>1.4459804378399221E-2</c:v>
                </c:pt>
                <c:pt idx="44">
                  <c:v>1.4481390238005543E-2</c:v>
                </c:pt>
                <c:pt idx="45">
                  <c:v>1.4502975624826164E-2</c:v>
                </c:pt>
                <c:pt idx="46">
                  <c:v>1.4524560538871412E-2</c:v>
                </c:pt>
                <c:pt idx="47">
                  <c:v>1.4546144980151721E-2</c:v>
                </c:pt>
                <c:pt idx="48">
                  <c:v>1.4567728948677305E-2</c:v>
                </c:pt>
                <c:pt idx="49">
                  <c:v>1.4589312444458491E-2</c:v>
                </c:pt>
                <c:pt idx="50">
                  <c:v>1.4610895467505824E-2</c:v>
                </c:pt>
                <c:pt idx="51">
                  <c:v>1.4632478017829631E-2</c:v>
                </c:pt>
                <c:pt idx="52">
                  <c:v>1.4654060095440125E-2</c:v>
                </c:pt>
                <c:pt idx="53">
                  <c:v>1.4675641700347741E-2</c:v>
                </c:pt>
                <c:pt idx="54">
                  <c:v>1.4697222832562806E-2</c:v>
                </c:pt>
                <c:pt idx="55">
                  <c:v>1.4718803492095645E-2</c:v>
                </c:pt>
                <c:pt idx="56">
                  <c:v>1.4740383678956692E-2</c:v>
                </c:pt>
                <c:pt idx="57">
                  <c:v>1.4761963393156274E-2</c:v>
                </c:pt>
                <c:pt idx="58">
                  <c:v>1.4783542634704716E-2</c:v>
                </c:pt>
                <c:pt idx="59">
                  <c:v>1.4805121403612453E-2</c:v>
                </c:pt>
                <c:pt idx="60">
                  <c:v>1.48266996998897E-2</c:v>
                </c:pt>
                <c:pt idx="61">
                  <c:v>1.4848277523546893E-2</c:v>
                </c:pt>
                <c:pt idx="62">
                  <c:v>1.4869854874594357E-2</c:v>
                </c:pt>
                <c:pt idx="63">
                  <c:v>1.4891431753042528E-2</c:v>
                </c:pt>
                <c:pt idx="64">
                  <c:v>1.4913008158901619E-2</c:v>
                </c:pt>
                <c:pt idx="65">
                  <c:v>1.4934584092182068E-2</c:v>
                </c:pt>
                <c:pt idx="66">
                  <c:v>1.4956159552894199E-2</c:v>
                </c:pt>
                <c:pt idx="67">
                  <c:v>1.4977734541048338E-2</c:v>
                </c:pt>
                <c:pt idx="68">
                  <c:v>1.4999309056654919E-2</c:v>
                </c:pt>
                <c:pt idx="69">
                  <c:v>1.5020883099724158E-2</c:v>
                </c:pt>
                <c:pt idx="70">
                  <c:v>1.5042456670266602E-2</c:v>
                </c:pt>
                <c:pt idx="71">
                  <c:v>1.5064029768292353E-2</c:v>
                </c:pt>
                <c:pt idx="72">
                  <c:v>1.5085602393811959E-2</c:v>
                </c:pt>
                <c:pt idx="73">
                  <c:v>1.5107174546835744E-2</c:v>
                </c:pt>
                <c:pt idx="74">
                  <c:v>1.5128746227373924E-2</c:v>
                </c:pt>
                <c:pt idx="75">
                  <c:v>1.5150317435437044E-2</c:v>
                </c:pt>
                <c:pt idx="76">
                  <c:v>1.5171888171035208E-2</c:v>
                </c:pt>
                <c:pt idx="77">
                  <c:v>1.5193458434179075E-2</c:v>
                </c:pt>
                <c:pt idx="78">
                  <c:v>1.5215028224878746E-2</c:v>
                </c:pt>
                <c:pt idx="79">
                  <c:v>1.5236597543144548E-2</c:v>
                </c:pt>
                <c:pt idx="80">
                  <c:v>1.5258166388987027E-2</c:v>
                </c:pt>
                <c:pt idx="81">
                  <c:v>1.5279734762416397E-2</c:v>
                </c:pt>
                <c:pt idx="82">
                  <c:v>1.5301302663443095E-2</c:v>
                </c:pt>
                <c:pt idx="83">
                  <c:v>1.5322870092077334E-2</c:v>
                </c:pt>
                <c:pt idx="84">
                  <c:v>1.5344437048329551E-2</c:v>
                </c:pt>
                <c:pt idx="85">
                  <c:v>1.5366003532210071E-2</c:v>
                </c:pt>
                <c:pt idx="86">
                  <c:v>1.5387569543729218E-2</c:v>
                </c:pt>
                <c:pt idx="87">
                  <c:v>1.5409135082897429E-2</c:v>
                </c:pt>
                <c:pt idx="88">
                  <c:v>1.5430700149724919E-2</c:v>
                </c:pt>
                <c:pt idx="89">
                  <c:v>1.5452264744222122E-2</c:v>
                </c:pt>
                <c:pt idx="90">
                  <c:v>1.5473828866399475E-2</c:v>
                </c:pt>
                <c:pt idx="91">
                  <c:v>1.5495392516267081E-2</c:v>
                </c:pt>
                <c:pt idx="92">
                  <c:v>1.5516955693835377E-2</c:v>
                </c:pt>
                <c:pt idx="93">
                  <c:v>1.5538518399114909E-2</c:v>
                </c:pt>
                <c:pt idx="94">
                  <c:v>1.5560080632115669E-2</c:v>
                </c:pt>
                <c:pt idx="95">
                  <c:v>1.5581642392848316E-2</c:v>
                </c:pt>
                <c:pt idx="96">
                  <c:v>1.5603203681323063E-2</c:v>
                </c:pt>
                <c:pt idx="97">
                  <c:v>1.5624764497550236E-2</c:v>
                </c:pt>
                <c:pt idx="98">
                  <c:v>1.564632484154016E-2</c:v>
                </c:pt>
                <c:pt idx="99">
                  <c:v>1.5667884713303271E-2</c:v>
                </c:pt>
                <c:pt idx="100">
                  <c:v>1.5689444112849782E-2</c:v>
                </c:pt>
                <c:pt idx="101">
                  <c:v>1.571100304019013E-2</c:v>
                </c:pt>
                <c:pt idx="102">
                  <c:v>1.573256149533464E-2</c:v>
                </c:pt>
                <c:pt idx="103">
                  <c:v>1.5754119478293749E-2</c:v>
                </c:pt>
                <c:pt idx="104">
                  <c:v>1.5775676989077669E-2</c:v>
                </c:pt>
                <c:pt idx="105">
                  <c:v>1.5797234027696727E-2</c:v>
                </c:pt>
                <c:pt idx="106">
                  <c:v>1.5818790594161358E-2</c:v>
                </c:pt>
                <c:pt idx="107">
                  <c:v>1.5840346688481777E-2</c:v>
                </c:pt>
                <c:pt idx="108">
                  <c:v>1.586190231066853E-2</c:v>
                </c:pt>
                <c:pt idx="109">
                  <c:v>1.588345746073172E-2</c:v>
                </c:pt>
                <c:pt idx="110">
                  <c:v>1.5905012138681895E-2</c:v>
                </c:pt>
                <c:pt idx="111">
                  <c:v>1.5926566344529269E-2</c:v>
                </c:pt>
                <c:pt idx="112">
                  <c:v>1.5948120078284167E-2</c:v>
                </c:pt>
                <c:pt idx="113">
                  <c:v>1.5969673339957025E-2</c:v>
                </c:pt>
                <c:pt idx="114">
                  <c:v>1.5991226129558167E-2</c:v>
                </c:pt>
                <c:pt idx="115">
                  <c:v>1.6012778447097809E-2</c:v>
                </c:pt>
                <c:pt idx="116">
                  <c:v>1.6034330292586496E-2</c:v>
                </c:pt>
                <c:pt idx="117">
                  <c:v>1.6055881666034444E-2</c:v>
                </c:pt>
                <c:pt idx="118">
                  <c:v>1.6077432567451977E-2</c:v>
                </c:pt>
                <c:pt idx="119">
                  <c:v>1.609898299684942E-2</c:v>
                </c:pt>
                <c:pt idx="120">
                  <c:v>1.612053295423721E-2</c:v>
                </c:pt>
                <c:pt idx="121">
                  <c:v>1.614208243962556E-2</c:v>
                </c:pt>
                <c:pt idx="122">
                  <c:v>1.6163631453024907E-2</c:v>
                </c:pt>
                <c:pt idx="123">
                  <c:v>1.6185179994445575E-2</c:v>
                </c:pt>
                <c:pt idx="124">
                  <c:v>1.6206728063897891E-2</c:v>
                </c:pt>
                <c:pt idx="125">
                  <c:v>1.6228275661392177E-2</c:v>
                </c:pt>
                <c:pt idx="126">
                  <c:v>1.6249822786938761E-2</c:v>
                </c:pt>
                <c:pt idx="127">
                  <c:v>1.6271369440547967E-2</c:v>
                </c:pt>
                <c:pt idx="128">
                  <c:v>1.6292915622230231E-2</c:v>
                </c:pt>
                <c:pt idx="129">
                  <c:v>1.6314461331995767E-2</c:v>
                </c:pt>
                <c:pt idx="130">
                  <c:v>1.6336006569855011E-2</c:v>
                </c:pt>
                <c:pt idx="131">
                  <c:v>1.6357551335818177E-2</c:v>
                </c:pt>
                <c:pt idx="132">
                  <c:v>1.6379095629895701E-2</c:v>
                </c:pt>
                <c:pt idx="133">
                  <c:v>1.6400639452097909E-2</c:v>
                </c:pt>
                <c:pt idx="134">
                  <c:v>1.6422182802435126E-2</c:v>
                </c:pt>
                <c:pt idx="135">
                  <c:v>1.6443725680917676E-2</c:v>
                </c:pt>
                <c:pt idx="136">
                  <c:v>1.6465268087555995E-2</c:v>
                </c:pt>
                <c:pt idx="137">
                  <c:v>1.6486810022360188E-2</c:v>
                </c:pt>
                <c:pt idx="138">
                  <c:v>1.65083514853408E-2</c:v>
                </c:pt>
                <c:pt idx="139">
                  <c:v>1.6529892476508046E-2</c:v>
                </c:pt>
                <c:pt idx="140">
                  <c:v>1.6551432995872251E-2</c:v>
                </c:pt>
                <c:pt idx="141">
                  <c:v>1.657297304344385E-2</c:v>
                </c:pt>
                <c:pt idx="142">
                  <c:v>1.659451261923317E-2</c:v>
                </c:pt>
                <c:pt idx="143">
                  <c:v>1.6616051723250425E-2</c:v>
                </c:pt>
                <c:pt idx="144">
                  <c:v>1.6637590355506049E-2</c:v>
                </c:pt>
                <c:pt idx="145">
                  <c:v>1.6659128516010369E-2</c:v>
                </c:pt>
                <c:pt idx="146">
                  <c:v>1.6680666204773709E-2</c:v>
                </c:pt>
                <c:pt idx="147">
                  <c:v>1.6702203421806394E-2</c:v>
                </c:pt>
                <c:pt idx="148">
                  <c:v>1.672374016711875E-2</c:v>
                </c:pt>
                <c:pt idx="149">
                  <c:v>1.6745276440720991E-2</c:v>
                </c:pt>
                <c:pt idx="150">
                  <c:v>1.6766812242623663E-2</c:v>
                </c:pt>
                <c:pt idx="151">
                  <c:v>1.6788347572837092E-2</c:v>
                </c:pt>
                <c:pt idx="152">
                  <c:v>1.6809882431371381E-2</c:v>
                </c:pt>
                <c:pt idx="153">
                  <c:v>1.6831416818237077E-2</c:v>
                </c:pt>
                <c:pt idx="154">
                  <c:v>1.6852950733444394E-2</c:v>
                </c:pt>
                <c:pt idx="155">
                  <c:v>1.6874484177003768E-2</c:v>
                </c:pt>
                <c:pt idx="156">
                  <c:v>1.6896017148925413E-2</c:v>
                </c:pt>
                <c:pt idx="157">
                  <c:v>1.6917549649219654E-2</c:v>
                </c:pt>
                <c:pt idx="158">
                  <c:v>1.6939081677896928E-2</c:v>
                </c:pt>
                <c:pt idx="159">
                  <c:v>1.6960613234967559E-2</c:v>
                </c:pt>
                <c:pt idx="160">
                  <c:v>1.6982144320441761E-2</c:v>
                </c:pt>
                <c:pt idx="161">
                  <c:v>1.7003674934329971E-2</c:v>
                </c:pt>
                <c:pt idx="162">
                  <c:v>1.7025205076642513E-2</c:v>
                </c:pt>
                <c:pt idx="163">
                  <c:v>1.7046734747389602E-2</c:v>
                </c:pt>
                <c:pt idx="164">
                  <c:v>1.7068263946581674E-2</c:v>
                </c:pt>
                <c:pt idx="165">
                  <c:v>1.7089792674229054E-2</c:v>
                </c:pt>
                <c:pt idx="166">
                  <c:v>1.7111320930342067E-2</c:v>
                </c:pt>
                <c:pt idx="167">
                  <c:v>1.7132848714931037E-2</c:v>
                </c:pt>
                <c:pt idx="168">
                  <c:v>1.715437602800618E-2</c:v>
                </c:pt>
                <c:pt idx="169">
                  <c:v>1.717590286957793E-2</c:v>
                </c:pt>
                <c:pt idx="170">
                  <c:v>1.7197429239656725E-2</c:v>
                </c:pt>
                <c:pt idx="171">
                  <c:v>1.7218955138252667E-2</c:v>
                </c:pt>
                <c:pt idx="172">
                  <c:v>1.7240480565376193E-2</c:v>
                </c:pt>
                <c:pt idx="173">
                  <c:v>1.7262005521037627E-2</c:v>
                </c:pt>
                <c:pt idx="174">
                  <c:v>1.7283530005247294E-2</c:v>
                </c:pt>
                <c:pt idx="175">
                  <c:v>1.730505401801552E-2</c:v>
                </c:pt>
                <c:pt idx="176">
                  <c:v>1.7326577559352629E-2</c:v>
                </c:pt>
                <c:pt idx="177">
                  <c:v>1.7348100629268948E-2</c:v>
                </c:pt>
                <c:pt idx="178">
                  <c:v>1.73696232277748E-2</c:v>
                </c:pt>
                <c:pt idx="179">
                  <c:v>1.73911453548804E-2</c:v>
                </c:pt>
                <c:pt idx="180">
                  <c:v>1.7412667010596294E-2</c:v>
                </c:pt>
                <c:pt idx="181">
                  <c:v>1.7434188194932698E-2</c:v>
                </c:pt>
                <c:pt idx="182">
                  <c:v>1.7455708907899936E-2</c:v>
                </c:pt>
                <c:pt idx="183">
                  <c:v>1.7477229149508333E-2</c:v>
                </c:pt>
                <c:pt idx="184">
                  <c:v>1.7498748919768103E-2</c:v>
                </c:pt>
                <c:pt idx="185">
                  <c:v>1.7520268218689794E-2</c:v>
                </c:pt>
                <c:pt idx="186">
                  <c:v>1.7541787046283508E-2</c:v>
                </c:pt>
                <c:pt idx="187">
                  <c:v>1.7563305402559792E-2</c:v>
                </c:pt>
                <c:pt idx="188">
                  <c:v>1.758482328752875E-2</c:v>
                </c:pt>
                <c:pt idx="189">
                  <c:v>1.7606340701200818E-2</c:v>
                </c:pt>
                <c:pt idx="190">
                  <c:v>1.762785764358632E-2</c:v>
                </c:pt>
                <c:pt idx="191">
                  <c:v>1.7649374114695582E-2</c:v>
                </c:pt>
                <c:pt idx="192">
                  <c:v>1.7670890114538929E-2</c:v>
                </c:pt>
                <c:pt idx="193">
                  <c:v>1.7692405643126574E-2</c:v>
                </c:pt>
                <c:pt idx="194">
                  <c:v>1.7713920700469066E-2</c:v>
                </c:pt>
                <c:pt idx="195">
                  <c:v>1.7735435286576395E-2</c:v>
                </c:pt>
                <c:pt idx="196">
                  <c:v>1.7756949401459221E-2</c:v>
                </c:pt>
                <c:pt idx="197">
                  <c:v>1.7778463045127646E-2</c:v>
                </c:pt>
                <c:pt idx="198">
                  <c:v>1.7799976217592106E-2</c:v>
                </c:pt>
                <c:pt idx="199">
                  <c:v>1.7821488918862816E-2</c:v>
                </c:pt>
                <c:pt idx="200">
                  <c:v>1.784300114895021E-2</c:v>
                </c:pt>
                <c:pt idx="201">
                  <c:v>1.7864512907864505E-2</c:v>
                </c:pt>
                <c:pt idx="202">
                  <c:v>1.7886024195616135E-2</c:v>
                </c:pt>
                <c:pt idx="203">
                  <c:v>1.7907535012215314E-2</c:v>
                </c:pt>
                <c:pt idx="204">
                  <c:v>1.792904535767248E-2</c:v>
                </c:pt>
                <c:pt idx="205">
                  <c:v>1.7950555231997734E-2</c:v>
                </c:pt>
                <c:pt idx="206">
                  <c:v>1.7972064635201623E-2</c:v>
                </c:pt>
                <c:pt idx="207">
                  <c:v>1.7993573567294363E-2</c:v>
                </c:pt>
                <c:pt idx="208">
                  <c:v>1.8015082028286278E-2</c:v>
                </c:pt>
                <c:pt idx="209">
                  <c:v>1.8036590018187804E-2</c:v>
                </c:pt>
                <c:pt idx="210">
                  <c:v>1.8058097537009044E-2</c:v>
                </c:pt>
                <c:pt idx="211">
                  <c:v>1.8079604584760434E-2</c:v>
                </c:pt>
                <c:pt idx="212">
                  <c:v>1.8101111161452299E-2</c:v>
                </c:pt>
                <c:pt idx="213">
                  <c:v>1.8122617267094965E-2</c:v>
                </c:pt>
                <c:pt idx="214">
                  <c:v>1.8144122901698645E-2</c:v>
                </c:pt>
                <c:pt idx="215">
                  <c:v>1.8165628065273776E-2</c:v>
                </c:pt>
                <c:pt idx="216">
                  <c:v>1.8187132757830682E-2</c:v>
                </c:pt>
                <c:pt idx="217">
                  <c:v>1.8208636979379578E-2</c:v>
                </c:pt>
                <c:pt idx="218">
                  <c:v>1.8230140729930788E-2</c:v>
                </c:pt>
                <c:pt idx="219">
                  <c:v>1.825164400949475E-2</c:v>
                </c:pt>
                <c:pt idx="220">
                  <c:v>1.8273146818081676E-2</c:v>
                </c:pt>
                <c:pt idx="221">
                  <c:v>1.8294649155701892E-2</c:v>
                </c:pt>
                <c:pt idx="222">
                  <c:v>1.8316151022365723E-2</c:v>
                </c:pt>
                <c:pt idx="223">
                  <c:v>1.8337652418083605E-2</c:v>
                </c:pt>
                <c:pt idx="224">
                  <c:v>1.8359153342865642E-2</c:v>
                </c:pt>
                <c:pt idx="225">
                  <c:v>1.8380653796722268E-2</c:v>
                </c:pt>
                <c:pt idx="226">
                  <c:v>1.8402153779663699E-2</c:v>
                </c:pt>
                <c:pt idx="227">
                  <c:v>1.842365329170037E-2</c:v>
                </c:pt>
                <c:pt idx="228">
                  <c:v>1.8445152332842607E-2</c:v>
                </c:pt>
                <c:pt idx="229">
                  <c:v>1.8466650903100623E-2</c:v>
                </c:pt>
                <c:pt idx="230">
                  <c:v>1.8488149002484744E-2</c:v>
                </c:pt>
                <c:pt idx="231">
                  <c:v>1.8509646631005405E-2</c:v>
                </c:pt>
                <c:pt idx="232">
                  <c:v>1.853114378867271E-2</c:v>
                </c:pt>
                <c:pt idx="233">
                  <c:v>1.8552640475497206E-2</c:v>
                </c:pt>
                <c:pt idx="234">
                  <c:v>1.8574136691488996E-2</c:v>
                </c:pt>
                <c:pt idx="235">
                  <c:v>1.8595632436658627E-2</c:v>
                </c:pt>
                <c:pt idx="236">
                  <c:v>1.861712771101609E-2</c:v>
                </c:pt>
                <c:pt idx="237">
                  <c:v>1.8638622514572045E-2</c:v>
                </c:pt>
                <c:pt idx="238">
                  <c:v>1.8660116847336483E-2</c:v>
                </c:pt>
                <c:pt idx="239">
                  <c:v>1.8681610709319951E-2</c:v>
                </c:pt>
                <c:pt idx="240">
                  <c:v>1.8703104100532664E-2</c:v>
                </c:pt>
                <c:pt idx="241">
                  <c:v>1.8724597020985057E-2</c:v>
                </c:pt>
                <c:pt idx="242">
                  <c:v>1.8746089470687233E-2</c:v>
                </c:pt>
                <c:pt idx="243">
                  <c:v>1.8767581449649517E-2</c:v>
                </c:pt>
                <c:pt idx="244">
                  <c:v>1.8789072957882458E-2</c:v>
                </c:pt>
                <c:pt idx="245">
                  <c:v>1.8810563995396046E-2</c:v>
                </c:pt>
                <c:pt idx="246">
                  <c:v>1.8832054562200939E-2</c:v>
                </c:pt>
                <c:pt idx="247">
                  <c:v>1.8853544658307131E-2</c:v>
                </c:pt>
                <c:pt idx="248">
                  <c:v>1.8875034283725167E-2</c:v>
                </c:pt>
                <c:pt idx="249">
                  <c:v>1.8896523438465151E-2</c:v>
                </c:pt>
                <c:pt idx="250">
                  <c:v>1.891801212253752E-2</c:v>
                </c:pt>
                <c:pt idx="251">
                  <c:v>1.8939500335952597E-2</c:v>
                </c:pt>
                <c:pt idx="252">
                  <c:v>1.8960988078720709E-2</c:v>
                </c:pt>
                <c:pt idx="253">
                  <c:v>1.8982475350851957E-2</c:v>
                </c:pt>
                <c:pt idx="254">
                  <c:v>1.900396215235689E-2</c:v>
                </c:pt>
                <c:pt idx="255">
                  <c:v>1.9025448483245722E-2</c:v>
                </c:pt>
                <c:pt idx="256">
                  <c:v>1.9046934343528776E-2</c:v>
                </c:pt>
                <c:pt idx="257">
                  <c:v>1.906841973321638E-2</c:v>
                </c:pt>
                <c:pt idx="258">
                  <c:v>1.9089904652318745E-2</c:v>
                </c:pt>
                <c:pt idx="259">
                  <c:v>1.9111389100846199E-2</c:v>
                </c:pt>
                <c:pt idx="260">
                  <c:v>1.9132873078809176E-2</c:v>
                </c:pt>
                <c:pt idx="261">
                  <c:v>1.9154356586217891E-2</c:v>
                </c:pt>
                <c:pt idx="262">
                  <c:v>1.9175839623082669E-2</c:v>
                </c:pt>
                <c:pt idx="263">
                  <c:v>1.9197322189413724E-2</c:v>
                </c:pt>
                <c:pt idx="264">
                  <c:v>1.9218804285221491E-2</c:v>
                </c:pt>
                <c:pt idx="265">
                  <c:v>1.9240285910516186E-2</c:v>
                </c:pt>
                <c:pt idx="266">
                  <c:v>1.9261767065308244E-2</c:v>
                </c:pt>
                <c:pt idx="267">
                  <c:v>1.9283247749607879E-2</c:v>
                </c:pt>
                <c:pt idx="268">
                  <c:v>1.9304727963425306E-2</c:v>
                </c:pt>
                <c:pt idx="269">
                  <c:v>1.9326207706770959E-2</c:v>
                </c:pt>
                <c:pt idx="270">
                  <c:v>1.9347686979655165E-2</c:v>
                </c:pt>
                <c:pt idx="271">
                  <c:v>1.9369165782088138E-2</c:v>
                </c:pt>
                <c:pt idx="272">
                  <c:v>1.9390644114080202E-2</c:v>
                </c:pt>
                <c:pt idx="273">
                  <c:v>1.9412121975641683E-2</c:v>
                </c:pt>
                <c:pt idx="274">
                  <c:v>1.9433599366782794E-2</c:v>
                </c:pt>
                <c:pt idx="275">
                  <c:v>1.9455076287514084E-2</c:v>
                </c:pt>
                <c:pt idx="276">
                  <c:v>1.9476552737845543E-2</c:v>
                </c:pt>
                <c:pt idx="277">
                  <c:v>1.9498028717787719E-2</c:v>
                </c:pt>
                <c:pt idx="278">
                  <c:v>1.9519504227350715E-2</c:v>
                </c:pt>
                <c:pt idx="279">
                  <c:v>1.9540979266544967E-2</c:v>
                </c:pt>
                <c:pt idx="280">
                  <c:v>1.95624538353808E-2</c:v>
                </c:pt>
                <c:pt idx="281">
                  <c:v>1.9583927933868428E-2</c:v>
                </c:pt>
                <c:pt idx="282">
                  <c:v>1.9605401562018177E-2</c:v>
                </c:pt>
                <c:pt idx="283">
                  <c:v>1.962687471984037E-2</c:v>
                </c:pt>
                <c:pt idx="284">
                  <c:v>1.9648347407345335E-2</c:v>
                </c:pt>
                <c:pt idx="285">
                  <c:v>1.9669819624543283E-2</c:v>
                </c:pt>
                <c:pt idx="286">
                  <c:v>1.9691291371444652E-2</c:v>
                </c:pt>
                <c:pt idx="287">
                  <c:v>1.9712762648059545E-2</c:v>
                </c:pt>
                <c:pt idx="288">
                  <c:v>1.9734233454398509E-2</c:v>
                </c:pt>
                <c:pt idx="289">
                  <c:v>1.9755703790471535E-2</c:v>
                </c:pt>
                <c:pt idx="290">
                  <c:v>1.9777173656289282E-2</c:v>
                </c:pt>
                <c:pt idx="291">
                  <c:v>1.9798643051861742E-2</c:v>
                </c:pt>
                <c:pt idx="292">
                  <c:v>1.9820111977199351E-2</c:v>
                </c:pt>
                <c:pt idx="293">
                  <c:v>1.9841580432312433E-2</c:v>
                </c:pt>
                <c:pt idx="294">
                  <c:v>1.9863048417211204E-2</c:v>
                </c:pt>
                <c:pt idx="295">
                  <c:v>1.9884515931906099E-2</c:v>
                </c:pt>
                <c:pt idx="296">
                  <c:v>1.9905982976407222E-2</c:v>
                </c:pt>
                <c:pt idx="297">
                  <c:v>1.9927449550725007E-2</c:v>
                </c:pt>
                <c:pt idx="298">
                  <c:v>1.9948915654869781E-2</c:v>
                </c:pt>
                <c:pt idx="299">
                  <c:v>1.9970381288851757E-2</c:v>
                </c:pt>
                <c:pt idx="300">
                  <c:v>1.9991846452681261E-2</c:v>
                </c:pt>
                <c:pt idx="301">
                  <c:v>2.0013311146368506E-2</c:v>
                </c:pt>
                <c:pt idx="302">
                  <c:v>2.0034775369924041E-2</c:v>
                </c:pt>
                <c:pt idx="303">
                  <c:v>2.0056239123357855E-2</c:v>
                </c:pt>
                <c:pt idx="304">
                  <c:v>2.0077702406680387E-2</c:v>
                </c:pt>
                <c:pt idx="305">
                  <c:v>2.009916521990196E-2</c:v>
                </c:pt>
                <c:pt idx="306">
                  <c:v>2.01206275630329E-2</c:v>
                </c:pt>
                <c:pt idx="307">
                  <c:v>2.014208943608331E-2</c:v>
                </c:pt>
                <c:pt idx="308">
                  <c:v>2.0163550839063737E-2</c:v>
                </c:pt>
                <c:pt idx="309">
                  <c:v>2.0185011771984285E-2</c:v>
                </c:pt>
                <c:pt idx="310">
                  <c:v>2.0206472234855388E-2</c:v>
                </c:pt>
                <c:pt idx="311">
                  <c:v>2.0227932227687262E-2</c:v>
                </c:pt>
                <c:pt idx="312">
                  <c:v>2.0249391750490231E-2</c:v>
                </c:pt>
                <c:pt idx="313">
                  <c:v>2.0270850803274509E-2</c:v>
                </c:pt>
                <c:pt idx="314">
                  <c:v>2.0292309386050533E-2</c:v>
                </c:pt>
                <c:pt idx="315">
                  <c:v>2.0313767498828406E-2</c:v>
                </c:pt>
                <c:pt idx="316">
                  <c:v>2.0335225141618674E-2</c:v>
                </c:pt>
                <c:pt idx="317">
                  <c:v>2.035668231443144E-2</c:v>
                </c:pt>
                <c:pt idx="318">
                  <c:v>2.037813901727703E-2</c:v>
                </c:pt>
                <c:pt idx="319">
                  <c:v>2.039959525016577E-2</c:v>
                </c:pt>
                <c:pt idx="320">
                  <c:v>2.0421051013107983E-2</c:v>
                </c:pt>
                <c:pt idx="321">
                  <c:v>2.0442506306113883E-2</c:v>
                </c:pt>
                <c:pt idx="322">
                  <c:v>2.0463961129193797E-2</c:v>
                </c:pt>
                <c:pt idx="323">
                  <c:v>2.0485415482358049E-2</c:v>
                </c:pt>
                <c:pt idx="324">
                  <c:v>2.0506869365616853E-2</c:v>
                </c:pt>
                <c:pt idx="325">
                  <c:v>2.0528322778980646E-2</c:v>
                </c:pt>
                <c:pt idx="326">
                  <c:v>2.054977572245964E-2</c:v>
                </c:pt>
                <c:pt idx="327">
                  <c:v>2.0571228196064051E-2</c:v>
                </c:pt>
                <c:pt idx="328">
                  <c:v>2.0592680199804203E-2</c:v>
                </c:pt>
                <c:pt idx="329">
                  <c:v>2.0614131733690422E-2</c:v>
                </c:pt>
                <c:pt idx="330">
                  <c:v>2.0635582797733032E-2</c:v>
                </c:pt>
                <c:pt idx="331">
                  <c:v>2.0657033391942248E-2</c:v>
                </c:pt>
                <c:pt idx="332">
                  <c:v>2.0678483516328505E-2</c:v>
                </c:pt>
                <c:pt idx="333">
                  <c:v>2.0699933170901907E-2</c:v>
                </c:pt>
                <c:pt idx="334">
                  <c:v>2.0721382355672779E-2</c:v>
                </c:pt>
                <c:pt idx="335">
                  <c:v>2.0742831070651557E-2</c:v>
                </c:pt>
                <c:pt idx="336">
                  <c:v>2.0764279315848344E-2</c:v>
                </c:pt>
                <c:pt idx="337">
                  <c:v>2.0785727091273576E-2</c:v>
                </c:pt>
                <c:pt idx="338">
                  <c:v>2.0807174396937467E-2</c:v>
                </c:pt>
                <c:pt idx="339">
                  <c:v>2.0828621232850342E-2</c:v>
                </c:pt>
                <c:pt idx="340">
                  <c:v>2.0850067599022415E-2</c:v>
                </c:pt>
                <c:pt idx="341">
                  <c:v>2.0871513495464011E-2</c:v>
                </c:pt>
                <c:pt idx="342">
                  <c:v>2.0892958922185567E-2</c:v>
                </c:pt>
                <c:pt idx="343">
                  <c:v>2.0914403879197074E-2</c:v>
                </c:pt>
                <c:pt idx="344">
                  <c:v>2.093584836650908E-2</c:v>
                </c:pt>
                <c:pt idx="345">
                  <c:v>2.0957292384131798E-2</c:v>
                </c:pt>
                <c:pt idx="346">
                  <c:v>2.0978735932075443E-2</c:v>
                </c:pt>
                <c:pt idx="347">
                  <c:v>2.1000179010350339E-2</c:v>
                </c:pt>
                <c:pt idx="348">
                  <c:v>2.1021621618966813E-2</c:v>
                </c:pt>
                <c:pt idx="349">
                  <c:v>2.1043063757935188E-2</c:v>
                </c:pt>
                <c:pt idx="350">
                  <c:v>2.1064505427265567E-2</c:v>
                </c:pt>
                <c:pt idx="351">
                  <c:v>2.1085946626968499E-2</c:v>
                </c:pt>
                <c:pt idx="352">
                  <c:v>2.1107387357054086E-2</c:v>
                </c:pt>
                <c:pt idx="353">
                  <c:v>2.1128827617532542E-2</c:v>
                </c:pt>
                <c:pt idx="354">
                  <c:v>2.1150267408414414E-2</c:v>
                </c:pt>
                <c:pt idx="355">
                  <c:v>2.1171706729709805E-2</c:v>
                </c:pt>
                <c:pt idx="356">
                  <c:v>2.1193145581428929E-2</c:v>
                </c:pt>
                <c:pt idx="357">
                  <c:v>2.1214583963582334E-2</c:v>
                </c:pt>
                <c:pt idx="358">
                  <c:v>2.1236021876180122E-2</c:v>
                </c:pt>
                <c:pt idx="359">
                  <c:v>2.1257459319232508E-2</c:v>
                </c:pt>
                <c:pt idx="360">
                  <c:v>2.1278896292749927E-2</c:v>
                </c:pt>
                <c:pt idx="361">
                  <c:v>2.1300332796742594E-2</c:v>
                </c:pt>
                <c:pt idx="362">
                  <c:v>2.1321768831220833E-2</c:v>
                </c:pt>
                <c:pt idx="363">
                  <c:v>2.134320439619497E-2</c:v>
                </c:pt>
                <c:pt idx="364">
                  <c:v>2.1364639491675108E-2</c:v>
                </c:pt>
                <c:pt idx="365">
                  <c:v>2.1386074117671683E-2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8.0330684216889228E-2</c:v>
                </c:pt>
                <c:pt idx="1">
                  <c:v>8.0409261595052309E-2</c:v>
                </c:pt>
                <c:pt idx="2">
                  <c:v>8.0487901569593304E-2</c:v>
                </c:pt>
                <c:pt idx="3">
                  <c:v>8.056658600346947E-2</c:v>
                </c:pt>
                <c:pt idx="4">
                  <c:v>8.0645299116228697E-2</c:v>
                </c:pt>
                <c:pt idx="5">
                  <c:v>8.0724027417567679E-2</c:v>
                </c:pt>
                <c:pt idx="6">
                  <c:v>8.080275962258697E-2</c:v>
                </c:pt>
                <c:pt idx="7">
                  <c:v>8.0881486550165471E-2</c:v>
                </c:pt>
                <c:pt idx="8">
                  <c:v>8.0960201006006038E-2</c:v>
                </c:pt>
                <c:pt idx="9">
                  <c:v>8.1038897652013844E-2</c:v>
                </c:pt>
                <c:pt idx="10">
                  <c:v>8.1117572863763102E-2</c:v>
                </c:pt>
                <c:pt idx="11">
                  <c:v>8.1196224577881074E-2</c:v>
                </c:pt>
                <c:pt idx="12">
                  <c:v>8.1274852131236419E-2</c:v>
                </c:pt>
                <c:pt idx="13">
                  <c:v>8.1353456093852958E-2</c:v>
                </c:pt>
                <c:pt idx="14">
                  <c:v>8.1432038097489293E-2</c:v>
                </c:pt>
                <c:pt idx="15">
                  <c:v>8.1510600661822294E-2</c:v>
                </c:pt>
                <c:pt idx="16">
                  <c:v>8.1589147020151118E-2</c:v>
                </c:pt>
                <c:pt idx="17">
                  <c:v>8.1667680946500759E-2</c:v>
                </c:pt>
                <c:pt idx="18">
                  <c:v>8.1746206585945932E-2</c:v>
                </c:pt>
                <c:pt idx="19">
                  <c:v>8.1824728289903628E-2</c:v>
                </c:pt>
                <c:pt idx="20">
                  <c:v>8.1903250458051718E-2</c:v>
                </c:pt>
                <c:pt idx="21">
                  <c:v>8.1981777388428281E-2</c:v>
                </c:pt>
                <c:pt idx="22">
                  <c:v>8.2060313137146151E-2</c:v>
                </c:pt>
                <c:pt idx="23">
                  <c:v>8.2138861389029788E-2</c:v>
                </c:pt>
                <c:pt idx="24">
                  <c:v>8.2217425340338282E-2</c:v>
                </c:pt>
                <c:pt idx="25">
                  <c:v>8.2296007594590451E-2</c:v>
                </c:pt>
                <c:pt idx="26">
                  <c:v>8.2374610072350363E-2</c:v>
                </c:pt>
                <c:pt idx="27">
                  <c:v>8.2453233935667891E-2</c:v>
                </c:pt>
                <c:pt idx="28">
                  <c:v>8.253187952770398E-2</c:v>
                </c:pt>
                <c:pt idx="29">
                  <c:v>8.2610546327899798E-2</c:v>
                </c:pt>
                <c:pt idx="30">
                  <c:v>8.2689232922880537E-2</c:v>
                </c:pt>
                <c:pt idx="31">
                  <c:v>8.276793699311677E-2</c:v>
                </c:pt>
                <c:pt idx="32">
                  <c:v>8.2846655315200426E-2</c:v>
                </c:pt>
                <c:pt idx="33">
                  <c:v>8.2925383779433814E-2</c:v>
                </c:pt>
                <c:pt idx="34">
                  <c:v>8.3004117422274259E-2</c:v>
                </c:pt>
                <c:pt idx="35">
                  <c:v>8.3082850473032571E-2</c:v>
                </c:pt>
                <c:pt idx="36">
                  <c:v>8.3161576414084781E-2</c:v>
                </c:pt>
                <c:pt idx="37">
                  <c:v>8.3240288053731279E-2</c:v>
                </c:pt>
                <c:pt idx="38">
                  <c:v>8.3318977610721115E-2</c:v>
                </c:pt>
                <c:pt idx="39">
                  <c:v>8.339763680935719E-2</c:v>
                </c:pt>
                <c:pt idx="40">
                  <c:v>8.3476256984008845E-2</c:v>
                </c:pt>
                <c:pt idx="41">
                  <c:v>8.3554829191782157E-2</c:v>
                </c:pt>
                <c:pt idx="42">
                  <c:v>8.3633344332038645E-2</c:v>
                </c:pt>
                <c:pt idx="43">
                  <c:v>8.3711793271406792E-2</c:v>
                </c:pt>
                <c:pt idx="44">
                  <c:v>8.3790166972899788E-2</c:v>
                </c:pt>
                <c:pt idx="45">
                  <c:v>8.3868456627738425E-2</c:v>
                </c:pt>
                <c:pt idx="46">
                  <c:v>8.3946653788476627E-2</c:v>
                </c:pt>
                <c:pt idx="47">
                  <c:v>8.4024750502042292E-2</c:v>
                </c:pt>
                <c:pt idx="48">
                  <c:v>8.4102739441334104E-2</c:v>
                </c:pt>
                <c:pt idx="49">
                  <c:v>8.4180614034057799E-2</c:v>
                </c:pt>
                <c:pt idx="50">
                  <c:v>8.4258368587540503E-2</c:v>
                </c:pt>
                <c:pt idx="51">
                  <c:v>8.4335998408328755E-2</c:v>
                </c:pt>
                <c:pt idx="52">
                  <c:v>8.4413499915454951E-2</c:v>
                </c:pt>
                <c:pt idx="53">
                  <c:v>8.4490870746345009E-2</c:v>
                </c:pt>
                <c:pt idx="54">
                  <c:v>8.4568109854437148E-2</c:v>
                </c:pt>
                <c:pt idx="55">
                  <c:v>8.4645217597686728E-2</c:v>
                </c:pt>
                <c:pt idx="56">
                  <c:v>8.4722195817242857E-2</c:v>
                </c:pt>
                <c:pt idx="57">
                  <c:v>8.4799047905698394E-2</c:v>
                </c:pt>
                <c:pt idx="58">
                  <c:v>8.487577886443394E-2</c:v>
                </c:pt>
                <c:pt idx="59">
                  <c:v>8.4952395349697341E-2</c:v>
                </c:pt>
                <c:pt idx="60">
                  <c:v>8.5028905707182439E-2</c:v>
                </c:pt>
                <c:pt idx="61">
                  <c:v>8.5105319994990755E-2</c:v>
                </c:pt>
                <c:pt idx="62">
                  <c:v>8.5181649994979167E-2</c:v>
                </c:pt>
                <c:pt idx="63">
                  <c:v>8.5257909212610505E-2</c:v>
                </c:pt>
                <c:pt idx="64">
                  <c:v>8.5334112865535036E-2</c:v>
                </c:pt>
                <c:pt idx="65">
                  <c:v>8.5410277861234396E-2</c:v>
                </c:pt>
                <c:pt idx="66">
                  <c:v>8.5486422764156106E-2</c:v>
                </c:pt>
                <c:pt idx="67">
                  <c:v>8.5562567752856811E-2</c:v>
                </c:pt>
                <c:pt idx="68">
                  <c:v>8.5638734567750327E-2</c:v>
                </c:pt>
                <c:pt idx="69">
                  <c:v>8.5714946450128726E-2</c:v>
                </c:pt>
                <c:pt idx="70">
                  <c:v>8.5791228073182998E-2</c:v>
                </c:pt>
                <c:pt idx="71">
                  <c:v>8.5867605465799454E-2</c:v>
                </c:pt>
                <c:pt idx="72">
                  <c:v>8.5944105929945086E-2</c:v>
                </c:pt>
                <c:pt idx="73">
                  <c:v>8.6020757952482374E-2</c:v>
                </c:pt>
                <c:pt idx="74">
                  <c:v>8.609759111226814E-2</c:v>
                </c:pt>
                <c:pt idx="75">
                  <c:v>8.6174635983394393E-2</c:v>
                </c:pt>
                <c:pt idx="76">
                  <c:v>8.6251924035422756E-2</c:v>
                </c:pt>
                <c:pt idx="77">
                  <c:v>8.6329487531443677E-2</c:v>
                </c:pt>
                <c:pt idx="78">
                  <c:v>8.6407359424764824E-2</c:v>
                </c:pt>
                <c:pt idx="79">
                  <c:v>8.6485573254993703E-2</c:v>
                </c:pt>
                <c:pt idx="80">
                  <c:v>8.6564163044232229E-2</c:v>
                </c:pt>
                <c:pt idx="81">
                  <c:v>8.6643163194046233E-2</c:v>
                </c:pt>
                <c:pt idx="82">
                  <c:v>8.6722608383810004E-2</c:v>
                </c:pt>
                <c:pt idx="83">
                  <c:v>8.680253347095733E-2</c:v>
                </c:pt>
                <c:pt idx="84">
                  <c:v>8.6882973393597129E-2</c:v>
                </c:pt>
                <c:pt idx="85">
                  <c:v>8.6963963075874118E-2</c:v>
                </c:pt>
                <c:pt idx="86">
                  <c:v>8.7045537336374754E-2</c:v>
                </c:pt>
                <c:pt idx="87">
                  <c:v>8.7127730799797007E-2</c:v>
                </c:pt>
                <c:pt idx="88">
                  <c:v>8.7210577812020865E-2</c:v>
                </c:pt>
                <c:pt idx="89">
                  <c:v>8.729411235863474E-2</c:v>
                </c:pt>
                <c:pt idx="90">
                  <c:v>8.7378367986895314E-2</c:v>
                </c:pt>
                <c:pt idx="91">
                  <c:v>8.7463377731021766E-2</c:v>
                </c:pt>
                <c:pt idx="92">
                  <c:v>8.7549174040654917E-2</c:v>
                </c:pt>
                <c:pt idx="93">
                  <c:v>8.7635788712245838E-2</c:v>
                </c:pt>
                <c:pt idx="94">
                  <c:v>8.77232528230803E-2</c:v>
                </c:pt>
                <c:pt idx="95">
                  <c:v>8.7811596667592251E-2</c:v>
                </c:pt>
                <c:pt idx="96">
                  <c:v>8.7900849695577349E-2</c:v>
                </c:pt>
                <c:pt idx="97">
                  <c:v>8.7991040451881677E-2</c:v>
                </c:pt>
                <c:pt idx="98">
                  <c:v>8.8082196517116282E-2</c:v>
                </c:pt>
                <c:pt idx="99">
                  <c:v>8.817434444893188E-2</c:v>
                </c:pt>
                <c:pt idx="100">
                  <c:v>8.8267509723382417E-2</c:v>
                </c:pt>
                <c:pt idx="101">
                  <c:v>8.8361716675911972E-2</c:v>
                </c:pt>
                <c:pt idx="102">
                  <c:v>8.8456988441512993E-2</c:v>
                </c:pt>
                <c:pt idx="103">
                  <c:v>8.8553346893629953E-2</c:v>
                </c:pt>
                <c:pt idx="104">
                  <c:v>8.8650812581417396E-2</c:v>
                </c:pt>
                <c:pt idx="105">
                  <c:v>8.8749404665005555E-2</c:v>
                </c:pt>
                <c:pt idx="106">
                  <c:v>8.8849140848480446E-2</c:v>
                </c:pt>
                <c:pt idx="107">
                  <c:v>8.8950037310347119E-2</c:v>
                </c:pt>
                <c:pt idx="108">
                  <c:v>8.9052108631314242E-2</c:v>
                </c:pt>
                <c:pt idx="109">
                  <c:v>8.915536771931365E-2</c:v>
                </c:pt>
                <c:pt idx="110">
                  <c:v>8.925982573175105E-2</c:v>
                </c:pt>
                <c:pt idx="111">
                  <c:v>8.9365491995069823E-2</c:v>
                </c:pt>
                <c:pt idx="112">
                  <c:v>8.947237392179952E-2</c:v>
                </c:pt>
                <c:pt idx="113">
                  <c:v>8.9580476925353189E-2</c:v>
                </c:pt>
                <c:pt idx="114">
                  <c:v>8.968980433293032E-2</c:v>
                </c:pt>
                <c:pt idx="115">
                  <c:v>8.980035729697472E-2</c:v>
                </c:pt>
                <c:pt idx="116">
                  <c:v>8.9912134705728466E-2</c:v>
                </c:pt>
                <c:pt idx="117">
                  <c:v>9.0025133093510332E-2</c:v>
                </c:pt>
                <c:pt idx="118">
                  <c:v>9.0139346551431215E-2</c:v>
                </c:pt>
                <c:pt idx="119">
                  <c:v>9.0254766639338874E-2</c:v>
                </c:pt>
                <c:pt idx="120">
                  <c:v>9.0371382299853115E-2</c:v>
                </c:pt>
                <c:pt idx="121">
                  <c:v>9.0489179775419745E-2</c:v>
                </c:pt>
                <c:pt idx="122">
                  <c:v>9.0608142529363889E-2</c:v>
                </c:pt>
                <c:pt idx="123">
                  <c:v>9.0728251171969379E-2</c:v>
                </c:pt>
                <c:pt idx="124">
                  <c:v>9.08494833926448E-2</c:v>
                </c:pt>
                <c:pt idx="125">
                  <c:v>9.0971813899258888E-2</c:v>
                </c:pt>
                <c:pt idx="126">
                  <c:v>9.1095214365738197E-2</c:v>
                </c:pt>
                <c:pt idx="127">
                  <c:v>9.1219653389017288E-2</c:v>
                </c:pt>
                <c:pt idx="128">
                  <c:v>9.1345096456415448E-2</c:v>
                </c:pt>
                <c:pt idx="129">
                  <c:v>9.1471505924485205E-2</c:v>
                </c:pt>
                <c:pt idx="130">
                  <c:v>9.1598841010334289E-2</c:v>
                </c:pt>
                <c:pt idx="131">
                  <c:v>9.1727057796366737E-2</c:v>
                </c:pt>
                <c:pt idx="132">
                  <c:v>9.1856109249319945E-2</c:v>
                </c:pt>
                <c:pt idx="133">
                  <c:v>9.1985945254391063E-2</c:v>
                </c:pt>
                <c:pt idx="134">
                  <c:v>9.2116512665152694E-2</c:v>
                </c:pt>
                <c:pt idx="135">
                  <c:v>9.2247755369851761E-2</c:v>
                </c:pt>
                <c:pt idx="136">
                  <c:v>9.237961437456807E-2</c:v>
                </c:pt>
                <c:pt idx="137">
                  <c:v>9.2512027903583552E-2</c:v>
                </c:pt>
                <c:pt idx="138">
                  <c:v>9.2644931517178217E-2</c:v>
                </c:pt>
                <c:pt idx="139">
                  <c:v>9.2778258246926079E-2</c:v>
                </c:pt>
                <c:pt idx="140">
                  <c:v>9.2911938748416467E-2</c:v>
                </c:pt>
                <c:pt idx="141">
                  <c:v>9.3045901471173809E-2</c:v>
                </c:pt>
                <c:pt idx="142">
                  <c:v>9.3180072845391856E-2</c:v>
                </c:pt>
                <c:pt idx="143">
                  <c:v>9.3314377484942507E-2</c:v>
                </c:pt>
                <c:pt idx="144">
                  <c:v>9.3448738405960935E-2</c:v>
                </c:pt>
                <c:pt idx="145">
                  <c:v>9.3583077260153733E-2</c:v>
                </c:pt>
                <c:pt idx="146">
                  <c:v>9.3717314581824709E-2</c:v>
                </c:pt>
                <c:pt idx="147">
                  <c:v>9.3851370047466062E-2</c:v>
                </c:pt>
                <c:pt idx="148">
                  <c:v>9.3985162746621359E-2</c:v>
                </c:pt>
                <c:pt idx="149">
                  <c:v>9.4118611462596161E-2</c:v>
                </c:pt>
                <c:pt idx="150">
                  <c:v>9.4251634961467892E-2</c:v>
                </c:pt>
                <c:pt idx="151">
                  <c:v>9.438415228773693E-2</c:v>
                </c:pt>
                <c:pt idx="152">
                  <c:v>9.4516083064860715E-2</c:v>
                </c:pt>
                <c:pt idx="153">
                  <c:v>9.4647347798828496E-2</c:v>
                </c:pt>
                <c:pt idx="154">
                  <c:v>9.4777868182864142E-2</c:v>
                </c:pt>
                <c:pt idx="155">
                  <c:v>9.4907567401289014E-2</c:v>
                </c:pt>
                <c:pt idx="156">
                  <c:v>9.5036370430540681E-2</c:v>
                </c:pt>
                <c:pt idx="157">
                  <c:v>9.5164204335320815E-2</c:v>
                </c:pt>
                <c:pt idx="158">
                  <c:v>9.5290998557844536E-2</c:v>
                </c:pt>
                <c:pt idx="159">
                  <c:v>9.5416685198177198E-2</c:v>
                </c:pt>
                <c:pt idx="160">
                  <c:v>9.554119928367906E-2</c:v>
                </c:pt>
                <c:pt idx="161">
                  <c:v>9.5664479025629343E-2</c:v>
                </c:pt>
                <c:pt idx="162">
                  <c:v>9.5786466061169959E-2</c:v>
                </c:pt>
                <c:pt idx="163">
                  <c:v>9.590710567879733E-2</c:v>
                </c:pt>
                <c:pt idx="164">
                  <c:v>9.602634702573308E-2</c:v>
                </c:pt>
                <c:pt idx="165">
                  <c:v>9.6144143295624845E-2</c:v>
                </c:pt>
                <c:pt idx="166">
                  <c:v>9.6260451895162663E-2</c:v>
                </c:pt>
                <c:pt idx="167">
                  <c:v>9.6375234588345515E-2</c:v>
                </c:pt>
                <c:pt idx="168">
                  <c:v>9.648845761729398E-2</c:v>
                </c:pt>
                <c:pt idx="169">
                  <c:v>9.6600091798677762E-2</c:v>
                </c:pt>
                <c:pt idx="170">
                  <c:v>9.6710112595008543E-2</c:v>
                </c:pt>
                <c:pt idx="171">
                  <c:v>9.6818500160240503E-2</c:v>
                </c:pt>
                <c:pt idx="172">
                  <c:v>9.6925239359316642E-2</c:v>
                </c:pt>
                <c:pt idx="173">
                  <c:v>9.7030319761500686E-2</c:v>
                </c:pt>
                <c:pt idx="174">
                  <c:v>9.7133735607539351E-2</c:v>
                </c:pt>
                <c:pt idx="175">
                  <c:v>9.7235485750902628E-2</c:v>
                </c:pt>
                <c:pt idx="176">
                  <c:v>9.7335573573555531E-2</c:v>
                </c:pt>
                <c:pt idx="177">
                  <c:v>9.7434006876913629E-2</c:v>
                </c:pt>
                <c:pt idx="178">
                  <c:v>9.7530797748830486E-2</c:v>
                </c:pt>
                <c:pt idx="179">
                  <c:v>9.7625962407653533E-2</c:v>
                </c:pt>
                <c:pt idx="180">
                  <c:v>9.771952102456434E-2</c:v>
                </c:pt>
                <c:pt idx="181">
                  <c:v>9.7811497525588487E-2</c:v>
                </c:pt>
                <c:pt idx="182">
                  <c:v>9.7901919374816265E-2</c:v>
                </c:pt>
                <c:pt idx="183">
                  <c:v>9.7990817340519829E-2</c:v>
                </c:pt>
                <c:pt idx="184">
                  <c:v>9.8078225245978728E-2</c:v>
                </c:pt>
                <c:pt idx="185">
                  <c:v>9.8164179706938678E-2</c:v>
                </c:pt>
                <c:pt idx="186">
                  <c:v>9.8248719857721531E-2</c:v>
                </c:pt>
                <c:pt idx="187">
                  <c:v>9.8331887068080479E-2</c:v>
                </c:pt>
                <c:pt idx="188">
                  <c:v>9.8413724652950688E-2</c:v>
                </c:pt>
                <c:pt idx="189">
                  <c:v>9.8494277577282477E-2</c:v>
                </c:pt>
                <c:pt idx="190">
                  <c:v>9.8573592158160528E-2</c:v>
                </c:pt>
                <c:pt idx="191">
                  <c:v>9.8651715766409687E-2</c:v>
                </c:pt>
                <c:pt idx="192">
                  <c:v>9.872869652986295E-2</c:v>
                </c:pt>
                <c:pt idx="193">
                  <c:v>9.8804583040425248E-2</c:v>
                </c:pt>
                <c:pt idx="194">
                  <c:v>9.8879424067001842E-2</c:v>
                </c:pt>
                <c:pt idx="195">
                  <c:v>9.8953268276279524E-2</c:v>
                </c:pt>
                <c:pt idx="196">
                  <c:v>9.9026163963248315E-2</c:v>
                </c:pt>
                <c:pt idx="197">
                  <c:v>9.9098158793235053E-2</c:v>
                </c:pt>
                <c:pt idx="198">
                  <c:v>9.9169299557087212E-2</c:v>
                </c:pt>
                <c:pt idx="199">
                  <c:v>9.923963194099962E-2</c:v>
                </c:pt>
                <c:pt idx="200">
                  <c:v>9.9309200312315951E-2</c:v>
                </c:pt>
                <c:pt idx="201">
                  <c:v>9.9378047522467428E-2</c:v>
                </c:pt>
                <c:pt idx="202">
                  <c:v>9.9446214728030335E-2</c:v>
                </c:pt>
                <c:pt idx="203">
                  <c:v>9.9513741230696853E-2</c:v>
                </c:pt>
                <c:pt idx="204">
                  <c:v>9.9580664336760299E-2</c:v>
                </c:pt>
                <c:pt idx="205">
                  <c:v>9.9647019236520085E-2</c:v>
                </c:pt>
                <c:pt idx="206">
                  <c:v>9.9712838903812356E-2</c:v>
                </c:pt>
                <c:pt idx="207">
                  <c:v>9.9778154015675913E-2</c:v>
                </c:pt>
                <c:pt idx="208">
                  <c:v>9.9842992891967186E-2</c:v>
                </c:pt>
                <c:pt idx="209">
                  <c:v>9.9907381454548597E-2</c:v>
                </c:pt>
                <c:pt idx="210">
                  <c:v>9.9971343205490143E-2</c:v>
                </c:pt>
                <c:pt idx="211">
                  <c:v>0.10003489922354901</c:v>
                </c:pt>
                <c:pt idx="212">
                  <c:v>0.10009806817802801</c:v>
                </c:pt>
                <c:pt idx="213">
                  <c:v>0.10016086635895917</c:v>
                </c:pt>
                <c:pt idx="214">
                  <c:v>0.10022330772242144</c:v>
                </c:pt>
                <c:pt idx="215">
                  <c:v>0.10028540394967546</c:v>
                </c:pt>
                <c:pt idx="216">
                  <c:v>0.10034716451869201</c:v>
                </c:pt>
                <c:pt idx="217">
                  <c:v>0.10040859678655915</c:v>
                </c:pt>
                <c:pt idx="218">
                  <c:v>0.10046970608118104</c:v>
                </c:pt>
                <c:pt idx="219">
                  <c:v>0.10053049580062902</c:v>
                </c:pt>
                <c:pt idx="220">
                  <c:v>0.10059096751847033</c:v>
                </c:pt>
                <c:pt idx="221">
                  <c:v>0.1006511210933875</c:v>
                </c:pt>
                <c:pt idx="222">
                  <c:v>0.10071095478140624</c:v>
                </c:pt>
                <c:pt idx="223">
                  <c:v>0.10077046534907612</c:v>
                </c:pt>
                <c:pt idx="224">
                  <c:v>0.10082964818599294</c:v>
                </c:pt>
                <c:pt idx="225">
                  <c:v>0.1008884974151156</c:v>
                </c:pt>
                <c:pt idx="226">
                  <c:v>0.10094700599941284</c:v>
                </c:pt>
                <c:pt idx="227">
                  <c:v>0.10100516584347334</c:v>
                </c:pt>
                <c:pt idx="228">
                  <c:v>0.10106296788882785</c:v>
                </c:pt>
                <c:pt idx="229">
                  <c:v>0.10112040220186214</c:v>
                </c:pt>
                <c:pt idx="230">
                  <c:v>0.1011774580533408</c:v>
                </c:pt>
                <c:pt idx="231">
                  <c:v>0.10123412398871701</c:v>
                </c:pt>
                <c:pt idx="232">
                  <c:v>0.10129038788856583</c:v>
                </c:pt>
                <c:pt idx="233">
                  <c:v>0.10134623701865092</c:v>
                </c:pt>
                <c:pt idx="234">
                  <c:v>0.10140165806931013</c:v>
                </c:pt>
                <c:pt idx="235">
                  <c:v>0.10145663718402739</c:v>
                </c:pt>
                <c:pt idx="236">
                  <c:v>0.10151115997723952</c:v>
                </c:pt>
                <c:pt idx="237">
                  <c:v>0.10156521154160818</c:v>
                </c:pt>
                <c:pt idx="238">
                  <c:v>0.10161877644516686</c:v>
                </c:pt>
                <c:pt idx="239">
                  <c:v>0.10167183871892566</c:v>
                </c:pt>
                <c:pt idx="240">
                  <c:v>0.10172438183568441</c:v>
                </c:pt>
                <c:pt idx="241">
                  <c:v>0.10177638868096305</c:v>
                </c:pt>
                <c:pt idx="242">
                  <c:v>0.10182784151710433</c:v>
                </c:pt>
                <c:pt idx="243">
                  <c:v>0.10187872194174062</c:v>
                </c:pt>
                <c:pt idx="244">
                  <c:v>0.10192901084193449</c:v>
                </c:pt>
                <c:pt idx="245">
                  <c:v>0.10197868834540942</c:v>
                </c:pt>
                <c:pt idx="246">
                  <c:v>0.1020277337703728</c:v>
                </c:pt>
                <c:pt idx="247">
                  <c:v>0.10207612557550312</c:v>
                </c:pt>
                <c:pt idx="248">
                  <c:v>0.10212384131172167</c:v>
                </c:pt>
                <c:pt idx="249">
                  <c:v>0.10217085757739956</c:v>
                </c:pt>
                <c:pt idx="250">
                  <c:v>0.10221714997865834</c:v>
                </c:pt>
                <c:pt idx="251">
                  <c:v>0.10226269309641013</c:v>
                </c:pt>
                <c:pt idx="252">
                  <c:v>0.10230746046174968</c:v>
                </c:pt>
                <c:pt idx="253">
                  <c:v>0.10235142454125534</c:v>
                </c:pt>
                <c:pt idx="254">
                  <c:v>0.10239455673368084</c:v>
                </c:pt>
                <c:pt idx="255">
                  <c:v>0.10243682737942318</c:v>
                </c:pt>
                <c:pt idx="256">
                  <c:v>0.1024782057840377</c:v>
                </c:pt>
                <c:pt idx="257">
                  <c:v>0.10251866025693741</c:v>
                </c:pt>
                <c:pt idx="258">
                  <c:v>0.10255815816626321</c:v>
                </c:pt>
                <c:pt idx="259">
                  <c:v>0.10259666601074556</c:v>
                </c:pt>
                <c:pt idx="260">
                  <c:v>0.10263414950919848</c:v>
                </c:pt>
                <c:pt idx="261">
                  <c:v>0.10267057370809358</c:v>
                </c:pt>
                <c:pt idx="262">
                  <c:v>0.10270590310746026</c:v>
                </c:pt>
                <c:pt idx="263">
                  <c:v>0.10274010180514651</c:v>
                </c:pt>
                <c:pt idx="264">
                  <c:v>0.10277313365925891</c:v>
                </c:pt>
                <c:pt idx="265">
                  <c:v>0.10280496246837949</c:v>
                </c:pt>
                <c:pt idx="266">
                  <c:v>0.10283555216893531</c:v>
                </c:pt>
                <c:pt idx="267">
                  <c:v>0.10286486704887576</c:v>
                </c:pt>
                <c:pt idx="268">
                  <c:v>0.10289287197659544</c:v>
                </c:pt>
                <c:pt idx="269">
                  <c:v>0.10291953264382908</c:v>
                </c:pt>
                <c:pt idx="270">
                  <c:v>0.10294481582103986</c:v>
                </c:pt>
                <c:pt idx="271">
                  <c:v>0.10296868962363229</c:v>
                </c:pt>
                <c:pt idx="272">
                  <c:v>0.10299112378713741</c:v>
                </c:pt>
                <c:pt idx="273">
                  <c:v>0.10301208994935454</c:v>
                </c:pt>
                <c:pt idx="274">
                  <c:v>0.10303156193728392</c:v>
                </c:pt>
                <c:pt idx="275">
                  <c:v>0.10304951605655467</c:v>
                </c:pt>
                <c:pt idx="276">
                  <c:v>0.10306593138094162</c:v>
                </c:pt>
                <c:pt idx="277">
                  <c:v>0.10308079003947763</c:v>
                </c:pt>
                <c:pt idx="278">
                  <c:v>0.1030940774986002</c:v>
                </c:pt>
                <c:pt idx="279">
                  <c:v>0.10310578283673226</c:v>
                </c:pt>
                <c:pt idx="280">
                  <c:v>0.10311589900867803</c:v>
                </c:pt>
                <c:pt idx="281">
                  <c:v>0.10312442309722457</c:v>
                </c:pt>
                <c:pt idx="282">
                  <c:v>0.10313135654937365</c:v>
                </c:pt>
                <c:pt idx="283">
                  <c:v>0.10313670539468835</c:v>
                </c:pt>
                <c:pt idx="284">
                  <c:v>0.1031404804433244</c:v>
                </c:pt>
                <c:pt idx="285">
                  <c:v>0.10314269746142628</c:v>
                </c:pt>
                <c:pt idx="286">
                  <c:v>0.10314337732170367</c:v>
                </c:pt>
                <c:pt idx="287">
                  <c:v>0.10314254612716112</c:v>
                </c:pt>
                <c:pt idx="288">
                  <c:v>0.10314023530613442</c:v>
                </c:pt>
                <c:pt idx="289">
                  <c:v>0.10313648167698845</c:v>
                </c:pt>
                <c:pt idx="290">
                  <c:v>0.10313132748105042</c:v>
                </c:pt>
                <c:pt idx="291">
                  <c:v>0.10312482038259024</c:v>
                </c:pt>
                <c:pt idx="292">
                  <c:v>0.10311701343491202</c:v>
                </c:pt>
                <c:pt idx="293">
                  <c:v>0.10310796501188511</c:v>
                </c:pt>
                <c:pt idx="294">
                  <c:v>0.10309773870451985</c:v>
                </c:pt>
                <c:pt idx="295">
                  <c:v>0.10308640318247567</c:v>
                </c:pt>
                <c:pt idx="296">
                  <c:v>0.1030740320206794</c:v>
                </c:pt>
                <c:pt idx="297">
                  <c:v>0.10306070349152315</c:v>
                </c:pt>
                <c:pt idx="298">
                  <c:v>0.10304650032340246</c:v>
                </c:pt>
                <c:pt idx="299">
                  <c:v>0.10303150942664618</c:v>
                </c:pt>
                <c:pt idx="300">
                  <c:v>0.10301582158817195</c:v>
                </c:pt>
                <c:pt idx="301">
                  <c:v>0.10299953113647778</c:v>
                </c:pt>
                <c:pt idx="302">
                  <c:v>0.10298273557884551</c:v>
                </c:pt>
                <c:pt idx="303">
                  <c:v>0.10296553521288264</c:v>
                </c:pt>
                <c:pt idx="304">
                  <c:v>0.10294803271476656</c:v>
                </c:pt>
                <c:pt idx="305">
                  <c:v>0.10293033270677156</c:v>
                </c:pt>
                <c:pt idx="306">
                  <c:v>0.10291254130685833</c:v>
                </c:pt>
                <c:pt idx="307">
                  <c:v>0.10289476566328029</c:v>
                </c:pt>
                <c:pt idx="308">
                  <c:v>0.10287711347731282</c:v>
                </c:pt>
                <c:pt idx="309">
                  <c:v>0.10285969251733822</c:v>
                </c:pt>
                <c:pt idx="310">
                  <c:v>0.1028426101276179</c:v>
                </c:pt>
                <c:pt idx="311">
                  <c:v>0.10282597273515538</c:v>
                </c:pt>
                <c:pt idx="312">
                  <c:v>0.10280988535809571</c:v>
                </c:pt>
                <c:pt idx="313">
                  <c:v>0.10279445111912103</c:v>
                </c:pt>
                <c:pt idx="314">
                  <c:v>0.10277977076728591</c:v>
                </c:pt>
                <c:pt idx="315">
                  <c:v>0.10276594221168996</c:v>
                </c:pt>
                <c:pt idx="316">
                  <c:v>0.10275306007031138</c:v>
                </c:pt>
                <c:pt idx="317">
                  <c:v>0.10274121523722084</c:v>
                </c:pt>
                <c:pt idx="318">
                  <c:v>0.10273049447126391</c:v>
                </c:pt>
                <c:pt idx="319">
                  <c:v>0.10272098000914329</c:v>
                </c:pt>
                <c:pt idx="320">
                  <c:v>0.10271274920564628</c:v>
                </c:pt>
                <c:pt idx="321">
                  <c:v>0.10270587420355888</c:v>
                </c:pt>
                <c:pt idx="322">
                  <c:v>0.1027004216355754</c:v>
                </c:pt>
                <c:pt idx="323">
                  <c:v>0.10269645236026573</c:v>
                </c:pt>
                <c:pt idx="324">
                  <c:v>0.10269402123389401</c:v>
                </c:pt>
                <c:pt idx="325">
                  <c:v>0.10269317691960078</c:v>
                </c:pt>
                <c:pt idx="326">
                  <c:v>0.10269396173516469</c:v>
                </c:pt>
                <c:pt idx="327">
                  <c:v>0.1026964115402558</c:v>
                </c:pt>
                <c:pt idx="328">
                  <c:v>0.10270055566377759</c:v>
                </c:pt>
                <c:pt idx="329">
                  <c:v>0.10270641687157972</c:v>
                </c:pt>
                <c:pt idx="330">
                  <c:v>0.10271401137450165</c:v>
                </c:pt>
                <c:pt idx="331">
                  <c:v>0.10272334887639122</c:v>
                </c:pt>
                <c:pt idx="332">
                  <c:v>0.10273443266142648</c:v>
                </c:pt>
                <c:pt idx="333">
                  <c:v>0.10274725971976245</c:v>
                </c:pt>
                <c:pt idx="334">
                  <c:v>0.10276182091022541</c:v>
                </c:pt>
                <c:pt idx="335">
                  <c:v>0.10277810115849235</c:v>
                </c:pt>
                <c:pt idx="336">
                  <c:v>0.10279607968892183</c:v>
                </c:pt>
                <c:pt idx="337">
                  <c:v>0.10281573028794733</c:v>
                </c:pt>
                <c:pt idx="338">
                  <c:v>0.10283702159671089</c:v>
                </c:pt>
                <c:pt idx="339">
                  <c:v>0.10285991743040022</c:v>
                </c:pt>
                <c:pt idx="340">
                  <c:v>0.10288437712156205</c:v>
                </c:pt>
                <c:pt idx="341">
                  <c:v>0.10291035588450034</c:v>
                </c:pt>
                <c:pt idx="342">
                  <c:v>0.10293780519772626</c:v>
                </c:pt>
                <c:pt idx="343">
                  <c:v>0.10296667320131732</c:v>
                </c:pt>
                <c:pt idx="344">
                  <c:v>0.10299690510595688</c:v>
                </c:pt>
                <c:pt idx="345">
                  <c:v>0.10302844361037142</c:v>
                </c:pt>
                <c:pt idx="346">
                  <c:v>0.10306122932385577</c:v>
                </c:pt>
                <c:pt idx="347">
                  <c:v>0.10309520119058024</c:v>
                </c:pt>
                <c:pt idx="348">
                  <c:v>0.10313029691240486</c:v>
                </c:pt>
                <c:pt idx="349">
                  <c:v>0.10316645336698527</c:v>
                </c:pt>
                <c:pt idx="350">
                  <c:v>0.10320360701804436</c:v>
                </c:pt>
                <c:pt idx="351">
                  <c:v>0.10324169431479596</c:v>
                </c:pt>
                <c:pt idx="352">
                  <c:v>0.10328065207764733</c:v>
                </c:pt>
                <c:pt idx="353">
                  <c:v>0.10332041786747059</c:v>
                </c:pt>
                <c:pt idx="354">
                  <c:v>0.10336093033591845</c:v>
                </c:pt>
                <c:pt idx="355">
                  <c:v>0.10340212955446448</c:v>
                </c:pt>
                <c:pt idx="356">
                  <c:v>0.10344395732007335</c:v>
                </c:pt>
                <c:pt idx="357">
                  <c:v>0.10348635743564384</c:v>
                </c:pt>
                <c:pt idx="358">
                  <c:v>0.10352927596362242</c:v>
                </c:pt>
                <c:pt idx="359">
                  <c:v>0.10357266145144729</c:v>
                </c:pt>
                <c:pt idx="360">
                  <c:v>0.10361646512775619</c:v>
                </c:pt>
                <c:pt idx="361">
                  <c:v>0.10366064106856936</c:v>
                </c:pt>
                <c:pt idx="362">
                  <c:v>0.10370514633293855</c:v>
                </c:pt>
                <c:pt idx="363">
                  <c:v>0.10374994106783725</c:v>
                </c:pt>
                <c:pt idx="364">
                  <c:v>0.10379498858234359</c:v>
                </c:pt>
                <c:pt idx="365">
                  <c:v>0.10384025539144512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2.2224345299422962E-2</c:v>
                </c:pt>
                <c:pt idx="1">
                  <c:v>2.2247277738158901E-2</c:v>
                </c:pt>
                <c:pt idx="2">
                  <c:v>2.2270276601123674E-2</c:v>
                </c:pt>
                <c:pt idx="3">
                  <c:v>2.2293901927517394E-2</c:v>
                </c:pt>
                <c:pt idx="4">
                  <c:v>2.2318690829259809E-2</c:v>
                </c:pt>
                <c:pt idx="5">
                  <c:v>2.234515698822687E-2</c:v>
                </c:pt>
                <c:pt idx="6">
                  <c:v>2.2373790572112674E-2</c:v>
                </c:pt>
                <c:pt idx="7">
                  <c:v>2.2405058535370753E-2</c:v>
                </c:pt>
                <c:pt idx="8">
                  <c:v>2.2438101232833768E-2</c:v>
                </c:pt>
                <c:pt idx="9">
                  <c:v>2.2466291531623304E-2</c:v>
                </c:pt>
                <c:pt idx="10">
                  <c:v>2.2480358640423841E-2</c:v>
                </c:pt>
                <c:pt idx="11">
                  <c:v>2.2480582347933147E-2</c:v>
                </c:pt>
                <c:pt idx="12">
                  <c:v>2.2467254065917801E-2</c:v>
                </c:pt>
                <c:pt idx="13">
                  <c:v>2.2440676144357938E-2</c:v>
                </c:pt>
                <c:pt idx="14">
                  <c:v>2.2401161118813934E-2</c:v>
                </c:pt>
                <c:pt idx="15">
                  <c:v>2.2348775463165511E-2</c:v>
                </c:pt>
                <c:pt idx="16">
                  <c:v>2.2284968002028255E-2</c:v>
                </c:pt>
                <c:pt idx="17">
                  <c:v>2.221004289299992E-2</c:v>
                </c:pt>
                <c:pt idx="18">
                  <c:v>2.2124311031978882E-2</c:v>
                </c:pt>
                <c:pt idx="19">
                  <c:v>2.2028212040975357E-2</c:v>
                </c:pt>
                <c:pt idx="20">
                  <c:v>2.1922243390565348E-2</c:v>
                </c:pt>
                <c:pt idx="21">
                  <c:v>2.1806808436386601E-2</c:v>
                </c:pt>
                <c:pt idx="22">
                  <c:v>2.1680926877012726E-2</c:v>
                </c:pt>
                <c:pt idx="23">
                  <c:v>2.1535300736627912E-2</c:v>
                </c:pt>
                <c:pt idx="24">
                  <c:v>2.1376065107516187E-2</c:v>
                </c:pt>
                <c:pt idx="25">
                  <c:v>2.1204749521249209E-2</c:v>
                </c:pt>
                <c:pt idx="26">
                  <c:v>2.1022799035751962E-2</c:v>
                </c:pt>
                <c:pt idx="27">
                  <c:v>2.0831571515733855E-2</c:v>
                </c:pt>
                <c:pt idx="28">
                  <c:v>2.0632336472423827E-2</c:v>
                </c:pt>
                <c:pt idx="29">
                  <c:v>2.0396133559768315E-2</c:v>
                </c:pt>
                <c:pt idx="30">
                  <c:v>2.0125601274818657E-2</c:v>
                </c:pt>
                <c:pt idx="31">
                  <c:v>1.9823023589162839E-2</c:v>
                </c:pt>
                <c:pt idx="32">
                  <c:v>1.9490541501447401E-2</c:v>
                </c:pt>
                <c:pt idx="33">
                  <c:v>1.9130150925492615E-2</c:v>
                </c:pt>
                <c:pt idx="34">
                  <c:v>1.8743702271538477E-2</c:v>
                </c:pt>
                <c:pt idx="35">
                  <c:v>1.8332901394843386E-2</c:v>
                </c:pt>
                <c:pt idx="36">
                  <c:v>1.7896665976820252E-2</c:v>
                </c:pt>
                <c:pt idx="37">
                  <c:v>1.7415292608413634E-2</c:v>
                </c:pt>
                <c:pt idx="38">
                  <c:v>1.6898814874910354E-2</c:v>
                </c:pt>
                <c:pt idx="39">
                  <c:v>1.6349541431906964E-2</c:v>
                </c:pt>
                <c:pt idx="40">
                  <c:v>1.5769613809809613E-2</c:v>
                </c:pt>
                <c:pt idx="41">
                  <c:v>1.5161004354749409E-2</c:v>
                </c:pt>
                <c:pt idx="42">
                  <c:v>1.4525515950238264E-2</c:v>
                </c:pt>
                <c:pt idx="43">
                  <c:v>1.3871324669331017E-2</c:v>
                </c:pt>
                <c:pt idx="44">
                  <c:v>1.3224002783176609E-2</c:v>
                </c:pt>
                <c:pt idx="45">
                  <c:v>1.258365196125533E-2</c:v>
                </c:pt>
                <c:pt idx="46">
                  <c:v>1.1950290930959725E-2</c:v>
                </c:pt>
                <c:pt idx="47">
                  <c:v>1.1323862799321007E-2</c:v>
                </c:pt>
                <c:pt idx="48">
                  <c:v>1.0704241710210231E-2</c:v>
                </c:pt>
                <c:pt idx="49">
                  <c:v>1.0091238835173797E-2</c:v>
                </c:pt>
                <c:pt idx="50">
                  <c:v>9.4839336246949884E-3</c:v>
                </c:pt>
                <c:pt idx="51">
                  <c:v>8.8827702662036961E-3</c:v>
                </c:pt>
                <c:pt idx="52">
                  <c:v>8.3029964207472114E-3</c:v>
                </c:pt>
                <c:pt idx="53">
                  <c:v>7.7437600656376322E-3</c:v>
                </c:pt>
                <c:pt idx="54">
                  <c:v>7.2042984632104115E-3</c:v>
                </c:pt>
                <c:pt idx="55">
                  <c:v>6.6838883485652043E-3</c:v>
                </c:pt>
                <c:pt idx="56">
                  <c:v>6.1818433217802103E-3</c:v>
                </c:pt>
                <c:pt idx="57">
                  <c:v>5.7028298349339462E-3</c:v>
                </c:pt>
                <c:pt idx="58">
                  <c:v>5.2405792287057978E-3</c:v>
                </c:pt>
                <c:pt idx="59">
                  <c:v>4.7945127019452961E-3</c:v>
                </c:pt>
                <c:pt idx="60">
                  <c:v>4.3640790762960275E-3</c:v>
                </c:pt>
                <c:pt idx="61">
                  <c:v>3.9487530174262646E-3</c:v>
                </c:pt>
                <c:pt idx="62">
                  <c:v>3.5480333822038171E-3</c:v>
                </c:pt>
                <c:pt idx="63">
                  <c:v>3.161441683218677E-3</c:v>
                </c:pt>
                <c:pt idx="64">
                  <c:v>2.7884362701164974E-3</c:v>
                </c:pt>
                <c:pt idx="65">
                  <c:v>2.4429516790215496E-3</c:v>
                </c:pt>
                <c:pt idx="66">
                  <c:v>2.1230642473890589E-3</c:v>
                </c:pt>
                <c:pt idx="67">
                  <c:v>1.8280786801478648E-3</c:v>
                </c:pt>
                <c:pt idx="68">
                  <c:v>1.5573112910101836E-3</c:v>
                </c:pt>
                <c:pt idx="69">
                  <c:v>1.3100927211226376E-3</c:v>
                </c:pt>
                <c:pt idx="70">
                  <c:v>1.0857703651219399E-3</c:v>
                </c:pt>
                <c:pt idx="71">
                  <c:v>8.8928882492860396E-4</c:v>
                </c:pt>
                <c:pt idx="72">
                  <c:v>7.152787341350703E-4</c:v>
                </c:pt>
                <c:pt idx="73">
                  <c:v>5.6313140121413909E-4</c:v>
                </c:pt>
                <c:pt idx="74">
                  <c:v>4.3226375569316468E-4</c:v>
                </c:pt>
                <c:pt idx="75">
                  <c:v>3.2211972839742327E-4</c:v>
                </c:pt>
                <c:pt idx="76">
                  <c:v>2.3217148159557609E-4</c:v>
                </c:pt>
                <c:pt idx="77">
                  <c:v>1.6192051061521387E-4</c:v>
                </c:pt>
                <c:pt idx="78">
                  <c:v>1.1089152120797899E-4</c:v>
                </c:pt>
                <c:pt idx="79">
                  <c:v>7.8649514993438843E-5</c:v>
                </c:pt>
                <c:pt idx="80">
                  <c:v>5.2072019633278963E-5</c:v>
                </c:pt>
                <c:pt idx="81">
                  <c:v>3.1034664614701538E-5</c:v>
                </c:pt>
                <c:pt idx="82">
                  <c:v>1.5418569571197437E-5</c:v>
                </c:pt>
                <c:pt idx="83">
                  <c:v>5.1109888407640949E-6</c:v>
                </c:pt>
                <c:pt idx="84">
                  <c:v>5.9029974323347151E-9</c:v>
                </c:pt>
                <c:pt idx="85">
                  <c:v>4.5637570672326569E-9</c:v>
                </c:pt>
                <c:pt idx="86">
                  <c:v>3.4031435562899316E-9</c:v>
                </c:pt>
                <c:pt idx="87">
                  <c:v>2.4174450419812316E-9</c:v>
                </c:pt>
                <c:pt idx="88">
                  <c:v>1.6031837378948431E-9</c:v>
                </c:pt>
                <c:pt idx="89">
                  <c:v>9.5713159818355819E-10</c:v>
                </c:pt>
                <c:pt idx="90">
                  <c:v>4.7632503992415341E-10</c:v>
                </c:pt>
                <c:pt idx="91">
                  <c:v>1.5807892483156783E-10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1.2434428146852151E-12</c:v>
                </c:pt>
                <c:pt idx="240">
                  <c:v>3.7512176132022356E-12</c:v>
                </c:pt>
                <c:pt idx="241">
                  <c:v>7.5447406407608647E-12</c:v>
                </c:pt>
                <c:pt idx="242">
                  <c:v>1.2646280643860439E-11</c:v>
                </c:pt>
                <c:pt idx="243">
                  <c:v>1.9079299950694817E-11</c:v>
                </c:pt>
                <c:pt idx="244">
                  <c:v>2.686881333652406E-11</c:v>
                </c:pt>
                <c:pt idx="245">
                  <c:v>3.6041767340721929E-11</c:v>
                </c:pt>
                <c:pt idx="246">
                  <c:v>4.6626822078998455E-11</c:v>
                </c:pt>
                <c:pt idx="247">
                  <c:v>3.2861148129882219E-10</c:v>
                </c:pt>
                <c:pt idx="248">
                  <c:v>8.8726714754083102E-10</c:v>
                </c:pt>
                <c:pt idx="249">
                  <c:v>1.72812189516103E-9</c:v>
                </c:pt>
                <c:pt idx="250">
                  <c:v>2.8569305353090979E-9</c:v>
                </c:pt>
                <c:pt idx="251">
                  <c:v>4.2796417542959684E-9</c:v>
                </c:pt>
                <c:pt idx="252">
                  <c:v>6.0023619666947325E-9</c:v>
                </c:pt>
                <c:pt idx="253">
                  <c:v>1.5588181124063413E-6</c:v>
                </c:pt>
                <c:pt idx="254">
                  <c:v>4.6950833313403259E-6</c:v>
                </c:pt>
                <c:pt idx="255">
                  <c:v>9.4478695054165755E-6</c:v>
                </c:pt>
                <c:pt idx="256">
                  <c:v>1.5850719792694702E-5</c:v>
                </c:pt>
                <c:pt idx="257">
                  <c:v>2.393738314215848E-5</c:v>
                </c:pt>
                <c:pt idx="258">
                  <c:v>3.3741523100878268E-5</c:v>
                </c:pt>
                <c:pt idx="259">
                  <c:v>4.5296400066223295E-5</c:v>
                </c:pt>
                <c:pt idx="260">
                  <c:v>5.8636538446494062E-5</c:v>
                </c:pt>
                <c:pt idx="261">
                  <c:v>8.4571420276706381E-5</c:v>
                </c:pt>
                <c:pt idx="262">
                  <c:v>1.2334124619050105E-4</c:v>
                </c:pt>
                <c:pt idx="263">
                  <c:v>1.7519359016324006E-4</c:v>
                </c:pt>
                <c:pt idx="264">
                  <c:v>2.4038423486229802E-4</c:v>
                </c:pt>
                <c:pt idx="265">
                  <c:v>3.1918008379307086E-4</c:v>
                </c:pt>
                <c:pt idx="266">
                  <c:v>4.1185965021463706E-4</c:v>
                </c:pt>
                <c:pt idx="267">
                  <c:v>5.4066766163954555E-4</c:v>
                </c:pt>
                <c:pt idx="268">
                  <c:v>7.0462218663849819E-4</c:v>
                </c:pt>
                <c:pt idx="269">
                  <c:v>9.0446058612812851E-4</c:v>
                </c:pt>
                <c:pt idx="270">
                  <c:v>1.1409577672961682E-3</c:v>
                </c:pt>
                <c:pt idx="271">
                  <c:v>1.4149301837526602E-3</c:v>
                </c:pt>
                <c:pt idx="272">
                  <c:v>1.7272402396606844E-3</c:v>
                </c:pt>
                <c:pt idx="273">
                  <c:v>2.0788011500140098E-3</c:v>
                </c:pt>
                <c:pt idx="274">
                  <c:v>2.4705382413677431E-3</c:v>
                </c:pt>
                <c:pt idx="275">
                  <c:v>2.9105731725312185E-3</c:v>
                </c:pt>
                <c:pt idx="276">
                  <c:v>3.38813533733886E-3</c:v>
                </c:pt>
                <c:pt idx="277">
                  <c:v>3.9041733832638052E-3</c:v>
                </c:pt>
                <c:pt idx="278">
                  <c:v>4.4596807237675994E-3</c:v>
                </c:pt>
                <c:pt idx="279">
                  <c:v>5.0556985173479735E-3</c:v>
                </c:pt>
                <c:pt idx="280">
                  <c:v>5.6933189958052154E-3</c:v>
                </c:pt>
                <c:pt idx="281">
                  <c:v>6.3704205257311963E-3</c:v>
                </c:pt>
                <c:pt idx="282">
                  <c:v>7.0635687305638925E-3</c:v>
                </c:pt>
                <c:pt idx="283">
                  <c:v>7.7733139631857278E-3</c:v>
                </c:pt>
                <c:pt idx="284">
                  <c:v>8.5002387382486413E-3</c:v>
                </c:pt>
                <c:pt idx="285">
                  <c:v>9.2449607498859363E-3</c:v>
                </c:pt>
                <c:pt idx="286">
                  <c:v>1.000813617758404E-2</c:v>
                </c:pt>
                <c:pt idx="287">
                  <c:v>1.0790463306942076E-2</c:v>
                </c:pt>
                <c:pt idx="288">
                  <c:v>1.1592995061708683E-2</c:v>
                </c:pt>
                <c:pt idx="289">
                  <c:v>1.2420304172161792E-2</c:v>
                </c:pt>
                <c:pt idx="290">
                  <c:v>1.3265153897152967E-2</c:v>
                </c:pt>
                <c:pt idx="291">
                  <c:v>1.4128250146650237E-2</c:v>
                </c:pt>
                <c:pt idx="292">
                  <c:v>1.501031263182597E-2</c:v>
                </c:pt>
                <c:pt idx="293">
                  <c:v>1.5912075102736175E-2</c:v>
                </c:pt>
                <c:pt idx="294">
                  <c:v>1.6834285407611255E-2</c:v>
                </c:pt>
                <c:pt idx="295">
                  <c:v>1.7752932154403961E-2</c:v>
                </c:pt>
                <c:pt idx="296">
                  <c:v>1.8671996732330241E-2</c:v>
                </c:pt>
                <c:pt idx="297">
                  <c:v>1.959173233340435E-2</c:v>
                </c:pt>
                <c:pt idx="298">
                  <c:v>2.0512224052312709E-2</c:v>
                </c:pt>
                <c:pt idx="299">
                  <c:v>2.1433525977881916E-2</c:v>
                </c:pt>
                <c:pt idx="300">
                  <c:v>2.2355658598423464E-2</c:v>
                </c:pt>
                <c:pt idx="301">
                  <c:v>2.3278605796015428E-2</c:v>
                </c:pt>
                <c:pt idx="302">
                  <c:v>2.4207604316665184E-2</c:v>
                </c:pt>
                <c:pt idx="303">
                  <c:v>2.5110155062089554E-2</c:v>
                </c:pt>
                <c:pt idx="304">
                  <c:v>2.5980270746217154E-2</c:v>
                </c:pt>
                <c:pt idx="305">
                  <c:v>2.6815408358789452E-2</c:v>
                </c:pt>
                <c:pt idx="306">
                  <c:v>2.7612511879826322E-2</c:v>
                </c:pt>
                <c:pt idx="307">
                  <c:v>2.8367992349909534E-2</c:v>
                </c:pt>
                <c:pt idx="308">
                  <c:v>2.9077710740263586E-2</c:v>
                </c:pt>
                <c:pt idx="309">
                  <c:v>2.9728742148160587E-2</c:v>
                </c:pt>
                <c:pt idx="310">
                  <c:v>3.0345587380688391E-2</c:v>
                </c:pt>
                <c:pt idx="311">
                  <c:v>3.0923418469459091E-2</c:v>
                </c:pt>
                <c:pt idx="312">
                  <c:v>3.1456886066830857E-2</c:v>
                </c:pt>
                <c:pt idx="313">
                  <c:v>3.1940131847656074E-2</c:v>
                </c:pt>
                <c:pt idx="314">
                  <c:v>3.2366817494662338E-2</c:v>
                </c:pt>
                <c:pt idx="315">
                  <c:v>3.2730173985643353E-2</c:v>
                </c:pt>
                <c:pt idx="316">
                  <c:v>3.3031887945129873E-2</c:v>
                </c:pt>
                <c:pt idx="317">
                  <c:v>3.3276816052095815E-2</c:v>
                </c:pt>
                <c:pt idx="318">
                  <c:v>3.3509138593405215E-2</c:v>
                </c:pt>
                <c:pt idx="319">
                  <c:v>3.3728074045054568E-2</c:v>
                </c:pt>
                <c:pt idx="320">
                  <c:v>3.393281089026802E-2</c:v>
                </c:pt>
                <c:pt idx="321">
                  <c:v>3.4122508186203077E-2</c:v>
                </c:pt>
                <c:pt idx="322">
                  <c:v>3.4296296503067349E-2</c:v>
                </c:pt>
                <c:pt idx="323">
                  <c:v>3.4440320936518214E-2</c:v>
                </c:pt>
                <c:pt idx="324">
                  <c:v>3.4563293418012168E-2</c:v>
                </c:pt>
                <c:pt idx="325">
                  <c:v>3.4664153044200979E-2</c:v>
                </c:pt>
                <c:pt idx="326">
                  <c:v>3.4741604355453259E-2</c:v>
                </c:pt>
                <c:pt idx="327">
                  <c:v>3.4794480413386446E-2</c:v>
                </c:pt>
                <c:pt idx="328">
                  <c:v>3.4821783631778985E-2</c:v>
                </c:pt>
                <c:pt idx="329">
                  <c:v>3.4822512988319551E-2</c:v>
                </c:pt>
                <c:pt idx="330">
                  <c:v>3.4802095725093546E-2</c:v>
                </c:pt>
                <c:pt idx="331">
                  <c:v>3.4764188219343427E-2</c:v>
                </c:pt>
                <c:pt idx="332">
                  <c:v>3.4704870312430018E-2</c:v>
                </c:pt>
                <c:pt idx="333">
                  <c:v>3.4620295585593368E-2</c:v>
                </c:pt>
                <c:pt idx="334">
                  <c:v>3.450647135147214E-2</c:v>
                </c:pt>
                <c:pt idx="335">
                  <c:v>3.4359291867474155E-2</c:v>
                </c:pt>
                <c:pt idx="336">
                  <c:v>3.4174582560160587E-2</c:v>
                </c:pt>
                <c:pt idx="337">
                  <c:v>3.3971961644368054E-2</c:v>
                </c:pt>
                <c:pt idx="338">
                  <c:v>3.3763333708503512E-2</c:v>
                </c:pt>
                <c:pt idx="339">
                  <c:v>3.3545652123180843E-2</c:v>
                </c:pt>
                <c:pt idx="340">
                  <c:v>3.331588272264413E-2</c:v>
                </c:pt>
                <c:pt idx="341">
                  <c:v>3.3071047480160744E-2</c:v>
                </c:pt>
                <c:pt idx="342">
                  <c:v>3.2808275437249922E-2</c:v>
                </c:pt>
                <c:pt idx="343">
                  <c:v>3.252485984341346E-2</c:v>
                </c:pt>
                <c:pt idx="344">
                  <c:v>3.2219433844729382E-2</c:v>
                </c:pt>
                <c:pt idx="345">
                  <c:v>3.1895047629944655E-2</c:v>
                </c:pt>
                <c:pt idx="346">
                  <c:v>3.1570502602657431E-2</c:v>
                </c:pt>
                <c:pt idx="347">
                  <c:v>3.1249915730844593E-2</c:v>
                </c:pt>
                <c:pt idx="348">
                  <c:v>3.0937272851922923E-2</c:v>
                </c:pt>
                <c:pt idx="349">
                  <c:v>3.0636388911442991E-2</c:v>
                </c:pt>
                <c:pt idx="350">
                  <c:v>3.035087868926984E-2</c:v>
                </c:pt>
                <c:pt idx="351">
                  <c:v>3.0098498555007992E-2</c:v>
                </c:pt>
                <c:pt idx="352">
                  <c:v>2.9857769903815966E-2</c:v>
                </c:pt>
                <c:pt idx="353">
                  <c:v>2.9631783384449762E-2</c:v>
                </c:pt>
                <c:pt idx="354">
                  <c:v>2.9423439734929318E-2</c:v>
                </c:pt>
                <c:pt idx="355">
                  <c:v>2.9235454091322676E-2</c:v>
                </c:pt>
                <c:pt idx="356">
                  <c:v>2.9070305903069447E-2</c:v>
                </c:pt>
                <c:pt idx="357">
                  <c:v>2.8930397933063942E-2</c:v>
                </c:pt>
                <c:pt idx="358">
                  <c:v>2.8809021063063794E-2</c:v>
                </c:pt>
                <c:pt idx="359">
                  <c:v>2.869857892826316E-2</c:v>
                </c:pt>
                <c:pt idx="360">
                  <c:v>2.8622958390374664E-2</c:v>
                </c:pt>
                <c:pt idx="361">
                  <c:v>2.8568831732911051E-2</c:v>
                </c:pt>
                <c:pt idx="362">
                  <c:v>2.8536526937959605E-2</c:v>
                </c:pt>
                <c:pt idx="363">
                  <c:v>2.852628974858952E-2</c:v>
                </c:pt>
                <c:pt idx="364">
                  <c:v>2.8538291395385714E-2</c:v>
                </c:pt>
                <c:pt idx="365">
                  <c:v>2.8572636633614382E-2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235312"/>
        <c:axId val="324235704"/>
      </c:lineChart>
      <c:dateAx>
        <c:axId val="3242353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235704"/>
        <c:crosses val="autoZero"/>
        <c:auto val="1"/>
        <c:lblOffset val="100"/>
        <c:baseTimeUnit val="days"/>
        <c:majorUnit val="1"/>
        <c:majorTimeUnit val="months"/>
      </c:dateAx>
      <c:valAx>
        <c:axId val="3242357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2353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11.940552639283622</c:v>
                </c:pt>
                <c:pt idx="1">
                  <c:v>12.069076470133854</c:v>
                </c:pt>
                <c:pt idx="2">
                  <c:v>12.202371935529392</c:v>
                </c:pt>
                <c:pt idx="3">
                  <c:v>12.340071061663688</c:v>
                </c:pt>
                <c:pt idx="4">
                  <c:v>12.481806005223557</c:v>
                </c:pt>
                <c:pt idx="5">
                  <c:v>12.627209054697795</c:v>
                </c:pt>
                <c:pt idx="6">
                  <c:v>12.775912637703479</c:v>
                </c:pt>
                <c:pt idx="7">
                  <c:v>12.927549320746492</c:v>
                </c:pt>
                <c:pt idx="8">
                  <c:v>13.082529515037971</c:v>
                </c:pt>
                <c:pt idx="9">
                  <c:v>13.241641892003056</c:v>
                </c:pt>
                <c:pt idx="10">
                  <c:v>13.405105242075377</c:v>
                </c:pt>
                <c:pt idx="11">
                  <c:v>13.573012167782121</c:v>
                </c:pt>
                <c:pt idx="12">
                  <c:v>13.745455219001615</c:v>
                </c:pt>
                <c:pt idx="13">
                  <c:v>13.922526895308987</c:v>
                </c:pt>
                <c:pt idx="14">
                  <c:v>14.104319648235553</c:v>
                </c:pt>
                <c:pt idx="15">
                  <c:v>14.290929613231992</c:v>
                </c:pt>
                <c:pt idx="16">
                  <c:v>14.482432728006453</c:v>
                </c:pt>
                <c:pt idx="17">
                  <c:v>14.678921302161761</c:v>
                </c:pt>
                <c:pt idx="18">
                  <c:v>14.880487605709249</c:v>
                </c:pt>
                <c:pt idx="19">
                  <c:v>15.08722198051856</c:v>
                </c:pt>
                <c:pt idx="20">
                  <c:v>15.299213804796675</c:v>
                </c:pt>
                <c:pt idx="21">
                  <c:v>15.516553824736031</c:v>
                </c:pt>
                <c:pt idx="22">
                  <c:v>15.740359930008832</c:v>
                </c:pt>
                <c:pt idx="23">
                  <c:v>15.971447450638237</c:v>
                </c:pt>
                <c:pt idx="24">
                  <c:v>16.20916069434109</c:v>
                </c:pt>
                <c:pt idx="25">
                  <c:v>16.452915996860291</c:v>
                </c:pt>
                <c:pt idx="26">
                  <c:v>16.702129948034397</c:v>
                </c:pt>
                <c:pt idx="27">
                  <c:v>16.956219389569675</c:v>
                </c:pt>
                <c:pt idx="28">
                  <c:v>17.214601428901677</c:v>
                </c:pt>
                <c:pt idx="29">
                  <c:v>17.477231202644997</c:v>
                </c:pt>
                <c:pt idx="30">
                  <c:v>17.743522525521183</c:v>
                </c:pt>
                <c:pt idx="31">
                  <c:v>18.012893220219656</c:v>
                </c:pt>
                <c:pt idx="32">
                  <c:v>18.284761385329787</c:v>
                </c:pt>
                <c:pt idx="33">
                  <c:v>18.558545409764196</c:v>
                </c:pt>
                <c:pt idx="34">
                  <c:v>18.833663978171455</c:v>
                </c:pt>
                <c:pt idx="35">
                  <c:v>19.109536073088318</c:v>
                </c:pt>
                <c:pt idx="36">
                  <c:v>19.388498956657454</c:v>
                </c:pt>
                <c:pt idx="37">
                  <c:v>19.673203914417069</c:v>
                </c:pt>
                <c:pt idx="38">
                  <c:v>19.962825052237509</c:v>
                </c:pt>
                <c:pt idx="39">
                  <c:v>20.256684043625754</c:v>
                </c:pt>
                <c:pt idx="40">
                  <c:v>20.554102934766139</c:v>
                </c:pt>
                <c:pt idx="41">
                  <c:v>20.854404145948223</c:v>
                </c:pt>
                <c:pt idx="42">
                  <c:v>21.1569104709437</c:v>
                </c:pt>
                <c:pt idx="43">
                  <c:v>21.46080272444371</c:v>
                </c:pt>
                <c:pt idx="44">
                  <c:v>21.76486704712789</c:v>
                </c:pt>
                <c:pt idx="45">
                  <c:v>22.068427348515616</c:v>
                </c:pt>
                <c:pt idx="46">
                  <c:v>22.370807875248452</c:v>
                </c:pt>
                <c:pt idx="47">
                  <c:v>22.671333207293081</c:v>
                </c:pt>
                <c:pt idx="48">
                  <c:v>22.969328258104849</c:v>
                </c:pt>
                <c:pt idx="49">
                  <c:v>23.264118269348668</c:v>
                </c:pt>
                <c:pt idx="50">
                  <c:v>23.556719013951085</c:v>
                </c:pt>
                <c:pt idx="51">
                  <c:v>23.848563247545908</c:v>
                </c:pt>
                <c:pt idx="52">
                  <c:v>24.139273430362756</c:v>
                </c:pt>
                <c:pt idx="53">
                  <c:v>24.428851434574867</c:v>
                </c:pt>
                <c:pt idx="54">
                  <c:v>24.717297943822484</c:v>
                </c:pt>
                <c:pt idx="55">
                  <c:v>25.004613572319293</c:v>
                </c:pt>
                <c:pt idx="56">
                  <c:v>25.290798864755978</c:v>
                </c:pt>
                <c:pt idx="57">
                  <c:v>25.575717493453858</c:v>
                </c:pt>
                <c:pt idx="58">
                  <c:v>25.859512351749757</c:v>
                </c:pt>
                <c:pt idx="59">
                  <c:v>26.142183778450992</c:v>
                </c:pt>
                <c:pt idx="60">
                  <c:v>26.423732047594115</c:v>
                </c:pt>
                <c:pt idx="61">
                  <c:v>26.70415736904091</c:v>
                </c:pt>
                <c:pt idx="62">
                  <c:v>26.983459889077459</c:v>
                </c:pt>
                <c:pt idx="63">
                  <c:v>27.261639695183394</c:v>
                </c:pt>
                <c:pt idx="64">
                  <c:v>27.53953262823363</c:v>
                </c:pt>
                <c:pt idx="65">
                  <c:v>27.817315774016112</c:v>
                </c:pt>
                <c:pt idx="66">
                  <c:v>28.094636012975368</c:v>
                </c:pt>
                <c:pt idx="67">
                  <c:v>28.371106943678491</c:v>
                </c:pt>
                <c:pt idx="68">
                  <c:v>28.646342239703721</c:v>
                </c:pt>
                <c:pt idx="69">
                  <c:v>28.919955648088568</c:v>
                </c:pt>
                <c:pt idx="70">
                  <c:v>29.191560982552783</c:v>
                </c:pt>
                <c:pt idx="71">
                  <c:v>29.46060763697168</c:v>
                </c:pt>
                <c:pt idx="72">
                  <c:v>29.726846676002602</c:v>
                </c:pt>
                <c:pt idx="73">
                  <c:v>29.989892054565992</c:v>
                </c:pt>
                <c:pt idx="74">
                  <c:v>30.249357775740954</c:v>
                </c:pt>
                <c:pt idx="75">
                  <c:v>30.504857882757527</c:v>
                </c:pt>
                <c:pt idx="76">
                  <c:v>30.756006455827929</c:v>
                </c:pt>
                <c:pt idx="77">
                  <c:v>31.002417607321021</c:v>
                </c:pt>
                <c:pt idx="78">
                  <c:v>31.245711667588544</c:v>
                </c:pt>
                <c:pt idx="79">
                  <c:v>31.4874439176103</c:v>
                </c:pt>
                <c:pt idx="80">
                  <c:v>31.727534555495719</c:v>
                </c:pt>
                <c:pt idx="81">
                  <c:v>31.965501014952764</c:v>
                </c:pt>
                <c:pt idx="82">
                  <c:v>32.200860857892749</c:v>
                </c:pt>
                <c:pt idx="83">
                  <c:v>32.433131779399773</c:v>
                </c:pt>
                <c:pt idx="84">
                  <c:v>32.661831604948958</c:v>
                </c:pt>
                <c:pt idx="85">
                  <c:v>32.886478297649674</c:v>
                </c:pt>
                <c:pt idx="86">
                  <c:v>33.106755915037247</c:v>
                </c:pt>
                <c:pt idx="87">
                  <c:v>33.322183188242889</c:v>
                </c:pt>
                <c:pt idx="88">
                  <c:v>33.532279063791208</c:v>
                </c:pt>
                <c:pt idx="89">
                  <c:v>33.736562701188241</c:v>
                </c:pt>
                <c:pt idx="90">
                  <c:v>33.934553495290686</c:v>
                </c:pt>
                <c:pt idx="91">
                  <c:v>34.125771072044891</c:v>
                </c:pt>
                <c:pt idx="92">
                  <c:v>34.309895556437574</c:v>
                </c:pt>
                <c:pt idx="93">
                  <c:v>34.487248158246956</c:v>
                </c:pt>
                <c:pt idx="94">
                  <c:v>34.658310188879128</c:v>
                </c:pt>
                <c:pt idx="95">
                  <c:v>34.8235627735653</c:v>
                </c:pt>
                <c:pt idx="96">
                  <c:v>34.983486847552918</c:v>
                </c:pt>
                <c:pt idx="97">
                  <c:v>35.138563166355532</c:v>
                </c:pt>
                <c:pt idx="98">
                  <c:v>35.289272296506049</c:v>
                </c:pt>
                <c:pt idx="99">
                  <c:v>35.436094623086902</c:v>
                </c:pt>
                <c:pt idx="100">
                  <c:v>35.579510342077342</c:v>
                </c:pt>
                <c:pt idx="101">
                  <c:v>35.719999464806165</c:v>
                </c:pt>
                <c:pt idx="102">
                  <c:v>35.858041811900982</c:v>
                </c:pt>
                <c:pt idx="103">
                  <c:v>35.994117016924612</c:v>
                </c:pt>
                <c:pt idx="104">
                  <c:v>36.128704520465057</c:v>
                </c:pt>
                <c:pt idx="105">
                  <c:v>36.26228356959102</c:v>
                </c:pt>
                <c:pt idx="106">
                  <c:v>36.394549371606601</c:v>
                </c:pt>
                <c:pt idx="107">
                  <c:v>36.524749500836435</c:v>
                </c:pt>
                <c:pt idx="108">
                  <c:v>36.652691739244069</c:v>
                </c:pt>
                <c:pt idx="109">
                  <c:v>36.778184045674038</c:v>
                </c:pt>
                <c:pt idx="110">
                  <c:v>36.90103456401404</c:v>
                </c:pt>
                <c:pt idx="111">
                  <c:v>37.021051632706907</c:v>
                </c:pt>
                <c:pt idx="112">
                  <c:v>37.138043788912732</c:v>
                </c:pt>
                <c:pt idx="113">
                  <c:v>37.251819776596854</c:v>
                </c:pt>
                <c:pt idx="114">
                  <c:v>37.362188557267636</c:v>
                </c:pt>
                <c:pt idx="115">
                  <c:v>37.468959313886415</c:v>
                </c:pt>
                <c:pt idx="116">
                  <c:v>37.571941460565895</c:v>
                </c:pt>
                <c:pt idx="117">
                  <c:v>37.670944648687069</c:v>
                </c:pt>
                <c:pt idx="118">
                  <c:v>37.765778777292986</c:v>
                </c:pt>
                <c:pt idx="119">
                  <c:v>37.856253997692811</c:v>
                </c:pt>
                <c:pt idx="120">
                  <c:v>37.942867223177117</c:v>
                </c:pt>
                <c:pt idx="121">
                  <c:v>38.026179074193323</c:v>
                </c:pt>
                <c:pt idx="122">
                  <c:v>38.106095602985782</c:v>
                </c:pt>
                <c:pt idx="123">
                  <c:v>38.182523071392737</c:v>
                </c:pt>
                <c:pt idx="124">
                  <c:v>38.25536795947091</c:v>
                </c:pt>
                <c:pt idx="125">
                  <c:v>38.32453696203028</c:v>
                </c:pt>
                <c:pt idx="126">
                  <c:v>38.389936997673964</c:v>
                </c:pt>
                <c:pt idx="127">
                  <c:v>38.451475209519124</c:v>
                </c:pt>
                <c:pt idx="128">
                  <c:v>38.50905897043274</c:v>
                </c:pt>
                <c:pt idx="129">
                  <c:v>38.562595881725699</c:v>
                </c:pt>
                <c:pt idx="130">
                  <c:v>38.611993773238837</c:v>
                </c:pt>
                <c:pt idx="131">
                  <c:v>38.6571607078982</c:v>
                </c:pt>
                <c:pt idx="132">
                  <c:v>38.698004974990816</c:v>
                </c:pt>
                <c:pt idx="133">
                  <c:v>38.734435094748541</c:v>
                </c:pt>
                <c:pt idx="134">
                  <c:v>38.765563324125758</c:v>
                </c:pt>
                <c:pt idx="135">
                  <c:v>38.790884920396024</c:v>
                </c:pt>
                <c:pt idx="136">
                  <c:v>38.810882950824606</c:v>
                </c:pt>
                <c:pt idx="137">
                  <c:v>38.826040307891887</c:v>
                </c:pt>
                <c:pt idx="138">
                  <c:v>38.836839703866097</c:v>
                </c:pt>
                <c:pt idx="139">
                  <c:v>38.843763658170715</c:v>
                </c:pt>
                <c:pt idx="140">
                  <c:v>38.84729448343284</c:v>
                </c:pt>
                <c:pt idx="141">
                  <c:v>38.847914274671226</c:v>
                </c:pt>
                <c:pt idx="142">
                  <c:v>38.846104899175728</c:v>
                </c:pt>
                <c:pt idx="143">
                  <c:v>38.842347981884565</c:v>
                </c:pt>
                <c:pt idx="144">
                  <c:v>38.837124895378871</c:v>
                </c:pt>
                <c:pt idx="145">
                  <c:v>38.83091674614807</c:v>
                </c:pt>
                <c:pt idx="146">
                  <c:v>38.824204363778236</c:v>
                </c:pt>
                <c:pt idx="147">
                  <c:v>38.81746829131351</c:v>
                </c:pt>
                <c:pt idx="148">
                  <c:v>38.809790271587644</c:v>
                </c:pt>
                <c:pt idx="149">
                  <c:v>38.799998454969739</c:v>
                </c:pt>
                <c:pt idx="150">
                  <c:v>38.788192717349297</c:v>
                </c:pt>
                <c:pt idx="151">
                  <c:v>38.774472848784669</c:v>
                </c:pt>
                <c:pt idx="152">
                  <c:v>38.758938542179337</c:v>
                </c:pt>
                <c:pt idx="153">
                  <c:v>38.741689378972318</c:v>
                </c:pt>
                <c:pt idx="154">
                  <c:v>38.722824813181916</c:v>
                </c:pt>
                <c:pt idx="155">
                  <c:v>38.702444159592602</c:v>
                </c:pt>
                <c:pt idx="156">
                  <c:v>38.680646580680765</c:v>
                </c:pt>
                <c:pt idx="157">
                  <c:v>38.657531071922918</c:v>
                </c:pt>
                <c:pt idx="158">
                  <c:v>38.633196451671807</c:v>
                </c:pt>
                <c:pt idx="159">
                  <c:v>38.607741347625371</c:v>
                </c:pt>
                <c:pt idx="160">
                  <c:v>38.581264186777233</c:v>
                </c:pt>
                <c:pt idx="161">
                  <c:v>38.553863186025907</c:v>
                </c:pt>
                <c:pt idx="162">
                  <c:v>38.525192384646445</c:v>
                </c:pt>
                <c:pt idx="163">
                  <c:v>38.494905868731358</c:v>
                </c:pt>
                <c:pt idx="164">
                  <c:v>38.463101577089077</c:v>
                </c:pt>
                <c:pt idx="165">
                  <c:v>38.429877195929997</c:v>
                </c:pt>
                <c:pt idx="166">
                  <c:v>38.395330154416044</c:v>
                </c:pt>
                <c:pt idx="167">
                  <c:v>38.359557620133685</c:v>
                </c:pt>
                <c:pt idx="168">
                  <c:v>38.322656495680285</c:v>
                </c:pt>
                <c:pt idx="169">
                  <c:v>38.284723415771296</c:v>
                </c:pt>
                <c:pt idx="170">
                  <c:v>38.245854747219916</c:v>
                </c:pt>
                <c:pt idx="171">
                  <c:v>38.206146588553672</c:v>
                </c:pt>
                <c:pt idx="172">
                  <c:v>38.165694772474197</c:v>
                </c:pt>
                <c:pt idx="173">
                  <c:v>38.124594867505202</c:v>
                </c:pt>
                <c:pt idx="174">
                  <c:v>38.082942182640572</c:v>
                </c:pt>
                <c:pt idx="175">
                  <c:v>38.040831772394249</c:v>
                </c:pt>
                <c:pt idx="176">
                  <c:v>37.998738209000855</c:v>
                </c:pt>
                <c:pt idx="177">
                  <c:v>37.956882479966978</c:v>
                </c:pt>
                <c:pt idx="178">
                  <c:v>37.914979057544564</c:v>
                </c:pt>
                <c:pt idx="179">
                  <c:v>37.872742389133471</c:v>
                </c:pt>
                <c:pt idx="180">
                  <c:v>37.829886901222658</c:v>
                </c:pt>
                <c:pt idx="181">
                  <c:v>37.786127002345232</c:v>
                </c:pt>
                <c:pt idx="182">
                  <c:v>37.741177089805909</c:v>
                </c:pt>
                <c:pt idx="183">
                  <c:v>37.694751553912823</c:v>
                </c:pt>
                <c:pt idx="184">
                  <c:v>37.646564785526571</c:v>
                </c:pt>
                <c:pt idx="185">
                  <c:v>37.596331184991662</c:v>
                </c:pt>
                <c:pt idx="186">
                  <c:v>37.543765166961485</c:v>
                </c:pt>
                <c:pt idx="187">
                  <c:v>37.488581172549019</c:v>
                </c:pt>
                <c:pt idx="188">
                  <c:v>37.430493678039873</c:v>
                </c:pt>
                <c:pt idx="189">
                  <c:v>37.369217203217808</c:v>
                </c:pt>
                <c:pt idx="190">
                  <c:v>37.304355743153209</c:v>
                </c:pt>
                <c:pt idx="191">
                  <c:v>37.235955675666396</c:v>
                </c:pt>
                <c:pt idx="192">
                  <c:v>37.164394976853167</c:v>
                </c:pt>
                <c:pt idx="193">
                  <c:v>37.090051429395992</c:v>
                </c:pt>
                <c:pt idx="194">
                  <c:v>37.01330264034506</c:v>
                </c:pt>
                <c:pt idx="195">
                  <c:v>36.934526061564242</c:v>
                </c:pt>
                <c:pt idx="196">
                  <c:v>36.854099001828196</c:v>
                </c:pt>
                <c:pt idx="197">
                  <c:v>36.772398645291325</c:v>
                </c:pt>
                <c:pt idx="198">
                  <c:v>36.689802066041338</c:v>
                </c:pt>
                <c:pt idx="199">
                  <c:v>36.606686239736682</c:v>
                </c:pt>
                <c:pt idx="200">
                  <c:v>36.523428056194106</c:v>
                </c:pt>
                <c:pt idx="201">
                  <c:v>36.44040433150721</c:v>
                </c:pt>
                <c:pt idx="202">
                  <c:v>36.357991815849587</c:v>
                </c:pt>
                <c:pt idx="203">
                  <c:v>36.276567203391743</c:v>
                </c:pt>
                <c:pt idx="204">
                  <c:v>36.195970805512736</c:v>
                </c:pt>
                <c:pt idx="205">
                  <c:v>36.115664542558299</c:v>
                </c:pt>
                <c:pt idx="206">
                  <c:v>36.035457616239199</c:v>
                </c:pt>
                <c:pt idx="207">
                  <c:v>35.95515940404804</c:v>
                </c:pt>
                <c:pt idx="208">
                  <c:v>35.874579458783828</c:v>
                </c:pt>
                <c:pt idx="209">
                  <c:v>35.793527508903608</c:v>
                </c:pt>
                <c:pt idx="210">
                  <c:v>35.711813457823403</c:v>
                </c:pt>
                <c:pt idx="211">
                  <c:v>35.62924738081599</c:v>
                </c:pt>
                <c:pt idx="212">
                  <c:v>35.545639524184857</c:v>
                </c:pt>
                <c:pt idx="213">
                  <c:v>35.460800301522291</c:v>
                </c:pt>
                <c:pt idx="214">
                  <c:v>35.374540290572256</c:v>
                </c:pt>
                <c:pt idx="215">
                  <c:v>35.286670229390872</c:v>
                </c:pt>
                <c:pt idx="216">
                  <c:v>35.197001011225446</c:v>
                </c:pt>
                <c:pt idx="217">
                  <c:v>35.105343680592448</c:v>
                </c:pt>
                <c:pt idx="218">
                  <c:v>35.011982051096865</c:v>
                </c:pt>
                <c:pt idx="219">
                  <c:v>34.917325930019821</c:v>
                </c:pt>
                <c:pt idx="220">
                  <c:v>34.821375511962373</c:v>
                </c:pt>
                <c:pt idx="221">
                  <c:v>34.724131055868284</c:v>
                </c:pt>
                <c:pt idx="222">
                  <c:v>34.625592879738093</c:v>
                </c:pt>
                <c:pt idx="223">
                  <c:v>34.5257613550367</c:v>
                </c:pt>
                <c:pt idx="224">
                  <c:v>34.424636901682497</c:v>
                </c:pt>
                <c:pt idx="225">
                  <c:v>34.322219982763656</c:v>
                </c:pt>
                <c:pt idx="226">
                  <c:v>34.218511100554323</c:v>
                </c:pt>
                <c:pt idx="227">
                  <c:v>34.113510790841239</c:v>
                </c:pt>
                <c:pt idx="228">
                  <c:v>34.007219619177434</c:v>
                </c:pt>
                <c:pt idx="229">
                  <c:v>33.899638176825079</c:v>
                </c:pt>
                <c:pt idx="230">
                  <c:v>33.790767077102039</c:v>
                </c:pt>
                <c:pt idx="231">
                  <c:v>33.680606951994569</c:v>
                </c:pt>
                <c:pt idx="232">
                  <c:v>33.570590326739996</c:v>
                </c:pt>
                <c:pt idx="233">
                  <c:v>33.46170871882682</c:v>
                </c:pt>
                <c:pt idx="234">
                  <c:v>33.353301439332185</c:v>
                </c:pt>
                <c:pt idx="235">
                  <c:v>33.24470803698852</c:v>
                </c:pt>
                <c:pt idx="236">
                  <c:v>33.135268292321214</c:v>
                </c:pt>
                <c:pt idx="237">
                  <c:v>33.024322215426643</c:v>
                </c:pt>
                <c:pt idx="238">
                  <c:v>32.911210038894538</c:v>
                </c:pt>
                <c:pt idx="239">
                  <c:v>32.795272218682925</c:v>
                </c:pt>
                <c:pt idx="240">
                  <c:v>32.67584942816034</c:v>
                </c:pt>
                <c:pt idx="241">
                  <c:v>32.552282551328354</c:v>
                </c:pt>
                <c:pt idx="242">
                  <c:v>32.423912685256923</c:v>
                </c:pt>
                <c:pt idx="243">
                  <c:v>32.290081132636317</c:v>
                </c:pt>
                <c:pt idx="244">
                  <c:v>32.150129395785278</c:v>
                </c:pt>
                <c:pt idx="245">
                  <c:v>32.00339917819128</c:v>
                </c:pt>
                <c:pt idx="246">
                  <c:v>31.849656735454541</c:v>
                </c:pt>
                <c:pt idx="247">
                  <c:v>31.689485612793476</c:v>
                </c:pt>
                <c:pt idx="248">
                  <c:v>31.523453455425553</c:v>
                </c:pt>
                <c:pt idx="249">
                  <c:v>31.352127728371403</c:v>
                </c:pt>
                <c:pt idx="250">
                  <c:v>31.176075722781842</c:v>
                </c:pt>
                <c:pt idx="251">
                  <c:v>30.995864552965692</c:v>
                </c:pt>
                <c:pt idx="252">
                  <c:v>30.812061164599246</c:v>
                </c:pt>
                <c:pt idx="253">
                  <c:v>30.625184844176882</c:v>
                </c:pt>
                <c:pt idx="254">
                  <c:v>30.43580210048777</c:v>
                </c:pt>
                <c:pt idx="255">
                  <c:v>30.244479303018878</c:v>
                </c:pt>
                <c:pt idx="256">
                  <c:v>30.051782683928568</c:v>
                </c:pt>
                <c:pt idx="257">
                  <c:v>29.858278337817598</c:v>
                </c:pt>
                <c:pt idx="258">
                  <c:v>29.66453222633028</c:v>
                </c:pt>
                <c:pt idx="259">
                  <c:v>29.471110179728509</c:v>
                </c:pt>
                <c:pt idx="260">
                  <c:v>29.277572986040131</c:v>
                </c:pt>
                <c:pt idx="261">
                  <c:v>29.082665808233827</c:v>
                </c:pt>
                <c:pt idx="262">
                  <c:v>28.886201406151553</c:v>
                </c:pt>
                <c:pt idx="263">
                  <c:v>28.687992650730145</c:v>
                </c:pt>
                <c:pt idx="264">
                  <c:v>28.487852526573288</c:v>
                </c:pt>
                <c:pt idx="265">
                  <c:v>28.285594079228158</c:v>
                </c:pt>
                <c:pt idx="266">
                  <c:v>28.081030430594954</c:v>
                </c:pt>
                <c:pt idx="267">
                  <c:v>27.873362532432814</c:v>
                </c:pt>
                <c:pt idx="268">
                  <c:v>27.662452895251683</c:v>
                </c:pt>
                <c:pt idx="269">
                  <c:v>27.448116549822569</c:v>
                </c:pt>
                <c:pt idx="270">
                  <c:v>27.230168745649127</c:v>
                </c:pt>
                <c:pt idx="271">
                  <c:v>27.00842496062868</c:v>
                </c:pt>
                <c:pt idx="272">
                  <c:v>26.782700906731893</c:v>
                </c:pt>
                <c:pt idx="273">
                  <c:v>26.55281253942788</c:v>
                </c:pt>
                <c:pt idx="274">
                  <c:v>26.319046759217329</c:v>
                </c:pt>
                <c:pt idx="275">
                  <c:v>26.081628320222134</c:v>
                </c:pt>
                <c:pt idx="276">
                  <c:v>25.840872490525864</c:v>
                </c:pt>
                <c:pt idx="277">
                  <c:v>25.596784015743012</c:v>
                </c:pt>
                <c:pt idx="278">
                  <c:v>25.349367834016821</c:v>
                </c:pt>
                <c:pt idx="279">
                  <c:v>25.098629068399703</c:v>
                </c:pt>
                <c:pt idx="280">
                  <c:v>24.844573028609343</c:v>
                </c:pt>
                <c:pt idx="281">
                  <c:v>24.587286087682475</c:v>
                </c:pt>
                <c:pt idx="282">
                  <c:v>24.32737521035715</c:v>
                </c:pt>
                <c:pt idx="283">
                  <c:v>24.064842956464258</c:v>
                </c:pt>
                <c:pt idx="284">
                  <c:v>23.799691767471938</c:v>
                </c:pt>
                <c:pt idx="285">
                  <c:v>23.531923951281232</c:v>
                </c:pt>
                <c:pt idx="286">
                  <c:v>23.261541670642746</c:v>
                </c:pt>
                <c:pt idx="287">
                  <c:v>22.988546927149127</c:v>
                </c:pt>
                <c:pt idx="288">
                  <c:v>22.712329904395155</c:v>
                </c:pt>
                <c:pt idx="289">
                  <c:v>22.432390034755439</c:v>
                </c:pt>
                <c:pt idx="290">
                  <c:v>22.149194826492504</c:v>
                </c:pt>
                <c:pt idx="291">
                  <c:v>21.863027239204094</c:v>
                </c:pt>
                <c:pt idx="292">
                  <c:v>21.574169948294912</c:v>
                </c:pt>
                <c:pt idx="293">
                  <c:v>21.282905347412189</c:v>
                </c:pt>
                <c:pt idx="294">
                  <c:v>20.989515545758014</c:v>
                </c:pt>
                <c:pt idx="295">
                  <c:v>20.694804311826008</c:v>
                </c:pt>
                <c:pt idx="296">
                  <c:v>20.398965607791759</c:v>
                </c:pt>
                <c:pt idx="297">
                  <c:v>20.102273252633413</c:v>
                </c:pt>
                <c:pt idx="298">
                  <c:v>19.805003706414336</c:v>
                </c:pt>
                <c:pt idx="299">
                  <c:v>19.507433119674069</c:v>
                </c:pt>
                <c:pt idx="300">
                  <c:v>19.209837352778226</c:v>
                </c:pt>
                <c:pt idx="301">
                  <c:v>18.912492000472248</c:v>
                </c:pt>
                <c:pt idx="302">
                  <c:v>18.611501213139935</c:v>
                </c:pt>
                <c:pt idx="303">
                  <c:v>18.304554473822773</c:v>
                </c:pt>
                <c:pt idx="304">
                  <c:v>17.993313744326127</c:v>
                </c:pt>
                <c:pt idx="305">
                  <c:v>17.679364570936524</c:v>
                </c:pt>
                <c:pt idx="306">
                  <c:v>17.364292378228892</c:v>
                </c:pt>
                <c:pt idx="307">
                  <c:v>17.049682537230282</c:v>
                </c:pt>
                <c:pt idx="308">
                  <c:v>16.73712043473472</c:v>
                </c:pt>
                <c:pt idx="309">
                  <c:v>16.428330776850956</c:v>
                </c:pt>
                <c:pt idx="310">
                  <c:v>16.124396675403425</c:v>
                </c:pt>
                <c:pt idx="311">
                  <c:v>15.826906921938862</c:v>
                </c:pt>
                <c:pt idx="312">
                  <c:v>15.537450518077334</c:v>
                </c:pt>
                <c:pt idx="313">
                  <c:v>15.257616707700427</c:v>
                </c:pt>
                <c:pt idx="314">
                  <c:v>14.988995005101467</c:v>
                </c:pt>
                <c:pt idx="315">
                  <c:v>14.733175216271208</c:v>
                </c:pt>
                <c:pt idx="316">
                  <c:v>14.487748944311708</c:v>
                </c:pt>
                <c:pt idx="317">
                  <c:v>14.249238918217378</c:v>
                </c:pt>
                <c:pt idx="318">
                  <c:v>14.01695780739721</c:v>
                </c:pt>
                <c:pt idx="319">
                  <c:v>13.790902957155843</c:v>
                </c:pt>
                <c:pt idx="320">
                  <c:v>13.571072004174603</c:v>
                </c:pt>
                <c:pt idx="321">
                  <c:v>13.357462878558231</c:v>
                </c:pt>
                <c:pt idx="322">
                  <c:v>13.150073801483003</c:v>
                </c:pt>
                <c:pt idx="323">
                  <c:v>12.949077070678818</c:v>
                </c:pt>
                <c:pt idx="324">
                  <c:v>12.754336433095609</c:v>
                </c:pt>
                <c:pt idx="325">
                  <c:v>12.565850775206599</c:v>
                </c:pt>
                <c:pt idx="326">
                  <c:v>12.383622035517522</c:v>
                </c:pt>
                <c:pt idx="327">
                  <c:v>12.207650459136575</c:v>
                </c:pt>
                <c:pt idx="328">
                  <c:v>12.037934268416166</c:v>
                </c:pt>
                <c:pt idx="329">
                  <c:v>11.874472000659791</c:v>
                </c:pt>
                <c:pt idx="330">
                  <c:v>11.715020780296747</c:v>
                </c:pt>
                <c:pt idx="331">
                  <c:v>11.558029062020717</c:v>
                </c:pt>
                <c:pt idx="332">
                  <c:v>11.404534183012078</c:v>
                </c:pt>
                <c:pt idx="333">
                  <c:v>11.255570638478392</c:v>
                </c:pt>
                <c:pt idx="334">
                  <c:v>11.112173043686944</c:v>
                </c:pt>
                <c:pt idx="335">
                  <c:v>10.97537608999871</c:v>
                </c:pt>
                <c:pt idx="336">
                  <c:v>10.846214512129448</c:v>
                </c:pt>
                <c:pt idx="337">
                  <c:v>10.72545874060809</c:v>
                </c:pt>
                <c:pt idx="338">
                  <c:v>10.613975731786768</c:v>
                </c:pt>
                <c:pt idx="339">
                  <c:v>10.512801844711953</c:v>
                </c:pt>
                <c:pt idx="340">
                  <c:v>10.422973136566952</c:v>
                </c:pt>
                <c:pt idx="341">
                  <c:v>10.345525327984248</c:v>
                </c:pt>
                <c:pt idx="342">
                  <c:v>10.2814937745264</c:v>
                </c:pt>
                <c:pt idx="343">
                  <c:v>10.231913438520431</c:v>
                </c:pt>
                <c:pt idx="344">
                  <c:v>10.197454538181015</c:v>
                </c:pt>
                <c:pt idx="345">
                  <c:v>10.177414407076251</c:v>
                </c:pt>
                <c:pt idx="346">
                  <c:v>10.170614393475276</c:v>
                </c:pt>
                <c:pt idx="347">
                  <c:v>10.176030261588279</c:v>
                </c:pt>
                <c:pt idx="348">
                  <c:v>10.19263775642024</c:v>
                </c:pt>
                <c:pt idx="349">
                  <c:v>10.219412620168278</c:v>
                </c:pt>
                <c:pt idx="350">
                  <c:v>10.255330602321489</c:v>
                </c:pt>
                <c:pt idx="351">
                  <c:v>10.299214978940078</c:v>
                </c:pt>
                <c:pt idx="352">
                  <c:v>10.350302345381012</c:v>
                </c:pt>
                <c:pt idx="353">
                  <c:v>10.407568395176233</c:v>
                </c:pt>
                <c:pt idx="354">
                  <c:v>10.469988914014163</c:v>
                </c:pt>
                <c:pt idx="355">
                  <c:v>10.536539787826467</c:v>
                </c:pt>
                <c:pt idx="356">
                  <c:v>10.606197672322379</c:v>
                </c:pt>
                <c:pt idx="357">
                  <c:v>10.677938453310034</c:v>
                </c:pt>
                <c:pt idx="358">
                  <c:v>10.754129198061239</c:v>
                </c:pt>
                <c:pt idx="359">
                  <c:v>10.837581825769576</c:v>
                </c:pt>
                <c:pt idx="360">
                  <c:v>10.92768102234279</c:v>
                </c:pt>
                <c:pt idx="361">
                  <c:v>11.024223804736117</c:v>
                </c:pt>
                <c:pt idx="362">
                  <c:v>11.126854938685661</c:v>
                </c:pt>
                <c:pt idx="363">
                  <c:v>11.235219158401623</c:v>
                </c:pt>
                <c:pt idx="364">
                  <c:v>11.348961181017982</c:v>
                </c:pt>
                <c:pt idx="365">
                  <c:v>11.467725728696129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7.9660000000000002</c:v>
                </c:pt>
                <c:pt idx="1">
                  <c:v>12.007</c:v>
                </c:pt>
                <c:pt idx="2">
                  <c:v>5.508</c:v>
                </c:pt>
                <c:pt idx="3">
                  <c:v>4.202</c:v>
                </c:pt>
                <c:pt idx="4">
                  <c:v>6.3159999999999998</c:v>
                </c:pt>
                <c:pt idx="5">
                  <c:v>11.972</c:v>
                </c:pt>
                <c:pt idx="6">
                  <c:v>4.4359999999999999</c:v>
                </c:pt>
                <c:pt idx="7">
                  <c:v>7.9660000000000002</c:v>
                </c:pt>
                <c:pt idx="8">
                  <c:v>12.074999999999999</c:v>
                </c:pt>
                <c:pt idx="9">
                  <c:v>6.4630000000000001</c:v>
                </c:pt>
                <c:pt idx="10">
                  <c:v>12.8</c:v>
                </c:pt>
                <c:pt idx="11">
                  <c:v>13.324</c:v>
                </c:pt>
                <c:pt idx="12">
                  <c:v>9.391</c:v>
                </c:pt>
                <c:pt idx="13">
                  <c:v>13.015000000000001</c:v>
                </c:pt>
                <c:pt idx="14">
                  <c:v>11.786</c:v>
                </c:pt>
                <c:pt idx="15">
                  <c:v>12.134</c:v>
                </c:pt>
                <c:pt idx="16">
                  <c:v>2.702</c:v>
                </c:pt>
                <c:pt idx="17">
                  <c:v>10.234999999999999</c:v>
                </c:pt>
                <c:pt idx="18">
                  <c:v>13.715</c:v>
                </c:pt>
                <c:pt idx="19">
                  <c:v>6.8049999999999997</c:v>
                </c:pt>
                <c:pt idx="20">
                  <c:v>2.2050000000000001</c:v>
                </c:pt>
                <c:pt idx="21">
                  <c:v>0.77700000000000002</c:v>
                </c:pt>
                <c:pt idx="22">
                  <c:v>7.218</c:v>
                </c:pt>
                <c:pt idx="23">
                  <c:v>8.1389999999999993</c:v>
                </c:pt>
                <c:pt idx="24">
                  <c:v>8.9260000000000002</c:v>
                </c:pt>
                <c:pt idx="25">
                  <c:v>4.0519999999999996</c:v>
                </c:pt>
                <c:pt idx="26">
                  <c:v>6.7119999999999997</c:v>
                </c:pt>
                <c:pt idx="27">
                  <c:v>10.077</c:v>
                </c:pt>
                <c:pt idx="28">
                  <c:v>12.88</c:v>
                </c:pt>
                <c:pt idx="29">
                  <c:v>6.7770000000000001</c:v>
                </c:pt>
                <c:pt idx="30">
                  <c:v>12.319000000000001</c:v>
                </c:pt>
                <c:pt idx="31">
                  <c:v>7.6109999999999998</c:v>
                </c:pt>
                <c:pt idx="32">
                  <c:v>15.964</c:v>
                </c:pt>
                <c:pt idx="33">
                  <c:v>15.055</c:v>
                </c:pt>
                <c:pt idx="34">
                  <c:v>10.929</c:v>
                </c:pt>
                <c:pt idx="35">
                  <c:v>19.173999999999999</c:v>
                </c:pt>
                <c:pt idx="36">
                  <c:v>19.777000000000001</c:v>
                </c:pt>
                <c:pt idx="37">
                  <c:v>13.731999999999999</c:v>
                </c:pt>
                <c:pt idx="38">
                  <c:v>16.582999999999998</c:v>
                </c:pt>
                <c:pt idx="39">
                  <c:v>16.411999999999999</c:v>
                </c:pt>
                <c:pt idx="40">
                  <c:v>8.0869999999999997</c:v>
                </c:pt>
                <c:pt idx="41">
                  <c:v>5.117</c:v>
                </c:pt>
                <c:pt idx="42">
                  <c:v>11.643000000000001</c:v>
                </c:pt>
                <c:pt idx="43">
                  <c:v>11.504</c:v>
                </c:pt>
                <c:pt idx="44">
                  <c:v>15.673999999999999</c:v>
                </c:pt>
                <c:pt idx="45">
                  <c:v>21.173999999999999</c:v>
                </c:pt>
                <c:pt idx="46">
                  <c:v>14.106</c:v>
                </c:pt>
                <c:pt idx="47">
                  <c:v>3.5190000000000001</c:v>
                </c:pt>
                <c:pt idx="48">
                  <c:v>20.795000000000002</c:v>
                </c:pt>
                <c:pt idx="49">
                  <c:v>16.154</c:v>
                </c:pt>
                <c:pt idx="50">
                  <c:v>23.59</c:v>
                </c:pt>
                <c:pt idx="51">
                  <c:v>9.51</c:v>
                </c:pt>
                <c:pt idx="52">
                  <c:v>22.864000000000001</c:v>
                </c:pt>
                <c:pt idx="53">
                  <c:v>23.907</c:v>
                </c:pt>
                <c:pt idx="54">
                  <c:v>23.271999999999998</c:v>
                </c:pt>
                <c:pt idx="55">
                  <c:v>11.587</c:v>
                </c:pt>
                <c:pt idx="56">
                  <c:v>12.302</c:v>
                </c:pt>
                <c:pt idx="57">
                  <c:v>4.7389999999999999</c:v>
                </c:pt>
                <c:pt idx="58">
                  <c:v>10.92</c:v>
                </c:pt>
                <c:pt idx="59">
                  <c:v>10.005000000000001</c:v>
                </c:pt>
                <c:pt idx="60">
                  <c:v>17.925000000000001</c:v>
                </c:pt>
                <c:pt idx="61">
                  <c:v>15.2</c:v>
                </c:pt>
                <c:pt idx="62">
                  <c:v>3.0819999999999999</c:v>
                </c:pt>
                <c:pt idx="63">
                  <c:v>5.0529999999999999</c:v>
                </c:pt>
                <c:pt idx="64">
                  <c:v>7.4420000000000002</c:v>
                </c:pt>
                <c:pt idx="65">
                  <c:v>15.268000000000001</c:v>
                </c:pt>
                <c:pt idx="66">
                  <c:v>18.957999999999998</c:v>
                </c:pt>
                <c:pt idx="67">
                  <c:v>21.324000000000002</c:v>
                </c:pt>
                <c:pt idx="68">
                  <c:v>18.260999999999999</c:v>
                </c:pt>
                <c:pt idx="69">
                  <c:v>21.311</c:v>
                </c:pt>
                <c:pt idx="70">
                  <c:v>26.459</c:v>
                </c:pt>
                <c:pt idx="71">
                  <c:v>10.009</c:v>
                </c:pt>
                <c:pt idx="72">
                  <c:v>24.332000000000001</c:v>
                </c:pt>
                <c:pt idx="73">
                  <c:v>26.195</c:v>
                </c:pt>
                <c:pt idx="74">
                  <c:v>30.373000000000001</c:v>
                </c:pt>
                <c:pt idx="75">
                  <c:v>6.07</c:v>
                </c:pt>
                <c:pt idx="76">
                  <c:v>7.149</c:v>
                </c:pt>
                <c:pt idx="77">
                  <c:v>28.331</c:v>
                </c:pt>
                <c:pt idx="78">
                  <c:v>27.954999999999998</c:v>
                </c:pt>
                <c:pt idx="79">
                  <c:v>31.495000000000001</c:v>
                </c:pt>
                <c:pt idx="80">
                  <c:v>30.327000000000002</c:v>
                </c:pt>
                <c:pt idx="81">
                  <c:v>28.582000000000001</c:v>
                </c:pt>
                <c:pt idx="82">
                  <c:v>24.024000000000001</c:v>
                </c:pt>
                <c:pt idx="83">
                  <c:v>30.158999999999999</c:v>
                </c:pt>
                <c:pt idx="84">
                  <c:v>32.799999999999997</c:v>
                </c:pt>
                <c:pt idx="85">
                  <c:v>18.678999999999998</c:v>
                </c:pt>
                <c:pt idx="86">
                  <c:v>31.274999999999999</c:v>
                </c:pt>
                <c:pt idx="87">
                  <c:v>31.605</c:v>
                </c:pt>
                <c:pt idx="88">
                  <c:v>19.981999999999999</c:v>
                </c:pt>
                <c:pt idx="89">
                  <c:v>13.004</c:v>
                </c:pt>
                <c:pt idx="90">
                  <c:v>29.768000000000001</c:v>
                </c:pt>
                <c:pt idx="91">
                  <c:v>24.634</c:v>
                </c:pt>
                <c:pt idx="92">
                  <c:v>16.295000000000002</c:v>
                </c:pt>
                <c:pt idx="93">
                  <c:v>35.634999999999998</c:v>
                </c:pt>
                <c:pt idx="94">
                  <c:v>35.518999999999998</c:v>
                </c:pt>
                <c:pt idx="95">
                  <c:v>35.447000000000003</c:v>
                </c:pt>
                <c:pt idx="96">
                  <c:v>19.048999999999999</c:v>
                </c:pt>
                <c:pt idx="97">
                  <c:v>21.33</c:v>
                </c:pt>
                <c:pt idx="98">
                  <c:v>29.887</c:v>
                </c:pt>
                <c:pt idx="99">
                  <c:v>34.582999999999998</c:v>
                </c:pt>
                <c:pt idx="100">
                  <c:v>35.277999999999999</c:v>
                </c:pt>
                <c:pt idx="101">
                  <c:v>34.746000000000002</c:v>
                </c:pt>
                <c:pt idx="102">
                  <c:v>27.062999999999999</c:v>
                </c:pt>
                <c:pt idx="103">
                  <c:v>9.4849999999999994</c:v>
                </c:pt>
                <c:pt idx="104">
                  <c:v>34.856000000000002</c:v>
                </c:pt>
                <c:pt idx="105">
                  <c:v>30.914000000000001</c:v>
                </c:pt>
                <c:pt idx="106">
                  <c:v>26.477</c:v>
                </c:pt>
                <c:pt idx="107">
                  <c:v>20.334</c:v>
                </c:pt>
                <c:pt idx="108">
                  <c:v>27.66</c:v>
                </c:pt>
                <c:pt idx="109">
                  <c:v>11.116</c:v>
                </c:pt>
                <c:pt idx="110">
                  <c:v>9.2010000000000005</c:v>
                </c:pt>
                <c:pt idx="111">
                  <c:v>10.686999999999999</c:v>
                </c:pt>
                <c:pt idx="112">
                  <c:v>5.8780000000000001</c:v>
                </c:pt>
                <c:pt idx="113">
                  <c:v>10.083</c:v>
                </c:pt>
                <c:pt idx="114">
                  <c:v>33.593000000000004</c:v>
                </c:pt>
                <c:pt idx="115">
                  <c:v>29.7</c:v>
                </c:pt>
                <c:pt idx="116">
                  <c:v>16.274000000000001</c:v>
                </c:pt>
                <c:pt idx="117">
                  <c:v>12.651999999999999</c:v>
                </c:pt>
                <c:pt idx="118">
                  <c:v>19.97</c:v>
                </c:pt>
                <c:pt idx="119">
                  <c:v>33.027000000000001</c:v>
                </c:pt>
                <c:pt idx="120">
                  <c:v>28.571999999999999</c:v>
                </c:pt>
                <c:pt idx="121">
                  <c:v>14.544</c:v>
                </c:pt>
                <c:pt idx="122">
                  <c:v>26.472999999999999</c:v>
                </c:pt>
                <c:pt idx="123">
                  <c:v>35.594999999999999</c:v>
                </c:pt>
                <c:pt idx="124">
                  <c:v>36.316000000000003</c:v>
                </c:pt>
                <c:pt idx="125">
                  <c:v>33.651000000000003</c:v>
                </c:pt>
                <c:pt idx="126">
                  <c:v>37.093000000000004</c:v>
                </c:pt>
                <c:pt idx="127">
                  <c:v>31.457999999999998</c:v>
                </c:pt>
                <c:pt idx="128">
                  <c:v>32.886000000000003</c:v>
                </c:pt>
                <c:pt idx="129">
                  <c:v>28.692</c:v>
                </c:pt>
                <c:pt idx="130">
                  <c:v>8.2279999999999998</c:v>
                </c:pt>
                <c:pt idx="131">
                  <c:v>6.34</c:v>
                </c:pt>
                <c:pt idx="132">
                  <c:v>14.542</c:v>
                </c:pt>
                <c:pt idx="133">
                  <c:v>22.007000000000001</c:v>
                </c:pt>
                <c:pt idx="134">
                  <c:v>10.67</c:v>
                </c:pt>
                <c:pt idx="135">
                  <c:v>13.231</c:v>
                </c:pt>
                <c:pt idx="136">
                  <c:v>22.71</c:v>
                </c:pt>
                <c:pt idx="137">
                  <c:v>40.073</c:v>
                </c:pt>
                <c:pt idx="138">
                  <c:v>39.473999999999997</c:v>
                </c:pt>
                <c:pt idx="139">
                  <c:v>37.93</c:v>
                </c:pt>
                <c:pt idx="140">
                  <c:v>38.03</c:v>
                </c:pt>
                <c:pt idx="141">
                  <c:v>35.338999999999999</c:v>
                </c:pt>
                <c:pt idx="142">
                  <c:v>34.901000000000003</c:v>
                </c:pt>
                <c:pt idx="143">
                  <c:v>10.657999999999999</c:v>
                </c:pt>
                <c:pt idx="144">
                  <c:v>37.061999999999998</c:v>
                </c:pt>
                <c:pt idx="145">
                  <c:v>38.462000000000003</c:v>
                </c:pt>
                <c:pt idx="146">
                  <c:v>38.363999999999997</c:v>
                </c:pt>
                <c:pt idx="147">
                  <c:v>37.268000000000001</c:v>
                </c:pt>
                <c:pt idx="148">
                  <c:v>37.417999999999999</c:v>
                </c:pt>
                <c:pt idx="149">
                  <c:v>36.140999999999998</c:v>
                </c:pt>
                <c:pt idx="150">
                  <c:v>37.844999999999999</c:v>
                </c:pt>
                <c:pt idx="151">
                  <c:v>37.677</c:v>
                </c:pt>
                <c:pt idx="152">
                  <c:v>18.681999999999999</c:v>
                </c:pt>
                <c:pt idx="153">
                  <c:v>36.405999999999999</c:v>
                </c:pt>
                <c:pt idx="154">
                  <c:v>16.692</c:v>
                </c:pt>
                <c:pt idx="155">
                  <c:v>23.151</c:v>
                </c:pt>
                <c:pt idx="156">
                  <c:v>15.965</c:v>
                </c:pt>
                <c:pt idx="157">
                  <c:v>15.904999999999999</c:v>
                </c:pt>
                <c:pt idx="158">
                  <c:v>23.071999999999999</c:v>
                </c:pt>
                <c:pt idx="159">
                  <c:v>27.474</c:v>
                </c:pt>
                <c:pt idx="160">
                  <c:v>14.52</c:v>
                </c:pt>
                <c:pt idx="161">
                  <c:v>27.989000000000001</c:v>
                </c:pt>
                <c:pt idx="162">
                  <c:v>17.273</c:v>
                </c:pt>
                <c:pt idx="163">
                  <c:v>33.173000000000002</c:v>
                </c:pt>
                <c:pt idx="164">
                  <c:v>26.741</c:v>
                </c:pt>
                <c:pt idx="165">
                  <c:v>31.65</c:v>
                </c:pt>
                <c:pt idx="166">
                  <c:v>26.616</c:v>
                </c:pt>
                <c:pt idx="167">
                  <c:v>18.41</c:v>
                </c:pt>
                <c:pt idx="168">
                  <c:v>31.891999999999999</c:v>
                </c:pt>
                <c:pt idx="169">
                  <c:v>26.114999999999998</c:v>
                </c:pt>
                <c:pt idx="170">
                  <c:v>34.642000000000003</c:v>
                </c:pt>
                <c:pt idx="171">
                  <c:v>31.227</c:v>
                </c:pt>
                <c:pt idx="172">
                  <c:v>38.515999999999998</c:v>
                </c:pt>
                <c:pt idx="173">
                  <c:v>33.048000000000002</c:v>
                </c:pt>
                <c:pt idx="174">
                  <c:v>37.892000000000003</c:v>
                </c:pt>
                <c:pt idx="175">
                  <c:v>34.58</c:v>
                </c:pt>
                <c:pt idx="176">
                  <c:v>30.565999999999999</c:v>
                </c:pt>
                <c:pt idx="177">
                  <c:v>30.768000000000001</c:v>
                </c:pt>
                <c:pt idx="178">
                  <c:v>27.158000000000001</c:v>
                </c:pt>
                <c:pt idx="179">
                  <c:v>32.619</c:v>
                </c:pt>
                <c:pt idx="180">
                  <c:v>15.917999999999999</c:v>
                </c:pt>
                <c:pt idx="181">
                  <c:v>36.68</c:v>
                </c:pt>
                <c:pt idx="182">
                  <c:v>28.815999999999999</c:v>
                </c:pt>
                <c:pt idx="183">
                  <c:v>12.526</c:v>
                </c:pt>
                <c:pt idx="184">
                  <c:v>29.19</c:v>
                </c:pt>
                <c:pt idx="185">
                  <c:v>37.820999999999998</c:v>
                </c:pt>
                <c:pt idx="186">
                  <c:v>37.554000000000002</c:v>
                </c:pt>
                <c:pt idx="187">
                  <c:v>24.594000000000001</c:v>
                </c:pt>
                <c:pt idx="188">
                  <c:v>39.076999999999998</c:v>
                </c:pt>
                <c:pt idx="189">
                  <c:v>37.363999999999997</c:v>
                </c:pt>
                <c:pt idx="190">
                  <c:v>34.811999999999998</c:v>
                </c:pt>
                <c:pt idx="191">
                  <c:v>30.167999999999999</c:v>
                </c:pt>
                <c:pt idx="192">
                  <c:v>29.097000000000001</c:v>
                </c:pt>
                <c:pt idx="193">
                  <c:v>24.141999999999999</c:v>
                </c:pt>
                <c:pt idx="194">
                  <c:v>37.72</c:v>
                </c:pt>
                <c:pt idx="195">
                  <c:v>30.899000000000001</c:v>
                </c:pt>
                <c:pt idx="196">
                  <c:v>15.269</c:v>
                </c:pt>
                <c:pt idx="197">
                  <c:v>14.645</c:v>
                </c:pt>
                <c:pt idx="198">
                  <c:v>16.744</c:v>
                </c:pt>
                <c:pt idx="199">
                  <c:v>37.540999999999997</c:v>
                </c:pt>
                <c:pt idx="200">
                  <c:v>36.384999999999998</c:v>
                </c:pt>
                <c:pt idx="201">
                  <c:v>30.356000000000002</c:v>
                </c:pt>
                <c:pt idx="202">
                  <c:v>33.674999999999997</c:v>
                </c:pt>
                <c:pt idx="203">
                  <c:v>31.094000000000001</c:v>
                </c:pt>
                <c:pt idx="204">
                  <c:v>29.189</c:v>
                </c:pt>
                <c:pt idx="205">
                  <c:v>36.709000000000003</c:v>
                </c:pt>
                <c:pt idx="206">
                  <c:v>35.774999999999999</c:v>
                </c:pt>
                <c:pt idx="207">
                  <c:v>28.504999999999999</c:v>
                </c:pt>
                <c:pt idx="208">
                  <c:v>33.886000000000003</c:v>
                </c:pt>
                <c:pt idx="209">
                  <c:v>20.713999999999999</c:v>
                </c:pt>
                <c:pt idx="210">
                  <c:v>31.427</c:v>
                </c:pt>
                <c:pt idx="211">
                  <c:v>33.719000000000001</c:v>
                </c:pt>
                <c:pt idx="212">
                  <c:v>32.591999999999999</c:v>
                </c:pt>
                <c:pt idx="213">
                  <c:v>27.251999999999999</c:v>
                </c:pt>
                <c:pt idx="214">
                  <c:v>21.274000000000001</c:v>
                </c:pt>
                <c:pt idx="215">
                  <c:v>31.123000000000001</c:v>
                </c:pt>
                <c:pt idx="216">
                  <c:v>35.784999999999997</c:v>
                </c:pt>
                <c:pt idx="217">
                  <c:v>35.332999999999998</c:v>
                </c:pt>
                <c:pt idx="218">
                  <c:v>34.128</c:v>
                </c:pt>
                <c:pt idx="219">
                  <c:v>32.695999999999998</c:v>
                </c:pt>
                <c:pt idx="220">
                  <c:v>32.070999999999998</c:v>
                </c:pt>
                <c:pt idx="221">
                  <c:v>24.812999999999999</c:v>
                </c:pt>
                <c:pt idx="222">
                  <c:v>23.803000000000001</c:v>
                </c:pt>
                <c:pt idx="223">
                  <c:v>27.567</c:v>
                </c:pt>
                <c:pt idx="224">
                  <c:v>17.152000000000001</c:v>
                </c:pt>
                <c:pt idx="225">
                  <c:v>10.396000000000001</c:v>
                </c:pt>
                <c:pt idx="226">
                  <c:v>31.771999999999998</c:v>
                </c:pt>
                <c:pt idx="227">
                  <c:v>28.361000000000001</c:v>
                </c:pt>
                <c:pt idx="228">
                  <c:v>12.02</c:v>
                </c:pt>
                <c:pt idx="229">
                  <c:v>26.814</c:v>
                </c:pt>
                <c:pt idx="230">
                  <c:v>24.491</c:v>
                </c:pt>
                <c:pt idx="231">
                  <c:v>32.201000000000001</c:v>
                </c:pt>
                <c:pt idx="232">
                  <c:v>32.276000000000003</c:v>
                </c:pt>
                <c:pt idx="233">
                  <c:v>28.602</c:v>
                </c:pt>
                <c:pt idx="234">
                  <c:v>22.972000000000001</c:v>
                </c:pt>
                <c:pt idx="235">
                  <c:v>26.369</c:v>
                </c:pt>
                <c:pt idx="236">
                  <c:v>30.821999999999999</c:v>
                </c:pt>
                <c:pt idx="237">
                  <c:v>32.261000000000003</c:v>
                </c:pt>
                <c:pt idx="238">
                  <c:v>16.724</c:v>
                </c:pt>
                <c:pt idx="239">
                  <c:v>30.747</c:v>
                </c:pt>
                <c:pt idx="240">
                  <c:v>5.194</c:v>
                </c:pt>
                <c:pt idx="241">
                  <c:v>14.474</c:v>
                </c:pt>
                <c:pt idx="242">
                  <c:v>18.334</c:v>
                </c:pt>
                <c:pt idx="243">
                  <c:v>26.492000000000001</c:v>
                </c:pt>
                <c:pt idx="244">
                  <c:v>29.402999999999999</c:v>
                </c:pt>
                <c:pt idx="245">
                  <c:v>33.094000000000001</c:v>
                </c:pt>
                <c:pt idx="246">
                  <c:v>31.646000000000001</c:v>
                </c:pt>
                <c:pt idx="247">
                  <c:v>31.417999999999999</c:v>
                </c:pt>
                <c:pt idx="248">
                  <c:v>28.911999999999999</c:v>
                </c:pt>
                <c:pt idx="249">
                  <c:v>17.498999999999999</c:v>
                </c:pt>
                <c:pt idx="250">
                  <c:v>27.266999999999999</c:v>
                </c:pt>
                <c:pt idx="251">
                  <c:v>29.49</c:v>
                </c:pt>
                <c:pt idx="252">
                  <c:v>16.803000000000001</c:v>
                </c:pt>
                <c:pt idx="253">
                  <c:v>26.716999999999999</c:v>
                </c:pt>
                <c:pt idx="254">
                  <c:v>28.771000000000001</c:v>
                </c:pt>
                <c:pt idx="255">
                  <c:v>28.742000000000001</c:v>
                </c:pt>
                <c:pt idx="256">
                  <c:v>28.009</c:v>
                </c:pt>
                <c:pt idx="257">
                  <c:v>28.309000000000001</c:v>
                </c:pt>
                <c:pt idx="258">
                  <c:v>26.036000000000001</c:v>
                </c:pt>
                <c:pt idx="259">
                  <c:v>24.969000000000001</c:v>
                </c:pt>
                <c:pt idx="260">
                  <c:v>25.2</c:v>
                </c:pt>
                <c:pt idx="261">
                  <c:v>11.571</c:v>
                </c:pt>
                <c:pt idx="262">
                  <c:v>18.931999999999999</c:v>
                </c:pt>
                <c:pt idx="263">
                  <c:v>20.047000000000001</c:v>
                </c:pt>
                <c:pt idx="264">
                  <c:v>19.3</c:v>
                </c:pt>
                <c:pt idx="265">
                  <c:v>14.04</c:v>
                </c:pt>
                <c:pt idx="266">
                  <c:v>22.651</c:v>
                </c:pt>
                <c:pt idx="267">
                  <c:v>12.63</c:v>
                </c:pt>
                <c:pt idx="268">
                  <c:v>12.420999999999999</c:v>
                </c:pt>
                <c:pt idx="269">
                  <c:v>10.06</c:v>
                </c:pt>
                <c:pt idx="270">
                  <c:v>7.6980000000000004</c:v>
                </c:pt>
                <c:pt idx="271">
                  <c:v>19.318999999999999</c:v>
                </c:pt>
                <c:pt idx="272">
                  <c:v>20.474</c:v>
                </c:pt>
                <c:pt idx="273">
                  <c:v>25.933</c:v>
                </c:pt>
                <c:pt idx="274">
                  <c:v>5.4029999999999996</c:v>
                </c:pt>
                <c:pt idx="275">
                  <c:v>3.246</c:v>
                </c:pt>
                <c:pt idx="276">
                  <c:v>10.632999999999999</c:v>
                </c:pt>
                <c:pt idx="277">
                  <c:v>11.868</c:v>
                </c:pt>
                <c:pt idx="278">
                  <c:v>16.951000000000001</c:v>
                </c:pt>
                <c:pt idx="279">
                  <c:v>4.452</c:v>
                </c:pt>
                <c:pt idx="280">
                  <c:v>19.062999999999999</c:v>
                </c:pt>
                <c:pt idx="281">
                  <c:v>20.768999999999998</c:v>
                </c:pt>
                <c:pt idx="282">
                  <c:v>15.349</c:v>
                </c:pt>
                <c:pt idx="283">
                  <c:v>13.242000000000001</c:v>
                </c:pt>
                <c:pt idx="284">
                  <c:v>10.641999999999999</c:v>
                </c:pt>
                <c:pt idx="285">
                  <c:v>16.190999999999999</c:v>
                </c:pt>
                <c:pt idx="286">
                  <c:v>14.6</c:v>
                </c:pt>
                <c:pt idx="287">
                  <c:v>9.3979999999999997</c:v>
                </c:pt>
                <c:pt idx="288">
                  <c:v>11.959</c:v>
                </c:pt>
                <c:pt idx="289">
                  <c:v>6.7140000000000004</c:v>
                </c:pt>
                <c:pt idx="290">
                  <c:v>22.189</c:v>
                </c:pt>
                <c:pt idx="291">
                  <c:v>21.637</c:v>
                </c:pt>
                <c:pt idx="292">
                  <c:v>17.648</c:v>
                </c:pt>
                <c:pt idx="293">
                  <c:v>3.2629999999999999</c:v>
                </c:pt>
                <c:pt idx="294">
                  <c:v>14.545</c:v>
                </c:pt>
                <c:pt idx="295">
                  <c:v>3.1040000000000001</c:v>
                </c:pt>
                <c:pt idx="296">
                  <c:v>5.31</c:v>
                </c:pt>
                <c:pt idx="297">
                  <c:v>17.465</c:v>
                </c:pt>
                <c:pt idx="298">
                  <c:v>13.446999999999999</c:v>
                </c:pt>
                <c:pt idx="299">
                  <c:v>14.279</c:v>
                </c:pt>
                <c:pt idx="300">
                  <c:v>13.884</c:v>
                </c:pt>
                <c:pt idx="301">
                  <c:v>8.6</c:v>
                </c:pt>
                <c:pt idx="302">
                  <c:v>16.552</c:v>
                </c:pt>
                <c:pt idx="303">
                  <c:v>18.044</c:v>
                </c:pt>
                <c:pt idx="304">
                  <c:v>16.908000000000001</c:v>
                </c:pt>
                <c:pt idx="305">
                  <c:v>15.865</c:v>
                </c:pt>
                <c:pt idx="306">
                  <c:v>16.442</c:v>
                </c:pt>
                <c:pt idx="307">
                  <c:v>3.1680000000000001</c:v>
                </c:pt>
                <c:pt idx="308">
                  <c:v>9.1120000000000001</c:v>
                </c:pt>
                <c:pt idx="309">
                  <c:v>11.787000000000001</c:v>
                </c:pt>
                <c:pt idx="310">
                  <c:v>9.17</c:v>
                </c:pt>
                <c:pt idx="311">
                  <c:v>2.1720000000000002</c:v>
                </c:pt>
                <c:pt idx="312">
                  <c:v>12.032999999999999</c:v>
                </c:pt>
                <c:pt idx="313">
                  <c:v>11.063000000000001</c:v>
                </c:pt>
                <c:pt idx="314">
                  <c:v>8.1590000000000007</c:v>
                </c:pt>
                <c:pt idx="315">
                  <c:v>10.048999999999999</c:v>
                </c:pt>
                <c:pt idx="316">
                  <c:v>14.590999999999999</c:v>
                </c:pt>
                <c:pt idx="317">
                  <c:v>10.378</c:v>
                </c:pt>
                <c:pt idx="318">
                  <c:v>12.807</c:v>
                </c:pt>
                <c:pt idx="319">
                  <c:v>10.901</c:v>
                </c:pt>
                <c:pt idx="320">
                  <c:v>11.698</c:v>
                </c:pt>
                <c:pt idx="321">
                  <c:v>12.337</c:v>
                </c:pt>
                <c:pt idx="322">
                  <c:v>12.782999999999999</c:v>
                </c:pt>
                <c:pt idx="323">
                  <c:v>4.2549999999999999</c:v>
                </c:pt>
                <c:pt idx="324">
                  <c:v>11.034000000000001</c:v>
                </c:pt>
                <c:pt idx="325">
                  <c:v>12.843999999999999</c:v>
                </c:pt>
                <c:pt idx="326">
                  <c:v>12.353</c:v>
                </c:pt>
                <c:pt idx="327">
                  <c:v>11.906000000000001</c:v>
                </c:pt>
                <c:pt idx="328">
                  <c:v>12.093</c:v>
                </c:pt>
                <c:pt idx="329">
                  <c:v>11.335000000000001</c:v>
                </c:pt>
                <c:pt idx="330">
                  <c:v>10.401999999999999</c:v>
                </c:pt>
                <c:pt idx="331">
                  <c:v>8.7379999999999995</c:v>
                </c:pt>
                <c:pt idx="332">
                  <c:v>5.492</c:v>
                </c:pt>
                <c:pt idx="333">
                  <c:v>10.239000000000001</c:v>
                </c:pt>
                <c:pt idx="334">
                  <c:v>10.714</c:v>
                </c:pt>
                <c:pt idx="335">
                  <c:v>2.7480000000000002</c:v>
                </c:pt>
                <c:pt idx="336">
                  <c:v>0.74</c:v>
                </c:pt>
                <c:pt idx="337">
                  <c:v>7.226</c:v>
                </c:pt>
                <c:pt idx="338">
                  <c:v>4.8470000000000004</c:v>
                </c:pt>
                <c:pt idx="339">
                  <c:v>10.119</c:v>
                </c:pt>
                <c:pt idx="340">
                  <c:v>6.181</c:v>
                </c:pt>
                <c:pt idx="341">
                  <c:v>0.94399999999999995</c:v>
                </c:pt>
                <c:pt idx="342">
                  <c:v>3.8079999999999998</c:v>
                </c:pt>
                <c:pt idx="343">
                  <c:v>4.21</c:v>
                </c:pt>
                <c:pt idx="344">
                  <c:v>3.0129999999999999</c:v>
                </c:pt>
                <c:pt idx="345">
                  <c:v>4.6920000000000002</c:v>
                </c:pt>
                <c:pt idx="346">
                  <c:v>5.6040000000000001</c:v>
                </c:pt>
                <c:pt idx="347">
                  <c:v>5.7</c:v>
                </c:pt>
                <c:pt idx="348">
                  <c:v>1.35</c:v>
                </c:pt>
                <c:pt idx="349">
                  <c:v>1.214</c:v>
                </c:pt>
                <c:pt idx="350">
                  <c:v>9.0640000000000001</c:v>
                </c:pt>
                <c:pt idx="351">
                  <c:v>4.4580000000000002</c:v>
                </c:pt>
                <c:pt idx="352">
                  <c:v>3.4510000000000001</c:v>
                </c:pt>
                <c:pt idx="353">
                  <c:v>4.91</c:v>
                </c:pt>
                <c:pt idx="354">
                  <c:v>4.1790000000000003</c:v>
                </c:pt>
                <c:pt idx="355">
                  <c:v>5.1639999999999997</c:v>
                </c:pt>
                <c:pt idx="356">
                  <c:v>10.048</c:v>
                </c:pt>
                <c:pt idx="357">
                  <c:v>6.375</c:v>
                </c:pt>
                <c:pt idx="358">
                  <c:v>6.17</c:v>
                </c:pt>
                <c:pt idx="359">
                  <c:v>2.5619999999999998</c:v>
                </c:pt>
                <c:pt idx="360">
                  <c:v>8.5120000000000005</c:v>
                </c:pt>
                <c:pt idx="361">
                  <c:v>3.67</c:v>
                </c:pt>
                <c:pt idx="362">
                  <c:v>4.9119999999999999</c:v>
                </c:pt>
                <c:pt idx="363">
                  <c:v>4.5609999999999999</c:v>
                </c:pt>
                <c:pt idx="364">
                  <c:v>4.93</c:v>
                </c:pt>
                <c:pt idx="365">
                  <c:v>8.4670000000000005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236488"/>
        <c:axId val="324236880"/>
      </c:lineChart>
      <c:dateAx>
        <c:axId val="324236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236880"/>
        <c:crosses val="autoZero"/>
        <c:auto val="1"/>
        <c:lblOffset val="100"/>
        <c:baseTimeUnit val="days"/>
        <c:majorUnit val="1"/>
        <c:majorTimeUnit val="months"/>
      </c:dateAx>
      <c:valAx>
        <c:axId val="32423688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23648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-0.79999932922368899</c:v>
                </c:pt>
                <c:pt idx="1">
                  <c:v>-0.79998180045167833</c:v>
                </c:pt>
                <c:pt idx="2">
                  <c:v>-0.79996353849061919</c:v>
                </c:pt>
                <c:pt idx="3">
                  <c:v>-0.79994451276791922</c:v>
                </c:pt>
                <c:pt idx="4">
                  <c:v>-0.79992469144429534</c:v>
                </c:pt>
                <c:pt idx="5">
                  <c:v>-0.79990404136198723</c:v>
                </c:pt>
                <c:pt idx="6">
                  <c:v>-0.79988252799091353</c:v>
                </c:pt>
                <c:pt idx="7">
                  <c:v>-0.79986011537269408</c:v>
                </c:pt>
                <c:pt idx="8">
                  <c:v>-0.79983676606245868</c:v>
                </c:pt>
                <c:pt idx="9">
                  <c:v>-0.79981244106836147</c:v>
                </c:pt>
                <c:pt idx="10">
                  <c:v>-0.79978709978871676</c:v>
                </c:pt>
                <c:pt idx="11">
                  <c:v>-0.79976069994667087</c:v>
                </c:pt>
                <c:pt idx="12">
                  <c:v>-0.79973319752231875</c:v>
                </c:pt>
                <c:pt idx="13">
                  <c:v>-0.79970454668217761</c:v>
                </c:pt>
                <c:pt idx="14">
                  <c:v>-0.7996746997059202</c:v>
                </c:pt>
                <c:pt idx="15">
                  <c:v>-0.79964360691027336</c:v>
                </c:pt>
                <c:pt idx="16">
                  <c:v>-0.79961121656998235</c:v>
                </c:pt>
                <c:pt idx="17">
                  <c:v>-0.79957747483574027</c:v>
                </c:pt>
                <c:pt idx="18">
                  <c:v>-0.79954232564897643</c:v>
                </c:pt>
                <c:pt idx="19">
                  <c:v>-0.79950571065340137</c:v>
                </c:pt>
                <c:pt idx="20">
                  <c:v>-0.79946756910319539</c:v>
                </c:pt>
                <c:pt idx="21">
                  <c:v>-0.79942783776773407</c:v>
                </c:pt>
                <c:pt idx="22">
                  <c:v>-0.7993864508327343</c:v>
                </c:pt>
                <c:pt idx="23">
                  <c:v>-0.79934333979770766</c:v>
                </c:pt>
                <c:pt idx="24">
                  <c:v>-0.7992984333696036</c:v>
                </c:pt>
                <c:pt idx="25">
                  <c:v>-0.79925165735252346</c:v>
                </c:pt>
                <c:pt idx="26">
                  <c:v>-0.79920293453338442</c:v>
                </c:pt>
                <c:pt idx="27">
                  <c:v>-0.79915218456341286</c:v>
                </c:pt>
                <c:pt idx="28">
                  <c:v>-0.79909932383534255</c:v>
                </c:pt>
                <c:pt idx="29">
                  <c:v>-0.79904426535619411</c:v>
                </c:pt>
                <c:pt idx="30">
                  <c:v>-0.79898691861551197</c:v>
                </c:pt>
                <c:pt idx="31">
                  <c:v>-0.79892718944893237</c:v>
                </c:pt>
                <c:pt idx="32">
                  <c:v>-0.7988649798969587</c:v>
                </c:pt>
                <c:pt idx="33">
                  <c:v>-0.79880018805881969</c:v>
                </c:pt>
                <c:pt idx="34">
                  <c:v>-0.79873270794128659</c:v>
                </c:pt>
                <c:pt idx="35">
                  <c:v>-0.79866242930232756</c:v>
                </c:pt>
                <c:pt idx="36">
                  <c:v>-0.79858923748947996</c:v>
                </c:pt>
                <c:pt idx="37">
                  <c:v>-0.79851301327282265</c:v>
                </c:pt>
                <c:pt idx="38">
                  <c:v>-0.79843363267243572</c:v>
                </c:pt>
                <c:pt idx="39">
                  <c:v>-0.79835096678023643</c:v>
                </c:pt>
                <c:pt idx="40">
                  <c:v>-0.79826488157608932</c:v>
                </c:pt>
                <c:pt idx="41">
                  <c:v>-0.79817523773808918</c:v>
                </c:pt>
                <c:pt idx="42">
                  <c:v>-0.79808189044692857</c:v>
                </c:pt>
                <c:pt idx="43">
                  <c:v>-0.79798468918426346</c:v>
                </c:pt>
                <c:pt idx="44">
                  <c:v>-0.79788347752500599</c:v>
                </c:pt>
                <c:pt idx="45">
                  <c:v>-0.7977780929234789</c:v>
                </c:pt>
                <c:pt idx="46">
                  <c:v>-0.79766836649338191</c:v>
                </c:pt>
                <c:pt idx="47">
                  <c:v>-0.79755412278153259</c:v>
                </c:pt>
                <c:pt idx="48">
                  <c:v>-0.79743517953535914</c:v>
                </c:pt>
                <c:pt idx="49">
                  <c:v>-0.79731134746414123</c:v>
                </c:pt>
                <c:pt idx="50">
                  <c:v>-0.79718242999401401</c:v>
                </c:pt>
                <c:pt idx="51">
                  <c:v>-0.79704822301677036</c:v>
                </c:pt>
                <c:pt idx="52">
                  <c:v>-0.79690851463252288</c:v>
                </c:pt>
                <c:pt idx="53">
                  <c:v>-0.79676308488631054</c:v>
                </c:pt>
                <c:pt idx="54">
                  <c:v>-0.79661170549876714</c:v>
                </c:pt>
                <c:pt idx="55">
                  <c:v>-0.79645413959099753</c:v>
                </c:pt>
                <c:pt idx="56">
                  <c:v>-0.79629014140384413</c:v>
                </c:pt>
                <c:pt idx="57">
                  <c:v>-0.79611945601176504</c:v>
                </c:pt>
                <c:pt idx="58">
                  <c:v>-0.79594181903158612</c:v>
                </c:pt>
                <c:pt idx="59">
                  <c:v>-0.79575695632643462</c:v>
                </c:pt>
                <c:pt idx="60">
                  <c:v>-0.7955645837052131</c:v>
                </c:pt>
                <c:pt idx="61">
                  <c:v>-0.79536440661802454</c:v>
                </c:pt>
                <c:pt idx="62">
                  <c:v>-0.7951561198480197</c:v>
                </c:pt>
                <c:pt idx="63">
                  <c:v>-0.79493940720019907</c:v>
                </c:pt>
                <c:pt idx="64">
                  <c:v>-0.79471394118777217</c:v>
                </c:pt>
                <c:pt idx="65">
                  <c:v>-0.79447938271674801</c:v>
                </c:pt>
                <c:pt idx="66">
                  <c:v>-0.79423538076951206</c:v>
                </c:pt>
                <c:pt idx="67">
                  <c:v>-0.79398157208822795</c:v>
                </c:pt>
                <c:pt idx="68">
                  <c:v>-0.79371758085899446</c:v>
                </c:pt>
                <c:pt idx="69">
                  <c:v>-0.79344301839778453</c:v>
                </c:pt>
                <c:pt idx="70">
                  <c:v>-0.79315748283929777</c:v>
                </c:pt>
                <c:pt idx="71">
                  <c:v>-0.79286055882996864</c:v>
                </c:pt>
                <c:pt idx="72">
                  <c:v>-0.79255181722648771</c:v>
                </c:pt>
                <c:pt idx="73">
                  <c:v>-0.7922308148013224</c:v>
                </c:pt>
                <c:pt idx="74">
                  <c:v>-0.79189709395685048</c:v>
                </c:pt>
                <c:pt idx="75">
                  <c:v>-0.79155018244986353</c:v>
                </c:pt>
                <c:pt idx="76">
                  <c:v>-0.79118959312833959</c:v>
                </c:pt>
                <c:pt idx="77">
                  <c:v>-0.79081482368254319</c:v>
                </c:pt>
                <c:pt idx="78">
                  <c:v>-0.79042535641266742</c:v>
                </c:pt>
                <c:pt idx="79">
                  <c:v>-0.790020658015404</c:v>
                </c:pt>
                <c:pt idx="80">
                  <c:v>-0.78960017939200211</c:v>
                </c:pt>
                <c:pt idx="81">
                  <c:v>-0.78916335548055816</c:v>
                </c:pt>
                <c:pt idx="82">
                  <c:v>-0.78870960511546506</c:v>
                </c:pt>
                <c:pt idx="83">
                  <c:v>-0.78823833091714635</c:v>
                </c:pt>
                <c:pt idx="84">
                  <c:v>-0.78774891921539414</c:v>
                </c:pt>
                <c:pt idx="85">
                  <c:v>-0.78724074000983568</c:v>
                </c:pt>
                <c:pt idx="86">
                  <c:v>-0.78671314697125461</c:v>
                </c:pt>
                <c:pt idx="87">
                  <c:v>-0.78616547748770071</c:v>
                </c:pt>
                <c:pt idx="88">
                  <c:v>-0.78559705275952829</c:v>
                </c:pt>
                <c:pt idx="89">
                  <c:v>-0.78500717794770547</c:v>
                </c:pt>
                <c:pt idx="90">
                  <c:v>-0.7843951423799409</c:v>
                </c:pt>
                <c:pt idx="91">
                  <c:v>-0.78376021981936483</c:v>
                </c:pt>
                <c:pt idx="92">
                  <c:v>-0.78310166880069232</c:v>
                </c:pt>
                <c:pt idx="93">
                  <c:v>-0.78241873303896858</c:v>
                </c:pt>
                <c:pt idx="94">
                  <c:v>-0.78171064191615858</c:v>
                </c:pt>
                <c:pt idx="95">
                  <c:v>-0.78097661105098726</c:v>
                </c:pt>
                <c:pt idx="96">
                  <c:v>-0.78021584295755775</c:v>
                </c:pt>
                <c:pt idx="97">
                  <c:v>-0.77942752779837166</c:v>
                </c:pt>
                <c:pt idx="98">
                  <c:v>-0.77861084423744287</c:v>
                </c:pt>
                <c:pt idx="99">
                  <c:v>-0.7777649603992276</c:v>
                </c:pt>
                <c:pt idx="100">
                  <c:v>-0.77688903493908534</c:v>
                </c:pt>
                <c:pt idx="101">
                  <c:v>-0.77598221823093494</c:v>
                </c:pt>
                <c:pt idx="102">
                  <c:v>-0.7750436536776627</c:v>
                </c:pt>
                <c:pt idx="103">
                  <c:v>-0.77407247914968147</c:v>
                </c:pt>
                <c:pt idx="104">
                  <c:v>-0.77306782855681722</c:v>
                </c:pt>
                <c:pt idx="105">
                  <c:v>-0.77202883355840513</c:v>
                </c:pt>
                <c:pt idx="106">
                  <c:v>-0.77095462541611182</c:v>
                </c:pt>
                <c:pt idx="107">
                  <c:v>-0.76984433699355159</c:v>
                </c:pt>
                <c:pt idx="108">
                  <c:v>-0.76869710490622578</c:v>
                </c:pt>
                <c:pt idx="109">
                  <c:v>-0.76751207182468639</c:v>
                </c:pt>
                <c:pt idx="110">
                  <c:v>-0.7662883889330957</c:v>
                </c:pt>
                <c:pt idx="111">
                  <c:v>-0.76502521854451755</c:v>
                </c:pt>
                <c:pt idx="112">
                  <c:v>-0.76372173687333722</c:v>
                </c:pt>
                <c:pt idx="113">
                  <c:v>-0.76237713696414999</c:v>
                </c:pt>
                <c:pt idx="114">
                  <c:v>-0.76099063177529191</c:v>
                </c:pt>
                <c:pt idx="115">
                  <c:v>-0.75956145741390002</c:v>
                </c:pt>
                <c:pt idx="116">
                  <c:v>-0.75808887651799284</c:v>
                </c:pt>
                <c:pt idx="117">
                  <c:v>-0.75657218177954444</c:v>
                </c:pt>
                <c:pt idx="118">
                  <c:v>-0.75501069960090872</c:v>
                </c:pt>
                <c:pt idx="119">
                  <c:v>-0.75340379387521894</c:v>
                </c:pt>
                <c:pt idx="120">
                  <c:v>-0.7517508698795724</c:v>
                </c:pt>
                <c:pt idx="121">
                  <c:v>-0.75005137826789914</c:v>
                </c:pt>
                <c:pt idx="122">
                  <c:v>-0.74830481914844404</c:v>
                </c:pt>
                <c:pt idx="123">
                  <c:v>-0.74651074622875613</c:v>
                </c:pt>
                <c:pt idx="124">
                  <c:v>-0.74466877100901996</c:v>
                </c:pt>
                <c:pt idx="125">
                  <c:v>-0.74277856700248057</c:v>
                </c:pt>
                <c:pt idx="126">
                  <c:v>-0.74083987395965689</c:v>
                </c:pt>
                <c:pt idx="127">
                  <c:v>-0.73885250207100794</c:v>
                </c:pt>
                <c:pt idx="128">
                  <c:v>-0.7368163361207708</c:v>
                </c:pt>
                <c:pt idx="129">
                  <c:v>-0.73473133956284176</c:v>
                </c:pt>
                <c:pt idx="130">
                  <c:v>-0.73259755848786634</c:v>
                </c:pt>
                <c:pt idx="131">
                  <c:v>-0.73041512544918097</c:v>
                </c:pt>
                <c:pt idx="132">
                  <c:v>-0.72818426311393603</c:v>
                </c:pt>
                <c:pt idx="133">
                  <c:v>-0.72590528770468066</c:v>
                </c:pt>
                <c:pt idx="134">
                  <c:v>-0.72357861219592789</c:v>
                </c:pt>
                <c:pt idx="135">
                  <c:v>-0.72120474922979372</c:v>
                </c:pt>
                <c:pt idx="136">
                  <c:v>-0.71878431371474838</c:v>
                </c:pt>
                <c:pt idx="137">
                  <c:v>-0.71631802507185871</c:v>
                </c:pt>
                <c:pt idx="138">
                  <c:v>-0.71380670909368149</c:v>
                </c:pt>
                <c:pt idx="139">
                  <c:v>-0.71125129938219411</c:v>
                </c:pt>
                <c:pt idx="140">
                  <c:v>-0.70865283833386084</c:v>
                </c:pt>
                <c:pt idx="141">
                  <c:v>-0.70601247764212083</c:v>
                </c:pt>
                <c:pt idx="142">
                  <c:v>-0.70333147829027154</c:v>
                </c:pt>
                <c:pt idx="143">
                  <c:v>-0.70061121001089133</c:v>
                </c:pt>
                <c:pt idx="144">
                  <c:v>-0.69785315019158645</c:v>
                </c:pt>
                <c:pt idx="145">
                  <c:v>-0.69505888221094669</c:v>
                </c:pt>
                <c:pt idx="146">
                  <c:v>-0.69223009319310314</c:v>
                </c:pt>
                <c:pt idx="147">
                  <c:v>-0.68936857117417061</c:v>
                </c:pt>
                <c:pt idx="148">
                  <c:v>-0.68647620167906986</c:v>
                </c:pt>
                <c:pt idx="149">
                  <c:v>-0.68355496371269753</c:v>
                </c:pt>
                <c:pt idx="150">
                  <c:v>-0.68060692517507593</c:v>
                </c:pt>
                <c:pt idx="151">
                  <c:v>-0.67763423771589848</c:v>
                </c:pt>
                <c:pt idx="152">
                  <c:v>-0.67463913104970041</c:v>
                </c:pt>
                <c:pt idx="153">
                  <c:v>-0.67162390675863881</c:v>
                </c:pt>
                <c:pt idx="154">
                  <c:v>-0.66859093161548444</c:v>
                </c:pt>
                <c:pt idx="155">
                  <c:v>-0.66554263046480278</c:v>
                </c:pt>
                <c:pt idx="156">
                  <c:v>-0.66248147870535068</c:v>
                </c:pt>
                <c:pt idx="157">
                  <c:v>-0.65940999442135662</c:v>
                </c:pt>
                <c:pt idx="158">
                  <c:v>-0.65633073021449406</c:v>
                </c:pt>
                <c:pt idx="159">
                  <c:v>-0.65324626479193548</c:v>
                </c:pt>
                <c:pt idx="160">
                  <c:v>-0.65015919436881631</c:v>
                </c:pt>
                <c:pt idx="161">
                  <c:v>-0.64707212394569724</c:v>
                </c:pt>
                <c:pt idx="162">
                  <c:v>-0.64398765852313855</c:v>
                </c:pt>
                <c:pt idx="163">
                  <c:v>-0.640908394316276</c:v>
                </c:pt>
                <c:pt idx="164">
                  <c:v>-0.63783691003228193</c:v>
                </c:pt>
                <c:pt idx="165">
                  <c:v>-0.63477575827282973</c:v>
                </c:pt>
                <c:pt idx="166">
                  <c:v>-0.63172745712214817</c:v>
                </c:pt>
                <c:pt idx="167">
                  <c:v>-0.6286944819789938</c:v>
                </c:pt>
                <c:pt idx="168">
                  <c:v>-0.6256792576879322</c:v>
                </c:pt>
                <c:pt idx="169">
                  <c:v>-0.62268415102173413</c:v>
                </c:pt>
                <c:pt idx="170">
                  <c:v>-0.6197114635625568</c:v>
                </c:pt>
                <c:pt idx="171">
                  <c:v>-0.61676342502493509</c:v>
                </c:pt>
                <c:pt idx="172">
                  <c:v>-0.61384218705856275</c:v>
                </c:pt>
                <c:pt idx="173">
                  <c:v>-0.61094981756346212</c:v>
                </c:pt>
                <c:pt idx="174">
                  <c:v>-0.60808829554452948</c:v>
                </c:pt>
                <c:pt idx="175">
                  <c:v>-0.60525950652668592</c:v>
                </c:pt>
                <c:pt idx="176">
                  <c:v>-0.60246523854604628</c:v>
                </c:pt>
                <c:pt idx="177">
                  <c:v>-0.59970717872674129</c:v>
                </c:pt>
                <c:pt idx="178">
                  <c:v>-0.59698691044736107</c:v>
                </c:pt>
                <c:pt idx="179">
                  <c:v>-0.59430591109551179</c:v>
                </c:pt>
                <c:pt idx="180">
                  <c:v>-0.59166555040377178</c:v>
                </c:pt>
                <c:pt idx="181">
                  <c:v>-0.5890670893554385</c:v>
                </c:pt>
                <c:pt idx="182">
                  <c:v>-0.58651167964395123</c:v>
                </c:pt>
                <c:pt idx="183">
                  <c:v>-0.5840003636657739</c:v>
                </c:pt>
                <c:pt idx="184">
                  <c:v>-0.58153407502288434</c:v>
                </c:pt>
                <c:pt idx="185">
                  <c:v>-0.5791136395078389</c:v>
                </c:pt>
                <c:pt idx="186">
                  <c:v>-0.57673977654170483</c:v>
                </c:pt>
                <c:pt idx="187">
                  <c:v>-0.57441310103295196</c:v>
                </c:pt>
                <c:pt idx="188">
                  <c:v>-0.57213412562369659</c:v>
                </c:pt>
                <c:pt idx="189">
                  <c:v>-0.56990326328845176</c:v>
                </c:pt>
                <c:pt idx="190">
                  <c:v>-0.56772083024976627</c:v>
                </c:pt>
                <c:pt idx="191">
                  <c:v>-0.56558704917479086</c:v>
                </c:pt>
                <c:pt idx="192">
                  <c:v>-0.56350205261686181</c:v>
                </c:pt>
                <c:pt idx="193">
                  <c:v>-0.56146588666662467</c:v>
                </c:pt>
                <c:pt idx="194">
                  <c:v>-0.55947851477797572</c:v>
                </c:pt>
                <c:pt idx="195">
                  <c:v>-0.55753982173515193</c:v>
                </c:pt>
                <c:pt idx="196">
                  <c:v>-0.55564961772861265</c:v>
                </c:pt>
                <c:pt idx="197">
                  <c:v>-0.55380764250887649</c:v>
                </c:pt>
                <c:pt idx="198">
                  <c:v>-0.55201356958918857</c:v>
                </c:pt>
                <c:pt idx="199">
                  <c:v>-0.55026701046973348</c:v>
                </c:pt>
                <c:pt idx="200">
                  <c:v>-0.54856751885806021</c:v>
                </c:pt>
                <c:pt idx="201">
                  <c:v>-0.54691459486241367</c:v>
                </c:pt>
                <c:pt idx="202">
                  <c:v>-0.54530768913672389</c:v>
                </c:pt>
                <c:pt idx="203">
                  <c:v>-0.54374620695808817</c:v>
                </c:pt>
                <c:pt idx="204">
                  <c:v>-0.54222951221963989</c:v>
                </c:pt>
                <c:pt idx="205">
                  <c:v>-0.54075693132373259</c:v>
                </c:pt>
                <c:pt idx="206">
                  <c:v>-0.5393277569623407</c:v>
                </c:pt>
                <c:pt idx="207">
                  <c:v>-0.53794125177348262</c:v>
                </c:pt>
                <c:pt idx="208">
                  <c:v>-0.53659665186429539</c:v>
                </c:pt>
                <c:pt idx="209">
                  <c:v>-0.53529317019311506</c:v>
                </c:pt>
                <c:pt idx="210">
                  <c:v>-0.53402999980453703</c:v>
                </c:pt>
                <c:pt idx="211">
                  <c:v>-0.53280631691294622</c:v>
                </c:pt>
                <c:pt idx="212">
                  <c:v>-0.53162128383140694</c:v>
                </c:pt>
                <c:pt idx="213">
                  <c:v>-0.53047405174408113</c:v>
                </c:pt>
                <c:pt idx="214">
                  <c:v>-0.5293637633215208</c:v>
                </c:pt>
                <c:pt idx="215">
                  <c:v>-0.52828955517922749</c:v>
                </c:pt>
                <c:pt idx="216">
                  <c:v>-0.5272505601808154</c:v>
                </c:pt>
                <c:pt idx="217">
                  <c:v>-0.52624590958795103</c:v>
                </c:pt>
                <c:pt idx="218">
                  <c:v>-0.52527473505996991</c:v>
                </c:pt>
                <c:pt idx="219">
                  <c:v>-0.52433617050669767</c:v>
                </c:pt>
                <c:pt idx="220">
                  <c:v>-0.52342935379854727</c:v>
                </c:pt>
                <c:pt idx="221">
                  <c:v>-0.52255342833840501</c:v>
                </c:pt>
                <c:pt idx="222">
                  <c:v>-0.52170754450018975</c:v>
                </c:pt>
                <c:pt idx="223">
                  <c:v>-0.52089086093926107</c:v>
                </c:pt>
                <c:pt idx="224">
                  <c:v>-0.52010254578007498</c:v>
                </c:pt>
                <c:pt idx="225">
                  <c:v>-0.51934177768664547</c:v>
                </c:pt>
                <c:pt idx="226">
                  <c:v>-0.51860774682147404</c:v>
                </c:pt>
                <c:pt idx="227">
                  <c:v>-0.51789965569866403</c:v>
                </c:pt>
                <c:pt idx="228">
                  <c:v>-0.51721671993694029</c:v>
                </c:pt>
                <c:pt idx="229">
                  <c:v>-0.51655816891826789</c:v>
                </c:pt>
                <c:pt idx="230">
                  <c:v>-0.51592324635769171</c:v>
                </c:pt>
                <c:pt idx="231">
                  <c:v>-0.51531121078992714</c:v>
                </c:pt>
                <c:pt idx="232">
                  <c:v>-0.51472133597810443</c:v>
                </c:pt>
                <c:pt idx="233">
                  <c:v>-0.5141529112499319</c:v>
                </c:pt>
                <c:pt idx="234">
                  <c:v>-0.51360524176637812</c:v>
                </c:pt>
                <c:pt idx="235">
                  <c:v>-0.51307764872779693</c:v>
                </c:pt>
                <c:pt idx="236">
                  <c:v>-0.51256946952223847</c:v>
                </c:pt>
                <c:pt idx="237">
                  <c:v>-0.51208005782048627</c:v>
                </c:pt>
                <c:pt idx="238">
                  <c:v>-0.51160878362216755</c:v>
                </c:pt>
                <c:pt idx="239">
                  <c:v>-0.51115503325707445</c:v>
                </c:pt>
                <c:pt idx="240">
                  <c:v>-0.51071820934563039</c:v>
                </c:pt>
                <c:pt idx="241">
                  <c:v>-0.51029773072222873</c:v>
                </c:pt>
                <c:pt idx="242">
                  <c:v>-0.50989303232496519</c:v>
                </c:pt>
                <c:pt idx="243">
                  <c:v>-0.50950356505508942</c:v>
                </c:pt>
                <c:pt idx="244">
                  <c:v>-0.50912879560929314</c:v>
                </c:pt>
                <c:pt idx="245">
                  <c:v>-0.5087682062877692</c:v>
                </c:pt>
                <c:pt idx="246">
                  <c:v>-0.50842129478078213</c:v>
                </c:pt>
                <c:pt idx="247">
                  <c:v>-0.50808757393631021</c:v>
                </c:pt>
                <c:pt idx="248">
                  <c:v>-0.5077665715111449</c:v>
                </c:pt>
                <c:pt idx="249">
                  <c:v>-0.50745782990766397</c:v>
                </c:pt>
                <c:pt idx="250">
                  <c:v>-0.50716090589833485</c:v>
                </c:pt>
                <c:pt idx="251">
                  <c:v>-0.50687537033984809</c:v>
                </c:pt>
                <c:pt idx="252">
                  <c:v>-0.50660080787863815</c:v>
                </c:pt>
                <c:pt idx="253">
                  <c:v>-0.50633681664940466</c:v>
                </c:pt>
                <c:pt idx="254">
                  <c:v>-0.50608300796812056</c:v>
                </c:pt>
                <c:pt idx="255">
                  <c:v>-0.50583900602088461</c:v>
                </c:pt>
                <c:pt idx="256">
                  <c:v>-0.50560444754986045</c:v>
                </c:pt>
                <c:pt idx="257">
                  <c:v>-0.50537898153743366</c:v>
                </c:pt>
                <c:pt idx="258">
                  <c:v>-0.50516226888961291</c:v>
                </c:pt>
                <c:pt idx="259">
                  <c:v>-0.50495398211960807</c:v>
                </c:pt>
                <c:pt idx="260">
                  <c:v>-0.50475380503241962</c:v>
                </c:pt>
                <c:pt idx="261">
                  <c:v>-0.504561432411198</c:v>
                </c:pt>
                <c:pt idx="262">
                  <c:v>-0.5043765697060465</c:v>
                </c:pt>
                <c:pt idx="263">
                  <c:v>-0.50419893272586758</c:v>
                </c:pt>
                <c:pt idx="264">
                  <c:v>-0.50402824733378848</c:v>
                </c:pt>
                <c:pt idx="265">
                  <c:v>-0.50386424914663519</c:v>
                </c:pt>
                <c:pt idx="266">
                  <c:v>-0.50370668323886547</c:v>
                </c:pt>
                <c:pt idx="267">
                  <c:v>-0.50355530385132219</c:v>
                </c:pt>
                <c:pt idx="268">
                  <c:v>-0.50340987410510984</c:v>
                </c:pt>
                <c:pt idx="269">
                  <c:v>-0.50327016572086225</c:v>
                </c:pt>
                <c:pt idx="270">
                  <c:v>-0.50313595874361861</c:v>
                </c:pt>
                <c:pt idx="271">
                  <c:v>-0.50300704127349138</c:v>
                </c:pt>
                <c:pt idx="272">
                  <c:v>-0.50288320920227347</c:v>
                </c:pt>
                <c:pt idx="273">
                  <c:v>-0.50276426595610002</c:v>
                </c:pt>
                <c:pt idx="274">
                  <c:v>-0.5026500222442507</c:v>
                </c:pt>
                <c:pt idx="275">
                  <c:v>-0.50254029581415383</c:v>
                </c:pt>
                <c:pt idx="276">
                  <c:v>-0.50243491121262662</c:v>
                </c:pt>
                <c:pt idx="277">
                  <c:v>-0.50233369955336915</c:v>
                </c:pt>
                <c:pt idx="278">
                  <c:v>-0.50223649829070405</c:v>
                </c:pt>
                <c:pt idx="279">
                  <c:v>-0.50214315099954332</c:v>
                </c:pt>
                <c:pt idx="280">
                  <c:v>-0.50205350716154329</c:v>
                </c:pt>
                <c:pt idx="281">
                  <c:v>-0.50196742195739619</c:v>
                </c:pt>
                <c:pt idx="282">
                  <c:v>-0.50188475606519689</c:v>
                </c:pt>
                <c:pt idx="283">
                  <c:v>-0.50180537546480997</c:v>
                </c:pt>
                <c:pt idx="284">
                  <c:v>-0.50172915124815276</c:v>
                </c:pt>
                <c:pt idx="285">
                  <c:v>-0.50165595943530505</c:v>
                </c:pt>
                <c:pt idx="286">
                  <c:v>-0.50158568079634602</c:v>
                </c:pt>
                <c:pt idx="287">
                  <c:v>-0.50151820067881303</c:v>
                </c:pt>
                <c:pt idx="288">
                  <c:v>-0.50145340884067391</c:v>
                </c:pt>
                <c:pt idx="289">
                  <c:v>-0.50139119928870035</c:v>
                </c:pt>
                <c:pt idx="290">
                  <c:v>-0.50133147012212065</c:v>
                </c:pt>
                <c:pt idx="291">
                  <c:v>-0.5012741233814384</c:v>
                </c:pt>
                <c:pt idx="292">
                  <c:v>-0.50121906490229007</c:v>
                </c:pt>
                <c:pt idx="293">
                  <c:v>-0.50116620417421975</c:v>
                </c:pt>
                <c:pt idx="294">
                  <c:v>-0.50111545420424819</c:v>
                </c:pt>
                <c:pt idx="295">
                  <c:v>-0.50106673138510915</c:v>
                </c:pt>
                <c:pt idx="296">
                  <c:v>-0.50101995536802901</c:v>
                </c:pt>
                <c:pt idx="297">
                  <c:v>-0.50097504893992495</c:v>
                </c:pt>
                <c:pt idx="298">
                  <c:v>-0.50093193790489843</c:v>
                </c:pt>
                <c:pt idx="299">
                  <c:v>-0.50089055096989854</c:v>
                </c:pt>
                <c:pt idx="300">
                  <c:v>-0.50085081963443723</c:v>
                </c:pt>
                <c:pt idx="301">
                  <c:v>-0.50081267808423124</c:v>
                </c:pt>
                <c:pt idx="302">
                  <c:v>-0.50077606308865619</c:v>
                </c:pt>
                <c:pt idx="303">
                  <c:v>-0.50074091390189235</c:v>
                </c:pt>
                <c:pt idx="304">
                  <c:v>-0.50070717216765015</c:v>
                </c:pt>
                <c:pt idx="305">
                  <c:v>-0.50067478182735936</c:v>
                </c:pt>
                <c:pt idx="306">
                  <c:v>-0.50064368903171252</c:v>
                </c:pt>
                <c:pt idx="307">
                  <c:v>-0.50061384205545501</c:v>
                </c:pt>
                <c:pt idx="308">
                  <c:v>-0.50058519121531386</c:v>
                </c:pt>
                <c:pt idx="309">
                  <c:v>-0.50055768879096174</c:v>
                </c:pt>
                <c:pt idx="310">
                  <c:v>-0.50053128894891585</c:v>
                </c:pt>
                <c:pt idx="311">
                  <c:v>-0.50050594766927126</c:v>
                </c:pt>
                <c:pt idx="312">
                  <c:v>-0.50048162267517404</c:v>
                </c:pt>
                <c:pt idx="313">
                  <c:v>-0.50045827336493853</c:v>
                </c:pt>
                <c:pt idx="314">
                  <c:v>-0.5004358607467192</c:v>
                </c:pt>
                <c:pt idx="315">
                  <c:v>-0.5004143473756455</c:v>
                </c:pt>
                <c:pt idx="316">
                  <c:v>-0.50039369729333727</c:v>
                </c:pt>
                <c:pt idx="317">
                  <c:v>-0.50037387596971339</c:v>
                </c:pt>
                <c:pt idx="318">
                  <c:v>-0.50035485024701343</c:v>
                </c:pt>
                <c:pt idx="319">
                  <c:v>-0.50033658828595429</c:v>
                </c:pt>
                <c:pt idx="320">
                  <c:v>-0.50031905951394351</c:v>
                </c:pt>
                <c:pt idx="321">
                  <c:v>-0.50030223457527656</c:v>
                </c:pt>
                <c:pt idx="322">
                  <c:v>-0.50028608528324447</c:v>
                </c:pt>
                <c:pt idx="323">
                  <c:v>-0.50027058457408491</c:v>
                </c:pt>
                <c:pt idx="324">
                  <c:v>-0.50025570646270623</c:v>
                </c:pt>
                <c:pt idx="325">
                  <c:v>-0.50024142600012067</c:v>
                </c:pt>
                <c:pt idx="326">
                  <c:v>-0.50022771923252463</c:v>
                </c:pt>
                <c:pt idx="327">
                  <c:v>-0.50021456316196322</c:v>
                </c:pt>
                <c:pt idx="328">
                  <c:v>-0.50020193570852123</c:v>
                </c:pt>
                <c:pt idx="329">
                  <c:v>-0.50018981567398324</c:v>
                </c:pt>
                <c:pt idx="330">
                  <c:v>-0.50017818270690828</c:v>
                </c:pt>
                <c:pt idx="331">
                  <c:v>-0.50016701726906532</c:v>
                </c:pt>
                <c:pt idx="332">
                  <c:v>-0.50015630060317817</c:v>
                </c:pt>
                <c:pt idx="333">
                  <c:v>-0.50014601470193187</c:v>
                </c:pt>
                <c:pt idx="334">
                  <c:v>-0.50013614227819114</c:v>
                </c:pt>
                <c:pt idx="335">
                  <c:v>-0.50012666673638417</c:v>
                </c:pt>
                <c:pt idx="336">
                  <c:v>-0.50011757214501151</c:v>
                </c:pt>
                <c:pt idx="337">
                  <c:v>-0.50010884321023075</c:v>
                </c:pt>
                <c:pt idx="338">
                  <c:v>-0.50010046525048191</c:v>
                </c:pt>
                <c:pt idx="339">
                  <c:v>-0.50009242417211008</c:v>
                </c:pt>
                <c:pt idx="340">
                  <c:v>-0.50008470644594782</c:v>
                </c:pt>
                <c:pt idx="341">
                  <c:v>-0.50007729908482013</c:v>
                </c:pt>
                <c:pt idx="342">
                  <c:v>-0.50007018962193817</c:v>
                </c:pt>
                <c:pt idx="343">
                  <c:v>-0.50006336609014457</c:v>
                </c:pt>
                <c:pt idx="344">
                  <c:v>-0.50005681700197946</c:v>
                </c:pt>
                <c:pt idx="345">
                  <c:v>-0.50005053133053456</c:v>
                </c:pt>
                <c:pt idx="346">
                  <c:v>-0.50004449849106514</c:v>
                </c:pt>
                <c:pt idx="347">
                  <c:v>-0.50003870832332964</c:v>
                </c:pt>
                <c:pt idx="348">
                  <c:v>-0.50003315107462987</c:v>
                </c:pt>
                <c:pt idx="349">
                  <c:v>-0.50002781738352309</c:v>
                </c:pt>
                <c:pt idx="350">
                  <c:v>-0.50002269826418011</c:v>
                </c:pt>
                <c:pt idx="351">
                  <c:v>-0.50001778509136552</c:v>
                </c:pt>
                <c:pt idx="352">
                  <c:v>-0.50001306958601344</c:v>
                </c:pt>
                <c:pt idx="353">
                  <c:v>-0.50000854380137727</c:v>
                </c:pt>
                <c:pt idx="354">
                  <c:v>-0.50000420010972957</c:v>
                </c:pt>
                <c:pt idx="355">
                  <c:v>-0.50000003118959158</c:v>
                </c:pt>
                <c:pt idx="356">
                  <c:v>-0.50000003118959158</c:v>
                </c:pt>
                <c:pt idx="357">
                  <c:v>-0.50000003118959158</c:v>
                </c:pt>
                <c:pt idx="358">
                  <c:v>-0.50000003118959158</c:v>
                </c:pt>
                <c:pt idx="359">
                  <c:v>-0.50000003118959158</c:v>
                </c:pt>
                <c:pt idx="360">
                  <c:v>-0.50000003118959158</c:v>
                </c:pt>
                <c:pt idx="361">
                  <c:v>-0.50000003118959158</c:v>
                </c:pt>
                <c:pt idx="362">
                  <c:v>-0.50000003118959158</c:v>
                </c:pt>
                <c:pt idx="363">
                  <c:v>-0.50000003118959158</c:v>
                </c:pt>
                <c:pt idx="364">
                  <c:v>-0.50000003118959158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6617424"/>
        <c:axId val="246617816"/>
      </c:lineChart>
      <c:dateAx>
        <c:axId val="246617424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6617816"/>
        <c:crosses val="autoZero"/>
        <c:auto val="1"/>
        <c:lblOffset val="100"/>
        <c:baseTimeUnit val="days"/>
        <c:majorUnit val="1"/>
      </c:dateAx>
      <c:valAx>
        <c:axId val="246617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66174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700446962958082"/>
          <c:y val="0.79385608874362401"/>
          <c:w val="0.79686532907235963"/>
          <c:h val="0.85584034071212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6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2.1407508274194909E-2</c:v>
                </c:pt>
                <c:pt idx="1">
                  <c:v>2.142894196125511E-2</c:v>
                </c:pt>
                <c:pt idx="2">
                  <c:v>2.1450375178862613E-2</c:v>
                </c:pt>
                <c:pt idx="3">
                  <c:v>2.1471807927027631E-2</c:v>
                </c:pt>
                <c:pt idx="4">
                  <c:v>2.1493240205760378E-2</c:v>
                </c:pt>
                <c:pt idx="5">
                  <c:v>2.151467201507129E-2</c:v>
                </c:pt>
                <c:pt idx="6">
                  <c:v>2.1536103354970582E-2</c:v>
                </c:pt>
                <c:pt idx="7">
                  <c:v>2.1557534225468467E-2</c:v>
                </c:pt>
                <c:pt idx="8">
                  <c:v>2.1578964626575381E-2</c:v>
                </c:pt>
                <c:pt idx="9">
                  <c:v>2.1600394558301428E-2</c:v>
                </c:pt>
                <c:pt idx="10">
                  <c:v>2.1621824020657043E-2</c:v>
                </c:pt>
                <c:pt idx="11">
                  <c:v>2.164325301365233E-2</c:v>
                </c:pt>
                <c:pt idx="12">
                  <c:v>2.1664681537297725E-2</c:v>
                </c:pt>
                <c:pt idx="13">
                  <c:v>2.1686109591603442E-2</c:v>
                </c:pt>
                <c:pt idx="14">
                  <c:v>2.1707537176579805E-2</c:v>
                </c:pt>
                <c:pt idx="15">
                  <c:v>2.1728964292237141E-2</c:v>
                </c:pt>
                <c:pt idx="16">
                  <c:v>2.1750390938585551E-2</c:v>
                </c:pt>
                <c:pt idx="17">
                  <c:v>2.1771817115635361E-2</c:v>
                </c:pt>
                <c:pt idx="18">
                  <c:v>2.1793242823397008E-2</c:v>
                </c:pt>
                <c:pt idx="19">
                  <c:v>2.1814668061880704E-2</c:v>
                </c:pt>
                <c:pt idx="20">
                  <c:v>2.1836092831096554E-2</c:v>
                </c:pt>
                <c:pt idx="21">
                  <c:v>2.1857517131055104E-2</c:v>
                </c:pt>
                <c:pt idx="22">
                  <c:v>2.1878940961766347E-2</c:v>
                </c:pt>
                <c:pt idx="23">
                  <c:v>2.1900364323240828E-2</c:v>
                </c:pt>
                <c:pt idx="24">
                  <c:v>2.1921787215488764E-2</c:v>
                </c:pt>
                <c:pt idx="25">
                  <c:v>2.1943209638520256E-2</c:v>
                </c:pt>
                <c:pt idx="26">
                  <c:v>2.196463159234574E-2</c:v>
                </c:pt>
                <c:pt idx="27">
                  <c:v>2.1986053076975542E-2</c:v>
                </c:pt>
                <c:pt idx="28">
                  <c:v>2.2007474092419765E-2</c:v>
                </c:pt>
                <c:pt idx="29">
                  <c:v>2.2028894638688734E-2</c:v>
                </c:pt>
                <c:pt idx="30">
                  <c:v>2.2050314715792885E-2</c:v>
                </c:pt>
                <c:pt idx="31">
                  <c:v>2.207173432374232E-2</c:v>
                </c:pt>
                <c:pt idx="32">
                  <c:v>2.2093153462547366E-2</c:v>
                </c:pt>
                <c:pt idx="33">
                  <c:v>2.2114572132218235E-2</c:v>
                </c:pt>
                <c:pt idx="34">
                  <c:v>2.2135990332765365E-2</c:v>
                </c:pt>
                <c:pt idx="35">
                  <c:v>2.2157408064198858E-2</c:v>
                </c:pt>
                <c:pt idx="36">
                  <c:v>2.217882532652915E-2</c:v>
                </c:pt>
                <c:pt idx="37">
                  <c:v>2.2200242119766345E-2</c:v>
                </c:pt>
                <c:pt idx="38">
                  <c:v>2.2221658443920878E-2</c:v>
                </c:pt>
                <c:pt idx="39">
                  <c:v>2.2243074299002963E-2</c:v>
                </c:pt>
                <c:pt idx="40">
                  <c:v>2.2264489685022815E-2</c:v>
                </c:pt>
                <c:pt idx="41">
                  <c:v>2.2285904601990758E-2</c:v>
                </c:pt>
                <c:pt idx="42">
                  <c:v>2.2307319049917007E-2</c:v>
                </c:pt>
                <c:pt idx="43">
                  <c:v>2.2328733028811998E-2</c:v>
                </c:pt>
                <c:pt idx="44">
                  <c:v>2.2350146538685833E-2</c:v>
                </c:pt>
                <c:pt idx="45">
                  <c:v>2.2371559579548839E-2</c:v>
                </c:pt>
                <c:pt idx="46">
                  <c:v>2.2392972151411228E-2</c:v>
                </c:pt>
                <c:pt idx="47">
                  <c:v>2.2414384254283437E-2</c:v>
                </c:pt>
                <c:pt idx="48">
                  <c:v>2.2435795888175569E-2</c:v>
                </c:pt>
                <c:pt idx="49">
                  <c:v>2.2457207053098061E-2</c:v>
                </c:pt>
                <c:pt idx="50">
                  <c:v>2.2478617749061014E-2</c:v>
                </c:pt>
                <c:pt idx="51">
                  <c:v>2.2500027976074866E-2</c:v>
                </c:pt>
                <c:pt idx="52">
                  <c:v>2.2521437734149719E-2</c:v>
                </c:pt>
                <c:pt idx="53">
                  <c:v>2.2542847023295898E-2</c:v>
                </c:pt>
                <c:pt idx="54">
                  <c:v>2.2564255843523728E-2</c:v>
                </c:pt>
                <c:pt idx="55">
                  <c:v>2.2585664194843535E-2</c:v>
                </c:pt>
                <c:pt idx="56">
                  <c:v>2.2607072077265422E-2</c:v>
                </c:pt>
                <c:pt idx="57">
                  <c:v>2.2628479490799713E-2</c:v>
                </c:pt>
                <c:pt idx="58">
                  <c:v>2.2649886435456734E-2</c:v>
                </c:pt>
                <c:pt idx="59">
                  <c:v>2.267129291124681E-2</c:v>
                </c:pt>
                <c:pt idx="60">
                  <c:v>2.2692698918180043E-2</c:v>
                </c:pt>
                <c:pt idx="61">
                  <c:v>2.2714104456266759E-2</c:v>
                </c:pt>
                <c:pt idx="62">
                  <c:v>2.2735509525517283E-2</c:v>
                </c:pt>
                <c:pt idx="63">
                  <c:v>2.2756914125941941E-2</c:v>
                </c:pt>
                <c:pt idx="64">
                  <c:v>2.2778318257550834E-2</c:v>
                </c:pt>
                <c:pt idx="65">
                  <c:v>2.2799721920354288E-2</c:v>
                </c:pt>
                <c:pt idx="66">
                  <c:v>2.2821125114362628E-2</c:v>
                </c:pt>
                <c:pt idx="67">
                  <c:v>2.284252783958618E-2</c:v>
                </c:pt>
                <c:pt idx="68">
                  <c:v>2.2863930096035046E-2</c:v>
                </c:pt>
                <c:pt idx="69">
                  <c:v>2.2885331883719551E-2</c:v>
                </c:pt>
                <c:pt idx="70">
                  <c:v>2.2906733202649909E-2</c:v>
                </c:pt>
                <c:pt idx="71">
                  <c:v>2.2928134052836557E-2</c:v>
                </c:pt>
                <c:pt idx="72">
                  <c:v>2.2949534434289709E-2</c:v>
                </c:pt>
                <c:pt idx="73">
                  <c:v>2.2970934347019467E-2</c:v>
                </c:pt>
                <c:pt idx="74">
                  <c:v>2.2992333791036268E-2</c:v>
                </c:pt>
                <c:pt idx="75">
                  <c:v>2.3013732766350325E-2</c:v>
                </c:pt>
                <c:pt idx="76">
                  <c:v>2.3035131272971854E-2</c:v>
                </c:pt>
                <c:pt idx="77">
                  <c:v>2.3056529310911289E-2</c:v>
                </c:pt>
                <c:pt idx="78">
                  <c:v>2.3077926880178623E-2</c:v>
                </c:pt>
                <c:pt idx="79">
                  <c:v>2.3099323980784403E-2</c:v>
                </c:pt>
                <c:pt idx="80">
                  <c:v>2.3120720612738732E-2</c:v>
                </c:pt>
                <c:pt idx="81">
                  <c:v>2.3142116776051824E-2</c:v>
                </c:pt>
                <c:pt idx="82">
                  <c:v>2.3163512470734116E-2</c:v>
                </c:pt>
                <c:pt idx="83">
                  <c:v>2.318490769679582E-2</c:v>
                </c:pt>
                <c:pt idx="84">
                  <c:v>2.3206302454247041E-2</c:v>
                </c:pt>
                <c:pt idx="85">
                  <c:v>2.3227696743098325E-2</c:v>
                </c:pt>
                <c:pt idx="86">
                  <c:v>2.3249090563359665E-2</c:v>
                </c:pt>
                <c:pt idx="87">
                  <c:v>2.3270483915041384E-2</c:v>
                </c:pt>
                <c:pt idx="88">
                  <c:v>2.3291876798153921E-2</c:v>
                </c:pt>
                <c:pt idx="89">
                  <c:v>2.3313269212707377E-2</c:v>
                </c:pt>
                <c:pt idx="90">
                  <c:v>2.3334661158711967E-2</c:v>
                </c:pt>
                <c:pt idx="91">
                  <c:v>2.3356052636178126E-2</c:v>
                </c:pt>
                <c:pt idx="92">
                  <c:v>2.3377443645116069E-2</c:v>
                </c:pt>
                <c:pt idx="93">
                  <c:v>2.3398834185535899E-2</c:v>
                </c:pt>
                <c:pt idx="94">
                  <c:v>2.3420224257448052E-2</c:v>
                </c:pt>
                <c:pt idx="95">
                  <c:v>2.3441613860862742E-2</c:v>
                </c:pt>
                <c:pt idx="96">
                  <c:v>2.3463002995790294E-2</c:v>
                </c:pt>
                <c:pt idx="97">
                  <c:v>2.3484391662240811E-2</c:v>
                </c:pt>
                <c:pt idx="98">
                  <c:v>2.3505779860224618E-2</c:v>
                </c:pt>
                <c:pt idx="99">
                  <c:v>2.352716758975204E-2</c:v>
                </c:pt>
                <c:pt idx="100">
                  <c:v>2.3548554850833292E-2</c:v>
                </c:pt>
                <c:pt idx="101">
                  <c:v>2.3569941643478587E-2</c:v>
                </c:pt>
                <c:pt idx="102">
                  <c:v>2.3591327967698361E-2</c:v>
                </c:pt>
                <c:pt idx="103">
                  <c:v>2.3612713823502607E-2</c:v>
                </c:pt>
                <c:pt idx="104">
                  <c:v>2.363409921090176E-2</c:v>
                </c:pt>
                <c:pt idx="105">
                  <c:v>2.3655484129906146E-2</c:v>
                </c:pt>
                <c:pt idx="106">
                  <c:v>2.3676868580525867E-2</c:v>
                </c:pt>
                <c:pt idx="107">
                  <c:v>2.3698252562771138E-2</c:v>
                </c:pt>
                <c:pt idx="108">
                  <c:v>2.3719636076652395E-2</c:v>
                </c:pt>
                <c:pt idx="109">
                  <c:v>2.3741019122179852E-2</c:v>
                </c:pt>
                <c:pt idx="110">
                  <c:v>2.3762401699363722E-2</c:v>
                </c:pt>
                <c:pt idx="111">
                  <c:v>2.3783783808214221E-2</c:v>
                </c:pt>
                <c:pt idx="112">
                  <c:v>2.3805165448741672E-2</c:v>
                </c:pt>
                <c:pt idx="113">
                  <c:v>2.3826546620956401E-2</c:v>
                </c:pt>
                <c:pt idx="114">
                  <c:v>2.3847927324868512E-2</c:v>
                </c:pt>
                <c:pt idx="115">
                  <c:v>2.3869307560488329E-2</c:v>
                </c:pt>
                <c:pt idx="116">
                  <c:v>2.3890687327826177E-2</c:v>
                </c:pt>
                <c:pt idx="117">
                  <c:v>2.3912066626892159E-2</c:v>
                </c:pt>
                <c:pt idx="118">
                  <c:v>2.3933445457696712E-2</c:v>
                </c:pt>
                <c:pt idx="119">
                  <c:v>2.3954823820249938E-2</c:v>
                </c:pt>
                <c:pt idx="120">
                  <c:v>2.3976201714562162E-2</c:v>
                </c:pt>
                <c:pt idx="121">
                  <c:v>2.399757914064371E-2</c:v>
                </c:pt>
                <c:pt idx="122">
                  <c:v>2.4018956098504685E-2</c:v>
                </c:pt>
                <c:pt idx="123">
                  <c:v>2.4040332588155522E-2</c:v>
                </c:pt>
                <c:pt idx="124">
                  <c:v>2.4061708609606214E-2</c:v>
                </c:pt>
                <c:pt idx="125">
                  <c:v>2.4083084162867308E-2</c:v>
                </c:pt>
                <c:pt idx="126">
                  <c:v>2.4104459247948906E-2</c:v>
                </c:pt>
                <c:pt idx="127">
                  <c:v>2.4125833864861224E-2</c:v>
                </c:pt>
                <c:pt idx="128">
                  <c:v>2.4147208013614585E-2</c:v>
                </c:pt>
                <c:pt idx="129">
                  <c:v>2.4168581694219315E-2</c:v>
                </c:pt>
                <c:pt idx="130">
                  <c:v>2.4189954906685518E-2</c:v>
                </c:pt>
                <c:pt idx="131">
                  <c:v>2.4211327651023518E-2</c:v>
                </c:pt>
                <c:pt idx="132">
                  <c:v>2.4232699927243528E-2</c:v>
                </c:pt>
                <c:pt idx="133">
                  <c:v>2.4254071735355875E-2</c:v>
                </c:pt>
                <c:pt idx="134">
                  <c:v>2.4275443075370773E-2</c:v>
                </c:pt>
                <c:pt idx="135">
                  <c:v>2.4296813947298546E-2</c:v>
                </c:pt>
                <c:pt idx="136">
                  <c:v>2.4318184351149297E-2</c:v>
                </c:pt>
                <c:pt idx="137">
                  <c:v>2.4339554286933351E-2</c:v>
                </c:pt>
                <c:pt idx="138">
                  <c:v>2.4360923754661035E-2</c:v>
                </c:pt>
                <c:pt idx="139">
                  <c:v>2.4382292754342449E-2</c:v>
                </c:pt>
                <c:pt idx="140">
                  <c:v>2.4403661285988032E-2</c:v>
                </c:pt>
                <c:pt idx="141">
                  <c:v>2.4425029349607885E-2</c:v>
                </c:pt>
                <c:pt idx="142">
                  <c:v>2.4446396945212223E-2</c:v>
                </c:pt>
                <c:pt idx="143">
                  <c:v>2.4467764072811482E-2</c:v>
                </c:pt>
                <c:pt idx="144">
                  <c:v>2.4489130732415765E-2</c:v>
                </c:pt>
                <c:pt idx="145">
                  <c:v>2.4510496924035396E-2</c:v>
                </c:pt>
                <c:pt idx="146">
                  <c:v>2.4531862647680591E-2</c:v>
                </c:pt>
                <c:pt idx="147">
                  <c:v>2.4553227903361563E-2</c:v>
                </c:pt>
                <c:pt idx="148">
                  <c:v>2.4574592691088637E-2</c:v>
                </c:pt>
                <c:pt idx="149">
                  <c:v>2.4595957010872027E-2</c:v>
                </c:pt>
                <c:pt idx="150">
                  <c:v>2.4617320862721948E-2</c:v>
                </c:pt>
                <c:pt idx="151">
                  <c:v>2.4638684246648723E-2</c:v>
                </c:pt>
                <c:pt idx="152">
                  <c:v>2.4660047162662568E-2</c:v>
                </c:pt>
                <c:pt idx="153">
                  <c:v>2.4681409610773697E-2</c:v>
                </c:pt>
                <c:pt idx="154">
                  <c:v>2.4702771590992434E-2</c:v>
                </c:pt>
                <c:pt idx="155">
                  <c:v>2.4724133103328882E-2</c:v>
                </c:pt>
                <c:pt idx="156">
                  <c:v>2.4745494147793479E-2</c:v>
                </c:pt>
                <c:pt idx="157">
                  <c:v>2.4766854724396326E-2</c:v>
                </c:pt>
                <c:pt idx="158">
                  <c:v>2.4788214833147748E-2</c:v>
                </c:pt>
                <c:pt idx="159">
                  <c:v>2.480957447405796E-2</c:v>
                </c:pt>
                <c:pt idx="160">
                  <c:v>2.4830933647137288E-2</c:v>
                </c:pt>
                <c:pt idx="161">
                  <c:v>2.4852292352395833E-2</c:v>
                </c:pt>
                <c:pt idx="162">
                  <c:v>2.4873650589843921E-2</c:v>
                </c:pt>
                <c:pt idx="163">
                  <c:v>2.4895008359491766E-2</c:v>
                </c:pt>
                <c:pt idx="164">
                  <c:v>2.4916365661349693E-2</c:v>
                </c:pt>
                <c:pt idx="165">
                  <c:v>2.4937722495427916E-2</c:v>
                </c:pt>
                <c:pt idx="166">
                  <c:v>2.495907886173665E-2</c:v>
                </c:pt>
                <c:pt idx="167">
                  <c:v>2.4980434760286108E-2</c:v>
                </c:pt>
                <c:pt idx="168">
                  <c:v>2.5001790191086615E-2</c:v>
                </c:pt>
                <c:pt idx="169">
                  <c:v>2.5023145154148385E-2</c:v>
                </c:pt>
                <c:pt idx="170">
                  <c:v>2.5044499649481633E-2</c:v>
                </c:pt>
                <c:pt idx="171">
                  <c:v>2.5065853677096683E-2</c:v>
                </c:pt>
                <c:pt idx="172">
                  <c:v>2.5087207237003639E-2</c:v>
                </c:pt>
                <c:pt idx="173">
                  <c:v>2.5108560329212937E-2</c:v>
                </c:pt>
                <c:pt idx="174">
                  <c:v>2.5129912953734568E-2</c:v>
                </c:pt>
                <c:pt idx="175">
                  <c:v>2.515126511057908E-2</c:v>
                </c:pt>
                <c:pt idx="176">
                  <c:v>2.5172616799756464E-2</c:v>
                </c:pt>
                <c:pt idx="177">
                  <c:v>2.5193968021277047E-2</c:v>
                </c:pt>
                <c:pt idx="178">
                  <c:v>2.5215318775151152E-2</c:v>
                </c:pt>
                <c:pt idx="179">
                  <c:v>2.5236669061388883E-2</c:v>
                </c:pt>
                <c:pt idx="180">
                  <c:v>2.5258018880000566E-2</c:v>
                </c:pt>
                <c:pt idx="181">
                  <c:v>2.5279368230996413E-2</c:v>
                </c:pt>
                <c:pt idx="182">
                  <c:v>2.530071711438675E-2</c:v>
                </c:pt>
                <c:pt idx="183">
                  <c:v>2.5322065530181681E-2</c:v>
                </c:pt>
                <c:pt idx="184">
                  <c:v>2.5343413478391641E-2</c:v>
                </c:pt>
                <c:pt idx="185">
                  <c:v>2.5364760959026622E-2</c:v>
                </c:pt>
                <c:pt idx="186">
                  <c:v>2.538610797209695E-2</c:v>
                </c:pt>
                <c:pt idx="187">
                  <c:v>2.540745451761306E-2</c:v>
                </c:pt>
                <c:pt idx="188">
                  <c:v>2.5428800595584944E-2</c:v>
                </c:pt>
                <c:pt idx="189">
                  <c:v>2.5450146206022928E-2</c:v>
                </c:pt>
                <c:pt idx="190">
                  <c:v>2.5471491348937336E-2</c:v>
                </c:pt>
                <c:pt idx="191">
                  <c:v>2.5492836024338272E-2</c:v>
                </c:pt>
                <c:pt idx="192">
                  <c:v>2.5514180232236061E-2</c:v>
                </c:pt>
                <c:pt idx="193">
                  <c:v>2.5535523972640806E-2</c:v>
                </c:pt>
                <c:pt idx="194">
                  <c:v>2.5556867245563053E-2</c:v>
                </c:pt>
                <c:pt idx="195">
                  <c:v>2.5578210051012684E-2</c:v>
                </c:pt>
                <c:pt idx="196">
                  <c:v>2.5599552389000135E-2</c:v>
                </c:pt>
                <c:pt idx="197">
                  <c:v>2.5620894259535731E-2</c:v>
                </c:pt>
                <c:pt idx="198">
                  <c:v>2.5642235662629465E-2</c:v>
                </c:pt>
                <c:pt idx="199">
                  <c:v>2.5663576598291771E-2</c:v>
                </c:pt>
                <c:pt idx="200">
                  <c:v>2.5684917066532753E-2</c:v>
                </c:pt>
                <c:pt idx="201">
                  <c:v>2.5706257067362737E-2</c:v>
                </c:pt>
                <c:pt idx="202">
                  <c:v>2.5727596600791935E-2</c:v>
                </c:pt>
                <c:pt idx="203">
                  <c:v>2.5748935666830564E-2</c:v>
                </c:pt>
                <c:pt idx="204">
                  <c:v>2.5770274265488946E-2</c:v>
                </c:pt>
                <c:pt idx="205">
                  <c:v>2.5791612396777186E-2</c:v>
                </c:pt>
                <c:pt idx="206">
                  <c:v>2.5812950060705608E-2</c:v>
                </c:pt>
                <c:pt idx="207">
                  <c:v>2.5834287257284427E-2</c:v>
                </c:pt>
                <c:pt idx="208">
                  <c:v>2.5855623986523857E-2</c:v>
                </c:pt>
                <c:pt idx="209">
                  <c:v>2.5876960248434222E-2</c:v>
                </c:pt>
                <c:pt idx="210">
                  <c:v>2.5898296043025626E-2</c:v>
                </c:pt>
                <c:pt idx="211">
                  <c:v>2.5919631370308505E-2</c:v>
                </c:pt>
                <c:pt idx="212">
                  <c:v>2.594096623029285E-2</c:v>
                </c:pt>
                <c:pt idx="213">
                  <c:v>2.5962300622988987E-2</c:v>
                </c:pt>
                <c:pt idx="214">
                  <c:v>2.5983634548407242E-2</c:v>
                </c:pt>
                <c:pt idx="215">
                  <c:v>2.6004968006557716E-2</c:v>
                </c:pt>
                <c:pt idx="216">
                  <c:v>2.6026300997450735E-2</c:v>
                </c:pt>
                <c:pt idx="217">
                  <c:v>2.6047633521096514E-2</c:v>
                </c:pt>
                <c:pt idx="218">
                  <c:v>2.6068965577505265E-2</c:v>
                </c:pt>
                <c:pt idx="219">
                  <c:v>2.6090297166687204E-2</c:v>
                </c:pt>
                <c:pt idx="220">
                  <c:v>2.6111628288652544E-2</c:v>
                </c:pt>
                <c:pt idx="221">
                  <c:v>2.6132958943411722E-2</c:v>
                </c:pt>
                <c:pt idx="222">
                  <c:v>2.6154289130974728E-2</c:v>
                </c:pt>
                <c:pt idx="223">
                  <c:v>2.6175618851351889E-2</c:v>
                </c:pt>
                <c:pt idx="224">
                  <c:v>2.6196948104553419E-2</c:v>
                </c:pt>
                <c:pt idx="225">
                  <c:v>2.6218276890589531E-2</c:v>
                </c:pt>
                <c:pt idx="226">
                  <c:v>2.6239605209470551E-2</c:v>
                </c:pt>
                <c:pt idx="227">
                  <c:v>2.6260933061206693E-2</c:v>
                </c:pt>
                <c:pt idx="228">
                  <c:v>2.6282260445808059E-2</c:v>
                </c:pt>
                <c:pt idx="229">
                  <c:v>2.6303587363284975E-2</c:v>
                </c:pt>
                <c:pt idx="230">
                  <c:v>2.6324913813647766E-2</c:v>
                </c:pt>
                <c:pt idx="231">
                  <c:v>2.6346239796906423E-2</c:v>
                </c:pt>
                <c:pt idx="232">
                  <c:v>2.6367565313071384E-2</c:v>
                </c:pt>
                <c:pt idx="233">
                  <c:v>2.638889036215275E-2</c:v>
                </c:pt>
                <c:pt idx="234">
                  <c:v>2.6410214944160959E-2</c:v>
                </c:pt>
                <c:pt idx="235">
                  <c:v>2.6431539059106002E-2</c:v>
                </c:pt>
                <c:pt idx="236">
                  <c:v>2.6452862706998204E-2</c:v>
                </c:pt>
                <c:pt idx="237">
                  <c:v>2.6474185887847779E-2</c:v>
                </c:pt>
                <c:pt idx="238">
                  <c:v>2.6495508601664941E-2</c:v>
                </c:pt>
                <c:pt idx="239">
                  <c:v>2.6516830848460016E-2</c:v>
                </c:pt>
                <c:pt idx="240">
                  <c:v>2.6538152628243106E-2</c:v>
                </c:pt>
                <c:pt idx="241">
                  <c:v>2.6559473941024536E-2</c:v>
                </c:pt>
                <c:pt idx="242">
                  <c:v>2.658079478681441E-2</c:v>
                </c:pt>
                <c:pt idx="243">
                  <c:v>2.6602115165623164E-2</c:v>
                </c:pt>
                <c:pt idx="244">
                  <c:v>2.6623435077460789E-2</c:v>
                </c:pt>
                <c:pt idx="245">
                  <c:v>2.6644754522337721E-2</c:v>
                </c:pt>
                <c:pt idx="246">
                  <c:v>2.6666073500264065E-2</c:v>
                </c:pt>
                <c:pt idx="247">
                  <c:v>2.6687392011250144E-2</c:v>
                </c:pt>
                <c:pt idx="248">
                  <c:v>2.6708710055306062E-2</c:v>
                </c:pt>
                <c:pt idx="249">
                  <c:v>2.6730027632442033E-2</c:v>
                </c:pt>
                <c:pt idx="250">
                  <c:v>2.6751344742668492E-2</c:v>
                </c:pt>
                <c:pt idx="251">
                  <c:v>2.6772661385995433E-2</c:v>
                </c:pt>
                <c:pt idx="252">
                  <c:v>2.679397756243318E-2</c:v>
                </c:pt>
                <c:pt idx="253">
                  <c:v>2.6815293271991947E-2</c:v>
                </c:pt>
                <c:pt idx="254">
                  <c:v>2.6836608514682059E-2</c:v>
                </c:pt>
                <c:pt idx="255">
                  <c:v>2.6857923290513508E-2</c:v>
                </c:pt>
                <c:pt idx="256">
                  <c:v>2.6879237599496841E-2</c:v>
                </c:pt>
                <c:pt idx="257">
                  <c:v>2.690055144164194E-2</c:v>
                </c:pt>
                <c:pt idx="258">
                  <c:v>2.6921864816959351E-2</c:v>
                </c:pt>
                <c:pt idx="259">
                  <c:v>2.6943177725459067E-2</c:v>
                </c:pt>
                <c:pt idx="260">
                  <c:v>2.69644901671513E-2</c:v>
                </c:pt>
                <c:pt idx="261">
                  <c:v>2.6985802142046489E-2</c:v>
                </c:pt>
                <c:pt idx="262">
                  <c:v>2.7007113650154624E-2</c:v>
                </c:pt>
                <c:pt idx="263">
                  <c:v>2.7028424691486141E-2</c:v>
                </c:pt>
                <c:pt idx="264">
                  <c:v>2.7049735266051145E-2</c:v>
                </c:pt>
                <c:pt idx="265">
                  <c:v>2.7071045373859848E-2</c:v>
                </c:pt>
                <c:pt idx="266">
                  <c:v>2.7092355014922465E-2</c:v>
                </c:pt>
                <c:pt idx="267">
                  <c:v>2.711366418924932E-2</c:v>
                </c:pt>
                <c:pt idx="268">
                  <c:v>2.7134972896850518E-2</c:v>
                </c:pt>
                <c:pt idx="269">
                  <c:v>2.7156281137736382E-2</c:v>
                </c:pt>
                <c:pt idx="270">
                  <c:v>2.7177588911917017E-2</c:v>
                </c:pt>
                <c:pt idx="271">
                  <c:v>2.7198896219402746E-2</c:v>
                </c:pt>
                <c:pt idx="272">
                  <c:v>2.7220203060203785E-2</c:v>
                </c:pt>
                <c:pt idx="273">
                  <c:v>2.7241509434330347E-2</c:v>
                </c:pt>
                <c:pt idx="274">
                  <c:v>2.7262815341792535E-2</c:v>
                </c:pt>
                <c:pt idx="275">
                  <c:v>2.7284120782600785E-2</c:v>
                </c:pt>
                <c:pt idx="276">
                  <c:v>2.7305425756765089E-2</c:v>
                </c:pt>
                <c:pt idx="277">
                  <c:v>2.7326730264295884E-2</c:v>
                </c:pt>
                <c:pt idx="278">
                  <c:v>2.7348034305203162E-2</c:v>
                </c:pt>
                <c:pt idx="279">
                  <c:v>2.7369337879497357E-2</c:v>
                </c:pt>
                <c:pt idx="280">
                  <c:v>2.7390640987188575E-2</c:v>
                </c:pt>
                <c:pt idx="281">
                  <c:v>2.7411943628287139E-2</c:v>
                </c:pt>
                <c:pt idx="282">
                  <c:v>2.7433245802803041E-2</c:v>
                </c:pt>
                <c:pt idx="283">
                  <c:v>2.745454751074683E-2</c:v>
                </c:pt>
                <c:pt idx="284">
                  <c:v>2.7475848752128385E-2</c:v>
                </c:pt>
                <c:pt idx="285">
                  <c:v>2.7497149526958142E-2</c:v>
                </c:pt>
                <c:pt idx="286">
                  <c:v>2.7518449835246317E-2</c:v>
                </c:pt>
                <c:pt idx="287">
                  <c:v>2.7539749677003011E-2</c:v>
                </c:pt>
                <c:pt idx="288">
                  <c:v>2.7561049052238551E-2</c:v>
                </c:pt>
                <c:pt idx="289">
                  <c:v>2.7582347960963038E-2</c:v>
                </c:pt>
                <c:pt idx="290">
                  <c:v>2.7603646403186799E-2</c:v>
                </c:pt>
                <c:pt idx="291">
                  <c:v>2.7624944378920047E-2</c:v>
                </c:pt>
                <c:pt idx="292">
                  <c:v>2.7646241888172995E-2</c:v>
                </c:pt>
                <c:pt idx="293">
                  <c:v>2.7667538930955748E-2</c:v>
                </c:pt>
                <c:pt idx="294">
                  <c:v>2.7688835507278631E-2</c:v>
                </c:pt>
                <c:pt idx="295">
                  <c:v>2.7710131617151856E-2</c:v>
                </c:pt>
                <c:pt idx="296">
                  <c:v>2.7731427260585639E-2</c:v>
                </c:pt>
                <c:pt idx="297">
                  <c:v>2.7752722437590083E-2</c:v>
                </c:pt>
                <c:pt idx="298">
                  <c:v>2.7774017148175623E-2</c:v>
                </c:pt>
                <c:pt idx="299">
                  <c:v>2.7795311392352251E-2</c:v>
                </c:pt>
                <c:pt idx="300">
                  <c:v>2.7816605170130293E-2</c:v>
                </c:pt>
                <c:pt idx="301">
                  <c:v>2.7837898481519963E-2</c:v>
                </c:pt>
                <c:pt idx="302">
                  <c:v>2.7859191326531474E-2</c:v>
                </c:pt>
                <c:pt idx="303">
                  <c:v>2.7880483705175041E-2</c:v>
                </c:pt>
                <c:pt idx="304">
                  <c:v>2.7901775617460878E-2</c:v>
                </c:pt>
                <c:pt idx="305">
                  <c:v>2.7923067063399198E-2</c:v>
                </c:pt>
                <c:pt idx="306">
                  <c:v>2.7944358043000217E-2</c:v>
                </c:pt>
                <c:pt idx="307">
                  <c:v>2.7965648556274147E-2</c:v>
                </c:pt>
                <c:pt idx="308">
                  <c:v>2.7986938603231093E-2</c:v>
                </c:pt>
                <c:pt idx="309">
                  <c:v>2.8008228183881489E-2</c:v>
                </c:pt>
                <c:pt idx="310">
                  <c:v>2.802951729823544E-2</c:v>
                </c:pt>
                <c:pt idx="311">
                  <c:v>2.8050805946303048E-2</c:v>
                </c:pt>
                <c:pt idx="312">
                  <c:v>2.8072094128094638E-2</c:v>
                </c:pt>
                <c:pt idx="313">
                  <c:v>2.8093381843620424E-2</c:v>
                </c:pt>
                <c:pt idx="314">
                  <c:v>2.8114669092890732E-2</c:v>
                </c:pt>
                <c:pt idx="315">
                  <c:v>2.8135955875915553E-2</c:v>
                </c:pt>
                <c:pt idx="316">
                  <c:v>2.8157242192705101E-2</c:v>
                </c:pt>
                <c:pt idx="317">
                  <c:v>2.8178528043269813E-2</c:v>
                </c:pt>
                <c:pt idx="318">
                  <c:v>2.819981342761968E-2</c:v>
                </c:pt>
                <c:pt idx="319">
                  <c:v>2.8221098345765139E-2</c:v>
                </c:pt>
                <c:pt idx="320">
                  <c:v>2.824238279771607E-2</c:v>
                </c:pt>
                <c:pt idx="321">
                  <c:v>2.8263666783483021E-2</c:v>
                </c:pt>
                <c:pt idx="322">
                  <c:v>2.8284950303075984E-2</c:v>
                </c:pt>
                <c:pt idx="323">
                  <c:v>2.8306233356505284E-2</c:v>
                </c:pt>
                <c:pt idx="324">
                  <c:v>2.8327515943781134E-2</c:v>
                </c:pt>
                <c:pt idx="325">
                  <c:v>2.8348798064913638E-2</c:v>
                </c:pt>
                <c:pt idx="326">
                  <c:v>2.8370079719913122E-2</c:v>
                </c:pt>
                <c:pt idx="327">
                  <c:v>2.8391360908789687E-2</c:v>
                </c:pt>
                <c:pt idx="328">
                  <c:v>2.8412641631553659E-2</c:v>
                </c:pt>
                <c:pt idx="329">
                  <c:v>2.8433921888215141E-2</c:v>
                </c:pt>
                <c:pt idx="330">
                  <c:v>2.8455201678784348E-2</c:v>
                </c:pt>
                <c:pt idx="331">
                  <c:v>2.8476481003271603E-2</c:v>
                </c:pt>
                <c:pt idx="332">
                  <c:v>2.8497759861687011E-2</c:v>
                </c:pt>
                <c:pt idx="333">
                  <c:v>2.8519038254040785E-2</c:v>
                </c:pt>
                <c:pt idx="334">
                  <c:v>2.854031618034325E-2</c:v>
                </c:pt>
                <c:pt idx="335">
                  <c:v>2.8561593640604399E-2</c:v>
                </c:pt>
                <c:pt idx="336">
                  <c:v>2.8582870634834667E-2</c:v>
                </c:pt>
                <c:pt idx="337">
                  <c:v>2.8604147163044047E-2</c:v>
                </c:pt>
                <c:pt idx="338">
                  <c:v>2.8625423225242974E-2</c:v>
                </c:pt>
                <c:pt idx="339">
                  <c:v>2.8646698821441441E-2</c:v>
                </c:pt>
                <c:pt idx="340">
                  <c:v>2.8667973951649772E-2</c:v>
                </c:pt>
                <c:pt idx="341">
                  <c:v>2.8689248615878182E-2</c:v>
                </c:pt>
                <c:pt idx="342">
                  <c:v>2.8710522814136885E-2</c:v>
                </c:pt>
                <c:pt idx="343">
                  <c:v>2.8731796546435984E-2</c:v>
                </c:pt>
                <c:pt idx="344">
                  <c:v>2.8753069812785692E-2</c:v>
                </c:pt>
                <c:pt idx="345">
                  <c:v>2.8774342613196335E-2</c:v>
                </c:pt>
                <c:pt idx="346">
                  <c:v>2.8795614947678017E-2</c:v>
                </c:pt>
                <c:pt idx="347">
                  <c:v>2.8816886816241061E-2</c:v>
                </c:pt>
                <c:pt idx="348">
                  <c:v>2.8838158218895571E-2</c:v>
                </c:pt>
                <c:pt idx="349">
                  <c:v>2.8859429155651761E-2</c:v>
                </c:pt>
                <c:pt idx="350">
                  <c:v>2.8880699626519735E-2</c:v>
                </c:pt>
                <c:pt idx="351">
                  <c:v>2.8901969631509927E-2</c:v>
                </c:pt>
                <c:pt idx="352">
                  <c:v>2.8923239170632442E-2</c:v>
                </c:pt>
                <c:pt idx="353">
                  <c:v>2.8944508243897382E-2</c:v>
                </c:pt>
                <c:pt idx="354">
                  <c:v>2.8965776851315073E-2</c:v>
                </c:pt>
                <c:pt idx="355">
                  <c:v>2.8987044992895616E-2</c:v>
                </c:pt>
                <c:pt idx="356">
                  <c:v>2.9008312668649339E-2</c:v>
                </c:pt>
                <c:pt idx="357">
                  <c:v>2.9029579878586453E-2</c:v>
                </c:pt>
                <c:pt idx="358">
                  <c:v>2.9050846622716953E-2</c:v>
                </c:pt>
                <c:pt idx="359">
                  <c:v>2.9072112901051272E-2</c:v>
                </c:pt>
                <c:pt idx="360">
                  <c:v>2.9093378713599405E-2</c:v>
                </c:pt>
                <c:pt idx="361">
                  <c:v>2.9114644060371786E-2</c:v>
                </c:pt>
                <c:pt idx="362">
                  <c:v>2.9135908941378408E-2</c:v>
                </c:pt>
                <c:pt idx="363">
                  <c:v>2.9157173356629595E-2</c:v>
                </c:pt>
                <c:pt idx="364">
                  <c:v>2.9178437306135563E-2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0.10388986505494321</c:v>
                </c:pt>
                <c:pt idx="1">
                  <c:v>0.10393525100081273</c:v>
                </c:pt>
                <c:pt idx="2">
                  <c:v>0.1039807991258231</c:v>
                </c:pt>
                <c:pt idx="3">
                  <c:v>0.10402648552002045</c:v>
                </c:pt>
                <c:pt idx="4">
                  <c:v>0.10407228936802007</c:v>
                </c:pt>
                <c:pt idx="5">
                  <c:v>0.1041181928547299</c:v>
                </c:pt>
                <c:pt idx="6">
                  <c:v>0.10416418104783969</c:v>
                </c:pt>
                <c:pt idx="7">
                  <c:v>0.10421024175899295</c:v>
                </c:pt>
                <c:pt idx="8">
                  <c:v>0.10425636538571491</c:v>
                </c:pt>
                <c:pt idx="9">
                  <c:v>0.10430254473630264</c:v>
                </c:pt>
                <c:pt idx="10">
                  <c:v>0.10434877483999419</c:v>
                </c:pt>
                <c:pt idx="11">
                  <c:v>0.10439505274481781</c:v>
                </c:pt>
                <c:pt idx="12">
                  <c:v>0.10444137730558541</c:v>
                </c:pt>
                <c:pt idx="13">
                  <c:v>0.10448774896452948</c:v>
                </c:pt>
                <c:pt idx="14">
                  <c:v>0.10453416952709468</c:v>
                </c:pt>
                <c:pt idx="15">
                  <c:v>0.1045806419353828</c:v>
                </c:pt>
                <c:pt idx="16">
                  <c:v>0.10462717004171199</c:v>
                </c:pt>
                <c:pt idx="17">
                  <c:v>0.10467375838469176</c:v>
                </c:pt>
                <c:pt idx="18">
                  <c:v>0.10472041197013189</c:v>
                </c:pt>
                <c:pt idx="19">
                  <c:v>0.10476713605900052</c:v>
                </c:pt>
                <c:pt idx="20">
                  <c:v>0.10481393596452179</c:v>
                </c:pt>
                <c:pt idx="21">
                  <c:v>0.10486081686036319</c:v>
                </c:pt>
                <c:pt idx="22">
                  <c:v>0.1049077836017028</c:v>
                </c:pt>
                <c:pt idx="23">
                  <c:v>0.10495484056079504</c:v>
                </c:pt>
                <c:pt idx="24">
                  <c:v>0.10500199147846639</c:v>
                </c:pt>
                <c:pt idx="25">
                  <c:v>0.10504923933277721</c:v>
                </c:pt>
                <c:pt idx="26">
                  <c:v>0.10509658622588039</c:v>
                </c:pt>
                <c:pt idx="27">
                  <c:v>0.10514403328989654</c:v>
                </c:pt>
                <c:pt idx="28">
                  <c:v>0.10519158061240996</c:v>
                </c:pt>
                <c:pt idx="29">
                  <c:v>0.10523922718197365</c:v>
                </c:pt>
                <c:pt idx="30">
                  <c:v>0.10528697085379397</c:v>
                </c:pt>
                <c:pt idx="31">
                  <c:v>0.10533480833555249</c:v>
                </c:pt>
                <c:pt idx="32">
                  <c:v>0.10538273519311393</c:v>
                </c:pt>
                <c:pt idx="33">
                  <c:v>0.10543074587566599</c:v>
                </c:pt>
                <c:pt idx="34">
                  <c:v>0.10547883375964467</c:v>
                </c:pt>
                <c:pt idx="35">
                  <c:v>0.10552699121061564</c:v>
                </c:pt>
                <c:pt idx="36">
                  <c:v>0.10557520966211173</c:v>
                </c:pt>
                <c:pt idx="37">
                  <c:v>0.10562347971027114</c:v>
                </c:pt>
                <c:pt idx="38">
                  <c:v>0.10567179122297839</c:v>
                </c:pt>
                <c:pt idx="39">
                  <c:v>0.10572013346208706</c:v>
                </c:pt>
                <c:pt idx="40">
                  <c:v>0.10576849521719506</c:v>
                </c:pt>
                <c:pt idx="41">
                  <c:v>0.10581686494935398</c:v>
                </c:pt>
                <c:pt idx="42">
                  <c:v>0.10586523094302445</c:v>
                </c:pt>
                <c:pt idx="43">
                  <c:v>0.10591358146453816</c:v>
                </c:pt>
                <c:pt idx="44">
                  <c:v>0.1059619049252947</c:v>
                </c:pt>
                <c:pt idx="45">
                  <c:v>0.10601019004790982</c:v>
                </c:pt>
                <c:pt idx="46">
                  <c:v>0.10605842603353717</c:v>
                </c:pt>
                <c:pt idx="47">
                  <c:v>0.10610660272861137</c:v>
                </c:pt>
                <c:pt idx="48">
                  <c:v>0.10615471078930223</c:v>
                </c:pt>
                <c:pt idx="49">
                  <c:v>0.10620274184203041</c:v>
                </c:pt>
                <c:pt idx="50">
                  <c:v>0.10625068863847056</c:v>
                </c:pt>
                <c:pt idx="51">
                  <c:v>0.10629854520355818</c:v>
                </c:pt>
                <c:pt idx="52">
                  <c:v>0.10634630697512142</c:v>
                </c:pt>
                <c:pt idx="53">
                  <c:v>0.10639397093387475</c:v>
                </c:pt>
                <c:pt idx="54">
                  <c:v>0.1064415357226383</c:v>
                </c:pt>
                <c:pt idx="55">
                  <c:v>0.10648900175378315</c:v>
                </c:pt>
                <c:pt idx="56">
                  <c:v>0.10653637130404406</c:v>
                </c:pt>
                <c:pt idx="57">
                  <c:v>0.10658364859599175</c:v>
                </c:pt>
                <c:pt idx="58">
                  <c:v>0.10663083986560651</c:v>
                </c:pt>
                <c:pt idx="59">
                  <c:v>0.10667795341554992</c:v>
                </c:pt>
                <c:pt idx="60">
                  <c:v>0.10672499965388524</c:v>
                </c:pt>
                <c:pt idx="61">
                  <c:v>0.10677199111814785</c:v>
                </c:pt>
                <c:pt idx="62">
                  <c:v>0.10681894248481731</c:v>
                </c:pt>
                <c:pt idx="63">
                  <c:v>0.10686587056438439</c:v>
                </c:pt>
                <c:pt idx="64">
                  <c:v>0.10691279428234449</c:v>
                </c:pt>
                <c:pt idx="65">
                  <c:v>0.10695973464657675</c:v>
                </c:pt>
                <c:pt idx="66">
                  <c:v>0.10700671470168792</c:v>
                </c:pt>
                <c:pt idx="67">
                  <c:v>0.10705375947100804</c:v>
                </c:pt>
                <c:pt idx="68">
                  <c:v>0.10710089588702328</c:v>
                </c:pt>
                <c:pt idx="69">
                  <c:v>0.10714815271111391</c:v>
                </c:pt>
                <c:pt idx="70">
                  <c:v>0.10719556044353859</c:v>
                </c:pt>
                <c:pt idx="71">
                  <c:v>0.10724315122466202</c:v>
                </c:pt>
                <c:pt idx="72">
                  <c:v>0.10729095872846728</c:v>
                </c:pt>
                <c:pt idx="73">
                  <c:v>0.10733901804942249</c:v>
                </c:pt>
                <c:pt idx="74">
                  <c:v>0.10738736558378634</c:v>
                </c:pt>
                <c:pt idx="75">
                  <c:v>0.10743603890643728</c:v>
                </c:pt>
                <c:pt idx="76">
                  <c:v>0.10748507664429791</c:v>
                </c:pt>
                <c:pt idx="77">
                  <c:v>0.10753451834739866</c:v>
                </c:pt>
                <c:pt idx="78">
                  <c:v>0.10758440435858641</c:v>
                </c:pt>
                <c:pt idx="79">
                  <c:v>0.10763477568283157</c:v>
                </c:pt>
                <c:pt idx="80">
                  <c:v>0.10768567385702549</c:v>
                </c:pt>
                <c:pt idx="81">
                  <c:v>0.10773714082108769</c:v>
                </c:pt>
                <c:pt idx="82">
                  <c:v>0.10778921879112292</c:v>
                </c:pt>
                <c:pt idx="83">
                  <c:v>0.10784195013527882</c:v>
                </c:pt>
                <c:pt idx="84">
                  <c:v>0.10789537725286313</c:v>
                </c:pt>
                <c:pt idx="85">
                  <c:v>0.10794954245717971</c:v>
                </c:pt>
                <c:pt idx="86">
                  <c:v>0.10800448786244267</c:v>
                </c:pt>
                <c:pt idx="87">
                  <c:v>0.10806025527502543</c:v>
                </c:pt>
                <c:pt idx="88">
                  <c:v>0.10811688608919877</c:v>
                </c:pt>
                <c:pt idx="89">
                  <c:v>0.10817442118741126</c:v>
                </c:pt>
                <c:pt idx="90">
                  <c:v>0.10823290084506847</c:v>
                </c:pt>
                <c:pt idx="91">
                  <c:v>0.10829236463967315</c:v>
                </c:pt>
                <c:pt idx="92">
                  <c:v>0.10835285136410223</c:v>
                </c:pt>
                <c:pt idx="93">
                  <c:v>0.10841439894371516</c:v>
                </c:pt>
                <c:pt idx="94">
                  <c:v>0.10847704435691777</c:v>
                </c:pt>
                <c:pt idx="95">
                  <c:v>0.10854082355874146</c:v>
                </c:pt>
                <c:pt idx="96">
                  <c:v>0.10860577140694674</c:v>
                </c:pt>
                <c:pt idx="97">
                  <c:v>0.10867192159011771</c:v>
                </c:pt>
                <c:pt idx="98">
                  <c:v>0.10873930655718565</c:v>
                </c:pt>
                <c:pt idx="99">
                  <c:v>0.10880795744780167</c:v>
                </c:pt>
                <c:pt idx="100">
                  <c:v>0.10887790402297357</c:v>
                </c:pt>
                <c:pt idx="101">
                  <c:v>0.10894917459539058</c:v>
                </c:pt>
                <c:pt idx="102">
                  <c:v>0.10902179595887909</c:v>
                </c:pt>
                <c:pt idx="103">
                  <c:v>0.10909579331646571</c:v>
                </c:pt>
                <c:pt idx="104">
                  <c:v>0.10917119020656889</c:v>
                </c:pt>
                <c:pt idx="105">
                  <c:v>0.10924800842689639</c:v>
                </c:pt>
                <c:pt idx="106">
                  <c:v>0.10932626795569352</c:v>
                </c:pt>
                <c:pt idx="107">
                  <c:v>0.10940598687006346</c:v>
                </c:pt>
                <c:pt idx="108">
                  <c:v>0.10948718126116785</c:v>
                </c:pt>
                <c:pt idx="109">
                  <c:v>1.7112860449630465E-2</c:v>
                </c:pt>
                <c:pt idx="110">
                  <c:v>1.7302646174694545E-2</c:v>
                </c:pt>
                <c:pt idx="111">
                  <c:v>1.7492563851230627E-2</c:v>
                </c:pt>
                <c:pt idx="112">
                  <c:v>1.768262210035455E-2</c:v>
                </c:pt>
                <c:pt idx="113">
                  <c:v>1.787282915823751E-2</c:v>
                </c:pt>
                <c:pt idx="114">
                  <c:v>1.8063192839656128E-2</c:v>
                </c:pt>
                <c:pt idx="115">
                  <c:v>1.825372050043619E-2</c:v>
                </c:pt>
                <c:pt idx="116">
                  <c:v>1.8444418998890807E-2</c:v>
                </c:pt>
                <c:pt idx="117">
                  <c:v>1.8635294656379753E-2</c:v>
                </c:pt>
                <c:pt idx="118">
                  <c:v>1.8826353217143751E-2</c:v>
                </c:pt>
                <c:pt idx="119">
                  <c:v>1.9017599807594845E-2</c:v>
                </c:pt>
                <c:pt idx="120">
                  <c:v>1.920903889527014E-2</c:v>
                </c:pt>
                <c:pt idx="121">
                  <c:v>1.9400674247683006E-2</c:v>
                </c:pt>
                <c:pt idx="122">
                  <c:v>1.9592508891330396E-2</c:v>
                </c:pt>
                <c:pt idx="123">
                  <c:v>1.9784545071138717E-2</c:v>
                </c:pt>
                <c:pt idx="124">
                  <c:v>1.9976784210652604E-2</c:v>
                </c:pt>
                <c:pt idx="125">
                  <c:v>2.0169226873290327E-2</c:v>
                </c:pt>
                <c:pt idx="126">
                  <c:v>2.036187272500678E-2</c:v>
                </c:pt>
                <c:pt idx="127">
                  <c:v>2.0554720498718683E-2</c:v>
                </c:pt>
                <c:pt idx="128">
                  <c:v>2.0747767960858136E-2</c:v>
                </c:pt>
                <c:pt idx="129">
                  <c:v>2.09410118804274E-2</c:v>
                </c:pt>
                <c:pt idx="130">
                  <c:v>2.1134448000931418E-2</c:v>
                </c:pt>
                <c:pt idx="131">
                  <c:v>2.1328071015564668E-2</c:v>
                </c:pt>
                <c:pt idx="132">
                  <c:v>2.1521874546023643E-2</c:v>
                </c:pt>
                <c:pt idx="133">
                  <c:v>2.1715851125307887E-2</c:v>
                </c:pt>
                <c:pt idx="134">
                  <c:v>2.1909992184859204E-2</c:v>
                </c:pt>
                <c:pt idx="135">
                  <c:v>2.2104288046370723E-2</c:v>
                </c:pt>
                <c:pt idx="136">
                  <c:v>2.2298727918576171E-2</c:v>
                </c:pt>
                <c:pt idx="137">
                  <c:v>2.2493299899302755E-2</c:v>
                </c:pt>
                <c:pt idx="138">
                  <c:v>2.2687990983041272E-2</c:v>
                </c:pt>
                <c:pt idx="139">
                  <c:v>2.2882787074252158E-2</c:v>
                </c:pt>
                <c:pt idx="140">
                  <c:v>2.3077673006588657E-2</c:v>
                </c:pt>
                <c:pt idx="141">
                  <c:v>2.3272632568176192E-2</c:v>
                </c:pt>
                <c:pt idx="142">
                  <c:v>2.3467648533042753E-2</c:v>
                </c:pt>
                <c:pt idx="143">
                  <c:v>2.3662702698747606E-2</c:v>
                </c:pt>
                <c:pt idx="144">
                  <c:v>2.3857775930205841E-2</c:v>
                </c:pt>
                <c:pt idx="145">
                  <c:v>2.4052848209654858E-2</c:v>
                </c:pt>
                <c:pt idx="146">
                  <c:v>2.4247898692655714E-2</c:v>
                </c:pt>
                <c:pt idx="147">
                  <c:v>2.4442905769968781E-2</c:v>
                </c:pt>
                <c:pt idx="148">
                  <c:v>2.4637847135088688E-2</c:v>
                </c:pt>
                <c:pt idx="149">
                  <c:v>2.4832699857169922E-2</c:v>
                </c:pt>
                <c:pt idx="150">
                  <c:v>2.5027440459021371E-2</c:v>
                </c:pt>
                <c:pt idx="151">
                  <c:v>2.5222044999796234E-2</c:v>
                </c:pt>
                <c:pt idx="152">
                  <c:v>2.5416489161954096E-2</c:v>
                </c:pt>
                <c:pt idx="153">
                  <c:v>2.5610748342024977E-2</c:v>
                </c:pt>
                <c:pt idx="154">
                  <c:v>2.5804797744660535E-2</c:v>
                </c:pt>
                <c:pt idx="155">
                  <c:v>2.5998612479417548E-2</c:v>
                </c:pt>
                <c:pt idx="156">
                  <c:v>2.619216765968187E-2</c:v>
                </c:pt>
                <c:pt idx="157">
                  <c:v>2.6385438503109569E-2</c:v>
                </c:pt>
                <c:pt idx="158">
                  <c:v>2.6578400432934517E-2</c:v>
                </c:pt>
                <c:pt idx="159">
                  <c:v>2.6771029179470444E-2</c:v>
                </c:pt>
                <c:pt idx="160">
                  <c:v>2.6963300881119433E-2</c:v>
                </c:pt>
                <c:pt idx="161">
                  <c:v>2.7155192184188888E-2</c:v>
                </c:pt>
                <c:pt idx="162">
                  <c:v>2.7346680340814923E-2</c:v>
                </c:pt>
                <c:pt idx="163">
                  <c:v>2.7537743304293198E-2</c:v>
                </c:pt>
                <c:pt idx="164">
                  <c:v>2.7728359821126581E-2</c:v>
                </c:pt>
                <c:pt idx="165">
                  <c:v>2.791850951911478E-2</c:v>
                </c:pt>
                <c:pt idx="166">
                  <c:v>2.8108172990832712E-2</c:v>
                </c:pt>
                <c:pt idx="167">
                  <c:v>2.8297331871872347E-2</c:v>
                </c:pt>
                <c:pt idx="168">
                  <c:v>2.8485968913257099E-2</c:v>
                </c:pt>
                <c:pt idx="169">
                  <c:v>2.8674068047477849E-2</c:v>
                </c:pt>
                <c:pt idx="170">
                  <c:v>2.8861614447644846E-2</c:v>
                </c:pt>
                <c:pt idx="171">
                  <c:v>2.9048594579300983E-2</c:v>
                </c:pt>
                <c:pt idx="172">
                  <c:v>2.9234996244497158E-2</c:v>
                </c:pt>
                <c:pt idx="173">
                  <c:v>2.9420808617789857E-2</c:v>
                </c:pt>
                <c:pt idx="174">
                  <c:v>2.9606022273884997E-2</c:v>
                </c:pt>
                <c:pt idx="175">
                  <c:v>2.9790629206718086E-2</c:v>
                </c:pt>
                <c:pt idx="176">
                  <c:v>2.9974622839829924E-2</c:v>
                </c:pt>
                <c:pt idx="177">
                  <c:v>3.0157998027968137E-2</c:v>
                </c:pt>
                <c:pt idx="178">
                  <c:v>3.0340751049916046E-2</c:v>
                </c:pt>
                <c:pt idx="179">
                  <c:v>3.0522879592623623E-2</c:v>
                </c:pt>
                <c:pt idx="180">
                  <c:v>3.070438272678673E-2</c:v>
                </c:pt>
                <c:pt idx="181">
                  <c:v>3.0885260874092067E-2</c:v>
                </c:pt>
                <c:pt idx="182">
                  <c:v>3.1065515766414864E-2</c:v>
                </c:pt>
                <c:pt idx="183">
                  <c:v>3.1245150397322775E-2</c:v>
                </c:pt>
                <c:pt idx="184">
                  <c:v>3.1424168966303685E-2</c:v>
                </c:pt>
                <c:pt idx="185">
                  <c:v>3.1602576816194675E-2</c:v>
                </c:pt>
                <c:pt idx="186">
                  <c:v>3.1780380364345405E-2</c:v>
                </c:pt>
                <c:pt idx="187">
                  <c:v>3.1957587028099525E-2</c:v>
                </c:pt>
                <c:pt idx="188">
                  <c:v>3.2134205145222507E-2</c:v>
                </c:pt>
                <c:pt idx="189">
                  <c:v>3.2310243889944051E-2</c:v>
                </c:pt>
                <c:pt idx="190">
                  <c:v>3.2485713185314777E-2</c:v>
                </c:pt>
                <c:pt idx="191">
                  <c:v>3.2660623612603731E-2</c:v>
                </c:pt>
                <c:pt idx="192">
                  <c:v>3.2834986318481134E-2</c:v>
                </c:pt>
                <c:pt idx="193">
                  <c:v>3.3008812920742502E-2</c:v>
                </c:pt>
                <c:pt idx="194">
                  <c:v>3.3182115413334511E-2</c:v>
                </c:pt>
                <c:pt idx="195">
                  <c:v>3.3354906071438775E-2</c:v>
                </c:pt>
                <c:pt idx="196">
                  <c:v>3.3527197357359512E-2</c:v>
                </c:pt>
                <c:pt idx="197">
                  <c:v>3.3699001827942006E-2</c:v>
                </c:pt>
                <c:pt idx="198">
                  <c:v>3.3870332044223961E-2</c:v>
                </c:pt>
                <c:pt idx="199">
                  <c:v>3.4041200483988572E-2</c:v>
                </c:pt>
                <c:pt idx="200">
                  <c:v>3.421161945785002E-2</c:v>
                </c:pt>
                <c:pt idx="201">
                  <c:v>3.4381601029456317E-2</c:v>
                </c:pt>
                <c:pt idx="202">
                  <c:v>3.4551156940343671E-2</c:v>
                </c:pt>
                <c:pt idx="203">
                  <c:v>3.4720298539920973E-2</c:v>
                </c:pt>
                <c:pt idx="204">
                  <c:v>3.4889036721001909E-2</c:v>
                </c:pt>
                <c:pt idx="205">
                  <c:v>3.5057381861238301E-2</c:v>
                </c:pt>
                <c:pt idx="206">
                  <c:v>3.5225343770740609E-2</c:v>
                </c:pt>
                <c:pt idx="207">
                  <c:v>3.5392931646101529E-2</c:v>
                </c:pt>
                <c:pt idx="208">
                  <c:v>3.5560154030967073E-2</c:v>
                </c:pt>
                <c:pt idx="209">
                  <c:v>3.572701878322726E-2</c:v>
                </c:pt>
                <c:pt idx="210">
                  <c:v>3.5893533048825733E-2</c:v>
                </c:pt>
                <c:pt idx="211">
                  <c:v>3.6059703242116214E-2</c:v>
                </c:pt>
                <c:pt idx="212">
                  <c:v>3.6225535032623622E-2</c:v>
                </c:pt>
                <c:pt idx="213">
                  <c:v>3.6391033337999458E-2</c:v>
                </c:pt>
                <c:pt idx="214">
                  <c:v>3.6556202322897302E-2</c:v>
                </c:pt>
                <c:pt idx="215">
                  <c:v>3.6721045403432719E-2</c:v>
                </c:pt>
                <c:pt idx="216">
                  <c:v>3.6885565256836381E-2</c:v>
                </c:pt>
                <c:pt idx="217">
                  <c:v>3.7049763835857889E-2</c:v>
                </c:pt>
                <c:pt idx="218">
                  <c:v>3.7213642387433361E-2</c:v>
                </c:pt>
                <c:pt idx="219">
                  <c:v>3.7377201475090105E-2</c:v>
                </c:pt>
                <c:pt idx="220">
                  <c:v>3.7540441004531411E-2</c:v>
                </c:pt>
                <c:pt idx="221">
                  <c:v>3.7703360251818203E-2</c:v>
                </c:pt>
                <c:pt idx="222">
                  <c:v>3.7865957893548803E-2</c:v>
                </c:pt>
                <c:pt idx="223">
                  <c:v>3.8028232038427201E-2</c:v>
                </c:pt>
                <c:pt idx="224">
                  <c:v>3.8190180259610226E-2</c:v>
                </c:pt>
                <c:pt idx="225">
                  <c:v>3.835179962722942E-2</c:v>
                </c:pt>
                <c:pt idx="226">
                  <c:v>3.851308674049813E-2</c:v>
                </c:pt>
                <c:pt idx="227">
                  <c:v>3.8674037758836939E-2</c:v>
                </c:pt>
                <c:pt idx="228">
                  <c:v>3.8834648431479005E-2</c:v>
                </c:pt>
                <c:pt idx="229">
                  <c:v>3.8994914125055319E-2</c:v>
                </c:pt>
                <c:pt idx="230">
                  <c:v>3.915482984870166E-2</c:v>
                </c:pt>
                <c:pt idx="231">
                  <c:v>3.931439027628076E-2</c:v>
                </c:pt>
                <c:pt idx="232">
                  <c:v>3.9473589765367342E-2</c:v>
                </c:pt>
                <c:pt idx="233">
                  <c:v>3.9632422372705443E-2</c:v>
                </c:pt>
                <c:pt idx="234">
                  <c:v>3.9790881865912169E-2</c:v>
                </c:pt>
                <c:pt idx="235">
                  <c:v>3.9948961731270688E-2</c:v>
                </c:pt>
                <c:pt idx="236">
                  <c:v>4.0106655177527421E-2</c:v>
                </c:pt>
                <c:pt idx="237">
                  <c:v>4.0263955135681269E-2</c:v>
                </c:pt>
                <c:pt idx="238">
                  <c:v>4.0420854254827998E-2</c:v>
                </c:pt>
                <c:pt idx="239">
                  <c:v>4.0577344894197238E-2</c:v>
                </c:pt>
                <c:pt idx="240">
                  <c:v>4.073341911159422E-2</c:v>
                </c:pt>
                <c:pt idx="241">
                  <c:v>4.0889068648529918E-2</c:v>
                </c:pt>
                <c:pt idx="242">
                  <c:v>4.1044284912394202E-2</c:v>
                </c:pt>
                <c:pt idx="243">
                  <c:v>4.119905895609189E-2</c:v>
                </c:pt>
                <c:pt idx="244">
                  <c:v>4.1353381455624318E-2</c:v>
                </c:pt>
                <c:pt idx="245">
                  <c:v>4.1507242686155424E-2</c:v>
                </c:pt>
                <c:pt idx="246">
                  <c:v>4.1660632497152156E-2</c:v>
                </c:pt>
                <c:pt idx="247">
                  <c:v>4.1813540287233761E-2</c:v>
                </c:pt>
                <c:pt idx="248">
                  <c:v>4.1965954979400019E-2</c:v>
                </c:pt>
                <c:pt idx="249">
                  <c:v>4.2117864997338855E-2</c:v>
                </c:pt>
                <c:pt idx="250">
                  <c:v>4.2269258243532754E-2</c:v>
                </c:pt>
                <c:pt idx="251">
                  <c:v>4.2420122079896087E-2</c:v>
                </c:pt>
                <c:pt idx="252">
                  <c:v>4.2570443311676871E-2</c:v>
                </c:pt>
                <c:pt idx="253">
                  <c:v>4.2720208175350417E-2</c:v>
                </c:pt>
                <c:pt idx="254">
                  <c:v>4.2869402331214848E-2</c:v>
                </c:pt>
                <c:pt idx="255">
                  <c:v>4.3018010861373496E-2</c:v>
                </c:pt>
                <c:pt idx="256">
                  <c:v>4.3166018273752722E-2</c:v>
                </c:pt>
                <c:pt idx="257">
                  <c:v>4.3313408512760145E-2</c:v>
                </c:pt>
                <c:pt idx="258">
                  <c:v>4.3460164977133862E-2</c:v>
                </c:pt>
                <c:pt idx="259">
                  <c:v>4.3606270545471795E-2</c:v>
                </c:pt>
                <c:pt idx="260">
                  <c:v>4.3751707609860309E-2</c:v>
                </c:pt>
                <c:pt idx="261">
                  <c:v>4.3896458117943904E-2</c:v>
                </c:pt>
                <c:pt idx="262">
                  <c:v>4.4040503623694036E-2</c:v>
                </c:pt>
                <c:pt idx="263">
                  <c:v>4.4183825347044868E-2</c:v>
                </c:pt>
                <c:pt idx="264">
                  <c:v>4.4326404242470328E-2</c:v>
                </c:pt>
                <c:pt idx="265">
                  <c:v>4.4468221076476473E-2</c:v>
                </c:pt>
                <c:pt idx="266">
                  <c:v>4.4609256513882818E-2</c:v>
                </c:pt>
                <c:pt idx="267">
                  <c:v>4.4749491212661904E-2</c:v>
                </c:pt>
                <c:pt idx="268">
                  <c:v>4.4888905927001739E-2</c:v>
                </c:pt>
                <c:pt idx="269">
                  <c:v>4.502748161815192E-2</c:v>
                </c:pt>
                <c:pt idx="270">
                  <c:v>4.5165199572510327E-2</c:v>
                </c:pt>
                <c:pt idx="271">
                  <c:v>4.5302041526307818E-2</c:v>
                </c:pt>
                <c:pt idx="272">
                  <c:v>4.5437989796150581E-2</c:v>
                </c:pt>
                <c:pt idx="273">
                  <c:v>4.5573027414588213E-2</c:v>
                </c:pt>
                <c:pt idx="274">
                  <c:v>4.570713826978888E-2</c:v>
                </c:pt>
                <c:pt idx="275">
                  <c:v>4.5840307248323921E-2</c:v>
                </c:pt>
                <c:pt idx="276">
                  <c:v>4.5972520379991971E-2</c:v>
                </c:pt>
                <c:pt idx="277">
                  <c:v>4.6103764983550566E-2</c:v>
                </c:pt>
                <c:pt idx="278">
                  <c:v>4.6234029812168932E-2</c:v>
                </c:pt>
                <c:pt idx="279">
                  <c:v>4.6363305197374034E-2</c:v>
                </c:pt>
                <c:pt idx="280">
                  <c:v>4.6491583190228288E-2</c:v>
                </c:pt>
                <c:pt idx="281">
                  <c:v>4.6618857698458714E-2</c:v>
                </c:pt>
                <c:pt idx="282">
                  <c:v>4.674512461824732E-2</c:v>
                </c:pt>
                <c:pt idx="283">
                  <c:v>4.6870381959397647E-2</c:v>
                </c:pt>
                <c:pt idx="284">
                  <c:v>4.6994629962607913E-2</c:v>
                </c:pt>
                <c:pt idx="285">
                  <c:v>4.7117871207610511E-2</c:v>
                </c:pt>
                <c:pt idx="286">
                  <c:v>4.7240110710979687E-2</c:v>
                </c:pt>
                <c:pt idx="287">
                  <c:v>4.7361356012462122E-2</c:v>
                </c:pt>
                <c:pt idx="288">
                  <c:v>4.7481617248752148E-2</c:v>
                </c:pt>
                <c:pt idx="289">
                  <c:v>4.7600907213710429E-2</c:v>
                </c:pt>
                <c:pt idx="290">
                  <c:v>4.7719241404113696E-2</c:v>
                </c:pt>
                <c:pt idx="291">
                  <c:v>4.7836638050122955E-2</c:v>
                </c:pt>
                <c:pt idx="292">
                  <c:v>4.7953118129765153E-2</c:v>
                </c:pt>
                <c:pt idx="293">
                  <c:v>4.8068705366842296E-2</c:v>
                </c:pt>
                <c:pt idx="294">
                  <c:v>4.8183426211805998E-2</c:v>
                </c:pt>
                <c:pt idx="295">
                  <c:v>4.8297309805268654E-2</c:v>
                </c:pt>
                <c:pt idx="296">
                  <c:v>4.8410387923958575E-2</c:v>
                </c:pt>
                <c:pt idx="297">
                  <c:v>4.852269490906972E-2</c:v>
                </c:pt>
                <c:pt idx="298">
                  <c:v>4.86342675770998E-2</c:v>
                </c:pt>
                <c:pt idx="299">
                  <c:v>4.8745145113418806E-2</c:v>
                </c:pt>
                <c:pt idx="300">
                  <c:v>4.8855368948954932E-2</c:v>
                </c:pt>
                <c:pt idx="301">
                  <c:v>4.8964982620531977E-2</c:v>
                </c:pt>
                <c:pt idx="302">
                  <c:v>4.9074031615534877E-2</c:v>
                </c:pt>
                <c:pt idx="303">
                  <c:v>4.9182563201719487E-2</c:v>
                </c:pt>
                <c:pt idx="304">
                  <c:v>4.9290626243117183E-2</c:v>
                </c:pt>
                <c:pt idx="305">
                  <c:v>4.93982710031124E-2</c:v>
                </c:pt>
                <c:pt idx="306">
                  <c:v>4.950554893589109E-2</c:v>
                </c:pt>
                <c:pt idx="307">
                  <c:v>4.9612512467569703E-2</c:v>
                </c:pt>
                <c:pt idx="308">
                  <c:v>4.9719214768414087E-2</c:v>
                </c:pt>
                <c:pt idx="309">
                  <c:v>4.9825709517648885E-2</c:v>
                </c:pt>
                <c:pt idx="310">
                  <c:v>4.9932050662434474E-2</c:v>
                </c:pt>
                <c:pt idx="311">
                  <c:v>5.0038292172654097E-2</c:v>
                </c:pt>
                <c:pt idx="312">
                  <c:v>5.0144487793204941E-2</c:v>
                </c:pt>
                <c:pt idx="313">
                  <c:v>5.0250690795523259E-2</c:v>
                </c:pt>
                <c:pt idx="314">
                  <c:v>5.035695373009734E-2</c:v>
                </c:pt>
                <c:pt idx="315">
                  <c:v>5.0463328181727773E-2</c:v>
                </c:pt>
                <c:pt idx="316">
                  <c:v>5.0569864529288119E-2</c:v>
                </c:pt>
                <c:pt idx="317">
                  <c:v>5.0676611711715294E-2</c:v>
                </c:pt>
                <c:pt idx="318">
                  <c:v>5.0783617001921105E-2</c:v>
                </c:pt>
                <c:pt idx="319">
                  <c:v>5.0890925790263448E-2</c:v>
                </c:pt>
                <c:pt idx="320">
                  <c:v>5.0998581379148304E-2</c:v>
                </c:pt>
                <c:pt idx="321">
                  <c:v>5.1106624790252603E-2</c:v>
                </c:pt>
                <c:pt idx="322">
                  <c:v>5.1215094585762989E-2</c:v>
                </c:pt>
                <c:pt idx="323">
                  <c:v>5.1324026704919423E-2</c:v>
                </c:pt>
                <c:pt idx="324">
                  <c:v>5.1433454317033382E-2</c:v>
                </c:pt>
                <c:pt idx="325">
                  <c:v>5.1543407692021884E-2</c:v>
                </c:pt>
                <c:pt idx="326">
                  <c:v>5.1653914089360431E-2</c:v>
                </c:pt>
                <c:pt idx="327">
                  <c:v>5.1764997666211482E-2</c:v>
                </c:pt>
                <c:pt idx="328">
                  <c:v>5.1876679405331784E-2</c:v>
                </c:pt>
                <c:pt idx="329">
                  <c:v>5.1988977063203885E-2</c:v>
                </c:pt>
                <c:pt idx="330">
                  <c:v>5.2101905138674159E-2</c:v>
                </c:pt>
                <c:pt idx="331">
                  <c:v>5.2215474862214874E-2</c:v>
                </c:pt>
                <c:pt idx="332">
                  <c:v>5.2329694205762056E-2</c:v>
                </c:pt>
                <c:pt idx="333">
                  <c:v>5.2444567912915109E-2</c:v>
                </c:pt>
                <c:pt idx="334">
                  <c:v>5.2560097549120895E-2</c:v>
                </c:pt>
                <c:pt idx="335">
                  <c:v>5.2676281571305057E-2</c:v>
                </c:pt>
                <c:pt idx="336">
                  <c:v>5.279311541625871E-2</c:v>
                </c:pt>
                <c:pt idx="337">
                  <c:v>5.291059160693945E-2</c:v>
                </c:pt>
                <c:pt idx="338">
                  <c:v>5.3028699875705812E-2</c:v>
                </c:pt>
                <c:pt idx="339">
                  <c:v>5.3147427303371735E-2</c:v>
                </c:pt>
                <c:pt idx="340">
                  <c:v>5.3266758472846648E-2</c:v>
                </c:pt>
                <c:pt idx="341">
                  <c:v>5.3386675636016727E-2</c:v>
                </c:pt>
                <c:pt idx="342">
                  <c:v>5.3507158892424238E-2</c:v>
                </c:pt>
                <c:pt idx="343">
                  <c:v>5.3628186378218479E-2</c:v>
                </c:pt>
                <c:pt idx="344">
                  <c:v>5.3749734463779932E-2</c:v>
                </c:pt>
                <c:pt idx="345">
                  <c:v>5.3871777958363856E-2</c:v>
                </c:pt>
                <c:pt idx="346">
                  <c:v>5.3994290320067653E-2</c:v>
                </c:pt>
                <c:pt idx="347">
                  <c:v>5.4117243869401394E-2</c:v>
                </c:pt>
                <c:pt idx="348">
                  <c:v>5.4240610004729378E-2</c:v>
                </c:pt>
                <c:pt idx="349">
                  <c:v>5.4364359417856632E-2</c:v>
                </c:pt>
                <c:pt idx="350">
                  <c:v>5.4488462308054146E-2</c:v>
                </c:pt>
                <c:pt idx="351">
                  <c:v>5.46128885928528E-2</c:v>
                </c:pt>
                <c:pt idx="352">
                  <c:v>5.4737608113985682E-2</c:v>
                </c:pt>
                <c:pt idx="353">
                  <c:v>5.4862590836923686E-2</c:v>
                </c:pt>
                <c:pt idx="354">
                  <c:v>5.498780704252635E-2</c:v>
                </c:pt>
                <c:pt idx="355">
                  <c:v>5.5113227509421339E-2</c:v>
                </c:pt>
                <c:pt idx="356">
                  <c:v>5.5238823685827679E-2</c:v>
                </c:pt>
                <c:pt idx="357">
                  <c:v>5.5364567849650825E-2</c:v>
                </c:pt>
                <c:pt idx="358">
                  <c:v>5.5490433255800616E-2</c:v>
                </c:pt>
                <c:pt idx="359">
                  <c:v>5.561639426981304E-2</c:v>
                </c:pt>
                <c:pt idx="360">
                  <c:v>5.5742426486995303E-2</c:v>
                </c:pt>
                <c:pt idx="361">
                  <c:v>5.5868506836456472E-2</c:v>
                </c:pt>
                <c:pt idx="362">
                  <c:v>5.599461366953367E-2</c:v>
                </c:pt>
                <c:pt idx="363">
                  <c:v>5.6120726832274349E-2</c:v>
                </c:pt>
                <c:pt idx="364">
                  <c:v>5.6246827721786158E-2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2.8572650536753688E-2</c:v>
                </c:pt>
                <c:pt idx="1">
                  <c:v>2.8616880322621732E-2</c:v>
                </c:pt>
                <c:pt idx="2">
                  <c:v>2.8671084117038875E-2</c:v>
                </c:pt>
                <c:pt idx="3">
                  <c:v>2.8735642919283693E-2</c:v>
                </c:pt>
                <c:pt idx="4">
                  <c:v>2.8810906673181817E-2</c:v>
                </c:pt>
                <c:pt idx="5">
                  <c:v>2.8897197214193225E-2</c:v>
                </c:pt>
                <c:pt idx="6">
                  <c:v>2.8994811337201467E-2</c:v>
                </c:pt>
                <c:pt idx="7">
                  <c:v>2.9104023956131556E-2</c:v>
                </c:pt>
                <c:pt idx="8">
                  <c:v>2.9223392952548586E-2</c:v>
                </c:pt>
                <c:pt idx="9">
                  <c:v>2.9338093669308511E-2</c:v>
                </c:pt>
                <c:pt idx="10">
                  <c:v>2.9428219955293548E-2</c:v>
                </c:pt>
                <c:pt idx="11">
                  <c:v>2.9494286131307008E-2</c:v>
                </c:pt>
                <c:pt idx="12">
                  <c:v>2.9536823311780092E-2</c:v>
                </c:pt>
                <c:pt idx="13">
                  <c:v>2.955637845478357E-2</c:v>
                </c:pt>
                <c:pt idx="14">
                  <c:v>2.9553513291731365E-2</c:v>
                </c:pt>
                <c:pt idx="15">
                  <c:v>2.9529010634474655E-2</c:v>
                </c:pt>
                <c:pt idx="16">
                  <c:v>2.9483516570374076E-2</c:v>
                </c:pt>
                <c:pt idx="17">
                  <c:v>2.9417618719426067E-2</c:v>
                </c:pt>
                <c:pt idx="18">
                  <c:v>2.9331914373738711E-2</c:v>
                </c:pt>
                <c:pt idx="19">
                  <c:v>2.9227172137567713E-2</c:v>
                </c:pt>
                <c:pt idx="20">
                  <c:v>2.9104238100197331E-2</c:v>
                </c:pt>
                <c:pt idx="21">
                  <c:v>2.8963833656180795E-2</c:v>
                </c:pt>
                <c:pt idx="22">
                  <c:v>2.8804841461479106E-2</c:v>
                </c:pt>
                <c:pt idx="23">
                  <c:v>2.8618919471348515E-2</c:v>
                </c:pt>
                <c:pt idx="24">
                  <c:v>2.8418935383419202E-2</c:v>
                </c:pt>
                <c:pt idx="25">
                  <c:v>2.8206738195332495E-2</c:v>
                </c:pt>
                <c:pt idx="26">
                  <c:v>2.7984069028753257E-2</c:v>
                </c:pt>
                <c:pt idx="27">
                  <c:v>2.7752559113410506E-2</c:v>
                </c:pt>
                <c:pt idx="28">
                  <c:v>2.751372956117519E-2</c:v>
                </c:pt>
                <c:pt idx="29">
                  <c:v>2.7231625764934955E-2</c:v>
                </c:pt>
                <c:pt idx="30">
                  <c:v>2.6909047325016734E-2</c:v>
                </c:pt>
                <c:pt idx="31">
                  <c:v>2.6548799436428083E-2</c:v>
                </c:pt>
                <c:pt idx="32">
                  <c:v>2.6153512297811193E-2</c:v>
                </c:pt>
                <c:pt idx="33">
                  <c:v>2.5725639047143554E-2</c:v>
                </c:pt>
                <c:pt idx="34">
                  <c:v>2.5267455735227769E-2</c:v>
                </c:pt>
                <c:pt idx="35">
                  <c:v>2.4781062941300981E-2</c:v>
                </c:pt>
                <c:pt idx="36">
                  <c:v>2.4264801640217624E-2</c:v>
                </c:pt>
                <c:pt idx="37">
                  <c:v>2.3693389777531496E-2</c:v>
                </c:pt>
                <c:pt idx="38">
                  <c:v>2.3076858159188727E-2</c:v>
                </c:pt>
                <c:pt idx="39">
                  <c:v>2.2418205316432311E-2</c:v>
                </c:pt>
                <c:pt idx="40">
                  <c:v>2.1720220401698666E-2</c:v>
                </c:pt>
                <c:pt idx="41">
                  <c:v>2.0985480204072569E-2</c:v>
                </c:pt>
                <c:pt idx="42">
                  <c:v>2.0216348502253036E-2</c:v>
                </c:pt>
                <c:pt idx="43">
                  <c:v>1.9418194777424118E-2</c:v>
                </c:pt>
                <c:pt idx="44">
                  <c:v>1.8623011373375038E-2</c:v>
                </c:pt>
                <c:pt idx="45">
                  <c:v>1.7831215523972557E-2</c:v>
                </c:pt>
                <c:pt idx="46">
                  <c:v>1.7043105897263391E-2</c:v>
                </c:pt>
                <c:pt idx="47">
                  <c:v>1.6258871266704507E-2</c:v>
                </c:pt>
                <c:pt idx="48">
                  <c:v>1.5478598528177134E-2</c:v>
                </c:pt>
                <c:pt idx="49">
                  <c:v>1.4702280028889569E-2</c:v>
                </c:pt>
                <c:pt idx="50">
                  <c:v>1.3928830183056453E-2</c:v>
                </c:pt>
                <c:pt idx="51">
                  <c:v>1.3153982374546683E-2</c:v>
                </c:pt>
                <c:pt idx="52">
                  <c:v>1.2397366270855508E-2</c:v>
                </c:pt>
                <c:pt idx="53">
                  <c:v>1.1658177123013711E-2</c:v>
                </c:pt>
                <c:pt idx="54">
                  <c:v>1.0935716711915811E-2</c:v>
                </c:pt>
                <c:pt idx="55">
                  <c:v>1.0229321690767972E-2</c:v>
                </c:pt>
                <c:pt idx="56">
                  <c:v>9.5383611275969647E-3</c:v>
                </c:pt>
                <c:pt idx="57">
                  <c:v>8.868717330513462E-3</c:v>
                </c:pt>
                <c:pt idx="58">
                  <c:v>8.2169568258347765E-3</c:v>
                </c:pt>
                <c:pt idx="59">
                  <c:v>7.5824310897908255E-3</c:v>
                </c:pt>
                <c:pt idx="60">
                  <c:v>6.9645214023566623E-3</c:v>
                </c:pt>
                <c:pt idx="61">
                  <c:v>6.3626367815307026E-3</c:v>
                </c:pt>
                <c:pt idx="62">
                  <c:v>5.7762120510585465E-3</c:v>
                </c:pt>
                <c:pt idx="63">
                  <c:v>5.204706032490714E-3</c:v>
                </c:pt>
                <c:pt idx="64">
                  <c:v>4.6474591968188508E-3</c:v>
                </c:pt>
                <c:pt idx="65">
                  <c:v>4.1233585238014637E-3</c:v>
                </c:pt>
                <c:pt idx="66">
                  <c:v>3.6342281243019236E-3</c:v>
                </c:pt>
                <c:pt idx="67">
                  <c:v>3.1791181027081257E-3</c:v>
                </c:pt>
                <c:pt idx="68">
                  <c:v>2.7570907928847112E-3</c:v>
                </c:pt>
                <c:pt idx="69">
                  <c:v>2.3672245680225342E-3</c:v>
                </c:pt>
                <c:pt idx="70">
                  <c:v>2.0086172402605214E-3</c:v>
                </c:pt>
                <c:pt idx="71">
                  <c:v>1.6898491204855573E-3</c:v>
                </c:pt>
                <c:pt idx="72">
                  <c:v>1.4042183433637264E-3</c:v>
                </c:pt>
                <c:pt idx="73">
                  <c:v>1.1508207361666427E-3</c:v>
                </c:pt>
                <c:pt idx="74">
                  <c:v>9.2878832887158052E-4</c:v>
                </c:pt>
                <c:pt idx="75">
                  <c:v>7.3729142584690055E-4</c:v>
                </c:pt>
                <c:pt idx="76">
                  <c:v>5.7554045011249115E-4</c:v>
                </c:pt>
                <c:pt idx="77">
                  <c:v>4.4278759191727186E-4</c:v>
                </c:pt>
                <c:pt idx="78">
                  <c:v>3.3830658198339921E-4</c:v>
                </c:pt>
                <c:pt idx="79">
                  <c:v>2.628577251427434E-4</c:v>
                </c:pt>
                <c:pt idx="80">
                  <c:v>1.9867055028287674E-4</c:v>
                </c:pt>
                <c:pt idx="81">
                  <c:v>1.4550480910478455E-4</c:v>
                </c:pt>
                <c:pt idx="82">
                  <c:v>1.0313096600843305E-4</c:v>
                </c:pt>
                <c:pt idx="83">
                  <c:v>7.1331543868588591E-5</c:v>
                </c:pt>
                <c:pt idx="84">
                  <c:v>4.9902366873734596E-5</c:v>
                </c:pt>
                <c:pt idx="85">
                  <c:v>3.8653963186169397E-5</c:v>
                </c:pt>
                <c:pt idx="86">
                  <c:v>2.8881063541473095E-5</c:v>
                </c:pt>
                <c:pt idx="87">
                  <c:v>2.0558782575963493E-5</c:v>
                </c:pt>
                <c:pt idx="88">
                  <c:v>1.366452924248595E-5</c:v>
                </c:pt>
                <c:pt idx="89">
                  <c:v>8.1781695153505331E-6</c:v>
                </c:pt>
                <c:pt idx="90">
                  <c:v>4.0821845092583189E-6</c:v>
                </c:pt>
                <c:pt idx="91">
                  <c:v>1.3618259432936587E-6</c:v>
                </c:pt>
                <c:pt idx="92">
                  <c:v>5.2708277790904567E-9</c:v>
                </c:pt>
                <c:pt idx="93">
                  <c:v>3.7785446510251587E-9</c:v>
                </c:pt>
                <c:pt idx="94">
                  <c:v>2.5368892963888976E-9</c:v>
                </c:pt>
                <c:pt idx="95">
                  <c:v>1.5437366980466381E-9</c:v>
                </c:pt>
                <c:pt idx="96">
                  <c:v>7.9753742731413136E-10</c:v>
                </c:pt>
                <c:pt idx="97">
                  <c:v>2.9728074856598461E-10</c:v>
                </c:pt>
                <c:pt idx="98">
                  <c:v>4.2460573574282686E-11</c:v>
                </c:pt>
                <c:pt idx="99">
                  <c:v>3.3043800660771751E-11</c:v>
                </c:pt>
                <c:pt idx="100">
                  <c:v>2.4804098230924262E-11</c:v>
                </c:pt>
                <c:pt idx="101">
                  <c:v>1.773724071611781E-11</c:v>
                </c:pt>
                <c:pt idx="102">
                  <c:v>1.1841285648554454E-11</c:v>
                </c:pt>
                <c:pt idx="103">
                  <c:v>7.116435887788564E-12</c:v>
                </c:pt>
                <c:pt idx="104">
                  <c:v>3.5649082074078646E-12</c:v>
                </c:pt>
                <c:pt idx="105">
                  <c:v>1.1908067508781142E-12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3.2187821641715569E-12</c:v>
                </c:pt>
                <c:pt idx="240">
                  <c:v>9.6966676681226176E-12</c:v>
                </c:pt>
                <c:pt idx="241">
                  <c:v>1.9476187214792028E-11</c:v>
                </c:pt>
                <c:pt idx="242">
                  <c:v>3.2602859508181361E-11</c:v>
                </c:pt>
                <c:pt idx="243">
                  <c:v>4.9126007859542398E-11</c:v>
                </c:pt>
                <c:pt idx="244">
                  <c:v>6.9099620682269516E-11</c:v>
                </c:pt>
                <c:pt idx="245">
                  <c:v>9.258326293576712E-11</c:v>
                </c:pt>
                <c:pt idx="246">
                  <c:v>1.1964145302233692E-10</c:v>
                </c:pt>
                <c:pt idx="247">
                  <c:v>8.4230128933704507E-10</c:v>
                </c:pt>
                <c:pt idx="248">
                  <c:v>2.2719388000767201E-9</c:v>
                </c:pt>
                <c:pt idx="249">
                  <c:v>4.4207093739623333E-9</c:v>
                </c:pt>
                <c:pt idx="250">
                  <c:v>7.3014612283205293E-9</c:v>
                </c:pt>
                <c:pt idx="251">
                  <c:v>1.0927642561358453E-8</c:v>
                </c:pt>
                <c:pt idx="252">
                  <c:v>1.5313201402252242E-8</c:v>
                </c:pt>
                <c:pt idx="253">
                  <c:v>3.9732126704150791E-6</c:v>
                </c:pt>
                <c:pt idx="254">
                  <c:v>1.195760103725513E-5</c:v>
                </c:pt>
                <c:pt idx="255">
                  <c:v>2.4043796786745449E-5</c:v>
                </c:pt>
                <c:pt idx="256">
                  <c:v>4.030880800680237E-5</c:v>
                </c:pt>
                <c:pt idx="257">
                  <c:v>6.083062610301134E-5</c:v>
                </c:pt>
                <c:pt idx="258">
                  <c:v>8.5687459739721873E-5</c:v>
                </c:pt>
                <c:pt idx="259">
                  <c:v>1.1495690564539989E-4</c:v>
                </c:pt>
                <c:pt idx="260">
                  <c:v>1.4872015777539762E-4</c:v>
                </c:pt>
                <c:pt idx="261">
                  <c:v>2.0340638038366987E-4</c:v>
                </c:pt>
                <c:pt idx="262">
                  <c:v>2.7940633481772639E-4</c:v>
                </c:pt>
                <c:pt idx="263">
                  <c:v>3.7712409929493063E-4</c:v>
                </c:pt>
                <c:pt idx="264">
                  <c:v>4.9697818181805467E-4</c:v>
                </c:pt>
                <c:pt idx="265">
                  <c:v>6.3940691987798262E-4</c:v>
                </c:pt>
                <c:pt idx="266">
                  <c:v>8.0486861825171288E-4</c:v>
                </c:pt>
                <c:pt idx="267">
                  <c:v>1.0216637429472221E-3</c:v>
                </c:pt>
                <c:pt idx="268">
                  <c:v>1.2864948994104064E-3</c:v>
                </c:pt>
                <c:pt idx="269">
                  <c:v>1.6003753276824825E-3</c:v>
                </c:pt>
                <c:pt idx="270">
                  <c:v>1.9643710165282227E-3</c:v>
                </c:pt>
                <c:pt idx="271">
                  <c:v>2.379606234317014E-3</c:v>
                </c:pt>
                <c:pt idx="272">
                  <c:v>2.8472696225422473E-3</c:v>
                </c:pt>
                <c:pt idx="273">
                  <c:v>3.3686209240895867E-3</c:v>
                </c:pt>
                <c:pt idx="274">
                  <c:v>3.9449280499255397E-3</c:v>
                </c:pt>
                <c:pt idx="275">
                  <c:v>4.5856347789585946E-3</c:v>
                </c:pt>
                <c:pt idx="276">
                  <c:v>5.274217641869851E-3</c:v>
                </c:pt>
                <c:pt idx="277">
                  <c:v>6.0119026384160695E-3</c:v>
                </c:pt>
                <c:pt idx="278">
                  <c:v>6.7999735281986081E-3</c:v>
                </c:pt>
                <c:pt idx="279">
                  <c:v>7.6397757625982195E-3</c:v>
                </c:pt>
                <c:pt idx="280">
                  <c:v>8.5327208725150903E-3</c:v>
                </c:pt>
                <c:pt idx="281">
                  <c:v>9.4695432331766277E-3</c:v>
                </c:pt>
                <c:pt idx="282">
                  <c:v>1.04204225017537E-2</c:v>
                </c:pt>
                <c:pt idx="283">
                  <c:v>1.1385918907353387E-2</c:v>
                </c:pt>
                <c:pt idx="284">
                  <c:v>1.2366626445287719E-2</c:v>
                </c:pt>
                <c:pt idx="285">
                  <c:v>1.3363176313256692E-2</c:v>
                </c:pt>
                <c:pt idx="286">
                  <c:v>1.4376240649263815E-2</c:v>
                </c:pt>
                <c:pt idx="287">
                  <c:v>1.54065365981694E-2</c:v>
                </c:pt>
                <c:pt idx="288">
                  <c:v>1.6455268720914056E-2</c:v>
                </c:pt>
                <c:pt idx="289">
                  <c:v>1.7520827150459061E-2</c:v>
                </c:pt>
                <c:pt idx="290">
                  <c:v>1.8594685429394599E-2</c:v>
                </c:pt>
                <c:pt idx="291">
                  <c:v>1.9677316476103247E-2</c:v>
                </c:pt>
                <c:pt idx="292">
                  <c:v>2.0769183615821744E-2</c:v>
                </c:pt>
                <c:pt idx="293">
                  <c:v>2.1870740263882506E-2</c:v>
                </c:pt>
                <c:pt idx="294">
                  <c:v>2.2982429345493976E-2</c:v>
                </c:pt>
                <c:pt idx="295">
                  <c:v>2.4075268737183499E-2</c:v>
                </c:pt>
                <c:pt idx="296">
                  <c:v>2.5161435280738366E-2</c:v>
                </c:pt>
                <c:pt idx="297">
                  <c:v>2.624098786129013E-2</c:v>
                </c:pt>
                <c:pt idx="298">
                  <c:v>2.7313745033783497E-2</c:v>
                </c:pt>
                <c:pt idx="299">
                  <c:v>2.8379472053272504E-2</c:v>
                </c:pt>
                <c:pt idx="300">
                  <c:v>2.943787727206458E-2</c:v>
                </c:pt>
                <c:pt idx="301">
                  <c:v>3.0488608059818491E-2</c:v>
                </c:pt>
                <c:pt idx="302">
                  <c:v>3.1538141939606704E-2</c:v>
                </c:pt>
                <c:pt idx="303">
                  <c:v>3.2549158511898796E-2</c:v>
                </c:pt>
                <c:pt idx="304">
                  <c:v>3.3522233337320198E-2</c:v>
                </c:pt>
                <c:pt idx="305">
                  <c:v>3.4454092797024827E-2</c:v>
                </c:pt>
                <c:pt idx="306">
                  <c:v>3.5340857343882703E-2</c:v>
                </c:pt>
                <c:pt idx="307">
                  <c:v>3.6178017448685935E-2</c:v>
                </c:pt>
                <c:pt idx="308">
                  <c:v>3.696041330967946E-2</c:v>
                </c:pt>
                <c:pt idx="309">
                  <c:v>3.7676794330695422E-2</c:v>
                </c:pt>
                <c:pt idx="310">
                  <c:v>3.8356211502355381E-2</c:v>
                </c:pt>
                <c:pt idx="311">
                  <c:v>3.8992906564872837E-2</c:v>
                </c:pt>
                <c:pt idx="312">
                  <c:v>3.9580512233148964E-2</c:v>
                </c:pt>
                <c:pt idx="313">
                  <c:v>4.0112064488330379E-2</c:v>
                </c:pt>
                <c:pt idx="314">
                  <c:v>4.0580034262051194E-2</c:v>
                </c:pt>
                <c:pt idx="315">
                  <c:v>4.0976382893840806E-2</c:v>
                </c:pt>
                <c:pt idx="316">
                  <c:v>4.1303665749412515E-2</c:v>
                </c:pt>
                <c:pt idx="317">
                  <c:v>4.1569057692557101E-2</c:v>
                </c:pt>
                <c:pt idx="318">
                  <c:v>4.1823812100589955E-2</c:v>
                </c:pt>
                <c:pt idx="319">
                  <c:v>4.2067197852442346E-2</c:v>
                </c:pt>
                <c:pt idx="320">
                  <c:v>4.2298450070975047E-2</c:v>
                </c:pt>
                <c:pt idx="321">
                  <c:v>4.2516770246487159E-2</c:v>
                </c:pt>
                <c:pt idx="322">
                  <c:v>4.2721326724656089E-2</c:v>
                </c:pt>
                <c:pt idx="323">
                  <c:v>4.288781616298698E-2</c:v>
                </c:pt>
                <c:pt idx="324">
                  <c:v>4.3021128448239139E-2</c:v>
                </c:pt>
                <c:pt idx="325">
                  <c:v>4.3119693172544694E-2</c:v>
                </c:pt>
                <c:pt idx="326">
                  <c:v>4.3181651205231507E-2</c:v>
                </c:pt>
                <c:pt idx="327">
                  <c:v>4.3205308241143367E-2</c:v>
                </c:pt>
                <c:pt idx="328">
                  <c:v>4.3189186442864166E-2</c:v>
                </c:pt>
                <c:pt idx="329">
                  <c:v>4.3131810788792031E-2</c:v>
                </c:pt>
                <c:pt idx="330">
                  <c:v>4.3039664708029592E-2</c:v>
                </c:pt>
                <c:pt idx="331">
                  <c:v>4.2919153091104702E-2</c:v>
                </c:pt>
                <c:pt idx="332">
                  <c:v>4.276438317418272E-2</c:v>
                </c:pt>
                <c:pt idx="333">
                  <c:v>4.2570388543417742E-2</c:v>
                </c:pt>
                <c:pt idx="334">
                  <c:v>4.233205638921278E-2</c:v>
                </c:pt>
                <c:pt idx="335">
                  <c:v>4.2044179062959139E-2</c:v>
                </c:pt>
                <c:pt idx="336">
                  <c:v>4.170152007049422E-2</c:v>
                </c:pt>
                <c:pt idx="337">
                  <c:v>4.1339859475457819E-2</c:v>
                </c:pt>
                <c:pt idx="338">
                  <c:v>4.0983104317192313E-2</c:v>
                </c:pt>
                <c:pt idx="339">
                  <c:v>4.0628145697422458E-2</c:v>
                </c:pt>
                <c:pt idx="340">
                  <c:v>4.0271882710208096E-2</c:v>
                </c:pt>
                <c:pt idx="341">
                  <c:v>3.9911256502961241E-2</c:v>
                </c:pt>
                <c:pt idx="342">
                  <c:v>3.9543291344961574E-2</c:v>
                </c:pt>
                <c:pt idx="343">
                  <c:v>3.9165141958839744E-2</c:v>
                </c:pt>
                <c:pt idx="344">
                  <c:v>3.877548649336373E-2</c:v>
                </c:pt>
                <c:pt idx="345">
                  <c:v>3.8378206377198146E-2</c:v>
                </c:pt>
                <c:pt idx="346">
                  <c:v>3.7988921039861311E-2</c:v>
                </c:pt>
                <c:pt idx="347">
                  <c:v>3.7612583424069278E-2</c:v>
                </c:pt>
                <c:pt idx="348">
                  <c:v>3.7253935204048842E-2</c:v>
                </c:pt>
                <c:pt idx="349">
                  <c:v>3.6917467453779475E-2</c:v>
                </c:pt>
                <c:pt idx="350">
                  <c:v>3.6607394491029545E-2</c:v>
                </c:pt>
                <c:pt idx="351">
                  <c:v>3.6340295425105154E-2</c:v>
                </c:pt>
                <c:pt idx="352">
                  <c:v>3.607758211975088E-2</c:v>
                </c:pt>
                <c:pt idx="353">
                  <c:v>3.5823085778885835E-2</c:v>
                </c:pt>
                <c:pt idx="354">
                  <c:v>3.5580446061827274E-2</c:v>
                </c:pt>
                <c:pt idx="355">
                  <c:v>3.5353105664490077E-2</c:v>
                </c:pt>
                <c:pt idx="356">
                  <c:v>3.5144256469420446E-2</c:v>
                </c:pt>
                <c:pt idx="357">
                  <c:v>3.4956970377859019E-2</c:v>
                </c:pt>
                <c:pt idx="358">
                  <c:v>3.4783334045386312E-2</c:v>
                </c:pt>
                <c:pt idx="359">
                  <c:v>3.4614398297020448E-2</c:v>
                </c:pt>
                <c:pt idx="360">
                  <c:v>3.4491131575854546E-2</c:v>
                </c:pt>
                <c:pt idx="361">
                  <c:v>3.4401782719432429E-2</c:v>
                </c:pt>
                <c:pt idx="362">
                  <c:v>3.4346580110815497E-2</c:v>
                </c:pt>
                <c:pt idx="363">
                  <c:v>3.4325631909087669E-2</c:v>
                </c:pt>
                <c:pt idx="364">
                  <c:v>3.4338939357719825E-2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6618600"/>
        <c:axId val="246618992"/>
      </c:lineChart>
      <c:dateAx>
        <c:axId val="2466186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6618992"/>
        <c:crosses val="autoZero"/>
        <c:auto val="1"/>
        <c:lblOffset val="100"/>
        <c:baseTimeUnit val="days"/>
        <c:majorUnit val="1"/>
        <c:majorTimeUnit val="months"/>
      </c:dateAx>
      <c:valAx>
        <c:axId val="2466189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66186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Donneville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4624.8060593551318</c:v>
                </c:pt>
                <c:pt idx="1">
                  <c:v>8061.4591059419599</c:v>
                </c:pt>
                <c:pt idx="2">
                  <c:v>7952.7400963774271</c:v>
                </c:pt>
                <c:pt idx="3">
                  <c:v>7687.9088859889562</c:v>
                </c:pt>
                <c:pt idx="4">
                  <c:v>7989.9826872444901</c:v>
                </c:pt>
                <c:pt idx="5">
                  <c:v>7985.6606269319509</c:v>
                </c:pt>
                <c:pt idx="6">
                  <c:v>7988.7120430402856</c:v>
                </c:pt>
                <c:pt idx="7">
                  <c:v>7994.5047204908269</c:v>
                </c:pt>
                <c:pt idx="8">
                  <c:v>8002.3071884701394</c:v>
                </c:pt>
                <c:pt idx="9">
                  <c:v>7995.7412999598391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vieillis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4612.0172759612196</c:v>
                </c:pt>
                <c:pt idx="1">
                  <c:v>7985.288270185999</c:v>
                </c:pt>
                <c:pt idx="2">
                  <c:v>7813.266977239854</c:v>
                </c:pt>
                <c:pt idx="3">
                  <c:v>7492.8676312046982</c:v>
                </c:pt>
                <c:pt idx="4">
                  <c:v>7727.9283920136422</c:v>
                </c:pt>
                <c:pt idx="5">
                  <c:v>7658.655106773148</c:v>
                </c:pt>
                <c:pt idx="6">
                  <c:v>7599.0511431912619</c:v>
                </c:pt>
                <c:pt idx="7">
                  <c:v>7545.8118884476944</c:v>
                </c:pt>
                <c:pt idx="8">
                  <c:v>7493.9944815591925</c:v>
                </c:pt>
                <c:pt idx="9">
                  <c:v>7427.7124257749692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4501.9250000000002</c:v>
                </c:pt>
                <c:pt idx="1">
                  <c:v>7466.1250000000009</c:v>
                </c:pt>
                <c:pt idx="2">
                  <c:v>7050.1550000000007</c:v>
                </c:pt>
                <c:pt idx="3">
                  <c:v>7068.6090000000022</c:v>
                </c:pt>
                <c:pt idx="4">
                  <c:v>7091.7319999999954</c:v>
                </c:pt>
                <c:pt idx="5">
                  <c:v>7231.0737478759693</c:v>
                </c:pt>
                <c:pt idx="6">
                  <c:v>6977.5709326180931</c:v>
                </c:pt>
                <c:pt idx="7">
                  <c:v>7140.2806980236173</c:v>
                </c:pt>
                <c:pt idx="8">
                  <c:v>6914.0346649798785</c:v>
                </c:pt>
                <c:pt idx="9">
                  <c:v>7033.0697331921319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4501.9250000000002</c:v>
                </c:pt>
                <c:pt idx="1">
                  <c:v>7466.1250000000009</c:v>
                </c:pt>
                <c:pt idx="2">
                  <c:v>7050.1550000000007</c:v>
                </c:pt>
                <c:pt idx="3">
                  <c:v>6605.9653499954002</c:v>
                </c:pt>
                <c:pt idx="4">
                  <c:v>6684.2267169728093</c:v>
                </c:pt>
                <c:pt idx="5">
                  <c:v>6724.1092268808497</c:v>
                </c:pt>
                <c:pt idx="6">
                  <c:v>6606.7276694317934</c:v>
                </c:pt>
                <c:pt idx="7">
                  <c:v>6628.3739206129558</c:v>
                </c:pt>
                <c:pt idx="8">
                  <c:v>6502.1090266816709</c:v>
                </c:pt>
                <c:pt idx="9">
                  <c:v>6503.0239811089423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462.97974451982009</c:v>
                </c:pt>
                <c:pt idx="4">
                  <c:v>403.54404421488664</c:v>
                </c:pt>
                <c:pt idx="5">
                  <c:v>507.11078156996098</c:v>
                </c:pt>
                <c:pt idx="6">
                  <c:v>370.7723840124138</c:v>
                </c:pt>
                <c:pt idx="7">
                  <c:v>478.58535324315153</c:v>
                </c:pt>
                <c:pt idx="8">
                  <c:v>347.91939891767822</c:v>
                </c:pt>
                <c:pt idx="9">
                  <c:v>464.24556491959504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-1.6599989140942988</c:v>
                </c:pt>
                <c:pt idx="4">
                  <c:v>-1.9937197098665465</c:v>
                </c:pt>
                <c:pt idx="5">
                  <c:v>-2.9719515460187154</c:v>
                </c:pt>
                <c:pt idx="6">
                  <c:v>-2.678525521337022</c:v>
                </c:pt>
                <c:pt idx="7">
                  <c:v>27.621459277795864</c:v>
                </c:pt>
                <c:pt idx="8">
                  <c:v>55.337574856388592</c:v>
                </c:pt>
                <c:pt idx="9">
                  <c:v>56.790025174501622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857128"/>
        <c:axId val="245857520"/>
      </c:lineChart>
      <c:catAx>
        <c:axId val="245857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857520"/>
        <c:crosses val="autoZero"/>
        <c:auto val="1"/>
        <c:lblAlgn val="ctr"/>
        <c:lblOffset val="100"/>
        <c:noMultiLvlLbl val="0"/>
      </c:catAx>
      <c:valAx>
        <c:axId val="245857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8571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2.9199700789906413E-2</c:v>
                </c:pt>
                <c:pt idx="1">
                  <c:v>2.922096380795236E-2</c:v>
                </c:pt>
                <c:pt idx="2">
                  <c:v>2.924222636028373E-2</c:v>
                </c:pt>
                <c:pt idx="3">
                  <c:v>2.9263488446910513E-2</c:v>
                </c:pt>
                <c:pt idx="4">
                  <c:v>2.9284750067843146E-2</c:v>
                </c:pt>
                <c:pt idx="5">
                  <c:v>2.9306011223091732E-2</c:v>
                </c:pt>
                <c:pt idx="6">
                  <c:v>2.9327271912666375E-2</c:v>
                </c:pt>
                <c:pt idx="7">
                  <c:v>2.9348532136577399E-2</c:v>
                </c:pt>
                <c:pt idx="8">
                  <c:v>2.9369791894834907E-2</c:v>
                </c:pt>
                <c:pt idx="9">
                  <c:v>2.9391051187449113E-2</c:v>
                </c:pt>
                <c:pt idx="10">
                  <c:v>2.9412310014430343E-2</c:v>
                </c:pt>
                <c:pt idx="11">
                  <c:v>2.9433568375788699E-2</c:v>
                </c:pt>
                <c:pt idx="12">
                  <c:v>2.9454826271534285E-2</c:v>
                </c:pt>
                <c:pt idx="13">
                  <c:v>2.9476083701677536E-2</c:v>
                </c:pt>
                <c:pt idx="14">
                  <c:v>2.9497340666228444E-2</c:v>
                </c:pt>
                <c:pt idx="15">
                  <c:v>2.9518597165197225E-2</c:v>
                </c:pt>
                <c:pt idx="16">
                  <c:v>2.9539853198594201E-2</c:v>
                </c:pt>
                <c:pt idx="17">
                  <c:v>2.9561108766429478E-2</c:v>
                </c:pt>
                <c:pt idx="18">
                  <c:v>2.9582363868713268E-2</c:v>
                </c:pt>
                <c:pt idx="19">
                  <c:v>2.9603618505455676E-2</c:v>
                </c:pt>
                <c:pt idx="20">
                  <c:v>2.9624872676667136E-2</c:v>
                </c:pt>
                <c:pt idx="21">
                  <c:v>2.964612638235764E-2</c:v>
                </c:pt>
                <c:pt idx="22">
                  <c:v>2.9667379622537404E-2</c:v>
                </c:pt>
                <c:pt idx="23">
                  <c:v>2.9688632397216641E-2</c:v>
                </c:pt>
                <c:pt idx="24">
                  <c:v>2.9709884706405676E-2</c:v>
                </c:pt>
                <c:pt idx="25">
                  <c:v>2.9731136550114501E-2</c:v>
                </c:pt>
                <c:pt idx="26">
                  <c:v>2.9752387928353441E-2</c:v>
                </c:pt>
                <c:pt idx="27">
                  <c:v>2.977363884113271E-2</c:v>
                </c:pt>
                <c:pt idx="28">
                  <c:v>2.9794889288462412E-2</c:v>
                </c:pt>
                <c:pt idx="29">
                  <c:v>2.9816139270352759E-2</c:v>
                </c:pt>
                <c:pt idx="30">
                  <c:v>2.9837388786813968E-2</c:v>
                </c:pt>
                <c:pt idx="31">
                  <c:v>2.985863783785625E-2</c:v>
                </c:pt>
                <c:pt idx="32">
                  <c:v>2.9879886423489821E-2</c:v>
                </c:pt>
                <c:pt idx="33">
                  <c:v>2.9901134543724783E-2</c:v>
                </c:pt>
                <c:pt idx="34">
                  <c:v>2.9922382198571351E-2</c:v>
                </c:pt>
                <c:pt idx="35">
                  <c:v>2.9943629388039739E-2</c:v>
                </c:pt>
                <c:pt idx="36">
                  <c:v>2.9964876112140271E-2</c:v>
                </c:pt>
                <c:pt idx="37">
                  <c:v>2.9986122370882939E-2</c:v>
                </c:pt>
                <c:pt idx="38">
                  <c:v>3.0007368164277959E-2</c:v>
                </c:pt>
                <c:pt idx="39">
                  <c:v>3.0028613492335654E-2</c:v>
                </c:pt>
                <c:pt idx="40">
                  <c:v>3.0049858355066128E-2</c:v>
                </c:pt>
                <c:pt idx="41">
                  <c:v>3.0071102752479484E-2</c:v>
                </c:pt>
                <c:pt idx="42">
                  <c:v>3.0092346684586158E-2</c:v>
                </c:pt>
                <c:pt idx="43">
                  <c:v>3.0113590151396141E-2</c:v>
                </c:pt>
                <c:pt idx="44">
                  <c:v>3.0134833152919649E-2</c:v>
                </c:pt>
                <c:pt idx="45">
                  <c:v>3.0156075689166895E-2</c:v>
                </c:pt>
                <c:pt idx="46">
                  <c:v>3.0177317760148203E-2</c:v>
                </c:pt>
                <c:pt idx="47">
                  <c:v>3.0198559365873567E-2</c:v>
                </c:pt>
                <c:pt idx="48">
                  <c:v>3.02198005063532E-2</c:v>
                </c:pt>
                <c:pt idx="49">
                  <c:v>3.0241041181597428E-2</c:v>
                </c:pt>
                <c:pt idx="50">
                  <c:v>3.0262281391616241E-2</c:v>
                </c:pt>
                <c:pt idx="51">
                  <c:v>3.0283521136420077E-2</c:v>
                </c:pt>
                <c:pt idx="52">
                  <c:v>3.0304760416018928E-2</c:v>
                </c:pt>
                <c:pt idx="53">
                  <c:v>3.0325999230423006E-2</c:v>
                </c:pt>
                <c:pt idx="54">
                  <c:v>3.0347237579642639E-2</c:v>
                </c:pt>
                <c:pt idx="55">
                  <c:v>3.0368475463687816E-2</c:v>
                </c:pt>
                <c:pt idx="56">
                  <c:v>3.0389712882568864E-2</c:v>
                </c:pt>
                <c:pt idx="57">
                  <c:v>3.0410949836295886E-2</c:v>
                </c:pt>
                <c:pt idx="58">
                  <c:v>3.0432186324879207E-2</c:v>
                </c:pt>
                <c:pt idx="59">
                  <c:v>3.0453422348328929E-2</c:v>
                </c:pt>
                <c:pt idx="60">
                  <c:v>3.0474657906655156E-2</c:v>
                </c:pt>
                <c:pt idx="61">
                  <c:v>3.0495892999868213E-2</c:v>
                </c:pt>
                <c:pt idx="62">
                  <c:v>3.0517127627978202E-2</c:v>
                </c:pt>
                <c:pt idx="63">
                  <c:v>3.0538361790995339E-2</c:v>
                </c:pt>
                <c:pt idx="64">
                  <c:v>3.0559595488929836E-2</c:v>
                </c:pt>
                <c:pt idx="65">
                  <c:v>3.0580828721791908E-2</c:v>
                </c:pt>
                <c:pt idx="66">
                  <c:v>3.0602061489591548E-2</c:v>
                </c:pt>
                <c:pt idx="67">
                  <c:v>3.062329379233919E-2</c:v>
                </c:pt>
                <c:pt idx="68">
                  <c:v>3.0644525630044828E-2</c:v>
                </c:pt>
                <c:pt idx="69">
                  <c:v>3.0665757002718785E-2</c:v>
                </c:pt>
                <c:pt idx="70">
                  <c:v>3.0686987910371166E-2</c:v>
                </c:pt>
                <c:pt idx="71">
                  <c:v>3.0708218353012184E-2</c:v>
                </c:pt>
                <c:pt idx="72">
                  <c:v>3.0729448330652054E-2</c:v>
                </c:pt>
                <c:pt idx="73">
                  <c:v>3.0750677843300989E-2</c:v>
                </c:pt>
                <c:pt idx="74">
                  <c:v>3.0771906890968981E-2</c:v>
                </c:pt>
                <c:pt idx="75">
                  <c:v>3.0793135473666355E-2</c:v>
                </c:pt>
                <c:pt idx="76">
                  <c:v>3.0814363591403326E-2</c:v>
                </c:pt>
                <c:pt idx="77">
                  <c:v>3.0835591244190108E-2</c:v>
                </c:pt>
                <c:pt idx="78">
                  <c:v>3.0856818432036692E-2</c:v>
                </c:pt>
                <c:pt idx="79">
                  <c:v>3.0878045154953515E-2</c:v>
                </c:pt>
                <c:pt idx="80">
                  <c:v>3.0899271412950458E-2</c:v>
                </c:pt>
                <c:pt idx="81">
                  <c:v>3.0920497206038067E-2</c:v>
                </c:pt>
                <c:pt idx="82">
                  <c:v>3.0941722534226224E-2</c:v>
                </c:pt>
                <c:pt idx="83">
                  <c:v>3.0962947397525253E-2</c:v>
                </c:pt>
                <c:pt idx="84">
                  <c:v>3.0984171795945259E-2</c:v>
                </c:pt>
                <c:pt idx="85">
                  <c:v>3.1005395729496454E-2</c:v>
                </c:pt>
                <c:pt idx="86">
                  <c:v>3.1026619198189054E-2</c:v>
                </c:pt>
                <c:pt idx="87">
                  <c:v>3.1047842202033271E-2</c:v>
                </c:pt>
                <c:pt idx="88">
                  <c:v>3.106906474103921E-2</c:v>
                </c:pt>
                <c:pt idx="89">
                  <c:v>3.1090286815217083E-2</c:v>
                </c:pt>
                <c:pt idx="90">
                  <c:v>3.1111508424576995E-2</c:v>
                </c:pt>
                <c:pt idx="91">
                  <c:v>3.1132729569129269E-2</c:v>
                </c:pt>
                <c:pt idx="92">
                  <c:v>3.115395024888401E-2</c:v>
                </c:pt>
                <c:pt idx="93">
                  <c:v>3.1175170463851432E-2</c:v>
                </c:pt>
                <c:pt idx="94">
                  <c:v>3.1196390214041636E-2</c:v>
                </c:pt>
                <c:pt idx="95">
                  <c:v>3.1217609499464949E-2</c:v>
                </c:pt>
                <c:pt idx="96">
                  <c:v>3.1238828320131362E-2</c:v>
                </c:pt>
                <c:pt idx="97">
                  <c:v>3.126004667605109E-2</c:v>
                </c:pt>
                <c:pt idx="98">
                  <c:v>3.1281264567234457E-2</c:v>
                </c:pt>
                <c:pt idx="99">
                  <c:v>3.1302481993691567E-2</c:v>
                </c:pt>
                <c:pt idx="100">
                  <c:v>3.1323698955432522E-2</c:v>
                </c:pt>
                <c:pt idx="101">
                  <c:v>3.1344915452467537E-2</c:v>
                </c:pt>
                <c:pt idx="102">
                  <c:v>3.1366131484806936E-2</c:v>
                </c:pt>
                <c:pt idx="103">
                  <c:v>3.1387347052460712E-2</c:v>
                </c:pt>
                <c:pt idx="104">
                  <c:v>3.1408562155439079E-2</c:v>
                </c:pt>
                <c:pt idx="105">
                  <c:v>3.1429776793752251E-2</c:v>
                </c:pt>
                <c:pt idx="106">
                  <c:v>3.1450990967410442E-2</c:v>
                </c:pt>
                <c:pt idx="107">
                  <c:v>3.1472204676423754E-2</c:v>
                </c:pt>
                <c:pt idx="108">
                  <c:v>3.1493417920802402E-2</c:v>
                </c:pt>
                <c:pt idx="109">
                  <c:v>3.1514630700556601E-2</c:v>
                </c:pt>
                <c:pt idx="110">
                  <c:v>3.1535843015696452E-2</c:v>
                </c:pt>
                <c:pt idx="111">
                  <c:v>3.1557054866232059E-2</c:v>
                </c:pt>
                <c:pt idx="112">
                  <c:v>3.1578266252173859E-2</c:v>
                </c:pt>
                <c:pt idx="113">
                  <c:v>3.1599477173531731E-2</c:v>
                </c:pt>
                <c:pt idx="114">
                  <c:v>3.1620687630316113E-2</c:v>
                </c:pt>
                <c:pt idx="115">
                  <c:v>3.1641897622536996E-2</c:v>
                </c:pt>
                <c:pt idx="116">
                  <c:v>3.1663107150204595E-2</c:v>
                </c:pt>
                <c:pt idx="117">
                  <c:v>3.1684316213329122E-2</c:v>
                </c:pt>
                <c:pt idx="118">
                  <c:v>3.1705524811920793E-2</c:v>
                </c:pt>
                <c:pt idx="119">
                  <c:v>3.17267329459896E-2</c:v>
                </c:pt>
                <c:pt idx="120">
                  <c:v>3.1747940615545978E-2</c:v>
                </c:pt>
                <c:pt idx="121">
                  <c:v>3.1769147820599919E-2</c:v>
                </c:pt>
                <c:pt idx="122">
                  <c:v>3.1790354561161638E-2</c:v>
                </c:pt>
                <c:pt idx="123">
                  <c:v>3.1811560837241237E-2</c:v>
                </c:pt>
                <c:pt idx="124">
                  <c:v>3.1832766648849042E-2</c:v>
                </c:pt>
                <c:pt idx="125">
                  <c:v>3.1853971995995156E-2</c:v>
                </c:pt>
                <c:pt idx="126">
                  <c:v>3.1875176878689682E-2</c:v>
                </c:pt>
                <c:pt idx="127">
                  <c:v>3.1896381296942944E-2</c:v>
                </c:pt>
                <c:pt idx="128">
                  <c:v>3.1917585250764935E-2</c:v>
                </c:pt>
                <c:pt idx="129">
                  <c:v>3.193878874016598E-2</c:v>
                </c:pt>
                <c:pt idx="130">
                  <c:v>3.1959991765156182E-2</c:v>
                </c:pt>
                <c:pt idx="131">
                  <c:v>3.1981194325745754E-2</c:v>
                </c:pt>
                <c:pt idx="132">
                  <c:v>3.2002396421944801E-2</c:v>
                </c:pt>
                <c:pt idx="133">
                  <c:v>3.2023598053763536E-2</c:v>
                </c:pt>
                <c:pt idx="134">
                  <c:v>3.2044799221212061E-2</c:v>
                </c:pt>
                <c:pt idx="135">
                  <c:v>3.2065999924300703E-2</c:v>
                </c:pt>
                <c:pt idx="136">
                  <c:v>3.2087200163039453E-2</c:v>
                </c:pt>
                <c:pt idx="137">
                  <c:v>3.2108399937438525E-2</c:v>
                </c:pt>
                <c:pt idx="138">
                  <c:v>3.2129599247508245E-2</c:v>
                </c:pt>
                <c:pt idx="139">
                  <c:v>3.2150798093258603E-2</c:v>
                </c:pt>
                <c:pt idx="140">
                  <c:v>3.2171996474699927E-2</c:v>
                </c:pt>
                <c:pt idx="141">
                  <c:v>3.2193194391842206E-2</c:v>
                </c:pt>
                <c:pt idx="142">
                  <c:v>3.2214391844695656E-2</c:v>
                </c:pt>
                <c:pt idx="143">
                  <c:v>3.2235588833270601E-2</c:v>
                </c:pt>
                <c:pt idx="144">
                  <c:v>3.2256785357577034E-2</c:v>
                </c:pt>
                <c:pt idx="145">
                  <c:v>3.2277981417625168E-2</c:v>
                </c:pt>
                <c:pt idx="146">
                  <c:v>3.2299177013425218E-2</c:v>
                </c:pt>
                <c:pt idx="147">
                  <c:v>3.2320372144987286E-2</c:v>
                </c:pt>
                <c:pt idx="148">
                  <c:v>3.2341566812321698E-2</c:v>
                </c:pt>
                <c:pt idx="149">
                  <c:v>3.2362761015438335E-2</c:v>
                </c:pt>
                <c:pt idx="150">
                  <c:v>3.2383954754347632E-2</c:v>
                </c:pt>
                <c:pt idx="151">
                  <c:v>3.2405148029059694E-2</c:v>
                </c:pt>
                <c:pt idx="152">
                  <c:v>3.2426340839584511E-2</c:v>
                </c:pt>
                <c:pt idx="153">
                  <c:v>3.244753318593252E-2</c:v>
                </c:pt>
                <c:pt idx="154">
                  <c:v>3.2468725068113713E-2</c:v>
                </c:pt>
                <c:pt idx="155">
                  <c:v>3.2489916486138193E-2</c:v>
                </c:pt>
                <c:pt idx="156">
                  <c:v>3.2511107440016396E-2</c:v>
                </c:pt>
                <c:pt idx="157">
                  <c:v>3.2532297929758203E-2</c:v>
                </c:pt>
                <c:pt idx="158">
                  <c:v>3.2553487955373939E-2</c:v>
                </c:pt>
                <c:pt idx="159">
                  <c:v>3.2574677516873707E-2</c:v>
                </c:pt>
                <c:pt idx="160">
                  <c:v>3.2595866614267721E-2</c:v>
                </c:pt>
                <c:pt idx="161">
                  <c:v>3.2617055247566196E-2</c:v>
                </c:pt>
                <c:pt idx="162">
                  <c:v>3.2638243416779122E-2</c:v>
                </c:pt>
                <c:pt idx="163">
                  <c:v>3.2659431121916827E-2</c:v>
                </c:pt>
                <c:pt idx="164">
                  <c:v>3.2680618362989411E-2</c:v>
                </c:pt>
                <c:pt idx="165">
                  <c:v>3.2701805140006979E-2</c:v>
                </c:pt>
                <c:pt idx="166">
                  <c:v>3.2722991452979744E-2</c:v>
                </c:pt>
                <c:pt idx="167">
                  <c:v>3.2744177301917921E-2</c:v>
                </c:pt>
                <c:pt idx="168">
                  <c:v>3.2765362686831723E-2</c:v>
                </c:pt>
                <c:pt idx="169">
                  <c:v>3.2786547607731142E-2</c:v>
                </c:pt>
                <c:pt idx="170">
                  <c:v>3.2807732064626394E-2</c:v>
                </c:pt>
                <c:pt idx="171">
                  <c:v>3.2828916057527691E-2</c:v>
                </c:pt>
                <c:pt idx="172">
                  <c:v>3.2850099586445136E-2</c:v>
                </c:pt>
                <c:pt idx="173">
                  <c:v>3.2871282651389055E-2</c:v>
                </c:pt>
                <c:pt idx="174">
                  <c:v>3.2892465252369329E-2</c:v>
                </c:pt>
                <c:pt idx="175">
                  <c:v>3.2913647389396394E-2</c:v>
                </c:pt>
                <c:pt idx="176">
                  <c:v>3.2934829062480242E-2</c:v>
                </c:pt>
                <c:pt idx="177">
                  <c:v>3.2956010271631198E-2</c:v>
                </c:pt>
                <c:pt idx="178">
                  <c:v>3.2977191016859142E-2</c:v>
                </c:pt>
                <c:pt idx="179">
                  <c:v>3.2998371298174511E-2</c:v>
                </c:pt>
                <c:pt idx="180">
                  <c:v>3.3019551115587298E-2</c:v>
                </c:pt>
                <c:pt idx="181">
                  <c:v>3.3040730469107826E-2</c:v>
                </c:pt>
                <c:pt idx="182">
                  <c:v>3.3061909358746089E-2</c:v>
                </c:pt>
                <c:pt idx="183">
                  <c:v>3.3083087784512299E-2</c:v>
                </c:pt>
                <c:pt idx="184">
                  <c:v>3.3104265746416672E-2</c:v>
                </c:pt>
                <c:pt idx="185">
                  <c:v>3.312544324446931E-2</c:v>
                </c:pt>
                <c:pt idx="186">
                  <c:v>3.3146620278680428E-2</c:v>
                </c:pt>
                <c:pt idx="187">
                  <c:v>3.3167796849060127E-2</c:v>
                </c:pt>
                <c:pt idx="188">
                  <c:v>3.3188972955618512E-2</c:v>
                </c:pt>
                <c:pt idx="189">
                  <c:v>3.3210148598365907E-2</c:v>
                </c:pt>
                <c:pt idx="190">
                  <c:v>3.3231323777312305E-2</c:v>
                </c:pt>
                <c:pt idx="191">
                  <c:v>3.325249849246803E-2</c:v>
                </c:pt>
                <c:pt idx="192">
                  <c:v>3.3273672743843075E-2</c:v>
                </c:pt>
                <c:pt idx="193">
                  <c:v>3.3294846531447764E-2</c:v>
                </c:pt>
                <c:pt idx="194">
                  <c:v>3.3316019855292089E-2</c:v>
                </c:pt>
                <c:pt idx="195">
                  <c:v>3.3337192715386266E-2</c:v>
                </c:pt>
                <c:pt idx="196">
                  <c:v>3.3358365111740507E-2</c:v>
                </c:pt>
                <c:pt idx="197">
                  <c:v>3.3379537044364915E-2</c:v>
                </c:pt>
                <c:pt idx="198">
                  <c:v>3.3400708513269706E-2</c:v>
                </c:pt>
                <c:pt idx="199">
                  <c:v>3.342187951846487E-2</c:v>
                </c:pt>
                <c:pt idx="200">
                  <c:v>3.3443050059960844E-2</c:v>
                </c:pt>
                <c:pt idx="201">
                  <c:v>3.3464220137767509E-2</c:v>
                </c:pt>
                <c:pt idx="202">
                  <c:v>3.3485389751895189E-2</c:v>
                </c:pt>
                <c:pt idx="203">
                  <c:v>3.3506558902353989E-2</c:v>
                </c:pt>
                <c:pt idx="204">
                  <c:v>3.3527727589154011E-2</c:v>
                </c:pt>
                <c:pt idx="205">
                  <c:v>3.3548895812305579E-2</c:v>
                </c:pt>
                <c:pt idx="206">
                  <c:v>3.3570063571818687E-2</c:v>
                </c:pt>
                <c:pt idx="207">
                  <c:v>3.3591230867703437E-2</c:v>
                </c:pt>
                <c:pt idx="208">
                  <c:v>3.3612397699970153E-2</c:v>
                </c:pt>
                <c:pt idx="209">
                  <c:v>3.3633564068628941E-2</c:v>
                </c:pt>
                <c:pt idx="210">
                  <c:v>3.3654729973689901E-2</c:v>
                </c:pt>
                <c:pt idx="211">
                  <c:v>3.3675895415163248E-2</c:v>
                </c:pt>
                <c:pt idx="212">
                  <c:v>3.3697060393059086E-2</c:v>
                </c:pt>
                <c:pt idx="213">
                  <c:v>3.3718224907387628E-2</c:v>
                </c:pt>
                <c:pt idx="214">
                  <c:v>3.3739388958158978E-2</c:v>
                </c:pt>
                <c:pt idx="215">
                  <c:v>3.3760552545383238E-2</c:v>
                </c:pt>
                <c:pt idx="216">
                  <c:v>3.3781715669070733E-2</c:v>
                </c:pt>
                <c:pt idx="217">
                  <c:v>3.3802878329231345E-2</c:v>
                </c:pt>
                <c:pt idx="218">
                  <c:v>3.3824040525875509E-2</c:v>
                </c:pt>
                <c:pt idx="219">
                  <c:v>3.3845202259013218E-2</c:v>
                </c:pt>
                <c:pt idx="220">
                  <c:v>3.3866363528654686E-2</c:v>
                </c:pt>
                <c:pt idx="221">
                  <c:v>3.3887524334810015E-2</c:v>
                </c:pt>
                <c:pt idx="222">
                  <c:v>3.390868467748942E-2</c:v>
                </c:pt>
                <c:pt idx="223">
                  <c:v>3.3929844556703004E-2</c:v>
                </c:pt>
                <c:pt idx="224">
                  <c:v>3.3951003972460869E-2</c:v>
                </c:pt>
                <c:pt idx="225">
                  <c:v>3.397216292477323E-2</c:v>
                </c:pt>
                <c:pt idx="226">
                  <c:v>3.3993321413650301E-2</c:v>
                </c:pt>
                <c:pt idx="227">
                  <c:v>3.4014479439102185E-2</c:v>
                </c:pt>
                <c:pt idx="228">
                  <c:v>3.4035637001138874E-2</c:v>
                </c:pt>
                <c:pt idx="229">
                  <c:v>3.4056794099770804E-2</c:v>
                </c:pt>
                <c:pt idx="230">
                  <c:v>3.4077950735007856E-2</c:v>
                </c:pt>
                <c:pt idx="231">
                  <c:v>3.4099106906860355E-2</c:v>
                </c:pt>
                <c:pt idx="232">
                  <c:v>3.4120262615338404E-2</c:v>
                </c:pt>
                <c:pt idx="233">
                  <c:v>3.4141417860452106E-2</c:v>
                </c:pt>
                <c:pt idx="234">
                  <c:v>3.4162572642211675E-2</c:v>
                </c:pt>
                <c:pt idx="235">
                  <c:v>3.4183726960627214E-2</c:v>
                </c:pt>
                <c:pt idx="236">
                  <c:v>3.4204880815708938E-2</c:v>
                </c:pt>
                <c:pt idx="237">
                  <c:v>3.4226034207466949E-2</c:v>
                </c:pt>
                <c:pt idx="238">
                  <c:v>3.4247187135911239E-2</c:v>
                </c:pt>
                <c:pt idx="239">
                  <c:v>3.4268339601052245E-2</c:v>
                </c:pt>
                <c:pt idx="240">
                  <c:v>3.4289491602899957E-2</c:v>
                </c:pt>
                <c:pt idx="241">
                  <c:v>3.4310643141464592E-2</c:v>
                </c:pt>
                <c:pt idx="242">
                  <c:v>3.433179421675614E-2</c:v>
                </c:pt>
                <c:pt idx="243">
                  <c:v>3.4352944828784926E-2</c:v>
                </c:pt>
                <c:pt idx="244">
                  <c:v>3.4374094977561054E-2</c:v>
                </c:pt>
                <c:pt idx="245">
                  <c:v>3.4395244663094626E-2</c:v>
                </c:pt>
                <c:pt idx="246">
                  <c:v>3.4416393885395746E-2</c:v>
                </c:pt>
                <c:pt idx="247">
                  <c:v>3.4437542644474628E-2</c:v>
                </c:pt>
                <c:pt idx="248">
                  <c:v>3.4458690940341485E-2</c:v>
                </c:pt>
                <c:pt idx="249">
                  <c:v>3.4479838773006311E-2</c:v>
                </c:pt>
                <c:pt idx="250">
                  <c:v>3.4500986142479317E-2</c:v>
                </c:pt>
                <c:pt idx="251">
                  <c:v>3.452213304877072E-2</c:v>
                </c:pt>
                <c:pt idx="252">
                  <c:v>3.4543279491890622E-2</c:v>
                </c:pt>
                <c:pt idx="253">
                  <c:v>3.4564425471849125E-2</c:v>
                </c:pt>
                <c:pt idx="254">
                  <c:v>3.4585570988656333E-2</c:v>
                </c:pt>
                <c:pt idx="255">
                  <c:v>3.4606716042322461E-2</c:v>
                </c:pt>
                <c:pt idx="256">
                  <c:v>3.4627860632857721E-2</c:v>
                </c:pt>
                <c:pt idx="257">
                  <c:v>3.4649004760272106E-2</c:v>
                </c:pt>
                <c:pt idx="258">
                  <c:v>3.4670148424575942E-2</c:v>
                </c:pt>
                <c:pt idx="259">
                  <c:v>3.4691291625779219E-2</c:v>
                </c:pt>
                <c:pt idx="260">
                  <c:v>3.4712434363892042E-2</c:v>
                </c:pt>
                <c:pt idx="261">
                  <c:v>3.4733576638924735E-2</c:v>
                </c:pt>
                <c:pt idx="262">
                  <c:v>3.475471845088729E-2</c:v>
                </c:pt>
                <c:pt idx="263">
                  <c:v>3.4775859799789921E-2</c:v>
                </c:pt>
                <c:pt idx="264">
                  <c:v>3.4797000685642732E-2</c:v>
                </c:pt>
                <c:pt idx="265">
                  <c:v>3.4818141108455936E-2</c:v>
                </c:pt>
                <c:pt idx="266">
                  <c:v>3.4839281068239636E-2</c:v>
                </c:pt>
                <c:pt idx="267">
                  <c:v>3.4860420565003936E-2</c:v>
                </c:pt>
                <c:pt idx="268">
                  <c:v>3.4881559598758938E-2</c:v>
                </c:pt>
                <c:pt idx="269">
                  <c:v>3.4902698169514967E-2</c:v>
                </c:pt>
                <c:pt idx="270">
                  <c:v>3.4923836277282017E-2</c:v>
                </c:pt>
                <c:pt idx="271">
                  <c:v>3.4944973922070188E-2</c:v>
                </c:pt>
                <c:pt idx="272">
                  <c:v>3.4966111103889697E-2</c:v>
                </c:pt>
                <c:pt idx="273">
                  <c:v>3.4987247822750756E-2</c:v>
                </c:pt>
                <c:pt idx="274">
                  <c:v>3.5008384078663357E-2</c:v>
                </c:pt>
                <c:pt idx="275">
                  <c:v>3.5029519871637715E-2</c:v>
                </c:pt>
                <c:pt idx="276">
                  <c:v>3.5050655201684044E-2</c:v>
                </c:pt>
                <c:pt idx="277">
                  <c:v>3.5071790068812336E-2</c:v>
                </c:pt>
                <c:pt idx="278">
                  <c:v>3.5092924473032805E-2</c:v>
                </c:pt>
                <c:pt idx="279">
                  <c:v>3.5114058414355553E-2</c:v>
                </c:pt>
                <c:pt idx="280">
                  <c:v>3.5135191892790796E-2</c:v>
                </c:pt>
                <c:pt idx="281">
                  <c:v>3.5156324908348524E-2</c:v>
                </c:pt>
                <c:pt idx="282">
                  <c:v>3.5177457461039063E-2</c:v>
                </c:pt>
                <c:pt idx="283">
                  <c:v>3.5198589550872406E-2</c:v>
                </c:pt>
                <c:pt idx="284">
                  <c:v>3.5219721177858876E-2</c:v>
                </c:pt>
                <c:pt idx="285">
                  <c:v>3.5240852342008355E-2</c:v>
                </c:pt>
                <c:pt idx="286">
                  <c:v>3.5261983043331169E-2</c:v>
                </c:pt>
                <c:pt idx="287">
                  <c:v>3.5283113281837308E-2</c:v>
                </c:pt>
                <c:pt idx="288">
                  <c:v>3.5304243057537099E-2</c:v>
                </c:pt>
                <c:pt idx="289">
                  <c:v>3.5325372370440533E-2</c:v>
                </c:pt>
                <c:pt idx="290">
                  <c:v>3.5346501220557824E-2</c:v>
                </c:pt>
                <c:pt idx="291">
                  <c:v>3.5367629607898965E-2</c:v>
                </c:pt>
                <c:pt idx="292">
                  <c:v>3.538875753247428E-2</c:v>
                </c:pt>
                <c:pt idx="293">
                  <c:v>3.5409884994293872E-2</c:v>
                </c:pt>
                <c:pt idx="294">
                  <c:v>3.5431011993367734E-2</c:v>
                </c:pt>
                <c:pt idx="295">
                  <c:v>3.545213852970619E-2</c:v>
                </c:pt>
                <c:pt idx="296">
                  <c:v>3.5473264603319121E-2</c:v>
                </c:pt>
                <c:pt idx="297">
                  <c:v>3.5494390214216964E-2</c:v>
                </c:pt>
                <c:pt idx="298">
                  <c:v>3.5515515362409711E-2</c:v>
                </c:pt>
                <c:pt idx="299">
                  <c:v>3.5536640047907353E-2</c:v>
                </c:pt>
                <c:pt idx="300">
                  <c:v>3.5557764270720327E-2</c:v>
                </c:pt>
                <c:pt idx="301">
                  <c:v>3.5578888030858513E-2</c:v>
                </c:pt>
                <c:pt idx="302">
                  <c:v>3.5600011328332237E-2</c:v>
                </c:pt>
                <c:pt idx="303">
                  <c:v>3.5621134163151491E-2</c:v>
                </c:pt>
                <c:pt idx="304">
                  <c:v>3.5642256535326378E-2</c:v>
                </c:pt>
                <c:pt idx="305">
                  <c:v>3.5663378444867222E-2</c:v>
                </c:pt>
                <c:pt idx="306">
                  <c:v>3.5684499891783905E-2</c:v>
                </c:pt>
                <c:pt idx="307">
                  <c:v>3.5705620876086752E-2</c:v>
                </c:pt>
                <c:pt idx="308">
                  <c:v>3.5726741397785866E-2</c:v>
                </c:pt>
                <c:pt idx="309">
                  <c:v>3.574786145689135E-2</c:v>
                </c:pt>
                <c:pt idx="310">
                  <c:v>3.5768981053413307E-2</c:v>
                </c:pt>
                <c:pt idx="311">
                  <c:v>3.5790100187361951E-2</c:v>
                </c:pt>
                <c:pt idx="312">
                  <c:v>3.5811218858747274E-2</c:v>
                </c:pt>
                <c:pt idx="313">
                  <c:v>3.58323370675796E-2</c:v>
                </c:pt>
                <c:pt idx="314">
                  <c:v>3.5853454813868924E-2</c:v>
                </c:pt>
                <c:pt idx="315">
                  <c:v>3.5874572097625346E-2</c:v>
                </c:pt>
                <c:pt idx="316">
                  <c:v>3.5895688918859081E-2</c:v>
                </c:pt>
                <c:pt idx="317">
                  <c:v>3.5916805277580233E-2</c:v>
                </c:pt>
                <c:pt idx="318">
                  <c:v>3.5937921173798903E-2</c:v>
                </c:pt>
                <c:pt idx="319">
                  <c:v>3.5959036607525308E-2</c:v>
                </c:pt>
                <c:pt idx="320">
                  <c:v>3.5980151578769548E-2</c:v>
                </c:pt>
                <c:pt idx="321">
                  <c:v>3.6001266087541728E-2</c:v>
                </c:pt>
                <c:pt idx="322">
                  <c:v>3.602238013385195E-2</c:v>
                </c:pt>
                <c:pt idx="323">
                  <c:v>3.6043493717710318E-2</c:v>
                </c:pt>
                <c:pt idx="324">
                  <c:v>3.6064606839127045E-2</c:v>
                </c:pt>
                <c:pt idx="325">
                  <c:v>3.6085719498112234E-2</c:v>
                </c:pt>
                <c:pt idx="326">
                  <c:v>3.61068316946761E-2</c:v>
                </c:pt>
                <c:pt idx="327">
                  <c:v>3.6127943428828524E-2</c:v>
                </c:pt>
                <c:pt idx="328">
                  <c:v>3.614905470057983E-2</c:v>
                </c:pt>
                <c:pt idx="329">
                  <c:v>3.6170165509940122E-2</c:v>
                </c:pt>
                <c:pt idx="330">
                  <c:v>3.6191275856919614E-2</c:v>
                </c:pt>
                <c:pt idx="331">
                  <c:v>3.6212385741528186E-2</c:v>
                </c:pt>
                <c:pt idx="332">
                  <c:v>3.6233495163776164E-2</c:v>
                </c:pt>
                <c:pt idx="333">
                  <c:v>3.625460412367365E-2</c:v>
                </c:pt>
                <c:pt idx="334">
                  <c:v>3.6275712621230638E-2</c:v>
                </c:pt>
                <c:pt idx="335">
                  <c:v>3.6296820656457451E-2</c:v>
                </c:pt>
                <c:pt idx="336">
                  <c:v>3.6317928229364083E-2</c:v>
                </c:pt>
                <c:pt idx="337">
                  <c:v>3.6339035339960635E-2</c:v>
                </c:pt>
                <c:pt idx="338">
                  <c:v>3.6360141988257433E-2</c:v>
                </c:pt>
                <c:pt idx="339">
                  <c:v>3.6381248174264358E-2</c:v>
                </c:pt>
                <c:pt idx="340">
                  <c:v>3.6402353897991735E-2</c:v>
                </c:pt>
                <c:pt idx="341">
                  <c:v>3.6423459159449445E-2</c:v>
                </c:pt>
                <c:pt idx="342">
                  <c:v>3.6444563958647924E-2</c:v>
                </c:pt>
                <c:pt idx="343">
                  <c:v>3.6465668295597053E-2</c:v>
                </c:pt>
                <c:pt idx="344">
                  <c:v>3.6486772170307047E-2</c:v>
                </c:pt>
                <c:pt idx="345">
                  <c:v>3.6507875582788007E-2</c:v>
                </c:pt>
                <c:pt idx="346">
                  <c:v>3.6528978533050149E-2</c:v>
                </c:pt>
                <c:pt idx="347">
                  <c:v>3.6550081021103464E-2</c:v>
                </c:pt>
                <c:pt idx="348">
                  <c:v>3.6571183046958056E-2</c:v>
                </c:pt>
                <c:pt idx="349">
                  <c:v>3.6592284610624248E-2</c:v>
                </c:pt>
                <c:pt idx="350">
                  <c:v>3.6613385712112034E-2</c:v>
                </c:pt>
                <c:pt idx="351">
                  <c:v>3.6634486351431517E-2</c:v>
                </c:pt>
                <c:pt idx="352">
                  <c:v>3.6655586528592798E-2</c:v>
                </c:pt>
                <c:pt idx="353">
                  <c:v>3.6676686243606094E-2</c:v>
                </c:pt>
                <c:pt idx="354">
                  <c:v>3.6697785496481505E-2</c:v>
                </c:pt>
                <c:pt idx="355">
                  <c:v>3.6718884287229026E-2</c:v>
                </c:pt>
                <c:pt idx="356">
                  <c:v>3.6739982615858979E-2</c:v>
                </c:pt>
                <c:pt idx="357">
                  <c:v>3.6761080482381359E-2</c:v>
                </c:pt>
                <c:pt idx="358">
                  <c:v>3.6782177886806267E-2</c:v>
                </c:pt>
                <c:pt idx="359">
                  <c:v>3.6803274829143917E-2</c:v>
                </c:pt>
                <c:pt idx="360">
                  <c:v>3.6824371309404413E-2</c:v>
                </c:pt>
                <c:pt idx="361">
                  <c:v>3.6845467327597858E-2</c:v>
                </c:pt>
                <c:pt idx="362">
                  <c:v>3.6866562883734355E-2</c:v>
                </c:pt>
                <c:pt idx="363">
                  <c:v>3.6887657977824007E-2</c:v>
                </c:pt>
                <c:pt idx="364">
                  <c:v>3.6908752609876916E-2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5.6372899326418278E-2</c:v>
                </c:pt>
                <c:pt idx="1">
                  <c:v>5.649892624988704E-2</c:v>
                </c:pt>
                <c:pt idx="2">
                  <c:v>5.6624894719605995E-2</c:v>
                </c:pt>
                <c:pt idx="3">
                  <c:v>5.6750792579622976E-2</c:v>
                </c:pt>
                <c:pt idx="4">
                  <c:v>5.6876609268702916E-2</c:v>
                </c:pt>
                <c:pt idx="5">
                  <c:v>5.7002335784225235E-2</c:v>
                </c:pt>
                <c:pt idx="6">
                  <c:v>5.7127964632685782E-2</c:v>
                </c:pt>
                <c:pt idx="7">
                  <c:v>5.725348976770555E-2</c:v>
                </c:pt>
                <c:pt idx="8">
                  <c:v>5.7378906516549852E-2</c:v>
                </c:pt>
                <c:pt idx="9">
                  <c:v>5.7504211496252726E-2</c:v>
                </c:pt>
                <c:pt idx="10">
                  <c:v>5.7629402520519915E-2</c:v>
                </c:pt>
                <c:pt idx="11">
                  <c:v>5.7754478498649391E-2</c:v>
                </c:pt>
                <c:pt idx="12">
                  <c:v>5.787943932776226E-2</c:v>
                </c:pt>
                <c:pt idx="13">
                  <c:v>5.8004285779675764E-2</c:v>
                </c:pt>
                <c:pt idx="14">
                  <c:v>5.8129019383776341E-2</c:v>
                </c:pt>
                <c:pt idx="15">
                  <c:v>5.8253642307262841E-2</c:v>
                </c:pt>
                <c:pt idx="16">
                  <c:v>5.8378157234128231E-2</c:v>
                </c:pt>
                <c:pt idx="17">
                  <c:v>5.8502567244233208E-2</c:v>
                </c:pt>
                <c:pt idx="18">
                  <c:v>5.8626875693796682E-2</c:v>
                </c:pt>
                <c:pt idx="19">
                  <c:v>5.8751086098587237E-2</c:v>
                </c:pt>
                <c:pt idx="20">
                  <c:v>5.8875202021045979E-2</c:v>
                </c:pt>
                <c:pt idx="21">
                  <c:v>5.8999226962507062E-2</c:v>
                </c:pt>
                <c:pt idx="22">
                  <c:v>5.9123164261606319E-2</c:v>
                </c:pt>
                <c:pt idx="23">
                  <c:v>5.9247016999883585E-2</c:v>
                </c:pt>
                <c:pt idx="24">
                  <c:v>5.9370787915490109E-2</c:v>
                </c:pt>
                <c:pt idx="25">
                  <c:v>5.9494479325811318E-2</c:v>
                </c:pt>
                <c:pt idx="26">
                  <c:v>5.961809305970657E-2</c:v>
                </c:pt>
                <c:pt idx="27">
                  <c:v>5.9741630399954511E-2</c:v>
                </c:pt>
                <c:pt idx="28">
                  <c:v>5.9865092036374697E-2</c:v>
                </c:pt>
                <c:pt idx="29">
                  <c:v>5.9988478029976332E-2</c:v>
                </c:pt>
                <c:pt idx="30">
                  <c:v>6.0111787788362514E-2</c:v>
                </c:pt>
                <c:pt idx="31">
                  <c:v>6.0235020052496313E-2</c:v>
                </c:pt>
                <c:pt idx="32">
                  <c:v>6.0358172894814349E-2</c:v>
                </c:pt>
                <c:pt idx="33">
                  <c:v>6.0481243728553784E-2</c:v>
                </c:pt>
                <c:pt idx="34">
                  <c:v>6.0604229328043865E-2</c:v>
                </c:pt>
                <c:pt idx="35">
                  <c:v>6.0727125859602084E-2</c:v>
                </c:pt>
                <c:pt idx="36">
                  <c:v>6.0849928922569622E-2</c:v>
                </c:pt>
                <c:pt idx="37">
                  <c:v>6.0972633599922957E-2</c:v>
                </c:pt>
                <c:pt idx="38">
                  <c:v>6.1095234517806615E-2</c:v>
                </c:pt>
                <c:pt idx="39">
                  <c:v>6.121772591325108E-2</c:v>
                </c:pt>
                <c:pt idx="40">
                  <c:v>6.1340101709265474E-2</c:v>
                </c:pt>
                <c:pt idx="41">
                  <c:v>6.1462355596432143E-2</c:v>
                </c:pt>
                <c:pt idx="42">
                  <c:v>6.1584481120076688E-2</c:v>
                </c:pt>
                <c:pt idx="43">
                  <c:v>6.1706471772045537E-2</c:v>
                </c:pt>
                <c:pt idx="44">
                  <c:v>6.1828321086090689E-2</c:v>
                </c:pt>
                <c:pt idx="45">
                  <c:v>6.1950022735842249E-2</c:v>
                </c:pt>
                <c:pt idx="46">
                  <c:v>6.2071570634339657E-2</c:v>
                </c:pt>
                <c:pt idx="47">
                  <c:v>6.2192959034094657E-2</c:v>
                </c:pt>
                <c:pt idx="48">
                  <c:v>6.2314182626672161E-2</c:v>
                </c:pt>
                <c:pt idx="49">
                  <c:v>6.2435236640797961E-2</c:v>
                </c:pt>
                <c:pt idx="50">
                  <c:v>6.2556116938036255E-2</c:v>
                </c:pt>
                <c:pt idx="51">
                  <c:v>6.2676820105121864E-2</c:v>
                </c:pt>
                <c:pt idx="52">
                  <c:v>6.2797343542084438E-2</c:v>
                </c:pt>
                <c:pt idx="53">
                  <c:v>6.2917685545361132E-2</c:v>
                </c:pt>
                <c:pt idx="54">
                  <c:v>6.3037845385161079E-2</c:v>
                </c:pt>
                <c:pt idx="55">
                  <c:v>6.3157823376418426E-2</c:v>
                </c:pt>
                <c:pt idx="56">
                  <c:v>6.3277620942749371E-2</c:v>
                </c:pt>
                <c:pt idx="57">
                  <c:v>6.3397240672910929E-2</c:v>
                </c:pt>
                <c:pt idx="58">
                  <c:v>6.3516686369346584E-2</c:v>
                </c:pt>
                <c:pt idx="59">
                  <c:v>6.3635963088491843E-2</c:v>
                </c:pt>
                <c:pt idx="60">
                  <c:v>6.375507717260237E-2</c:v>
                </c:pt>
                <c:pt idx="61">
                  <c:v>6.3874036272958234E-2</c:v>
                </c:pt>
                <c:pt idx="62">
                  <c:v>6.3992849364386303E-2</c:v>
                </c:pt>
                <c:pt idx="63">
                  <c:v>6.411152675112966E-2</c:v>
                </c:pt>
                <c:pt idx="64">
                  <c:v>6.4230080064178199E-2</c:v>
                </c:pt>
                <c:pt idx="65">
                  <c:v>6.4348522250253892E-2</c:v>
                </c:pt>
                <c:pt idx="66">
                  <c:v>6.4466867552720658E-2</c:v>
                </c:pt>
                <c:pt idx="67">
                  <c:v>6.4585131484758432E-2</c:v>
                </c:pt>
                <c:pt idx="68">
                  <c:v>6.4703330795205419E-2</c:v>
                </c:pt>
                <c:pt idx="69">
                  <c:v>6.482148342752854E-2</c:v>
                </c:pt>
                <c:pt idx="70">
                  <c:v>6.4939608472433297E-2</c:v>
                </c:pt>
                <c:pt idx="71">
                  <c:v>6.5057726114663789E-2</c:v>
                </c:pt>
                <c:pt idx="72">
                  <c:v>6.5175857574578888E-2</c:v>
                </c:pt>
                <c:pt idx="73">
                  <c:v>6.5294025045114265E-2</c:v>
                </c:pt>
                <c:pt idx="74">
                  <c:v>6.5412251624757042E-2</c:v>
                </c:pt>
                <c:pt idx="75">
                  <c:v>6.5530561247166844E-2</c:v>
                </c:pt>
                <c:pt idx="76">
                  <c:v>6.5648978608077002E-2</c:v>
                </c:pt>
                <c:pt idx="77">
                  <c:v>6.5767529090099613E-2</c:v>
                </c:pt>
                <c:pt idx="78">
                  <c:v>6.5886238686041862E-2</c:v>
                </c:pt>
                <c:pt idx="79">
                  <c:v>6.6005133921315531E-2</c:v>
                </c:pt>
                <c:pt idx="80">
                  <c:v>6.6124241775990092E-2</c:v>
                </c:pt>
                <c:pt idx="81">
                  <c:v>6.624358960700126E-2</c:v>
                </c:pt>
                <c:pt idx="82">
                  <c:v>6.6363205070982881E-2</c:v>
                </c:pt>
                <c:pt idx="83">
                  <c:v>6.6483116048139793E-2</c:v>
                </c:pt>
                <c:pt idx="84">
                  <c:v>6.6603350567526975E-2</c:v>
                </c:pt>
                <c:pt idx="85">
                  <c:v>6.6723936734041839E-2</c:v>
                </c:pt>
                <c:pt idx="86">
                  <c:v>6.6844902657377248E-2</c:v>
                </c:pt>
                <c:pt idx="87">
                  <c:v>6.6966276383122206E-2</c:v>
                </c:pt>
                <c:pt idx="88">
                  <c:v>6.7088085826133612E-2</c:v>
                </c:pt>
                <c:pt idx="89">
                  <c:v>6.7210358706241924E-2</c:v>
                </c:pt>
                <c:pt idx="90">
                  <c:v>6.7333122486292279E-2</c:v>
                </c:pt>
                <c:pt idx="91">
                  <c:v>6.7456404312464288E-2</c:v>
                </c:pt>
                <c:pt idx="92">
                  <c:v>6.7580230956757928E-2</c:v>
                </c:pt>
                <c:pt idx="93">
                  <c:v>6.7704628761481173E-2</c:v>
                </c:pt>
                <c:pt idx="94">
                  <c:v>6.782962358552852E-2</c:v>
                </c:pt>
                <c:pt idx="95">
                  <c:v>6.7955240752196694E-2</c:v>
                </c:pt>
                <c:pt idx="96">
                  <c:v>6.808150499824922E-2</c:v>
                </c:pt>
                <c:pt idx="97">
                  <c:v>6.8208440423911304E-2</c:v>
                </c:pt>
                <c:pt idx="98">
                  <c:v>6.8336070443455729E-2</c:v>
                </c:pt>
                <c:pt idx="99">
                  <c:v>6.8464417736024338E-2</c:v>
                </c:pt>
                <c:pt idx="100">
                  <c:v>6.8593504196324387E-2</c:v>
                </c:pt>
                <c:pt idx="101">
                  <c:v>6.8723350884839274E-2</c:v>
                </c:pt>
                <c:pt idx="102">
                  <c:v>6.8853977977202635E-2</c:v>
                </c:pt>
                <c:pt idx="103">
                  <c:v>6.8985404712402359E-2</c:v>
                </c:pt>
                <c:pt idx="104">
                  <c:v>6.9117649339505968E-2</c:v>
                </c:pt>
                <c:pt idx="105">
                  <c:v>6.9250729062631369E-2</c:v>
                </c:pt>
                <c:pt idx="106">
                  <c:v>6.9384659983927732E-2</c:v>
                </c:pt>
                <c:pt idx="107">
                  <c:v>6.9519457044377689E-2</c:v>
                </c:pt>
                <c:pt idx="108">
                  <c:v>6.9655133962285024E-2</c:v>
                </c:pt>
                <c:pt idx="109">
                  <c:v>6.9791703169371652E-2</c:v>
                </c:pt>
                <c:pt idx="110">
                  <c:v>6.9929175744470287E-2</c:v>
                </c:pt>
                <c:pt idx="111">
                  <c:v>7.006756134486801E-2</c:v>
                </c:pt>
                <c:pt idx="112">
                  <c:v>7.0206868135426287E-2</c:v>
                </c:pt>
                <c:pt idx="113">
                  <c:v>7.0347102715676124E-2</c:v>
                </c:pt>
                <c:pt idx="114">
                  <c:v>7.0488270045162241E-2</c:v>
                </c:pt>
                <c:pt idx="115">
                  <c:v>7.0630373367383911E-2</c:v>
                </c:pt>
                <c:pt idx="116">
                  <c:v>7.0773414132755133E-2</c:v>
                </c:pt>
                <c:pt idx="117">
                  <c:v>7.0917391921078085E-2</c:v>
                </c:pt>
                <c:pt idx="118">
                  <c:v>7.1062304364093345E-2</c:v>
                </c:pt>
                <c:pt idx="119">
                  <c:v>7.1208147068736044E-2</c:v>
                </c:pt>
                <c:pt idx="120">
                  <c:v>7.1354913541786955E-2</c:v>
                </c:pt>
                <c:pt idx="121">
                  <c:v>7.1502595116662362E-2</c:v>
                </c:pt>
                <c:pt idx="122">
                  <c:v>7.1651180883134158E-2</c:v>
                </c:pt>
                <c:pt idx="123">
                  <c:v>7.1800657620811892E-2</c:v>
                </c:pt>
                <c:pt idx="124">
                  <c:v>7.1951009737249688E-2</c:v>
                </c:pt>
                <c:pt idx="125">
                  <c:v>7.2102219211563817E-2</c:v>
                </c:pt>
                <c:pt idx="126">
                  <c:v>7.2254265544459795E-2</c:v>
                </c:pt>
                <c:pt idx="127">
                  <c:v>7.2407125715569662E-2</c:v>
                </c:pt>
                <c:pt idx="128">
                  <c:v>7.2560774148993146E-2</c:v>
                </c:pt>
                <c:pt idx="129">
                  <c:v>7.2715182687917004E-2</c:v>
                </c:pt>
                <c:pt idx="130">
                  <c:v>7.2870320579157696E-2</c:v>
                </c:pt>
                <c:pt idx="131">
                  <c:v>7.3026154468431165E-2</c:v>
                </c:pt>
                <c:pt idx="132">
                  <c:v>7.3182648407103035E-2</c:v>
                </c:pt>
                <c:pt idx="133">
                  <c:v>7.3339763871109298E-2</c:v>
                </c:pt>
                <c:pt idx="134">
                  <c:v>7.3497459792666239E-2</c:v>
                </c:pt>
                <c:pt idx="135">
                  <c:v>7.3655692605305523E-2</c:v>
                </c:pt>
                <c:pt idx="136">
                  <c:v>7.381441630267975E-2</c:v>
                </c:pt>
                <c:pt idx="137">
                  <c:v>7.3973582511484032E-2</c:v>
                </c:pt>
                <c:pt idx="138">
                  <c:v>7.413314057873209E-2</c:v>
                </c:pt>
                <c:pt idx="139">
                  <c:v>7.4293037673511489E-2</c:v>
                </c:pt>
                <c:pt idx="140">
                  <c:v>7.4453218903223969E-2</c:v>
                </c:pt>
                <c:pt idx="141">
                  <c:v>7.4613627444193004E-2</c:v>
                </c:pt>
                <c:pt idx="142">
                  <c:v>7.4774204686393231E-2</c:v>
                </c:pt>
                <c:pt idx="143">
                  <c:v>7.4934890391928827E-2</c:v>
                </c:pt>
                <c:pt idx="144">
                  <c:v>7.5095622866757097E-2</c:v>
                </c:pt>
                <c:pt idx="145">
                  <c:v>7.5256339145025969E-2</c:v>
                </c:pt>
                <c:pt idx="146">
                  <c:v>7.5416975185265731E-2</c:v>
                </c:pt>
                <c:pt idx="147">
                  <c:v>7.5577466077553654E-2</c:v>
                </c:pt>
                <c:pt idx="148">
                  <c:v>7.573774626064933E-2</c:v>
                </c:pt>
                <c:pt idx="149">
                  <c:v>7.5897749747987603E-2</c:v>
                </c:pt>
                <c:pt idx="150">
                  <c:v>7.605741036130903E-2</c:v>
                </c:pt>
                <c:pt idx="151">
                  <c:v>7.6216661970611485E-2</c:v>
                </c:pt>
                <c:pt idx="152">
                  <c:v>7.6375438739018864E-2</c:v>
                </c:pt>
                <c:pt idx="153">
                  <c:v>7.6533675371086074E-2</c:v>
                </c:pt>
                <c:pt idx="154">
                  <c:v>7.6691307362994801E-2</c:v>
                </c:pt>
                <c:pt idx="155">
                  <c:v>7.684827125304125E-2</c:v>
                </c:pt>
                <c:pt idx="156">
                  <c:v>7.7004504870779145E-2</c:v>
                </c:pt>
                <c:pt idx="157">
                  <c:v>7.715994758315442E-2</c:v>
                </c:pt>
                <c:pt idx="158">
                  <c:v>7.7314540535958612E-2</c:v>
                </c:pt>
                <c:pt idx="159">
                  <c:v>7.7468226888930597E-2</c:v>
                </c:pt>
                <c:pt idx="160">
                  <c:v>7.762095204285592E-2</c:v>
                </c:pt>
                <c:pt idx="161">
                  <c:v>7.7772663857046731E-2</c:v>
                </c:pt>
                <c:pt idx="162">
                  <c:v>7.7923312855632948E-2</c:v>
                </c:pt>
                <c:pt idx="163">
                  <c:v>7.8072852421160396E-2</c:v>
                </c:pt>
                <c:pt idx="164">
                  <c:v>7.8221238974067409E-2</c:v>
                </c:pt>
                <c:pt idx="165">
                  <c:v>7.8368432136703775E-2</c:v>
                </c:pt>
                <c:pt idx="166">
                  <c:v>7.8514394880659505E-2</c:v>
                </c:pt>
                <c:pt idx="167">
                  <c:v>7.8659093656287246E-2</c:v>
                </c:pt>
                <c:pt idx="168">
                  <c:v>7.8802498503429727E-2</c:v>
                </c:pt>
                <c:pt idx="169">
                  <c:v>7.894458314250119E-2</c:v>
                </c:pt>
                <c:pt idx="170">
                  <c:v>7.9085325045216953E-2</c:v>
                </c:pt>
                <c:pt idx="171">
                  <c:v>7.9224705484421273E-2</c:v>
                </c:pt>
                <c:pt idx="172">
                  <c:v>7.9362709562621231E-2</c:v>
                </c:pt>
                <c:pt idx="173">
                  <c:v>7.9499326219000174E-2</c:v>
                </c:pt>
                <c:pt idx="174">
                  <c:v>7.9634548214852136E-2</c:v>
                </c:pt>
                <c:pt idx="175">
                  <c:v>7.9768372097547155E-2</c:v>
                </c:pt>
                <c:pt idx="176">
                  <c:v>7.9900798143306917E-2</c:v>
                </c:pt>
                <c:pt idx="177">
                  <c:v>8.0031830279238048E-2</c:v>
                </c:pt>
                <c:pt idx="178">
                  <c:v>8.0161475985233627E-2</c:v>
                </c:pt>
                <c:pt idx="179">
                  <c:v>8.0289746176513757E-2</c:v>
                </c:pt>
                <c:pt idx="180">
                  <c:v>8.0416655067728521E-2</c:v>
                </c:pt>
                <c:pt idx="181">
                  <c:v>8.0542220019691566E-2</c:v>
                </c:pt>
                <c:pt idx="182">
                  <c:v>8.0666461369947998E-2</c:v>
                </c:pt>
                <c:pt idx="183">
                  <c:v>8.0789402248505948E-2</c:v>
                </c:pt>
                <c:pt idx="184">
                  <c:v>8.0911068380173298E-2</c:v>
                </c:pt>
                <c:pt idx="185">
                  <c:v>8.1031487875041316E-2</c:v>
                </c:pt>
                <c:pt idx="186">
                  <c:v>8.1150691008743281E-2</c:v>
                </c:pt>
                <c:pt idx="187">
                  <c:v>8.1268709994186575E-2</c:v>
                </c:pt>
                <c:pt idx="188">
                  <c:v>8.1385578746512324E-2</c:v>
                </c:pt>
                <c:pt idx="189">
                  <c:v>8.150133264307631E-2</c:v>
                </c:pt>
                <c:pt idx="190">
                  <c:v>8.1616008280266647E-2</c:v>
                </c:pt>
                <c:pt idx="191">
                  <c:v>8.1729643228980853E-2</c:v>
                </c:pt>
                <c:pt idx="192">
                  <c:v>8.1842275790572711E-2</c:v>
                </c:pt>
                <c:pt idx="193">
                  <c:v>8.1953944755052383E-2</c:v>
                </c:pt>
                <c:pt idx="194">
                  <c:v>8.2064689163279275E-2</c:v>
                </c:pt>
                <c:pt idx="195">
                  <c:v>8.2174548074826173E-2</c:v>
                </c:pt>
                <c:pt idx="196">
                  <c:v>8.2283560343118872E-2</c:v>
                </c:pt>
                <c:pt idx="197">
                  <c:v>8.2391764399364339E-2</c:v>
                </c:pt>
                <c:pt idx="198">
                  <c:v>8.2499198046677852E-2</c:v>
                </c:pt>
                <c:pt idx="199">
                  <c:v>8.2605898265702096E-2</c:v>
                </c:pt>
                <c:pt idx="200">
                  <c:v>8.2711901032884977E-2</c:v>
                </c:pt>
                <c:pt idx="201">
                  <c:v>8.2817241152444029E-2</c:v>
                </c:pt>
                <c:pt idx="202">
                  <c:v>8.2921952102899626E-2</c:v>
                </c:pt>
                <c:pt idx="203">
                  <c:v>8.3026065898905987E-2</c:v>
                </c:pt>
                <c:pt idx="204">
                  <c:v>8.3129612968949523E-2</c:v>
                </c:pt>
                <c:pt idx="205">
                  <c:v>8.3232622049322441E-2</c:v>
                </c:pt>
                <c:pt idx="206">
                  <c:v>8.3335120094613566E-2</c:v>
                </c:pt>
                <c:pt idx="207">
                  <c:v>8.3437132204794331E-2</c:v>
                </c:pt>
                <c:pt idx="208">
                  <c:v>8.3538681568813139E-2</c:v>
                </c:pt>
                <c:pt idx="209">
                  <c:v>8.3639789424451355E-2</c:v>
                </c:pt>
                <c:pt idx="210">
                  <c:v>8.3740475034037407E-2</c:v>
                </c:pt>
                <c:pt idx="211">
                  <c:v>8.3840755675466574E-2</c:v>
                </c:pt>
                <c:pt idx="212">
                  <c:v>8.3940646647831782E-2</c:v>
                </c:pt>
                <c:pt idx="213">
                  <c:v>8.4040161290838661E-2</c:v>
                </c:pt>
                <c:pt idx="214">
                  <c:v>8.4139311017057072E-2</c:v>
                </c:pt>
                <c:pt idx="215">
                  <c:v>8.4238105355951054E-2</c:v>
                </c:pt>
                <c:pt idx="216">
                  <c:v>8.4336552008534335E-2</c:v>
                </c:pt>
                <c:pt idx="217">
                  <c:v>8.4434656911415468E-2</c:v>
                </c:pt>
                <c:pt idx="218">
                  <c:v>8.4532424308930529E-2</c:v>
                </c:pt>
                <c:pt idx="219">
                  <c:v>8.4629856832010658E-2</c:v>
                </c:pt>
                <c:pt idx="220">
                  <c:v>8.4726955582395624E-2</c:v>
                </c:pt>
                <c:pt idx="221">
                  <c:v>8.4823720220788643E-2</c:v>
                </c:pt>
                <c:pt idx="222">
                  <c:v>8.4920149057544109E-2</c:v>
                </c:pt>
                <c:pt idx="223">
                  <c:v>8.5016239144497061E-2</c:v>
                </c:pt>
                <c:pt idx="224">
                  <c:v>8.511198636657423E-2</c:v>
                </c:pt>
                <c:pt idx="225">
                  <c:v>8.5207385531875193E-2</c:v>
                </c:pt>
                <c:pt idx="226">
                  <c:v>8.5302430458975079E-2</c:v>
                </c:pt>
                <c:pt idx="227">
                  <c:v>8.5397114060280027E-2</c:v>
                </c:pt>
                <c:pt idx="228">
                  <c:v>8.5491428420357576E-2</c:v>
                </c:pt>
                <c:pt idx="229">
                  <c:v>8.5585364868270564E-2</c:v>
                </c:pt>
                <c:pt idx="230">
                  <c:v>8.5678914043059468E-2</c:v>
                </c:pt>
                <c:pt idx="231">
                  <c:v>8.5772065951645104E-2</c:v>
                </c:pt>
                <c:pt idx="232">
                  <c:v>8.5864810018560306E-2</c:v>
                </c:pt>
                <c:pt idx="233">
                  <c:v>8.5957135127061213E-2</c:v>
                </c:pt>
                <c:pt idx="234">
                  <c:v>8.6049029651318998E-2</c:v>
                </c:pt>
                <c:pt idx="235">
                  <c:v>8.6140481479543493E-2</c:v>
                </c:pt>
                <c:pt idx="236">
                  <c:v>8.6231478028047287E-2</c:v>
                </c:pt>
                <c:pt idx="237">
                  <c:v>8.6322006246410884E-2</c:v>
                </c:pt>
                <c:pt idx="238">
                  <c:v>8.641205261406544E-2</c:v>
                </c:pt>
                <c:pt idx="239">
                  <c:v>8.6501603128757099E-2</c:v>
                </c:pt>
                <c:pt idx="240">
                  <c:v>8.6590643287503377E-2</c:v>
                </c:pt>
                <c:pt idx="241">
                  <c:v>8.66791580607882E-2</c:v>
                </c:pt>
                <c:pt idx="242">
                  <c:v>8.6767131860872412E-2</c:v>
                </c:pt>
                <c:pt idx="243">
                  <c:v>8.6854548505214332E-2</c:v>
                </c:pt>
                <c:pt idx="244">
                  <c:v>8.694139117610232E-2</c:v>
                </c:pt>
                <c:pt idx="245">
                  <c:v>8.7027642377695266E-2</c:v>
                </c:pt>
                <c:pt idx="246">
                  <c:v>8.7113283891746163E-2</c:v>
                </c:pt>
                <c:pt idx="247">
                  <c:v>8.7198296733348113E-2</c:v>
                </c:pt>
                <c:pt idx="248">
                  <c:v>8.7282661108089382E-2</c:v>
                </c:pt>
                <c:pt idx="249">
                  <c:v>8.7366356372035478E-2</c:v>
                </c:pt>
                <c:pt idx="250">
                  <c:v>8.7449360995967895E-2</c:v>
                </c:pt>
                <c:pt idx="251">
                  <c:v>8.753165253530476E-2</c:v>
                </c:pt>
                <c:pt idx="252">
                  <c:v>8.7613207607104657E-2</c:v>
                </c:pt>
                <c:pt idx="253">
                  <c:v>8.7694001875513045E-2</c:v>
                </c:pt>
                <c:pt idx="254">
                  <c:v>8.7774010046950943E-2</c:v>
                </c:pt>
                <c:pt idx="255">
                  <c:v>8.7853205876268034E-2</c:v>
                </c:pt>
                <c:pt idx="256">
                  <c:v>8.7931562184987905E-2</c:v>
                </c:pt>
                <c:pt idx="257">
                  <c:v>8.8009050892662102E-2</c:v>
                </c:pt>
                <c:pt idx="258">
                  <c:v>8.8085643062224522E-2</c:v>
                </c:pt>
                <c:pt idx="259">
                  <c:v>8.8161308960096649E-2</c:v>
                </c:pt>
                <c:pt idx="260">
                  <c:v>8.8236018131643057E-2</c:v>
                </c:pt>
                <c:pt idx="261">
                  <c:v>8.8309739492411221E-2</c:v>
                </c:pt>
                <c:pt idx="262">
                  <c:v>8.8382441435417736E-2</c:v>
                </c:pt>
                <c:pt idx="263">
                  <c:v>8.8454091954560582E-2</c:v>
                </c:pt>
                <c:pt idx="264">
                  <c:v>8.8524658784051552E-2</c:v>
                </c:pt>
                <c:pt idx="265">
                  <c:v>8.8594109553570402E-2</c:v>
                </c:pt>
                <c:pt idx="266">
                  <c:v>8.8662411958650267E-2</c:v>
                </c:pt>
                <c:pt idx="267">
                  <c:v>8.8729533945610048E-2</c:v>
                </c:pt>
                <c:pt idx="268">
                  <c:v>8.8795443910159505E-2</c:v>
                </c:pt>
                <c:pt idx="269">
                  <c:v>8.8860110908615966E-2</c:v>
                </c:pt>
                <c:pt idx="270">
                  <c:v>8.8923504880490389E-2</c:v>
                </c:pt>
                <c:pt idx="271">
                  <c:v>8.8985596881030055E-2</c:v>
                </c:pt>
                <c:pt idx="272">
                  <c:v>8.904635932214218E-2</c:v>
                </c:pt>
                <c:pt idx="273">
                  <c:v>8.9105766219974375E-2</c:v>
                </c:pt>
                <c:pt idx="274">
                  <c:v>8.9163793447291376E-2</c:v>
                </c:pt>
                <c:pt idx="275">
                  <c:v>8.9220418988668351E-2</c:v>
                </c:pt>
                <c:pt idx="276">
                  <c:v>8.9275623196417617E-2</c:v>
                </c:pt>
                <c:pt idx="277">
                  <c:v>8.9329389045082155E-2</c:v>
                </c:pt>
                <c:pt idx="278">
                  <c:v>8.9381702382263437E-2</c:v>
                </c:pt>
                <c:pt idx="279">
                  <c:v>8.9432552173508609E-2</c:v>
                </c:pt>
                <c:pt idx="280">
                  <c:v>8.9481930738957785E-2</c:v>
                </c:pt>
                <c:pt idx="281">
                  <c:v>8.9529833979453549E-2</c:v>
                </c:pt>
                <c:pt idx="282">
                  <c:v>8.9576261589834408E-2</c:v>
                </c:pt>
                <c:pt idx="283">
                  <c:v>8.9621217257180932E-2</c:v>
                </c:pt>
                <c:pt idx="284">
                  <c:v>8.9664708841847907E-2</c:v>
                </c:pt>
                <c:pt idx="285">
                  <c:v>8.9706748539205849E-2</c:v>
                </c:pt>
                <c:pt idx="286">
                  <c:v>8.9747353020126222E-2</c:v>
                </c:pt>
                <c:pt idx="287">
                  <c:v>8.9786543548375633E-2</c:v>
                </c:pt>
                <c:pt idx="288">
                  <c:v>8.9824346073235389E-2</c:v>
                </c:pt>
                <c:pt idx="289">
                  <c:v>8.9860791295834241E-2</c:v>
                </c:pt>
                <c:pt idx="290">
                  <c:v>8.9895914707867938E-2</c:v>
                </c:pt>
                <c:pt idx="291">
                  <c:v>8.9929756601583963E-2</c:v>
                </c:pt>
                <c:pt idx="292">
                  <c:v>8.9962362050125644E-2</c:v>
                </c:pt>
                <c:pt idx="293">
                  <c:v>8.999378085756092E-2</c:v>
                </c:pt>
                <c:pt idx="294">
                  <c:v>9.0024067478159081E-2</c:v>
                </c:pt>
                <c:pt idx="295">
                  <c:v>9.0053280904726946E-2</c:v>
                </c:pt>
                <c:pt idx="296">
                  <c:v>9.0081484526069663E-2</c:v>
                </c:pt>
                <c:pt idx="297">
                  <c:v>9.0108745953897146E-2</c:v>
                </c:pt>
                <c:pt idx="298">
                  <c:v>9.0135136819754991E-2</c:v>
                </c:pt>
                <c:pt idx="299">
                  <c:v>9.0160732542815966E-2</c:v>
                </c:pt>
                <c:pt idx="300">
                  <c:v>9.0185612069619059E-2</c:v>
                </c:pt>
                <c:pt idx="301">
                  <c:v>9.0209857587091144E-2</c:v>
                </c:pt>
                <c:pt idx="302">
                  <c:v>9.0233554210422826E-2</c:v>
                </c:pt>
                <c:pt idx="303">
                  <c:v>9.0256789647597674E-2</c:v>
                </c:pt>
                <c:pt idx="304">
                  <c:v>9.0279653842587751E-2</c:v>
                </c:pt>
                <c:pt idx="305">
                  <c:v>9.0302238599427528E-2</c:v>
                </c:pt>
                <c:pt idx="306">
                  <c:v>9.0324637189559409E-2</c:v>
                </c:pt>
                <c:pt idx="307">
                  <c:v>9.0346943945007502E-2</c:v>
                </c:pt>
                <c:pt idx="308">
                  <c:v>9.036925384007824E-2</c:v>
                </c:pt>
                <c:pt idx="309">
                  <c:v>9.0391662064407005E-2</c:v>
                </c:pt>
                <c:pt idx="310">
                  <c:v>9.0414263590266483E-2</c:v>
                </c:pt>
                <c:pt idx="311">
                  <c:v>9.0437152737125742E-2</c:v>
                </c:pt>
                <c:pt idx="312">
                  <c:v>9.0460422736496293E-2</c:v>
                </c:pt>
                <c:pt idx="313">
                  <c:v>9.0484165300122904E-2</c:v>
                </c:pt>
                <c:pt idx="314">
                  <c:v>9.0508470194573892E-2</c:v>
                </c:pt>
                <c:pt idx="315">
                  <c:v>9.0533424825253506E-2</c:v>
                </c:pt>
                <c:pt idx="316">
                  <c:v>9.0559113832804614E-2</c:v>
                </c:pt>
                <c:pt idx="317">
                  <c:v>9.0585618704785931E-2</c:v>
                </c:pt>
                <c:pt idx="318">
                  <c:v>9.0613017405402729E-2</c:v>
                </c:pt>
                <c:pt idx="319">
                  <c:v>9.0641384025937508E-2</c:v>
                </c:pt>
                <c:pt idx="320">
                  <c:v>9.0670788458373869E-2</c:v>
                </c:pt>
                <c:pt idx="321">
                  <c:v>9.0701296094530481E-2</c:v>
                </c:pt>
                <c:pt idx="322">
                  <c:v>9.0732967552826241E-2</c:v>
                </c:pt>
                <c:pt idx="323">
                  <c:v>9.0765858434582875E-2</c:v>
                </c:pt>
                <c:pt idx="324">
                  <c:v>9.0800019111540772E-2</c:v>
                </c:pt>
                <c:pt idx="325">
                  <c:v>9.0835494546018039E-2</c:v>
                </c:pt>
                <c:pt idx="326">
                  <c:v>9.0872324144884081E-2</c:v>
                </c:pt>
                <c:pt idx="327">
                  <c:v>9.0910541648253018E-2</c:v>
                </c:pt>
                <c:pt idx="328">
                  <c:v>9.0950175053524596E-2</c:v>
                </c:pt>
                <c:pt idx="329">
                  <c:v>9.0991246575121476E-2</c:v>
                </c:pt>
                <c:pt idx="330">
                  <c:v>9.1033772639987326E-2</c:v>
                </c:pt>
                <c:pt idx="331">
                  <c:v>9.1077763918627555E-2</c:v>
                </c:pt>
                <c:pt idx="332">
                  <c:v>9.112322539119394E-2</c:v>
                </c:pt>
                <c:pt idx="333">
                  <c:v>9.117015644783806E-2</c:v>
                </c:pt>
                <c:pt idx="334">
                  <c:v>9.1218551022290761E-2</c:v>
                </c:pt>
                <c:pt idx="335">
                  <c:v>9.1268397757366559E-2</c:v>
                </c:pt>
                <c:pt idx="336">
                  <c:v>9.1319680200845632E-2</c:v>
                </c:pt>
                <c:pt idx="337">
                  <c:v>9.137237702995421E-2</c:v>
                </c:pt>
                <c:pt idx="338">
                  <c:v>9.1426462302449885E-2</c:v>
                </c:pt>
                <c:pt idx="339">
                  <c:v>9.1481905732119825E-2</c:v>
                </c:pt>
                <c:pt idx="340">
                  <c:v>9.1538672986324537E-2</c:v>
                </c:pt>
                <c:pt idx="341">
                  <c:v>9.1596726003063816E-2</c:v>
                </c:pt>
                <c:pt idx="342">
                  <c:v>9.1656023324909033E-2</c:v>
                </c:pt>
                <c:pt idx="343">
                  <c:v>9.17165204470375E-2</c:v>
                </c:pt>
                <c:pt idx="344">
                  <c:v>9.1778170176521401E-2</c:v>
                </c:pt>
                <c:pt idx="345">
                  <c:v>9.1840922999964852E-2</c:v>
                </c:pt>
                <c:pt idx="346">
                  <c:v>9.1904727456550594E-2</c:v>
                </c:pt>
                <c:pt idx="347">
                  <c:v>9.1969530513551737E-2</c:v>
                </c:pt>
                <c:pt idx="348">
                  <c:v>9.2035277941382845E-2</c:v>
                </c:pt>
                <c:pt idx="349">
                  <c:v>9.2101914685309635E-2</c:v>
                </c:pt>
                <c:pt idx="350">
                  <c:v>9.2169385231006845E-2</c:v>
                </c:pt>
                <c:pt idx="351">
                  <c:v>9.2237633961247081E-2</c:v>
                </c:pt>
                <c:pt idx="352">
                  <c:v>9.2306605501121061E-2</c:v>
                </c:pt>
                <c:pt idx="353">
                  <c:v>9.2376245049327566E-2</c:v>
                </c:pt>
                <c:pt idx="354">
                  <c:v>9.2446498693231544E-2</c:v>
                </c:pt>
                <c:pt idx="355">
                  <c:v>9.2517313705564805E-2</c:v>
                </c:pt>
                <c:pt idx="356">
                  <c:v>9.2588638820840508E-2</c:v>
                </c:pt>
                <c:pt idx="357">
                  <c:v>9.2660424489759807E-2</c:v>
                </c:pt>
                <c:pt idx="358">
                  <c:v>9.2732623110112822E-2</c:v>
                </c:pt>
                <c:pt idx="359">
                  <c:v>9.2805189232908258E-2</c:v>
                </c:pt>
                <c:pt idx="360">
                  <c:v>9.2878079742707453E-2</c:v>
                </c:pt>
                <c:pt idx="361">
                  <c:v>9.2951254011385293E-2</c:v>
                </c:pt>
                <c:pt idx="362">
                  <c:v>9.3024674024792225E-2</c:v>
                </c:pt>
                <c:pt idx="363">
                  <c:v>9.3098304482042302E-2</c:v>
                </c:pt>
                <c:pt idx="364">
                  <c:v>9.3172112867404011E-2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3.4386424182960978E-2</c:v>
                </c:pt>
                <c:pt idx="1">
                  <c:v>3.4458984184906255E-2</c:v>
                </c:pt>
                <c:pt idx="2">
                  <c:v>3.4556371037487606E-2</c:v>
                </c:pt>
                <c:pt idx="3">
                  <c:v>3.4678599791008624E-2</c:v>
                </c:pt>
                <c:pt idx="4">
                  <c:v>3.4825645949894429E-2</c:v>
                </c:pt>
                <c:pt idx="5">
                  <c:v>3.4997453674952765E-2</c:v>
                </c:pt>
                <c:pt idx="6">
                  <c:v>3.5193943586920171E-2</c:v>
                </c:pt>
                <c:pt idx="7">
                  <c:v>3.541502015507933E-2</c:v>
                </c:pt>
                <c:pt idx="8">
                  <c:v>3.5658506300421937E-2</c:v>
                </c:pt>
                <c:pt idx="9">
                  <c:v>3.5898389874139798E-2</c:v>
                </c:pt>
                <c:pt idx="10">
                  <c:v>3.610036802001193E-2</c:v>
                </c:pt>
                <c:pt idx="11">
                  <c:v>3.6265261699029154E-2</c:v>
                </c:pt>
                <c:pt idx="12">
                  <c:v>3.6393914550999898E-2</c:v>
                </c:pt>
                <c:pt idx="13">
                  <c:v>3.6487191662397195E-2</c:v>
                </c:pt>
                <c:pt idx="14">
                  <c:v>3.6545978146314953E-2</c:v>
                </c:pt>
                <c:pt idx="15">
                  <c:v>3.6572120564091273E-2</c:v>
                </c:pt>
                <c:pt idx="16">
                  <c:v>3.6564824861063376E-2</c:v>
                </c:pt>
                <c:pt idx="17">
                  <c:v>3.652505561494003E-2</c:v>
                </c:pt>
                <c:pt idx="18">
                  <c:v>3.6453790446072207E-2</c:v>
                </c:pt>
                <c:pt idx="19">
                  <c:v>3.635222079443292E-2</c:v>
                </c:pt>
                <c:pt idx="20">
                  <c:v>3.6221635491757768E-2</c:v>
                </c:pt>
                <c:pt idx="21">
                  <c:v>3.6063168600508289E-2</c:v>
                </c:pt>
                <c:pt idx="22">
                  <c:v>3.5875663633211319E-2</c:v>
                </c:pt>
                <c:pt idx="23">
                  <c:v>3.5653746927940412E-2</c:v>
                </c:pt>
                <c:pt idx="24">
                  <c:v>3.5419337478725006E-2</c:v>
                </c:pt>
                <c:pt idx="25">
                  <c:v>3.517450473473048E-2</c:v>
                </c:pt>
                <c:pt idx="26">
                  <c:v>3.4921189158646421E-2</c:v>
                </c:pt>
                <c:pt idx="27">
                  <c:v>3.4661201704031912E-2</c:v>
                </c:pt>
                <c:pt idx="28">
                  <c:v>3.4396225166460903E-2</c:v>
                </c:pt>
                <c:pt idx="29">
                  <c:v>3.4084616798437203E-2</c:v>
                </c:pt>
                <c:pt idx="30">
                  <c:v>3.3728973359523171E-2</c:v>
                </c:pt>
                <c:pt idx="31">
                  <c:v>3.3332493241261724E-2</c:v>
                </c:pt>
                <c:pt idx="32">
                  <c:v>3.2898175285392475E-2</c:v>
                </c:pt>
                <c:pt idx="33">
                  <c:v>3.2428817097294692E-2</c:v>
                </c:pt>
                <c:pt idx="34">
                  <c:v>3.1927015627894857E-2</c:v>
                </c:pt>
                <c:pt idx="35">
                  <c:v>3.139516957769873E-2</c:v>
                </c:pt>
                <c:pt idx="36">
                  <c:v>3.0830925525858362E-2</c:v>
                </c:pt>
                <c:pt idx="37">
                  <c:v>3.0203892641906382E-2</c:v>
                </c:pt>
                <c:pt idx="38">
                  <c:v>2.9522449188566269E-2</c:v>
                </c:pt>
                <c:pt idx="39">
                  <c:v>2.8790234438859932E-2</c:v>
                </c:pt>
                <c:pt idx="40">
                  <c:v>2.8010642240255408E-2</c:v>
                </c:pt>
                <c:pt idx="41">
                  <c:v>2.7186816927908336E-2</c:v>
                </c:pt>
                <c:pt idx="42">
                  <c:v>2.6321652109403782E-2</c:v>
                </c:pt>
                <c:pt idx="43">
                  <c:v>2.5415016375518483E-2</c:v>
                </c:pt>
                <c:pt idx="44">
                  <c:v>2.4504307344558555E-2</c:v>
                </c:pt>
                <c:pt idx="45">
                  <c:v>2.3590400186616876E-2</c:v>
                </c:pt>
                <c:pt idx="46">
                  <c:v>2.2674011873330614E-2</c:v>
                </c:pt>
                <c:pt idx="47">
                  <c:v>2.1755710667521171E-2</c:v>
                </c:pt>
                <c:pt idx="48">
                  <c:v>2.0835925086482753E-2</c:v>
                </c:pt>
                <c:pt idx="49">
                  <c:v>1.9914952257240843E-2</c:v>
                </c:pt>
                <c:pt idx="50">
                  <c:v>1.8991615755345029E-2</c:v>
                </c:pt>
                <c:pt idx="51">
                  <c:v>1.8054621686639193E-2</c:v>
                </c:pt>
                <c:pt idx="52">
                  <c:v>1.7127675192485238E-2</c:v>
                </c:pt>
                <c:pt idx="53">
                  <c:v>1.6210204039629063E-2</c:v>
                </c:pt>
                <c:pt idx="54">
                  <c:v>1.5301754726434845E-2</c:v>
                </c:pt>
                <c:pt idx="55">
                  <c:v>1.4401896562153538E-2</c:v>
                </c:pt>
                <c:pt idx="56">
                  <c:v>1.3510219957716727E-2</c:v>
                </c:pt>
                <c:pt idx="57">
                  <c:v>1.2633698515153211E-2</c:v>
                </c:pt>
                <c:pt idx="58">
                  <c:v>1.1774083933033539E-2</c:v>
                </c:pt>
                <c:pt idx="59">
                  <c:v>1.0930735881790485E-2</c:v>
                </c:pt>
                <c:pt idx="60">
                  <c:v>1.0103043585244406E-2</c:v>
                </c:pt>
                <c:pt idx="61">
                  <c:v>9.2904236849229976E-3</c:v>
                </c:pt>
                <c:pt idx="62">
                  <c:v>8.4923182312951068E-3</c:v>
                </c:pt>
                <c:pt idx="63">
                  <c:v>7.7081927936463509E-3</c:v>
                </c:pt>
                <c:pt idx="64">
                  <c:v>6.9373247213399226E-3</c:v>
                </c:pt>
                <c:pt idx="65">
                  <c:v>6.2037329334784213E-3</c:v>
                </c:pt>
                <c:pt idx="66">
                  <c:v>5.5150275057545984E-3</c:v>
                </c:pt>
                <c:pt idx="67">
                  <c:v>4.8700007253111516E-3</c:v>
                </c:pt>
                <c:pt idx="68">
                  <c:v>4.2674566399274159E-3</c:v>
                </c:pt>
                <c:pt idx="69">
                  <c:v>3.7062160898324397E-3</c:v>
                </c:pt>
                <c:pt idx="70">
                  <c:v>3.1851212042767036E-3</c:v>
                </c:pt>
                <c:pt idx="71">
                  <c:v>2.7172933186126757E-3</c:v>
                </c:pt>
                <c:pt idx="72">
                  <c:v>2.2948941060437298E-3</c:v>
                </c:pt>
                <c:pt idx="73">
                  <c:v>1.9166753813474773E-3</c:v>
                </c:pt>
                <c:pt idx="74">
                  <c:v>1.5814365578627593E-3</c:v>
                </c:pt>
                <c:pt idx="75">
                  <c:v>1.2880275025840369E-3</c:v>
                </c:pt>
                <c:pt idx="76">
                  <c:v>1.0353510707230961E-3</c:v>
                </c:pt>
                <c:pt idx="77">
                  <c:v>8.2236536296816272E-4</c:v>
                </c:pt>
                <c:pt idx="78">
                  <c:v>6.4804416032670663E-4</c:v>
                </c:pt>
                <c:pt idx="79">
                  <c:v>5.1490838293329359E-4</c:v>
                </c:pt>
                <c:pt idx="80">
                  <c:v>4.0038272086186663E-4</c:v>
                </c:pt>
                <c:pt idx="81">
                  <c:v>3.0405650344127795E-4</c:v>
                </c:pt>
                <c:pt idx="82">
                  <c:v>2.2553542922232515E-4</c:v>
                </c:pt>
                <c:pt idx="83">
                  <c:v>1.6444374477057338E-4</c:v>
                </c:pt>
                <c:pt idx="84">
                  <c:v>1.2042624510569055E-4</c:v>
                </c:pt>
                <c:pt idx="85">
                  <c:v>9.3150718817060183E-5</c:v>
                </c:pt>
                <c:pt idx="86">
                  <c:v>6.9498670228905975E-5</c:v>
                </c:pt>
                <c:pt idx="87">
                  <c:v>4.9398098676352148E-5</c:v>
                </c:pt>
                <c:pt idx="88">
                  <c:v>3.2781957441686694E-5</c:v>
                </c:pt>
                <c:pt idx="89">
                  <c:v>1.958849060250802E-5</c:v>
                </c:pt>
                <c:pt idx="90">
                  <c:v>9.7615525147022286E-6</c:v>
                </c:pt>
                <c:pt idx="91">
                  <c:v>3.2509142468965567E-6</c:v>
                </c:pt>
                <c:pt idx="92">
                  <c:v>1.2561102470474303E-8</c:v>
                </c:pt>
                <c:pt idx="93">
                  <c:v>8.988384032315661E-9</c:v>
                </c:pt>
                <c:pt idx="94">
                  <c:v>6.0233937897638957E-9</c:v>
                </c:pt>
                <c:pt idx="95">
                  <c:v>3.6582187874101645E-9</c:v>
                </c:pt>
                <c:pt idx="96">
                  <c:v>1.8861565691243547E-9</c:v>
                </c:pt>
                <c:pt idx="97">
                  <c:v>7.0161148049218352E-10</c:v>
                </c:pt>
                <c:pt idx="98">
                  <c:v>9.9998047257060587E-11</c:v>
                </c:pt>
                <c:pt idx="99">
                  <c:v>7.7650361006549519E-11</c:v>
                </c:pt>
                <c:pt idx="100">
                  <c:v>5.8156245883422729E-11</c:v>
                </c:pt>
                <c:pt idx="101">
                  <c:v>4.1490589422557456E-11</c:v>
                </c:pt>
                <c:pt idx="102">
                  <c:v>2.7632731118782547E-11</c:v>
                </c:pt>
                <c:pt idx="103">
                  <c:v>1.6566063217026669E-11</c:v>
                </c:pt>
                <c:pt idx="104">
                  <c:v>8.2776490677380815E-12</c:v>
                </c:pt>
                <c:pt idx="105">
                  <c:v>2.7578559926681524E-12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5.1941215136578995E-12</c:v>
                </c:pt>
                <c:pt idx="240">
                  <c:v>1.5642117723043001E-11</c:v>
                </c:pt>
                <c:pt idx="241">
                  <c:v>3.1407633788823189E-11</c:v>
                </c:pt>
                <c:pt idx="242">
                  <c:v>5.2559438372502309E-11</c:v>
                </c:pt>
                <c:pt idx="243">
                  <c:v>7.9172715768389972E-11</c:v>
                </c:pt>
                <c:pt idx="244">
                  <c:v>1.1133042802801499E-10</c:v>
                </c:pt>
                <c:pt idx="245">
                  <c:v>1.4912475853081231E-10</c:v>
                </c:pt>
                <c:pt idx="246">
                  <c:v>1.9265608396567539E-10</c:v>
                </c:pt>
                <c:pt idx="247">
                  <c:v>1.3559910973752682E-9</c:v>
                </c:pt>
                <c:pt idx="248">
                  <c:v>3.6566104526126098E-9</c:v>
                </c:pt>
                <c:pt idx="249">
                  <c:v>7.1132968527636386E-9</c:v>
                </c:pt>
                <c:pt idx="250">
                  <c:v>1.1745991921331961E-8</c:v>
                </c:pt>
                <c:pt idx="251">
                  <c:v>1.7575643368420938E-8</c:v>
                </c:pt>
                <c:pt idx="252">
                  <c:v>2.4624040837809747E-8</c:v>
                </c:pt>
                <c:pt idx="253">
                  <c:v>6.3876072284238163E-6</c:v>
                </c:pt>
                <c:pt idx="254">
                  <c:v>1.9220118743169932E-5</c:v>
                </c:pt>
                <c:pt idx="255">
                  <c:v>3.8639724068074325E-5</c:v>
                </c:pt>
                <c:pt idx="256">
                  <c:v>6.4766896220910035E-5</c:v>
                </c:pt>
                <c:pt idx="257">
                  <c:v>9.772386906386418E-5</c:v>
                </c:pt>
                <c:pt idx="258">
                  <c:v>1.3763339637856548E-4</c:v>
                </c:pt>
                <c:pt idx="259">
                  <c:v>1.8461741122457648E-4</c:v>
                </c:pt>
                <c:pt idx="260">
                  <c:v>2.3880377710430123E-4</c:v>
                </c:pt>
                <c:pt idx="261">
                  <c:v>3.2224134049063327E-4</c:v>
                </c:pt>
                <c:pt idx="262">
                  <c:v>4.3547142344495178E-4</c:v>
                </c:pt>
                <c:pt idx="263">
                  <c:v>5.7905460842662111E-4</c:v>
                </c:pt>
                <c:pt idx="264">
                  <c:v>7.5357212877381137E-4</c:v>
                </c:pt>
                <c:pt idx="265">
                  <c:v>9.5963375596289427E-4</c:v>
                </c:pt>
                <c:pt idx="266">
                  <c:v>1.1978775862887885E-3</c:v>
                </c:pt>
                <c:pt idx="267">
                  <c:v>1.5026598242548982E-3</c:v>
                </c:pt>
                <c:pt idx="268">
                  <c:v>1.8683676121823149E-3</c:v>
                </c:pt>
                <c:pt idx="269">
                  <c:v>2.2962900692368362E-3</c:v>
                </c:pt>
                <c:pt idx="270">
                  <c:v>2.7877842657602759E-3</c:v>
                </c:pt>
                <c:pt idx="271">
                  <c:v>3.3442822848813673E-3</c:v>
                </c:pt>
                <c:pt idx="272">
                  <c:v>3.9672990054238095E-3</c:v>
                </c:pt>
                <c:pt idx="273">
                  <c:v>4.6584406981651626E-3</c:v>
                </c:pt>
                <c:pt idx="274">
                  <c:v>5.4193178584833373E-3</c:v>
                </c:pt>
                <c:pt idx="275">
                  <c:v>6.2606963853859702E-3</c:v>
                </c:pt>
                <c:pt idx="276">
                  <c:v>7.1602999464008416E-3</c:v>
                </c:pt>
                <c:pt idx="277">
                  <c:v>8.1196318935683361E-3</c:v>
                </c:pt>
                <c:pt idx="278">
                  <c:v>9.1402663326296194E-3</c:v>
                </c:pt>
                <c:pt idx="279">
                  <c:v>1.0223853007848463E-2</c:v>
                </c:pt>
                <c:pt idx="280">
                  <c:v>1.1372122749224965E-2</c:v>
                </c:pt>
                <c:pt idx="281">
                  <c:v>1.2568665940622063E-2</c:v>
                </c:pt>
                <c:pt idx="282">
                  <c:v>1.3777276272943504E-2</c:v>
                </c:pt>
                <c:pt idx="283">
                  <c:v>1.499852385152105E-2</c:v>
                </c:pt>
                <c:pt idx="284">
                  <c:v>1.6233014152326797E-2</c:v>
                </c:pt>
                <c:pt idx="285">
                  <c:v>1.7481391876627443E-2</c:v>
                </c:pt>
                <c:pt idx="286">
                  <c:v>1.8744345120943584E-2</c:v>
                </c:pt>
                <c:pt idx="287">
                  <c:v>2.0022609889396734E-2</c:v>
                </c:pt>
                <c:pt idx="288">
                  <c:v>2.1317542380119434E-2</c:v>
                </c:pt>
                <c:pt idx="289">
                  <c:v>2.2621350128756337E-2</c:v>
                </c:pt>
                <c:pt idx="290">
                  <c:v>2.3924216961636238E-2</c:v>
                </c:pt>
                <c:pt idx="291">
                  <c:v>2.5226382805556245E-2</c:v>
                </c:pt>
                <c:pt idx="292">
                  <c:v>2.6528054599817531E-2</c:v>
                </c:pt>
                <c:pt idx="293">
                  <c:v>2.782940542502883E-2</c:v>
                </c:pt>
                <c:pt idx="294">
                  <c:v>2.9130573283376687E-2</c:v>
                </c:pt>
                <c:pt idx="295">
                  <c:v>3.0397605319963023E-2</c:v>
                </c:pt>
                <c:pt idx="296">
                  <c:v>3.1650873829146484E-2</c:v>
                </c:pt>
                <c:pt idx="297">
                  <c:v>3.2890243389175899E-2</c:v>
                </c:pt>
                <c:pt idx="298">
                  <c:v>3.4115266015254275E-2</c:v>
                </c:pt>
                <c:pt idx="299">
                  <c:v>3.5325418128663098E-2</c:v>
                </c:pt>
                <c:pt idx="300">
                  <c:v>3.6520095945705704E-2</c:v>
                </c:pt>
                <c:pt idx="301">
                  <c:v>3.7698610323621554E-2</c:v>
                </c:pt>
                <c:pt idx="302">
                  <c:v>3.8868679562548213E-2</c:v>
                </c:pt>
                <c:pt idx="303">
                  <c:v>3.998816196170802E-2</c:v>
                </c:pt>
                <c:pt idx="304">
                  <c:v>4.1064195928423246E-2</c:v>
                </c:pt>
                <c:pt idx="305">
                  <c:v>4.2092777235260177E-2</c:v>
                </c:pt>
                <c:pt idx="306">
                  <c:v>4.3069202807939078E-2</c:v>
                </c:pt>
                <c:pt idx="307">
                  <c:v>4.3988042547462351E-2</c:v>
                </c:pt>
                <c:pt idx="308">
                  <c:v>4.4843115879095355E-2</c:v>
                </c:pt>
                <c:pt idx="309">
                  <c:v>4.5624846513230267E-2</c:v>
                </c:pt>
                <c:pt idx="310">
                  <c:v>4.6366835624022364E-2</c:v>
                </c:pt>
                <c:pt idx="311">
                  <c:v>4.7062394660286583E-2</c:v>
                </c:pt>
                <c:pt idx="312">
                  <c:v>4.7704138399467071E-2</c:v>
                </c:pt>
                <c:pt idx="313">
                  <c:v>4.8283997129004705E-2</c:v>
                </c:pt>
                <c:pt idx="314">
                  <c:v>4.8793251029440078E-2</c:v>
                </c:pt>
                <c:pt idx="315">
                  <c:v>4.9222591802038231E-2</c:v>
                </c:pt>
                <c:pt idx="316">
                  <c:v>4.9575443553695149E-2</c:v>
                </c:pt>
                <c:pt idx="317">
                  <c:v>4.9861299333018382E-2</c:v>
                </c:pt>
                <c:pt idx="318">
                  <c:v>5.0138485607774723E-2</c:v>
                </c:pt>
                <c:pt idx="319">
                  <c:v>5.040632165983009E-2</c:v>
                </c:pt>
                <c:pt idx="320">
                  <c:v>5.0664089251682067E-2</c:v>
                </c:pt>
                <c:pt idx="321">
                  <c:v>5.0911032306771249E-2</c:v>
                </c:pt>
                <c:pt idx="322">
                  <c:v>5.1146356946244809E-2</c:v>
                </c:pt>
                <c:pt idx="323">
                  <c:v>5.133531138945574E-2</c:v>
                </c:pt>
                <c:pt idx="324">
                  <c:v>5.1478963478466123E-2</c:v>
                </c:pt>
                <c:pt idx="325">
                  <c:v>5.1575233300888382E-2</c:v>
                </c:pt>
                <c:pt idx="326">
                  <c:v>5.1621698055009747E-2</c:v>
                </c:pt>
                <c:pt idx="327">
                  <c:v>5.1616136068900254E-2</c:v>
                </c:pt>
                <c:pt idx="328">
                  <c:v>5.1556589253949348E-2</c:v>
                </c:pt>
                <c:pt idx="329">
                  <c:v>5.1441108589264505E-2</c:v>
                </c:pt>
                <c:pt idx="330">
                  <c:v>5.1277233690965623E-2</c:v>
                </c:pt>
                <c:pt idx="331">
                  <c:v>5.1074117962865977E-2</c:v>
                </c:pt>
                <c:pt idx="332">
                  <c:v>5.0823896035935449E-2</c:v>
                </c:pt>
                <c:pt idx="333">
                  <c:v>5.0520481501242089E-2</c:v>
                </c:pt>
                <c:pt idx="334">
                  <c:v>5.0157641426953427E-2</c:v>
                </c:pt>
                <c:pt idx="335">
                  <c:v>4.972906625844413E-2</c:v>
                </c:pt>
                <c:pt idx="336">
                  <c:v>4.9228457580827882E-2</c:v>
                </c:pt>
                <c:pt idx="337">
                  <c:v>4.870775730654759E-2</c:v>
                </c:pt>
                <c:pt idx="338">
                  <c:v>4.8202874925881101E-2</c:v>
                </c:pt>
                <c:pt idx="339">
                  <c:v>4.7710639271664045E-2</c:v>
                </c:pt>
                <c:pt idx="340">
                  <c:v>4.722788269777204E-2</c:v>
                </c:pt>
                <c:pt idx="341">
                  <c:v>4.6751465525761711E-2</c:v>
                </c:pt>
                <c:pt idx="342">
                  <c:v>4.6278307252673193E-2</c:v>
                </c:pt>
                <c:pt idx="343">
                  <c:v>4.5805424074266021E-2</c:v>
                </c:pt>
                <c:pt idx="344">
                  <c:v>4.5331539141998098E-2</c:v>
                </c:pt>
                <c:pt idx="345">
                  <c:v>4.486136512445163E-2</c:v>
                </c:pt>
                <c:pt idx="346">
                  <c:v>4.4407339477065169E-2</c:v>
                </c:pt>
                <c:pt idx="347">
                  <c:v>4.3975251117293952E-2</c:v>
                </c:pt>
                <c:pt idx="348">
                  <c:v>4.3570597556174769E-2</c:v>
                </c:pt>
                <c:pt idx="349">
                  <c:v>4.3198545996115965E-2</c:v>
                </c:pt>
                <c:pt idx="350">
                  <c:v>4.2863910292789256E-2</c:v>
                </c:pt>
                <c:pt idx="351">
                  <c:v>4.2582092295202344E-2</c:v>
                </c:pt>
                <c:pt idx="352">
                  <c:v>4.2297394335685801E-2</c:v>
                </c:pt>
                <c:pt idx="353">
                  <c:v>4.2014388173321912E-2</c:v>
                </c:pt>
                <c:pt idx="354">
                  <c:v>4.1737452388725227E-2</c:v>
                </c:pt>
                <c:pt idx="355">
                  <c:v>4.1470757237657495E-2</c:v>
                </c:pt>
                <c:pt idx="356">
                  <c:v>4.1218207035771448E-2</c:v>
                </c:pt>
                <c:pt idx="357">
                  <c:v>4.0983542822654102E-2</c:v>
                </c:pt>
                <c:pt idx="358">
                  <c:v>4.0757647027708871E-2</c:v>
                </c:pt>
                <c:pt idx="359">
                  <c:v>4.0530217665777746E-2</c:v>
                </c:pt>
                <c:pt idx="360">
                  <c:v>4.0359304761334425E-2</c:v>
                </c:pt>
                <c:pt idx="361">
                  <c:v>4.0234733705953818E-2</c:v>
                </c:pt>
                <c:pt idx="362">
                  <c:v>4.0156633283671361E-2</c:v>
                </c:pt>
                <c:pt idx="363">
                  <c:v>4.0124974069585817E-2</c:v>
                </c:pt>
                <c:pt idx="364">
                  <c:v>4.0139587320053911E-2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6619776"/>
        <c:axId val="246620168"/>
      </c:lineChart>
      <c:dateAx>
        <c:axId val="2466197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6620168"/>
        <c:crosses val="autoZero"/>
        <c:auto val="1"/>
        <c:lblOffset val="100"/>
        <c:baseTimeUnit val="days"/>
        <c:majorUnit val="1"/>
        <c:majorTimeUnit val="months"/>
      </c:dateAx>
      <c:valAx>
        <c:axId val="2466201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66197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11.282313631429345</c:v>
                </c:pt>
                <c:pt idx="1">
                  <c:v>11.402863843726834</c:v>
                </c:pt>
                <c:pt idx="2">
                  <c:v>11.527426623358293</c:v>
                </c:pt>
                <c:pt idx="3">
                  <c:v>11.655648123623706</c:v>
                </c:pt>
                <c:pt idx="4">
                  <c:v>11.787174590782097</c:v>
                </c:pt>
                <c:pt idx="5">
                  <c:v>11.921652383523419</c:v>
                </c:pt>
                <c:pt idx="6">
                  <c:v>12.05872799735962</c:v>
                </c:pt>
                <c:pt idx="7">
                  <c:v>12.198048080960348</c:v>
                </c:pt>
                <c:pt idx="8">
                  <c:v>12.340008070044924</c:v>
                </c:pt>
                <c:pt idx="9">
                  <c:v>12.485733578081229</c:v>
                </c:pt>
                <c:pt idx="10">
                  <c:v>12.635948792851408</c:v>
                </c:pt>
                <c:pt idx="11">
                  <c:v>12.790744006304376</c:v>
                </c:pt>
                <c:pt idx="12">
                  <c:v>12.950209487917038</c:v>
                </c:pt>
                <c:pt idx="13">
                  <c:v>13.114435479508519</c:v>
                </c:pt>
                <c:pt idx="14">
                  <c:v>13.283512190839648</c:v>
                </c:pt>
                <c:pt idx="15">
                  <c:v>13.457506173141638</c:v>
                </c:pt>
                <c:pt idx="16">
                  <c:v>13.636556331841973</c:v>
                </c:pt>
                <c:pt idx="17">
                  <c:v>13.820752765985958</c:v>
                </c:pt>
                <c:pt idx="18">
                  <c:v>14.01018552546396</c:v>
                </c:pt>
                <c:pt idx="19">
                  <c:v>14.204941011699558</c:v>
                </c:pt>
                <c:pt idx="20">
                  <c:v>14.405103777655409</c:v>
                </c:pt>
                <c:pt idx="21">
                  <c:v>14.610760971736934</c:v>
                </c:pt>
                <c:pt idx="22">
                  <c:v>14.822988465546459</c:v>
                </c:pt>
                <c:pt idx="23">
                  <c:v>15.042469935552511</c:v>
                </c:pt>
                <c:pt idx="24">
                  <c:v>15.268207284699356</c:v>
                </c:pt>
                <c:pt idx="25">
                  <c:v>15.499638317242788</c:v>
                </c:pt>
                <c:pt idx="26">
                  <c:v>15.736201077550929</c:v>
                </c:pt>
                <c:pt idx="27">
                  <c:v>15.977333848638995</c:v>
                </c:pt>
                <c:pt idx="28">
                  <c:v>16.222475165997899</c:v>
                </c:pt>
                <c:pt idx="29">
                  <c:v>16.4719059747272</c:v>
                </c:pt>
                <c:pt idx="30">
                  <c:v>16.725088702648076</c:v>
                </c:pt>
                <c:pt idx="31">
                  <c:v>16.981462394270981</c:v>
                </c:pt>
                <c:pt idx="32">
                  <c:v>17.240466346312978</c:v>
                </c:pt>
                <c:pt idx="33">
                  <c:v>17.501540123878637</c:v>
                </c:pt>
                <c:pt idx="34">
                  <c:v>17.764123567350371</c:v>
                </c:pt>
                <c:pt idx="35">
                  <c:v>18.027656795527992</c:v>
                </c:pt>
                <c:pt idx="36">
                  <c:v>18.294389300227088</c:v>
                </c:pt>
                <c:pt idx="37">
                  <c:v>18.567144467224232</c:v>
                </c:pt>
                <c:pt idx="38">
                  <c:v>18.845227573993292</c:v>
                </c:pt>
                <c:pt idx="39">
                  <c:v>19.127984975067449</c:v>
                </c:pt>
                <c:pt idx="40">
                  <c:v>19.414763381925649</c:v>
                </c:pt>
                <c:pt idx="41">
                  <c:v>19.704909865297402</c:v>
                </c:pt>
                <c:pt idx="42">
                  <c:v>19.997771855127521</c:v>
                </c:pt>
                <c:pt idx="43">
                  <c:v>20.292880852565403</c:v>
                </c:pt>
                <c:pt idx="44">
                  <c:v>20.588744139883175</c:v>
                </c:pt>
                <c:pt idx="45">
                  <c:v>20.884710487071988</c:v>
                </c:pt>
                <c:pt idx="46">
                  <c:v>21.180129011632062</c:v>
                </c:pt>
                <c:pt idx="47">
                  <c:v>21.474349176963152</c:v>
                </c:pt>
                <c:pt idx="48">
                  <c:v>21.766720795057513</c:v>
                </c:pt>
                <c:pt idx="49">
                  <c:v>22.056594024558937</c:v>
                </c:pt>
                <c:pt idx="50">
                  <c:v>22.344946568560612</c:v>
                </c:pt>
                <c:pt idx="51">
                  <c:v>22.633580130942459</c:v>
                </c:pt>
                <c:pt idx="52">
                  <c:v>22.921862107974007</c:v>
                </c:pt>
                <c:pt idx="53">
                  <c:v>23.209796468637478</c:v>
                </c:pt>
                <c:pt idx="54">
                  <c:v>23.497384380876966</c:v>
                </c:pt>
                <c:pt idx="55">
                  <c:v>23.78462694307753</c:v>
                </c:pt>
                <c:pt idx="56">
                  <c:v>24.071525186125189</c:v>
                </c:pt>
                <c:pt idx="57">
                  <c:v>24.357875914642101</c:v>
                </c:pt>
                <c:pt idx="58">
                  <c:v>24.643495624821888</c:v>
                </c:pt>
                <c:pt idx="59">
                  <c:v>24.928384940731476</c:v>
                </c:pt>
                <c:pt idx="60">
                  <c:v>25.212544424353379</c:v>
                </c:pt>
                <c:pt idx="61">
                  <c:v>25.495974583882127</c:v>
                </c:pt>
                <c:pt idx="62">
                  <c:v>25.778675882893587</c:v>
                </c:pt>
                <c:pt idx="63">
                  <c:v>26.060648754345365</c:v>
                </c:pt>
                <c:pt idx="64">
                  <c:v>26.342698295224537</c:v>
                </c:pt>
                <c:pt idx="65">
                  <c:v>26.624583973219522</c:v>
                </c:pt>
                <c:pt idx="66">
                  <c:v>26.905542422951864</c:v>
                </c:pt>
                <c:pt idx="67">
                  <c:v>27.185201779100272</c:v>
                </c:pt>
                <c:pt idx="68">
                  <c:v>27.463190265912136</c:v>
                </c:pt>
                <c:pt idx="69">
                  <c:v>27.739136198430231</c:v>
                </c:pt>
                <c:pt idx="70">
                  <c:v>28.012667977954489</c:v>
                </c:pt>
                <c:pt idx="71">
                  <c:v>28.282873341819801</c:v>
                </c:pt>
                <c:pt idx="72">
                  <c:v>28.549584778755751</c:v>
                </c:pt>
                <c:pt idx="73">
                  <c:v>28.8124305118913</c:v>
                </c:pt>
                <c:pt idx="74">
                  <c:v>29.071038783170621</c:v>
                </c:pt>
                <c:pt idx="75">
                  <c:v>29.325037838297323</c:v>
                </c:pt>
                <c:pt idx="76">
                  <c:v>29.574055915460363</c:v>
                </c:pt>
                <c:pt idx="77">
                  <c:v>29.817721231670358</c:v>
                </c:pt>
                <c:pt idx="78">
                  <c:v>30.057593508782105</c:v>
                </c:pt>
                <c:pt idx="79">
                  <c:v>30.295003632639411</c:v>
                </c:pt>
                <c:pt idx="80">
                  <c:v>30.530285855552382</c:v>
                </c:pt>
                <c:pt idx="81">
                  <c:v>30.762974954307616</c:v>
                </c:pt>
                <c:pt idx="82">
                  <c:v>30.992605712862225</c:v>
                </c:pt>
                <c:pt idx="83">
                  <c:v>31.218712917322428</c:v>
                </c:pt>
                <c:pt idx="84">
                  <c:v>31.440831343240323</c:v>
                </c:pt>
                <c:pt idx="85">
                  <c:v>31.65849572216122</c:v>
                </c:pt>
                <c:pt idx="86">
                  <c:v>31.871785497338308</c:v>
                </c:pt>
                <c:pt idx="87">
                  <c:v>32.080236734531006</c:v>
                </c:pt>
                <c:pt idx="88">
                  <c:v>32.283385653756653</c:v>
                </c:pt>
                <c:pt idx="89">
                  <c:v>32.480768624392475</c:v>
                </c:pt>
                <c:pt idx="90">
                  <c:v>32.671922184148649</c:v>
                </c:pt>
                <c:pt idx="91">
                  <c:v>32.856383032424681</c:v>
                </c:pt>
                <c:pt idx="92">
                  <c:v>33.033842335072876</c:v>
                </c:pt>
                <c:pt idx="93">
                  <c:v>33.204608433960246</c:v>
                </c:pt>
                <c:pt idx="94">
                  <c:v>33.369312493350506</c:v>
                </c:pt>
                <c:pt idx="95">
                  <c:v>33.528417499010992</c:v>
                </c:pt>
                <c:pt idx="96">
                  <c:v>33.682386261871187</c:v>
                </c:pt>
                <c:pt idx="97">
                  <c:v>33.831681427801684</c:v>
                </c:pt>
                <c:pt idx="98">
                  <c:v>33.976765468567443</c:v>
                </c:pt>
                <c:pt idx="99">
                  <c:v>34.118100688884894</c:v>
                </c:pt>
                <c:pt idx="100">
                  <c:v>34.256149249733198</c:v>
                </c:pt>
                <c:pt idx="101">
                  <c:v>34.391373110727287</c:v>
                </c:pt>
                <c:pt idx="102">
                  <c:v>34.524234054719706</c:v>
                </c:pt>
                <c:pt idx="103">
                  <c:v>34.655193690963877</c:v>
                </c:pt>
                <c:pt idx="104">
                  <c:v>34.784713449063297</c:v>
                </c:pt>
                <c:pt idx="105">
                  <c:v>34.913254578069854</c:v>
                </c:pt>
                <c:pt idx="106">
                  <c:v>35.040523462132199</c:v>
                </c:pt>
                <c:pt idx="107">
                  <c:v>35.165795519429032</c:v>
                </c:pt>
                <c:pt idx="108">
                  <c:v>35.288885549134839</c:v>
                </c:pt>
                <c:pt idx="109">
                  <c:v>35.409608534575042</c:v>
                </c:pt>
                <c:pt idx="110">
                  <c:v>35.527779652277786</c:v>
                </c:pt>
                <c:pt idx="111">
                  <c:v>35.643214282191927</c:v>
                </c:pt>
                <c:pt idx="112">
                  <c:v>35.755728012769097</c:v>
                </c:pt>
                <c:pt idx="113">
                  <c:v>35.865136649835712</c:v>
                </c:pt>
                <c:pt idx="114">
                  <c:v>35.971256228021645</c:v>
                </c:pt>
                <c:pt idx="115">
                  <c:v>36.073903015614832</c:v>
                </c:pt>
                <c:pt idx="116">
                  <c:v>36.172893524982058</c:v>
                </c:pt>
                <c:pt idx="117">
                  <c:v>36.268044519527628</c:v>
                </c:pt>
                <c:pt idx="118">
                  <c:v>36.359173024747591</c:v>
                </c:pt>
                <c:pt idx="119">
                  <c:v>39.926644761918794</c:v>
                </c:pt>
                <c:pt idx="120">
                  <c:v>40.01545351643832</c:v>
                </c:pt>
                <c:pt idx="121">
                  <c:v>40.100813592554346</c:v>
                </c:pt>
                <c:pt idx="122">
                  <c:v>40.182626007090235</c:v>
                </c:pt>
                <c:pt idx="123">
                  <c:v>40.260791895076636</c:v>
                </c:pt>
                <c:pt idx="124">
                  <c:v>40.33521251608817</c:v>
                </c:pt>
                <c:pt idx="125">
                  <c:v>40.405789248276967</c:v>
                </c:pt>
                <c:pt idx="126">
                  <c:v>40.47242359608763</c:v>
                </c:pt>
                <c:pt idx="127">
                  <c:v>40.535017189745403</c:v>
                </c:pt>
                <c:pt idx="128">
                  <c:v>40.593471790097475</c:v>
                </c:pt>
                <c:pt idx="129">
                  <c:v>40.647689287197245</c:v>
                </c:pt>
                <c:pt idx="130">
                  <c:v>40.697571701039166</c:v>
                </c:pt>
                <c:pt idx="131">
                  <c:v>40.743021187726526</c:v>
                </c:pt>
                <c:pt idx="132">
                  <c:v>40.783940034508277</c:v>
                </c:pt>
                <c:pt idx="133">
                  <c:v>40.820230667523255</c:v>
                </c:pt>
                <c:pt idx="134">
                  <c:v>40.850956313907375</c:v>
                </c:pt>
                <c:pt idx="135">
                  <c:v>40.87558385701157</c:v>
                </c:pt>
                <c:pt idx="136">
                  <c:v>40.894621018595139</c:v>
                </c:pt>
                <c:pt idx="137">
                  <c:v>40.9085751290811</c:v>
                </c:pt>
                <c:pt idx="138">
                  <c:v>40.917953132311155</c:v>
                </c:pt>
                <c:pt idx="139">
                  <c:v>40.923261582847587</c:v>
                </c:pt>
                <c:pt idx="140">
                  <c:v>40.925006641971166</c:v>
                </c:pt>
                <c:pt idx="141">
                  <c:v>40.923694077015391</c:v>
                </c:pt>
                <c:pt idx="142">
                  <c:v>40.919829261397211</c:v>
                </c:pt>
                <c:pt idx="143">
                  <c:v>40.913917169811754</c:v>
                </c:pt>
                <c:pt idx="144">
                  <c:v>40.906462378136084</c:v>
                </c:pt>
                <c:pt idx="145">
                  <c:v>40.897969059186352</c:v>
                </c:pt>
                <c:pt idx="146">
                  <c:v>40.888940981273628</c:v>
                </c:pt>
                <c:pt idx="147">
                  <c:v>40.879881507653266</c:v>
                </c:pt>
                <c:pt idx="148">
                  <c:v>40.869820858699669</c:v>
                </c:pt>
                <c:pt idx="149">
                  <c:v>40.857522415652724</c:v>
                </c:pt>
                <c:pt idx="150">
                  <c:v>40.843088925078042</c:v>
                </c:pt>
                <c:pt idx="151">
                  <c:v>40.826623061709796</c:v>
                </c:pt>
                <c:pt idx="152">
                  <c:v>40.808227427668129</c:v>
                </c:pt>
                <c:pt idx="153">
                  <c:v>40.788004548338002</c:v>
                </c:pt>
                <c:pt idx="154">
                  <c:v>40.766056866247915</c:v>
                </c:pt>
                <c:pt idx="155">
                  <c:v>40.742486738972637</c:v>
                </c:pt>
                <c:pt idx="156">
                  <c:v>40.717396435299136</c:v>
                </c:pt>
                <c:pt idx="157">
                  <c:v>40.690888129213214</c:v>
                </c:pt>
                <c:pt idx="158">
                  <c:v>40.663063898152942</c:v>
                </c:pt>
                <c:pt idx="159">
                  <c:v>40.634025717071701</c:v>
                </c:pt>
                <c:pt idx="160">
                  <c:v>40.603875455504664</c:v>
                </c:pt>
                <c:pt idx="161">
                  <c:v>40.572714874613716</c:v>
                </c:pt>
                <c:pt idx="162">
                  <c:v>40.54017844495592</c:v>
                </c:pt>
                <c:pt idx="163">
                  <c:v>40.505900921606674</c:v>
                </c:pt>
                <c:pt idx="164">
                  <c:v>40.46998431617051</c:v>
                </c:pt>
                <c:pt idx="165">
                  <c:v>40.432530513331763</c:v>
                </c:pt>
                <c:pt idx="166">
                  <c:v>40.393641269175731</c:v>
                </c:pt>
                <c:pt idx="167">
                  <c:v>40.353418208462905</c:v>
                </c:pt>
                <c:pt idx="168">
                  <c:v>40.311962822097641</c:v>
                </c:pt>
                <c:pt idx="169">
                  <c:v>40.269376464164722</c:v>
                </c:pt>
                <c:pt idx="170">
                  <c:v>40.225760351011424</c:v>
                </c:pt>
                <c:pt idx="171">
                  <c:v>40.181215558983688</c:v>
                </c:pt>
                <c:pt idx="172">
                  <c:v>40.135843024207844</c:v>
                </c:pt>
                <c:pt idx="173">
                  <c:v>40.089743540600125</c:v>
                </c:pt>
                <c:pt idx="174">
                  <c:v>40.043017760146711</c:v>
                </c:pt>
                <c:pt idx="175">
                  <c:v>39.995766192761032</c:v>
                </c:pt>
                <c:pt idx="176">
                  <c:v>39.948488458696012</c:v>
                </c:pt>
                <c:pt idx="177">
                  <c:v>39.901417591740199</c:v>
                </c:pt>
                <c:pt idx="178">
                  <c:v>39.854254263210102</c:v>
                </c:pt>
                <c:pt idx="179">
                  <c:v>39.806699337327991</c:v>
                </c:pt>
                <c:pt idx="180">
                  <c:v>39.758453871282626</c:v>
                </c:pt>
                <c:pt idx="181">
                  <c:v>39.709219113571031</c:v>
                </c:pt>
                <c:pt idx="182">
                  <c:v>39.658696505656167</c:v>
                </c:pt>
                <c:pt idx="183">
                  <c:v>39.606587680392259</c:v>
                </c:pt>
                <c:pt idx="184">
                  <c:v>39.552594463373204</c:v>
                </c:pt>
                <c:pt idx="185">
                  <c:v>39.496418875222027</c:v>
                </c:pt>
                <c:pt idx="186">
                  <c:v>39.437763129112867</c:v>
                </c:pt>
                <c:pt idx="187">
                  <c:v>39.376329635599042</c:v>
                </c:pt>
                <c:pt idx="188">
                  <c:v>39.311821003505287</c:v>
                </c:pt>
                <c:pt idx="189">
                  <c:v>39.243940040160652</c:v>
                </c:pt>
                <c:pt idx="190">
                  <c:v>39.172273638085194</c:v>
                </c:pt>
                <c:pt idx="191">
                  <c:v>39.096873359053475</c:v>
                </c:pt>
                <c:pt idx="192">
                  <c:v>39.018138901708397</c:v>
                </c:pt>
                <c:pt idx="193">
                  <c:v>38.936469619676892</c:v>
                </c:pt>
                <c:pt idx="194">
                  <c:v>38.852264527250107</c:v>
                </c:pt>
                <c:pt idx="195">
                  <c:v>38.765922308651376</c:v>
                </c:pt>
                <c:pt idx="196">
                  <c:v>38.67784131938766</c:v>
                </c:pt>
                <c:pt idx="197">
                  <c:v>38.588419595183154</c:v>
                </c:pt>
                <c:pt idx="198">
                  <c:v>38.498054857731624</c:v>
                </c:pt>
                <c:pt idx="199">
                  <c:v>38.40714451834215</c:v>
                </c:pt>
                <c:pt idx="200">
                  <c:v>38.316085683550199</c:v>
                </c:pt>
                <c:pt idx="201">
                  <c:v>38.225275161207719</c:v>
                </c:pt>
                <c:pt idx="202">
                  <c:v>38.135109463011965</c:v>
                </c:pt>
                <c:pt idx="203">
                  <c:v>38.045984810202725</c:v>
                </c:pt>
                <c:pt idx="204">
                  <c:v>37.957734698402383</c:v>
                </c:pt>
                <c:pt idx="205">
                  <c:v>37.869795836629436</c:v>
                </c:pt>
                <c:pt idx="206">
                  <c:v>37.78196918522282</c:v>
                </c:pt>
                <c:pt idx="207">
                  <c:v>37.694055883946284</c:v>
                </c:pt>
                <c:pt idx="208">
                  <c:v>37.605857251626702</c:v>
                </c:pt>
                <c:pt idx="209">
                  <c:v>37.517174787155838</c:v>
                </c:pt>
                <c:pt idx="210">
                  <c:v>37.427810169867676</c:v>
                </c:pt>
                <c:pt idx="211">
                  <c:v>37.337565257206897</c:v>
                </c:pt>
                <c:pt idx="212">
                  <c:v>37.246242087111817</c:v>
                </c:pt>
                <c:pt idx="213">
                  <c:v>37.153642875872826</c:v>
                </c:pt>
                <c:pt idx="214">
                  <c:v>37.059570017596535</c:v>
                </c:pt>
                <c:pt idx="215">
                  <c:v>36.963826083259754</c:v>
                </c:pt>
                <c:pt idx="216">
                  <c:v>36.866213818706868</c:v>
                </c:pt>
                <c:pt idx="217">
                  <c:v>36.766536144147487</c:v>
                </c:pt>
                <c:pt idx="218">
                  <c:v>36.665091090678523</c:v>
                </c:pt>
                <c:pt idx="219">
                  <c:v>36.562308419963053</c:v>
                </c:pt>
                <c:pt idx="220">
                  <c:v>36.458188827214911</c:v>
                </c:pt>
                <c:pt idx="221">
                  <c:v>36.3527330276168</c:v>
                </c:pt>
                <c:pt idx="222">
                  <c:v>36.245941754883788</c:v>
                </c:pt>
                <c:pt idx="223">
                  <c:v>36.137815759461191</c:v>
                </c:pt>
                <c:pt idx="224">
                  <c:v>36.028355807241034</c:v>
                </c:pt>
                <c:pt idx="225">
                  <c:v>35.917562670668921</c:v>
                </c:pt>
                <c:pt idx="226">
                  <c:v>35.80543714320379</c:v>
                </c:pt>
                <c:pt idx="227">
                  <c:v>35.691980028309594</c:v>
                </c:pt>
                <c:pt idx="228">
                  <c:v>35.577192139507609</c:v>
                </c:pt>
                <c:pt idx="229">
                  <c:v>35.461074299088168</c:v>
                </c:pt>
                <c:pt idx="230">
                  <c:v>35.343627336965888</c:v>
                </c:pt>
                <c:pt idx="231">
                  <c:v>35.224852089519551</c:v>
                </c:pt>
                <c:pt idx="232">
                  <c:v>35.106246776210874</c:v>
                </c:pt>
                <c:pt idx="233">
                  <c:v>34.988847852140239</c:v>
                </c:pt>
                <c:pt idx="234">
                  <c:v>34.871963951225702</c:v>
                </c:pt>
                <c:pt idx="235">
                  <c:v>34.754904200269749</c:v>
                </c:pt>
                <c:pt idx="236">
                  <c:v>34.636978241538138</c:v>
                </c:pt>
                <c:pt idx="237">
                  <c:v>34.517496231706872</c:v>
                </c:pt>
                <c:pt idx="238">
                  <c:v>34.395768835600201</c:v>
                </c:pt>
                <c:pt idx="239">
                  <c:v>34.271106901092878</c:v>
                </c:pt>
                <c:pt idx="240">
                  <c:v>34.142822111537257</c:v>
                </c:pt>
                <c:pt idx="241">
                  <c:v>34.010226641607012</c:v>
                </c:pt>
                <c:pt idx="242">
                  <c:v>33.872633168604956</c:v>
                </c:pt>
                <c:pt idx="243">
                  <c:v>33.729354865708679</c:v>
                </c:pt>
                <c:pt idx="244">
                  <c:v>33.579705396854017</c:v>
                </c:pt>
                <c:pt idx="245">
                  <c:v>33.422998919650745</c:v>
                </c:pt>
                <c:pt idx="246">
                  <c:v>33.258993215568331</c:v>
                </c:pt>
                <c:pt idx="247">
                  <c:v>33.088298837426485</c:v>
                </c:pt>
                <c:pt idx="248">
                  <c:v>32.911510196174845</c:v>
                </c:pt>
                <c:pt idx="249">
                  <c:v>32.729221254323832</c:v>
                </c:pt>
                <c:pt idx="250">
                  <c:v>32.542025547664181</c:v>
                </c:pt>
                <c:pt idx="251">
                  <c:v>32.350516181272759</c:v>
                </c:pt>
                <c:pt idx="252">
                  <c:v>32.15528583727184</c:v>
                </c:pt>
                <c:pt idx="253">
                  <c:v>31.956617932426404</c:v>
                </c:pt>
                <c:pt idx="254">
                  <c:v>31.755104853026154</c:v>
                </c:pt>
                <c:pt idx="255">
                  <c:v>31.55133830197834</c:v>
                </c:pt>
                <c:pt idx="256">
                  <c:v>31.345909642650785</c:v>
                </c:pt>
                <c:pt idx="257">
                  <c:v>31.139409900171433</c:v>
                </c:pt>
                <c:pt idx="258">
                  <c:v>30.93242976806004</c:v>
                </c:pt>
                <c:pt idx="259">
                  <c:v>30.725559611961415</c:v>
                </c:pt>
                <c:pt idx="260">
                  <c:v>30.518341648076184</c:v>
                </c:pt>
                <c:pt idx="261">
                  <c:v>30.308910711348361</c:v>
                </c:pt>
                <c:pt idx="262">
                  <c:v>30.097074434044359</c:v>
                </c:pt>
                <c:pt idx="263">
                  <c:v>29.882640149866688</c:v>
                </c:pt>
                <c:pt idx="264">
                  <c:v>29.665415623549571</c:v>
                </c:pt>
                <c:pt idx="265">
                  <c:v>29.445208837969126</c:v>
                </c:pt>
                <c:pt idx="266">
                  <c:v>29.221828149308564</c:v>
                </c:pt>
                <c:pt idx="267">
                  <c:v>28.993989062777874</c:v>
                </c:pt>
                <c:pt idx="268">
                  <c:v>28.761810953024902</c:v>
                </c:pt>
                <c:pt idx="269">
                  <c:v>28.525106634760778</c:v>
                </c:pt>
                <c:pt idx="270">
                  <c:v>28.283689588777577</c:v>
                </c:pt>
                <c:pt idx="271">
                  <c:v>28.037373999884327</c:v>
                </c:pt>
                <c:pt idx="272">
                  <c:v>27.785974788891782</c:v>
                </c:pt>
                <c:pt idx="273">
                  <c:v>27.529307646362245</c:v>
                </c:pt>
                <c:pt idx="274">
                  <c:v>27.267679079838267</c:v>
                </c:pt>
                <c:pt idx="275">
                  <c:v>27.001341851394226</c:v>
                </c:pt>
                <c:pt idx="276">
                  <c:v>26.731181950509178</c:v>
                </c:pt>
                <c:pt idx="277">
                  <c:v>26.457211207046857</c:v>
                </c:pt>
                <c:pt idx="278">
                  <c:v>26.179441923876279</c:v>
                </c:pt>
                <c:pt idx="279">
                  <c:v>25.897886865393041</c:v>
                </c:pt>
                <c:pt idx="280">
                  <c:v>25.612559252886385</c:v>
                </c:pt>
                <c:pt idx="281">
                  <c:v>25.324094988844351</c:v>
                </c:pt>
                <c:pt idx="282">
                  <c:v>25.033575610087912</c:v>
                </c:pt>
                <c:pt idx="283">
                  <c:v>24.741006172848348</c:v>
                </c:pt>
                <c:pt idx="284">
                  <c:v>24.446391472843441</c:v>
                </c:pt>
                <c:pt idx="285">
                  <c:v>24.149736003969885</c:v>
                </c:pt>
                <c:pt idx="286">
                  <c:v>23.851043921399853</c:v>
                </c:pt>
                <c:pt idx="287">
                  <c:v>23.550319000959732</c:v>
                </c:pt>
                <c:pt idx="288">
                  <c:v>23.246928946459779</c:v>
                </c:pt>
                <c:pt idx="289">
                  <c:v>22.940797324054923</c:v>
                </c:pt>
                <c:pt idx="290">
                  <c:v>22.632396756453694</c:v>
                </c:pt>
                <c:pt idx="291">
                  <c:v>22.32201879264526</c:v>
                </c:pt>
                <c:pt idx="292">
                  <c:v>22.009954089423509</c:v>
                </c:pt>
                <c:pt idx="293">
                  <c:v>21.696492404245884</c:v>
                </c:pt>
                <c:pt idx="294">
                  <c:v>21.381922586873102</c:v>
                </c:pt>
                <c:pt idx="295">
                  <c:v>21.067416255306359</c:v>
                </c:pt>
                <c:pt idx="296">
                  <c:v>20.752641506303917</c:v>
                </c:pt>
                <c:pt idx="297">
                  <c:v>20.437874344712334</c:v>
                </c:pt>
                <c:pt idx="298">
                  <c:v>20.123396503018409</c:v>
                </c:pt>
                <c:pt idx="299">
                  <c:v>19.809488957812651</c:v>
                </c:pt>
                <c:pt idx="300">
                  <c:v>19.496431964746371</c:v>
                </c:pt>
                <c:pt idx="301">
                  <c:v>19.184505102208771</c:v>
                </c:pt>
                <c:pt idx="302">
                  <c:v>18.869660332620867</c:v>
                </c:pt>
                <c:pt idx="303">
                  <c:v>18.549811797865338</c:v>
                </c:pt>
                <c:pt idx="304">
                  <c:v>18.226250916395617</c:v>
                </c:pt>
                <c:pt idx="305">
                  <c:v>17.900617374902033</c:v>
                </c:pt>
                <c:pt idx="306">
                  <c:v>17.57454974153136</c:v>
                </c:pt>
                <c:pt idx="307">
                  <c:v>17.249685567066987</c:v>
                </c:pt>
                <c:pt idx="308">
                  <c:v>16.927661490564454</c:v>
                </c:pt>
                <c:pt idx="309">
                  <c:v>16.610110413939999</c:v>
                </c:pt>
                <c:pt idx="310">
                  <c:v>16.297820292268959</c:v>
                </c:pt>
                <c:pt idx="311">
                  <c:v>15.992432979253453</c:v>
                </c:pt>
                <c:pt idx="312">
                  <c:v>15.695589712117386</c:v>
                </c:pt>
                <c:pt idx="313">
                  <c:v>15.408931171581195</c:v>
                </c:pt>
                <c:pt idx="314">
                  <c:v>15.134097539292577</c:v>
                </c:pt>
                <c:pt idx="315">
                  <c:v>14.872728549504492</c:v>
                </c:pt>
                <c:pt idx="316">
                  <c:v>14.622323255417115</c:v>
                </c:pt>
                <c:pt idx="317">
                  <c:v>14.379236642341011</c:v>
                </c:pt>
                <c:pt idx="318">
                  <c:v>14.142450391067953</c:v>
                </c:pt>
                <c:pt idx="319">
                  <c:v>13.91196029049742</c:v>
                </c:pt>
                <c:pt idx="320">
                  <c:v>13.687762462302402</c:v>
                </c:pt>
                <c:pt idx="321">
                  <c:v>13.46985336312656</c:v>
                </c:pt>
                <c:pt idx="322">
                  <c:v>13.258229782144413</c:v>
                </c:pt>
                <c:pt idx="323">
                  <c:v>13.053447006713629</c:v>
                </c:pt>
                <c:pt idx="324">
                  <c:v>12.855501244033247</c:v>
                </c:pt>
                <c:pt idx="325">
                  <c:v>12.664386397524741</c:v>
                </c:pt>
                <c:pt idx="326">
                  <c:v>12.480101786797874</c:v>
                </c:pt>
                <c:pt idx="327">
                  <c:v>12.302643725924122</c:v>
                </c:pt>
                <c:pt idx="328">
                  <c:v>12.132004988301775</c:v>
                </c:pt>
                <c:pt idx="329">
                  <c:v>11.968178967378302</c:v>
                </c:pt>
                <c:pt idx="330">
                  <c:v>11.808842295524846</c:v>
                </c:pt>
                <c:pt idx="331">
                  <c:v>11.652306932689276</c:v>
                </c:pt>
                <c:pt idx="332">
                  <c:v>11.499680000633266</c:v>
                </c:pt>
                <c:pt idx="333">
                  <c:v>11.352027784353188</c:v>
                </c:pt>
                <c:pt idx="334">
                  <c:v>11.210416500097674</c:v>
                </c:pt>
                <c:pt idx="335">
                  <c:v>11.075912257795574</c:v>
                </c:pt>
                <c:pt idx="336">
                  <c:v>10.949581033384565</c:v>
                </c:pt>
                <c:pt idx="337">
                  <c:v>10.831682086779022</c:v>
                </c:pt>
                <c:pt idx="338">
                  <c:v>10.722743494492766</c:v>
                </c:pt>
                <c:pt idx="339">
                  <c:v>10.623836466709525</c:v>
                </c:pt>
                <c:pt idx="340">
                  <c:v>10.536031309737769</c:v>
                </c:pt>
                <c:pt idx="341">
                  <c:v>10.460397391765518</c:v>
                </c:pt>
                <c:pt idx="342">
                  <c:v>10.398003116287356</c:v>
                </c:pt>
                <c:pt idx="343">
                  <c:v>10.349915896961047</c:v>
                </c:pt>
                <c:pt idx="344">
                  <c:v>10.316826044502655</c:v>
                </c:pt>
                <c:pt idx="345">
                  <c:v>10.298006342601589</c:v>
                </c:pt>
                <c:pt idx="346">
                  <c:v>10.292353804881317</c:v>
                </c:pt>
                <c:pt idx="347">
                  <c:v>10.298809330245035</c:v>
                </c:pt>
                <c:pt idx="348">
                  <c:v>10.316314031863211</c:v>
                </c:pt>
                <c:pt idx="349">
                  <c:v>10.343809243189183</c:v>
                </c:pt>
                <c:pt idx="350">
                  <c:v>10.38023651877932</c:v>
                </c:pt>
                <c:pt idx="351">
                  <c:v>10.424416806234422</c:v>
                </c:pt>
                <c:pt idx="352">
                  <c:v>10.476086211329287</c:v>
                </c:pt>
                <c:pt idx="353">
                  <c:v>10.534185973563646</c:v>
                </c:pt>
                <c:pt idx="354">
                  <c:v>10.597657837588331</c:v>
                </c:pt>
                <c:pt idx="355">
                  <c:v>10.665444051096546</c:v>
                </c:pt>
                <c:pt idx="356">
                  <c:v>10.736487723763288</c:v>
                </c:pt>
                <c:pt idx="357">
                  <c:v>10.809732519594682</c:v>
                </c:pt>
                <c:pt idx="358">
                  <c:v>10.887619181086503</c:v>
                </c:pt>
                <c:pt idx="359">
                  <c:v>10.97304626616349</c:v>
                </c:pt>
                <c:pt idx="360">
                  <c:v>11.064854416438159</c:v>
                </c:pt>
                <c:pt idx="361">
                  <c:v>11.162797141565189</c:v>
                </c:pt>
                <c:pt idx="362">
                  <c:v>11.266507366654855</c:v>
                </c:pt>
                <c:pt idx="363">
                  <c:v>11.37561800353107</c:v>
                </c:pt>
                <c:pt idx="364">
                  <c:v>11.489761984773477</c:v>
                </c:pt>
                <c:pt idx="365">
                  <c:v>11.38603780810141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11.004648583767269</c:v>
                </c:pt>
                <c:pt idx="1">
                  <c:v>8.591470035337176</c:v>
                </c:pt>
                <c:pt idx="2">
                  <c:v>9.8565143570199965</c:v>
                </c:pt>
                <c:pt idx="3">
                  <c:v>10.335883081855741</c:v>
                </c:pt>
                <c:pt idx="4">
                  <c:v>8.5495417439727142</c:v>
                </c:pt>
                <c:pt idx="5">
                  <c:v>12.248780329941525</c:v>
                </c:pt>
                <c:pt idx="6">
                  <c:v>5.4553606387410687</c:v>
                </c:pt>
                <c:pt idx="7">
                  <c:v>4.3967746293871413</c:v>
                </c:pt>
                <c:pt idx="8">
                  <c:v>1.2125446373335607</c:v>
                </c:pt>
                <c:pt idx="9">
                  <c:v>0.8704981431532467</c:v>
                </c:pt>
                <c:pt idx="10">
                  <c:v>12.584904632778343</c:v>
                </c:pt>
                <c:pt idx="11">
                  <c:v>10.260970436101745</c:v>
                </c:pt>
                <c:pt idx="12">
                  <c:v>3.1281719036582079</c:v>
                </c:pt>
                <c:pt idx="13">
                  <c:v>13.069207044275281</c:v>
                </c:pt>
                <c:pt idx="14">
                  <c:v>13.355966195550877</c:v>
                </c:pt>
                <c:pt idx="15">
                  <c:v>13.428847569873607</c:v>
                </c:pt>
                <c:pt idx="16">
                  <c:v>9.732698999249223</c:v>
                </c:pt>
                <c:pt idx="17">
                  <c:v>2.3572291135756682</c:v>
                </c:pt>
                <c:pt idx="18">
                  <c:v>7.0653073179659112</c:v>
                </c:pt>
                <c:pt idx="19">
                  <c:v>3.7667632017480406</c:v>
                </c:pt>
                <c:pt idx="20">
                  <c:v>10.325343949086697</c:v>
                </c:pt>
                <c:pt idx="21">
                  <c:v>14.848273680151168</c:v>
                </c:pt>
                <c:pt idx="22">
                  <c:v>14.902521467595903</c:v>
                </c:pt>
                <c:pt idx="23">
                  <c:v>15.170065908207603</c:v>
                </c:pt>
                <c:pt idx="24">
                  <c:v>14.391590649996306</c:v>
                </c:pt>
                <c:pt idx="25">
                  <c:v>15.646463295494623</c:v>
                </c:pt>
                <c:pt idx="26">
                  <c:v>13.367689204748791</c:v>
                </c:pt>
                <c:pt idx="27">
                  <c:v>2.5001276511448394</c:v>
                </c:pt>
                <c:pt idx="28">
                  <c:v>4.2736746705151862</c:v>
                </c:pt>
                <c:pt idx="29">
                  <c:v>2.7725701007472781</c:v>
                </c:pt>
                <c:pt idx="30">
                  <c:v>6.5078021145962079</c:v>
                </c:pt>
                <c:pt idx="31">
                  <c:v>8.1077457297092632</c:v>
                </c:pt>
                <c:pt idx="32">
                  <c:v>3.5716426323438015</c:v>
                </c:pt>
                <c:pt idx="33">
                  <c:v>7.6190243366886463</c:v>
                </c:pt>
                <c:pt idx="34">
                  <c:v>7.3931140792500285</c:v>
                </c:pt>
                <c:pt idx="35">
                  <c:v>6.861784292722569</c:v>
                </c:pt>
                <c:pt idx="36">
                  <c:v>14.065478451459807</c:v>
                </c:pt>
                <c:pt idx="37">
                  <c:v>8.2529569151437983</c:v>
                </c:pt>
                <c:pt idx="38">
                  <c:v>19.623515176887729</c:v>
                </c:pt>
                <c:pt idx="39">
                  <c:v>19.663995641068915</c:v>
                </c:pt>
                <c:pt idx="40">
                  <c:v>18.655078816121314</c:v>
                </c:pt>
                <c:pt idx="41">
                  <c:v>10.113813158855338</c:v>
                </c:pt>
                <c:pt idx="42">
                  <c:v>16.080524242671487</c:v>
                </c:pt>
                <c:pt idx="43">
                  <c:v>18.459576592626707</c:v>
                </c:pt>
                <c:pt idx="44">
                  <c:v>10.216568804917674</c:v>
                </c:pt>
                <c:pt idx="45">
                  <c:v>12.911892026553557</c:v>
                </c:pt>
                <c:pt idx="46">
                  <c:v>5.6473235829904755</c:v>
                </c:pt>
                <c:pt idx="47">
                  <c:v>9.6512064877154664</c:v>
                </c:pt>
                <c:pt idx="48">
                  <c:v>18.21714778942528</c:v>
                </c:pt>
                <c:pt idx="49">
                  <c:v>11.74989591819566</c:v>
                </c:pt>
                <c:pt idx="50">
                  <c:v>13.203997963279775</c:v>
                </c:pt>
                <c:pt idx="51">
                  <c:v>13.67756087335677</c:v>
                </c:pt>
                <c:pt idx="52">
                  <c:v>21.324650011162124</c:v>
                </c:pt>
                <c:pt idx="53">
                  <c:v>21.818603941164259</c:v>
                </c:pt>
                <c:pt idx="54">
                  <c:v>14.107715877002539</c:v>
                </c:pt>
                <c:pt idx="55">
                  <c:v>19.691545595209529</c:v>
                </c:pt>
                <c:pt idx="56">
                  <c:v>24.687295442216435</c:v>
                </c:pt>
                <c:pt idx="57">
                  <c:v>16.704869800254023</c:v>
                </c:pt>
                <c:pt idx="58">
                  <c:v>21.854778591835938</c:v>
                </c:pt>
                <c:pt idx="59">
                  <c:v>24.541601769626809</c:v>
                </c:pt>
                <c:pt idx="60">
                  <c:v>9.0318212667582181</c:v>
                </c:pt>
                <c:pt idx="61">
                  <c:v>23.184608598268053</c:v>
                </c:pt>
                <c:pt idx="62">
                  <c:v>3.541394629032367</c:v>
                </c:pt>
                <c:pt idx="63">
                  <c:v>9.0828154261195255</c:v>
                </c:pt>
                <c:pt idx="64">
                  <c:v>12.359435225757476</c:v>
                </c:pt>
                <c:pt idx="65">
                  <c:v>23.436046227090316</c:v>
                </c:pt>
                <c:pt idx="66">
                  <c:v>19.461552417036991</c:v>
                </c:pt>
                <c:pt idx="67">
                  <c:v>21.877861385898132</c:v>
                </c:pt>
                <c:pt idx="68">
                  <c:v>15.140854842391512</c:v>
                </c:pt>
                <c:pt idx="69">
                  <c:v>9.8086055759336634</c:v>
                </c:pt>
                <c:pt idx="70">
                  <c:v>9.8851777460015047</c:v>
                </c:pt>
                <c:pt idx="71">
                  <c:v>5.4007873617449818</c:v>
                </c:pt>
                <c:pt idx="72">
                  <c:v>7.7318394731438618</c:v>
                </c:pt>
                <c:pt idx="73">
                  <c:v>7.9157327875662897</c:v>
                </c:pt>
                <c:pt idx="74">
                  <c:v>6.0832981742064511</c:v>
                </c:pt>
                <c:pt idx="75">
                  <c:v>7.1359930194686756</c:v>
                </c:pt>
                <c:pt idx="76">
                  <c:v>8.9070952426439778</c:v>
                </c:pt>
                <c:pt idx="77">
                  <c:v>17.891968381853051</c:v>
                </c:pt>
                <c:pt idx="78">
                  <c:v>19.950569085784316</c:v>
                </c:pt>
                <c:pt idx="79">
                  <c:v>28.576682706816808</c:v>
                </c:pt>
                <c:pt idx="80">
                  <c:v>26.384631190646935</c:v>
                </c:pt>
                <c:pt idx="81">
                  <c:v>29.635280066733937</c:v>
                </c:pt>
                <c:pt idx="82">
                  <c:v>29.340030930112263</c:v>
                </c:pt>
                <c:pt idx="83">
                  <c:v>26.203328734545348</c:v>
                </c:pt>
                <c:pt idx="84">
                  <c:v>27.883634817928886</c:v>
                </c:pt>
                <c:pt idx="85">
                  <c:v>27.813470046754926</c:v>
                </c:pt>
                <c:pt idx="86">
                  <c:v>21.490329618424362</c:v>
                </c:pt>
                <c:pt idx="87">
                  <c:v>17.28755215960178</c:v>
                </c:pt>
                <c:pt idx="88">
                  <c:v>4.2749632406478186</c:v>
                </c:pt>
                <c:pt idx="89">
                  <c:v>18.449470211933626</c:v>
                </c:pt>
                <c:pt idx="90">
                  <c:v>20.313248047791497</c:v>
                </c:pt>
                <c:pt idx="91">
                  <c:v>12.537529983343035</c:v>
                </c:pt>
                <c:pt idx="92">
                  <c:v>14.900896113715493</c:v>
                </c:pt>
                <c:pt idx="93">
                  <c:v>27.136499381570989</c:v>
                </c:pt>
                <c:pt idx="94">
                  <c:v>33.45396158444737</c:v>
                </c:pt>
                <c:pt idx="95">
                  <c:v>7.694511087002998</c:v>
                </c:pt>
                <c:pt idx="96">
                  <c:v>24.873083195748279</c:v>
                </c:pt>
                <c:pt idx="97">
                  <c:v>19.612120008200467</c:v>
                </c:pt>
                <c:pt idx="98">
                  <c:v>23.673106125836767</c:v>
                </c:pt>
                <c:pt idx="99">
                  <c:v>33.512808019867066</c:v>
                </c:pt>
                <c:pt idx="100">
                  <c:v>26.860038241167135</c:v>
                </c:pt>
                <c:pt idx="101">
                  <c:v>22.788780755136937</c:v>
                </c:pt>
                <c:pt idx="102">
                  <c:v>4.4267017831912723</c:v>
                </c:pt>
                <c:pt idx="103">
                  <c:v>25.095709680989938</c:v>
                </c:pt>
                <c:pt idx="104">
                  <c:v>27.833010798786766</c:v>
                </c:pt>
                <c:pt idx="105">
                  <c:v>28.019745401984739</c:v>
                </c:pt>
                <c:pt idx="106">
                  <c:v>34.741084396282702</c:v>
                </c:pt>
                <c:pt idx="107">
                  <c:v>24.878658626740187</c:v>
                </c:pt>
                <c:pt idx="108">
                  <c:v>6.0953272808456722</c:v>
                </c:pt>
                <c:pt idx="109">
                  <c:v>6.2334605148327755</c:v>
                </c:pt>
                <c:pt idx="110">
                  <c:v>6.6589960013537732</c:v>
                </c:pt>
                <c:pt idx="111">
                  <c:v>17.556662741591712</c:v>
                </c:pt>
                <c:pt idx="112">
                  <c:v>5.478113337991191</c:v>
                </c:pt>
                <c:pt idx="113">
                  <c:v>21.53367841671805</c:v>
                </c:pt>
                <c:pt idx="114">
                  <c:v>29.847720710101083</c:v>
                </c:pt>
                <c:pt idx="115">
                  <c:v>34.47341559891909</c:v>
                </c:pt>
                <c:pt idx="116">
                  <c:v>25.009704657238203</c:v>
                </c:pt>
                <c:pt idx="117">
                  <c:v>16.005404173286138</c:v>
                </c:pt>
                <c:pt idx="118">
                  <c:v>27.246489226762595</c:v>
                </c:pt>
                <c:pt idx="119">
                  <c:v>31.413345962827627</c:v>
                </c:pt>
                <c:pt idx="120">
                  <c:v>32.376963045899863</c:v>
                </c:pt>
                <c:pt idx="121">
                  <c:v>18.861448725338942</c:v>
                </c:pt>
                <c:pt idx="122">
                  <c:v>20.959058525859593</c:v>
                </c:pt>
                <c:pt idx="123">
                  <c:v>14.609374902846161</c:v>
                </c:pt>
                <c:pt idx="124">
                  <c:v>28.569223848540648</c:v>
                </c:pt>
                <c:pt idx="125">
                  <c:v>26.510231005943421</c:v>
                </c:pt>
                <c:pt idx="126">
                  <c:v>32.950273564192536</c:v>
                </c:pt>
                <c:pt idx="127">
                  <c:v>33.990415716354313</c:v>
                </c:pt>
                <c:pt idx="128">
                  <c:v>38.299547269297115</c:v>
                </c:pt>
                <c:pt idx="129">
                  <c:v>35.401063816450815</c:v>
                </c:pt>
                <c:pt idx="130">
                  <c:v>38.173661053874767</c:v>
                </c:pt>
                <c:pt idx="131">
                  <c:v>29.375860621075439</c:v>
                </c:pt>
                <c:pt idx="132">
                  <c:v>32.067708784361663</c:v>
                </c:pt>
                <c:pt idx="133">
                  <c:v>33.396383789336916</c:v>
                </c:pt>
                <c:pt idx="134">
                  <c:v>35.567583720174348</c:v>
                </c:pt>
                <c:pt idx="135">
                  <c:v>34.445069791163824</c:v>
                </c:pt>
                <c:pt idx="136">
                  <c:v>37.020123416944678</c:v>
                </c:pt>
                <c:pt idx="137">
                  <c:v>35.600728103244926</c:v>
                </c:pt>
                <c:pt idx="138">
                  <c:v>36.736175709709862</c:v>
                </c:pt>
                <c:pt idx="139">
                  <c:v>32.76636119651684</c:v>
                </c:pt>
                <c:pt idx="140">
                  <c:v>32.660708105809498</c:v>
                </c:pt>
                <c:pt idx="141">
                  <c:v>24.409741961977957</c:v>
                </c:pt>
                <c:pt idx="142">
                  <c:v>12.706589126241088</c:v>
                </c:pt>
                <c:pt idx="143">
                  <c:v>11.372942073674482</c:v>
                </c:pt>
                <c:pt idx="144">
                  <c:v>28.014729492820084</c:v>
                </c:pt>
                <c:pt idx="145">
                  <c:v>14.999952180605101</c:v>
                </c:pt>
                <c:pt idx="146">
                  <c:v>29.752721578774818</c:v>
                </c:pt>
                <c:pt idx="147">
                  <c:v>37.839646085138419</c:v>
                </c:pt>
                <c:pt idx="148">
                  <c:v>41.064314612780514</c:v>
                </c:pt>
                <c:pt idx="149">
                  <c:v>34.007249108933543</c:v>
                </c:pt>
                <c:pt idx="150">
                  <c:v>37.211910110988057</c:v>
                </c:pt>
                <c:pt idx="151">
                  <c:v>38.056435004021267</c:v>
                </c:pt>
                <c:pt idx="152">
                  <c:v>30.387366784688247</c:v>
                </c:pt>
                <c:pt idx="153">
                  <c:v>36.800212310255382</c:v>
                </c:pt>
                <c:pt idx="154">
                  <c:v>18.280613587653104</c:v>
                </c:pt>
                <c:pt idx="155">
                  <c:v>22.427011215999084</c:v>
                </c:pt>
                <c:pt idx="156">
                  <c:v>31.120558290299282</c:v>
                </c:pt>
                <c:pt idx="157">
                  <c:v>18.032753299450167</c:v>
                </c:pt>
                <c:pt idx="158">
                  <c:v>15.916005961525507</c:v>
                </c:pt>
                <c:pt idx="159">
                  <c:v>31.151598788531469</c:v>
                </c:pt>
                <c:pt idx="160">
                  <c:v>39.624726178474916</c:v>
                </c:pt>
                <c:pt idx="161">
                  <c:v>37.542096492596855</c:v>
                </c:pt>
                <c:pt idx="162">
                  <c:v>29.719677039055071</c:v>
                </c:pt>
                <c:pt idx="163">
                  <c:v>36.167286183118819</c:v>
                </c:pt>
                <c:pt idx="164">
                  <c:v>32.398862082836672</c:v>
                </c:pt>
                <c:pt idx="165">
                  <c:v>36.719619516360076</c:v>
                </c:pt>
                <c:pt idx="166">
                  <c:v>34.644588841427193</c:v>
                </c:pt>
                <c:pt idx="167">
                  <c:v>35.274544790802629</c:v>
                </c:pt>
                <c:pt idx="168">
                  <c:v>36.571185415785706</c:v>
                </c:pt>
                <c:pt idx="169">
                  <c:v>37.443127240548492</c:v>
                </c:pt>
                <c:pt idx="170">
                  <c:v>21.043357477001184</c:v>
                </c:pt>
                <c:pt idx="171">
                  <c:v>14.727905888660729</c:v>
                </c:pt>
                <c:pt idx="172">
                  <c:v>30.728242798107239</c:v>
                </c:pt>
                <c:pt idx="173">
                  <c:v>27.605579569821803</c:v>
                </c:pt>
                <c:pt idx="174">
                  <c:v>31.328442701800984</c:v>
                </c:pt>
                <c:pt idx="175">
                  <c:v>22.340892554227597</c:v>
                </c:pt>
                <c:pt idx="176">
                  <c:v>7.9703159135980295</c:v>
                </c:pt>
                <c:pt idx="177">
                  <c:v>10.31851629127614</c:v>
                </c:pt>
                <c:pt idx="178">
                  <c:v>40.106917826918014</c:v>
                </c:pt>
                <c:pt idx="179">
                  <c:v>38.747025979681283</c:v>
                </c:pt>
                <c:pt idx="180">
                  <c:v>9.4222511213311542</c:v>
                </c:pt>
                <c:pt idx="181">
                  <c:v>36.501121860459953</c:v>
                </c:pt>
                <c:pt idx="182">
                  <c:v>37.616272670634594</c:v>
                </c:pt>
                <c:pt idx="183">
                  <c:v>31.127095466270468</c:v>
                </c:pt>
                <c:pt idx="184">
                  <c:v>29.827520185335139</c:v>
                </c:pt>
                <c:pt idx="185">
                  <c:v>37.21993031477033</c:v>
                </c:pt>
                <c:pt idx="186">
                  <c:v>29.729169895240481</c:v>
                </c:pt>
                <c:pt idx="187">
                  <c:v>38.304439139378594</c:v>
                </c:pt>
                <c:pt idx="188">
                  <c:v>39.510116001344471</c:v>
                </c:pt>
                <c:pt idx="189">
                  <c:v>38.75495410565383</c:v>
                </c:pt>
                <c:pt idx="190">
                  <c:v>38.296239478106813</c:v>
                </c:pt>
                <c:pt idx="191">
                  <c:v>36.942142965520176</c:v>
                </c:pt>
                <c:pt idx="192">
                  <c:v>36.753711170994329</c:v>
                </c:pt>
                <c:pt idx="193">
                  <c:v>36.604024721249388</c:v>
                </c:pt>
                <c:pt idx="194">
                  <c:v>35.956969962047083</c:v>
                </c:pt>
                <c:pt idx="195">
                  <c:v>34.812632475886723</c:v>
                </c:pt>
                <c:pt idx="196">
                  <c:v>36.079577284547312</c:v>
                </c:pt>
                <c:pt idx="197">
                  <c:v>35.369799300081304</c:v>
                </c:pt>
                <c:pt idx="198">
                  <c:v>35.295525901791535</c:v>
                </c:pt>
                <c:pt idx="199">
                  <c:v>27.399654531231445</c:v>
                </c:pt>
                <c:pt idx="200">
                  <c:v>26.81607500403647</c:v>
                </c:pt>
                <c:pt idx="201">
                  <c:v>35.009885134176706</c:v>
                </c:pt>
                <c:pt idx="202">
                  <c:v>27.785213917437833</c:v>
                </c:pt>
                <c:pt idx="203">
                  <c:v>32.523352145965056</c:v>
                </c:pt>
                <c:pt idx="204">
                  <c:v>35.139708088718784</c:v>
                </c:pt>
                <c:pt idx="205">
                  <c:v>19.797149103125566</c:v>
                </c:pt>
                <c:pt idx="206">
                  <c:v>36.436125653946739</c:v>
                </c:pt>
                <c:pt idx="207">
                  <c:v>38.250299225161761</c:v>
                </c:pt>
                <c:pt idx="208">
                  <c:v>30.863721083956637</c:v>
                </c:pt>
                <c:pt idx="209">
                  <c:v>19.681496886323092</c:v>
                </c:pt>
                <c:pt idx="210">
                  <c:v>31.44999491075918</c:v>
                </c:pt>
                <c:pt idx="211">
                  <c:v>36.647945772658375</c:v>
                </c:pt>
                <c:pt idx="212">
                  <c:v>36.541125134424107</c:v>
                </c:pt>
                <c:pt idx="213">
                  <c:v>36.430130349338171</c:v>
                </c:pt>
                <c:pt idx="214">
                  <c:v>33.990043538875746</c:v>
                </c:pt>
                <c:pt idx="215">
                  <c:v>33.414883594544577</c:v>
                </c:pt>
                <c:pt idx="216">
                  <c:v>30.335291867851012</c:v>
                </c:pt>
                <c:pt idx="217">
                  <c:v>32.918302028064815</c:v>
                </c:pt>
                <c:pt idx="218">
                  <c:v>35.268873025830608</c:v>
                </c:pt>
                <c:pt idx="219">
                  <c:v>35.926444015825119</c:v>
                </c:pt>
                <c:pt idx="220">
                  <c:v>33.805088170791663</c:v>
                </c:pt>
                <c:pt idx="221">
                  <c:v>32.525537302703562</c:v>
                </c:pt>
                <c:pt idx="222">
                  <c:v>30.368058987676495</c:v>
                </c:pt>
                <c:pt idx="223">
                  <c:v>31.666512488891922</c:v>
                </c:pt>
                <c:pt idx="224">
                  <c:v>22.78866259400397</c:v>
                </c:pt>
                <c:pt idx="225">
                  <c:v>24.118772976826747</c:v>
                </c:pt>
                <c:pt idx="226">
                  <c:v>23.046081305005323</c:v>
                </c:pt>
                <c:pt idx="227">
                  <c:v>22.79490151383915</c:v>
                </c:pt>
                <c:pt idx="228">
                  <c:v>18.105848317319815</c:v>
                </c:pt>
                <c:pt idx="229">
                  <c:v>26.861913089653918</c:v>
                </c:pt>
                <c:pt idx="230">
                  <c:v>27.077572539697833</c:v>
                </c:pt>
                <c:pt idx="231">
                  <c:v>33.605617689903504</c:v>
                </c:pt>
                <c:pt idx="232">
                  <c:v>21.064104476587769</c:v>
                </c:pt>
                <c:pt idx="233">
                  <c:v>17.464057416215489</c:v>
                </c:pt>
                <c:pt idx="234">
                  <c:v>31.273108476058638</c:v>
                </c:pt>
                <c:pt idx="235">
                  <c:v>30.730106916440839</c:v>
                </c:pt>
                <c:pt idx="236">
                  <c:v>22.659960030351126</c:v>
                </c:pt>
                <c:pt idx="237">
                  <c:v>27.577497568254028</c:v>
                </c:pt>
                <c:pt idx="238">
                  <c:v>33.361182155503514</c:v>
                </c:pt>
                <c:pt idx="239">
                  <c:v>32.276210469085832</c:v>
                </c:pt>
                <c:pt idx="240">
                  <c:v>22.122775866004499</c:v>
                </c:pt>
                <c:pt idx="241">
                  <c:v>31.891030811940581</c:v>
                </c:pt>
                <c:pt idx="242">
                  <c:v>14.943273034264516</c:v>
                </c:pt>
                <c:pt idx="243">
                  <c:v>28.181929464075711</c:v>
                </c:pt>
                <c:pt idx="244">
                  <c:v>27.788665255970116</c:v>
                </c:pt>
                <c:pt idx="245">
                  <c:v>26.994612862427978</c:v>
                </c:pt>
                <c:pt idx="246">
                  <c:v>29.908119224843379</c:v>
                </c:pt>
                <c:pt idx="247">
                  <c:v>26.509986816487654</c:v>
                </c:pt>
                <c:pt idx="248">
                  <c:v>30.314395652350118</c:v>
                </c:pt>
                <c:pt idx="249">
                  <c:v>23.025209715841228</c:v>
                </c:pt>
                <c:pt idx="250">
                  <c:v>25.470702577818596</c:v>
                </c:pt>
                <c:pt idx="251">
                  <c:v>14.202095640251699</c:v>
                </c:pt>
                <c:pt idx="252">
                  <c:v>30.441039279575687</c:v>
                </c:pt>
                <c:pt idx="253">
                  <c:v>30.326243934589701</c:v>
                </c:pt>
                <c:pt idx="254">
                  <c:v>21.290866529153252</c:v>
                </c:pt>
                <c:pt idx="255">
                  <c:v>8.009146100743207</c:v>
                </c:pt>
                <c:pt idx="256">
                  <c:v>23.759515539771563</c:v>
                </c:pt>
                <c:pt idx="257">
                  <c:v>28.822091939688253</c:v>
                </c:pt>
                <c:pt idx="258">
                  <c:v>21.561198680757169</c:v>
                </c:pt>
                <c:pt idx="259">
                  <c:v>30.406332700149441</c:v>
                </c:pt>
                <c:pt idx="260">
                  <c:v>30.524010446883644</c:v>
                </c:pt>
                <c:pt idx="261">
                  <c:v>29.911838211875803</c:v>
                </c:pt>
                <c:pt idx="262">
                  <c:v>31.200838503152095</c:v>
                </c:pt>
                <c:pt idx="263">
                  <c:v>30.104384002719684</c:v>
                </c:pt>
                <c:pt idx="264">
                  <c:v>28.974515564352064</c:v>
                </c:pt>
                <c:pt idx="265">
                  <c:v>17.922964851453575</c:v>
                </c:pt>
                <c:pt idx="266">
                  <c:v>11.185751674918153</c:v>
                </c:pt>
                <c:pt idx="267">
                  <c:v>20.895532234013189</c:v>
                </c:pt>
                <c:pt idx="268">
                  <c:v>19.912422268931262</c:v>
                </c:pt>
                <c:pt idx="269">
                  <c:v>9.9910287328274059</c:v>
                </c:pt>
                <c:pt idx="270">
                  <c:v>11.308627212569082</c:v>
                </c:pt>
                <c:pt idx="271">
                  <c:v>15.385292701899834</c:v>
                </c:pt>
                <c:pt idx="272">
                  <c:v>19.172512318737112</c:v>
                </c:pt>
                <c:pt idx="273">
                  <c:v>24.559173618650352</c:v>
                </c:pt>
                <c:pt idx="274">
                  <c:v>25.772735638150831</c:v>
                </c:pt>
                <c:pt idx="275">
                  <c:v>23.800197276658167</c:v>
                </c:pt>
                <c:pt idx="276">
                  <c:v>26.605767435314679</c:v>
                </c:pt>
                <c:pt idx="277">
                  <c:v>26.729186720838403</c:v>
                </c:pt>
                <c:pt idx="278">
                  <c:v>8.7929270764548182</c:v>
                </c:pt>
                <c:pt idx="279">
                  <c:v>18.295257529623917</c:v>
                </c:pt>
                <c:pt idx="280">
                  <c:v>11.592132624657525</c:v>
                </c:pt>
                <c:pt idx="281">
                  <c:v>24.167048143292405</c:v>
                </c:pt>
                <c:pt idx="282">
                  <c:v>19.318750644901055</c:v>
                </c:pt>
                <c:pt idx="283">
                  <c:v>15.161149025952643</c:v>
                </c:pt>
                <c:pt idx="284">
                  <c:v>18.361598863120129</c:v>
                </c:pt>
                <c:pt idx="285">
                  <c:v>14.195801358344825</c:v>
                </c:pt>
                <c:pt idx="286">
                  <c:v>11.211424389531757</c:v>
                </c:pt>
                <c:pt idx="287">
                  <c:v>23.139248256966479</c:v>
                </c:pt>
                <c:pt idx="288">
                  <c:v>20.566975407694429</c:v>
                </c:pt>
                <c:pt idx="289">
                  <c:v>12.099776737697159</c:v>
                </c:pt>
                <c:pt idx="290">
                  <c:v>20.757970145589983</c:v>
                </c:pt>
                <c:pt idx="291">
                  <c:v>9.6861437138602096</c:v>
                </c:pt>
                <c:pt idx="292">
                  <c:v>4.6933077910178866</c:v>
                </c:pt>
                <c:pt idx="293">
                  <c:v>10.06706459462486</c:v>
                </c:pt>
                <c:pt idx="294">
                  <c:v>19.61298818185946</c:v>
                </c:pt>
                <c:pt idx="295">
                  <c:v>12.698672847557779</c:v>
                </c:pt>
                <c:pt idx="296">
                  <c:v>15.473294557072727</c:v>
                </c:pt>
                <c:pt idx="297">
                  <c:v>13.439807521922535</c:v>
                </c:pt>
                <c:pt idx="298">
                  <c:v>9.0055867275780468</c:v>
                </c:pt>
                <c:pt idx="299">
                  <c:v>8.3410591228811555</c:v>
                </c:pt>
                <c:pt idx="300">
                  <c:v>10.937094524723133</c:v>
                </c:pt>
                <c:pt idx="301">
                  <c:v>15.88396277460601</c:v>
                </c:pt>
                <c:pt idx="302">
                  <c:v>13.330482936344641</c:v>
                </c:pt>
                <c:pt idx="303">
                  <c:v>12.633103822910444</c:v>
                </c:pt>
                <c:pt idx="304">
                  <c:v>13.478329062720551</c:v>
                </c:pt>
                <c:pt idx="305">
                  <c:v>15.611822349008321</c:v>
                </c:pt>
                <c:pt idx="306">
                  <c:v>5.8723267534796761</c:v>
                </c:pt>
                <c:pt idx="307">
                  <c:v>8.4012110070330888</c:v>
                </c:pt>
                <c:pt idx="308">
                  <c:v>17.242172069032065</c:v>
                </c:pt>
                <c:pt idx="309">
                  <c:v>16.416926311634104</c:v>
                </c:pt>
                <c:pt idx="310">
                  <c:v>15.756741677838951</c:v>
                </c:pt>
                <c:pt idx="311">
                  <c:v>11.476559230618813</c:v>
                </c:pt>
                <c:pt idx="312">
                  <c:v>6.3570783329995395</c:v>
                </c:pt>
                <c:pt idx="313">
                  <c:v>12.19796945747659</c:v>
                </c:pt>
                <c:pt idx="314">
                  <c:v>14.209678945080777</c:v>
                </c:pt>
                <c:pt idx="315">
                  <c:v>13.997378804335789</c:v>
                </c:pt>
                <c:pt idx="316">
                  <c:v>14.017881643282752</c:v>
                </c:pt>
                <c:pt idx="317">
                  <c:v>6.3007324338347166</c:v>
                </c:pt>
                <c:pt idx="318">
                  <c:v>7.7947817159136141</c:v>
                </c:pt>
                <c:pt idx="319">
                  <c:v>12.534718912612698</c:v>
                </c:pt>
                <c:pt idx="320">
                  <c:v>9.4597479696406808</c:v>
                </c:pt>
                <c:pt idx="321">
                  <c:v>7.888683784051671</c:v>
                </c:pt>
                <c:pt idx="322">
                  <c:v>5.3619477623476088</c:v>
                </c:pt>
                <c:pt idx="323">
                  <c:v>10.22307345604349</c:v>
                </c:pt>
                <c:pt idx="324">
                  <c:v>2.0103290881782367</c:v>
                </c:pt>
                <c:pt idx="325">
                  <c:v>5.8238867686199383</c:v>
                </c:pt>
                <c:pt idx="326">
                  <c:v>7.7247369849168308</c:v>
                </c:pt>
                <c:pt idx="327">
                  <c:v>7.4848128092296831</c:v>
                </c:pt>
                <c:pt idx="328">
                  <c:v>3.1559872128591935</c:v>
                </c:pt>
                <c:pt idx="329">
                  <c:v>6.2388913253130287</c:v>
                </c:pt>
                <c:pt idx="330">
                  <c:v>8.5894308856051609</c:v>
                </c:pt>
                <c:pt idx="331">
                  <c:v>5.7297750176507707</c:v>
                </c:pt>
                <c:pt idx="332">
                  <c:v>6.406776755534537</c:v>
                </c:pt>
                <c:pt idx="333">
                  <c:v>2.3815251254507763</c:v>
                </c:pt>
                <c:pt idx="334">
                  <c:v>2.2046746954776606</c:v>
                </c:pt>
                <c:pt idx="335">
                  <c:v>3.4075029892960225</c:v>
                </c:pt>
                <c:pt idx="336">
                  <c:v>5.9419263623652485</c:v>
                </c:pt>
                <c:pt idx="337">
                  <c:v>8.5507854839685074</c:v>
                </c:pt>
                <c:pt idx="338">
                  <c:v>9.9641810916372151</c:v>
                </c:pt>
                <c:pt idx="339">
                  <c:v>7.2273340093466683</c:v>
                </c:pt>
                <c:pt idx="340">
                  <c:v>8.4338404228071848</c:v>
                </c:pt>
                <c:pt idx="341">
                  <c:v>2.7767489687100424</c:v>
                </c:pt>
                <c:pt idx="342">
                  <c:v>3.9553116047452619</c:v>
                </c:pt>
                <c:pt idx="343">
                  <c:v>6.8126463744892014</c:v>
                </c:pt>
                <c:pt idx="344">
                  <c:v>7.943993844529766</c:v>
                </c:pt>
                <c:pt idx="345">
                  <c:v>3.2011227362532813</c:v>
                </c:pt>
                <c:pt idx="346">
                  <c:v>3.1764607513165477</c:v>
                </c:pt>
                <c:pt idx="347">
                  <c:v>7.4841896588519781</c:v>
                </c:pt>
                <c:pt idx="348">
                  <c:v>3.7261415757858876</c:v>
                </c:pt>
                <c:pt idx="349">
                  <c:v>3.1136733238177872</c:v>
                </c:pt>
                <c:pt idx="350">
                  <c:v>1.8197983088087095</c:v>
                </c:pt>
                <c:pt idx="351">
                  <c:v>9.7070703310436297</c:v>
                </c:pt>
                <c:pt idx="352">
                  <c:v>9.6945219496240647</c:v>
                </c:pt>
                <c:pt idx="353">
                  <c:v>2.5010389350529239</c:v>
                </c:pt>
                <c:pt idx="354">
                  <c:v>8.8420214611448191</c:v>
                </c:pt>
                <c:pt idx="355">
                  <c:v>9.966830531377413</c:v>
                </c:pt>
                <c:pt idx="356">
                  <c:v>9.8205685055389704</c:v>
                </c:pt>
                <c:pt idx="357">
                  <c:v>10.037615941975639</c:v>
                </c:pt>
                <c:pt idx="358">
                  <c:v>5.9846391553604388</c:v>
                </c:pt>
                <c:pt idx="359">
                  <c:v>10.352383571579312</c:v>
                </c:pt>
                <c:pt idx="360">
                  <c:v>4.011625509957395</c:v>
                </c:pt>
                <c:pt idx="361">
                  <c:v>10.904588291862659</c:v>
                </c:pt>
                <c:pt idx="362">
                  <c:v>6.2239152100144723</c:v>
                </c:pt>
                <c:pt idx="363">
                  <c:v>7.9349275526303593</c:v>
                </c:pt>
                <c:pt idx="364">
                  <c:v>7.4601318525758913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11.004648583767269</c:v>
                </c:pt>
                <c:pt idx="1">
                  <c:v>8.591470035337176</c:v>
                </c:pt>
                <c:pt idx="2">
                  <c:v>9.8565143570199965</c:v>
                </c:pt>
                <c:pt idx="3">
                  <c:v>10.335883081855741</c:v>
                </c:pt>
                <c:pt idx="4">
                  <c:v>8.5495417439727142</c:v>
                </c:pt>
                <c:pt idx="5">
                  <c:v>12.248780329941525</c:v>
                </c:pt>
                <c:pt idx="6">
                  <c:v>5.4553606387410687</c:v>
                </c:pt>
                <c:pt idx="7">
                  <c:v>4.3967746293871413</c:v>
                </c:pt>
                <c:pt idx="8">
                  <c:v>1.2125446373335607</c:v>
                </c:pt>
                <c:pt idx="9">
                  <c:v>0.8704981431532467</c:v>
                </c:pt>
                <c:pt idx="10">
                  <c:v>12.584904632778343</c:v>
                </c:pt>
                <c:pt idx="11">
                  <c:v>10.260970436101745</c:v>
                </c:pt>
                <c:pt idx="12">
                  <c:v>3.1281719036582079</c:v>
                </c:pt>
                <c:pt idx="13">
                  <c:v>13.069207044275281</c:v>
                </c:pt>
                <c:pt idx="14">
                  <c:v>13.355966195550877</c:v>
                </c:pt>
                <c:pt idx="15">
                  <c:v>13.428847569873607</c:v>
                </c:pt>
                <c:pt idx="16">
                  <c:v>9.732698999249223</c:v>
                </c:pt>
                <c:pt idx="17">
                  <c:v>2.3572291135756682</c:v>
                </c:pt>
                <c:pt idx="18">
                  <c:v>7.0653073179659112</c:v>
                </c:pt>
                <c:pt idx="19">
                  <c:v>3.7667632017480406</c:v>
                </c:pt>
                <c:pt idx="20">
                  <c:v>10.325343949086697</c:v>
                </c:pt>
                <c:pt idx="21">
                  <c:v>14.848273680151168</c:v>
                </c:pt>
                <c:pt idx="22">
                  <c:v>14.902521467595903</c:v>
                </c:pt>
                <c:pt idx="23">
                  <c:v>15.170065908207603</c:v>
                </c:pt>
                <c:pt idx="24">
                  <c:v>14.391590649996306</c:v>
                </c:pt>
                <c:pt idx="25">
                  <c:v>15.646463295494623</c:v>
                </c:pt>
                <c:pt idx="26">
                  <c:v>13.367689204748791</c:v>
                </c:pt>
                <c:pt idx="27">
                  <c:v>2.5001276511448394</c:v>
                </c:pt>
                <c:pt idx="28">
                  <c:v>4.2736746705151862</c:v>
                </c:pt>
                <c:pt idx="29">
                  <c:v>2.7725701007472781</c:v>
                </c:pt>
                <c:pt idx="30">
                  <c:v>6.5078021145962079</c:v>
                </c:pt>
                <c:pt idx="31">
                  <c:v>8.1077457297092632</c:v>
                </c:pt>
                <c:pt idx="32">
                  <c:v>3.5716426323438015</c:v>
                </c:pt>
                <c:pt idx="33">
                  <c:v>7.6190243366886463</c:v>
                </c:pt>
                <c:pt idx="34">
                  <c:v>7.3931140792500285</c:v>
                </c:pt>
                <c:pt idx="35">
                  <c:v>6.861784292722569</c:v>
                </c:pt>
                <c:pt idx="36">
                  <c:v>14.065478451459807</c:v>
                </c:pt>
                <c:pt idx="37">
                  <c:v>8.2529569151437983</c:v>
                </c:pt>
                <c:pt idx="38">
                  <c:v>19.623515176887729</c:v>
                </c:pt>
                <c:pt idx="39">
                  <c:v>19.663995641068915</c:v>
                </c:pt>
                <c:pt idx="40">
                  <c:v>18.655078816121314</c:v>
                </c:pt>
                <c:pt idx="41">
                  <c:v>10.113813158855338</c:v>
                </c:pt>
                <c:pt idx="42">
                  <c:v>16.080524242671487</c:v>
                </c:pt>
                <c:pt idx="43">
                  <c:v>18.459576592626707</c:v>
                </c:pt>
                <c:pt idx="44">
                  <c:v>10.216568804917674</c:v>
                </c:pt>
                <c:pt idx="45">
                  <c:v>12.911892026553557</c:v>
                </c:pt>
                <c:pt idx="46">
                  <c:v>5.6473235829904755</c:v>
                </c:pt>
                <c:pt idx="47">
                  <c:v>9.6512064877154664</c:v>
                </c:pt>
                <c:pt idx="48">
                  <c:v>18.21714778942528</c:v>
                </c:pt>
                <c:pt idx="49">
                  <c:v>11.74989591819566</c:v>
                </c:pt>
                <c:pt idx="50">
                  <c:v>13.203997963279775</c:v>
                </c:pt>
                <c:pt idx="51">
                  <c:v>13.67756087335677</c:v>
                </c:pt>
                <c:pt idx="52">
                  <c:v>21.324650011162124</c:v>
                </c:pt>
                <c:pt idx="53">
                  <c:v>21.818603941164259</c:v>
                </c:pt>
                <c:pt idx="54">
                  <c:v>14.107715877002539</c:v>
                </c:pt>
                <c:pt idx="55">
                  <c:v>19.691545595209529</c:v>
                </c:pt>
                <c:pt idx="56">
                  <c:v>24.687295442216435</c:v>
                </c:pt>
                <c:pt idx="57">
                  <c:v>16.704869800254023</c:v>
                </c:pt>
                <c:pt idx="58">
                  <c:v>21.854778591835938</c:v>
                </c:pt>
                <c:pt idx="59">
                  <c:v>24.541601769626809</c:v>
                </c:pt>
                <c:pt idx="60">
                  <c:v>9.0318212667582181</c:v>
                </c:pt>
                <c:pt idx="61">
                  <c:v>23.184608598268053</c:v>
                </c:pt>
                <c:pt idx="62">
                  <c:v>3.541394629032367</c:v>
                </c:pt>
                <c:pt idx="63">
                  <c:v>9.0828154261195255</c:v>
                </c:pt>
                <c:pt idx="64">
                  <c:v>12.359435225757476</c:v>
                </c:pt>
                <c:pt idx="65">
                  <c:v>23.436046227090316</c:v>
                </c:pt>
                <c:pt idx="66">
                  <c:v>19.461552417036991</c:v>
                </c:pt>
                <c:pt idx="67">
                  <c:v>21.877861385898132</c:v>
                </c:pt>
                <c:pt idx="68">
                  <c:v>15.140854842391512</c:v>
                </c:pt>
                <c:pt idx="69">
                  <c:v>9.8086055759336634</c:v>
                </c:pt>
                <c:pt idx="70">
                  <c:v>9.8851777460015047</c:v>
                </c:pt>
                <c:pt idx="71">
                  <c:v>5.4007873617449818</c:v>
                </c:pt>
                <c:pt idx="72">
                  <c:v>7.7318394731438618</c:v>
                </c:pt>
                <c:pt idx="73">
                  <c:v>7.9157327875662897</c:v>
                </c:pt>
                <c:pt idx="74">
                  <c:v>6.0832981742064511</c:v>
                </c:pt>
                <c:pt idx="75">
                  <c:v>7.1359930194686756</c:v>
                </c:pt>
                <c:pt idx="76">
                  <c:v>8.9070952426439778</c:v>
                </c:pt>
                <c:pt idx="77">
                  <c:v>17.891968381853051</c:v>
                </c:pt>
                <c:pt idx="78">
                  <c:v>19.950569085784316</c:v>
                </c:pt>
                <c:pt idx="79">
                  <c:v>28.576682706816808</c:v>
                </c:pt>
                <c:pt idx="80">
                  <c:v>26.384631190646935</c:v>
                </c:pt>
                <c:pt idx="81">
                  <c:v>29.635280066733937</c:v>
                </c:pt>
                <c:pt idx="82">
                  <c:v>29.340030930112263</c:v>
                </c:pt>
                <c:pt idx="83">
                  <c:v>26.203328734545348</c:v>
                </c:pt>
                <c:pt idx="84">
                  <c:v>27.883634817928886</c:v>
                </c:pt>
                <c:pt idx="85">
                  <c:v>27.813470046754926</c:v>
                </c:pt>
                <c:pt idx="86">
                  <c:v>21.490329618424362</c:v>
                </c:pt>
                <c:pt idx="87">
                  <c:v>17.28755215960178</c:v>
                </c:pt>
                <c:pt idx="88">
                  <c:v>4.2749632406478186</c:v>
                </c:pt>
                <c:pt idx="89">
                  <c:v>18.449470211933626</c:v>
                </c:pt>
                <c:pt idx="90">
                  <c:v>20.313248047791497</c:v>
                </c:pt>
                <c:pt idx="91">
                  <c:v>12.537529983343035</c:v>
                </c:pt>
                <c:pt idx="92">
                  <c:v>14.900896113715493</c:v>
                </c:pt>
                <c:pt idx="93">
                  <c:v>27.136499381570989</c:v>
                </c:pt>
                <c:pt idx="94">
                  <c:v>33.45396158444737</c:v>
                </c:pt>
                <c:pt idx="95">
                  <c:v>7.694511087002998</c:v>
                </c:pt>
                <c:pt idx="96">
                  <c:v>24.873083195748279</c:v>
                </c:pt>
                <c:pt idx="97">
                  <c:v>19.612120008200467</c:v>
                </c:pt>
                <c:pt idx="98">
                  <c:v>23.673106125836767</c:v>
                </c:pt>
                <c:pt idx="99">
                  <c:v>33.512808019867066</c:v>
                </c:pt>
                <c:pt idx="100">
                  <c:v>26.860038241167135</c:v>
                </c:pt>
                <c:pt idx="101">
                  <c:v>22.788780755136937</c:v>
                </c:pt>
                <c:pt idx="102">
                  <c:v>4.4267017831912723</c:v>
                </c:pt>
                <c:pt idx="103">
                  <c:v>25.095709680989938</c:v>
                </c:pt>
                <c:pt idx="104">
                  <c:v>27.833010798786766</c:v>
                </c:pt>
                <c:pt idx="105">
                  <c:v>28.019745401984739</c:v>
                </c:pt>
                <c:pt idx="106">
                  <c:v>34.741084396282702</c:v>
                </c:pt>
                <c:pt idx="107">
                  <c:v>24.878658626740187</c:v>
                </c:pt>
                <c:pt idx="108">
                  <c:v>6.0953272808456722</c:v>
                </c:pt>
                <c:pt idx="109">
                  <c:v>6.2334605148327755</c:v>
                </c:pt>
                <c:pt idx="110">
                  <c:v>6.6589960013537732</c:v>
                </c:pt>
                <c:pt idx="111">
                  <c:v>17.556662741591712</c:v>
                </c:pt>
                <c:pt idx="112">
                  <c:v>5.478113337991191</c:v>
                </c:pt>
                <c:pt idx="113">
                  <c:v>21.53367841671805</c:v>
                </c:pt>
                <c:pt idx="114">
                  <c:v>29.847720710101083</c:v>
                </c:pt>
                <c:pt idx="115">
                  <c:v>34.47341559891909</c:v>
                </c:pt>
                <c:pt idx="116">
                  <c:v>25.009704657238203</c:v>
                </c:pt>
                <c:pt idx="117">
                  <c:v>16.005404173286138</c:v>
                </c:pt>
                <c:pt idx="118">
                  <c:v>27.246489226762595</c:v>
                </c:pt>
                <c:pt idx="119">
                  <c:v>31.413345962827627</c:v>
                </c:pt>
                <c:pt idx="120">
                  <c:v>32.376963045899863</c:v>
                </c:pt>
                <c:pt idx="121">
                  <c:v>18.861448725338942</c:v>
                </c:pt>
                <c:pt idx="122">
                  <c:v>20.959058525859593</c:v>
                </c:pt>
                <c:pt idx="123">
                  <c:v>14.609374902846161</c:v>
                </c:pt>
                <c:pt idx="124">
                  <c:v>28.569223848540648</c:v>
                </c:pt>
                <c:pt idx="125">
                  <c:v>26.510231005943421</c:v>
                </c:pt>
                <c:pt idx="126">
                  <c:v>32.950273564192536</c:v>
                </c:pt>
                <c:pt idx="127">
                  <c:v>33.990415716354313</c:v>
                </c:pt>
                <c:pt idx="128">
                  <c:v>38.299547269297115</c:v>
                </c:pt>
                <c:pt idx="129">
                  <c:v>35.401063816450815</c:v>
                </c:pt>
                <c:pt idx="130">
                  <c:v>38.173661053874767</c:v>
                </c:pt>
                <c:pt idx="131">
                  <c:v>29.375860621075439</c:v>
                </c:pt>
                <c:pt idx="132">
                  <c:v>32.067708784361663</c:v>
                </c:pt>
                <c:pt idx="133">
                  <c:v>33.396383789336916</c:v>
                </c:pt>
                <c:pt idx="134">
                  <c:v>35.567583720174348</c:v>
                </c:pt>
                <c:pt idx="135">
                  <c:v>34.445069791163824</c:v>
                </c:pt>
                <c:pt idx="136">
                  <c:v>37.020123416944678</c:v>
                </c:pt>
                <c:pt idx="137">
                  <c:v>35.600728103244926</c:v>
                </c:pt>
                <c:pt idx="138">
                  <c:v>36.736175709709862</c:v>
                </c:pt>
                <c:pt idx="139">
                  <c:v>32.76636119651684</c:v>
                </c:pt>
                <c:pt idx="140">
                  <c:v>32.660708105809498</c:v>
                </c:pt>
                <c:pt idx="141">
                  <c:v>24.409741961977957</c:v>
                </c:pt>
                <c:pt idx="142">
                  <c:v>12.706589126241088</c:v>
                </c:pt>
                <c:pt idx="143">
                  <c:v>11.372942073674482</c:v>
                </c:pt>
                <c:pt idx="144">
                  <c:v>28.014729492820084</c:v>
                </c:pt>
                <c:pt idx="145">
                  <c:v>14.999952180605101</c:v>
                </c:pt>
                <c:pt idx="146">
                  <c:v>29.752721578774818</c:v>
                </c:pt>
                <c:pt idx="147">
                  <c:v>37.839646085138419</c:v>
                </c:pt>
                <c:pt idx="148">
                  <c:v>41.064314612780514</c:v>
                </c:pt>
                <c:pt idx="149">
                  <c:v>34.007249108933543</c:v>
                </c:pt>
                <c:pt idx="150">
                  <c:v>37.211910110988057</c:v>
                </c:pt>
                <c:pt idx="151">
                  <c:v>38.056435004021267</c:v>
                </c:pt>
                <c:pt idx="152">
                  <c:v>30.387366784688247</c:v>
                </c:pt>
                <c:pt idx="153">
                  <c:v>36.800212310255382</c:v>
                </c:pt>
                <c:pt idx="154">
                  <c:v>18.280613587653104</c:v>
                </c:pt>
                <c:pt idx="155">
                  <c:v>22.427011215999084</c:v>
                </c:pt>
                <c:pt idx="156">
                  <c:v>31.120558290299282</c:v>
                </c:pt>
                <c:pt idx="157">
                  <c:v>18.032753299450167</c:v>
                </c:pt>
                <c:pt idx="158">
                  <c:v>15.916005961525507</c:v>
                </c:pt>
                <c:pt idx="159">
                  <c:v>31.151598788531469</c:v>
                </c:pt>
                <c:pt idx="160">
                  <c:v>39.624726178474916</c:v>
                </c:pt>
                <c:pt idx="161">
                  <c:v>37.542096492596855</c:v>
                </c:pt>
                <c:pt idx="162">
                  <c:v>29.719677039055071</c:v>
                </c:pt>
                <c:pt idx="163">
                  <c:v>36.167286183118819</c:v>
                </c:pt>
                <c:pt idx="164">
                  <c:v>32.398862082836672</c:v>
                </c:pt>
                <c:pt idx="165">
                  <c:v>36.719619516360076</c:v>
                </c:pt>
                <c:pt idx="166">
                  <c:v>34.644588841427193</c:v>
                </c:pt>
                <c:pt idx="167">
                  <c:v>35.274544790802629</c:v>
                </c:pt>
                <c:pt idx="168">
                  <c:v>36.571185415785706</c:v>
                </c:pt>
                <c:pt idx="169">
                  <c:v>37.443127240548492</c:v>
                </c:pt>
                <c:pt idx="170">
                  <c:v>21.043357477001184</c:v>
                </c:pt>
                <c:pt idx="171">
                  <c:v>14.727905888660729</c:v>
                </c:pt>
                <c:pt idx="172">
                  <c:v>30.728242798107239</c:v>
                </c:pt>
                <c:pt idx="173">
                  <c:v>27.605579569821803</c:v>
                </c:pt>
                <c:pt idx="174">
                  <c:v>31.328442701800984</c:v>
                </c:pt>
                <c:pt idx="175">
                  <c:v>22.340892554227597</c:v>
                </c:pt>
                <c:pt idx="176">
                  <c:v>7.9703159135980295</c:v>
                </c:pt>
                <c:pt idx="177">
                  <c:v>10.31851629127614</c:v>
                </c:pt>
                <c:pt idx="178">
                  <c:v>40.106917826918014</c:v>
                </c:pt>
                <c:pt idx="179">
                  <c:v>38.747025979681283</c:v>
                </c:pt>
                <c:pt idx="180">
                  <c:v>9.4222511213311542</c:v>
                </c:pt>
                <c:pt idx="181">
                  <c:v>36.501121860459953</c:v>
                </c:pt>
                <c:pt idx="182">
                  <c:v>37.616272670634594</c:v>
                </c:pt>
                <c:pt idx="183">
                  <c:v>31.127095466270468</c:v>
                </c:pt>
                <c:pt idx="184">
                  <c:v>29.827520185335139</c:v>
                </c:pt>
                <c:pt idx="185">
                  <c:v>37.21993031477033</c:v>
                </c:pt>
                <c:pt idx="186">
                  <c:v>29.729169895240481</c:v>
                </c:pt>
                <c:pt idx="187">
                  <c:v>38.304439139378594</c:v>
                </c:pt>
                <c:pt idx="188">
                  <c:v>39.510116001344471</c:v>
                </c:pt>
                <c:pt idx="189">
                  <c:v>38.75495410565383</c:v>
                </c:pt>
                <c:pt idx="190">
                  <c:v>38.296239478106813</c:v>
                </c:pt>
                <c:pt idx="191">
                  <c:v>36.942142965520176</c:v>
                </c:pt>
                <c:pt idx="192">
                  <c:v>36.753711170994329</c:v>
                </c:pt>
                <c:pt idx="193">
                  <c:v>36.604024721249388</c:v>
                </c:pt>
                <c:pt idx="194">
                  <c:v>35.956969962047083</c:v>
                </c:pt>
                <c:pt idx="195">
                  <c:v>34.812632475886723</c:v>
                </c:pt>
                <c:pt idx="196">
                  <c:v>36.079577284547312</c:v>
                </c:pt>
                <c:pt idx="197">
                  <c:v>35.369799300081304</c:v>
                </c:pt>
                <c:pt idx="198">
                  <c:v>35.295525901791535</c:v>
                </c:pt>
                <c:pt idx="199">
                  <c:v>27.399654531231445</c:v>
                </c:pt>
                <c:pt idx="200">
                  <c:v>26.81607500403647</c:v>
                </c:pt>
                <c:pt idx="201">
                  <c:v>35.009885134176706</c:v>
                </c:pt>
                <c:pt idx="202">
                  <c:v>27.785213917437833</c:v>
                </c:pt>
                <c:pt idx="203">
                  <c:v>32.523352145965056</c:v>
                </c:pt>
                <c:pt idx="204">
                  <c:v>35.139708088718784</c:v>
                </c:pt>
                <c:pt idx="205">
                  <c:v>19.797149103125566</c:v>
                </c:pt>
                <c:pt idx="206">
                  <c:v>36.436125653946739</c:v>
                </c:pt>
                <c:pt idx="207">
                  <c:v>38.250299225161761</c:v>
                </c:pt>
                <c:pt idx="208">
                  <c:v>30.863721083956637</c:v>
                </c:pt>
                <c:pt idx="209">
                  <c:v>19.681496886323092</c:v>
                </c:pt>
                <c:pt idx="210">
                  <c:v>31.44999491075918</c:v>
                </c:pt>
                <c:pt idx="211">
                  <c:v>36.647945772658375</c:v>
                </c:pt>
                <c:pt idx="212">
                  <c:v>36.541125134424107</c:v>
                </c:pt>
                <c:pt idx="213">
                  <c:v>36.430130349338171</c:v>
                </c:pt>
                <c:pt idx="214">
                  <c:v>33.990043538875746</c:v>
                </c:pt>
                <c:pt idx="215">
                  <c:v>33.414883594544577</c:v>
                </c:pt>
                <c:pt idx="216">
                  <c:v>30.335291867851012</c:v>
                </c:pt>
                <c:pt idx="217">
                  <c:v>32.918302028064815</c:v>
                </c:pt>
                <c:pt idx="218">
                  <c:v>35.268873025830608</c:v>
                </c:pt>
                <c:pt idx="219">
                  <c:v>35.926444015825119</c:v>
                </c:pt>
                <c:pt idx="220">
                  <c:v>33.805088170791663</c:v>
                </c:pt>
                <c:pt idx="221">
                  <c:v>32.525537302703562</c:v>
                </c:pt>
                <c:pt idx="222">
                  <c:v>30.368058987676495</c:v>
                </c:pt>
                <c:pt idx="223">
                  <c:v>31.666512488891922</c:v>
                </c:pt>
                <c:pt idx="224">
                  <c:v>22.78866259400397</c:v>
                </c:pt>
                <c:pt idx="225">
                  <c:v>24.118772976826747</c:v>
                </c:pt>
                <c:pt idx="226">
                  <c:v>23.046081305005323</c:v>
                </c:pt>
                <c:pt idx="227">
                  <c:v>22.79490151383915</c:v>
                </c:pt>
                <c:pt idx="228">
                  <c:v>18.105848317319815</c:v>
                </c:pt>
                <c:pt idx="229">
                  <c:v>26.861913089653918</c:v>
                </c:pt>
                <c:pt idx="230">
                  <c:v>27.077572539697833</c:v>
                </c:pt>
                <c:pt idx="231">
                  <c:v>33.605617689903504</c:v>
                </c:pt>
                <c:pt idx="232">
                  <c:v>21.064104476587769</c:v>
                </c:pt>
                <c:pt idx="233">
                  <c:v>17.464057416215489</c:v>
                </c:pt>
                <c:pt idx="234">
                  <c:v>31.273108476058638</c:v>
                </c:pt>
                <c:pt idx="235">
                  <c:v>30.730106916440839</c:v>
                </c:pt>
                <c:pt idx="236">
                  <c:v>22.659960030351126</c:v>
                </c:pt>
                <c:pt idx="237">
                  <c:v>27.577497568254028</c:v>
                </c:pt>
                <c:pt idx="238">
                  <c:v>33.361182155503514</c:v>
                </c:pt>
                <c:pt idx="239">
                  <c:v>32.276210469085832</c:v>
                </c:pt>
                <c:pt idx="240">
                  <c:v>22.122775866004499</c:v>
                </c:pt>
                <c:pt idx="241">
                  <c:v>31.891030811940581</c:v>
                </c:pt>
                <c:pt idx="242">
                  <c:v>14.943273034264516</c:v>
                </c:pt>
                <c:pt idx="243">
                  <c:v>28.181929464075711</c:v>
                </c:pt>
                <c:pt idx="244">
                  <c:v>27.788665255970116</c:v>
                </c:pt>
                <c:pt idx="245">
                  <c:v>26.994612862427978</c:v>
                </c:pt>
                <c:pt idx="246">
                  <c:v>29.908119224843379</c:v>
                </c:pt>
                <c:pt idx="247">
                  <c:v>26.509986816487654</c:v>
                </c:pt>
                <c:pt idx="248">
                  <c:v>30.314395652350118</c:v>
                </c:pt>
                <c:pt idx="249">
                  <c:v>23.025209715841228</c:v>
                </c:pt>
                <c:pt idx="250">
                  <c:v>25.470702577818596</c:v>
                </c:pt>
                <c:pt idx="251">
                  <c:v>14.202095640251699</c:v>
                </c:pt>
                <c:pt idx="252">
                  <c:v>30.441039279575687</c:v>
                </c:pt>
                <c:pt idx="253">
                  <c:v>30.326243934589701</c:v>
                </c:pt>
                <c:pt idx="254">
                  <c:v>21.290866529153252</c:v>
                </c:pt>
                <c:pt idx="255">
                  <c:v>8.009146100743207</c:v>
                </c:pt>
                <c:pt idx="256">
                  <c:v>23.759515539771563</c:v>
                </c:pt>
                <c:pt idx="257">
                  <c:v>28.822091939688253</c:v>
                </c:pt>
                <c:pt idx="258">
                  <c:v>21.561198680757169</c:v>
                </c:pt>
                <c:pt idx="259">
                  <c:v>30.406332700149441</c:v>
                </c:pt>
                <c:pt idx="260">
                  <c:v>30.524010446883644</c:v>
                </c:pt>
                <c:pt idx="261">
                  <c:v>29.911838211875803</c:v>
                </c:pt>
                <c:pt idx="262">
                  <c:v>31.200838503152095</c:v>
                </c:pt>
                <c:pt idx="263">
                  <c:v>30.104384002719684</c:v>
                </c:pt>
                <c:pt idx="264">
                  <c:v>28.974515564352064</c:v>
                </c:pt>
                <c:pt idx="265">
                  <c:v>17.922964851453575</c:v>
                </c:pt>
                <c:pt idx="266">
                  <c:v>11.185751674918153</c:v>
                </c:pt>
                <c:pt idx="267">
                  <c:v>20.895532234013189</c:v>
                </c:pt>
                <c:pt idx="268">
                  <c:v>19.912422268931262</c:v>
                </c:pt>
                <c:pt idx="269">
                  <c:v>9.9910287328274059</c:v>
                </c:pt>
                <c:pt idx="270">
                  <c:v>11.308627212569082</c:v>
                </c:pt>
                <c:pt idx="271">
                  <c:v>15.385292701899834</c:v>
                </c:pt>
                <c:pt idx="272">
                  <c:v>19.172512318737112</c:v>
                </c:pt>
                <c:pt idx="273">
                  <c:v>24.559173618650352</c:v>
                </c:pt>
                <c:pt idx="274">
                  <c:v>25.772735638150831</c:v>
                </c:pt>
                <c:pt idx="275">
                  <c:v>23.800197276658167</c:v>
                </c:pt>
                <c:pt idx="276">
                  <c:v>26.605767435314679</c:v>
                </c:pt>
                <c:pt idx="277">
                  <c:v>26.729186720838403</c:v>
                </c:pt>
                <c:pt idx="278">
                  <c:v>8.7929270764548182</c:v>
                </c:pt>
                <c:pt idx="279">
                  <c:v>18.295257529623917</c:v>
                </c:pt>
                <c:pt idx="280">
                  <c:v>11.592132624657525</c:v>
                </c:pt>
                <c:pt idx="281">
                  <c:v>24.167048143292405</c:v>
                </c:pt>
                <c:pt idx="282">
                  <c:v>19.318750644901055</c:v>
                </c:pt>
                <c:pt idx="283">
                  <c:v>15.161149025952643</c:v>
                </c:pt>
                <c:pt idx="284">
                  <c:v>18.361598863120129</c:v>
                </c:pt>
                <c:pt idx="285">
                  <c:v>14.195801358344825</c:v>
                </c:pt>
                <c:pt idx="286">
                  <c:v>11.211424389531757</c:v>
                </c:pt>
                <c:pt idx="287">
                  <c:v>23.139248256966479</c:v>
                </c:pt>
                <c:pt idx="288">
                  <c:v>20.566975407694429</c:v>
                </c:pt>
                <c:pt idx="289">
                  <c:v>12.099776737697159</c:v>
                </c:pt>
                <c:pt idx="290">
                  <c:v>20.757970145589983</c:v>
                </c:pt>
                <c:pt idx="291">
                  <c:v>9.6861437138602096</c:v>
                </c:pt>
                <c:pt idx="292">
                  <c:v>4.6933077910178866</c:v>
                </c:pt>
                <c:pt idx="293">
                  <c:v>10.06706459462486</c:v>
                </c:pt>
                <c:pt idx="294">
                  <c:v>19.61298818185946</c:v>
                </c:pt>
                <c:pt idx="295">
                  <c:v>12.698672847557779</c:v>
                </c:pt>
                <c:pt idx="296">
                  <c:v>15.473294557072727</c:v>
                </c:pt>
                <c:pt idx="297">
                  <c:v>13.439807521922535</c:v>
                </c:pt>
                <c:pt idx="298">
                  <c:v>9.0055867275780468</c:v>
                </c:pt>
                <c:pt idx="299">
                  <c:v>8.3410591228811555</c:v>
                </c:pt>
                <c:pt idx="300">
                  <c:v>10.937094524723133</c:v>
                </c:pt>
                <c:pt idx="301">
                  <c:v>15.88396277460601</c:v>
                </c:pt>
                <c:pt idx="302">
                  <c:v>13.330482936344641</c:v>
                </c:pt>
                <c:pt idx="303">
                  <c:v>12.633103822910444</c:v>
                </c:pt>
                <c:pt idx="304">
                  <c:v>13.478329062720551</c:v>
                </c:pt>
                <c:pt idx="305">
                  <c:v>15.611822349008321</c:v>
                </c:pt>
                <c:pt idx="306">
                  <c:v>5.8723267534796761</c:v>
                </c:pt>
                <c:pt idx="307">
                  <c:v>8.4012110070330888</c:v>
                </c:pt>
                <c:pt idx="308">
                  <c:v>17.242172069032065</c:v>
                </c:pt>
                <c:pt idx="309">
                  <c:v>16.416926311634104</c:v>
                </c:pt>
                <c:pt idx="310">
                  <c:v>15.756741677838951</c:v>
                </c:pt>
                <c:pt idx="311">
                  <c:v>11.476559230618813</c:v>
                </c:pt>
                <c:pt idx="312">
                  <c:v>6.3570783329995395</c:v>
                </c:pt>
                <c:pt idx="313">
                  <c:v>12.19796945747659</c:v>
                </c:pt>
                <c:pt idx="314">
                  <c:v>14.209678945080777</c:v>
                </c:pt>
                <c:pt idx="315">
                  <c:v>13.997378804335789</c:v>
                </c:pt>
                <c:pt idx="316">
                  <c:v>14.017881643282752</c:v>
                </c:pt>
                <c:pt idx="317">
                  <c:v>6.3007324338347166</c:v>
                </c:pt>
                <c:pt idx="318">
                  <c:v>7.7947817159136141</c:v>
                </c:pt>
                <c:pt idx="319">
                  <c:v>12.534718912612698</c:v>
                </c:pt>
                <c:pt idx="320">
                  <c:v>9.4597479696406808</c:v>
                </c:pt>
                <c:pt idx="321">
                  <c:v>7.888683784051671</c:v>
                </c:pt>
                <c:pt idx="322">
                  <c:v>5.3619477623476088</c:v>
                </c:pt>
                <c:pt idx="323">
                  <c:v>10.22307345604349</c:v>
                </c:pt>
                <c:pt idx="324">
                  <c:v>2.0103290881782367</c:v>
                </c:pt>
                <c:pt idx="325">
                  <c:v>5.8238867686199383</c:v>
                </c:pt>
                <c:pt idx="326">
                  <c:v>7.7247369849168308</c:v>
                </c:pt>
                <c:pt idx="327">
                  <c:v>7.4848128092296831</c:v>
                </c:pt>
                <c:pt idx="328">
                  <c:v>3.1559872128591935</c:v>
                </c:pt>
                <c:pt idx="329">
                  <c:v>6.2388913253130287</c:v>
                </c:pt>
                <c:pt idx="330">
                  <c:v>8.5894308856051609</c:v>
                </c:pt>
                <c:pt idx="331">
                  <c:v>5.7297750176507707</c:v>
                </c:pt>
                <c:pt idx="332">
                  <c:v>6.406776755534537</c:v>
                </c:pt>
                <c:pt idx="333">
                  <c:v>2.3815251254507763</c:v>
                </c:pt>
                <c:pt idx="334">
                  <c:v>2.2046746954776606</c:v>
                </c:pt>
                <c:pt idx="335">
                  <c:v>3.4075029892960225</c:v>
                </c:pt>
                <c:pt idx="336">
                  <c:v>5.9419263623652485</c:v>
                </c:pt>
                <c:pt idx="337">
                  <c:v>8.5507854839685074</c:v>
                </c:pt>
                <c:pt idx="338">
                  <c:v>9.9641810916372151</c:v>
                </c:pt>
                <c:pt idx="339">
                  <c:v>7.2273340093466683</c:v>
                </c:pt>
                <c:pt idx="340">
                  <c:v>8.4338404228071848</c:v>
                </c:pt>
                <c:pt idx="341">
                  <c:v>2.7767489687100424</c:v>
                </c:pt>
                <c:pt idx="342">
                  <c:v>3.9553116047452619</c:v>
                </c:pt>
                <c:pt idx="343">
                  <c:v>6.8126463744892014</c:v>
                </c:pt>
                <c:pt idx="344">
                  <c:v>7.943993844529766</c:v>
                </c:pt>
                <c:pt idx="345">
                  <c:v>3.2011227362532813</c:v>
                </c:pt>
                <c:pt idx="346">
                  <c:v>3.1764607513165477</c:v>
                </c:pt>
                <c:pt idx="347">
                  <c:v>7.4841896588519781</c:v>
                </c:pt>
                <c:pt idx="348">
                  <c:v>3.7261415757858876</c:v>
                </c:pt>
                <c:pt idx="349">
                  <c:v>3.1136733238177872</c:v>
                </c:pt>
                <c:pt idx="350">
                  <c:v>1.8197983088087095</c:v>
                </c:pt>
                <c:pt idx="351">
                  <c:v>9.7070703310436297</c:v>
                </c:pt>
                <c:pt idx="352">
                  <c:v>9.6945219496240647</c:v>
                </c:pt>
                <c:pt idx="353">
                  <c:v>2.5010389350529239</c:v>
                </c:pt>
                <c:pt idx="354">
                  <c:v>8.8420214611448191</c:v>
                </c:pt>
                <c:pt idx="355">
                  <c:v>9.966830531377413</c:v>
                </c:pt>
                <c:pt idx="356">
                  <c:v>9.8205685055389704</c:v>
                </c:pt>
                <c:pt idx="357">
                  <c:v>10.037615941975639</c:v>
                </c:pt>
                <c:pt idx="358">
                  <c:v>5.9846391553604388</c:v>
                </c:pt>
                <c:pt idx="359">
                  <c:v>10.352383571579312</c:v>
                </c:pt>
                <c:pt idx="360">
                  <c:v>4.011625509957395</c:v>
                </c:pt>
                <c:pt idx="361">
                  <c:v>10.904588291862659</c:v>
                </c:pt>
                <c:pt idx="362">
                  <c:v>6.2239152100144723</c:v>
                </c:pt>
                <c:pt idx="363">
                  <c:v>7.9349275526303593</c:v>
                </c:pt>
                <c:pt idx="364">
                  <c:v>7.4601318525758913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323368"/>
        <c:axId val="313323760"/>
      </c:lineChart>
      <c:dateAx>
        <c:axId val="313323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13323760"/>
        <c:crosses val="autoZero"/>
        <c:auto val="1"/>
        <c:lblOffset val="100"/>
        <c:baseTimeUnit val="days"/>
        <c:majorUnit val="1"/>
        <c:majorTimeUnit val="months"/>
      </c:dateAx>
      <c:valAx>
        <c:axId val="3133237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133233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3.6929846779903297E-2</c:v>
                </c:pt>
                <c:pt idx="1">
                  <c:v>3.6950940487913253E-2</c:v>
                </c:pt>
                <c:pt idx="2">
                  <c:v>3.6972033733916776E-2</c:v>
                </c:pt>
                <c:pt idx="3">
                  <c:v>3.6993126517924191E-2</c:v>
                </c:pt>
                <c:pt idx="4">
                  <c:v>3.7014218839945379E-2</c:v>
                </c:pt>
                <c:pt idx="5">
                  <c:v>3.7035310699990664E-2</c:v>
                </c:pt>
                <c:pt idx="6">
                  <c:v>3.705640209807004E-2</c:v>
                </c:pt>
                <c:pt idx="7">
                  <c:v>3.707749303419372E-2</c:v>
                </c:pt>
                <c:pt idx="8">
                  <c:v>3.7098583508371696E-2</c:v>
                </c:pt>
                <c:pt idx="9">
                  <c:v>3.7119673520614183E-2</c:v>
                </c:pt>
                <c:pt idx="10">
                  <c:v>3.7140763070931393E-2</c:v>
                </c:pt>
                <c:pt idx="11">
                  <c:v>3.7161852159333209E-2</c:v>
                </c:pt>
                <c:pt idx="12">
                  <c:v>3.7182940785829843E-2</c:v>
                </c:pt>
                <c:pt idx="13">
                  <c:v>3.7204028950431511E-2</c:v>
                </c:pt>
                <c:pt idx="14">
                  <c:v>3.7225116653148205E-2</c:v>
                </c:pt>
                <c:pt idx="15">
                  <c:v>3.7246203893990137E-2</c:v>
                </c:pt>
                <c:pt idx="16">
                  <c:v>3.7267290672967301E-2</c:v>
                </c:pt>
                <c:pt idx="17">
                  <c:v>3.7288376990089911E-2</c:v>
                </c:pt>
                <c:pt idx="18">
                  <c:v>3.7309462845368069E-2</c:v>
                </c:pt>
                <c:pt idx="19">
                  <c:v>3.7330548238811878E-2</c:v>
                </c:pt>
                <c:pt idx="20">
                  <c:v>3.7351633170431553E-2</c:v>
                </c:pt>
                <c:pt idx="21">
                  <c:v>3.7372717640236974E-2</c:v>
                </c:pt>
                <c:pt idx="22">
                  <c:v>3.7393801648238467E-2</c:v>
                </c:pt>
                <c:pt idx="23">
                  <c:v>3.7414885194446024E-2</c:v>
                </c:pt>
                <c:pt idx="24">
                  <c:v>3.7435968278869858E-2</c:v>
                </c:pt>
                <c:pt idx="25">
                  <c:v>3.7457050901520073E-2</c:v>
                </c:pt>
                <c:pt idx="26">
                  <c:v>3.747813306240666E-2</c:v>
                </c:pt>
                <c:pt idx="27">
                  <c:v>3.7499214761539834E-2</c:v>
                </c:pt>
                <c:pt idx="28">
                  <c:v>3.7520295998929698E-2</c:v>
                </c:pt>
                <c:pt idx="29">
                  <c:v>3.7541376774586355E-2</c:v>
                </c:pt>
                <c:pt idx="30">
                  <c:v>3.7562457088519907E-2</c:v>
                </c:pt>
                <c:pt idx="31">
                  <c:v>3.7583536940740569E-2</c:v>
                </c:pt>
                <c:pt idx="32">
                  <c:v>3.7604616331258334E-2</c:v>
                </c:pt>
                <c:pt idx="33">
                  <c:v>3.7625695260083303E-2</c:v>
                </c:pt>
                <c:pt idx="34">
                  <c:v>3.764677372722558E-2</c:v>
                </c:pt>
                <c:pt idx="35">
                  <c:v>3.766785173269549E-2</c:v>
                </c:pt>
                <c:pt idx="36">
                  <c:v>3.7688929276502803E-2</c:v>
                </c:pt>
                <c:pt idx="37">
                  <c:v>3.7710006358657955E-2</c:v>
                </c:pt>
                <c:pt idx="38">
                  <c:v>3.7731082979170827E-2</c:v>
                </c:pt>
                <c:pt idx="39">
                  <c:v>3.7752159138051744E-2</c:v>
                </c:pt>
                <c:pt idx="40">
                  <c:v>3.7773234835310587E-2</c:v>
                </c:pt>
                <c:pt idx="41">
                  <c:v>3.7794310070957571E-2</c:v>
                </c:pt>
                <c:pt idx="42">
                  <c:v>3.7815384845002797E-2</c:v>
                </c:pt>
                <c:pt idx="43">
                  <c:v>3.783645915745637E-2</c:v>
                </c:pt>
                <c:pt idx="44">
                  <c:v>3.7857533008328503E-2</c:v>
                </c:pt>
                <c:pt idx="45">
                  <c:v>3.7878606397629189E-2</c:v>
                </c:pt>
                <c:pt idx="46">
                  <c:v>3.7899679325368529E-2</c:v>
                </c:pt>
                <c:pt idx="47">
                  <c:v>3.7920751791556739E-2</c:v>
                </c:pt>
                <c:pt idx="48">
                  <c:v>3.7941823796203811E-2</c:v>
                </c:pt>
                <c:pt idx="49">
                  <c:v>3.7962895339319846E-2</c:v>
                </c:pt>
                <c:pt idx="50">
                  <c:v>3.7983966420915061E-2</c:v>
                </c:pt>
                <c:pt idx="51">
                  <c:v>3.8005037040999556E-2</c:v>
                </c:pt>
                <c:pt idx="52">
                  <c:v>3.8026107199583326E-2</c:v>
                </c:pt>
                <c:pt idx="53">
                  <c:v>3.8047176896676582E-2</c:v>
                </c:pt>
                <c:pt idx="54">
                  <c:v>3.8068246132289318E-2</c:v>
                </c:pt>
                <c:pt idx="55">
                  <c:v>3.8089314906431859E-2</c:v>
                </c:pt>
                <c:pt idx="56">
                  <c:v>3.8110383219114086E-2</c:v>
                </c:pt>
                <c:pt idx="57">
                  <c:v>3.8131451070346212E-2</c:v>
                </c:pt>
                <c:pt idx="58">
                  <c:v>3.815251846013834E-2</c:v>
                </c:pt>
                <c:pt idx="59">
                  <c:v>3.8173585388500464E-2</c:v>
                </c:pt>
                <c:pt idx="60">
                  <c:v>3.8194651855442907E-2</c:v>
                </c:pt>
                <c:pt idx="61">
                  <c:v>3.8215717860975662E-2</c:v>
                </c:pt>
                <c:pt idx="62">
                  <c:v>3.8236783405108832E-2</c:v>
                </c:pt>
                <c:pt idx="63">
                  <c:v>3.8257848487852408E-2</c:v>
                </c:pt>
                <c:pt idx="64">
                  <c:v>3.8278913109216717E-2</c:v>
                </c:pt>
                <c:pt idx="65">
                  <c:v>3.8299977269211749E-2</c:v>
                </c:pt>
                <c:pt idx="66">
                  <c:v>3.8321040967847608E-2</c:v>
                </c:pt>
                <c:pt idx="67">
                  <c:v>3.8342104205134397E-2</c:v>
                </c:pt>
                <c:pt idx="68">
                  <c:v>3.836316698108222E-2</c:v>
                </c:pt>
                <c:pt idx="69">
                  <c:v>3.8384229295701178E-2</c:v>
                </c:pt>
                <c:pt idx="70">
                  <c:v>3.8405291149001486E-2</c:v>
                </c:pt>
                <c:pt idx="71">
                  <c:v>3.8426352540993025E-2</c:v>
                </c:pt>
                <c:pt idx="72">
                  <c:v>3.844741347168612E-2</c:v>
                </c:pt>
                <c:pt idx="73">
                  <c:v>3.8468473941090764E-2</c:v>
                </c:pt>
                <c:pt idx="74">
                  <c:v>3.8489533949217059E-2</c:v>
                </c:pt>
                <c:pt idx="75">
                  <c:v>3.8510593496075107E-2</c:v>
                </c:pt>
                <c:pt idx="76">
                  <c:v>3.8531652581675124E-2</c:v>
                </c:pt>
                <c:pt idx="77">
                  <c:v>3.8552711206026991E-2</c:v>
                </c:pt>
                <c:pt idx="78">
                  <c:v>3.8573769369141031E-2</c:v>
                </c:pt>
                <c:pt idx="79">
                  <c:v>3.8594827071027238E-2</c:v>
                </c:pt>
                <c:pt idx="80">
                  <c:v>3.8615884311695714E-2</c:v>
                </c:pt>
                <c:pt idx="81">
                  <c:v>3.8636941091156562E-2</c:v>
                </c:pt>
                <c:pt idx="82">
                  <c:v>3.8657997409419886E-2</c:v>
                </c:pt>
                <c:pt idx="83">
                  <c:v>3.8679053266495789E-2</c:v>
                </c:pt>
                <c:pt idx="84">
                  <c:v>3.8700108662394483E-2</c:v>
                </c:pt>
                <c:pt idx="85">
                  <c:v>3.8721163597125852E-2</c:v>
                </c:pt>
                <c:pt idx="86">
                  <c:v>3.8742218070700218E-2</c:v>
                </c:pt>
                <c:pt idx="87">
                  <c:v>3.8763272083127576E-2</c:v>
                </c:pt>
                <c:pt idx="88">
                  <c:v>3.8784325634417915E-2</c:v>
                </c:pt>
                <c:pt idx="89">
                  <c:v>3.8805378724581563E-2</c:v>
                </c:pt>
                <c:pt idx="90">
                  <c:v>3.882643135362851E-2</c:v>
                </c:pt>
                <c:pt idx="91">
                  <c:v>3.8847483521568749E-2</c:v>
                </c:pt>
                <c:pt idx="92">
                  <c:v>3.8868535228412493E-2</c:v>
                </c:pt>
                <c:pt idx="93">
                  <c:v>3.8889586474169957E-2</c:v>
                </c:pt>
                <c:pt idx="94">
                  <c:v>3.8910637258851022E-2</c:v>
                </c:pt>
                <c:pt idx="95">
                  <c:v>3.893168758246579E-2</c:v>
                </c:pt>
                <c:pt idx="96">
                  <c:v>3.8952737445024588E-2</c:v>
                </c:pt>
                <c:pt idx="97">
                  <c:v>3.8973786846537295E-2</c:v>
                </c:pt>
                <c:pt idx="98">
                  <c:v>3.8994835787014126E-2</c:v>
                </c:pt>
                <c:pt idx="99">
                  <c:v>3.9015884266465184E-2</c:v>
                </c:pt>
                <c:pt idx="100">
                  <c:v>3.9036932284900461E-2</c:v>
                </c:pt>
                <c:pt idx="101">
                  <c:v>3.9057979842330059E-2</c:v>
                </c:pt>
                <c:pt idx="102">
                  <c:v>3.9079026938764194E-2</c:v>
                </c:pt>
                <c:pt idx="103">
                  <c:v>3.9100073574212968E-2</c:v>
                </c:pt>
                <c:pt idx="104">
                  <c:v>3.9121119748686262E-2</c:v>
                </c:pt>
                <c:pt idx="105">
                  <c:v>3.9142165462194511E-2</c:v>
                </c:pt>
                <c:pt idx="106">
                  <c:v>3.9163210714747487E-2</c:v>
                </c:pt>
                <c:pt idx="107">
                  <c:v>3.9184255506355403E-2</c:v>
                </c:pt>
                <c:pt idx="108">
                  <c:v>3.9205299837028473E-2</c:v>
                </c:pt>
                <c:pt idx="109">
                  <c:v>3.9226343706776579E-2</c:v>
                </c:pt>
                <c:pt idx="110">
                  <c:v>3.9247387115610044E-2</c:v>
                </c:pt>
                <c:pt idx="111">
                  <c:v>3.9268430063538751E-2</c:v>
                </c:pt>
                <c:pt idx="112">
                  <c:v>3.9289472550572913E-2</c:v>
                </c:pt>
                <c:pt idx="113">
                  <c:v>3.9310514576722633E-2</c:v>
                </c:pt>
                <c:pt idx="114">
                  <c:v>3.9331556141998014E-2</c:v>
                </c:pt>
                <c:pt idx="115">
                  <c:v>3.9352597246409049E-2</c:v>
                </c:pt>
                <c:pt idx="116">
                  <c:v>3.9373637889965951E-2</c:v>
                </c:pt>
                <c:pt idx="117">
                  <c:v>3.9394678072678713E-2</c:v>
                </c:pt>
                <c:pt idx="118">
                  <c:v>3.9415717794557548E-2</c:v>
                </c:pt>
                <c:pt idx="119">
                  <c:v>3.9436757055612337E-2</c:v>
                </c:pt>
                <c:pt idx="120">
                  <c:v>3.9457795855853406E-2</c:v>
                </c:pt>
                <c:pt idx="121">
                  <c:v>3.9478834195290746E-2</c:v>
                </c:pt>
                <c:pt idx="122">
                  <c:v>3.9499872073934461E-2</c:v>
                </c:pt>
                <c:pt idx="123">
                  <c:v>3.9520909491794654E-2</c:v>
                </c:pt>
                <c:pt idx="124">
                  <c:v>3.9541946448881427E-2</c:v>
                </c:pt>
                <c:pt idx="125">
                  <c:v>3.9562982945204772E-2</c:v>
                </c:pt>
                <c:pt idx="126">
                  <c:v>3.9584018980774904E-2</c:v>
                </c:pt>
                <c:pt idx="127">
                  <c:v>3.9605054555601815E-2</c:v>
                </c:pt>
                <c:pt idx="128">
                  <c:v>3.9626089669695719E-2</c:v>
                </c:pt>
                <c:pt idx="129">
                  <c:v>3.9647124323066607E-2</c:v>
                </c:pt>
                <c:pt idx="130">
                  <c:v>3.9668158515724694E-2</c:v>
                </c:pt>
                <c:pt idx="131">
                  <c:v>3.9689192247679861E-2</c:v>
                </c:pt>
                <c:pt idx="132">
                  <c:v>3.9710225518942321E-2</c:v>
                </c:pt>
                <c:pt idx="133">
                  <c:v>3.973125832952229E-2</c:v>
                </c:pt>
                <c:pt idx="134">
                  <c:v>3.9752290679429536E-2</c:v>
                </c:pt>
                <c:pt idx="135">
                  <c:v>3.9773322568674496E-2</c:v>
                </c:pt>
                <c:pt idx="136">
                  <c:v>3.9794353997267051E-2</c:v>
                </c:pt>
                <c:pt idx="137">
                  <c:v>3.9815384965217304E-2</c:v>
                </c:pt>
                <c:pt idx="138">
                  <c:v>3.9836415472535469E-2</c:v>
                </c:pt>
                <c:pt idx="139">
                  <c:v>3.9857445519231427E-2</c:v>
                </c:pt>
                <c:pt idx="140">
                  <c:v>3.9878475105315503E-2</c:v>
                </c:pt>
                <c:pt idx="141">
                  <c:v>3.9899504230797689E-2</c:v>
                </c:pt>
                <c:pt idx="142">
                  <c:v>3.9920532895687977E-2</c:v>
                </c:pt>
                <c:pt idx="143">
                  <c:v>3.9941561099996581E-2</c:v>
                </c:pt>
                <c:pt idx="144">
                  <c:v>3.9962588843733493E-2</c:v>
                </c:pt>
                <c:pt idx="145">
                  <c:v>3.9983616126908816E-2</c:v>
                </c:pt>
                <c:pt idx="146">
                  <c:v>4.0004642949532765E-2</c:v>
                </c:pt>
                <c:pt idx="147">
                  <c:v>4.0025669311615331E-2</c:v>
                </c:pt>
                <c:pt idx="148">
                  <c:v>4.0046695213166617E-2</c:v>
                </c:pt>
                <c:pt idx="149">
                  <c:v>4.0067720654196615E-2</c:v>
                </c:pt>
                <c:pt idx="150">
                  <c:v>4.0088745634715539E-2</c:v>
                </c:pt>
                <c:pt idx="151">
                  <c:v>4.0109770154733382E-2</c:v>
                </c:pt>
                <c:pt idx="152">
                  <c:v>4.0130794214260357E-2</c:v>
                </c:pt>
                <c:pt idx="153">
                  <c:v>4.0151817813306456E-2</c:v>
                </c:pt>
                <c:pt idx="154">
                  <c:v>4.0172840951881783E-2</c:v>
                </c:pt>
                <c:pt idx="155">
                  <c:v>4.019386362999644E-2</c:v>
                </c:pt>
                <c:pt idx="156">
                  <c:v>4.021488584766042E-2</c:v>
                </c:pt>
                <c:pt idx="157">
                  <c:v>4.0235907604883936E-2</c:v>
                </c:pt>
                <c:pt idx="158">
                  <c:v>4.025692890167698E-2</c:v>
                </c:pt>
                <c:pt idx="159">
                  <c:v>4.0277949738049657E-2</c:v>
                </c:pt>
                <c:pt idx="160">
                  <c:v>4.0298970114012178E-2</c:v>
                </c:pt>
                <c:pt idx="161">
                  <c:v>4.0319990029574426E-2</c:v>
                </c:pt>
                <c:pt idx="162">
                  <c:v>4.0341009484746615E-2</c:v>
                </c:pt>
                <c:pt idx="163">
                  <c:v>4.0362028479538736E-2</c:v>
                </c:pt>
                <c:pt idx="164">
                  <c:v>4.0383047013961004E-2</c:v>
                </c:pt>
                <c:pt idx="165">
                  <c:v>4.0404065088023411E-2</c:v>
                </c:pt>
                <c:pt idx="166">
                  <c:v>4.0425082701735948E-2</c:v>
                </c:pt>
                <c:pt idx="167">
                  <c:v>4.0446099855108941E-2</c:v>
                </c:pt>
                <c:pt idx="168">
                  <c:v>4.0467116548152271E-2</c:v>
                </c:pt>
                <c:pt idx="169">
                  <c:v>4.0488132780876041E-2</c:v>
                </c:pt>
                <c:pt idx="170">
                  <c:v>4.0509148553290464E-2</c:v>
                </c:pt>
                <c:pt idx="171">
                  <c:v>4.0530163865405533E-2</c:v>
                </c:pt>
                <c:pt idx="172">
                  <c:v>4.055117871723124E-2</c:v>
                </c:pt>
                <c:pt idx="173">
                  <c:v>4.057219310877791E-2</c:v>
                </c:pt>
                <c:pt idx="174">
                  <c:v>4.0593207040055312E-2</c:v>
                </c:pt>
                <c:pt idx="175">
                  <c:v>4.0614220511073773E-2</c:v>
                </c:pt>
                <c:pt idx="176">
                  <c:v>4.0635233521843284E-2</c:v>
                </c:pt>
                <c:pt idx="177">
                  <c:v>4.0656246072373947E-2</c:v>
                </c:pt>
                <c:pt idx="178">
                  <c:v>4.0677258162675756E-2</c:v>
                </c:pt>
                <c:pt idx="179">
                  <c:v>4.0698269792758923E-2</c:v>
                </c:pt>
                <c:pt idx="180">
                  <c:v>4.0719280962633442E-2</c:v>
                </c:pt>
                <c:pt idx="181">
                  <c:v>4.0740291672309414E-2</c:v>
                </c:pt>
                <c:pt idx="182">
                  <c:v>4.0761301921796944E-2</c:v>
                </c:pt>
                <c:pt idx="183">
                  <c:v>4.0782311711106134E-2</c:v>
                </c:pt>
                <c:pt idx="184">
                  <c:v>4.0803321040246976E-2</c:v>
                </c:pt>
                <c:pt idx="185">
                  <c:v>4.0824329909229573E-2</c:v>
                </c:pt>
                <c:pt idx="186">
                  <c:v>4.0845338318064028E-2</c:v>
                </c:pt>
                <c:pt idx="187">
                  <c:v>4.0866346266760334E-2</c:v>
                </c:pt>
                <c:pt idx="188">
                  <c:v>4.0887353755328815E-2</c:v>
                </c:pt>
                <c:pt idx="189">
                  <c:v>4.0908360783779241E-2</c:v>
                </c:pt>
                <c:pt idx="190">
                  <c:v>4.0929367352121937E-2</c:v>
                </c:pt>
                <c:pt idx="191">
                  <c:v>4.0950373460366785E-2</c:v>
                </c:pt>
                <c:pt idx="192">
                  <c:v>4.0971379108523998E-2</c:v>
                </c:pt>
                <c:pt idx="193">
                  <c:v>4.0992384296603568E-2</c:v>
                </c:pt>
                <c:pt idx="194">
                  <c:v>4.1013389024615599E-2</c:v>
                </c:pt>
                <c:pt idx="195">
                  <c:v>4.1034393292570304E-2</c:v>
                </c:pt>
                <c:pt idx="196">
                  <c:v>4.1055397100477453E-2</c:v>
                </c:pt>
                <c:pt idx="197">
                  <c:v>4.1076400448347483E-2</c:v>
                </c:pt>
                <c:pt idx="198">
                  <c:v>4.1097403336190164E-2</c:v>
                </c:pt>
                <c:pt idx="199">
                  <c:v>4.1118405764015709E-2</c:v>
                </c:pt>
                <c:pt idx="200">
                  <c:v>4.1139407731834221E-2</c:v>
                </c:pt>
                <c:pt idx="201">
                  <c:v>4.1160409239655804E-2</c:v>
                </c:pt>
                <c:pt idx="202">
                  <c:v>4.1181410287490339E-2</c:v>
                </c:pt>
                <c:pt idx="203">
                  <c:v>4.120241087534815E-2</c:v>
                </c:pt>
                <c:pt idx="204">
                  <c:v>4.1223411003239119E-2</c:v>
                </c:pt>
                <c:pt idx="205">
                  <c:v>4.1244410671173348E-2</c:v>
                </c:pt>
                <c:pt idx="206">
                  <c:v>4.1265409879161052E-2</c:v>
                </c:pt>
                <c:pt idx="207">
                  <c:v>4.1286408627212112E-2</c:v>
                </c:pt>
                <c:pt idx="208">
                  <c:v>4.1307406915336742E-2</c:v>
                </c:pt>
                <c:pt idx="209">
                  <c:v>4.1328404743545044E-2</c:v>
                </c:pt>
                <c:pt idx="210">
                  <c:v>4.13494021118469E-2</c:v>
                </c:pt>
                <c:pt idx="211">
                  <c:v>4.1370399020252524E-2</c:v>
                </c:pt>
                <c:pt idx="212">
                  <c:v>4.1391395468772019E-2</c:v>
                </c:pt>
                <c:pt idx="213">
                  <c:v>4.1412391457415376E-2</c:v>
                </c:pt>
                <c:pt idx="214">
                  <c:v>4.14333869861927E-2</c:v>
                </c:pt>
                <c:pt idx="215">
                  <c:v>4.1454382055114092E-2</c:v>
                </c:pt>
                <c:pt idx="216">
                  <c:v>4.1475376664189545E-2</c:v>
                </c:pt>
                <c:pt idx="217">
                  <c:v>4.1496370813429273E-2</c:v>
                </c:pt>
                <c:pt idx="218">
                  <c:v>4.1517364502843157E-2</c:v>
                </c:pt>
                <c:pt idx="219">
                  <c:v>4.15383577324413E-2</c:v>
                </c:pt>
                <c:pt idx="220">
                  <c:v>4.1559350502234027E-2</c:v>
                </c:pt>
                <c:pt idx="221">
                  <c:v>4.1580342812231108E-2</c:v>
                </c:pt>
                <c:pt idx="222">
                  <c:v>4.1601334662442646E-2</c:v>
                </c:pt>
                <c:pt idx="223">
                  <c:v>4.1622326052878855E-2</c:v>
                </c:pt>
                <c:pt idx="224">
                  <c:v>4.1643316983549838E-2</c:v>
                </c:pt>
                <c:pt idx="225">
                  <c:v>4.1664307454465477E-2</c:v>
                </c:pt>
                <c:pt idx="226">
                  <c:v>4.1685297465635873E-2</c:v>
                </c:pt>
                <c:pt idx="227">
                  <c:v>4.1706287017071242E-2</c:v>
                </c:pt>
                <c:pt idx="228">
                  <c:v>4.1727276108781575E-2</c:v>
                </c:pt>
                <c:pt idx="229">
                  <c:v>4.1748264740776975E-2</c:v>
                </c:pt>
                <c:pt idx="230">
                  <c:v>4.1769252913067323E-2</c:v>
                </c:pt>
                <c:pt idx="231">
                  <c:v>4.1790240625662944E-2</c:v>
                </c:pt>
                <c:pt idx="232">
                  <c:v>4.181122787857372E-2</c:v>
                </c:pt>
                <c:pt idx="233">
                  <c:v>4.1832214671809864E-2</c:v>
                </c:pt>
                <c:pt idx="234">
                  <c:v>4.1853201005381369E-2</c:v>
                </c:pt>
                <c:pt idx="235">
                  <c:v>4.1874186879298336E-2</c:v>
                </c:pt>
                <c:pt idx="236">
                  <c:v>4.1895172293570648E-2</c:v>
                </c:pt>
                <c:pt idx="237">
                  <c:v>4.1916157248208741E-2</c:v>
                </c:pt>
                <c:pt idx="238">
                  <c:v>4.1937141743222273E-2</c:v>
                </c:pt>
                <c:pt idx="239">
                  <c:v>4.195812577862168E-2</c:v>
                </c:pt>
                <c:pt idx="240">
                  <c:v>4.1979109354416733E-2</c:v>
                </c:pt>
                <c:pt idx="241">
                  <c:v>4.2000092470617645E-2</c:v>
                </c:pt>
                <c:pt idx="242">
                  <c:v>4.202107512723452E-2</c:v>
                </c:pt>
                <c:pt idx="243">
                  <c:v>4.2042057324277349E-2</c:v>
                </c:pt>
                <c:pt idx="244">
                  <c:v>4.2063039061756236E-2</c:v>
                </c:pt>
                <c:pt idx="245">
                  <c:v>4.2084020339681172E-2</c:v>
                </c:pt>
                <c:pt idx="246">
                  <c:v>4.2105001158062261E-2</c:v>
                </c:pt>
                <c:pt idx="247">
                  <c:v>4.2125981516909605E-2</c:v>
                </c:pt>
                <c:pt idx="248">
                  <c:v>4.2146961416233308E-2</c:v>
                </c:pt>
                <c:pt idx="249">
                  <c:v>4.2167940856043251E-2</c:v>
                </c:pt>
                <c:pt idx="250">
                  <c:v>4.2188919836349648E-2</c:v>
                </c:pt>
                <c:pt idx="251">
                  <c:v>4.2209898357162601E-2</c:v>
                </c:pt>
                <c:pt idx="252">
                  <c:v>4.2230876418492103E-2</c:v>
                </c:pt>
                <c:pt idx="253">
                  <c:v>4.2251854020348145E-2</c:v>
                </c:pt>
                <c:pt idx="254">
                  <c:v>4.2272831162740943E-2</c:v>
                </c:pt>
                <c:pt idx="255">
                  <c:v>4.2293807845680487E-2</c:v>
                </c:pt>
                <c:pt idx="256">
                  <c:v>4.231478406917677E-2</c:v>
                </c:pt>
                <c:pt idx="257">
                  <c:v>4.2335759833240005E-2</c:v>
                </c:pt>
                <c:pt idx="258">
                  <c:v>4.2356735137880186E-2</c:v>
                </c:pt>
                <c:pt idx="259">
                  <c:v>4.2377709983107303E-2</c:v>
                </c:pt>
                <c:pt idx="260">
                  <c:v>4.2398684368931461E-2</c:v>
                </c:pt>
                <c:pt idx="261">
                  <c:v>4.2419658295362761E-2</c:v>
                </c:pt>
                <c:pt idx="262">
                  <c:v>4.2440631762411307E-2</c:v>
                </c:pt>
                <c:pt idx="263">
                  <c:v>4.246160477008698E-2</c:v>
                </c:pt>
                <c:pt idx="264">
                  <c:v>4.2482577318400105E-2</c:v>
                </c:pt>
                <c:pt idx="265">
                  <c:v>4.2503549407360453E-2</c:v>
                </c:pt>
                <c:pt idx="266">
                  <c:v>4.2524521036978347E-2</c:v>
                </c:pt>
                <c:pt idx="267">
                  <c:v>4.2545492207263669E-2</c:v>
                </c:pt>
                <c:pt idx="268">
                  <c:v>4.2566462918226522E-2</c:v>
                </c:pt>
                <c:pt idx="269">
                  <c:v>4.2587433169877009E-2</c:v>
                </c:pt>
                <c:pt idx="270">
                  <c:v>4.2608402962225123E-2</c:v>
                </c:pt>
                <c:pt idx="271">
                  <c:v>4.2629372295281076E-2</c:v>
                </c:pt>
                <c:pt idx="272">
                  <c:v>4.2650341169054751E-2</c:v>
                </c:pt>
                <c:pt idx="273">
                  <c:v>4.2671309583556249E-2</c:v>
                </c:pt>
                <c:pt idx="274">
                  <c:v>4.2692277538795675E-2</c:v>
                </c:pt>
                <c:pt idx="275">
                  <c:v>4.2713245034783132E-2</c:v>
                </c:pt>
                <c:pt idx="276">
                  <c:v>4.2734212071528499E-2</c:v>
                </c:pt>
                <c:pt idx="277">
                  <c:v>4.2755178649042103E-2</c:v>
                </c:pt>
                <c:pt idx="278">
                  <c:v>4.2776144767333713E-2</c:v>
                </c:pt>
                <c:pt idx="279">
                  <c:v>4.2797110426413543E-2</c:v>
                </c:pt>
                <c:pt idx="280">
                  <c:v>4.2818075626291696E-2</c:v>
                </c:pt>
                <c:pt idx="281">
                  <c:v>4.2839040366978165E-2</c:v>
                </c:pt>
                <c:pt idx="282">
                  <c:v>4.2860004648482941E-2</c:v>
                </c:pt>
                <c:pt idx="283">
                  <c:v>4.2880968470816239E-2</c:v>
                </c:pt>
                <c:pt idx="284">
                  <c:v>4.2901931833987939E-2</c:v>
                </c:pt>
                <c:pt idx="285">
                  <c:v>4.2922894738008144E-2</c:v>
                </c:pt>
                <c:pt idx="286">
                  <c:v>4.2943857182887069E-2</c:v>
                </c:pt>
                <c:pt idx="287">
                  <c:v>4.2964819168634594E-2</c:v>
                </c:pt>
                <c:pt idx="288">
                  <c:v>4.2985780695260822E-2</c:v>
                </c:pt>
                <c:pt idx="289">
                  <c:v>4.3006741762775857E-2</c:v>
                </c:pt>
                <c:pt idx="290">
                  <c:v>4.3027702371189691E-2</c:v>
                </c:pt>
                <c:pt idx="291">
                  <c:v>4.3048662520512426E-2</c:v>
                </c:pt>
                <c:pt idx="292">
                  <c:v>4.3069622210754166E-2</c:v>
                </c:pt>
                <c:pt idx="293">
                  <c:v>4.3090581441924791E-2</c:v>
                </c:pt>
                <c:pt idx="294">
                  <c:v>4.3111540214034516E-2</c:v>
                </c:pt>
                <c:pt idx="295">
                  <c:v>4.3132498527093333E-2</c:v>
                </c:pt>
                <c:pt idx="296">
                  <c:v>4.3153456381111233E-2</c:v>
                </c:pt>
                <c:pt idx="297">
                  <c:v>4.317441377609843E-2</c:v>
                </c:pt>
                <c:pt idx="298">
                  <c:v>4.3195370712064918E-2</c:v>
                </c:pt>
                <c:pt idx="299">
                  <c:v>4.3216327189020687E-2</c:v>
                </c:pt>
                <c:pt idx="300">
                  <c:v>4.323728320697573E-2</c:v>
                </c:pt>
                <c:pt idx="301">
                  <c:v>4.325823876594026E-2</c:v>
                </c:pt>
                <c:pt idx="302">
                  <c:v>4.3279193865924381E-2</c:v>
                </c:pt>
                <c:pt idx="303">
                  <c:v>4.3300148506937863E-2</c:v>
                </c:pt>
                <c:pt idx="304">
                  <c:v>4.3321102688991031E-2</c:v>
                </c:pt>
                <c:pt idx="305">
                  <c:v>4.3342056412093766E-2</c:v>
                </c:pt>
                <c:pt idx="306">
                  <c:v>4.3363009676256281E-2</c:v>
                </c:pt>
                <c:pt idx="307">
                  <c:v>4.3383962481488458E-2</c:v>
                </c:pt>
                <c:pt idx="308">
                  <c:v>4.3404914827800511E-2</c:v>
                </c:pt>
                <c:pt idx="309">
                  <c:v>4.3425866715202321E-2</c:v>
                </c:pt>
                <c:pt idx="310">
                  <c:v>4.3446818143704102E-2</c:v>
                </c:pt>
                <c:pt idx="311">
                  <c:v>4.3467769113315735E-2</c:v>
                </c:pt>
                <c:pt idx="312">
                  <c:v>4.3488719624047434E-2</c:v>
                </c:pt>
                <c:pt idx="313">
                  <c:v>4.3509669675909191E-2</c:v>
                </c:pt>
                <c:pt idx="314">
                  <c:v>4.3530619268910997E-2</c:v>
                </c:pt>
                <c:pt idx="315">
                  <c:v>4.3551568403062957E-2</c:v>
                </c:pt>
                <c:pt idx="316">
                  <c:v>4.3572517078375061E-2</c:v>
                </c:pt>
                <c:pt idx="317">
                  <c:v>4.3593465294857525E-2</c:v>
                </c:pt>
                <c:pt idx="318">
                  <c:v>4.3614413052520229E-2</c:v>
                </c:pt>
                <c:pt idx="319">
                  <c:v>4.3635360351373276E-2</c:v>
                </c:pt>
                <c:pt idx="320">
                  <c:v>4.3656307191426769E-2</c:v>
                </c:pt>
                <c:pt idx="321">
                  <c:v>4.3677253572690589E-2</c:v>
                </c:pt>
                <c:pt idx="322">
                  <c:v>4.3698199495175061E-2</c:v>
                </c:pt>
                <c:pt idx="323">
                  <c:v>4.3719144958889955E-2</c:v>
                </c:pt>
                <c:pt idx="324">
                  <c:v>4.3740089963845485E-2</c:v>
                </c:pt>
                <c:pt idx="325">
                  <c:v>4.3761034510051644E-2</c:v>
                </c:pt>
                <c:pt idx="326">
                  <c:v>4.3781978597518423E-2</c:v>
                </c:pt>
                <c:pt idx="327">
                  <c:v>4.3802922226256036E-2</c:v>
                </c:pt>
                <c:pt idx="328">
                  <c:v>4.3823865396274364E-2</c:v>
                </c:pt>
                <c:pt idx="329">
                  <c:v>4.3844808107583622E-2</c:v>
                </c:pt>
                <c:pt idx="330">
                  <c:v>4.3865750360193578E-2</c:v>
                </c:pt>
                <c:pt idx="331">
                  <c:v>4.3886692154114559E-2</c:v>
                </c:pt>
                <c:pt idx="332">
                  <c:v>4.3907633489356557E-2</c:v>
                </c:pt>
                <c:pt idx="333">
                  <c:v>4.3928574365929451E-2</c:v>
                </c:pt>
                <c:pt idx="334">
                  <c:v>4.3949514783843568E-2</c:v>
                </c:pt>
                <c:pt idx="335">
                  <c:v>4.3970454743108678E-2</c:v>
                </c:pt>
                <c:pt idx="336">
                  <c:v>4.3991394243734883E-2</c:v>
                </c:pt>
                <c:pt idx="337">
                  <c:v>4.4012333285732397E-2</c:v>
                </c:pt>
                <c:pt idx="338">
                  <c:v>4.4033271869111101E-2</c:v>
                </c:pt>
                <c:pt idx="339">
                  <c:v>4.4054209993881099E-2</c:v>
                </c:pt>
                <c:pt idx="340">
                  <c:v>4.4075147660052383E-2</c:v>
                </c:pt>
                <c:pt idx="341">
                  <c:v>4.4096084867635166E-2</c:v>
                </c:pt>
                <c:pt idx="342">
                  <c:v>4.4117021616639218E-2</c:v>
                </c:pt>
                <c:pt idx="343">
                  <c:v>4.4137957907074865E-2</c:v>
                </c:pt>
                <c:pt idx="344">
                  <c:v>4.4158893738951988E-2</c:v>
                </c:pt>
                <c:pt idx="345">
                  <c:v>4.4179829112280578E-2</c:v>
                </c:pt>
                <c:pt idx="346">
                  <c:v>4.4200764027070849E-2</c:v>
                </c:pt>
                <c:pt idx="347">
                  <c:v>4.4221698483332683E-2</c:v>
                </c:pt>
                <c:pt idx="348">
                  <c:v>4.4242632481076294E-2</c:v>
                </c:pt>
                <c:pt idx="349">
                  <c:v>4.4263566020311562E-2</c:v>
                </c:pt>
                <c:pt idx="350">
                  <c:v>4.4284499101048591E-2</c:v>
                </c:pt>
                <c:pt idx="351">
                  <c:v>4.4305431723297484E-2</c:v>
                </c:pt>
                <c:pt idx="352">
                  <c:v>4.4326363887068232E-2</c:v>
                </c:pt>
                <c:pt idx="353">
                  <c:v>4.4347295592370828E-2</c:v>
                </c:pt>
                <c:pt idx="354">
                  <c:v>4.4368226839215374E-2</c:v>
                </c:pt>
                <c:pt idx="355">
                  <c:v>4.4389157627611864E-2</c:v>
                </c:pt>
                <c:pt idx="356">
                  <c:v>4.4410087957570399E-2</c:v>
                </c:pt>
                <c:pt idx="357">
                  <c:v>4.4431017829100972E-2</c:v>
                </c:pt>
                <c:pt idx="358">
                  <c:v>4.4451947242213685E-2</c:v>
                </c:pt>
                <c:pt idx="359">
                  <c:v>4.4472876196918532E-2</c:v>
                </c:pt>
                <c:pt idx="360">
                  <c:v>4.4493804693225503E-2</c:v>
                </c:pt>
                <c:pt idx="361">
                  <c:v>4.4514732731144702E-2</c:v>
                </c:pt>
                <c:pt idx="362">
                  <c:v>4.4535660310686231E-2</c:v>
                </c:pt>
                <c:pt idx="363">
                  <c:v>4.4556587431859973E-2</c:v>
                </c:pt>
                <c:pt idx="364">
                  <c:v>4.4577514094676141E-2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9.3246069495017861E-2</c:v>
                </c:pt>
                <c:pt idx="1">
                  <c:v>9.3320147526905303E-2</c:v>
                </c:pt>
                <c:pt idx="2">
                  <c:v>9.3394322964968177E-2</c:v>
                </c:pt>
                <c:pt idx="3">
                  <c:v>9.3468574617900507E-2</c:v>
                </c:pt>
                <c:pt idx="4">
                  <c:v>9.3542884044145375E-2</c:v>
                </c:pt>
                <c:pt idx="5">
                  <c:v>9.3617235472227528E-2</c:v>
                </c:pt>
                <c:pt idx="6">
                  <c:v>9.3691615699972391E-2</c:v>
                </c:pt>
                <c:pt idx="7">
                  <c:v>9.3766013974287979E-2</c:v>
                </c:pt>
                <c:pt idx="8">
                  <c:v>9.3840421853329581E-2</c:v>
                </c:pt>
                <c:pt idx="9">
                  <c:v>9.3914833052994459E-2</c:v>
                </c:pt>
                <c:pt idx="10">
                  <c:v>9.3989243279797866E-2</c:v>
                </c:pt>
                <c:pt idx="11">
                  <c:v>9.4063650052265108E-2</c:v>
                </c:pt>
                <c:pt idx="12">
                  <c:v>9.4138052513036127E-2</c:v>
                </c:pt>
                <c:pt idx="13">
                  <c:v>9.4212451233918151E-2</c:v>
                </c:pt>
                <c:pt idx="14">
                  <c:v>9.428684801613875E-2</c:v>
                </c:pt>
                <c:pt idx="15">
                  <c:v>9.4361245688046505E-2</c:v>
                </c:pt>
                <c:pt idx="16">
                  <c:v>9.4435647902479353E-2</c:v>
                </c:pt>
                <c:pt idx="17">
                  <c:v>9.4510058935971766E-2</c:v>
                </c:pt>
                <c:pt idx="18">
                  <c:v>9.4584483491904597E-2</c:v>
                </c:pt>
                <c:pt idx="19">
                  <c:v>9.4658926509611788E-2</c:v>
                </c:pt>
                <c:pt idx="20">
                  <c:v>9.4733392981352679E-2</c:v>
                </c:pt>
                <c:pt idx="21">
                  <c:v>9.4807887778934938E-2</c:v>
                </c:pt>
                <c:pt idx="22">
                  <c:v>9.488241549163498E-2</c:v>
                </c:pt>
                <c:pt idx="23">
                  <c:v>9.4956980276909617E-2</c:v>
                </c:pt>
                <c:pt idx="24">
                  <c:v>9.5031585725228629E-2</c:v>
                </c:pt>
                <c:pt idx="25">
                  <c:v>9.5106234740183399E-2</c:v>
                </c:pt>
                <c:pt idx="26">
                  <c:v>9.5180929434843464E-2</c:v>
                </c:pt>
                <c:pt idx="27">
                  <c:v>9.5255671045144125E-2</c:v>
                </c:pt>
                <c:pt idx="28">
                  <c:v>9.5330459860894501E-2</c:v>
                </c:pt>
                <c:pt idx="29">
                  <c:v>9.5405295174800203E-2</c:v>
                </c:pt>
                <c:pt idx="30">
                  <c:v>9.5480175249698998E-2</c:v>
                </c:pt>
                <c:pt idx="31">
                  <c:v>9.5555097304013306E-2</c:v>
                </c:pt>
                <c:pt idx="32">
                  <c:v>9.5630057515234651E-2</c:v>
                </c:pt>
                <c:pt idx="33">
                  <c:v>9.5705051041069231E-2</c:v>
                </c:pt>
                <c:pt idx="34">
                  <c:v>9.5780072057697799E-2</c:v>
                </c:pt>
                <c:pt idx="35">
                  <c:v>9.5855113814435275E-2</c:v>
                </c:pt>
                <c:pt idx="36">
                  <c:v>9.5930168703917879E-2</c:v>
                </c:pt>
                <c:pt idx="37">
                  <c:v>9.6005228346801502E-2</c:v>
                </c:pt>
                <c:pt idx="38">
                  <c:v>9.6080283689823243E-2</c:v>
                </c:pt>
                <c:pt idx="39">
                  <c:v>9.6155325115961324E-2</c:v>
                </c:pt>
                <c:pt idx="40">
                  <c:v>9.6230342565327975E-2</c:v>
                </c:pt>
                <c:pt idx="41">
                  <c:v>9.6305325665343874E-2</c:v>
                </c:pt>
                <c:pt idx="42">
                  <c:v>9.6380263868675958E-2</c:v>
                </c:pt>
                <c:pt idx="43">
                  <c:v>9.6455146597369354E-2</c:v>
                </c:pt>
                <c:pt idx="44">
                  <c:v>9.652996339157012E-2</c:v>
                </c:pt>
                <c:pt idx="45">
                  <c:v>9.6604704061221722E-2</c:v>
                </c:pt>
                <c:pt idx="46">
                  <c:v>9.667935883911756E-2</c:v>
                </c:pt>
                <c:pt idx="47">
                  <c:v>9.6753918533712277E-2</c:v>
                </c:pt>
                <c:pt idx="48">
                  <c:v>9.6828374680128837E-2</c:v>
                </c:pt>
                <c:pt idx="49">
                  <c:v>9.6902719687848485E-2</c:v>
                </c:pt>
                <c:pt idx="50">
                  <c:v>9.6976946983637777E-2</c:v>
                </c:pt>
                <c:pt idx="51">
                  <c:v>9.7051051148344267E-2</c:v>
                </c:pt>
                <c:pt idx="52">
                  <c:v>9.7125028046285811E-2</c:v>
                </c:pt>
                <c:pt idx="53">
                  <c:v>9.7198874946061026E-2</c:v>
                </c:pt>
                <c:pt idx="54">
                  <c:v>9.7272590631721598E-2</c:v>
                </c:pt>
                <c:pt idx="55">
                  <c:v>9.7346175503369256E-2</c:v>
                </c:pt>
                <c:pt idx="56">
                  <c:v>9.7419631666368189E-2</c:v>
                </c:pt>
                <c:pt idx="57">
                  <c:v>9.749296300849826E-2</c:v>
                </c:pt>
                <c:pt idx="58">
                  <c:v>9.7566175264511446E-2</c:v>
                </c:pt>
                <c:pt idx="59">
                  <c:v>9.7639276067694028E-2</c:v>
                </c:pt>
                <c:pt idx="60">
                  <c:v>9.7712274988177028E-2</c:v>
                </c:pt>
                <c:pt idx="61">
                  <c:v>9.7785183557875688E-2</c:v>
                </c:pt>
                <c:pt idx="62">
                  <c:v>9.7858015282076383E-2</c:v>
                </c:pt>
                <c:pt idx="63">
                  <c:v>9.7930785637819123E-2</c:v>
                </c:pt>
                <c:pt idx="64">
                  <c:v>9.8003512059351733E-2</c:v>
                </c:pt>
                <c:pt idx="65">
                  <c:v>9.8076213911049648E-2</c:v>
                </c:pt>
                <c:pt idx="66">
                  <c:v>9.8148912448306105E-2</c:v>
                </c:pt>
                <c:pt idx="67">
                  <c:v>9.8221630766999399E-2</c:v>
                </c:pt>
                <c:pt idx="68">
                  <c:v>9.829439374223338E-2</c:v>
                </c:pt>
                <c:pt idx="69">
                  <c:v>9.8367227957128267E-2</c:v>
                </c:pt>
                <c:pt idx="70">
                  <c:v>9.8440161622505282E-2</c:v>
                </c:pt>
                <c:pt idx="71">
                  <c:v>9.8513224488364068E-2</c:v>
                </c:pt>
                <c:pt idx="72">
                  <c:v>9.858644774809415E-2</c:v>
                </c:pt>
                <c:pt idx="73">
                  <c:v>9.8659863936389966E-2</c:v>
                </c:pt>
                <c:pt idx="74">
                  <c:v>9.8733506821855874E-2</c:v>
                </c:pt>
                <c:pt idx="75">
                  <c:v>9.8807411295289208E-2</c:v>
                </c:pt>
                <c:pt idx="76">
                  <c:v>9.8881613254620498E-2</c:v>
                </c:pt>
                <c:pt idx="77">
                  <c:v>9.8956149487466991E-2</c:v>
                </c:pt>
                <c:pt idx="78">
                  <c:v>9.903105755222201E-2</c:v>
                </c:pt>
                <c:pt idx="79">
                  <c:v>9.9106375658557525E-2</c:v>
                </c:pt>
                <c:pt idx="80">
                  <c:v>9.9182142548161933E-2</c:v>
                </c:pt>
                <c:pt idx="81">
                  <c:v>9.92583973764712E-2</c:v>
                </c:pt>
                <c:pt idx="82">
                  <c:v>9.9335179596078571E-2</c:v>
                </c:pt>
                <c:pt idx="83">
                  <c:v>9.9412528842429307E-2</c:v>
                </c:pt>
                <c:pt idx="84">
                  <c:v>9.9490484822321076E-2</c:v>
                </c:pt>
                <c:pt idx="85">
                  <c:v>9.9569087205642517E-2</c:v>
                </c:pt>
                <c:pt idx="86">
                  <c:v>9.9648375520689142E-2</c:v>
                </c:pt>
                <c:pt idx="87">
                  <c:v>9.9728389053302322E-2</c:v>
                </c:pt>
                <c:pt idx="88">
                  <c:v>9.9809166749983677E-2</c:v>
                </c:pt>
                <c:pt idx="89">
                  <c:v>9.9890747125043367E-2</c:v>
                </c:pt>
                <c:pt idx="90">
                  <c:v>9.9973168171751142E-2</c:v>
                </c:pt>
                <c:pt idx="91">
                  <c:v>0.10005646727737318</c:v>
                </c:pt>
                <c:pt idx="92">
                  <c:v>0.10014068114189568</c:v>
                </c:pt>
                <c:pt idx="93">
                  <c:v>0.10022584570016227</c:v>
                </c:pt>
                <c:pt idx="94">
                  <c:v>0.10031199604708482</c:v>
                </c:pt>
                <c:pt idx="95">
                  <c:v>0.10039916636552847</c:v>
                </c:pt>
                <c:pt idx="96">
                  <c:v>0.1004873898564223</c:v>
                </c:pt>
                <c:pt idx="97">
                  <c:v>0.10057669867060794</c:v>
                </c:pt>
                <c:pt idx="98">
                  <c:v>0.10066712384191</c:v>
                </c:pt>
                <c:pt idx="99">
                  <c:v>0.10075869522089458</c:v>
                </c:pt>
                <c:pt idx="100">
                  <c:v>0.10085144140877686</c:v>
                </c:pt>
                <c:pt idx="101">
                  <c:v>0.1009453896909441</c:v>
                </c:pt>
                <c:pt idx="102">
                  <c:v>0.10104056596957915</c:v>
                </c:pt>
                <c:pt idx="103">
                  <c:v>0.10113699469489729</c:v>
                </c:pt>
                <c:pt idx="104">
                  <c:v>0.10123469879455119</c:v>
                </c:pt>
                <c:pt idx="105">
                  <c:v>0.10133369960080944</c:v>
                </c:pt>
                <c:pt idx="106">
                  <c:v>0.10143401677517512</c:v>
                </c:pt>
                <c:pt idx="107">
                  <c:v>0.10153566823018279</c:v>
                </c:pt>
                <c:pt idx="108">
                  <c:v>0.10163867004819097</c:v>
                </c:pt>
                <c:pt idx="109">
                  <c:v>0.10174303639707433</c:v>
                </c:pt>
                <c:pt idx="110">
                  <c:v>0.10184877944281277</c:v>
                </c:pt>
                <c:pt idx="111">
                  <c:v>0.10195590925907397</c:v>
                </c:pt>
                <c:pt idx="112">
                  <c:v>0.10206443373398702</c:v>
                </c:pt>
                <c:pt idx="113">
                  <c:v>0.10217435847441057</c:v>
                </c:pt>
                <c:pt idx="114">
                  <c:v>0.1022856867081036</c:v>
                </c:pt>
                <c:pt idx="115">
                  <c:v>0.10239841918431331</c:v>
                </c:pt>
                <c:pt idx="116">
                  <c:v>0.10251255407339706</c:v>
                </c:pt>
                <c:pt idx="117">
                  <c:v>0.10262808686619564</c:v>
                </c:pt>
                <c:pt idx="118">
                  <c:v>0.10274501027396959</c:v>
                </c:pt>
                <c:pt idx="119">
                  <c:v>1.7188084241429463E-2</c:v>
                </c:pt>
                <c:pt idx="120">
                  <c:v>1.7376473368245087E-2</c:v>
                </c:pt>
                <c:pt idx="121">
                  <c:v>1.7565035020645551E-2</c:v>
                </c:pt>
                <c:pt idx="122">
                  <c:v>1.7753772533565026E-2</c:v>
                </c:pt>
                <c:pt idx="123">
                  <c:v>1.7942688518941697E-2</c:v>
                </c:pt>
                <c:pt idx="124">
                  <c:v>1.8131784827386494E-2</c:v>
                </c:pt>
                <c:pt idx="125">
                  <c:v>1.8321062510774911E-2</c:v>
                </c:pt>
                <c:pt idx="126">
                  <c:v>1.8510521786080286E-2</c:v>
                </c:pt>
                <c:pt idx="127">
                  <c:v>1.8700162000780767E-2</c:v>
                </c:pt>
                <c:pt idx="128">
                  <c:v>1.8889981600183285E-2</c:v>
                </c:pt>
                <c:pt idx="129">
                  <c:v>1.9079978097016038E-2</c:v>
                </c:pt>
                <c:pt idx="130">
                  <c:v>1.9270148043644832E-2</c:v>
                </c:pt>
                <c:pt idx="131">
                  <c:v>1.9460487007269902E-2</c:v>
                </c:pt>
                <c:pt idx="132">
                  <c:v>1.9650989548456187E-2</c:v>
                </c:pt>
                <c:pt idx="133">
                  <c:v>1.9841649203342838E-2</c:v>
                </c:pt>
                <c:pt idx="134">
                  <c:v>2.0032458469866676E-2</c:v>
                </c:pt>
                <c:pt idx="135">
                  <c:v>2.0223408798318569E-2</c:v>
                </c:pt>
                <c:pt idx="136">
                  <c:v>2.0414490586532243E-2</c:v>
                </c:pt>
                <c:pt idx="137">
                  <c:v>2.0605693179981076E-2</c:v>
                </c:pt>
                <c:pt idx="138">
                  <c:v>2.0797004877031403E-2</c:v>
                </c:pt>
                <c:pt idx="139">
                  <c:v>2.0988412939568591E-2</c:v>
                </c:pt>
                <c:pt idx="140">
                  <c:v>2.1179903609177601E-2</c:v>
                </c:pt>
                <c:pt idx="141">
                  <c:v>2.1371462129021374E-2</c:v>
                </c:pt>
                <c:pt idx="142">
                  <c:v>2.1563072771518515E-2</c:v>
                </c:pt>
                <c:pt idx="143">
                  <c:v>2.1754718871878045E-2</c:v>
                </c:pt>
                <c:pt idx="144">
                  <c:v>2.194638286750239E-2</c:v>
                </c:pt>
                <c:pt idx="145">
                  <c:v>2.2138046343221085E-2</c:v>
                </c:pt>
                <c:pt idx="146">
                  <c:v>2.2329690082268705E-2</c:v>
                </c:pt>
                <c:pt idx="147">
                  <c:v>2.2521294122868799E-2</c:v>
                </c:pt>
                <c:pt idx="148">
                  <c:v>2.271283782023539E-2</c:v>
                </c:pt>
                <c:pt idx="149">
                  <c:v>2.2904299913751709E-2</c:v>
                </c:pt>
                <c:pt idx="150">
                  <c:v>2.3095658599036069E-2</c:v>
                </c:pt>
                <c:pt idx="151">
                  <c:v>2.3286891604554865E-2</c:v>
                </c:pt>
                <c:pt idx="152">
                  <c:v>2.3477976272395538E-2</c:v>
                </c:pt>
                <c:pt idx="153">
                  <c:v>2.3668889642766731E-2</c:v>
                </c:pt>
                <c:pt idx="154">
                  <c:v>2.3859608541750336E-2</c:v>
                </c:pt>
                <c:pt idx="155">
                  <c:v>2.4050109671790765E-2</c:v>
                </c:pt>
                <c:pt idx="156">
                  <c:v>2.4240369704371222E-2</c:v>
                </c:pt>
                <c:pt idx="157">
                  <c:v>2.4430365374295233E-2</c:v>
                </c:pt>
                <c:pt idx="158">
                  <c:v>2.4620073574965144E-2</c:v>
                </c:pt>
                <c:pt idx="159">
                  <c:v>2.4809471454027041E-2</c:v>
                </c:pt>
                <c:pt idx="160">
                  <c:v>2.499853650873566E-2</c:v>
                </c:pt>
                <c:pt idx="161">
                  <c:v>2.5187246680381303E-2</c:v>
                </c:pt>
                <c:pt idx="162">
                  <c:v>2.5375580447115863E-2</c:v>
                </c:pt>
                <c:pt idx="163">
                  <c:v>2.5563516914516259E-2</c:v>
                </c:pt>
                <c:pt idx="164">
                  <c:v>2.5751035903229719E-2</c:v>
                </c:pt>
                <c:pt idx="165">
                  <c:v>2.5938118033059072E-2</c:v>
                </c:pt>
                <c:pt idx="166">
                  <c:v>2.612474480286477E-2</c:v>
                </c:pt>
                <c:pt idx="167">
                  <c:v>2.6310898665685721E-2</c:v>
                </c:pt>
                <c:pt idx="168">
                  <c:v>2.6496563098511668E-2</c:v>
                </c:pt>
                <c:pt idx="169">
                  <c:v>2.6681722666176501E-2</c:v>
                </c:pt>
                <c:pt idx="170">
                  <c:v>2.6866363078883623E-2</c:v>
                </c:pt>
                <c:pt idx="171">
                  <c:v>2.7050471242921429E-2</c:v>
                </c:pt>
                <c:pt idx="172">
                  <c:v>2.723403530417802E-2</c:v>
                </c:pt>
                <c:pt idx="173">
                  <c:v>2.7417044684120265E-2</c:v>
                </c:pt>
                <c:pt idx="174">
                  <c:v>2.7599490107961127E-2</c:v>
                </c:pt>
                <c:pt idx="175">
                  <c:v>2.7781363624801561E-2</c:v>
                </c:pt>
                <c:pt idx="176">
                  <c:v>2.7962658619598017E-2</c:v>
                </c:pt>
                <c:pt idx="177">
                  <c:v>2.8143369816873154E-2</c:v>
                </c:pt>
                <c:pt idx="178">
                  <c:v>2.8323493276155326E-2</c:v>
                </c:pt>
                <c:pt idx="179">
                  <c:v>2.8503026379200741E-2</c:v>
                </c:pt>
                <c:pt idx="180">
                  <c:v>2.8681967809120395E-2</c:v>
                </c:pt>
                <c:pt idx="181">
                  <c:v>2.8860317521601585E-2</c:v>
                </c:pt>
                <c:pt idx="182">
                  <c:v>2.9038076708479819E-2</c:v>
                </c:pt>
                <c:pt idx="183">
                  <c:v>2.9215247753980347E-2</c:v>
                </c:pt>
                <c:pt idx="184">
                  <c:v>2.9391834184010347E-2</c:v>
                </c:pt>
                <c:pt idx="185">
                  <c:v>2.9567840608939626E-2</c:v>
                </c:pt>
                <c:pt idx="186">
                  <c:v>2.9743272660361551E-2</c:v>
                </c:pt>
                <c:pt idx="187">
                  <c:v>2.9918136922375101E-2</c:v>
                </c:pt>
                <c:pt idx="188">
                  <c:v>3.0092440857971973E-2</c:v>
                </c:pt>
                <c:pt idx="189">
                  <c:v>3.0266192731151571E-2</c:v>
                </c:pt>
                <c:pt idx="190">
                  <c:v>3.04394015254183E-2</c:v>
                </c:pt>
                <c:pt idx="191">
                  <c:v>3.0612076859341617E-2</c:v>
                </c:pt>
                <c:pt idx="192">
                  <c:v>3.0784228899878266E-2</c:v>
                </c:pt>
                <c:pt idx="193">
                  <c:v>3.0955868274168297E-2</c:v>
                </c:pt>
                <c:pt idx="194">
                  <c:v>3.1127005980521757E-2</c:v>
                </c:pt>
                <c:pt idx="195">
                  <c:v>3.1297653299310772E-2</c:v>
                </c:pt>
                <c:pt idx="196">
                  <c:v>3.1467821704473133E-2</c:v>
                </c:pt>
                <c:pt idx="197">
                  <c:v>3.1637522776317192E-2</c:v>
                </c:pt>
                <c:pt idx="198">
                  <c:v>3.1806768116294924E-2</c:v>
                </c:pt>
                <c:pt idx="199">
                  <c:v>3.197556926438113E-2</c:v>
                </c:pt>
                <c:pt idx="200">
                  <c:v>3.2143937619660175E-2</c:v>
                </c:pt>
                <c:pt idx="201">
                  <c:v>3.2311884364680687E-2</c:v>
                </c:pt>
                <c:pt idx="202">
                  <c:v>3.2479420394091345E-2</c:v>
                </c:pt>
                <c:pt idx="203">
                  <c:v>3.2646556248018245E-2</c:v>
                </c:pt>
                <c:pt idx="204">
                  <c:v>3.2813302050588807E-2</c:v>
                </c:pt>
                <c:pt idx="205">
                  <c:v>3.2979667453945913E-2</c:v>
                </c:pt>
                <c:pt idx="206">
                  <c:v>3.3145661588033344E-2</c:v>
                </c:pt>
                <c:pt idx="207">
                  <c:v>3.3311293016367122E-2</c:v>
                </c:pt>
                <c:pt idx="208">
                  <c:v>3.3476569697940654E-2</c:v>
                </c:pt>
                <c:pt idx="209">
                  <c:v>3.3641498955341964E-2</c:v>
                </c:pt>
                <c:pt idx="210">
                  <c:v>3.3806087449094226E-2</c:v>
                </c:pt>
                <c:pt idx="211">
                  <c:v>3.3970341158161124E-2</c:v>
                </c:pt>
                <c:pt idx="212">
                  <c:v>3.4134265366493541E-2</c:v>
                </c:pt>
                <c:pt idx="213">
                  <c:v>3.4297864655428251E-2</c:v>
                </c:pt>
                <c:pt idx="214">
                  <c:v>3.4461142901688696E-2</c:v>
                </c:pt>
                <c:pt idx="215">
                  <c:v>3.4624103280679025E-2</c:v>
                </c:pt>
                <c:pt idx="216">
                  <c:v>3.4786748274709588E-2</c:v>
                </c:pt>
                <c:pt idx="217">
                  <c:v>3.4949079685742616E-2</c:v>
                </c:pt>
                <c:pt idx="218">
                  <c:v>3.511109865220341E-2</c:v>
                </c:pt>
                <c:pt idx="219">
                  <c:v>3.5272805669365498E-2</c:v>
                </c:pt>
                <c:pt idx="220">
                  <c:v>3.543420061278596E-2</c:v>
                </c:pt>
                <c:pt idx="221">
                  <c:v>3.5595282764244521E-2</c:v>
                </c:pt>
                <c:pt idx="222">
                  <c:v>3.5756050839621224E-2</c:v>
                </c:pt>
                <c:pt idx="223">
                  <c:v>3.591650301813893E-2</c:v>
                </c:pt>
                <c:pt idx="224">
                  <c:v>3.6076636972394001E-2</c:v>
                </c:pt>
                <c:pt idx="225">
                  <c:v>3.6236449898603786E-2</c:v>
                </c:pt>
                <c:pt idx="226">
                  <c:v>3.6395938546512498E-2</c:v>
                </c:pt>
                <c:pt idx="227">
                  <c:v>3.6555099248416718E-2</c:v>
                </c:pt>
                <c:pt idx="228">
                  <c:v>3.6713927946799674E-2</c:v>
                </c:pt>
                <c:pt idx="229">
                  <c:v>3.6872420220096895E-2</c:v>
                </c:pt>
                <c:pt idx="230">
                  <c:v>3.7030571306157119E-2</c:v>
                </c:pt>
                <c:pt idx="231">
                  <c:v>3.7188376123008522E-2</c:v>
                </c:pt>
                <c:pt idx="232">
                  <c:v>3.734582928659326E-2</c:v>
                </c:pt>
                <c:pt idx="233">
                  <c:v>3.7502925125189594E-2</c:v>
                </c:pt>
                <c:pt idx="234">
                  <c:v>3.76596576903033E-2</c:v>
                </c:pt>
                <c:pt idx="235">
                  <c:v>3.7816020763874303E-2</c:v>
                </c:pt>
                <c:pt idx="236">
                  <c:v>3.7972007861712516E-2</c:v>
                </c:pt>
                <c:pt idx="237">
                  <c:v>3.8127612233147111E-2</c:v>
                </c:pt>
                <c:pt idx="238">
                  <c:v>3.8282826856943078E-2</c:v>
                </c:pt>
                <c:pt idx="239">
                  <c:v>3.8437644433611695E-2</c:v>
                </c:pt>
                <c:pt idx="240">
                  <c:v>3.8592057374310734E-2</c:v>
                </c:pt>
                <c:pt idx="241">
                  <c:v>3.8746057786599966E-2</c:v>
                </c:pt>
                <c:pt idx="242">
                  <c:v>3.8899637457384041E-2</c:v>
                </c:pt>
                <c:pt idx="243">
                  <c:v>3.9052787833438303E-2</c:v>
                </c:pt>
                <c:pt idx="244">
                  <c:v>3.9205499999972325E-2</c:v>
                </c:pt>
                <c:pt idx="245">
                  <c:v>3.9357764657740685E-2</c:v>
                </c:pt>
                <c:pt idx="246">
                  <c:v>3.9509572099259413E-2</c:v>
                </c:pt>
                <c:pt idx="247">
                  <c:v>3.9660912184728933E-2</c:v>
                </c:pt>
                <c:pt idx="248">
                  <c:v>3.9811774318300172E-2</c:v>
                </c:pt>
                <c:pt idx="249">
                  <c:v>3.9962147425348551E-2</c:v>
                </c:pt>
                <c:pt idx="250">
                  <c:v>4.011201993144102E-2</c:v>
                </c:pt>
                <c:pt idx="251">
                  <c:v>4.026137974369226E-2</c:v>
                </c:pt>
                <c:pt idx="252">
                  <c:v>4.04102142352104E-2</c:v>
                </c:pt>
                <c:pt idx="253">
                  <c:v>4.055851023332542E-2</c:v>
                </c:pt>
                <c:pt idx="254">
                  <c:v>4.0706254012279557E-2</c:v>
                </c:pt>
                <c:pt idx="255">
                  <c:v>4.0853431291034061E-2</c:v>
                </c:pt>
                <c:pt idx="256">
                  <c:v>4.100002723681434E-2</c:v>
                </c:pt>
                <c:pt idx="257">
                  <c:v>4.1146026474973403E-2</c:v>
                </c:pt>
                <c:pt idx="258">
                  <c:v>4.129141310570289E-2</c:v>
                </c:pt>
                <c:pt idx="259">
                  <c:v>4.1436170728063201E-2</c:v>
                </c:pt>
                <c:pt idx="260">
                  <c:v>4.1580282471737132E-2</c:v>
                </c:pt>
                <c:pt idx="261">
                  <c:v>4.1723731036839344E-2</c:v>
                </c:pt>
                <c:pt idx="262">
                  <c:v>4.1866498742033235E-2</c:v>
                </c:pt>
                <c:pt idx="263">
                  <c:v>4.2008567581122529E-2</c:v>
                </c:pt>
                <c:pt idx="264">
                  <c:v>4.2149919288194018E-2</c:v>
                </c:pt>
                <c:pt idx="265">
                  <c:v>4.2290535411294627E-2</c:v>
                </c:pt>
                <c:pt idx="266">
                  <c:v>4.2430397394527981E-2</c:v>
                </c:pt>
                <c:pt idx="267">
                  <c:v>4.2569486668357921E-2</c:v>
                </c:pt>
                <c:pt idx="268">
                  <c:v>4.270778474780506E-2</c:v>
                </c:pt>
                <c:pt idx="269">
                  <c:v>4.2845273338123976E-2</c:v>
                </c:pt>
                <c:pt idx="270">
                  <c:v>4.2981934447448737E-2</c:v>
                </c:pt>
                <c:pt idx="271">
                  <c:v>4.3117750505799371E-2</c:v>
                </c:pt>
                <c:pt idx="272">
                  <c:v>4.3252704489747669E-2</c:v>
                </c:pt>
                <c:pt idx="273">
                  <c:v>4.3386780051953081E-2</c:v>
                </c:pt>
                <c:pt idx="274">
                  <c:v>4.3519961654695981E-2</c:v>
                </c:pt>
                <c:pt idx="275">
                  <c:v>4.3652234706459042E-2</c:v>
                </c:pt>
                <c:pt idx="276">
                  <c:v>4.3783585700537961E-2</c:v>
                </c:pt>
                <c:pt idx="277">
                  <c:v>4.3914002354602778E-2</c:v>
                </c:pt>
                <c:pt idx="278">
                  <c:v>4.4043473750077798E-2</c:v>
                </c:pt>
                <c:pt idx="279">
                  <c:v>4.4171990470167705E-2</c:v>
                </c:pt>
                <c:pt idx="280">
                  <c:v>4.4299544735324423E-2</c:v>
                </c:pt>
                <c:pt idx="281">
                  <c:v>4.4426130534930344E-2</c:v>
                </c:pt>
                <c:pt idx="282">
                  <c:v>4.4551743753962932E-2</c:v>
                </c:pt>
                <c:pt idx="283">
                  <c:v>4.467638229340979E-2</c:v>
                </c:pt>
                <c:pt idx="284">
                  <c:v>4.480004618321691E-2</c:v>
                </c:pt>
                <c:pt idx="285">
                  <c:v>4.4922737686580297E-2</c:v>
                </c:pt>
                <c:pt idx="286">
                  <c:v>4.5044461394429476E-2</c:v>
                </c:pt>
                <c:pt idx="287">
                  <c:v>4.5165224309002397E-2</c:v>
                </c:pt>
                <c:pt idx="288">
                  <c:v>4.5285035915473074E-2</c:v>
                </c:pt>
                <c:pt idx="289">
                  <c:v>4.5403908240667354E-2</c:v>
                </c:pt>
                <c:pt idx="290">
                  <c:v>4.5521855897985533E-2</c:v>
                </c:pt>
                <c:pt idx="291">
                  <c:v>4.563889611774552E-2</c:v>
                </c:pt>
                <c:pt idx="292">
                  <c:v>4.5755048762263086E-2</c:v>
                </c:pt>
                <c:pt idx="293">
                  <c:v>4.5870336325098057E-2</c:v>
                </c:pt>
                <c:pt idx="294">
                  <c:v>4.5984783914014504E-2</c:v>
                </c:pt>
                <c:pt idx="295">
                  <c:v>4.6098419217329031E-2</c:v>
                </c:pt>
                <c:pt idx="296">
                  <c:v>4.6211272453452724E-2</c:v>
                </c:pt>
                <c:pt idx="297">
                  <c:v>4.632337630356749E-2</c:v>
                </c:pt>
                <c:pt idx="298">
                  <c:v>4.6434765827516336E-2</c:v>
                </c:pt>
                <c:pt idx="299">
                  <c:v>4.6545478363127481E-2</c:v>
                </c:pt>
                <c:pt idx="300">
                  <c:v>4.6655553409332313E-2</c:v>
                </c:pt>
                <c:pt idx="301">
                  <c:v>4.6765032493577607E-2</c:v>
                </c:pt>
                <c:pt idx="302">
                  <c:v>4.6873959024169493E-2</c:v>
                </c:pt>
                <c:pt idx="303">
                  <c:v>4.6982378128320776E-2</c:v>
                </c:pt>
                <c:pt idx="304">
                  <c:v>4.7090336476802178E-2</c:v>
                </c:pt>
                <c:pt idx="305">
                  <c:v>4.7197882096221416E-2</c:v>
                </c:pt>
                <c:pt idx="306">
                  <c:v>4.7305064170069001E-2</c:v>
                </c:pt>
                <c:pt idx="307">
                  <c:v>4.7411932829777695E-2</c:v>
                </c:pt>
                <c:pt idx="308">
                  <c:v>4.7518538937138997E-2</c:v>
                </c:pt>
                <c:pt idx="309">
                  <c:v>4.7624933859508493E-2</c:v>
                </c:pt>
                <c:pt idx="310">
                  <c:v>4.7731169239305461E-2</c:v>
                </c:pt>
                <c:pt idx="311">
                  <c:v>4.7837296759377382E-2</c:v>
                </c:pt>
                <c:pt idx="312">
                  <c:v>4.7943367905848452E-2</c:v>
                </c:pt>
                <c:pt idx="313">
                  <c:v>4.8049433730108629E-2</c:v>
                </c:pt>
                <c:pt idx="314">
                  <c:v>4.8155544611622511E-2</c:v>
                </c:pt>
                <c:pt idx="315">
                  <c:v>4.8261750023244676E-2</c:v>
                </c:pt>
                <c:pt idx="316">
                  <c:v>4.8368098300722501E-2</c:v>
                </c:pt>
                <c:pt idx="317">
                  <c:v>4.84746364180468E-2</c:v>
                </c:pt>
                <c:pt idx="318">
                  <c:v>4.858140977027401E-2</c:v>
                </c:pt>
                <c:pt idx="319">
                  <c:v>4.8688461965395682E-2</c:v>
                </c:pt>
                <c:pt idx="320">
                  <c:v>4.8795834626766045E-2</c:v>
                </c:pt>
                <c:pt idx="321">
                  <c:v>4.890356720752248E-2</c:v>
                </c:pt>
                <c:pt idx="322">
                  <c:v>4.9011696818343671E-2</c:v>
                </c:pt>
                <c:pt idx="323">
                  <c:v>4.9120258069788404E-2</c:v>
                </c:pt>
                <c:pt idx="324">
                  <c:v>4.9229282930345883E-2</c:v>
                </c:pt>
                <c:pt idx="325">
                  <c:v>4.9338800601204824E-2</c:v>
                </c:pt>
                <c:pt idx="326">
                  <c:v>4.9448837408616934E-2</c:v>
                </c:pt>
                <c:pt idx="327">
                  <c:v>4.9559416714590868E-2</c:v>
                </c:pt>
                <c:pt idx="328">
                  <c:v>4.9670558846505987E-2</c:v>
                </c:pt>
                <c:pt idx="329">
                  <c:v>4.9782281046083461E-2</c:v>
                </c:pt>
                <c:pt idx="330">
                  <c:v>4.9894597437997311E-2</c:v>
                </c:pt>
                <c:pt idx="331">
                  <c:v>5.0007519018248806E-2</c:v>
                </c:pt>
                <c:pt idx="332">
                  <c:v>5.0121053662269453E-2</c:v>
                </c:pt>
                <c:pt idx="333">
                  <c:v>5.0235206152558401E-2</c:v>
                </c:pt>
                <c:pt idx="334">
                  <c:v>5.0349978225503217E-2</c:v>
                </c:pt>
                <c:pt idx="335">
                  <c:v>5.0465368636879386E-2</c:v>
                </c:pt>
                <c:pt idx="336">
                  <c:v>5.0581373245375129E-2</c:v>
                </c:pt>
                <c:pt idx="337">
                  <c:v>5.0697985113344335E-2</c:v>
                </c:pt>
                <c:pt idx="338">
                  <c:v>5.0815194623856072E-2</c:v>
                </c:pt>
                <c:pt idx="339">
                  <c:v>5.0932989612980775E-2</c:v>
                </c:pt>
                <c:pt idx="340">
                  <c:v>5.105135551613698E-2</c:v>
                </c:pt>
                <c:pt idx="341">
                  <c:v>5.1170275527215439E-2</c:v>
                </c:pt>
                <c:pt idx="342">
                  <c:v>5.1289730769102773E-2</c:v>
                </c:pt>
                <c:pt idx="343">
                  <c:v>5.1409700474145011E-2</c:v>
                </c:pt>
                <c:pt idx="344">
                  <c:v>5.1530162173022191E-2</c:v>
                </c:pt>
                <c:pt idx="345">
                  <c:v>5.16510918904503E-2</c:v>
                </c:pt>
                <c:pt idx="346">
                  <c:v>5.1772464346086816E-2</c:v>
                </c:pt>
                <c:pt idx="347">
                  <c:v>5.1894253158989594E-2</c:v>
                </c:pt>
                <c:pt idx="348">
                  <c:v>5.2016431053968311E-2</c:v>
                </c:pt>
                <c:pt idx="349">
                  <c:v>5.2138970068171454E-2</c:v>
                </c:pt>
                <c:pt idx="350">
                  <c:v>5.2261841756270681E-2</c:v>
                </c:pt>
                <c:pt idx="351">
                  <c:v>5.2385017392637449E-2</c:v>
                </c:pt>
                <c:pt idx="352">
                  <c:v>5.2508468168954457E-2</c:v>
                </c:pt>
                <c:pt idx="353">
                  <c:v>5.2632165385765164E-2</c:v>
                </c:pt>
                <c:pt idx="354">
                  <c:v>5.2756080636539263E-2</c:v>
                </c:pt>
                <c:pt idx="355">
                  <c:v>5.288018598291748E-2</c:v>
                </c:pt>
                <c:pt idx="356">
                  <c:v>5.3004454119896897E-2</c:v>
                </c:pt>
                <c:pt idx="357">
                  <c:v>5.3128858529826191E-2</c:v>
                </c:pt>
                <c:pt idx="358">
                  <c:v>5.3253373624196534E-2</c:v>
                </c:pt>
                <c:pt idx="359">
                  <c:v>5.3377974872339549E-2</c:v>
                </c:pt>
                <c:pt idx="360">
                  <c:v>5.3502638916275089E-2</c:v>
                </c:pt>
                <c:pt idx="361">
                  <c:v>5.3627343671089643E-2</c:v>
                </c:pt>
                <c:pt idx="362">
                  <c:v>5.375206841036663E-2</c:v>
                </c:pt>
                <c:pt idx="363">
                  <c:v>5.38767938363355E-2</c:v>
                </c:pt>
                <c:pt idx="364">
                  <c:v>5.400150213455035E-2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4.0200197829168262E-2</c:v>
                </c:pt>
                <c:pt idx="1">
                  <c:v>4.0301088047190785E-2</c:v>
                </c:pt>
                <c:pt idx="2">
                  <c:v>4.044165795793634E-2</c:v>
                </c:pt>
                <c:pt idx="3">
                  <c:v>4.06215566627336E-2</c:v>
                </c:pt>
                <c:pt idx="4">
                  <c:v>4.0840385226607059E-2</c:v>
                </c:pt>
                <c:pt idx="5">
                  <c:v>4.1097710135712319E-2</c:v>
                </c:pt>
                <c:pt idx="6">
                  <c:v>4.1393075836638857E-2</c:v>
                </c:pt>
                <c:pt idx="7">
                  <c:v>4.1726016354027097E-2</c:v>
                </c:pt>
                <c:pt idx="8">
                  <c:v>4.2093619648295284E-2</c:v>
                </c:pt>
                <c:pt idx="9">
                  <c:v>4.2458686078971061E-2</c:v>
                </c:pt>
                <c:pt idx="10">
                  <c:v>4.2772516084730282E-2</c:v>
                </c:pt>
                <c:pt idx="11">
                  <c:v>4.30362372667513E-2</c:v>
                </c:pt>
                <c:pt idx="12">
                  <c:v>4.3251005790219711E-2</c:v>
                </c:pt>
                <c:pt idx="13">
                  <c:v>4.341800487001081E-2</c:v>
                </c:pt>
                <c:pt idx="14">
                  <c:v>4.3538443000898541E-2</c:v>
                </c:pt>
                <c:pt idx="15">
                  <c:v>4.3615230493707871E-2</c:v>
                </c:pt>
                <c:pt idx="16">
                  <c:v>4.3646133151752677E-2</c:v>
                </c:pt>
                <c:pt idx="17">
                  <c:v>4.3632492510453987E-2</c:v>
                </c:pt>
                <c:pt idx="18">
                  <c:v>4.3575666518405699E-2</c:v>
                </c:pt>
                <c:pt idx="19">
                  <c:v>4.3477269451298123E-2</c:v>
                </c:pt>
                <c:pt idx="20">
                  <c:v>4.3339032883318203E-2</c:v>
                </c:pt>
                <c:pt idx="21">
                  <c:v>4.3162503544835792E-2</c:v>
                </c:pt>
                <c:pt idx="22">
                  <c:v>4.2946485804943549E-2</c:v>
                </c:pt>
                <c:pt idx="23">
                  <c:v>4.2688574384532336E-2</c:v>
                </c:pt>
                <c:pt idx="24">
                  <c:v>4.2419739574030814E-2</c:v>
                </c:pt>
                <c:pt idx="25">
                  <c:v>4.2142271274128458E-2</c:v>
                </c:pt>
                <c:pt idx="26">
                  <c:v>4.1858309288539571E-2</c:v>
                </c:pt>
                <c:pt idx="27">
                  <c:v>4.1569844294653296E-2</c:v>
                </c:pt>
                <c:pt idx="28">
                  <c:v>4.1278720771746602E-2</c:v>
                </c:pt>
                <c:pt idx="29">
                  <c:v>4.0937607831939435E-2</c:v>
                </c:pt>
                <c:pt idx="30">
                  <c:v>4.0548899394029593E-2</c:v>
                </c:pt>
                <c:pt idx="31">
                  <c:v>4.0116187046095375E-2</c:v>
                </c:pt>
                <c:pt idx="32">
                  <c:v>3.9642838272973761E-2</c:v>
                </c:pt>
                <c:pt idx="33">
                  <c:v>3.9131995147445836E-2</c:v>
                </c:pt>
                <c:pt idx="34">
                  <c:v>3.8586575520561939E-2</c:v>
                </c:pt>
                <c:pt idx="35">
                  <c:v>3.8009276214096464E-2</c:v>
                </c:pt>
                <c:pt idx="36">
                  <c:v>3.7397049411499093E-2</c:v>
                </c:pt>
                <c:pt idx="37">
                  <c:v>3.6714395506281271E-2</c:v>
                </c:pt>
                <c:pt idx="38">
                  <c:v>3.5968040217943802E-2</c:v>
                </c:pt>
                <c:pt idx="39">
                  <c:v>3.516226356128755E-2</c:v>
                </c:pt>
                <c:pt idx="40">
                  <c:v>3.430106407881215E-2</c:v>
                </c:pt>
                <c:pt idx="41">
                  <c:v>3.3388153651744121E-2</c:v>
                </c:pt>
                <c:pt idx="42">
                  <c:v>3.2426955716554531E-2</c:v>
                </c:pt>
                <c:pt idx="43">
                  <c:v>3.1411837973612834E-2</c:v>
                </c:pt>
                <c:pt idx="44">
                  <c:v>3.0385603315742072E-2</c:v>
                </c:pt>
                <c:pt idx="45">
                  <c:v>2.9349584849261177E-2</c:v>
                </c:pt>
                <c:pt idx="46">
                  <c:v>2.8304917849397856E-2</c:v>
                </c:pt>
                <c:pt idx="47">
                  <c:v>2.7252550068337832E-2</c:v>
                </c:pt>
                <c:pt idx="48">
                  <c:v>2.6193251644788373E-2</c:v>
                </c:pt>
                <c:pt idx="49">
                  <c:v>2.5127624485592113E-2</c:v>
                </c:pt>
                <c:pt idx="50">
                  <c:v>2.4054401327633604E-2</c:v>
                </c:pt>
                <c:pt idx="51">
                  <c:v>2.2955260998731717E-2</c:v>
                </c:pt>
                <c:pt idx="52">
                  <c:v>2.1857984114114971E-2</c:v>
                </c:pt>
                <c:pt idx="53">
                  <c:v>2.0762230956244413E-2</c:v>
                </c:pt>
                <c:pt idx="54">
                  <c:v>1.9667792740953885E-2</c:v>
                </c:pt>
                <c:pt idx="55">
                  <c:v>1.8574471433539103E-2</c:v>
                </c:pt>
                <c:pt idx="56">
                  <c:v>1.7482078787836496E-2</c:v>
                </c:pt>
                <c:pt idx="57">
                  <c:v>1.6398679699792962E-2</c:v>
                </c:pt>
                <c:pt idx="58">
                  <c:v>1.5331211040232299E-2</c:v>
                </c:pt>
                <c:pt idx="59">
                  <c:v>1.4279040673790145E-2</c:v>
                </c:pt>
                <c:pt idx="60">
                  <c:v>1.3241565768132147E-2</c:v>
                </c:pt>
                <c:pt idx="61">
                  <c:v>1.2218210588315299E-2</c:v>
                </c:pt>
                <c:pt idx="62">
                  <c:v>1.120842441153167E-2</c:v>
                </c:pt>
                <c:pt idx="63">
                  <c:v>1.0211679554801989E-2</c:v>
                </c:pt>
                <c:pt idx="64">
                  <c:v>9.227190245860991E-3</c:v>
                </c:pt>
                <c:pt idx="65">
                  <c:v>8.284107343155378E-3</c:v>
                </c:pt>
                <c:pt idx="66">
                  <c:v>7.3958268872072724E-3</c:v>
                </c:pt>
                <c:pt idx="67">
                  <c:v>6.5608833479141749E-3</c:v>
                </c:pt>
                <c:pt idx="68">
                  <c:v>5.7778224869701206E-3</c:v>
                </c:pt>
                <c:pt idx="69">
                  <c:v>5.0452076116423439E-3</c:v>
                </c:pt>
                <c:pt idx="70">
                  <c:v>4.3616251682928866E-3</c:v>
                </c:pt>
                <c:pt idx="71">
                  <c:v>3.7447375167397943E-3</c:v>
                </c:pt>
                <c:pt idx="72">
                  <c:v>3.1855698687237336E-3</c:v>
                </c:pt>
                <c:pt idx="73">
                  <c:v>2.6825300265283119E-3</c:v>
                </c:pt>
                <c:pt idx="74">
                  <c:v>2.2340847868539374E-3</c:v>
                </c:pt>
                <c:pt idx="75">
                  <c:v>1.8387635793211726E-3</c:v>
                </c:pt>
                <c:pt idx="76">
                  <c:v>1.4951616913337006E-3</c:v>
                </c:pt>
                <c:pt idx="77">
                  <c:v>1.2019431340190535E-3</c:v>
                </c:pt>
                <c:pt idx="78">
                  <c:v>9.5778173867001437E-4</c:v>
                </c:pt>
                <c:pt idx="79">
                  <c:v>7.6695904072384368E-4</c:v>
                </c:pt>
                <c:pt idx="80">
                  <c:v>6.0209489144085664E-4</c:v>
                </c:pt>
                <c:pt idx="81">
                  <c:v>4.6260819777777147E-4</c:v>
                </c:pt>
                <c:pt idx="82">
                  <c:v>3.4793989243621734E-4</c:v>
                </c:pt>
                <c:pt idx="83">
                  <c:v>2.5755594567255813E-4</c:v>
                </c:pt>
                <c:pt idx="84">
                  <c:v>1.9095012333764653E-4</c:v>
                </c:pt>
                <c:pt idx="85">
                  <c:v>1.4764747444795102E-4</c:v>
                </c:pt>
                <c:pt idx="86">
                  <c:v>1.1011627691633886E-4</c:v>
                </c:pt>
                <c:pt idx="87">
                  <c:v>7.8237414776740789E-5</c:v>
                </c:pt>
                <c:pt idx="88">
                  <c:v>5.1899385640887441E-5</c:v>
                </c:pt>
                <c:pt idx="89">
                  <c:v>3.0998811689665504E-5</c:v>
                </c:pt>
                <c:pt idx="90">
                  <c:v>1.5440920520146136E-5</c:v>
                </c:pt>
                <c:pt idx="91">
                  <c:v>5.1400025504994573E-6</c:v>
                </c:pt>
                <c:pt idx="92">
                  <c:v>1.9851377161858151E-8</c:v>
                </c:pt>
                <c:pt idx="93">
                  <c:v>1.4198223413606167E-8</c:v>
                </c:pt>
                <c:pt idx="94">
                  <c:v>9.5098982831388921E-9</c:v>
                </c:pt>
                <c:pt idx="95">
                  <c:v>5.7727008767736911E-9</c:v>
                </c:pt>
                <c:pt idx="96">
                  <c:v>2.9747757109345777E-9</c:v>
                </c:pt>
                <c:pt idx="97">
                  <c:v>1.105942212418382E-9</c:v>
                </c:pt>
                <c:pt idx="98">
                  <c:v>1.5753552093983851E-10</c:v>
                </c:pt>
                <c:pt idx="99">
                  <c:v>1.2225692135232729E-10</c:v>
                </c:pt>
                <c:pt idx="100">
                  <c:v>9.1508393535921219E-11</c:v>
                </c:pt>
                <c:pt idx="101">
                  <c:v>6.5243938128997095E-11</c:v>
                </c:pt>
                <c:pt idx="102">
                  <c:v>4.3424176589010632E-11</c:v>
                </c:pt>
                <c:pt idx="103">
                  <c:v>2.6015690546264785E-11</c:v>
                </c:pt>
                <c:pt idx="104">
                  <c:v>1.2990389928068296E-11</c:v>
                </c:pt>
                <c:pt idx="105">
                  <c:v>4.3249052344581912E-12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1.7269788383634758E-11</c:v>
                </c:pt>
                <c:pt idx="212">
                  <c:v>5.2832355944649219E-11</c:v>
                </c:pt>
                <c:pt idx="213">
                  <c:v>1.0766457431866241E-10</c:v>
                </c:pt>
                <c:pt idx="214">
                  <c:v>1.8270032378783428E-10</c:v>
                </c:pt>
                <c:pt idx="215">
                  <c:v>2.7883374225865582E-10</c:v>
                </c:pt>
                <c:pt idx="216">
                  <c:v>3.9692257768099644E-10</c:v>
                </c:pt>
                <c:pt idx="217">
                  <c:v>5.3779162885522792E-10</c:v>
                </c:pt>
                <c:pt idx="218">
                  <c:v>7.0222678285843861E-10</c:v>
                </c:pt>
                <c:pt idx="219">
                  <c:v>1.5608777754881623E-9</c:v>
                </c:pt>
                <c:pt idx="220">
                  <c:v>3.1435988000320568E-9</c:v>
                </c:pt>
                <c:pt idx="221">
                  <c:v>5.4790168002675741E-9</c:v>
                </c:pt>
                <c:pt idx="222">
                  <c:v>8.5946026852281665E-9</c:v>
                </c:pt>
                <c:pt idx="223">
                  <c:v>1.2516740946719825E-8</c:v>
                </c:pt>
                <c:pt idx="224">
                  <c:v>1.7270797527348503E-8</c:v>
                </c:pt>
                <c:pt idx="225">
                  <c:v>2.3081411258831364E-8</c:v>
                </c:pt>
                <c:pt idx="226">
                  <c:v>2.9957549689320397E-8</c:v>
                </c:pt>
                <c:pt idx="227">
                  <c:v>3.7928031179859565E-8</c:v>
                </c:pt>
                <c:pt idx="228">
                  <c:v>4.7020687264699243E-8</c:v>
                </c:pt>
                <c:pt idx="229">
                  <c:v>5.7262435361730863E-8</c:v>
                </c:pt>
                <c:pt idx="230">
                  <c:v>6.8679348882430342E-8</c:v>
                </c:pt>
                <c:pt idx="231">
                  <c:v>8.1296724729093821E-8</c:v>
                </c:pt>
                <c:pt idx="232">
                  <c:v>9.5135090228150991E-8</c:v>
                </c:pt>
                <c:pt idx="233">
                  <c:v>1.106477579341119E-7</c:v>
                </c:pt>
                <c:pt idx="234">
                  <c:v>1.2707158749123419E-7</c:v>
                </c:pt>
                <c:pt idx="235">
                  <c:v>1.444190300282032E-7</c:v>
                </c:pt>
                <c:pt idx="236">
                  <c:v>1.6270362167987767E-7</c:v>
                </c:pt>
                <c:pt idx="237">
                  <c:v>1.8194007687603598E-7</c:v>
                </c:pt>
                <c:pt idx="238">
                  <c:v>2.0214460373521719E-7</c:v>
                </c:pt>
                <c:pt idx="239">
                  <c:v>2.3287960005965225E-7</c:v>
                </c:pt>
                <c:pt idx="240">
                  <c:v>2.7416838173916677E-7</c:v>
                </c:pt>
                <c:pt idx="241">
                  <c:v>3.2626204781519692E-7</c:v>
                </c:pt>
                <c:pt idx="242">
                  <c:v>3.8941655754005821E-7</c:v>
                </c:pt>
                <c:pt idx="243">
                  <c:v>4.638959522085735E-7</c:v>
                </c:pt>
                <c:pt idx="244">
                  <c:v>5.4997574411200436E-7</c:v>
                </c:pt>
                <c:pt idx="245">
                  <c:v>6.4794649570742674E-7</c:v>
                </c:pt>
                <c:pt idx="246">
                  <c:v>7.581075172203292E-7</c:v>
                </c:pt>
                <c:pt idx="247">
                  <c:v>9.0212783540362367E-7</c:v>
                </c:pt>
                <c:pt idx="248">
                  <c:v>1.0803293985728075E-6</c:v>
                </c:pt>
                <c:pt idx="249">
                  <c:v>1.2935320623316179E-6</c:v>
                </c:pt>
                <c:pt idx="250">
                  <c:v>1.5425695692867949E-6</c:v>
                </c:pt>
                <c:pt idx="251">
                  <c:v>1.8282858387276574E-6</c:v>
                </c:pt>
                <c:pt idx="252">
                  <c:v>2.1515307563155924E-6</c:v>
                </c:pt>
                <c:pt idx="253">
                  <c:v>1.2177529101643553E-5</c:v>
                </c:pt>
                <c:pt idx="254">
                  <c:v>3.2073289866649681E-5</c:v>
                </c:pt>
                <c:pt idx="255">
                  <c:v>6.2022137624544055E-5</c:v>
                </c:pt>
                <c:pt idx="256">
                  <c:v>1.022115836720745E-4</c:v>
                </c:pt>
                <c:pt idx="257">
                  <c:v>1.528315896476199E-4</c:v>
                </c:pt>
                <c:pt idx="258">
                  <c:v>2.1407268527359646E-4</c:v>
                </c:pt>
                <c:pt idx="259">
                  <c:v>2.8612393197149141E-4</c:v>
                </c:pt>
                <c:pt idx="260">
                  <c:v>3.691833963879648E-4</c:v>
                </c:pt>
                <c:pt idx="261">
                  <c:v>4.9261508650376353E-4</c:v>
                </c:pt>
                <c:pt idx="262">
                  <c:v>6.5715294220866324E-4</c:v>
                </c:pt>
                <c:pt idx="263">
                  <c:v>8.6357909694621967E-4</c:v>
                </c:pt>
                <c:pt idx="264">
                  <c:v>1.1127039357148058E-3</c:v>
                </c:pt>
                <c:pt idx="265">
                  <c:v>1.4053774531803149E-3</c:v>
                </c:pt>
                <c:pt idx="266">
                  <c:v>1.7424885099368973E-3</c:v>
                </c:pt>
                <c:pt idx="267">
                  <c:v>2.1625932969273759E-3</c:v>
                </c:pt>
                <c:pt idx="268">
                  <c:v>2.6567690461513356E-3</c:v>
                </c:pt>
                <c:pt idx="269">
                  <c:v>3.2265872221174966E-3</c:v>
                </c:pt>
                <c:pt idx="270">
                  <c:v>3.8737036245111269E-3</c:v>
                </c:pt>
                <c:pt idx="271">
                  <c:v>4.5998670502021078E-3</c:v>
                </c:pt>
                <c:pt idx="272">
                  <c:v>5.4069288442958269E-3</c:v>
                </c:pt>
                <c:pt idx="273">
                  <c:v>6.2968534531023046E-3</c:v>
                </c:pt>
                <c:pt idx="274">
                  <c:v>7.2716003808253014E-3</c:v>
                </c:pt>
                <c:pt idx="275">
                  <c:v>8.3399367491725374E-3</c:v>
                </c:pt>
                <c:pt idx="276">
                  <c:v>9.4718700355205451E-3</c:v>
                </c:pt>
                <c:pt idx="277">
                  <c:v>1.0669052705418357E-2</c:v>
                </c:pt>
                <c:pt idx="278">
                  <c:v>1.1933216505095523E-2</c:v>
                </c:pt>
                <c:pt idx="279">
                  <c:v>1.3266177973173794E-2</c:v>
                </c:pt>
                <c:pt idx="280">
                  <c:v>1.4669844588276044E-2</c:v>
                </c:pt>
                <c:pt idx="281">
                  <c:v>1.61220466948447E-2</c:v>
                </c:pt>
                <c:pt idx="282">
                  <c:v>1.7582271053343861E-2</c:v>
                </c:pt>
                <c:pt idx="283">
                  <c:v>1.9051041748809366E-2</c:v>
                </c:pt>
                <c:pt idx="284">
                  <c:v>2.0528917414179084E-2</c:v>
                </c:pt>
                <c:pt idx="285">
                  <c:v>2.2016495293113145E-2</c:v>
                </c:pt>
                <c:pt idx="286">
                  <c:v>2.3514415607214997E-2</c:v>
                </c:pt>
                <c:pt idx="287">
                  <c:v>2.5023366252330471E-2</c:v>
                </c:pt>
                <c:pt idx="288">
                  <c:v>2.6544794384837263E-2</c:v>
                </c:pt>
                <c:pt idx="289">
                  <c:v>2.8064902311725936E-2</c:v>
                </c:pt>
                <c:pt idx="290">
                  <c:v>2.9576328176817893E-2</c:v>
                </c:pt>
                <c:pt idx="291">
                  <c:v>3.1079118019295787E-2</c:v>
                </c:pt>
                <c:pt idx="292">
                  <c:v>3.2573264557341428E-2</c:v>
                </c:pt>
                <c:pt idx="293">
                  <c:v>3.4058705828494691E-2</c:v>
                </c:pt>
                <c:pt idx="294">
                  <c:v>3.5535323402187201E-2</c:v>
                </c:pt>
                <c:pt idx="295">
                  <c:v>3.69625453862482E-2</c:v>
                </c:pt>
                <c:pt idx="296">
                  <c:v>3.836715496468851E-2</c:v>
                </c:pt>
                <c:pt idx="297">
                  <c:v>3.9748758364681648E-2</c:v>
                </c:pt>
                <c:pt idx="298">
                  <c:v>4.1106571609285901E-2</c:v>
                </c:pt>
                <c:pt idx="299">
                  <c:v>4.2439709462197585E-2</c:v>
                </c:pt>
                <c:pt idx="300">
                  <c:v>4.3747179729286712E-2</c:v>
                </c:pt>
                <c:pt idx="301">
                  <c:v>4.5027876961553963E-2</c:v>
                </c:pt>
                <c:pt idx="302">
                  <c:v>4.6290696869941923E-2</c:v>
                </c:pt>
                <c:pt idx="303">
                  <c:v>4.7490018662509473E-2</c:v>
                </c:pt>
                <c:pt idx="304">
                  <c:v>4.8639176718592754E-2</c:v>
                </c:pt>
                <c:pt idx="305">
                  <c:v>4.9733353771080881E-2</c:v>
                </c:pt>
                <c:pt idx="306">
                  <c:v>5.0766943861481291E-2</c:v>
                </c:pt>
                <c:pt idx="307">
                  <c:v>5.1733521345836038E-2</c:v>
                </c:pt>
                <c:pt idx="308">
                  <c:v>5.2625815886352387E-2</c:v>
                </c:pt>
                <c:pt idx="309">
                  <c:v>5.3435863824636734E-2</c:v>
                </c:pt>
                <c:pt idx="310">
                  <c:v>5.4203844837537443E-2</c:v>
                </c:pt>
                <c:pt idx="311">
                  <c:v>5.4922199384948744E-2</c:v>
                </c:pt>
                <c:pt idx="312">
                  <c:v>5.5582600893535949E-2</c:v>
                </c:pt>
                <c:pt idx="313">
                  <c:v>5.6175968671213404E-2</c:v>
                </c:pt>
                <c:pt idx="314">
                  <c:v>5.6692505626081247E-2</c:v>
                </c:pt>
                <c:pt idx="315">
                  <c:v>5.7121766391945314E-2</c:v>
                </c:pt>
                <c:pt idx="316">
                  <c:v>5.746809422912931E-2</c:v>
                </c:pt>
                <c:pt idx="317">
                  <c:v>5.7743608305296595E-2</c:v>
                </c:pt>
                <c:pt idx="318">
                  <c:v>5.8011999498856097E-2</c:v>
                </c:pt>
                <c:pt idx="319">
                  <c:v>5.8272650297026343E-2</c:v>
                </c:pt>
                <c:pt idx="320">
                  <c:v>5.8524903669149426E-2</c:v>
                </c:pt>
                <c:pt idx="321">
                  <c:v>5.876806243637072E-2</c:v>
                </c:pt>
                <c:pt idx="322">
                  <c:v>5.9001388990546862E-2</c:v>
                </c:pt>
                <c:pt idx="323">
                  <c:v>5.9183876202646826E-2</c:v>
                </c:pt>
                <c:pt idx="324">
                  <c:v>5.9312955386831755E-2</c:v>
                </c:pt>
                <c:pt idx="325">
                  <c:v>5.9386223577400907E-2</c:v>
                </c:pt>
                <c:pt idx="326">
                  <c:v>5.9400885814660284E-2</c:v>
                </c:pt>
                <c:pt idx="327">
                  <c:v>5.9354382279244146E-2</c:v>
                </c:pt>
                <c:pt idx="328">
                  <c:v>5.9244459610115714E-2</c:v>
                </c:pt>
                <c:pt idx="329">
                  <c:v>5.9068877919930707E-2</c:v>
                </c:pt>
                <c:pt idx="330">
                  <c:v>5.8836288112912277E-2</c:v>
                </c:pt>
                <c:pt idx="331">
                  <c:v>5.8558790538797194E-2</c:v>
                </c:pt>
                <c:pt idx="332">
                  <c:v>5.8226415248625221E-2</c:v>
                </c:pt>
                <c:pt idx="333">
                  <c:v>5.7832186435611485E-2</c:v>
                </c:pt>
                <c:pt idx="334">
                  <c:v>5.7368978586925204E-2</c:v>
                </c:pt>
                <c:pt idx="335">
                  <c:v>5.6829598637601668E-2</c:v>
                </c:pt>
                <c:pt idx="336">
                  <c:v>5.6206888556343315E-2</c:v>
                </c:pt>
                <c:pt idx="337">
                  <c:v>5.5564173190054023E-2</c:v>
                </c:pt>
                <c:pt idx="338">
                  <c:v>5.4944415167112279E-2</c:v>
                </c:pt>
                <c:pt idx="339">
                  <c:v>5.4344241890981727E-2</c:v>
                </c:pt>
                <c:pt idx="340">
                  <c:v>5.3760283142185124E-2</c:v>
                </c:pt>
                <c:pt idx="341">
                  <c:v>5.3189191279003602E-2</c:v>
                </c:pt>
                <c:pt idx="342">
                  <c:v>5.2627668386719832E-2</c:v>
                </c:pt>
                <c:pt idx="343">
                  <c:v>5.2072500072980164E-2</c:v>
                </c:pt>
                <c:pt idx="344">
                  <c:v>5.1522376532860667E-2</c:v>
                </c:pt>
                <c:pt idx="345">
                  <c:v>5.0982749566832651E-2</c:v>
                </c:pt>
                <c:pt idx="346">
                  <c:v>5.0464497940237725E-2</c:v>
                </c:pt>
                <c:pt idx="347">
                  <c:v>4.9974208943553283E-2</c:v>
                </c:pt>
                <c:pt idx="348">
                  <c:v>4.9518117903426466E-2</c:v>
                </c:pt>
                <c:pt idx="349">
                  <c:v>4.9102067036013067E-2</c:v>
                </c:pt>
                <c:pt idx="350">
                  <c:v>4.8731482567380975E-2</c:v>
                </c:pt>
                <c:pt idx="351">
                  <c:v>4.8422399091419516E-2</c:v>
                </c:pt>
                <c:pt idx="352">
                  <c:v>4.8107103260628579E-2</c:v>
                </c:pt>
                <c:pt idx="353">
                  <c:v>4.7790824669151355E-2</c:v>
                </c:pt>
                <c:pt idx="354">
                  <c:v>4.7478584624286967E-2</c:v>
                </c:pt>
                <c:pt idx="355">
                  <c:v>4.7175175703211919E-2</c:v>
                </c:pt>
                <c:pt idx="356">
                  <c:v>4.688512054841603E-2</c:v>
                </c:pt>
                <c:pt idx="357">
                  <c:v>4.6612701423521176E-2</c:v>
                </c:pt>
                <c:pt idx="358">
                  <c:v>4.6347607020635923E-2</c:v>
                </c:pt>
                <c:pt idx="359">
                  <c:v>4.6078189914233812E-2</c:v>
                </c:pt>
                <c:pt idx="360">
                  <c:v>4.5874642268782094E-2</c:v>
                </c:pt>
                <c:pt idx="361">
                  <c:v>4.5726697558632914E-2</c:v>
                </c:pt>
                <c:pt idx="362">
                  <c:v>4.563443724916131E-2</c:v>
                </c:pt>
                <c:pt idx="363">
                  <c:v>4.5597755683362891E-2</c:v>
                </c:pt>
                <c:pt idx="364">
                  <c:v>4.5616383012226536E-2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234920"/>
        <c:axId val="313324544"/>
      </c:lineChart>
      <c:dateAx>
        <c:axId val="3242349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13324544"/>
        <c:crosses val="autoZero"/>
        <c:auto val="1"/>
        <c:lblOffset val="100"/>
        <c:baseTimeUnit val="days"/>
        <c:majorUnit val="1"/>
        <c:majorTimeUnit val="months"/>
      </c:dateAx>
      <c:valAx>
        <c:axId val="3133245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2349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11.60857206916244</c:v>
                </c:pt>
                <c:pt idx="1">
                  <c:v>11.731719253530738</c:v>
                </c:pt>
                <c:pt idx="2">
                  <c:v>11.858841923644652</c:v>
                </c:pt>
                <c:pt idx="3">
                  <c:v>11.989573422543033</c:v>
                </c:pt>
                <c:pt idx="4">
                  <c:v>12.123547273743869</c:v>
                </c:pt>
                <c:pt idx="5">
                  <c:v>12.260397206095989</c:v>
                </c:pt>
                <c:pt idx="6">
                  <c:v>12.399757183452602</c:v>
                </c:pt>
                <c:pt idx="7">
                  <c:v>12.54126142575269</c:v>
                </c:pt>
                <c:pt idx="8">
                  <c:v>12.685318819569606</c:v>
                </c:pt>
                <c:pt idx="9">
                  <c:v>12.833176861937599</c:v>
                </c:pt>
                <c:pt idx="10">
                  <c:v>12.985721784085209</c:v>
                </c:pt>
                <c:pt idx="11">
                  <c:v>13.143046582390825</c:v>
                </c:pt>
                <c:pt idx="12">
                  <c:v>13.30524423147366</c:v>
                </c:pt>
                <c:pt idx="13">
                  <c:v>13.472407676429395</c:v>
                </c:pt>
                <c:pt idx="14">
                  <c:v>13.644629826020671</c:v>
                </c:pt>
                <c:pt idx="15">
                  <c:v>13.821963928441775</c:v>
                </c:pt>
                <c:pt idx="16">
                  <c:v>14.004580282569167</c:v>
                </c:pt>
                <c:pt idx="17">
                  <c:v>14.192571656503493</c:v>
                </c:pt>
                <c:pt idx="18">
                  <c:v>14.386030754332596</c:v>
                </c:pt>
                <c:pt idx="19">
                  <c:v>14.585045928939694</c:v>
                </c:pt>
                <c:pt idx="20">
                  <c:v>14.789703311793621</c:v>
                </c:pt>
                <c:pt idx="21">
                  <c:v>15.000092102537662</c:v>
                </c:pt>
                <c:pt idx="22">
                  <c:v>15.217323533840347</c:v>
                </c:pt>
                <c:pt idx="23">
                  <c:v>15.44205799997567</c:v>
                </c:pt>
                <c:pt idx="24">
                  <c:v>15.673179533963982</c:v>
                </c:pt>
                <c:pt idx="25">
                  <c:v>15.910106090110121</c:v>
                </c:pt>
                <c:pt idx="26">
                  <c:v>16.152255975505195</c:v>
                </c:pt>
                <c:pt idx="27">
                  <c:v>16.399047846389031</c:v>
                </c:pt>
                <c:pt idx="28">
                  <c:v>16.649900720328354</c:v>
                </c:pt>
                <c:pt idx="29">
                  <c:v>16.905182123273121</c:v>
                </c:pt>
                <c:pt idx="30">
                  <c:v>17.16435099735472</c:v>
                </c:pt>
                <c:pt idx="31">
                  <c:v>17.426826983095282</c:v>
                </c:pt>
                <c:pt idx="32">
                  <c:v>17.692030071509652</c:v>
                </c:pt>
                <c:pt idx="33">
                  <c:v>17.959380619714171</c:v>
                </c:pt>
                <c:pt idx="34">
                  <c:v>18.228299356929117</c:v>
                </c:pt>
                <c:pt idx="35">
                  <c:v>18.498207386613959</c:v>
                </c:pt>
                <c:pt idx="36">
                  <c:v>18.771428127354678</c:v>
                </c:pt>
                <c:pt idx="37">
                  <c:v>19.051001208176306</c:v>
                </c:pt>
                <c:pt idx="38">
                  <c:v>19.336253123249747</c:v>
                </c:pt>
                <c:pt idx="39">
                  <c:v>19.626507739257889</c:v>
                </c:pt>
                <c:pt idx="40">
                  <c:v>19.921089415396438</c:v>
                </c:pt>
                <c:pt idx="41">
                  <c:v>20.219323006872493</c:v>
                </c:pt>
                <c:pt idx="42">
                  <c:v>20.520533866121742</c:v>
                </c:pt>
                <c:pt idx="43">
                  <c:v>20.824362517915056</c:v>
                </c:pt>
                <c:pt idx="44">
                  <c:v>21.129189500097549</c:v>
                </c:pt>
                <c:pt idx="45">
                  <c:v>21.434342138619169</c:v>
                </c:pt>
                <c:pt idx="46">
                  <c:v>21.739148264230451</c:v>
                </c:pt>
                <c:pt idx="47">
                  <c:v>22.042936214395223</c:v>
                </c:pt>
                <c:pt idx="48">
                  <c:v>22.345034840041368</c:v>
                </c:pt>
                <c:pt idx="49">
                  <c:v>22.644773507944638</c:v>
                </c:pt>
                <c:pt idx="50">
                  <c:v>22.943162020787796</c:v>
                </c:pt>
                <c:pt idx="51">
                  <c:v>23.242190058515728</c:v>
                </c:pt>
                <c:pt idx="52">
                  <c:v>23.54108050459628</c:v>
                </c:pt>
                <c:pt idx="53">
                  <c:v>23.839838066369236</c:v>
                </c:pt>
                <c:pt idx="54">
                  <c:v>24.138463936519354</c:v>
                </c:pt>
                <c:pt idx="55">
                  <c:v>24.436959237334896</c:v>
                </c:pt>
                <c:pt idx="56">
                  <c:v>24.735325024442606</c:v>
                </c:pt>
                <c:pt idx="57">
                  <c:v>25.033412444410374</c:v>
                </c:pt>
                <c:pt idx="58">
                  <c:v>25.330907635360649</c:v>
                </c:pt>
                <c:pt idx="59">
                  <c:v>25.627811936452868</c:v>
                </c:pt>
                <c:pt idx="60">
                  <c:v>25.924126684379026</c:v>
                </c:pt>
                <c:pt idx="61">
                  <c:v>26.219853228312569</c:v>
                </c:pt>
                <c:pt idx="62">
                  <c:v>26.514992946119406</c:v>
                </c:pt>
                <c:pt idx="63">
                  <c:v>26.809547265895048</c:v>
                </c:pt>
                <c:pt idx="64">
                  <c:v>27.104347919742395</c:v>
                </c:pt>
                <c:pt idx="65">
                  <c:v>27.39905653217377</c:v>
                </c:pt>
                <c:pt idx="66">
                  <c:v>27.692758520029606</c:v>
                </c:pt>
                <c:pt idx="67">
                  <c:v>27.98507226122581</c:v>
                </c:pt>
                <c:pt idx="68">
                  <c:v>28.275616451747183</c:v>
                </c:pt>
                <c:pt idx="69">
                  <c:v>28.564010115783955</c:v>
                </c:pt>
                <c:pt idx="70">
                  <c:v>28.84987260993082</c:v>
                </c:pt>
                <c:pt idx="71">
                  <c:v>29.132073912229487</c:v>
                </c:pt>
                <c:pt idx="72">
                  <c:v>29.410378215787055</c:v>
                </c:pt>
                <c:pt idx="73">
                  <c:v>29.684403272081681</c:v>
                </c:pt>
                <c:pt idx="74">
                  <c:v>29.953766934404513</c:v>
                </c:pt>
                <c:pt idx="75">
                  <c:v>30.21808713668452</c:v>
                </c:pt>
                <c:pt idx="76">
                  <c:v>30.476981875540488</c:v>
                </c:pt>
                <c:pt idx="77">
                  <c:v>30.730069189231831</c:v>
                </c:pt>
                <c:pt idx="78">
                  <c:v>30.978958800804065</c:v>
                </c:pt>
                <c:pt idx="79">
                  <c:v>31.22492948094607</c:v>
                </c:pt>
                <c:pt idx="80">
                  <c:v>31.468415016305315</c:v>
                </c:pt>
                <c:pt idx="81">
                  <c:v>31.708935341326807</c:v>
                </c:pt>
                <c:pt idx="82">
                  <c:v>31.946010320425586</c:v>
                </c:pt>
                <c:pt idx="83">
                  <c:v>32.179159726104736</c:v>
                </c:pt>
                <c:pt idx="84">
                  <c:v>32.407903208421025</c:v>
                </c:pt>
                <c:pt idx="85">
                  <c:v>32.631759516790275</c:v>
                </c:pt>
                <c:pt idx="86">
                  <c:v>32.851008153598471</c:v>
                </c:pt>
                <c:pt idx="87">
                  <c:v>33.065171490536976</c:v>
                </c:pt>
                <c:pt idx="88">
                  <c:v>33.27377204935204</c:v>
                </c:pt>
                <c:pt idx="89">
                  <c:v>33.476332487203429</c:v>
                </c:pt>
                <c:pt idx="90">
                  <c:v>33.672375606354365</c:v>
                </c:pt>
                <c:pt idx="91">
                  <c:v>33.861424337199651</c:v>
                </c:pt>
                <c:pt idx="92">
                  <c:v>34.043160747663933</c:v>
                </c:pt>
                <c:pt idx="93">
                  <c:v>34.217902442563222</c:v>
                </c:pt>
                <c:pt idx="94">
                  <c:v>34.386399788012163</c:v>
                </c:pt>
                <c:pt idx="95">
                  <c:v>34.549131168015869</c:v>
                </c:pt>
                <c:pt idx="96">
                  <c:v>34.706574689768395</c:v>
                </c:pt>
                <c:pt idx="97">
                  <c:v>34.859208194116647</c:v>
                </c:pt>
                <c:pt idx="98">
                  <c:v>35.007509246768315</c:v>
                </c:pt>
                <c:pt idx="99">
                  <c:v>35.151955126192583</c:v>
                </c:pt>
                <c:pt idx="100">
                  <c:v>35.293023722559568</c:v>
                </c:pt>
                <c:pt idx="101">
                  <c:v>35.43119181976131</c:v>
                </c:pt>
                <c:pt idx="102">
                  <c:v>35.566935929300584</c:v>
                </c:pt>
                <c:pt idx="103">
                  <c:v>35.700732294691392</c:v>
                </c:pt>
                <c:pt idx="104">
                  <c:v>35.833056886421979</c:v>
                </c:pt>
                <c:pt idx="105">
                  <c:v>35.964385402262586</c:v>
                </c:pt>
                <c:pt idx="106">
                  <c:v>36.094415885783917</c:v>
                </c:pt>
                <c:pt idx="107">
                  <c:v>36.222402460634697</c:v>
                </c:pt>
                <c:pt idx="108">
                  <c:v>36.348155354384055</c:v>
                </c:pt>
                <c:pt idx="109">
                  <c:v>36.471484522016226</c:v>
                </c:pt>
                <c:pt idx="110">
                  <c:v>36.592200101578982</c:v>
                </c:pt>
                <c:pt idx="111">
                  <c:v>36.710112421934589</c:v>
                </c:pt>
                <c:pt idx="112">
                  <c:v>36.825032005183701</c:v>
                </c:pt>
                <c:pt idx="113">
                  <c:v>36.936769528940189</c:v>
                </c:pt>
                <c:pt idx="114">
                  <c:v>37.045135945755291</c:v>
                </c:pt>
                <c:pt idx="115">
                  <c:v>37.1499423952611</c:v>
                </c:pt>
                <c:pt idx="116">
                  <c:v>37.251000235586076</c:v>
                </c:pt>
                <c:pt idx="117">
                  <c:v>37.348121047782698</c:v>
                </c:pt>
                <c:pt idx="118">
                  <c:v>37.441116644547108</c:v>
                </c:pt>
                <c:pt idx="119">
                  <c:v>37.529799073264492</c:v>
                </c:pt>
                <c:pt idx="120">
                  <c:v>37.614661185995274</c:v>
                </c:pt>
                <c:pt idx="121">
                  <c:v>37.696258897808065</c:v>
                </c:pt>
                <c:pt idx="122">
                  <c:v>37.774499171704647</c:v>
                </c:pt>
                <c:pt idx="123">
                  <c:v>37.849289137710649</c:v>
                </c:pt>
                <c:pt idx="124">
                  <c:v>37.920536114077422</c:v>
                </c:pt>
                <c:pt idx="125">
                  <c:v>37.988147603220206</c:v>
                </c:pt>
                <c:pt idx="126">
                  <c:v>38.052031300198358</c:v>
                </c:pt>
                <c:pt idx="127">
                  <c:v>38.112095093109403</c:v>
                </c:pt>
                <c:pt idx="128">
                  <c:v>38.168247125402388</c:v>
                </c:pt>
                <c:pt idx="129">
                  <c:v>38.220395683413443</c:v>
                </c:pt>
                <c:pt idx="130">
                  <c:v>38.268449250809326</c:v>
                </c:pt>
                <c:pt idx="131">
                  <c:v>38.312316513553377</c:v>
                </c:pt>
                <c:pt idx="132">
                  <c:v>38.351906353912263</c:v>
                </c:pt>
                <c:pt idx="133">
                  <c:v>38.387127855897965</c:v>
                </c:pt>
                <c:pt idx="134">
                  <c:v>38.417100971839417</c:v>
                </c:pt>
                <c:pt idx="135">
                  <c:v>38.441325249840546</c:v>
                </c:pt>
                <c:pt idx="136">
                  <c:v>38.460279139533206</c:v>
                </c:pt>
                <c:pt idx="137">
                  <c:v>38.474440842615486</c:v>
                </c:pt>
                <c:pt idx="138">
                  <c:v>38.484288312424091</c:v>
                </c:pt>
                <c:pt idx="139">
                  <c:v>38.490299244536395</c:v>
                </c:pt>
                <c:pt idx="140">
                  <c:v>38.492951066085233</c:v>
                </c:pt>
                <c:pt idx="141">
                  <c:v>38.492720928187907</c:v>
                </c:pt>
                <c:pt idx="142">
                  <c:v>38.490085699046062</c:v>
                </c:pt>
                <c:pt idx="143">
                  <c:v>38.485521952552084</c:v>
                </c:pt>
                <c:pt idx="144">
                  <c:v>38.479505961420749</c:v>
                </c:pt>
                <c:pt idx="145">
                  <c:v>38.472513686557555</c:v>
                </c:pt>
                <c:pt idx="146">
                  <c:v>38.465020769237164</c:v>
                </c:pt>
                <c:pt idx="147">
                  <c:v>38.457502524340178</c:v>
                </c:pt>
                <c:pt idx="148">
                  <c:v>38.449048428708778</c:v>
                </c:pt>
                <c:pt idx="149">
                  <c:v>38.438496814792167</c:v>
                </c:pt>
                <c:pt idx="150">
                  <c:v>38.425945975469141</c:v>
                </c:pt>
                <c:pt idx="151">
                  <c:v>38.41149412215249</c:v>
                </c:pt>
                <c:pt idx="152">
                  <c:v>38.395239376774228</c:v>
                </c:pt>
                <c:pt idx="153">
                  <c:v>38.377279760750909</c:v>
                </c:pt>
                <c:pt idx="154">
                  <c:v>38.357713182235287</c:v>
                </c:pt>
                <c:pt idx="155">
                  <c:v>38.33663742736924</c:v>
                </c:pt>
                <c:pt idx="156">
                  <c:v>38.314150150164025</c:v>
                </c:pt>
                <c:pt idx="157">
                  <c:v>38.290348860635795</c:v>
                </c:pt>
                <c:pt idx="158">
                  <c:v>38.26533091730478</c:v>
                </c:pt>
                <c:pt idx="159">
                  <c:v>38.239193516140993</c:v>
                </c:pt>
                <c:pt idx="160">
                  <c:v>38.212033682763455</c:v>
                </c:pt>
                <c:pt idx="161">
                  <c:v>38.183948265082208</c:v>
                </c:pt>
                <c:pt idx="162">
                  <c:v>38.15459423829288</c:v>
                </c:pt>
                <c:pt idx="163">
                  <c:v>38.123628702284115</c:v>
                </c:pt>
                <c:pt idx="164">
                  <c:v>38.091148398486958</c:v>
                </c:pt>
                <c:pt idx="165">
                  <c:v>38.057249855810497</c:v>
                </c:pt>
                <c:pt idx="166">
                  <c:v>38.022029387030983</c:v>
                </c:pt>
                <c:pt idx="167">
                  <c:v>37.985583084825741</c:v>
                </c:pt>
                <c:pt idx="168">
                  <c:v>37.948006818627711</c:v>
                </c:pt>
                <c:pt idx="169">
                  <c:v>37.909396231713728</c:v>
                </c:pt>
                <c:pt idx="170">
                  <c:v>37.869846740856687</c:v>
                </c:pt>
                <c:pt idx="171">
                  <c:v>37.829453535341926</c:v>
                </c:pt>
                <c:pt idx="172">
                  <c:v>37.788311578528599</c:v>
                </c:pt>
                <c:pt idx="173">
                  <c:v>37.746515608345085</c:v>
                </c:pt>
                <c:pt idx="174">
                  <c:v>37.70416014050322</c:v>
                </c:pt>
                <c:pt idx="175">
                  <c:v>37.661339471870271</c:v>
                </c:pt>
                <c:pt idx="176">
                  <c:v>37.618523650823803</c:v>
                </c:pt>
                <c:pt idx="177">
                  <c:v>37.575931669031561</c:v>
                </c:pt>
                <c:pt idx="178">
                  <c:v>37.533281112590551</c:v>
                </c:pt>
                <c:pt idx="179">
                  <c:v>37.490289613715348</c:v>
                </c:pt>
                <c:pt idx="180">
                  <c:v>37.446674853399209</c:v>
                </c:pt>
                <c:pt idx="181">
                  <c:v>37.402154562905693</c:v>
                </c:pt>
                <c:pt idx="182">
                  <c:v>37.356446528811269</c:v>
                </c:pt>
                <c:pt idx="183">
                  <c:v>37.309268595406088</c:v>
                </c:pt>
                <c:pt idx="184">
                  <c:v>37.260338670220207</c:v>
                </c:pt>
                <c:pt idx="185">
                  <c:v>37.209374730775501</c:v>
                </c:pt>
                <c:pt idx="186">
                  <c:v>37.156094827147278</c:v>
                </c:pt>
                <c:pt idx="187">
                  <c:v>37.10021709166876</c:v>
                </c:pt>
                <c:pt idx="188">
                  <c:v>37.041459745144849</c:v>
                </c:pt>
                <c:pt idx="189">
                  <c:v>36.97954110261459</c:v>
                </c:pt>
                <c:pt idx="190">
                  <c:v>36.914070159403835</c:v>
                </c:pt>
                <c:pt idx="191">
                  <c:v>36.845093711412908</c:v>
                </c:pt>
                <c:pt idx="192">
                  <c:v>36.77298665787805</c:v>
                </c:pt>
                <c:pt idx="193">
                  <c:v>36.698123654275911</c:v>
                </c:pt>
                <c:pt idx="194">
                  <c:v>36.620879126249008</c:v>
                </c:pt>
                <c:pt idx="195">
                  <c:v>36.541627286399823</c:v>
                </c:pt>
                <c:pt idx="196">
                  <c:v>36.460742143072508</c:v>
                </c:pt>
                <c:pt idx="197">
                  <c:v>36.378597515699084</c:v>
                </c:pt>
                <c:pt idx="198">
                  <c:v>36.295567046541855</c:v>
                </c:pt>
                <c:pt idx="199">
                  <c:v>36.212024209827156</c:v>
                </c:pt>
                <c:pt idx="200">
                  <c:v>36.128342322099044</c:v>
                </c:pt>
                <c:pt idx="201">
                  <c:v>36.044894552389195</c:v>
                </c:pt>
                <c:pt idx="202">
                  <c:v>35.962053928396038</c:v>
                </c:pt>
                <c:pt idx="203">
                  <c:v>35.880193345028111</c:v>
                </c:pt>
                <c:pt idx="204">
                  <c:v>35.799155116355912</c:v>
                </c:pt>
                <c:pt idx="205">
                  <c:v>35.718407326939378</c:v>
                </c:pt>
                <c:pt idx="206">
                  <c:v>35.637761564694877</c:v>
                </c:pt>
                <c:pt idx="207">
                  <c:v>35.557029595197093</c:v>
                </c:pt>
                <c:pt idx="208">
                  <c:v>35.47602336126522</c:v>
                </c:pt>
                <c:pt idx="209">
                  <c:v>35.394554983507454</c:v>
                </c:pt>
                <c:pt idx="210">
                  <c:v>35.312436759961258</c:v>
                </c:pt>
                <c:pt idx="211">
                  <c:v>35.229481158547607</c:v>
                </c:pt>
                <c:pt idx="212">
                  <c:v>35.145500826660204</c:v>
                </c:pt>
                <c:pt idx="213">
                  <c:v>35.060308583270853</c:v>
                </c:pt>
                <c:pt idx="214">
                  <c:v>34.97371741661938</c:v>
                </c:pt>
                <c:pt idx="215">
                  <c:v>34.885540481299422</c:v>
                </c:pt>
                <c:pt idx="216">
                  <c:v>34.795591094156414</c:v>
                </c:pt>
                <c:pt idx="217">
                  <c:v>34.703682731437951</c:v>
                </c:pt>
                <c:pt idx="218">
                  <c:v>34.610096222743074</c:v>
                </c:pt>
                <c:pt idx="219">
                  <c:v>34.515236711769546</c:v>
                </c:pt>
                <c:pt idx="220">
                  <c:v>34.419104556073265</c:v>
                </c:pt>
                <c:pt idx="221">
                  <c:v>34.321700163407776</c:v>
                </c:pt>
                <c:pt idx="222">
                  <c:v>34.223023987672818</c:v>
                </c:pt>
                <c:pt idx="223">
                  <c:v>34.123076524545233</c:v>
                </c:pt>
                <c:pt idx="224">
                  <c:v>34.021858307657325</c:v>
                </c:pt>
                <c:pt idx="225">
                  <c:v>33.919369856659955</c:v>
                </c:pt>
                <c:pt idx="226">
                  <c:v>33.815611774803529</c:v>
                </c:pt>
                <c:pt idx="227">
                  <c:v>33.71058468656468</c:v>
                </c:pt>
                <c:pt idx="228">
                  <c:v>33.604289239955513</c:v>
                </c:pt>
                <c:pt idx="229">
                  <c:v>33.496726103352913</c:v>
                </c:pt>
                <c:pt idx="230">
                  <c:v>33.387895962647065</c:v>
                </c:pt>
                <c:pt idx="231">
                  <c:v>33.277799518569061</c:v>
                </c:pt>
                <c:pt idx="232">
                  <c:v>33.167852184921628</c:v>
                </c:pt>
                <c:pt idx="233">
                  <c:v>33.059033363234462</c:v>
                </c:pt>
                <c:pt idx="234">
                  <c:v>32.950690313609577</c:v>
                </c:pt>
                <c:pt idx="235">
                  <c:v>32.842170452002982</c:v>
                </c:pt>
                <c:pt idx="236">
                  <c:v>32.732821519645555</c:v>
                </c:pt>
                <c:pt idx="237">
                  <c:v>32.621991581160216</c:v>
                </c:pt>
                <c:pt idx="238">
                  <c:v>32.509029017798994</c:v>
                </c:pt>
                <c:pt idx="239">
                  <c:v>32.39328050647493</c:v>
                </c:pt>
                <c:pt idx="240">
                  <c:v>32.27409510183827</c:v>
                </c:pt>
                <c:pt idx="241">
                  <c:v>32.150822116125035</c:v>
                </c:pt>
                <c:pt idx="242">
                  <c:v>32.022811170361791</c:v>
                </c:pt>
                <c:pt idx="243">
                  <c:v>31.889412187203892</c:v>
                </c:pt>
                <c:pt idx="244">
                  <c:v>31.749975385245762</c:v>
                </c:pt>
                <c:pt idx="245">
                  <c:v>31.603851280816933</c:v>
                </c:pt>
                <c:pt idx="246">
                  <c:v>31.450809727229906</c:v>
                </c:pt>
                <c:pt idx="247">
                  <c:v>31.291423618639783</c:v>
                </c:pt>
                <c:pt idx="248">
                  <c:v>31.12625417845231</c:v>
                </c:pt>
                <c:pt idx="249">
                  <c:v>30.95586227095902</c:v>
                </c:pt>
                <c:pt idx="250">
                  <c:v>30.780808504872162</c:v>
                </c:pt>
                <c:pt idx="251">
                  <c:v>30.601653230208779</c:v>
                </c:pt>
                <c:pt idx="252">
                  <c:v>30.41895654624561</c:v>
                </c:pt>
                <c:pt idx="253">
                  <c:v>30.232720837294607</c:v>
                </c:pt>
                <c:pt idx="254">
                  <c:v>30.043508096524842</c:v>
                </c:pt>
                <c:pt idx="255">
                  <c:v>29.851878162498352</c:v>
                </c:pt>
                <c:pt idx="256">
                  <c:v>29.658390759206597</c:v>
                </c:pt>
                <c:pt idx="257">
                  <c:v>29.463605499312596</c:v>
                </c:pt>
                <c:pt idx="258">
                  <c:v>29.268081892600765</c:v>
                </c:pt>
                <c:pt idx="259">
                  <c:v>29.072379351836812</c:v>
                </c:pt>
                <c:pt idx="260">
                  <c:v>28.876065403271774</c:v>
                </c:pt>
                <c:pt idx="261">
                  <c:v>28.676860790858491</c:v>
                </c:pt>
                <c:pt idx="262">
                  <c:v>28.474588134305666</c:v>
                </c:pt>
                <c:pt idx="263">
                  <c:v>28.269066549996047</c:v>
                </c:pt>
                <c:pt idx="264">
                  <c:v>28.060115696422063</c:v>
                </c:pt>
                <c:pt idx="265">
                  <c:v>27.847555400194079</c:v>
                </c:pt>
                <c:pt idx="266">
                  <c:v>27.631205941412162</c:v>
                </c:pt>
                <c:pt idx="267">
                  <c:v>27.409858916445454</c:v>
                </c:pt>
                <c:pt idx="268">
                  <c:v>27.183892452449125</c:v>
                </c:pt>
                <c:pt idx="269">
                  <c:v>26.953130753918138</c:v>
                </c:pt>
                <c:pt idx="270">
                  <c:v>26.717398762589905</c:v>
                </c:pt>
                <c:pt idx="271">
                  <c:v>26.476522198290031</c:v>
                </c:pt>
                <c:pt idx="272">
                  <c:v>26.230327593255677</c:v>
                </c:pt>
                <c:pt idx="273">
                  <c:v>25.978642327151675</c:v>
                </c:pt>
                <c:pt idx="274">
                  <c:v>25.721758943257154</c:v>
                </c:pt>
                <c:pt idx="275">
                  <c:v>25.460315974893188</c:v>
                </c:pt>
                <c:pt idx="276">
                  <c:v>25.195662029792693</c:v>
                </c:pt>
                <c:pt idx="277">
                  <c:v>24.927807779283679</c:v>
                </c:pt>
                <c:pt idx="278">
                  <c:v>24.656764196301992</c:v>
                </c:pt>
                <c:pt idx="279">
                  <c:v>24.382542528907017</c:v>
                </c:pt>
                <c:pt idx="280">
                  <c:v>24.105154280913251</c:v>
                </c:pt>
                <c:pt idx="281">
                  <c:v>23.825314267840614</c:v>
                </c:pt>
                <c:pt idx="282">
                  <c:v>23.544040142200711</c:v>
                </c:pt>
                <c:pt idx="283">
                  <c:v>23.261334887513176</c:v>
                </c:pt>
                <c:pt idx="284">
                  <c:v>22.977200972594687</c:v>
                </c:pt>
                <c:pt idx="285">
                  <c:v>22.691640302438593</c:v>
                </c:pt>
                <c:pt idx="286">
                  <c:v>22.404654175145868</c:v>
                </c:pt>
                <c:pt idx="287">
                  <c:v>22.116243237353213</c:v>
                </c:pt>
                <c:pt idx="288">
                  <c:v>21.825804493811116</c:v>
                </c:pt>
                <c:pt idx="289">
                  <c:v>21.533469526100056</c:v>
                </c:pt>
                <c:pt idx="290">
                  <c:v>21.239294522228207</c:v>
                </c:pt>
                <c:pt idx="291">
                  <c:v>20.943553074292062</c:v>
                </c:pt>
                <c:pt idx="292">
                  <c:v>20.646517801914978</c:v>
                </c:pt>
                <c:pt idx="293">
                  <c:v>20.348460351869779</c:v>
                </c:pt>
                <c:pt idx="294">
                  <c:v>20.049651398203046</c:v>
                </c:pt>
                <c:pt idx="295">
                  <c:v>19.751537859307788</c:v>
                </c:pt>
                <c:pt idx="296">
                  <c:v>19.453685945935781</c:v>
                </c:pt>
                <c:pt idx="297">
                  <c:v>19.156350038114994</c:v>
                </c:pt>
                <c:pt idx="298">
                  <c:v>18.859791896936706</c:v>
                </c:pt>
                <c:pt idx="299">
                  <c:v>18.564272526272628</c:v>
                </c:pt>
                <c:pt idx="300">
                  <c:v>18.270052229439099</c:v>
                </c:pt>
                <c:pt idx="301">
                  <c:v>17.977390675584545</c:v>
                </c:pt>
                <c:pt idx="302">
                  <c:v>17.682437653352395</c:v>
                </c:pt>
                <c:pt idx="303">
                  <c:v>17.383252691225142</c:v>
                </c:pt>
                <c:pt idx="304">
                  <c:v>17.080854638424043</c:v>
                </c:pt>
                <c:pt idx="305">
                  <c:v>16.7767953601264</c:v>
                </c:pt>
                <c:pt idx="306">
                  <c:v>16.472626266878244</c:v>
                </c:pt>
                <c:pt idx="307">
                  <c:v>16.169898432722949</c:v>
                </c:pt>
                <c:pt idx="308">
                  <c:v>15.870162715817113</c:v>
                </c:pt>
                <c:pt idx="309">
                  <c:v>15.574889464263558</c:v>
                </c:pt>
                <c:pt idx="310">
                  <c:v>15.284499962684613</c:v>
                </c:pt>
                <c:pt idx="311">
                  <c:v>15.00055522539623</c:v>
                </c:pt>
                <c:pt idx="312">
                  <c:v>14.724616345115752</c:v>
                </c:pt>
                <c:pt idx="313">
                  <c:v>14.458244543384765</c:v>
                </c:pt>
                <c:pt idx="314">
                  <c:v>14.203001216306278</c:v>
                </c:pt>
                <c:pt idx="315">
                  <c:v>13.960447972632224</c:v>
                </c:pt>
                <c:pt idx="316">
                  <c:v>13.72820994404645</c:v>
                </c:pt>
                <c:pt idx="317">
                  <c:v>13.502783180240742</c:v>
                </c:pt>
                <c:pt idx="318">
                  <c:v>13.283155912733669</c:v>
                </c:pt>
                <c:pt idx="319">
                  <c:v>13.069326557006214</c:v>
                </c:pt>
                <c:pt idx="320">
                  <c:v>12.861293928532438</c:v>
                </c:pt>
                <c:pt idx="321">
                  <c:v>12.65905723721063</c:v>
                </c:pt>
                <c:pt idx="322">
                  <c:v>12.462616077077808</c:v>
                </c:pt>
                <c:pt idx="323">
                  <c:v>12.272455911661952</c:v>
                </c:pt>
                <c:pt idx="324">
                  <c:v>12.088650968238442</c:v>
                </c:pt>
                <c:pt idx="325">
                  <c:v>11.911198166893191</c:v>
                </c:pt>
                <c:pt idx="326">
                  <c:v>11.740100465921348</c:v>
                </c:pt>
                <c:pt idx="327">
                  <c:v>11.575357366240963</c:v>
                </c:pt>
                <c:pt idx="328">
                  <c:v>11.416964338426208</c:v>
                </c:pt>
                <c:pt idx="329">
                  <c:v>11.264917501928279</c:v>
                </c:pt>
                <c:pt idx="330">
                  <c:v>11.117007793290714</c:v>
                </c:pt>
                <c:pt idx="331">
                  <c:v>10.971582039721277</c:v>
                </c:pt>
                <c:pt idx="332">
                  <c:v>10.829735346442922</c:v>
                </c:pt>
                <c:pt idx="333">
                  <c:v>10.692484909129602</c:v>
                </c:pt>
                <c:pt idx="334">
                  <c:v>10.560848153216769</c:v>
                </c:pt>
                <c:pt idx="335">
                  <c:v>10.435842680031671</c:v>
                </c:pt>
                <c:pt idx="336">
                  <c:v>10.318486223100722</c:v>
                </c:pt>
                <c:pt idx="337">
                  <c:v>10.208987193663765</c:v>
                </c:pt>
                <c:pt idx="338">
                  <c:v>10.107895763581846</c:v>
                </c:pt>
                <c:pt idx="339">
                  <c:v>10.016235072232689</c:v>
                </c:pt>
                <c:pt idx="340">
                  <c:v>9.9350276066888039</c:v>
                </c:pt>
                <c:pt idx="341">
                  <c:v>9.8652951563244464</c:v>
                </c:pt>
                <c:pt idx="342">
                  <c:v>9.8080587758588766</c:v>
                </c:pt>
                <c:pt idx="343">
                  <c:v>9.7643387509103174</c:v>
                </c:pt>
                <c:pt idx="344">
                  <c:v>9.7347962566327659</c:v>
                </c:pt>
                <c:pt idx="345">
                  <c:v>9.7187419479983355</c:v>
                </c:pt>
                <c:pt idx="346">
                  <c:v>9.7151116639930741</c:v>
                </c:pt>
                <c:pt idx="347">
                  <c:v>9.7228992964514021</c:v>
                </c:pt>
                <c:pt idx="348">
                  <c:v>9.7410986237830883</c:v>
                </c:pt>
                <c:pt idx="349">
                  <c:v>9.7687033230879141</c:v>
                </c:pt>
                <c:pt idx="350">
                  <c:v>9.804706977020837</c:v>
                </c:pt>
                <c:pt idx="351">
                  <c:v>9.8479243263215945</c:v>
                </c:pt>
                <c:pt idx="352">
                  <c:v>9.8981464826291941</c:v>
                </c:pt>
                <c:pt idx="353">
                  <c:v>9.9543659674077034</c:v>
                </c:pt>
                <c:pt idx="354">
                  <c:v>10.015575488168366</c:v>
                </c:pt>
                <c:pt idx="355">
                  <c:v>10.080767940762092</c:v>
                </c:pt>
                <c:pt idx="356">
                  <c:v>10.148937158691108</c:v>
                </c:pt>
                <c:pt idx="357">
                  <c:v>10.219076530395782</c:v>
                </c:pt>
                <c:pt idx="358">
                  <c:v>10.293514206352295</c:v>
                </c:pt>
                <c:pt idx="359">
                  <c:v>10.375015304559078</c:v>
                </c:pt>
                <c:pt idx="360">
                  <c:v>10.462435325156946</c:v>
                </c:pt>
                <c:pt idx="361">
                  <c:v>10.55560410499008</c:v>
                </c:pt>
                <c:pt idx="362">
                  <c:v>10.654172934643887</c:v>
                </c:pt>
                <c:pt idx="363">
                  <c:v>10.757792981739025</c:v>
                </c:pt>
                <c:pt idx="364">
                  <c:v>10.86611532791369</c:v>
                </c:pt>
                <c:pt idx="365">
                  <c:v>10.978791012388976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11.322877589982793</c:v>
                </c:pt>
                <c:pt idx="1">
                  <c:v>8.8392456325914655</c:v>
                </c:pt>
                <c:pt idx="2">
                  <c:v>10.139890670931152</c:v>
                </c:pt>
                <c:pt idx="3">
                  <c:v>10.631998133639826</c:v>
                </c:pt>
                <c:pt idx="4">
                  <c:v>8.7935215266055042</c:v>
                </c:pt>
                <c:pt idx="5">
                  <c:v>12.596820248076609</c:v>
                </c:pt>
                <c:pt idx="6">
                  <c:v>5.609642018906615</c:v>
                </c:pt>
                <c:pt idx="7">
                  <c:v>4.5204855474647214</c:v>
                </c:pt>
                <c:pt idx="8">
                  <c:v>1.2464753037620682</c:v>
                </c:pt>
                <c:pt idx="9">
                  <c:v>0.89472168849454625</c:v>
                </c:pt>
                <c:pt idx="10">
                  <c:v>12.93326468155357</c:v>
                </c:pt>
                <c:pt idx="11">
                  <c:v>10.5435940517416</c:v>
                </c:pt>
                <c:pt idx="12">
                  <c:v>3.21393188388498</c:v>
                </c:pt>
                <c:pt idx="13">
                  <c:v>13.425944683875787</c:v>
                </c:pt>
                <c:pt idx="14">
                  <c:v>13.719053522065398</c:v>
                </c:pt>
                <c:pt idx="15">
                  <c:v>13.792529189529983</c:v>
                </c:pt>
                <c:pt idx="16">
                  <c:v>9.9953654855510834</c:v>
                </c:pt>
                <c:pt idx="17">
                  <c:v>2.4206455083658551</c:v>
                </c:pt>
                <c:pt idx="18">
                  <c:v>7.2548452824076923</c:v>
                </c:pt>
                <c:pt idx="19">
                  <c:v>3.8675566660703766</c:v>
                </c:pt>
                <c:pt idx="20">
                  <c:v>10.601018635915084</c:v>
                </c:pt>
                <c:pt idx="21">
                  <c:v>15.243933782558875</c:v>
                </c:pt>
                <c:pt idx="22">
                  <c:v>15.298972347547318</c:v>
                </c:pt>
                <c:pt idx="23">
                  <c:v>15.573043431141226</c:v>
                </c:pt>
                <c:pt idx="24">
                  <c:v>14.773311616141777</c:v>
                </c:pt>
                <c:pt idx="25">
                  <c:v>16.060819347597302</c:v>
                </c:pt>
                <c:pt idx="26">
                  <c:v>13.721122192835118</c:v>
                </c:pt>
                <c:pt idx="27">
                  <c:v>2.5661173110366557</c:v>
                </c:pt>
                <c:pt idx="28">
                  <c:v>4.3862763386565362</c:v>
                </c:pt>
                <c:pt idx="29">
                  <c:v>2.8454996388753182</c:v>
                </c:pt>
                <c:pt idx="30">
                  <c:v>6.6787209145605795</c:v>
                </c:pt>
                <c:pt idx="31">
                  <c:v>8.3203836497756853</c:v>
                </c:pt>
                <c:pt idx="32">
                  <c:v>3.6651913925533735</c:v>
                </c:pt>
                <c:pt idx="33">
                  <c:v>7.8183381031001629</c:v>
                </c:pt>
                <c:pt idx="34">
                  <c:v>7.586295834160186</c:v>
                </c:pt>
                <c:pt idx="35">
                  <c:v>7.0408878052570412</c:v>
                </c:pt>
                <c:pt idx="36">
                  <c:v>14.432245509564856</c:v>
                </c:pt>
                <c:pt idx="37">
                  <c:v>8.4680276193777448</c:v>
                </c:pt>
                <c:pt idx="38">
                  <c:v>20.134819552504343</c:v>
                </c:pt>
                <c:pt idx="39">
                  <c:v>20.176488173596113</c:v>
                </c:pt>
                <c:pt idx="40">
                  <c:v>19.141592706362442</c:v>
                </c:pt>
                <c:pt idx="41">
                  <c:v>10.377842704583573</c:v>
                </c:pt>
                <c:pt idx="42">
                  <c:v>16.500885433500098</c:v>
                </c:pt>
                <c:pt idx="43">
                  <c:v>18.943043015180429</c:v>
                </c:pt>
                <c:pt idx="44">
                  <c:v>10.484749183983768</c:v>
                </c:pt>
                <c:pt idx="45">
                  <c:v>13.251699683621466</c:v>
                </c:pt>
                <c:pt idx="46">
                  <c:v>5.7963766226018398</c:v>
                </c:pt>
                <c:pt idx="47">
                  <c:v>9.9067462882129895</c:v>
                </c:pt>
                <c:pt idx="48">
                  <c:v>18.701154201110565</c:v>
                </c:pt>
                <c:pt idx="49">
                  <c:v>12.063228416554427</c:v>
                </c:pt>
                <c:pt idx="50">
                  <c:v>13.557493353773298</c:v>
                </c:pt>
                <c:pt idx="51">
                  <c:v>14.045346229643929</c:v>
                </c:pt>
                <c:pt idx="52">
                  <c:v>21.900720817549594</c:v>
                </c:pt>
                <c:pt idx="53">
                  <c:v>22.410880918084018</c:v>
                </c:pt>
                <c:pt idx="54">
                  <c:v>14.492616939987164</c:v>
                </c:pt>
                <c:pt idx="55">
                  <c:v>20.231618439166212</c:v>
                </c:pt>
                <c:pt idx="56">
                  <c:v>25.368075849620087</c:v>
                </c:pt>
                <c:pt idx="57">
                  <c:v>17.168159366825421</c:v>
                </c:pt>
                <c:pt idx="58">
                  <c:v>22.464401411601873</c:v>
                </c:pt>
                <c:pt idx="59">
                  <c:v>25.230176614596978</c:v>
                </c:pt>
                <c:pt idx="60">
                  <c:v>9.2867294458367109</c:v>
                </c:pt>
                <c:pt idx="61">
                  <c:v>23.842863217582519</c:v>
                </c:pt>
                <c:pt idx="62">
                  <c:v>3.6425475860274608</c:v>
                </c:pt>
                <c:pt idx="63">
                  <c:v>9.3438260792855274</c:v>
                </c:pt>
                <c:pt idx="64">
                  <c:v>12.716785072513968</c:v>
                </c:pt>
                <c:pt idx="65">
                  <c:v>24.117768604856725</c:v>
                </c:pt>
                <c:pt idx="66">
                  <c:v>20.030968453925531</c:v>
                </c:pt>
                <c:pt idx="67">
                  <c:v>22.521573934983106</c:v>
                </c:pt>
                <c:pt idx="68">
                  <c:v>15.588757173868066</c:v>
                </c:pt>
                <c:pt idx="69">
                  <c:v>10.100282391221656</c:v>
                </c:pt>
                <c:pt idx="70">
                  <c:v>10.18061253298341</c:v>
                </c:pt>
                <c:pt idx="71">
                  <c:v>5.5629473959404381</c:v>
                </c:pt>
                <c:pt idx="72">
                  <c:v>7.9649607856336422</c:v>
                </c:pt>
                <c:pt idx="73">
                  <c:v>8.1552927012936305</c:v>
                </c:pt>
                <c:pt idx="74">
                  <c:v>6.2680146059367967</c:v>
                </c:pt>
                <c:pt idx="75">
                  <c:v>7.3533088024686144</c:v>
                </c:pt>
                <c:pt idx="76">
                  <c:v>9.1790379057159424</c:v>
                </c:pt>
                <c:pt idx="77">
                  <c:v>18.439418023732461</c:v>
                </c:pt>
                <c:pt idx="78">
                  <c:v>20.562120436572169</c:v>
                </c:pt>
                <c:pt idx="79">
                  <c:v>29.453863519539873</c:v>
                </c:pt>
                <c:pt idx="80">
                  <c:v>27.195373416670204</c:v>
                </c:pt>
                <c:pt idx="81">
                  <c:v>30.546563876020539</c:v>
                </c:pt>
                <c:pt idx="82">
                  <c:v>30.242598495227046</c:v>
                </c:pt>
                <c:pt idx="83">
                  <c:v>27.009476749975011</c:v>
                </c:pt>
                <c:pt idx="84">
                  <c:v>28.741292760780631</c:v>
                </c:pt>
                <c:pt idx="85">
                  <c:v>28.668527837152631</c:v>
                </c:pt>
                <c:pt idx="86">
                  <c:v>22.150594405115317</c:v>
                </c:pt>
                <c:pt idx="87">
                  <c:v>17.818318534836472</c:v>
                </c:pt>
                <c:pt idx="88">
                  <c:v>4.4061101247019483</c:v>
                </c:pt>
                <c:pt idx="89">
                  <c:v>19.014962551213262</c:v>
                </c:pt>
                <c:pt idx="90">
                  <c:v>20.93526405318546</c:v>
                </c:pt>
                <c:pt idx="91">
                  <c:v>12.921039497481559</c:v>
                </c:pt>
                <c:pt idx="92">
                  <c:v>15.356179173407023</c:v>
                </c:pt>
                <c:pt idx="93">
                  <c:v>27.964614921391096</c:v>
                </c:pt>
                <c:pt idx="94">
                  <c:v>34.473628959686849</c:v>
                </c:pt>
                <c:pt idx="95">
                  <c:v>7.9287569366034214</c:v>
                </c:pt>
                <c:pt idx="96">
                  <c:v>25.629405024527006</c:v>
                </c:pt>
                <c:pt idx="97">
                  <c:v>20.20777406387052</c:v>
                </c:pt>
                <c:pt idx="98">
                  <c:v>24.391270627765856</c:v>
                </c:pt>
                <c:pt idx="99">
                  <c:v>34.528320741220512</c:v>
                </c:pt>
                <c:pt idx="100">
                  <c:v>27.673045207839646</c:v>
                </c:pt>
                <c:pt idx="101">
                  <c:v>23.477796587943988</c:v>
                </c:pt>
                <c:pt idx="102">
                  <c:v>4.5603971532385348</c:v>
                </c:pt>
                <c:pt idx="103">
                  <c:v>25.852841021630944</c:v>
                </c:pt>
                <c:pt idx="104">
                  <c:v>28.671843473247886</c:v>
                </c:pt>
                <c:pt idx="105">
                  <c:v>28.86333384522769</c:v>
                </c:pt>
                <c:pt idx="106">
                  <c:v>35.785970774029167</c:v>
                </c:pt>
                <c:pt idx="107">
                  <c:v>25.626173733525597</c:v>
                </c:pt>
                <c:pt idx="108">
                  <c:v>6.2782912946205398</c:v>
                </c:pt>
                <c:pt idx="109">
                  <c:v>6.4203917550609901</c:v>
                </c:pt>
                <c:pt idx="110">
                  <c:v>6.8585010530352513</c:v>
                </c:pt>
                <c:pt idx="111">
                  <c:v>18.082181306522372</c:v>
                </c:pt>
                <c:pt idx="112">
                  <c:v>5.641940752192399</c:v>
                </c:pt>
                <c:pt idx="113">
                  <c:v>22.177094278330923</c:v>
                </c:pt>
                <c:pt idx="114">
                  <c:v>30.738789448094916</c:v>
                </c:pt>
                <c:pt idx="115">
                  <c:v>35.5017144419717</c:v>
                </c:pt>
                <c:pt idx="116">
                  <c:v>25.755100664957947</c:v>
                </c:pt>
                <c:pt idx="117">
                  <c:v>16.482051359585203</c:v>
                </c:pt>
                <c:pt idx="118">
                  <c:v>28.05726578542545</c:v>
                </c:pt>
                <c:pt idx="119">
                  <c:v>29.527564092445616</c:v>
                </c:pt>
                <c:pt idx="120">
                  <c:v>30.434454396542616</c:v>
                </c:pt>
                <c:pt idx="121">
                  <c:v>17.730464562697144</c:v>
                </c:pt>
                <c:pt idx="122">
                  <c:v>19.702991506455891</c:v>
                </c:pt>
                <c:pt idx="123">
                  <c:v>13.734316410369882</c:v>
                </c:pt>
                <c:pt idx="124">
                  <c:v>26.858920955669607</c:v>
                </c:pt>
                <c:pt idx="125">
                  <c:v>24.924016760597947</c:v>
                </c:pt>
                <c:pt idx="126">
                  <c:v>30.979732114089582</c:v>
                </c:pt>
                <c:pt idx="127">
                  <c:v>31.95868771862121</c:v>
                </c:pt>
                <c:pt idx="128">
                  <c:v>36.011371299415835</c:v>
                </c:pt>
                <c:pt idx="129">
                  <c:v>33.287074626027682</c:v>
                </c:pt>
                <c:pt idx="130">
                  <c:v>35.895183660810453</c:v>
                </c:pt>
                <c:pt idx="131">
                  <c:v>27.623314058794072</c:v>
                </c:pt>
                <c:pt idx="132">
                  <c:v>30.155442638493383</c:v>
                </c:pt>
                <c:pt idx="133">
                  <c:v>31.405781728369114</c:v>
                </c:pt>
                <c:pt idx="134">
                  <c:v>33.448505944452243</c:v>
                </c:pt>
                <c:pt idx="135">
                  <c:v>32.39376679554033</c:v>
                </c:pt>
                <c:pt idx="136">
                  <c:v>34.816419493122233</c:v>
                </c:pt>
                <c:pt idx="137">
                  <c:v>33.482420324843581</c:v>
                </c:pt>
                <c:pt idx="138">
                  <c:v>34.551229210728891</c:v>
                </c:pt>
                <c:pt idx="139">
                  <c:v>30.818341423135923</c:v>
                </c:pt>
                <c:pt idx="140">
                  <c:v>30.719776050354344</c:v>
                </c:pt>
                <c:pt idx="141">
                  <c:v>22.959740230274473</c:v>
                </c:pt>
                <c:pt idx="142">
                  <c:v>11.952095432445278</c:v>
                </c:pt>
                <c:pt idx="143">
                  <c:v>10.697915089011662</c:v>
                </c:pt>
                <c:pt idx="144">
                  <c:v>26.352632025758645</c:v>
                </c:pt>
                <c:pt idx="145">
                  <c:v>14.110379533294104</c:v>
                </c:pt>
                <c:pt idx="146">
                  <c:v>27.988962932374204</c:v>
                </c:pt>
                <c:pt idx="147">
                  <c:v>35.597419345917459</c:v>
                </c:pt>
                <c:pt idx="148">
                  <c:v>38.63202206579885</c:v>
                </c:pt>
                <c:pt idx="149">
                  <c:v>31.993803325989134</c:v>
                </c:pt>
                <c:pt idx="150">
                  <c:v>35.009664675260815</c:v>
                </c:pt>
                <c:pt idx="151">
                  <c:v>35.805178578142772</c:v>
                </c:pt>
                <c:pt idx="152">
                  <c:v>28.59056360132163</c:v>
                </c:pt>
                <c:pt idx="153">
                  <c:v>34.625181072832042</c:v>
                </c:pt>
                <c:pt idx="154">
                  <c:v>17.200646486146386</c:v>
                </c:pt>
                <c:pt idx="155">
                  <c:v>21.102693192874568</c:v>
                </c:pt>
                <c:pt idx="156">
                  <c:v>29.283742269379673</c:v>
                </c:pt>
                <c:pt idx="157">
                  <c:v>16.968919738520317</c:v>
                </c:pt>
                <c:pt idx="158">
                  <c:v>14.977504806941846</c:v>
                </c:pt>
                <c:pt idx="159">
                  <c:v>29.315628796074972</c:v>
                </c:pt>
                <c:pt idx="160">
                  <c:v>37.290562893717336</c:v>
                </c:pt>
                <c:pt idx="161">
                  <c:v>35.33176112730343</c:v>
                </c:pt>
                <c:pt idx="162">
                  <c:v>27.970824545281271</c:v>
                </c:pt>
                <c:pt idx="163">
                  <c:v>34.040180769784513</c:v>
                </c:pt>
                <c:pt idx="164">
                  <c:v>30.49444877215663</c:v>
                </c:pt>
                <c:pt idx="165">
                  <c:v>34.562460395191742</c:v>
                </c:pt>
                <c:pt idx="166">
                  <c:v>32.610518231134208</c:v>
                </c:pt>
                <c:pt idx="167">
                  <c:v>33.204724938256454</c:v>
                </c:pt>
                <c:pt idx="168">
                  <c:v>34.42659439948649</c:v>
                </c:pt>
                <c:pt idx="169">
                  <c:v>35.248778882374218</c:v>
                </c:pt>
                <c:pt idx="170">
                  <c:v>19.810905141711221</c:v>
                </c:pt>
                <c:pt idx="171">
                  <c:v>13.865897876337712</c:v>
                </c:pt>
                <c:pt idx="172">
                  <c:v>28.930958605135007</c:v>
                </c:pt>
                <c:pt idx="173">
                  <c:v>25.992045547869633</c:v>
                </c:pt>
                <c:pt idx="174">
                  <c:v>29.498591431260699</c:v>
                </c:pt>
                <c:pt idx="175">
                  <c:v>21.036925121880277</c:v>
                </c:pt>
                <c:pt idx="176">
                  <c:v>7.5054533792994436</c:v>
                </c:pt>
                <c:pt idx="177">
                  <c:v>9.7171450662204766</c:v>
                </c:pt>
                <c:pt idx="178">
                  <c:v>37.771230429140985</c:v>
                </c:pt>
                <c:pt idx="179">
                  <c:v>36.492280189787557</c:v>
                </c:pt>
                <c:pt idx="180">
                  <c:v>8.8743887091246521</c:v>
                </c:pt>
                <c:pt idx="181">
                  <c:v>34.380444441371573</c:v>
                </c:pt>
                <c:pt idx="182">
                  <c:v>35.432588623615835</c:v>
                </c:pt>
                <c:pt idx="183">
                  <c:v>29.321616260338999</c:v>
                </c:pt>
                <c:pt idx="184">
                  <c:v>28.098877428321131</c:v>
                </c:pt>
                <c:pt idx="185">
                  <c:v>35.06470647151437</c:v>
                </c:pt>
                <c:pt idx="186">
                  <c:v>28.009191397178903</c:v>
                </c:pt>
                <c:pt idx="187">
                  <c:v>36.090286240411295</c:v>
                </c:pt>
                <c:pt idx="188">
                  <c:v>37.228302684307316</c:v>
                </c:pt>
                <c:pt idx="189">
                  <c:v>36.518769950554152</c:v>
                </c:pt>
                <c:pt idx="190">
                  <c:v>36.088537622225907</c:v>
                </c:pt>
                <c:pt idx="191">
                  <c:v>34.814464751816587</c:v>
                </c:pt>
                <c:pt idx="192">
                  <c:v>34.638856915323068</c:v>
                </c:pt>
                <c:pt idx="193">
                  <c:v>34.499764323412982</c:v>
                </c:pt>
                <c:pt idx="194">
                  <c:v>33.891868768749262</c:v>
                </c:pt>
                <c:pt idx="195">
                  <c:v>32.815167679071948</c:v>
                </c:pt>
                <c:pt idx="196">
                  <c:v>34.011416333711828</c:v>
                </c:pt>
                <c:pt idx="197">
                  <c:v>33.344296201996499</c:v>
                </c:pt>
                <c:pt idx="198">
                  <c:v>33.276255944503902</c:v>
                </c:pt>
                <c:pt idx="199">
                  <c:v>25.833655838486212</c:v>
                </c:pt>
                <c:pt idx="200">
                  <c:v>25.284950698835228</c:v>
                </c:pt>
                <c:pt idx="201">
                  <c:v>33.012911290519718</c:v>
                </c:pt>
                <c:pt idx="202">
                  <c:v>26.201927184189081</c:v>
                </c:pt>
                <c:pt idx="203">
                  <c:v>30.671939997009193</c:v>
                </c:pt>
                <c:pt idx="204">
                  <c:v>33.141383978966942</c:v>
                </c:pt>
                <c:pt idx="205">
                  <c:v>18.67247023533276</c:v>
                </c:pt>
                <c:pt idx="206">
                  <c:v>34.368297534488555</c:v>
                </c:pt>
                <c:pt idx="207">
                  <c:v>36.081737284033345</c:v>
                </c:pt>
                <c:pt idx="208">
                  <c:v>29.115732766407202</c:v>
                </c:pt>
                <c:pt idx="209">
                  <c:v>18.567971273230931</c:v>
                </c:pt>
                <c:pt idx="210">
                  <c:v>29.672480205144026</c:v>
                </c:pt>
                <c:pt idx="211">
                  <c:v>34.578797685479422</c:v>
                </c:pt>
                <c:pt idx="212">
                  <c:v>34.480153477372767</c:v>
                </c:pt>
                <c:pt idx="213">
                  <c:v>34.377560661918579</c:v>
                </c:pt>
                <c:pt idx="214">
                  <c:v>32.076955483908378</c:v>
                </c:pt>
                <c:pt idx="215">
                  <c:v>31.53613675407145</c:v>
                </c:pt>
                <c:pt idx="216">
                  <c:v>28.631484012606329</c:v>
                </c:pt>
                <c:pt idx="217">
                  <c:v>31.071360792889308</c:v>
                </c:pt>
                <c:pt idx="218">
                  <c:v>33.292133001192433</c:v>
                </c:pt>
                <c:pt idx="219">
                  <c:v>33.914973452313369</c:v>
                </c:pt>
                <c:pt idx="220">
                  <c:v>31.914390201665928</c:v>
                </c:pt>
                <c:pt idx="221">
                  <c:v>30.708330460575297</c:v>
                </c:pt>
                <c:pt idx="222">
                  <c:v>28.67319100777074</c:v>
                </c:pt>
                <c:pt idx="223">
                  <c:v>29.90105534092848</c:v>
                </c:pt>
                <c:pt idx="224">
                  <c:v>21.519512406902294</c:v>
                </c:pt>
                <c:pt idx="225">
                  <c:v>22.776979289796721</c:v>
                </c:pt>
                <c:pt idx="226">
                  <c:v>21.765335114433569</c:v>
                </c:pt>
                <c:pt idx="227">
                  <c:v>21.529471250815604</c:v>
                </c:pt>
                <c:pt idx="228">
                  <c:v>17.101803914264654</c:v>
                </c:pt>
                <c:pt idx="229">
                  <c:v>25.373911060538411</c:v>
                </c:pt>
                <c:pt idx="230">
                  <c:v>25.579241379418374</c:v>
                </c:pt>
                <c:pt idx="231">
                  <c:v>31.748068248525612</c:v>
                </c:pt>
                <c:pt idx="232">
                  <c:v>19.90104804255628</c:v>
                </c:pt>
                <c:pt idx="233">
                  <c:v>16.500825040593451</c:v>
                </c:pt>
                <c:pt idx="234">
                  <c:v>29.550114068132583</c:v>
                </c:pt>
                <c:pt idx="235">
                  <c:v>29.038877608248235</c:v>
                </c:pt>
                <c:pt idx="236">
                  <c:v>21.414236026694674</c:v>
                </c:pt>
                <c:pt idx="237">
                  <c:v>26.063098188294145</c:v>
                </c:pt>
                <c:pt idx="238">
                  <c:v>31.531193384426544</c:v>
                </c:pt>
                <c:pt idx="239">
                  <c:v>30.507690995465893</c:v>
                </c:pt>
                <c:pt idx="240">
                  <c:v>20.911937797163382</c:v>
                </c:pt>
                <c:pt idx="241">
                  <c:v>30.147486799756205</c:v>
                </c:pt>
                <c:pt idx="242">
                  <c:v>14.127204349939232</c:v>
                </c:pt>
                <c:pt idx="243">
                  <c:v>26.6445998889915</c:v>
                </c:pt>
                <c:pt idx="244">
                  <c:v>26.274484169493171</c:v>
                </c:pt>
                <c:pt idx="245">
                  <c:v>25.52534954563307</c:v>
                </c:pt>
                <c:pt idx="246">
                  <c:v>28.282111877023102</c:v>
                </c:pt>
                <c:pt idx="247">
                  <c:v>25.0703498440656</c:v>
                </c:pt>
                <c:pt idx="248">
                  <c:v>28.670017836218488</c:v>
                </c:pt>
                <c:pt idx="249">
                  <c:v>21.77764069560212</c:v>
                </c:pt>
                <c:pt idx="250">
                  <c:v>24.092194795436232</c:v>
                </c:pt>
                <c:pt idx="251">
                  <c:v>13.434332963652382</c:v>
                </c:pt>
                <c:pt idx="252">
                  <c:v>28.797276309534187</c:v>
                </c:pt>
                <c:pt idx="253">
                  <c:v>28.690297229101521</c:v>
                </c:pt>
                <c:pt idx="254">
                  <c:v>20.143291099531318</c:v>
                </c:pt>
                <c:pt idx="255">
                  <c:v>7.5777468231844738</c:v>
                </c:pt>
                <c:pt idx="256">
                  <c:v>22.480413047869543</c:v>
                </c:pt>
                <c:pt idx="257">
                  <c:v>27.270996762569254</c:v>
                </c:pt>
                <c:pt idx="258">
                  <c:v>20.401078525769289</c:v>
                </c:pt>
                <c:pt idx="259">
                  <c:v>28.770328355964956</c:v>
                </c:pt>
                <c:pt idx="260">
                  <c:v>28.881429148360212</c:v>
                </c:pt>
                <c:pt idx="261">
                  <c:v>28.301169532941085</c:v>
                </c:pt>
                <c:pt idx="262">
                  <c:v>29.518850005477333</c:v>
                </c:pt>
                <c:pt idx="263">
                  <c:v>28.478836894982845</c:v>
                </c:pt>
                <c:pt idx="264">
                  <c:v>27.40660266826287</c:v>
                </c:pt>
                <c:pt idx="265">
                  <c:v>16.95049131364928</c:v>
                </c:pt>
                <c:pt idx="266">
                  <c:v>10.576881314883536</c:v>
                </c:pt>
                <c:pt idx="267">
                  <c:v>19.753873441775593</c:v>
                </c:pt>
                <c:pt idx="268">
                  <c:v>18.819995246837951</c:v>
                </c:pt>
                <c:pt idx="269">
                  <c:v>9.440438111242436</c:v>
                </c:pt>
                <c:pt idx="270">
                  <c:v>10.682379388563431</c:v>
                </c:pt>
                <c:pt idx="271">
                  <c:v>14.52878731619877</c:v>
                </c:pt>
                <c:pt idx="272">
                  <c:v>18.099105132250148</c:v>
                </c:pt>
                <c:pt idx="273">
                  <c:v>23.17580941319622</c:v>
                </c:pt>
                <c:pt idx="274">
                  <c:v>24.31157017257739</c:v>
                </c:pt>
                <c:pt idx="275">
                  <c:v>22.441867750999204</c:v>
                </c:pt>
                <c:pt idx="276">
                  <c:v>25.077451703578117</c:v>
                </c:pt>
                <c:pt idx="277">
                  <c:v>25.184061292755338</c:v>
                </c:pt>
                <c:pt idx="278">
                  <c:v>8.281503102695785</c:v>
                </c:pt>
                <c:pt idx="279">
                  <c:v>17.224760348669918</c:v>
                </c:pt>
                <c:pt idx="280">
                  <c:v>10.909887707948879</c:v>
                </c:pt>
                <c:pt idx="281">
                  <c:v>22.736746059182714</c:v>
                </c:pt>
                <c:pt idx="282">
                  <c:v>18.169255873197212</c:v>
                </c:pt>
                <c:pt idx="283">
                  <c:v>14.254414808691553</c:v>
                </c:pt>
                <c:pt idx="284">
                  <c:v>17.25809503315644</c:v>
                </c:pt>
                <c:pt idx="285">
                  <c:v>13.338697291576061</c:v>
                </c:pt>
                <c:pt idx="286">
                  <c:v>10.531534262652613</c:v>
                </c:pt>
                <c:pt idx="287">
                  <c:v>21.730204281297286</c:v>
                </c:pt>
                <c:pt idx="288">
                  <c:v>19.309681089971257</c:v>
                </c:pt>
                <c:pt idx="289">
                  <c:v>11.357502966150713</c:v>
                </c:pt>
                <c:pt idx="290">
                  <c:v>19.480245346975298</c:v>
                </c:pt>
                <c:pt idx="291">
                  <c:v>9.0879891662528092</c:v>
                </c:pt>
                <c:pt idx="292">
                  <c:v>4.4025745107610579</c:v>
                </c:pt>
                <c:pt idx="293">
                  <c:v>9.4415844251095677</c:v>
                </c:pt>
                <c:pt idx="294">
                  <c:v>18.390936283941759</c:v>
                </c:pt>
                <c:pt idx="295">
                  <c:v>11.905509174544667</c:v>
                </c:pt>
                <c:pt idx="296">
                  <c:v>14.504785464096866</c:v>
                </c:pt>
                <c:pt idx="297">
                  <c:v>12.597085831553128</c:v>
                </c:pt>
                <c:pt idx="298">
                  <c:v>8.4401006344262761</c:v>
                </c:pt>
                <c:pt idx="299">
                  <c:v>7.81674353360079</c:v>
                </c:pt>
                <c:pt idx="300">
                  <c:v>10.24912089382933</c:v>
                </c:pt>
                <c:pt idx="301">
                  <c:v>14.884522835184191</c:v>
                </c:pt>
                <c:pt idx="302">
                  <c:v>12.491768757676033</c:v>
                </c:pt>
                <c:pt idx="303">
                  <c:v>11.838634182445242</c:v>
                </c:pt>
                <c:pt idx="304">
                  <c:v>12.631307477616135</c:v>
                </c:pt>
                <c:pt idx="305">
                  <c:v>14.631693603774034</c:v>
                </c:pt>
                <c:pt idx="306">
                  <c:v>5.5041321313892366</c:v>
                </c:pt>
                <c:pt idx="307">
                  <c:v>7.8753162292393908</c:v>
                </c:pt>
                <c:pt idx="308">
                  <c:v>16.165025302649262</c:v>
                </c:pt>
                <c:pt idx="309">
                  <c:v>15.393745512496556</c:v>
                </c:pt>
                <c:pt idx="310">
                  <c:v>14.777063022421631</c:v>
                </c:pt>
                <c:pt idx="311">
                  <c:v>10.764763607873801</c:v>
                </c:pt>
                <c:pt idx="312">
                  <c:v>5.9638115703929495</c:v>
                </c:pt>
                <c:pt idx="313">
                  <c:v>11.445389909599911</c:v>
                </c:pt>
                <c:pt idx="314">
                  <c:v>13.335455703012324</c:v>
                </c:pt>
                <c:pt idx="315">
                  <c:v>13.138791439696194</c:v>
                </c:pt>
                <c:pt idx="316">
                  <c:v>13.160728210442707</c:v>
                </c:pt>
                <c:pt idx="317">
                  <c:v>5.9166857077977468</c:v>
                </c:pt>
                <c:pt idx="318">
                  <c:v>7.3211712238778128</c:v>
                </c:pt>
                <c:pt idx="319">
                  <c:v>11.775503332992894</c:v>
                </c:pt>
                <c:pt idx="320">
                  <c:v>8.8885673945953112</c:v>
                </c:pt>
                <c:pt idx="321">
                  <c:v>7.4138371707845847</c:v>
                </c:pt>
                <c:pt idx="322">
                  <c:v>5.0401823988207006</c:v>
                </c:pt>
                <c:pt idx="323">
                  <c:v>9.6114243392145973</c:v>
                </c:pt>
                <c:pt idx="324">
                  <c:v>1.8904098888842125</c:v>
                </c:pt>
                <c:pt idx="325">
                  <c:v>5.4775231286481922</c:v>
                </c:pt>
                <c:pt idx="326">
                  <c:v>7.2667026138903665</c:v>
                </c:pt>
                <c:pt idx="327">
                  <c:v>7.0423386238264447</c:v>
                </c:pt>
                <c:pt idx="328">
                  <c:v>2.9699784575167922</c:v>
                </c:pt>
                <c:pt idx="329">
                  <c:v>5.8722881964508771</c:v>
                </c:pt>
                <c:pt idx="330">
                  <c:v>8.0862092748407335</c:v>
                </c:pt>
                <c:pt idx="331">
                  <c:v>5.3950429763346524</c:v>
                </c:pt>
                <c:pt idx="332">
                  <c:v>6.0335328185097712</c:v>
                </c:pt>
                <c:pt idx="333">
                  <c:v>2.2431606007601324</c:v>
                </c:pt>
                <c:pt idx="334">
                  <c:v>2.0769286034980174</c:v>
                </c:pt>
                <c:pt idx="335">
                  <c:v>3.2105856655737388</c:v>
                </c:pt>
                <c:pt idx="336">
                  <c:v>5.5994549126408986</c:v>
                </c:pt>
                <c:pt idx="337">
                  <c:v>8.0592154387683905</c:v>
                </c:pt>
                <c:pt idx="338">
                  <c:v>9.3928297264082321</c:v>
                </c:pt>
                <c:pt idx="339">
                  <c:v>6.8139863231139746</c:v>
                </c:pt>
                <c:pt idx="340">
                  <c:v>7.9527513698213195</c:v>
                </c:pt>
                <c:pt idx="341">
                  <c:v>2.618777004868702</c:v>
                </c:pt>
                <c:pt idx="342">
                  <c:v>3.730901814735148</c:v>
                </c:pt>
                <c:pt idx="343">
                  <c:v>6.4272007282885797</c:v>
                </c:pt>
                <c:pt idx="344">
                  <c:v>7.4958287759101321</c:v>
                </c:pt>
                <c:pt idx="345">
                  <c:v>3.0210591043058557</c:v>
                </c:pt>
                <c:pt idx="346">
                  <c:v>2.9983103457535525</c:v>
                </c:pt>
                <c:pt idx="347">
                  <c:v>7.0656733254454203</c:v>
                </c:pt>
                <c:pt idx="348">
                  <c:v>3.518379962436387</c:v>
                </c:pt>
                <c:pt idx="349">
                  <c:v>2.9405560592116098</c:v>
                </c:pt>
                <c:pt idx="350">
                  <c:v>1.7189000600196054</c:v>
                </c:pt>
                <c:pt idx="351">
                  <c:v>9.1702486409818125</c:v>
                </c:pt>
                <c:pt idx="352">
                  <c:v>9.1596991854334</c:v>
                </c:pt>
                <c:pt idx="353">
                  <c:v>2.3633773811029641</c:v>
                </c:pt>
                <c:pt idx="354">
                  <c:v>8.3563684324661587</c:v>
                </c:pt>
                <c:pt idx="355">
                  <c:v>9.4204521828032348</c:v>
                </c:pt>
                <c:pt idx="356">
                  <c:v>9.2831413018559221</c:v>
                </c:pt>
                <c:pt idx="357">
                  <c:v>9.4891492743074757</c:v>
                </c:pt>
                <c:pt idx="358">
                  <c:v>5.6580752082704056</c:v>
                </c:pt>
                <c:pt idx="359">
                  <c:v>9.7881787234415594</c:v>
                </c:pt>
                <c:pt idx="360">
                  <c:v>3.7932150633925672</c:v>
                </c:pt>
                <c:pt idx="361">
                  <c:v>10.31144035648693</c:v>
                </c:pt>
                <c:pt idx="362">
                  <c:v>5.8856455527923686</c:v>
                </c:pt>
                <c:pt idx="363">
                  <c:v>7.503971029072658</c:v>
                </c:pt>
                <c:pt idx="364">
                  <c:v>7.0552073384077341</c:v>
                </c:pt>
                <c:pt idx="365">
                  <c:v>7.6598692622010853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11.322877589982793</c:v>
                </c:pt>
                <c:pt idx="1">
                  <c:v>8.8392456325914655</c:v>
                </c:pt>
                <c:pt idx="2">
                  <c:v>10.139890670931152</c:v>
                </c:pt>
                <c:pt idx="3">
                  <c:v>10.631998133639826</c:v>
                </c:pt>
                <c:pt idx="4">
                  <c:v>8.7935215266055042</c:v>
                </c:pt>
                <c:pt idx="5">
                  <c:v>12.596820248076609</c:v>
                </c:pt>
                <c:pt idx="6">
                  <c:v>5.609642018906615</c:v>
                </c:pt>
                <c:pt idx="7">
                  <c:v>4.5204855474647214</c:v>
                </c:pt>
                <c:pt idx="8">
                  <c:v>1.2464753037620682</c:v>
                </c:pt>
                <c:pt idx="9">
                  <c:v>0.89472168849454625</c:v>
                </c:pt>
                <c:pt idx="10">
                  <c:v>12.93326468155357</c:v>
                </c:pt>
                <c:pt idx="11">
                  <c:v>10.5435940517416</c:v>
                </c:pt>
                <c:pt idx="12">
                  <c:v>3.21393188388498</c:v>
                </c:pt>
                <c:pt idx="13">
                  <c:v>13.425944683875787</c:v>
                </c:pt>
                <c:pt idx="14">
                  <c:v>13.719053522065398</c:v>
                </c:pt>
                <c:pt idx="15">
                  <c:v>13.792529189529983</c:v>
                </c:pt>
                <c:pt idx="16">
                  <c:v>9.9953654855510834</c:v>
                </c:pt>
                <c:pt idx="17">
                  <c:v>2.4206455083658551</c:v>
                </c:pt>
                <c:pt idx="18">
                  <c:v>7.2548452824076923</c:v>
                </c:pt>
                <c:pt idx="19">
                  <c:v>3.8675566660703766</c:v>
                </c:pt>
                <c:pt idx="20">
                  <c:v>10.601018635915084</c:v>
                </c:pt>
                <c:pt idx="21">
                  <c:v>15.243933782558875</c:v>
                </c:pt>
                <c:pt idx="22">
                  <c:v>15.298972347547318</c:v>
                </c:pt>
                <c:pt idx="23">
                  <c:v>15.573043431141226</c:v>
                </c:pt>
                <c:pt idx="24">
                  <c:v>14.773311616141777</c:v>
                </c:pt>
                <c:pt idx="25">
                  <c:v>16.060819347597302</c:v>
                </c:pt>
                <c:pt idx="26">
                  <c:v>13.721122192835118</c:v>
                </c:pt>
                <c:pt idx="27">
                  <c:v>2.5661173110366557</c:v>
                </c:pt>
                <c:pt idx="28">
                  <c:v>4.3862763386565362</c:v>
                </c:pt>
                <c:pt idx="29">
                  <c:v>2.8454996388753182</c:v>
                </c:pt>
                <c:pt idx="30">
                  <c:v>6.6787209145605795</c:v>
                </c:pt>
                <c:pt idx="31">
                  <c:v>8.3203836497756853</c:v>
                </c:pt>
                <c:pt idx="32">
                  <c:v>3.6651913925533735</c:v>
                </c:pt>
                <c:pt idx="33">
                  <c:v>7.8183381031001629</c:v>
                </c:pt>
                <c:pt idx="34">
                  <c:v>7.586295834160186</c:v>
                </c:pt>
                <c:pt idx="35">
                  <c:v>7.0408878052570412</c:v>
                </c:pt>
                <c:pt idx="36">
                  <c:v>14.432245509564856</c:v>
                </c:pt>
                <c:pt idx="37">
                  <c:v>8.4680276193777448</c:v>
                </c:pt>
                <c:pt idx="38">
                  <c:v>20.134819552504343</c:v>
                </c:pt>
                <c:pt idx="39">
                  <c:v>20.176488173596113</c:v>
                </c:pt>
                <c:pt idx="40">
                  <c:v>19.141592706362442</c:v>
                </c:pt>
                <c:pt idx="41">
                  <c:v>10.377842704583573</c:v>
                </c:pt>
                <c:pt idx="42">
                  <c:v>16.500885433500098</c:v>
                </c:pt>
                <c:pt idx="43">
                  <c:v>18.943043015180429</c:v>
                </c:pt>
                <c:pt idx="44">
                  <c:v>10.484749183983768</c:v>
                </c:pt>
                <c:pt idx="45">
                  <c:v>13.251699683621466</c:v>
                </c:pt>
                <c:pt idx="46">
                  <c:v>5.7963766226018398</c:v>
                </c:pt>
                <c:pt idx="47">
                  <c:v>9.9067462882129895</c:v>
                </c:pt>
                <c:pt idx="48">
                  <c:v>18.701154201110565</c:v>
                </c:pt>
                <c:pt idx="49">
                  <c:v>12.063228416554427</c:v>
                </c:pt>
                <c:pt idx="50">
                  <c:v>13.557493353773298</c:v>
                </c:pt>
                <c:pt idx="51">
                  <c:v>14.045346229643929</c:v>
                </c:pt>
                <c:pt idx="52">
                  <c:v>21.900720817549594</c:v>
                </c:pt>
                <c:pt idx="53">
                  <c:v>22.410880918084018</c:v>
                </c:pt>
                <c:pt idx="54">
                  <c:v>14.492616939987164</c:v>
                </c:pt>
                <c:pt idx="55">
                  <c:v>20.231618439166212</c:v>
                </c:pt>
                <c:pt idx="56">
                  <c:v>25.368075849620087</c:v>
                </c:pt>
                <c:pt idx="57">
                  <c:v>17.168159366825421</c:v>
                </c:pt>
                <c:pt idx="58">
                  <c:v>22.464401411601873</c:v>
                </c:pt>
                <c:pt idx="59">
                  <c:v>25.230176614596978</c:v>
                </c:pt>
                <c:pt idx="60">
                  <c:v>9.2867294458367109</c:v>
                </c:pt>
                <c:pt idx="61">
                  <c:v>23.842863217582519</c:v>
                </c:pt>
                <c:pt idx="62">
                  <c:v>3.6425475860274608</c:v>
                </c:pt>
                <c:pt idx="63">
                  <c:v>9.3438260792855274</c:v>
                </c:pt>
                <c:pt idx="64">
                  <c:v>12.716785072513968</c:v>
                </c:pt>
                <c:pt idx="65">
                  <c:v>24.117768604856725</c:v>
                </c:pt>
                <c:pt idx="66">
                  <c:v>20.030968453925531</c:v>
                </c:pt>
                <c:pt idx="67">
                  <c:v>22.521573934983106</c:v>
                </c:pt>
                <c:pt idx="68">
                  <c:v>15.588757173868066</c:v>
                </c:pt>
                <c:pt idx="69">
                  <c:v>10.100282391221656</c:v>
                </c:pt>
                <c:pt idx="70">
                  <c:v>10.18061253298341</c:v>
                </c:pt>
                <c:pt idx="71">
                  <c:v>5.5629473959404381</c:v>
                </c:pt>
                <c:pt idx="72">
                  <c:v>7.9649607856336422</c:v>
                </c:pt>
                <c:pt idx="73">
                  <c:v>8.1552927012936305</c:v>
                </c:pt>
                <c:pt idx="74">
                  <c:v>6.2680146059367967</c:v>
                </c:pt>
                <c:pt idx="75">
                  <c:v>7.3533088024686144</c:v>
                </c:pt>
                <c:pt idx="76">
                  <c:v>9.1790379057159424</c:v>
                </c:pt>
                <c:pt idx="77">
                  <c:v>18.439418023732461</c:v>
                </c:pt>
                <c:pt idx="78">
                  <c:v>20.562120436572169</c:v>
                </c:pt>
                <c:pt idx="79">
                  <c:v>29.453863519539873</c:v>
                </c:pt>
                <c:pt idx="80">
                  <c:v>27.195373416670204</c:v>
                </c:pt>
                <c:pt idx="81">
                  <c:v>30.546563876020539</c:v>
                </c:pt>
                <c:pt idx="82">
                  <c:v>30.242598495227046</c:v>
                </c:pt>
                <c:pt idx="83">
                  <c:v>27.009476749975011</c:v>
                </c:pt>
                <c:pt idx="84">
                  <c:v>28.741292760780631</c:v>
                </c:pt>
                <c:pt idx="85">
                  <c:v>28.668527837152631</c:v>
                </c:pt>
                <c:pt idx="86">
                  <c:v>22.150594405115317</c:v>
                </c:pt>
                <c:pt idx="87">
                  <c:v>17.818318534836472</c:v>
                </c:pt>
                <c:pt idx="88">
                  <c:v>4.4061101247019483</c:v>
                </c:pt>
                <c:pt idx="89">
                  <c:v>19.014962551213262</c:v>
                </c:pt>
                <c:pt idx="90">
                  <c:v>20.93526405318546</c:v>
                </c:pt>
                <c:pt idx="91">
                  <c:v>12.921039497481559</c:v>
                </c:pt>
                <c:pt idx="92">
                  <c:v>15.356179173407023</c:v>
                </c:pt>
                <c:pt idx="93">
                  <c:v>27.964614921391096</c:v>
                </c:pt>
                <c:pt idx="94">
                  <c:v>34.473628959686849</c:v>
                </c:pt>
                <c:pt idx="95">
                  <c:v>7.9287569366034214</c:v>
                </c:pt>
                <c:pt idx="96">
                  <c:v>25.629405024527006</c:v>
                </c:pt>
                <c:pt idx="97">
                  <c:v>20.20777406387052</c:v>
                </c:pt>
                <c:pt idx="98">
                  <c:v>24.391270627765856</c:v>
                </c:pt>
                <c:pt idx="99">
                  <c:v>34.528320741220512</c:v>
                </c:pt>
                <c:pt idx="100">
                  <c:v>27.673045207839646</c:v>
                </c:pt>
                <c:pt idx="101">
                  <c:v>23.477796587943988</c:v>
                </c:pt>
                <c:pt idx="102">
                  <c:v>4.5603971532385348</c:v>
                </c:pt>
                <c:pt idx="103">
                  <c:v>25.852841021630944</c:v>
                </c:pt>
                <c:pt idx="104">
                  <c:v>28.671843473247886</c:v>
                </c:pt>
                <c:pt idx="105">
                  <c:v>28.86333384522769</c:v>
                </c:pt>
                <c:pt idx="106">
                  <c:v>35.785970774029167</c:v>
                </c:pt>
                <c:pt idx="107">
                  <c:v>25.626173733525597</c:v>
                </c:pt>
                <c:pt idx="108">
                  <c:v>6.2782912946205398</c:v>
                </c:pt>
                <c:pt idx="109">
                  <c:v>6.4203917550609901</c:v>
                </c:pt>
                <c:pt idx="110">
                  <c:v>6.8585010530352513</c:v>
                </c:pt>
                <c:pt idx="111">
                  <c:v>18.082181306522372</c:v>
                </c:pt>
                <c:pt idx="112">
                  <c:v>5.641940752192399</c:v>
                </c:pt>
                <c:pt idx="113">
                  <c:v>22.177094278330923</c:v>
                </c:pt>
                <c:pt idx="114">
                  <c:v>30.738789448094916</c:v>
                </c:pt>
                <c:pt idx="115">
                  <c:v>35.5017144419717</c:v>
                </c:pt>
                <c:pt idx="116">
                  <c:v>25.755100664957947</c:v>
                </c:pt>
                <c:pt idx="117">
                  <c:v>16.482051359585203</c:v>
                </c:pt>
                <c:pt idx="118">
                  <c:v>28.05726578542545</c:v>
                </c:pt>
                <c:pt idx="119">
                  <c:v>29.527564092445616</c:v>
                </c:pt>
                <c:pt idx="120">
                  <c:v>30.434454396542616</c:v>
                </c:pt>
                <c:pt idx="121">
                  <c:v>17.730464562697144</c:v>
                </c:pt>
                <c:pt idx="122">
                  <c:v>19.702991506455891</c:v>
                </c:pt>
                <c:pt idx="123">
                  <c:v>13.734316410369882</c:v>
                </c:pt>
                <c:pt idx="124">
                  <c:v>26.858920955669607</c:v>
                </c:pt>
                <c:pt idx="125">
                  <c:v>24.924016760597947</c:v>
                </c:pt>
                <c:pt idx="126">
                  <c:v>30.979732114089582</c:v>
                </c:pt>
                <c:pt idx="127">
                  <c:v>31.95868771862121</c:v>
                </c:pt>
                <c:pt idx="128">
                  <c:v>36.011371299415835</c:v>
                </c:pt>
                <c:pt idx="129">
                  <c:v>33.287074626027682</c:v>
                </c:pt>
                <c:pt idx="130">
                  <c:v>35.895183660810453</c:v>
                </c:pt>
                <c:pt idx="131">
                  <c:v>27.623314058794072</c:v>
                </c:pt>
                <c:pt idx="132">
                  <c:v>30.155442638493383</c:v>
                </c:pt>
                <c:pt idx="133">
                  <c:v>31.405781728369114</c:v>
                </c:pt>
                <c:pt idx="134">
                  <c:v>33.448505944452243</c:v>
                </c:pt>
                <c:pt idx="135">
                  <c:v>32.39376679554033</c:v>
                </c:pt>
                <c:pt idx="136">
                  <c:v>34.816419493122233</c:v>
                </c:pt>
                <c:pt idx="137">
                  <c:v>33.482420324843581</c:v>
                </c:pt>
                <c:pt idx="138">
                  <c:v>34.551229210728891</c:v>
                </c:pt>
                <c:pt idx="139">
                  <c:v>30.818341423135923</c:v>
                </c:pt>
                <c:pt idx="140">
                  <c:v>30.719776050354344</c:v>
                </c:pt>
                <c:pt idx="141">
                  <c:v>22.959740230274473</c:v>
                </c:pt>
                <c:pt idx="142">
                  <c:v>11.952095432445278</c:v>
                </c:pt>
                <c:pt idx="143">
                  <c:v>10.697915089011662</c:v>
                </c:pt>
                <c:pt idx="144">
                  <c:v>26.352632025758645</c:v>
                </c:pt>
                <c:pt idx="145">
                  <c:v>14.110379533294104</c:v>
                </c:pt>
                <c:pt idx="146">
                  <c:v>27.988962932374204</c:v>
                </c:pt>
                <c:pt idx="147">
                  <c:v>35.597419345917459</c:v>
                </c:pt>
                <c:pt idx="148">
                  <c:v>38.63202206579885</c:v>
                </c:pt>
                <c:pt idx="149">
                  <c:v>31.993803325989134</c:v>
                </c:pt>
                <c:pt idx="150">
                  <c:v>35.009664675260815</c:v>
                </c:pt>
                <c:pt idx="151">
                  <c:v>35.805178578142772</c:v>
                </c:pt>
                <c:pt idx="152">
                  <c:v>28.59056360132163</c:v>
                </c:pt>
                <c:pt idx="153">
                  <c:v>34.625181072832042</c:v>
                </c:pt>
                <c:pt idx="154">
                  <c:v>17.200646486146386</c:v>
                </c:pt>
                <c:pt idx="155">
                  <c:v>21.102693192874568</c:v>
                </c:pt>
                <c:pt idx="156">
                  <c:v>29.283742269379673</c:v>
                </c:pt>
                <c:pt idx="157">
                  <c:v>16.968919738520317</c:v>
                </c:pt>
                <c:pt idx="158">
                  <c:v>14.977504806941846</c:v>
                </c:pt>
                <c:pt idx="159">
                  <c:v>29.315628796074972</c:v>
                </c:pt>
                <c:pt idx="160">
                  <c:v>37.290562893717336</c:v>
                </c:pt>
                <c:pt idx="161">
                  <c:v>35.33176112730343</c:v>
                </c:pt>
                <c:pt idx="162">
                  <c:v>27.970824545281271</c:v>
                </c:pt>
                <c:pt idx="163">
                  <c:v>34.040180769784513</c:v>
                </c:pt>
                <c:pt idx="164">
                  <c:v>30.49444877215663</c:v>
                </c:pt>
                <c:pt idx="165">
                  <c:v>34.562460395191742</c:v>
                </c:pt>
                <c:pt idx="166">
                  <c:v>32.610518231134208</c:v>
                </c:pt>
                <c:pt idx="167">
                  <c:v>33.204724938256454</c:v>
                </c:pt>
                <c:pt idx="168">
                  <c:v>34.42659439948649</c:v>
                </c:pt>
                <c:pt idx="169">
                  <c:v>35.248778882374218</c:v>
                </c:pt>
                <c:pt idx="170">
                  <c:v>19.810905141711221</c:v>
                </c:pt>
                <c:pt idx="171">
                  <c:v>13.865897876337712</c:v>
                </c:pt>
                <c:pt idx="172">
                  <c:v>28.930958605135007</c:v>
                </c:pt>
                <c:pt idx="173">
                  <c:v>25.992045547869633</c:v>
                </c:pt>
                <c:pt idx="174">
                  <c:v>29.498591431260699</c:v>
                </c:pt>
                <c:pt idx="175">
                  <c:v>21.036925121880277</c:v>
                </c:pt>
                <c:pt idx="176">
                  <c:v>7.5054533792994436</c:v>
                </c:pt>
                <c:pt idx="177">
                  <c:v>9.7171450662204766</c:v>
                </c:pt>
                <c:pt idx="178">
                  <c:v>37.771230429140985</c:v>
                </c:pt>
                <c:pt idx="179">
                  <c:v>36.492280189787557</c:v>
                </c:pt>
                <c:pt idx="180">
                  <c:v>8.8743887091246521</c:v>
                </c:pt>
                <c:pt idx="181">
                  <c:v>34.380444441371573</c:v>
                </c:pt>
                <c:pt idx="182">
                  <c:v>35.432588623615835</c:v>
                </c:pt>
                <c:pt idx="183">
                  <c:v>29.321616260338999</c:v>
                </c:pt>
                <c:pt idx="184">
                  <c:v>28.098877428321131</c:v>
                </c:pt>
                <c:pt idx="185">
                  <c:v>35.06470647151437</c:v>
                </c:pt>
                <c:pt idx="186">
                  <c:v>28.009191397178903</c:v>
                </c:pt>
                <c:pt idx="187">
                  <c:v>36.090286240411295</c:v>
                </c:pt>
                <c:pt idx="188">
                  <c:v>37.228302684307316</c:v>
                </c:pt>
                <c:pt idx="189">
                  <c:v>36.518769950554152</c:v>
                </c:pt>
                <c:pt idx="190">
                  <c:v>36.088537622225907</c:v>
                </c:pt>
                <c:pt idx="191">
                  <c:v>34.814464751816587</c:v>
                </c:pt>
                <c:pt idx="192">
                  <c:v>34.638856915323068</c:v>
                </c:pt>
                <c:pt idx="193">
                  <c:v>34.499764323412982</c:v>
                </c:pt>
                <c:pt idx="194">
                  <c:v>33.891868768749262</c:v>
                </c:pt>
                <c:pt idx="195">
                  <c:v>32.815167679071948</c:v>
                </c:pt>
                <c:pt idx="196">
                  <c:v>34.011416333711828</c:v>
                </c:pt>
                <c:pt idx="197">
                  <c:v>33.344296201996499</c:v>
                </c:pt>
                <c:pt idx="198">
                  <c:v>33.276255944503902</c:v>
                </c:pt>
                <c:pt idx="199">
                  <c:v>25.833655838486212</c:v>
                </c:pt>
                <c:pt idx="200">
                  <c:v>25.284950698835228</c:v>
                </c:pt>
                <c:pt idx="201">
                  <c:v>33.012911290519718</c:v>
                </c:pt>
                <c:pt idx="202">
                  <c:v>26.201927184189081</c:v>
                </c:pt>
                <c:pt idx="203">
                  <c:v>30.671939997009193</c:v>
                </c:pt>
                <c:pt idx="204">
                  <c:v>33.141383978966942</c:v>
                </c:pt>
                <c:pt idx="205">
                  <c:v>18.67247023533276</c:v>
                </c:pt>
                <c:pt idx="206">
                  <c:v>34.368297534488555</c:v>
                </c:pt>
                <c:pt idx="207">
                  <c:v>36.081737284033345</c:v>
                </c:pt>
                <c:pt idx="208">
                  <c:v>29.115732766407202</c:v>
                </c:pt>
                <c:pt idx="209">
                  <c:v>18.567971273230931</c:v>
                </c:pt>
                <c:pt idx="210">
                  <c:v>29.672480205144026</c:v>
                </c:pt>
                <c:pt idx="211">
                  <c:v>34.578797685479422</c:v>
                </c:pt>
                <c:pt idx="212">
                  <c:v>34.480153477372767</c:v>
                </c:pt>
                <c:pt idx="213">
                  <c:v>34.377560661918579</c:v>
                </c:pt>
                <c:pt idx="214">
                  <c:v>32.076955483908378</c:v>
                </c:pt>
                <c:pt idx="215">
                  <c:v>31.53613675407145</c:v>
                </c:pt>
                <c:pt idx="216">
                  <c:v>28.631484012606329</c:v>
                </c:pt>
                <c:pt idx="217">
                  <c:v>31.071360792889308</c:v>
                </c:pt>
                <c:pt idx="218">
                  <c:v>33.292133001192433</c:v>
                </c:pt>
                <c:pt idx="219">
                  <c:v>33.914973452313369</c:v>
                </c:pt>
                <c:pt idx="220">
                  <c:v>31.914390201665928</c:v>
                </c:pt>
                <c:pt idx="221">
                  <c:v>30.708330460575297</c:v>
                </c:pt>
                <c:pt idx="222">
                  <c:v>28.67319100777074</c:v>
                </c:pt>
                <c:pt idx="223">
                  <c:v>29.90105534092848</c:v>
                </c:pt>
                <c:pt idx="224">
                  <c:v>21.519512406902294</c:v>
                </c:pt>
                <c:pt idx="225">
                  <c:v>22.776979289796721</c:v>
                </c:pt>
                <c:pt idx="226">
                  <c:v>21.765335114433569</c:v>
                </c:pt>
                <c:pt idx="227">
                  <c:v>21.529471250815604</c:v>
                </c:pt>
                <c:pt idx="228">
                  <c:v>17.101803914264654</c:v>
                </c:pt>
                <c:pt idx="229">
                  <c:v>25.373911060538411</c:v>
                </c:pt>
                <c:pt idx="230">
                  <c:v>25.579241379418374</c:v>
                </c:pt>
                <c:pt idx="231">
                  <c:v>31.748068248525612</c:v>
                </c:pt>
                <c:pt idx="232">
                  <c:v>19.90104804255628</c:v>
                </c:pt>
                <c:pt idx="233">
                  <c:v>16.500825040593451</c:v>
                </c:pt>
                <c:pt idx="234">
                  <c:v>29.550114068132583</c:v>
                </c:pt>
                <c:pt idx="235">
                  <c:v>29.038877608248235</c:v>
                </c:pt>
                <c:pt idx="236">
                  <c:v>21.414236026694674</c:v>
                </c:pt>
                <c:pt idx="237">
                  <c:v>26.063098188294145</c:v>
                </c:pt>
                <c:pt idx="238">
                  <c:v>31.531193384426544</c:v>
                </c:pt>
                <c:pt idx="239">
                  <c:v>30.507690995465893</c:v>
                </c:pt>
                <c:pt idx="240">
                  <c:v>20.911937797163382</c:v>
                </c:pt>
                <c:pt idx="241">
                  <c:v>30.147486799756205</c:v>
                </c:pt>
                <c:pt idx="242">
                  <c:v>14.127204349939232</c:v>
                </c:pt>
                <c:pt idx="243">
                  <c:v>26.6445998889915</c:v>
                </c:pt>
                <c:pt idx="244">
                  <c:v>26.274484169493171</c:v>
                </c:pt>
                <c:pt idx="245">
                  <c:v>25.52534954563307</c:v>
                </c:pt>
                <c:pt idx="246">
                  <c:v>28.282111877023102</c:v>
                </c:pt>
                <c:pt idx="247">
                  <c:v>25.0703498440656</c:v>
                </c:pt>
                <c:pt idx="248">
                  <c:v>28.670017836218488</c:v>
                </c:pt>
                <c:pt idx="249">
                  <c:v>21.77764069560212</c:v>
                </c:pt>
                <c:pt idx="250">
                  <c:v>24.092194795436232</c:v>
                </c:pt>
                <c:pt idx="251">
                  <c:v>13.434332963652382</c:v>
                </c:pt>
                <c:pt idx="252">
                  <c:v>28.797276309534187</c:v>
                </c:pt>
                <c:pt idx="253">
                  <c:v>28.690297229101521</c:v>
                </c:pt>
                <c:pt idx="254">
                  <c:v>20.143291099531318</c:v>
                </c:pt>
                <c:pt idx="255">
                  <c:v>7.5777468231844738</c:v>
                </c:pt>
                <c:pt idx="256">
                  <c:v>22.480413047869543</c:v>
                </c:pt>
                <c:pt idx="257">
                  <c:v>27.270996762569254</c:v>
                </c:pt>
                <c:pt idx="258">
                  <c:v>20.401078525769289</c:v>
                </c:pt>
                <c:pt idx="259">
                  <c:v>28.770328355964956</c:v>
                </c:pt>
                <c:pt idx="260">
                  <c:v>28.881429148360212</c:v>
                </c:pt>
                <c:pt idx="261">
                  <c:v>28.301169532941085</c:v>
                </c:pt>
                <c:pt idx="262">
                  <c:v>29.518850005477333</c:v>
                </c:pt>
                <c:pt idx="263">
                  <c:v>28.478836894982845</c:v>
                </c:pt>
                <c:pt idx="264">
                  <c:v>27.40660266826287</c:v>
                </c:pt>
                <c:pt idx="265">
                  <c:v>16.95049131364928</c:v>
                </c:pt>
                <c:pt idx="266">
                  <c:v>10.576881314883536</c:v>
                </c:pt>
                <c:pt idx="267">
                  <c:v>19.753873441775593</c:v>
                </c:pt>
                <c:pt idx="268">
                  <c:v>18.819995246837951</c:v>
                </c:pt>
                <c:pt idx="269">
                  <c:v>9.440438111242436</c:v>
                </c:pt>
                <c:pt idx="270">
                  <c:v>10.682379388563431</c:v>
                </c:pt>
                <c:pt idx="271">
                  <c:v>14.52878731619877</c:v>
                </c:pt>
                <c:pt idx="272">
                  <c:v>18.099105132250148</c:v>
                </c:pt>
                <c:pt idx="273">
                  <c:v>23.17580941319622</c:v>
                </c:pt>
                <c:pt idx="274">
                  <c:v>24.31157017257739</c:v>
                </c:pt>
                <c:pt idx="275">
                  <c:v>22.441867750999204</c:v>
                </c:pt>
                <c:pt idx="276">
                  <c:v>25.077451703578117</c:v>
                </c:pt>
                <c:pt idx="277">
                  <c:v>25.184061292755338</c:v>
                </c:pt>
                <c:pt idx="278">
                  <c:v>8.281503102695785</c:v>
                </c:pt>
                <c:pt idx="279">
                  <c:v>17.224760348669918</c:v>
                </c:pt>
                <c:pt idx="280">
                  <c:v>10.909887707948879</c:v>
                </c:pt>
                <c:pt idx="281">
                  <c:v>22.736746059182714</c:v>
                </c:pt>
                <c:pt idx="282">
                  <c:v>18.169255873197212</c:v>
                </c:pt>
                <c:pt idx="283">
                  <c:v>14.254414808691553</c:v>
                </c:pt>
                <c:pt idx="284">
                  <c:v>17.25809503315644</c:v>
                </c:pt>
                <c:pt idx="285">
                  <c:v>13.338697291576061</c:v>
                </c:pt>
                <c:pt idx="286">
                  <c:v>10.531534262652613</c:v>
                </c:pt>
                <c:pt idx="287">
                  <c:v>21.730204281297286</c:v>
                </c:pt>
                <c:pt idx="288">
                  <c:v>19.309681089971257</c:v>
                </c:pt>
                <c:pt idx="289">
                  <c:v>11.357502966150713</c:v>
                </c:pt>
                <c:pt idx="290">
                  <c:v>19.480245346975298</c:v>
                </c:pt>
                <c:pt idx="291">
                  <c:v>9.0879891662528092</c:v>
                </c:pt>
                <c:pt idx="292">
                  <c:v>4.4025745107610579</c:v>
                </c:pt>
                <c:pt idx="293">
                  <c:v>9.4415844251095677</c:v>
                </c:pt>
                <c:pt idx="294">
                  <c:v>18.390936283941759</c:v>
                </c:pt>
                <c:pt idx="295">
                  <c:v>11.905509174544667</c:v>
                </c:pt>
                <c:pt idx="296">
                  <c:v>14.504785464096866</c:v>
                </c:pt>
                <c:pt idx="297">
                  <c:v>12.597085831553128</c:v>
                </c:pt>
                <c:pt idx="298">
                  <c:v>8.4401006344262761</c:v>
                </c:pt>
                <c:pt idx="299">
                  <c:v>7.81674353360079</c:v>
                </c:pt>
                <c:pt idx="300">
                  <c:v>10.24912089382933</c:v>
                </c:pt>
                <c:pt idx="301">
                  <c:v>14.884522835184191</c:v>
                </c:pt>
                <c:pt idx="302">
                  <c:v>12.491768757676033</c:v>
                </c:pt>
                <c:pt idx="303">
                  <c:v>11.838634182445242</c:v>
                </c:pt>
                <c:pt idx="304">
                  <c:v>12.631307477616135</c:v>
                </c:pt>
                <c:pt idx="305">
                  <c:v>14.631693603774034</c:v>
                </c:pt>
                <c:pt idx="306">
                  <c:v>5.5041321313892366</c:v>
                </c:pt>
                <c:pt idx="307">
                  <c:v>7.8753162292393908</c:v>
                </c:pt>
                <c:pt idx="308">
                  <c:v>16.165025302649262</c:v>
                </c:pt>
                <c:pt idx="309">
                  <c:v>15.393745512496556</c:v>
                </c:pt>
                <c:pt idx="310">
                  <c:v>14.777063022421631</c:v>
                </c:pt>
                <c:pt idx="311">
                  <c:v>10.764763607873801</c:v>
                </c:pt>
                <c:pt idx="312">
                  <c:v>5.9638115703929495</c:v>
                </c:pt>
                <c:pt idx="313">
                  <c:v>11.445389909599911</c:v>
                </c:pt>
                <c:pt idx="314">
                  <c:v>13.335455703012324</c:v>
                </c:pt>
                <c:pt idx="315">
                  <c:v>13.138791439696194</c:v>
                </c:pt>
                <c:pt idx="316">
                  <c:v>13.160728210442707</c:v>
                </c:pt>
                <c:pt idx="317">
                  <c:v>5.9166857077977468</c:v>
                </c:pt>
                <c:pt idx="318">
                  <c:v>7.3211712238778128</c:v>
                </c:pt>
                <c:pt idx="319">
                  <c:v>11.775503332992894</c:v>
                </c:pt>
                <c:pt idx="320">
                  <c:v>8.8885673945953112</c:v>
                </c:pt>
                <c:pt idx="321">
                  <c:v>7.4138371707845847</c:v>
                </c:pt>
                <c:pt idx="322">
                  <c:v>5.0401823988207006</c:v>
                </c:pt>
                <c:pt idx="323">
                  <c:v>9.6114243392145973</c:v>
                </c:pt>
                <c:pt idx="324">
                  <c:v>1.8904098888842125</c:v>
                </c:pt>
                <c:pt idx="325">
                  <c:v>5.4775231286481922</c:v>
                </c:pt>
                <c:pt idx="326">
                  <c:v>7.2667026138903665</c:v>
                </c:pt>
                <c:pt idx="327">
                  <c:v>7.0423386238264447</c:v>
                </c:pt>
                <c:pt idx="328">
                  <c:v>2.9699784575167922</c:v>
                </c:pt>
                <c:pt idx="329">
                  <c:v>5.8722881964508771</c:v>
                </c:pt>
                <c:pt idx="330">
                  <c:v>8.0862092748407335</c:v>
                </c:pt>
                <c:pt idx="331">
                  <c:v>5.3950429763346524</c:v>
                </c:pt>
                <c:pt idx="332">
                  <c:v>6.0335328185097712</c:v>
                </c:pt>
                <c:pt idx="333">
                  <c:v>2.2431606007601324</c:v>
                </c:pt>
                <c:pt idx="334">
                  <c:v>2.0769286034980174</c:v>
                </c:pt>
                <c:pt idx="335">
                  <c:v>3.2105856655737388</c:v>
                </c:pt>
                <c:pt idx="336">
                  <c:v>5.5994549126408986</c:v>
                </c:pt>
                <c:pt idx="337">
                  <c:v>8.0592154387683905</c:v>
                </c:pt>
                <c:pt idx="338">
                  <c:v>9.3928297264082321</c:v>
                </c:pt>
                <c:pt idx="339">
                  <c:v>6.8139863231139746</c:v>
                </c:pt>
                <c:pt idx="340">
                  <c:v>7.9527513698213195</c:v>
                </c:pt>
                <c:pt idx="341">
                  <c:v>2.618777004868702</c:v>
                </c:pt>
                <c:pt idx="342">
                  <c:v>3.730901814735148</c:v>
                </c:pt>
                <c:pt idx="343">
                  <c:v>6.4272007282885797</c:v>
                </c:pt>
                <c:pt idx="344">
                  <c:v>7.4958287759101321</c:v>
                </c:pt>
                <c:pt idx="345">
                  <c:v>3.0210591043058557</c:v>
                </c:pt>
                <c:pt idx="346">
                  <c:v>2.9983103457535525</c:v>
                </c:pt>
                <c:pt idx="347">
                  <c:v>7.0656733254454203</c:v>
                </c:pt>
                <c:pt idx="348">
                  <c:v>3.518379962436387</c:v>
                </c:pt>
                <c:pt idx="349">
                  <c:v>2.9405560592116098</c:v>
                </c:pt>
                <c:pt idx="350">
                  <c:v>1.7189000600196054</c:v>
                </c:pt>
                <c:pt idx="351">
                  <c:v>9.1702486409818125</c:v>
                </c:pt>
                <c:pt idx="352">
                  <c:v>9.1596991854334</c:v>
                </c:pt>
                <c:pt idx="353">
                  <c:v>2.3633773811029641</c:v>
                </c:pt>
                <c:pt idx="354">
                  <c:v>8.3563684324661587</c:v>
                </c:pt>
                <c:pt idx="355">
                  <c:v>9.4204521828032348</c:v>
                </c:pt>
                <c:pt idx="356">
                  <c:v>9.2831413018559221</c:v>
                </c:pt>
                <c:pt idx="357">
                  <c:v>9.4891492743074757</c:v>
                </c:pt>
                <c:pt idx="358">
                  <c:v>5.6580752082704056</c:v>
                </c:pt>
                <c:pt idx="359">
                  <c:v>9.7881787234415594</c:v>
                </c:pt>
                <c:pt idx="360">
                  <c:v>3.7932150633925672</c:v>
                </c:pt>
                <c:pt idx="361">
                  <c:v>10.31144035648693</c:v>
                </c:pt>
                <c:pt idx="362">
                  <c:v>5.8856455527923686</c:v>
                </c:pt>
                <c:pt idx="363">
                  <c:v>7.503971029072658</c:v>
                </c:pt>
                <c:pt idx="364">
                  <c:v>7.0552073384077341</c:v>
                </c:pt>
                <c:pt idx="365">
                  <c:v>7.6598692622010853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325328"/>
        <c:axId val="313325720"/>
      </c:lineChart>
      <c:dateAx>
        <c:axId val="313325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13325720"/>
        <c:crosses val="autoZero"/>
        <c:auto val="1"/>
        <c:lblOffset val="100"/>
        <c:baseTimeUnit val="days"/>
        <c:majorUnit val="1"/>
        <c:majorTimeUnit val="months"/>
      </c:dateAx>
      <c:valAx>
        <c:axId val="3133257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133253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4.4598440299144615E-2</c:v>
                </c:pt>
                <c:pt idx="1">
                  <c:v>4.4619366045275499E-2</c:v>
                </c:pt>
                <c:pt idx="2">
                  <c:v>4.4640291333078896E-2</c:v>
                </c:pt>
                <c:pt idx="3">
                  <c:v>4.4661216162564799E-2</c:v>
                </c:pt>
                <c:pt idx="4">
                  <c:v>4.4682140533743198E-2</c:v>
                </c:pt>
                <c:pt idx="5">
                  <c:v>4.4703064446624086E-2</c:v>
                </c:pt>
                <c:pt idx="6">
                  <c:v>4.4723987901217677E-2</c:v>
                </c:pt>
                <c:pt idx="7">
                  <c:v>4.4744910897533963E-2</c:v>
                </c:pt>
                <c:pt idx="8">
                  <c:v>4.4765833435582825E-2</c:v>
                </c:pt>
                <c:pt idx="9">
                  <c:v>4.4786755515374477E-2</c:v>
                </c:pt>
                <c:pt idx="10">
                  <c:v>4.48076771369188E-2</c:v>
                </c:pt>
                <c:pt idx="11">
                  <c:v>4.4828598300226008E-2</c:v>
                </c:pt>
                <c:pt idx="12">
                  <c:v>4.4849519005305982E-2</c:v>
                </c:pt>
                <c:pt idx="13">
                  <c:v>4.4870439252168937E-2</c:v>
                </c:pt>
                <c:pt idx="14">
                  <c:v>4.4891359040824641E-2</c:v>
                </c:pt>
                <c:pt idx="15">
                  <c:v>4.4912278371283421E-2</c:v>
                </c:pt>
                <c:pt idx="16">
                  <c:v>4.4933197243555045E-2</c:v>
                </c:pt>
                <c:pt idx="17">
                  <c:v>4.4954115657649729E-2</c:v>
                </c:pt>
                <c:pt idx="18">
                  <c:v>4.4975033613577575E-2</c:v>
                </c:pt>
                <c:pt idx="19">
                  <c:v>4.4995951111348353E-2</c:v>
                </c:pt>
                <c:pt idx="20">
                  <c:v>4.5016868150972278E-2</c:v>
                </c:pt>
                <c:pt idx="21">
                  <c:v>4.5037784732459341E-2</c:v>
                </c:pt>
                <c:pt idx="22">
                  <c:v>4.5058700855819644E-2</c:v>
                </c:pt>
                <c:pt idx="23">
                  <c:v>4.5079616521063182E-2</c:v>
                </c:pt>
                <c:pt idx="24">
                  <c:v>4.5100531728199944E-2</c:v>
                </c:pt>
                <c:pt idx="25">
                  <c:v>4.5121446477239924E-2</c:v>
                </c:pt>
                <c:pt idx="26">
                  <c:v>4.5142360768193335E-2</c:v>
                </c:pt>
                <c:pt idx="27">
                  <c:v>4.5163274601070058E-2</c:v>
                </c:pt>
                <c:pt idx="28">
                  <c:v>4.5184187975880086E-2</c:v>
                </c:pt>
                <c:pt idx="29">
                  <c:v>4.5205100892633632E-2</c:v>
                </c:pt>
                <c:pt idx="30">
                  <c:v>4.5226013351340577E-2</c:v>
                </c:pt>
                <c:pt idx="31">
                  <c:v>4.5246925352011025E-2</c:v>
                </c:pt>
                <c:pt idx="32">
                  <c:v>4.5267836894654967E-2</c:v>
                </c:pt>
                <c:pt idx="33">
                  <c:v>4.5288747979282507E-2</c:v>
                </c:pt>
                <c:pt idx="34">
                  <c:v>4.5309658605903635E-2</c:v>
                </c:pt>
                <c:pt idx="35">
                  <c:v>4.5330568774528346E-2</c:v>
                </c:pt>
                <c:pt idx="36">
                  <c:v>4.535147848516663E-2</c:v>
                </c:pt>
                <c:pt idx="37">
                  <c:v>4.5372387737828701E-2</c:v>
                </c:pt>
                <c:pt idx="38">
                  <c:v>4.5393296532524441E-2</c:v>
                </c:pt>
                <c:pt idx="39">
                  <c:v>4.5414204869263841E-2</c:v>
                </c:pt>
                <c:pt idx="40">
                  <c:v>4.5435112748057116E-2</c:v>
                </c:pt>
                <c:pt idx="41">
                  <c:v>4.5456020168914146E-2</c:v>
                </c:pt>
                <c:pt idx="42">
                  <c:v>4.5476927131844924E-2</c:v>
                </c:pt>
                <c:pt idx="43">
                  <c:v>4.5497833636859664E-2</c:v>
                </c:pt>
                <c:pt idx="44">
                  <c:v>4.5518739683968246E-2</c:v>
                </c:pt>
                <c:pt idx="45">
                  <c:v>4.5539645273180773E-2</c:v>
                </c:pt>
                <c:pt idx="46">
                  <c:v>4.5560550404507238E-2</c:v>
                </c:pt>
                <c:pt idx="47">
                  <c:v>4.5581455077957633E-2</c:v>
                </c:pt>
                <c:pt idx="48">
                  <c:v>4.5602359293542061E-2</c:v>
                </c:pt>
                <c:pt idx="49">
                  <c:v>4.5623263051270513E-2</c:v>
                </c:pt>
                <c:pt idx="50">
                  <c:v>4.5644166351152982E-2</c:v>
                </c:pt>
                <c:pt idx="51">
                  <c:v>4.566506919319957E-2</c:v>
                </c:pt>
                <c:pt idx="52">
                  <c:v>4.568597157742027E-2</c:v>
                </c:pt>
                <c:pt idx="53">
                  <c:v>4.5706873503825074E-2</c:v>
                </c:pt>
                <c:pt idx="54">
                  <c:v>4.5727774972424085E-2</c:v>
                </c:pt>
                <c:pt idx="55">
                  <c:v>4.5748675983227294E-2</c:v>
                </c:pt>
                <c:pt idx="56">
                  <c:v>4.5769576536244805E-2</c:v>
                </c:pt>
                <c:pt idx="57">
                  <c:v>4.5790476631486499E-2</c:v>
                </c:pt>
                <c:pt idx="58">
                  <c:v>4.5811376268962367E-2</c:v>
                </c:pt>
                <c:pt idx="59">
                  <c:v>4.5832275448682624E-2</c:v>
                </c:pt>
                <c:pt idx="60">
                  <c:v>4.5853174170657263E-2</c:v>
                </c:pt>
                <c:pt idx="61">
                  <c:v>4.5874072434896163E-2</c:v>
                </c:pt>
                <c:pt idx="62">
                  <c:v>4.5894970241409538E-2</c:v>
                </c:pt>
                <c:pt idx="63">
                  <c:v>4.5915867590207271E-2</c:v>
                </c:pt>
                <c:pt idx="64">
                  <c:v>4.5936764481299353E-2</c:v>
                </c:pt>
                <c:pt idx="65">
                  <c:v>4.5957660914695997E-2</c:v>
                </c:pt>
                <c:pt idx="66">
                  <c:v>4.5978556890407085E-2</c:v>
                </c:pt>
                <c:pt idx="67">
                  <c:v>4.599945240844272E-2</c:v>
                </c:pt>
                <c:pt idx="68">
                  <c:v>4.6020347468812783E-2</c:v>
                </c:pt>
                <c:pt idx="69">
                  <c:v>4.6041242071527488E-2</c:v>
                </c:pt>
                <c:pt idx="70">
                  <c:v>4.6062136216596716E-2</c:v>
                </c:pt>
                <c:pt idx="71">
                  <c:v>4.608302990403057E-2</c:v>
                </c:pt>
                <c:pt idx="72">
                  <c:v>4.6103923133839042E-2</c:v>
                </c:pt>
                <c:pt idx="73">
                  <c:v>4.6124815906032124E-2</c:v>
                </c:pt>
                <c:pt idx="74">
                  <c:v>4.6145708220619919E-2</c:v>
                </c:pt>
                <c:pt idx="75">
                  <c:v>4.6166600077612419E-2</c:v>
                </c:pt>
                <c:pt idx="76">
                  <c:v>4.6187491477019615E-2</c:v>
                </c:pt>
                <c:pt idx="77">
                  <c:v>4.6208382418851501E-2</c:v>
                </c:pt>
                <c:pt idx="78">
                  <c:v>4.6229272903118179E-2</c:v>
                </c:pt>
                <c:pt idx="79">
                  <c:v>4.6250162929829641E-2</c:v>
                </c:pt>
                <c:pt idx="80">
                  <c:v>4.627105249899599E-2</c:v>
                </c:pt>
                <c:pt idx="81">
                  <c:v>4.6291941610626997E-2</c:v>
                </c:pt>
                <c:pt idx="82">
                  <c:v>4.6312830264732985E-2</c:v>
                </c:pt>
                <c:pt idx="83">
                  <c:v>4.6333718461323725E-2</c:v>
                </c:pt>
                <c:pt idx="84">
                  <c:v>4.6354606200409432E-2</c:v>
                </c:pt>
                <c:pt idx="85">
                  <c:v>4.6375493482000096E-2</c:v>
                </c:pt>
                <c:pt idx="86">
                  <c:v>4.63963803061056E-2</c:v>
                </c:pt>
                <c:pt idx="87">
                  <c:v>4.6417266672736046E-2</c:v>
                </c:pt>
                <c:pt idx="88">
                  <c:v>4.6438152581901537E-2</c:v>
                </c:pt>
                <c:pt idx="89">
                  <c:v>4.6459038033611955E-2</c:v>
                </c:pt>
                <c:pt idx="90">
                  <c:v>4.6479923027877401E-2</c:v>
                </c:pt>
                <c:pt idx="91">
                  <c:v>4.6500807564707758E-2</c:v>
                </c:pt>
                <c:pt idx="92">
                  <c:v>4.652169164411335E-2</c:v>
                </c:pt>
                <c:pt idx="93">
                  <c:v>4.6542575266103836E-2</c:v>
                </c:pt>
                <c:pt idx="94">
                  <c:v>4.6563458430689542E-2</c:v>
                </c:pt>
                <c:pt idx="95">
                  <c:v>4.6584341137880236E-2</c:v>
                </c:pt>
                <c:pt idx="96">
                  <c:v>4.6605223387686134E-2</c:v>
                </c:pt>
                <c:pt idx="97">
                  <c:v>4.6626105180117117E-2</c:v>
                </c:pt>
                <c:pt idx="98">
                  <c:v>4.6646986515183286E-2</c:v>
                </c:pt>
                <c:pt idx="99">
                  <c:v>4.6667867392894635E-2</c:v>
                </c:pt>
                <c:pt idx="100">
                  <c:v>4.6688747813261156E-2</c:v>
                </c:pt>
                <c:pt idx="101">
                  <c:v>4.6709627776292839E-2</c:v>
                </c:pt>
                <c:pt idx="102">
                  <c:v>4.6730507281999789E-2</c:v>
                </c:pt>
                <c:pt idx="103">
                  <c:v>4.6751386330391997E-2</c:v>
                </c:pt>
                <c:pt idx="104">
                  <c:v>4.6772264921479456E-2</c:v>
                </c:pt>
                <c:pt idx="105">
                  <c:v>4.6793143055272157E-2</c:v>
                </c:pt>
                <c:pt idx="106">
                  <c:v>4.6814020731780204E-2</c:v>
                </c:pt>
                <c:pt idx="107">
                  <c:v>4.6834897951013477E-2</c:v>
                </c:pt>
                <c:pt idx="108">
                  <c:v>4.6855774712982079E-2</c:v>
                </c:pt>
                <c:pt idx="109">
                  <c:v>4.6876651017696003E-2</c:v>
                </c:pt>
                <c:pt idx="110">
                  <c:v>4.6897526865165351E-2</c:v>
                </c:pt>
                <c:pt idx="111">
                  <c:v>4.6918402255400005E-2</c:v>
                </c:pt>
                <c:pt idx="112">
                  <c:v>4.6939277188410067E-2</c:v>
                </c:pt>
                <c:pt idx="113">
                  <c:v>4.6960151664205529E-2</c:v>
                </c:pt>
                <c:pt idx="114">
                  <c:v>4.6981025682796385E-2</c:v>
                </c:pt>
                <c:pt idx="115">
                  <c:v>4.7001899244192624E-2</c:v>
                </c:pt>
                <c:pt idx="116">
                  <c:v>4.7022772348404351E-2</c:v>
                </c:pt>
                <c:pt idx="117">
                  <c:v>4.7043644995441447E-2</c:v>
                </c:pt>
                <c:pt idx="118">
                  <c:v>4.7064517185314125E-2</c:v>
                </c:pt>
                <c:pt idx="119">
                  <c:v>4.7085388918032156E-2</c:v>
                </c:pt>
                <c:pt idx="120">
                  <c:v>4.7106260193605753E-2</c:v>
                </c:pt>
                <c:pt idx="121">
                  <c:v>4.7127131012044798E-2</c:v>
                </c:pt>
                <c:pt idx="122">
                  <c:v>4.7148001373359394E-2</c:v>
                </c:pt>
                <c:pt idx="123">
                  <c:v>4.7168871277559532E-2</c:v>
                </c:pt>
                <c:pt idx="124">
                  <c:v>4.7189740724655205E-2</c:v>
                </c:pt>
                <c:pt idx="125">
                  <c:v>4.7210609714656404E-2</c:v>
                </c:pt>
                <c:pt idx="126">
                  <c:v>4.7231478247573122E-2</c:v>
                </c:pt>
                <c:pt idx="127">
                  <c:v>4.7252346323415462E-2</c:v>
                </c:pt>
                <c:pt idx="128">
                  <c:v>4.7273213942193415E-2</c:v>
                </c:pt>
                <c:pt idx="129">
                  <c:v>4.7294081103916863E-2</c:v>
                </c:pt>
                <c:pt idx="130">
                  <c:v>4.731494780859602E-2</c:v>
                </c:pt>
                <c:pt idx="131">
                  <c:v>4.7335814056240766E-2</c:v>
                </c:pt>
                <c:pt idx="132">
                  <c:v>4.7356679846861094E-2</c:v>
                </c:pt>
                <c:pt idx="133">
                  <c:v>4.7377545180467107E-2</c:v>
                </c:pt>
                <c:pt idx="134">
                  <c:v>4.7398410057068685E-2</c:v>
                </c:pt>
                <c:pt idx="135">
                  <c:v>4.7419274476675932E-2</c:v>
                </c:pt>
                <c:pt idx="136">
                  <c:v>4.7440138439298951E-2</c:v>
                </c:pt>
                <c:pt idx="137">
                  <c:v>4.7461001944947512E-2</c:v>
                </c:pt>
                <c:pt idx="138">
                  <c:v>4.7481864993631828E-2</c:v>
                </c:pt>
                <c:pt idx="139">
                  <c:v>4.7502727585361781E-2</c:v>
                </c:pt>
                <c:pt idx="140">
                  <c:v>4.7523589720147474E-2</c:v>
                </c:pt>
                <c:pt idx="141">
                  <c:v>4.7544451397998899E-2</c:v>
                </c:pt>
                <c:pt idx="142">
                  <c:v>4.7565312618926048E-2</c:v>
                </c:pt>
                <c:pt idx="143">
                  <c:v>4.7586173382938912E-2</c:v>
                </c:pt>
                <c:pt idx="144">
                  <c:v>4.7607033690047484E-2</c:v>
                </c:pt>
                <c:pt idx="145">
                  <c:v>4.7627893540261756E-2</c:v>
                </c:pt>
                <c:pt idx="146">
                  <c:v>4.7648752933591831E-2</c:v>
                </c:pt>
                <c:pt idx="147">
                  <c:v>4.766961187004759E-2</c:v>
                </c:pt>
                <c:pt idx="148">
                  <c:v>4.7690470349639136E-2</c:v>
                </c:pt>
                <c:pt idx="149">
                  <c:v>4.771132837237646E-2</c:v>
                </c:pt>
                <c:pt idx="150">
                  <c:v>4.7732185938269556E-2</c:v>
                </c:pt>
                <c:pt idx="151">
                  <c:v>4.7753043047328414E-2</c:v>
                </c:pt>
                <c:pt idx="152">
                  <c:v>4.7773899699563138E-2</c:v>
                </c:pt>
                <c:pt idx="153">
                  <c:v>4.7794755894983498E-2</c:v>
                </c:pt>
                <c:pt idx="154">
                  <c:v>4.7815611633599708E-2</c:v>
                </c:pt>
                <c:pt idx="155">
                  <c:v>4.783646691542176E-2</c:v>
                </c:pt>
                <c:pt idx="156">
                  <c:v>4.7857321740459646E-2</c:v>
                </c:pt>
                <c:pt idx="157">
                  <c:v>4.7878176108723247E-2</c:v>
                </c:pt>
                <c:pt idx="158">
                  <c:v>4.7899030020222777E-2</c:v>
                </c:pt>
                <c:pt idx="159">
                  <c:v>4.7919883474968006E-2</c:v>
                </c:pt>
                <c:pt idx="160">
                  <c:v>4.7940736472969148E-2</c:v>
                </c:pt>
                <c:pt idx="161">
                  <c:v>4.7961589014236083E-2</c:v>
                </c:pt>
                <c:pt idx="162">
                  <c:v>4.7982441098778805E-2</c:v>
                </c:pt>
                <c:pt idx="163">
                  <c:v>4.8003292726607416E-2</c:v>
                </c:pt>
                <c:pt idx="164">
                  <c:v>4.8024143897731908E-2</c:v>
                </c:pt>
                <c:pt idx="165">
                  <c:v>4.8044994612162162E-2</c:v>
                </c:pt>
                <c:pt idx="166">
                  <c:v>4.8065844869908281E-2</c:v>
                </c:pt>
                <c:pt idx="167">
                  <c:v>4.8086694670980257E-2</c:v>
                </c:pt>
                <c:pt idx="168">
                  <c:v>4.8107544015387971E-2</c:v>
                </c:pt>
                <c:pt idx="169">
                  <c:v>4.8128392903141637E-2</c:v>
                </c:pt>
                <c:pt idx="170">
                  <c:v>4.8149241334251136E-2</c:v>
                </c:pt>
                <c:pt idx="171">
                  <c:v>4.8170089308726571E-2</c:v>
                </c:pt>
                <c:pt idx="172">
                  <c:v>4.8190936826577713E-2</c:v>
                </c:pt>
                <c:pt idx="173">
                  <c:v>4.8211783887814774E-2</c:v>
                </c:pt>
                <c:pt idx="174">
                  <c:v>4.8232630492447748E-2</c:v>
                </c:pt>
                <c:pt idx="175">
                  <c:v>4.8253476640486515E-2</c:v>
                </c:pt>
                <c:pt idx="176">
                  <c:v>4.8274322331941177E-2</c:v>
                </c:pt>
                <c:pt idx="177">
                  <c:v>4.8295167566821617E-2</c:v>
                </c:pt>
                <c:pt idx="178">
                  <c:v>4.8316012345137938E-2</c:v>
                </c:pt>
                <c:pt idx="179">
                  <c:v>4.8336856666900241E-2</c:v>
                </c:pt>
                <c:pt idx="180">
                  <c:v>4.8357700532118297E-2</c:v>
                </c:pt>
                <c:pt idx="181">
                  <c:v>4.837854394080221E-2</c:v>
                </c:pt>
                <c:pt idx="182">
                  <c:v>4.8399386892961971E-2</c:v>
                </c:pt>
                <c:pt idx="183">
                  <c:v>4.8420229388607572E-2</c:v>
                </c:pt>
                <c:pt idx="184">
                  <c:v>4.8441071427749116E-2</c:v>
                </c:pt>
                <c:pt idx="185">
                  <c:v>4.8461913010396485E-2</c:v>
                </c:pt>
                <c:pt idx="186">
                  <c:v>4.8482754136559669E-2</c:v>
                </c:pt>
                <c:pt idx="187">
                  <c:v>4.8503594806248662E-2</c:v>
                </c:pt>
                <c:pt idx="188">
                  <c:v>4.8524435019473566E-2</c:v>
                </c:pt>
                <c:pt idx="189">
                  <c:v>4.8545274776244374E-2</c:v>
                </c:pt>
                <c:pt idx="190">
                  <c:v>4.8566114076570854E-2</c:v>
                </c:pt>
                <c:pt idx="191">
                  <c:v>4.8586952920463333E-2</c:v>
                </c:pt>
                <c:pt idx="192">
                  <c:v>4.860779130793158E-2</c:v>
                </c:pt>
                <c:pt idx="193">
                  <c:v>4.8628629238985699E-2</c:v>
                </c:pt>
                <c:pt idx="194">
                  <c:v>4.864946671363557E-2</c:v>
                </c:pt>
                <c:pt idx="195">
                  <c:v>4.8670303731891407E-2</c:v>
                </c:pt>
                <c:pt idx="196">
                  <c:v>4.869114029376298E-2</c:v>
                </c:pt>
                <c:pt idx="197">
                  <c:v>4.8711976399260282E-2</c:v>
                </c:pt>
                <c:pt idx="198">
                  <c:v>4.8732812048393526E-2</c:v>
                </c:pt>
                <c:pt idx="199">
                  <c:v>4.8753647241172593E-2</c:v>
                </c:pt>
                <c:pt idx="200">
                  <c:v>4.8774481977607365E-2</c:v>
                </c:pt>
                <c:pt idx="201">
                  <c:v>4.8795316257708055E-2</c:v>
                </c:pt>
                <c:pt idx="202">
                  <c:v>4.8816150081484433E-2</c:v>
                </c:pt>
                <c:pt idx="203">
                  <c:v>4.8836983448946714E-2</c:v>
                </c:pt>
                <c:pt idx="204">
                  <c:v>4.8857816360104667E-2</c:v>
                </c:pt>
                <c:pt idx="205">
                  <c:v>4.8878648814968395E-2</c:v>
                </c:pt>
                <c:pt idx="206">
                  <c:v>4.8899480813548002E-2</c:v>
                </c:pt>
                <c:pt idx="207">
                  <c:v>4.8920312355853368E-2</c:v>
                </c:pt>
                <c:pt idx="208">
                  <c:v>4.8941143441894375E-2</c:v>
                </c:pt>
                <c:pt idx="209">
                  <c:v>4.8961974071681236E-2</c:v>
                </c:pt>
                <c:pt idx="210">
                  <c:v>4.8982804245223832E-2</c:v>
                </c:pt>
                <c:pt idx="211">
                  <c:v>4.9003633962532156E-2</c:v>
                </c:pt>
                <c:pt idx="212">
                  <c:v>4.9024463223616199E-2</c:v>
                </c:pt>
                <c:pt idx="213">
                  <c:v>4.9045292028485954E-2</c:v>
                </c:pt>
                <c:pt idx="214">
                  <c:v>4.9066120377151412E-2</c:v>
                </c:pt>
                <c:pt idx="215">
                  <c:v>4.9086948269622677E-2</c:v>
                </c:pt>
                <c:pt idx="216">
                  <c:v>4.9107775705909629E-2</c:v>
                </c:pt>
                <c:pt idx="217">
                  <c:v>4.9128602686022149E-2</c:v>
                </c:pt>
                <c:pt idx="218">
                  <c:v>4.9149429209970452E-2</c:v>
                </c:pt>
                <c:pt idx="219">
                  <c:v>4.9170255277764419E-2</c:v>
                </c:pt>
                <c:pt idx="220">
                  <c:v>4.9191080889414041E-2</c:v>
                </c:pt>
                <c:pt idx="221">
                  <c:v>4.921190604492931E-2</c:v>
                </c:pt>
                <c:pt idx="222">
                  <c:v>4.923273074432033E-2</c:v>
                </c:pt>
                <c:pt idx="223">
                  <c:v>4.925355498759687E-2</c:v>
                </c:pt>
                <c:pt idx="224">
                  <c:v>4.9274378774769034E-2</c:v>
                </c:pt>
                <c:pt idx="225">
                  <c:v>4.9295202105846925E-2</c:v>
                </c:pt>
                <c:pt idx="226">
                  <c:v>4.9316024980840312E-2</c:v>
                </c:pt>
                <c:pt idx="227">
                  <c:v>4.9336847399759298E-2</c:v>
                </c:pt>
                <c:pt idx="228">
                  <c:v>4.9357669362613987E-2</c:v>
                </c:pt>
                <c:pt idx="229">
                  <c:v>4.9378490869414149E-2</c:v>
                </c:pt>
                <c:pt idx="230">
                  <c:v>4.9399311920169886E-2</c:v>
                </c:pt>
                <c:pt idx="231">
                  <c:v>4.9420132514891191E-2</c:v>
                </c:pt>
                <c:pt idx="232">
                  <c:v>4.9440952653588055E-2</c:v>
                </c:pt>
                <c:pt idx="233">
                  <c:v>4.946177233627036E-2</c:v>
                </c:pt>
                <c:pt idx="234">
                  <c:v>4.9482591562948319E-2</c:v>
                </c:pt>
                <c:pt idx="235">
                  <c:v>4.9503410333631703E-2</c:v>
                </c:pt>
                <c:pt idx="236">
                  <c:v>4.9524228648330615E-2</c:v>
                </c:pt>
                <c:pt idx="237">
                  <c:v>4.9545046507054935E-2</c:v>
                </c:pt>
                <c:pt idx="238">
                  <c:v>4.9565863909814767E-2</c:v>
                </c:pt>
                <c:pt idx="239">
                  <c:v>4.9586680856620102E-2</c:v>
                </c:pt>
                <c:pt idx="240">
                  <c:v>4.9607497347480822E-2</c:v>
                </c:pt>
                <c:pt idx="241">
                  <c:v>4.9628313382406919E-2</c:v>
                </c:pt>
                <c:pt idx="242">
                  <c:v>4.9649128961408495E-2</c:v>
                </c:pt>
                <c:pt idx="243">
                  <c:v>4.9669944084495432E-2</c:v>
                </c:pt>
                <c:pt idx="244">
                  <c:v>4.9690758751677833E-2</c:v>
                </c:pt>
                <c:pt idx="245">
                  <c:v>4.9711572962965467E-2</c:v>
                </c:pt>
                <c:pt idx="246">
                  <c:v>4.9732386718368549E-2</c:v>
                </c:pt>
                <c:pt idx="247">
                  <c:v>4.9753200017896959E-2</c:v>
                </c:pt>
                <c:pt idx="248">
                  <c:v>4.977401286156069E-2</c:v>
                </c:pt>
                <c:pt idx="249">
                  <c:v>4.9794825249369734E-2</c:v>
                </c:pt>
                <c:pt idx="250">
                  <c:v>4.9815637181334083E-2</c:v>
                </c:pt>
                <c:pt idx="251">
                  <c:v>4.9836448657463728E-2</c:v>
                </c:pt>
                <c:pt idx="252">
                  <c:v>4.9857259677768551E-2</c:v>
                </c:pt>
                <c:pt idx="253">
                  <c:v>4.9878070242258654E-2</c:v>
                </c:pt>
                <c:pt idx="254">
                  <c:v>4.989888035094403E-2</c:v>
                </c:pt>
                <c:pt idx="255">
                  <c:v>4.991969000383456E-2</c:v>
                </c:pt>
                <c:pt idx="256">
                  <c:v>4.9940499200940347E-2</c:v>
                </c:pt>
                <c:pt idx="257">
                  <c:v>4.9961307942271271E-2</c:v>
                </c:pt>
                <c:pt idx="258">
                  <c:v>4.9982116227837436E-2</c:v>
                </c:pt>
                <c:pt idx="259">
                  <c:v>5.0002924057648612E-2</c:v>
                </c:pt>
                <c:pt idx="260">
                  <c:v>5.0023731431715013E-2</c:v>
                </c:pt>
                <c:pt idx="261">
                  <c:v>5.0044538350046408E-2</c:v>
                </c:pt>
                <c:pt idx="262">
                  <c:v>5.0065344812653012E-2</c:v>
                </c:pt>
                <c:pt idx="263">
                  <c:v>5.0086150819544595E-2</c:v>
                </c:pt>
                <c:pt idx="264">
                  <c:v>5.010695637073137E-2</c:v>
                </c:pt>
                <c:pt idx="265">
                  <c:v>5.0127761466222998E-2</c:v>
                </c:pt>
                <c:pt idx="266">
                  <c:v>5.0148566106029802E-2</c:v>
                </c:pt>
                <c:pt idx="267">
                  <c:v>5.0169370290161441E-2</c:v>
                </c:pt>
                <c:pt idx="268">
                  <c:v>5.0190174018628131E-2</c:v>
                </c:pt>
                <c:pt idx="269">
                  <c:v>5.0210977291439862E-2</c:v>
                </c:pt>
                <c:pt idx="270">
                  <c:v>5.0231780108606405E-2</c:v>
                </c:pt>
                <c:pt idx="271">
                  <c:v>5.0252582470137974E-2</c:v>
                </c:pt>
                <c:pt idx="272">
                  <c:v>5.0273384376044339E-2</c:v>
                </c:pt>
                <c:pt idx="273">
                  <c:v>5.0294185826335602E-2</c:v>
                </c:pt>
                <c:pt idx="274">
                  <c:v>5.0314986821021757E-2</c:v>
                </c:pt>
                <c:pt idx="275">
                  <c:v>5.0335787360112683E-2</c:v>
                </c:pt>
                <c:pt idx="276">
                  <c:v>5.0356587443618483E-2</c:v>
                </c:pt>
                <c:pt idx="277">
                  <c:v>5.037738707154904E-2</c:v>
                </c:pt>
                <c:pt idx="278">
                  <c:v>5.0398186243914345E-2</c:v>
                </c:pt>
                <c:pt idx="279">
                  <c:v>5.0418984960724389E-2</c:v>
                </c:pt>
                <c:pt idx="280">
                  <c:v>5.0439783221989165E-2</c:v>
                </c:pt>
                <c:pt idx="281">
                  <c:v>5.0460581027718665E-2</c:v>
                </c:pt>
                <c:pt idx="282">
                  <c:v>5.0481378377922881E-2</c:v>
                </c:pt>
                <c:pt idx="283">
                  <c:v>5.0502175272611693E-2</c:v>
                </c:pt>
                <c:pt idx="284">
                  <c:v>5.0522971711795095E-2</c:v>
                </c:pt>
                <c:pt idx="285">
                  <c:v>5.0543767695483188E-2</c:v>
                </c:pt>
                <c:pt idx="286">
                  <c:v>5.0564563223685854E-2</c:v>
                </c:pt>
                <c:pt idx="287">
                  <c:v>5.0585358296413085E-2</c:v>
                </c:pt>
                <c:pt idx="288">
                  <c:v>5.0606152913674873E-2</c:v>
                </c:pt>
                <c:pt idx="289">
                  <c:v>5.0626947075481099E-2</c:v>
                </c:pt>
                <c:pt idx="290">
                  <c:v>5.0647740781841866E-2</c:v>
                </c:pt>
                <c:pt idx="291">
                  <c:v>5.0668534032767054E-2</c:v>
                </c:pt>
                <c:pt idx="292">
                  <c:v>5.0689326828266767E-2</c:v>
                </c:pt>
                <c:pt idx="293">
                  <c:v>5.0710119168350776E-2</c:v>
                </c:pt>
                <c:pt idx="294">
                  <c:v>5.0730911053029293E-2</c:v>
                </c:pt>
                <c:pt idx="295">
                  <c:v>5.0751702482312089E-2</c:v>
                </c:pt>
                <c:pt idx="296">
                  <c:v>5.0772493456209267E-2</c:v>
                </c:pt>
                <c:pt idx="297">
                  <c:v>5.0793283974730818E-2</c:v>
                </c:pt>
                <c:pt idx="298">
                  <c:v>5.0814074037886514E-2</c:v>
                </c:pt>
                <c:pt idx="299">
                  <c:v>5.0834863645686568E-2</c:v>
                </c:pt>
                <c:pt idx="300">
                  <c:v>5.085565279814086E-2</c:v>
                </c:pt>
                <c:pt idx="301">
                  <c:v>5.0876441495259384E-2</c:v>
                </c:pt>
                <c:pt idx="302">
                  <c:v>5.0897229737052019E-2</c:v>
                </c:pt>
                <c:pt idx="303">
                  <c:v>5.0918017523528758E-2</c:v>
                </c:pt>
                <c:pt idx="304">
                  <c:v>5.0938804854699704E-2</c:v>
                </c:pt>
                <c:pt idx="305">
                  <c:v>5.0959591730574738E-2</c:v>
                </c:pt>
                <c:pt idx="306">
                  <c:v>5.0980378151163852E-2</c:v>
                </c:pt>
                <c:pt idx="307">
                  <c:v>5.1001164116477038E-2</c:v>
                </c:pt>
                <c:pt idx="308">
                  <c:v>5.1021949626524177E-2</c:v>
                </c:pt>
                <c:pt idx="309">
                  <c:v>5.104273468131526E-2</c:v>
                </c:pt>
                <c:pt idx="310">
                  <c:v>5.1063519280860392E-2</c:v>
                </c:pt>
                <c:pt idx="311">
                  <c:v>5.1084303425169453E-2</c:v>
                </c:pt>
                <c:pt idx="312">
                  <c:v>5.1105087114252323E-2</c:v>
                </c:pt>
                <c:pt idx="313">
                  <c:v>5.1125870348119107E-2</c:v>
                </c:pt>
                <c:pt idx="314">
                  <c:v>5.1146653126779795E-2</c:v>
                </c:pt>
                <c:pt idx="315">
                  <c:v>5.116743545024427E-2</c:v>
                </c:pt>
                <c:pt idx="316">
                  <c:v>5.1188217318522411E-2</c:v>
                </c:pt>
                <c:pt idx="317">
                  <c:v>5.1208998731624433E-2</c:v>
                </c:pt>
                <c:pt idx="318">
                  <c:v>5.1229779689560107E-2</c:v>
                </c:pt>
                <c:pt idx="319">
                  <c:v>5.1250560192339534E-2</c:v>
                </c:pt>
                <c:pt idx="320">
                  <c:v>5.1271340239972596E-2</c:v>
                </c:pt>
                <c:pt idx="321">
                  <c:v>5.1292119832469174E-2</c:v>
                </c:pt>
                <c:pt idx="322">
                  <c:v>5.1312898969839482E-2</c:v>
                </c:pt>
                <c:pt idx="323">
                  <c:v>5.133367765209329E-2</c:v>
                </c:pt>
                <c:pt idx="324">
                  <c:v>5.1354455879240701E-2</c:v>
                </c:pt>
                <c:pt idx="325">
                  <c:v>5.1375233651291485E-2</c:v>
                </c:pt>
                <c:pt idx="326">
                  <c:v>5.1396010968255856E-2</c:v>
                </c:pt>
                <c:pt idx="327">
                  <c:v>5.1416787830143584E-2</c:v>
                </c:pt>
                <c:pt idx="328">
                  <c:v>5.1437564236964772E-2</c:v>
                </c:pt>
                <c:pt idx="329">
                  <c:v>5.1458340188729301E-2</c:v>
                </c:pt>
                <c:pt idx="330">
                  <c:v>5.1479115685447163E-2</c:v>
                </c:pt>
                <c:pt idx="331">
                  <c:v>5.149989072712835E-2</c:v>
                </c:pt>
                <c:pt idx="332">
                  <c:v>5.1520665313782743E-2</c:v>
                </c:pt>
                <c:pt idx="333">
                  <c:v>5.1541439445420445E-2</c:v>
                </c:pt>
                <c:pt idx="334">
                  <c:v>5.1562213122051337E-2</c:v>
                </c:pt>
                <c:pt idx="335">
                  <c:v>5.15829863436853E-2</c:v>
                </c:pt>
                <c:pt idx="336">
                  <c:v>5.1603759110332548E-2</c:v>
                </c:pt>
                <c:pt idx="337">
                  <c:v>5.162453142200274E-2</c:v>
                </c:pt>
                <c:pt idx="338">
                  <c:v>5.164530327870609E-2</c:v>
                </c:pt>
                <c:pt idx="339">
                  <c:v>5.1666074680452478E-2</c:v>
                </c:pt>
                <c:pt idx="340">
                  <c:v>5.1686845627251787E-2</c:v>
                </c:pt>
                <c:pt idx="341">
                  <c:v>5.1707616119114119E-2</c:v>
                </c:pt>
                <c:pt idx="342">
                  <c:v>5.1728386156049355E-2</c:v>
                </c:pt>
                <c:pt idx="343">
                  <c:v>5.1749155738067487E-2</c:v>
                </c:pt>
                <c:pt idx="344">
                  <c:v>5.1769924865178507E-2</c:v>
                </c:pt>
                <c:pt idx="345">
                  <c:v>5.1790693537392296E-2</c:v>
                </c:pt>
                <c:pt idx="346">
                  <c:v>5.1811461754718846E-2</c:v>
                </c:pt>
                <c:pt idx="347">
                  <c:v>5.1832229517168149E-2</c:v>
                </c:pt>
                <c:pt idx="348">
                  <c:v>5.1852996824750197E-2</c:v>
                </c:pt>
                <c:pt idx="349">
                  <c:v>5.1873763677474871E-2</c:v>
                </c:pt>
                <c:pt idx="350">
                  <c:v>5.1894530075352163E-2</c:v>
                </c:pt>
                <c:pt idx="351">
                  <c:v>5.1915296018392065E-2</c:v>
                </c:pt>
                <c:pt idx="352">
                  <c:v>5.1936061506604458E-2</c:v>
                </c:pt>
                <c:pt idx="353">
                  <c:v>5.1956826539999446E-2</c:v>
                </c:pt>
                <c:pt idx="354">
                  <c:v>5.1977591118586908E-2</c:v>
                </c:pt>
                <c:pt idx="355">
                  <c:v>5.1998355242376726E-2</c:v>
                </c:pt>
                <c:pt idx="356">
                  <c:v>5.2019118911379003E-2</c:v>
                </c:pt>
                <c:pt idx="357">
                  <c:v>5.2039882125603731E-2</c:v>
                </c:pt>
                <c:pt idx="358">
                  <c:v>5.2060644885060681E-2</c:v>
                </c:pt>
                <c:pt idx="359">
                  <c:v>5.2081407189759843E-2</c:v>
                </c:pt>
                <c:pt idx="360">
                  <c:v>5.2102169039711321E-2</c:v>
                </c:pt>
                <c:pt idx="361">
                  <c:v>5.2122930434925108E-2</c:v>
                </c:pt>
                <c:pt idx="362">
                  <c:v>5.2143691375410861E-2</c:v>
                </c:pt>
                <c:pt idx="363">
                  <c:v>5.2164451861178907E-2</c:v>
                </c:pt>
                <c:pt idx="364">
                  <c:v>5.2185211892238903E-2</c:v>
                </c:pt>
                <c:pt idx="365">
                  <c:v>5.2205971468600954E-2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5.4126177013056095E-2</c:v>
                </c:pt>
                <c:pt idx="1">
                  <c:v>5.4250803726142834E-2</c:v>
                </c:pt>
                <c:pt idx="2">
                  <c:v>5.4375369082931044E-2</c:v>
                </c:pt>
                <c:pt idx="3">
                  <c:v>5.4499861441167141E-2</c:v>
                </c:pt>
                <c:pt idx="4">
                  <c:v>5.4624270686740237E-2</c:v>
                </c:pt>
                <c:pt idx="5">
                  <c:v>5.4748588199556261E-2</c:v>
                </c:pt>
                <c:pt idx="6">
                  <c:v>5.4872806806522165E-2</c:v>
                </c:pt>
                <c:pt idx="7">
                  <c:v>5.499692072250191E-2</c:v>
                </c:pt>
                <c:pt idx="8">
                  <c:v>5.5120925480203399E-2</c:v>
                </c:pt>
                <c:pt idx="9">
                  <c:v>5.5244817850043731E-2</c:v>
                </c:pt>
                <c:pt idx="10">
                  <c:v>5.5368595751116564E-2</c:v>
                </c:pt>
                <c:pt idx="11">
                  <c:v>5.5492258154448776E-2</c:v>
                </c:pt>
                <c:pt idx="12">
                  <c:v>5.5615804979786257E-2</c:v>
                </c:pt>
                <c:pt idx="13">
                  <c:v>5.5739236987186441E-2</c:v>
                </c:pt>
                <c:pt idx="14">
                  <c:v>5.5862555664721356E-2</c:v>
                </c:pt>
                <c:pt idx="15">
                  <c:v>5.5985763113607249E-2</c:v>
                </c:pt>
                <c:pt idx="16">
                  <c:v>5.6108861932075614E-2</c:v>
                </c:pt>
                <c:pt idx="17">
                  <c:v>5.6231855099287006E-2</c:v>
                </c:pt>
                <c:pt idx="18">
                  <c:v>5.6354745860562251E-2</c:v>
                </c:pt>
                <c:pt idx="19">
                  <c:v>5.6477537615166613E-2</c:v>
                </c:pt>
                <c:pt idx="20">
                  <c:v>5.660023380783219E-2</c:v>
                </c:pt>
                <c:pt idx="21">
                  <c:v>5.6722837825141828E-2</c:v>
                </c:pt>
                <c:pt idx="22">
                  <c:v>5.6845352897825864E-2</c:v>
                </c:pt>
                <c:pt idx="23">
                  <c:v>5.6967782009941959E-2</c:v>
                </c:pt>
                <c:pt idx="24">
                  <c:v>5.7090127815817578E-2</c:v>
                </c:pt>
                <c:pt idx="25">
                  <c:v>5.7212392565538332E-2</c:v>
                </c:pt>
                <c:pt idx="26">
                  <c:v>5.7334578039660786E-2</c:v>
                </c:pt>
                <c:pt idx="27">
                  <c:v>5.7456685493720148E-2</c:v>
                </c:pt>
                <c:pt idx="28">
                  <c:v>5.7578715612989745E-2</c:v>
                </c:pt>
                <c:pt idx="29">
                  <c:v>5.7700668477834213E-2</c:v>
                </c:pt>
                <c:pt idx="30">
                  <c:v>5.7822543539880492E-2</c:v>
                </c:pt>
                <c:pt idx="31">
                  <c:v>5.7944339609113438E-2</c:v>
                </c:pt>
                <c:pt idx="32">
                  <c:v>5.8066054851886505E-2</c:v>
                </c:pt>
                <c:pt idx="33">
                  <c:v>5.8187686799722887E-2</c:v>
                </c:pt>
                <c:pt idx="34">
                  <c:v>5.8309232368671776E-2</c:v>
                </c:pt>
                <c:pt idx="35">
                  <c:v>5.8430687888877349E-2</c:v>
                </c:pt>
                <c:pt idx="36">
                  <c:v>5.8552049143916436E-2</c:v>
                </c:pt>
                <c:pt idx="37">
                  <c:v>5.8673311419366582E-2</c:v>
                </c:pt>
                <c:pt idx="38">
                  <c:v>5.8794469559977289E-2</c:v>
                </c:pt>
                <c:pt idx="39">
                  <c:v>5.8915518034738754E-2</c:v>
                </c:pt>
                <c:pt idx="40">
                  <c:v>5.903645100907149E-2</c:v>
                </c:pt>
                <c:pt idx="41">
                  <c:v>5.9157262423297843E-2</c:v>
                </c:pt>
                <c:pt idx="42">
                  <c:v>5.9277946076506591E-2</c:v>
                </c:pt>
                <c:pt idx="43">
                  <c:v>5.939849571487954E-2</c:v>
                </c:pt>
                <c:pt idx="44">
                  <c:v>5.9518905123518866E-2</c:v>
                </c:pt>
                <c:pt idx="45">
                  <c:v>5.9639168220794188E-2</c:v>
                </c:pt>
                <c:pt idx="46">
                  <c:v>5.975927915421924E-2</c:v>
                </c:pt>
                <c:pt idx="47">
                  <c:v>5.9879232396869306E-2</c:v>
                </c:pt>
                <c:pt idx="48">
                  <c:v>5.9999022843362788E-2</c:v>
                </c:pt>
                <c:pt idx="49">
                  <c:v>6.0118645904452303E-2</c:v>
                </c:pt>
                <c:pt idx="50">
                  <c:v>6.0238097599302175E-2</c:v>
                </c:pt>
                <c:pt idx="51">
                  <c:v>6.0357374644570347E-2</c:v>
                </c:pt>
                <c:pt idx="52">
                  <c:v>6.047647453946179E-2</c:v>
                </c:pt>
                <c:pt idx="53">
                  <c:v>6.0595395645978115E-2</c:v>
                </c:pt>
                <c:pt idx="54">
                  <c:v>6.071413726365138E-2</c:v>
                </c:pt>
                <c:pt idx="55">
                  <c:v>6.0832699698121356E-2</c:v>
                </c:pt>
                <c:pt idx="56">
                  <c:v>6.0951084322990387E-2</c:v>
                </c:pt>
                <c:pt idx="57">
                  <c:v>6.1069293634469744E-2</c:v>
                </c:pt>
                <c:pt idx="58">
                  <c:v>6.1187331298414957E-2</c:v>
                </c:pt>
                <c:pt idx="59">
                  <c:v>6.1305202189431925E-2</c:v>
                </c:pt>
                <c:pt idx="60">
                  <c:v>6.1422912421823427E-2</c:v>
                </c:pt>
                <c:pt idx="61">
                  <c:v>6.1540469372230684E-2</c:v>
                </c:pt>
                <c:pt idx="62">
                  <c:v>6.1657881693912231E-2</c:v>
                </c:pt>
                <c:pt idx="63">
                  <c:v>6.1775159322684695E-2</c:v>
                </c:pt>
                <c:pt idx="64">
                  <c:v>6.1892313474632928E-2</c:v>
                </c:pt>
                <c:pt idx="65">
                  <c:v>6.2009356635773089E-2</c:v>
                </c:pt>
                <c:pt idx="66">
                  <c:v>6.2126302543926364E-2</c:v>
                </c:pt>
                <c:pt idx="67">
                  <c:v>6.2243166163128409E-2</c:v>
                </c:pt>
                <c:pt idx="68">
                  <c:v>6.2359963650960901E-2</c:v>
                </c:pt>
                <c:pt idx="69">
                  <c:v>6.2476712319247729E-2</c:v>
                </c:pt>
                <c:pt idx="70">
                  <c:v>6.2593430588605253E-2</c:v>
                </c:pt>
                <c:pt idx="71">
                  <c:v>6.2710137937376731E-2</c:v>
                </c:pt>
                <c:pt idx="72">
                  <c:v>6.2826854845514285E-2</c:v>
                </c:pt>
                <c:pt idx="73">
                  <c:v>6.2943602733994047E-2</c:v>
                </c:pt>
                <c:pt idx="74">
                  <c:v>6.3060403900368781E-2</c:v>
                </c:pt>
                <c:pt idx="75">
                  <c:v>6.3177281451067116E-2</c:v>
                </c:pt>
                <c:pt idx="76">
                  <c:v>6.3294259231050254E-2</c:v>
                </c:pt>
                <c:pt idx="77">
                  <c:v>6.3411361751427239E-2</c:v>
                </c:pt>
                <c:pt idx="78">
                  <c:v>6.3528614115613391E-2</c:v>
                </c:pt>
                <c:pt idx="79">
                  <c:v>6.3646041944593959E-2</c:v>
                </c:pt>
                <c:pt idx="80">
                  <c:v>6.376367130182295E-2</c:v>
                </c:pt>
                <c:pt idx="81">
                  <c:v>6.3881528618251665E-2</c:v>
                </c:pt>
                <c:pt idx="82">
                  <c:v>6.3999640617937989E-2</c:v>
                </c:pt>
                <c:pt idx="83">
                  <c:v>6.4118034244640312E-2</c:v>
                </c:pt>
                <c:pt idx="84">
                  <c:v>6.4236736589748433E-2</c:v>
                </c:pt>
                <c:pt idx="85">
                  <c:v>6.4355774821848608E-2</c:v>
                </c:pt>
                <c:pt idx="86">
                  <c:v>6.4475176118162295E-2</c:v>
                </c:pt>
                <c:pt idx="87">
                  <c:v>6.4594967598039288E-2</c:v>
                </c:pt>
                <c:pt idx="88">
                  <c:v>6.4715176258625981E-2</c:v>
                </c:pt>
                <c:pt idx="89">
                  <c:v>6.4835828912769428E-2</c:v>
                </c:pt>
                <c:pt idx="90">
                  <c:v>6.4956952129160361E-2</c:v>
                </c:pt>
                <c:pt idx="91">
                  <c:v>6.5078572174660648E-2</c:v>
                </c:pt>
                <c:pt idx="92">
                  <c:v>6.5200714958707884E-2</c:v>
                </c:pt>
                <c:pt idx="93">
                  <c:v>6.5323405979639163E-2</c:v>
                </c:pt>
                <c:pt idx="94">
                  <c:v>6.5446670272731225E-2</c:v>
                </c:pt>
                <c:pt idx="95">
                  <c:v>6.5570532359713246E-2</c:v>
                </c:pt>
                <c:pt idx="96">
                  <c:v>6.5695016199474085E-2</c:v>
                </c:pt>
                <c:pt idx="97">
                  <c:v>6.5820145139657685E-2</c:v>
                </c:pt>
                <c:pt idx="98">
                  <c:v>6.5945941868819122E-2</c:v>
                </c:pt>
                <c:pt idx="99">
                  <c:v>6.6072428368799035E-2</c:v>
                </c:pt>
                <c:pt idx="100">
                  <c:v>6.6199625866968065E-2</c:v>
                </c:pt>
                <c:pt idx="101">
                  <c:v>6.6327554787993945E-2</c:v>
                </c:pt>
                <c:pt idx="102">
                  <c:v>6.6456234704792144E-2</c:v>
                </c:pt>
                <c:pt idx="103">
                  <c:v>6.6585684288338234E-2</c:v>
                </c:pt>
                <c:pt idx="104">
                  <c:v>6.6715921256044142E-2</c:v>
                </c:pt>
                <c:pt idx="105">
                  <c:v>6.6846962318431347E-2</c:v>
                </c:pt>
                <c:pt idx="106">
                  <c:v>6.6978823123873904E-2</c:v>
                </c:pt>
                <c:pt idx="107">
                  <c:v>6.7111518201228348E-2</c:v>
                </c:pt>
                <c:pt idx="108">
                  <c:v>6.7245060900219408E-2</c:v>
                </c:pt>
                <c:pt idx="109">
                  <c:v>6.7379463329506978E-2</c:v>
                </c:pt>
                <c:pt idx="110">
                  <c:v>6.7514736292421176E-2</c:v>
                </c:pt>
                <c:pt idx="111">
                  <c:v>6.7650889220418384E-2</c:v>
                </c:pt>
                <c:pt idx="112">
                  <c:v>6.778793010437853E-2</c:v>
                </c:pt>
                <c:pt idx="113">
                  <c:v>6.792586542393593E-2</c:v>
                </c:pt>
                <c:pt idx="114">
                  <c:v>6.8064700075106968E-2</c:v>
                </c:pt>
                <c:pt idx="115">
                  <c:v>6.8204437296550804E-2</c:v>
                </c:pt>
                <c:pt idx="116">
                  <c:v>6.8345078594870587E-2</c:v>
                </c:pt>
                <c:pt idx="117">
                  <c:v>6.8486623669432506E-2</c:v>
                </c:pt>
                <c:pt idx="118">
                  <c:v>6.862907033724662E-2</c:v>
                </c:pt>
                <c:pt idx="119">
                  <c:v>6.8772414458517769E-2</c:v>
                </c:pt>
                <c:pt idx="120">
                  <c:v>6.8916649863531756E-2</c:v>
                </c:pt>
                <c:pt idx="121">
                  <c:v>6.9061768281596367E-2</c:v>
                </c:pt>
                <c:pt idx="122">
                  <c:v>6.9207759272802247E-2</c:v>
                </c:pt>
                <c:pt idx="123">
                  <c:v>6.9354610163407368E-2</c:v>
                </c:pt>
                <c:pt idx="124">
                  <c:v>6.9502305985680649E-2</c:v>
                </c:pt>
                <c:pt idx="125">
                  <c:v>6.9650829423060764E-2</c:v>
                </c:pt>
                <c:pt idx="126">
                  <c:v>6.9800160761500266E-2</c:v>
                </c:pt>
                <c:pt idx="127">
                  <c:v>6.9950277847866976E-2</c:v>
                </c:pt>
                <c:pt idx="128">
                  <c:v>7.0101156056267225E-2</c:v>
                </c:pt>
                <c:pt idx="129">
                  <c:v>7.0252768263138546E-2</c:v>
                </c:pt>
                <c:pt idx="130">
                  <c:v>7.0405084831929296E-2</c:v>
                </c:pt>
                <c:pt idx="131">
                  <c:v>7.0558073608145547E-2</c:v>
                </c:pt>
                <c:pt idx="132">
                  <c:v>7.071169992549417E-2</c:v>
                </c:pt>
                <c:pt idx="133">
                  <c:v>7.0865926623792805E-2</c:v>
                </c:pt>
                <c:pt idx="134">
                  <c:v>7.1020714079246094E-2</c:v>
                </c:pt>
                <c:pt idx="135">
                  <c:v>7.1176020247609925E-2</c:v>
                </c:pt>
                <c:pt idx="136">
                  <c:v>7.1331800720676103E-2</c:v>
                </c:pt>
                <c:pt idx="137">
                  <c:v>7.1488008796414843E-2</c:v>
                </c:pt>
                <c:pt idx="138">
                  <c:v>7.1644595563007993E-2</c:v>
                </c:pt>
                <c:pt idx="139">
                  <c:v>7.1801509996897037E-2</c:v>
                </c:pt>
                <c:pt idx="140">
                  <c:v>7.195869907485411E-2</c:v>
                </c:pt>
                <c:pt idx="141">
                  <c:v>7.2116107899964768E-2</c:v>
                </c:pt>
                <c:pt idx="142">
                  <c:v>7.2273679841288962E-2</c:v>
                </c:pt>
                <c:pt idx="143">
                  <c:v>7.2431356686841628E-2</c:v>
                </c:pt>
                <c:pt idx="144">
                  <c:v>7.2589078809409124E-2</c:v>
                </c:pt>
                <c:pt idx="145">
                  <c:v>7.2746785344593209E-2</c:v>
                </c:pt>
                <c:pt idx="146">
                  <c:v>7.2904414380350946E-2</c:v>
                </c:pt>
                <c:pt idx="147">
                  <c:v>7.3061903157179933E-2</c:v>
                </c:pt>
                <c:pt idx="148">
                  <c:v>7.3219188277982725E-2</c:v>
                </c:pt>
                <c:pt idx="149">
                  <c:v>7.3376205926534738E-2</c:v>
                </c:pt>
                <c:pt idx="150">
                  <c:v>7.3532892093378335E-2</c:v>
                </c:pt>
                <c:pt idx="151">
                  <c:v>7.368918280787097E-2</c:v>
                </c:pt>
                <c:pt idx="152">
                  <c:v>7.3845014375030341E-2</c:v>
                </c:pt>
                <c:pt idx="153">
                  <c:v>7.4000323615745947E-2</c:v>
                </c:pt>
                <c:pt idx="154">
                  <c:v>7.4155048108861671E-2</c:v>
                </c:pt>
                <c:pt idx="155">
                  <c:v>7.4309126433584199E-2</c:v>
                </c:pt>
                <c:pt idx="156">
                  <c:v>7.4462498410633279E-2</c:v>
                </c:pt>
                <c:pt idx="157">
                  <c:v>7.4615105340524748E-2</c:v>
                </c:pt>
                <c:pt idx="158">
                  <c:v>7.4766890237366698E-2</c:v>
                </c:pt>
                <c:pt idx="159">
                  <c:v>7.4917798056552548E-2</c:v>
                </c:pt>
                <c:pt idx="160">
                  <c:v>7.5067775914751889E-2</c:v>
                </c:pt>
                <c:pt idx="161">
                  <c:v>7.5216773300633866E-2</c:v>
                </c:pt>
                <c:pt idx="162">
                  <c:v>7.5364742274802221E-2</c:v>
                </c:pt>
                <c:pt idx="163">
                  <c:v>7.5511637657484448E-2</c:v>
                </c:pt>
                <c:pt idx="164">
                  <c:v>7.565741720259074E-2</c:v>
                </c:pt>
                <c:pt idx="165">
                  <c:v>7.5802041756846406E-2</c:v>
                </c:pt>
                <c:pt idx="166">
                  <c:v>7.5945475402802817E-2</c:v>
                </c:pt>
                <c:pt idx="167">
                  <c:v>7.6087685584643031E-2</c:v>
                </c:pt>
                <c:pt idx="168">
                  <c:v>7.6228643215822289E-2</c:v>
                </c:pt>
                <c:pt idx="169">
                  <c:v>7.6368322767715713E-2</c:v>
                </c:pt>
                <c:pt idx="170">
                  <c:v>7.6506702338587085E-2</c:v>
                </c:pt>
                <c:pt idx="171">
                  <c:v>7.6643763702341702E-2</c:v>
                </c:pt>
                <c:pt idx="172">
                  <c:v>7.6779492336680244E-2</c:v>
                </c:pt>
                <c:pt idx="173">
                  <c:v>7.6913877430430433E-2</c:v>
                </c:pt>
                <c:pt idx="174">
                  <c:v>7.7046911869995127E-2</c:v>
                </c:pt>
                <c:pt idx="175">
                  <c:v>7.7178592205019589E-2</c:v>
                </c:pt>
                <c:pt idx="176">
                  <c:v>7.7308918593544149E-2</c:v>
                </c:pt>
                <c:pt idx="177">
                  <c:v>7.7437894727070869E-2</c:v>
                </c:pt>
                <c:pt idx="178">
                  <c:v>7.7565527736131831E-2</c:v>
                </c:pt>
                <c:pt idx="179">
                  <c:v>7.7691828077100997E-2</c:v>
                </c:pt>
                <c:pt idx="180">
                  <c:v>7.7816809401139664E-2</c:v>
                </c:pt>
                <c:pt idx="181">
                  <c:v>7.794048840630631E-2</c:v>
                </c:pt>
                <c:pt idx="182">
                  <c:v>7.8062884673993027E-2</c:v>
                </c:pt>
                <c:pt idx="183">
                  <c:v>7.8184020490971534E-2</c:v>
                </c:pt>
                <c:pt idx="184">
                  <c:v>7.8303920658442647E-2</c:v>
                </c:pt>
                <c:pt idx="185">
                  <c:v>7.8422612289578253E-2</c:v>
                </c:pt>
                <c:pt idx="186">
                  <c:v>7.8540124597130528E-2</c:v>
                </c:pt>
                <c:pt idx="187">
                  <c:v>7.865648867275031E-2</c:v>
                </c:pt>
                <c:pt idx="188">
                  <c:v>7.8771737259712149E-2</c:v>
                </c:pt>
                <c:pt idx="189">
                  <c:v>7.8885904520780148E-2</c:v>
                </c:pt>
                <c:pt idx="190">
                  <c:v>7.8999025802973244E-2</c:v>
                </c:pt>
                <c:pt idx="191">
                  <c:v>7.9111137400992557E-2</c:v>
                </c:pt>
                <c:pt idx="192">
                  <c:v>7.9222276321064294E-2</c:v>
                </c:pt>
                <c:pt idx="193">
                  <c:v>7.933248004692546E-2</c:v>
                </c:pt>
                <c:pt idx="194">
                  <c:v>7.9441786309636581E-2</c:v>
                </c:pt>
                <c:pt idx="195">
                  <c:v>7.9550232862848083E-2</c:v>
                </c:pt>
                <c:pt idx="196">
                  <c:v>7.965785726507435E-2</c:v>
                </c:pt>
                <c:pt idx="197">
                  <c:v>7.9764696670442892E-2</c:v>
                </c:pt>
                <c:pt idx="198">
                  <c:v>7.9870787629284984E-2</c:v>
                </c:pt>
                <c:pt idx="199">
                  <c:v>7.9976165899823051E-2</c:v>
                </c:pt>
                <c:pt idx="200">
                  <c:v>8.0080866272085688E-2</c:v>
                </c:pt>
                <c:pt idx="201">
                  <c:v>8.0184922405048958E-2</c:v>
                </c:pt>
                <c:pt idx="202">
                  <c:v>8.0288366677860684E-2</c:v>
                </c:pt>
                <c:pt idx="203">
                  <c:v>8.039123005585605E-2</c:v>
                </c:pt>
                <c:pt idx="204">
                  <c:v>8.0493541971919449E-2</c:v>
                </c:pt>
                <c:pt idx="205">
                  <c:v>8.0595330223590098E-2</c:v>
                </c:pt>
                <c:pt idx="206">
                  <c:v>8.0696620886149234E-2</c:v>
                </c:pt>
                <c:pt idx="207">
                  <c:v>8.0797438241766634E-2</c:v>
                </c:pt>
                <c:pt idx="208">
                  <c:v>8.0897804724626182E-2</c:v>
                </c:pt>
                <c:pt idx="209">
                  <c:v>8.0997740881793748E-2</c:v>
                </c:pt>
                <c:pt idx="210">
                  <c:v>8.1097265349439882E-2</c:v>
                </c:pt>
                <c:pt idx="211">
                  <c:v>8.1196394843884842E-2</c:v>
                </c:pt>
                <c:pt idx="212">
                  <c:v>8.1295144166795702E-2</c:v>
                </c:pt>
                <c:pt idx="213">
                  <c:v>8.1393526223737425E-2</c:v>
                </c:pt>
                <c:pt idx="214">
                  <c:v>8.1491552055161745E-2</c:v>
                </c:pt>
                <c:pt idx="215">
                  <c:v>8.1589230878812063E-2</c:v>
                </c:pt>
                <c:pt idx="216">
                  <c:v>8.1686570142428194E-2</c:v>
                </c:pt>
                <c:pt idx="217">
                  <c:v>8.178357558555692E-2</c:v>
                </c:pt>
                <c:pt idx="218">
                  <c:v>8.1880251309207494E-2</c:v>
                </c:pt>
                <c:pt idx="219">
                  <c:v>8.1976599852043266E-2</c:v>
                </c:pt>
                <c:pt idx="220">
                  <c:v>8.2072622271765427E-2</c:v>
                </c:pt>
                <c:pt idx="221">
                  <c:v>8.2168318230328108E-2</c:v>
                </c:pt>
                <c:pt idx="222">
                  <c:v>8.2263686081621532E-2</c:v>
                </c:pt>
                <c:pt idx="223">
                  <c:v>8.2358722960275632E-2</c:v>
                </c:pt>
                <c:pt idx="224">
                  <c:v>8.2453424870266231E-2</c:v>
                </c:pt>
                <c:pt idx="225">
                  <c:v>8.254778677205328E-2</c:v>
                </c:pt>
                <c:pt idx="226">
                  <c:v>8.2641802667041089E-2</c:v>
                </c:pt>
                <c:pt idx="227">
                  <c:v>8.2735465678227441E-2</c:v>
                </c:pt>
                <c:pt idx="228">
                  <c:v>8.2828768125996585E-2</c:v>
                </c:pt>
                <c:pt idx="229">
                  <c:v>8.2921701598114239E-2</c:v>
                </c:pt>
                <c:pt idx="230">
                  <c:v>8.3014257013094367E-2</c:v>
                </c:pt>
                <c:pt idx="231">
                  <c:v>8.3106424676231985E-2</c:v>
                </c:pt>
                <c:pt idx="232">
                  <c:v>8.3198194327726821E-2</c:v>
                </c:pt>
                <c:pt idx="233">
                  <c:v>8.3289555182461755E-2</c:v>
                </c:pt>
                <c:pt idx="234">
                  <c:v>8.3380495961143886E-2</c:v>
                </c:pt>
                <c:pt idx="235">
                  <c:v>8.3471004912663987E-2</c:v>
                </c:pt>
                <c:pt idx="236">
                  <c:v>8.356106982767994E-2</c:v>
                </c:pt>
                <c:pt idx="237">
                  <c:v>8.3650678043579396E-2</c:v>
                </c:pt>
                <c:pt idx="238">
                  <c:v>8.3739816441126255E-2</c:v>
                </c:pt>
                <c:pt idx="239">
                  <c:v>8.3828471433239779E-2</c:v>
                </c:pt>
                <c:pt idx="240">
                  <c:v>8.3916628946496624E-2</c:v>
                </c:pt>
                <c:pt idx="241">
                  <c:v>8.4004274396078021E-2</c:v>
                </c:pt>
                <c:pt idx="242">
                  <c:v>8.409139265501131E-2</c:v>
                </c:pt>
                <c:pt idx="243">
                  <c:v>8.4177968018668267E-2</c:v>
                </c:pt>
                <c:pt idx="244">
                  <c:v>8.4263984165588418E-2</c:v>
                </c:pt>
                <c:pt idx="245">
                  <c:v>8.4349424115785068E-2</c:v>
                </c:pt>
                <c:pt idx="246">
                  <c:v>8.4434270187770485E-2</c:v>
                </c:pt>
                <c:pt idx="247">
                  <c:v>8.4518503955597415E-2</c:v>
                </c:pt>
                <c:pt idx="248">
                  <c:v>8.4602106207261968E-2</c:v>
                </c:pt>
                <c:pt idx="249">
                  <c:v>8.4685056905841799E-2</c:v>
                </c:pt>
                <c:pt idx="250">
                  <c:v>8.476733515475629E-2</c:v>
                </c:pt>
                <c:pt idx="251">
                  <c:v>8.4848919168530906E-2</c:v>
                </c:pt>
                <c:pt idx="252">
                  <c:v>8.4929786250424716E-2</c:v>
                </c:pt>
                <c:pt idx="253">
                  <c:v>8.5009912778240354E-2</c:v>
                </c:pt>
                <c:pt idx="254">
                  <c:v>8.5089274199577208E-2</c:v>
                </c:pt>
                <c:pt idx="255">
                  <c:v>8.5167845037714143E-2</c:v>
                </c:pt>
                <c:pt idx="256">
                  <c:v>8.5245598909216652E-2</c:v>
                </c:pt>
                <c:pt idx="257">
                  <c:v>8.5322508554255883E-2</c:v>
                </c:pt>
                <c:pt idx="258">
                  <c:v>8.5398545880505286E-2</c:v>
                </c:pt>
                <c:pt idx="259">
                  <c:v>8.5473682021345004E-2</c:v>
                </c:pt>
                <c:pt idx="260">
                  <c:v>8.5547887408956608E-2</c:v>
                </c:pt>
                <c:pt idx="261">
                  <c:v>8.5621131862731431E-2</c:v>
                </c:pt>
                <c:pt idx="262">
                  <c:v>8.5693384693248581E-2</c:v>
                </c:pt>
                <c:pt idx="263">
                  <c:v>8.5764614821901994E-2</c:v>
                </c:pt>
                <c:pt idx="264">
                  <c:v>8.5834790916075765E-2</c:v>
                </c:pt>
                <c:pt idx="265">
                  <c:v>8.5903881539580743E-2</c:v>
                </c:pt>
                <c:pt idx="266">
                  <c:v>8.5971855317878321E-2</c:v>
                </c:pt>
                <c:pt idx="267">
                  <c:v>8.6038681117430363E-2</c:v>
                </c:pt>
                <c:pt idx="268">
                  <c:v>8.6104328238328656E-2</c:v>
                </c:pt>
                <c:pt idx="269">
                  <c:v>8.616876661917669E-2</c:v>
                </c:pt>
                <c:pt idx="270">
                  <c:v>8.6231967053020914E-2</c:v>
                </c:pt>
                <c:pt idx="271">
                  <c:v>8.629390141296224E-2</c:v>
                </c:pt>
                <c:pt idx="272">
                  <c:v>8.6354542885921134E-2</c:v>
                </c:pt>
                <c:pt idx="273">
                  <c:v>8.6413866212884674E-2</c:v>
                </c:pt>
                <c:pt idx="274">
                  <c:v>8.6471847933832377E-2</c:v>
                </c:pt>
                <c:pt idx="275">
                  <c:v>8.6528466635420534E-2</c:v>
                </c:pt>
                <c:pt idx="276">
                  <c:v>8.6583703199405185E-2</c:v>
                </c:pt>
                <c:pt idx="277">
                  <c:v>8.6637541049701852E-2</c:v>
                </c:pt>
                <c:pt idx="278">
                  <c:v>8.6689966395916557E-2</c:v>
                </c:pt>
                <c:pt idx="279">
                  <c:v>8.6740968471140656E-2</c:v>
                </c:pt>
                <c:pt idx="280">
                  <c:v>8.6790539761778293E-2</c:v>
                </c:pt>
                <c:pt idx="281">
                  <c:v>8.6838676227176462E-2</c:v>
                </c:pt>
                <c:pt idx="282">
                  <c:v>8.6885377506846023E-2</c:v>
                </c:pt>
                <c:pt idx="283">
                  <c:v>8.6930647113107468E-2</c:v>
                </c:pt>
                <c:pt idx="284">
                  <c:v>8.6974492607057544E-2</c:v>
                </c:pt>
                <c:pt idx="285">
                  <c:v>8.7016925755840316E-2</c:v>
                </c:pt>
                <c:pt idx="286">
                  <c:v>8.7057962669312608E-2</c:v>
                </c:pt>
                <c:pt idx="287">
                  <c:v>8.7097623914321437E-2</c:v>
                </c:pt>
                <c:pt idx="288">
                  <c:v>8.7135934604957443E-2</c:v>
                </c:pt>
                <c:pt idx="289">
                  <c:v>8.7172924467313492E-2</c:v>
                </c:pt>
                <c:pt idx="290">
                  <c:v>8.72086278774587E-2</c:v>
                </c:pt>
                <c:pt idx="291">
                  <c:v>8.7243083871536328E-2</c:v>
                </c:pt>
                <c:pt idx="292">
                  <c:v>8.7276336127102686E-2</c:v>
                </c:pt>
                <c:pt idx="293">
                  <c:v>8.7308432915049361E-2</c:v>
                </c:pt>
                <c:pt idx="294">
                  <c:v>8.7339427021680877E-2</c:v>
                </c:pt>
                <c:pt idx="295">
                  <c:v>8.7369375640761512E-2</c:v>
                </c:pt>
                <c:pt idx="296">
                  <c:v>8.7398340235590427E-2</c:v>
                </c:pt>
                <c:pt idx="297">
                  <c:v>8.7426386371413256E-2</c:v>
                </c:pt>
                <c:pt idx="298">
                  <c:v>8.7453583518728242E-2</c:v>
                </c:pt>
                <c:pt idx="299">
                  <c:v>8.7480004828294114E-2</c:v>
                </c:pt>
                <c:pt idx="300">
                  <c:v>8.7505726878892187E-2</c:v>
                </c:pt>
                <c:pt idx="301">
                  <c:v>8.7530829399133661E-2</c:v>
                </c:pt>
                <c:pt idx="302">
                  <c:v>8.7555394964835317E-2</c:v>
                </c:pt>
                <c:pt idx="303">
                  <c:v>8.7579508673705883E-2</c:v>
                </c:pt>
                <c:pt idx="304">
                  <c:v>8.760325779929462E-2</c:v>
                </c:pt>
                <c:pt idx="305">
                  <c:v>8.7626731426345555E-2</c:v>
                </c:pt>
                <c:pt idx="306">
                  <c:v>8.7650020069879139E-2</c:v>
                </c:pt>
                <c:pt idx="307">
                  <c:v>8.7673215280479527E-2</c:v>
                </c:pt>
                <c:pt idx="308">
                  <c:v>8.7696409238405784E-2</c:v>
                </c:pt>
                <c:pt idx="309">
                  <c:v>8.7719694339261869E-2</c:v>
                </c:pt>
                <c:pt idx="310">
                  <c:v>8.7743162774053959E-2</c:v>
                </c:pt>
                <c:pt idx="311">
                  <c:v>8.776690610653648E-2</c:v>
                </c:pt>
                <c:pt idx="312">
                  <c:v>8.7791014850792881E-2</c:v>
                </c:pt>
                <c:pt idx="313">
                  <c:v>8.7815578052019908E-2</c:v>
                </c:pt>
                <c:pt idx="314">
                  <c:v>8.7840682873480402E-2</c:v>
                </c:pt>
                <c:pt idx="315">
                  <c:v>8.786641419255993E-2</c:v>
                </c:pt>
                <c:pt idx="316">
                  <c:v>8.7892854208809101E-2</c:v>
                </c:pt>
                <c:pt idx="317">
                  <c:v>8.7920082066773403E-2</c:v>
                </c:pt>
                <c:pt idx="318">
                  <c:v>8.7948173496309345E-2</c:v>
                </c:pt>
                <c:pt idx="319">
                  <c:v>8.7977200472958747E-2</c:v>
                </c:pt>
                <c:pt idx="320">
                  <c:v>8.8007230900803354E-2</c:v>
                </c:pt>
                <c:pt idx="321">
                  <c:v>8.8038328320051998E-2</c:v>
                </c:pt>
                <c:pt idx="322">
                  <c:v>8.8070551641422315E-2</c:v>
                </c:pt>
                <c:pt idx="323">
                  <c:v>8.810395490917082E-2</c:v>
                </c:pt>
                <c:pt idx="324">
                  <c:v>8.8138587094401713E-2</c:v>
                </c:pt>
                <c:pt idx="325">
                  <c:v>8.8174491920045645E-2</c:v>
                </c:pt>
                <c:pt idx="326">
                  <c:v>8.8211707718650792E-2</c:v>
                </c:pt>
                <c:pt idx="327">
                  <c:v>8.8250267323867093E-2</c:v>
                </c:pt>
                <c:pt idx="328">
                  <c:v>8.8290197996238634E-2</c:v>
                </c:pt>
                <c:pt idx="329">
                  <c:v>8.8331521383645722E-2</c:v>
                </c:pt>
                <c:pt idx="330">
                  <c:v>8.8374253516463858E-2</c:v>
                </c:pt>
                <c:pt idx="331">
                  <c:v>8.8418404837231776E-2</c:v>
                </c:pt>
                <c:pt idx="332">
                  <c:v>8.846398026434768E-2</c:v>
                </c:pt>
                <c:pt idx="333">
                  <c:v>8.8510979289045624E-2</c:v>
                </c:pt>
                <c:pt idx="334">
                  <c:v>8.8559396104643015E-2</c:v>
                </c:pt>
                <c:pt idx="335">
                  <c:v>8.8609219766799627E-2</c:v>
                </c:pt>
                <c:pt idx="336">
                  <c:v>8.8660434383288966E-2</c:v>
                </c:pt>
                <c:pt idx="337">
                  <c:v>8.8713019331558146E-2</c:v>
                </c:pt>
                <c:pt idx="338">
                  <c:v>8.8766949502142853E-2</c:v>
                </c:pt>
                <c:pt idx="339">
                  <c:v>8.8822195565812764E-2</c:v>
                </c:pt>
                <c:pt idx="340">
                  <c:v>8.8878724262150183E-2</c:v>
                </c:pt>
                <c:pt idx="341">
                  <c:v>8.893649870711462E-2</c:v>
                </c:pt>
                <c:pt idx="342">
                  <c:v>8.8995478717015769E-2</c:v>
                </c:pt>
                <c:pt idx="343">
                  <c:v>8.9055621146212974E-2</c:v>
                </c:pt>
                <c:pt idx="344">
                  <c:v>8.9116880235776533E-2</c:v>
                </c:pt>
                <c:pt idx="345">
                  <c:v>8.9179207970290011E-2</c:v>
                </c:pt>
                <c:pt idx="346">
                  <c:v>8.924255443994078E-2</c:v>
                </c:pt>
                <c:pt idx="347">
                  <c:v>8.9306868205039164E-2</c:v>
                </c:pt>
                <c:pt idx="348">
                  <c:v>8.9372096660125452E-2</c:v>
                </c:pt>
                <c:pt idx="349">
                  <c:v>8.943818639486667E-2</c:v>
                </c:pt>
                <c:pt idx="350">
                  <c:v>8.9505083549013334E-2</c:v>
                </c:pt>
                <c:pt idx="351">
                  <c:v>8.9572734158776535E-2</c:v>
                </c:pt>
                <c:pt idx="352">
                  <c:v>8.9641084492099371E-2</c:v>
                </c:pt>
                <c:pt idx="353">
                  <c:v>8.9710081370430669E-2</c:v>
                </c:pt>
                <c:pt idx="354">
                  <c:v>8.9779672474763914E-2</c:v>
                </c:pt>
                <c:pt idx="355">
                  <c:v>8.9849806633875748E-2</c:v>
                </c:pt>
                <c:pt idx="356">
                  <c:v>8.9920434092887427E-2</c:v>
                </c:pt>
                <c:pt idx="357">
                  <c:v>8.9991506760476292E-2</c:v>
                </c:pt>
                <c:pt idx="358">
                  <c:v>9.0062978433278762E-2</c:v>
                </c:pt>
                <c:pt idx="359">
                  <c:v>9.0134804996253967E-2</c:v>
                </c:pt>
                <c:pt idx="360">
                  <c:v>9.0206944598009722E-2</c:v>
                </c:pt>
                <c:pt idx="361">
                  <c:v>9.0279357800333707E-2</c:v>
                </c:pt>
                <c:pt idx="362">
                  <c:v>9.0352007701415174E-2</c:v>
                </c:pt>
                <c:pt idx="363">
                  <c:v>9.0424860032488744E-2</c:v>
                </c:pt>
                <c:pt idx="364">
                  <c:v>9.0497883227873416E-2</c:v>
                </c:pt>
                <c:pt idx="365">
                  <c:v>9.0571048468622045E-2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4.5689927419716482E-2</c:v>
                </c:pt>
                <c:pt idx="1">
                  <c:v>4.5814774962234017E-2</c:v>
                </c:pt>
                <c:pt idx="2">
                  <c:v>4.598998223779828E-2</c:v>
                </c:pt>
                <c:pt idx="3">
                  <c:v>4.6214964381748963E-2</c:v>
                </c:pt>
                <c:pt idx="4">
                  <c:v>4.6489081299374541E-2</c:v>
                </c:pt>
                <c:pt idx="5">
                  <c:v>4.6811654856675669E-2</c:v>
                </c:pt>
                <c:pt idx="6">
                  <c:v>4.7181984801534495E-2</c:v>
                </c:pt>
                <c:pt idx="7">
                  <c:v>4.7599363419372993E-2</c:v>
                </c:pt>
                <c:pt idx="8">
                  <c:v>4.8060295833723239E-2</c:v>
                </c:pt>
                <c:pt idx="9">
                  <c:v>4.8520681527234641E-2</c:v>
                </c:pt>
                <c:pt idx="10">
                  <c:v>4.8921534460948525E-2</c:v>
                </c:pt>
                <c:pt idx="11">
                  <c:v>4.9264141679532039E-2</c:v>
                </c:pt>
                <c:pt idx="12">
                  <c:v>4.954982357109515E-2</c:v>
                </c:pt>
                <c:pt idx="13">
                  <c:v>4.9779932197906315E-2</c:v>
                </c:pt>
                <c:pt idx="14">
                  <c:v>4.9955849325762886E-2</c:v>
                </c:pt>
                <c:pt idx="15">
                  <c:v>5.0081706698199328E-2</c:v>
                </c:pt>
                <c:pt idx="16">
                  <c:v>5.0153575990810231E-2</c:v>
                </c:pt>
                <c:pt idx="17">
                  <c:v>5.0173015810400019E-2</c:v>
                </c:pt>
                <c:pt idx="18">
                  <c:v>5.0141604472872553E-2</c:v>
                </c:pt>
                <c:pt idx="19">
                  <c:v>5.0061216254178677E-2</c:v>
                </c:pt>
                <c:pt idx="20">
                  <c:v>4.9933862097023093E-2</c:v>
                </c:pt>
                <c:pt idx="21">
                  <c:v>4.9761341606228325E-2</c:v>
                </c:pt>
                <c:pt idx="22">
                  <c:v>4.9542292006648975E-2</c:v>
                </c:pt>
                <c:pt idx="23">
                  <c:v>4.9277132382273735E-2</c:v>
                </c:pt>
                <c:pt idx="24">
                  <c:v>4.9002309142541459E-2</c:v>
                </c:pt>
                <c:pt idx="25">
                  <c:v>4.8720303012863411E-2</c:v>
                </c:pt>
                <c:pt idx="26">
                  <c:v>4.843343018657275E-2</c:v>
                </c:pt>
                <c:pt idx="27">
                  <c:v>4.8143844287484028E-2</c:v>
                </c:pt>
                <c:pt idx="28">
                  <c:v>4.7853540375472611E-2</c:v>
                </c:pt>
                <c:pt idx="29">
                  <c:v>4.7510939198660028E-2</c:v>
                </c:pt>
                <c:pt idx="30">
                  <c:v>4.7117915641247253E-2</c:v>
                </c:pt>
                <c:pt idx="31">
                  <c:v>4.6678407853839088E-2</c:v>
                </c:pt>
                <c:pt idx="32">
                  <c:v>4.6196111656276913E-2</c:v>
                </c:pt>
                <c:pt idx="33">
                  <c:v>4.5674479439798646E-2</c:v>
                </c:pt>
                <c:pt idx="34">
                  <c:v>4.5116721782052477E-2</c:v>
                </c:pt>
                <c:pt idx="35">
                  <c:v>4.4525811236004381E-2</c:v>
                </c:pt>
                <c:pt idx="36">
                  <c:v>4.3897998424710573E-2</c:v>
                </c:pt>
                <c:pt idx="37">
                  <c:v>4.3190932018687303E-2</c:v>
                </c:pt>
                <c:pt idx="38">
                  <c:v>4.2409707100406216E-2</c:v>
                </c:pt>
                <c:pt idx="39">
                  <c:v>4.1559276491486483E-2</c:v>
                </c:pt>
                <c:pt idx="40">
                  <c:v>4.064427853038681E-2</c:v>
                </c:pt>
                <c:pt idx="41">
                  <c:v>3.9669030141826142E-2</c:v>
                </c:pt>
                <c:pt idx="42">
                  <c:v>3.8637523915626922E-2</c:v>
                </c:pt>
                <c:pt idx="43">
                  <c:v>3.7538885239539237E-2</c:v>
                </c:pt>
                <c:pt idx="44">
                  <c:v>3.6420174827026627E-2</c:v>
                </c:pt>
                <c:pt idx="45">
                  <c:v>3.5283258532077241E-2</c:v>
                </c:pt>
                <c:pt idx="46">
                  <c:v>3.4129762392434392E-2</c:v>
                </c:pt>
                <c:pt idx="47">
                  <c:v>3.2961083343980853E-2</c:v>
                </c:pt>
                <c:pt idx="48">
                  <c:v>3.1778399731274012E-2</c:v>
                </c:pt>
                <c:pt idx="49">
                  <c:v>3.058268142730669E-2</c:v>
                </c:pt>
                <c:pt idx="50">
                  <c:v>2.9372611723818606E-2</c:v>
                </c:pt>
                <c:pt idx="51">
                  <c:v>2.8124333416260701E-2</c:v>
                </c:pt>
                <c:pt idx="52">
                  <c:v>2.6871158774426265E-2</c:v>
                </c:pt>
                <c:pt idx="53">
                  <c:v>2.5612935674967013E-2</c:v>
                </c:pt>
                <c:pt idx="54">
                  <c:v>2.4349658799773851E-2</c:v>
                </c:pt>
                <c:pt idx="55">
                  <c:v>2.3081323780352919E-2</c:v>
                </c:pt>
                <c:pt idx="56">
                  <c:v>2.1807926855744914E-2</c:v>
                </c:pt>
                <c:pt idx="57">
                  <c:v>2.053532745211236E-2</c:v>
                </c:pt>
                <c:pt idx="58">
                  <c:v>1.9275525700395462E-2</c:v>
                </c:pt>
                <c:pt idx="59">
                  <c:v>1.802794730233882E-2</c:v>
                </c:pt>
                <c:pt idx="60">
                  <c:v>1.6792042844576086E-2</c:v>
                </c:pt>
                <c:pt idx="61">
                  <c:v>1.5567285643798591E-2</c:v>
                </c:pt>
                <c:pt idx="62">
                  <c:v>1.435316968718791E-2</c:v>
                </c:pt>
                <c:pt idx="63">
                  <c:v>1.3149207662395683E-2</c:v>
                </c:pt>
                <c:pt idx="64">
                  <c:v>1.1954567264171463E-2</c:v>
                </c:pt>
                <c:pt idx="65">
                  <c:v>1.0801695650905784E-2</c:v>
                </c:pt>
                <c:pt idx="66">
                  <c:v>9.7085755052113559E-3</c:v>
                </c:pt>
                <c:pt idx="67">
                  <c:v>8.6735773083128215E-3</c:v>
                </c:pt>
                <c:pt idx="68">
                  <c:v>7.6950738843797137E-3</c:v>
                </c:pt>
                <c:pt idx="69">
                  <c:v>6.7714473366019554E-3</c:v>
                </c:pt>
                <c:pt idx="70">
                  <c:v>5.9010952262444618E-3</c:v>
                </c:pt>
                <c:pt idx="71">
                  <c:v>5.1080398293925989E-3</c:v>
                </c:pt>
                <c:pt idx="72">
                  <c:v>4.3851740469021691E-3</c:v>
                </c:pt>
                <c:pt idx="73">
                  <c:v>3.7305515350760411E-3</c:v>
                </c:pt>
                <c:pt idx="74">
                  <c:v>3.1422956164919896E-3</c:v>
                </c:pt>
                <c:pt idx="75">
                  <c:v>2.6186037727036573E-3</c:v>
                </c:pt>
                <c:pt idx="76">
                  <c:v>2.1577516263860275E-3</c:v>
                </c:pt>
                <c:pt idx="77">
                  <c:v>1.7580964795425845E-3</c:v>
                </c:pt>
                <c:pt idx="78">
                  <c:v>1.417989476288236E-3</c:v>
                </c:pt>
                <c:pt idx="79">
                  <c:v>1.1444569923742434E-3</c:v>
                </c:pt>
                <c:pt idx="80">
                  <c:v>9.0701659684930388E-4</c:v>
                </c:pt>
                <c:pt idx="81">
                  <c:v>7.0489775947165723E-4</c:v>
                </c:pt>
                <c:pt idx="82">
                  <c:v>5.3736239134865237E-4</c:v>
                </c:pt>
                <c:pt idx="83">
                  <c:v>4.0370923462768364E-4</c:v>
                </c:pt>
                <c:pt idx="84">
                  <c:v>3.032779181140645E-4</c:v>
                </c:pt>
                <c:pt idx="85">
                  <c:v>2.3547590391508722E-4</c:v>
                </c:pt>
                <c:pt idx="86">
                  <c:v>1.7659951911822876E-4</c:v>
                </c:pt>
                <c:pt idx="87">
                  <c:v>1.2648056194340633E-4</c:v>
                </c:pt>
                <c:pt idx="88">
                  <c:v>8.4963601558809621E-5</c:v>
                </c:pt>
                <c:pt idx="89">
                  <c:v>5.1906862070689594E-5</c:v>
                </c:pt>
                <c:pt idx="90">
                  <c:v>2.718306889921738E-5</c:v>
                </c:pt>
                <c:pt idx="91">
                  <c:v>1.0680268543152826E-5</c:v>
                </c:pt>
                <c:pt idx="92">
                  <c:v>2.3026217144276487E-6</c:v>
                </c:pt>
                <c:pt idx="93">
                  <c:v>1.9826370602870447E-6</c:v>
                </c:pt>
                <c:pt idx="94">
                  <c:v>1.6959958076591514E-6</c:v>
                </c:pt>
                <c:pt idx="95">
                  <c:v>1.4427105895270831E-6</c:v>
                </c:pt>
                <c:pt idx="96">
                  <c:v>1.2229076323787632E-6</c:v>
                </c:pt>
                <c:pt idx="97">
                  <c:v>1.0368238547529076E-6</c:v>
                </c:pt>
                <c:pt idx="98">
                  <c:v>8.8480439351374352E-7</c:v>
                </c:pt>
                <c:pt idx="99">
                  <c:v>7.6787029063466093E-7</c:v>
                </c:pt>
                <c:pt idx="100">
                  <c:v>6.6203443468430505E-7</c:v>
                </c:pt>
                <c:pt idx="101">
                  <c:v>5.6741905921663986E-7</c:v>
                </c:pt>
                <c:pt idx="102">
                  <c:v>4.8418294945421807E-7</c:v>
                </c:pt>
                <c:pt idx="103">
                  <c:v>4.1252095684071023E-7</c:v>
                </c:pt>
                <c:pt idx="104">
                  <c:v>3.5266355782347206E-7</c:v>
                </c:pt>
                <c:pt idx="105">
                  <c:v>3.0487643483417191E-7</c:v>
                </c:pt>
                <c:pt idx="106">
                  <c:v>2.694658616211956E-7</c:v>
                </c:pt>
                <c:pt idx="107">
                  <c:v>2.4708036088730211E-7</c:v>
                </c:pt>
                <c:pt idx="108">
                  <c:v>2.2522359114728948E-7</c:v>
                </c:pt>
                <c:pt idx="109">
                  <c:v>2.0389236272894443E-7</c:v>
                </c:pt>
                <c:pt idx="110">
                  <c:v>1.8308534197998434E-7</c:v>
                </c:pt>
                <c:pt idx="111">
                  <c:v>1.6280243094425401E-7</c:v>
                </c:pt>
                <c:pt idx="112">
                  <c:v>1.4304448641963959E-7</c:v>
                </c:pt>
                <c:pt idx="113">
                  <c:v>1.2500533134776162E-7</c:v>
                </c:pt>
                <c:pt idx="114">
                  <c:v>1.0807181811864877E-7</c:v>
                </c:pt>
                <c:pt idx="115">
                  <c:v>9.2274127422970753E-8</c:v>
                </c:pt>
                <c:pt idx="116">
                  <c:v>7.7646515102499822E-8</c:v>
                </c:pt>
                <c:pt idx="117">
                  <c:v>6.4227542153548641E-8</c:v>
                </c:pt>
                <c:pt idx="118">
                  <c:v>5.2060309626045188E-8</c:v>
                </c:pt>
                <c:pt idx="119">
                  <c:v>4.1192698287946925E-8</c:v>
                </c:pt>
                <c:pt idx="120">
                  <c:v>3.1677039681073414E-8</c:v>
                </c:pt>
                <c:pt idx="121">
                  <c:v>2.361093775971039E-8</c:v>
                </c:pt>
                <c:pt idx="122">
                  <c:v>1.6686277982685228E-8</c:v>
                </c:pt>
                <c:pt idx="123">
                  <c:v>1.0956624818019161E-8</c:v>
                </c:pt>
                <c:pt idx="124">
                  <c:v>6.4800431806798357E-9</c:v>
                </c:pt>
                <c:pt idx="125">
                  <c:v>3.3192528716888888E-9</c:v>
                </c:pt>
                <c:pt idx="126">
                  <c:v>1.5417786739408804E-9</c:v>
                </c:pt>
                <c:pt idx="127">
                  <c:v>1.220095019080765E-9</c:v>
                </c:pt>
                <c:pt idx="128">
                  <c:v>9.3129471138318359E-10</c:v>
                </c:pt>
                <c:pt idx="129">
                  <c:v>6.7717765151787064E-10</c:v>
                </c:pt>
                <c:pt idx="130">
                  <c:v>4.5968588318814541E-10</c:v>
                </c:pt>
                <c:pt idx="131">
                  <c:v>2.8090751522894142E-10</c:v>
                </c:pt>
                <c:pt idx="132">
                  <c:v>1.4308039494974194E-10</c:v>
                </c:pt>
                <c:pt idx="133">
                  <c:v>4.859549785496056E-11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1.4015610484798173E-10</c:v>
                </c:pt>
                <c:pt idx="212">
                  <c:v>4.2286581572212012E-10</c:v>
                </c:pt>
                <c:pt idx="213">
                  <c:v>8.5047993301029372E-10</c:v>
                </c:pt>
                <c:pt idx="214">
                  <c:v>1.4253146911451616E-9</c:v>
                </c:pt>
                <c:pt idx="215">
                  <c:v>2.1496641253322543E-9</c:v>
                </c:pt>
                <c:pt idx="216">
                  <c:v>3.0258126625738492E-9</c:v>
                </c:pt>
                <c:pt idx="217">
                  <c:v>4.056047937632254E-9</c:v>
                </c:pt>
                <c:pt idx="218">
                  <c:v>5.2426030726836848E-9</c:v>
                </c:pt>
                <c:pt idx="219">
                  <c:v>1.1540740713700727E-8</c:v>
                </c:pt>
                <c:pt idx="220">
                  <c:v>2.3029769985126718E-8</c:v>
                </c:pt>
                <c:pt idx="221">
                  <c:v>3.9788174895114158E-8</c:v>
                </c:pt>
                <c:pt idx="222">
                  <c:v>6.1893745977252179E-8</c:v>
                </c:pt>
                <c:pt idx="223">
                  <c:v>8.942370648464479E-8</c:v>
                </c:pt>
                <c:pt idx="224">
                  <c:v>1.2245483324861375E-7</c:v>
                </c:pt>
                <c:pt idx="225">
                  <c:v>1.6247298464682707E-7</c:v>
                </c:pt>
                <c:pt idx="226">
                  <c:v>2.0942351762776013E-7</c:v>
                </c:pt>
                <c:pt idx="227">
                  <c:v>2.63400990899283E-7</c:v>
                </c:pt>
                <c:pt idx="228">
                  <c:v>3.2449988410651718E-7</c:v>
                </c:pt>
                <c:pt idx="229">
                  <c:v>3.9281472034002788E-7</c:v>
                </c:pt>
                <c:pt idx="230">
                  <c:v>4.6844018339688899E-7</c:v>
                </c:pt>
                <c:pt idx="231">
                  <c:v>5.5147122999021366E-7</c:v>
                </c:pt>
                <c:pt idx="232">
                  <c:v>6.4197581384645695E-7</c:v>
                </c:pt>
                <c:pt idx="233">
                  <c:v>7.4293317022812266E-7</c:v>
                </c:pt>
                <c:pt idx="234">
                  <c:v>8.4914323259517783E-7</c:v>
                </c:pt>
                <c:pt idx="235">
                  <c:v>9.6066909500400243E-7</c:v>
                </c:pt>
                <c:pt idx="236">
                  <c:v>1.077582840732633E-6</c:v>
                </c:pt>
                <c:pt idx="237">
                  <c:v>1.1999658436378864E-6</c:v>
                </c:pt>
                <c:pt idx="238">
                  <c:v>1.3279105502603402E-6</c:v>
                </c:pt>
                <c:pt idx="239">
                  <c:v>1.5239448785231528E-6</c:v>
                </c:pt>
                <c:pt idx="240">
                  <c:v>1.7875262423916286E-6</c:v>
                </c:pt>
                <c:pt idx="241">
                  <c:v>2.1196559162295531E-6</c:v>
                </c:pt>
                <c:pt idx="242">
                  <c:v>2.5214051812253198E-6</c:v>
                </c:pt>
                <c:pt idx="243">
                  <c:v>2.9939328572679558E-6</c:v>
                </c:pt>
                <c:pt idx="244">
                  <c:v>3.5385038190197478E-6</c:v>
                </c:pt>
                <c:pt idx="245">
                  <c:v>4.1565086532062863E-6</c:v>
                </c:pt>
                <c:pt idx="246">
                  <c:v>4.849420035780737E-6</c:v>
                </c:pt>
                <c:pt idx="247">
                  <c:v>5.747531282375091E-6</c:v>
                </c:pt>
                <c:pt idx="248">
                  <c:v>6.8514142208825978E-6</c:v>
                </c:pt>
                <c:pt idx="249">
                  <c:v>8.1649014503484053E-6</c:v>
                </c:pt>
                <c:pt idx="250">
                  <c:v>9.6919758550364494E-6</c:v>
                </c:pt>
                <c:pt idx="251">
                  <c:v>1.1436742874196464E-5</c:v>
                </c:pt>
                <c:pt idx="252">
                  <c:v>1.3403400396297703E-5</c:v>
                </c:pt>
                <c:pt idx="253">
                  <c:v>3.4034763366652259E-5</c:v>
                </c:pt>
                <c:pt idx="254">
                  <c:v>7.3601694900136892E-5</c:v>
                </c:pt>
                <c:pt idx="255">
                  <c:v>1.3245275012845945E-4</c:v>
                </c:pt>
                <c:pt idx="256">
                  <c:v>2.1094458674691168E-4</c:v>
                </c:pt>
                <c:pt idx="257">
                  <c:v>3.0943861914565265E-4</c:v>
                </c:pt>
                <c:pt idx="258">
                  <c:v>4.2829739421261937E-4</c:v>
                </c:pt>
                <c:pt idx="259">
                  <c:v>5.6788067298020909E-4</c:v>
                </c:pt>
                <c:pt idx="260">
                  <c:v>7.2856621037335723E-4</c:v>
                </c:pt>
                <c:pt idx="261">
                  <c:v>9.5783672005595865E-4</c:v>
                </c:pt>
                <c:pt idx="262">
                  <c:v>1.2568393437965486E-3</c:v>
                </c:pt>
                <c:pt idx="263">
                  <c:v>1.6269023670891385E-3</c:v>
                </c:pt>
                <c:pt idx="264">
                  <c:v>2.0694025830618385E-3</c:v>
                </c:pt>
                <c:pt idx="265">
                  <c:v>2.5857856567682936E-3</c:v>
                </c:pt>
                <c:pt idx="266">
                  <c:v>3.1775636497524602E-3</c:v>
                </c:pt>
                <c:pt idx="267">
                  <c:v>3.8837235749517684E-3</c:v>
                </c:pt>
                <c:pt idx="268">
                  <c:v>4.6863850120260021E-3</c:v>
                </c:pt>
                <c:pt idx="269">
                  <c:v>5.5876357717128166E-3</c:v>
                </c:pt>
                <c:pt idx="270">
                  <c:v>6.5896778350963414E-3</c:v>
                </c:pt>
                <c:pt idx="271">
                  <c:v>7.6948389837675005E-3</c:v>
                </c:pt>
                <c:pt idx="272">
                  <c:v>8.9055856263614355E-3</c:v>
                </c:pt>
                <c:pt idx="273">
                  <c:v>1.0224536971983373E-2</c:v>
                </c:pt>
                <c:pt idx="274">
                  <c:v>1.165427280796137E-2</c:v>
                </c:pt>
                <c:pt idx="275">
                  <c:v>1.3188794122582946E-2</c:v>
                </c:pt>
                <c:pt idx="276">
                  <c:v>1.4778587434725222E-2</c:v>
                </c:pt>
                <c:pt idx="277">
                  <c:v>1.6425194599277142E-2</c:v>
                </c:pt>
                <c:pt idx="278">
                  <c:v>1.81302313231698E-2</c:v>
                </c:pt>
                <c:pt idx="279">
                  <c:v>1.9895392923160476E-2</c:v>
                </c:pt>
                <c:pt idx="280">
                  <c:v>2.1722460714216584E-2</c:v>
                </c:pt>
                <c:pt idx="281">
                  <c:v>2.3584495077598036E-2</c:v>
                </c:pt>
                <c:pt idx="282">
                  <c:v>2.5440974839597143E-2</c:v>
                </c:pt>
                <c:pt idx="283">
                  <c:v>2.7292167686630609E-2</c:v>
                </c:pt>
                <c:pt idx="284">
                  <c:v>2.9138365748161317E-2</c:v>
                </c:pt>
                <c:pt idx="285">
                  <c:v>3.0979889347053952E-2</c:v>
                </c:pt>
                <c:pt idx="286">
                  <c:v>3.2817090951928779E-2</c:v>
                </c:pt>
                <c:pt idx="287">
                  <c:v>3.465035934376727E-2</c:v>
                </c:pt>
                <c:pt idx="288">
                  <c:v>3.6481095014704534E-2</c:v>
                </c:pt>
                <c:pt idx="289">
                  <c:v>3.8286120670498039E-2</c:v>
                </c:pt>
                <c:pt idx="290">
                  <c:v>4.0074870911441123E-2</c:v>
                </c:pt>
                <c:pt idx="291">
                  <c:v>4.1847175163940549E-2</c:v>
                </c:pt>
                <c:pt idx="292">
                  <c:v>4.3602787433956694E-2</c:v>
                </c:pt>
                <c:pt idx="293">
                  <c:v>4.5341384241867413E-2</c:v>
                </c:pt>
                <c:pt idx="294">
                  <c:v>4.706256202477823E-2</c:v>
                </c:pt>
                <c:pt idx="295">
                  <c:v>4.8709136278836454E-2</c:v>
                </c:pt>
                <c:pt idx="296">
                  <c:v>5.0312517126386395E-2</c:v>
                </c:pt>
                <c:pt idx="297">
                  <c:v>5.1871667158643983E-2</c:v>
                </c:pt>
                <c:pt idx="298">
                  <c:v>5.3385011300510293E-2</c:v>
                </c:pt>
                <c:pt idx="299">
                  <c:v>5.4850819156490073E-2</c:v>
                </c:pt>
                <c:pt idx="300">
                  <c:v>5.6267197243560531E-2</c:v>
                </c:pt>
                <c:pt idx="301">
                  <c:v>5.7632080567284721E-2</c:v>
                </c:pt>
                <c:pt idx="302">
                  <c:v>5.8956114134800335E-2</c:v>
                </c:pt>
                <c:pt idx="303">
                  <c:v>6.0192406743958975E-2</c:v>
                </c:pt>
                <c:pt idx="304">
                  <c:v>6.136337010674961E-2</c:v>
                </c:pt>
                <c:pt idx="305">
                  <c:v>6.2462554274947811E-2</c:v>
                </c:pt>
                <c:pt idx="306">
                  <c:v>6.3482581567736382E-2</c:v>
                </c:pt>
                <c:pt idx="307">
                  <c:v>6.4415115213562579E-2</c:v>
                </c:pt>
                <c:pt idx="308">
                  <c:v>6.525083706283745E-2</c:v>
                </c:pt>
                <c:pt idx="309">
                  <c:v>6.5984260906466863E-2</c:v>
                </c:pt>
                <c:pt idx="310">
                  <c:v>6.6673332592549567E-2</c:v>
                </c:pt>
                <c:pt idx="311">
                  <c:v>6.7309234279928687E-2</c:v>
                </c:pt>
                <c:pt idx="312">
                  <c:v>6.7882321871133994E-2</c:v>
                </c:pt>
                <c:pt idx="313">
                  <c:v>6.8382141886145983E-2</c:v>
                </c:pt>
                <c:pt idx="314">
                  <c:v>6.8797476790294826E-2</c:v>
                </c:pt>
                <c:pt idx="315">
                  <c:v>6.9116424966875992E-2</c:v>
                </c:pt>
                <c:pt idx="316">
                  <c:v>6.9345023068899767E-2</c:v>
                </c:pt>
                <c:pt idx="317">
                  <c:v>6.9500790442044519E-2</c:v>
                </c:pt>
                <c:pt idx="318">
                  <c:v>6.9650624864668331E-2</c:v>
                </c:pt>
                <c:pt idx="319">
                  <c:v>6.979405615180613E-2</c:v>
                </c:pt>
                <c:pt idx="320">
                  <c:v>6.9930577176196829E-2</c:v>
                </c:pt>
                <c:pt idx="321">
                  <c:v>7.0059643159872828E-2</c:v>
                </c:pt>
                <c:pt idx="322">
                  <c:v>7.0180671305384801E-2</c:v>
                </c:pt>
                <c:pt idx="323">
                  <c:v>7.0256260613379751E-2</c:v>
                </c:pt>
                <c:pt idx="324">
                  <c:v>7.0278394155593477E-2</c:v>
                </c:pt>
                <c:pt idx="325">
                  <c:v>7.0244744358086711E-2</c:v>
                </c:pt>
                <c:pt idx="326">
                  <c:v>7.0152527037789111E-2</c:v>
                </c:pt>
                <c:pt idx="327">
                  <c:v>6.9999242408733703E-2</c:v>
                </c:pt>
                <c:pt idx="328">
                  <c:v>6.9782754674183448E-2</c:v>
                </c:pt>
                <c:pt idx="329">
                  <c:v>6.9500942961645662E-2</c:v>
                </c:pt>
                <c:pt idx="330">
                  <c:v>6.9164486023976873E-2</c:v>
                </c:pt>
                <c:pt idx="331">
                  <c:v>6.8791050344963064E-2</c:v>
                </c:pt>
                <c:pt idx="332">
                  <c:v>6.8366711464084656E-2</c:v>
                </c:pt>
                <c:pt idx="333">
                  <c:v>6.7883775607786814E-2</c:v>
                </c:pt>
                <c:pt idx="334">
                  <c:v>6.7334383840440881E-2</c:v>
                </c:pt>
                <c:pt idx="335">
                  <c:v>6.6710594321668801E-2</c:v>
                </c:pt>
                <c:pt idx="336">
                  <c:v>6.6004486432873419E-2</c:v>
                </c:pt>
                <c:pt idx="337">
                  <c:v>6.52823950719085E-2</c:v>
                </c:pt>
                <c:pt idx="338">
                  <c:v>6.4582517445920667E-2</c:v>
                </c:pt>
                <c:pt idx="339">
                  <c:v>6.3900687930384156E-2</c:v>
                </c:pt>
                <c:pt idx="340">
                  <c:v>6.3232752161052452E-2</c:v>
                </c:pt>
                <c:pt idx="341">
                  <c:v>6.2574598079440366E-2</c:v>
                </c:pt>
                <c:pt idx="342">
                  <c:v>6.1922195675769086E-2</c:v>
                </c:pt>
                <c:pt idx="343">
                  <c:v>6.1271644847522261E-2</c:v>
                </c:pt>
                <c:pt idx="344">
                  <c:v>6.0621326164208046E-2</c:v>
                </c:pt>
                <c:pt idx="345">
                  <c:v>5.9977621023360614E-2</c:v>
                </c:pt>
                <c:pt idx="346">
                  <c:v>5.9354229526185229E-2</c:v>
                </c:pt>
                <c:pt idx="347">
                  <c:v>5.8758947167442788E-2</c:v>
                </c:pt>
                <c:pt idx="348">
                  <c:v>5.8199181701100063E-2</c:v>
                </c:pt>
                <c:pt idx="349">
                  <c:v>5.7681899315938999E-2</c:v>
                </c:pt>
                <c:pt idx="350">
                  <c:v>5.7213592138251827E-2</c:v>
                </c:pt>
                <c:pt idx="351">
                  <c:v>5.6817386467685624E-2</c:v>
                </c:pt>
                <c:pt idx="352">
                  <c:v>5.6422526717281235E-2</c:v>
                </c:pt>
                <c:pt idx="353">
                  <c:v>5.6035060514440717E-2</c:v>
                </c:pt>
                <c:pt idx="354">
                  <c:v>5.5660757402632259E-2</c:v>
                </c:pt>
                <c:pt idx="355">
                  <c:v>5.5305094327732708E-2</c:v>
                </c:pt>
                <c:pt idx="356">
                  <c:v>5.4973184441484309E-2</c:v>
                </c:pt>
                <c:pt idx="357">
                  <c:v>5.466991783862625E-2</c:v>
                </c:pt>
                <c:pt idx="358">
                  <c:v>5.4383028612456065E-2</c:v>
                </c:pt>
                <c:pt idx="359">
                  <c:v>5.4098651503317531E-2</c:v>
                </c:pt>
                <c:pt idx="360">
                  <c:v>5.3890750768875194E-2</c:v>
                </c:pt>
                <c:pt idx="361">
                  <c:v>5.3743345117971589E-2</c:v>
                </c:pt>
                <c:pt idx="362">
                  <c:v>5.3656611419427798E-2</c:v>
                </c:pt>
                <c:pt idx="363">
                  <c:v>5.3630521469009811E-2</c:v>
                </c:pt>
                <c:pt idx="364">
                  <c:v>5.3664866514586559E-2</c:v>
                </c:pt>
                <c:pt idx="365">
                  <c:v>5.3759281865941526E-2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326504"/>
        <c:axId val="313326896"/>
      </c:lineChart>
      <c:dateAx>
        <c:axId val="3133265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13326896"/>
        <c:crosses val="autoZero"/>
        <c:auto val="1"/>
        <c:lblOffset val="100"/>
        <c:baseTimeUnit val="days"/>
        <c:majorUnit val="1"/>
        <c:majorTimeUnit val="months"/>
      </c:dateAx>
      <c:valAx>
        <c:axId val="3133268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133265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10.97762192580621</c:v>
                </c:pt>
                <c:pt idx="1">
                  <c:v>11.094342945250574</c:v>
                </c:pt>
                <c:pt idx="2">
                  <c:v>11.214776339795787</c:v>
                </c:pt>
                <c:pt idx="3">
                  <c:v>11.338573255726878</c:v>
                </c:pt>
                <c:pt idx="4">
                  <c:v>11.465384925990586</c:v>
                </c:pt>
                <c:pt idx="5">
                  <c:v>11.594862696970154</c:v>
                </c:pt>
                <c:pt idx="6">
                  <c:v>11.726658059851255</c:v>
                </c:pt>
                <c:pt idx="7">
                  <c:v>11.860422673816609</c:v>
                </c:pt>
                <c:pt idx="8">
                  <c:v>11.996547234261362</c:v>
                </c:pt>
                <c:pt idx="9">
                  <c:v>12.136179025197361</c:v>
                </c:pt>
                <c:pt idx="10">
                  <c:v>12.280205218854265</c:v>
                </c:pt>
                <c:pt idx="11">
                  <c:v>12.428715505701826</c:v>
                </c:pt>
                <c:pt idx="12">
                  <c:v>12.58179958145516</c:v>
                </c:pt>
                <c:pt idx="13">
                  <c:v>12.739547142881749</c:v>
                </c:pt>
                <c:pt idx="14">
                  <c:v>12.902047884642119</c:v>
                </c:pt>
                <c:pt idx="15">
                  <c:v>13.069315407619698</c:v>
                </c:pt>
                <c:pt idx="16">
                  <c:v>13.241560512825659</c:v>
                </c:pt>
                <c:pt idx="17">
                  <c:v>13.418872889860761</c:v>
                </c:pt>
                <c:pt idx="18">
                  <c:v>13.601342213249254</c:v>
                </c:pt>
                <c:pt idx="19">
                  <c:v>13.78905330527042</c:v>
                </c:pt>
                <c:pt idx="20">
                  <c:v>13.982088507184978</c:v>
                </c:pt>
                <c:pt idx="21">
                  <c:v>14.180533648499022</c:v>
                </c:pt>
                <c:pt idx="22">
                  <c:v>14.385450363729369</c:v>
                </c:pt>
                <c:pt idx="23">
                  <c:v>14.59739822010623</c:v>
                </c:pt>
                <c:pt idx="24">
                  <c:v>14.815356238582691</c:v>
                </c:pt>
                <c:pt idx="25">
                  <c:v>15.038769370055951</c:v>
                </c:pt>
                <c:pt idx="26">
                  <c:v>15.267082790368775</c:v>
                </c:pt>
                <c:pt idx="27">
                  <c:v>15.499741898444711</c:v>
                </c:pt>
                <c:pt idx="28">
                  <c:v>15.736192329487235</c:v>
                </c:pt>
                <c:pt idx="29">
                  <c:v>15.976828680208731</c:v>
                </c:pt>
                <c:pt idx="30">
                  <c:v>16.221172874974503</c:v>
                </c:pt>
                <c:pt idx="31">
                  <c:v>16.468670929908001</c:v>
                </c:pt>
                <c:pt idx="32">
                  <c:v>16.718769089875792</c:v>
                </c:pt>
                <c:pt idx="33">
                  <c:v>16.970913845001345</c:v>
                </c:pt>
                <c:pt idx="34">
                  <c:v>17.224551937674175</c:v>
                </c:pt>
                <c:pt idx="35">
                  <c:v>17.47913036550332</c:v>
                </c:pt>
                <c:pt idx="36">
                  <c:v>17.736868906001764</c:v>
                </c:pt>
                <c:pt idx="37">
                  <c:v>18.000973052123044</c:v>
                </c:pt>
                <c:pt idx="38">
                  <c:v>18.270871534716573</c:v>
                </c:pt>
                <c:pt idx="39">
                  <c:v>18.545918749603469</c:v>
                </c:pt>
                <c:pt idx="40">
                  <c:v>18.825469446142137</c:v>
                </c:pt>
                <c:pt idx="41">
                  <c:v>19.108878731926101</c:v>
                </c:pt>
                <c:pt idx="42">
                  <c:v>19.395502074835868</c:v>
                </c:pt>
                <c:pt idx="43">
                  <c:v>19.685178097840026</c:v>
                </c:pt>
                <c:pt idx="44">
                  <c:v>19.976315925198815</c:v>
                </c:pt>
                <c:pt idx="45">
                  <c:v>20.26827244544539</c:v>
                </c:pt>
                <c:pt idx="46">
                  <c:v>20.560404921816787</c:v>
                </c:pt>
                <c:pt idx="47">
                  <c:v>20.852070994831248</c:v>
                </c:pt>
                <c:pt idx="48">
                  <c:v>21.142628689601406</c:v>
                </c:pt>
                <c:pt idx="49">
                  <c:v>21.431436419195311</c:v>
                </c:pt>
                <c:pt idx="50">
                  <c:v>21.719459035234021</c:v>
                </c:pt>
                <c:pt idx="51">
                  <c:v>22.008696098796683</c:v>
                </c:pt>
                <c:pt idx="52">
                  <c:v>22.298105053452744</c:v>
                </c:pt>
                <c:pt idx="53">
                  <c:v>22.587691531567703</c:v>
                </c:pt>
                <c:pt idx="54">
                  <c:v>22.877456709265775</c:v>
                </c:pt>
                <c:pt idx="55">
                  <c:v>23.167401661192805</c:v>
                </c:pt>
                <c:pt idx="56">
                  <c:v>23.457527361895767</c:v>
                </c:pt>
                <c:pt idx="57">
                  <c:v>23.748030810655564</c:v>
                </c:pt>
                <c:pt idx="58">
                  <c:v>24.038429775774659</c:v>
                </c:pt>
                <c:pt idx="59">
                  <c:v>24.32872531172147</c:v>
                </c:pt>
                <c:pt idx="60">
                  <c:v>24.618918432874306</c:v>
                </c:pt>
                <c:pt idx="61">
                  <c:v>24.90901012948526</c:v>
                </c:pt>
                <c:pt idx="62">
                  <c:v>25.199001385765627</c:v>
                </c:pt>
                <c:pt idx="63">
                  <c:v>25.488893203961055</c:v>
                </c:pt>
                <c:pt idx="64">
                  <c:v>25.779480864126743</c:v>
                </c:pt>
                <c:pt idx="65">
                  <c:v>26.070445449968176</c:v>
                </c:pt>
                <c:pt idx="66">
                  <c:v>26.360813954419552</c:v>
                </c:pt>
                <c:pt idx="67">
                  <c:v>26.650220768262734</c:v>
                </c:pt>
                <c:pt idx="68">
                  <c:v>26.938300517337726</c:v>
                </c:pt>
                <c:pt idx="69">
                  <c:v>27.224688079807176</c:v>
                </c:pt>
                <c:pt idx="70">
                  <c:v>27.509018598230679</c:v>
                </c:pt>
                <c:pt idx="71">
                  <c:v>27.789775070718992</c:v>
                </c:pt>
                <c:pt idx="72">
                  <c:v>28.066391708955837</c:v>
                </c:pt>
                <c:pt idx="73">
                  <c:v>28.338501857463964</c:v>
                </c:pt>
                <c:pt idx="74">
                  <c:v>28.605738885740553</c:v>
                </c:pt>
                <c:pt idx="75">
                  <c:v>28.867736167331394</c:v>
                </c:pt>
                <c:pt idx="76">
                  <c:v>29.124127061595747</c:v>
                </c:pt>
                <c:pt idx="77">
                  <c:v>29.374544892137852</c:v>
                </c:pt>
                <c:pt idx="78">
                  <c:v>29.620529423433055</c:v>
                </c:pt>
                <c:pt idx="79">
                  <c:v>29.86308008301873</c:v>
                </c:pt>
                <c:pt idx="80">
                  <c:v>30.102606139906513</c:v>
                </c:pt>
                <c:pt idx="81">
                  <c:v>30.338647177485836</c:v>
                </c:pt>
                <c:pt idx="82">
                  <c:v>30.570742543723025</c:v>
                </c:pt>
                <c:pt idx="83">
                  <c:v>30.798431323388755</c:v>
                </c:pt>
                <c:pt idx="84">
                  <c:v>31.021252301969938</c:v>
                </c:pt>
                <c:pt idx="85">
                  <c:v>31.238740377493237</c:v>
                </c:pt>
                <c:pt idx="86">
                  <c:v>31.451597477781711</c:v>
                </c:pt>
                <c:pt idx="87">
                  <c:v>31.65936498058867</c:v>
                </c:pt>
                <c:pt idx="88">
                  <c:v>31.861584297744386</c:v>
                </c:pt>
                <c:pt idx="89">
                  <c:v>32.06124016762849</c:v>
                </c:pt>
                <c:pt idx="90">
                  <c:v>32.249476660040031</c:v>
                </c:pt>
                <c:pt idx="91">
                  <c:v>32.431273319845168</c:v>
                </c:pt>
                <c:pt idx="92">
                  <c:v>32.606325913085279</c:v>
                </c:pt>
                <c:pt idx="93">
                  <c:v>32.774939463244891</c:v>
                </c:pt>
                <c:pt idx="94">
                  <c:v>32.937571149989211</c:v>
                </c:pt>
                <c:pt idx="95">
                  <c:v>33.094677990960399</c:v>
                </c:pt>
                <c:pt idx="96">
                  <c:v>33.246716833004527</c:v>
                </c:pt>
                <c:pt idx="97">
                  <c:v>33.39414436182998</c:v>
                </c:pt>
                <c:pt idx="98">
                  <c:v>33.537417093095392</c:v>
                </c:pt>
                <c:pt idx="99">
                  <c:v>33.676991379403653</c:v>
                </c:pt>
                <c:pt idx="100">
                  <c:v>33.81332340283263</c:v>
                </c:pt>
                <c:pt idx="101">
                  <c:v>33.946869178940318</c:v>
                </c:pt>
                <c:pt idx="102">
                  <c:v>34.078084550761893</c:v>
                </c:pt>
                <c:pt idx="103">
                  <c:v>34.207425191991696</c:v>
                </c:pt>
                <c:pt idx="104">
                  <c:v>34.335346601075251</c:v>
                </c:pt>
                <c:pt idx="105">
                  <c:v>34.462304100387954</c:v>
                </c:pt>
                <c:pt idx="106">
                  <c:v>34.588007897996768</c:v>
                </c:pt>
                <c:pt idx="107">
                  <c:v>34.711742795907384</c:v>
                </c:pt>
                <c:pt idx="108">
                  <c:v>34.833326004946542</c:v>
                </c:pt>
                <c:pt idx="109">
                  <c:v>34.952574913614868</c:v>
                </c:pt>
                <c:pt idx="110">
                  <c:v>35.069307096643406</c:v>
                </c:pt>
                <c:pt idx="111">
                  <c:v>35.18334032484578</c:v>
                </c:pt>
                <c:pt idx="112">
                  <c:v>35.294492569896875</c:v>
                </c:pt>
                <c:pt idx="113">
                  <c:v>35.402582012849599</c:v>
                </c:pt>
                <c:pt idx="114">
                  <c:v>35.507427055173409</c:v>
                </c:pt>
                <c:pt idx="115">
                  <c:v>35.608846323302998</c:v>
                </c:pt>
                <c:pt idx="116">
                  <c:v>35.706658678682032</c:v>
                </c:pt>
                <c:pt idx="117">
                  <c:v>35.800683224391754</c:v>
                </c:pt>
                <c:pt idx="118">
                  <c:v>35.890739315826472</c:v>
                </c:pt>
                <c:pt idx="119">
                  <c:v>39.292471598293112</c:v>
                </c:pt>
                <c:pt idx="120">
                  <c:v>39.379869762738089</c:v>
                </c:pt>
                <c:pt idx="121">
                  <c:v>39.463874025716279</c:v>
                </c:pt>
                <c:pt idx="122">
                  <c:v>39.54438697624613</c:v>
                </c:pt>
                <c:pt idx="123">
                  <c:v>39.621311319675819</c:v>
                </c:pt>
                <c:pt idx="124">
                  <c:v>39.694549883919308</c:v>
                </c:pt>
                <c:pt idx="125">
                  <c:v>39.764005613584672</c:v>
                </c:pt>
                <c:pt idx="126">
                  <c:v>39.829581577566458</c:v>
                </c:pt>
                <c:pt idx="127">
                  <c:v>39.891180968542052</c:v>
                </c:pt>
                <c:pt idx="128">
                  <c:v>39.948707107736055</c:v>
                </c:pt>
                <c:pt idx="129">
                  <c:v>40.002063443527007</c:v>
                </c:pt>
                <c:pt idx="130">
                  <c:v>40.051153552170632</c:v>
                </c:pt>
                <c:pt idx="131">
                  <c:v>40.095881143869583</c:v>
                </c:pt>
                <c:pt idx="132">
                  <c:v>40.136150057889125</c:v>
                </c:pt>
                <c:pt idx="133">
                  <c:v>40.171864270178396</c:v>
                </c:pt>
                <c:pt idx="134">
                  <c:v>40.202101887065211</c:v>
                </c:pt>
                <c:pt idx="135">
                  <c:v>40.226338259636158</c:v>
                </c:pt>
                <c:pt idx="136">
                  <c:v>40.245073045273536</c:v>
                </c:pt>
                <c:pt idx="137">
                  <c:v>40.258805516239192</c:v>
                </c:pt>
                <c:pt idx="138">
                  <c:v>40.268034564353883</c:v>
                </c:pt>
                <c:pt idx="139">
                  <c:v>40.273258698342033</c:v>
                </c:pt>
                <c:pt idx="140">
                  <c:v>40.274976039893247</c:v>
                </c:pt>
                <c:pt idx="141">
                  <c:v>40.273684323007117</c:v>
                </c:pt>
                <c:pt idx="142">
                  <c:v>40.269880894023402</c:v>
                </c:pt>
                <c:pt idx="143">
                  <c:v>40.264062706893156</c:v>
                </c:pt>
                <c:pt idx="144">
                  <c:v>40.256726323083932</c:v>
                </c:pt>
                <c:pt idx="145">
                  <c:v>40.248367907404443</c:v>
                </c:pt>
                <c:pt idx="146">
                  <c:v>40.239483226583197</c:v>
                </c:pt>
                <c:pt idx="147">
                  <c:v>40.230567648726698</c:v>
                </c:pt>
                <c:pt idx="148">
                  <c:v>40.220666797662794</c:v>
                </c:pt>
                <c:pt idx="149">
                  <c:v>40.208563696412817</c:v>
                </c:pt>
                <c:pt idx="150">
                  <c:v>40.194359459571679</c:v>
                </c:pt>
                <c:pt idx="151">
                  <c:v>40.178155131043795</c:v>
                </c:pt>
                <c:pt idx="152">
                  <c:v>40.160051683272897</c:v>
                </c:pt>
                <c:pt idx="153">
                  <c:v>40.140150013186336</c:v>
                </c:pt>
                <c:pt idx="154">
                  <c:v>40.11855093617109</c:v>
                </c:pt>
                <c:pt idx="155">
                  <c:v>40.09535518400974</c:v>
                </c:pt>
                <c:pt idx="156">
                  <c:v>40.070663401107311</c:v>
                </c:pt>
                <c:pt idx="157">
                  <c:v>40.044576138573461</c:v>
                </c:pt>
                <c:pt idx="158">
                  <c:v>40.017193852503617</c:v>
                </c:pt>
                <c:pt idx="159">
                  <c:v>39.988616898136321</c:v>
                </c:pt>
                <c:pt idx="160">
                  <c:v>39.958945526966303</c:v>
                </c:pt>
                <c:pt idx="161">
                  <c:v>39.928279883836396</c:v>
                </c:pt>
                <c:pt idx="162">
                  <c:v>39.896260245174993</c:v>
                </c:pt>
                <c:pt idx="163">
                  <c:v>39.862527167409716</c:v>
                </c:pt>
                <c:pt idx="164">
                  <c:v>39.827181041848135</c:v>
                </c:pt>
                <c:pt idx="165">
                  <c:v>39.790322134893522</c:v>
                </c:pt>
                <c:pt idx="166">
                  <c:v>39.75205058639272</c:v>
                </c:pt>
                <c:pt idx="167">
                  <c:v>39.712466406953666</c:v>
                </c:pt>
                <c:pt idx="168">
                  <c:v>39.671669475454252</c:v>
                </c:pt>
                <c:pt idx="169">
                  <c:v>39.629759536125967</c:v>
                </c:pt>
                <c:pt idx="170">
                  <c:v>39.586836197650541</c:v>
                </c:pt>
                <c:pt idx="171">
                  <c:v>39.542998930932079</c:v>
                </c:pt>
                <c:pt idx="172">
                  <c:v>39.498347068882225</c:v>
                </c:pt>
                <c:pt idx="173">
                  <c:v>39.452979804461357</c:v>
                </c:pt>
                <c:pt idx="174">
                  <c:v>39.406996190954096</c:v>
                </c:pt>
                <c:pt idx="175">
                  <c:v>39.360495141828935</c:v>
                </c:pt>
                <c:pt idx="176">
                  <c:v>39.313968341641775</c:v>
                </c:pt>
                <c:pt idx="177">
                  <c:v>39.267645122798903</c:v>
                </c:pt>
                <c:pt idx="178">
                  <c:v>39.22123091099121</c:v>
                </c:pt>
                <c:pt idx="179">
                  <c:v>39.174431321751406</c:v>
                </c:pt>
                <c:pt idx="180">
                  <c:v>39.126952160513639</c:v>
                </c:pt>
                <c:pt idx="181">
                  <c:v>39.07849942098175</c:v>
                </c:pt>
                <c:pt idx="182">
                  <c:v>39.028779286760503</c:v>
                </c:pt>
                <c:pt idx="183">
                  <c:v>38.977498129806015</c:v>
                </c:pt>
                <c:pt idx="184">
                  <c:v>38.924362511752641</c:v>
                </c:pt>
                <c:pt idx="185">
                  <c:v>38.869079186166196</c:v>
                </c:pt>
                <c:pt idx="186">
                  <c:v>38.811355096105196</c:v>
                </c:pt>
                <c:pt idx="187">
                  <c:v>38.750897378872246</c:v>
                </c:pt>
                <c:pt idx="188">
                  <c:v>38.687413366892216</c:v>
                </c:pt>
                <c:pt idx="189">
                  <c:v>38.620610587941258</c:v>
                </c:pt>
                <c:pt idx="190">
                  <c:v>38.550082496114534</c:v>
                </c:pt>
                <c:pt idx="191">
                  <c:v>38.475879834207333</c:v>
                </c:pt>
                <c:pt idx="192">
                  <c:v>38.398395952266185</c:v>
                </c:pt>
                <c:pt idx="193">
                  <c:v>38.318023860801681</c:v>
                </c:pt>
                <c:pt idx="194">
                  <c:v>38.235156236378437</c:v>
                </c:pt>
                <c:pt idx="195">
                  <c:v>38.150185430735895</c:v>
                </c:pt>
                <c:pt idx="196">
                  <c:v>38.063503472118235</c:v>
                </c:pt>
                <c:pt idx="197">
                  <c:v>37.975502074066206</c:v>
                </c:pt>
                <c:pt idx="198">
                  <c:v>37.886572641077926</c:v>
                </c:pt>
                <c:pt idx="199">
                  <c:v>37.797106272196885</c:v>
                </c:pt>
                <c:pt idx="200">
                  <c:v>37.707493766533773</c:v>
                </c:pt>
                <c:pt idx="201">
                  <c:v>37.618125629259914</c:v>
                </c:pt>
                <c:pt idx="202">
                  <c:v>37.52939207409586</c:v>
                </c:pt>
                <c:pt idx="203">
                  <c:v>37.44168302891822</c:v>
                </c:pt>
                <c:pt idx="204">
                  <c:v>37.354834634014566</c:v>
                </c:pt>
                <c:pt idx="205">
                  <c:v>37.26829254541174</c:v>
                </c:pt>
                <c:pt idx="206">
                  <c:v>37.181860884886653</c:v>
                </c:pt>
                <c:pt idx="207">
                  <c:v>37.095343950791175</c:v>
                </c:pt>
                <c:pt idx="208">
                  <c:v>37.008546217696136</c:v>
                </c:pt>
                <c:pt idx="209">
                  <c:v>36.921272337377211</c:v>
                </c:pt>
                <c:pt idx="210">
                  <c:v>36.833327139186245</c:v>
                </c:pt>
                <c:pt idx="211">
                  <c:v>36.744515628391326</c:v>
                </c:pt>
                <c:pt idx="212">
                  <c:v>36.654642987285619</c:v>
                </c:pt>
                <c:pt idx="213">
                  <c:v>36.563514573679278</c:v>
                </c:pt>
                <c:pt idx="214">
                  <c:v>36.470935920372284</c:v>
                </c:pt>
                <c:pt idx="215">
                  <c:v>36.376712734223474</c:v>
                </c:pt>
                <c:pt idx="216">
                  <c:v>36.280650894179807</c:v>
                </c:pt>
                <c:pt idx="217">
                  <c:v>36.182556450782144</c:v>
                </c:pt>
                <c:pt idx="218">
                  <c:v>36.082722701384128</c:v>
                </c:pt>
                <c:pt idx="219">
                  <c:v>35.981572605671246</c:v>
                </c:pt>
                <c:pt idx="220">
                  <c:v>35.879106848672038</c:v>
                </c:pt>
                <c:pt idx="221">
                  <c:v>35.775326135004917</c:v>
                </c:pt>
                <c:pt idx="222">
                  <c:v>35.670231187467394</c:v>
                </c:pt>
                <c:pt idx="223">
                  <c:v>35.563822745265178</c:v>
                </c:pt>
                <c:pt idx="224">
                  <c:v>35.456101562751762</c:v>
                </c:pt>
                <c:pt idx="225">
                  <c:v>35.34706840775641</c:v>
                </c:pt>
                <c:pt idx="226">
                  <c:v>35.236724061082718</c:v>
                </c:pt>
                <c:pt idx="227">
                  <c:v>35.125069314065371</c:v>
                </c:pt>
                <c:pt idx="228">
                  <c:v>35.012104967880695</c:v>
                </c:pt>
                <c:pt idx="229">
                  <c:v>34.897831832281597</c:v>
                </c:pt>
                <c:pt idx="230">
                  <c:v>34.782250724473563</c:v>
                </c:pt>
                <c:pt idx="231">
                  <c:v>34.665362467975527</c:v>
                </c:pt>
                <c:pt idx="232">
                  <c:v>34.548641485723103</c:v>
                </c:pt>
                <c:pt idx="233">
                  <c:v>34.433107785626937</c:v>
                </c:pt>
                <c:pt idx="234">
                  <c:v>34.318080956087265</c:v>
                </c:pt>
                <c:pt idx="235">
                  <c:v>34.202881097399867</c:v>
                </c:pt>
                <c:pt idx="236">
                  <c:v>34.086828817120875</c:v>
                </c:pt>
                <c:pt idx="237">
                  <c:v>33.969245229026676</c:v>
                </c:pt>
                <c:pt idx="238">
                  <c:v>33.849451946954829</c:v>
                </c:pt>
                <c:pt idx="239">
                  <c:v>33.726771086774136</c:v>
                </c:pt>
                <c:pt idx="240">
                  <c:v>33.600525261140966</c:v>
                </c:pt>
                <c:pt idx="241">
                  <c:v>33.470037573518205</c:v>
                </c:pt>
                <c:pt idx="242">
                  <c:v>33.33463162164594</c:v>
                </c:pt>
                <c:pt idx="243">
                  <c:v>33.193631490912558</c:v>
                </c:pt>
                <c:pt idx="244">
                  <c:v>33.046361749336576</c:v>
                </c:pt>
                <c:pt idx="245">
                  <c:v>32.892147450452065</c:v>
                </c:pt>
                <c:pt idx="246">
                  <c:v>32.730750225069876</c:v>
                </c:pt>
                <c:pt idx="247">
                  <c:v>32.562771626176925</c:v>
                </c:pt>
                <c:pt idx="248">
                  <c:v>32.388796614574638</c:v>
                </c:pt>
                <c:pt idx="249">
                  <c:v>32.209409724712089</c:v>
                </c:pt>
                <c:pt idx="250">
                  <c:v>32.025195070283175</c:v>
                </c:pt>
                <c:pt idx="251">
                  <c:v>31.836736340328997</c:v>
                </c:pt>
                <c:pt idx="252">
                  <c:v>31.644616806904192</c:v>
                </c:pt>
                <c:pt idx="253">
                  <c:v>31.449419323902109</c:v>
                </c:pt>
                <c:pt idx="254">
                  <c:v>31.25172633193317</c:v>
                </c:pt>
                <c:pt idx="255">
                  <c:v>31.052119861725963</c:v>
                </c:pt>
                <c:pt idx="256">
                  <c:v>30.851181536135609</c:v>
                </c:pt>
                <c:pt idx="257">
                  <c:v>30.649492569949274</c:v>
                </c:pt>
                <c:pt idx="258">
                  <c:v>30.447633774660162</c:v>
                </c:pt>
                <c:pt idx="259">
                  <c:v>30.246185560133643</c:v>
                </c:pt>
                <c:pt idx="260">
                  <c:v>30.044696753833698</c:v>
                </c:pt>
                <c:pt idx="261">
                  <c:v>29.842101222038576</c:v>
                </c:pt>
                <c:pt idx="262">
                  <c:v>29.638206449895019</c:v>
                </c:pt>
                <c:pt idx="263">
                  <c:v>29.432820078505209</c:v>
                </c:pt>
                <c:pt idx="264">
                  <c:v>29.225749901322946</c:v>
                </c:pt>
                <c:pt idx="265">
                  <c:v>29.016803854265419</c:v>
                </c:pt>
                <c:pt idx="266">
                  <c:v>28.805790010057727</c:v>
                </c:pt>
                <c:pt idx="267">
                  <c:v>28.592273357962199</c:v>
                </c:pt>
                <c:pt idx="268">
                  <c:v>28.376062658425678</c:v>
                </c:pt>
                <c:pt idx="269">
                  <c:v>28.156966880900089</c:v>
                </c:pt>
                <c:pt idx="270">
                  <c:v>27.934795208977569</c:v>
                </c:pt>
                <c:pt idx="271">
                  <c:v>27.709357041547968</c:v>
                </c:pt>
                <c:pt idx="272">
                  <c:v>27.480461990602311</c:v>
                </c:pt>
                <c:pt idx="273">
                  <c:v>27.24791988368931</c:v>
                </c:pt>
                <c:pt idx="274">
                  <c:v>27.012023000079466</c:v>
                </c:pt>
                <c:pt idx="275">
                  <c:v>26.773109543107928</c:v>
                </c:pt>
                <c:pt idx="276">
                  <c:v>26.53128138511433</c:v>
                </c:pt>
                <c:pt idx="277">
                  <c:v>26.286541352923923</c:v>
                </c:pt>
                <c:pt idx="278">
                  <c:v>26.0388923614635</c:v>
                </c:pt>
                <c:pt idx="279">
                  <c:v>25.788337405110578</c:v>
                </c:pt>
                <c:pt idx="280">
                  <c:v>25.534879559830085</c:v>
                </c:pt>
                <c:pt idx="281">
                  <c:v>25.278502017801451</c:v>
                </c:pt>
                <c:pt idx="282">
                  <c:v>25.019447690822933</c:v>
                </c:pt>
                <c:pt idx="283">
                  <c:v>24.757718845838092</c:v>
                </c:pt>
                <c:pt idx="284">
                  <c:v>24.493317716241979</c:v>
                </c:pt>
                <c:pt idx="285">
                  <c:v>24.226246494627098</c:v>
                </c:pt>
                <c:pt idx="286">
                  <c:v>23.956507328958626</c:v>
                </c:pt>
                <c:pt idx="287">
                  <c:v>23.684102313853277</c:v>
                </c:pt>
                <c:pt idx="288">
                  <c:v>23.408407924608102</c:v>
                </c:pt>
                <c:pt idx="289">
                  <c:v>23.128909204144261</c:v>
                </c:pt>
                <c:pt idx="290">
                  <c:v>22.845978320286918</c:v>
                </c:pt>
                <c:pt idx="291">
                  <c:v>22.559906070546596</c:v>
                </c:pt>
                <c:pt idx="292">
                  <c:v>22.270983002241547</c:v>
                </c:pt>
                <c:pt idx="293">
                  <c:v>21.979499414792642</c:v>
                </c:pt>
                <c:pt idx="294">
                  <c:v>21.685745355712889</c:v>
                </c:pt>
                <c:pt idx="295">
                  <c:v>21.390231908623299</c:v>
                </c:pt>
                <c:pt idx="296">
                  <c:v>21.093264553651178</c:v>
                </c:pt>
                <c:pt idx="297">
                  <c:v>20.795129189013196</c:v>
                </c:pt>
                <c:pt idx="298">
                  <c:v>20.496112490308395</c:v>
                </c:pt>
                <c:pt idx="299">
                  <c:v>20.196500831737804</c:v>
                </c:pt>
                <c:pt idx="300">
                  <c:v>19.896580292701216</c:v>
                </c:pt>
                <c:pt idx="301">
                  <c:v>19.596636668287829</c:v>
                </c:pt>
                <c:pt idx="302">
                  <c:v>19.292697220411107</c:v>
                </c:pt>
                <c:pt idx="303">
                  <c:v>18.981994533975001</c:v>
                </c:pt>
                <c:pt idx="304">
                  <c:v>18.666239581654153</c:v>
                </c:pt>
                <c:pt idx="305">
                  <c:v>18.347060580569217</c:v>
                </c:pt>
                <c:pt idx="306">
                  <c:v>18.026084783582963</c:v>
                </c:pt>
                <c:pt idx="307">
                  <c:v>17.704938515044223</c:v>
                </c:pt>
                <c:pt idx="308">
                  <c:v>17.385247208992912</c:v>
                </c:pt>
                <c:pt idx="309">
                  <c:v>17.068718086265108</c:v>
                </c:pt>
                <c:pt idx="310">
                  <c:v>16.75676175278182</c:v>
                </c:pt>
                <c:pt idx="311">
                  <c:v>16.45100227536431</c:v>
                </c:pt>
                <c:pt idx="312">
                  <c:v>16.153062947687598</c:v>
                </c:pt>
                <c:pt idx="313">
                  <c:v>15.864566311399962</c:v>
                </c:pt>
                <c:pt idx="314">
                  <c:v>15.5871341761083</c:v>
                </c:pt>
                <c:pt idx="315">
                  <c:v>15.322387635478275</c:v>
                </c:pt>
                <c:pt idx="316">
                  <c:v>15.067872562176706</c:v>
                </c:pt>
                <c:pt idx="317">
                  <c:v>14.82005197632029</c:v>
                </c:pt>
                <c:pt idx="318">
                  <c:v>14.578624831624142</c:v>
                </c:pt>
                <c:pt idx="319">
                  <c:v>14.343587003863188</c:v>
                </c:pt>
                <c:pt idx="320">
                  <c:v>14.11493451051701</c:v>
                </c:pt>
                <c:pt idx="321">
                  <c:v>13.892663513520162</c:v>
                </c:pt>
                <c:pt idx="322">
                  <c:v>13.676770318534304</c:v>
                </c:pt>
                <c:pt idx="323">
                  <c:v>13.467290174763759</c:v>
                </c:pt>
                <c:pt idx="324">
                  <c:v>13.264139986937334</c:v>
                </c:pt>
                <c:pt idx="325">
                  <c:v>13.06731679372391</c:v>
                </c:pt>
                <c:pt idx="326">
                  <c:v>12.876818879881435</c:v>
                </c:pt>
                <c:pt idx="327">
                  <c:v>12.69264385694887</c:v>
                </c:pt>
                <c:pt idx="328">
                  <c:v>12.514788524121631</c:v>
                </c:pt>
                <c:pt idx="329">
                  <c:v>12.34324981663244</c:v>
                </c:pt>
                <c:pt idx="330">
                  <c:v>12.175744234154712</c:v>
                </c:pt>
                <c:pt idx="331">
                  <c:v>12.010700012516995</c:v>
                </c:pt>
                <c:pt idx="332">
                  <c:v>11.849166332383831</c:v>
                </c:pt>
                <c:pt idx="333">
                  <c:v>11.692193889348195</c:v>
                </c:pt>
                <c:pt idx="334">
                  <c:v>11.540832895675408</c:v>
                </c:pt>
                <c:pt idx="335">
                  <c:v>11.396133059532243</c:v>
                </c:pt>
                <c:pt idx="336">
                  <c:v>11.259143575796436</c:v>
                </c:pt>
                <c:pt idx="337">
                  <c:v>11.130846722147204</c:v>
                </c:pt>
                <c:pt idx="338">
                  <c:v>11.012253275437407</c:v>
                </c:pt>
                <c:pt idx="339">
                  <c:v>10.904411236746331</c:v>
                </c:pt>
                <c:pt idx="340">
                  <c:v>10.808367986588197</c:v>
                </c:pt>
                <c:pt idx="341">
                  <c:v>10.725170270648377</c:v>
                </c:pt>
                <c:pt idx="342">
                  <c:v>10.655864189792963</c:v>
                </c:pt>
                <c:pt idx="343">
                  <c:v>10.601495188436401</c:v>
                </c:pt>
                <c:pt idx="344">
                  <c:v>10.562737925743887</c:v>
                </c:pt>
                <c:pt idx="345">
                  <c:v>10.538872384891521</c:v>
                </c:pt>
                <c:pt idx="346">
                  <c:v>10.528763651569195</c:v>
                </c:pt>
                <c:pt idx="347">
                  <c:v>10.531365900329169</c:v>
                </c:pt>
                <c:pt idx="348">
                  <c:v>10.545633844383886</c:v>
                </c:pt>
                <c:pt idx="349">
                  <c:v>10.570522742719549</c:v>
                </c:pt>
                <c:pt idx="350">
                  <c:v>10.604988401113188</c:v>
                </c:pt>
                <c:pt idx="351">
                  <c:v>10.64790772729439</c:v>
                </c:pt>
                <c:pt idx="352">
                  <c:v>10.698303125101425</c:v>
                </c:pt>
                <c:pt idx="353">
                  <c:v>10.755132068401737</c:v>
                </c:pt>
                <c:pt idx="354">
                  <c:v>10.817352584124588</c:v>
                </c:pt>
                <c:pt idx="355">
                  <c:v>10.883923255378601</c:v>
                </c:pt>
                <c:pt idx="356">
                  <c:v>10.953804981812613</c:v>
                </c:pt>
                <c:pt idx="357">
                  <c:v>11.025955836517847</c:v>
                </c:pt>
                <c:pt idx="358">
                  <c:v>11.102775746162203</c:v>
                </c:pt>
                <c:pt idx="359">
                  <c:v>11.187115255480293</c:v>
                </c:pt>
                <c:pt idx="360">
                  <c:v>11.278545912810481</c:v>
                </c:pt>
                <c:pt idx="361">
                  <c:v>11.376783900799213</c:v>
                </c:pt>
                <c:pt idx="362">
                  <c:v>11.481466319882379</c:v>
                </c:pt>
                <c:pt idx="363">
                  <c:v>11.592230448992513</c:v>
                </c:pt>
                <c:pt idx="364">
                  <c:v>11.708713748255816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10.707455538412574</c:v>
                </c:pt>
                <c:pt idx="1">
                  <c:v>8.3590154440291933</c:v>
                </c:pt>
                <c:pt idx="2">
                  <c:v>9.5891830514868239</c:v>
                </c:pt>
                <c:pt idx="3">
                  <c:v>10.054710492565393</c:v>
                </c:pt>
                <c:pt idx="4">
                  <c:v>8.3161394005421254</c:v>
                </c:pt>
                <c:pt idx="5">
                  <c:v>11.913023594556963</c:v>
                </c:pt>
                <c:pt idx="6">
                  <c:v>5.3051324167603591</c:v>
                </c:pt>
                <c:pt idx="7">
                  <c:v>4.2750778780287693</c:v>
                </c:pt>
                <c:pt idx="8">
                  <c:v>1.1787957457445501</c:v>
                </c:pt>
                <c:pt idx="9">
                  <c:v>0.84612740135315356</c:v>
                </c:pt>
                <c:pt idx="10">
                  <c:v>12.230598119997081</c:v>
                </c:pt>
                <c:pt idx="11">
                  <c:v>9.9705445046721071</c:v>
                </c:pt>
                <c:pt idx="12">
                  <c:v>3.0391811024284157</c:v>
                </c:pt>
                <c:pt idx="13">
                  <c:v>12.695611604539065</c:v>
                </c:pt>
                <c:pt idx="14">
                  <c:v>12.972421218500541</c:v>
                </c:pt>
                <c:pt idx="15">
                  <c:v>13.041483480928907</c:v>
                </c:pt>
                <c:pt idx="16">
                  <c:v>9.4507821194376458</c:v>
                </c:pt>
                <c:pt idx="17">
                  <c:v>2.288685600772665</c:v>
                </c:pt>
                <c:pt idx="18">
                  <c:v>6.8591284889674045</c:v>
                </c:pt>
                <c:pt idx="19">
                  <c:v>3.6564811169898976</c:v>
                </c:pt>
                <c:pt idx="20">
                  <c:v>10.022133487659946</c:v>
                </c:pt>
                <c:pt idx="21">
                  <c:v>14.41105257630363</c:v>
                </c:pt>
                <c:pt idx="22">
                  <c:v>14.462635747494591</c:v>
                </c:pt>
                <c:pt idx="23">
                  <c:v>14.721218924558897</c:v>
                </c:pt>
                <c:pt idx="24">
                  <c:v>13.964739824643368</c:v>
                </c:pt>
                <c:pt idx="25">
                  <c:v>15.181228628814036</c:v>
                </c:pt>
                <c:pt idx="26">
                  <c:v>12.969179587820898</c:v>
                </c:pt>
                <c:pt idx="27">
                  <c:v>2.4253942286629253</c:v>
                </c:pt>
                <c:pt idx="28">
                  <c:v>4.1455675463040915</c:v>
                </c:pt>
                <c:pt idx="29">
                  <c:v>2.6892381228664672</c:v>
                </c:pt>
                <c:pt idx="30">
                  <c:v>6.3117263539699966</c:v>
                </c:pt>
                <c:pt idx="31">
                  <c:v>7.8629150603069062</c:v>
                </c:pt>
                <c:pt idx="32">
                  <c:v>3.463564571992126</c:v>
                </c:pt>
                <c:pt idx="33">
                  <c:v>7.3880244073203354</c:v>
                </c:pt>
                <c:pt idx="34">
                  <c:v>7.1685539090283594</c:v>
                </c:pt>
                <c:pt idx="35">
                  <c:v>6.6530011943766896</c:v>
                </c:pt>
                <c:pt idx="36">
                  <c:v>13.636833856522257</c:v>
                </c:pt>
                <c:pt idx="37">
                  <c:v>8.001297953602112</c:v>
                </c:pt>
                <c:pt idx="38">
                  <c:v>19.025438851758185</c:v>
                </c:pt>
                <c:pt idx="39">
                  <c:v>19.065618565007</c:v>
                </c:pt>
                <c:pt idx="40">
                  <c:v>18.088843492947706</c:v>
                </c:pt>
                <c:pt idx="41">
                  <c:v>9.8078920680720518</c:v>
                </c:pt>
                <c:pt idx="42">
                  <c:v>15.596229598609673</c:v>
                </c:pt>
                <c:pt idx="43">
                  <c:v>17.90677506445013</c:v>
                </c:pt>
                <c:pt idx="44">
                  <c:v>9.9126690162328863</c:v>
                </c:pt>
                <c:pt idx="45">
                  <c:v>12.530781575466875</c:v>
                </c:pt>
                <c:pt idx="46">
                  <c:v>5.4820846240852186</c:v>
                </c:pt>
                <c:pt idx="47">
                  <c:v>9.3715363017152349</c:v>
                </c:pt>
                <c:pt idx="48">
                  <c:v>17.694828500895195</c:v>
                </c:pt>
                <c:pt idx="49">
                  <c:v>11.41686459036181</c:v>
                </c:pt>
                <c:pt idx="50">
                  <c:v>12.834387049655057</c:v>
                </c:pt>
                <c:pt idx="51">
                  <c:v>13.299941012114491</c:v>
                </c:pt>
                <c:pt idx="52">
                  <c:v>20.744356803873696</c:v>
                </c:pt>
                <c:pt idx="53">
                  <c:v>21.233787902380392</c:v>
                </c:pt>
                <c:pt idx="54">
                  <c:v>13.735514302834989</c:v>
                </c:pt>
                <c:pt idx="55">
                  <c:v>19.180538220158539</c:v>
                </c:pt>
                <c:pt idx="56">
                  <c:v>24.057591027127405</c:v>
                </c:pt>
                <c:pt idx="57">
                  <c:v>16.286632056695538</c:v>
                </c:pt>
                <c:pt idx="58">
                  <c:v>21.318183444551348</c:v>
                </c:pt>
                <c:pt idx="59">
                  <c:v>23.951246323516873</c:v>
                </c:pt>
                <c:pt idx="60">
                  <c:v>8.8191682411809076</c:v>
                </c:pt>
                <c:pt idx="61">
                  <c:v>22.650856060528614</c:v>
                </c:pt>
                <c:pt idx="62">
                  <c:v>3.4617607424804882</c:v>
                </c:pt>
                <c:pt idx="63">
                  <c:v>8.8835437125888266</c:v>
                </c:pt>
                <c:pt idx="64">
                  <c:v>12.095185554761068</c:v>
                </c:pt>
                <c:pt idx="65">
                  <c:v>22.948270866536586</c:v>
                </c:pt>
                <c:pt idx="66">
                  <c:v>19.067534653828826</c:v>
                </c:pt>
                <c:pt idx="67">
                  <c:v>21.447324195323024</c:v>
                </c:pt>
                <c:pt idx="68">
                  <c:v>14.851475516301752</c:v>
                </c:pt>
                <c:pt idx="69">
                  <c:v>9.6266958492299093</c:v>
                </c:pt>
                <c:pt idx="70">
                  <c:v>9.7074487398193234</c:v>
                </c:pt>
                <c:pt idx="71">
                  <c:v>5.3066272359871149</c:v>
                </c:pt>
                <c:pt idx="72">
                  <c:v>7.6009804333651632</c:v>
                </c:pt>
                <c:pt idx="73">
                  <c:v>7.785528826214632</c:v>
                </c:pt>
                <c:pt idx="74">
                  <c:v>5.985931236698411</c:v>
                </c:pt>
                <c:pt idx="75">
                  <c:v>7.0247126334109113</c:v>
                </c:pt>
                <c:pt idx="76">
                  <c:v>8.771585958248167</c:v>
                </c:pt>
                <c:pt idx="77">
                  <c:v>17.626042726673237</c:v>
                </c:pt>
                <c:pt idx="78">
                  <c:v>19.660470105401082</c:v>
                </c:pt>
                <c:pt idx="79">
                  <c:v>28.169257694402745</c:v>
                </c:pt>
                <c:pt idx="80">
                  <c:v>26.015025363226069</c:v>
                </c:pt>
                <c:pt idx="81">
                  <c:v>29.226507101021554</c:v>
                </c:pt>
                <c:pt idx="82">
                  <c:v>28.940662172754678</c:v>
                </c:pt>
                <c:pt idx="83">
                  <c:v>25.850566697363092</c:v>
                </c:pt>
                <c:pt idx="84">
                  <c:v>27.511526694059082</c:v>
                </c:pt>
                <c:pt idx="85">
                  <c:v>27.444695332746146</c:v>
                </c:pt>
                <c:pt idx="86">
                  <c:v>21.207007586066357</c:v>
                </c:pt>
                <c:pt idx="87">
                  <c:v>17.060750765990193</c:v>
                </c:pt>
                <c:pt idx="88">
                  <c:v>4.2191083402000391</c:v>
                </c:pt>
                <c:pt idx="89">
                  <c:v>18.21117296424125</c:v>
                </c:pt>
                <c:pt idx="90">
                  <c:v>20.050599261181048</c:v>
                </c:pt>
                <c:pt idx="91">
                  <c:v>12.375314143504056</c:v>
                </c:pt>
                <c:pt idx="92">
                  <c:v>14.70805212886118</c:v>
                </c:pt>
                <c:pt idx="93">
                  <c:v>26.785351986434943</c:v>
                </c:pt>
                <c:pt idx="94">
                  <c:v>33.021125027862496</c:v>
                </c:pt>
                <c:pt idx="95">
                  <c:v>7.5949712428196285</c:v>
                </c:pt>
                <c:pt idx="96">
                  <c:v>24.551358901460034</c:v>
                </c:pt>
                <c:pt idx="97">
                  <c:v>19.358481138249967</c:v>
                </c:pt>
                <c:pt idx="98">
                  <c:v>23.366992798822583</c:v>
                </c:pt>
                <c:pt idx="99">
                  <c:v>33.079524475181451</c:v>
                </c:pt>
                <c:pt idx="100">
                  <c:v>26.51282118839174</c:v>
                </c:pt>
                <c:pt idx="101">
                  <c:v>22.494238789229506</c:v>
                </c:pt>
                <c:pt idx="102">
                  <c:v>4.3694964357356358</c:v>
                </c:pt>
                <c:pt idx="103">
                  <c:v>24.771456169244928</c:v>
                </c:pt>
                <c:pt idx="104">
                  <c:v>27.473449626866152</c:v>
                </c:pt>
                <c:pt idx="105">
                  <c:v>27.657833637348308</c:v>
                </c:pt>
                <c:pt idx="106">
                  <c:v>34.292435807421015</c:v>
                </c:pt>
                <c:pt idx="107">
                  <c:v>24.557431066260413</c:v>
                </c:pt>
                <c:pt idx="108">
                  <c:v>6.0166400546969676</c:v>
                </c:pt>
                <c:pt idx="109">
                  <c:v>6.1530049224637002</c:v>
                </c:pt>
                <c:pt idx="110">
                  <c:v>6.5730641771705516</c:v>
                </c:pt>
                <c:pt idx="111">
                  <c:v>17.330144114263501</c:v>
                </c:pt>
                <c:pt idx="112">
                  <c:v>5.4074477363664597</c:v>
                </c:pt>
                <c:pt idx="113">
                  <c:v>21.255957383608134</c:v>
                </c:pt>
                <c:pt idx="114">
                  <c:v>29.462851093076512</c:v>
                </c:pt>
                <c:pt idx="115">
                  <c:v>34.028992032547997</c:v>
                </c:pt>
                <c:pt idx="116">
                  <c:v>24.687352899593392</c:v>
                </c:pt>
                <c:pt idx="117">
                  <c:v>15.799153560034227</c:v>
                </c:pt>
                <c:pt idx="118">
                  <c:v>26.895458855557933</c:v>
                </c:pt>
                <c:pt idx="119">
                  <c:v>30.914393418527808</c:v>
                </c:pt>
                <c:pt idx="120">
                  <c:v>31.862704930652637</c:v>
                </c:pt>
                <c:pt idx="121">
                  <c:v>18.561863706862251</c:v>
                </c:pt>
                <c:pt idx="122">
                  <c:v>20.626156211347119</c:v>
                </c:pt>
                <c:pt idx="123">
                  <c:v>14.377327518048926</c:v>
                </c:pt>
                <c:pt idx="124">
                  <c:v>28.115445796856228</c:v>
                </c:pt>
                <c:pt idx="125">
                  <c:v>26.08915687948635</c:v>
                </c:pt>
                <c:pt idx="126">
                  <c:v>32.426909295716214</c:v>
                </c:pt>
                <c:pt idx="127">
                  <c:v>33.450530394251011</c:v>
                </c:pt>
                <c:pt idx="128">
                  <c:v>37.691218039479956</c:v>
                </c:pt>
                <c:pt idx="129">
                  <c:v>34.838772525257568</c:v>
                </c:pt>
                <c:pt idx="130">
                  <c:v>37.567331332405153</c:v>
                </c:pt>
                <c:pt idx="131">
                  <c:v>28.909270388528206</c:v>
                </c:pt>
                <c:pt idx="132">
                  <c:v>31.558362696022119</c:v>
                </c:pt>
                <c:pt idx="133">
                  <c:v>32.865933748076714</c:v>
                </c:pt>
                <c:pt idx="134">
                  <c:v>35.002647517173934</c:v>
                </c:pt>
                <c:pt idx="135">
                  <c:v>33.89796299040394</c:v>
                </c:pt>
                <c:pt idx="136">
                  <c:v>36.432115861460588</c:v>
                </c:pt>
                <c:pt idx="137">
                  <c:v>35.035265452845962</c:v>
                </c:pt>
                <c:pt idx="138">
                  <c:v>36.152678225554723</c:v>
                </c:pt>
                <c:pt idx="139">
                  <c:v>32.245918092308997</c:v>
                </c:pt>
                <c:pt idx="140">
                  <c:v>32.141943137973492</c:v>
                </c:pt>
                <c:pt idx="141">
                  <c:v>24.022030863897442</c:v>
                </c:pt>
                <c:pt idx="142">
                  <c:v>12.504764558383441</c:v>
                </c:pt>
                <c:pt idx="143">
                  <c:v>11.192300432043909</c:v>
                </c:pt>
                <c:pt idx="144">
                  <c:v>27.569758728646967</c:v>
                </c:pt>
                <c:pt idx="145">
                  <c:v>14.76170107823145</c:v>
                </c:pt>
                <c:pt idx="146">
                  <c:v>29.280145491237352</c:v>
                </c:pt>
                <c:pt idx="147">
                  <c:v>37.238621676215978</c:v>
                </c:pt>
                <c:pt idx="148">
                  <c:v>40.412071318474318</c:v>
                </c:pt>
                <c:pt idx="149">
                  <c:v>33.467096414355296</c:v>
                </c:pt>
                <c:pt idx="150">
                  <c:v>36.620856319707599</c:v>
                </c:pt>
                <c:pt idx="151">
                  <c:v>37.451967237527789</c:v>
                </c:pt>
                <c:pt idx="152">
                  <c:v>29.904710337019999</c:v>
                </c:pt>
                <c:pt idx="153">
                  <c:v>36.215697703479535</c:v>
                </c:pt>
                <c:pt idx="154">
                  <c:v>17.990254239377538</c:v>
                </c:pt>
                <c:pt idx="155">
                  <c:v>22.070792737378412</c:v>
                </c:pt>
                <c:pt idx="156">
                  <c:v>30.626256226541088</c:v>
                </c:pt>
                <c:pt idx="157">
                  <c:v>17.746330829518481</c:v>
                </c:pt>
                <c:pt idx="158">
                  <c:v>15.663204757890865</c:v>
                </c:pt>
                <c:pt idx="159">
                  <c:v>30.656803694340052</c:v>
                </c:pt>
                <c:pt idx="160">
                  <c:v>38.99534852582596</c:v>
                </c:pt>
                <c:pt idx="161">
                  <c:v>36.945798199970014</c:v>
                </c:pt>
                <c:pt idx="162">
                  <c:v>29.247625813058558</c:v>
                </c:pt>
                <c:pt idx="163">
                  <c:v>35.592824631559139</c:v>
                </c:pt>
                <c:pt idx="164">
                  <c:v>31.884256135167821</c:v>
                </c:pt>
                <c:pt idx="165">
                  <c:v>36.13638500179772</c:v>
                </c:pt>
                <c:pt idx="166">
                  <c:v>34.094312988319835</c:v>
                </c:pt>
                <c:pt idx="167">
                  <c:v>34.714263059171238</c:v>
                </c:pt>
                <c:pt idx="168">
                  <c:v>35.990308547945538</c:v>
                </c:pt>
                <c:pt idx="169">
                  <c:v>36.848400921826475</c:v>
                </c:pt>
                <c:pt idx="170">
                  <c:v>20.709116203684264</c:v>
                </c:pt>
                <c:pt idx="171">
                  <c:v>14.493975821992526</c:v>
                </c:pt>
                <c:pt idx="172">
                  <c:v>30.240172060780463</c:v>
                </c:pt>
                <c:pt idx="173">
                  <c:v>27.167107521045693</c:v>
                </c:pt>
                <c:pt idx="174">
                  <c:v>30.830838714835959</c:v>
                </c:pt>
                <c:pt idx="175">
                  <c:v>21.986041937707743</c:v>
                </c:pt>
                <c:pt idx="176">
                  <c:v>7.8437197398358007</c:v>
                </c:pt>
                <c:pt idx="177">
                  <c:v>10.154622576705789</c:v>
                </c:pt>
                <c:pt idx="178">
                  <c:v>39.469881303733089</c:v>
                </c:pt>
                <c:pt idx="179">
                  <c:v>38.131589240803144</c:v>
                </c:pt>
                <c:pt idx="180">
                  <c:v>9.272593196461159</c:v>
                </c:pt>
                <c:pt idx="181">
                  <c:v>35.921357844120351</c:v>
                </c:pt>
                <c:pt idx="182">
                  <c:v>37.018796203839273</c:v>
                </c:pt>
                <c:pt idx="183">
                  <c:v>30.632689569555833</c:v>
                </c:pt>
                <c:pt idx="184">
                  <c:v>29.353756037312248</c:v>
                </c:pt>
                <c:pt idx="185">
                  <c:v>36.628749134924277</c:v>
                </c:pt>
                <c:pt idx="186">
                  <c:v>29.256967889866569</c:v>
                </c:pt>
                <c:pt idx="187">
                  <c:v>37.696032209751081</c:v>
                </c:pt>
                <c:pt idx="188">
                  <c:v>38.882558754568542</c:v>
                </c:pt>
                <c:pt idx="189">
                  <c:v>38.139391440724069</c:v>
                </c:pt>
                <c:pt idx="190">
                  <c:v>37.68796278745031</c:v>
                </c:pt>
                <c:pt idx="191">
                  <c:v>36.355374009219069</c:v>
                </c:pt>
                <c:pt idx="192">
                  <c:v>36.169935163085817</c:v>
                </c:pt>
                <c:pt idx="193">
                  <c:v>36.022626251697851</c:v>
                </c:pt>
                <c:pt idx="194">
                  <c:v>35.385848959238103</c:v>
                </c:pt>
                <c:pt idx="195">
                  <c:v>34.259687508859898</c:v>
                </c:pt>
                <c:pt idx="196">
                  <c:v>35.506508853547018</c:v>
                </c:pt>
                <c:pt idx="197">
                  <c:v>34.808004597503853</c:v>
                </c:pt>
                <c:pt idx="198">
                  <c:v>34.734910917576272</c:v>
                </c:pt>
                <c:pt idx="199">
                  <c:v>26.964453284045884</c:v>
                </c:pt>
                <c:pt idx="200">
                  <c:v>26.390143017446061</c:v>
                </c:pt>
                <c:pt idx="201">
                  <c:v>34.453807112942904</c:v>
                </c:pt>
                <c:pt idx="202">
                  <c:v>27.343888654142873</c:v>
                </c:pt>
                <c:pt idx="203">
                  <c:v>32.006768865674218</c:v>
                </c:pt>
                <c:pt idx="204">
                  <c:v>34.581568030109089</c:v>
                </c:pt>
                <c:pt idx="205">
                  <c:v>19.482701927502312</c:v>
                </c:pt>
                <c:pt idx="206">
                  <c:v>35.857394002088398</c:v>
                </c:pt>
                <c:pt idx="207">
                  <c:v>37.642752224558642</c:v>
                </c:pt>
                <c:pt idx="208">
                  <c:v>30.373498483039718</c:v>
                </c:pt>
                <c:pt idx="209">
                  <c:v>19.368886667765654</c:v>
                </c:pt>
                <c:pt idx="210">
                  <c:v>30.950460254453908</c:v>
                </c:pt>
                <c:pt idx="211">
                  <c:v>36.065849685578002</c:v>
                </c:pt>
                <c:pt idx="212">
                  <c:v>35.9607257296841</c:v>
                </c:pt>
                <c:pt idx="213">
                  <c:v>35.85149392750548</c:v>
                </c:pt>
                <c:pt idx="214">
                  <c:v>33.450164134348952</c:v>
                </c:pt>
                <c:pt idx="215">
                  <c:v>32.884139721584539</c:v>
                </c:pt>
                <c:pt idx="216">
                  <c:v>29.853462561758633</c:v>
                </c:pt>
                <c:pt idx="217">
                  <c:v>32.39544559554453</c:v>
                </c:pt>
                <c:pt idx="218">
                  <c:v>34.708681405810246</c:v>
                </c:pt>
                <c:pt idx="219">
                  <c:v>35.355807925770492</c:v>
                </c:pt>
                <c:pt idx="220">
                  <c:v>33.268146595456315</c:v>
                </c:pt>
                <c:pt idx="221">
                  <c:v>32.008919489946031</c:v>
                </c:pt>
                <c:pt idx="222">
                  <c:v>29.885709471436542</c:v>
                </c:pt>
                <c:pt idx="223">
                  <c:v>31.163539174910817</c:v>
                </c:pt>
                <c:pt idx="224">
                  <c:v>22.426700228432136</c:v>
                </c:pt>
                <c:pt idx="225">
                  <c:v>23.735684020097359</c:v>
                </c:pt>
                <c:pt idx="226">
                  <c:v>22.680030532398845</c:v>
                </c:pt>
                <c:pt idx="227">
                  <c:v>22.432840516155988</c:v>
                </c:pt>
                <c:pt idx="228">
                  <c:v>17.818265683608299</c:v>
                </c:pt>
                <c:pt idx="229">
                  <c:v>26.435254549527581</c:v>
                </c:pt>
                <c:pt idx="230">
                  <c:v>26.647488898255848</c:v>
                </c:pt>
                <c:pt idx="231">
                  <c:v>33.071846979517147</c:v>
                </c:pt>
                <c:pt idx="232">
                  <c:v>20.729535641291722</c:v>
                </c:pt>
                <c:pt idx="233">
                  <c:v>17.186669704819725</c:v>
                </c:pt>
                <c:pt idx="234">
                  <c:v>30.776387298718703</c:v>
                </c:pt>
                <c:pt idx="235">
                  <c:v>30.242010937991694</c:v>
                </c:pt>
                <c:pt idx="236">
                  <c:v>22.300045147445271</c:v>
                </c:pt>
                <c:pt idx="237">
                  <c:v>27.139476496513673</c:v>
                </c:pt>
                <c:pt idx="238">
                  <c:v>32.831297874566545</c:v>
                </c:pt>
                <c:pt idx="239">
                  <c:v>31.763560050191639</c:v>
                </c:pt>
                <c:pt idx="240">
                  <c:v>21.771395665651834</c:v>
                </c:pt>
                <c:pt idx="241">
                  <c:v>31.384501220231879</c:v>
                </c:pt>
                <c:pt idx="242">
                  <c:v>14.705927919432501</c:v>
                </c:pt>
                <c:pt idx="243">
                  <c:v>27.734315852108583</c:v>
                </c:pt>
                <c:pt idx="244">
                  <c:v>27.347300213838185</c:v>
                </c:pt>
                <c:pt idx="245">
                  <c:v>26.565862290616057</c:v>
                </c:pt>
                <c:pt idx="246">
                  <c:v>29.433097198857325</c:v>
                </c:pt>
                <c:pt idx="247">
                  <c:v>26.088940104162479</c:v>
                </c:pt>
                <c:pt idx="248">
                  <c:v>29.83293046795006</c:v>
                </c:pt>
                <c:pt idx="249">
                  <c:v>22.659519087609695</c:v>
                </c:pt>
                <c:pt idx="250">
                  <c:v>25.066178423252914</c:v>
                </c:pt>
                <c:pt idx="251">
                  <c:v>13.976542811411813</c:v>
                </c:pt>
                <c:pt idx="252">
                  <c:v>29.957594781804637</c:v>
                </c:pt>
                <c:pt idx="253">
                  <c:v>29.844921763453915</c:v>
                </c:pt>
                <c:pt idx="254">
                  <c:v>20.953365993228807</c:v>
                </c:pt>
                <c:pt idx="255">
                  <c:v>7.8824220491071557</c:v>
                </c:pt>
                <c:pt idx="256">
                  <c:v>23.384522430025743</c:v>
                </c:pt>
                <c:pt idx="257">
                  <c:v>28.368633046928959</c:v>
                </c:pt>
                <c:pt idx="258">
                  <c:v>21.223275575081097</c:v>
                </c:pt>
                <c:pt idx="259">
                  <c:v>29.931939162919303</c:v>
                </c:pt>
                <c:pt idx="260">
                  <c:v>30.050277572840596</c:v>
                </c:pt>
                <c:pt idx="261">
                  <c:v>29.45114432376538</c:v>
                </c:pt>
                <c:pt idx="262">
                  <c:v>30.725142239082132</c:v>
                </c:pt>
                <c:pt idx="263">
                  <c:v>29.651226045709077</c:v>
                </c:pt>
                <c:pt idx="264">
                  <c:v>28.545089546074582</c:v>
                </c:pt>
                <c:pt idx="265">
                  <c:v>17.662199593942209</c:v>
                </c:pt>
                <c:pt idx="266">
                  <c:v>11.026497459570061</c:v>
                </c:pt>
                <c:pt idx="267">
                  <c:v>20.606021762007753</c:v>
                </c:pt>
                <c:pt idx="268">
                  <c:v>19.645360401925561</c:v>
                </c:pt>
                <c:pt idx="269">
                  <c:v>9.8620863626686202</c:v>
                </c:pt>
                <c:pt idx="270">
                  <c:v>11.169129270996271</c:v>
                </c:pt>
                <c:pt idx="271">
                  <c:v>15.205295926338307</c:v>
                </c:pt>
                <c:pt idx="272">
                  <c:v>18.961706401966527</c:v>
                </c:pt>
                <c:pt idx="273">
                  <c:v>24.308144751291188</c:v>
                </c:pt>
                <c:pt idx="274">
                  <c:v>25.531095836735485</c:v>
                </c:pt>
                <c:pt idx="275">
                  <c:v>23.599023053835587</c:v>
                </c:pt>
                <c:pt idx="276">
                  <c:v>26.40680474212251</c:v>
                </c:pt>
                <c:pt idx="277">
                  <c:v>26.55676241040106</c:v>
                </c:pt>
                <c:pt idx="278">
                  <c:v>8.7457204913596609</c:v>
                </c:pt>
                <c:pt idx="279">
                  <c:v>18.21786760207824</c:v>
                </c:pt>
                <c:pt idx="280">
                  <c:v>11.556975134331765</c:v>
                </c:pt>
                <c:pt idx="281">
                  <c:v>24.123538295194184</c:v>
                </c:pt>
                <c:pt idx="282">
                  <c:v>19.307847937526667</c:v>
                </c:pt>
                <c:pt idx="283">
                  <c:v>15.171390457689466</c:v>
                </c:pt>
                <c:pt idx="284">
                  <c:v>18.39684499989227</c:v>
                </c:pt>
                <c:pt idx="285">
                  <c:v>14.24077608299692</c:v>
                </c:pt>
                <c:pt idx="286">
                  <c:v>11.260998530756103</c:v>
                </c:pt>
                <c:pt idx="287">
                  <c:v>23.270696382554799</c:v>
                </c:pt>
                <c:pt idx="288">
                  <c:v>20.709838758809973</c:v>
                </c:pt>
                <c:pt idx="289">
                  <c:v>12.198993505041281</c:v>
                </c:pt>
                <c:pt idx="290">
                  <c:v>20.95386277567275</c:v>
                </c:pt>
                <c:pt idx="291">
                  <c:v>9.7893696085633604</c:v>
                </c:pt>
                <c:pt idx="292">
                  <c:v>4.7489684718731233</c:v>
                </c:pt>
                <c:pt idx="293">
                  <c:v>10.198378440329632</c:v>
                </c:pt>
                <c:pt idx="294">
                  <c:v>19.891675580077472</c:v>
                </c:pt>
                <c:pt idx="295">
                  <c:v>12.89325439101164</c:v>
                </c:pt>
                <c:pt idx="296">
                  <c:v>15.727265153679953</c:v>
                </c:pt>
                <c:pt idx="297">
                  <c:v>13.674735883976988</c:v>
                </c:pt>
                <c:pt idx="298">
                  <c:v>9.1723839254462778</c:v>
                </c:pt>
                <c:pt idx="299">
                  <c:v>8.5040158214886485</c:v>
                </c:pt>
                <c:pt idx="300">
                  <c:v>11.161569448886981</c:v>
                </c:pt>
                <c:pt idx="301">
                  <c:v>16.225190365256037</c:v>
                </c:pt>
                <c:pt idx="302">
                  <c:v>13.629337601173091</c:v>
                </c:pt>
                <c:pt idx="303">
                  <c:v>12.927436155509699</c:v>
                </c:pt>
                <c:pt idx="304">
                  <c:v>13.80370107923806</c:v>
                </c:pt>
                <c:pt idx="305">
                  <c:v>16.001182775513499</c:v>
                </c:pt>
                <c:pt idx="306">
                  <c:v>6.0232018169418797</c:v>
                </c:pt>
                <c:pt idx="307">
                  <c:v>8.6229354009450958</c:v>
                </c:pt>
                <c:pt idx="308">
                  <c:v>17.708259584893188</c:v>
                </c:pt>
                <c:pt idx="309">
                  <c:v>16.870200141541503</c:v>
                </c:pt>
                <c:pt idx="310">
                  <c:v>16.200446535842666</c:v>
                </c:pt>
                <c:pt idx="311">
                  <c:v>11.805639721059931</c:v>
                </c:pt>
                <c:pt idx="312">
                  <c:v>6.5423656173330098</c:v>
                </c:pt>
                <c:pt idx="313">
                  <c:v>12.558657908698486</c:v>
                </c:pt>
                <c:pt idx="314">
                  <c:v>14.635043268443759</c:v>
                </c:pt>
                <c:pt idx="315">
                  <c:v>14.420572742034336</c:v>
                </c:pt>
                <c:pt idx="316">
                  <c:v>14.445013319918941</c:v>
                </c:pt>
                <c:pt idx="317">
                  <c:v>6.4938900778195467</c:v>
                </c:pt>
                <c:pt idx="318">
                  <c:v>8.0351845075220272</c:v>
                </c:pt>
                <c:pt idx="319">
                  <c:v>12.923615905864629</c:v>
                </c:pt>
                <c:pt idx="320">
                  <c:v>9.7549707956441694</c:v>
                </c:pt>
                <c:pt idx="321">
                  <c:v>8.1363045626321622</c:v>
                </c:pt>
                <c:pt idx="322">
                  <c:v>5.5312156457244619</c:v>
                </c:pt>
                <c:pt idx="323">
                  <c:v>10.547183180017722</c:v>
                </c:pt>
                <c:pt idx="324">
                  <c:v>2.0742315635327442</c:v>
                </c:pt>
                <c:pt idx="325">
                  <c:v>6.0091796781570146</c:v>
                </c:pt>
                <c:pt idx="326">
                  <c:v>7.9702906874301478</c:v>
                </c:pt>
                <c:pt idx="327">
                  <c:v>7.7220852232998558</c:v>
                </c:pt>
                <c:pt idx="328">
                  <c:v>3.2555634943976002</c:v>
                </c:pt>
                <c:pt idx="329">
                  <c:v>6.4344119867409404</c:v>
                </c:pt>
                <c:pt idx="330">
                  <c:v>8.8563053822567177</c:v>
                </c:pt>
                <c:pt idx="331">
                  <c:v>5.9060072201801148</c:v>
                </c:pt>
                <c:pt idx="332">
                  <c:v>6.6014848610221026</c:v>
                </c:pt>
                <c:pt idx="333">
                  <c:v>2.4528880696984059</c:v>
                </c:pt>
                <c:pt idx="334">
                  <c:v>2.2696553914486639</c:v>
                </c:pt>
                <c:pt idx="335">
                  <c:v>3.5060188779881236</c:v>
                </c:pt>
                <c:pt idx="336">
                  <c:v>6.1099143270142804</c:v>
                </c:pt>
                <c:pt idx="337">
                  <c:v>8.786953107882189</c:v>
                </c:pt>
                <c:pt idx="338">
                  <c:v>10.23320999143457</c:v>
                </c:pt>
                <c:pt idx="339">
                  <c:v>7.418207389599262</c:v>
                </c:pt>
                <c:pt idx="340">
                  <c:v>8.6518394023386218</c:v>
                </c:pt>
                <c:pt idx="341">
                  <c:v>2.8470338528157964</c:v>
                </c:pt>
                <c:pt idx="342">
                  <c:v>4.0533997554259633</c:v>
                </c:pt>
                <c:pt idx="343">
                  <c:v>6.978243927650901</c:v>
                </c:pt>
                <c:pt idx="344">
                  <c:v>8.1333468938542755</c:v>
                </c:pt>
                <c:pt idx="345">
                  <c:v>3.2759956523026665</c:v>
                </c:pt>
                <c:pt idx="346">
                  <c:v>3.2494223511084881</c:v>
                </c:pt>
                <c:pt idx="347">
                  <c:v>7.6531895326345083</c:v>
                </c:pt>
                <c:pt idx="348">
                  <c:v>3.8089694234983118</c:v>
                </c:pt>
                <c:pt idx="349">
                  <c:v>3.1819181801410878</c:v>
                </c:pt>
                <c:pt idx="350">
                  <c:v>1.8592004066927801</c:v>
                </c:pt>
                <c:pt idx="351">
                  <c:v>9.915181933774381</c:v>
                </c:pt>
                <c:pt idx="352">
                  <c:v>9.9001604585752396</c:v>
                </c:pt>
                <c:pt idx="353">
                  <c:v>2.5534962190922164</c:v>
                </c:pt>
                <c:pt idx="354">
                  <c:v>9.0253209876575955</c:v>
                </c:pt>
                <c:pt idx="355">
                  <c:v>10.17099879603448</c:v>
                </c:pt>
                <c:pt idx="356">
                  <c:v>10.019346641836343</c:v>
                </c:pt>
                <c:pt idx="357">
                  <c:v>10.23839487975607</c:v>
                </c:pt>
                <c:pt idx="358">
                  <c:v>6.1029050849882607</c:v>
                </c:pt>
                <c:pt idx="359">
                  <c:v>10.554344288269398</c:v>
                </c:pt>
                <c:pt idx="360">
                  <c:v>4.0891005698040592</c:v>
                </c:pt>
                <c:pt idx="361">
                  <c:v>11.113625281406105</c:v>
                </c:pt>
                <c:pt idx="362">
                  <c:v>6.342664193615307</c:v>
                </c:pt>
                <c:pt idx="363">
                  <c:v>8.0860229973966238</c:v>
                </c:pt>
                <c:pt idx="364">
                  <c:v>7.6022939815300763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10.707455538412574</c:v>
                </c:pt>
                <c:pt idx="1">
                  <c:v>8.3590154440291933</c:v>
                </c:pt>
                <c:pt idx="2">
                  <c:v>9.5891830514868239</c:v>
                </c:pt>
                <c:pt idx="3">
                  <c:v>10.054710492565393</c:v>
                </c:pt>
                <c:pt idx="4">
                  <c:v>8.3161394005421254</c:v>
                </c:pt>
                <c:pt idx="5">
                  <c:v>11.913023594556963</c:v>
                </c:pt>
                <c:pt idx="6">
                  <c:v>5.3051324167603591</c:v>
                </c:pt>
                <c:pt idx="7">
                  <c:v>4.2750778780287693</c:v>
                </c:pt>
                <c:pt idx="8">
                  <c:v>1.1787957457445501</c:v>
                </c:pt>
                <c:pt idx="9">
                  <c:v>0.84612740135315356</c:v>
                </c:pt>
                <c:pt idx="10">
                  <c:v>12.230598119997081</c:v>
                </c:pt>
                <c:pt idx="11">
                  <c:v>9.9705445046721071</c:v>
                </c:pt>
                <c:pt idx="12">
                  <c:v>3.0391811024284157</c:v>
                </c:pt>
                <c:pt idx="13">
                  <c:v>12.695611604539065</c:v>
                </c:pt>
                <c:pt idx="14">
                  <c:v>12.972421218500541</c:v>
                </c:pt>
                <c:pt idx="15">
                  <c:v>13.041483480928907</c:v>
                </c:pt>
                <c:pt idx="16">
                  <c:v>9.4507821194376458</c:v>
                </c:pt>
                <c:pt idx="17">
                  <c:v>2.288685600772665</c:v>
                </c:pt>
                <c:pt idx="18">
                  <c:v>6.8591284889674045</c:v>
                </c:pt>
                <c:pt idx="19">
                  <c:v>3.6564811169898976</c:v>
                </c:pt>
                <c:pt idx="20">
                  <c:v>10.022133487659946</c:v>
                </c:pt>
                <c:pt idx="21">
                  <c:v>14.41105257630363</c:v>
                </c:pt>
                <c:pt idx="22">
                  <c:v>14.462635747494591</c:v>
                </c:pt>
                <c:pt idx="23">
                  <c:v>14.721218924558897</c:v>
                </c:pt>
                <c:pt idx="24">
                  <c:v>13.964739824643368</c:v>
                </c:pt>
                <c:pt idx="25">
                  <c:v>15.181228628814036</c:v>
                </c:pt>
                <c:pt idx="26">
                  <c:v>12.969179587820898</c:v>
                </c:pt>
                <c:pt idx="27">
                  <c:v>2.4253942286629253</c:v>
                </c:pt>
                <c:pt idx="28">
                  <c:v>4.1455675463040915</c:v>
                </c:pt>
                <c:pt idx="29">
                  <c:v>2.6892381228664672</c:v>
                </c:pt>
                <c:pt idx="30">
                  <c:v>6.3117263539699966</c:v>
                </c:pt>
                <c:pt idx="31">
                  <c:v>7.8629150603069062</c:v>
                </c:pt>
                <c:pt idx="32">
                  <c:v>3.463564571992126</c:v>
                </c:pt>
                <c:pt idx="33">
                  <c:v>7.3880244073203354</c:v>
                </c:pt>
                <c:pt idx="34">
                  <c:v>7.1685539090283594</c:v>
                </c:pt>
                <c:pt idx="35">
                  <c:v>6.6530011943766896</c:v>
                </c:pt>
                <c:pt idx="36">
                  <c:v>13.636833856522257</c:v>
                </c:pt>
                <c:pt idx="37">
                  <c:v>8.001297953602112</c:v>
                </c:pt>
                <c:pt idx="38">
                  <c:v>19.025438851758185</c:v>
                </c:pt>
                <c:pt idx="39">
                  <c:v>19.065618565007</c:v>
                </c:pt>
                <c:pt idx="40">
                  <c:v>18.088843492947706</c:v>
                </c:pt>
                <c:pt idx="41">
                  <c:v>9.8078920680720518</c:v>
                </c:pt>
                <c:pt idx="42">
                  <c:v>15.596229598609673</c:v>
                </c:pt>
                <c:pt idx="43">
                  <c:v>17.90677506445013</c:v>
                </c:pt>
                <c:pt idx="44">
                  <c:v>9.9126690162328863</c:v>
                </c:pt>
                <c:pt idx="45">
                  <c:v>12.530781575466875</c:v>
                </c:pt>
                <c:pt idx="46">
                  <c:v>5.4820846240852186</c:v>
                </c:pt>
                <c:pt idx="47">
                  <c:v>9.3715363017152349</c:v>
                </c:pt>
                <c:pt idx="48">
                  <c:v>17.694828500895195</c:v>
                </c:pt>
                <c:pt idx="49">
                  <c:v>11.41686459036181</c:v>
                </c:pt>
                <c:pt idx="50">
                  <c:v>12.834387049655057</c:v>
                </c:pt>
                <c:pt idx="51">
                  <c:v>13.299941012114491</c:v>
                </c:pt>
                <c:pt idx="52">
                  <c:v>20.744356803873696</c:v>
                </c:pt>
                <c:pt idx="53">
                  <c:v>21.233787902380392</c:v>
                </c:pt>
                <c:pt idx="54">
                  <c:v>13.735514302834989</c:v>
                </c:pt>
                <c:pt idx="55">
                  <c:v>19.180538220158539</c:v>
                </c:pt>
                <c:pt idx="56">
                  <c:v>24.057591027127405</c:v>
                </c:pt>
                <c:pt idx="57">
                  <c:v>16.286632056695538</c:v>
                </c:pt>
                <c:pt idx="58">
                  <c:v>21.318183444551348</c:v>
                </c:pt>
                <c:pt idx="59">
                  <c:v>23.951246323516873</c:v>
                </c:pt>
                <c:pt idx="60">
                  <c:v>8.8191682411809076</c:v>
                </c:pt>
                <c:pt idx="61">
                  <c:v>22.650856060528614</c:v>
                </c:pt>
                <c:pt idx="62">
                  <c:v>3.4617607424804882</c:v>
                </c:pt>
                <c:pt idx="63">
                  <c:v>8.8835437125888266</c:v>
                </c:pt>
                <c:pt idx="64">
                  <c:v>12.095185554761068</c:v>
                </c:pt>
                <c:pt idx="65">
                  <c:v>22.948270866536586</c:v>
                </c:pt>
                <c:pt idx="66">
                  <c:v>19.067534653828826</c:v>
                </c:pt>
                <c:pt idx="67">
                  <c:v>21.447324195323024</c:v>
                </c:pt>
                <c:pt idx="68">
                  <c:v>14.851475516301752</c:v>
                </c:pt>
                <c:pt idx="69">
                  <c:v>9.6266958492299093</c:v>
                </c:pt>
                <c:pt idx="70">
                  <c:v>9.7074487398193234</c:v>
                </c:pt>
                <c:pt idx="71">
                  <c:v>5.3066272359871149</c:v>
                </c:pt>
                <c:pt idx="72">
                  <c:v>7.6009804333651632</c:v>
                </c:pt>
                <c:pt idx="73">
                  <c:v>7.785528826214632</c:v>
                </c:pt>
                <c:pt idx="74">
                  <c:v>5.985931236698411</c:v>
                </c:pt>
                <c:pt idx="75">
                  <c:v>7.0247126334109113</c:v>
                </c:pt>
                <c:pt idx="76">
                  <c:v>8.771585958248167</c:v>
                </c:pt>
                <c:pt idx="77">
                  <c:v>17.626042726673237</c:v>
                </c:pt>
                <c:pt idx="78">
                  <c:v>19.660470105401082</c:v>
                </c:pt>
                <c:pt idx="79">
                  <c:v>28.169257694402745</c:v>
                </c:pt>
                <c:pt idx="80">
                  <c:v>26.015025363226069</c:v>
                </c:pt>
                <c:pt idx="81">
                  <c:v>29.226507101021554</c:v>
                </c:pt>
                <c:pt idx="82">
                  <c:v>28.940662172754678</c:v>
                </c:pt>
                <c:pt idx="83">
                  <c:v>25.850566697363092</c:v>
                </c:pt>
                <c:pt idx="84">
                  <c:v>27.511526694059082</c:v>
                </c:pt>
                <c:pt idx="85">
                  <c:v>27.444695332746146</c:v>
                </c:pt>
                <c:pt idx="86">
                  <c:v>21.207007586066357</c:v>
                </c:pt>
                <c:pt idx="87">
                  <c:v>17.060750765990193</c:v>
                </c:pt>
                <c:pt idx="88">
                  <c:v>4.2191083402000391</c:v>
                </c:pt>
                <c:pt idx="89">
                  <c:v>18.21117296424125</c:v>
                </c:pt>
                <c:pt idx="90">
                  <c:v>20.050599261181048</c:v>
                </c:pt>
                <c:pt idx="91">
                  <c:v>12.375314143504056</c:v>
                </c:pt>
                <c:pt idx="92">
                  <c:v>14.70805212886118</c:v>
                </c:pt>
                <c:pt idx="93">
                  <c:v>26.785351986434943</c:v>
                </c:pt>
                <c:pt idx="94">
                  <c:v>33.021125027862496</c:v>
                </c:pt>
                <c:pt idx="95">
                  <c:v>7.5949712428196285</c:v>
                </c:pt>
                <c:pt idx="96">
                  <c:v>24.551358901460034</c:v>
                </c:pt>
                <c:pt idx="97">
                  <c:v>19.358481138249967</c:v>
                </c:pt>
                <c:pt idx="98">
                  <c:v>23.366992798822583</c:v>
                </c:pt>
                <c:pt idx="99">
                  <c:v>33.079524475181451</c:v>
                </c:pt>
                <c:pt idx="100">
                  <c:v>26.51282118839174</c:v>
                </c:pt>
                <c:pt idx="101">
                  <c:v>22.494238789229506</c:v>
                </c:pt>
                <c:pt idx="102">
                  <c:v>4.3694964357356358</c:v>
                </c:pt>
                <c:pt idx="103">
                  <c:v>24.771456169244928</c:v>
                </c:pt>
                <c:pt idx="104">
                  <c:v>27.473449626866152</c:v>
                </c:pt>
                <c:pt idx="105">
                  <c:v>27.657833637348308</c:v>
                </c:pt>
                <c:pt idx="106">
                  <c:v>34.292435807421015</c:v>
                </c:pt>
                <c:pt idx="107">
                  <c:v>24.557431066260413</c:v>
                </c:pt>
                <c:pt idx="108">
                  <c:v>6.0166400546969676</c:v>
                </c:pt>
                <c:pt idx="109">
                  <c:v>6.1530049224637002</c:v>
                </c:pt>
                <c:pt idx="110">
                  <c:v>6.5730641771705516</c:v>
                </c:pt>
                <c:pt idx="111">
                  <c:v>17.330144114263501</c:v>
                </c:pt>
                <c:pt idx="112">
                  <c:v>5.4074477363664597</c:v>
                </c:pt>
                <c:pt idx="113">
                  <c:v>21.255957383608134</c:v>
                </c:pt>
                <c:pt idx="114">
                  <c:v>29.462851093076512</c:v>
                </c:pt>
                <c:pt idx="115">
                  <c:v>34.028992032547997</c:v>
                </c:pt>
                <c:pt idx="116">
                  <c:v>24.687352899593392</c:v>
                </c:pt>
                <c:pt idx="117">
                  <c:v>15.799153560034227</c:v>
                </c:pt>
                <c:pt idx="118">
                  <c:v>26.895458855557933</c:v>
                </c:pt>
                <c:pt idx="119">
                  <c:v>30.914393418527808</c:v>
                </c:pt>
                <c:pt idx="120">
                  <c:v>31.862704930652637</c:v>
                </c:pt>
                <c:pt idx="121">
                  <c:v>18.561863706862251</c:v>
                </c:pt>
                <c:pt idx="122">
                  <c:v>20.626156211347119</c:v>
                </c:pt>
                <c:pt idx="123">
                  <c:v>14.377327518048926</c:v>
                </c:pt>
                <c:pt idx="124">
                  <c:v>28.115445796856228</c:v>
                </c:pt>
                <c:pt idx="125">
                  <c:v>26.08915687948635</c:v>
                </c:pt>
                <c:pt idx="126">
                  <c:v>32.426909295716214</c:v>
                </c:pt>
                <c:pt idx="127">
                  <c:v>33.450530394251011</c:v>
                </c:pt>
                <c:pt idx="128">
                  <c:v>37.691218039479956</c:v>
                </c:pt>
                <c:pt idx="129">
                  <c:v>34.838772525257568</c:v>
                </c:pt>
                <c:pt idx="130">
                  <c:v>37.567331332405153</c:v>
                </c:pt>
                <c:pt idx="131">
                  <c:v>28.909270388528206</c:v>
                </c:pt>
                <c:pt idx="132">
                  <c:v>31.558362696022119</c:v>
                </c:pt>
                <c:pt idx="133">
                  <c:v>32.865933748076714</c:v>
                </c:pt>
                <c:pt idx="134">
                  <c:v>35.002647517173934</c:v>
                </c:pt>
                <c:pt idx="135">
                  <c:v>33.89796299040394</c:v>
                </c:pt>
                <c:pt idx="136">
                  <c:v>36.432115861460588</c:v>
                </c:pt>
                <c:pt idx="137">
                  <c:v>35.035265452845962</c:v>
                </c:pt>
                <c:pt idx="138">
                  <c:v>36.152678225554723</c:v>
                </c:pt>
                <c:pt idx="139">
                  <c:v>32.245918092308997</c:v>
                </c:pt>
                <c:pt idx="140">
                  <c:v>32.141943137973492</c:v>
                </c:pt>
                <c:pt idx="141">
                  <c:v>24.022030863897442</c:v>
                </c:pt>
                <c:pt idx="142">
                  <c:v>12.504764558383441</c:v>
                </c:pt>
                <c:pt idx="143">
                  <c:v>11.192300432043909</c:v>
                </c:pt>
                <c:pt idx="144">
                  <c:v>27.569758728646967</c:v>
                </c:pt>
                <c:pt idx="145">
                  <c:v>14.76170107823145</c:v>
                </c:pt>
                <c:pt idx="146">
                  <c:v>29.280145491237352</c:v>
                </c:pt>
                <c:pt idx="147">
                  <c:v>37.238621676215978</c:v>
                </c:pt>
                <c:pt idx="148">
                  <c:v>40.412071318474318</c:v>
                </c:pt>
                <c:pt idx="149">
                  <c:v>33.467096414355296</c:v>
                </c:pt>
                <c:pt idx="150">
                  <c:v>36.620856319707599</c:v>
                </c:pt>
                <c:pt idx="151">
                  <c:v>37.451967237527789</c:v>
                </c:pt>
                <c:pt idx="152">
                  <c:v>29.904710337019999</c:v>
                </c:pt>
                <c:pt idx="153">
                  <c:v>36.215697703479535</c:v>
                </c:pt>
                <c:pt idx="154">
                  <c:v>17.990254239377538</c:v>
                </c:pt>
                <c:pt idx="155">
                  <c:v>22.070792737378412</c:v>
                </c:pt>
                <c:pt idx="156">
                  <c:v>30.626256226541088</c:v>
                </c:pt>
                <c:pt idx="157">
                  <c:v>17.746330829518481</c:v>
                </c:pt>
                <c:pt idx="158">
                  <c:v>15.663204757890865</c:v>
                </c:pt>
                <c:pt idx="159">
                  <c:v>30.656803694340052</c:v>
                </c:pt>
                <c:pt idx="160">
                  <c:v>38.99534852582596</c:v>
                </c:pt>
                <c:pt idx="161">
                  <c:v>36.945798199970014</c:v>
                </c:pt>
                <c:pt idx="162">
                  <c:v>29.247625813058558</c:v>
                </c:pt>
                <c:pt idx="163">
                  <c:v>35.592824631559139</c:v>
                </c:pt>
                <c:pt idx="164">
                  <c:v>31.884256135167821</c:v>
                </c:pt>
                <c:pt idx="165">
                  <c:v>36.13638500179772</c:v>
                </c:pt>
                <c:pt idx="166">
                  <c:v>34.094312988319835</c:v>
                </c:pt>
                <c:pt idx="167">
                  <c:v>34.714263059171238</c:v>
                </c:pt>
                <c:pt idx="168">
                  <c:v>35.990308547945538</c:v>
                </c:pt>
                <c:pt idx="169">
                  <c:v>36.848400921826475</c:v>
                </c:pt>
                <c:pt idx="170">
                  <c:v>20.709116203684264</c:v>
                </c:pt>
                <c:pt idx="171">
                  <c:v>14.493975821992526</c:v>
                </c:pt>
                <c:pt idx="172">
                  <c:v>30.240172060780463</c:v>
                </c:pt>
                <c:pt idx="173">
                  <c:v>27.167107521045693</c:v>
                </c:pt>
                <c:pt idx="174">
                  <c:v>30.830838714835959</c:v>
                </c:pt>
                <c:pt idx="175">
                  <c:v>21.986041937707743</c:v>
                </c:pt>
                <c:pt idx="176">
                  <c:v>7.8437197398358007</c:v>
                </c:pt>
                <c:pt idx="177">
                  <c:v>10.154622576705789</c:v>
                </c:pt>
                <c:pt idx="178">
                  <c:v>39.469881303733089</c:v>
                </c:pt>
                <c:pt idx="179">
                  <c:v>38.131589240803144</c:v>
                </c:pt>
                <c:pt idx="180">
                  <c:v>9.272593196461159</c:v>
                </c:pt>
                <c:pt idx="181">
                  <c:v>35.921357844120351</c:v>
                </c:pt>
                <c:pt idx="182">
                  <c:v>37.018796203839273</c:v>
                </c:pt>
                <c:pt idx="183">
                  <c:v>30.632689569555833</c:v>
                </c:pt>
                <c:pt idx="184">
                  <c:v>29.353756037312248</c:v>
                </c:pt>
                <c:pt idx="185">
                  <c:v>36.628749134924277</c:v>
                </c:pt>
                <c:pt idx="186">
                  <c:v>29.256967889866569</c:v>
                </c:pt>
                <c:pt idx="187">
                  <c:v>37.696032209751081</c:v>
                </c:pt>
                <c:pt idx="188">
                  <c:v>38.882558754568542</c:v>
                </c:pt>
                <c:pt idx="189">
                  <c:v>38.139391440724069</c:v>
                </c:pt>
                <c:pt idx="190">
                  <c:v>37.68796278745031</c:v>
                </c:pt>
                <c:pt idx="191">
                  <c:v>36.355374009219069</c:v>
                </c:pt>
                <c:pt idx="192">
                  <c:v>36.169935163085817</c:v>
                </c:pt>
                <c:pt idx="193">
                  <c:v>36.022626251697851</c:v>
                </c:pt>
                <c:pt idx="194">
                  <c:v>35.385848959238103</c:v>
                </c:pt>
                <c:pt idx="195">
                  <c:v>34.259687508859898</c:v>
                </c:pt>
                <c:pt idx="196">
                  <c:v>35.506508853547018</c:v>
                </c:pt>
                <c:pt idx="197">
                  <c:v>34.808004597503853</c:v>
                </c:pt>
                <c:pt idx="198">
                  <c:v>34.734910917576272</c:v>
                </c:pt>
                <c:pt idx="199">
                  <c:v>26.964453284045884</c:v>
                </c:pt>
                <c:pt idx="200">
                  <c:v>26.390143017446061</c:v>
                </c:pt>
                <c:pt idx="201">
                  <c:v>34.453807112942904</c:v>
                </c:pt>
                <c:pt idx="202">
                  <c:v>27.343888654142873</c:v>
                </c:pt>
                <c:pt idx="203">
                  <c:v>32.006768865674218</c:v>
                </c:pt>
                <c:pt idx="204">
                  <c:v>34.581568030109089</c:v>
                </c:pt>
                <c:pt idx="205">
                  <c:v>19.482701927502312</c:v>
                </c:pt>
                <c:pt idx="206">
                  <c:v>35.857394002088398</c:v>
                </c:pt>
                <c:pt idx="207">
                  <c:v>37.642752224558642</c:v>
                </c:pt>
                <c:pt idx="208">
                  <c:v>30.373498483039718</c:v>
                </c:pt>
                <c:pt idx="209">
                  <c:v>19.368886667765654</c:v>
                </c:pt>
                <c:pt idx="210">
                  <c:v>30.950460254453908</c:v>
                </c:pt>
                <c:pt idx="211">
                  <c:v>36.065849685578002</c:v>
                </c:pt>
                <c:pt idx="212">
                  <c:v>35.9607257296841</c:v>
                </c:pt>
                <c:pt idx="213">
                  <c:v>35.85149392750548</c:v>
                </c:pt>
                <c:pt idx="214">
                  <c:v>33.450164134348952</c:v>
                </c:pt>
                <c:pt idx="215">
                  <c:v>32.884139721584539</c:v>
                </c:pt>
                <c:pt idx="216">
                  <c:v>29.853462561758633</c:v>
                </c:pt>
                <c:pt idx="217">
                  <c:v>32.39544559554453</c:v>
                </c:pt>
                <c:pt idx="218">
                  <c:v>34.708681405810246</c:v>
                </c:pt>
                <c:pt idx="219">
                  <c:v>35.355807925770492</c:v>
                </c:pt>
                <c:pt idx="220">
                  <c:v>33.268146595456315</c:v>
                </c:pt>
                <c:pt idx="221">
                  <c:v>32.008919489946031</c:v>
                </c:pt>
                <c:pt idx="222">
                  <c:v>29.885709471436542</c:v>
                </c:pt>
                <c:pt idx="223">
                  <c:v>31.163539174910817</c:v>
                </c:pt>
                <c:pt idx="224">
                  <c:v>22.426700228432136</c:v>
                </c:pt>
                <c:pt idx="225">
                  <c:v>23.735684020097359</c:v>
                </c:pt>
                <c:pt idx="226">
                  <c:v>22.680030532398845</c:v>
                </c:pt>
                <c:pt idx="227">
                  <c:v>22.432840516155988</c:v>
                </c:pt>
                <c:pt idx="228">
                  <c:v>17.818265683608299</c:v>
                </c:pt>
                <c:pt idx="229">
                  <c:v>26.435254549527581</c:v>
                </c:pt>
                <c:pt idx="230">
                  <c:v>26.647488898255848</c:v>
                </c:pt>
                <c:pt idx="231">
                  <c:v>33.071846979517147</c:v>
                </c:pt>
                <c:pt idx="232">
                  <c:v>20.729535641291722</c:v>
                </c:pt>
                <c:pt idx="233">
                  <c:v>17.186669704819725</c:v>
                </c:pt>
                <c:pt idx="234">
                  <c:v>30.776387298718703</c:v>
                </c:pt>
                <c:pt idx="235">
                  <c:v>30.242010937991694</c:v>
                </c:pt>
                <c:pt idx="236">
                  <c:v>22.300045147445271</c:v>
                </c:pt>
                <c:pt idx="237">
                  <c:v>27.139476496513673</c:v>
                </c:pt>
                <c:pt idx="238">
                  <c:v>32.831297874566545</c:v>
                </c:pt>
                <c:pt idx="239">
                  <c:v>31.763560050191639</c:v>
                </c:pt>
                <c:pt idx="240">
                  <c:v>21.771395665651834</c:v>
                </c:pt>
                <c:pt idx="241">
                  <c:v>31.384501220231879</c:v>
                </c:pt>
                <c:pt idx="242">
                  <c:v>14.705927919432501</c:v>
                </c:pt>
                <c:pt idx="243">
                  <c:v>27.734315852108583</c:v>
                </c:pt>
                <c:pt idx="244">
                  <c:v>27.347300213838185</c:v>
                </c:pt>
                <c:pt idx="245">
                  <c:v>26.565862290616057</c:v>
                </c:pt>
                <c:pt idx="246">
                  <c:v>29.433097198857325</c:v>
                </c:pt>
                <c:pt idx="247">
                  <c:v>26.088940104162479</c:v>
                </c:pt>
                <c:pt idx="248">
                  <c:v>29.83293046795006</c:v>
                </c:pt>
                <c:pt idx="249">
                  <c:v>22.659519087609695</c:v>
                </c:pt>
                <c:pt idx="250">
                  <c:v>25.066178423252914</c:v>
                </c:pt>
                <c:pt idx="251">
                  <c:v>13.976542811411813</c:v>
                </c:pt>
                <c:pt idx="252">
                  <c:v>29.957594781804637</c:v>
                </c:pt>
                <c:pt idx="253">
                  <c:v>29.844921763453915</c:v>
                </c:pt>
                <c:pt idx="254">
                  <c:v>20.953365993228807</c:v>
                </c:pt>
                <c:pt idx="255">
                  <c:v>7.8824220491071557</c:v>
                </c:pt>
                <c:pt idx="256">
                  <c:v>23.384522430025743</c:v>
                </c:pt>
                <c:pt idx="257">
                  <c:v>28.368633046928959</c:v>
                </c:pt>
                <c:pt idx="258">
                  <c:v>21.223275575081097</c:v>
                </c:pt>
                <c:pt idx="259">
                  <c:v>29.931939162919303</c:v>
                </c:pt>
                <c:pt idx="260">
                  <c:v>30.050277572840596</c:v>
                </c:pt>
                <c:pt idx="261">
                  <c:v>29.45114432376538</c:v>
                </c:pt>
                <c:pt idx="262">
                  <c:v>30.725142239082132</c:v>
                </c:pt>
                <c:pt idx="263">
                  <c:v>29.651226045709077</c:v>
                </c:pt>
                <c:pt idx="264">
                  <c:v>28.545089546074582</c:v>
                </c:pt>
                <c:pt idx="265">
                  <c:v>17.662199593942209</c:v>
                </c:pt>
                <c:pt idx="266">
                  <c:v>11.026497459570061</c:v>
                </c:pt>
                <c:pt idx="267">
                  <c:v>20.606021762007753</c:v>
                </c:pt>
                <c:pt idx="268">
                  <c:v>19.645360401925561</c:v>
                </c:pt>
                <c:pt idx="269">
                  <c:v>9.8620863626686202</c:v>
                </c:pt>
                <c:pt idx="270">
                  <c:v>11.169129270996271</c:v>
                </c:pt>
                <c:pt idx="271">
                  <c:v>15.205295926338307</c:v>
                </c:pt>
                <c:pt idx="272">
                  <c:v>18.961706401966527</c:v>
                </c:pt>
                <c:pt idx="273">
                  <c:v>24.308144751291188</c:v>
                </c:pt>
                <c:pt idx="274">
                  <c:v>25.531095836735485</c:v>
                </c:pt>
                <c:pt idx="275">
                  <c:v>23.599023053835587</c:v>
                </c:pt>
                <c:pt idx="276">
                  <c:v>26.40680474212251</c:v>
                </c:pt>
                <c:pt idx="277">
                  <c:v>26.55676241040106</c:v>
                </c:pt>
                <c:pt idx="278">
                  <c:v>8.7457204913596609</c:v>
                </c:pt>
                <c:pt idx="279">
                  <c:v>18.21786760207824</c:v>
                </c:pt>
                <c:pt idx="280">
                  <c:v>11.556975134331765</c:v>
                </c:pt>
                <c:pt idx="281">
                  <c:v>24.123538295194184</c:v>
                </c:pt>
                <c:pt idx="282">
                  <c:v>19.307847937526667</c:v>
                </c:pt>
                <c:pt idx="283">
                  <c:v>15.171390457689466</c:v>
                </c:pt>
                <c:pt idx="284">
                  <c:v>18.39684499989227</c:v>
                </c:pt>
                <c:pt idx="285">
                  <c:v>14.24077608299692</c:v>
                </c:pt>
                <c:pt idx="286">
                  <c:v>11.260998530756103</c:v>
                </c:pt>
                <c:pt idx="287">
                  <c:v>23.270696382554799</c:v>
                </c:pt>
                <c:pt idx="288">
                  <c:v>20.709838758809973</c:v>
                </c:pt>
                <c:pt idx="289">
                  <c:v>12.198993505041281</c:v>
                </c:pt>
                <c:pt idx="290">
                  <c:v>20.95386277567275</c:v>
                </c:pt>
                <c:pt idx="291">
                  <c:v>9.7893696085633604</c:v>
                </c:pt>
                <c:pt idx="292">
                  <c:v>4.7489684718731233</c:v>
                </c:pt>
                <c:pt idx="293">
                  <c:v>10.198378440329632</c:v>
                </c:pt>
                <c:pt idx="294">
                  <c:v>19.891675580077472</c:v>
                </c:pt>
                <c:pt idx="295">
                  <c:v>12.89325439101164</c:v>
                </c:pt>
                <c:pt idx="296">
                  <c:v>15.727265153679953</c:v>
                </c:pt>
                <c:pt idx="297">
                  <c:v>13.674735883976988</c:v>
                </c:pt>
                <c:pt idx="298">
                  <c:v>9.1723839254462778</c:v>
                </c:pt>
                <c:pt idx="299">
                  <c:v>8.5040158214886485</c:v>
                </c:pt>
                <c:pt idx="300">
                  <c:v>11.161569448886981</c:v>
                </c:pt>
                <c:pt idx="301">
                  <c:v>16.225190365256037</c:v>
                </c:pt>
                <c:pt idx="302">
                  <c:v>13.629337601173091</c:v>
                </c:pt>
                <c:pt idx="303">
                  <c:v>12.927436155509699</c:v>
                </c:pt>
                <c:pt idx="304">
                  <c:v>13.80370107923806</c:v>
                </c:pt>
                <c:pt idx="305">
                  <c:v>16.001182775513499</c:v>
                </c:pt>
                <c:pt idx="306">
                  <c:v>6.0232018169418797</c:v>
                </c:pt>
                <c:pt idx="307">
                  <c:v>8.6229354009450958</c:v>
                </c:pt>
                <c:pt idx="308">
                  <c:v>17.708259584893188</c:v>
                </c:pt>
                <c:pt idx="309">
                  <c:v>16.870200141541503</c:v>
                </c:pt>
                <c:pt idx="310">
                  <c:v>16.200446535842666</c:v>
                </c:pt>
                <c:pt idx="311">
                  <c:v>11.805639721059931</c:v>
                </c:pt>
                <c:pt idx="312">
                  <c:v>6.5423656173330098</c:v>
                </c:pt>
                <c:pt idx="313">
                  <c:v>12.558657908698486</c:v>
                </c:pt>
                <c:pt idx="314">
                  <c:v>14.635043268443759</c:v>
                </c:pt>
                <c:pt idx="315">
                  <c:v>14.420572742034336</c:v>
                </c:pt>
                <c:pt idx="316">
                  <c:v>14.445013319918941</c:v>
                </c:pt>
                <c:pt idx="317">
                  <c:v>6.4938900778195467</c:v>
                </c:pt>
                <c:pt idx="318">
                  <c:v>8.0351845075220272</c:v>
                </c:pt>
                <c:pt idx="319">
                  <c:v>12.923615905864629</c:v>
                </c:pt>
                <c:pt idx="320">
                  <c:v>9.7549707956441694</c:v>
                </c:pt>
                <c:pt idx="321">
                  <c:v>8.1363045626321622</c:v>
                </c:pt>
                <c:pt idx="322">
                  <c:v>5.5312156457244619</c:v>
                </c:pt>
                <c:pt idx="323">
                  <c:v>10.547183180017722</c:v>
                </c:pt>
                <c:pt idx="324">
                  <c:v>2.0742315635327442</c:v>
                </c:pt>
                <c:pt idx="325">
                  <c:v>6.0091796781570146</c:v>
                </c:pt>
                <c:pt idx="326">
                  <c:v>7.9702906874301478</c:v>
                </c:pt>
                <c:pt idx="327">
                  <c:v>7.7220852232998558</c:v>
                </c:pt>
                <c:pt idx="328">
                  <c:v>3.2555634943976002</c:v>
                </c:pt>
                <c:pt idx="329">
                  <c:v>6.4344119867409404</c:v>
                </c:pt>
                <c:pt idx="330">
                  <c:v>8.8563053822567177</c:v>
                </c:pt>
                <c:pt idx="331">
                  <c:v>5.9060072201801148</c:v>
                </c:pt>
                <c:pt idx="332">
                  <c:v>6.6014848610221026</c:v>
                </c:pt>
                <c:pt idx="333">
                  <c:v>2.4528880696984059</c:v>
                </c:pt>
                <c:pt idx="334">
                  <c:v>2.2696553914486639</c:v>
                </c:pt>
                <c:pt idx="335">
                  <c:v>3.5060188779881236</c:v>
                </c:pt>
                <c:pt idx="336">
                  <c:v>6.1099143270142804</c:v>
                </c:pt>
                <c:pt idx="337">
                  <c:v>8.786953107882189</c:v>
                </c:pt>
                <c:pt idx="338">
                  <c:v>10.23320999143457</c:v>
                </c:pt>
                <c:pt idx="339">
                  <c:v>7.418207389599262</c:v>
                </c:pt>
                <c:pt idx="340">
                  <c:v>8.6518394023386218</c:v>
                </c:pt>
                <c:pt idx="341">
                  <c:v>2.8470338528157964</c:v>
                </c:pt>
                <c:pt idx="342">
                  <c:v>4.0533997554259633</c:v>
                </c:pt>
                <c:pt idx="343">
                  <c:v>6.978243927650901</c:v>
                </c:pt>
                <c:pt idx="344">
                  <c:v>8.1333468938542755</c:v>
                </c:pt>
                <c:pt idx="345">
                  <c:v>3.2759956523026665</c:v>
                </c:pt>
                <c:pt idx="346">
                  <c:v>3.2494223511084881</c:v>
                </c:pt>
                <c:pt idx="347">
                  <c:v>7.6531895326345083</c:v>
                </c:pt>
                <c:pt idx="348">
                  <c:v>3.8089694234983118</c:v>
                </c:pt>
                <c:pt idx="349">
                  <c:v>3.1819181801410878</c:v>
                </c:pt>
                <c:pt idx="350">
                  <c:v>1.8592004066927801</c:v>
                </c:pt>
                <c:pt idx="351">
                  <c:v>9.915181933774381</c:v>
                </c:pt>
                <c:pt idx="352">
                  <c:v>9.9001604585752396</c:v>
                </c:pt>
                <c:pt idx="353">
                  <c:v>2.5534962190922164</c:v>
                </c:pt>
                <c:pt idx="354">
                  <c:v>9.0253209876575955</c:v>
                </c:pt>
                <c:pt idx="355">
                  <c:v>10.17099879603448</c:v>
                </c:pt>
                <c:pt idx="356">
                  <c:v>10.019346641836343</c:v>
                </c:pt>
                <c:pt idx="357">
                  <c:v>10.23839487975607</c:v>
                </c:pt>
                <c:pt idx="358">
                  <c:v>6.1029050849882607</c:v>
                </c:pt>
                <c:pt idx="359">
                  <c:v>10.554344288269398</c:v>
                </c:pt>
                <c:pt idx="360">
                  <c:v>4.0891005698040592</c:v>
                </c:pt>
                <c:pt idx="361">
                  <c:v>11.113625281406105</c:v>
                </c:pt>
                <c:pt idx="362">
                  <c:v>6.342664193615307</c:v>
                </c:pt>
                <c:pt idx="363">
                  <c:v>8.0860229973966238</c:v>
                </c:pt>
                <c:pt idx="364">
                  <c:v>7.6022939815300763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729712"/>
        <c:axId val="248730104"/>
      </c:lineChart>
      <c:dateAx>
        <c:axId val="248729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8730104"/>
        <c:crosses val="autoZero"/>
        <c:auto val="1"/>
        <c:lblOffset val="100"/>
        <c:baseTimeUnit val="days"/>
        <c:majorUnit val="1"/>
        <c:majorTimeUnit val="months"/>
      </c:dateAx>
      <c:valAx>
        <c:axId val="24873010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872971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5.222673059027505E-2</c:v>
                </c:pt>
                <c:pt idx="1">
                  <c:v>5.2247489257271185E-2</c:v>
                </c:pt>
                <c:pt idx="2">
                  <c:v>5.2268247469599127E-2</c:v>
                </c:pt>
                <c:pt idx="3">
                  <c:v>5.2289005227268981E-2</c:v>
                </c:pt>
                <c:pt idx="4">
                  <c:v>5.2309762530290627E-2</c:v>
                </c:pt>
                <c:pt idx="5">
                  <c:v>5.2330519378674056E-2</c:v>
                </c:pt>
                <c:pt idx="6">
                  <c:v>5.2351275772429262E-2</c:v>
                </c:pt>
                <c:pt idx="7">
                  <c:v>5.2372031711566236E-2</c:v>
                </c:pt>
                <c:pt idx="8">
                  <c:v>5.2392787196094859E-2</c:v>
                </c:pt>
                <c:pt idx="9">
                  <c:v>5.2413542226025012E-2</c:v>
                </c:pt>
                <c:pt idx="10">
                  <c:v>5.2434296801366798E-2</c:v>
                </c:pt>
                <c:pt idx="11">
                  <c:v>5.2455050922130098E-2</c:v>
                </c:pt>
                <c:pt idx="12">
                  <c:v>5.2475804588324904E-2</c:v>
                </c:pt>
                <c:pt idx="13">
                  <c:v>5.2496557799961208E-2</c:v>
                </c:pt>
                <c:pt idx="14">
                  <c:v>5.2517310557048891E-2</c:v>
                </c:pt>
                <c:pt idx="15">
                  <c:v>5.2538062859597945E-2</c:v>
                </c:pt>
                <c:pt idx="16">
                  <c:v>5.2558814707618251E-2</c:v>
                </c:pt>
                <c:pt idx="17">
                  <c:v>5.2579566101119801E-2</c:v>
                </c:pt>
                <c:pt idx="18">
                  <c:v>5.2600317040112698E-2</c:v>
                </c:pt>
                <c:pt idx="19">
                  <c:v>5.2621067524606713E-2</c:v>
                </c:pt>
                <c:pt idx="20">
                  <c:v>5.2641817554611836E-2</c:v>
                </c:pt>
                <c:pt idx="21">
                  <c:v>5.266256713013806E-2</c:v>
                </c:pt>
                <c:pt idx="22">
                  <c:v>5.2683316251195378E-2</c:v>
                </c:pt>
                <c:pt idx="23">
                  <c:v>5.2704064917793669E-2</c:v>
                </c:pt>
                <c:pt idx="24">
                  <c:v>5.2724813129942816E-2</c:v>
                </c:pt>
                <c:pt idx="25">
                  <c:v>5.2745560887653031E-2</c:v>
                </c:pt>
                <c:pt idx="26">
                  <c:v>5.2766308190933975E-2</c:v>
                </c:pt>
                <c:pt idx="27">
                  <c:v>5.2787055039795749E-2</c:v>
                </c:pt>
                <c:pt idx="28">
                  <c:v>5.2807801434248347E-2</c:v>
                </c:pt>
                <c:pt idx="29">
                  <c:v>5.2828547374301649E-2</c:v>
                </c:pt>
                <c:pt idx="30">
                  <c:v>5.2849292859965646E-2</c:v>
                </c:pt>
                <c:pt idx="31">
                  <c:v>5.2870037891250221E-2</c:v>
                </c:pt>
                <c:pt idx="32">
                  <c:v>5.2890782468165365E-2</c:v>
                </c:pt>
                <c:pt idx="33">
                  <c:v>5.2911526590720959E-2</c:v>
                </c:pt>
                <c:pt idx="34">
                  <c:v>5.2932270258927216E-2</c:v>
                </c:pt>
                <c:pt idx="35">
                  <c:v>5.2953013472793797E-2</c:v>
                </c:pt>
                <c:pt idx="36">
                  <c:v>5.2973756232330693E-2</c:v>
                </c:pt>
                <c:pt idx="37">
                  <c:v>5.2994498537548007E-2</c:v>
                </c:pt>
                <c:pt idx="38">
                  <c:v>5.301524038845562E-2</c:v>
                </c:pt>
                <c:pt idx="39">
                  <c:v>5.3035981785063413E-2</c:v>
                </c:pt>
                <c:pt idx="40">
                  <c:v>5.3056722727381378E-2</c:v>
                </c:pt>
                <c:pt idx="41">
                  <c:v>5.3077463215419507E-2</c:v>
                </c:pt>
                <c:pt idx="42">
                  <c:v>5.3098203249187681E-2</c:v>
                </c:pt>
                <c:pt idx="43">
                  <c:v>5.3118942828696003E-2</c:v>
                </c:pt>
                <c:pt idx="44">
                  <c:v>5.3139681953954243E-2</c:v>
                </c:pt>
                <c:pt idx="45">
                  <c:v>5.3160420624972393E-2</c:v>
                </c:pt>
                <c:pt idx="46">
                  <c:v>5.3181158841760445E-2</c:v>
                </c:pt>
                <c:pt idx="47">
                  <c:v>5.320189660432828E-2</c:v>
                </c:pt>
                <c:pt idx="48">
                  <c:v>5.3222633912685891E-2</c:v>
                </c:pt>
                <c:pt idx="49">
                  <c:v>5.3243370766843268E-2</c:v>
                </c:pt>
                <c:pt idx="50">
                  <c:v>5.3264107166810293E-2</c:v>
                </c:pt>
                <c:pt idx="51">
                  <c:v>5.3284843112596958E-2</c:v>
                </c:pt>
                <c:pt idx="52">
                  <c:v>5.3305578604213255E-2</c:v>
                </c:pt>
                <c:pt idx="53">
                  <c:v>5.3326313641668954E-2</c:v>
                </c:pt>
                <c:pt idx="54">
                  <c:v>5.3347048224974158E-2</c:v>
                </c:pt>
                <c:pt idx="55">
                  <c:v>5.336778235413886E-2</c:v>
                </c:pt>
                <c:pt idx="56">
                  <c:v>5.3388516029172828E-2</c:v>
                </c:pt>
                <c:pt idx="57">
                  <c:v>5.3409249250086055E-2</c:v>
                </c:pt>
                <c:pt idx="58">
                  <c:v>5.3429982016888644E-2</c:v>
                </c:pt>
                <c:pt idx="59">
                  <c:v>5.3450714329590365E-2</c:v>
                </c:pt>
                <c:pt idx="60">
                  <c:v>5.347144618820121E-2</c:v>
                </c:pt>
                <c:pt idx="61">
                  <c:v>5.3492177592731283E-2</c:v>
                </c:pt>
                <c:pt idx="62">
                  <c:v>5.3512908543190241E-2</c:v>
                </c:pt>
                <c:pt idx="63">
                  <c:v>5.3533639039588299E-2</c:v>
                </c:pt>
                <c:pt idx="64">
                  <c:v>5.3554369081935116E-2</c:v>
                </c:pt>
                <c:pt idx="65">
                  <c:v>5.3575098670240906E-2</c:v>
                </c:pt>
                <c:pt idx="66">
                  <c:v>5.359582780451555E-2</c:v>
                </c:pt>
                <c:pt idx="67">
                  <c:v>5.3616556484768929E-2</c:v>
                </c:pt>
                <c:pt idx="68">
                  <c:v>5.3637284711010924E-2</c:v>
                </c:pt>
                <c:pt idx="69">
                  <c:v>5.3658012483251638E-2</c:v>
                </c:pt>
                <c:pt idx="70">
                  <c:v>5.3678739801500952E-2</c:v>
                </c:pt>
                <c:pt idx="71">
                  <c:v>5.3699466665768858E-2</c:v>
                </c:pt>
                <c:pt idx="72">
                  <c:v>5.3720193076065126E-2</c:v>
                </c:pt>
                <c:pt idx="73">
                  <c:v>5.3740919032399859E-2</c:v>
                </c:pt>
                <c:pt idx="74">
                  <c:v>5.3761644534782937E-2</c:v>
                </c:pt>
                <c:pt idx="75">
                  <c:v>5.3782369583224354E-2</c:v>
                </c:pt>
                <c:pt idx="76">
                  <c:v>5.3803094177734101E-2</c:v>
                </c:pt>
                <c:pt idx="77">
                  <c:v>5.3823818318321948E-2</c:v>
                </c:pt>
                <c:pt idx="78">
                  <c:v>5.3844542004997886E-2</c:v>
                </c:pt>
                <c:pt idx="79">
                  <c:v>5.386526523777202E-2</c:v>
                </c:pt>
                <c:pt idx="80">
                  <c:v>5.3885988016654007E-2</c:v>
                </c:pt>
                <c:pt idx="81">
                  <c:v>5.3906710341654063E-2</c:v>
                </c:pt>
                <c:pt idx="82">
                  <c:v>5.3927432212782067E-2</c:v>
                </c:pt>
                <c:pt idx="83">
                  <c:v>5.394815363004779E-2</c:v>
                </c:pt>
                <c:pt idx="84">
                  <c:v>5.3968874593461336E-2</c:v>
                </c:pt>
                <c:pt idx="85">
                  <c:v>5.3989595103032695E-2</c:v>
                </c:pt>
                <c:pt idx="86">
                  <c:v>5.4010315158771638E-2</c:v>
                </c:pt>
                <c:pt idx="87">
                  <c:v>5.4031034760688157E-2</c:v>
                </c:pt>
                <c:pt idx="88">
                  <c:v>5.4051753908792244E-2</c:v>
                </c:pt>
                <c:pt idx="89">
                  <c:v>5.407247260309378E-2</c:v>
                </c:pt>
                <c:pt idx="90">
                  <c:v>5.4093190843602756E-2</c:v>
                </c:pt>
                <c:pt idx="91">
                  <c:v>5.4113908630329166E-2</c:v>
                </c:pt>
                <c:pt idx="92">
                  <c:v>5.4134625963282779E-2</c:v>
                </c:pt>
                <c:pt idx="93">
                  <c:v>5.4155342842473697E-2</c:v>
                </c:pt>
                <c:pt idx="94">
                  <c:v>5.4176059267911802E-2</c:v>
                </c:pt>
                <c:pt idx="95">
                  <c:v>5.4196775239606976E-2</c:v>
                </c:pt>
                <c:pt idx="96">
                  <c:v>5.4217490757569209E-2</c:v>
                </c:pt>
                <c:pt idx="97">
                  <c:v>5.4238205821808494E-2</c:v>
                </c:pt>
                <c:pt idx="98">
                  <c:v>5.4258920432334601E-2</c:v>
                </c:pt>
                <c:pt idx="99">
                  <c:v>5.4279634589157633E-2</c:v>
                </c:pt>
                <c:pt idx="100">
                  <c:v>5.430034829228747E-2</c:v>
                </c:pt>
                <c:pt idx="101">
                  <c:v>5.4321061541733995E-2</c:v>
                </c:pt>
                <c:pt idx="102">
                  <c:v>5.4341774337507309E-2</c:v>
                </c:pt>
                <c:pt idx="103">
                  <c:v>5.4362486679617184E-2</c:v>
                </c:pt>
                <c:pt idx="104">
                  <c:v>5.438319856807361E-2</c:v>
                </c:pt>
                <c:pt idx="105">
                  <c:v>5.4403910002886469E-2</c:v>
                </c:pt>
                <c:pt idx="106">
                  <c:v>5.4424620984065863E-2</c:v>
                </c:pt>
                <c:pt idx="107">
                  <c:v>5.4445331511621453E-2</c:v>
                </c:pt>
                <c:pt idx="108">
                  <c:v>5.4466041585563452E-2</c:v>
                </c:pt>
                <c:pt idx="109">
                  <c:v>5.448675120590174E-2</c:v>
                </c:pt>
                <c:pt idx="110">
                  <c:v>5.4507460372646088E-2</c:v>
                </c:pt>
                <c:pt idx="111">
                  <c:v>5.4528169085806599E-2</c:v>
                </c:pt>
                <c:pt idx="112">
                  <c:v>5.4548877345393043E-2</c:v>
                </c:pt>
                <c:pt idx="113">
                  <c:v>5.4569585151415523E-2</c:v>
                </c:pt>
                <c:pt idx="114">
                  <c:v>5.4590292503883919E-2</c:v>
                </c:pt>
                <c:pt idx="115">
                  <c:v>5.4610999402808114E-2</c:v>
                </c:pt>
                <c:pt idx="116">
                  <c:v>5.4631705848198098E-2</c:v>
                </c:pt>
                <c:pt idx="117">
                  <c:v>5.4652411840063864E-2</c:v>
                </c:pt>
                <c:pt idx="118">
                  <c:v>5.4673117378415181E-2</c:v>
                </c:pt>
                <c:pt idx="119">
                  <c:v>5.4693822463262043E-2</c:v>
                </c:pt>
                <c:pt idx="120">
                  <c:v>5.471452709461444E-2</c:v>
                </c:pt>
                <c:pt idx="121">
                  <c:v>5.4735231272482254E-2</c:v>
                </c:pt>
                <c:pt idx="122">
                  <c:v>5.4755934996875477E-2</c:v>
                </c:pt>
                <c:pt idx="123">
                  <c:v>5.477663826780399E-2</c:v>
                </c:pt>
                <c:pt idx="124">
                  <c:v>5.4797341085277784E-2</c:v>
                </c:pt>
                <c:pt idx="125">
                  <c:v>5.481804344930663E-2</c:v>
                </c:pt>
                <c:pt idx="126">
                  <c:v>5.4838745359900742E-2</c:v>
                </c:pt>
                <c:pt idx="127">
                  <c:v>5.4859446817069779E-2</c:v>
                </c:pt>
                <c:pt idx="128">
                  <c:v>5.4880147820823733E-2</c:v>
                </c:pt>
                <c:pt idx="129">
                  <c:v>5.4900848371172595E-2</c:v>
                </c:pt>
                <c:pt idx="130">
                  <c:v>5.4921548468126358E-2</c:v>
                </c:pt>
                <c:pt idx="131">
                  <c:v>5.4942248111694791E-2</c:v>
                </c:pt>
                <c:pt idx="132">
                  <c:v>5.4962947301887888E-2</c:v>
                </c:pt>
                <c:pt idx="133">
                  <c:v>5.4983646038715639E-2</c:v>
                </c:pt>
                <c:pt idx="134">
                  <c:v>5.5004344322187926E-2</c:v>
                </c:pt>
                <c:pt idx="135">
                  <c:v>5.502504215231474E-2</c:v>
                </c:pt>
                <c:pt idx="136">
                  <c:v>5.5045739529105853E-2</c:v>
                </c:pt>
                <c:pt idx="137">
                  <c:v>5.5066436452571366E-2</c:v>
                </c:pt>
                <c:pt idx="138">
                  <c:v>5.508713292272116E-2</c:v>
                </c:pt>
                <c:pt idx="139">
                  <c:v>5.5107828939565007E-2</c:v>
                </c:pt>
                <c:pt idx="140">
                  <c:v>5.5128524503113119E-2</c:v>
                </c:pt>
                <c:pt idx="141">
                  <c:v>5.5149219613375156E-2</c:v>
                </c:pt>
                <c:pt idx="142">
                  <c:v>5.5169914270361331E-2</c:v>
                </c:pt>
                <c:pt idx="143">
                  <c:v>5.5190608474081193E-2</c:v>
                </c:pt>
                <c:pt idx="144">
                  <c:v>5.5211302224545067E-2</c:v>
                </c:pt>
                <c:pt idx="145">
                  <c:v>5.5231995521762611E-2</c:v>
                </c:pt>
                <c:pt idx="146">
                  <c:v>5.5252688365743818E-2</c:v>
                </c:pt>
                <c:pt idx="147">
                  <c:v>5.527338075649868E-2</c:v>
                </c:pt>
                <c:pt idx="148">
                  <c:v>5.5294072694037077E-2</c:v>
                </c:pt>
                <c:pt idx="149">
                  <c:v>5.5314764178368891E-2</c:v>
                </c:pt>
                <c:pt idx="150">
                  <c:v>5.5335455209504225E-2</c:v>
                </c:pt>
                <c:pt idx="151">
                  <c:v>5.5356145787452737E-2</c:v>
                </c:pt>
                <c:pt idx="152">
                  <c:v>5.5376835912224531E-2</c:v>
                </c:pt>
                <c:pt idx="153">
                  <c:v>5.5397525583829488E-2</c:v>
                </c:pt>
                <c:pt idx="154">
                  <c:v>5.5418214802277599E-2</c:v>
                </c:pt>
                <c:pt idx="155">
                  <c:v>5.5438903567578635E-2</c:v>
                </c:pt>
                <c:pt idx="156">
                  <c:v>5.5459591879742698E-2</c:v>
                </c:pt>
                <c:pt idx="157">
                  <c:v>5.5480279738779559E-2</c:v>
                </c:pt>
                <c:pt idx="158">
                  <c:v>5.5500967144699209E-2</c:v>
                </c:pt>
                <c:pt idx="159">
                  <c:v>5.5521654097511641E-2</c:v>
                </c:pt>
                <c:pt idx="160">
                  <c:v>5.5542340597226625E-2</c:v>
                </c:pt>
                <c:pt idx="161">
                  <c:v>5.5563026643854263E-2</c:v>
                </c:pt>
                <c:pt idx="162">
                  <c:v>5.5583712237404326E-2</c:v>
                </c:pt>
                <c:pt idx="163">
                  <c:v>5.5604397377886916E-2</c:v>
                </c:pt>
                <c:pt idx="164">
                  <c:v>5.5625082065311693E-2</c:v>
                </c:pt>
                <c:pt idx="165">
                  <c:v>5.564576629968887E-2</c:v>
                </c:pt>
                <c:pt idx="166">
                  <c:v>5.5666450081028107E-2</c:v>
                </c:pt>
                <c:pt idx="167">
                  <c:v>5.5687133409339507E-2</c:v>
                </c:pt>
                <c:pt idx="168">
                  <c:v>5.5707816284632949E-2</c:v>
                </c:pt>
                <c:pt idx="169">
                  <c:v>5.5728498706918317E-2</c:v>
                </c:pt>
                <c:pt idx="170">
                  <c:v>5.5749180676205601E-2</c:v>
                </c:pt>
                <c:pt idx="171">
                  <c:v>5.5769862192504571E-2</c:v>
                </c:pt>
                <c:pt idx="172">
                  <c:v>5.5790543255825331E-2</c:v>
                </c:pt>
                <c:pt idx="173">
                  <c:v>5.5811223866177762E-2</c:v>
                </c:pt>
                <c:pt idx="174">
                  <c:v>5.5831904023571632E-2</c:v>
                </c:pt>
                <c:pt idx="175">
                  <c:v>5.5852583728017047E-2</c:v>
                </c:pt>
                <c:pt idx="176">
                  <c:v>5.5873262979523886E-2</c:v>
                </c:pt>
                <c:pt idx="177">
                  <c:v>5.589394177810203E-2</c:v>
                </c:pt>
                <c:pt idx="178">
                  <c:v>5.5914620123761472E-2</c:v>
                </c:pt>
                <c:pt idx="179">
                  <c:v>5.5935298016511981E-2</c:v>
                </c:pt>
                <c:pt idx="180">
                  <c:v>5.595597545636366E-2</c:v>
                </c:pt>
                <c:pt idx="181">
                  <c:v>5.597665244332628E-2</c:v>
                </c:pt>
                <c:pt idx="182">
                  <c:v>5.5997328977409833E-2</c:v>
                </c:pt>
                <c:pt idx="183">
                  <c:v>5.6018005058624198E-2</c:v>
                </c:pt>
                <c:pt idx="184">
                  <c:v>5.603868068697937E-2</c:v>
                </c:pt>
                <c:pt idx="185">
                  <c:v>5.6059355862485116E-2</c:v>
                </c:pt>
                <c:pt idx="186">
                  <c:v>5.6080030585151541E-2</c:v>
                </c:pt>
                <c:pt idx="187">
                  <c:v>5.6100704854988526E-2</c:v>
                </c:pt>
                <c:pt idx="188">
                  <c:v>5.6121378672005839E-2</c:v>
                </c:pt>
                <c:pt idx="189">
                  <c:v>5.6142052036213586E-2</c:v>
                </c:pt>
                <c:pt idx="190">
                  <c:v>5.6162724947621534E-2</c:v>
                </c:pt>
                <c:pt idx="191">
                  <c:v>5.6183397406239677E-2</c:v>
                </c:pt>
                <c:pt idx="192">
                  <c:v>5.6204069412077895E-2</c:v>
                </c:pt>
                <c:pt idx="193">
                  <c:v>5.622474096514618E-2</c:v>
                </c:pt>
                <c:pt idx="194">
                  <c:v>5.6245412065454414E-2</c:v>
                </c:pt>
                <c:pt idx="195">
                  <c:v>5.6266082713012477E-2</c:v>
                </c:pt>
                <c:pt idx="196">
                  <c:v>5.6286752907830362E-2</c:v>
                </c:pt>
                <c:pt idx="197">
                  <c:v>5.6307422649917838E-2</c:v>
                </c:pt>
                <c:pt idx="198">
                  <c:v>5.6328091939285008E-2</c:v>
                </c:pt>
                <c:pt idx="199">
                  <c:v>5.6348760775941642E-2</c:v>
                </c:pt>
                <c:pt idx="200">
                  <c:v>5.6369429159897733E-2</c:v>
                </c:pt>
                <c:pt idx="201">
                  <c:v>5.639009709116316E-2</c:v>
                </c:pt>
                <c:pt idx="202">
                  <c:v>5.6410764569747807E-2</c:v>
                </c:pt>
                <c:pt idx="203">
                  <c:v>5.6431431595661663E-2</c:v>
                </c:pt>
                <c:pt idx="204">
                  <c:v>5.6452098168914611E-2</c:v>
                </c:pt>
                <c:pt idx="205">
                  <c:v>5.647276428951653E-2</c:v>
                </c:pt>
                <c:pt idx="206">
                  <c:v>5.6493429957477415E-2</c:v>
                </c:pt>
                <c:pt idx="207">
                  <c:v>5.6514095172807144E-2</c:v>
                </c:pt>
                <c:pt idx="208">
                  <c:v>5.6534759935515599E-2</c:v>
                </c:pt>
                <c:pt idx="209">
                  <c:v>5.6555424245612773E-2</c:v>
                </c:pt>
                <c:pt idx="210">
                  <c:v>5.6576088103108435E-2</c:v>
                </c:pt>
                <c:pt idx="211">
                  <c:v>5.6596751508012577E-2</c:v>
                </c:pt>
                <c:pt idx="212">
                  <c:v>5.6617414460335191E-2</c:v>
                </c:pt>
                <c:pt idx="213">
                  <c:v>5.6638076960086048E-2</c:v>
                </c:pt>
                <c:pt idx="214">
                  <c:v>5.6658739007275249E-2</c:v>
                </c:pt>
                <c:pt idx="215">
                  <c:v>5.6679400601912455E-2</c:v>
                </c:pt>
                <c:pt idx="216">
                  <c:v>5.6700061744007768E-2</c:v>
                </c:pt>
                <c:pt idx="217">
                  <c:v>5.6720722433571069E-2</c:v>
                </c:pt>
                <c:pt idx="218">
                  <c:v>5.6741382670612239E-2</c:v>
                </c:pt>
                <c:pt idx="219">
                  <c:v>5.676204245514116E-2</c:v>
                </c:pt>
                <c:pt idx="220">
                  <c:v>5.6782701787167822E-2</c:v>
                </c:pt>
                <c:pt idx="221">
                  <c:v>5.6803360666702107E-2</c:v>
                </c:pt>
                <c:pt idx="222">
                  <c:v>5.6824019093753786E-2</c:v>
                </c:pt>
                <c:pt idx="223">
                  <c:v>5.6844677068333072E-2</c:v>
                </c:pt>
                <c:pt idx="224">
                  <c:v>5.6865334590449512E-2</c:v>
                </c:pt>
                <c:pt idx="225">
                  <c:v>5.6885991660113322E-2</c:v>
                </c:pt>
                <c:pt idx="226">
                  <c:v>5.6906648277334271E-2</c:v>
                </c:pt>
                <c:pt idx="227">
                  <c:v>5.692730444212224E-2</c:v>
                </c:pt>
                <c:pt idx="228">
                  <c:v>5.6947960154487332E-2</c:v>
                </c:pt>
                <c:pt idx="229">
                  <c:v>5.6968615414439094E-2</c:v>
                </c:pt>
                <c:pt idx="230">
                  <c:v>5.6989270221987853E-2</c:v>
                </c:pt>
                <c:pt idx="231">
                  <c:v>5.7009924577143156E-2</c:v>
                </c:pt>
                <c:pt idx="232">
                  <c:v>5.7030578479915217E-2</c:v>
                </c:pt>
                <c:pt idx="233">
                  <c:v>5.7051231930313695E-2</c:v>
                </c:pt>
                <c:pt idx="234">
                  <c:v>5.7071884928348693E-2</c:v>
                </c:pt>
                <c:pt idx="235">
                  <c:v>5.7092537474029981E-2</c:v>
                </c:pt>
                <c:pt idx="236">
                  <c:v>5.7113189567367439E-2</c:v>
                </c:pt>
                <c:pt idx="237">
                  <c:v>5.7133841208371172E-2</c:v>
                </c:pt>
                <c:pt idx="238">
                  <c:v>5.7154492397050949E-2</c:v>
                </c:pt>
                <c:pt idx="239">
                  <c:v>5.717514313341665E-2</c:v>
                </c:pt>
                <c:pt idx="240">
                  <c:v>5.7195793417478158E-2</c:v>
                </c:pt>
                <c:pt idx="241">
                  <c:v>5.7216443249245574E-2</c:v>
                </c:pt>
                <c:pt idx="242">
                  <c:v>5.723709262872867E-2</c:v>
                </c:pt>
                <c:pt idx="243">
                  <c:v>5.7257741555937325E-2</c:v>
                </c:pt>
                <c:pt idx="244">
                  <c:v>5.7278390030881421E-2</c:v>
                </c:pt>
                <c:pt idx="245">
                  <c:v>5.729903805357095E-2</c:v>
                </c:pt>
                <c:pt idx="246">
                  <c:v>5.7319685624015904E-2</c:v>
                </c:pt>
                <c:pt idx="247">
                  <c:v>5.7340332742225941E-2</c:v>
                </c:pt>
                <c:pt idx="248">
                  <c:v>5.7360979408211166E-2</c:v>
                </c:pt>
                <c:pt idx="249">
                  <c:v>5.7381625621981347E-2</c:v>
                </c:pt>
                <c:pt idx="250">
                  <c:v>5.7402271383546588E-2</c:v>
                </c:pt>
                <c:pt idx="251">
                  <c:v>5.7422916692916548E-2</c:v>
                </c:pt>
                <c:pt idx="252">
                  <c:v>5.744356155010133E-2</c:v>
                </c:pt>
                <c:pt idx="253">
                  <c:v>5.7464205955110703E-2</c:v>
                </c:pt>
                <c:pt idx="254">
                  <c:v>5.7484849907954549E-2</c:v>
                </c:pt>
                <c:pt idx="255">
                  <c:v>5.7505493408642971E-2</c:v>
                </c:pt>
                <c:pt idx="256">
                  <c:v>5.7526136457185739E-2</c:v>
                </c:pt>
                <c:pt idx="257">
                  <c:v>5.7546779053592734E-2</c:v>
                </c:pt>
                <c:pt idx="258">
                  <c:v>5.7567421197873836E-2</c:v>
                </c:pt>
                <c:pt idx="259">
                  <c:v>5.7588062890039149E-2</c:v>
                </c:pt>
                <c:pt idx="260">
                  <c:v>5.7608704130098332E-2</c:v>
                </c:pt>
                <c:pt idx="261">
                  <c:v>5.7629344918061376E-2</c:v>
                </c:pt>
                <c:pt idx="262">
                  <c:v>5.7649985253938163E-2</c:v>
                </c:pt>
                <c:pt idx="263">
                  <c:v>5.7670625137738685E-2</c:v>
                </c:pt>
                <c:pt idx="264">
                  <c:v>5.7691264569472711E-2</c:v>
                </c:pt>
                <c:pt idx="265">
                  <c:v>5.7711903549150234E-2</c:v>
                </c:pt>
                <c:pt idx="266">
                  <c:v>5.7732542076781246E-2</c:v>
                </c:pt>
                <c:pt idx="267">
                  <c:v>5.7753180152375405E-2</c:v>
                </c:pt>
                <c:pt idx="268">
                  <c:v>5.7773817775942815E-2</c:v>
                </c:pt>
                <c:pt idx="269">
                  <c:v>5.7794454947493246E-2</c:v>
                </c:pt>
                <c:pt idx="270">
                  <c:v>5.7815091667036689E-2</c:v>
                </c:pt>
                <c:pt idx="271">
                  <c:v>5.7835727934583026E-2</c:v>
                </c:pt>
                <c:pt idx="272">
                  <c:v>5.7856363750142137E-2</c:v>
                </c:pt>
                <c:pt idx="273">
                  <c:v>5.7876999113723904E-2</c:v>
                </c:pt>
                <c:pt idx="274">
                  <c:v>5.7897634025338207E-2</c:v>
                </c:pt>
                <c:pt idx="275">
                  <c:v>5.7918268484995039E-2</c:v>
                </c:pt>
                <c:pt idx="276">
                  <c:v>5.7938902492704281E-2</c:v>
                </c:pt>
                <c:pt idx="277">
                  <c:v>5.7959536048475702E-2</c:v>
                </c:pt>
                <c:pt idx="278">
                  <c:v>5.7980169152319405E-2</c:v>
                </c:pt>
                <c:pt idx="279">
                  <c:v>5.8000801804245161E-2</c:v>
                </c:pt>
                <c:pt idx="280">
                  <c:v>5.8021434004262851E-2</c:v>
                </c:pt>
                <c:pt idx="281">
                  <c:v>5.8042065752382355E-2</c:v>
                </c:pt>
                <c:pt idx="282">
                  <c:v>5.8062697048613776E-2</c:v>
                </c:pt>
                <c:pt idx="283">
                  <c:v>5.8083327892966774E-2</c:v>
                </c:pt>
                <c:pt idx="284">
                  <c:v>5.8103958285451229E-2</c:v>
                </c:pt>
                <c:pt idx="285">
                  <c:v>5.8124588226077356E-2</c:v>
                </c:pt>
                <c:pt idx="286">
                  <c:v>5.8145217714854702E-2</c:v>
                </c:pt>
                <c:pt idx="287">
                  <c:v>5.816584675179326E-2</c:v>
                </c:pt>
                <c:pt idx="288">
                  <c:v>5.8186475336903021E-2</c:v>
                </c:pt>
                <c:pt idx="289">
                  <c:v>5.8207103470193866E-2</c:v>
                </c:pt>
                <c:pt idx="290">
                  <c:v>5.8227731151675677E-2</c:v>
                </c:pt>
                <c:pt idx="291">
                  <c:v>5.8248358381358223E-2</c:v>
                </c:pt>
                <c:pt idx="292">
                  <c:v>5.8268985159251607E-2</c:v>
                </c:pt>
                <c:pt idx="293">
                  <c:v>5.8289611485365489E-2</c:v>
                </c:pt>
                <c:pt idx="294">
                  <c:v>5.8310237359709971E-2</c:v>
                </c:pt>
                <c:pt idx="295">
                  <c:v>5.8330862782294823E-2</c:v>
                </c:pt>
                <c:pt idx="296">
                  <c:v>5.8351487753130038E-2</c:v>
                </c:pt>
                <c:pt idx="297">
                  <c:v>5.8372112272225496E-2</c:v>
                </c:pt>
                <c:pt idx="298">
                  <c:v>5.8392736339590967E-2</c:v>
                </c:pt>
                <c:pt idx="299">
                  <c:v>5.8413359955236444E-2</c:v>
                </c:pt>
                <c:pt idx="300">
                  <c:v>5.8433983119171917E-2</c:v>
                </c:pt>
                <c:pt idx="301">
                  <c:v>5.8454605831407047E-2</c:v>
                </c:pt>
                <c:pt idx="302">
                  <c:v>5.8475228091951936E-2</c:v>
                </c:pt>
                <c:pt idx="303">
                  <c:v>5.8495849900816355E-2</c:v>
                </c:pt>
                <c:pt idx="304">
                  <c:v>5.8516471258010183E-2</c:v>
                </c:pt>
                <c:pt idx="305">
                  <c:v>5.8537092163543414E-2</c:v>
                </c:pt>
                <c:pt idx="306">
                  <c:v>5.8557712617425928E-2</c:v>
                </c:pt>
                <c:pt idx="307">
                  <c:v>5.8578332619667495E-2</c:v>
                </c:pt>
                <c:pt idx="308">
                  <c:v>5.8598952170278107E-2</c:v>
                </c:pt>
                <c:pt idx="309">
                  <c:v>5.8619571269267756E-2</c:v>
                </c:pt>
                <c:pt idx="310">
                  <c:v>5.8640189916646102E-2</c:v>
                </c:pt>
                <c:pt idx="311">
                  <c:v>5.8660808112423246E-2</c:v>
                </c:pt>
                <c:pt idx="312">
                  <c:v>5.8681425856608849E-2</c:v>
                </c:pt>
                <c:pt idx="313">
                  <c:v>5.8702043149213123E-2</c:v>
                </c:pt>
                <c:pt idx="314">
                  <c:v>5.8722659990245618E-2</c:v>
                </c:pt>
                <c:pt idx="315">
                  <c:v>5.8743276379716436E-2</c:v>
                </c:pt>
                <c:pt idx="316">
                  <c:v>5.8763892317635458E-2</c:v>
                </c:pt>
                <c:pt idx="317">
                  <c:v>5.8784507804012454E-2</c:v>
                </c:pt>
                <c:pt idx="318">
                  <c:v>5.8805122838857415E-2</c:v>
                </c:pt>
                <c:pt idx="319">
                  <c:v>5.8825737422180224E-2</c:v>
                </c:pt>
                <c:pt idx="320">
                  <c:v>5.8846351553990761E-2</c:v>
                </c:pt>
                <c:pt idx="321">
                  <c:v>5.8866965234298907E-2</c:v>
                </c:pt>
                <c:pt idx="322">
                  <c:v>5.8887578463114543E-2</c:v>
                </c:pt>
                <c:pt idx="323">
                  <c:v>5.8908191240447549E-2</c:v>
                </c:pt>
                <c:pt idx="324">
                  <c:v>5.8928803566307808E-2</c:v>
                </c:pt>
                <c:pt idx="325">
                  <c:v>5.8949415440705311E-2</c:v>
                </c:pt>
                <c:pt idx="326">
                  <c:v>5.8970026863649827E-2</c:v>
                </c:pt>
                <c:pt idx="327">
                  <c:v>5.8990637835151238E-2</c:v>
                </c:pt>
                <c:pt idx="328">
                  <c:v>5.9011248355219537E-2</c:v>
                </c:pt>
                <c:pt idx="329">
                  <c:v>5.9031858423864492E-2</c:v>
                </c:pt>
                <c:pt idx="330">
                  <c:v>5.9052468041096096E-2</c:v>
                </c:pt>
                <c:pt idx="331">
                  <c:v>5.9073077206924229E-2</c:v>
                </c:pt>
                <c:pt idx="332">
                  <c:v>5.9093685921358663E-2</c:v>
                </c:pt>
                <c:pt idx="333">
                  <c:v>5.9114294184409388E-2</c:v>
                </c:pt>
                <c:pt idx="334">
                  <c:v>5.9134901996086287E-2</c:v>
                </c:pt>
                <c:pt idx="335">
                  <c:v>5.9155509356399127E-2</c:v>
                </c:pt>
                <c:pt idx="336">
                  <c:v>5.9176116265358014E-2</c:v>
                </c:pt>
                <c:pt idx="337">
                  <c:v>5.9196722722972606E-2</c:v>
                </c:pt>
                <c:pt idx="338">
                  <c:v>5.9217328729253005E-2</c:v>
                </c:pt>
                <c:pt idx="339">
                  <c:v>5.9237934284208871E-2</c:v>
                </c:pt>
                <c:pt idx="340">
                  <c:v>5.9258539387850195E-2</c:v>
                </c:pt>
                <c:pt idx="341">
                  <c:v>5.9279144040186971E-2</c:v>
                </c:pt>
                <c:pt idx="342">
                  <c:v>5.9299748241228967E-2</c:v>
                </c:pt>
                <c:pt idx="343">
                  <c:v>5.9320351990985953E-2</c:v>
                </c:pt>
                <c:pt idx="344">
                  <c:v>5.9340955289468034E-2</c:v>
                </c:pt>
                <c:pt idx="345">
                  <c:v>5.9361558136684978E-2</c:v>
                </c:pt>
                <c:pt idx="346">
                  <c:v>5.9382160532646777E-2</c:v>
                </c:pt>
                <c:pt idx="347">
                  <c:v>5.9402762477363091E-2</c:v>
                </c:pt>
                <c:pt idx="348">
                  <c:v>5.9423363970844023E-2</c:v>
                </c:pt>
                <c:pt idx="349">
                  <c:v>5.9443965013099342E-2</c:v>
                </c:pt>
                <c:pt idx="350">
                  <c:v>5.9464565604139041E-2</c:v>
                </c:pt>
                <c:pt idx="351">
                  <c:v>5.948516574397289E-2</c:v>
                </c:pt>
                <c:pt idx="352">
                  <c:v>5.9505765432610769E-2</c:v>
                </c:pt>
                <c:pt idx="353">
                  <c:v>5.952636467006267E-2</c:v>
                </c:pt>
                <c:pt idx="354">
                  <c:v>5.9546963456338253E-2</c:v>
                </c:pt>
                <c:pt idx="355">
                  <c:v>5.9567561791447732E-2</c:v>
                </c:pt>
                <c:pt idx="356">
                  <c:v>5.9588159675400654E-2</c:v>
                </c:pt>
                <c:pt idx="357">
                  <c:v>5.9608757108207122E-2</c:v>
                </c:pt>
                <c:pt idx="358">
                  <c:v>5.9629354089877018E-2</c:v>
                </c:pt>
                <c:pt idx="359">
                  <c:v>5.9649950620420111E-2</c:v>
                </c:pt>
                <c:pt idx="360">
                  <c:v>5.9670546699846283E-2</c:v>
                </c:pt>
                <c:pt idx="361">
                  <c:v>5.9691142328165525E-2</c:v>
                </c:pt>
                <c:pt idx="362">
                  <c:v>5.9711737505387608E-2</c:v>
                </c:pt>
                <c:pt idx="363">
                  <c:v>5.9732332231522411E-2</c:v>
                </c:pt>
                <c:pt idx="364">
                  <c:v>5.9752926506579929E-2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9.064795407424614E-2</c:v>
                </c:pt>
                <c:pt idx="1">
                  <c:v>9.0721126957129666E-2</c:v>
                </c:pt>
                <c:pt idx="2">
                  <c:v>9.0794392858329506E-2</c:v>
                </c:pt>
                <c:pt idx="3">
                  <c:v>9.0867731186343156E-2</c:v>
                </c:pt>
                <c:pt idx="4">
                  <c:v>9.0941124021835643E-2</c:v>
                </c:pt>
                <c:pt idx="5">
                  <c:v>9.1014556040363792E-2</c:v>
                </c:pt>
                <c:pt idx="6">
                  <c:v>9.1088014414566598E-2</c:v>
                </c:pt>
                <c:pt idx="7">
                  <c:v>9.1161488697448931E-2</c:v>
                </c:pt>
                <c:pt idx="8">
                  <c:v>9.1234970688527456E-2</c:v>
                </c:pt>
                <c:pt idx="9">
                  <c:v>9.130845428472964E-2</c:v>
                </c:pt>
                <c:pt idx="10">
                  <c:v>9.1381935318039773E-2</c:v>
                </c:pt>
                <c:pt idx="11">
                  <c:v>9.1455411381965807E-2</c:v>
                </c:pt>
                <c:pt idx="12">
                  <c:v>9.1528881648962473E-2</c:v>
                </c:pt>
                <c:pt idx="13">
                  <c:v>9.1602346680983243E-2</c:v>
                </c:pt>
                <c:pt idx="14">
                  <c:v>9.1675808235350736E-2</c:v>
                </c:pt>
                <c:pt idx="15">
                  <c:v>9.1749269068130287E-2</c:v>
                </c:pt>
                <c:pt idx="16">
                  <c:v>9.1822732737165499E-2</c:v>
                </c:pt>
                <c:pt idx="17">
                  <c:v>9.1896203406886645E-2</c:v>
                </c:pt>
                <c:pt idx="18">
                  <c:v>9.196968565693836E-2</c:v>
                </c:pt>
                <c:pt idx="19">
                  <c:v>9.2043184296585007E-2</c:v>
                </c:pt>
                <c:pt idx="20">
                  <c:v>9.2116704186751025E-2</c:v>
                </c:pt>
                <c:pt idx="21">
                  <c:v>9.2190250071432528E-2</c:v>
                </c:pt>
                <c:pt idx="22">
                  <c:v>9.2263826420082073E-2</c:v>
                </c:pt>
                <c:pt idx="23">
                  <c:v>9.2337437282421081E-2</c:v>
                </c:pt>
                <c:pt idx="24">
                  <c:v>9.2411086156973105E-2</c:v>
                </c:pt>
                <c:pt idx="25">
                  <c:v>9.2484775874443301E-2</c:v>
                </c:pt>
                <c:pt idx="26">
                  <c:v>9.2558508496889957E-2</c:v>
                </c:pt>
                <c:pt idx="27">
                  <c:v>9.2632285233451364E-2</c:v>
                </c:pt>
                <c:pt idx="28">
                  <c:v>9.2706106373202382E-2</c:v>
                </c:pt>
                <c:pt idx="29">
                  <c:v>9.2779971235525921E-2</c:v>
                </c:pt>
                <c:pt idx="30">
                  <c:v>9.2853878138192791E-2</c:v>
                </c:pt>
                <c:pt idx="31">
                  <c:v>9.2927824383156804E-2</c:v>
                </c:pt>
                <c:pt idx="32">
                  <c:v>9.3001806259884648E-2</c:v>
                </c:pt>
                <c:pt idx="33">
                  <c:v>9.3075819065863277E-2</c:v>
                </c:pt>
                <c:pt idx="34">
                  <c:v>9.3149857143753192E-2</c:v>
                </c:pt>
                <c:pt idx="35">
                  <c:v>9.3223913934494348E-2</c:v>
                </c:pt>
                <c:pt idx="36">
                  <c:v>9.3297982045517827E-2</c:v>
                </c:pt>
                <c:pt idx="37">
                  <c:v>9.3372053333075744E-2</c:v>
                </c:pt>
                <c:pt idx="38">
                  <c:v>9.3446118997574004E-2</c:v>
                </c:pt>
                <c:pt idx="39">
                  <c:v>9.3520169690678986E-2</c:v>
                </c:pt>
                <c:pt idx="40">
                  <c:v>9.3594195632870247E-2</c:v>
                </c:pt>
                <c:pt idx="41">
                  <c:v>9.3668186740029608E-2</c:v>
                </c:pt>
                <c:pt idx="42">
                  <c:v>9.3742132757589261E-2</c:v>
                </c:pt>
                <c:pt idx="43">
                  <c:v>9.3816023400714044E-2</c:v>
                </c:pt>
                <c:pt idx="44">
                  <c:v>9.3889848498958331E-2</c:v>
                </c:pt>
                <c:pt idx="45">
                  <c:v>9.3963598143825225E-2</c:v>
                </c:pt>
                <c:pt idx="46">
                  <c:v>9.4037262837654303E-2</c:v>
                </c:pt>
                <c:pt idx="47">
                  <c:v>9.4110833642284841E-2</c:v>
                </c:pt>
                <c:pt idx="48">
                  <c:v>9.4184302325973496E-2</c:v>
                </c:pt>
                <c:pt idx="49">
                  <c:v>9.4257661507095122E-2</c:v>
                </c:pt>
                <c:pt idx="50">
                  <c:v>9.4330904793219511E-2</c:v>
                </c:pt>
                <c:pt idx="51">
                  <c:v>9.4404026914232941E-2</c:v>
                </c:pt>
                <c:pt idx="52">
                  <c:v>9.4477023848263605E-2</c:v>
                </c:pt>
                <c:pt idx="53">
                  <c:v>9.4549892939269617E-2</c:v>
                </c:pt>
                <c:pt idx="54">
                  <c:v>9.4622633005258638E-2</c:v>
                </c:pt>
                <c:pt idx="55">
                  <c:v>9.4695244436226317E-2</c:v>
                </c:pt>
                <c:pt idx="56">
                  <c:v>9.47677292810261E-2</c:v>
                </c:pt>
                <c:pt idx="57">
                  <c:v>9.484009132251274E-2</c:v>
                </c:pt>
                <c:pt idx="58">
                  <c:v>9.4912336140435719E-2</c:v>
                </c:pt>
                <c:pt idx="59">
                  <c:v>9.4984471161694992E-2</c:v>
                </c:pt>
                <c:pt idx="60">
                  <c:v>9.5056505697707697E-2</c:v>
                </c:pt>
                <c:pt idx="61">
                  <c:v>9.5128450968768652E-2</c:v>
                </c:pt>
                <c:pt idx="62">
                  <c:v>9.5200320115421622E-2</c:v>
                </c:pt>
                <c:pt idx="63">
                  <c:v>9.5272128196984565E-2</c:v>
                </c:pt>
                <c:pt idx="64">
                  <c:v>9.5343892177496489E-2</c:v>
                </c:pt>
                <c:pt idx="65">
                  <c:v>9.5415630899468251E-2</c:v>
                </c:pt>
                <c:pt idx="66">
                  <c:v>9.548736504592728E-2</c:v>
                </c:pt>
                <c:pt idx="67">
                  <c:v>9.5559117091346069E-2</c:v>
                </c:pt>
                <c:pt idx="68">
                  <c:v>9.5630911242130551E-2</c:v>
                </c:pt>
                <c:pt idx="69">
                  <c:v>9.5702773367423874E-2</c:v>
                </c:pt>
                <c:pt idx="70">
                  <c:v>9.5774730921045437E-2</c:v>
                </c:pt>
                <c:pt idx="71">
                  <c:v>9.584681285543932E-2</c:v>
                </c:pt>
                <c:pt idx="72">
                  <c:v>9.5919049528547504E-2</c:v>
                </c:pt>
                <c:pt idx="73">
                  <c:v>9.5991472604550279E-2</c:v>
                </c:pt>
                <c:pt idx="74">
                  <c:v>9.6064114949433774E-2</c:v>
                </c:pt>
                <c:pt idx="75">
                  <c:v>9.6137010522345204E-2</c:v>
                </c:pt>
                <c:pt idx="76">
                  <c:v>9.6210194263688598E-2</c:v>
                </c:pt>
                <c:pt idx="77">
                  <c:v>9.6283701980890896E-2</c:v>
                </c:pt>
                <c:pt idx="78">
                  <c:v>9.6357570232736181E-2</c:v>
                </c:pt>
                <c:pt idx="79">
                  <c:v>9.6431836213121458E-2</c:v>
                </c:pt>
                <c:pt idx="80">
                  <c:v>9.6506537635034029E-2</c:v>
                </c:pt>
                <c:pt idx="81">
                  <c:v>9.6581712615488355E-2</c:v>
                </c:pt>
                <c:pt idx="82">
                  <c:v>9.6657399562088922E-2</c:v>
                </c:pt>
                <c:pt idx="83">
                  <c:v>9.6733637061809638E-2</c:v>
                </c:pt>
                <c:pt idx="84">
                  <c:v>9.6810463772496733E-2</c:v>
                </c:pt>
                <c:pt idx="85">
                  <c:v>9.6887918317515934E-2</c:v>
                </c:pt>
                <c:pt idx="86">
                  <c:v>9.6966039183874517E-2</c:v>
                </c:pt>
                <c:pt idx="87">
                  <c:v>9.7044864624057633E-2</c:v>
                </c:pt>
                <c:pt idx="88">
                  <c:v>9.7124432561727203E-2</c:v>
                </c:pt>
                <c:pt idx="89">
                  <c:v>9.7204780501341043E-2</c:v>
                </c:pt>
                <c:pt idx="90">
                  <c:v>9.7285945441661886E-2</c:v>
                </c:pt>
                <c:pt idx="91">
                  <c:v>9.7367963793042855E-2</c:v>
                </c:pt>
                <c:pt idx="92">
                  <c:v>9.7450871298296313E-2</c:v>
                </c:pt>
                <c:pt idx="93">
                  <c:v>9.7534702956880229E-2</c:v>
                </c:pt>
                <c:pt idx="94">
                  <c:v>9.7619492952071604E-2</c:v>
                </c:pt>
                <c:pt idx="95">
                  <c:v>9.7705274580738216E-2</c:v>
                </c:pt>
                <c:pt idx="96">
                  <c:v>9.7792080185272953E-2</c:v>
                </c:pt>
                <c:pt idx="97">
                  <c:v>9.7879941087215525E-2</c:v>
                </c:pt>
                <c:pt idx="98">
                  <c:v>9.7968887522060261E-2</c:v>
                </c:pt>
                <c:pt idx="99">
                  <c:v>9.8058948574729965E-2</c:v>
                </c:pt>
                <c:pt idx="100">
                  <c:v>9.8150152115191625E-2</c:v>
                </c:pt>
                <c:pt idx="101">
                  <c:v>9.8242524733694964E-2</c:v>
                </c:pt>
                <c:pt idx="102">
                  <c:v>9.8336091675131868E-2</c:v>
                </c:pt>
                <c:pt idx="103">
                  <c:v>9.8430876772043444E-2</c:v>
                </c:pt>
                <c:pt idx="104">
                  <c:v>9.8526902375840969E-2</c:v>
                </c:pt>
                <c:pt idx="105">
                  <c:v>9.8624189285856201E-2</c:v>
                </c:pt>
                <c:pt idx="106">
                  <c:v>9.8722756675897222E-2</c:v>
                </c:pt>
                <c:pt idx="107">
                  <c:v>9.8822622018054362E-2</c:v>
                </c:pt>
                <c:pt idx="108">
                  <c:v>9.8923801003578074E-2</c:v>
                </c:pt>
                <c:pt idx="109">
                  <c:v>9.9026307460735888E-2</c:v>
                </c:pt>
                <c:pt idx="110">
                  <c:v>9.9130153269644861E-2</c:v>
                </c:pt>
                <c:pt idx="111">
                  <c:v>9.9235348274173907E-2</c:v>
                </c:pt>
                <c:pt idx="112">
                  <c:v>9.9341900191107876E-2</c:v>
                </c:pt>
                <c:pt idx="113">
                  <c:v>9.9449814516868573E-2</c:v>
                </c:pt>
                <c:pt idx="114">
                  <c:v>9.9559094432190229E-2</c:v>
                </c:pt>
                <c:pt idx="115">
                  <c:v>9.9669740705249546E-2</c:v>
                </c:pt>
                <c:pt idx="116">
                  <c:v>9.9781751593851317E-2</c:v>
                </c:pt>
                <c:pt idx="117">
                  <c:v>9.9895122747367185E-2</c:v>
                </c:pt>
                <c:pt idx="118">
                  <c:v>0.10000984710921829</c:v>
                </c:pt>
                <c:pt idx="119">
                  <c:v>1.7188084241429463E-2</c:v>
                </c:pt>
                <c:pt idx="120">
                  <c:v>1.7376473368245087E-2</c:v>
                </c:pt>
                <c:pt idx="121">
                  <c:v>1.7565035020645551E-2</c:v>
                </c:pt>
                <c:pt idx="122">
                  <c:v>1.7753772533565026E-2</c:v>
                </c:pt>
                <c:pt idx="123">
                  <c:v>1.7942688518941697E-2</c:v>
                </c:pt>
                <c:pt idx="124">
                  <c:v>1.8131784827386494E-2</c:v>
                </c:pt>
                <c:pt idx="125">
                  <c:v>1.8321062510774911E-2</c:v>
                </c:pt>
                <c:pt idx="126">
                  <c:v>1.8510521786080286E-2</c:v>
                </c:pt>
                <c:pt idx="127">
                  <c:v>1.8700162000780767E-2</c:v>
                </c:pt>
                <c:pt idx="128">
                  <c:v>1.8889981600183285E-2</c:v>
                </c:pt>
                <c:pt idx="129">
                  <c:v>1.9079978097016038E-2</c:v>
                </c:pt>
                <c:pt idx="130">
                  <c:v>1.9270148043644832E-2</c:v>
                </c:pt>
                <c:pt idx="131">
                  <c:v>1.9460487007269902E-2</c:v>
                </c:pt>
                <c:pt idx="132">
                  <c:v>1.9650989548456187E-2</c:v>
                </c:pt>
                <c:pt idx="133">
                  <c:v>1.9841649203342838E-2</c:v>
                </c:pt>
                <c:pt idx="134">
                  <c:v>2.0032458469866676E-2</c:v>
                </c:pt>
                <c:pt idx="135">
                  <c:v>2.0223408798318569E-2</c:v>
                </c:pt>
                <c:pt idx="136">
                  <c:v>2.0414490586532243E-2</c:v>
                </c:pt>
                <c:pt idx="137">
                  <c:v>2.0605693179981076E-2</c:v>
                </c:pt>
                <c:pt idx="138">
                  <c:v>2.0797004877031403E-2</c:v>
                </c:pt>
                <c:pt idx="139">
                  <c:v>2.0988412939568591E-2</c:v>
                </c:pt>
                <c:pt idx="140">
                  <c:v>2.1179903609177601E-2</c:v>
                </c:pt>
                <c:pt idx="141">
                  <c:v>2.1371462129021374E-2</c:v>
                </c:pt>
                <c:pt idx="142">
                  <c:v>2.1563072771518515E-2</c:v>
                </c:pt>
                <c:pt idx="143">
                  <c:v>2.1754718871878045E-2</c:v>
                </c:pt>
                <c:pt idx="144">
                  <c:v>2.194638286750239E-2</c:v>
                </c:pt>
                <c:pt idx="145">
                  <c:v>2.2138046343221085E-2</c:v>
                </c:pt>
                <c:pt idx="146">
                  <c:v>2.2329690082268705E-2</c:v>
                </c:pt>
                <c:pt idx="147">
                  <c:v>2.2521294122868799E-2</c:v>
                </c:pt>
                <c:pt idx="148">
                  <c:v>2.271283782023539E-2</c:v>
                </c:pt>
                <c:pt idx="149">
                  <c:v>2.2904299913751709E-2</c:v>
                </c:pt>
                <c:pt idx="150">
                  <c:v>2.3095658599036069E-2</c:v>
                </c:pt>
                <c:pt idx="151">
                  <c:v>2.3286891604554865E-2</c:v>
                </c:pt>
                <c:pt idx="152">
                  <c:v>2.3477976272395538E-2</c:v>
                </c:pt>
                <c:pt idx="153">
                  <c:v>2.3668889642766731E-2</c:v>
                </c:pt>
                <c:pt idx="154">
                  <c:v>2.3859608541750336E-2</c:v>
                </c:pt>
                <c:pt idx="155">
                  <c:v>2.4050109671790765E-2</c:v>
                </c:pt>
                <c:pt idx="156">
                  <c:v>2.4240369704371222E-2</c:v>
                </c:pt>
                <c:pt idx="157">
                  <c:v>2.4430365374295233E-2</c:v>
                </c:pt>
                <c:pt idx="158">
                  <c:v>2.4620073574965144E-2</c:v>
                </c:pt>
                <c:pt idx="159">
                  <c:v>2.4809471454027041E-2</c:v>
                </c:pt>
                <c:pt idx="160">
                  <c:v>2.499853650873566E-2</c:v>
                </c:pt>
                <c:pt idx="161">
                  <c:v>2.5187246680381303E-2</c:v>
                </c:pt>
                <c:pt idx="162">
                  <c:v>2.5375580447115863E-2</c:v>
                </c:pt>
                <c:pt idx="163">
                  <c:v>2.5563516914516259E-2</c:v>
                </c:pt>
                <c:pt idx="164">
                  <c:v>2.5751035903229719E-2</c:v>
                </c:pt>
                <c:pt idx="165">
                  <c:v>2.5938118033059072E-2</c:v>
                </c:pt>
                <c:pt idx="166">
                  <c:v>2.612474480286477E-2</c:v>
                </c:pt>
                <c:pt idx="167">
                  <c:v>2.6310898665685721E-2</c:v>
                </c:pt>
                <c:pt idx="168">
                  <c:v>2.6496563098511668E-2</c:v>
                </c:pt>
                <c:pt idx="169">
                  <c:v>2.6681722666176501E-2</c:v>
                </c:pt>
                <c:pt idx="170">
                  <c:v>2.6866363078883623E-2</c:v>
                </c:pt>
                <c:pt idx="171">
                  <c:v>2.7050471242921429E-2</c:v>
                </c:pt>
                <c:pt idx="172">
                  <c:v>2.723403530417802E-2</c:v>
                </c:pt>
                <c:pt idx="173">
                  <c:v>2.7417044684120265E-2</c:v>
                </c:pt>
                <c:pt idx="174">
                  <c:v>2.7599490107961127E-2</c:v>
                </c:pt>
                <c:pt idx="175">
                  <c:v>2.7781363624801561E-2</c:v>
                </c:pt>
                <c:pt idx="176">
                  <c:v>2.7962658619598017E-2</c:v>
                </c:pt>
                <c:pt idx="177">
                  <c:v>2.8143369816873154E-2</c:v>
                </c:pt>
                <c:pt idx="178">
                  <c:v>2.8323493276155326E-2</c:v>
                </c:pt>
                <c:pt idx="179">
                  <c:v>2.8503026379200741E-2</c:v>
                </c:pt>
                <c:pt idx="180">
                  <c:v>2.8681967809120395E-2</c:v>
                </c:pt>
                <c:pt idx="181">
                  <c:v>2.8860317521601585E-2</c:v>
                </c:pt>
                <c:pt idx="182">
                  <c:v>2.9038076708479819E-2</c:v>
                </c:pt>
                <c:pt idx="183">
                  <c:v>2.9215247753980347E-2</c:v>
                </c:pt>
                <c:pt idx="184">
                  <c:v>2.9391834184010347E-2</c:v>
                </c:pt>
                <c:pt idx="185">
                  <c:v>2.9567840608939626E-2</c:v>
                </c:pt>
                <c:pt idx="186">
                  <c:v>2.9743272660361551E-2</c:v>
                </c:pt>
                <c:pt idx="187">
                  <c:v>2.9918136922375101E-2</c:v>
                </c:pt>
                <c:pt idx="188">
                  <c:v>3.0092440857971973E-2</c:v>
                </c:pt>
                <c:pt idx="189">
                  <c:v>3.0266192731151571E-2</c:v>
                </c:pt>
                <c:pt idx="190">
                  <c:v>3.04394015254183E-2</c:v>
                </c:pt>
                <c:pt idx="191">
                  <c:v>3.0612076859341617E-2</c:v>
                </c:pt>
                <c:pt idx="192">
                  <c:v>3.0784228899878266E-2</c:v>
                </c:pt>
                <c:pt idx="193">
                  <c:v>3.0955868274168297E-2</c:v>
                </c:pt>
                <c:pt idx="194">
                  <c:v>3.1127005980521757E-2</c:v>
                </c:pt>
                <c:pt idx="195">
                  <c:v>3.1297653299310772E-2</c:v>
                </c:pt>
                <c:pt idx="196">
                  <c:v>3.1467821704473133E-2</c:v>
                </c:pt>
                <c:pt idx="197">
                  <c:v>3.1637522776317192E-2</c:v>
                </c:pt>
                <c:pt idx="198">
                  <c:v>3.1806768116294924E-2</c:v>
                </c:pt>
                <c:pt idx="199">
                  <c:v>3.197556926438113E-2</c:v>
                </c:pt>
                <c:pt idx="200">
                  <c:v>3.2143937619660175E-2</c:v>
                </c:pt>
                <c:pt idx="201">
                  <c:v>3.2311884364680687E-2</c:v>
                </c:pt>
                <c:pt idx="202">
                  <c:v>3.2479420394091345E-2</c:v>
                </c:pt>
                <c:pt idx="203">
                  <c:v>3.2646556248018245E-2</c:v>
                </c:pt>
                <c:pt idx="204">
                  <c:v>3.2813302050588807E-2</c:v>
                </c:pt>
                <c:pt idx="205">
                  <c:v>3.2979667453945913E-2</c:v>
                </c:pt>
                <c:pt idx="206">
                  <c:v>3.3145661588033344E-2</c:v>
                </c:pt>
                <c:pt idx="207">
                  <c:v>3.3311293016367122E-2</c:v>
                </c:pt>
                <c:pt idx="208">
                  <c:v>3.3476569697940654E-2</c:v>
                </c:pt>
                <c:pt idx="209">
                  <c:v>3.3641498955341964E-2</c:v>
                </c:pt>
                <c:pt idx="210">
                  <c:v>3.3806087449094226E-2</c:v>
                </c:pt>
                <c:pt idx="211">
                  <c:v>3.3970341158161124E-2</c:v>
                </c:pt>
                <c:pt idx="212">
                  <c:v>3.4134265366493541E-2</c:v>
                </c:pt>
                <c:pt idx="213">
                  <c:v>3.4297864655428251E-2</c:v>
                </c:pt>
                <c:pt idx="214">
                  <c:v>3.4461142901688696E-2</c:v>
                </c:pt>
                <c:pt idx="215">
                  <c:v>3.4624103280679025E-2</c:v>
                </c:pt>
                <c:pt idx="216">
                  <c:v>3.4786748274709588E-2</c:v>
                </c:pt>
                <c:pt idx="217">
                  <c:v>3.4949079685742616E-2</c:v>
                </c:pt>
                <c:pt idx="218">
                  <c:v>3.511109865220341E-2</c:v>
                </c:pt>
                <c:pt idx="219">
                  <c:v>3.5272805669365498E-2</c:v>
                </c:pt>
                <c:pt idx="220">
                  <c:v>3.543420061278596E-2</c:v>
                </c:pt>
                <c:pt idx="221">
                  <c:v>3.5595282764244521E-2</c:v>
                </c:pt>
                <c:pt idx="222">
                  <c:v>3.5756050839621224E-2</c:v>
                </c:pt>
                <c:pt idx="223">
                  <c:v>3.591650301813893E-2</c:v>
                </c:pt>
                <c:pt idx="224">
                  <c:v>3.6076636972394001E-2</c:v>
                </c:pt>
                <c:pt idx="225">
                  <c:v>3.6236449898603786E-2</c:v>
                </c:pt>
                <c:pt idx="226">
                  <c:v>3.6395938546512498E-2</c:v>
                </c:pt>
                <c:pt idx="227">
                  <c:v>3.6555099248416718E-2</c:v>
                </c:pt>
                <c:pt idx="228">
                  <c:v>3.6713927946799674E-2</c:v>
                </c:pt>
                <c:pt idx="229">
                  <c:v>3.6872420220096895E-2</c:v>
                </c:pt>
                <c:pt idx="230">
                  <c:v>3.7030571306157119E-2</c:v>
                </c:pt>
                <c:pt idx="231">
                  <c:v>3.7188376123008522E-2</c:v>
                </c:pt>
                <c:pt idx="232">
                  <c:v>3.734582928659326E-2</c:v>
                </c:pt>
                <c:pt idx="233">
                  <c:v>3.7502925125189594E-2</c:v>
                </c:pt>
                <c:pt idx="234">
                  <c:v>3.76596576903033E-2</c:v>
                </c:pt>
                <c:pt idx="235">
                  <c:v>3.7816020763874303E-2</c:v>
                </c:pt>
                <c:pt idx="236">
                  <c:v>3.7972007861712516E-2</c:v>
                </c:pt>
                <c:pt idx="237">
                  <c:v>3.8127612233147111E-2</c:v>
                </c:pt>
                <c:pt idx="238">
                  <c:v>3.8282826856943078E-2</c:v>
                </c:pt>
                <c:pt idx="239">
                  <c:v>3.8437644433611695E-2</c:v>
                </c:pt>
                <c:pt idx="240">
                  <c:v>3.8592057374310734E-2</c:v>
                </c:pt>
                <c:pt idx="241">
                  <c:v>3.8746057786599966E-2</c:v>
                </c:pt>
                <c:pt idx="242">
                  <c:v>3.8899637457384041E-2</c:v>
                </c:pt>
                <c:pt idx="243">
                  <c:v>3.9052787833438303E-2</c:v>
                </c:pt>
                <c:pt idx="244">
                  <c:v>3.9205499999972325E-2</c:v>
                </c:pt>
                <c:pt idx="245">
                  <c:v>3.9357764657740685E-2</c:v>
                </c:pt>
                <c:pt idx="246">
                  <c:v>3.9509572099259413E-2</c:v>
                </c:pt>
                <c:pt idx="247">
                  <c:v>3.9660912184728933E-2</c:v>
                </c:pt>
                <c:pt idx="248">
                  <c:v>3.9811774318300172E-2</c:v>
                </c:pt>
                <c:pt idx="249">
                  <c:v>3.9962147425348551E-2</c:v>
                </c:pt>
                <c:pt idx="250">
                  <c:v>4.011201993144102E-2</c:v>
                </c:pt>
                <c:pt idx="251">
                  <c:v>4.026137974369226E-2</c:v>
                </c:pt>
                <c:pt idx="252">
                  <c:v>4.04102142352104E-2</c:v>
                </c:pt>
                <c:pt idx="253">
                  <c:v>4.055851023332542E-2</c:v>
                </c:pt>
                <c:pt idx="254">
                  <c:v>4.0706254012279557E-2</c:v>
                </c:pt>
                <c:pt idx="255">
                  <c:v>4.0853431291034061E-2</c:v>
                </c:pt>
                <c:pt idx="256">
                  <c:v>4.100002723681434E-2</c:v>
                </c:pt>
                <c:pt idx="257">
                  <c:v>4.1146026474973403E-2</c:v>
                </c:pt>
                <c:pt idx="258">
                  <c:v>4.129141310570289E-2</c:v>
                </c:pt>
                <c:pt idx="259">
                  <c:v>4.1436170728063201E-2</c:v>
                </c:pt>
                <c:pt idx="260">
                  <c:v>4.1580282471737132E-2</c:v>
                </c:pt>
                <c:pt idx="261">
                  <c:v>4.1723731036839344E-2</c:v>
                </c:pt>
                <c:pt idx="262">
                  <c:v>4.1866498742033235E-2</c:v>
                </c:pt>
                <c:pt idx="263">
                  <c:v>4.2008567581122529E-2</c:v>
                </c:pt>
                <c:pt idx="264">
                  <c:v>4.2149919288194018E-2</c:v>
                </c:pt>
                <c:pt idx="265">
                  <c:v>4.2290535411294627E-2</c:v>
                </c:pt>
                <c:pt idx="266">
                  <c:v>4.2430397394527981E-2</c:v>
                </c:pt>
                <c:pt idx="267">
                  <c:v>4.2569486668357921E-2</c:v>
                </c:pt>
                <c:pt idx="268">
                  <c:v>4.270778474780506E-2</c:v>
                </c:pt>
                <c:pt idx="269">
                  <c:v>4.2845273338123976E-2</c:v>
                </c:pt>
                <c:pt idx="270">
                  <c:v>4.2981934447448737E-2</c:v>
                </c:pt>
                <c:pt idx="271">
                  <c:v>4.3117750505799371E-2</c:v>
                </c:pt>
                <c:pt idx="272">
                  <c:v>4.3252704489747669E-2</c:v>
                </c:pt>
                <c:pt idx="273">
                  <c:v>4.3386780051953081E-2</c:v>
                </c:pt>
                <c:pt idx="274">
                  <c:v>4.3519961654695981E-2</c:v>
                </c:pt>
                <c:pt idx="275">
                  <c:v>4.3652234706459042E-2</c:v>
                </c:pt>
                <c:pt idx="276">
                  <c:v>4.3783585700537961E-2</c:v>
                </c:pt>
                <c:pt idx="277">
                  <c:v>4.3914002354602778E-2</c:v>
                </c:pt>
                <c:pt idx="278">
                  <c:v>4.4043473750077798E-2</c:v>
                </c:pt>
                <c:pt idx="279">
                  <c:v>4.4171990470167705E-2</c:v>
                </c:pt>
                <c:pt idx="280">
                  <c:v>4.4299544735324423E-2</c:v>
                </c:pt>
                <c:pt idx="281">
                  <c:v>4.4426130534930344E-2</c:v>
                </c:pt>
                <c:pt idx="282">
                  <c:v>4.4551743753962932E-2</c:v>
                </c:pt>
                <c:pt idx="283">
                  <c:v>4.467638229340979E-2</c:v>
                </c:pt>
                <c:pt idx="284">
                  <c:v>4.480004618321691E-2</c:v>
                </c:pt>
                <c:pt idx="285">
                  <c:v>4.4922737686580297E-2</c:v>
                </c:pt>
                <c:pt idx="286">
                  <c:v>4.5044461394429476E-2</c:v>
                </c:pt>
                <c:pt idx="287">
                  <c:v>4.5165224309002397E-2</c:v>
                </c:pt>
                <c:pt idx="288">
                  <c:v>4.5285035915473074E-2</c:v>
                </c:pt>
                <c:pt idx="289">
                  <c:v>4.5403908240667354E-2</c:v>
                </c:pt>
                <c:pt idx="290">
                  <c:v>4.5521855897985533E-2</c:v>
                </c:pt>
                <c:pt idx="291">
                  <c:v>4.563889611774552E-2</c:v>
                </c:pt>
                <c:pt idx="292">
                  <c:v>4.5755048762263086E-2</c:v>
                </c:pt>
                <c:pt idx="293">
                  <c:v>4.5870336325098057E-2</c:v>
                </c:pt>
                <c:pt idx="294">
                  <c:v>4.5984783914014504E-2</c:v>
                </c:pt>
                <c:pt idx="295">
                  <c:v>4.6098419217329031E-2</c:v>
                </c:pt>
                <c:pt idx="296">
                  <c:v>4.6211272453452724E-2</c:v>
                </c:pt>
                <c:pt idx="297">
                  <c:v>4.632337630356749E-2</c:v>
                </c:pt>
                <c:pt idx="298">
                  <c:v>4.6434765827516336E-2</c:v>
                </c:pt>
                <c:pt idx="299">
                  <c:v>4.6545478363127481E-2</c:v>
                </c:pt>
                <c:pt idx="300">
                  <c:v>4.6655553409332313E-2</c:v>
                </c:pt>
                <c:pt idx="301">
                  <c:v>4.6765032493577607E-2</c:v>
                </c:pt>
                <c:pt idx="302">
                  <c:v>4.6873959024169493E-2</c:v>
                </c:pt>
                <c:pt idx="303">
                  <c:v>4.6982378128320776E-2</c:v>
                </c:pt>
                <c:pt idx="304">
                  <c:v>4.7090336476802178E-2</c:v>
                </c:pt>
                <c:pt idx="305">
                  <c:v>4.7197882096221416E-2</c:v>
                </c:pt>
                <c:pt idx="306">
                  <c:v>4.7305064170069001E-2</c:v>
                </c:pt>
                <c:pt idx="307">
                  <c:v>4.7411932829777695E-2</c:v>
                </c:pt>
                <c:pt idx="308">
                  <c:v>4.7518538937138997E-2</c:v>
                </c:pt>
                <c:pt idx="309">
                  <c:v>4.7624933859508493E-2</c:v>
                </c:pt>
                <c:pt idx="310">
                  <c:v>4.7731169239305461E-2</c:v>
                </c:pt>
                <c:pt idx="311">
                  <c:v>4.7837296759377382E-2</c:v>
                </c:pt>
                <c:pt idx="312">
                  <c:v>4.7943367905848452E-2</c:v>
                </c:pt>
                <c:pt idx="313">
                  <c:v>4.8049433730108629E-2</c:v>
                </c:pt>
                <c:pt idx="314">
                  <c:v>4.8155544611622511E-2</c:v>
                </c:pt>
                <c:pt idx="315">
                  <c:v>4.8261750023244676E-2</c:v>
                </c:pt>
                <c:pt idx="316">
                  <c:v>4.8368098300722501E-2</c:v>
                </c:pt>
                <c:pt idx="317">
                  <c:v>4.84746364180468E-2</c:v>
                </c:pt>
                <c:pt idx="318">
                  <c:v>4.858140977027401E-2</c:v>
                </c:pt>
                <c:pt idx="319">
                  <c:v>4.8688461965395682E-2</c:v>
                </c:pt>
                <c:pt idx="320">
                  <c:v>4.8795834626766045E-2</c:v>
                </c:pt>
                <c:pt idx="321">
                  <c:v>4.890356720752248E-2</c:v>
                </c:pt>
                <c:pt idx="322">
                  <c:v>4.9011696818343671E-2</c:v>
                </c:pt>
                <c:pt idx="323">
                  <c:v>4.9120258069788404E-2</c:v>
                </c:pt>
                <c:pt idx="324">
                  <c:v>4.9229282930345883E-2</c:v>
                </c:pt>
                <c:pt idx="325">
                  <c:v>4.9338800601204824E-2</c:v>
                </c:pt>
                <c:pt idx="326">
                  <c:v>4.9448837408616934E-2</c:v>
                </c:pt>
                <c:pt idx="327">
                  <c:v>4.9559416714590868E-2</c:v>
                </c:pt>
                <c:pt idx="328">
                  <c:v>4.9670558846505987E-2</c:v>
                </c:pt>
                <c:pt idx="329">
                  <c:v>4.9782281046083461E-2</c:v>
                </c:pt>
                <c:pt idx="330">
                  <c:v>4.9894597437997311E-2</c:v>
                </c:pt>
                <c:pt idx="331">
                  <c:v>5.0007519018248806E-2</c:v>
                </c:pt>
                <c:pt idx="332">
                  <c:v>5.0121053662269453E-2</c:v>
                </c:pt>
                <c:pt idx="333">
                  <c:v>5.0235206152558401E-2</c:v>
                </c:pt>
                <c:pt idx="334">
                  <c:v>5.0349978225503217E-2</c:v>
                </c:pt>
                <c:pt idx="335">
                  <c:v>5.0465368636879386E-2</c:v>
                </c:pt>
                <c:pt idx="336">
                  <c:v>5.0581373245375129E-2</c:v>
                </c:pt>
                <c:pt idx="337">
                  <c:v>5.0697985113344335E-2</c:v>
                </c:pt>
                <c:pt idx="338">
                  <c:v>5.0815194623856072E-2</c:v>
                </c:pt>
                <c:pt idx="339">
                  <c:v>5.0932989612980775E-2</c:v>
                </c:pt>
                <c:pt idx="340">
                  <c:v>5.105135551613698E-2</c:v>
                </c:pt>
                <c:pt idx="341">
                  <c:v>5.1170275527215439E-2</c:v>
                </c:pt>
                <c:pt idx="342">
                  <c:v>5.1289730769102773E-2</c:v>
                </c:pt>
                <c:pt idx="343">
                  <c:v>5.1409700474145011E-2</c:v>
                </c:pt>
                <c:pt idx="344">
                  <c:v>5.1530162173022191E-2</c:v>
                </c:pt>
                <c:pt idx="345">
                  <c:v>5.16510918904503E-2</c:v>
                </c:pt>
                <c:pt idx="346">
                  <c:v>5.1772464346086816E-2</c:v>
                </c:pt>
                <c:pt idx="347">
                  <c:v>5.1894253158989594E-2</c:v>
                </c:pt>
                <c:pt idx="348">
                  <c:v>5.2016431053968311E-2</c:v>
                </c:pt>
                <c:pt idx="349">
                  <c:v>5.2138970068171454E-2</c:v>
                </c:pt>
                <c:pt idx="350">
                  <c:v>5.2261841756270681E-2</c:v>
                </c:pt>
                <c:pt idx="351">
                  <c:v>5.2385017392637449E-2</c:v>
                </c:pt>
                <c:pt idx="352">
                  <c:v>5.2508468168954457E-2</c:v>
                </c:pt>
                <c:pt idx="353">
                  <c:v>5.2632165385765164E-2</c:v>
                </c:pt>
                <c:pt idx="354">
                  <c:v>5.2756080636539263E-2</c:v>
                </c:pt>
                <c:pt idx="355">
                  <c:v>5.288018598291748E-2</c:v>
                </c:pt>
                <c:pt idx="356">
                  <c:v>5.3004454119896897E-2</c:v>
                </c:pt>
                <c:pt idx="357">
                  <c:v>5.3128858529826191E-2</c:v>
                </c:pt>
                <c:pt idx="358">
                  <c:v>5.3253373624196534E-2</c:v>
                </c:pt>
                <c:pt idx="359">
                  <c:v>5.3377974872339549E-2</c:v>
                </c:pt>
                <c:pt idx="360">
                  <c:v>5.3502638916275089E-2</c:v>
                </c:pt>
                <c:pt idx="361">
                  <c:v>5.3627343671089643E-2</c:v>
                </c:pt>
                <c:pt idx="362">
                  <c:v>5.375206841036663E-2</c:v>
                </c:pt>
                <c:pt idx="363">
                  <c:v>5.38767938363355E-2</c:v>
                </c:pt>
                <c:pt idx="364">
                  <c:v>5.400150213455035E-2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5.3759301164351153E-2</c:v>
                </c:pt>
                <c:pt idx="1">
                  <c:v>5.3908843409991539E-2</c:v>
                </c:pt>
                <c:pt idx="2">
                  <c:v>5.4112617446179463E-2</c:v>
                </c:pt>
                <c:pt idx="3">
                  <c:v>5.4370097450270251E-2</c:v>
                </c:pt>
                <c:pt idx="4">
                  <c:v>5.4680694973018688E-2</c:v>
                </c:pt>
                <c:pt idx="5">
                  <c:v>5.5043777283845886E-2</c:v>
                </c:pt>
                <c:pt idx="6">
                  <c:v>5.5458684427021968E-2</c:v>
                </c:pt>
                <c:pt idx="7">
                  <c:v>5.5924744988685493E-2</c:v>
                </c:pt>
                <c:pt idx="8">
                  <c:v>5.6438010594372014E-2</c:v>
                </c:pt>
                <c:pt idx="9">
                  <c:v>5.6957136578672941E-2</c:v>
                </c:pt>
                <c:pt idx="10">
                  <c:v>5.7419650328705198E-2</c:v>
                </c:pt>
                <c:pt idx="11">
                  <c:v>5.7826596857356784E-2</c:v>
                </c:pt>
                <c:pt idx="12">
                  <c:v>5.8179058163485106E-2</c:v>
                </c:pt>
                <c:pt idx="13">
                  <c:v>5.8478151720169777E-2</c:v>
                </c:pt>
                <c:pt idx="14">
                  <c:v>5.8725028658003983E-2</c:v>
                </c:pt>
                <c:pt idx="15">
                  <c:v>5.8926350336170941E-2</c:v>
                </c:pt>
                <c:pt idx="16">
                  <c:v>5.9074505551834737E-2</c:v>
                </c:pt>
                <c:pt idx="17">
                  <c:v>5.9170860099381307E-2</c:v>
                </c:pt>
                <c:pt idx="18">
                  <c:v>5.9216804027366544E-2</c:v>
                </c:pt>
                <c:pt idx="19">
                  <c:v>5.9214079018481594E-2</c:v>
                </c:pt>
                <c:pt idx="20">
                  <c:v>5.9164593102622058E-2</c:v>
                </c:pt>
                <c:pt idx="21">
                  <c:v>5.9070010038922413E-2</c:v>
                </c:pt>
                <c:pt idx="22">
                  <c:v>5.8928237874836281E-2</c:v>
                </c:pt>
                <c:pt idx="23">
                  <c:v>5.8743877822982939E-2</c:v>
                </c:pt>
                <c:pt idx="24">
                  <c:v>5.8550686366394503E-2</c:v>
                </c:pt>
                <c:pt idx="25">
                  <c:v>5.8351351621815095E-2</c:v>
                </c:pt>
                <c:pt idx="26">
                  <c:v>5.8148394588922674E-2</c:v>
                </c:pt>
                <c:pt idx="27">
                  <c:v>5.794417101803799E-2</c:v>
                </c:pt>
                <c:pt idx="28">
                  <c:v>5.7740875465994761E-2</c:v>
                </c:pt>
                <c:pt idx="29">
                  <c:v>5.7484579488666546E-2</c:v>
                </c:pt>
                <c:pt idx="30">
                  <c:v>5.7175242925112384E-2</c:v>
                </c:pt>
                <c:pt idx="31">
                  <c:v>5.6817204624091025E-2</c:v>
                </c:pt>
                <c:pt idx="32">
                  <c:v>5.6414550338742431E-2</c:v>
                </c:pt>
                <c:pt idx="33">
                  <c:v>5.5971111299581183E-2</c:v>
                </c:pt>
                <c:pt idx="34">
                  <c:v>5.5490465790998665E-2</c:v>
                </c:pt>
                <c:pt idx="35">
                  <c:v>5.4975943150440715E-2</c:v>
                </c:pt>
                <c:pt idx="36">
                  <c:v>5.4422584447408065E-2</c:v>
                </c:pt>
                <c:pt idx="37">
                  <c:v>5.3771074679673604E-2</c:v>
                </c:pt>
                <c:pt idx="38">
                  <c:v>5.3023906460839883E-2</c:v>
                </c:pt>
                <c:pt idx="39">
                  <c:v>5.2187268188358081E-2</c:v>
                </c:pt>
                <c:pt idx="40">
                  <c:v>5.1266988573179344E-2</c:v>
                </c:pt>
                <c:pt idx="41">
                  <c:v>5.0268524730547062E-2</c:v>
                </c:pt>
                <c:pt idx="42">
                  <c:v>4.91969555272763E-2</c:v>
                </c:pt>
                <c:pt idx="43">
                  <c:v>4.8033632005943495E-2</c:v>
                </c:pt>
                <c:pt idx="44">
                  <c:v>4.6828996693255666E-2</c:v>
                </c:pt>
                <c:pt idx="45">
                  <c:v>4.5586080153090215E-2</c:v>
                </c:pt>
                <c:pt idx="46">
                  <c:v>4.4307596773295793E-2</c:v>
                </c:pt>
                <c:pt idx="47">
                  <c:v>4.2995955027443543E-2</c:v>
                </c:pt>
                <c:pt idx="48">
                  <c:v>4.1653268098937386E-2</c:v>
                </c:pt>
                <c:pt idx="49">
                  <c:v>4.0281364554203336E-2</c:v>
                </c:pt>
                <c:pt idx="50">
                  <c:v>3.8879035436672045E-2</c:v>
                </c:pt>
                <c:pt idx="51">
                  <c:v>3.741810033303225E-2</c:v>
                </c:pt>
                <c:pt idx="52">
                  <c:v>3.5945505044790979E-2</c:v>
                </c:pt>
                <c:pt idx="53">
                  <c:v>3.4461252384412187E-2</c:v>
                </c:pt>
                <c:pt idx="54">
                  <c:v>3.2965529325976441E-2</c:v>
                </c:pt>
                <c:pt idx="55">
                  <c:v>3.1458514689513412E-2</c:v>
                </c:pt>
                <c:pt idx="56">
                  <c:v>2.99403793854018E-2</c:v>
                </c:pt>
                <c:pt idx="57">
                  <c:v>2.8403262671084326E-2</c:v>
                </c:pt>
                <c:pt idx="58">
                  <c:v>2.6867126954643931E-2</c:v>
                </c:pt>
                <c:pt idx="59">
                  <c:v>2.5331738329433577E-2</c:v>
                </c:pt>
                <c:pt idx="60">
                  <c:v>2.3796871944559098E-2</c:v>
                </c:pt>
                <c:pt idx="61">
                  <c:v>2.2262310658022397E-2</c:v>
                </c:pt>
                <c:pt idx="62">
                  <c:v>2.0727843697770174E-2</c:v>
                </c:pt>
                <c:pt idx="63">
                  <c:v>1.9193265331656578E-2</c:v>
                </c:pt>
                <c:pt idx="64">
                  <c:v>1.7657839128658474E-2</c:v>
                </c:pt>
                <c:pt idx="65">
                  <c:v>1.6154000997134915E-2</c:v>
                </c:pt>
                <c:pt idx="66">
                  <c:v>1.4703762974680568E-2</c:v>
                </c:pt>
                <c:pt idx="67">
                  <c:v>1.3305737469329441E-2</c:v>
                </c:pt>
                <c:pt idx="68">
                  <c:v>1.195850950949413E-2</c:v>
                </c:pt>
                <c:pt idx="69">
                  <c:v>1.0660644072542969E-2</c:v>
                </c:pt>
                <c:pt idx="70">
                  <c:v>9.4106926681451399E-3</c:v>
                </c:pt>
                <c:pt idx="71">
                  <c:v>8.2483266169775058E-3</c:v>
                </c:pt>
                <c:pt idx="72">
                  <c:v>7.1781314126845809E-3</c:v>
                </c:pt>
                <c:pt idx="73">
                  <c:v>6.1975353810702054E-3</c:v>
                </c:pt>
                <c:pt idx="74">
                  <c:v>5.3040514978494029E-3</c:v>
                </c:pt>
                <c:pt idx="75">
                  <c:v>4.4952834417252546E-3</c:v>
                </c:pt>
                <c:pt idx="76">
                  <c:v>3.7689309517640133E-3</c:v>
                </c:pt>
                <c:pt idx="77">
                  <c:v>3.1227945760069751E-3</c:v>
                </c:pt>
                <c:pt idx="78">
                  <c:v>2.5546159601471476E-3</c:v>
                </c:pt>
                <c:pt idx="79">
                  <c:v>2.0783684954588048E-3</c:v>
                </c:pt>
                <c:pt idx="80">
                  <c:v>1.6631522517732565E-3</c:v>
                </c:pt>
                <c:pt idx="81">
                  <c:v>1.3076178847669752E-3</c:v>
                </c:pt>
                <c:pt idx="82">
                  <c:v>1.0104672290276633E-3</c:v>
                </c:pt>
                <c:pt idx="83">
                  <c:v>7.7046052886591086E-4</c:v>
                </c:pt>
                <c:pt idx="84">
                  <c:v>5.8642307791294691E-4</c:v>
                </c:pt>
                <c:pt idx="85">
                  <c:v>4.5736526905543017E-4</c:v>
                </c:pt>
                <c:pt idx="86">
                  <c:v>3.4526720461842622E-4</c:v>
                </c:pt>
                <c:pt idx="87">
                  <c:v>2.4978404097967941E-4</c:v>
                </c:pt>
                <c:pt idx="88">
                  <c:v>1.7059357669550233E-4</c:v>
                </c:pt>
                <c:pt idx="89">
                  <c:v>0</c:v>
                </c:pt>
                <c:pt idx="90">
                  <c:v>5.3131788661808551E-13</c:v>
                </c:pt>
                <c:pt idx="91">
                  <c:v>3.5900358129374468E-13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1.025400855818719E-10</c:v>
                </c:pt>
                <c:pt idx="254">
                  <c:v>3.0963576452227107E-10</c:v>
                </c:pt>
                <c:pt idx="255">
                  <c:v>6.2335651497619001E-10</c:v>
                </c:pt>
                <c:pt idx="256">
                  <c:v>1.0458093482661731E-9</c:v>
                </c:pt>
                <c:pt idx="257">
                  <c:v>1.5791208601070303E-9</c:v>
                </c:pt>
                <c:pt idx="258">
                  <c:v>2.2254176702271898E-9</c:v>
                </c:pt>
                <c:pt idx="259">
                  <c:v>2.986805165695832E-9</c:v>
                </c:pt>
                <c:pt idx="260">
                  <c:v>3.8654771464658006E-9</c:v>
                </c:pt>
                <c:pt idx="261">
                  <c:v>3.3480720314279685E-6</c:v>
                </c:pt>
                <c:pt idx="262">
                  <c:v>1.0102196657131512E-5</c:v>
                </c:pt>
                <c:pt idx="263">
                  <c:v>2.0334463424861252E-5</c:v>
                </c:pt>
                <c:pt idx="264">
                  <c:v>3.4115035134753642E-5</c:v>
                </c:pt>
                <c:pt idx="265">
                  <c:v>5.1516615368786519E-5</c:v>
                </c:pt>
                <c:pt idx="266">
                  <c:v>7.261478335462797E-5</c:v>
                </c:pt>
                <c:pt idx="267">
                  <c:v>1.0599384635729372E-4</c:v>
                </c:pt>
                <c:pt idx="268">
                  <c:v>1.5191459858083199E-4</c:v>
                </c:pt>
                <c:pt idx="269">
                  <c:v>2.1064902538244829E-4</c:v>
                </c:pt>
                <c:pt idx="270">
                  <c:v>2.8248151972425003E-4</c:v>
                </c:pt>
                <c:pt idx="271">
                  <c:v>3.6771033335169378E-4</c:v>
                </c:pt>
                <c:pt idx="272">
                  <c:v>4.6664916821629102E-4</c:v>
                </c:pt>
                <c:pt idx="273">
                  <c:v>5.7962892665695126E-4</c:v>
                </c:pt>
                <c:pt idx="274">
                  <c:v>7.0698702851558905E-4</c:v>
                </c:pt>
                <c:pt idx="275">
                  <c:v>8.5214833895872605E-4</c:v>
                </c:pt>
                <c:pt idx="276">
                  <c:v>1.0118306746130169E-3</c:v>
                </c:pt>
                <c:pt idx="277">
                  <c:v>1.1864033943690187E-3</c:v>
                </c:pt>
                <c:pt idx="278">
                  <c:v>1.3762525528415572E-3</c:v>
                </c:pt>
                <c:pt idx="279">
                  <c:v>1.5817820446220379E-3</c:v>
                </c:pt>
                <c:pt idx="280">
                  <c:v>1.8034148789512884E-3</c:v>
                </c:pt>
                <c:pt idx="281">
                  <c:v>2.0423826240104489E-3</c:v>
                </c:pt>
                <c:pt idx="282">
                  <c:v>2.2896167357677865E-3</c:v>
                </c:pt>
                <c:pt idx="283">
                  <c:v>2.5453777769422858E-3</c:v>
                </c:pt>
                <c:pt idx="284">
                  <c:v>2.8099408962809773E-3</c:v>
                </c:pt>
                <c:pt idx="285">
                  <c:v>3.0835971439771193E-3</c:v>
                </c:pt>
                <c:pt idx="286">
                  <c:v>3.3666549190050415E-3</c:v>
                </c:pt>
                <c:pt idx="287">
                  <c:v>3.6594415610827847E-3</c:v>
                </c:pt>
                <c:pt idx="288">
                  <c:v>3.9624105674677798E-3</c:v>
                </c:pt>
                <c:pt idx="289">
                  <c:v>4.2796655459938181E-3</c:v>
                </c:pt>
                <c:pt idx="290">
                  <c:v>4.608192172214187E-3</c:v>
                </c:pt>
                <c:pt idx="291">
                  <c:v>4.9484023216952314E-3</c:v>
                </c:pt>
                <c:pt idx="292">
                  <c:v>5.3007216592170251E-3</c:v>
                </c:pt>
                <c:pt idx="293">
                  <c:v>5.6655899441000858E-3</c:v>
                </c:pt>
                <c:pt idx="294">
                  <c:v>6.0434612765434296E-3</c:v>
                </c:pt>
                <c:pt idx="295">
                  <c:v>6.4245254135522943E-3</c:v>
                </c:pt>
                <c:pt idx="296">
                  <c:v>6.8080929684129037E-3</c:v>
                </c:pt>
                <c:pt idx="297">
                  <c:v>7.1943426123922362E-3</c:v>
                </c:pt>
                <c:pt idx="298">
                  <c:v>7.5833962912668623E-3</c:v>
                </c:pt>
                <c:pt idx="299">
                  <c:v>7.9753684681666479E-3</c:v>
                </c:pt>
                <c:pt idx="300">
                  <c:v>8.3703651983616754E-3</c:v>
                </c:pt>
                <c:pt idx="301">
                  <c:v>8.7684830302996956E-3</c:v>
                </c:pt>
                <c:pt idx="302">
                  <c:v>9.1718131045927659E-3</c:v>
                </c:pt>
                <c:pt idx="303">
                  <c:v>9.5664586161287191E-3</c:v>
                </c:pt>
                <c:pt idx="304">
                  <c:v>9.9475060552942952E-3</c:v>
                </c:pt>
                <c:pt idx="305">
                  <c:v>1.031397168711725E-2</c:v>
                </c:pt>
                <c:pt idx="306">
                  <c:v>1.0664657903023221E-2</c:v>
                </c:pt>
                <c:pt idx="307">
                  <c:v>1.0998144970873369E-2</c:v>
                </c:pt>
                <c:pt idx="308">
                  <c:v>1.1312783816296421E-2</c:v>
                </c:pt>
                <c:pt idx="309">
                  <c:v>1.1601905106171314E-2</c:v>
                </c:pt>
                <c:pt idx="310">
                  <c:v>1.1875694112308452E-2</c:v>
                </c:pt>
                <c:pt idx="311">
                  <c:v>1.2132147197713319E-2</c:v>
                </c:pt>
                <c:pt idx="312">
                  <c:v>1.236904074507127E-2</c:v>
                </c:pt>
                <c:pt idx="313">
                  <c:v>1.2583937033992285E-2</c:v>
                </c:pt>
                <c:pt idx="314">
                  <c:v>1.2774197114109943E-2</c:v>
                </c:pt>
                <c:pt idx="315">
                  <c:v>1.293700223242198E-2</c:v>
                </c:pt>
                <c:pt idx="316">
                  <c:v>1.3072873264579645E-2</c:v>
                </c:pt>
                <c:pt idx="317">
                  <c:v>1.3183379049723878E-2</c:v>
                </c:pt>
                <c:pt idx="318">
                  <c:v>1.3287263012881644E-2</c:v>
                </c:pt>
                <c:pt idx="319">
                  <c:v>1.338413680472976E-2</c:v>
                </c:pt>
                <c:pt idx="320">
                  <c:v>1.3473599034956249E-2</c:v>
                </c:pt>
                <c:pt idx="321">
                  <c:v>1.3555235680179571E-2</c:v>
                </c:pt>
                <c:pt idx="322">
                  <c:v>1.3628620671610645E-2</c:v>
                </c:pt>
                <c:pt idx="323">
                  <c:v>1.3690475424189949E-2</c:v>
                </c:pt>
                <c:pt idx="324">
                  <c:v>1.3746147512642571E-2</c:v>
                </c:pt>
                <c:pt idx="325">
                  <c:v>1.3795294488718067E-2</c:v>
                </c:pt>
                <c:pt idx="326">
                  <c:v>1.3837479559519023E-2</c:v>
                </c:pt>
                <c:pt idx="327">
                  <c:v>1.3872315474100613E-2</c:v>
                </c:pt>
                <c:pt idx="328">
                  <c:v>1.3899480515707536E-2</c:v>
                </c:pt>
                <c:pt idx="329">
                  <c:v>1.3918649333609685E-2</c:v>
                </c:pt>
                <c:pt idx="330">
                  <c:v>1.3932067202625707E-2</c:v>
                </c:pt>
                <c:pt idx="331">
                  <c:v>1.3940602278827534E-2</c:v>
                </c:pt>
                <c:pt idx="332">
                  <c:v>1.3943016373092832E-2</c:v>
                </c:pt>
                <c:pt idx="333">
                  <c:v>1.3937836310831783E-2</c:v>
                </c:pt>
                <c:pt idx="334">
                  <c:v>1.3923519287006247E-2</c:v>
                </c:pt>
                <c:pt idx="335">
                  <c:v>1.389846284671245E-2</c:v>
                </c:pt>
                <c:pt idx="336">
                  <c:v>1.386101901551577E-2</c:v>
                </c:pt>
                <c:pt idx="337">
                  <c:v>1.3815394534054953E-2</c:v>
                </c:pt>
                <c:pt idx="338">
                  <c:v>1.3763446433871588E-2</c:v>
                </c:pt>
                <c:pt idx="339">
                  <c:v>1.3703745571280604E-2</c:v>
                </c:pt>
                <c:pt idx="340">
                  <c:v>1.3634870053191205E-2</c:v>
                </c:pt>
                <c:pt idx="341">
                  <c:v>1.355542905916534E-2</c:v>
                </c:pt>
                <c:pt idx="342">
                  <c:v>1.3464090193340718E-2</c:v>
                </c:pt>
                <c:pt idx="343">
                  <c:v>1.3359609775596875E-2</c:v>
                </c:pt>
                <c:pt idx="344">
                  <c:v>1.324132299134886E-2</c:v>
                </c:pt>
                <c:pt idx="345">
                  <c:v>1.3110416023941774E-2</c:v>
                </c:pt>
                <c:pt idx="346">
                  <c:v>1.2976836299248026E-2</c:v>
                </c:pt>
                <c:pt idx="347">
                  <c:v>1.284227665047516E-2</c:v>
                </c:pt>
                <c:pt idx="348">
                  <c:v>1.2708393063900498E-2</c:v>
                </c:pt>
                <c:pt idx="349">
                  <c:v>1.257678562500741E-2</c:v>
                </c:pt>
                <c:pt idx="350">
                  <c:v>1.2448983598235807E-2</c:v>
                </c:pt>
                <c:pt idx="351">
                  <c:v>1.2333804100520988E-2</c:v>
                </c:pt>
                <c:pt idx="352">
                  <c:v>1.2226458103675496E-2</c:v>
                </c:pt>
                <c:pt idx="353">
                  <c:v>1.2128181565160948E-2</c:v>
                </c:pt>
                <c:pt idx="354">
                  <c:v>1.2040120640134697E-2</c:v>
                </c:pt>
                <c:pt idx="355">
                  <c:v>1.1963336806260902E-2</c:v>
                </c:pt>
                <c:pt idx="356">
                  <c:v>1.1898655713945876E-2</c:v>
                </c:pt>
                <c:pt idx="357">
                  <c:v>1.1847143282053808E-2</c:v>
                </c:pt>
                <c:pt idx="358">
                  <c:v>1.1805990788966188E-2</c:v>
                </c:pt>
                <c:pt idx="359">
                  <c:v>1.1772014691674623E-2</c:v>
                </c:pt>
                <c:pt idx="360">
                  <c:v>1.1751158916152528E-2</c:v>
                </c:pt>
                <c:pt idx="361">
                  <c:v>1.173658569506434E-2</c:v>
                </c:pt>
                <c:pt idx="362">
                  <c:v>1.1728482575169751E-2</c:v>
                </c:pt>
                <c:pt idx="363">
                  <c:v>1.1727010037149311E-2</c:v>
                </c:pt>
                <c:pt idx="364">
                  <c:v>1.1732303400318353E-2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730888"/>
        <c:axId val="248731280"/>
      </c:lineChart>
      <c:dateAx>
        <c:axId val="24873088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8731280"/>
        <c:crosses val="autoZero"/>
        <c:auto val="1"/>
        <c:lblOffset val="100"/>
        <c:baseTimeUnit val="days"/>
        <c:majorUnit val="1"/>
        <c:majorTimeUnit val="months"/>
      </c:dateAx>
      <c:valAx>
        <c:axId val="2487312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87308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11.830553515138762</c:v>
                </c:pt>
                <c:pt idx="1">
                  <c:v>11.957467291741704</c:v>
                </c:pt>
                <c:pt idx="2">
                  <c:v>12.089100966755829</c:v>
                </c:pt>
                <c:pt idx="3">
                  <c:v>12.225092784311975</c:v>
                </c:pt>
                <c:pt idx="4">
                  <c:v>12.365081194040744</c:v>
                </c:pt>
                <c:pt idx="5">
                  <c:v>12.508704850518848</c:v>
                </c:pt>
                <c:pt idx="6">
                  <c:v>12.655602618524894</c:v>
                </c:pt>
                <c:pt idx="7">
                  <c:v>12.805413570766738</c:v>
                </c:pt>
                <c:pt idx="8">
                  <c:v>12.958539075902996</c:v>
                </c:pt>
                <c:pt idx="9">
                  <c:v>13.115717976966019</c:v>
                </c:pt>
                <c:pt idx="10">
                  <c:v>13.27710539505779</c:v>
                </c:pt>
                <c:pt idx="11">
                  <c:v>13.442791044315648</c:v>
                </c:pt>
                <c:pt idx="12">
                  <c:v>13.612864575614907</c:v>
                </c:pt>
                <c:pt idx="13">
                  <c:v>13.78741557869955</c:v>
                </c:pt>
                <c:pt idx="14">
                  <c:v>13.966533583987861</c:v>
                </c:pt>
                <c:pt idx="15">
                  <c:v>14.150309994612876</c:v>
                </c:pt>
                <c:pt idx="16">
                  <c:v>14.338825713367878</c:v>
                </c:pt>
                <c:pt idx="17">
                  <c:v>14.532170091704968</c:v>
                </c:pt>
                <c:pt idx="18">
                  <c:v>14.73043242556875</c:v>
                </c:pt>
                <c:pt idx="19">
                  <c:v>14.933700978704923</c:v>
                </c:pt>
                <c:pt idx="20">
                  <c:v>15.142063481681609</c:v>
                </c:pt>
                <c:pt idx="21">
                  <c:v>15.355608338581053</c:v>
                </c:pt>
                <c:pt idx="22">
                  <c:v>15.575429835141904</c:v>
                </c:pt>
                <c:pt idx="23">
                  <c:v>15.802257889682226</c:v>
                </c:pt>
                <c:pt idx="24">
                  <c:v>16.035482853718062</c:v>
                </c:pt>
                <c:pt idx="25">
                  <c:v>16.274532625648256</c:v>
                </c:pt>
                <c:pt idx="26">
                  <c:v>16.518835457388484</c:v>
                </c:pt>
                <c:pt idx="27">
                  <c:v>16.76781994905113</c:v>
                </c:pt>
                <c:pt idx="28">
                  <c:v>17.020915059605898</c:v>
                </c:pt>
                <c:pt idx="29">
                  <c:v>17.277828956570875</c:v>
                </c:pt>
                <c:pt idx="30">
                  <c:v>17.537989406766933</c:v>
                </c:pt>
                <c:pt idx="31">
                  <c:v>17.800826484780419</c:v>
                </c:pt>
                <c:pt idx="32">
                  <c:v>18.065770635474539</c:v>
                </c:pt>
                <c:pt idx="33">
                  <c:v>18.332252684708291</c:v>
                </c:pt>
                <c:pt idx="34">
                  <c:v>18.599703841771635</c:v>
                </c:pt>
                <c:pt idx="35">
                  <c:v>18.867555699152792</c:v>
                </c:pt>
                <c:pt idx="36">
                  <c:v>19.138096079325578</c:v>
                </c:pt>
                <c:pt idx="37">
                  <c:v>19.413745310921779</c:v>
                </c:pt>
                <c:pt idx="38">
                  <c:v>19.693762630506853</c:v>
                </c:pt>
                <c:pt idx="39">
                  <c:v>19.977484118085105</c:v>
                </c:pt>
                <c:pt idx="40">
                  <c:v>20.264246325052184</c:v>
                </c:pt>
                <c:pt idx="41">
                  <c:v>20.553386274826451</c:v>
                </c:pt>
                <c:pt idx="42">
                  <c:v>20.84424146168438</c:v>
                </c:pt>
                <c:pt idx="43">
                  <c:v>21.136075896959198</c:v>
                </c:pt>
                <c:pt idx="44">
                  <c:v>21.427948724024791</c:v>
                </c:pt>
                <c:pt idx="45">
                  <c:v>21.719198634470903</c:v>
                </c:pt>
                <c:pt idx="46">
                  <c:v>22.009164754276973</c:v>
                </c:pt>
                <c:pt idx="47">
                  <c:v>22.297186640894228</c:v>
                </c:pt>
                <c:pt idx="48">
                  <c:v>22.582604284024868</c:v>
                </c:pt>
                <c:pt idx="49">
                  <c:v>22.864758100865551</c:v>
                </c:pt>
                <c:pt idx="50">
                  <c:v>23.144642164704148</c:v>
                </c:pt>
                <c:pt idx="51">
                  <c:v>23.423673455395011</c:v>
                </c:pt>
                <c:pt idx="52">
                  <c:v>23.701656020887793</c:v>
                </c:pt>
                <c:pt idx="53">
                  <c:v>23.97859129092906</c:v>
                </c:pt>
                <c:pt idx="54">
                  <c:v>24.2544800737553</c:v>
                </c:pt>
                <c:pt idx="55">
                  <c:v>24.529323138201701</c:v>
                </c:pt>
                <c:pt idx="56">
                  <c:v>24.803121212664088</c:v>
                </c:pt>
                <c:pt idx="57">
                  <c:v>25.075803637930978</c:v>
                </c:pt>
                <c:pt idx="58">
                  <c:v>25.347445317080574</c:v>
                </c:pt>
                <c:pt idx="59">
                  <c:v>25.618046853013595</c:v>
                </c:pt>
                <c:pt idx="60">
                  <c:v>25.887608807971084</c:v>
                </c:pt>
                <c:pt idx="61">
                  <c:v>26.156131702700794</c:v>
                </c:pt>
                <c:pt idx="62">
                  <c:v>26.423616015576663</c:v>
                </c:pt>
                <c:pt idx="63">
                  <c:v>26.690062185763214</c:v>
                </c:pt>
                <c:pt idx="64">
                  <c:v>26.956287660561355</c:v>
                </c:pt>
                <c:pt idx="65">
                  <c:v>27.222648033251723</c:v>
                </c:pt>
                <c:pt idx="66">
                  <c:v>27.48878301903871</c:v>
                </c:pt>
                <c:pt idx="67">
                  <c:v>27.75431503091351</c:v>
                </c:pt>
                <c:pt idx="68">
                  <c:v>28.018866617637961</c:v>
                </c:pt>
                <c:pt idx="69">
                  <c:v>28.282060461118135</c:v>
                </c:pt>
                <c:pt idx="70">
                  <c:v>28.543519368818767</c:v>
                </c:pt>
                <c:pt idx="71">
                  <c:v>28.802779883775511</c:v>
                </c:pt>
                <c:pt idx="72">
                  <c:v>29.059536947519913</c:v>
                </c:pt>
                <c:pt idx="73">
                  <c:v>29.313413663775759</c:v>
                </c:pt>
                <c:pt idx="74">
                  <c:v>29.564033240485287</c:v>
                </c:pt>
                <c:pt idx="75">
                  <c:v>29.811018981547566</c:v>
                </c:pt>
                <c:pt idx="76">
                  <c:v>30.053994283304835</c:v>
                </c:pt>
                <c:pt idx="77">
                  <c:v>30.292582629400972</c:v>
                </c:pt>
                <c:pt idx="78">
                  <c:v>30.52836761796414</c:v>
                </c:pt>
                <c:pt idx="79">
                  <c:v>30.762869046553462</c:v>
                </c:pt>
                <c:pt idx="80">
                  <c:v>30.99582834344324</c:v>
                </c:pt>
                <c:pt idx="81">
                  <c:v>31.226774591954555</c:v>
                </c:pt>
                <c:pt idx="82">
                  <c:v>31.45523708115639</c:v>
                </c:pt>
                <c:pt idx="83">
                  <c:v>31.680745308973364</c:v>
                </c:pt>
                <c:pt idx="84">
                  <c:v>31.902828977602521</c:v>
                </c:pt>
                <c:pt idx="85">
                  <c:v>32.121017998600877</c:v>
                </c:pt>
                <c:pt idx="86">
                  <c:v>32.334930836320218</c:v>
                </c:pt>
                <c:pt idx="87">
                  <c:v>32.544098398661575</c:v>
                </c:pt>
                <c:pt idx="88">
                  <c:v>32.748051870194736</c:v>
                </c:pt>
                <c:pt idx="89">
                  <c:v>32.946322707178005</c:v>
                </c:pt>
                <c:pt idx="90">
                  <c:v>33.138442656731236</c:v>
                </c:pt>
                <c:pt idx="91">
                  <c:v>33.323943749957962</c:v>
                </c:pt>
                <c:pt idx="92">
                  <c:v>33.502514795717616</c:v>
                </c:pt>
                <c:pt idx="93">
                  <c:v>33.674470608974715</c:v>
                </c:pt>
                <c:pt idx="94">
                  <c:v>33.840282262728408</c:v>
                </c:pt>
                <c:pt idx="95">
                  <c:v>34.000420565570252</c:v>
                </c:pt>
                <c:pt idx="96">
                  <c:v>34.155356055921359</c:v>
                </c:pt>
                <c:pt idx="97">
                  <c:v>34.305559012472543</c:v>
                </c:pt>
                <c:pt idx="98">
                  <c:v>34.451499445679175</c:v>
                </c:pt>
                <c:pt idx="99">
                  <c:v>34.593647105718006</c:v>
                </c:pt>
                <c:pt idx="100">
                  <c:v>34.732471475693821</c:v>
                </c:pt>
                <c:pt idx="101">
                  <c:v>34.868441776727536</c:v>
                </c:pt>
                <c:pt idx="102">
                  <c:v>35.002026962843615</c:v>
                </c:pt>
                <c:pt idx="103">
                  <c:v>35.133695725357462</c:v>
                </c:pt>
                <c:pt idx="104">
                  <c:v>35.263916487976772</c:v>
                </c:pt>
                <c:pt idx="105">
                  <c:v>35.39315740716404</c:v>
                </c:pt>
                <c:pt idx="106">
                  <c:v>35.521121338221683</c:v>
                </c:pt>
                <c:pt idx="107">
                  <c:v>35.647074279717678</c:v>
                </c:pt>
                <c:pt idx="108">
                  <c:v>35.770829031471195</c:v>
                </c:pt>
                <c:pt idx="109">
                  <c:v>35.892198567226217</c:v>
                </c:pt>
                <c:pt idx="110">
                  <c:v>36.010996040956492</c:v>
                </c:pt>
                <c:pt idx="111">
                  <c:v>36.1270347944712</c:v>
                </c:pt>
                <c:pt idx="112">
                  <c:v>36.240128359789828</c:v>
                </c:pt>
                <c:pt idx="113">
                  <c:v>36.350090465345517</c:v>
                </c:pt>
                <c:pt idx="114">
                  <c:v>36.456735044779506</c:v>
                </c:pt>
                <c:pt idx="115">
                  <c:v>36.559876239088027</c:v>
                </c:pt>
                <c:pt idx="116">
                  <c:v>36.659328404443535</c:v>
                </c:pt>
                <c:pt idx="117">
                  <c:v>36.754906116559262</c:v>
                </c:pt>
                <c:pt idx="118">
                  <c:v>36.846424179277406</c:v>
                </c:pt>
                <c:pt idx="119">
                  <c:v>36.933697627573153</c:v>
                </c:pt>
                <c:pt idx="120">
                  <c:v>37.017211487743367</c:v>
                </c:pt>
                <c:pt idx="121">
                  <c:v>37.09751284908306</c:v>
                </c:pt>
                <c:pt idx="122">
                  <c:v>37.174510141314641</c:v>
                </c:pt>
                <c:pt idx="123">
                  <c:v>37.248111971886473</c:v>
                </c:pt>
                <c:pt idx="124">
                  <c:v>37.318227133645053</c:v>
                </c:pt>
                <c:pt idx="125">
                  <c:v>37.38476460084194</c:v>
                </c:pt>
                <c:pt idx="126">
                  <c:v>37.447633537483192</c:v>
                </c:pt>
                <c:pt idx="127">
                  <c:v>37.506743297720426</c:v>
                </c:pt>
                <c:pt idx="128">
                  <c:v>37.562003430816667</c:v>
                </c:pt>
                <c:pt idx="129">
                  <c:v>37.613323679914522</c:v>
                </c:pt>
                <c:pt idx="130">
                  <c:v>37.66061398235798</c:v>
                </c:pt>
                <c:pt idx="131">
                  <c:v>37.703784474579543</c:v>
                </c:pt>
                <c:pt idx="132">
                  <c:v>37.742745486202182</c:v>
                </c:pt>
                <c:pt idx="133">
                  <c:v>37.777407545394951</c:v>
                </c:pt>
                <c:pt idx="134">
                  <c:v>37.806904582788569</c:v>
                </c:pt>
                <c:pt idx="135">
                  <c:v>37.830744095500542</c:v>
                </c:pt>
                <c:pt idx="136">
                  <c:v>37.849396931892564</c:v>
                </c:pt>
                <c:pt idx="137">
                  <c:v>37.863333698166365</c:v>
                </c:pt>
                <c:pt idx="138">
                  <c:v>37.873024756107171</c:v>
                </c:pt>
                <c:pt idx="139">
                  <c:v>37.878940213834973</c:v>
                </c:pt>
                <c:pt idx="140">
                  <c:v>37.881549915289035</c:v>
                </c:pt>
                <c:pt idx="141">
                  <c:v>37.881323432777222</c:v>
                </c:pt>
                <c:pt idx="142">
                  <c:v>37.878730060185354</c:v>
                </c:pt>
                <c:pt idx="143">
                  <c:v>37.874238801764669</c:v>
                </c:pt>
                <c:pt idx="144">
                  <c:v>37.868318365372552</c:v>
                </c:pt>
                <c:pt idx="145">
                  <c:v>37.8614371520097</c:v>
                </c:pt>
                <c:pt idx="146">
                  <c:v>37.85406324812282</c:v>
                </c:pt>
                <c:pt idx="147">
                  <c:v>37.846664418948841</c:v>
                </c:pt>
                <c:pt idx="148">
                  <c:v>37.838344603585767</c:v>
                </c:pt>
                <c:pt idx="149">
                  <c:v>37.827960585779941</c:v>
                </c:pt>
                <c:pt idx="150">
                  <c:v>37.815609097179404</c:v>
                </c:pt>
                <c:pt idx="151">
                  <c:v>37.801386789260128</c:v>
                </c:pt>
                <c:pt idx="152">
                  <c:v>37.785390225438626</c:v>
                </c:pt>
                <c:pt idx="153">
                  <c:v>37.76771587021242</c:v>
                </c:pt>
                <c:pt idx="154">
                  <c:v>37.748460076614307</c:v>
                </c:pt>
                <c:pt idx="155">
                  <c:v>37.727719077604121</c:v>
                </c:pt>
                <c:pt idx="156">
                  <c:v>37.705588976109802</c:v>
                </c:pt>
                <c:pt idx="157">
                  <c:v>37.682165733351297</c:v>
                </c:pt>
                <c:pt idx="158">
                  <c:v>37.657545161458948</c:v>
                </c:pt>
                <c:pt idx="159">
                  <c:v>37.631822912594686</c:v>
                </c:pt>
                <c:pt idx="160">
                  <c:v>37.605094471275237</c:v>
                </c:pt>
                <c:pt idx="161">
                  <c:v>37.577455147130998</c:v>
                </c:pt>
                <c:pt idx="162">
                  <c:v>37.548567363777472</c:v>
                </c:pt>
                <c:pt idx="163">
                  <c:v>37.518093667542651</c:v>
                </c:pt>
                <c:pt idx="164">
                  <c:v>37.48612926326917</c:v>
                </c:pt>
                <c:pt idx="165">
                  <c:v>37.452769146653296</c:v>
                </c:pt>
                <c:pt idx="166">
                  <c:v>37.418108100691384</c:v>
                </c:pt>
                <c:pt idx="167">
                  <c:v>37.382240691776822</c:v>
                </c:pt>
                <c:pt idx="168">
                  <c:v>37.345261266604474</c:v>
                </c:pt>
                <c:pt idx="169">
                  <c:v>37.30726394930528</c:v>
                </c:pt>
                <c:pt idx="170">
                  <c:v>37.268342641103857</c:v>
                </c:pt>
                <c:pt idx="171">
                  <c:v>37.228591019350603</c:v>
                </c:pt>
                <c:pt idx="172">
                  <c:v>37.188102539058164</c:v>
                </c:pt>
                <c:pt idx="173">
                  <c:v>37.146970433389086</c:v>
                </c:pt>
                <c:pt idx="174">
                  <c:v>37.105287716818921</c:v>
                </c:pt>
                <c:pt idx="175">
                  <c:v>37.063147188454643</c:v>
                </c:pt>
                <c:pt idx="176">
                  <c:v>37.021011430680417</c:v>
                </c:pt>
                <c:pt idx="177">
                  <c:v>36.979095956819144</c:v>
                </c:pt>
                <c:pt idx="178">
                  <c:v>36.937122838677034</c:v>
                </c:pt>
                <c:pt idx="179">
                  <c:v>36.894814193445391</c:v>
                </c:pt>
                <c:pt idx="180">
                  <c:v>36.85189218631939</c:v>
                </c:pt>
                <c:pt idx="181">
                  <c:v>36.808079031966066</c:v>
                </c:pt>
                <c:pt idx="182">
                  <c:v>36.763096999486798</c:v>
                </c:pt>
                <c:pt idx="183">
                  <c:v>36.716668414779939</c:v>
                </c:pt>
                <c:pt idx="184">
                  <c:v>36.668515665979307</c:v>
                </c:pt>
                <c:pt idx="185">
                  <c:v>36.618361210098811</c:v>
                </c:pt>
                <c:pt idx="186">
                  <c:v>36.565927575553367</c:v>
                </c:pt>
                <c:pt idx="187">
                  <c:v>36.510937371709325</c:v>
                </c:pt>
                <c:pt idx="188">
                  <c:v>36.45311329499944</c:v>
                </c:pt>
                <c:pt idx="189">
                  <c:v>36.392178134593834</c:v>
                </c:pt>
                <c:pt idx="190">
                  <c:v>36.32774709632448</c:v>
                </c:pt>
                <c:pt idx="191">
                  <c:v>36.259866232811007</c:v>
                </c:pt>
                <c:pt idx="192">
                  <c:v>36.188904488593586</c:v>
                </c:pt>
                <c:pt idx="193">
                  <c:v>36.115230568324549</c:v>
                </c:pt>
                <c:pt idx="194">
                  <c:v>36.039212950472631</c:v>
                </c:pt>
                <c:pt idx="195">
                  <c:v>35.961219903850385</c:v>
                </c:pt>
                <c:pt idx="196">
                  <c:v>35.881619496256306</c:v>
                </c:pt>
                <c:pt idx="197">
                  <c:v>35.800779609577397</c:v>
                </c:pt>
                <c:pt idx="198">
                  <c:v>35.719067951344975</c:v>
                </c:pt>
                <c:pt idx="199">
                  <c:v>35.636852063723381</c:v>
                </c:pt>
                <c:pt idx="200">
                  <c:v>35.554499333699241</c:v>
                </c:pt>
                <c:pt idx="201">
                  <c:v>35.472377003089761</c:v>
                </c:pt>
                <c:pt idx="202">
                  <c:v>35.390852174623824</c:v>
                </c:pt>
                <c:pt idx="203">
                  <c:v>35.310291820349526</c:v>
                </c:pt>
                <c:pt idx="204">
                  <c:v>35.230540758935135</c:v>
                </c:pt>
                <c:pt idx="205">
                  <c:v>35.151075523596838</c:v>
                </c:pt>
                <c:pt idx="206">
                  <c:v>35.071710694886342</c:v>
                </c:pt>
                <c:pt idx="207">
                  <c:v>34.992261028191805</c:v>
                </c:pt>
                <c:pt idx="208">
                  <c:v>34.91254145333064</c:v>
                </c:pt>
                <c:pt idx="209">
                  <c:v>34.832367075085379</c:v>
                </c:pt>
                <c:pt idx="210">
                  <c:v>34.75155317284964</c:v>
                </c:pt>
                <c:pt idx="211">
                  <c:v>34.669915198061382</c:v>
                </c:pt>
                <c:pt idx="212">
                  <c:v>34.587268773969605</c:v>
                </c:pt>
                <c:pt idx="213">
                  <c:v>34.503429692672817</c:v>
                </c:pt>
                <c:pt idx="214">
                  <c:v>34.418213912845637</c:v>
                </c:pt>
                <c:pt idx="215">
                  <c:v>34.33143755687113</c:v>
                </c:pt>
                <c:pt idx="216">
                  <c:v>34.242916906804012</c:v>
                </c:pt>
                <c:pt idx="217">
                  <c:v>34.152468401566466</c:v>
                </c:pt>
                <c:pt idx="218">
                  <c:v>34.060368410242297</c:v>
                </c:pt>
                <c:pt idx="219">
                  <c:v>33.967015809715591</c:v>
                </c:pt>
                <c:pt idx="220">
                  <c:v>33.872410953094239</c:v>
                </c:pt>
                <c:pt idx="221">
                  <c:v>33.77655424278975</c:v>
                </c:pt>
                <c:pt idx="222">
                  <c:v>33.679446126534103</c:v>
                </c:pt>
                <c:pt idx="223">
                  <c:v>33.581087093083603</c:v>
                </c:pt>
                <c:pt idx="224">
                  <c:v>33.481477668461373</c:v>
                </c:pt>
                <c:pt idx="225">
                  <c:v>33.380618411895561</c:v>
                </c:pt>
                <c:pt idx="226">
                  <c:v>33.278509912972424</c:v>
                </c:pt>
                <c:pt idx="227">
                  <c:v>33.175152787087349</c:v>
                </c:pt>
                <c:pt idx="228">
                  <c:v>33.070547672703441</c:v>
                </c:pt>
                <c:pt idx="229">
                  <c:v>32.964695228234064</c:v>
                </c:pt>
                <c:pt idx="230">
                  <c:v>32.857596129239376</c:v>
                </c:pt>
                <c:pt idx="231">
                  <c:v>32.74925106579888</c:v>
                </c:pt>
                <c:pt idx="232">
                  <c:v>32.641052970445138</c:v>
                </c:pt>
                <c:pt idx="233">
                  <c:v>32.533965783678951</c:v>
                </c:pt>
                <c:pt idx="234">
                  <c:v>32.427346961173846</c:v>
                </c:pt>
                <c:pt idx="235">
                  <c:v>32.32055428406813</c:v>
                </c:pt>
                <c:pt idx="236">
                  <c:v>32.212945853586241</c:v>
                </c:pt>
                <c:pt idx="237">
                  <c:v>32.103880089156064</c:v>
                </c:pt>
                <c:pt idx="238">
                  <c:v>31.992715721769834</c:v>
                </c:pt>
                <c:pt idx="239">
                  <c:v>31.878811795088755</c:v>
                </c:pt>
                <c:pt idx="240">
                  <c:v>31.761527659768799</c:v>
                </c:pt>
                <c:pt idx="241">
                  <c:v>31.640222967101813</c:v>
                </c:pt>
                <c:pt idx="242">
                  <c:v>31.514257671576878</c:v>
                </c:pt>
                <c:pt idx="243">
                  <c:v>31.382992023851674</c:v>
                </c:pt>
                <c:pt idx="244">
                  <c:v>31.245786565170025</c:v>
                </c:pt>
                <c:pt idx="245">
                  <c:v>31.102002129143759</c:v>
                </c:pt>
                <c:pt idx="246">
                  <c:v>30.951412225220466</c:v>
                </c:pt>
                <c:pt idx="247">
                  <c:v>30.794584615545787</c:v>
                </c:pt>
                <c:pt idx="248">
                  <c:v>30.632071517307345</c:v>
                </c:pt>
                <c:pt idx="249">
                  <c:v>30.464424888444928</c:v>
                </c:pt>
                <c:pt idx="250">
                  <c:v>30.292196433614524</c:v>
                </c:pt>
                <c:pt idx="251">
                  <c:v>30.115937601133457</c:v>
                </c:pt>
                <c:pt idx="252">
                  <c:v>29.936199590812926</c:v>
                </c:pt>
                <c:pt idx="253">
                  <c:v>29.753533350084979</c:v>
                </c:pt>
                <c:pt idx="254">
                  <c:v>29.568489585650354</c:v>
                </c:pt>
                <c:pt idx="255">
                  <c:v>29.381618763797729</c:v>
                </c:pt>
                <c:pt idx="256">
                  <c:v>29.193471112629584</c:v>
                </c:pt>
                <c:pt idx="257">
                  <c:v>29.004596622141158</c:v>
                </c:pt>
                <c:pt idx="258">
                  <c:v>28.815545048944816</c:v>
                </c:pt>
                <c:pt idx="259">
                  <c:v>28.626865918007361</c:v>
                </c:pt>
                <c:pt idx="260">
                  <c:v>28.438132481784418</c:v>
                </c:pt>
                <c:pt idx="261">
                  <c:v>28.24823472631391</c:v>
                </c:pt>
                <c:pt idx="262">
                  <c:v>28.056990641887715</c:v>
                </c:pt>
                <c:pt idx="263">
                  <c:v>27.86421832188503</c:v>
                </c:pt>
                <c:pt idx="264">
                  <c:v>27.669735957431861</c:v>
                </c:pt>
                <c:pt idx="265">
                  <c:v>27.473361817845472</c:v>
                </c:pt>
                <c:pt idx="266">
                  <c:v>27.274914243760485</c:v>
                </c:pt>
                <c:pt idx="267">
                  <c:v>27.073735811890849</c:v>
                </c:pt>
                <c:pt idx="268">
                  <c:v>26.869646095626234</c:v>
                </c:pt>
                <c:pt idx="269">
                  <c:v>26.662464854668588</c:v>
                </c:pt>
                <c:pt idx="270">
                  <c:v>26.45201204779951</c:v>
                </c:pt>
                <c:pt idx="271">
                  <c:v>26.238107838311223</c:v>
                </c:pt>
                <c:pt idx="272">
                  <c:v>26.020572595901577</c:v>
                </c:pt>
                <c:pt idx="273">
                  <c:v>25.799226902573995</c:v>
                </c:pt>
                <c:pt idx="274">
                  <c:v>25.574348469088296</c:v>
                </c:pt>
                <c:pt idx="275">
                  <c:v>25.34617559269164</c:v>
                </c:pt>
                <c:pt idx="276">
                  <c:v>25.114905640948759</c:v>
                </c:pt>
                <c:pt idx="277">
                  <c:v>24.880542393572291</c:v>
                </c:pt>
                <c:pt idx="278">
                  <c:v>24.643089788486225</c:v>
                </c:pt>
                <c:pt idx="279">
                  <c:v>24.402551914601197</c:v>
                </c:pt>
                <c:pt idx="280">
                  <c:v>24.158933014137201</c:v>
                </c:pt>
                <c:pt idx="281">
                  <c:v>23.912198498002731</c:v>
                </c:pt>
                <c:pt idx="282">
                  <c:v>23.662820940147924</c:v>
                </c:pt>
                <c:pt idx="283">
                  <c:v>23.410802924427479</c:v>
                </c:pt>
                <c:pt idx="284">
                  <c:v>23.15614699214602</c:v>
                </c:pt>
                <c:pt idx="285">
                  <c:v>22.898855630659057</c:v>
                </c:pt>
                <c:pt idx="286">
                  <c:v>22.638931265159599</c:v>
                </c:pt>
                <c:pt idx="287">
                  <c:v>22.376376245792802</c:v>
                </c:pt>
                <c:pt idx="288">
                  <c:v>22.110599462207805</c:v>
                </c:pt>
                <c:pt idx="289">
                  <c:v>21.841028086830356</c:v>
                </c:pt>
                <c:pt idx="290">
                  <c:v>21.568096649769277</c:v>
                </c:pt>
                <c:pt idx="291">
                  <c:v>21.292081126471622</c:v>
                </c:pt>
                <c:pt idx="292">
                  <c:v>21.013257301154823</c:v>
                </c:pt>
                <c:pt idx="293">
                  <c:v>20.731900766113728</c:v>
                </c:pt>
                <c:pt idx="294">
                  <c:v>20.448286915157521</c:v>
                </c:pt>
                <c:pt idx="295">
                  <c:v>20.163122877018239</c:v>
                </c:pt>
                <c:pt idx="296">
                  <c:v>19.8767147529095</c:v>
                </c:pt>
                <c:pt idx="297">
                  <c:v>19.589330717457159</c:v>
                </c:pt>
                <c:pt idx="298">
                  <c:v>19.301240759928241</c:v>
                </c:pt>
                <c:pt idx="299">
                  <c:v>19.012714571163965</c:v>
                </c:pt>
                <c:pt idx="300">
                  <c:v>18.724021555712753</c:v>
                </c:pt>
                <c:pt idx="301">
                  <c:v>18.435430848478653</c:v>
                </c:pt>
                <c:pt idx="302">
                  <c:v>18.143167284116071</c:v>
                </c:pt>
                <c:pt idx="303">
                  <c:v>17.844906730831497</c:v>
                </c:pt>
                <c:pt idx="304">
                  <c:v>17.542348954110011</c:v>
                </c:pt>
                <c:pt idx="305">
                  <c:v>17.237033656096251</c:v>
                </c:pt>
                <c:pt idx="306">
                  <c:v>16.930500119666942</c:v>
                </c:pt>
                <c:pt idx="307">
                  <c:v>16.624287267057074</c:v>
                </c:pt>
                <c:pt idx="308">
                  <c:v>16.319933720077913</c:v>
                </c:pt>
                <c:pt idx="309">
                  <c:v>16.019139215576274</c:v>
                </c:pt>
                <c:pt idx="310">
                  <c:v>15.723025766522326</c:v>
                </c:pt>
                <c:pt idx="311">
                  <c:v>15.433133537766562</c:v>
                </c:pt>
                <c:pt idx="312">
                  <c:v>15.151002572820854</c:v>
                </c:pt>
                <c:pt idx="313">
                  <c:v>14.878172825334971</c:v>
                </c:pt>
                <c:pt idx="314">
                  <c:v>14.616184187456842</c:v>
                </c:pt>
                <c:pt idx="315">
                  <c:v>14.366576512340247</c:v>
                </c:pt>
                <c:pt idx="316">
                  <c:v>14.1270154395052</c:v>
                </c:pt>
                <c:pt idx="317">
                  <c:v>13.894138341933372</c:v>
                </c:pt>
                <c:pt idx="318">
                  <c:v>13.667361870062313</c:v>
                </c:pt>
                <c:pt idx="319">
                  <c:v>13.446682527501734</c:v>
                </c:pt>
                <c:pt idx="320">
                  <c:v>13.232097066092688</c:v>
                </c:pt>
                <c:pt idx="321">
                  <c:v>13.023602489665373</c:v>
                </c:pt>
                <c:pt idx="322">
                  <c:v>12.821196053661961</c:v>
                </c:pt>
                <c:pt idx="323">
                  <c:v>12.624951064215084</c:v>
                </c:pt>
                <c:pt idx="324">
                  <c:v>12.434709591280289</c:v>
                </c:pt>
                <c:pt idx="325">
                  <c:v>12.250470217787358</c:v>
                </c:pt>
                <c:pt idx="326">
                  <c:v>12.072233932072756</c:v>
                </c:pt>
                <c:pt idx="327">
                  <c:v>11.900000375581383</c:v>
                </c:pt>
                <c:pt idx="328">
                  <c:v>11.73376757570724</c:v>
                </c:pt>
                <c:pt idx="329">
                  <c:v>11.573533794238893</c:v>
                </c:pt>
                <c:pt idx="330">
                  <c:v>11.417126738612877</c:v>
                </c:pt>
                <c:pt idx="331">
                  <c:v>11.263059860866502</c:v>
                </c:pt>
                <c:pt idx="332">
                  <c:v>11.112330641167071</c:v>
                </c:pt>
                <c:pt idx="333">
                  <c:v>10.965940377615119</c:v>
                </c:pt>
                <c:pt idx="334">
                  <c:v>10.824890272036949</c:v>
                </c:pt>
                <c:pt idx="335">
                  <c:v>10.690181394224213</c:v>
                </c:pt>
                <c:pt idx="336">
                  <c:v>10.562814657215879</c:v>
                </c:pt>
                <c:pt idx="337">
                  <c:v>10.443660995530765</c:v>
                </c:pt>
                <c:pt idx="338">
                  <c:v>10.333647885643405</c:v>
                </c:pt>
                <c:pt idx="339">
                  <c:v>10.2337764206938</c:v>
                </c:pt>
                <c:pt idx="340">
                  <c:v>10.145047327002715</c:v>
                </c:pt>
                <c:pt idx="341">
                  <c:v>10.068460936856674</c:v>
                </c:pt>
                <c:pt idx="342">
                  <c:v>10.005017166404492</c:v>
                </c:pt>
                <c:pt idx="343">
                  <c:v>9.9557154930701444</c:v>
                </c:pt>
                <c:pt idx="344">
                  <c:v>9.9212023145191566</c:v>
                </c:pt>
                <c:pt idx="345">
                  <c:v>9.9007952921737523</c:v>
                </c:pt>
                <c:pt idx="346">
                  <c:v>9.893327976952385</c:v>
                </c:pt>
                <c:pt idx="347">
                  <c:v>9.8978072636395993</c:v>
                </c:pt>
                <c:pt idx="348">
                  <c:v>9.9132402262482557</c:v>
                </c:pt>
                <c:pt idx="349">
                  <c:v>9.9386341307060473</c:v>
                </c:pt>
                <c:pt idx="350">
                  <c:v>9.9729964415262007</c:v>
                </c:pt>
                <c:pt idx="351">
                  <c:v>10.015179396656221</c:v>
                </c:pt>
                <c:pt idx="352">
                  <c:v>10.064318999223158</c:v>
                </c:pt>
                <c:pt idx="353">
                  <c:v>10.119423367206185</c:v>
                </c:pt>
                <c:pt idx="354">
                  <c:v>10.179500837309838</c:v>
                </c:pt>
                <c:pt idx="355">
                  <c:v>10.243559971795438</c:v>
                </c:pt>
                <c:pt idx="356">
                  <c:v>10.310611148611141</c:v>
                </c:pt>
                <c:pt idx="357">
                  <c:v>10.379662139096416</c:v>
                </c:pt>
                <c:pt idx="358">
                  <c:v>10.453002434803572</c:v>
                </c:pt>
                <c:pt idx="359">
                  <c:v>10.53335160805951</c:v>
                </c:pt>
                <c:pt idx="360">
                  <c:v>10.620237516241232</c:v>
                </c:pt>
                <c:pt idx="361">
                  <c:v>10.713470791998226</c:v>
                </c:pt>
                <c:pt idx="362">
                  <c:v>10.812706994758527</c:v>
                </c:pt>
                <c:pt idx="363">
                  <c:v>10.917601731769379</c:v>
                </c:pt>
                <c:pt idx="364">
                  <c:v>11.027810666825266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11.539395928764026</c:v>
                </c:pt>
                <c:pt idx="1">
                  <c:v>9.0093351410172513</c:v>
                </c:pt>
                <c:pt idx="2">
                  <c:v>10.336773430493478</c:v>
                </c:pt>
                <c:pt idx="3">
                  <c:v>10.840849718805924</c:v>
                </c:pt>
                <c:pt idx="4">
                  <c:v>8.9687123086083762</c:v>
                </c:pt>
                <c:pt idx="5">
                  <c:v>12.851941408544628</c:v>
                </c:pt>
                <c:pt idx="6">
                  <c:v>5.7253863259679045</c:v>
                </c:pt>
                <c:pt idx="7">
                  <c:v>4.6156989325725233</c:v>
                </c:pt>
                <c:pt idx="8">
                  <c:v>1.2733222681033765</c:v>
                </c:pt>
                <c:pt idx="9">
                  <c:v>0.91442029206145692</c:v>
                </c:pt>
                <c:pt idx="10">
                  <c:v>13.223471219721807</c:v>
                </c:pt>
                <c:pt idx="11">
                  <c:v>10.784054580126805</c:v>
                </c:pt>
                <c:pt idx="12">
                  <c:v>3.2882387372555115</c:v>
                </c:pt>
                <c:pt idx="13">
                  <c:v>13.739866202021515</c:v>
                </c:pt>
                <c:pt idx="14">
                  <c:v>14.042713081966689</c:v>
                </c:pt>
                <c:pt idx="15">
                  <c:v>14.120176022163758</c:v>
                </c:pt>
                <c:pt idx="16">
                  <c:v>10.233923526941789</c:v>
                </c:pt>
                <c:pt idx="17">
                  <c:v>2.478566472001916</c:v>
                </c:pt>
                <c:pt idx="18">
                  <c:v>7.4285263263654526</c:v>
                </c:pt>
                <c:pt idx="19">
                  <c:v>3.9600104827020424</c:v>
                </c:pt>
                <c:pt idx="20">
                  <c:v>10.853584671134877</c:v>
                </c:pt>
                <c:pt idx="21">
                  <c:v>15.605229294867975</c:v>
                </c:pt>
                <c:pt idx="22">
                  <c:v>15.659000074427903</c:v>
                </c:pt>
                <c:pt idx="23">
                  <c:v>15.936298673823341</c:v>
                </c:pt>
                <c:pt idx="24">
                  <c:v>15.114813468442449</c:v>
                </c:pt>
                <c:pt idx="25">
                  <c:v>16.428698022924742</c:v>
                </c:pt>
                <c:pt idx="26">
                  <c:v>14.032526486571831</c:v>
                </c:pt>
                <c:pt idx="27">
                  <c:v>2.6238226415736952</c:v>
                </c:pt>
                <c:pt idx="28">
                  <c:v>4.4840169465442736</c:v>
                </c:pt>
                <c:pt idx="29">
                  <c:v>2.9082239811417643</c:v>
                </c:pt>
                <c:pt idx="30">
                  <c:v>6.8241051857054122</c:v>
                </c:pt>
                <c:pt idx="31">
                  <c:v>8.4989485337826167</c:v>
                </c:pt>
                <c:pt idx="32">
                  <c:v>3.7426178208691407</c:v>
                </c:pt>
                <c:pt idx="33">
                  <c:v>7.9806621795844643</c:v>
                </c:pt>
                <c:pt idx="34">
                  <c:v>7.740867812652418</c:v>
                </c:pt>
                <c:pt idx="35">
                  <c:v>7.1814711588380371</c:v>
                </c:pt>
                <c:pt idx="36">
                  <c:v>14.714154902256285</c:v>
                </c:pt>
                <c:pt idx="37">
                  <c:v>8.6292646613184463</c:v>
                </c:pt>
                <c:pt idx="38">
                  <c:v>20.507093817380991</c:v>
                </c:pt>
                <c:pt idx="39">
                  <c:v>20.537299727576965</c:v>
                </c:pt>
                <c:pt idx="40">
                  <c:v>19.471322153484326</c:v>
                </c:pt>
                <c:pt idx="41">
                  <c:v>10.549305223236001</c:v>
                </c:pt>
                <c:pt idx="42">
                  <c:v>16.761183824525457</c:v>
                </c:pt>
                <c:pt idx="43">
                  <c:v>19.226595510127659</c:v>
                </c:pt>
                <c:pt idx="44">
                  <c:v>10.632999808044113</c:v>
                </c:pt>
                <c:pt idx="45">
                  <c:v>13.427811117858333</c:v>
                </c:pt>
                <c:pt idx="46">
                  <c:v>5.8683719580031761</c:v>
                </c:pt>
                <c:pt idx="47">
                  <c:v>10.02101393588466</c:v>
                </c:pt>
                <c:pt idx="48">
                  <c:v>18.899982389887708</c:v>
                </c:pt>
                <c:pt idx="49">
                  <c:v>12.180417682836852</c:v>
                </c:pt>
                <c:pt idx="50">
                  <c:v>13.676551298340323</c:v>
                </c:pt>
                <c:pt idx="51">
                  <c:v>14.155017355199822</c:v>
                </c:pt>
                <c:pt idx="52">
                  <c:v>22.050107314560538</c:v>
                </c:pt>
                <c:pt idx="53">
                  <c:v>22.541317290342651</c:v>
                </c:pt>
                <c:pt idx="54">
                  <c:v>14.562272467374463</c:v>
                </c:pt>
                <c:pt idx="55">
                  <c:v>20.30808749498209</c:v>
                </c:pt>
                <c:pt idx="56">
                  <c:v>25.437606322472906</c:v>
                </c:pt>
                <c:pt idx="57">
                  <c:v>17.197231662411479</c:v>
                </c:pt>
                <c:pt idx="58">
                  <c:v>22.47906764961914</c:v>
                </c:pt>
                <c:pt idx="59">
                  <c:v>25.22056304397924</c:v>
                </c:pt>
                <c:pt idx="60">
                  <c:v>9.2736477462189804</c:v>
                </c:pt>
                <c:pt idx="61">
                  <c:v>23.784918437878844</c:v>
                </c:pt>
                <c:pt idx="62">
                  <c:v>3.6299945064002688</c:v>
                </c:pt>
                <c:pt idx="63">
                  <c:v>9.3021824141856086</c:v>
                </c:pt>
                <c:pt idx="64">
                  <c:v>12.647318339746175</c:v>
                </c:pt>
                <c:pt idx="65">
                  <c:v>23.962486639146114</c:v>
                </c:pt>
                <c:pt idx="66">
                  <c:v>19.883427109397967</c:v>
                </c:pt>
                <c:pt idx="67">
                  <c:v>22.33586721337814</c:v>
                </c:pt>
                <c:pt idx="68">
                  <c:v>15.447207269016664</c:v>
                </c:pt>
                <c:pt idx="69">
                  <c:v>10.000584515444103</c:v>
                </c:pt>
                <c:pt idx="70">
                  <c:v>10.072505863392367</c:v>
                </c:pt>
                <c:pt idx="71">
                  <c:v>5.500066690515693</c:v>
                </c:pt>
                <c:pt idx="72">
                  <c:v>7.8699454504609125</c:v>
                </c:pt>
                <c:pt idx="73">
                  <c:v>8.0533695190372239</c:v>
                </c:pt>
                <c:pt idx="74">
                  <c:v>6.1864603729997176</c:v>
                </c:pt>
                <c:pt idx="75">
                  <c:v>7.2542523057805957</c:v>
                </c:pt>
                <c:pt idx="76">
                  <c:v>9.0516427732637172</c:v>
                </c:pt>
                <c:pt idx="77">
                  <c:v>18.176906491239308</c:v>
                </c:pt>
                <c:pt idx="78">
                  <c:v>20.26304291660815</c:v>
                </c:pt>
                <c:pt idx="79">
                  <c:v>29.018010974838891</c:v>
                </c:pt>
                <c:pt idx="80">
                  <c:v>26.786958470014437</c:v>
                </c:pt>
                <c:pt idx="81">
                  <c:v>30.082077952079292</c:v>
                </c:pt>
                <c:pt idx="82">
                  <c:v>29.777994061729743</c:v>
                </c:pt>
                <c:pt idx="83">
                  <c:v>26.591134172793254</c:v>
                </c:pt>
                <c:pt idx="84">
                  <c:v>28.293362321081318</c:v>
                </c:pt>
                <c:pt idx="85">
                  <c:v>28.219817511732746</c:v>
                </c:pt>
                <c:pt idx="86">
                  <c:v>21.802616672338846</c:v>
                </c:pt>
                <c:pt idx="87">
                  <c:v>17.537520162639154</c:v>
                </c:pt>
                <c:pt idx="88">
                  <c:v>4.3364943023446445</c:v>
                </c:pt>
                <c:pt idx="89">
                  <c:v>18.713910572989164</c:v>
                </c:pt>
                <c:pt idx="90">
                  <c:v>20.603299732707075</c:v>
                </c:pt>
                <c:pt idx="91">
                  <c:v>12.715944524874338</c:v>
                </c:pt>
                <c:pt idx="92">
                  <c:v>15.112304752667916</c:v>
                </c:pt>
                <c:pt idx="93">
                  <c:v>27.520494713034171</c:v>
                </c:pt>
                <c:pt idx="94">
                  <c:v>33.926126079156219</c:v>
                </c:pt>
                <c:pt idx="95">
                  <c:v>7.8028321203129289</c:v>
                </c:pt>
                <c:pt idx="96">
                  <c:v>25.222352304683209</c:v>
                </c:pt>
                <c:pt idx="97">
                  <c:v>19.886825363285887</c:v>
                </c:pt>
                <c:pt idx="98">
                  <c:v>24.003874157069859</c:v>
                </c:pt>
                <c:pt idx="99">
                  <c:v>33.97991771970613</c:v>
                </c:pt>
                <c:pt idx="100">
                  <c:v>27.233519600999774</c:v>
                </c:pt>
                <c:pt idx="101">
                  <c:v>23.104901114728925</c:v>
                </c:pt>
                <c:pt idx="102">
                  <c:v>4.487964452046894</c:v>
                </c:pt>
                <c:pt idx="103">
                  <c:v>25.442219016473338</c:v>
                </c:pt>
                <c:pt idx="104">
                  <c:v>28.216445418031832</c:v>
                </c:pt>
                <c:pt idx="105">
                  <c:v>28.404892969904623</c:v>
                </c:pt>
                <c:pt idx="106">
                  <c:v>35.217575319483167</c:v>
                </c:pt>
                <c:pt idx="107">
                  <c:v>25.219147724303941</c:v>
                </c:pt>
                <c:pt idx="108">
                  <c:v>6.1785717134764608</c:v>
                </c:pt>
                <c:pt idx="109">
                  <c:v>6.318415024014814</c:v>
                </c:pt>
                <c:pt idx="110">
                  <c:v>6.7495655790615041</c:v>
                </c:pt>
                <c:pt idx="111">
                  <c:v>17.794976646008443</c:v>
                </c:pt>
                <c:pt idx="112">
                  <c:v>5.5523280204888925</c:v>
                </c:pt>
                <c:pt idx="113">
                  <c:v>21.824848072980782</c:v>
                </c:pt>
                <c:pt idx="114">
                  <c:v>30.250554462734133</c:v>
                </c:pt>
                <c:pt idx="115">
                  <c:v>34.937827694707174</c:v>
                </c:pt>
                <c:pt idx="116">
                  <c:v>25.346022587179551</c:v>
                </c:pt>
                <c:pt idx="117">
                  <c:v>16.220260439737096</c:v>
                </c:pt>
                <c:pt idx="118">
                  <c:v>27.611620835327734</c:v>
                </c:pt>
                <c:pt idx="119">
                  <c:v>29.058565481264949</c:v>
                </c:pt>
                <c:pt idx="120">
                  <c:v>29.951050983555191</c:v>
                </c:pt>
                <c:pt idx="121">
                  <c:v>17.448843895040095</c:v>
                </c:pt>
                <c:pt idx="122">
                  <c:v>19.39004020256154</c:v>
                </c:pt>
                <c:pt idx="123">
                  <c:v>13.516168128005125</c:v>
                </c:pt>
                <c:pt idx="124">
                  <c:v>26.432308598511572</c:v>
                </c:pt>
                <c:pt idx="125">
                  <c:v>24.528137282045513</c:v>
                </c:pt>
                <c:pt idx="126">
                  <c:v>30.487666903915816</c:v>
                </c:pt>
                <c:pt idx="127">
                  <c:v>31.451073300114974</c:v>
                </c:pt>
                <c:pt idx="128">
                  <c:v>35.439386248283469</c:v>
                </c:pt>
                <c:pt idx="129">
                  <c:v>32.758360814396198</c:v>
                </c:pt>
                <c:pt idx="130">
                  <c:v>35.325044054327243</c:v>
                </c:pt>
                <c:pt idx="131">
                  <c:v>27.184560332653135</c:v>
                </c:pt>
                <c:pt idx="132">
                  <c:v>29.676469952381463</c:v>
                </c:pt>
                <c:pt idx="133">
                  <c:v>30.906949331767471</c:v>
                </c:pt>
                <c:pt idx="134">
                  <c:v>32.917228023158493</c:v>
                </c:pt>
                <c:pt idx="135">
                  <c:v>31.879241778650492</c:v>
                </c:pt>
                <c:pt idx="136">
                  <c:v>34.263414375168232</c:v>
                </c:pt>
                <c:pt idx="137">
                  <c:v>32.950603725931593</c:v>
                </c:pt>
                <c:pt idx="138">
                  <c:v>34.002436231344291</c:v>
                </c:pt>
                <c:pt idx="139">
                  <c:v>30.328839608131243</c:v>
                </c:pt>
                <c:pt idx="140">
                  <c:v>30.231839794255333</c:v>
                </c:pt>
                <c:pt idx="141">
                  <c:v>22.595060173017462</c:v>
                </c:pt>
                <c:pt idx="142">
                  <c:v>11.762254833077431</c:v>
                </c:pt>
                <c:pt idx="143">
                  <c:v>10.527995209776828</c:v>
                </c:pt>
                <c:pt idx="144">
                  <c:v>25.934061115999192</c:v>
                </c:pt>
                <c:pt idx="145">
                  <c:v>13.886257920222247</c:v>
                </c:pt>
                <c:pt idx="146">
                  <c:v>27.54440143026784</c:v>
                </c:pt>
                <c:pt idx="147">
                  <c:v>35.032009250024757</c:v>
                </c:pt>
                <c:pt idx="148">
                  <c:v>38.01841198669468</c:v>
                </c:pt>
                <c:pt idx="149">
                  <c:v>31.48563111185377</c:v>
                </c:pt>
                <c:pt idx="150">
                  <c:v>34.453590155676828</c:v>
                </c:pt>
                <c:pt idx="151">
                  <c:v>35.236468547322929</c:v>
                </c:pt>
                <c:pt idx="152">
                  <c:v>28.136446600581696</c:v>
                </c:pt>
                <c:pt idx="153">
                  <c:v>34.075213482191579</c:v>
                </c:pt>
                <c:pt idx="154">
                  <c:v>16.927440749386598</c:v>
                </c:pt>
                <c:pt idx="155">
                  <c:v>20.767509463238671</c:v>
                </c:pt>
                <c:pt idx="156">
                  <c:v>28.818615194752944</c:v>
                </c:pt>
                <c:pt idx="157">
                  <c:v>16.699394623698954</c:v>
                </c:pt>
                <c:pt idx="158">
                  <c:v>14.73961024647288</c:v>
                </c:pt>
                <c:pt idx="159">
                  <c:v>28.849995253157918</c:v>
                </c:pt>
                <c:pt idx="160">
                  <c:v>36.698259824308238</c:v>
                </c:pt>
                <c:pt idx="161">
                  <c:v>34.770570602425174</c:v>
                </c:pt>
                <c:pt idx="162">
                  <c:v>27.526551143474705</c:v>
                </c:pt>
                <c:pt idx="163">
                  <c:v>33.499505006572022</c:v>
                </c:pt>
                <c:pt idx="164">
                  <c:v>30.010091492295619</c:v>
                </c:pt>
                <c:pt idx="165">
                  <c:v>34.013489025766496</c:v>
                </c:pt>
                <c:pt idx="166">
                  <c:v>32.092550452037571</c:v>
                </c:pt>
                <c:pt idx="167">
                  <c:v>32.677319102204358</c:v>
                </c:pt>
                <c:pt idx="168">
                  <c:v>33.879781051824374</c:v>
                </c:pt>
                <c:pt idx="169">
                  <c:v>34.688906402453284</c:v>
                </c:pt>
                <c:pt idx="170">
                  <c:v>19.496239472634254</c:v>
                </c:pt>
                <c:pt idx="171">
                  <c:v>13.645659477264054</c:v>
                </c:pt>
                <c:pt idx="172">
                  <c:v>28.471434954832155</c:v>
                </c:pt>
                <c:pt idx="173">
                  <c:v>25.579201998092643</c:v>
                </c:pt>
                <c:pt idx="174">
                  <c:v>29.030051809110763</c:v>
                </c:pt>
                <c:pt idx="175">
                  <c:v>20.702786016602293</c:v>
                </c:pt>
                <c:pt idx="176">
                  <c:v>7.3862408298258364</c:v>
                </c:pt>
                <c:pt idx="177">
                  <c:v>9.562803205921405</c:v>
                </c:pt>
                <c:pt idx="178">
                  <c:v>37.171292697380231</c:v>
                </c:pt>
                <c:pt idx="179">
                  <c:v>35.91265660974797</c:v>
                </c:pt>
                <c:pt idx="180">
                  <c:v>8.7334327335732738</c:v>
                </c:pt>
                <c:pt idx="181">
                  <c:v>33.834364114605997</c:v>
                </c:pt>
                <c:pt idx="182">
                  <c:v>34.869796609489022</c:v>
                </c:pt>
                <c:pt idx="183">
                  <c:v>28.855887615788003</c:v>
                </c:pt>
                <c:pt idx="184">
                  <c:v>27.652570103994076</c:v>
                </c:pt>
                <c:pt idx="185">
                  <c:v>34.507757697901035</c:v>
                </c:pt>
                <c:pt idx="186">
                  <c:v>27.564308597112319</c:v>
                </c:pt>
                <c:pt idx="187">
                  <c:v>35.51704771416609</c:v>
                </c:pt>
                <c:pt idx="188">
                  <c:v>36.636988522285876</c:v>
                </c:pt>
                <c:pt idx="189">
                  <c:v>35.938725621526281</c:v>
                </c:pt>
                <c:pt idx="190">
                  <c:v>35.515326870083264</c:v>
                </c:pt>
                <c:pt idx="191">
                  <c:v>34.261490681912967</c:v>
                </c:pt>
                <c:pt idx="192">
                  <c:v>34.088672105020159</c:v>
                </c:pt>
                <c:pt idx="193">
                  <c:v>33.951788784376788</c:v>
                </c:pt>
                <c:pt idx="194">
                  <c:v>33.353548712896128</c:v>
                </c:pt>
                <c:pt idx="195">
                  <c:v>32.293949359174633</c:v>
                </c:pt>
                <c:pt idx="196">
                  <c:v>33.471197449196076</c:v>
                </c:pt>
                <c:pt idx="197">
                  <c:v>32.814673491714053</c:v>
                </c:pt>
                <c:pt idx="198">
                  <c:v>32.74771394875696</c:v>
                </c:pt>
                <c:pt idx="199">
                  <c:v>25.423328064920433</c:v>
                </c:pt>
                <c:pt idx="200">
                  <c:v>24.883338260013588</c:v>
                </c:pt>
                <c:pt idx="201">
                  <c:v>32.48855211838184</c:v>
                </c:pt>
                <c:pt idx="202">
                  <c:v>25.78574998836983</c:v>
                </c:pt>
                <c:pt idx="203">
                  <c:v>30.184763542828581</c:v>
                </c:pt>
                <c:pt idx="204">
                  <c:v>32.614984216347246</c:v>
                </c:pt>
                <c:pt idx="205">
                  <c:v>18.375886848663068</c:v>
                </c:pt>
                <c:pt idx="206">
                  <c:v>33.822410142601733</c:v>
                </c:pt>
                <c:pt idx="207">
                  <c:v>35.508634544773109</c:v>
                </c:pt>
                <c:pt idx="208">
                  <c:v>28.653274263573941</c:v>
                </c:pt>
                <c:pt idx="209">
                  <c:v>18.273047691380476</c:v>
                </c:pt>
                <c:pt idx="210">
                  <c:v>29.20117862805122</c:v>
                </c:pt>
                <c:pt idx="211">
                  <c:v>34.029566828168328</c:v>
                </c:pt>
                <c:pt idx="212">
                  <c:v>33.932489440724297</c:v>
                </c:pt>
                <c:pt idx="213">
                  <c:v>33.831526168314298</c:v>
                </c:pt>
                <c:pt idx="214">
                  <c:v>31.567462571003503</c:v>
                </c:pt>
                <c:pt idx="215">
                  <c:v>31.035233934177665</c:v>
                </c:pt>
                <c:pt idx="216">
                  <c:v>28.17671713951194</c:v>
                </c:pt>
                <c:pt idx="217">
                  <c:v>30.57784027951358</c:v>
                </c:pt>
                <c:pt idx="218">
                  <c:v>32.763338994656152</c:v>
                </c:pt>
                <c:pt idx="219">
                  <c:v>33.376286799388772</c:v>
                </c:pt>
                <c:pt idx="220">
                  <c:v>31.40748006581962</c:v>
                </c:pt>
                <c:pt idx="221">
                  <c:v>30.220577202436271</c:v>
                </c:pt>
                <c:pt idx="222">
                  <c:v>28.217763344638456</c:v>
                </c:pt>
                <c:pt idx="223">
                  <c:v>29.426125831783096</c:v>
                </c:pt>
                <c:pt idx="224">
                  <c:v>21.17771074032461</c:v>
                </c:pt>
                <c:pt idx="225">
                  <c:v>22.41520575002864</c:v>
                </c:pt>
                <c:pt idx="226">
                  <c:v>21.419630825799327</c:v>
                </c:pt>
                <c:pt idx="227">
                  <c:v>21.187514390863512</c:v>
                </c:pt>
                <c:pt idx="228">
                  <c:v>16.830173600680038</c:v>
                </c:pt>
                <c:pt idx="229">
                  <c:v>24.970895432531265</c:v>
                </c:pt>
                <c:pt idx="230">
                  <c:v>25.172966379119575</c:v>
                </c:pt>
                <c:pt idx="231">
                  <c:v>31.243816387105607</c:v>
                </c:pt>
                <c:pt idx="232">
                  <c:v>19.58496316562103</c:v>
                </c:pt>
                <c:pt idx="233">
                  <c:v>16.238746952297959</c:v>
                </c:pt>
                <c:pt idx="234">
                  <c:v>29.080780782119838</c:v>
                </c:pt>
                <c:pt idx="235">
                  <c:v>28.577667284732001</c:v>
                </c:pt>
                <c:pt idx="236">
                  <c:v>21.074126628827837</c:v>
                </c:pt>
                <c:pt idx="237">
                  <c:v>25.649156855037642</c:v>
                </c:pt>
                <c:pt idx="238">
                  <c:v>31.030410221228014</c:v>
                </c:pt>
                <c:pt idx="239">
                  <c:v>30.023169136969106</c:v>
                </c:pt>
                <c:pt idx="240">
                  <c:v>20.579820709710251</c:v>
                </c:pt>
                <c:pt idx="241">
                  <c:v>29.668703363066914</c:v>
                </c:pt>
                <c:pt idx="242">
                  <c:v>13.902850555327332</c:v>
                </c:pt>
                <c:pt idx="243">
                  <c:v>26.221470025417158</c:v>
                </c:pt>
                <c:pt idx="244">
                  <c:v>25.85724601384813</c:v>
                </c:pt>
                <c:pt idx="245">
                  <c:v>25.120023153548299</c:v>
                </c:pt>
                <c:pt idx="246">
                  <c:v>27.833029130173873</c:v>
                </c:pt>
                <c:pt idx="247">
                  <c:v>24.672287813537739</c:v>
                </c:pt>
                <c:pt idx="248">
                  <c:v>28.214832139020647</c:v>
                </c:pt>
                <c:pt idx="249">
                  <c:v>21.43191145546335</c:v>
                </c:pt>
                <c:pt idx="250">
                  <c:v>23.709757238661943</c:v>
                </c:pt>
                <c:pt idx="251">
                  <c:v>13.221100513837996</c:v>
                </c:pt>
                <c:pt idx="252">
                  <c:v>28.340255852083278</c:v>
                </c:pt>
                <c:pt idx="253">
                  <c:v>28.235557098019729</c:v>
                </c:pt>
                <c:pt idx="254">
                  <c:v>19.824805118750749</c:v>
                </c:pt>
                <c:pt idx="255">
                  <c:v>7.4583738763575314</c:v>
                </c:pt>
                <c:pt idx="256">
                  <c:v>22.128014100334727</c:v>
                </c:pt>
                <c:pt idx="257">
                  <c:v>26.846146192138395</c:v>
                </c:pt>
                <c:pt idx="258">
                  <c:v>20.08564139814656</c:v>
                </c:pt>
                <c:pt idx="259">
                  <c:v>28.329443637753648</c:v>
                </c:pt>
                <c:pt idx="260">
                  <c:v>28.443414880590947</c:v>
                </c:pt>
                <c:pt idx="261">
                  <c:v>27.878158834267243</c:v>
                </c:pt>
                <c:pt idx="262">
                  <c:v>29.085937765159532</c:v>
                </c:pt>
                <c:pt idx="263">
                  <c:v>28.070984494366595</c:v>
                </c:pt>
                <c:pt idx="264">
                  <c:v>27.025314775083981</c:v>
                </c:pt>
                <c:pt idx="265">
                  <c:v>16.72272392164405</c:v>
                </c:pt>
                <c:pt idx="266">
                  <c:v>10.44049729286399</c:v>
                </c:pt>
                <c:pt idx="267">
                  <c:v>19.511634571138988</c:v>
                </c:pt>
                <c:pt idx="268">
                  <c:v>18.602435714034176</c:v>
                </c:pt>
                <c:pt idx="269">
                  <c:v>9.3386312577838577</c:v>
                </c:pt>
                <c:pt idx="270">
                  <c:v>10.576270197422973</c:v>
                </c:pt>
                <c:pt idx="271">
                  <c:v>14.397959275290757</c:v>
                </c:pt>
                <c:pt idx="272">
                  <c:v>17.954372751930855</c:v>
                </c:pt>
                <c:pt idx="273">
                  <c:v>23.015751099392261</c:v>
                </c:pt>
                <c:pt idx="274">
                  <c:v>24.172241439467225</c:v>
                </c:pt>
                <c:pt idx="275">
                  <c:v>22.341259283887421</c:v>
                </c:pt>
                <c:pt idx="276">
                  <c:v>24.997074198966629</c:v>
                </c:pt>
                <c:pt idx="277">
                  <c:v>25.136310027127781</c:v>
                </c:pt>
                <c:pt idx="278">
                  <c:v>8.2769102595371198</c:v>
                </c:pt>
                <c:pt idx="279">
                  <c:v>17.23889574381576</c:v>
                </c:pt>
                <c:pt idx="280">
                  <c:v>10.934227728083645</c:v>
                </c:pt>
                <c:pt idx="281">
                  <c:v>22.819660586795479</c:v>
                </c:pt>
                <c:pt idx="282">
                  <c:v>18.260920629869844</c:v>
                </c:pt>
                <c:pt idx="283">
                  <c:v>14.346007978607222</c:v>
                </c:pt>
                <c:pt idx="284">
                  <c:v>17.392500760594931</c:v>
                </c:pt>
                <c:pt idx="285">
                  <c:v>13.460503494233446</c:v>
                </c:pt>
                <c:pt idx="286">
                  <c:v>10.641658577946496</c:v>
                </c:pt>
                <c:pt idx="287">
                  <c:v>21.985796668893816</c:v>
                </c:pt>
                <c:pt idx="288">
                  <c:v>19.5616443116398</c:v>
                </c:pt>
                <c:pt idx="289">
                  <c:v>11.519720079446159</c:v>
                </c:pt>
                <c:pt idx="290">
                  <c:v>19.781815915075107</c:v>
                </c:pt>
                <c:pt idx="291">
                  <c:v>9.23922516480126</c:v>
                </c:pt>
                <c:pt idx="292">
                  <c:v>4.4807764616630577</c:v>
                </c:pt>
                <c:pt idx="293">
                  <c:v>9.6194988707472486</c:v>
                </c:pt>
                <c:pt idx="294">
                  <c:v>18.756592536373311</c:v>
                </c:pt>
                <c:pt idx="295">
                  <c:v>12.153597664633947</c:v>
                </c:pt>
                <c:pt idx="296">
                  <c:v>14.820198291637064</c:v>
                </c:pt>
                <c:pt idx="297">
                  <c:v>12.881810989019199</c:v>
                </c:pt>
                <c:pt idx="298">
                  <c:v>8.6376570469764484</c:v>
                </c:pt>
                <c:pt idx="299">
                  <c:v>8.0055662547517663</c:v>
                </c:pt>
                <c:pt idx="300">
                  <c:v>10.503788283316688</c:v>
                </c:pt>
                <c:pt idx="301">
                  <c:v>15.263760820045553</c:v>
                </c:pt>
                <c:pt idx="302">
                  <c:v>12.817251483538671</c:v>
                </c:pt>
                <c:pt idx="303">
                  <c:v>12.153037556245737</c:v>
                </c:pt>
                <c:pt idx="304">
                  <c:v>12.972582942105385</c:v>
                </c:pt>
                <c:pt idx="305">
                  <c:v>15.033085263313428</c:v>
                </c:pt>
                <c:pt idx="306">
                  <c:v>5.657125233061473</c:v>
                </c:pt>
                <c:pt idx="307">
                  <c:v>8.0966197690424</c:v>
                </c:pt>
                <c:pt idx="308">
                  <c:v>16.623152909433504</c:v>
                </c:pt>
                <c:pt idx="309">
                  <c:v>15.832828411376134</c:v>
                </c:pt>
                <c:pt idx="310">
                  <c:v>15.201030012253714</c:v>
                </c:pt>
                <c:pt idx="311">
                  <c:v>11.075192335650218</c:v>
                </c:pt>
                <c:pt idx="312">
                  <c:v>6.1365078946056606</c:v>
                </c:pt>
                <c:pt idx="313">
                  <c:v>11.777812210700604</c:v>
                </c:pt>
                <c:pt idx="314">
                  <c:v>13.723400696123456</c:v>
                </c:pt>
                <c:pt idx="315">
                  <c:v>13.521016866229264</c:v>
                </c:pt>
                <c:pt idx="316">
                  <c:v>13.54304832034456</c:v>
                </c:pt>
                <c:pt idx="317">
                  <c:v>6.0881707609864915</c:v>
                </c:pt>
                <c:pt idx="318">
                  <c:v>7.5329309605937249</c:v>
                </c:pt>
                <c:pt idx="319">
                  <c:v>12.115502220381062</c:v>
                </c:pt>
                <c:pt idx="320">
                  <c:v>9.1448331091218851</c:v>
                </c:pt>
                <c:pt idx="321">
                  <c:v>7.6273348343497389</c:v>
                </c:pt>
                <c:pt idx="322">
                  <c:v>5.1852007862420324</c:v>
                </c:pt>
                <c:pt idx="323">
                  <c:v>9.887488112683517</c:v>
                </c:pt>
                <c:pt idx="324">
                  <c:v>1.9445261542020531</c:v>
                </c:pt>
                <c:pt idx="325">
                  <c:v>5.6335419001973035</c:v>
                </c:pt>
                <c:pt idx="326">
                  <c:v>7.4722813594597719</c:v>
                </c:pt>
                <c:pt idx="327">
                  <c:v>7.2398483793611659</c:v>
                </c:pt>
                <c:pt idx="328">
                  <c:v>3.0523908012980066</c:v>
                </c:pt>
                <c:pt idx="329">
                  <c:v>6.033166765713176</c:v>
                </c:pt>
                <c:pt idx="330">
                  <c:v>8.3045076375246332</c:v>
                </c:pt>
                <c:pt idx="331">
                  <c:v>5.5383710183648436</c:v>
                </c:pt>
                <c:pt idx="332">
                  <c:v>6.1909741529958104</c:v>
                </c:pt>
                <c:pt idx="333">
                  <c:v>2.3005284192029127</c:v>
                </c:pt>
                <c:pt idx="334">
                  <c:v>2.1288559317911355</c:v>
                </c:pt>
                <c:pt idx="335">
                  <c:v>3.2888329384604313</c:v>
                </c:pt>
                <c:pt idx="336">
                  <c:v>5.7320427768996209</c:v>
                </c:pt>
                <c:pt idx="337">
                  <c:v>8.2444724766315431</c:v>
                </c:pt>
                <c:pt idx="338">
                  <c:v>9.6026113953624588</c:v>
                </c:pt>
                <c:pt idx="339">
                  <c:v>6.9619784341652737</c:v>
                </c:pt>
                <c:pt idx="340">
                  <c:v>8.1208671199266789</c:v>
                </c:pt>
                <c:pt idx="341">
                  <c:v>2.6727080698599925</c:v>
                </c:pt>
                <c:pt idx="342">
                  <c:v>3.8058231048198525</c:v>
                </c:pt>
                <c:pt idx="343">
                  <c:v>6.5531710339042535</c:v>
                </c:pt>
                <c:pt idx="344">
                  <c:v>7.6393621232831457</c:v>
                </c:pt>
                <c:pt idx="345">
                  <c:v>3.0776501647366503</c:v>
                </c:pt>
                <c:pt idx="346">
                  <c:v>3.0533120619879011</c:v>
                </c:pt>
                <c:pt idx="347">
                  <c:v>7.1927797080673788</c:v>
                </c:pt>
                <c:pt idx="348">
                  <c:v>3.5805556561857972</c:v>
                </c:pt>
                <c:pt idx="349">
                  <c:v>2.9917083001448797</c:v>
                </c:pt>
                <c:pt idx="350">
                  <c:v>1.7484035190538123</c:v>
                </c:pt>
                <c:pt idx="351">
                  <c:v>9.3259942103637723</c:v>
                </c:pt>
                <c:pt idx="352">
                  <c:v>9.3134744672559471</c:v>
                </c:pt>
                <c:pt idx="353">
                  <c:v>2.4025655048412946</c:v>
                </c:pt>
                <c:pt idx="354">
                  <c:v>8.4931374692993362</c:v>
                </c:pt>
                <c:pt idx="355">
                  <c:v>9.5725809246910387</c:v>
                </c:pt>
                <c:pt idx="356">
                  <c:v>9.4310230425539849</c:v>
                </c:pt>
                <c:pt idx="357">
                  <c:v>9.6382645889578136</c:v>
                </c:pt>
                <c:pt idx="358">
                  <c:v>5.7457417110138769</c:v>
                </c:pt>
                <c:pt idx="359">
                  <c:v>9.9375591331639708</c:v>
                </c:pt>
                <c:pt idx="360">
                  <c:v>3.8504271397069583</c:v>
                </c:pt>
                <c:pt idx="361">
                  <c:v>10.465655398200285</c:v>
                </c:pt>
                <c:pt idx="362">
                  <c:v>5.9732239403034066</c:v>
                </c:pt>
                <c:pt idx="363">
                  <c:v>7.6154437291381543</c:v>
                </c:pt>
                <c:pt idx="364">
                  <c:v>7.1601937210522033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11.539395928764026</c:v>
                </c:pt>
                <c:pt idx="1">
                  <c:v>9.0093351410172513</c:v>
                </c:pt>
                <c:pt idx="2">
                  <c:v>10.336773430493478</c:v>
                </c:pt>
                <c:pt idx="3">
                  <c:v>10.840849718805924</c:v>
                </c:pt>
                <c:pt idx="4">
                  <c:v>8.9687123086083762</c:v>
                </c:pt>
                <c:pt idx="5">
                  <c:v>12.851941408544628</c:v>
                </c:pt>
                <c:pt idx="6">
                  <c:v>5.7253863259679045</c:v>
                </c:pt>
                <c:pt idx="7">
                  <c:v>4.6156989325725233</c:v>
                </c:pt>
                <c:pt idx="8">
                  <c:v>1.2733222681033765</c:v>
                </c:pt>
                <c:pt idx="9">
                  <c:v>0.91442029206145692</c:v>
                </c:pt>
                <c:pt idx="10">
                  <c:v>13.223471219721807</c:v>
                </c:pt>
                <c:pt idx="11">
                  <c:v>10.784054580126805</c:v>
                </c:pt>
                <c:pt idx="12">
                  <c:v>3.2882387372555115</c:v>
                </c:pt>
                <c:pt idx="13">
                  <c:v>13.739866202021515</c:v>
                </c:pt>
                <c:pt idx="14">
                  <c:v>14.042713081966689</c:v>
                </c:pt>
                <c:pt idx="15">
                  <c:v>14.120176022163758</c:v>
                </c:pt>
                <c:pt idx="16">
                  <c:v>10.233923526941789</c:v>
                </c:pt>
                <c:pt idx="17">
                  <c:v>2.478566472001916</c:v>
                </c:pt>
                <c:pt idx="18">
                  <c:v>7.4285263263654526</c:v>
                </c:pt>
                <c:pt idx="19">
                  <c:v>3.9600104827020424</c:v>
                </c:pt>
                <c:pt idx="20">
                  <c:v>10.853584671134877</c:v>
                </c:pt>
                <c:pt idx="21">
                  <c:v>15.605229294867975</c:v>
                </c:pt>
                <c:pt idx="22">
                  <c:v>15.659000074427903</c:v>
                </c:pt>
                <c:pt idx="23">
                  <c:v>15.936298673823341</c:v>
                </c:pt>
                <c:pt idx="24">
                  <c:v>15.114813468442449</c:v>
                </c:pt>
                <c:pt idx="25">
                  <c:v>16.428698022924742</c:v>
                </c:pt>
                <c:pt idx="26">
                  <c:v>14.032526486571831</c:v>
                </c:pt>
                <c:pt idx="27">
                  <c:v>2.6238226415736952</c:v>
                </c:pt>
                <c:pt idx="28">
                  <c:v>4.4840169465442736</c:v>
                </c:pt>
                <c:pt idx="29">
                  <c:v>2.9082239811417643</c:v>
                </c:pt>
                <c:pt idx="30">
                  <c:v>6.8241051857054122</c:v>
                </c:pt>
                <c:pt idx="31">
                  <c:v>8.4989485337826167</c:v>
                </c:pt>
                <c:pt idx="32">
                  <c:v>3.7426178208691407</c:v>
                </c:pt>
                <c:pt idx="33">
                  <c:v>7.9806621795844643</c:v>
                </c:pt>
                <c:pt idx="34">
                  <c:v>7.740867812652418</c:v>
                </c:pt>
                <c:pt idx="35">
                  <c:v>7.1814711588380371</c:v>
                </c:pt>
                <c:pt idx="36">
                  <c:v>14.714154902256285</c:v>
                </c:pt>
                <c:pt idx="37">
                  <c:v>8.6292646613184463</c:v>
                </c:pt>
                <c:pt idx="38">
                  <c:v>20.507093817380991</c:v>
                </c:pt>
                <c:pt idx="39">
                  <c:v>20.537299727576965</c:v>
                </c:pt>
                <c:pt idx="40">
                  <c:v>19.471322153484326</c:v>
                </c:pt>
                <c:pt idx="41">
                  <c:v>10.549305223236001</c:v>
                </c:pt>
                <c:pt idx="42">
                  <c:v>16.761183824525457</c:v>
                </c:pt>
                <c:pt idx="43">
                  <c:v>19.226595510127659</c:v>
                </c:pt>
                <c:pt idx="44">
                  <c:v>10.632999808044113</c:v>
                </c:pt>
                <c:pt idx="45">
                  <c:v>13.427811117858333</c:v>
                </c:pt>
                <c:pt idx="46">
                  <c:v>5.8683719580031761</c:v>
                </c:pt>
                <c:pt idx="47">
                  <c:v>10.02101393588466</c:v>
                </c:pt>
                <c:pt idx="48">
                  <c:v>18.899982389887708</c:v>
                </c:pt>
                <c:pt idx="49">
                  <c:v>12.180417682836852</c:v>
                </c:pt>
                <c:pt idx="50">
                  <c:v>13.676551298340323</c:v>
                </c:pt>
                <c:pt idx="51">
                  <c:v>14.155017355199822</c:v>
                </c:pt>
                <c:pt idx="52">
                  <c:v>22.050107314560538</c:v>
                </c:pt>
                <c:pt idx="53">
                  <c:v>22.541317290342651</c:v>
                </c:pt>
                <c:pt idx="54">
                  <c:v>14.562272467374463</c:v>
                </c:pt>
                <c:pt idx="55">
                  <c:v>20.30808749498209</c:v>
                </c:pt>
                <c:pt idx="56">
                  <c:v>25.437606322472906</c:v>
                </c:pt>
                <c:pt idx="57">
                  <c:v>17.197231662411479</c:v>
                </c:pt>
                <c:pt idx="58">
                  <c:v>22.47906764961914</c:v>
                </c:pt>
                <c:pt idx="59">
                  <c:v>25.22056304397924</c:v>
                </c:pt>
                <c:pt idx="60">
                  <c:v>9.2736477462189804</c:v>
                </c:pt>
                <c:pt idx="61">
                  <c:v>23.784918437878844</c:v>
                </c:pt>
                <c:pt idx="62">
                  <c:v>3.6299945064002688</c:v>
                </c:pt>
                <c:pt idx="63">
                  <c:v>9.3021824141856086</c:v>
                </c:pt>
                <c:pt idx="64">
                  <c:v>12.647318339746175</c:v>
                </c:pt>
                <c:pt idx="65">
                  <c:v>23.962486639146114</c:v>
                </c:pt>
                <c:pt idx="66">
                  <c:v>19.883427109397967</c:v>
                </c:pt>
                <c:pt idx="67">
                  <c:v>22.33586721337814</c:v>
                </c:pt>
                <c:pt idx="68">
                  <c:v>15.447207269016664</c:v>
                </c:pt>
                <c:pt idx="69">
                  <c:v>10.000584515444103</c:v>
                </c:pt>
                <c:pt idx="70">
                  <c:v>10.072505863392367</c:v>
                </c:pt>
                <c:pt idx="71">
                  <c:v>5.500066690515693</c:v>
                </c:pt>
                <c:pt idx="72">
                  <c:v>7.8699454504609125</c:v>
                </c:pt>
                <c:pt idx="73">
                  <c:v>8.0533695190372239</c:v>
                </c:pt>
                <c:pt idx="74">
                  <c:v>6.1864603729997176</c:v>
                </c:pt>
                <c:pt idx="75">
                  <c:v>7.2542523057805957</c:v>
                </c:pt>
                <c:pt idx="76">
                  <c:v>9.0516427732637172</c:v>
                </c:pt>
                <c:pt idx="77">
                  <c:v>18.176906491239308</c:v>
                </c:pt>
                <c:pt idx="78">
                  <c:v>20.26304291660815</c:v>
                </c:pt>
                <c:pt idx="79">
                  <c:v>29.018010974838891</c:v>
                </c:pt>
                <c:pt idx="80">
                  <c:v>26.786958470014437</c:v>
                </c:pt>
                <c:pt idx="81">
                  <c:v>30.082077952079292</c:v>
                </c:pt>
                <c:pt idx="82">
                  <c:v>29.777994061729743</c:v>
                </c:pt>
                <c:pt idx="83">
                  <c:v>26.591134172793254</c:v>
                </c:pt>
                <c:pt idx="84">
                  <c:v>28.293362321081318</c:v>
                </c:pt>
                <c:pt idx="85">
                  <c:v>28.219817511732746</c:v>
                </c:pt>
                <c:pt idx="86">
                  <c:v>21.802616672338846</c:v>
                </c:pt>
                <c:pt idx="87">
                  <c:v>17.537520162639154</c:v>
                </c:pt>
                <c:pt idx="88">
                  <c:v>4.3364943023446445</c:v>
                </c:pt>
                <c:pt idx="89">
                  <c:v>18.713910572989164</c:v>
                </c:pt>
                <c:pt idx="90">
                  <c:v>20.603299732707075</c:v>
                </c:pt>
                <c:pt idx="91">
                  <c:v>12.715944524874338</c:v>
                </c:pt>
                <c:pt idx="92">
                  <c:v>15.112304752667916</c:v>
                </c:pt>
                <c:pt idx="93">
                  <c:v>27.520494713034171</c:v>
                </c:pt>
                <c:pt idx="94">
                  <c:v>33.926126079156219</c:v>
                </c:pt>
                <c:pt idx="95">
                  <c:v>7.8028321203129289</c:v>
                </c:pt>
                <c:pt idx="96">
                  <c:v>25.222352304683209</c:v>
                </c:pt>
                <c:pt idx="97">
                  <c:v>19.886825363285887</c:v>
                </c:pt>
                <c:pt idx="98">
                  <c:v>24.003874157069859</c:v>
                </c:pt>
                <c:pt idx="99">
                  <c:v>33.97991771970613</c:v>
                </c:pt>
                <c:pt idx="100">
                  <c:v>27.233519600999774</c:v>
                </c:pt>
                <c:pt idx="101">
                  <c:v>23.104901114728925</c:v>
                </c:pt>
                <c:pt idx="102">
                  <c:v>4.487964452046894</c:v>
                </c:pt>
                <c:pt idx="103">
                  <c:v>25.442219016473338</c:v>
                </c:pt>
                <c:pt idx="104">
                  <c:v>28.216445418031832</c:v>
                </c:pt>
                <c:pt idx="105">
                  <c:v>28.404892969904623</c:v>
                </c:pt>
                <c:pt idx="106">
                  <c:v>35.217575319483167</c:v>
                </c:pt>
                <c:pt idx="107">
                  <c:v>25.219147724303941</c:v>
                </c:pt>
                <c:pt idx="108">
                  <c:v>6.1785717134764608</c:v>
                </c:pt>
                <c:pt idx="109">
                  <c:v>6.318415024014814</c:v>
                </c:pt>
                <c:pt idx="110">
                  <c:v>6.7495655790615041</c:v>
                </c:pt>
                <c:pt idx="111">
                  <c:v>17.794976646008443</c:v>
                </c:pt>
                <c:pt idx="112">
                  <c:v>5.5523280204888925</c:v>
                </c:pt>
                <c:pt idx="113">
                  <c:v>21.824848072980782</c:v>
                </c:pt>
                <c:pt idx="114">
                  <c:v>30.250554462734133</c:v>
                </c:pt>
                <c:pt idx="115">
                  <c:v>34.937827694707174</c:v>
                </c:pt>
                <c:pt idx="116">
                  <c:v>25.346022587179551</c:v>
                </c:pt>
                <c:pt idx="117">
                  <c:v>16.220260439737096</c:v>
                </c:pt>
                <c:pt idx="118">
                  <c:v>27.611620835327734</c:v>
                </c:pt>
                <c:pt idx="119">
                  <c:v>29.058565481264949</c:v>
                </c:pt>
                <c:pt idx="120">
                  <c:v>29.951050983555191</c:v>
                </c:pt>
                <c:pt idx="121">
                  <c:v>17.448843895040095</c:v>
                </c:pt>
                <c:pt idx="122">
                  <c:v>19.39004020256154</c:v>
                </c:pt>
                <c:pt idx="123">
                  <c:v>13.516168128005125</c:v>
                </c:pt>
                <c:pt idx="124">
                  <c:v>26.432308598511572</c:v>
                </c:pt>
                <c:pt idx="125">
                  <c:v>24.528137282045513</c:v>
                </c:pt>
                <c:pt idx="126">
                  <c:v>30.487666903915816</c:v>
                </c:pt>
                <c:pt idx="127">
                  <c:v>31.451073300114974</c:v>
                </c:pt>
                <c:pt idx="128">
                  <c:v>35.439386248283469</c:v>
                </c:pt>
                <c:pt idx="129">
                  <c:v>32.758360814396198</c:v>
                </c:pt>
                <c:pt idx="130">
                  <c:v>35.325044054327243</c:v>
                </c:pt>
                <c:pt idx="131">
                  <c:v>27.184560332653135</c:v>
                </c:pt>
                <c:pt idx="132">
                  <c:v>29.676469952381463</c:v>
                </c:pt>
                <c:pt idx="133">
                  <c:v>30.906949331767471</c:v>
                </c:pt>
                <c:pt idx="134">
                  <c:v>32.917228023158493</c:v>
                </c:pt>
                <c:pt idx="135">
                  <c:v>31.879241778650492</c:v>
                </c:pt>
                <c:pt idx="136">
                  <c:v>34.263414375168232</c:v>
                </c:pt>
                <c:pt idx="137">
                  <c:v>32.950603725931593</c:v>
                </c:pt>
                <c:pt idx="138">
                  <c:v>34.002436231344291</c:v>
                </c:pt>
                <c:pt idx="139">
                  <c:v>30.328839608131243</c:v>
                </c:pt>
                <c:pt idx="140">
                  <c:v>30.231839794255333</c:v>
                </c:pt>
                <c:pt idx="141">
                  <c:v>22.595060173017462</c:v>
                </c:pt>
                <c:pt idx="142">
                  <c:v>11.762254833077431</c:v>
                </c:pt>
                <c:pt idx="143">
                  <c:v>10.527995209776828</c:v>
                </c:pt>
                <c:pt idx="144">
                  <c:v>25.934061115999192</c:v>
                </c:pt>
                <c:pt idx="145">
                  <c:v>13.886257920222247</c:v>
                </c:pt>
                <c:pt idx="146">
                  <c:v>27.54440143026784</c:v>
                </c:pt>
                <c:pt idx="147">
                  <c:v>35.032009250024757</c:v>
                </c:pt>
                <c:pt idx="148">
                  <c:v>38.01841198669468</c:v>
                </c:pt>
                <c:pt idx="149">
                  <c:v>31.48563111185377</c:v>
                </c:pt>
                <c:pt idx="150">
                  <c:v>34.453590155676828</c:v>
                </c:pt>
                <c:pt idx="151">
                  <c:v>35.236468547322929</c:v>
                </c:pt>
                <c:pt idx="152">
                  <c:v>28.136446600581696</c:v>
                </c:pt>
                <c:pt idx="153">
                  <c:v>34.075213482191579</c:v>
                </c:pt>
                <c:pt idx="154">
                  <c:v>16.927440749386598</c:v>
                </c:pt>
                <c:pt idx="155">
                  <c:v>20.767509463238671</c:v>
                </c:pt>
                <c:pt idx="156">
                  <c:v>28.818615194752944</c:v>
                </c:pt>
                <c:pt idx="157">
                  <c:v>16.699394623698954</c:v>
                </c:pt>
                <c:pt idx="158">
                  <c:v>14.73961024647288</c:v>
                </c:pt>
                <c:pt idx="159">
                  <c:v>28.849995253157918</c:v>
                </c:pt>
                <c:pt idx="160">
                  <c:v>36.698259824308238</c:v>
                </c:pt>
                <c:pt idx="161">
                  <c:v>34.770570602425174</c:v>
                </c:pt>
                <c:pt idx="162">
                  <c:v>27.526551143474705</c:v>
                </c:pt>
                <c:pt idx="163">
                  <c:v>33.499505006572022</c:v>
                </c:pt>
                <c:pt idx="164">
                  <c:v>30.010091492295619</c:v>
                </c:pt>
                <c:pt idx="165">
                  <c:v>34.013489025766496</c:v>
                </c:pt>
                <c:pt idx="166">
                  <c:v>32.092550452037571</c:v>
                </c:pt>
                <c:pt idx="167">
                  <c:v>32.677319102204358</c:v>
                </c:pt>
                <c:pt idx="168">
                  <c:v>33.879781051824374</c:v>
                </c:pt>
                <c:pt idx="169">
                  <c:v>34.688906402453284</c:v>
                </c:pt>
                <c:pt idx="170">
                  <c:v>19.496239472634254</c:v>
                </c:pt>
                <c:pt idx="171">
                  <c:v>13.645659477264054</c:v>
                </c:pt>
                <c:pt idx="172">
                  <c:v>28.471434954832155</c:v>
                </c:pt>
                <c:pt idx="173">
                  <c:v>25.579201998092643</c:v>
                </c:pt>
                <c:pt idx="174">
                  <c:v>29.030051809110763</c:v>
                </c:pt>
                <c:pt idx="175">
                  <c:v>20.702786016602293</c:v>
                </c:pt>
                <c:pt idx="176">
                  <c:v>7.3862408298258364</c:v>
                </c:pt>
                <c:pt idx="177">
                  <c:v>9.562803205921405</c:v>
                </c:pt>
                <c:pt idx="178">
                  <c:v>37.171292697380231</c:v>
                </c:pt>
                <c:pt idx="179">
                  <c:v>35.91265660974797</c:v>
                </c:pt>
                <c:pt idx="180">
                  <c:v>8.7334327335732738</c:v>
                </c:pt>
                <c:pt idx="181">
                  <c:v>33.834364114605997</c:v>
                </c:pt>
                <c:pt idx="182">
                  <c:v>34.869796609489022</c:v>
                </c:pt>
                <c:pt idx="183">
                  <c:v>28.855887615788003</c:v>
                </c:pt>
                <c:pt idx="184">
                  <c:v>27.652570103994076</c:v>
                </c:pt>
                <c:pt idx="185">
                  <c:v>34.507757697901035</c:v>
                </c:pt>
                <c:pt idx="186">
                  <c:v>27.564308597112319</c:v>
                </c:pt>
                <c:pt idx="187">
                  <c:v>35.51704771416609</c:v>
                </c:pt>
                <c:pt idx="188">
                  <c:v>36.636988522285876</c:v>
                </c:pt>
                <c:pt idx="189">
                  <c:v>35.938725621526281</c:v>
                </c:pt>
                <c:pt idx="190">
                  <c:v>35.515326870083264</c:v>
                </c:pt>
                <c:pt idx="191">
                  <c:v>34.261490681912967</c:v>
                </c:pt>
                <c:pt idx="192">
                  <c:v>34.088672105020159</c:v>
                </c:pt>
                <c:pt idx="193">
                  <c:v>33.951788784376788</c:v>
                </c:pt>
                <c:pt idx="194">
                  <c:v>33.353548712896128</c:v>
                </c:pt>
                <c:pt idx="195">
                  <c:v>32.293949359174633</c:v>
                </c:pt>
                <c:pt idx="196">
                  <c:v>33.471197449196076</c:v>
                </c:pt>
                <c:pt idx="197">
                  <c:v>32.814673491714053</c:v>
                </c:pt>
                <c:pt idx="198">
                  <c:v>32.74771394875696</c:v>
                </c:pt>
                <c:pt idx="199">
                  <c:v>25.423328064920433</c:v>
                </c:pt>
                <c:pt idx="200">
                  <c:v>24.883338260013588</c:v>
                </c:pt>
                <c:pt idx="201">
                  <c:v>32.48855211838184</c:v>
                </c:pt>
                <c:pt idx="202">
                  <c:v>25.78574998836983</c:v>
                </c:pt>
                <c:pt idx="203">
                  <c:v>30.184763542828581</c:v>
                </c:pt>
                <c:pt idx="204">
                  <c:v>32.614984216347246</c:v>
                </c:pt>
                <c:pt idx="205">
                  <c:v>18.375886848663068</c:v>
                </c:pt>
                <c:pt idx="206">
                  <c:v>33.822410142601733</c:v>
                </c:pt>
                <c:pt idx="207">
                  <c:v>35.508634544773109</c:v>
                </c:pt>
                <c:pt idx="208">
                  <c:v>28.653274263573941</c:v>
                </c:pt>
                <c:pt idx="209">
                  <c:v>18.273047691380476</c:v>
                </c:pt>
                <c:pt idx="210">
                  <c:v>29.20117862805122</c:v>
                </c:pt>
                <c:pt idx="211">
                  <c:v>34.029566828168328</c:v>
                </c:pt>
                <c:pt idx="212">
                  <c:v>33.932489440724297</c:v>
                </c:pt>
                <c:pt idx="213">
                  <c:v>33.831526168314298</c:v>
                </c:pt>
                <c:pt idx="214">
                  <c:v>31.567462571003503</c:v>
                </c:pt>
                <c:pt idx="215">
                  <c:v>31.035233934177665</c:v>
                </c:pt>
                <c:pt idx="216">
                  <c:v>28.17671713951194</c:v>
                </c:pt>
                <c:pt idx="217">
                  <c:v>30.57784027951358</c:v>
                </c:pt>
                <c:pt idx="218">
                  <c:v>32.763338994656152</c:v>
                </c:pt>
                <c:pt idx="219">
                  <c:v>33.376286799388772</c:v>
                </c:pt>
                <c:pt idx="220">
                  <c:v>31.40748006581962</c:v>
                </c:pt>
                <c:pt idx="221">
                  <c:v>30.220577202436271</c:v>
                </c:pt>
                <c:pt idx="222">
                  <c:v>28.217763344638456</c:v>
                </c:pt>
                <c:pt idx="223">
                  <c:v>29.426125831783096</c:v>
                </c:pt>
                <c:pt idx="224">
                  <c:v>21.17771074032461</c:v>
                </c:pt>
                <c:pt idx="225">
                  <c:v>22.41520575002864</c:v>
                </c:pt>
                <c:pt idx="226">
                  <c:v>21.419630825799327</c:v>
                </c:pt>
                <c:pt idx="227">
                  <c:v>21.187514390863512</c:v>
                </c:pt>
                <c:pt idx="228">
                  <c:v>16.830173600680038</c:v>
                </c:pt>
                <c:pt idx="229">
                  <c:v>24.970895432531265</c:v>
                </c:pt>
                <c:pt idx="230">
                  <c:v>25.172966379119575</c:v>
                </c:pt>
                <c:pt idx="231">
                  <c:v>31.243816387105607</c:v>
                </c:pt>
                <c:pt idx="232">
                  <c:v>19.58496316562103</c:v>
                </c:pt>
                <c:pt idx="233">
                  <c:v>16.238746952297959</c:v>
                </c:pt>
                <c:pt idx="234">
                  <c:v>29.080780782119838</c:v>
                </c:pt>
                <c:pt idx="235">
                  <c:v>28.577667284732001</c:v>
                </c:pt>
                <c:pt idx="236">
                  <c:v>21.074126628827837</c:v>
                </c:pt>
                <c:pt idx="237">
                  <c:v>25.649156855037642</c:v>
                </c:pt>
                <c:pt idx="238">
                  <c:v>31.030410221228014</c:v>
                </c:pt>
                <c:pt idx="239">
                  <c:v>30.023169136969106</c:v>
                </c:pt>
                <c:pt idx="240">
                  <c:v>20.579820709710251</c:v>
                </c:pt>
                <c:pt idx="241">
                  <c:v>29.668703363066914</c:v>
                </c:pt>
                <c:pt idx="242">
                  <c:v>13.902850555327332</c:v>
                </c:pt>
                <c:pt idx="243">
                  <c:v>26.221470025417158</c:v>
                </c:pt>
                <c:pt idx="244">
                  <c:v>25.85724601384813</c:v>
                </c:pt>
                <c:pt idx="245">
                  <c:v>25.120023153548299</c:v>
                </c:pt>
                <c:pt idx="246">
                  <c:v>27.833029130173873</c:v>
                </c:pt>
                <c:pt idx="247">
                  <c:v>24.672287813537739</c:v>
                </c:pt>
                <c:pt idx="248">
                  <c:v>28.214832139020647</c:v>
                </c:pt>
                <c:pt idx="249">
                  <c:v>21.43191145546335</c:v>
                </c:pt>
                <c:pt idx="250">
                  <c:v>23.709757238661943</c:v>
                </c:pt>
                <c:pt idx="251">
                  <c:v>13.221100513837996</c:v>
                </c:pt>
                <c:pt idx="252">
                  <c:v>28.340255852083278</c:v>
                </c:pt>
                <c:pt idx="253">
                  <c:v>28.235557098019729</c:v>
                </c:pt>
                <c:pt idx="254">
                  <c:v>19.824805118750749</c:v>
                </c:pt>
                <c:pt idx="255">
                  <c:v>7.4583738763575314</c:v>
                </c:pt>
                <c:pt idx="256">
                  <c:v>22.128014100334727</c:v>
                </c:pt>
                <c:pt idx="257">
                  <c:v>26.846146192138395</c:v>
                </c:pt>
                <c:pt idx="258">
                  <c:v>20.08564139814656</c:v>
                </c:pt>
                <c:pt idx="259">
                  <c:v>28.329443637753648</c:v>
                </c:pt>
                <c:pt idx="260">
                  <c:v>28.443414880590947</c:v>
                </c:pt>
                <c:pt idx="261">
                  <c:v>27.878158834267243</c:v>
                </c:pt>
                <c:pt idx="262">
                  <c:v>29.085937765159532</c:v>
                </c:pt>
                <c:pt idx="263">
                  <c:v>28.070984494366595</c:v>
                </c:pt>
                <c:pt idx="264">
                  <c:v>27.025314775083981</c:v>
                </c:pt>
                <c:pt idx="265">
                  <c:v>16.72272392164405</c:v>
                </c:pt>
                <c:pt idx="266">
                  <c:v>10.44049729286399</c:v>
                </c:pt>
                <c:pt idx="267">
                  <c:v>19.511634571138988</c:v>
                </c:pt>
                <c:pt idx="268">
                  <c:v>18.602435714034176</c:v>
                </c:pt>
                <c:pt idx="269">
                  <c:v>9.3386312577838577</c:v>
                </c:pt>
                <c:pt idx="270">
                  <c:v>10.576270197422973</c:v>
                </c:pt>
                <c:pt idx="271">
                  <c:v>14.397959275290757</c:v>
                </c:pt>
                <c:pt idx="272">
                  <c:v>17.954372751930855</c:v>
                </c:pt>
                <c:pt idx="273">
                  <c:v>23.015751099392261</c:v>
                </c:pt>
                <c:pt idx="274">
                  <c:v>24.172241439467225</c:v>
                </c:pt>
                <c:pt idx="275">
                  <c:v>22.341259283887421</c:v>
                </c:pt>
                <c:pt idx="276">
                  <c:v>24.997074198966629</c:v>
                </c:pt>
                <c:pt idx="277">
                  <c:v>25.136310027127781</c:v>
                </c:pt>
                <c:pt idx="278">
                  <c:v>8.2769102595371198</c:v>
                </c:pt>
                <c:pt idx="279">
                  <c:v>17.23889574381576</c:v>
                </c:pt>
                <c:pt idx="280">
                  <c:v>10.934227728083645</c:v>
                </c:pt>
                <c:pt idx="281">
                  <c:v>22.819660586795479</c:v>
                </c:pt>
                <c:pt idx="282">
                  <c:v>18.260920629869844</c:v>
                </c:pt>
                <c:pt idx="283">
                  <c:v>14.346007978607222</c:v>
                </c:pt>
                <c:pt idx="284">
                  <c:v>17.392500760594931</c:v>
                </c:pt>
                <c:pt idx="285">
                  <c:v>13.460503494233446</c:v>
                </c:pt>
                <c:pt idx="286">
                  <c:v>10.641658577946496</c:v>
                </c:pt>
                <c:pt idx="287">
                  <c:v>21.985796668893816</c:v>
                </c:pt>
                <c:pt idx="288">
                  <c:v>19.5616443116398</c:v>
                </c:pt>
                <c:pt idx="289">
                  <c:v>11.519720079446159</c:v>
                </c:pt>
                <c:pt idx="290">
                  <c:v>19.781815915075107</c:v>
                </c:pt>
                <c:pt idx="291">
                  <c:v>9.23922516480126</c:v>
                </c:pt>
                <c:pt idx="292">
                  <c:v>4.4807764616630577</c:v>
                </c:pt>
                <c:pt idx="293">
                  <c:v>9.6194988707472486</c:v>
                </c:pt>
                <c:pt idx="294">
                  <c:v>18.756592536373311</c:v>
                </c:pt>
                <c:pt idx="295">
                  <c:v>12.153597664633947</c:v>
                </c:pt>
                <c:pt idx="296">
                  <c:v>14.820198291637064</c:v>
                </c:pt>
                <c:pt idx="297">
                  <c:v>12.881810989019199</c:v>
                </c:pt>
                <c:pt idx="298">
                  <c:v>8.6376570469764484</c:v>
                </c:pt>
                <c:pt idx="299">
                  <c:v>8.0055662547517663</c:v>
                </c:pt>
                <c:pt idx="300">
                  <c:v>10.503788283316688</c:v>
                </c:pt>
                <c:pt idx="301">
                  <c:v>15.263760820045553</c:v>
                </c:pt>
                <c:pt idx="302">
                  <c:v>12.817251483538671</c:v>
                </c:pt>
                <c:pt idx="303">
                  <c:v>12.153037556245737</c:v>
                </c:pt>
                <c:pt idx="304">
                  <c:v>12.972582942105385</c:v>
                </c:pt>
                <c:pt idx="305">
                  <c:v>15.033085263313428</c:v>
                </c:pt>
                <c:pt idx="306">
                  <c:v>5.657125233061473</c:v>
                </c:pt>
                <c:pt idx="307">
                  <c:v>8.0966197690424</c:v>
                </c:pt>
                <c:pt idx="308">
                  <c:v>16.623152909433504</c:v>
                </c:pt>
                <c:pt idx="309">
                  <c:v>15.832828411376134</c:v>
                </c:pt>
                <c:pt idx="310">
                  <c:v>15.201030012253714</c:v>
                </c:pt>
                <c:pt idx="311">
                  <c:v>11.075192335650218</c:v>
                </c:pt>
                <c:pt idx="312">
                  <c:v>6.1365078946056606</c:v>
                </c:pt>
                <c:pt idx="313">
                  <c:v>11.777812210700604</c:v>
                </c:pt>
                <c:pt idx="314">
                  <c:v>13.723400696123456</c:v>
                </c:pt>
                <c:pt idx="315">
                  <c:v>13.521016866229264</c:v>
                </c:pt>
                <c:pt idx="316">
                  <c:v>13.54304832034456</c:v>
                </c:pt>
                <c:pt idx="317">
                  <c:v>6.0881707609864915</c:v>
                </c:pt>
                <c:pt idx="318">
                  <c:v>7.5329309605937249</c:v>
                </c:pt>
                <c:pt idx="319">
                  <c:v>12.115502220381062</c:v>
                </c:pt>
                <c:pt idx="320">
                  <c:v>9.1448331091218851</c:v>
                </c:pt>
                <c:pt idx="321">
                  <c:v>7.6273348343497389</c:v>
                </c:pt>
                <c:pt idx="322">
                  <c:v>5.1852007862420324</c:v>
                </c:pt>
                <c:pt idx="323">
                  <c:v>9.887488112683517</c:v>
                </c:pt>
                <c:pt idx="324">
                  <c:v>1.9445261542020531</c:v>
                </c:pt>
                <c:pt idx="325">
                  <c:v>5.6335419001973035</c:v>
                </c:pt>
                <c:pt idx="326">
                  <c:v>7.4722813594597719</c:v>
                </c:pt>
                <c:pt idx="327">
                  <c:v>7.2398483793611659</c:v>
                </c:pt>
                <c:pt idx="328">
                  <c:v>3.0523908012980066</c:v>
                </c:pt>
                <c:pt idx="329">
                  <c:v>6.033166765713176</c:v>
                </c:pt>
                <c:pt idx="330">
                  <c:v>8.3045076375246332</c:v>
                </c:pt>
                <c:pt idx="331">
                  <c:v>5.5383710183648436</c:v>
                </c:pt>
                <c:pt idx="332">
                  <c:v>6.1909741529958104</c:v>
                </c:pt>
                <c:pt idx="333">
                  <c:v>2.3005284192029127</c:v>
                </c:pt>
                <c:pt idx="334">
                  <c:v>2.1288559317911355</c:v>
                </c:pt>
                <c:pt idx="335">
                  <c:v>3.2888329384604313</c:v>
                </c:pt>
                <c:pt idx="336">
                  <c:v>5.7320427768996209</c:v>
                </c:pt>
                <c:pt idx="337">
                  <c:v>8.2444724766315431</c:v>
                </c:pt>
                <c:pt idx="338">
                  <c:v>9.6026113953624588</c:v>
                </c:pt>
                <c:pt idx="339">
                  <c:v>6.9619784341652737</c:v>
                </c:pt>
                <c:pt idx="340">
                  <c:v>8.1208671199266789</c:v>
                </c:pt>
                <c:pt idx="341">
                  <c:v>2.6727080698599925</c:v>
                </c:pt>
                <c:pt idx="342">
                  <c:v>3.8058231048198525</c:v>
                </c:pt>
                <c:pt idx="343">
                  <c:v>6.5531710339042535</c:v>
                </c:pt>
                <c:pt idx="344">
                  <c:v>7.6393621232831457</c:v>
                </c:pt>
                <c:pt idx="345">
                  <c:v>3.0776501647366503</c:v>
                </c:pt>
                <c:pt idx="346">
                  <c:v>3.0533120619879011</c:v>
                </c:pt>
                <c:pt idx="347">
                  <c:v>7.1927797080673788</c:v>
                </c:pt>
                <c:pt idx="348">
                  <c:v>3.5805556561857972</c:v>
                </c:pt>
                <c:pt idx="349">
                  <c:v>2.9917083001448797</c:v>
                </c:pt>
                <c:pt idx="350">
                  <c:v>1.7484035190538123</c:v>
                </c:pt>
                <c:pt idx="351">
                  <c:v>9.3259942103637723</c:v>
                </c:pt>
                <c:pt idx="352">
                  <c:v>9.3134744672559471</c:v>
                </c:pt>
                <c:pt idx="353">
                  <c:v>2.4025655048412946</c:v>
                </c:pt>
                <c:pt idx="354">
                  <c:v>8.4931374692993362</c:v>
                </c:pt>
                <c:pt idx="355">
                  <c:v>9.5725809246910387</c:v>
                </c:pt>
                <c:pt idx="356">
                  <c:v>9.4310230425539849</c:v>
                </c:pt>
                <c:pt idx="357">
                  <c:v>9.6382645889578136</c:v>
                </c:pt>
                <c:pt idx="358">
                  <c:v>5.7457417110138769</c:v>
                </c:pt>
                <c:pt idx="359">
                  <c:v>9.9375591331639708</c:v>
                </c:pt>
                <c:pt idx="360">
                  <c:v>3.8504271397069583</c:v>
                </c:pt>
                <c:pt idx="361">
                  <c:v>10.465655398200285</c:v>
                </c:pt>
                <c:pt idx="362">
                  <c:v>5.9732239403034066</c:v>
                </c:pt>
                <c:pt idx="363">
                  <c:v>7.6154437291381543</c:v>
                </c:pt>
                <c:pt idx="364">
                  <c:v>7.1601937210522033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732064"/>
        <c:axId val="248732456"/>
      </c:lineChart>
      <c:dateAx>
        <c:axId val="248732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8732456"/>
        <c:crosses val="autoZero"/>
        <c:auto val="1"/>
        <c:lblOffset val="100"/>
        <c:baseTimeUnit val="days"/>
        <c:majorUnit val="1"/>
        <c:majorTimeUnit val="months"/>
      </c:dateAx>
      <c:valAx>
        <c:axId val="24873245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873206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5.9773520330569929E-2</c:v>
                </c:pt>
                <c:pt idx="1">
                  <c:v>5.9794113703502294E-2</c:v>
                </c:pt>
                <c:pt idx="2">
                  <c:v>5.9814706625387015E-2</c:v>
                </c:pt>
                <c:pt idx="3">
                  <c:v>5.9835299096233863E-2</c:v>
                </c:pt>
                <c:pt idx="4">
                  <c:v>5.9855891116052717E-2</c:v>
                </c:pt>
                <c:pt idx="5">
                  <c:v>5.9876482684853571E-2</c:v>
                </c:pt>
                <c:pt idx="6">
                  <c:v>5.9897073802646195E-2</c:v>
                </c:pt>
                <c:pt idx="7">
                  <c:v>5.9917664469440468E-2</c:v>
                </c:pt>
                <c:pt idx="8">
                  <c:v>5.9938254685246273E-2</c:v>
                </c:pt>
                <c:pt idx="9">
                  <c:v>5.995884445007349E-2</c:v>
                </c:pt>
                <c:pt idx="10">
                  <c:v>5.9979433763932111E-2</c:v>
                </c:pt>
                <c:pt idx="11">
                  <c:v>6.0000022626831906E-2</c:v>
                </c:pt>
                <c:pt idx="12">
                  <c:v>6.0020611038782645E-2</c:v>
                </c:pt>
                <c:pt idx="13">
                  <c:v>6.0041198999794432E-2</c:v>
                </c:pt>
                <c:pt idx="14">
                  <c:v>6.0061786509877035E-2</c:v>
                </c:pt>
                <c:pt idx="15">
                  <c:v>6.0082373569040337E-2</c:v>
                </c:pt>
                <c:pt idx="16">
                  <c:v>6.0102960177294107E-2</c:v>
                </c:pt>
                <c:pt idx="17">
                  <c:v>6.0123546334648448E-2</c:v>
                </c:pt>
                <c:pt idx="18">
                  <c:v>6.0144132041113019E-2</c:v>
                </c:pt>
                <c:pt idx="19">
                  <c:v>6.0164717296697812E-2</c:v>
                </c:pt>
                <c:pt idx="20">
                  <c:v>6.0185302101412708E-2</c:v>
                </c:pt>
                <c:pt idx="21">
                  <c:v>6.0205886455267477E-2</c:v>
                </c:pt>
                <c:pt idx="22">
                  <c:v>6.0226470358272111E-2</c:v>
                </c:pt>
                <c:pt idx="23">
                  <c:v>6.0247053810436491E-2</c:v>
                </c:pt>
                <c:pt idx="24">
                  <c:v>6.0267636811770386E-2</c:v>
                </c:pt>
                <c:pt idx="25">
                  <c:v>6.028821936228379E-2</c:v>
                </c:pt>
                <c:pt idx="26">
                  <c:v>6.0308801461986472E-2</c:v>
                </c:pt>
                <c:pt idx="27">
                  <c:v>6.0329383110888313E-2</c:v>
                </c:pt>
                <c:pt idx="28">
                  <c:v>6.0349964308999193E-2</c:v>
                </c:pt>
                <c:pt idx="29">
                  <c:v>6.0370545056329106E-2</c:v>
                </c:pt>
                <c:pt idx="30">
                  <c:v>6.039112535288782E-2</c:v>
                </c:pt>
                <c:pt idx="31">
                  <c:v>6.0411705198685217E-2</c:v>
                </c:pt>
                <c:pt idx="32">
                  <c:v>6.0432284593731178E-2</c:v>
                </c:pt>
                <c:pt idx="33">
                  <c:v>6.0452863538035473E-2</c:v>
                </c:pt>
                <c:pt idx="34">
                  <c:v>6.0473442031608204E-2</c:v>
                </c:pt>
                <c:pt idx="35">
                  <c:v>6.0494020074459032E-2</c:v>
                </c:pt>
                <c:pt idx="36">
                  <c:v>6.0514597666597947E-2</c:v>
                </c:pt>
                <c:pt idx="37">
                  <c:v>6.053517480803472E-2</c:v>
                </c:pt>
                <c:pt idx="38">
                  <c:v>6.0555751498779342E-2</c:v>
                </c:pt>
                <c:pt idx="39">
                  <c:v>6.0576327738841695E-2</c:v>
                </c:pt>
                <c:pt idx="40">
                  <c:v>6.0596903528231438E-2</c:v>
                </c:pt>
                <c:pt idx="41">
                  <c:v>6.0617478866958674E-2</c:v>
                </c:pt>
                <c:pt idx="42">
                  <c:v>6.0638053755033172E-2</c:v>
                </c:pt>
                <c:pt idx="43">
                  <c:v>6.0658628192464814E-2</c:v>
                </c:pt>
                <c:pt idx="44">
                  <c:v>6.0679202179263481E-2</c:v>
                </c:pt>
                <c:pt idx="45">
                  <c:v>6.0699775715439053E-2</c:v>
                </c:pt>
                <c:pt idx="46">
                  <c:v>6.0720348801001411E-2</c:v>
                </c:pt>
                <c:pt idx="47">
                  <c:v>6.0740921435960327E-2</c:v>
                </c:pt>
                <c:pt idx="48">
                  <c:v>6.076149362032579E-2</c:v>
                </c:pt>
                <c:pt idx="49">
                  <c:v>6.0782065354107573E-2</c:v>
                </c:pt>
                <c:pt idx="50">
                  <c:v>6.0802636637315555E-2</c:v>
                </c:pt>
                <c:pt idx="51">
                  <c:v>6.0823207469959728E-2</c:v>
                </c:pt>
                <c:pt idx="52">
                  <c:v>6.0843777852049863E-2</c:v>
                </c:pt>
                <c:pt idx="53">
                  <c:v>6.0864347783595729E-2</c:v>
                </c:pt>
                <c:pt idx="54">
                  <c:v>6.088491726460743E-2</c:v>
                </c:pt>
                <c:pt idx="55">
                  <c:v>6.0905486295094624E-2</c:v>
                </c:pt>
                <c:pt idx="56">
                  <c:v>6.0926054875067304E-2</c:v>
                </c:pt>
                <c:pt idx="57">
                  <c:v>6.094662300453535E-2</c:v>
                </c:pt>
                <c:pt idx="58">
                  <c:v>6.0967190683508532E-2</c:v>
                </c:pt>
                <c:pt idx="59">
                  <c:v>6.0987757911996732E-2</c:v>
                </c:pt>
                <c:pt idx="60">
                  <c:v>6.100832469000983E-2</c:v>
                </c:pt>
                <c:pt idx="61">
                  <c:v>6.1028891017557707E-2</c:v>
                </c:pt>
                <c:pt idx="62">
                  <c:v>6.1049456894650245E-2</c:v>
                </c:pt>
                <c:pt idx="63">
                  <c:v>6.1070022321297324E-2</c:v>
                </c:pt>
                <c:pt idx="64">
                  <c:v>6.1090587297508714E-2</c:v>
                </c:pt>
                <c:pt idx="65">
                  <c:v>6.1111151823294407E-2</c:v>
                </c:pt>
                <c:pt idx="66">
                  <c:v>6.1131715898664174E-2</c:v>
                </c:pt>
                <c:pt idx="67">
                  <c:v>6.1152279523627895E-2</c:v>
                </c:pt>
                <c:pt idx="68">
                  <c:v>6.1172842698195562E-2</c:v>
                </c:pt>
                <c:pt idx="69">
                  <c:v>6.1193405422376834E-2</c:v>
                </c:pt>
                <c:pt idx="70">
                  <c:v>6.1213967696181704E-2</c:v>
                </c:pt>
                <c:pt idx="71">
                  <c:v>6.123452951961994E-2</c:v>
                </c:pt>
                <c:pt idx="72">
                  <c:v>6.1255090892701536E-2</c:v>
                </c:pt>
                <c:pt idx="73">
                  <c:v>6.1275651815436261E-2</c:v>
                </c:pt>
                <c:pt idx="74">
                  <c:v>6.1296212287834106E-2</c:v>
                </c:pt>
                <c:pt idx="75">
                  <c:v>6.1316772309904732E-2</c:v>
                </c:pt>
                <c:pt idx="76">
                  <c:v>6.133733188165813E-2</c:v>
                </c:pt>
                <c:pt idx="77">
                  <c:v>6.1357891003104181E-2</c:v>
                </c:pt>
                <c:pt idx="78">
                  <c:v>6.1378449674252655E-2</c:v>
                </c:pt>
                <c:pt idx="79">
                  <c:v>6.1399007895113544E-2</c:v>
                </c:pt>
                <c:pt idx="80">
                  <c:v>6.1419565665696618E-2</c:v>
                </c:pt>
                <c:pt idx="81">
                  <c:v>6.1440122986011647E-2</c:v>
                </c:pt>
                <c:pt idx="82">
                  <c:v>6.1460679856068734E-2</c:v>
                </c:pt>
                <c:pt idx="83">
                  <c:v>6.1481236275877538E-2</c:v>
                </c:pt>
                <c:pt idx="84">
                  <c:v>6.150179224544805E-2</c:v>
                </c:pt>
                <c:pt idx="85">
                  <c:v>6.1522347764789931E-2</c:v>
                </c:pt>
                <c:pt idx="86">
                  <c:v>6.1542902833913393E-2</c:v>
                </c:pt>
                <c:pt idx="87">
                  <c:v>6.1563457452827985E-2</c:v>
                </c:pt>
                <c:pt idx="88">
                  <c:v>6.1584011621543588E-2</c:v>
                </c:pt>
                <c:pt idx="89">
                  <c:v>6.1604565340070194E-2</c:v>
                </c:pt>
                <c:pt idx="90">
                  <c:v>6.1625118608417684E-2</c:v>
                </c:pt>
                <c:pt idx="91">
                  <c:v>6.1645671426595827E-2</c:v>
                </c:pt>
                <c:pt idx="92">
                  <c:v>6.1666223794614505E-2</c:v>
                </c:pt>
                <c:pt idx="93">
                  <c:v>6.1686775712483488E-2</c:v>
                </c:pt>
                <c:pt idx="94">
                  <c:v>6.1707327180212879E-2</c:v>
                </c:pt>
                <c:pt idx="95">
                  <c:v>6.1727878197812225E-2</c:v>
                </c:pt>
                <c:pt idx="96">
                  <c:v>6.174842876529163E-2</c:v>
                </c:pt>
                <c:pt idx="97">
                  <c:v>6.1768978882660863E-2</c:v>
                </c:pt>
                <c:pt idx="98">
                  <c:v>6.1789528549929806E-2</c:v>
                </c:pt>
                <c:pt idx="99">
                  <c:v>6.1810077767108229E-2</c:v>
                </c:pt>
                <c:pt idx="100">
                  <c:v>6.1830626534206123E-2</c:v>
                </c:pt>
                <c:pt idx="101">
                  <c:v>6.1851174851233259E-2</c:v>
                </c:pt>
                <c:pt idx="102">
                  <c:v>6.1871722718199518E-2</c:v>
                </c:pt>
                <c:pt idx="103">
                  <c:v>6.1892270135114669E-2</c:v>
                </c:pt>
                <c:pt idx="104">
                  <c:v>6.1912817101988815E-2</c:v>
                </c:pt>
                <c:pt idx="105">
                  <c:v>6.1933363618831505E-2</c:v>
                </c:pt>
                <c:pt idx="106">
                  <c:v>6.1953909685652842E-2</c:v>
                </c:pt>
                <c:pt idx="107">
                  <c:v>6.1974455302462594E-2</c:v>
                </c:pt>
                <c:pt idx="108">
                  <c:v>6.1995000469270534E-2</c:v>
                </c:pt>
                <c:pt idx="109">
                  <c:v>6.2015545186086651E-2</c:v>
                </c:pt>
                <c:pt idx="110">
                  <c:v>6.2036089452920717E-2</c:v>
                </c:pt>
                <c:pt idx="111">
                  <c:v>6.2056633269782613E-2</c:v>
                </c:pt>
                <c:pt idx="112">
                  <c:v>6.2077176636682219E-2</c:v>
                </c:pt>
                <c:pt idx="113">
                  <c:v>6.2097719553629305E-2</c:v>
                </c:pt>
                <c:pt idx="114">
                  <c:v>6.2118262020633863E-2</c:v>
                </c:pt>
                <c:pt idx="115">
                  <c:v>6.2138804037705553E-2</c:v>
                </c:pt>
                <c:pt idx="116">
                  <c:v>6.2159345604854477E-2</c:v>
                </c:pt>
                <c:pt idx="117">
                  <c:v>6.2179886722090294E-2</c:v>
                </c:pt>
                <c:pt idx="118">
                  <c:v>6.2200427389422996E-2</c:v>
                </c:pt>
                <c:pt idx="119">
                  <c:v>6.2220967606862354E-2</c:v>
                </c:pt>
                <c:pt idx="120">
                  <c:v>6.2241507374418137E-2</c:v>
                </c:pt>
                <c:pt idx="121">
                  <c:v>6.2262046692100448E-2</c:v>
                </c:pt>
                <c:pt idx="122">
                  <c:v>6.2282585559918835E-2</c:v>
                </c:pt>
                <c:pt idx="123">
                  <c:v>6.2303123977883401E-2</c:v>
                </c:pt>
                <c:pt idx="124">
                  <c:v>6.2323661946003917E-2</c:v>
                </c:pt>
                <c:pt idx="125">
                  <c:v>6.2344199464290151E-2</c:v>
                </c:pt>
                <c:pt idx="126">
                  <c:v>6.2364736532752096E-2</c:v>
                </c:pt>
                <c:pt idx="127">
                  <c:v>6.2385273151399412E-2</c:v>
                </c:pt>
                <c:pt idx="128">
                  <c:v>6.24058093202422E-2</c:v>
                </c:pt>
                <c:pt idx="129">
                  <c:v>6.2426345039290121E-2</c:v>
                </c:pt>
                <c:pt idx="130">
                  <c:v>6.2446880308553165E-2</c:v>
                </c:pt>
                <c:pt idx="131">
                  <c:v>6.2467415128040993E-2</c:v>
                </c:pt>
                <c:pt idx="132">
                  <c:v>6.2487949497763706E-2</c:v>
                </c:pt>
                <c:pt idx="133">
                  <c:v>6.2508483417730965E-2</c:v>
                </c:pt>
                <c:pt idx="134">
                  <c:v>6.2529016887952649E-2</c:v>
                </c:pt>
                <c:pt idx="135">
                  <c:v>6.254954990843864E-2</c:v>
                </c:pt>
                <c:pt idx="136">
                  <c:v>6.2570082479198819E-2</c:v>
                </c:pt>
                <c:pt idx="137">
                  <c:v>6.2590614600242955E-2</c:v>
                </c:pt>
                <c:pt idx="138">
                  <c:v>6.2611146271581042E-2</c:v>
                </c:pt>
                <c:pt idx="139">
                  <c:v>6.2631677493222737E-2</c:v>
                </c:pt>
                <c:pt idx="140">
                  <c:v>6.2652208265178033E-2</c:v>
                </c:pt>
                <c:pt idx="141">
                  <c:v>6.26727385874567E-2</c:v>
                </c:pt>
                <c:pt idx="142">
                  <c:v>6.2693268460068619E-2</c:v>
                </c:pt>
                <c:pt idx="143">
                  <c:v>6.271379788302367E-2</c:v>
                </c:pt>
                <c:pt idx="144">
                  <c:v>6.2734326856331624E-2</c:v>
                </c:pt>
                <c:pt idx="145">
                  <c:v>6.2754855380002472E-2</c:v>
                </c:pt>
                <c:pt idx="146">
                  <c:v>6.2775383454045874E-2</c:v>
                </c:pt>
                <c:pt idx="147">
                  <c:v>6.2795911078471822E-2</c:v>
                </c:pt>
                <c:pt idx="148">
                  <c:v>6.2816438253290086E-2</c:v>
                </c:pt>
                <c:pt idx="149">
                  <c:v>6.2836964978510546E-2</c:v>
                </c:pt>
                <c:pt idx="150">
                  <c:v>6.2857491254143083E-2</c:v>
                </c:pt>
                <c:pt idx="151">
                  <c:v>6.2878017080197468E-2</c:v>
                </c:pt>
                <c:pt idx="152">
                  <c:v>6.2898542456683582E-2</c:v>
                </c:pt>
                <c:pt idx="153">
                  <c:v>6.2919067383611194E-2</c:v>
                </c:pt>
                <c:pt idx="154">
                  <c:v>6.2939591860990296E-2</c:v>
                </c:pt>
                <c:pt idx="155">
                  <c:v>6.296011588883077E-2</c:v>
                </c:pt>
                <c:pt idx="156">
                  <c:v>6.2980639467142274E-2</c:v>
                </c:pt>
                <c:pt idx="157">
                  <c:v>6.300116259593469E-2</c:v>
                </c:pt>
                <c:pt idx="158">
                  <c:v>6.3021685275218009E-2</c:v>
                </c:pt>
                <c:pt idx="159">
                  <c:v>6.304220750500189E-2</c:v>
                </c:pt>
                <c:pt idx="160">
                  <c:v>6.3062729285296326E-2</c:v>
                </c:pt>
                <c:pt idx="161">
                  <c:v>6.3083250616111086E-2</c:v>
                </c:pt>
                <c:pt idx="162">
                  <c:v>6.3103771497456052E-2</c:v>
                </c:pt>
                <c:pt idx="163">
                  <c:v>6.3124291929340992E-2</c:v>
                </c:pt>
                <c:pt idx="164">
                  <c:v>6.31448119117759E-2</c:v>
                </c:pt>
                <c:pt idx="165">
                  <c:v>6.3165331444770545E-2</c:v>
                </c:pt>
                <c:pt idx="166">
                  <c:v>6.3185850528334697E-2</c:v>
                </c:pt>
                <c:pt idx="167">
                  <c:v>6.3206369162478238E-2</c:v>
                </c:pt>
                <c:pt idx="168">
                  <c:v>6.3226887347211047E-2</c:v>
                </c:pt>
                <c:pt idx="169">
                  <c:v>6.3247405082542896E-2</c:v>
                </c:pt>
                <c:pt idx="170">
                  <c:v>6.3267922368483775E-2</c:v>
                </c:pt>
                <c:pt idx="171">
                  <c:v>6.3288439205043456E-2</c:v>
                </c:pt>
                <c:pt idx="172">
                  <c:v>6.3308955592231708E-2</c:v>
                </c:pt>
                <c:pt idx="173">
                  <c:v>6.3329471530058412E-2</c:v>
                </c:pt>
                <c:pt idx="174">
                  <c:v>6.3349987018533449E-2</c:v>
                </c:pt>
                <c:pt idx="175">
                  <c:v>6.3370502057666589E-2</c:v>
                </c:pt>
                <c:pt idx="176">
                  <c:v>6.3391016647467824E-2</c:v>
                </c:pt>
                <c:pt idx="177">
                  <c:v>6.3411530787946813E-2</c:v>
                </c:pt>
                <c:pt idx="178">
                  <c:v>6.3432044479113547E-2</c:v>
                </c:pt>
                <c:pt idx="179">
                  <c:v>6.3452557720977687E-2</c:v>
                </c:pt>
                <c:pt idx="180">
                  <c:v>6.3473070513549223E-2</c:v>
                </c:pt>
                <c:pt idx="181">
                  <c:v>6.3493582856838038E-2</c:v>
                </c:pt>
                <c:pt idx="182">
                  <c:v>6.3514094750853789E-2</c:v>
                </c:pt>
                <c:pt idx="183">
                  <c:v>6.3534606195606469E-2</c:v>
                </c:pt>
                <c:pt idx="184">
                  <c:v>6.3555117191105848E-2</c:v>
                </c:pt>
                <c:pt idx="185">
                  <c:v>6.3575627737361806E-2</c:v>
                </c:pt>
                <c:pt idx="186">
                  <c:v>6.3596137834384225E-2</c:v>
                </c:pt>
                <c:pt idx="187">
                  <c:v>6.3616647482182764E-2</c:v>
                </c:pt>
                <c:pt idx="188">
                  <c:v>6.3637156680767415E-2</c:v>
                </c:pt>
                <c:pt idx="189">
                  <c:v>6.3657665430148058E-2</c:v>
                </c:pt>
                <c:pt idx="190">
                  <c:v>6.3678173730334353E-2</c:v>
                </c:pt>
                <c:pt idx="191">
                  <c:v>6.3698681581336292E-2</c:v>
                </c:pt>
                <c:pt idx="192">
                  <c:v>6.3719188983163644E-2</c:v>
                </c:pt>
                <c:pt idx="193">
                  <c:v>6.373969593582629E-2</c:v>
                </c:pt>
                <c:pt idx="194">
                  <c:v>6.3760202439334002E-2</c:v>
                </c:pt>
                <c:pt idx="195">
                  <c:v>6.3780708493696658E-2</c:v>
                </c:pt>
                <c:pt idx="196">
                  <c:v>6.3801214098924142E-2</c:v>
                </c:pt>
                <c:pt idx="197">
                  <c:v>6.3821719255026221E-2</c:v>
                </c:pt>
                <c:pt idx="198">
                  <c:v>6.3842223962012778E-2</c:v>
                </c:pt>
                <c:pt idx="199">
                  <c:v>6.3862728219893583E-2</c:v>
                </c:pt>
                <c:pt idx="200">
                  <c:v>6.3883232028678516E-2</c:v>
                </c:pt>
                <c:pt idx="201">
                  <c:v>6.3903735388377458E-2</c:v>
                </c:pt>
                <c:pt idx="202">
                  <c:v>6.392423829900018E-2</c:v>
                </c:pt>
                <c:pt idx="203">
                  <c:v>6.3944740760556562E-2</c:v>
                </c:pt>
                <c:pt idx="204">
                  <c:v>6.3965242773056374E-2</c:v>
                </c:pt>
                <c:pt idx="205">
                  <c:v>6.3985744336509609E-2</c:v>
                </c:pt>
                <c:pt idx="206">
                  <c:v>6.4006245450925814E-2</c:v>
                </c:pt>
                <c:pt idx="207">
                  <c:v>6.4026746116315092E-2</c:v>
                </c:pt>
                <c:pt idx="208">
                  <c:v>6.4047246332687213E-2</c:v>
                </c:pt>
                <c:pt idx="209">
                  <c:v>6.4067746100051948E-2</c:v>
                </c:pt>
                <c:pt idx="210">
                  <c:v>6.4088245418419176E-2</c:v>
                </c:pt>
                <c:pt idx="211">
                  <c:v>6.4108744287798669E-2</c:v>
                </c:pt>
                <c:pt idx="212">
                  <c:v>6.4129242708200418E-2</c:v>
                </c:pt>
                <c:pt idx="213">
                  <c:v>6.4149740679634082E-2</c:v>
                </c:pt>
                <c:pt idx="214">
                  <c:v>6.4170238202109542E-2</c:v>
                </c:pt>
                <c:pt idx="215">
                  <c:v>6.4190735275636679E-2</c:v>
                </c:pt>
                <c:pt idx="216">
                  <c:v>6.4211231900225374E-2</c:v>
                </c:pt>
                <c:pt idx="217">
                  <c:v>6.4231728075885286E-2</c:v>
                </c:pt>
                <c:pt idx="218">
                  <c:v>6.4252223802626407E-2</c:v>
                </c:pt>
                <c:pt idx="219">
                  <c:v>6.4272719080458507E-2</c:v>
                </c:pt>
                <c:pt idx="220">
                  <c:v>6.4293213909391356E-2</c:v>
                </c:pt>
                <c:pt idx="221">
                  <c:v>6.4313708289434945E-2</c:v>
                </c:pt>
                <c:pt idx="222">
                  <c:v>6.4334202220598935E-2</c:v>
                </c:pt>
                <c:pt idx="223">
                  <c:v>6.4354695702893316E-2</c:v>
                </c:pt>
                <c:pt idx="224">
                  <c:v>6.4375188736327749E-2</c:v>
                </c:pt>
                <c:pt idx="225">
                  <c:v>6.4395681320912224E-2</c:v>
                </c:pt>
                <c:pt idx="226">
                  <c:v>6.4416173456656511E-2</c:v>
                </c:pt>
                <c:pt idx="227">
                  <c:v>6.4436665143570382E-2</c:v>
                </c:pt>
                <c:pt idx="228">
                  <c:v>6.4457156381663716E-2</c:v>
                </c:pt>
                <c:pt idx="229">
                  <c:v>6.4477647170946395E-2</c:v>
                </c:pt>
                <c:pt idx="230">
                  <c:v>6.4498137511428189E-2</c:v>
                </c:pt>
                <c:pt idx="231">
                  <c:v>6.4518627403118867E-2</c:v>
                </c:pt>
                <c:pt idx="232">
                  <c:v>6.4539116846028421E-2</c:v>
                </c:pt>
                <c:pt idx="233">
                  <c:v>6.4559605840166623E-2</c:v>
                </c:pt>
                <c:pt idx="234">
                  <c:v>6.458009438554313E-2</c:v>
                </c:pt>
                <c:pt idx="235">
                  <c:v>6.4600582482168045E-2</c:v>
                </c:pt>
                <c:pt idx="236">
                  <c:v>6.4621070130051028E-2</c:v>
                </c:pt>
                <c:pt idx="237">
                  <c:v>6.4641557329201849E-2</c:v>
                </c:pt>
                <c:pt idx="238">
                  <c:v>6.4662044079630498E-2</c:v>
                </c:pt>
                <c:pt idx="239">
                  <c:v>6.4682530381346748E-2</c:v>
                </c:pt>
                <c:pt idx="240">
                  <c:v>6.4703016234360478E-2</c:v>
                </c:pt>
                <c:pt idx="241">
                  <c:v>6.4723501638681347E-2</c:v>
                </c:pt>
                <c:pt idx="242">
                  <c:v>6.4743986594319347E-2</c:v>
                </c:pt>
                <c:pt idx="243">
                  <c:v>6.4764471101284138E-2</c:v>
                </c:pt>
                <c:pt idx="244">
                  <c:v>6.4784955159585711E-2</c:v>
                </c:pt>
                <c:pt idx="245">
                  <c:v>6.4805438769233947E-2</c:v>
                </c:pt>
                <c:pt idx="246">
                  <c:v>6.4825921930238395E-2</c:v>
                </c:pt>
                <c:pt idx="247">
                  <c:v>6.4846404642609157E-2</c:v>
                </c:pt>
                <c:pt idx="248">
                  <c:v>6.4866886906355892E-2</c:v>
                </c:pt>
                <c:pt idx="249">
                  <c:v>6.4887368721488592E-2</c:v>
                </c:pt>
                <c:pt idx="250">
                  <c:v>6.4907850088016805E-2</c:v>
                </c:pt>
                <c:pt idx="251">
                  <c:v>6.4928331005950635E-2</c:v>
                </c:pt>
                <c:pt idx="252">
                  <c:v>6.494881147529985E-2</c:v>
                </c:pt>
                <c:pt idx="253">
                  <c:v>6.4969291496074111E-2</c:v>
                </c:pt>
                <c:pt idx="254">
                  <c:v>6.4989771068283408E-2</c:v>
                </c:pt>
                <c:pt idx="255">
                  <c:v>6.5010250191937513E-2</c:v>
                </c:pt>
                <c:pt idx="256">
                  <c:v>6.5030728867046195E-2</c:v>
                </c:pt>
                <c:pt idx="257">
                  <c:v>6.5051207093619445E-2</c:v>
                </c:pt>
                <c:pt idx="258">
                  <c:v>6.5071684871666924E-2</c:v>
                </c:pt>
                <c:pt idx="259">
                  <c:v>6.5092162201198511E-2</c:v>
                </c:pt>
                <c:pt idx="260">
                  <c:v>6.5112639082223978E-2</c:v>
                </c:pt>
                <c:pt idx="261">
                  <c:v>6.5133115514753315E-2</c:v>
                </c:pt>
                <c:pt idx="262">
                  <c:v>6.5153591498796071E-2</c:v>
                </c:pt>
                <c:pt idx="263">
                  <c:v>6.5174067034362348E-2</c:v>
                </c:pt>
                <c:pt idx="264">
                  <c:v>6.5194542121461807E-2</c:v>
                </c:pt>
                <c:pt idx="265">
                  <c:v>6.5215016760104327E-2</c:v>
                </c:pt>
                <c:pt idx="266">
                  <c:v>6.5235490950299679E-2</c:v>
                </c:pt>
                <c:pt idx="267">
                  <c:v>6.5255964692057744E-2</c:v>
                </c:pt>
                <c:pt idx="268">
                  <c:v>6.5276437985388291E-2</c:v>
                </c:pt>
                <c:pt idx="269">
                  <c:v>6.5296910830301202E-2</c:v>
                </c:pt>
                <c:pt idx="270">
                  <c:v>6.5317383226806247E-2</c:v>
                </c:pt>
                <c:pt idx="271">
                  <c:v>6.5337855174913306E-2</c:v>
                </c:pt>
                <c:pt idx="272">
                  <c:v>6.535832667463215E-2</c:v>
                </c:pt>
                <c:pt idx="273">
                  <c:v>6.5378797725972548E-2</c:v>
                </c:pt>
                <c:pt idx="274">
                  <c:v>6.5399268328944493E-2</c:v>
                </c:pt>
                <c:pt idx="275">
                  <c:v>6.5419738483557643E-2</c:v>
                </c:pt>
                <c:pt idx="276">
                  <c:v>6.544020818982188E-2</c:v>
                </c:pt>
                <c:pt idx="277">
                  <c:v>6.5460677447746973E-2</c:v>
                </c:pt>
                <c:pt idx="278">
                  <c:v>6.5481146257342804E-2</c:v>
                </c:pt>
                <c:pt idx="279">
                  <c:v>6.5501614618619142E-2</c:v>
                </c:pt>
                <c:pt idx="280">
                  <c:v>6.5522082531585868E-2</c:v>
                </c:pt>
                <c:pt idx="281">
                  <c:v>6.5542549996252863E-2</c:v>
                </c:pt>
                <c:pt idx="282">
                  <c:v>6.5563017012629787E-2</c:v>
                </c:pt>
                <c:pt idx="283">
                  <c:v>6.5583483580726409E-2</c:v>
                </c:pt>
                <c:pt idx="284">
                  <c:v>6.5603949700552833E-2</c:v>
                </c:pt>
                <c:pt idx="285">
                  <c:v>6.5624415372118605E-2</c:v>
                </c:pt>
                <c:pt idx="286">
                  <c:v>6.5644880595433719E-2</c:v>
                </c:pt>
                <c:pt idx="287">
                  <c:v>6.5665345370507833E-2</c:v>
                </c:pt>
                <c:pt idx="288">
                  <c:v>6.5685809697350939E-2</c:v>
                </c:pt>
                <c:pt idx="289">
                  <c:v>6.5706273575972696E-2</c:v>
                </c:pt>
                <c:pt idx="290">
                  <c:v>6.5726737006382985E-2</c:v>
                </c:pt>
                <c:pt idx="291">
                  <c:v>6.5747199988591687E-2</c:v>
                </c:pt>
                <c:pt idx="292">
                  <c:v>6.5767662522608572E-2</c:v>
                </c:pt>
                <c:pt idx="293">
                  <c:v>6.578812460844341E-2</c:v>
                </c:pt>
                <c:pt idx="294">
                  <c:v>6.5808586246106082E-2</c:v>
                </c:pt>
                <c:pt idx="295">
                  <c:v>6.5829047435606358E-2</c:v>
                </c:pt>
                <c:pt idx="296">
                  <c:v>6.5849508176954008E-2</c:v>
                </c:pt>
                <c:pt idx="297">
                  <c:v>6.5869968470159024E-2</c:v>
                </c:pt>
                <c:pt idx="298">
                  <c:v>6.5890428315231064E-2</c:v>
                </c:pt>
                <c:pt idx="299">
                  <c:v>6.59108877121799E-2</c:v>
                </c:pt>
                <c:pt idx="300">
                  <c:v>6.5931346661015522E-2</c:v>
                </c:pt>
                <c:pt idx="301">
                  <c:v>6.5951805161747701E-2</c:v>
                </c:pt>
                <c:pt idx="302">
                  <c:v>6.5972263214386206E-2</c:v>
                </c:pt>
                <c:pt idx="303">
                  <c:v>6.5992720818940809E-2</c:v>
                </c:pt>
                <c:pt idx="304">
                  <c:v>6.6013177975421278E-2</c:v>
                </c:pt>
                <c:pt idx="305">
                  <c:v>6.6033634683837605E-2</c:v>
                </c:pt>
                <c:pt idx="306">
                  <c:v>6.6054090944199562E-2</c:v>
                </c:pt>
                <c:pt idx="307">
                  <c:v>6.6074546756516916E-2</c:v>
                </c:pt>
                <c:pt idx="308">
                  <c:v>6.609500212079944E-2</c:v>
                </c:pt>
                <c:pt idx="309">
                  <c:v>6.6115457037056902E-2</c:v>
                </c:pt>
                <c:pt idx="310">
                  <c:v>6.6135911505299294E-2</c:v>
                </c:pt>
                <c:pt idx="311">
                  <c:v>6.6156365525536387E-2</c:v>
                </c:pt>
                <c:pt idx="312">
                  <c:v>6.6176819097777839E-2</c:v>
                </c:pt>
                <c:pt idx="313">
                  <c:v>6.6197272222033643E-2</c:v>
                </c:pt>
                <c:pt idx="314">
                  <c:v>6.6217724898313568E-2</c:v>
                </c:pt>
                <c:pt idx="315">
                  <c:v>6.6238177126627273E-2</c:v>
                </c:pt>
                <c:pt idx="316">
                  <c:v>6.6258628906984751E-2</c:v>
                </c:pt>
                <c:pt idx="317">
                  <c:v>6.6279080239395771E-2</c:v>
                </c:pt>
                <c:pt idx="318">
                  <c:v>6.6299531123870103E-2</c:v>
                </c:pt>
                <c:pt idx="319">
                  <c:v>6.6319981560417518E-2</c:v>
                </c:pt>
                <c:pt idx="320">
                  <c:v>6.6340431549048007E-2</c:v>
                </c:pt>
                <c:pt idx="321">
                  <c:v>6.6360881089771118E-2</c:v>
                </c:pt>
                <c:pt idx="322">
                  <c:v>6.6381330182596954E-2</c:v>
                </c:pt>
                <c:pt idx="323">
                  <c:v>6.6401778827535063E-2</c:v>
                </c:pt>
                <c:pt idx="324">
                  <c:v>6.6422227024595437E-2</c:v>
                </c:pt>
                <c:pt idx="325">
                  <c:v>6.6442674773787735E-2</c:v>
                </c:pt>
                <c:pt idx="326">
                  <c:v>6.646312207512195E-2</c:v>
                </c:pt>
                <c:pt idx="327">
                  <c:v>6.6483568928607739E-2</c:v>
                </c:pt>
                <c:pt idx="328">
                  <c:v>6.6504015334254984E-2</c:v>
                </c:pt>
                <c:pt idx="329">
                  <c:v>6.6524461292073456E-2</c:v>
                </c:pt>
                <c:pt idx="330">
                  <c:v>6.6544906802072923E-2</c:v>
                </c:pt>
                <c:pt idx="331">
                  <c:v>6.6565351864263378E-2</c:v>
                </c:pt>
                <c:pt idx="332">
                  <c:v>6.6585796478654369E-2</c:v>
                </c:pt>
                <c:pt idx="333">
                  <c:v>6.6606240645255888E-2</c:v>
                </c:pt>
                <c:pt idx="334">
                  <c:v>6.6626684364077704E-2</c:v>
                </c:pt>
                <c:pt idx="335">
                  <c:v>6.6647127635129588E-2</c:v>
                </c:pt>
                <c:pt idx="336">
                  <c:v>6.6667570458421421E-2</c:v>
                </c:pt>
                <c:pt idx="337">
                  <c:v>6.6688012833962862E-2</c:v>
                </c:pt>
                <c:pt idx="338">
                  <c:v>6.6708454761763902E-2</c:v>
                </c:pt>
                <c:pt idx="339">
                  <c:v>6.6728896241834201E-2</c:v>
                </c:pt>
                <c:pt idx="340">
                  <c:v>6.6749337274183751E-2</c:v>
                </c:pt>
                <c:pt idx="341">
                  <c:v>6.6769777858822099E-2</c:v>
                </c:pt>
                <c:pt idx="342">
                  <c:v>6.6790217995759238E-2</c:v>
                </c:pt>
                <c:pt idx="343">
                  <c:v>6.6810657685004826E-2</c:v>
                </c:pt>
                <c:pt idx="344">
                  <c:v>6.6831096926568856E-2</c:v>
                </c:pt>
                <c:pt idx="345">
                  <c:v>6.6851535720461097E-2</c:v>
                </c:pt>
                <c:pt idx="346">
                  <c:v>6.6871974066691209E-2</c:v>
                </c:pt>
                <c:pt idx="347">
                  <c:v>6.6892411965269072E-2</c:v>
                </c:pt>
                <c:pt idx="348">
                  <c:v>6.6912849416204456E-2</c:v>
                </c:pt>
                <c:pt idx="349">
                  <c:v>6.6933286419507354E-2</c:v>
                </c:pt>
                <c:pt idx="350">
                  <c:v>6.6953722975187313E-2</c:v>
                </c:pt>
                <c:pt idx="351">
                  <c:v>6.6974159083254325E-2</c:v>
                </c:pt>
                <c:pt idx="352">
                  <c:v>6.6994594743718161E-2</c:v>
                </c:pt>
                <c:pt idx="353">
                  <c:v>6.7015029956588479E-2</c:v>
                </c:pt>
                <c:pt idx="354">
                  <c:v>6.7035464721875271E-2</c:v>
                </c:pt>
                <c:pt idx="355">
                  <c:v>6.7055899039588196E-2</c:v>
                </c:pt>
                <c:pt idx="356">
                  <c:v>6.7076332909737135E-2</c:v>
                </c:pt>
                <c:pt idx="357">
                  <c:v>6.7096766332331859E-2</c:v>
                </c:pt>
                <c:pt idx="358">
                  <c:v>6.7117199307382247E-2</c:v>
                </c:pt>
                <c:pt idx="359">
                  <c:v>6.7137631834897959E-2</c:v>
                </c:pt>
                <c:pt idx="360">
                  <c:v>6.7158063914888988E-2</c:v>
                </c:pt>
                <c:pt idx="361">
                  <c:v>6.7178495547364991E-2</c:v>
                </c:pt>
                <c:pt idx="362">
                  <c:v>6.719892673233574E-2</c:v>
                </c:pt>
                <c:pt idx="363">
                  <c:v>6.7219357469811225E-2</c:v>
                </c:pt>
                <c:pt idx="364">
                  <c:v>6.7239787759800995E-2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5.4126177013056095E-2</c:v>
                </c:pt>
                <c:pt idx="1">
                  <c:v>5.4250803726142834E-2</c:v>
                </c:pt>
                <c:pt idx="2">
                  <c:v>5.4375369082931044E-2</c:v>
                </c:pt>
                <c:pt idx="3">
                  <c:v>5.4499861441167141E-2</c:v>
                </c:pt>
                <c:pt idx="4">
                  <c:v>5.4624270686740237E-2</c:v>
                </c:pt>
                <c:pt idx="5">
                  <c:v>5.4748588199556261E-2</c:v>
                </c:pt>
                <c:pt idx="6">
                  <c:v>5.4872806806522165E-2</c:v>
                </c:pt>
                <c:pt idx="7">
                  <c:v>5.499692072250191E-2</c:v>
                </c:pt>
                <c:pt idx="8">
                  <c:v>5.5120925480203399E-2</c:v>
                </c:pt>
                <c:pt idx="9">
                  <c:v>5.5244817850043731E-2</c:v>
                </c:pt>
                <c:pt idx="10">
                  <c:v>5.5368595751116564E-2</c:v>
                </c:pt>
                <c:pt idx="11">
                  <c:v>5.5492258154448776E-2</c:v>
                </c:pt>
                <c:pt idx="12">
                  <c:v>5.5615804979786257E-2</c:v>
                </c:pt>
                <c:pt idx="13">
                  <c:v>5.5739236987186441E-2</c:v>
                </c:pt>
                <c:pt idx="14">
                  <c:v>5.5862555664721356E-2</c:v>
                </c:pt>
                <c:pt idx="15">
                  <c:v>5.5985763113607249E-2</c:v>
                </c:pt>
                <c:pt idx="16">
                  <c:v>5.6108861932075614E-2</c:v>
                </c:pt>
                <c:pt idx="17">
                  <c:v>5.6231855099287006E-2</c:v>
                </c:pt>
                <c:pt idx="18">
                  <c:v>5.6354745860562251E-2</c:v>
                </c:pt>
                <c:pt idx="19">
                  <c:v>5.6477537615166613E-2</c:v>
                </c:pt>
                <c:pt idx="20">
                  <c:v>5.660023380783219E-2</c:v>
                </c:pt>
                <c:pt idx="21">
                  <c:v>5.6722837825141828E-2</c:v>
                </c:pt>
                <c:pt idx="22">
                  <c:v>5.6845352897825864E-2</c:v>
                </c:pt>
                <c:pt idx="23">
                  <c:v>5.6967782009941959E-2</c:v>
                </c:pt>
                <c:pt idx="24">
                  <c:v>5.7090127815817578E-2</c:v>
                </c:pt>
                <c:pt idx="25">
                  <c:v>5.7212392565538332E-2</c:v>
                </c:pt>
                <c:pt idx="26">
                  <c:v>5.7334578039660786E-2</c:v>
                </c:pt>
                <c:pt idx="27">
                  <c:v>5.7456685493720148E-2</c:v>
                </c:pt>
                <c:pt idx="28">
                  <c:v>5.7578715612989745E-2</c:v>
                </c:pt>
                <c:pt idx="29">
                  <c:v>5.7700668477834213E-2</c:v>
                </c:pt>
                <c:pt idx="30">
                  <c:v>5.7822543539880492E-2</c:v>
                </c:pt>
                <c:pt idx="31">
                  <c:v>5.7944339609113438E-2</c:v>
                </c:pt>
                <c:pt idx="32">
                  <c:v>5.8066054851886505E-2</c:v>
                </c:pt>
                <c:pt idx="33">
                  <c:v>5.8187686799722887E-2</c:v>
                </c:pt>
                <c:pt idx="34">
                  <c:v>5.8309232368671776E-2</c:v>
                </c:pt>
                <c:pt idx="35">
                  <c:v>5.8430687888877349E-2</c:v>
                </c:pt>
                <c:pt idx="36">
                  <c:v>5.8552049143916436E-2</c:v>
                </c:pt>
                <c:pt idx="37">
                  <c:v>5.8673311419366582E-2</c:v>
                </c:pt>
                <c:pt idx="38">
                  <c:v>5.8794469559977289E-2</c:v>
                </c:pt>
                <c:pt idx="39">
                  <c:v>5.8915518034738754E-2</c:v>
                </c:pt>
                <c:pt idx="40">
                  <c:v>5.903645100907149E-2</c:v>
                </c:pt>
                <c:pt idx="41">
                  <c:v>5.9157262423297843E-2</c:v>
                </c:pt>
                <c:pt idx="42">
                  <c:v>5.9277946076506591E-2</c:v>
                </c:pt>
                <c:pt idx="43">
                  <c:v>5.939849571487954E-2</c:v>
                </c:pt>
                <c:pt idx="44">
                  <c:v>5.9518905123518866E-2</c:v>
                </c:pt>
                <c:pt idx="45">
                  <c:v>5.9639168220794188E-2</c:v>
                </c:pt>
                <c:pt idx="46">
                  <c:v>5.975927915421924E-2</c:v>
                </c:pt>
                <c:pt idx="47">
                  <c:v>5.9879232396869306E-2</c:v>
                </c:pt>
                <c:pt idx="48">
                  <c:v>5.9999022843362788E-2</c:v>
                </c:pt>
                <c:pt idx="49">
                  <c:v>6.0118645904452303E-2</c:v>
                </c:pt>
                <c:pt idx="50">
                  <c:v>6.0238097599302175E-2</c:v>
                </c:pt>
                <c:pt idx="51">
                  <c:v>6.0357374644570347E-2</c:v>
                </c:pt>
                <c:pt idx="52">
                  <c:v>6.047647453946179E-2</c:v>
                </c:pt>
                <c:pt idx="53">
                  <c:v>6.0595395645978115E-2</c:v>
                </c:pt>
                <c:pt idx="54">
                  <c:v>6.071413726365138E-2</c:v>
                </c:pt>
                <c:pt idx="55">
                  <c:v>6.0832699698121356E-2</c:v>
                </c:pt>
                <c:pt idx="56">
                  <c:v>6.0951084322990387E-2</c:v>
                </c:pt>
                <c:pt idx="57">
                  <c:v>6.1069293634469744E-2</c:v>
                </c:pt>
                <c:pt idx="58">
                  <c:v>6.1187331298414957E-2</c:v>
                </c:pt>
                <c:pt idx="59">
                  <c:v>6.1305202189431925E-2</c:v>
                </c:pt>
                <c:pt idx="60">
                  <c:v>6.1422912421823427E-2</c:v>
                </c:pt>
                <c:pt idx="61">
                  <c:v>6.1540469372230684E-2</c:v>
                </c:pt>
                <c:pt idx="62">
                  <c:v>6.1657881693912231E-2</c:v>
                </c:pt>
                <c:pt idx="63">
                  <c:v>6.1775159322684695E-2</c:v>
                </c:pt>
                <c:pt idx="64">
                  <c:v>6.1892313474632928E-2</c:v>
                </c:pt>
                <c:pt idx="65">
                  <c:v>6.2009356635773089E-2</c:v>
                </c:pt>
                <c:pt idx="66">
                  <c:v>6.2126302543926364E-2</c:v>
                </c:pt>
                <c:pt idx="67">
                  <c:v>6.2243166163128409E-2</c:v>
                </c:pt>
                <c:pt idx="68">
                  <c:v>6.2359963650960901E-2</c:v>
                </c:pt>
                <c:pt idx="69">
                  <c:v>6.2476712319247729E-2</c:v>
                </c:pt>
                <c:pt idx="70">
                  <c:v>6.2593430588605253E-2</c:v>
                </c:pt>
                <c:pt idx="71">
                  <c:v>6.2710137937376731E-2</c:v>
                </c:pt>
                <c:pt idx="72">
                  <c:v>6.2826854845514285E-2</c:v>
                </c:pt>
                <c:pt idx="73">
                  <c:v>6.2943602733994047E-2</c:v>
                </c:pt>
                <c:pt idx="74">
                  <c:v>6.3060403900368781E-2</c:v>
                </c:pt>
                <c:pt idx="75">
                  <c:v>6.3177281451067116E-2</c:v>
                </c:pt>
                <c:pt idx="76">
                  <c:v>6.3294259231050254E-2</c:v>
                </c:pt>
                <c:pt idx="77">
                  <c:v>6.3411361751427239E-2</c:v>
                </c:pt>
                <c:pt idx="78">
                  <c:v>6.3528614115613391E-2</c:v>
                </c:pt>
                <c:pt idx="79">
                  <c:v>6.3646041944593959E-2</c:v>
                </c:pt>
                <c:pt idx="80">
                  <c:v>6.376367130182295E-2</c:v>
                </c:pt>
                <c:pt idx="81">
                  <c:v>6.3881528618251665E-2</c:v>
                </c:pt>
                <c:pt idx="82">
                  <c:v>6.3999640617937989E-2</c:v>
                </c:pt>
                <c:pt idx="83">
                  <c:v>6.4118034244640312E-2</c:v>
                </c:pt>
                <c:pt idx="84">
                  <c:v>6.4236736589748433E-2</c:v>
                </c:pt>
                <c:pt idx="85">
                  <c:v>6.4355774821848608E-2</c:v>
                </c:pt>
                <c:pt idx="86">
                  <c:v>6.4475176118162295E-2</c:v>
                </c:pt>
                <c:pt idx="87">
                  <c:v>6.4594967598039288E-2</c:v>
                </c:pt>
                <c:pt idx="88">
                  <c:v>6.4715176258625981E-2</c:v>
                </c:pt>
                <c:pt idx="89">
                  <c:v>6.4835828912769428E-2</c:v>
                </c:pt>
                <c:pt idx="90">
                  <c:v>6.4956952129160361E-2</c:v>
                </c:pt>
                <c:pt idx="91">
                  <c:v>6.5078572174660648E-2</c:v>
                </c:pt>
                <c:pt idx="92">
                  <c:v>6.5200714958707884E-2</c:v>
                </c:pt>
                <c:pt idx="93">
                  <c:v>6.5323405979639163E-2</c:v>
                </c:pt>
                <c:pt idx="94">
                  <c:v>6.5446670272731225E-2</c:v>
                </c:pt>
                <c:pt idx="95">
                  <c:v>6.5570532359713246E-2</c:v>
                </c:pt>
                <c:pt idx="96">
                  <c:v>6.5695016199474085E-2</c:v>
                </c:pt>
                <c:pt idx="97">
                  <c:v>6.5820145139657685E-2</c:v>
                </c:pt>
                <c:pt idx="98">
                  <c:v>6.5945941868819122E-2</c:v>
                </c:pt>
                <c:pt idx="99">
                  <c:v>6.6072428368799035E-2</c:v>
                </c:pt>
                <c:pt idx="100">
                  <c:v>6.6199625866968065E-2</c:v>
                </c:pt>
                <c:pt idx="101">
                  <c:v>6.6327554787993945E-2</c:v>
                </c:pt>
                <c:pt idx="102">
                  <c:v>6.6456234704792144E-2</c:v>
                </c:pt>
                <c:pt idx="103">
                  <c:v>6.6585684288338234E-2</c:v>
                </c:pt>
                <c:pt idx="104">
                  <c:v>6.6715921256044142E-2</c:v>
                </c:pt>
                <c:pt idx="105">
                  <c:v>6.6846962318431347E-2</c:v>
                </c:pt>
                <c:pt idx="106">
                  <c:v>6.6978823123873904E-2</c:v>
                </c:pt>
                <c:pt idx="107">
                  <c:v>6.7111518201228348E-2</c:v>
                </c:pt>
                <c:pt idx="108">
                  <c:v>6.7245060900219408E-2</c:v>
                </c:pt>
                <c:pt idx="109">
                  <c:v>6.7379463329506978E-2</c:v>
                </c:pt>
                <c:pt idx="110">
                  <c:v>6.7514736292421176E-2</c:v>
                </c:pt>
                <c:pt idx="111">
                  <c:v>6.7650889220418384E-2</c:v>
                </c:pt>
                <c:pt idx="112">
                  <c:v>6.778793010437853E-2</c:v>
                </c:pt>
                <c:pt idx="113">
                  <c:v>6.792586542393593E-2</c:v>
                </c:pt>
                <c:pt idx="114">
                  <c:v>6.8064700075106968E-2</c:v>
                </c:pt>
                <c:pt idx="115">
                  <c:v>6.8204437296550804E-2</c:v>
                </c:pt>
                <c:pt idx="116">
                  <c:v>6.8345078594870587E-2</c:v>
                </c:pt>
                <c:pt idx="117">
                  <c:v>6.8486623669432506E-2</c:v>
                </c:pt>
                <c:pt idx="118">
                  <c:v>6.862907033724662E-2</c:v>
                </c:pt>
                <c:pt idx="119">
                  <c:v>6.8772414458517769E-2</c:v>
                </c:pt>
                <c:pt idx="120">
                  <c:v>6.8916649863531756E-2</c:v>
                </c:pt>
                <c:pt idx="121">
                  <c:v>6.9061768281596367E-2</c:v>
                </c:pt>
                <c:pt idx="122">
                  <c:v>6.9207759272802247E-2</c:v>
                </c:pt>
                <c:pt idx="123">
                  <c:v>6.9354610163407368E-2</c:v>
                </c:pt>
                <c:pt idx="124">
                  <c:v>6.9502305985680649E-2</c:v>
                </c:pt>
                <c:pt idx="125">
                  <c:v>6.9650829423060764E-2</c:v>
                </c:pt>
                <c:pt idx="126">
                  <c:v>6.9800160761500266E-2</c:v>
                </c:pt>
                <c:pt idx="127">
                  <c:v>6.9950277847866976E-2</c:v>
                </c:pt>
                <c:pt idx="128">
                  <c:v>7.0101156056267225E-2</c:v>
                </c:pt>
                <c:pt idx="129">
                  <c:v>7.0252768263138546E-2</c:v>
                </c:pt>
                <c:pt idx="130">
                  <c:v>7.0405084831929296E-2</c:v>
                </c:pt>
                <c:pt idx="131">
                  <c:v>7.0558073608145547E-2</c:v>
                </c:pt>
                <c:pt idx="132">
                  <c:v>7.071169992549417E-2</c:v>
                </c:pt>
                <c:pt idx="133">
                  <c:v>7.0865926623792805E-2</c:v>
                </c:pt>
                <c:pt idx="134">
                  <c:v>7.1020714079246094E-2</c:v>
                </c:pt>
                <c:pt idx="135">
                  <c:v>7.1176020247609925E-2</c:v>
                </c:pt>
                <c:pt idx="136">
                  <c:v>7.1331800720676103E-2</c:v>
                </c:pt>
                <c:pt idx="137">
                  <c:v>7.1488008796414843E-2</c:v>
                </c:pt>
                <c:pt idx="138">
                  <c:v>7.1644595563007993E-2</c:v>
                </c:pt>
                <c:pt idx="139">
                  <c:v>7.1801509996897037E-2</c:v>
                </c:pt>
                <c:pt idx="140">
                  <c:v>7.195869907485411E-2</c:v>
                </c:pt>
                <c:pt idx="141">
                  <c:v>7.2116107899964768E-2</c:v>
                </c:pt>
                <c:pt idx="142">
                  <c:v>7.2273679841288962E-2</c:v>
                </c:pt>
                <c:pt idx="143">
                  <c:v>7.2431356686841628E-2</c:v>
                </c:pt>
                <c:pt idx="144">
                  <c:v>7.2589078809409124E-2</c:v>
                </c:pt>
                <c:pt idx="145">
                  <c:v>7.2746785344593209E-2</c:v>
                </c:pt>
                <c:pt idx="146">
                  <c:v>7.2904414380350946E-2</c:v>
                </c:pt>
                <c:pt idx="147">
                  <c:v>7.3061903157179933E-2</c:v>
                </c:pt>
                <c:pt idx="148">
                  <c:v>7.3219188277982725E-2</c:v>
                </c:pt>
                <c:pt idx="149">
                  <c:v>7.3376205926534738E-2</c:v>
                </c:pt>
                <c:pt idx="150">
                  <c:v>7.3532892093378335E-2</c:v>
                </c:pt>
                <c:pt idx="151">
                  <c:v>7.368918280787097E-2</c:v>
                </c:pt>
                <c:pt idx="152">
                  <c:v>7.3845014375030341E-2</c:v>
                </c:pt>
                <c:pt idx="153">
                  <c:v>7.4000323615745947E-2</c:v>
                </c:pt>
                <c:pt idx="154">
                  <c:v>7.4155048108861671E-2</c:v>
                </c:pt>
                <c:pt idx="155">
                  <c:v>7.4309126433584199E-2</c:v>
                </c:pt>
                <c:pt idx="156">
                  <c:v>7.4462498410633279E-2</c:v>
                </c:pt>
                <c:pt idx="157">
                  <c:v>7.4615105340524748E-2</c:v>
                </c:pt>
                <c:pt idx="158">
                  <c:v>7.4766890237366698E-2</c:v>
                </c:pt>
                <c:pt idx="159">
                  <c:v>7.4917798056552548E-2</c:v>
                </c:pt>
                <c:pt idx="160">
                  <c:v>7.5067775914751889E-2</c:v>
                </c:pt>
                <c:pt idx="161">
                  <c:v>7.5216773300633866E-2</c:v>
                </c:pt>
                <c:pt idx="162">
                  <c:v>7.5364742274802221E-2</c:v>
                </c:pt>
                <c:pt idx="163">
                  <c:v>7.5511637657484448E-2</c:v>
                </c:pt>
                <c:pt idx="164">
                  <c:v>7.565741720259074E-2</c:v>
                </c:pt>
                <c:pt idx="165">
                  <c:v>7.5802041756846406E-2</c:v>
                </c:pt>
                <c:pt idx="166">
                  <c:v>7.5945475402802817E-2</c:v>
                </c:pt>
                <c:pt idx="167">
                  <c:v>7.6087685584643031E-2</c:v>
                </c:pt>
                <c:pt idx="168">
                  <c:v>7.6228643215822289E-2</c:v>
                </c:pt>
                <c:pt idx="169">
                  <c:v>7.6368322767715713E-2</c:v>
                </c:pt>
                <c:pt idx="170">
                  <c:v>7.6506702338587085E-2</c:v>
                </c:pt>
                <c:pt idx="171">
                  <c:v>7.6643763702341702E-2</c:v>
                </c:pt>
                <c:pt idx="172">
                  <c:v>7.6779492336680244E-2</c:v>
                </c:pt>
                <c:pt idx="173">
                  <c:v>7.6913877430430433E-2</c:v>
                </c:pt>
                <c:pt idx="174">
                  <c:v>7.7046911869995127E-2</c:v>
                </c:pt>
                <c:pt idx="175">
                  <c:v>7.7178592205019589E-2</c:v>
                </c:pt>
                <c:pt idx="176">
                  <c:v>7.7308918593544149E-2</c:v>
                </c:pt>
                <c:pt idx="177">
                  <c:v>7.7437894727070869E-2</c:v>
                </c:pt>
                <c:pt idx="178">
                  <c:v>7.7565527736131831E-2</c:v>
                </c:pt>
                <c:pt idx="179">
                  <c:v>7.7691828077100997E-2</c:v>
                </c:pt>
                <c:pt idx="180">
                  <c:v>7.7816809401139664E-2</c:v>
                </c:pt>
                <c:pt idx="181">
                  <c:v>7.794048840630631E-2</c:v>
                </c:pt>
                <c:pt idx="182">
                  <c:v>7.8062884673993027E-2</c:v>
                </c:pt>
                <c:pt idx="183">
                  <c:v>7.8184020490971534E-2</c:v>
                </c:pt>
                <c:pt idx="184">
                  <c:v>7.8303920658442647E-2</c:v>
                </c:pt>
                <c:pt idx="185">
                  <c:v>7.8422612289578253E-2</c:v>
                </c:pt>
                <c:pt idx="186">
                  <c:v>7.8540124597130528E-2</c:v>
                </c:pt>
                <c:pt idx="187">
                  <c:v>7.865648867275031E-2</c:v>
                </c:pt>
                <c:pt idx="188">
                  <c:v>7.8771737259712149E-2</c:v>
                </c:pt>
                <c:pt idx="189">
                  <c:v>7.8885904520780148E-2</c:v>
                </c:pt>
                <c:pt idx="190">
                  <c:v>7.8999025802973244E-2</c:v>
                </c:pt>
                <c:pt idx="191">
                  <c:v>7.9111137400992557E-2</c:v>
                </c:pt>
                <c:pt idx="192">
                  <c:v>7.9222276321064294E-2</c:v>
                </c:pt>
                <c:pt idx="193">
                  <c:v>7.933248004692546E-2</c:v>
                </c:pt>
                <c:pt idx="194">
                  <c:v>7.9441786309636581E-2</c:v>
                </c:pt>
                <c:pt idx="195">
                  <c:v>7.9550232862848083E-2</c:v>
                </c:pt>
                <c:pt idx="196">
                  <c:v>7.965785726507435E-2</c:v>
                </c:pt>
                <c:pt idx="197">
                  <c:v>7.9764696670442892E-2</c:v>
                </c:pt>
                <c:pt idx="198">
                  <c:v>7.9870787629284984E-2</c:v>
                </c:pt>
                <c:pt idx="199">
                  <c:v>7.9976165899823051E-2</c:v>
                </c:pt>
                <c:pt idx="200">
                  <c:v>8.0080866272085688E-2</c:v>
                </c:pt>
                <c:pt idx="201">
                  <c:v>8.0184922405048958E-2</c:v>
                </c:pt>
                <c:pt idx="202">
                  <c:v>8.0288366677860684E-2</c:v>
                </c:pt>
                <c:pt idx="203">
                  <c:v>8.039123005585605E-2</c:v>
                </c:pt>
                <c:pt idx="204">
                  <c:v>8.0493541971919449E-2</c:v>
                </c:pt>
                <c:pt idx="205">
                  <c:v>8.0595330223590098E-2</c:v>
                </c:pt>
                <c:pt idx="206">
                  <c:v>8.0696620886149234E-2</c:v>
                </c:pt>
                <c:pt idx="207">
                  <c:v>8.0797438241766634E-2</c:v>
                </c:pt>
                <c:pt idx="208">
                  <c:v>8.0897804724626182E-2</c:v>
                </c:pt>
                <c:pt idx="209">
                  <c:v>8.0997740881793748E-2</c:v>
                </c:pt>
                <c:pt idx="210">
                  <c:v>8.1097265349439882E-2</c:v>
                </c:pt>
                <c:pt idx="211">
                  <c:v>8.1196394843884842E-2</c:v>
                </c:pt>
                <c:pt idx="212">
                  <c:v>8.1295144166795702E-2</c:v>
                </c:pt>
                <c:pt idx="213">
                  <c:v>8.1393526223737425E-2</c:v>
                </c:pt>
                <c:pt idx="214">
                  <c:v>8.1491552055161745E-2</c:v>
                </c:pt>
                <c:pt idx="215">
                  <c:v>8.1589230878812063E-2</c:v>
                </c:pt>
                <c:pt idx="216">
                  <c:v>8.1686570142428194E-2</c:v>
                </c:pt>
                <c:pt idx="217">
                  <c:v>8.178357558555692E-2</c:v>
                </c:pt>
                <c:pt idx="218">
                  <c:v>8.1880251309207494E-2</c:v>
                </c:pt>
                <c:pt idx="219">
                  <c:v>8.1976599852043266E-2</c:v>
                </c:pt>
                <c:pt idx="220">
                  <c:v>8.2072622271765427E-2</c:v>
                </c:pt>
                <c:pt idx="221">
                  <c:v>8.2168318230328108E-2</c:v>
                </c:pt>
                <c:pt idx="222">
                  <c:v>8.2263686081621532E-2</c:v>
                </c:pt>
                <c:pt idx="223">
                  <c:v>8.2358722960275632E-2</c:v>
                </c:pt>
                <c:pt idx="224">
                  <c:v>8.2453424870266231E-2</c:v>
                </c:pt>
                <c:pt idx="225">
                  <c:v>8.254778677205328E-2</c:v>
                </c:pt>
                <c:pt idx="226">
                  <c:v>8.2641802667041089E-2</c:v>
                </c:pt>
                <c:pt idx="227">
                  <c:v>8.2735465678227441E-2</c:v>
                </c:pt>
                <c:pt idx="228">
                  <c:v>8.2828768125996585E-2</c:v>
                </c:pt>
                <c:pt idx="229">
                  <c:v>8.2921701598114239E-2</c:v>
                </c:pt>
                <c:pt idx="230">
                  <c:v>8.3014257013094367E-2</c:v>
                </c:pt>
                <c:pt idx="231">
                  <c:v>8.3106424676231985E-2</c:v>
                </c:pt>
                <c:pt idx="232">
                  <c:v>8.3198194327726821E-2</c:v>
                </c:pt>
                <c:pt idx="233">
                  <c:v>8.3289555182461755E-2</c:v>
                </c:pt>
                <c:pt idx="234">
                  <c:v>8.3380495961143886E-2</c:v>
                </c:pt>
                <c:pt idx="235">
                  <c:v>8.3471004912663987E-2</c:v>
                </c:pt>
                <c:pt idx="236">
                  <c:v>8.356106982767994E-2</c:v>
                </c:pt>
                <c:pt idx="237">
                  <c:v>8.3650678043579396E-2</c:v>
                </c:pt>
                <c:pt idx="238">
                  <c:v>8.3739816441126255E-2</c:v>
                </c:pt>
                <c:pt idx="239">
                  <c:v>8.3828471433239779E-2</c:v>
                </c:pt>
                <c:pt idx="240">
                  <c:v>8.3916628946496624E-2</c:v>
                </c:pt>
                <c:pt idx="241">
                  <c:v>8.4004274396078021E-2</c:v>
                </c:pt>
                <c:pt idx="242">
                  <c:v>8.409139265501131E-2</c:v>
                </c:pt>
                <c:pt idx="243">
                  <c:v>8.4177968018668267E-2</c:v>
                </c:pt>
                <c:pt idx="244">
                  <c:v>8.4263984165588418E-2</c:v>
                </c:pt>
                <c:pt idx="245">
                  <c:v>8.4349424115785068E-2</c:v>
                </c:pt>
                <c:pt idx="246">
                  <c:v>8.4434270187770485E-2</c:v>
                </c:pt>
                <c:pt idx="247">
                  <c:v>8.4518503955597415E-2</c:v>
                </c:pt>
                <c:pt idx="248">
                  <c:v>8.4602106207261968E-2</c:v>
                </c:pt>
                <c:pt idx="249">
                  <c:v>8.4685056905841799E-2</c:v>
                </c:pt>
                <c:pt idx="250">
                  <c:v>8.476733515475629E-2</c:v>
                </c:pt>
                <c:pt idx="251">
                  <c:v>8.4848919168530906E-2</c:v>
                </c:pt>
                <c:pt idx="252">
                  <c:v>8.4929786250424716E-2</c:v>
                </c:pt>
                <c:pt idx="253">
                  <c:v>8.5009912778240354E-2</c:v>
                </c:pt>
                <c:pt idx="254">
                  <c:v>8.5089274199577208E-2</c:v>
                </c:pt>
                <c:pt idx="255">
                  <c:v>8.5167845037714143E-2</c:v>
                </c:pt>
                <c:pt idx="256">
                  <c:v>8.5245598909216652E-2</c:v>
                </c:pt>
                <c:pt idx="257">
                  <c:v>8.5322508554255883E-2</c:v>
                </c:pt>
                <c:pt idx="258">
                  <c:v>8.5398545880505286E-2</c:v>
                </c:pt>
                <c:pt idx="259">
                  <c:v>8.5473682021345004E-2</c:v>
                </c:pt>
                <c:pt idx="260">
                  <c:v>8.5547887408956608E-2</c:v>
                </c:pt>
                <c:pt idx="261">
                  <c:v>8.5621131862731431E-2</c:v>
                </c:pt>
                <c:pt idx="262">
                  <c:v>8.5693384693248581E-2</c:v>
                </c:pt>
                <c:pt idx="263">
                  <c:v>8.5764614821901994E-2</c:v>
                </c:pt>
                <c:pt idx="264">
                  <c:v>8.5834790916075765E-2</c:v>
                </c:pt>
                <c:pt idx="265">
                  <c:v>8.5903881539580743E-2</c:v>
                </c:pt>
                <c:pt idx="266">
                  <c:v>8.5971855317878321E-2</c:v>
                </c:pt>
                <c:pt idx="267">
                  <c:v>8.6038681117430363E-2</c:v>
                </c:pt>
                <c:pt idx="268">
                  <c:v>8.6104328238328656E-2</c:v>
                </c:pt>
                <c:pt idx="269">
                  <c:v>8.616876661917669E-2</c:v>
                </c:pt>
                <c:pt idx="270">
                  <c:v>8.6231967053020914E-2</c:v>
                </c:pt>
                <c:pt idx="271">
                  <c:v>8.629390141296224E-2</c:v>
                </c:pt>
                <c:pt idx="272">
                  <c:v>8.6354542885921134E-2</c:v>
                </c:pt>
                <c:pt idx="273">
                  <c:v>8.6413866212884674E-2</c:v>
                </c:pt>
                <c:pt idx="274">
                  <c:v>8.6471847933832377E-2</c:v>
                </c:pt>
                <c:pt idx="275">
                  <c:v>8.6528466635420534E-2</c:v>
                </c:pt>
                <c:pt idx="276">
                  <c:v>8.6583703199405185E-2</c:v>
                </c:pt>
                <c:pt idx="277">
                  <c:v>8.6637541049701852E-2</c:v>
                </c:pt>
                <c:pt idx="278">
                  <c:v>8.6689966395916557E-2</c:v>
                </c:pt>
                <c:pt idx="279">
                  <c:v>8.6740968471140656E-2</c:v>
                </c:pt>
                <c:pt idx="280">
                  <c:v>8.6790539761778293E-2</c:v>
                </c:pt>
                <c:pt idx="281">
                  <c:v>8.6838676227176462E-2</c:v>
                </c:pt>
                <c:pt idx="282">
                  <c:v>8.6885377506846023E-2</c:v>
                </c:pt>
                <c:pt idx="283">
                  <c:v>8.6930647113107468E-2</c:v>
                </c:pt>
                <c:pt idx="284">
                  <c:v>8.6974492607057544E-2</c:v>
                </c:pt>
                <c:pt idx="285">
                  <c:v>8.7016925755840316E-2</c:v>
                </c:pt>
                <c:pt idx="286">
                  <c:v>8.7057962669312608E-2</c:v>
                </c:pt>
                <c:pt idx="287">
                  <c:v>8.7097623914321437E-2</c:v>
                </c:pt>
                <c:pt idx="288">
                  <c:v>8.7135934604957443E-2</c:v>
                </c:pt>
                <c:pt idx="289">
                  <c:v>8.7172924467313492E-2</c:v>
                </c:pt>
                <c:pt idx="290">
                  <c:v>8.72086278774587E-2</c:v>
                </c:pt>
                <c:pt idx="291">
                  <c:v>8.7243083871536328E-2</c:v>
                </c:pt>
                <c:pt idx="292">
                  <c:v>8.7276336127102686E-2</c:v>
                </c:pt>
                <c:pt idx="293">
                  <c:v>8.7308432915049361E-2</c:v>
                </c:pt>
                <c:pt idx="294">
                  <c:v>8.7339427021680877E-2</c:v>
                </c:pt>
                <c:pt idx="295">
                  <c:v>8.7369375640761512E-2</c:v>
                </c:pt>
                <c:pt idx="296">
                  <c:v>8.7398340235590427E-2</c:v>
                </c:pt>
                <c:pt idx="297">
                  <c:v>8.7426386371413256E-2</c:v>
                </c:pt>
                <c:pt idx="298">
                  <c:v>8.7453583518728242E-2</c:v>
                </c:pt>
                <c:pt idx="299">
                  <c:v>8.7480004828294114E-2</c:v>
                </c:pt>
                <c:pt idx="300">
                  <c:v>8.7505726878892187E-2</c:v>
                </c:pt>
                <c:pt idx="301">
                  <c:v>8.7530829399133661E-2</c:v>
                </c:pt>
                <c:pt idx="302">
                  <c:v>8.7555394964835317E-2</c:v>
                </c:pt>
                <c:pt idx="303">
                  <c:v>8.7579508673705883E-2</c:v>
                </c:pt>
                <c:pt idx="304">
                  <c:v>8.760325779929462E-2</c:v>
                </c:pt>
                <c:pt idx="305">
                  <c:v>8.7626731426345555E-2</c:v>
                </c:pt>
                <c:pt idx="306">
                  <c:v>8.7650020069879139E-2</c:v>
                </c:pt>
                <c:pt idx="307">
                  <c:v>8.7673215280479527E-2</c:v>
                </c:pt>
                <c:pt idx="308">
                  <c:v>8.7696409238405784E-2</c:v>
                </c:pt>
                <c:pt idx="309">
                  <c:v>8.7719694339261869E-2</c:v>
                </c:pt>
                <c:pt idx="310">
                  <c:v>8.7743162774053959E-2</c:v>
                </c:pt>
                <c:pt idx="311">
                  <c:v>8.776690610653648E-2</c:v>
                </c:pt>
                <c:pt idx="312">
                  <c:v>8.7791014850792881E-2</c:v>
                </c:pt>
                <c:pt idx="313">
                  <c:v>8.7815578052019908E-2</c:v>
                </c:pt>
                <c:pt idx="314">
                  <c:v>8.7840682873480402E-2</c:v>
                </c:pt>
                <c:pt idx="315">
                  <c:v>8.786641419255993E-2</c:v>
                </c:pt>
                <c:pt idx="316">
                  <c:v>8.7892854208809101E-2</c:v>
                </c:pt>
                <c:pt idx="317">
                  <c:v>8.7920082066773403E-2</c:v>
                </c:pt>
                <c:pt idx="318">
                  <c:v>8.7948173496309345E-2</c:v>
                </c:pt>
                <c:pt idx="319">
                  <c:v>8.7977200472958747E-2</c:v>
                </c:pt>
                <c:pt idx="320">
                  <c:v>8.8007230900803354E-2</c:v>
                </c:pt>
                <c:pt idx="321">
                  <c:v>8.8038328320051998E-2</c:v>
                </c:pt>
                <c:pt idx="322">
                  <c:v>8.8070551641422315E-2</c:v>
                </c:pt>
                <c:pt idx="323">
                  <c:v>8.810395490917082E-2</c:v>
                </c:pt>
                <c:pt idx="324">
                  <c:v>8.8138587094401713E-2</c:v>
                </c:pt>
                <c:pt idx="325">
                  <c:v>8.8174491920045645E-2</c:v>
                </c:pt>
                <c:pt idx="326">
                  <c:v>8.8211707718650792E-2</c:v>
                </c:pt>
                <c:pt idx="327">
                  <c:v>8.8250267323867093E-2</c:v>
                </c:pt>
                <c:pt idx="328">
                  <c:v>8.8290197996238634E-2</c:v>
                </c:pt>
                <c:pt idx="329">
                  <c:v>8.8331521383645722E-2</c:v>
                </c:pt>
                <c:pt idx="330">
                  <c:v>8.8374253516463858E-2</c:v>
                </c:pt>
                <c:pt idx="331">
                  <c:v>8.8418404837231776E-2</c:v>
                </c:pt>
                <c:pt idx="332">
                  <c:v>8.846398026434768E-2</c:v>
                </c:pt>
                <c:pt idx="333">
                  <c:v>8.8510979289045624E-2</c:v>
                </c:pt>
                <c:pt idx="334">
                  <c:v>8.8559396104643015E-2</c:v>
                </c:pt>
                <c:pt idx="335">
                  <c:v>8.8609219766799627E-2</c:v>
                </c:pt>
                <c:pt idx="336">
                  <c:v>8.8660434383288966E-2</c:v>
                </c:pt>
                <c:pt idx="337">
                  <c:v>8.8713019331558146E-2</c:v>
                </c:pt>
                <c:pt idx="338">
                  <c:v>8.8766949502142853E-2</c:v>
                </c:pt>
                <c:pt idx="339">
                  <c:v>8.8822195565812764E-2</c:v>
                </c:pt>
                <c:pt idx="340">
                  <c:v>8.8878724262150183E-2</c:v>
                </c:pt>
                <c:pt idx="341">
                  <c:v>8.893649870711462E-2</c:v>
                </c:pt>
                <c:pt idx="342">
                  <c:v>8.8995478717015769E-2</c:v>
                </c:pt>
                <c:pt idx="343">
                  <c:v>8.9055621146212974E-2</c:v>
                </c:pt>
                <c:pt idx="344">
                  <c:v>8.9116880235776533E-2</c:v>
                </c:pt>
                <c:pt idx="345">
                  <c:v>8.9179207970290011E-2</c:v>
                </c:pt>
                <c:pt idx="346">
                  <c:v>8.924255443994078E-2</c:v>
                </c:pt>
                <c:pt idx="347">
                  <c:v>8.9306868205039164E-2</c:v>
                </c:pt>
                <c:pt idx="348">
                  <c:v>8.9372096660125452E-2</c:v>
                </c:pt>
                <c:pt idx="349">
                  <c:v>8.943818639486667E-2</c:v>
                </c:pt>
                <c:pt idx="350">
                  <c:v>8.9505083549013334E-2</c:v>
                </c:pt>
                <c:pt idx="351">
                  <c:v>8.9572734158776535E-2</c:v>
                </c:pt>
                <c:pt idx="352">
                  <c:v>8.9641084492099371E-2</c:v>
                </c:pt>
                <c:pt idx="353">
                  <c:v>8.9710081370430669E-2</c:v>
                </c:pt>
                <c:pt idx="354">
                  <c:v>8.9779672474763914E-2</c:v>
                </c:pt>
                <c:pt idx="355">
                  <c:v>8.9849806633875748E-2</c:v>
                </c:pt>
                <c:pt idx="356">
                  <c:v>8.9920434092887427E-2</c:v>
                </c:pt>
                <c:pt idx="357">
                  <c:v>8.9991506760476292E-2</c:v>
                </c:pt>
                <c:pt idx="358">
                  <c:v>9.0062978433278762E-2</c:v>
                </c:pt>
                <c:pt idx="359">
                  <c:v>9.0134804996253967E-2</c:v>
                </c:pt>
                <c:pt idx="360">
                  <c:v>9.0206944598009722E-2</c:v>
                </c:pt>
                <c:pt idx="361">
                  <c:v>9.0279357800333707E-2</c:v>
                </c:pt>
                <c:pt idx="362">
                  <c:v>9.0352007701415174E-2</c:v>
                </c:pt>
                <c:pt idx="363">
                  <c:v>9.0424860032488744E-2</c:v>
                </c:pt>
                <c:pt idx="364">
                  <c:v>9.0497883227873416E-2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1.174450447365474E-2</c:v>
                </c:pt>
                <c:pt idx="1">
                  <c:v>1.1757116963710434E-2</c:v>
                </c:pt>
                <c:pt idx="2">
                  <c:v>1.1769786231801185E-2</c:v>
                </c:pt>
                <c:pt idx="3">
                  <c:v>1.1782809199768181E-2</c:v>
                </c:pt>
                <c:pt idx="4">
                  <c:v>1.1796470767007924E-2</c:v>
                </c:pt>
                <c:pt idx="5">
                  <c:v>1.181104354924987E-2</c:v>
                </c:pt>
                <c:pt idx="6">
                  <c:v>1.1826787838716412E-2</c:v>
                </c:pt>
                <c:pt idx="7">
                  <c:v>1.184395176800466E-2</c:v>
                </c:pt>
                <c:pt idx="8">
                  <c:v>1.186208226942794E-2</c:v>
                </c:pt>
                <c:pt idx="9">
                  <c:v>1.1877677031686473E-2</c:v>
                </c:pt>
                <c:pt idx="10">
                  <c:v>1.1885835201048736E-2</c:v>
                </c:pt>
                <c:pt idx="11">
                  <c:v>1.1886704610148796E-2</c:v>
                </c:pt>
                <c:pt idx="12">
                  <c:v>1.1880439213915038E-2</c:v>
                </c:pt>
                <c:pt idx="13">
                  <c:v>1.1867198727691531E-2</c:v>
                </c:pt>
                <c:pt idx="14">
                  <c:v>1.1847148229547536E-2</c:v>
                </c:pt>
                <c:pt idx="15">
                  <c:v>1.1820322630865951E-2</c:v>
                </c:pt>
                <c:pt idx="16">
                  <c:v>1.1787487962529312E-2</c:v>
                </c:pt>
                <c:pt idx="17">
                  <c:v>1.1748804906877925E-2</c:v>
                </c:pt>
                <c:pt idx="18">
                  <c:v>1.1704437690356322E-2</c:v>
                </c:pt>
                <c:pt idx="19">
                  <c:v>1.1654618624938089E-2</c:v>
                </c:pt>
                <c:pt idx="20">
                  <c:v>1.1599610635148921E-2</c:v>
                </c:pt>
                <c:pt idx="21">
                  <c:v>1.1539626858923487E-2</c:v>
                </c:pt>
                <c:pt idx="22">
                  <c:v>1.1474148164624113E-2</c:v>
                </c:pt>
                <c:pt idx="23">
                  <c:v>1.1398252722964557E-2</c:v>
                </c:pt>
                <c:pt idx="24">
                  <c:v>1.1315185811322792E-2</c:v>
                </c:pt>
                <c:pt idx="25">
                  <c:v>1.1225755735294869E-2</c:v>
                </c:pt>
                <c:pt idx="26">
                  <c:v>1.1130726276255472E-2</c:v>
                </c:pt>
                <c:pt idx="27">
                  <c:v>1.1030815249845017E-2</c:v>
                </c:pt>
                <c:pt idx="28">
                  <c:v>1.0926693888146552E-2</c:v>
                </c:pt>
                <c:pt idx="29">
                  <c:v>1.0803022076919392E-2</c:v>
                </c:pt>
                <c:pt idx="30">
                  <c:v>1.0661190116709667E-2</c:v>
                </c:pt>
                <c:pt idx="31">
                  <c:v>1.0502400608573992E-2</c:v>
                </c:pt>
                <c:pt idx="32">
                  <c:v>1.0327780449632364E-2</c:v>
                </c:pt>
                <c:pt idx="33">
                  <c:v>1.0138379683707538E-2</c:v>
                </c:pt>
                <c:pt idx="34">
                  <c:v>9.9351712443936143E-3</c:v>
                </c:pt>
                <c:pt idx="35">
                  <c:v>9.7190514183279047E-3</c:v>
                </c:pt>
                <c:pt idx="36">
                  <c:v>9.4894380619047307E-3</c:v>
                </c:pt>
                <c:pt idx="37">
                  <c:v>9.2358725907685374E-3</c:v>
                </c:pt>
                <c:pt idx="38">
                  <c:v>8.9636612092102094E-3</c:v>
                </c:pt>
                <c:pt idx="39">
                  <c:v>8.6740146696523569E-3</c:v>
                </c:pt>
                <c:pt idx="40">
                  <c:v>8.3680549295147479E-3</c:v>
                </c:pt>
                <c:pt idx="41">
                  <c:v>8.0468139945785704E-3</c:v>
                </c:pt>
                <c:pt idx="42">
                  <c:v>7.711233698833639E-3</c:v>
                </c:pt>
                <c:pt idx="43">
                  <c:v>7.3656397560624143E-3</c:v>
                </c:pt>
                <c:pt idx="44">
                  <c:v>7.0236004402926509E-3</c:v>
                </c:pt>
                <c:pt idx="45">
                  <c:v>6.6851651636585484E-3</c:v>
                </c:pt>
                <c:pt idx="46">
                  <c:v>6.3503391076741239E-3</c:v>
                </c:pt>
                <c:pt idx="47">
                  <c:v>6.0190870538424923E-3</c:v>
                </c:pt>
                <c:pt idx="48">
                  <c:v>5.6913368605609957E-3</c:v>
                </c:pt>
                <c:pt idx="49">
                  <c:v>5.3669825849220103E-3</c:v>
                </c:pt>
                <c:pt idx="50">
                  <c:v>5.0455286365742773E-3</c:v>
                </c:pt>
                <c:pt idx="51">
                  <c:v>4.7272048261767091E-3</c:v>
                </c:pt>
                <c:pt idx="52">
                  <c:v>4.420121639228506E-3</c:v>
                </c:pt>
                <c:pt idx="53">
                  <c:v>4.123826765113343E-3</c:v>
                </c:pt>
                <c:pt idx="54">
                  <c:v>3.8379151813568526E-3</c:v>
                </c:pt>
                <c:pt idx="55">
                  <c:v>3.5620026645579229E-3</c:v>
                </c:pt>
                <c:pt idx="56">
                  <c:v>3.295724413773648E-3</c:v>
                </c:pt>
                <c:pt idx="57">
                  <c:v>3.0415703138702023E-3</c:v>
                </c:pt>
                <c:pt idx="58">
                  <c:v>2.7962001577542671E-3</c:v>
                </c:pt>
                <c:pt idx="59">
                  <c:v>2.5593058090105894E-3</c:v>
                </c:pt>
                <c:pt idx="60">
                  <c:v>2.330593672245061E-3</c:v>
                </c:pt>
                <c:pt idx="61">
                  <c:v>2.1097837544941595E-3</c:v>
                </c:pt>
                <c:pt idx="62">
                  <c:v>1.8966087932670754E-3</c:v>
                </c:pt>
                <c:pt idx="63">
                  <c:v>1.6908134466948035E-3</c:v>
                </c:pt>
                <c:pt idx="64">
                  <c:v>1.4921083826416742E-3</c:v>
                </c:pt>
                <c:pt idx="65">
                  <c:v>1.3079545228199647E-3</c:v>
                </c:pt>
                <c:pt idx="66">
                  <c:v>1.1373348356862002E-3</c:v>
                </c:pt>
                <c:pt idx="67">
                  <c:v>9.7988967078373158E-4</c:v>
                </c:pt>
                <c:pt idx="68">
                  <c:v>8.3526603107382232E-4</c:v>
                </c:pt>
                <c:pt idx="69">
                  <c:v>7.0311905625931187E-4</c:v>
                </c:pt>
                <c:pt idx="70">
                  <c:v>5.8311335549116777E-4</c:v>
                </c:pt>
                <c:pt idx="71">
                  <c:v>4.7792209349935711E-4</c:v>
                </c:pt>
                <c:pt idx="72">
                  <c:v>3.8468064791298507E-4</c:v>
                </c:pt>
                <c:pt idx="73">
                  <c:v>3.0308008776107413E-4</c:v>
                </c:pt>
                <c:pt idx="74">
                  <c:v>2.3282596022183307E-4</c:v>
                </c:pt>
                <c:pt idx="75">
                  <c:v>1.7363910119574084E-4</c:v>
                </c:pt>
                <c:pt idx="76">
                  <c:v>1.252563731380137E-4</c:v>
                </c:pt>
                <c:pt idx="77">
                  <c:v>8.7431342075187292E-5</c:v>
                </c:pt>
                <c:pt idx="78">
                  <c:v>5.9931059272923022E-5</c:v>
                </c:pt>
                <c:pt idx="79">
                  <c:v>4.2545385306252683E-5</c:v>
                </c:pt>
                <c:pt idx="80">
                  <c:v>2.8195419842782488E-5</c:v>
                </c:pt>
                <c:pt idx="81">
                  <c:v>1.6821097811816034E-5</c:v>
                </c:pt>
                <c:pt idx="82">
                  <c:v>8.3656634269186296E-6</c:v>
                </c:pt>
                <c:pt idx="83">
                  <c:v>2.7760458600838775E-6</c:v>
                </c:pt>
                <c:pt idx="84">
                  <c:v>3.2097896616944622E-9</c:v>
                </c:pt>
                <c:pt idx="85">
                  <c:v>2.4844265102040765E-9</c:v>
                </c:pt>
                <c:pt idx="86">
                  <c:v>1.8548186550367135E-9</c:v>
                </c:pt>
                <c:pt idx="87">
                  <c:v>1.3192094559690437E-9</c:v>
                </c:pt>
                <c:pt idx="88">
                  <c:v>8.759823172796962E-10</c:v>
                </c:pt>
                <c:pt idx="89">
                  <c:v>5.2367043045250912E-10</c:v>
                </c:pt>
                <c:pt idx="90">
                  <c:v>2.6096613986010453E-10</c:v>
                </c:pt>
                <c:pt idx="91">
                  <c:v>8.6730051209098649E-11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2.1292867195148032E-10</c:v>
                </c:pt>
                <c:pt idx="254">
                  <c:v>6.4266797937544081E-10</c:v>
                </c:pt>
                <c:pt idx="255">
                  <c:v>1.2932285951641746E-9</c:v>
                </c:pt>
                <c:pt idx="256">
                  <c:v>2.1687146973609931E-9</c:v>
                </c:pt>
                <c:pt idx="257">
                  <c:v>3.273285784555458E-9</c:v>
                </c:pt>
                <c:pt idx="258">
                  <c:v>4.6111152962372524E-9</c:v>
                </c:pt>
                <c:pt idx="259">
                  <c:v>6.1863458560152146E-9</c:v>
                </c:pt>
                <c:pt idx="260">
                  <c:v>8.0033156714648946E-9</c:v>
                </c:pt>
                <c:pt idx="261">
                  <c:v>6.9295906558003252E-6</c:v>
                </c:pt>
                <c:pt idx="262">
                  <c:v>2.0901657097414257E-5</c:v>
                </c:pt>
                <c:pt idx="263">
                  <c:v>4.2058680726355265E-5</c:v>
                </c:pt>
                <c:pt idx="264">
                  <c:v>7.0539513799956584E-5</c:v>
                </c:pt>
                <c:pt idx="265">
                  <c:v>1.0648860227401365E-4</c:v>
                </c:pt>
                <c:pt idx="266">
                  <c:v>1.5005665256410852E-4</c:v>
                </c:pt>
                <c:pt idx="267">
                  <c:v>2.1897286145357219E-4</c:v>
                </c:pt>
                <c:pt idx="268">
                  <c:v>3.1375699295637825E-4</c:v>
                </c:pt>
                <c:pt idx="269">
                  <c:v>4.3495292619109572E-4</c:v>
                </c:pt>
                <c:pt idx="270">
                  <c:v>5.8313108759395593E-4</c:v>
                </c:pt>
                <c:pt idx="271">
                  <c:v>7.5889136944856336E-4</c:v>
                </c:pt>
                <c:pt idx="272">
                  <c:v>9.6286633913814719E-4</c:v>
                </c:pt>
                <c:pt idx="273">
                  <c:v>1.1957247770633332E-3</c:v>
                </c:pt>
                <c:pt idx="274">
                  <c:v>1.4581495725163932E-3</c:v>
                </c:pt>
                <c:pt idx="275">
                  <c:v>1.7571907737489905E-3</c:v>
                </c:pt>
                <c:pt idx="276">
                  <c:v>2.0860663786535609E-3</c:v>
                </c:pt>
                <c:pt idx="277">
                  <c:v>2.4455276621417718E-3</c:v>
                </c:pt>
                <c:pt idx="278">
                  <c:v>2.8363607488384496E-3</c:v>
                </c:pt>
                <c:pt idx="279">
                  <c:v>3.2593889243661633E-3</c:v>
                </c:pt>
                <c:pt idx="280">
                  <c:v>3.7154752167242078E-3</c:v>
                </c:pt>
                <c:pt idx="281">
                  <c:v>4.2071485466476178E-3</c:v>
                </c:pt>
                <c:pt idx="282">
                  <c:v>4.7157229101579407E-3</c:v>
                </c:pt>
                <c:pt idx="283">
                  <c:v>5.2417355169589609E-3</c:v>
                </c:pt>
                <c:pt idx="284">
                  <c:v>5.7857534638533518E-3</c:v>
                </c:pt>
                <c:pt idx="285">
                  <c:v>6.348376435667406E-3</c:v>
                </c:pt>
                <c:pt idx="286">
                  <c:v>6.9302396769518439E-3</c:v>
                </c:pt>
                <c:pt idx="287">
                  <c:v>7.5320172605408148E-3</c:v>
                </c:pt>
                <c:pt idx="288">
                  <c:v>8.1546427311954255E-3</c:v>
                </c:pt>
                <c:pt idx="289">
                  <c:v>8.806560453289175E-3</c:v>
                </c:pt>
                <c:pt idx="290">
                  <c:v>9.4815658315918171E-3</c:v>
                </c:pt>
                <c:pt idx="291">
                  <c:v>1.0180506049097262E-2</c:v>
                </c:pt>
                <c:pt idx="292">
                  <c:v>1.0904256500676564E-2</c:v>
                </c:pt>
                <c:pt idx="293">
                  <c:v>1.165372142316537E-2</c:v>
                </c:pt>
                <c:pt idx="294">
                  <c:v>1.2429834404021092E-2</c:v>
                </c:pt>
                <c:pt idx="295">
                  <c:v>1.3212419656541779E-2</c:v>
                </c:pt>
                <c:pt idx="296">
                  <c:v>1.4000064411214609E-2</c:v>
                </c:pt>
                <c:pt idx="297">
                  <c:v>1.4793141035547814E-2</c:v>
                </c:pt>
                <c:pt idx="298">
                  <c:v>1.5591904893828775E-2</c:v>
                </c:pt>
                <c:pt idx="299">
                  <c:v>1.63965956528913E-2</c:v>
                </c:pt>
                <c:pt idx="300">
                  <c:v>1.7207435404211054E-2</c:v>
                </c:pt>
                <c:pt idx="301">
                  <c:v>1.8024626427875529E-2</c:v>
                </c:pt>
                <c:pt idx="302">
                  <c:v>1.8852470598320761E-2</c:v>
                </c:pt>
                <c:pt idx="303">
                  <c:v>1.9662407712150703E-2</c:v>
                </c:pt>
                <c:pt idx="304">
                  <c:v>2.0444347098005859E-2</c:v>
                </c:pt>
                <c:pt idx="305">
                  <c:v>2.1196276012972345E-2</c:v>
                </c:pt>
                <c:pt idx="306">
                  <c:v>2.1915742022951455E-2</c:v>
                </c:pt>
                <c:pt idx="307">
                  <c:v>2.2599836162219205E-2</c:v>
                </c:pt>
                <c:pt idx="308">
                  <c:v>2.324517820443885E-2</c:v>
                </c:pt>
                <c:pt idx="309">
                  <c:v>2.3838073010932728E-2</c:v>
                </c:pt>
                <c:pt idx="310">
                  <c:v>2.4399456418926595E-2</c:v>
                </c:pt>
                <c:pt idx="311">
                  <c:v>2.4925217870119178E-2</c:v>
                </c:pt>
                <c:pt idx="312">
                  <c:v>2.5410795147848407E-2</c:v>
                </c:pt>
                <c:pt idx="313">
                  <c:v>2.5851186502708508E-2</c:v>
                </c:pt>
                <c:pt idx="314">
                  <c:v>2.624097713887066E-2</c:v>
                </c:pt>
                <c:pt idx="315">
                  <c:v>2.6574383259521699E-2</c:v>
                </c:pt>
                <c:pt idx="316">
                  <c:v>2.6852481211489664E-2</c:v>
                </c:pt>
                <c:pt idx="317">
                  <c:v>2.7078499155403325E-2</c:v>
                </c:pt>
                <c:pt idx="318">
                  <c:v>2.7290939497101138E-2</c:v>
                </c:pt>
                <c:pt idx="319">
                  <c:v>2.7489005352658444E-2</c:v>
                </c:pt>
                <c:pt idx="320">
                  <c:v>2.7671873059590339E-2</c:v>
                </c:pt>
                <c:pt idx="321">
                  <c:v>2.7838693015794582E-2</c:v>
                </c:pt>
                <c:pt idx="322">
                  <c:v>2.7988590887346124E-2</c:v>
                </c:pt>
                <c:pt idx="323">
                  <c:v>2.8114834402827853E-2</c:v>
                </c:pt>
                <c:pt idx="324">
                  <c:v>2.822840617511348E-2</c:v>
                </c:pt>
                <c:pt idx="325">
                  <c:v>2.8328603111108016E-2</c:v>
                </c:pt>
                <c:pt idx="326">
                  <c:v>2.8414528405517919E-2</c:v>
                </c:pt>
                <c:pt idx="327">
                  <c:v>2.8485387017644304E-2</c:v>
                </c:pt>
                <c:pt idx="328">
                  <c:v>2.8540518493279713E-2</c:v>
                </c:pt>
                <c:pt idx="329">
                  <c:v>2.8579254923683128E-2</c:v>
                </c:pt>
                <c:pt idx="330">
                  <c:v>2.8606206578348829E-2</c:v>
                </c:pt>
                <c:pt idx="331">
                  <c:v>2.8623155776332558E-2</c:v>
                </c:pt>
                <c:pt idx="332">
                  <c:v>2.8627559965561569E-2</c:v>
                </c:pt>
                <c:pt idx="333">
                  <c:v>2.8616394311921325E-2</c:v>
                </c:pt>
                <c:pt idx="334">
                  <c:v>2.8586491216660917E-2</c:v>
                </c:pt>
                <c:pt idx="335">
                  <c:v>2.8534560800175076E-2</c:v>
                </c:pt>
                <c:pt idx="336">
                  <c:v>2.845721990347724E-2</c:v>
                </c:pt>
                <c:pt idx="337">
                  <c:v>2.8363105302071888E-2</c:v>
                </c:pt>
                <c:pt idx="338">
                  <c:v>2.8256029294096881E-2</c:v>
                </c:pt>
                <c:pt idx="339">
                  <c:v>2.8133057591900712E-2</c:v>
                </c:pt>
                <c:pt idx="340">
                  <c:v>2.7991270948717228E-2</c:v>
                </c:pt>
                <c:pt idx="341">
                  <c:v>2.7827814046751782E-2</c:v>
                </c:pt>
                <c:pt idx="342">
                  <c:v>2.7639951629173494E-2</c:v>
                </c:pt>
                <c:pt idx="343">
                  <c:v>2.7425130663370666E-2</c:v>
                </c:pt>
                <c:pt idx="344">
                  <c:v>2.7181986506398411E-2</c:v>
                </c:pt>
                <c:pt idx="345">
                  <c:v>2.6912954251768942E-2</c:v>
                </c:pt>
                <c:pt idx="346">
                  <c:v>2.6638453659717069E-2</c:v>
                </c:pt>
                <c:pt idx="347">
                  <c:v>2.6361959010891518E-2</c:v>
                </c:pt>
                <c:pt idx="348">
                  <c:v>2.6086868835407635E-2</c:v>
                </c:pt>
                <c:pt idx="349">
                  <c:v>2.581646681762003E-2</c:v>
                </c:pt>
                <c:pt idx="350">
                  <c:v>2.5553891186539057E-2</c:v>
                </c:pt>
                <c:pt idx="351">
                  <c:v>2.5317239666973697E-2</c:v>
                </c:pt>
                <c:pt idx="352">
                  <c:v>2.5096680718657078E-2</c:v>
                </c:pt>
                <c:pt idx="353">
                  <c:v>2.4894750311745869E-2</c:v>
                </c:pt>
                <c:pt idx="354">
                  <c:v>2.4713800066415013E-2</c:v>
                </c:pt>
                <c:pt idx="355">
                  <c:v>2.4556007783597091E-2</c:v>
                </c:pt>
                <c:pt idx="356">
                  <c:v>2.442324303475981E-2</c:v>
                </c:pt>
                <c:pt idx="357">
                  <c:v>2.4317508347274332E-2</c:v>
                </c:pt>
                <c:pt idx="358">
                  <c:v>2.4233038524436486E-2</c:v>
                </c:pt>
                <c:pt idx="359">
                  <c:v>2.4163299009194308E-2</c:v>
                </c:pt>
                <c:pt idx="360">
                  <c:v>2.4120490335130577E-2</c:v>
                </c:pt>
                <c:pt idx="361">
                  <c:v>2.4090577265201276E-2</c:v>
                </c:pt>
                <c:pt idx="362">
                  <c:v>2.4073944758867524E-2</c:v>
                </c:pt>
                <c:pt idx="363">
                  <c:v>2.4070922219614682E-2</c:v>
                </c:pt>
                <c:pt idx="364">
                  <c:v>2.4081787404578173E-2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723296"/>
        <c:axId val="327723688"/>
      </c:lineChart>
      <c:dateAx>
        <c:axId val="3277232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7723688"/>
        <c:crosses val="autoZero"/>
        <c:auto val="1"/>
        <c:lblOffset val="100"/>
        <c:baseTimeUnit val="days"/>
        <c:majorUnit val="1"/>
        <c:majorTimeUnit val="months"/>
      </c:dateAx>
      <c:valAx>
        <c:axId val="3277236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77232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11.142989198174329</c:v>
                </c:pt>
                <c:pt idx="1">
                  <c:v>11.262957259411088</c:v>
                </c:pt>
                <c:pt idx="2">
                  <c:v>11.387378300787429</c:v>
                </c:pt>
                <c:pt idx="3">
                  <c:v>11.515908394219485</c:v>
                </c:pt>
                <c:pt idx="4">
                  <c:v>11.648203722357087</c:v>
                </c:pt>
                <c:pt idx="5">
                  <c:v>11.783920580088427</c:v>
                </c:pt>
                <c:pt idx="6">
                  <c:v>11.922715381687246</c:v>
                </c:pt>
                <c:pt idx="7">
                  <c:v>12.064244660908525</c:v>
                </c:pt>
                <c:pt idx="8">
                  <c:v>12.208892258335524</c:v>
                </c:pt>
                <c:pt idx="9">
                  <c:v>12.357401393984608</c:v>
                </c:pt>
                <c:pt idx="10">
                  <c:v>12.509986766650812</c:v>
                </c:pt>
                <c:pt idx="11">
                  <c:v>12.666735083226687</c:v>
                </c:pt>
                <c:pt idx="12">
                  <c:v>12.827733000263562</c:v>
                </c:pt>
                <c:pt idx="13">
                  <c:v>12.993067126283233</c:v>
                </c:pt>
                <c:pt idx="14">
                  <c:v>13.162824024062287</c:v>
                </c:pt>
                <c:pt idx="15">
                  <c:v>13.337093997050138</c:v>
                </c:pt>
                <c:pt idx="16">
                  <c:v>13.515946861576914</c:v>
                </c:pt>
                <c:pt idx="17">
                  <c:v>13.699469045443614</c:v>
                </c:pt>
                <c:pt idx="18">
                  <c:v>13.887746939803385</c:v>
                </c:pt>
                <c:pt idx="19">
                  <c:v>14.080864982864076</c:v>
                </c:pt>
                <c:pt idx="20">
                  <c:v>14.278906638453561</c:v>
                </c:pt>
                <c:pt idx="21">
                  <c:v>14.481956762087716</c:v>
                </c:pt>
                <c:pt idx="22">
                  <c:v>14.691060690408003</c:v>
                </c:pt>
                <c:pt idx="23">
                  <c:v>14.906992576332884</c:v>
                </c:pt>
                <c:pt idx="24">
                  <c:v>15.129133588467299</c:v>
                </c:pt>
                <c:pt idx="25">
                  <c:v>15.356937948811378</c:v>
                </c:pt>
                <c:pt idx="26">
                  <c:v>15.589860107199767</c:v>
                </c:pt>
                <c:pt idx="27">
                  <c:v>15.827354739971682</c:v>
                </c:pt>
                <c:pt idx="28">
                  <c:v>16.068876763645346</c:v>
                </c:pt>
                <c:pt idx="29">
                  <c:v>16.314427119042083</c:v>
                </c:pt>
                <c:pt idx="30">
                  <c:v>16.5634573858656</c:v>
                </c:pt>
                <c:pt idx="31">
                  <c:v>16.815423186996309</c:v>
                </c:pt>
                <c:pt idx="32">
                  <c:v>17.069780402080273</c:v>
                </c:pt>
                <c:pt idx="33">
                  <c:v>17.325985182207464</c:v>
                </c:pt>
                <c:pt idx="34">
                  <c:v>17.58349395607916</c:v>
                </c:pt>
                <c:pt idx="35">
                  <c:v>17.84176343304291</c:v>
                </c:pt>
                <c:pt idx="36">
                  <c:v>18.102979371434326</c:v>
                </c:pt>
                <c:pt idx="37">
                  <c:v>18.369651637232952</c:v>
                </c:pt>
                <c:pt idx="38">
                  <c:v>18.640996274109035</c:v>
                </c:pt>
                <c:pt idx="39">
                  <c:v>18.916379109910757</c:v>
                </c:pt>
                <c:pt idx="40">
                  <c:v>19.195166329057411</c:v>
                </c:pt>
                <c:pt idx="41">
                  <c:v>19.476724474990803</c:v>
                </c:pt>
                <c:pt idx="42">
                  <c:v>19.760420450703688</c:v>
                </c:pt>
                <c:pt idx="43">
                  <c:v>20.045476944330666</c:v>
                </c:pt>
                <c:pt idx="44">
                  <c:v>20.330715728049203</c:v>
                </c:pt>
                <c:pt idx="45">
                  <c:v>20.61550464478983</c:v>
                </c:pt>
                <c:pt idx="46">
                  <c:v>20.899211853151208</c:v>
                </c:pt>
                <c:pt idx="47">
                  <c:v>21.181205823962827</c:v>
                </c:pt>
                <c:pt idx="48">
                  <c:v>21.460855340590701</c:v>
                </c:pt>
                <c:pt idx="49">
                  <c:v>21.737529494203905</c:v>
                </c:pt>
                <c:pt idx="50">
                  <c:v>22.012178375209842</c:v>
                </c:pt>
                <c:pt idx="51">
                  <c:v>22.286139370581722</c:v>
                </c:pt>
                <c:pt idx="52">
                  <c:v>22.559028885837254</c:v>
                </c:pt>
                <c:pt idx="53">
                  <c:v>22.830848825371458</c:v>
                </c:pt>
                <c:pt idx="54">
                  <c:v>23.101599886327431</c:v>
                </c:pt>
                <c:pt idx="55">
                  <c:v>23.371282695482485</c:v>
                </c:pt>
                <c:pt idx="56">
                  <c:v>23.639897809026074</c:v>
                </c:pt>
                <c:pt idx="57">
                  <c:v>23.907306612834905</c:v>
                </c:pt>
                <c:pt idx="58">
                  <c:v>24.173654371834434</c:v>
                </c:pt>
                <c:pt idx="59">
                  <c:v>24.438941432659519</c:v>
                </c:pt>
                <c:pt idx="60">
                  <c:v>24.703168075671989</c:v>
                </c:pt>
                <c:pt idx="61">
                  <c:v>24.966334515549097</c:v>
                </c:pt>
                <c:pt idx="62">
                  <c:v>25.228440901904104</c:v>
                </c:pt>
                <c:pt idx="63">
                  <c:v>25.489487323834283</c:v>
                </c:pt>
                <c:pt idx="64">
                  <c:v>25.750255511074396</c:v>
                </c:pt>
                <c:pt idx="65">
                  <c:v>26.010877975528647</c:v>
                </c:pt>
                <c:pt idx="66">
                  <c:v>26.271027018627663</c:v>
                </c:pt>
                <c:pt idx="67">
                  <c:v>26.53034104418634</c:v>
                </c:pt>
                <c:pt idx="68">
                  <c:v>26.78845849892857</c:v>
                </c:pt>
                <c:pt idx="69">
                  <c:v>27.045017869992432</c:v>
                </c:pt>
                <c:pt idx="70">
                  <c:v>27.299657677487566</c:v>
                </c:pt>
                <c:pt idx="71">
                  <c:v>27.551848895527918</c:v>
                </c:pt>
                <c:pt idx="72">
                  <c:v>27.801369734797042</c:v>
                </c:pt>
                <c:pt idx="73">
                  <c:v>28.047858728952882</c:v>
                </c:pt>
                <c:pt idx="74">
                  <c:v>28.290954420396513</c:v>
                </c:pt>
                <c:pt idx="75">
                  <c:v>28.530295351227164</c:v>
                </c:pt>
                <c:pt idx="76">
                  <c:v>28.765520058649347</c:v>
                </c:pt>
                <c:pt idx="77">
                  <c:v>28.99626706875539</c:v>
                </c:pt>
                <c:pt idx="78">
                  <c:v>29.224051295206706</c:v>
                </c:pt>
                <c:pt idx="79">
                  <c:v>29.450326789217208</c:v>
                </c:pt>
                <c:pt idx="80">
                  <c:v>29.675052749687538</c:v>
                </c:pt>
                <c:pt idx="81">
                  <c:v>29.897777510847188</c:v>
                </c:pt>
                <c:pt idx="82">
                  <c:v>30.118049505348758</c:v>
                </c:pt>
                <c:pt idx="83">
                  <c:v>30.335417268881208</c:v>
                </c:pt>
                <c:pt idx="84">
                  <c:v>30.54942943754066</c:v>
                </c:pt>
                <c:pt idx="85">
                  <c:v>30.759634754582716</c:v>
                </c:pt>
                <c:pt idx="86">
                  <c:v>30.965751757953747</c:v>
                </c:pt>
                <c:pt idx="87">
                  <c:v>31.167330069905063</c:v>
                </c:pt>
                <c:pt idx="88">
                  <c:v>31.363919227634735</c:v>
                </c:pt>
                <c:pt idx="89">
                  <c:v>31.555068745363304</c:v>
                </c:pt>
                <c:pt idx="90">
                  <c:v>31.740330769944521</c:v>
                </c:pt>
                <c:pt idx="91">
                  <c:v>31.919255207232563</c:v>
                </c:pt>
                <c:pt idx="92">
                  <c:v>32.091542040981317</c:v>
                </c:pt>
                <c:pt idx="93">
                  <c:v>32.257490846392066</c:v>
                </c:pt>
                <c:pt idx="94">
                  <c:v>32.417552233832325</c:v>
                </c:pt>
                <c:pt idx="95">
                  <c:v>32.572176008080113</c:v>
                </c:pt>
                <c:pt idx="96">
                  <c:v>32.721811805607288</c:v>
                </c:pt>
                <c:pt idx="97">
                  <c:v>32.866909104085899</c:v>
                </c:pt>
                <c:pt idx="98">
                  <c:v>33.007917213617574</c:v>
                </c:pt>
                <c:pt idx="99">
                  <c:v>33.145285283618243</c:v>
                </c:pt>
                <c:pt idx="100">
                  <c:v>33.279462296002585</c:v>
                </c:pt>
                <c:pt idx="101">
                  <c:v>33.410897068225232</c:v>
                </c:pt>
                <c:pt idx="102">
                  <c:v>33.540038247754019</c:v>
                </c:pt>
                <c:pt idx="103">
                  <c:v>33.667334315204101</c:v>
                </c:pt>
                <c:pt idx="104">
                  <c:v>33.793233578525694</c:v>
                </c:pt>
                <c:pt idx="105">
                  <c:v>33.918184172198231</c:v>
                </c:pt>
                <c:pt idx="106">
                  <c:v>34.041900880759052</c:v>
                </c:pt>
                <c:pt idx="107">
                  <c:v>34.163679799437134</c:v>
                </c:pt>
                <c:pt idx="108">
                  <c:v>34.283341026192289</c:v>
                </c:pt>
                <c:pt idx="109">
                  <c:v>34.400704833831064</c:v>
                </c:pt>
                <c:pt idx="110">
                  <c:v>34.515591678426965</c:v>
                </c:pt>
                <c:pt idx="111">
                  <c:v>34.627822209011924</c:v>
                </c:pt>
                <c:pt idx="112">
                  <c:v>34.737217272274151</c:v>
                </c:pt>
                <c:pt idx="113">
                  <c:v>34.843597920935167</c:v>
                </c:pt>
                <c:pt idx="114">
                  <c:v>34.94678542460872</c:v>
                </c:pt>
                <c:pt idx="115">
                  <c:v>35.046601274272319</c:v>
                </c:pt>
                <c:pt idx="116">
                  <c:v>35.1428671921473</c:v>
                </c:pt>
                <c:pt idx="117">
                  <c:v>35.235405138217558</c:v>
                </c:pt>
                <c:pt idx="118">
                  <c:v>35.324037320731598</c:v>
                </c:pt>
                <c:pt idx="119">
                  <c:v>38.669218252256272</c:v>
                </c:pt>
                <c:pt idx="120">
                  <c:v>38.755230115554681</c:v>
                </c:pt>
                <c:pt idx="121">
                  <c:v>38.837901911119836</c:v>
                </c:pt>
                <c:pt idx="122">
                  <c:v>38.917137773093636</c:v>
                </c:pt>
                <c:pt idx="123">
                  <c:v>38.992841950102537</c:v>
                </c:pt>
                <c:pt idx="124">
                  <c:v>39.064918811394627</c:v>
                </c:pt>
                <c:pt idx="125">
                  <c:v>39.133272841061114</c:v>
                </c:pt>
                <c:pt idx="126">
                  <c:v>39.197808645508303</c:v>
                </c:pt>
                <c:pt idx="127">
                  <c:v>39.258430952961838</c:v>
                </c:pt>
                <c:pt idx="128">
                  <c:v>39.315044618155639</c:v>
                </c:pt>
                <c:pt idx="129">
                  <c:v>39.367554620960618</c:v>
                </c:pt>
                <c:pt idx="130">
                  <c:v>39.415866067096516</c:v>
                </c:pt>
                <c:pt idx="131">
                  <c:v>39.459884194105342</c:v>
                </c:pt>
                <c:pt idx="132">
                  <c:v>39.499514366544553</c:v>
                </c:pt>
                <c:pt idx="133">
                  <c:v>39.534662083487383</c:v>
                </c:pt>
                <c:pt idx="134">
                  <c:v>39.564420074249043</c:v>
                </c:pt>
                <c:pt idx="135">
                  <c:v>39.588272011845902</c:v>
                </c:pt>
                <c:pt idx="136">
                  <c:v>39.606709628143697</c:v>
                </c:pt>
                <c:pt idx="137">
                  <c:v>39.620224275996399</c:v>
                </c:pt>
                <c:pt idx="138">
                  <c:v>39.629306933851481</c:v>
                </c:pt>
                <c:pt idx="139">
                  <c:v>39.63444820313665</c:v>
                </c:pt>
                <c:pt idx="140">
                  <c:v>39.636138304383948</c:v>
                </c:pt>
                <c:pt idx="141">
                  <c:v>39.634867076584882</c:v>
                </c:pt>
                <c:pt idx="142">
                  <c:v>39.631123977220149</c:v>
                </c:pt>
                <c:pt idx="143">
                  <c:v>39.625398077605787</c:v>
                </c:pt>
                <c:pt idx="144">
                  <c:v>39.618178062799863</c:v>
                </c:pt>
                <c:pt idx="145">
                  <c:v>39.609952227493345</c:v>
                </c:pt>
                <c:pt idx="146">
                  <c:v>39.601208474611354</c:v>
                </c:pt>
                <c:pt idx="147">
                  <c:v>39.592434314779858</c:v>
                </c:pt>
                <c:pt idx="148">
                  <c:v>39.582690510048316</c:v>
                </c:pt>
                <c:pt idx="149">
                  <c:v>39.570779387008024</c:v>
                </c:pt>
                <c:pt idx="150">
                  <c:v>39.55680045638406</c:v>
                </c:pt>
                <c:pt idx="151">
                  <c:v>39.540853159332293</c:v>
                </c:pt>
                <c:pt idx="152">
                  <c:v>39.523036866681423</c:v>
                </c:pt>
                <c:pt idx="153">
                  <c:v>39.503450874941592</c:v>
                </c:pt>
                <c:pt idx="154">
                  <c:v>39.482194400375967</c:v>
                </c:pt>
                <c:pt idx="155">
                  <c:v>39.459366576969423</c:v>
                </c:pt>
                <c:pt idx="156">
                  <c:v>39.435066452715269</c:v>
                </c:pt>
                <c:pt idx="157">
                  <c:v>39.409392983791285</c:v>
                </c:pt>
                <c:pt idx="158">
                  <c:v>39.382445032868119</c:v>
                </c:pt>
                <c:pt idx="159">
                  <c:v>39.354321363359333</c:v>
                </c:pt>
                <c:pt idx="160">
                  <c:v>39.325120636580237</c:v>
                </c:pt>
                <c:pt idx="161">
                  <c:v>39.294941408885954</c:v>
                </c:pt>
                <c:pt idx="162">
                  <c:v>39.263429662605013</c:v>
                </c:pt>
                <c:pt idx="163">
                  <c:v>39.230231655623896</c:v>
                </c:pt>
                <c:pt idx="164">
                  <c:v>39.195446186853033</c:v>
                </c:pt>
                <c:pt idx="165">
                  <c:v>39.159171932279811</c:v>
                </c:pt>
                <c:pt idx="166">
                  <c:v>39.121507443342608</c:v>
                </c:pt>
                <c:pt idx="167">
                  <c:v>39.082551144290868</c:v>
                </c:pt>
                <c:pt idx="168">
                  <c:v>39.042401329733465</c:v>
                </c:pt>
                <c:pt idx="169">
                  <c:v>39.001156161768655</c:v>
                </c:pt>
                <c:pt idx="170">
                  <c:v>38.958913669094976</c:v>
                </c:pt>
                <c:pt idx="171">
                  <c:v>38.915771744818763</c:v>
                </c:pt>
                <c:pt idx="172">
                  <c:v>38.871828146242741</c:v>
                </c:pt>
                <c:pt idx="173">
                  <c:v>38.827180492938218</c:v>
                </c:pt>
                <c:pt idx="174">
                  <c:v>38.781926267016296</c:v>
                </c:pt>
                <c:pt idx="175">
                  <c:v>38.736162812989704</c:v>
                </c:pt>
                <c:pt idx="176">
                  <c:v>38.690374016361936</c:v>
                </c:pt>
                <c:pt idx="177">
                  <c:v>38.64478557189107</c:v>
                </c:pt>
                <c:pt idx="178">
                  <c:v>38.599107577776905</c:v>
                </c:pt>
                <c:pt idx="179">
                  <c:v>38.553050319049788</c:v>
                </c:pt>
                <c:pt idx="180">
                  <c:v>38.506324267629381</c:v>
                </c:pt>
                <c:pt idx="181">
                  <c:v>38.458640080718624</c:v>
                </c:pt>
                <c:pt idx="182">
                  <c:v>38.409708602409268</c:v>
                </c:pt>
                <c:pt idx="183">
                  <c:v>38.359240862156767</c:v>
                </c:pt>
                <c:pt idx="184">
                  <c:v>38.306948076086179</c:v>
                </c:pt>
                <c:pt idx="185">
                  <c:v>38.25254164920959</c:v>
                </c:pt>
                <c:pt idx="186">
                  <c:v>38.195733173026106</c:v>
                </c:pt>
                <c:pt idx="187">
                  <c:v>38.136234430197838</c:v>
                </c:pt>
                <c:pt idx="188">
                  <c:v>38.07375739541412</c:v>
                </c:pt>
                <c:pt idx="189">
                  <c:v>38.008014235616962</c:v>
                </c:pt>
                <c:pt idx="190">
                  <c:v>37.938604853492954</c:v>
                </c:pt>
                <c:pt idx="191">
                  <c:v>37.865579186960119</c:v>
                </c:pt>
                <c:pt idx="192">
                  <c:v>37.789324346784973</c:v>
                </c:pt>
                <c:pt idx="193">
                  <c:v>37.710227109583776</c:v>
                </c:pt>
                <c:pt idx="194">
                  <c:v>37.628673923323852</c:v>
                </c:pt>
                <c:pt idx="195">
                  <c:v>37.545050916299672</c:v>
                </c:pt>
                <c:pt idx="196">
                  <c:v>37.459743898441708</c:v>
                </c:pt>
                <c:pt idx="197">
                  <c:v>37.373138369968778</c:v>
                </c:pt>
                <c:pt idx="198">
                  <c:v>37.28561952695911</c:v>
                </c:pt>
                <c:pt idx="199">
                  <c:v>37.197572264881344</c:v>
                </c:pt>
                <c:pt idx="200">
                  <c:v>37.109381184028877</c:v>
                </c:pt>
                <c:pt idx="201">
                  <c:v>37.021430595418138</c:v>
                </c:pt>
                <c:pt idx="202">
                  <c:v>36.934104523237778</c:v>
                </c:pt>
                <c:pt idx="203">
                  <c:v>36.847786710366506</c:v>
                </c:pt>
                <c:pt idx="204">
                  <c:v>36.762315896218652</c:v>
                </c:pt>
                <c:pt idx="205">
                  <c:v>36.677146529771001</c:v>
                </c:pt>
                <c:pt idx="206">
                  <c:v>36.592085839801719</c:v>
                </c:pt>
                <c:pt idx="207">
                  <c:v>36.506941228863077</c:v>
                </c:pt>
                <c:pt idx="208">
                  <c:v>36.421520272931183</c:v>
                </c:pt>
                <c:pt idx="209">
                  <c:v>36.335630722376152</c:v>
                </c:pt>
                <c:pt idx="210">
                  <c:v>36.24908050232758</c:v>
                </c:pt>
                <c:pt idx="211">
                  <c:v>36.161677711040944</c:v>
                </c:pt>
                <c:pt idx="212">
                  <c:v>36.073230620988866</c:v>
                </c:pt>
                <c:pt idx="213">
                  <c:v>35.983547677376869</c:v>
                </c:pt>
                <c:pt idx="214">
                  <c:v>35.892437497624684</c:v>
                </c:pt>
                <c:pt idx="215">
                  <c:v>35.799708870449969</c:v>
                </c:pt>
                <c:pt idx="216">
                  <c:v>35.705170753928869</c:v>
                </c:pt>
                <c:pt idx="217">
                  <c:v>35.60863227500959</c:v>
                </c:pt>
                <c:pt idx="218">
                  <c:v>35.510382078791835</c:v>
                </c:pt>
                <c:pt idx="219">
                  <c:v>35.410836416015869</c:v>
                </c:pt>
                <c:pt idx="220">
                  <c:v>35.309995960844368</c:v>
                </c:pt>
                <c:pt idx="221">
                  <c:v>35.207861406719168</c:v>
                </c:pt>
                <c:pt idx="222">
                  <c:v>35.104433464972828</c:v>
                </c:pt>
                <c:pt idx="223">
                  <c:v>34.999712863085847</c:v>
                </c:pt>
                <c:pt idx="224">
                  <c:v>34.893700343446255</c:v>
                </c:pt>
                <c:pt idx="225">
                  <c:v>34.78639666170406</c:v>
                </c:pt>
                <c:pt idx="226">
                  <c:v>34.677802586277842</c:v>
                </c:pt>
                <c:pt idx="227">
                  <c:v>34.567918895950214</c:v>
                </c:pt>
                <c:pt idx="228">
                  <c:v>34.456746379189305</c:v>
                </c:pt>
                <c:pt idx="229">
                  <c:v>34.3442858329038</c:v>
                </c:pt>
                <c:pt idx="230">
                  <c:v>34.230538061336787</c:v>
                </c:pt>
                <c:pt idx="231">
                  <c:v>34.115503874944579</c:v>
                </c:pt>
                <c:pt idx="232">
                  <c:v>34.000634309510254</c:v>
                </c:pt>
                <c:pt idx="233">
                  <c:v>33.886933193678601</c:v>
                </c:pt>
                <c:pt idx="234">
                  <c:v>33.773730908472196</c:v>
                </c:pt>
                <c:pt idx="235">
                  <c:v>33.660358338689505</c:v>
                </c:pt>
                <c:pt idx="236">
                  <c:v>33.546146868343222</c:v>
                </c:pt>
                <c:pt idx="237">
                  <c:v>33.430428379636709</c:v>
                </c:pt>
                <c:pt idx="238">
                  <c:v>33.31253524690257</c:v>
                </c:pt>
                <c:pt idx="239">
                  <c:v>33.191800338441453</c:v>
                </c:pt>
                <c:pt idx="240">
                  <c:v>33.067557011561277</c:v>
                </c:pt>
                <c:pt idx="241">
                  <c:v>32.939139106591384</c:v>
                </c:pt>
                <c:pt idx="242">
                  <c:v>32.805880950298182</c:v>
                </c:pt>
                <c:pt idx="243">
                  <c:v>32.667117349361376</c:v>
                </c:pt>
                <c:pt idx="244">
                  <c:v>32.522183585435421</c:v>
                </c:pt>
                <c:pt idx="245">
                  <c:v>32.370415417989186</c:v>
                </c:pt>
                <c:pt idx="246">
                  <c:v>32.211578258822193</c:v>
                </c:pt>
                <c:pt idx="247">
                  <c:v>32.0462640982906</c:v>
                </c:pt>
                <c:pt idx="248">
                  <c:v>31.875048618568599</c:v>
                </c:pt>
                <c:pt idx="249">
                  <c:v>31.698507082248316</c:v>
                </c:pt>
                <c:pt idx="250">
                  <c:v>31.517214337848277</c:v>
                </c:pt>
                <c:pt idx="251">
                  <c:v>31.331744815977302</c:v>
                </c:pt>
                <c:pt idx="252">
                  <c:v>31.142672536879193</c:v>
                </c:pt>
                <c:pt idx="253">
                  <c:v>30.950455733301002</c:v>
                </c:pt>
                <c:pt idx="254">
                  <c:v>30.755667530354852</c:v>
                </c:pt>
                <c:pt idx="255">
                  <c:v>30.558880689350261</c:v>
                </c:pt>
                <c:pt idx="256">
                  <c:v>30.360667609581036</c:v>
                </c:pt>
                <c:pt idx="257">
                  <c:v>30.161600327995224</c:v>
                </c:pt>
                <c:pt idx="258">
                  <c:v>29.962250523898113</c:v>
                </c:pt>
                <c:pt idx="259">
                  <c:v>29.763189520729892</c:v>
                </c:pt>
                <c:pt idx="260">
                  <c:v>29.563973462039183</c:v>
                </c:pt>
                <c:pt idx="261">
                  <c:v>29.3631862399018</c:v>
                </c:pt>
                <c:pt idx="262">
                  <c:v>29.160639325351841</c:v>
                </c:pt>
                <c:pt idx="263">
                  <c:v>28.956144455746479</c:v>
                </c:pt>
                <c:pt idx="264">
                  <c:v>28.749513655319525</c:v>
                </c:pt>
                <c:pt idx="265">
                  <c:v>28.540559143693688</c:v>
                </c:pt>
                <c:pt idx="266">
                  <c:v>28.329093390300969</c:v>
                </c:pt>
                <c:pt idx="267">
                  <c:v>28.114160653282344</c:v>
                </c:pt>
                <c:pt idx="268">
                  <c:v>27.895691167978161</c:v>
                </c:pt>
                <c:pt idx="269">
                  <c:v>27.673500362722475</c:v>
                </c:pt>
                <c:pt idx="270">
                  <c:v>27.447404134131581</c:v>
                </c:pt>
                <c:pt idx="271">
                  <c:v>27.217218867524519</c:v>
                </c:pt>
                <c:pt idx="272">
                  <c:v>26.982761452814515</c:v>
                </c:pt>
                <c:pt idx="273">
                  <c:v>26.743849303516082</c:v>
                </c:pt>
                <c:pt idx="274">
                  <c:v>26.500774958612507</c:v>
                </c:pt>
                <c:pt idx="275">
                  <c:v>26.253744775889203</c:v>
                </c:pt>
                <c:pt idx="276">
                  <c:v>26.003227283708021</c:v>
                </c:pt>
                <c:pt idx="277">
                  <c:v>25.749230411654537</c:v>
                </c:pt>
                <c:pt idx="278">
                  <c:v>25.491762448353153</c:v>
                </c:pt>
                <c:pt idx="279">
                  <c:v>25.230832033331986</c:v>
                </c:pt>
                <c:pt idx="280">
                  <c:v>24.966448157033884</c:v>
                </c:pt>
                <c:pt idx="281">
                  <c:v>24.698872439347394</c:v>
                </c:pt>
                <c:pt idx="282">
                  <c:v>24.428867559156913</c:v>
                </c:pt>
                <c:pt idx="283">
                  <c:v>24.156438329270742</c:v>
                </c:pt>
                <c:pt idx="284">
                  <c:v>23.881589450293809</c:v>
                </c:pt>
                <c:pt idx="285">
                  <c:v>23.604325486673492</c:v>
                </c:pt>
                <c:pt idx="286">
                  <c:v>23.324650846033506</c:v>
                </c:pt>
                <c:pt idx="287">
                  <c:v>23.042569753769378</c:v>
                </c:pt>
                <c:pt idx="288">
                  <c:v>22.757470593166257</c:v>
                </c:pt>
                <c:pt idx="289">
                  <c:v>22.468984677860821</c:v>
                </c:pt>
                <c:pt idx="290">
                  <c:v>22.177607133577641</c:v>
                </c:pt>
                <c:pt idx="291">
                  <c:v>21.883623880503713</c:v>
                </c:pt>
                <c:pt idx="292">
                  <c:v>21.587320278747466</c:v>
                </c:pt>
                <c:pt idx="293">
                  <c:v>21.288981122779319</c:v>
                </c:pt>
                <c:pt idx="294">
                  <c:v>20.988890631778343</c:v>
                </c:pt>
                <c:pt idx="295">
                  <c:v>20.687947580883506</c:v>
                </c:pt>
                <c:pt idx="296">
                  <c:v>20.386179012430635</c:v>
                </c:pt>
                <c:pt idx="297">
                  <c:v>20.083859214075364</c:v>
                </c:pt>
                <c:pt idx="298">
                  <c:v>19.781265882721446</c:v>
                </c:pt>
                <c:pt idx="299">
                  <c:v>19.478676151666402</c:v>
                </c:pt>
                <c:pt idx="300">
                  <c:v>19.17636660877562</c:v>
                </c:pt>
                <c:pt idx="301">
                  <c:v>18.87461332110917</c:v>
                </c:pt>
                <c:pt idx="302">
                  <c:v>18.569501146798924</c:v>
                </c:pt>
                <c:pt idx="303">
                  <c:v>18.258811469660763</c:v>
                </c:pt>
                <c:pt idx="304">
                  <c:v>17.944086221272133</c:v>
                </c:pt>
                <c:pt idx="305">
                  <c:v>17.626918387167827</c:v>
                </c:pt>
                <c:pt idx="306">
                  <c:v>17.308899888174956</c:v>
                </c:pt>
                <c:pt idx="307">
                  <c:v>16.991621655982435</c:v>
                </c:pt>
                <c:pt idx="308">
                  <c:v>16.676673712627554</c:v>
                </c:pt>
                <c:pt idx="309">
                  <c:v>16.365741313043358</c:v>
                </c:pt>
                <c:pt idx="310">
                  <c:v>16.059822279907589</c:v>
                </c:pt>
                <c:pt idx="311">
                  <c:v>15.760508610909113</c:v>
                </c:pt>
                <c:pt idx="312">
                  <c:v>15.46939163553774</c:v>
                </c:pt>
                <c:pt idx="313">
                  <c:v>15.188062064358814</c:v>
                </c:pt>
                <c:pt idx="314">
                  <c:v>14.918110036387143</c:v>
                </c:pt>
                <c:pt idx="315">
                  <c:v>14.661125161539999</c:v>
                </c:pt>
                <c:pt idx="316">
                  <c:v>14.41468667020953</c:v>
                </c:pt>
                <c:pt idx="317">
                  <c:v>14.175293118245738</c:v>
                </c:pt>
                <c:pt idx="318">
                  <c:v>13.942154395395521</c:v>
                </c:pt>
                <c:pt idx="319">
                  <c:v>13.715265682704562</c:v>
                </c:pt>
                <c:pt idx="320">
                  <c:v>13.494622430854347</c:v>
                </c:pt>
                <c:pt idx="321">
                  <c:v>13.280220365145809</c:v>
                </c:pt>
                <c:pt idx="322">
                  <c:v>13.072055486180242</c:v>
                </c:pt>
                <c:pt idx="323">
                  <c:v>12.870427757489843</c:v>
                </c:pt>
                <c:pt idx="324">
                  <c:v>12.675239405991798</c:v>
                </c:pt>
                <c:pt idx="325">
                  <c:v>12.486485875058273</c:v>
                </c:pt>
                <c:pt idx="326">
                  <c:v>12.304166344194934</c:v>
                </c:pt>
                <c:pt idx="327">
                  <c:v>12.12827790825942</c:v>
                </c:pt>
                <c:pt idx="328">
                  <c:v>11.95881519048049</c:v>
                </c:pt>
                <c:pt idx="329">
                  <c:v>11.795773218787811</c:v>
                </c:pt>
                <c:pt idx="330">
                  <c:v>11.636903027410208</c:v>
                </c:pt>
                <c:pt idx="331">
                  <c:v>11.480625273021639</c:v>
                </c:pt>
                <c:pt idx="332">
                  <c:v>11.327986219578014</c:v>
                </c:pt>
                <c:pt idx="333">
                  <c:v>11.180019080583468</c:v>
                </c:pt>
                <c:pt idx="334">
                  <c:v>11.037756835021247</c:v>
                </c:pt>
                <c:pt idx="335">
                  <c:v>10.902232197611436</c:v>
                </c:pt>
                <c:pt idx="336">
                  <c:v>10.774477599377088</c:v>
                </c:pt>
                <c:pt idx="337">
                  <c:v>10.655085344228086</c:v>
                </c:pt>
                <c:pt idx="338">
                  <c:v>10.54479460260819</c:v>
                </c:pt>
                <c:pt idx="339">
                  <c:v>10.444639938332385</c:v>
                </c:pt>
                <c:pt idx="340">
                  <c:v>10.355655187698098</c:v>
                </c:pt>
                <c:pt idx="341">
                  <c:v>10.278873433633068</c:v>
                </c:pt>
                <c:pt idx="342">
                  <c:v>10.215326985727815</c:v>
                </c:pt>
                <c:pt idx="343">
                  <c:v>10.166047360230843</c:v>
                </c:pt>
                <c:pt idx="344">
                  <c:v>10.131701015096143</c:v>
                </c:pt>
                <c:pt idx="345">
                  <c:v>10.111581694332978</c:v>
                </c:pt>
                <c:pt idx="346">
                  <c:v>10.104547334763387</c:v>
                </c:pt>
                <c:pt idx="347">
                  <c:v>10.109570790160063</c:v>
                </c:pt>
                <c:pt idx="348">
                  <c:v>10.125625260915916</c:v>
                </c:pt>
                <c:pt idx="349">
                  <c:v>10.151684299572866</c:v>
                </c:pt>
                <c:pt idx="350">
                  <c:v>10.186721810967393</c:v>
                </c:pt>
                <c:pt idx="351">
                  <c:v>10.229576347631179</c:v>
                </c:pt>
                <c:pt idx="352">
                  <c:v>10.279655768752836</c:v>
                </c:pt>
                <c:pt idx="353">
                  <c:v>10.335934612396807</c:v>
                </c:pt>
                <c:pt idx="354">
                  <c:v>10.397387897737737</c:v>
                </c:pt>
                <c:pt idx="355">
                  <c:v>10.462991125510769</c:v>
                </c:pt>
                <c:pt idx="356">
                  <c:v>10.531721486986022</c:v>
                </c:pt>
                <c:pt idx="357">
                  <c:v>10.602554747546835</c:v>
                </c:pt>
                <c:pt idx="358">
                  <c:v>10.677854099365922</c:v>
                </c:pt>
                <c:pt idx="359">
                  <c:v>10.760426138563053</c:v>
                </c:pt>
                <c:pt idx="360">
                  <c:v>10.849482504693317</c:v>
                </c:pt>
                <c:pt idx="361">
                  <c:v>10.944802414118527</c:v>
                </c:pt>
                <c:pt idx="362">
                  <c:v>11.046029761368098</c:v>
                </c:pt>
                <c:pt idx="363">
                  <c:v>11.152808509555316</c:v>
                </c:pt>
                <c:pt idx="364">
                  <c:v>11.264782710085179</c:v>
                </c:pt>
                <c:pt idx="365">
                  <c:v>11.203885954129753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10.868753015075322</c:v>
                </c:pt>
                <c:pt idx="1">
                  <c:v>8.4860576368933955</c:v>
                </c:pt>
                <c:pt idx="2">
                  <c:v>9.7367661818896352</c:v>
                </c:pt>
                <c:pt idx="3">
                  <c:v>10.211966034112613</c:v>
                </c:pt>
                <c:pt idx="4">
                  <c:v>8.4487425887854357</c:v>
                </c:pt>
                <c:pt idx="5">
                  <c:v>12.107269191179123</c:v>
                </c:pt>
                <c:pt idx="6">
                  <c:v>5.393828620598379</c:v>
                </c:pt>
                <c:pt idx="7">
                  <c:v>4.3485453160818954</c:v>
                </c:pt>
                <c:pt idx="8">
                  <c:v>1.1996610335745161</c:v>
                </c:pt>
                <c:pt idx="9">
                  <c:v>0.86155089730146739</c:v>
                </c:pt>
                <c:pt idx="10">
                  <c:v>12.459451442592668</c:v>
                </c:pt>
                <c:pt idx="11">
                  <c:v>10.161488193873632</c:v>
                </c:pt>
                <c:pt idx="12">
                  <c:v>3.098587246522444</c:v>
                </c:pt>
                <c:pt idx="13">
                  <c:v>12.948257260397629</c:v>
                </c:pt>
                <c:pt idx="14">
                  <c:v>13.23461974345871</c:v>
                </c:pt>
                <c:pt idx="15">
                  <c:v>13.308691819061711</c:v>
                </c:pt>
                <c:pt idx="16">
                  <c:v>9.6466174664939413</c:v>
                </c:pt>
                <c:pt idx="17">
                  <c:v>2.3365432998645077</c:v>
                </c:pt>
                <c:pt idx="18">
                  <c:v>7.003561794775174</c:v>
                </c:pt>
                <c:pt idx="19">
                  <c:v>3.7338616205833186</c:v>
                </c:pt>
                <c:pt idx="20">
                  <c:v>10.234887893527345</c:v>
                </c:pt>
                <c:pt idx="21">
                  <c:v>14.717375627700189</c:v>
                </c:pt>
                <c:pt idx="22">
                  <c:v>14.769885831688692</c:v>
                </c:pt>
                <c:pt idx="23">
                  <c:v>15.033439378306804</c:v>
                </c:pt>
                <c:pt idx="24">
                  <c:v>14.260501801840606</c:v>
                </c:pt>
                <c:pt idx="25">
                  <c:v>15.502411154972624</c:v>
                </c:pt>
                <c:pt idx="26">
                  <c:v>13.243374536936974</c:v>
                </c:pt>
                <c:pt idx="27">
                  <c:v>2.4766589723135994</c:v>
                </c:pt>
                <c:pt idx="28">
                  <c:v>4.2332104629976079</c:v>
                </c:pt>
                <c:pt idx="29">
                  <c:v>2.7460630791893381</c:v>
                </c:pt>
                <c:pt idx="30">
                  <c:v>6.4449106917856716</c:v>
                </c:pt>
                <c:pt idx="31">
                  <c:v>8.0284708332080239</c:v>
                </c:pt>
                <c:pt idx="32">
                  <c:v>3.5362822666252862</c:v>
                </c:pt>
                <c:pt idx="33">
                  <c:v>7.5425992127537711</c:v>
                </c:pt>
                <c:pt idx="34">
                  <c:v>7.3179392293816639</c:v>
                </c:pt>
                <c:pt idx="35">
                  <c:v>6.7910285550640879</c:v>
                </c:pt>
                <c:pt idx="36">
                  <c:v>13.918314630648547</c:v>
                </c:pt>
                <c:pt idx="37">
                  <c:v>8.1651728285899914</c:v>
                </c:pt>
                <c:pt idx="38">
                  <c:v>19.410849344271043</c:v>
                </c:pt>
                <c:pt idx="39">
                  <c:v>19.446460086984704</c:v>
                </c:pt>
                <c:pt idx="40">
                  <c:v>18.444074424851795</c:v>
                </c:pt>
                <c:pt idx="41">
                  <c:v>9.9966939018316996</c:v>
                </c:pt>
                <c:pt idx="42">
                  <c:v>15.889666229062788</c:v>
                </c:pt>
                <c:pt idx="43">
                  <c:v>18.234523707008595</c:v>
                </c:pt>
                <c:pt idx="44">
                  <c:v>10.088529668328531</c:v>
                </c:pt>
                <c:pt idx="45">
                  <c:v>12.745456548761499</c:v>
                </c:pt>
                <c:pt idx="46">
                  <c:v>5.5724217685074597</c:v>
                </c:pt>
                <c:pt idx="47">
                  <c:v>9.5194592106737748</c:v>
                </c:pt>
                <c:pt idx="48">
                  <c:v>17.961160852294778</c:v>
                </c:pt>
                <c:pt idx="49">
                  <c:v>11.579925204735309</c:v>
                </c:pt>
                <c:pt idx="50">
                  <c:v>13.007359742026203</c:v>
                </c:pt>
                <c:pt idx="51">
                  <c:v>13.467601064867495</c:v>
                </c:pt>
                <c:pt idx="52">
                  <c:v>20.987099273004734</c:v>
                </c:pt>
                <c:pt idx="53">
                  <c:v>21.462370375995722</c:v>
                </c:pt>
                <c:pt idx="54">
                  <c:v>13.870088781700304</c:v>
                </c:pt>
                <c:pt idx="55">
                  <c:v>19.349333496717719</c:v>
                </c:pt>
                <c:pt idx="56">
                  <c:v>24.244626666681732</c:v>
                </c:pt>
                <c:pt idx="57">
                  <c:v>16.395864961365088</c:v>
                </c:pt>
                <c:pt idx="58">
                  <c:v>21.438105701200687</c:v>
                </c:pt>
                <c:pt idx="59">
                  <c:v>24.059752356101239</c:v>
                </c:pt>
                <c:pt idx="60">
                  <c:v>8.8493487617475619</c:v>
                </c:pt>
                <c:pt idx="61">
                  <c:v>22.702983640498285</c:v>
                </c:pt>
                <c:pt idx="62">
                  <c:v>3.4658050520023478</c:v>
                </c:pt>
                <c:pt idx="63">
                  <c:v>8.8837507788518497</c:v>
                </c:pt>
                <c:pt idx="64">
                  <c:v>12.081473639073756</c:v>
                </c:pt>
                <c:pt idx="65">
                  <c:v>22.895837142651924</c:v>
                </c:pt>
                <c:pt idx="66">
                  <c:v>19.002589181635397</c:v>
                </c:pt>
                <c:pt idx="67">
                  <c:v>21.350848472698836</c:v>
                </c:pt>
                <c:pt idx="68">
                  <c:v>14.768865439757223</c:v>
                </c:pt>
                <c:pt idx="69">
                  <c:v>9.563164158509208</c:v>
                </c:pt>
                <c:pt idx="70">
                  <c:v>9.6335689538510287</c:v>
                </c:pt>
                <c:pt idx="71">
                  <c:v>5.2611937800411717</c:v>
                </c:pt>
                <c:pt idx="72">
                  <c:v>7.5292068024373933</c:v>
                </c:pt>
                <c:pt idx="73">
                  <c:v>7.7056794937924158</c:v>
                </c:pt>
                <c:pt idx="74">
                  <c:v>5.9200606024366413</c:v>
                </c:pt>
                <c:pt idx="75">
                  <c:v>6.942599344368233</c:v>
                </c:pt>
                <c:pt idx="76">
                  <c:v>8.6635809304950104</c:v>
                </c:pt>
                <c:pt idx="77">
                  <c:v>17.399059088221126</c:v>
                </c:pt>
                <c:pt idx="78">
                  <c:v>19.397309839897087</c:v>
                </c:pt>
                <c:pt idx="79">
                  <c:v>27.77991560828886</c:v>
                </c:pt>
                <c:pt idx="80">
                  <c:v>25.645528707721063</c:v>
                </c:pt>
                <c:pt idx="81">
                  <c:v>28.801798630427605</c:v>
                </c:pt>
                <c:pt idx="82">
                  <c:v>28.512107443578252</c:v>
                </c:pt>
                <c:pt idx="83">
                  <c:v>25.461937303476581</c:v>
                </c:pt>
                <c:pt idx="84">
                  <c:v>27.093085581390358</c:v>
                </c:pt>
                <c:pt idx="85">
                  <c:v>27.023778621825937</c:v>
                </c:pt>
                <c:pt idx="86">
                  <c:v>20.879414246067395</c:v>
                </c:pt>
                <c:pt idx="87">
                  <c:v>16.795600628440493</c:v>
                </c:pt>
                <c:pt idx="88">
                  <c:v>4.1532075730472107</c:v>
                </c:pt>
                <c:pt idx="89">
                  <c:v>17.923661462121174</c:v>
                </c:pt>
                <c:pt idx="90">
                  <c:v>19.734045900783983</c:v>
                </c:pt>
                <c:pt idx="91">
                  <c:v>12.1799352902517</c:v>
                </c:pt>
                <c:pt idx="92">
                  <c:v>14.475843567670189</c:v>
                </c:pt>
                <c:pt idx="93">
                  <c:v>26.362466587887067</c:v>
                </c:pt>
                <c:pt idx="94">
                  <c:v>32.499786961704707</c:v>
                </c:pt>
                <c:pt idx="95">
                  <c:v>7.4750611009117387</c:v>
                </c:pt>
                <c:pt idx="96">
                  <c:v>24.163737718245422</c:v>
                </c:pt>
                <c:pt idx="97">
                  <c:v>19.052844506813308</c:v>
                </c:pt>
                <c:pt idx="98">
                  <c:v>22.998066955893467</c:v>
                </c:pt>
                <c:pt idx="99">
                  <c:v>32.557251430924488</c:v>
                </c:pt>
                <c:pt idx="100">
                  <c:v>26.094223942087456</c:v>
                </c:pt>
                <c:pt idx="101">
                  <c:v>22.139087196920901</c:v>
                </c:pt>
                <c:pt idx="102">
                  <c:v>4.3005080687471198</c:v>
                </c:pt>
                <c:pt idx="103">
                  <c:v>24.380347004884758</c:v>
                </c:pt>
                <c:pt idx="104">
                  <c:v>27.039677543825142</c:v>
                </c:pt>
                <c:pt idx="105">
                  <c:v>27.221148428814388</c:v>
                </c:pt>
                <c:pt idx="106">
                  <c:v>33.750995551947639</c:v>
                </c:pt>
                <c:pt idx="107">
                  <c:v>24.169694289835199</c:v>
                </c:pt>
                <c:pt idx="108">
                  <c:v>5.9216430494674182</c:v>
                </c:pt>
                <c:pt idx="109">
                  <c:v>6.0558544456858794</c:v>
                </c:pt>
                <c:pt idx="110">
                  <c:v>6.4692809182143503</c:v>
                </c:pt>
                <c:pt idx="111">
                  <c:v>17.056514353228948</c:v>
                </c:pt>
                <c:pt idx="112">
                  <c:v>5.3220679270181552</c:v>
                </c:pt>
                <c:pt idx="113">
                  <c:v>20.920339432591579</c:v>
                </c:pt>
                <c:pt idx="114">
                  <c:v>28.997649802872061</c:v>
                </c:pt>
                <c:pt idx="115">
                  <c:v>33.491692056017051</c:v>
                </c:pt>
                <c:pt idx="116">
                  <c:v>24.29755111177786</c:v>
                </c:pt>
                <c:pt idx="117">
                  <c:v>15.549691413415095</c:v>
                </c:pt>
                <c:pt idx="118">
                  <c:v>26.470789136210144</c:v>
                </c:pt>
                <c:pt idx="119">
                  <c:v>30.424032330129549</c:v>
                </c:pt>
                <c:pt idx="120">
                  <c:v>31.35730181768896</c:v>
                </c:pt>
                <c:pt idx="121">
                  <c:v>18.26743723804006</c:v>
                </c:pt>
                <c:pt idx="122">
                  <c:v>20.298986136478138</c:v>
                </c:pt>
                <c:pt idx="123">
                  <c:v>14.149275753469148</c:v>
                </c:pt>
                <c:pt idx="124">
                  <c:v>27.669481342205604</c:v>
                </c:pt>
                <c:pt idx="125">
                  <c:v>25.675333221696228</c:v>
                </c:pt>
                <c:pt idx="126">
                  <c:v>31.912556828230663</c:v>
                </c:pt>
                <c:pt idx="127">
                  <c:v>32.919941348897353</c:v>
                </c:pt>
                <c:pt idx="128">
                  <c:v>37.093363620967622</c:v>
                </c:pt>
                <c:pt idx="129">
                  <c:v>34.286163318838327</c:v>
                </c:pt>
                <c:pt idx="130">
                  <c:v>36.971441992738029</c:v>
                </c:pt>
                <c:pt idx="131">
                  <c:v>28.450714365752663</c:v>
                </c:pt>
                <c:pt idx="132">
                  <c:v>31.057787029853166</c:v>
                </c:pt>
                <c:pt idx="133">
                  <c:v>32.344617517615809</c:v>
                </c:pt>
                <c:pt idx="134">
                  <c:v>34.447438941641749</c:v>
                </c:pt>
                <c:pt idx="135">
                  <c:v>33.360276812919494</c:v>
                </c:pt>
                <c:pt idx="136">
                  <c:v>35.854233198695148</c:v>
                </c:pt>
                <c:pt idx="137">
                  <c:v>34.479539494804577</c:v>
                </c:pt>
                <c:pt idx="138">
                  <c:v>35.579227975271948</c:v>
                </c:pt>
                <c:pt idx="139">
                  <c:v>31.734436489610971</c:v>
                </c:pt>
                <c:pt idx="140">
                  <c:v>31.632110775843895</c:v>
                </c:pt>
                <c:pt idx="141">
                  <c:v>23.640995757030442</c:v>
                </c:pt>
                <c:pt idx="142">
                  <c:v>12.306415204540453</c:v>
                </c:pt>
                <c:pt idx="143">
                  <c:v>11.014769255959177</c:v>
                </c:pt>
                <c:pt idx="144">
                  <c:v>27.132449908964471</c:v>
                </c:pt>
                <c:pt idx="145">
                  <c:v>14.52755241778925</c:v>
                </c:pt>
                <c:pt idx="146">
                  <c:v>28.815706683813186</c:v>
                </c:pt>
                <c:pt idx="147">
                  <c:v>36.647946297003905</c:v>
                </c:pt>
                <c:pt idx="148">
                  <c:v>39.771058991048911</c:v>
                </c:pt>
                <c:pt idx="149">
                  <c:v>32.936244600409069</c:v>
                </c:pt>
                <c:pt idx="150">
                  <c:v>36.039979874231371</c:v>
                </c:pt>
                <c:pt idx="151">
                  <c:v>36.857907791863767</c:v>
                </c:pt>
                <c:pt idx="152">
                  <c:v>29.430364743025351</c:v>
                </c:pt>
                <c:pt idx="153">
                  <c:v>35.641247844394236</c:v>
                </c:pt>
                <c:pt idx="154">
                  <c:v>17.704894584088443</c:v>
                </c:pt>
                <c:pt idx="155">
                  <c:v>21.720707979059103</c:v>
                </c:pt>
                <c:pt idx="156">
                  <c:v>30.140465542134194</c:v>
                </c:pt>
                <c:pt idx="157">
                  <c:v>17.464840263527858</c:v>
                </c:pt>
                <c:pt idx="158">
                  <c:v>15.4147565341492</c:v>
                </c:pt>
                <c:pt idx="159">
                  <c:v>30.170528468983086</c:v>
                </c:pt>
                <c:pt idx="160">
                  <c:v>38.37680811693884</c:v>
                </c:pt>
                <c:pt idx="161">
                  <c:v>36.359767558132418</c:v>
                </c:pt>
                <c:pt idx="162">
                  <c:v>28.78370282959283</c:v>
                </c:pt>
                <c:pt idx="163">
                  <c:v>35.028254724292594</c:v>
                </c:pt>
                <c:pt idx="164">
                  <c:v>31.378511179103459</c:v>
                </c:pt>
                <c:pt idx="165">
                  <c:v>35.563193193038501</c:v>
                </c:pt>
                <c:pt idx="166">
                  <c:v>33.553512326349761</c:v>
                </c:pt>
                <c:pt idx="167">
                  <c:v>34.163628809739812</c:v>
                </c:pt>
                <c:pt idx="168">
                  <c:v>35.419433789627206</c:v>
                </c:pt>
                <c:pt idx="169">
                  <c:v>36.263915186100114</c:v>
                </c:pt>
                <c:pt idx="170">
                  <c:v>20.380630225521141</c:v>
                </c:pt>
                <c:pt idx="171">
                  <c:v>14.264073793410889</c:v>
                </c:pt>
                <c:pt idx="172">
                  <c:v>29.760505405694559</c:v>
                </c:pt>
                <c:pt idx="173">
                  <c:v>26.736185515483442</c:v>
                </c:pt>
                <c:pt idx="174">
                  <c:v>30.341802962985255</c:v>
                </c:pt>
                <c:pt idx="175">
                  <c:v>21.637301488293563</c:v>
                </c:pt>
                <c:pt idx="176">
                  <c:v>7.7193034235702624</c:v>
                </c:pt>
                <c:pt idx="177">
                  <c:v>9.9935509453923714</c:v>
                </c:pt>
                <c:pt idx="178">
                  <c:v>38.843813902279607</c:v>
                </c:pt>
                <c:pt idx="179">
                  <c:v>37.526749697314983</c:v>
                </c:pt>
                <c:pt idx="180">
                  <c:v>9.1255122290123261</c:v>
                </c:pt>
                <c:pt idx="181">
                  <c:v>35.351576775130354</c:v>
                </c:pt>
                <c:pt idx="182">
                  <c:v>36.43160767479543</c:v>
                </c:pt>
                <c:pt idx="183">
                  <c:v>30.146796840090502</c:v>
                </c:pt>
                <c:pt idx="184">
                  <c:v>28.888149626597212</c:v>
                </c:pt>
                <c:pt idx="185">
                  <c:v>36.047747494384126</c:v>
                </c:pt>
                <c:pt idx="186">
                  <c:v>28.79289672329114</c:v>
                </c:pt>
                <c:pt idx="187">
                  <c:v>37.098101429340204</c:v>
                </c:pt>
                <c:pt idx="188">
                  <c:v>38.265807406014744</c:v>
                </c:pt>
                <c:pt idx="189">
                  <c:v>37.53442813950295</c:v>
                </c:pt>
                <c:pt idx="190">
                  <c:v>37.090160003427663</c:v>
                </c:pt>
                <c:pt idx="191">
                  <c:v>35.778708618217031</c:v>
                </c:pt>
                <c:pt idx="192">
                  <c:v>35.596211184945737</c:v>
                </c:pt>
                <c:pt idx="193">
                  <c:v>35.451238873119692</c:v>
                </c:pt>
                <c:pt idx="194">
                  <c:v>34.824562079866595</c:v>
                </c:pt>
                <c:pt idx="195">
                  <c:v>33.716263692400325</c:v>
                </c:pt>
                <c:pt idx="196">
                  <c:v>34.94330807871917</c:v>
                </c:pt>
                <c:pt idx="197">
                  <c:v>34.255883428948948</c:v>
                </c:pt>
                <c:pt idx="198">
                  <c:v>34.183949153831918</c:v>
                </c:pt>
                <c:pt idx="199">
                  <c:v>26.536745760193764</c:v>
                </c:pt>
                <c:pt idx="200">
                  <c:v>25.971545146938766</c:v>
                </c:pt>
                <c:pt idx="201">
                  <c:v>33.907304190286794</c:v>
                </c:pt>
                <c:pt idx="202">
                  <c:v>26.910162563517066</c:v>
                </c:pt>
                <c:pt idx="203">
                  <c:v>31.499080624646751</c:v>
                </c:pt>
                <c:pt idx="204">
                  <c:v>34.033038576265767</c:v>
                </c:pt>
                <c:pt idx="205">
                  <c:v>19.173669212780396</c:v>
                </c:pt>
                <c:pt idx="206">
                  <c:v>35.288627521312122</c:v>
                </c:pt>
                <c:pt idx="207">
                  <c:v>37.045666566067993</c:v>
                </c:pt>
                <c:pt idx="208">
                  <c:v>29.891717017268508</c:v>
                </c:pt>
                <c:pt idx="209">
                  <c:v>19.061659279575149</c:v>
                </c:pt>
                <c:pt idx="210">
                  <c:v>30.459527077427534</c:v>
                </c:pt>
                <c:pt idx="211">
                  <c:v>35.493776701114108</c:v>
                </c:pt>
                <c:pt idx="212">
                  <c:v>35.390320211139105</c:v>
                </c:pt>
                <c:pt idx="213">
                  <c:v>35.282821033135853</c:v>
                </c:pt>
                <c:pt idx="214">
                  <c:v>32.919580898574083</c:v>
                </c:pt>
                <c:pt idx="215">
                  <c:v>32.362534709750385</c:v>
                </c:pt>
                <c:pt idx="216">
                  <c:v>29.379929854968829</c:v>
                </c:pt>
                <c:pt idx="217">
                  <c:v>31.881592202197428</c:v>
                </c:pt>
                <c:pt idx="218">
                  <c:v>34.158135692019165</c:v>
                </c:pt>
                <c:pt idx="219">
                  <c:v>34.794997554337158</c:v>
                </c:pt>
                <c:pt idx="220">
                  <c:v>32.740450504102192</c:v>
                </c:pt>
                <c:pt idx="221">
                  <c:v>31.501197135926457</c:v>
                </c:pt>
                <c:pt idx="222">
                  <c:v>29.411665267315595</c:v>
                </c:pt>
                <c:pt idx="223">
                  <c:v>30.669226160863687</c:v>
                </c:pt>
                <c:pt idx="224">
                  <c:v>22.070970100258101</c:v>
                </c:pt>
                <c:pt idx="225">
                  <c:v>23.359190918893681</c:v>
                </c:pt>
                <c:pt idx="226">
                  <c:v>22.320282103690957</c:v>
                </c:pt>
                <c:pt idx="227">
                  <c:v>22.07701299133792</c:v>
                </c:pt>
                <c:pt idx="228">
                  <c:v>17.535634093989373</c:v>
                </c:pt>
                <c:pt idx="229">
                  <c:v>26.015941124305314</c:v>
                </c:pt>
                <c:pt idx="230">
                  <c:v>26.224809032527091</c:v>
                </c:pt>
                <c:pt idx="231">
                  <c:v>32.547264573494665</c:v>
                </c:pt>
                <c:pt idx="232">
                  <c:v>20.400725772004034</c:v>
                </c:pt>
                <c:pt idx="233">
                  <c:v>16.914056428916147</c:v>
                </c:pt>
                <c:pt idx="234">
                  <c:v>30.288215249911129</c:v>
                </c:pt>
                <c:pt idx="235">
                  <c:v>29.762315114815106</c:v>
                </c:pt>
                <c:pt idx="236">
                  <c:v>21.946324009792995</c:v>
                </c:pt>
                <c:pt idx="237">
                  <c:v>26.708992771563288</c:v>
                </c:pt>
                <c:pt idx="238">
                  <c:v>32.310531034947722</c:v>
                </c:pt>
                <c:pt idx="239">
                  <c:v>31.259729563542276</c:v>
                </c:pt>
                <c:pt idx="240">
                  <c:v>21.426059914241762</c:v>
                </c:pt>
                <c:pt idx="241">
                  <c:v>30.886683327243698</c:v>
                </c:pt>
                <c:pt idx="242">
                  <c:v>14.472663926944206</c:v>
                </c:pt>
                <c:pt idx="243">
                  <c:v>27.294396842150906</c:v>
                </c:pt>
                <c:pt idx="244">
                  <c:v>26.913520007639505</c:v>
                </c:pt>
                <c:pt idx="245">
                  <c:v>26.144477175889484</c:v>
                </c:pt>
                <c:pt idx="246">
                  <c:v>28.9662322831309</c:v>
                </c:pt>
                <c:pt idx="247">
                  <c:v>25.675119864501344</c:v>
                </c:pt>
                <c:pt idx="248">
                  <c:v>29.35972337645843</c:v>
                </c:pt>
                <c:pt idx="249">
                  <c:v>22.300095916624478</c:v>
                </c:pt>
                <c:pt idx="250">
                  <c:v>24.6685809801509</c:v>
                </c:pt>
                <c:pt idx="251">
                  <c:v>13.754848113059177</c:v>
                </c:pt>
                <c:pt idx="252">
                  <c:v>29.482409914305251</c:v>
                </c:pt>
                <c:pt idx="253">
                  <c:v>29.371414473194211</c:v>
                </c:pt>
                <c:pt idx="254">
                  <c:v>20.620773114575179</c:v>
                </c:pt>
                <c:pt idx="255">
                  <c:v>7.7572158040865142</c:v>
                </c:pt>
                <c:pt idx="256">
                  <c:v>23.012723576736438</c:v>
                </c:pt>
                <c:pt idx="257">
                  <c:v>27.917048540371471</c:v>
                </c:pt>
                <c:pt idx="258">
                  <c:v>20.884943126435289</c:v>
                </c:pt>
                <c:pt idx="259">
                  <c:v>29.453961269190469</c:v>
                </c:pt>
                <c:pt idx="260">
                  <c:v>29.569464986429267</c:v>
                </c:pt>
                <c:pt idx="261">
                  <c:v>28.978503535076296</c:v>
                </c:pt>
                <c:pt idx="262">
                  <c:v>30.230061072308271</c:v>
                </c:pt>
                <c:pt idx="263">
                  <c:v>29.171013255932255</c:v>
                </c:pt>
                <c:pt idx="264">
                  <c:v>28.079944722309474</c:v>
                </c:pt>
                <c:pt idx="265">
                  <c:v>17.372314836960584</c:v>
                </c:pt>
                <c:pt idx="266">
                  <c:v>10.844023933765067</c:v>
                </c:pt>
                <c:pt idx="267">
                  <c:v>20.261453120193831</c:v>
                </c:pt>
                <c:pt idx="268">
                  <c:v>19.31278885490547</c:v>
                </c:pt>
                <c:pt idx="269">
                  <c:v>9.6927503480369914</c:v>
                </c:pt>
                <c:pt idx="270">
                  <c:v>10.97425639364884</c:v>
                </c:pt>
                <c:pt idx="271">
                  <c:v>14.935238899700915</c:v>
                </c:pt>
                <c:pt idx="272">
                  <c:v>18.618289632741163</c:v>
                </c:pt>
                <c:pt idx="273">
                  <c:v>23.858458291553291</c:v>
                </c:pt>
                <c:pt idx="274">
                  <c:v>25.047876836699913</c:v>
                </c:pt>
                <c:pt idx="275">
                  <c:v>23.141231586049219</c:v>
                </c:pt>
                <c:pt idx="276">
                  <c:v>25.881228108762578</c:v>
                </c:pt>
                <c:pt idx="277">
                  <c:v>26.013928006429051</c:v>
                </c:pt>
                <c:pt idx="278">
                  <c:v>8.5619551749974843</c:v>
                </c:pt>
                <c:pt idx="279">
                  <c:v>17.824024490327382</c:v>
                </c:pt>
                <c:pt idx="280">
                  <c:v>11.299705560285155</c:v>
                </c:pt>
                <c:pt idx="281">
                  <c:v>23.570391739159462</c:v>
                </c:pt>
                <c:pt idx="282">
                  <c:v>18.852089220626034</c:v>
                </c:pt>
                <c:pt idx="283">
                  <c:v>14.802929148784264</c:v>
                </c:pt>
                <c:pt idx="284">
                  <c:v>17.937378045636468</c:v>
                </c:pt>
                <c:pt idx="285">
                  <c:v>13.875195809653986</c:v>
                </c:pt>
                <c:pt idx="286">
                  <c:v>10.963988001292677</c:v>
                </c:pt>
                <c:pt idx="287">
                  <c:v>22.640361771286745</c:v>
                </c:pt>
                <c:pt idx="288">
                  <c:v>20.133942814939353</c:v>
                </c:pt>
                <c:pt idx="289">
                  <c:v>11.85092629015911</c:v>
                </c:pt>
                <c:pt idx="290">
                  <c:v>20.340846430599729</c:v>
                </c:pt>
                <c:pt idx="291">
                  <c:v>9.4959119896656556</c:v>
                </c:pt>
                <c:pt idx="292">
                  <c:v>4.6031871779382518</c:v>
                </c:pt>
                <c:pt idx="293">
                  <c:v>9.8779813862828778</c:v>
                </c:pt>
                <c:pt idx="294">
                  <c:v>19.252471906531675</c:v>
                </c:pt>
                <c:pt idx="295">
                  <c:v>12.469942921970512</c:v>
                </c:pt>
                <c:pt idx="296">
                  <c:v>15.200057913433975</c:v>
                </c:pt>
                <c:pt idx="297">
                  <c:v>13.207009573595775</c:v>
                </c:pt>
                <c:pt idx="298">
                  <c:v>8.8524770389237357</c:v>
                </c:pt>
                <c:pt idx="299">
                  <c:v>8.2017658185183588</c:v>
                </c:pt>
                <c:pt idx="300">
                  <c:v>10.757544489174522</c:v>
                </c:pt>
                <c:pt idx="301">
                  <c:v>15.627385422783904</c:v>
                </c:pt>
                <c:pt idx="302">
                  <c:v>13.118435298270873</c:v>
                </c:pt>
                <c:pt idx="303">
                  <c:v>12.434921900701807</c:v>
                </c:pt>
                <c:pt idx="304">
                  <c:v>13.269668015080994</c:v>
                </c:pt>
                <c:pt idx="305">
                  <c:v>15.373118851574718</c:v>
                </c:pt>
                <c:pt idx="306">
                  <c:v>5.7835630147856323</c:v>
                </c:pt>
                <c:pt idx="307">
                  <c:v>8.2755246945555587</c:v>
                </c:pt>
                <c:pt idx="308">
                  <c:v>16.986521017832569</c:v>
                </c:pt>
                <c:pt idx="309">
                  <c:v>16.17539934870112</c:v>
                </c:pt>
                <c:pt idx="310">
                  <c:v>15.526645067779008</c:v>
                </c:pt>
                <c:pt idx="311">
                  <c:v>11.31012465785677</c:v>
                </c:pt>
                <c:pt idx="312">
                  <c:v>6.2654628589737049</c:v>
                </c:pt>
                <c:pt idx="313">
                  <c:v>12.023125751965882</c:v>
                </c:pt>
                <c:pt idx="314">
                  <c:v>14.006884357265571</c:v>
                </c:pt>
                <c:pt idx="315">
                  <c:v>13.798229551543264</c:v>
                </c:pt>
                <c:pt idx="316">
                  <c:v>13.818828112225228</c:v>
                </c:pt>
                <c:pt idx="317">
                  <c:v>6.2113679140831017</c:v>
                </c:pt>
                <c:pt idx="318">
                  <c:v>7.6843861676411418</c:v>
                </c:pt>
                <c:pt idx="319">
                  <c:v>12.357496467405305</c:v>
                </c:pt>
                <c:pt idx="320">
                  <c:v>9.3262669843168204</c:v>
                </c:pt>
                <c:pt idx="321">
                  <c:v>7.7776243154915301</c:v>
                </c:pt>
                <c:pt idx="322">
                  <c:v>5.2866543886427619</c:v>
                </c:pt>
                <c:pt idx="323">
                  <c:v>10.079738195424408</c:v>
                </c:pt>
                <c:pt idx="324">
                  <c:v>1.9821399410089349</c:v>
                </c:pt>
                <c:pt idx="325">
                  <c:v>5.7420768438117742</c:v>
                </c:pt>
                <c:pt idx="326">
                  <c:v>7.6158392336284297</c:v>
                </c:pt>
                <c:pt idx="327">
                  <c:v>7.3787302846420229</c:v>
                </c:pt>
                <c:pt idx="328">
                  <c:v>3.1109340837310167</c:v>
                </c:pt>
                <c:pt idx="329">
                  <c:v>6.1490179425496914</c:v>
                </c:pt>
                <c:pt idx="330">
                  <c:v>8.464366935809517</c:v>
                </c:pt>
                <c:pt idx="331">
                  <c:v>5.6453541995042107</c:v>
                </c:pt>
                <c:pt idx="332">
                  <c:v>6.3111215959584399</c:v>
                </c:pt>
                <c:pt idx="333">
                  <c:v>2.345439673793547</c:v>
                </c:pt>
                <c:pt idx="334">
                  <c:v>2.1707189192118697</c:v>
                </c:pt>
                <c:pt idx="335">
                  <c:v>3.3540703409972763</c:v>
                </c:pt>
                <c:pt idx="336">
                  <c:v>5.8469043055854097</c:v>
                </c:pt>
                <c:pt idx="337">
                  <c:v>8.4113758474390341</c:v>
                </c:pt>
                <c:pt idx="338">
                  <c:v>9.7988208939690757</c:v>
                </c:pt>
                <c:pt idx="339">
                  <c:v>7.1054276558410132</c:v>
                </c:pt>
                <c:pt idx="340">
                  <c:v>8.2894536623045489</c:v>
                </c:pt>
                <c:pt idx="341">
                  <c:v>2.7285628009515182</c:v>
                </c:pt>
                <c:pt idx="342">
                  <c:v>3.8858231644138361</c:v>
                </c:pt>
                <c:pt idx="343">
                  <c:v>6.6916182103371185</c:v>
                </c:pt>
                <c:pt idx="344">
                  <c:v>7.8014468937786345</c:v>
                </c:pt>
                <c:pt idx="345">
                  <c:v>3.1431728612661285</c:v>
                </c:pt>
                <c:pt idx="346">
                  <c:v>3.1184992886149856</c:v>
                </c:pt>
                <c:pt idx="347">
                  <c:v>7.3466691864027132</c:v>
                </c:pt>
                <c:pt idx="348">
                  <c:v>3.6572668444363323</c:v>
                </c:pt>
                <c:pt idx="349">
                  <c:v>3.0558402472679647</c:v>
                </c:pt>
                <c:pt idx="350">
                  <c:v>1.7858725174870327</c:v>
                </c:pt>
                <c:pt idx="351">
                  <c:v>9.5256376360401678</c:v>
                </c:pt>
                <c:pt idx="352">
                  <c:v>9.5127461224003085</c:v>
                </c:pt>
                <c:pt idx="353">
                  <c:v>2.4539698616143268</c:v>
                </c:pt>
                <c:pt idx="354">
                  <c:v>8.6749287758251992</c:v>
                </c:pt>
                <c:pt idx="355">
                  <c:v>9.7776387836894614</c:v>
                </c:pt>
                <c:pt idx="356">
                  <c:v>9.6332706752213575</c:v>
                </c:pt>
                <c:pt idx="357">
                  <c:v>9.8452364447252823</c:v>
                </c:pt>
                <c:pt idx="358">
                  <c:v>5.8693367829489258</c:v>
                </c:pt>
                <c:pt idx="359">
                  <c:v>10.151789765395767</c:v>
                </c:pt>
                <c:pt idx="360">
                  <c:v>3.933541206019302</c:v>
                </c:pt>
                <c:pt idx="361">
                  <c:v>10.691636043205264</c:v>
                </c:pt>
                <c:pt idx="362">
                  <c:v>6.1021175777621588</c:v>
                </c:pt>
                <c:pt idx="363">
                  <c:v>7.7795094300996057</c:v>
                </c:pt>
                <c:pt idx="364">
                  <c:v>7.3140561500943413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10.868753015075322</c:v>
                </c:pt>
                <c:pt idx="1">
                  <c:v>8.4860576368933955</c:v>
                </c:pt>
                <c:pt idx="2">
                  <c:v>9.7367661818896352</c:v>
                </c:pt>
                <c:pt idx="3">
                  <c:v>10.211966034112613</c:v>
                </c:pt>
                <c:pt idx="4">
                  <c:v>8.4487425887854357</c:v>
                </c:pt>
                <c:pt idx="5">
                  <c:v>12.107269191179123</c:v>
                </c:pt>
                <c:pt idx="6">
                  <c:v>5.393828620598379</c:v>
                </c:pt>
                <c:pt idx="7">
                  <c:v>4.3485453160818954</c:v>
                </c:pt>
                <c:pt idx="8">
                  <c:v>1.1996610335745161</c:v>
                </c:pt>
                <c:pt idx="9">
                  <c:v>0.86155089730146739</c:v>
                </c:pt>
                <c:pt idx="10">
                  <c:v>12.459451442592668</c:v>
                </c:pt>
                <c:pt idx="11">
                  <c:v>10.161488193873632</c:v>
                </c:pt>
                <c:pt idx="12">
                  <c:v>3.098587246522444</c:v>
                </c:pt>
                <c:pt idx="13">
                  <c:v>12.948257260397629</c:v>
                </c:pt>
                <c:pt idx="14">
                  <c:v>13.23461974345871</c:v>
                </c:pt>
                <c:pt idx="15">
                  <c:v>13.308691819061711</c:v>
                </c:pt>
                <c:pt idx="16">
                  <c:v>9.6466174664939413</c:v>
                </c:pt>
                <c:pt idx="17">
                  <c:v>2.3365432998645077</c:v>
                </c:pt>
                <c:pt idx="18">
                  <c:v>7.003561794775174</c:v>
                </c:pt>
                <c:pt idx="19">
                  <c:v>3.7338616205833186</c:v>
                </c:pt>
                <c:pt idx="20">
                  <c:v>10.234887893527345</c:v>
                </c:pt>
                <c:pt idx="21">
                  <c:v>14.717375627700189</c:v>
                </c:pt>
                <c:pt idx="22">
                  <c:v>14.769885831688692</c:v>
                </c:pt>
                <c:pt idx="23">
                  <c:v>15.033439378306804</c:v>
                </c:pt>
                <c:pt idx="24">
                  <c:v>14.260501801840606</c:v>
                </c:pt>
                <c:pt idx="25">
                  <c:v>15.502411154972624</c:v>
                </c:pt>
                <c:pt idx="26">
                  <c:v>13.243374536936974</c:v>
                </c:pt>
                <c:pt idx="27">
                  <c:v>2.4766589723135994</c:v>
                </c:pt>
                <c:pt idx="28">
                  <c:v>4.2332104629976079</c:v>
                </c:pt>
                <c:pt idx="29">
                  <c:v>2.7460630791893381</c:v>
                </c:pt>
                <c:pt idx="30">
                  <c:v>6.4449106917856716</c:v>
                </c:pt>
                <c:pt idx="31">
                  <c:v>8.0284708332080239</c:v>
                </c:pt>
                <c:pt idx="32">
                  <c:v>3.5362822666252862</c:v>
                </c:pt>
                <c:pt idx="33">
                  <c:v>7.5425992127537711</c:v>
                </c:pt>
                <c:pt idx="34">
                  <c:v>7.3179392293816639</c:v>
                </c:pt>
                <c:pt idx="35">
                  <c:v>6.7910285550640879</c:v>
                </c:pt>
                <c:pt idx="36">
                  <c:v>13.918314630648547</c:v>
                </c:pt>
                <c:pt idx="37">
                  <c:v>8.1651728285899914</c:v>
                </c:pt>
                <c:pt idx="38">
                  <c:v>19.410849344271043</c:v>
                </c:pt>
                <c:pt idx="39">
                  <c:v>19.446460086984704</c:v>
                </c:pt>
                <c:pt idx="40">
                  <c:v>18.444074424851795</c:v>
                </c:pt>
                <c:pt idx="41">
                  <c:v>9.9966939018316996</c:v>
                </c:pt>
                <c:pt idx="42">
                  <c:v>15.889666229062788</c:v>
                </c:pt>
                <c:pt idx="43">
                  <c:v>18.234523707008595</c:v>
                </c:pt>
                <c:pt idx="44">
                  <c:v>10.088529668328531</c:v>
                </c:pt>
                <c:pt idx="45">
                  <c:v>12.745456548761499</c:v>
                </c:pt>
                <c:pt idx="46">
                  <c:v>5.5724217685074597</c:v>
                </c:pt>
                <c:pt idx="47">
                  <c:v>9.5194592106737748</c:v>
                </c:pt>
                <c:pt idx="48">
                  <c:v>17.961160852294778</c:v>
                </c:pt>
                <c:pt idx="49">
                  <c:v>11.579925204735309</c:v>
                </c:pt>
                <c:pt idx="50">
                  <c:v>13.007359742026203</c:v>
                </c:pt>
                <c:pt idx="51">
                  <c:v>13.467601064867495</c:v>
                </c:pt>
                <c:pt idx="52">
                  <c:v>20.987099273004734</c:v>
                </c:pt>
                <c:pt idx="53">
                  <c:v>21.462370375995722</c:v>
                </c:pt>
                <c:pt idx="54">
                  <c:v>13.870088781700304</c:v>
                </c:pt>
                <c:pt idx="55">
                  <c:v>19.349333496717719</c:v>
                </c:pt>
                <c:pt idx="56">
                  <c:v>24.244626666681732</c:v>
                </c:pt>
                <c:pt idx="57">
                  <c:v>16.395864961365088</c:v>
                </c:pt>
                <c:pt idx="58">
                  <c:v>21.438105701200687</c:v>
                </c:pt>
                <c:pt idx="59">
                  <c:v>24.059752356101239</c:v>
                </c:pt>
                <c:pt idx="60">
                  <c:v>8.8493487617475619</c:v>
                </c:pt>
                <c:pt idx="61">
                  <c:v>22.702983640498285</c:v>
                </c:pt>
                <c:pt idx="62">
                  <c:v>3.4658050520023478</c:v>
                </c:pt>
                <c:pt idx="63">
                  <c:v>8.8837507788518497</c:v>
                </c:pt>
                <c:pt idx="64">
                  <c:v>12.081473639073756</c:v>
                </c:pt>
                <c:pt idx="65">
                  <c:v>22.895837142651924</c:v>
                </c:pt>
                <c:pt idx="66">
                  <c:v>19.002589181635397</c:v>
                </c:pt>
                <c:pt idx="67">
                  <c:v>21.350848472698836</c:v>
                </c:pt>
                <c:pt idx="68">
                  <c:v>14.768865439757223</c:v>
                </c:pt>
                <c:pt idx="69">
                  <c:v>9.563164158509208</c:v>
                </c:pt>
                <c:pt idx="70">
                  <c:v>9.6335689538510287</c:v>
                </c:pt>
                <c:pt idx="71">
                  <c:v>5.2611937800411717</c:v>
                </c:pt>
                <c:pt idx="72">
                  <c:v>7.5292068024373933</c:v>
                </c:pt>
                <c:pt idx="73">
                  <c:v>7.7056794937924158</c:v>
                </c:pt>
                <c:pt idx="74">
                  <c:v>5.9200606024366413</c:v>
                </c:pt>
                <c:pt idx="75">
                  <c:v>6.942599344368233</c:v>
                </c:pt>
                <c:pt idx="76">
                  <c:v>8.6635809304950104</c:v>
                </c:pt>
                <c:pt idx="77">
                  <c:v>17.399059088221126</c:v>
                </c:pt>
                <c:pt idx="78">
                  <c:v>19.397309839897087</c:v>
                </c:pt>
                <c:pt idx="79">
                  <c:v>27.77991560828886</c:v>
                </c:pt>
                <c:pt idx="80">
                  <c:v>25.645528707721063</c:v>
                </c:pt>
                <c:pt idx="81">
                  <c:v>28.801798630427605</c:v>
                </c:pt>
                <c:pt idx="82">
                  <c:v>28.512107443578252</c:v>
                </c:pt>
                <c:pt idx="83">
                  <c:v>25.461937303476581</c:v>
                </c:pt>
                <c:pt idx="84">
                  <c:v>27.093085581390358</c:v>
                </c:pt>
                <c:pt idx="85">
                  <c:v>27.023778621825937</c:v>
                </c:pt>
                <c:pt idx="86">
                  <c:v>20.879414246067395</c:v>
                </c:pt>
                <c:pt idx="87">
                  <c:v>16.795600628440493</c:v>
                </c:pt>
                <c:pt idx="88">
                  <c:v>4.1532075730472107</c:v>
                </c:pt>
                <c:pt idx="89">
                  <c:v>17.923661462121174</c:v>
                </c:pt>
                <c:pt idx="90">
                  <c:v>19.734045900783983</c:v>
                </c:pt>
                <c:pt idx="91">
                  <c:v>12.1799352902517</c:v>
                </c:pt>
                <c:pt idx="92">
                  <c:v>14.475843567670189</c:v>
                </c:pt>
                <c:pt idx="93">
                  <c:v>26.362466587887067</c:v>
                </c:pt>
                <c:pt idx="94">
                  <c:v>32.499786961704707</c:v>
                </c:pt>
                <c:pt idx="95">
                  <c:v>7.4750611009117387</c:v>
                </c:pt>
                <c:pt idx="96">
                  <c:v>24.163737718245422</c:v>
                </c:pt>
                <c:pt idx="97">
                  <c:v>19.052844506813308</c:v>
                </c:pt>
                <c:pt idx="98">
                  <c:v>22.998066955893467</c:v>
                </c:pt>
                <c:pt idx="99">
                  <c:v>32.557251430924488</c:v>
                </c:pt>
                <c:pt idx="100">
                  <c:v>26.094223942087456</c:v>
                </c:pt>
                <c:pt idx="101">
                  <c:v>22.139087196920901</c:v>
                </c:pt>
                <c:pt idx="102">
                  <c:v>4.3005080687471198</c:v>
                </c:pt>
                <c:pt idx="103">
                  <c:v>24.380347004884758</c:v>
                </c:pt>
                <c:pt idx="104">
                  <c:v>27.039677543825142</c:v>
                </c:pt>
                <c:pt idx="105">
                  <c:v>27.221148428814388</c:v>
                </c:pt>
                <c:pt idx="106">
                  <c:v>33.750995551947639</c:v>
                </c:pt>
                <c:pt idx="107">
                  <c:v>24.169694289835199</c:v>
                </c:pt>
                <c:pt idx="108">
                  <c:v>5.9216430494674182</c:v>
                </c:pt>
                <c:pt idx="109">
                  <c:v>6.0558544456858794</c:v>
                </c:pt>
                <c:pt idx="110">
                  <c:v>6.4692809182143503</c:v>
                </c:pt>
                <c:pt idx="111">
                  <c:v>17.056514353228948</c:v>
                </c:pt>
                <c:pt idx="112">
                  <c:v>5.3220679270181552</c:v>
                </c:pt>
                <c:pt idx="113">
                  <c:v>20.920339432591579</c:v>
                </c:pt>
                <c:pt idx="114">
                  <c:v>28.997649802872061</c:v>
                </c:pt>
                <c:pt idx="115">
                  <c:v>33.491692056017051</c:v>
                </c:pt>
                <c:pt idx="116">
                  <c:v>24.29755111177786</c:v>
                </c:pt>
                <c:pt idx="117">
                  <c:v>15.549691413415095</c:v>
                </c:pt>
                <c:pt idx="118">
                  <c:v>26.470789136210144</c:v>
                </c:pt>
                <c:pt idx="119">
                  <c:v>30.424032330129549</c:v>
                </c:pt>
                <c:pt idx="120">
                  <c:v>31.35730181768896</c:v>
                </c:pt>
                <c:pt idx="121">
                  <c:v>18.26743723804006</c:v>
                </c:pt>
                <c:pt idx="122">
                  <c:v>20.298986136478138</c:v>
                </c:pt>
                <c:pt idx="123">
                  <c:v>14.149275753469148</c:v>
                </c:pt>
                <c:pt idx="124">
                  <c:v>27.669481342205604</c:v>
                </c:pt>
                <c:pt idx="125">
                  <c:v>25.675333221696228</c:v>
                </c:pt>
                <c:pt idx="126">
                  <c:v>31.912556828230663</c:v>
                </c:pt>
                <c:pt idx="127">
                  <c:v>32.919941348897353</c:v>
                </c:pt>
                <c:pt idx="128">
                  <c:v>37.093363620967622</c:v>
                </c:pt>
                <c:pt idx="129">
                  <c:v>34.286163318838327</c:v>
                </c:pt>
                <c:pt idx="130">
                  <c:v>36.971441992738029</c:v>
                </c:pt>
                <c:pt idx="131">
                  <c:v>28.450714365752663</c:v>
                </c:pt>
                <c:pt idx="132">
                  <c:v>31.057787029853166</c:v>
                </c:pt>
                <c:pt idx="133">
                  <c:v>32.344617517615809</c:v>
                </c:pt>
                <c:pt idx="134">
                  <c:v>34.447438941641749</c:v>
                </c:pt>
                <c:pt idx="135">
                  <c:v>33.360276812919494</c:v>
                </c:pt>
                <c:pt idx="136">
                  <c:v>35.854233198695148</c:v>
                </c:pt>
                <c:pt idx="137">
                  <c:v>34.479539494804577</c:v>
                </c:pt>
                <c:pt idx="138">
                  <c:v>35.579227975271948</c:v>
                </c:pt>
                <c:pt idx="139">
                  <c:v>31.734436489610971</c:v>
                </c:pt>
                <c:pt idx="140">
                  <c:v>31.632110775843895</c:v>
                </c:pt>
                <c:pt idx="141">
                  <c:v>23.640995757030442</c:v>
                </c:pt>
                <c:pt idx="142">
                  <c:v>12.306415204540453</c:v>
                </c:pt>
                <c:pt idx="143">
                  <c:v>11.014769255959177</c:v>
                </c:pt>
                <c:pt idx="144">
                  <c:v>27.132449908964471</c:v>
                </c:pt>
                <c:pt idx="145">
                  <c:v>14.52755241778925</c:v>
                </c:pt>
                <c:pt idx="146">
                  <c:v>28.815706683813186</c:v>
                </c:pt>
                <c:pt idx="147">
                  <c:v>36.647946297003905</c:v>
                </c:pt>
                <c:pt idx="148">
                  <c:v>39.771058991048911</c:v>
                </c:pt>
                <c:pt idx="149">
                  <c:v>32.936244600409069</c:v>
                </c:pt>
                <c:pt idx="150">
                  <c:v>36.039979874231371</c:v>
                </c:pt>
                <c:pt idx="151">
                  <c:v>36.857907791863767</c:v>
                </c:pt>
                <c:pt idx="152">
                  <c:v>29.430364743025351</c:v>
                </c:pt>
                <c:pt idx="153">
                  <c:v>35.641247844394236</c:v>
                </c:pt>
                <c:pt idx="154">
                  <c:v>17.704894584088443</c:v>
                </c:pt>
                <c:pt idx="155">
                  <c:v>21.720707979059103</c:v>
                </c:pt>
                <c:pt idx="156">
                  <c:v>30.140465542134194</c:v>
                </c:pt>
                <c:pt idx="157">
                  <c:v>17.464840263527858</c:v>
                </c:pt>
                <c:pt idx="158">
                  <c:v>15.4147565341492</c:v>
                </c:pt>
                <c:pt idx="159">
                  <c:v>30.170528468983086</c:v>
                </c:pt>
                <c:pt idx="160">
                  <c:v>38.37680811693884</c:v>
                </c:pt>
                <c:pt idx="161">
                  <c:v>36.359767558132418</c:v>
                </c:pt>
                <c:pt idx="162">
                  <c:v>28.78370282959283</c:v>
                </c:pt>
                <c:pt idx="163">
                  <c:v>35.028254724292594</c:v>
                </c:pt>
                <c:pt idx="164">
                  <c:v>31.378511179103459</c:v>
                </c:pt>
                <c:pt idx="165">
                  <c:v>35.563193193038501</c:v>
                </c:pt>
                <c:pt idx="166">
                  <c:v>33.553512326349761</c:v>
                </c:pt>
                <c:pt idx="167">
                  <c:v>34.163628809739812</c:v>
                </c:pt>
                <c:pt idx="168">
                  <c:v>35.419433789627206</c:v>
                </c:pt>
                <c:pt idx="169">
                  <c:v>36.263915186100114</c:v>
                </c:pt>
                <c:pt idx="170">
                  <c:v>20.380630225521141</c:v>
                </c:pt>
                <c:pt idx="171">
                  <c:v>14.264073793410889</c:v>
                </c:pt>
                <c:pt idx="172">
                  <c:v>29.760505405694559</c:v>
                </c:pt>
                <c:pt idx="173">
                  <c:v>26.736185515483442</c:v>
                </c:pt>
                <c:pt idx="174">
                  <c:v>30.341802962985255</c:v>
                </c:pt>
                <c:pt idx="175">
                  <c:v>21.637301488293563</c:v>
                </c:pt>
                <c:pt idx="176">
                  <c:v>7.7193034235702624</c:v>
                </c:pt>
                <c:pt idx="177">
                  <c:v>9.9935509453923714</c:v>
                </c:pt>
                <c:pt idx="178">
                  <c:v>38.843813902279607</c:v>
                </c:pt>
                <c:pt idx="179">
                  <c:v>37.526749697314983</c:v>
                </c:pt>
                <c:pt idx="180">
                  <c:v>9.1255122290123261</c:v>
                </c:pt>
                <c:pt idx="181">
                  <c:v>35.351576775130354</c:v>
                </c:pt>
                <c:pt idx="182">
                  <c:v>36.43160767479543</c:v>
                </c:pt>
                <c:pt idx="183">
                  <c:v>30.146796840090502</c:v>
                </c:pt>
                <c:pt idx="184">
                  <c:v>28.888149626597212</c:v>
                </c:pt>
                <c:pt idx="185">
                  <c:v>36.047747494384126</c:v>
                </c:pt>
                <c:pt idx="186">
                  <c:v>28.79289672329114</c:v>
                </c:pt>
                <c:pt idx="187">
                  <c:v>37.098101429340204</c:v>
                </c:pt>
                <c:pt idx="188">
                  <c:v>38.265807406014744</c:v>
                </c:pt>
                <c:pt idx="189">
                  <c:v>37.53442813950295</c:v>
                </c:pt>
                <c:pt idx="190">
                  <c:v>37.090160003427663</c:v>
                </c:pt>
                <c:pt idx="191">
                  <c:v>35.778708618217031</c:v>
                </c:pt>
                <c:pt idx="192">
                  <c:v>35.596211184945737</c:v>
                </c:pt>
                <c:pt idx="193">
                  <c:v>35.451238873119692</c:v>
                </c:pt>
                <c:pt idx="194">
                  <c:v>34.824562079866595</c:v>
                </c:pt>
                <c:pt idx="195">
                  <c:v>33.716263692400325</c:v>
                </c:pt>
                <c:pt idx="196">
                  <c:v>34.94330807871917</c:v>
                </c:pt>
                <c:pt idx="197">
                  <c:v>34.255883428948948</c:v>
                </c:pt>
                <c:pt idx="198">
                  <c:v>34.183949153831918</c:v>
                </c:pt>
                <c:pt idx="199">
                  <c:v>26.536745760193764</c:v>
                </c:pt>
                <c:pt idx="200">
                  <c:v>25.971545146938766</c:v>
                </c:pt>
                <c:pt idx="201">
                  <c:v>33.907304190286794</c:v>
                </c:pt>
                <c:pt idx="202">
                  <c:v>26.910162563517066</c:v>
                </c:pt>
                <c:pt idx="203">
                  <c:v>31.499080624646751</c:v>
                </c:pt>
                <c:pt idx="204">
                  <c:v>34.033038576265767</c:v>
                </c:pt>
                <c:pt idx="205">
                  <c:v>19.173669212780396</c:v>
                </c:pt>
                <c:pt idx="206">
                  <c:v>35.288627521312122</c:v>
                </c:pt>
                <c:pt idx="207">
                  <c:v>37.045666566067993</c:v>
                </c:pt>
                <c:pt idx="208">
                  <c:v>29.891717017268508</c:v>
                </c:pt>
                <c:pt idx="209">
                  <c:v>19.061659279575149</c:v>
                </c:pt>
                <c:pt idx="210">
                  <c:v>30.459527077427534</c:v>
                </c:pt>
                <c:pt idx="211">
                  <c:v>35.493776701114108</c:v>
                </c:pt>
                <c:pt idx="212">
                  <c:v>35.390320211139105</c:v>
                </c:pt>
                <c:pt idx="213">
                  <c:v>35.282821033135853</c:v>
                </c:pt>
                <c:pt idx="214">
                  <c:v>32.919580898574083</c:v>
                </c:pt>
                <c:pt idx="215">
                  <c:v>32.362534709750385</c:v>
                </c:pt>
                <c:pt idx="216">
                  <c:v>29.379929854968829</c:v>
                </c:pt>
                <c:pt idx="217">
                  <c:v>31.881592202197428</c:v>
                </c:pt>
                <c:pt idx="218">
                  <c:v>34.158135692019165</c:v>
                </c:pt>
                <c:pt idx="219">
                  <c:v>34.794997554337158</c:v>
                </c:pt>
                <c:pt idx="220">
                  <c:v>32.740450504102192</c:v>
                </c:pt>
                <c:pt idx="221">
                  <c:v>31.501197135926457</c:v>
                </c:pt>
                <c:pt idx="222">
                  <c:v>29.411665267315595</c:v>
                </c:pt>
                <c:pt idx="223">
                  <c:v>30.669226160863687</c:v>
                </c:pt>
                <c:pt idx="224">
                  <c:v>22.070970100258101</c:v>
                </c:pt>
                <c:pt idx="225">
                  <c:v>23.359190918893681</c:v>
                </c:pt>
                <c:pt idx="226">
                  <c:v>22.320282103690957</c:v>
                </c:pt>
                <c:pt idx="227">
                  <c:v>22.07701299133792</c:v>
                </c:pt>
                <c:pt idx="228">
                  <c:v>17.535634093989373</c:v>
                </c:pt>
                <c:pt idx="229">
                  <c:v>26.015941124305314</c:v>
                </c:pt>
                <c:pt idx="230">
                  <c:v>26.224809032527091</c:v>
                </c:pt>
                <c:pt idx="231">
                  <c:v>32.547264573494665</c:v>
                </c:pt>
                <c:pt idx="232">
                  <c:v>20.400725772004034</c:v>
                </c:pt>
                <c:pt idx="233">
                  <c:v>16.914056428916147</c:v>
                </c:pt>
                <c:pt idx="234">
                  <c:v>30.288215249911129</c:v>
                </c:pt>
                <c:pt idx="235">
                  <c:v>29.762315114815106</c:v>
                </c:pt>
                <c:pt idx="236">
                  <c:v>21.946324009792995</c:v>
                </c:pt>
                <c:pt idx="237">
                  <c:v>26.708992771563288</c:v>
                </c:pt>
                <c:pt idx="238">
                  <c:v>32.310531034947722</c:v>
                </c:pt>
                <c:pt idx="239">
                  <c:v>31.259729563542276</c:v>
                </c:pt>
                <c:pt idx="240">
                  <c:v>21.426059914241762</c:v>
                </c:pt>
                <c:pt idx="241">
                  <c:v>30.886683327243698</c:v>
                </c:pt>
                <c:pt idx="242">
                  <c:v>14.472663926944206</c:v>
                </c:pt>
                <c:pt idx="243">
                  <c:v>27.294396842150906</c:v>
                </c:pt>
                <c:pt idx="244">
                  <c:v>26.913520007639505</c:v>
                </c:pt>
                <c:pt idx="245">
                  <c:v>26.144477175889484</c:v>
                </c:pt>
                <c:pt idx="246">
                  <c:v>28.9662322831309</c:v>
                </c:pt>
                <c:pt idx="247">
                  <c:v>25.675119864501344</c:v>
                </c:pt>
                <c:pt idx="248">
                  <c:v>29.35972337645843</c:v>
                </c:pt>
                <c:pt idx="249">
                  <c:v>22.300095916624478</c:v>
                </c:pt>
                <c:pt idx="250">
                  <c:v>24.6685809801509</c:v>
                </c:pt>
                <c:pt idx="251">
                  <c:v>13.754848113059177</c:v>
                </c:pt>
                <c:pt idx="252">
                  <c:v>29.482409914305251</c:v>
                </c:pt>
                <c:pt idx="253">
                  <c:v>29.371414473194211</c:v>
                </c:pt>
                <c:pt idx="254">
                  <c:v>20.620773114575179</c:v>
                </c:pt>
                <c:pt idx="255">
                  <c:v>7.7572158040865142</c:v>
                </c:pt>
                <c:pt idx="256">
                  <c:v>23.012723576736438</c:v>
                </c:pt>
                <c:pt idx="257">
                  <c:v>27.917048540371471</c:v>
                </c:pt>
                <c:pt idx="258">
                  <c:v>20.884943126435289</c:v>
                </c:pt>
                <c:pt idx="259">
                  <c:v>29.453961269190469</c:v>
                </c:pt>
                <c:pt idx="260">
                  <c:v>29.569464986429267</c:v>
                </c:pt>
                <c:pt idx="261">
                  <c:v>28.978503535076296</c:v>
                </c:pt>
                <c:pt idx="262">
                  <c:v>30.230061072308271</c:v>
                </c:pt>
                <c:pt idx="263">
                  <c:v>29.171013255932255</c:v>
                </c:pt>
                <c:pt idx="264">
                  <c:v>28.079944722309474</c:v>
                </c:pt>
                <c:pt idx="265">
                  <c:v>17.372314836960584</c:v>
                </c:pt>
                <c:pt idx="266">
                  <c:v>10.844023933765067</c:v>
                </c:pt>
                <c:pt idx="267">
                  <c:v>20.261453120193831</c:v>
                </c:pt>
                <c:pt idx="268">
                  <c:v>19.31278885490547</c:v>
                </c:pt>
                <c:pt idx="269">
                  <c:v>9.6927503480369914</c:v>
                </c:pt>
                <c:pt idx="270">
                  <c:v>10.97425639364884</c:v>
                </c:pt>
                <c:pt idx="271">
                  <c:v>14.935238899700915</c:v>
                </c:pt>
                <c:pt idx="272">
                  <c:v>18.618289632741163</c:v>
                </c:pt>
                <c:pt idx="273">
                  <c:v>23.858458291553291</c:v>
                </c:pt>
                <c:pt idx="274">
                  <c:v>25.047876836699913</c:v>
                </c:pt>
                <c:pt idx="275">
                  <c:v>23.141231586049219</c:v>
                </c:pt>
                <c:pt idx="276">
                  <c:v>25.881228108762578</c:v>
                </c:pt>
                <c:pt idx="277">
                  <c:v>26.013928006429051</c:v>
                </c:pt>
                <c:pt idx="278">
                  <c:v>8.5619551749974843</c:v>
                </c:pt>
                <c:pt idx="279">
                  <c:v>17.824024490327382</c:v>
                </c:pt>
                <c:pt idx="280">
                  <c:v>11.299705560285155</c:v>
                </c:pt>
                <c:pt idx="281">
                  <c:v>23.570391739159462</c:v>
                </c:pt>
                <c:pt idx="282">
                  <c:v>18.852089220626034</c:v>
                </c:pt>
                <c:pt idx="283">
                  <c:v>14.802929148784264</c:v>
                </c:pt>
                <c:pt idx="284">
                  <c:v>17.937378045636468</c:v>
                </c:pt>
                <c:pt idx="285">
                  <c:v>13.875195809653986</c:v>
                </c:pt>
                <c:pt idx="286">
                  <c:v>10.963988001292677</c:v>
                </c:pt>
                <c:pt idx="287">
                  <c:v>22.640361771286745</c:v>
                </c:pt>
                <c:pt idx="288">
                  <c:v>20.133942814939353</c:v>
                </c:pt>
                <c:pt idx="289">
                  <c:v>11.85092629015911</c:v>
                </c:pt>
                <c:pt idx="290">
                  <c:v>20.340846430599729</c:v>
                </c:pt>
                <c:pt idx="291">
                  <c:v>9.4959119896656556</c:v>
                </c:pt>
                <c:pt idx="292">
                  <c:v>4.6031871779382518</c:v>
                </c:pt>
                <c:pt idx="293">
                  <c:v>9.8779813862828778</c:v>
                </c:pt>
                <c:pt idx="294">
                  <c:v>19.252471906531675</c:v>
                </c:pt>
                <c:pt idx="295">
                  <c:v>12.469942921970512</c:v>
                </c:pt>
                <c:pt idx="296">
                  <c:v>15.200057913433975</c:v>
                </c:pt>
                <c:pt idx="297">
                  <c:v>13.207009573595775</c:v>
                </c:pt>
                <c:pt idx="298">
                  <c:v>8.8524770389237357</c:v>
                </c:pt>
                <c:pt idx="299">
                  <c:v>8.2017658185183588</c:v>
                </c:pt>
                <c:pt idx="300">
                  <c:v>10.757544489174522</c:v>
                </c:pt>
                <c:pt idx="301">
                  <c:v>15.627385422783904</c:v>
                </c:pt>
                <c:pt idx="302">
                  <c:v>13.118435298270873</c:v>
                </c:pt>
                <c:pt idx="303">
                  <c:v>12.434921900701807</c:v>
                </c:pt>
                <c:pt idx="304">
                  <c:v>13.269668015080994</c:v>
                </c:pt>
                <c:pt idx="305">
                  <c:v>15.373118851574718</c:v>
                </c:pt>
                <c:pt idx="306">
                  <c:v>5.7835630147856323</c:v>
                </c:pt>
                <c:pt idx="307">
                  <c:v>8.2755246945555587</c:v>
                </c:pt>
                <c:pt idx="308">
                  <c:v>16.986521017832569</c:v>
                </c:pt>
                <c:pt idx="309">
                  <c:v>16.17539934870112</c:v>
                </c:pt>
                <c:pt idx="310">
                  <c:v>15.526645067779008</c:v>
                </c:pt>
                <c:pt idx="311">
                  <c:v>11.31012465785677</c:v>
                </c:pt>
                <c:pt idx="312">
                  <c:v>6.2654628589737049</c:v>
                </c:pt>
                <c:pt idx="313">
                  <c:v>12.023125751965882</c:v>
                </c:pt>
                <c:pt idx="314">
                  <c:v>14.006884357265571</c:v>
                </c:pt>
                <c:pt idx="315">
                  <c:v>13.798229551543264</c:v>
                </c:pt>
                <c:pt idx="316">
                  <c:v>13.818828112225228</c:v>
                </c:pt>
                <c:pt idx="317">
                  <c:v>6.2113679140831017</c:v>
                </c:pt>
                <c:pt idx="318">
                  <c:v>7.6843861676411418</c:v>
                </c:pt>
                <c:pt idx="319">
                  <c:v>12.357496467405305</c:v>
                </c:pt>
                <c:pt idx="320">
                  <c:v>9.3262669843168204</c:v>
                </c:pt>
                <c:pt idx="321">
                  <c:v>7.7776243154915301</c:v>
                </c:pt>
                <c:pt idx="322">
                  <c:v>5.2866543886427619</c:v>
                </c:pt>
                <c:pt idx="323">
                  <c:v>10.079738195424408</c:v>
                </c:pt>
                <c:pt idx="324">
                  <c:v>1.9821399410089349</c:v>
                </c:pt>
                <c:pt idx="325">
                  <c:v>5.7420768438117742</c:v>
                </c:pt>
                <c:pt idx="326">
                  <c:v>7.6158392336284297</c:v>
                </c:pt>
                <c:pt idx="327">
                  <c:v>7.3787302846420229</c:v>
                </c:pt>
                <c:pt idx="328">
                  <c:v>3.1109340837310167</c:v>
                </c:pt>
                <c:pt idx="329">
                  <c:v>6.1490179425496914</c:v>
                </c:pt>
                <c:pt idx="330">
                  <c:v>8.464366935809517</c:v>
                </c:pt>
                <c:pt idx="331">
                  <c:v>5.6453541995042107</c:v>
                </c:pt>
                <c:pt idx="332">
                  <c:v>6.3111215959584399</c:v>
                </c:pt>
                <c:pt idx="333">
                  <c:v>2.345439673793547</c:v>
                </c:pt>
                <c:pt idx="334">
                  <c:v>2.1707189192118697</c:v>
                </c:pt>
                <c:pt idx="335">
                  <c:v>3.3540703409972763</c:v>
                </c:pt>
                <c:pt idx="336">
                  <c:v>5.8469043055854097</c:v>
                </c:pt>
                <c:pt idx="337">
                  <c:v>8.4113758474390341</c:v>
                </c:pt>
                <c:pt idx="338">
                  <c:v>9.7988208939690757</c:v>
                </c:pt>
                <c:pt idx="339">
                  <c:v>7.1054276558410132</c:v>
                </c:pt>
                <c:pt idx="340">
                  <c:v>8.2894536623045489</c:v>
                </c:pt>
                <c:pt idx="341">
                  <c:v>2.7285628009515182</c:v>
                </c:pt>
                <c:pt idx="342">
                  <c:v>3.8858231644138361</c:v>
                </c:pt>
                <c:pt idx="343">
                  <c:v>6.6916182103371185</c:v>
                </c:pt>
                <c:pt idx="344">
                  <c:v>7.8014468937786345</c:v>
                </c:pt>
                <c:pt idx="345">
                  <c:v>3.1431728612661285</c:v>
                </c:pt>
                <c:pt idx="346">
                  <c:v>3.1184992886149856</c:v>
                </c:pt>
                <c:pt idx="347">
                  <c:v>7.3466691864027132</c:v>
                </c:pt>
                <c:pt idx="348">
                  <c:v>3.6572668444363323</c:v>
                </c:pt>
                <c:pt idx="349">
                  <c:v>3.0558402472679647</c:v>
                </c:pt>
                <c:pt idx="350">
                  <c:v>1.7858725174870327</c:v>
                </c:pt>
                <c:pt idx="351">
                  <c:v>9.5256376360401678</c:v>
                </c:pt>
                <c:pt idx="352">
                  <c:v>9.5127461224003085</c:v>
                </c:pt>
                <c:pt idx="353">
                  <c:v>2.4539698616143268</c:v>
                </c:pt>
                <c:pt idx="354">
                  <c:v>8.6749287758251992</c:v>
                </c:pt>
                <c:pt idx="355">
                  <c:v>9.7776387836894614</c:v>
                </c:pt>
                <c:pt idx="356">
                  <c:v>9.6332706752213575</c:v>
                </c:pt>
                <c:pt idx="357">
                  <c:v>9.8452364447252823</c:v>
                </c:pt>
                <c:pt idx="358">
                  <c:v>5.8693367829489258</c:v>
                </c:pt>
                <c:pt idx="359">
                  <c:v>10.151789765395767</c:v>
                </c:pt>
                <c:pt idx="360">
                  <c:v>3.933541206019302</c:v>
                </c:pt>
                <c:pt idx="361">
                  <c:v>10.691636043205264</c:v>
                </c:pt>
                <c:pt idx="362">
                  <c:v>6.1021175777621588</c:v>
                </c:pt>
                <c:pt idx="363">
                  <c:v>7.7795094300996057</c:v>
                </c:pt>
                <c:pt idx="364">
                  <c:v>7.3140561500943413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724864"/>
        <c:axId val="327725256"/>
      </c:lineChart>
      <c:dateAx>
        <c:axId val="327724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7725256"/>
        <c:crosses val="autoZero"/>
        <c:auto val="1"/>
        <c:lblOffset val="100"/>
        <c:baseTimeUnit val="days"/>
        <c:majorUnit val="1"/>
        <c:majorTimeUnit val="months"/>
      </c:dateAx>
      <c:valAx>
        <c:axId val="32772525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772486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Donneville</c:v>
            </c:pt>
          </c:strCache>
        </c:strRef>
      </c:tx>
      <c:layout>
        <c:manualLayout>
          <c:xMode val="edge"/>
          <c:yMode val="edge"/>
          <c:x val="3.4226754442579915E-2"/>
          <c:y val="4.415144704265463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1"/>
          <c:order val="0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-140</c:v>
                </c:pt>
                <c:pt idx="1">
                  <c:v>-80.162912743489144</c:v>
                </c:pt>
                <c:pt idx="2">
                  <c:v>-60.963284061288988</c:v>
                </c:pt>
                <c:pt idx="3">
                  <c:v>-44.438294667433176</c:v>
                </c:pt>
                <c:pt idx="4">
                  <c:v>-29.800239520792541</c:v>
                </c:pt>
                <c:pt idx="5">
                  <c:v>-16.869167076665256</c:v>
                </c:pt>
                <c:pt idx="6">
                  <c:v>1.2552843254505974</c:v>
                </c:pt>
                <c:pt idx="7">
                  <c:v>11.598331613072679</c:v>
                </c:pt>
                <c:pt idx="8">
                  <c:v>32.198452337685829</c:v>
                </c:pt>
                <c:pt idx="9">
                  <c:v>43.102696962843638</c:v>
                </c:pt>
                <c:pt idx="10">
                  <c:v>52.102696962843638</c:v>
                </c:pt>
                <c:pt idx="11">
                  <c:v>66.481507957154292</c:v>
                </c:pt>
                <c:pt idx="12">
                  <c:v>79.86019132591089</c:v>
                </c:pt>
                <c:pt idx="13">
                  <c:v>87.361191325910895</c:v>
                </c:pt>
                <c:pt idx="14">
                  <c:v>100</c:v>
                </c:pt>
                <c:pt idx="15">
                  <c:v>130</c:v>
                </c:pt>
                <c:pt idx="16">
                  <c:v>220</c:v>
                </c:pt>
                <c:pt idx="17">
                  <c:v>220</c:v>
                </c:pt>
                <c:pt idx="18">
                  <c:v>220</c:v>
                </c:pt>
                <c:pt idx="19">
                  <c:v>220</c:v>
                </c:pt>
                <c:pt idx="20">
                  <c:v>220</c:v>
                </c:pt>
                <c:pt idx="21">
                  <c:v>220</c:v>
                </c:pt>
                <c:pt idx="22">
                  <c:v>220</c:v>
                </c:pt>
                <c:pt idx="23">
                  <c:v>220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-4.069883743014147</c:v>
                </c:pt>
                <c:pt idx="2">
                  <c:v>5.1723250398043916</c:v>
                </c:pt>
                <c:pt idx="3">
                  <c:v>-2.3997603201254507</c:v>
                </c:pt>
                <c:pt idx="4">
                  <c:v>-2.3635639657481327</c:v>
                </c:pt>
                <c:pt idx="5">
                  <c:v>-1.9301491534332882</c:v>
                </c:pt>
                <c:pt idx="6">
                  <c:v>-5.9179956014372168</c:v>
                </c:pt>
                <c:pt idx="7">
                  <c:v>-3.1927948141189955</c:v>
                </c:pt>
                <c:pt idx="8">
                  <c:v>15.668811174107617</c:v>
                </c:pt>
                <c:pt idx="9">
                  <c:v>15.17626741264084</c:v>
                </c:pt>
                <c:pt idx="10">
                  <c:v>8.9263904013394715</c:v>
                </c:pt>
                <c:pt idx="11">
                  <c:v>-10.326114117843131</c:v>
                </c:pt>
                <c:pt idx="12">
                  <c:v>-16.868732191520255</c:v>
                </c:pt>
                <c:pt idx="13">
                  <c:v>-19.844890597651503</c:v>
                </c:pt>
                <c:pt idx="14">
                  <c:v>-1.662728935994682</c:v>
                </c:pt>
                <c:pt idx="15">
                  <c:v>1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-140</c:v>
                </c:pt>
                <c:pt idx="1">
                  <c:v>-80.162912743489144</c:v>
                </c:pt>
                <c:pt idx="2">
                  <c:v>-60.963284061288988</c:v>
                </c:pt>
                <c:pt idx="3">
                  <c:v>-44.438294667433176</c:v>
                </c:pt>
                <c:pt idx="4">
                  <c:v>-29.800239520792541</c:v>
                </c:pt>
                <c:pt idx="5">
                  <c:v>-16.869167076665256</c:v>
                </c:pt>
                <c:pt idx="6">
                  <c:v>1.2552843254505974</c:v>
                </c:pt>
                <c:pt idx="7">
                  <c:v>11.598331613072679</c:v>
                </c:pt>
                <c:pt idx="8">
                  <c:v>32.198452337685829</c:v>
                </c:pt>
                <c:pt idx="9">
                  <c:v>43.102696962843638</c:v>
                </c:pt>
                <c:pt idx="10">
                  <c:v>52.102696962843638</c:v>
                </c:pt>
                <c:pt idx="11">
                  <c:v>66.481507957154292</c:v>
                </c:pt>
                <c:pt idx="12">
                  <c:v>79.86019132591089</c:v>
                </c:pt>
                <c:pt idx="13">
                  <c:v>87.361191325910895</c:v>
                </c:pt>
                <c:pt idx="14">
                  <c:v>100</c:v>
                </c:pt>
                <c:pt idx="15">
                  <c:v>130</c:v>
                </c:pt>
                <c:pt idx="16">
                  <c:v>220</c:v>
                </c:pt>
                <c:pt idx="17">
                  <c:v>220</c:v>
                </c:pt>
                <c:pt idx="18">
                  <c:v>220</c:v>
                </c:pt>
                <c:pt idx="19">
                  <c:v>220</c:v>
                </c:pt>
                <c:pt idx="20">
                  <c:v>220</c:v>
                </c:pt>
                <c:pt idx="21">
                  <c:v>220</c:v>
                </c:pt>
                <c:pt idx="22">
                  <c:v>220</c:v>
                </c:pt>
                <c:pt idx="23">
                  <c:v>220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-1.8412159403666002</c:v>
                </c:pt>
                <c:pt idx="2">
                  <c:v>7.446335902207613</c:v>
                </c:pt>
                <c:pt idx="3">
                  <c:v>8.1205929924177064E-2</c:v>
                </c:pt>
                <c:pt idx="4">
                  <c:v>-0.13334435182003923</c:v>
                </c:pt>
                <c:pt idx="5">
                  <c:v>0.131961955396285</c:v>
                </c:pt>
                <c:pt idx="6">
                  <c:v>-3.0834602707319512</c:v>
                </c:pt>
                <c:pt idx="7">
                  <c:v>-1.1535219852173411</c:v>
                </c:pt>
                <c:pt idx="8">
                  <c:v>19.605363290211631</c:v>
                </c:pt>
                <c:pt idx="9">
                  <c:v>19.004147173793513</c:v>
                </c:pt>
                <c:pt idx="10">
                  <c:v>10.418914685720289</c:v>
                </c:pt>
                <c:pt idx="11">
                  <c:v>-8.2985720499153697</c:v>
                </c:pt>
                <c:pt idx="12">
                  <c:v>-14.012148703890349</c:v>
                </c:pt>
                <c:pt idx="13">
                  <c:v>-16.411367511499638</c:v>
                </c:pt>
                <c:pt idx="14">
                  <c:v>-1.662728935994682</c:v>
                </c:pt>
                <c:pt idx="15">
                  <c:v>1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-140</c:v>
                </c:pt>
                <c:pt idx="1">
                  <c:v>-80.162912743489144</c:v>
                </c:pt>
                <c:pt idx="2">
                  <c:v>-60.963284061288988</c:v>
                </c:pt>
                <c:pt idx="3">
                  <c:v>-44.438294667433176</c:v>
                </c:pt>
                <c:pt idx="4">
                  <c:v>-29.800239520792541</c:v>
                </c:pt>
                <c:pt idx="5">
                  <c:v>-16.869167076665256</c:v>
                </c:pt>
                <c:pt idx="6">
                  <c:v>1.2552843254505974</c:v>
                </c:pt>
                <c:pt idx="7">
                  <c:v>11.598331613072679</c:v>
                </c:pt>
                <c:pt idx="8">
                  <c:v>32.198452337685829</c:v>
                </c:pt>
                <c:pt idx="9">
                  <c:v>43.102696962843638</c:v>
                </c:pt>
                <c:pt idx="10">
                  <c:v>52.102696962843638</c:v>
                </c:pt>
                <c:pt idx="11">
                  <c:v>66.481507957154292</c:v>
                </c:pt>
                <c:pt idx="12">
                  <c:v>79.86019132591089</c:v>
                </c:pt>
                <c:pt idx="13">
                  <c:v>87.361191325910895</c:v>
                </c:pt>
                <c:pt idx="14">
                  <c:v>100</c:v>
                </c:pt>
                <c:pt idx="15">
                  <c:v>130</c:v>
                </c:pt>
                <c:pt idx="16">
                  <c:v>220</c:v>
                </c:pt>
                <c:pt idx="17">
                  <c:v>220</c:v>
                </c:pt>
                <c:pt idx="18">
                  <c:v>220</c:v>
                </c:pt>
                <c:pt idx="19">
                  <c:v>220</c:v>
                </c:pt>
                <c:pt idx="20">
                  <c:v>220</c:v>
                </c:pt>
                <c:pt idx="21">
                  <c:v>220</c:v>
                </c:pt>
                <c:pt idx="22">
                  <c:v>220</c:v>
                </c:pt>
                <c:pt idx="23">
                  <c:v>220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0.39303652540146727</c:v>
                </c:pt>
                <c:pt idx="2">
                  <c:v>9.6970088848450615</c:v>
                </c:pt>
                <c:pt idx="3">
                  <c:v>2.5618678884927464</c:v>
                </c:pt>
                <c:pt idx="4">
                  <c:v>2.0972792000658704</c:v>
                </c:pt>
                <c:pt idx="5">
                  <c:v>2.1937314004725432</c:v>
                </c:pt>
                <c:pt idx="6">
                  <c:v>-0.23374852430203569</c:v>
                </c:pt>
                <c:pt idx="7">
                  <c:v>0.88867674022587639</c:v>
                </c:pt>
                <c:pt idx="8">
                  <c:v>23.35849541397349</c:v>
                </c:pt>
                <c:pt idx="9">
                  <c:v>22.663849574748529</c:v>
                </c:pt>
                <c:pt idx="10">
                  <c:v>11.897279816274791</c:v>
                </c:pt>
                <c:pt idx="11">
                  <c:v>-6.2498901695156466</c:v>
                </c:pt>
                <c:pt idx="12">
                  <c:v>-11.082731983078538</c:v>
                </c:pt>
                <c:pt idx="13">
                  <c:v>-12.852366176392488</c:v>
                </c:pt>
                <c:pt idx="14">
                  <c:v>-1.662728935994682</c:v>
                </c:pt>
                <c:pt idx="15">
                  <c:v>1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-140</c:v>
                </c:pt>
                <c:pt idx="1">
                  <c:v>-80.162912743489144</c:v>
                </c:pt>
                <c:pt idx="2">
                  <c:v>-60.963284061288988</c:v>
                </c:pt>
                <c:pt idx="3">
                  <c:v>-44.438294667433176</c:v>
                </c:pt>
                <c:pt idx="4">
                  <c:v>-29.800239520792541</c:v>
                </c:pt>
                <c:pt idx="5">
                  <c:v>-16.869167076665256</c:v>
                </c:pt>
                <c:pt idx="6">
                  <c:v>1.2552843254505974</c:v>
                </c:pt>
                <c:pt idx="7">
                  <c:v>11.598331613072679</c:v>
                </c:pt>
                <c:pt idx="8">
                  <c:v>32.198452337685829</c:v>
                </c:pt>
                <c:pt idx="9">
                  <c:v>43.102696962843638</c:v>
                </c:pt>
                <c:pt idx="10">
                  <c:v>52.102696962843638</c:v>
                </c:pt>
                <c:pt idx="11">
                  <c:v>66.481507957154292</c:v>
                </c:pt>
                <c:pt idx="12">
                  <c:v>79.86019132591089</c:v>
                </c:pt>
                <c:pt idx="13">
                  <c:v>87.361191325910895</c:v>
                </c:pt>
                <c:pt idx="14">
                  <c:v>100</c:v>
                </c:pt>
                <c:pt idx="15">
                  <c:v>130</c:v>
                </c:pt>
                <c:pt idx="16">
                  <c:v>220</c:v>
                </c:pt>
                <c:pt idx="17">
                  <c:v>220</c:v>
                </c:pt>
                <c:pt idx="18">
                  <c:v>220</c:v>
                </c:pt>
                <c:pt idx="19">
                  <c:v>220</c:v>
                </c:pt>
                <c:pt idx="20">
                  <c:v>220</c:v>
                </c:pt>
                <c:pt idx="21">
                  <c:v>220</c:v>
                </c:pt>
                <c:pt idx="22">
                  <c:v>220</c:v>
                </c:pt>
                <c:pt idx="23">
                  <c:v>220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2.6260949020192612</c:v>
                </c:pt>
                <c:pt idx="2">
                  <c:v>11.917882104652698</c:v>
                </c:pt>
                <c:pt idx="3">
                  <c:v>5.0329619268966947</c:v>
                </c:pt>
                <c:pt idx="4">
                  <c:v>4.321563576100707</c:v>
                </c:pt>
                <c:pt idx="5">
                  <c:v>4.2498348193219293</c:v>
                </c:pt>
                <c:pt idx="6">
                  <c:v>2.6171192165348889</c:v>
                </c:pt>
                <c:pt idx="7">
                  <c:v>2.928620728637219</c:v>
                </c:pt>
                <c:pt idx="8">
                  <c:v>26.910904106094108</c:v>
                </c:pt>
                <c:pt idx="9">
                  <c:v>26.138444641385725</c:v>
                </c:pt>
                <c:pt idx="10">
                  <c:v>13.359748112467502</c:v>
                </c:pt>
                <c:pt idx="11">
                  <c:v>-4.18504386887283</c:v>
                </c:pt>
                <c:pt idx="12">
                  <c:v>-8.093494611636407</c:v>
                </c:pt>
                <c:pt idx="13">
                  <c:v>-9.1896857766844064</c:v>
                </c:pt>
                <c:pt idx="14">
                  <c:v>-1.662728935994682</c:v>
                </c:pt>
                <c:pt idx="15">
                  <c:v>1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-140</c:v>
                </c:pt>
                <c:pt idx="1">
                  <c:v>-80.162912743489144</c:v>
                </c:pt>
                <c:pt idx="2">
                  <c:v>-60.963284061288988</c:v>
                </c:pt>
                <c:pt idx="3">
                  <c:v>-44.438294667433176</c:v>
                </c:pt>
                <c:pt idx="4">
                  <c:v>-29.800239520792541</c:v>
                </c:pt>
                <c:pt idx="5">
                  <c:v>-16.869167076665256</c:v>
                </c:pt>
                <c:pt idx="6">
                  <c:v>1.2552843254505974</c:v>
                </c:pt>
                <c:pt idx="7">
                  <c:v>11.598331613072679</c:v>
                </c:pt>
                <c:pt idx="8">
                  <c:v>32.198452337685829</c:v>
                </c:pt>
                <c:pt idx="9">
                  <c:v>43.102696962843638</c:v>
                </c:pt>
                <c:pt idx="10">
                  <c:v>52.102696962843638</c:v>
                </c:pt>
                <c:pt idx="11">
                  <c:v>66.481507957154292</c:v>
                </c:pt>
                <c:pt idx="12">
                  <c:v>79.86019132591089</c:v>
                </c:pt>
                <c:pt idx="13">
                  <c:v>87.361191325910895</c:v>
                </c:pt>
                <c:pt idx="14">
                  <c:v>100</c:v>
                </c:pt>
                <c:pt idx="15">
                  <c:v>130</c:v>
                </c:pt>
                <c:pt idx="16">
                  <c:v>220</c:v>
                </c:pt>
                <c:pt idx="17">
                  <c:v>220</c:v>
                </c:pt>
                <c:pt idx="18">
                  <c:v>220</c:v>
                </c:pt>
                <c:pt idx="19">
                  <c:v>220</c:v>
                </c:pt>
                <c:pt idx="20">
                  <c:v>220</c:v>
                </c:pt>
                <c:pt idx="21">
                  <c:v>220</c:v>
                </c:pt>
                <c:pt idx="22">
                  <c:v>220</c:v>
                </c:pt>
                <c:pt idx="23">
                  <c:v>220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4.8512021037910023</c:v>
                </c:pt>
                <c:pt idx="2">
                  <c:v>14.103019823095277</c:v>
                </c:pt>
                <c:pt idx="3">
                  <c:v>7.4854370641780683</c:v>
                </c:pt>
                <c:pt idx="4">
                  <c:v>6.532879905186042</c:v>
                </c:pt>
                <c:pt idx="5">
                  <c:v>6.295035147479199</c:v>
                </c:pt>
                <c:pt idx="6">
                  <c:v>5.4550884822265306</c:v>
                </c:pt>
                <c:pt idx="7">
                  <c:v>4.9611635295562815</c:v>
                </c:pt>
                <c:pt idx="8">
                  <c:v>30.25320295978047</c:v>
                </c:pt>
                <c:pt idx="9">
                  <c:v>29.418067350897765</c:v>
                </c:pt>
                <c:pt idx="10">
                  <c:v>14.804701725105724</c:v>
                </c:pt>
                <c:pt idx="11">
                  <c:v>-2.1092544759006349</c:v>
                </c:pt>
                <c:pt idx="12">
                  <c:v>-5.0592761265956439</c:v>
                </c:pt>
                <c:pt idx="13">
                  <c:v>-5.4497568476769516</c:v>
                </c:pt>
                <c:pt idx="14">
                  <c:v>-1.662728935994682</c:v>
                </c:pt>
                <c:pt idx="15">
                  <c:v>1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6"/>
          <c:order val="5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-140</c:v>
                </c:pt>
                <c:pt idx="1">
                  <c:v>-80.162912743489144</c:v>
                </c:pt>
                <c:pt idx="2">
                  <c:v>-60.963284061288988</c:v>
                </c:pt>
                <c:pt idx="3">
                  <c:v>-44.438294667433176</c:v>
                </c:pt>
                <c:pt idx="4">
                  <c:v>-29.800239520792541</c:v>
                </c:pt>
                <c:pt idx="5">
                  <c:v>-16.869167076665256</c:v>
                </c:pt>
                <c:pt idx="6">
                  <c:v>1.2552843254505974</c:v>
                </c:pt>
                <c:pt idx="7">
                  <c:v>11.598331613072679</c:v>
                </c:pt>
                <c:pt idx="8">
                  <c:v>32.198452337685829</c:v>
                </c:pt>
                <c:pt idx="9">
                  <c:v>43.102696962843638</c:v>
                </c:pt>
                <c:pt idx="10">
                  <c:v>52.102696962843638</c:v>
                </c:pt>
                <c:pt idx="11">
                  <c:v>66.481507957154292</c:v>
                </c:pt>
                <c:pt idx="12">
                  <c:v>79.86019132591089</c:v>
                </c:pt>
                <c:pt idx="13">
                  <c:v>87.361191325910895</c:v>
                </c:pt>
                <c:pt idx="14">
                  <c:v>100</c:v>
                </c:pt>
                <c:pt idx="15">
                  <c:v>130</c:v>
                </c:pt>
                <c:pt idx="16">
                  <c:v>220</c:v>
                </c:pt>
                <c:pt idx="17">
                  <c:v>220</c:v>
                </c:pt>
                <c:pt idx="18">
                  <c:v>220</c:v>
                </c:pt>
                <c:pt idx="19">
                  <c:v>220</c:v>
                </c:pt>
                <c:pt idx="20">
                  <c:v>220</c:v>
                </c:pt>
                <c:pt idx="21">
                  <c:v>220</c:v>
                </c:pt>
                <c:pt idx="22">
                  <c:v>220</c:v>
                </c:pt>
                <c:pt idx="23">
                  <c:v>220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7.0617444391259214</c:v>
                </c:pt>
                <c:pt idx="2">
                  <c:v>16.247089411564339</c:v>
                </c:pt>
                <c:pt idx="3">
                  <c:v>9.910649135193637</c:v>
                </c:pt>
                <c:pt idx="4">
                  <c:v>8.724830010397973</c:v>
                </c:pt>
                <c:pt idx="5">
                  <c:v>8.3242612947347165</c:v>
                </c:pt>
                <c:pt idx="6">
                  <c:v>8.2664823916859849</c:v>
                </c:pt>
                <c:pt idx="7">
                  <c:v>6.9812701082195465</c:v>
                </c:pt>
                <c:pt idx="8">
                  <c:v>33.382768341594378</c:v>
                </c:pt>
                <c:pt idx="9">
                  <c:v>32.499007118819094</c:v>
                </c:pt>
                <c:pt idx="10">
                  <c:v>16.230650241209151</c:v>
                </c:pt>
                <c:pt idx="11">
                  <c:v>-2.7913126713465113E-2</c:v>
                </c:pt>
                <c:pt idx="12">
                  <c:v>-1.9963646824236045</c:v>
                </c:pt>
                <c:pt idx="13">
                  <c:v>-1.662728935994682</c:v>
                </c:pt>
                <c:pt idx="14">
                  <c:v>-1.662728935994682</c:v>
                </c:pt>
                <c:pt idx="15">
                  <c:v>1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7"/>
          <c:order val="6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-140</c:v>
                </c:pt>
                <c:pt idx="1">
                  <c:v>-80.162912743489144</c:v>
                </c:pt>
                <c:pt idx="2">
                  <c:v>-60.963284061288988</c:v>
                </c:pt>
                <c:pt idx="3">
                  <c:v>-44.438294667433176</c:v>
                </c:pt>
                <c:pt idx="4">
                  <c:v>-29.800239520792541</c:v>
                </c:pt>
                <c:pt idx="5">
                  <c:v>-16.869167076665256</c:v>
                </c:pt>
                <c:pt idx="6">
                  <c:v>1.2552843254505974</c:v>
                </c:pt>
                <c:pt idx="7">
                  <c:v>11.598331613072679</c:v>
                </c:pt>
                <c:pt idx="8">
                  <c:v>32.198452337685829</c:v>
                </c:pt>
                <c:pt idx="9">
                  <c:v>43.102696962843638</c:v>
                </c:pt>
                <c:pt idx="10">
                  <c:v>52.102696962843638</c:v>
                </c:pt>
                <c:pt idx="11">
                  <c:v>66.481507957154292</c:v>
                </c:pt>
                <c:pt idx="12">
                  <c:v>79.86019132591089</c:v>
                </c:pt>
                <c:pt idx="13">
                  <c:v>87.361191325910895</c:v>
                </c:pt>
                <c:pt idx="14">
                  <c:v>100</c:v>
                </c:pt>
                <c:pt idx="15">
                  <c:v>130</c:v>
                </c:pt>
                <c:pt idx="16">
                  <c:v>220</c:v>
                </c:pt>
                <c:pt idx="17">
                  <c:v>220</c:v>
                </c:pt>
                <c:pt idx="18">
                  <c:v>220</c:v>
                </c:pt>
                <c:pt idx="19">
                  <c:v>220</c:v>
                </c:pt>
                <c:pt idx="20">
                  <c:v>220</c:v>
                </c:pt>
                <c:pt idx="21">
                  <c:v>220</c:v>
                </c:pt>
                <c:pt idx="22">
                  <c:v>220</c:v>
                </c:pt>
                <c:pt idx="23">
                  <c:v>220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9.2513669388369042</c:v>
                </c:pt>
                <c:pt idx="2">
                  <c:v>18.345414649180142</c:v>
                </c:pt>
                <c:pt idx="3">
                  <c:v>12.300533161076734</c:v>
                </c:pt>
                <c:pt idx="4">
                  <c:v>10.891352752510764</c:v>
                </c:pt>
                <c:pt idx="5">
                  <c:v>10.33268059042916</c:v>
                </c:pt>
                <c:pt idx="6">
                  <c:v>11.038386061378324</c:v>
                </c:pt>
                <c:pt idx="7">
                  <c:v>8.9840899255086253</c:v>
                </c:pt>
                <c:pt idx="8">
                  <c:v>36.302361742640819</c:v>
                </c:pt>
                <c:pt idx="9">
                  <c:v>35.38256888447485</c:v>
                </c:pt>
                <c:pt idx="10">
                  <c:v>17.63623617081015</c:v>
                </c:pt>
                <c:pt idx="11">
                  <c:v>2.0535018608485966</c:v>
                </c:pt>
                <c:pt idx="12">
                  <c:v>1.0779932956460401</c:v>
                </c:pt>
                <c:pt idx="13">
                  <c:v>2.1388655511113539</c:v>
                </c:pt>
                <c:pt idx="14">
                  <c:v>-1.662728935994682</c:v>
                </c:pt>
                <c:pt idx="15">
                  <c:v>1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8"/>
          <c:order val="7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-140</c:v>
                </c:pt>
                <c:pt idx="1">
                  <c:v>-80.162912743489144</c:v>
                </c:pt>
                <c:pt idx="2">
                  <c:v>-60.963284061288988</c:v>
                </c:pt>
                <c:pt idx="3">
                  <c:v>-44.438294667433176</c:v>
                </c:pt>
                <c:pt idx="4">
                  <c:v>-29.800239520792541</c:v>
                </c:pt>
                <c:pt idx="5">
                  <c:v>-16.869167076665256</c:v>
                </c:pt>
                <c:pt idx="6">
                  <c:v>1.2552843254505974</c:v>
                </c:pt>
                <c:pt idx="7">
                  <c:v>11.598331613072679</c:v>
                </c:pt>
                <c:pt idx="8">
                  <c:v>32.198452337685829</c:v>
                </c:pt>
                <c:pt idx="9">
                  <c:v>43.102696962843638</c:v>
                </c:pt>
                <c:pt idx="10">
                  <c:v>52.102696962843638</c:v>
                </c:pt>
                <c:pt idx="11">
                  <c:v>66.481507957154292</c:v>
                </c:pt>
                <c:pt idx="12">
                  <c:v>79.86019132591089</c:v>
                </c:pt>
                <c:pt idx="13">
                  <c:v>87.361191325910895</c:v>
                </c:pt>
                <c:pt idx="14">
                  <c:v>100</c:v>
                </c:pt>
                <c:pt idx="15">
                  <c:v>130</c:v>
                </c:pt>
                <c:pt idx="16">
                  <c:v>220</c:v>
                </c:pt>
                <c:pt idx="17">
                  <c:v>220</c:v>
                </c:pt>
                <c:pt idx="18">
                  <c:v>220</c:v>
                </c:pt>
                <c:pt idx="19">
                  <c:v>220</c:v>
                </c:pt>
                <c:pt idx="20">
                  <c:v>220</c:v>
                </c:pt>
                <c:pt idx="21">
                  <c:v>220</c:v>
                </c:pt>
                <c:pt idx="22">
                  <c:v>220</c:v>
                </c:pt>
                <c:pt idx="23">
                  <c:v>220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11.414077387540338</c:v>
                </c:pt>
                <c:pt idx="2">
                  <c:v>20.39400540107885</c:v>
                </c:pt>
                <c:pt idx="3">
                  <c:v>14.647745932185986</c:v>
                </c:pt>
                <c:pt idx="4">
                  <c:v>13.026816069678523</c:v>
                </c:pt>
                <c:pt idx="5">
                  <c:v>12.315762531244086</c:v>
                </c:pt>
                <c:pt idx="6">
                  <c:v>13.758977677407088</c:v>
                </c:pt>
                <c:pt idx="7">
                  <c:v>10.965023285127069</c:v>
                </c:pt>
                <c:pt idx="8">
                  <c:v>39.018745810023084</c:v>
                </c:pt>
                <c:pt idx="9">
                  <c:v>38.073890608786868</c:v>
                </c:pt>
                <c:pt idx="10">
                  <c:v>19.020238363045639</c:v>
                </c:pt>
                <c:pt idx="11">
                  <c:v>4.129511007935835</c:v>
                </c:pt>
                <c:pt idx="12">
                  <c:v>4.1461615729972294</c:v>
                </c:pt>
                <c:pt idx="13">
                  <c:v>5.9217392818715764</c:v>
                </c:pt>
                <c:pt idx="14">
                  <c:v>-1.662728935994682</c:v>
                </c:pt>
                <c:pt idx="15">
                  <c:v>1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9"/>
          <c:order val="8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-140</c:v>
                </c:pt>
                <c:pt idx="1">
                  <c:v>-80.162912743489144</c:v>
                </c:pt>
                <c:pt idx="2">
                  <c:v>-60.963284061288988</c:v>
                </c:pt>
                <c:pt idx="3">
                  <c:v>-44.438294667433176</c:v>
                </c:pt>
                <c:pt idx="4">
                  <c:v>-29.800239520792541</c:v>
                </c:pt>
                <c:pt idx="5">
                  <c:v>-16.869167076665256</c:v>
                </c:pt>
                <c:pt idx="6">
                  <c:v>1.2552843254505974</c:v>
                </c:pt>
                <c:pt idx="7">
                  <c:v>11.598331613072679</c:v>
                </c:pt>
                <c:pt idx="8">
                  <c:v>32.198452337685829</c:v>
                </c:pt>
                <c:pt idx="9">
                  <c:v>43.102696962843638</c:v>
                </c:pt>
                <c:pt idx="10">
                  <c:v>52.102696962843638</c:v>
                </c:pt>
                <c:pt idx="11">
                  <c:v>66.481507957154292</c:v>
                </c:pt>
                <c:pt idx="12">
                  <c:v>79.86019132591089</c:v>
                </c:pt>
                <c:pt idx="13">
                  <c:v>87.361191325910895</c:v>
                </c:pt>
                <c:pt idx="14">
                  <c:v>100</c:v>
                </c:pt>
                <c:pt idx="15">
                  <c:v>130</c:v>
                </c:pt>
                <c:pt idx="16">
                  <c:v>220</c:v>
                </c:pt>
                <c:pt idx="17">
                  <c:v>220</c:v>
                </c:pt>
                <c:pt idx="18">
                  <c:v>220</c:v>
                </c:pt>
                <c:pt idx="19">
                  <c:v>220</c:v>
                </c:pt>
                <c:pt idx="20">
                  <c:v>220</c:v>
                </c:pt>
                <c:pt idx="21">
                  <c:v>220</c:v>
                </c:pt>
                <c:pt idx="22">
                  <c:v>220</c:v>
                </c:pt>
                <c:pt idx="23">
                  <c:v>220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13.544335063252534</c:v>
                </c:pt>
                <c:pt idx="2">
                  <c:v>22.389565105693247</c:v>
                </c:pt>
                <c:pt idx="3">
                  <c:v>16.945773571114444</c:v>
                </c:pt>
                <c:pt idx="4">
                  <c:v>15.126091619142516</c:v>
                </c:pt>
                <c:pt idx="5">
                  <c:v>14.269331942340251</c:v>
                </c:pt>
                <c:pt idx="6">
                  <c:v>16.417786896589224</c:v>
                </c:pt>
                <c:pt idx="7">
                  <c:v>12.91977881803737</c:v>
                </c:pt>
                <c:pt idx="8">
                  <c:v>41.541434311505157</c:v>
                </c:pt>
                <c:pt idx="9">
                  <c:v>40.580844284644598</c:v>
                </c:pt>
                <c:pt idx="10">
                  <c:v>20.381573450102309</c:v>
                </c:pt>
                <c:pt idx="11">
                  <c:v>6.1947197408685186</c:v>
                </c:pt>
                <c:pt idx="12">
                  <c:v>7.190715239396142</c:v>
                </c:pt>
                <c:pt idx="13">
                  <c:v>9.6535735803300255</c:v>
                </c:pt>
                <c:pt idx="14">
                  <c:v>-1.662728935994682</c:v>
                </c:pt>
                <c:pt idx="15">
                  <c:v>1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0"/>
          <c:order val="9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-140</c:v>
                </c:pt>
                <c:pt idx="1">
                  <c:v>-80.162912743489144</c:v>
                </c:pt>
                <c:pt idx="2">
                  <c:v>-60.963284061288988</c:v>
                </c:pt>
                <c:pt idx="3">
                  <c:v>-44.438294667433176</c:v>
                </c:pt>
                <c:pt idx="4">
                  <c:v>-29.800239520792541</c:v>
                </c:pt>
                <c:pt idx="5">
                  <c:v>-16.869167076665256</c:v>
                </c:pt>
                <c:pt idx="6">
                  <c:v>1.2552843254505974</c:v>
                </c:pt>
                <c:pt idx="7">
                  <c:v>11.598331613072679</c:v>
                </c:pt>
                <c:pt idx="8">
                  <c:v>32.198452337685829</c:v>
                </c:pt>
                <c:pt idx="9">
                  <c:v>43.102696962843638</c:v>
                </c:pt>
                <c:pt idx="10">
                  <c:v>52.102696962843638</c:v>
                </c:pt>
                <c:pt idx="11">
                  <c:v>66.481507957154292</c:v>
                </c:pt>
                <c:pt idx="12">
                  <c:v>79.86019132591089</c:v>
                </c:pt>
                <c:pt idx="13">
                  <c:v>87.361191325910895</c:v>
                </c:pt>
                <c:pt idx="14">
                  <c:v>100</c:v>
                </c:pt>
                <c:pt idx="15">
                  <c:v>130</c:v>
                </c:pt>
                <c:pt idx="16">
                  <c:v>220</c:v>
                </c:pt>
                <c:pt idx="17">
                  <c:v>220</c:v>
                </c:pt>
                <c:pt idx="18">
                  <c:v>220</c:v>
                </c:pt>
                <c:pt idx="19">
                  <c:v>220</c:v>
                </c:pt>
                <c:pt idx="20">
                  <c:v>220</c:v>
                </c:pt>
                <c:pt idx="21">
                  <c:v>220</c:v>
                </c:pt>
                <c:pt idx="22">
                  <c:v>220</c:v>
                </c:pt>
                <c:pt idx="23">
                  <c:v>220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15.637121356287093</c:v>
                </c:pt>
                <c:pt idx="2">
                  <c:v>24.329478568927637</c:v>
                </c:pt>
                <c:pt idx="3">
                  <c:v>19.189001833304488</c:v>
                </c:pt>
                <c:pt idx="4">
                  <c:v>17.184610186014162</c:v>
                </c:pt>
                <c:pt idx="5">
                  <c:v>16.189610327926914</c:v>
                </c:pt>
                <c:pt idx="6">
                  <c:v>19.005869859120217</c:v>
                </c:pt>
                <c:pt idx="7">
                  <c:v>14.844420541712349</c:v>
                </c:pt>
                <c:pt idx="8">
                  <c:v>43.881646265659043</c:v>
                </c:pt>
                <c:pt idx="9">
                  <c:v>42.91309115494775</c:v>
                </c:pt>
                <c:pt idx="10">
                  <c:v>21.719295460020348</c:v>
                </c:pt>
                <c:pt idx="11">
                  <c:v>8.2439011507095383</c:v>
                </c:pt>
                <c:pt idx="12">
                  <c:v>10.195024066510008</c:v>
                </c:pt>
                <c:pt idx="13">
                  <c:v>13.304619561455773</c:v>
                </c:pt>
                <c:pt idx="14">
                  <c:v>-1.662728935994682</c:v>
                </c:pt>
                <c:pt idx="15">
                  <c:v>1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1"/>
          <c:order val="10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-140</c:v>
                </c:pt>
                <c:pt idx="1">
                  <c:v>-80.162912743489144</c:v>
                </c:pt>
                <c:pt idx="2">
                  <c:v>-60.963284061288988</c:v>
                </c:pt>
                <c:pt idx="3">
                  <c:v>-44.438294667433176</c:v>
                </c:pt>
                <c:pt idx="4">
                  <c:v>-29.800239520792541</c:v>
                </c:pt>
                <c:pt idx="5">
                  <c:v>-16.869167076665256</c:v>
                </c:pt>
                <c:pt idx="6">
                  <c:v>1.2552843254505974</c:v>
                </c:pt>
                <c:pt idx="7">
                  <c:v>11.598331613072679</c:v>
                </c:pt>
                <c:pt idx="8">
                  <c:v>32.198452337685829</c:v>
                </c:pt>
                <c:pt idx="9">
                  <c:v>43.102696962843638</c:v>
                </c:pt>
                <c:pt idx="10">
                  <c:v>52.102696962843638</c:v>
                </c:pt>
                <c:pt idx="11">
                  <c:v>66.481507957154292</c:v>
                </c:pt>
                <c:pt idx="12">
                  <c:v>79.86019132591089</c:v>
                </c:pt>
                <c:pt idx="13">
                  <c:v>87.361191325910895</c:v>
                </c:pt>
                <c:pt idx="14">
                  <c:v>100</c:v>
                </c:pt>
                <c:pt idx="15">
                  <c:v>130</c:v>
                </c:pt>
                <c:pt idx="16">
                  <c:v>220</c:v>
                </c:pt>
                <c:pt idx="17">
                  <c:v>220</c:v>
                </c:pt>
                <c:pt idx="18">
                  <c:v>220</c:v>
                </c:pt>
                <c:pt idx="19">
                  <c:v>220</c:v>
                </c:pt>
                <c:pt idx="20">
                  <c:v>220</c:v>
                </c:pt>
                <c:pt idx="21">
                  <c:v>220</c:v>
                </c:pt>
                <c:pt idx="22">
                  <c:v>220</c:v>
                </c:pt>
                <c:pt idx="23">
                  <c:v>220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17.687990729886732</c:v>
                </c:pt>
                <c:pt idx="2">
                  <c:v>26.211783273462395</c:v>
                </c:pt>
                <c:pt idx="3">
                  <c:v>21.372749742849127</c:v>
                </c:pt>
                <c:pt idx="4">
                  <c:v>19.198397301674074</c:v>
                </c:pt>
                <c:pt idx="5">
                  <c:v>18.073244876222464</c:v>
                </c:pt>
                <c:pt idx="6">
                  <c:v>21.515898994315194</c:v>
                </c:pt>
                <c:pt idx="7">
                  <c:v>16.735403560126045</c:v>
                </c:pt>
                <c:pt idx="8">
                  <c:v>46.051482638822783</c:v>
                </c:pt>
                <c:pt idx="9">
                  <c:v>45.081317399828727</c:v>
                </c:pt>
                <c:pt idx="10">
                  <c:v>23.032593772220821</c:v>
                </c:pt>
                <c:pt idx="11">
                  <c:v>10.272072331979796</c:v>
                </c:pt>
                <c:pt idx="12">
                  <c:v>13.143770376879777</c:v>
                </c:pt>
                <c:pt idx="13">
                  <c:v>16.848986750106501</c:v>
                </c:pt>
                <c:pt idx="14">
                  <c:v>-1.662728935994682</c:v>
                </c:pt>
                <c:pt idx="15">
                  <c:v>1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0"/>
          <c:order val="11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Masques!$N$3</c:f>
              <c:numCache>
                <c:formatCode>0.0\°</c:formatCode>
                <c:ptCount val="1"/>
                <c:pt idx="0">
                  <c:v>40</c:v>
                </c:pt>
              </c:numCache>
            </c:numRef>
          </c:xVal>
          <c:yVal>
            <c:numRef>
              <c:f>Masques!$O$3</c:f>
              <c:numCache>
                <c:formatCode>0.0\°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8639624"/>
        <c:axId val="308640016"/>
      </c:scatterChart>
      <c:valAx>
        <c:axId val="308639624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308640016"/>
        <c:crosses val="autoZero"/>
        <c:crossBetween val="midCat"/>
        <c:majorUnit val="30"/>
      </c:valAx>
      <c:valAx>
        <c:axId val="308640016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08639624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3247766160377492E-2"/>
          <c:y val="0.95476613627455353"/>
          <c:w val="0.96088246346255912"/>
          <c:h val="4.523386372544646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6.7260217602315042E-2</c:v>
                </c:pt>
                <c:pt idx="1">
                  <c:v>6.7280646997363136E-2</c:v>
                </c:pt>
                <c:pt idx="2">
                  <c:v>6.7301075944954936E-2</c:v>
                </c:pt>
                <c:pt idx="3">
                  <c:v>6.7321504445100433E-2</c:v>
                </c:pt>
                <c:pt idx="4">
                  <c:v>6.7341932497809398E-2</c:v>
                </c:pt>
                <c:pt idx="5">
                  <c:v>6.736236010309149E-2</c:v>
                </c:pt>
                <c:pt idx="6">
                  <c:v>6.73827872609567E-2</c:v>
                </c:pt>
                <c:pt idx="7">
                  <c:v>6.7403213971414577E-2</c:v>
                </c:pt>
                <c:pt idx="8">
                  <c:v>6.7423640234475224E-2</c:v>
                </c:pt>
                <c:pt idx="9">
                  <c:v>6.7444066050148188E-2</c:v>
                </c:pt>
                <c:pt idx="10">
                  <c:v>6.7464491418443462E-2</c:v>
                </c:pt>
                <c:pt idx="11">
                  <c:v>6.7484916339370704E-2</c:v>
                </c:pt>
                <c:pt idx="12">
                  <c:v>6.7505340812939685E-2</c:v>
                </c:pt>
                <c:pt idx="13">
                  <c:v>6.7525764839160396E-2</c:v>
                </c:pt>
                <c:pt idx="14">
                  <c:v>6.7546188418042385E-2</c:v>
                </c:pt>
                <c:pt idx="15">
                  <c:v>6.7566611549595645E-2</c:v>
                </c:pt>
                <c:pt idx="16">
                  <c:v>6.7587034233829946E-2</c:v>
                </c:pt>
                <c:pt idx="17">
                  <c:v>6.7607456470755056E-2</c:v>
                </c:pt>
                <c:pt idx="18">
                  <c:v>6.7627878260380636E-2</c:v>
                </c:pt>
                <c:pt idx="19">
                  <c:v>6.7648299602716788E-2</c:v>
                </c:pt>
                <c:pt idx="20">
                  <c:v>6.7668720497773061E-2</c:v>
                </c:pt>
                <c:pt idx="21">
                  <c:v>6.7689140945559223E-2</c:v>
                </c:pt>
                <c:pt idx="22">
                  <c:v>6.7709560946085268E-2</c:v>
                </c:pt>
                <c:pt idx="23">
                  <c:v>6.7729980499360964E-2</c:v>
                </c:pt>
                <c:pt idx="24">
                  <c:v>6.7750399605395972E-2</c:v>
                </c:pt>
                <c:pt idx="25">
                  <c:v>6.7770818264200061E-2</c:v>
                </c:pt>
                <c:pt idx="26">
                  <c:v>6.7791236475783223E-2</c:v>
                </c:pt>
                <c:pt idx="27">
                  <c:v>6.7811654240155117E-2</c:v>
                </c:pt>
                <c:pt idx="28">
                  <c:v>6.7832071557325624E-2</c:v>
                </c:pt>
                <c:pt idx="29">
                  <c:v>6.7852488427304403E-2</c:v>
                </c:pt>
                <c:pt idx="30">
                  <c:v>6.7872904850101445E-2</c:v>
                </c:pt>
                <c:pt idx="31">
                  <c:v>6.78933208257263E-2</c:v>
                </c:pt>
                <c:pt idx="32">
                  <c:v>6.7913736354188958E-2</c:v>
                </c:pt>
                <c:pt idx="33">
                  <c:v>6.793415143549919E-2</c:v>
                </c:pt>
                <c:pt idx="34">
                  <c:v>6.7954566069666655E-2</c:v>
                </c:pt>
                <c:pt idx="35">
                  <c:v>6.7974980256701234E-2</c:v>
                </c:pt>
                <c:pt idx="36">
                  <c:v>6.7995393996612807E-2</c:v>
                </c:pt>
                <c:pt idx="37">
                  <c:v>6.8015807289411034E-2</c:v>
                </c:pt>
                <c:pt idx="38">
                  <c:v>6.8036220135105796E-2</c:v>
                </c:pt>
                <c:pt idx="39">
                  <c:v>6.8056632533706862E-2</c:v>
                </c:pt>
                <c:pt idx="40">
                  <c:v>6.8077044485223892E-2</c:v>
                </c:pt>
                <c:pt idx="41">
                  <c:v>6.8097455989666877E-2</c:v>
                </c:pt>
                <c:pt idx="42">
                  <c:v>6.8117867047045588E-2</c:v>
                </c:pt>
                <c:pt idx="43">
                  <c:v>6.8138277657369684E-2</c:v>
                </c:pt>
                <c:pt idx="44">
                  <c:v>6.8158687820649044E-2</c:v>
                </c:pt>
                <c:pt idx="45">
                  <c:v>6.817909753689344E-2</c:v>
                </c:pt>
                <c:pt idx="46">
                  <c:v>6.8199506806112753E-2</c:v>
                </c:pt>
                <c:pt idx="47">
                  <c:v>6.8219915628316641E-2</c:v>
                </c:pt>
                <c:pt idx="48">
                  <c:v>6.8240324003514874E-2</c:v>
                </c:pt>
                <c:pt idx="49">
                  <c:v>6.8260731931717333E-2</c:v>
                </c:pt>
                <c:pt idx="50">
                  <c:v>6.82811394129339E-2</c:v>
                </c:pt>
                <c:pt idx="51">
                  <c:v>6.8301546447174122E-2</c:v>
                </c:pt>
                <c:pt idx="52">
                  <c:v>6.8321953034447991E-2</c:v>
                </c:pt>
                <c:pt idx="53">
                  <c:v>6.8342359174765277E-2</c:v>
                </c:pt>
                <c:pt idx="54">
                  <c:v>6.8362764868135639E-2</c:v>
                </c:pt>
                <c:pt idx="55">
                  <c:v>6.8383170114568959E-2</c:v>
                </c:pt>
                <c:pt idx="56">
                  <c:v>6.8403574914075005E-2</c:v>
                </c:pt>
                <c:pt idx="57">
                  <c:v>6.8423979266663548E-2</c:v>
                </c:pt>
                <c:pt idx="58">
                  <c:v>6.844438317234447E-2</c:v>
                </c:pt>
                <c:pt idx="59">
                  <c:v>6.8464786631127428E-2</c:v>
                </c:pt>
                <c:pt idx="60">
                  <c:v>6.8485189643022304E-2</c:v>
                </c:pt>
                <c:pt idx="61">
                  <c:v>6.8505592208038868E-2</c:v>
                </c:pt>
                <c:pt idx="62">
                  <c:v>6.852599432618689E-2</c:v>
                </c:pt>
                <c:pt idx="63">
                  <c:v>6.8546395997476139E-2</c:v>
                </c:pt>
                <c:pt idx="64">
                  <c:v>6.8566797221916498E-2</c:v>
                </c:pt>
                <c:pt idx="65">
                  <c:v>6.8587197999517624E-2</c:v>
                </c:pt>
                <c:pt idx="66">
                  <c:v>6.8607598330289399E-2</c:v>
                </c:pt>
                <c:pt idx="67">
                  <c:v>6.8627998214241592E-2</c:v>
                </c:pt>
                <c:pt idx="68">
                  <c:v>6.8648397651383863E-2</c:v>
                </c:pt>
                <c:pt idx="69">
                  <c:v>6.8668796641726204E-2</c:v>
                </c:pt>
                <c:pt idx="70">
                  <c:v>6.8689195185278273E-2</c:v>
                </c:pt>
                <c:pt idx="71">
                  <c:v>6.8709593282049841E-2</c:v>
                </c:pt>
                <c:pt idx="72">
                  <c:v>6.8729990932050788E-2</c:v>
                </c:pt>
                <c:pt idx="73">
                  <c:v>6.8750388135290885E-2</c:v>
                </c:pt>
                <c:pt idx="74">
                  <c:v>6.8770784891779901E-2</c:v>
                </c:pt>
                <c:pt idx="75">
                  <c:v>6.8791181201527496E-2</c:v>
                </c:pt>
                <c:pt idx="76">
                  <c:v>6.8811577064543661E-2</c:v>
                </c:pt>
                <c:pt idx="77">
                  <c:v>6.8831972480838055E-2</c:v>
                </c:pt>
                <c:pt idx="78">
                  <c:v>6.8852367450420449E-2</c:v>
                </c:pt>
                <c:pt idx="79">
                  <c:v>6.8872761973300611E-2</c:v>
                </c:pt>
                <c:pt idx="80">
                  <c:v>6.8893156049488535E-2</c:v>
                </c:pt>
                <c:pt idx="81">
                  <c:v>6.8913549678993768E-2</c:v>
                </c:pt>
                <c:pt idx="82">
                  <c:v>6.8933942861826192E-2</c:v>
                </c:pt>
                <c:pt idx="83">
                  <c:v>6.8954335597995575E-2</c:v>
                </c:pt>
                <c:pt idx="84">
                  <c:v>6.8974727887511689E-2</c:v>
                </c:pt>
                <c:pt idx="85">
                  <c:v>6.8995119730384302E-2</c:v>
                </c:pt>
                <c:pt idx="86">
                  <c:v>6.9015511126623186E-2</c:v>
                </c:pt>
                <c:pt idx="87">
                  <c:v>6.903590207623822E-2</c:v>
                </c:pt>
                <c:pt idx="88">
                  <c:v>6.9056292579239176E-2</c:v>
                </c:pt>
                <c:pt idx="89">
                  <c:v>6.9076682635635711E-2</c:v>
                </c:pt>
                <c:pt idx="90">
                  <c:v>6.9097072245437707E-2</c:v>
                </c:pt>
                <c:pt idx="91">
                  <c:v>6.9117461408654934E-2</c:v>
                </c:pt>
                <c:pt idx="92">
                  <c:v>6.9137850125297162E-2</c:v>
                </c:pt>
                <c:pt idx="93">
                  <c:v>6.9158238395374161E-2</c:v>
                </c:pt>
                <c:pt idx="94">
                  <c:v>6.91786262188957E-2</c:v>
                </c:pt>
                <c:pt idx="95">
                  <c:v>6.919901359587155E-2</c:v>
                </c:pt>
                <c:pt idx="96">
                  <c:v>6.9219400526311592E-2</c:v>
                </c:pt>
                <c:pt idx="97">
                  <c:v>6.9239787010225484E-2</c:v>
                </c:pt>
                <c:pt idx="98">
                  <c:v>6.9260173047623108E-2</c:v>
                </c:pt>
                <c:pt idx="99">
                  <c:v>6.9280558638514123E-2</c:v>
                </c:pt>
                <c:pt idx="100">
                  <c:v>6.9300943782908409E-2</c:v>
                </c:pt>
                <c:pt idx="101">
                  <c:v>6.9321328480815736E-2</c:v>
                </c:pt>
                <c:pt idx="102">
                  <c:v>6.9341712732245875E-2</c:v>
                </c:pt>
                <c:pt idx="103">
                  <c:v>6.9362096537208595E-2</c:v>
                </c:pt>
                <c:pt idx="104">
                  <c:v>6.9382479895713556E-2</c:v>
                </c:pt>
                <c:pt idx="105">
                  <c:v>6.9402862807770749E-2</c:v>
                </c:pt>
                <c:pt idx="106">
                  <c:v>6.9423245273389944E-2</c:v>
                </c:pt>
                <c:pt idx="107">
                  <c:v>6.944362729258069E-2</c:v>
                </c:pt>
                <c:pt idx="108">
                  <c:v>6.9464008865352977E-2</c:v>
                </c:pt>
                <c:pt idx="109">
                  <c:v>6.9484389991716466E-2</c:v>
                </c:pt>
                <c:pt idx="110">
                  <c:v>6.9504770671681038E-2</c:v>
                </c:pt>
                <c:pt idx="111">
                  <c:v>6.952515090525635E-2</c:v>
                </c:pt>
                <c:pt idx="112">
                  <c:v>6.9545530692452284E-2</c:v>
                </c:pt>
                <c:pt idx="113">
                  <c:v>6.9565910033278611E-2</c:v>
                </c:pt>
                <c:pt idx="114">
                  <c:v>6.9586288927744988E-2</c:v>
                </c:pt>
                <c:pt idx="115">
                  <c:v>6.9606667375861297E-2</c:v>
                </c:pt>
                <c:pt idx="116">
                  <c:v>6.9627045377637309E-2</c:v>
                </c:pt>
                <c:pt idx="117">
                  <c:v>6.9647422933082792E-2</c:v>
                </c:pt>
                <c:pt idx="118">
                  <c:v>6.9667800042207517E-2</c:v>
                </c:pt>
                <c:pt idx="119">
                  <c:v>6.9688176705021254E-2</c:v>
                </c:pt>
                <c:pt idx="120">
                  <c:v>6.9708552921533773E-2</c:v>
                </c:pt>
                <c:pt idx="121">
                  <c:v>6.9728928691754843E-2</c:v>
                </c:pt>
                <c:pt idx="122">
                  <c:v>6.9749304015694236E-2</c:v>
                </c:pt>
                <c:pt idx="123">
                  <c:v>6.9769678893361831E-2</c:v>
                </c:pt>
                <c:pt idx="124">
                  <c:v>6.9790053324767176E-2</c:v>
                </c:pt>
                <c:pt idx="125">
                  <c:v>6.9810427309920264E-2</c:v>
                </c:pt>
                <c:pt idx="126">
                  <c:v>6.9830800848830754E-2</c:v>
                </c:pt>
                <c:pt idx="127">
                  <c:v>6.9851173941508526E-2</c:v>
                </c:pt>
                <c:pt idx="128">
                  <c:v>6.987154658796324E-2</c:v>
                </c:pt>
                <c:pt idx="129">
                  <c:v>6.9891918788204666E-2</c:v>
                </c:pt>
                <c:pt idx="130">
                  <c:v>6.9912290542242683E-2</c:v>
                </c:pt>
                <c:pt idx="131">
                  <c:v>6.9932661850087063E-2</c:v>
                </c:pt>
                <c:pt idx="132">
                  <c:v>6.9953032711747465E-2</c:v>
                </c:pt>
                <c:pt idx="133">
                  <c:v>6.9973403127233658E-2</c:v>
                </c:pt>
                <c:pt idx="134">
                  <c:v>6.9993773096555523E-2</c:v>
                </c:pt>
                <c:pt idx="135">
                  <c:v>7.0014142619722719E-2</c:v>
                </c:pt>
                <c:pt idx="136">
                  <c:v>7.0034511696745128E-2</c:v>
                </c:pt>
                <c:pt idx="137">
                  <c:v>7.0054880327632518E-2</c:v>
                </c:pt>
                <c:pt idx="138">
                  <c:v>7.007524851239455E-2</c:v>
                </c:pt>
                <c:pt idx="139">
                  <c:v>7.0095616251041104E-2</c:v>
                </c:pt>
                <c:pt idx="140">
                  <c:v>7.011598354358195E-2</c:v>
                </c:pt>
                <c:pt idx="141">
                  <c:v>7.0136350390026747E-2</c:v>
                </c:pt>
                <c:pt idx="142">
                  <c:v>7.0156716790385376E-2</c:v>
                </c:pt>
                <c:pt idx="143">
                  <c:v>7.0177082744667496E-2</c:v>
                </c:pt>
                <c:pt idx="144">
                  <c:v>7.0197448252882988E-2</c:v>
                </c:pt>
                <c:pt idx="145">
                  <c:v>7.0217813315041622E-2</c:v>
                </c:pt>
                <c:pt idx="146">
                  <c:v>7.0238177931153056E-2</c:v>
                </c:pt>
                <c:pt idx="147">
                  <c:v>7.0258542101227173E-2</c:v>
                </c:pt>
                <c:pt idx="148">
                  <c:v>7.0278905825273741E-2</c:v>
                </c:pt>
                <c:pt idx="149">
                  <c:v>7.029926910330242E-2</c:v>
                </c:pt>
                <c:pt idx="150">
                  <c:v>7.031963193532309E-2</c:v>
                </c:pt>
                <c:pt idx="151">
                  <c:v>7.0339994321345523E-2</c:v>
                </c:pt>
                <c:pt idx="152">
                  <c:v>7.0360356261379375E-2</c:v>
                </c:pt>
                <c:pt idx="153">
                  <c:v>7.038071775543453E-2</c:v>
                </c:pt>
                <c:pt idx="154">
                  <c:v>7.0401078803520645E-2</c:v>
                </c:pt>
                <c:pt idx="155">
                  <c:v>7.0421439405647601E-2</c:v>
                </c:pt>
                <c:pt idx="156">
                  <c:v>7.0441799561825058E-2</c:v>
                </c:pt>
                <c:pt idx="157">
                  <c:v>7.0462159272062896E-2</c:v>
                </c:pt>
                <c:pt idx="158">
                  <c:v>7.0482518536370886E-2</c:v>
                </c:pt>
                <c:pt idx="159">
                  <c:v>7.0502877354758686E-2</c:v>
                </c:pt>
                <c:pt idx="160">
                  <c:v>7.0523235727236067E-2</c:v>
                </c:pt>
                <c:pt idx="161">
                  <c:v>7.0543593653812908E-2</c:v>
                </c:pt>
                <c:pt idx="162">
                  <c:v>7.056395113449887E-2</c:v>
                </c:pt>
                <c:pt idx="163">
                  <c:v>7.0584308169303722E-2</c:v>
                </c:pt>
                <c:pt idx="164">
                  <c:v>7.0604664758237345E-2</c:v>
                </c:pt>
                <c:pt idx="165">
                  <c:v>7.0625020901309399E-2</c:v>
                </c:pt>
                <c:pt idx="166">
                  <c:v>7.0645376598529652E-2</c:v>
                </c:pt>
                <c:pt idx="167">
                  <c:v>7.0665731849907876E-2</c:v>
                </c:pt>
                <c:pt idx="168">
                  <c:v>7.068608665545395E-2</c:v>
                </c:pt>
                <c:pt idx="169">
                  <c:v>7.0706441015177424E-2</c:v>
                </c:pt>
                <c:pt idx="170">
                  <c:v>7.0726794929088288E-2</c:v>
                </c:pt>
                <c:pt idx="171">
                  <c:v>7.0747148397196091E-2</c:v>
                </c:pt>
                <c:pt idx="172">
                  <c:v>7.0767501419510825E-2</c:v>
                </c:pt>
                <c:pt idx="173">
                  <c:v>7.0787853996042038E-2</c:v>
                </c:pt>
                <c:pt idx="174">
                  <c:v>7.0808206126799611E-2</c:v>
                </c:pt>
                <c:pt idx="175">
                  <c:v>7.0828557811793313E-2</c:v>
                </c:pt>
                <c:pt idx="176">
                  <c:v>7.0848909051032916E-2</c:v>
                </c:pt>
                <c:pt idx="177">
                  <c:v>7.0869259844528076E-2</c:v>
                </c:pt>
                <c:pt idx="178">
                  <c:v>7.0889610192288677E-2</c:v>
                </c:pt>
                <c:pt idx="179">
                  <c:v>7.0909960094324487E-2</c:v>
                </c:pt>
                <c:pt idx="180">
                  <c:v>7.0930309550645054E-2</c:v>
                </c:pt>
                <c:pt idx="181">
                  <c:v>7.0950658561260482E-2</c:v>
                </c:pt>
                <c:pt idx="182">
                  <c:v>7.0971007126180208E-2</c:v>
                </c:pt>
                <c:pt idx="183">
                  <c:v>7.0991355245414223E-2</c:v>
                </c:pt>
                <c:pt idx="184">
                  <c:v>7.1011702918972186E-2</c:v>
                </c:pt>
                <c:pt idx="185">
                  <c:v>7.1032050146863868E-2</c:v>
                </c:pt>
                <c:pt idx="186">
                  <c:v>7.1052396929099038E-2</c:v>
                </c:pt>
                <c:pt idx="187">
                  <c:v>7.1072743265687466E-2</c:v>
                </c:pt>
                <c:pt idx="188">
                  <c:v>7.1093089156638922E-2</c:v>
                </c:pt>
                <c:pt idx="189">
                  <c:v>7.1113434601963177E-2</c:v>
                </c:pt>
                <c:pt idx="190">
                  <c:v>7.1133779601669889E-2</c:v>
                </c:pt>
                <c:pt idx="191">
                  <c:v>7.1154124155768939E-2</c:v>
                </c:pt>
                <c:pt idx="192">
                  <c:v>7.1174468264269986E-2</c:v>
                </c:pt>
                <c:pt idx="193">
                  <c:v>7.1194811927182911E-2</c:v>
                </c:pt>
                <c:pt idx="194">
                  <c:v>7.1215155144517372E-2</c:v>
                </c:pt>
                <c:pt idx="195">
                  <c:v>7.1235497916283141E-2</c:v>
                </c:pt>
                <c:pt idx="196">
                  <c:v>7.1255840242490098E-2</c:v>
                </c:pt>
                <c:pt idx="197">
                  <c:v>7.1276182123147791E-2</c:v>
                </c:pt>
                <c:pt idx="198">
                  <c:v>7.1296523558266212E-2</c:v>
                </c:pt>
                <c:pt idx="199">
                  <c:v>7.1316864547854908E-2</c:v>
                </c:pt>
                <c:pt idx="200">
                  <c:v>7.1337205091923761E-2</c:v>
                </c:pt>
                <c:pt idx="201">
                  <c:v>7.135754519048243E-2</c:v>
                </c:pt>
                <c:pt idx="202">
                  <c:v>7.1377884843540795E-2</c:v>
                </c:pt>
                <c:pt idx="203">
                  <c:v>7.1398224051108627E-2</c:v>
                </c:pt>
                <c:pt idx="204">
                  <c:v>7.1418562813195474E-2</c:v>
                </c:pt>
                <c:pt idx="205">
                  <c:v>7.1438901129811327E-2</c:v>
                </c:pt>
                <c:pt idx="206">
                  <c:v>7.1459239000965846E-2</c:v>
                </c:pt>
                <c:pt idx="207">
                  <c:v>7.1479576426668689E-2</c:v>
                </c:pt>
                <c:pt idx="208">
                  <c:v>7.1499913406929849E-2</c:v>
                </c:pt>
                <c:pt idx="209">
                  <c:v>7.1520249941758873E-2</c:v>
                </c:pt>
                <c:pt idx="210">
                  <c:v>7.1540586031165643E-2</c:v>
                </c:pt>
                <c:pt idx="211">
                  <c:v>7.1560921675159817E-2</c:v>
                </c:pt>
                <c:pt idx="212">
                  <c:v>7.1581256873751165E-2</c:v>
                </c:pt>
                <c:pt idx="213">
                  <c:v>7.1601591626949568E-2</c:v>
                </c:pt>
                <c:pt idx="214">
                  <c:v>7.1621925934764685E-2</c:v>
                </c:pt>
                <c:pt idx="215">
                  <c:v>7.1642259797206176E-2</c:v>
                </c:pt>
                <c:pt idx="216">
                  <c:v>7.1662593214283921E-2</c:v>
                </c:pt>
                <c:pt idx="217">
                  <c:v>7.1682926186007689E-2</c:v>
                </c:pt>
                <c:pt idx="218">
                  <c:v>7.1703258712387252E-2</c:v>
                </c:pt>
                <c:pt idx="219">
                  <c:v>7.1723590793432157E-2</c:v>
                </c:pt>
                <c:pt idx="220">
                  <c:v>7.1743922429152396E-2</c:v>
                </c:pt>
                <c:pt idx="221">
                  <c:v>7.1764253619557627E-2</c:v>
                </c:pt>
                <c:pt idx="222">
                  <c:v>7.1784584364657622E-2</c:v>
                </c:pt>
                <c:pt idx="223">
                  <c:v>7.1804914664462149E-2</c:v>
                </c:pt>
                <c:pt idx="224">
                  <c:v>7.1825244518980869E-2</c:v>
                </c:pt>
                <c:pt idx="225">
                  <c:v>7.1845573928223549E-2</c:v>
                </c:pt>
                <c:pt idx="226">
                  <c:v>7.1865902892200073E-2</c:v>
                </c:pt>
                <c:pt idx="227">
                  <c:v>7.1886231410920098E-2</c:v>
                </c:pt>
                <c:pt idx="228">
                  <c:v>7.1906559484393395E-2</c:v>
                </c:pt>
                <c:pt idx="229">
                  <c:v>7.1926887112629734E-2</c:v>
                </c:pt>
                <c:pt idx="230">
                  <c:v>7.1947214295638884E-2</c:v>
                </c:pt>
                <c:pt idx="231">
                  <c:v>7.1967541033430504E-2</c:v>
                </c:pt>
                <c:pt idx="232">
                  <c:v>7.1987867326014365E-2</c:v>
                </c:pt>
                <c:pt idx="233">
                  <c:v>7.2008193173400237E-2</c:v>
                </c:pt>
                <c:pt idx="234">
                  <c:v>7.2028518575598E-2</c:v>
                </c:pt>
                <c:pt idx="235">
                  <c:v>7.2048843532617202E-2</c:v>
                </c:pt>
                <c:pt idx="236">
                  <c:v>7.2069168044467724E-2</c:v>
                </c:pt>
                <c:pt idx="237">
                  <c:v>7.2089492111159226E-2</c:v>
                </c:pt>
                <c:pt idx="238">
                  <c:v>7.2109815732701477E-2</c:v>
                </c:pt>
                <c:pt idx="239">
                  <c:v>7.2130138909104358E-2</c:v>
                </c:pt>
                <c:pt idx="240">
                  <c:v>7.2150461640377417E-2</c:v>
                </c:pt>
                <c:pt idx="241">
                  <c:v>7.2170783926530646E-2</c:v>
                </c:pt>
                <c:pt idx="242">
                  <c:v>7.2191105767573482E-2</c:v>
                </c:pt>
                <c:pt idx="243">
                  <c:v>7.2211427163516029E-2</c:v>
                </c:pt>
                <c:pt idx="244">
                  <c:v>7.2231748114367722E-2</c:v>
                </c:pt>
                <c:pt idx="245">
                  <c:v>7.2252068620138443E-2</c:v>
                </c:pt>
                <c:pt idx="246">
                  <c:v>7.2272388680837962E-2</c:v>
                </c:pt>
                <c:pt idx="247">
                  <c:v>7.2292708296476049E-2</c:v>
                </c:pt>
                <c:pt idx="248">
                  <c:v>7.2313027467062252E-2</c:v>
                </c:pt>
                <c:pt idx="249">
                  <c:v>7.2333346192606673E-2</c:v>
                </c:pt>
                <c:pt idx="250">
                  <c:v>7.2353664473118751E-2</c:v>
                </c:pt>
                <c:pt idx="251">
                  <c:v>7.2373982308608364E-2</c:v>
                </c:pt>
                <c:pt idx="252">
                  <c:v>7.2394299699085174E-2</c:v>
                </c:pt>
                <c:pt idx="253">
                  <c:v>7.241461664455906E-2</c:v>
                </c:pt>
                <c:pt idx="254">
                  <c:v>7.2434933145039682E-2</c:v>
                </c:pt>
                <c:pt idx="255">
                  <c:v>7.2455249200536809E-2</c:v>
                </c:pt>
                <c:pt idx="256">
                  <c:v>7.24755648110601E-2</c:v>
                </c:pt>
                <c:pt idx="257">
                  <c:v>7.2495879976619437E-2</c:v>
                </c:pt>
                <c:pt idx="258">
                  <c:v>7.251619469722459E-2</c:v>
                </c:pt>
                <c:pt idx="259">
                  <c:v>7.2536508972885105E-2</c:v>
                </c:pt>
                <c:pt idx="260">
                  <c:v>7.2556822803610976E-2</c:v>
                </c:pt>
                <c:pt idx="261">
                  <c:v>7.2577136189411751E-2</c:v>
                </c:pt>
                <c:pt idx="262">
                  <c:v>7.2597449130297198E-2</c:v>
                </c:pt>
                <c:pt idx="263">
                  <c:v>7.26177616262772E-2</c:v>
                </c:pt>
                <c:pt idx="264">
                  <c:v>7.2638073677361303E-2</c:v>
                </c:pt>
                <c:pt idx="265">
                  <c:v>7.265838528355939E-2</c:v>
                </c:pt>
                <c:pt idx="266">
                  <c:v>7.267869644488123E-2</c:v>
                </c:pt>
                <c:pt idx="267">
                  <c:v>7.2699007161336482E-2</c:v>
                </c:pt>
                <c:pt idx="268">
                  <c:v>7.2719317432934916E-2</c:v>
                </c:pt>
                <c:pt idx="269">
                  <c:v>7.2739627259686301E-2</c:v>
                </c:pt>
                <c:pt idx="270">
                  <c:v>7.2759936641600298E-2</c:v>
                </c:pt>
                <c:pt idx="271">
                  <c:v>7.2780245578686675E-2</c:v>
                </c:pt>
                <c:pt idx="272">
                  <c:v>7.2800554070955315E-2</c:v>
                </c:pt>
                <c:pt idx="273">
                  <c:v>7.2820862118415763E-2</c:v>
                </c:pt>
                <c:pt idx="274">
                  <c:v>7.2841169721077903E-2</c:v>
                </c:pt>
                <c:pt idx="275">
                  <c:v>7.2861476878951503E-2</c:v>
                </c:pt>
                <c:pt idx="276">
                  <c:v>7.2881783592046112E-2</c:v>
                </c:pt>
                <c:pt idx="277">
                  <c:v>7.2902089860371611E-2</c:v>
                </c:pt>
                <c:pt idx="278">
                  <c:v>7.2922395683937768E-2</c:v>
                </c:pt>
                <c:pt idx="279">
                  <c:v>7.2942701062754245E-2</c:v>
                </c:pt>
                <c:pt idx="280">
                  <c:v>7.296300599683081E-2</c:v>
                </c:pt>
                <c:pt idx="281">
                  <c:v>7.2983310486177233E-2</c:v>
                </c:pt>
                <c:pt idx="282">
                  <c:v>7.3003614530803174E-2</c:v>
                </c:pt>
                <c:pt idx="283">
                  <c:v>7.3023918130718402E-2</c:v>
                </c:pt>
                <c:pt idx="284">
                  <c:v>7.3044221285932798E-2</c:v>
                </c:pt>
                <c:pt idx="285">
                  <c:v>7.306452399645591E-2</c:v>
                </c:pt>
                <c:pt idx="286">
                  <c:v>7.308482626229762E-2</c:v>
                </c:pt>
                <c:pt idx="287">
                  <c:v>7.3105128083467474E-2</c:v>
                </c:pt>
                <c:pt idx="288">
                  <c:v>7.3125429459975466E-2</c:v>
                </c:pt>
                <c:pt idx="289">
                  <c:v>7.3145730391831143E-2</c:v>
                </c:pt>
                <c:pt idx="290">
                  <c:v>7.3166030879044386E-2</c:v>
                </c:pt>
                <c:pt idx="291">
                  <c:v>7.3186330921624743E-2</c:v>
                </c:pt>
                <c:pt idx="292">
                  <c:v>7.3206630519582205E-2</c:v>
                </c:pt>
                <c:pt idx="293">
                  <c:v>7.3226929672926322E-2</c:v>
                </c:pt>
                <c:pt idx="294">
                  <c:v>7.3247228381666862E-2</c:v>
                </c:pt>
                <c:pt idx="295">
                  <c:v>7.3267526645813597E-2</c:v>
                </c:pt>
                <c:pt idx="296">
                  <c:v>7.3287824465376183E-2</c:v>
                </c:pt>
                <c:pt idx="297">
                  <c:v>7.3308121840364504E-2</c:v>
                </c:pt>
                <c:pt idx="298">
                  <c:v>7.3328418770788217E-2</c:v>
                </c:pt>
                <c:pt idx="299">
                  <c:v>7.3348715256657093E-2</c:v>
                </c:pt>
                <c:pt idx="300">
                  <c:v>7.3369011297980791E-2</c:v>
                </c:pt>
                <c:pt idx="301">
                  <c:v>7.338930689476908E-2</c:v>
                </c:pt>
                <c:pt idx="302">
                  <c:v>7.340960204703173E-2</c:v>
                </c:pt>
                <c:pt idx="303">
                  <c:v>7.3429896754778512E-2</c:v>
                </c:pt>
                <c:pt idx="304">
                  <c:v>7.3450191018019084E-2</c:v>
                </c:pt>
                <c:pt idx="305">
                  <c:v>7.3470484836763217E-2</c:v>
                </c:pt>
                <c:pt idx="306">
                  <c:v>7.3490778211020569E-2</c:v>
                </c:pt>
                <c:pt idx="307">
                  <c:v>7.3511071140801021E-2</c:v>
                </c:pt>
                <c:pt idx="308">
                  <c:v>7.3531363626114121E-2</c:v>
                </c:pt>
                <c:pt idx="309">
                  <c:v>7.3551655666969862E-2</c:v>
                </c:pt>
                <c:pt idx="310">
                  <c:v>7.3571947263377679E-2</c:v>
                </c:pt>
                <c:pt idx="311">
                  <c:v>7.3592238415347566E-2</c:v>
                </c:pt>
                <c:pt idx="312">
                  <c:v>7.361252912288907E-2</c:v>
                </c:pt>
                <c:pt idx="313">
                  <c:v>7.3632819386012072E-2</c:v>
                </c:pt>
                <c:pt idx="314">
                  <c:v>7.365310920472623E-2</c:v>
                </c:pt>
                <c:pt idx="315">
                  <c:v>7.3673398579041316E-2</c:v>
                </c:pt>
                <c:pt idx="316">
                  <c:v>7.3693687508966987E-2</c:v>
                </c:pt>
                <c:pt idx="317">
                  <c:v>7.3713975994513015E-2</c:v>
                </c:pt>
                <c:pt idx="318">
                  <c:v>7.3734264035689168E-2</c:v>
                </c:pt>
                <c:pt idx="319">
                  <c:v>7.3754551632505105E-2</c:v>
                </c:pt>
                <c:pt idx="320">
                  <c:v>7.3774838784970598E-2</c:v>
                </c:pt>
                <c:pt idx="321">
                  <c:v>7.3795125493095415E-2</c:v>
                </c:pt>
                <c:pt idx="322">
                  <c:v>7.3815411756889326E-2</c:v>
                </c:pt>
                <c:pt idx="323">
                  <c:v>7.3835697576361881E-2</c:v>
                </c:pt>
                <c:pt idx="324">
                  <c:v>7.3855982951522958E-2</c:v>
                </c:pt>
                <c:pt idx="325">
                  <c:v>7.3876267882382329E-2</c:v>
                </c:pt>
                <c:pt idx="326">
                  <c:v>7.3896552368949542E-2</c:v>
                </c:pt>
                <c:pt idx="327">
                  <c:v>7.3916836411234588E-2</c:v>
                </c:pt>
                <c:pt idx="328">
                  <c:v>7.3937120009246904E-2</c:v>
                </c:pt>
                <c:pt idx="329">
                  <c:v>7.3957403162996482E-2</c:v>
                </c:pt>
                <c:pt idx="330">
                  <c:v>7.3977685872492871E-2</c:v>
                </c:pt>
                <c:pt idx="331">
                  <c:v>7.399796813774584E-2</c:v>
                </c:pt>
                <c:pt idx="332">
                  <c:v>7.401824995876527E-2</c:v>
                </c:pt>
                <c:pt idx="333">
                  <c:v>7.4038531335560598E-2</c:v>
                </c:pt>
                <c:pt idx="334">
                  <c:v>7.4058812268141816E-2</c:v>
                </c:pt>
                <c:pt idx="335">
                  <c:v>7.4079092756518583E-2</c:v>
                </c:pt>
                <c:pt idx="336">
                  <c:v>7.4099372800700558E-2</c:v>
                </c:pt>
                <c:pt idx="337">
                  <c:v>7.4119652400697622E-2</c:v>
                </c:pt>
                <c:pt idx="338">
                  <c:v>7.4139931556519323E-2</c:v>
                </c:pt>
                <c:pt idx="339">
                  <c:v>7.416021026817543E-2</c:v>
                </c:pt>
                <c:pt idx="340">
                  <c:v>7.4180488535675715E-2</c:v>
                </c:pt>
                <c:pt idx="341">
                  <c:v>7.4200766359029946E-2</c:v>
                </c:pt>
                <c:pt idx="342">
                  <c:v>7.4221043738247783E-2</c:v>
                </c:pt>
                <c:pt idx="343">
                  <c:v>7.4241320673338995E-2</c:v>
                </c:pt>
                <c:pt idx="344">
                  <c:v>7.4261597164313242E-2</c:v>
                </c:pt>
                <c:pt idx="345">
                  <c:v>7.4281873211180294E-2</c:v>
                </c:pt>
                <c:pt idx="346">
                  <c:v>7.430214881394992E-2</c:v>
                </c:pt>
                <c:pt idx="347">
                  <c:v>7.432242397263189E-2</c:v>
                </c:pt>
                <c:pt idx="348">
                  <c:v>7.4342698687235753E-2</c:v>
                </c:pt>
                <c:pt idx="349">
                  <c:v>7.4362972957771278E-2</c:v>
                </c:pt>
                <c:pt idx="350">
                  <c:v>7.4383246784248347E-2</c:v>
                </c:pt>
                <c:pt idx="351">
                  <c:v>7.4403520166676507E-2</c:v>
                </c:pt>
                <c:pt idx="352">
                  <c:v>7.4423793105065639E-2</c:v>
                </c:pt>
                <c:pt idx="353">
                  <c:v>7.4444065599425291E-2</c:v>
                </c:pt>
                <c:pt idx="354">
                  <c:v>7.4464337649765455E-2</c:v>
                </c:pt>
                <c:pt idx="355">
                  <c:v>7.4484609256095569E-2</c:v>
                </c:pt>
                <c:pt idx="356">
                  <c:v>7.4504880418425512E-2</c:v>
                </c:pt>
                <c:pt idx="357">
                  <c:v>7.4525151136764944E-2</c:v>
                </c:pt>
                <c:pt idx="358">
                  <c:v>7.4545421411123636E-2</c:v>
                </c:pt>
                <c:pt idx="359">
                  <c:v>7.4565691241511245E-2</c:v>
                </c:pt>
                <c:pt idx="360">
                  <c:v>7.4585960627937653E-2</c:v>
                </c:pt>
                <c:pt idx="361">
                  <c:v>7.4606229570412408E-2</c:v>
                </c:pt>
                <c:pt idx="362">
                  <c:v>7.4626498068945279E-2</c:v>
                </c:pt>
                <c:pt idx="363">
                  <c:v>7.4646766123546038E-2</c:v>
                </c:pt>
                <c:pt idx="364">
                  <c:v>7.4667033734224453E-2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9.0571048468622045E-2</c:v>
                </c:pt>
                <c:pt idx="1">
                  <c:v>9.0644329700230425E-2</c:v>
                </c:pt>
                <c:pt idx="2">
                  <c:v>9.0717703625081289E-2</c:v>
                </c:pt>
                <c:pt idx="3">
                  <c:v>9.0791149670517005E-2</c:v>
                </c:pt>
                <c:pt idx="4">
                  <c:v>9.0864649933638422E-2</c:v>
                </c:pt>
                <c:pt idx="5">
                  <c:v>9.0938189104120049E-2</c:v>
                </c:pt>
                <c:pt idx="6">
                  <c:v>9.1011754366507269E-2</c:v>
                </c:pt>
                <c:pt idx="7">
                  <c:v>9.1085335283621699E-2</c:v>
                </c:pt>
                <c:pt idx="8">
                  <c:v>9.1158923662841146E-2</c:v>
                </c:pt>
                <c:pt idx="9">
                  <c:v>9.1232513407143945E-2</c:v>
                </c:pt>
                <c:pt idx="10">
                  <c:v>9.1306100352909259E-2</c:v>
                </c:pt>
                <c:pt idx="11">
                  <c:v>9.1379682096545761E-2</c:v>
                </c:pt>
                <c:pt idx="12">
                  <c:v>9.1453257812081828E-2</c:v>
                </c:pt>
                <c:pt idx="13">
                  <c:v>9.1526828061888041E-2</c:v>
                </c:pt>
                <c:pt idx="14">
                  <c:v>9.1600394602720028E-2</c:v>
                </c:pt>
                <c:pt idx="15">
                  <c:v>9.1673960189264284E-2</c:v>
                </c:pt>
                <c:pt idx="16">
                  <c:v>9.1747528377343568E-2</c:v>
                </c:pt>
                <c:pt idx="17">
                  <c:v>9.1821103328892414E-2</c:v>
                </c:pt>
                <c:pt idx="18">
                  <c:v>9.1894689620745582E-2</c:v>
                </c:pt>
                <c:pt idx="19">
                  <c:v>9.1968292059198431E-2</c:v>
                </c:pt>
                <c:pt idx="20">
                  <c:v>9.2041915502193206E-2</c:v>
                </c:pt>
                <c:pt idx="21">
                  <c:v>9.2115564690867666E-2</c:v>
                </c:pt>
                <c:pt idx="22">
                  <c:v>9.2189244092065956E-2</c:v>
                </c:pt>
                <c:pt idx="23">
                  <c:v>9.2262957753265429E-2</c:v>
                </c:pt>
                <c:pt idx="24">
                  <c:v>9.2336709171212034E-2</c:v>
                </c:pt>
                <c:pt idx="25">
                  <c:v>9.2410501175388224E-2</c:v>
                </c:pt>
                <c:pt idx="26">
                  <c:v>9.2484335827259595E-2</c:v>
                </c:pt>
                <c:pt idx="27">
                  <c:v>9.2558214336062067E-2</c:v>
                </c:pt>
                <c:pt idx="28">
                  <c:v>9.2632136991704833E-2</c:v>
                </c:pt>
                <c:pt idx="29">
                  <c:v>9.2706103115173175E-2</c:v>
                </c:pt>
                <c:pt idx="30">
                  <c:v>9.2780111026625672E-2</c:v>
                </c:pt>
                <c:pt idx="31">
                  <c:v>9.2854158031191486E-2</c:v>
                </c:pt>
                <c:pt idx="32">
                  <c:v>9.2928240422289643E-2</c:v>
                </c:pt>
                <c:pt idx="33">
                  <c:v>9.3002353502111404E-2</c:v>
                </c:pt>
                <c:pt idx="34">
                  <c:v>9.3076491618736157E-2</c:v>
                </c:pt>
                <c:pt idx="35">
                  <c:v>9.3150648219187823E-2</c:v>
                </c:pt>
                <c:pt idx="36">
                  <c:v>9.322481591758558E-2</c:v>
                </c:pt>
                <c:pt idx="37">
                  <c:v>9.3298986577402904E-2</c:v>
                </c:pt>
                <c:pt idx="38">
                  <c:v>9.3373151406719757E-2</c:v>
                </c:pt>
                <c:pt idx="39">
                  <c:v>9.3447301065240726E-2</c:v>
                </c:pt>
                <c:pt idx="40">
                  <c:v>9.3521425781752585E-2</c:v>
                </c:pt>
                <c:pt idx="41">
                  <c:v>9.3595515480611471E-2</c:v>
                </c:pt>
                <c:pt idx="42">
                  <c:v>9.3669559915785613E-2</c:v>
                </c:pt>
                <c:pt idx="43">
                  <c:v>9.3743548810928112E-2</c:v>
                </c:pt>
                <c:pt idx="44">
                  <c:v>9.3817472003922778E-2</c:v>
                </c:pt>
                <c:pt idx="45">
                  <c:v>9.3891319594331044E-2</c:v>
                </c:pt>
                <c:pt idx="46">
                  <c:v>9.3965082092168389E-2</c:v>
                </c:pt>
                <c:pt idx="47">
                  <c:v>9.4038750566457247E-2</c:v>
                </c:pt>
                <c:pt idx="48">
                  <c:v>9.4112316792037576E-2</c:v>
                </c:pt>
                <c:pt idx="49">
                  <c:v>9.4185773393164293E-2</c:v>
                </c:pt>
                <c:pt idx="50">
                  <c:v>9.425911398248539E-2</c:v>
                </c:pt>
                <c:pt idx="51">
                  <c:v>9.43323332940708E-2</c:v>
                </c:pt>
                <c:pt idx="52">
                  <c:v>9.4405427309251722E-2</c:v>
                </c:pt>
                <c:pt idx="53">
                  <c:v>9.4478393374129999E-2</c:v>
                </c:pt>
                <c:pt idx="54">
                  <c:v>9.4551230307727205E-2</c:v>
                </c:pt>
                <c:pt idx="55">
                  <c:v>9.4623938499861462E-2</c:v>
                </c:pt>
                <c:pt idx="56">
                  <c:v>9.4696519997964246E-2</c:v>
                </c:pt>
                <c:pt idx="57">
                  <c:v>9.476897858218096E-2</c:v>
                </c:pt>
                <c:pt idx="58">
                  <c:v>9.4841319828230949E-2</c:v>
                </c:pt>
                <c:pt idx="59">
                  <c:v>9.491355115763965E-2</c:v>
                </c:pt>
                <c:pt idx="60">
                  <c:v>9.498568187509189E-2</c:v>
                </c:pt>
                <c:pt idx="61">
                  <c:v>9.505772319278874E-2</c:v>
                </c:pt>
                <c:pt idx="62">
                  <c:v>9.512968824182487E-2</c:v>
                </c:pt>
                <c:pt idx="63">
                  <c:v>9.5201592070729452E-2</c:v>
                </c:pt>
                <c:pt idx="64">
                  <c:v>9.5273451631437786E-2</c:v>
                </c:pt>
                <c:pt idx="65">
                  <c:v>9.5345285753075465E-2</c:v>
                </c:pt>
                <c:pt idx="66">
                  <c:v>9.5417115104045186E-2</c:v>
                </c:pt>
                <c:pt idx="67">
                  <c:v>9.5488962143004313E-2</c:v>
                </c:pt>
                <c:pt idx="68">
                  <c:v>9.5560851059410007E-2</c:v>
                </c:pt>
                <c:pt idx="69">
                  <c:v>9.5632807704385855E-2</c:v>
                </c:pt>
                <c:pt idx="70">
                  <c:v>9.5704859512729626E-2</c:v>
                </c:pt>
                <c:pt idx="71">
                  <c:v>9.5777035416935399E-2</c:v>
                </c:pt>
                <c:pt idx="72">
                  <c:v>9.5849365754144503E-2</c:v>
                </c:pt>
                <c:pt idx="73">
                  <c:v>9.5921882166967717E-2</c:v>
                </c:pt>
                <c:pt idx="74">
                  <c:v>9.5994617499136722E-2</c:v>
                </c:pt>
                <c:pt idx="75">
                  <c:v>9.6067605686945612E-2</c:v>
                </c:pt>
                <c:pt idx="76">
                  <c:v>9.6140881647434284E-2</c:v>
                </c:pt>
                <c:pt idx="77">
                  <c:v>9.6214481164242471E-2</c:v>
                </c:pt>
                <c:pt idx="78">
                  <c:v>9.6288440772032136E-2</c:v>
                </c:pt>
                <c:pt idx="79">
                  <c:v>9.6362797640330664E-2</c:v>
                </c:pt>
                <c:pt idx="80">
                  <c:v>9.6437589457594453E-2</c:v>
                </c:pt>
                <c:pt idx="81">
                  <c:v>9.6512854316229996E-2</c:v>
                </c:pt>
                <c:pt idx="82">
                  <c:v>9.6588630599239236E-2</c:v>
                </c:pt>
                <c:pt idx="83">
                  <c:v>9.6664956869078431E-2</c:v>
                </c:pt>
                <c:pt idx="84">
                  <c:v>9.6741871759237749E-2</c:v>
                </c:pt>
                <c:pt idx="85">
                  <c:v>9.681941386896209E-2</c:v>
                </c:pt>
                <c:pt idx="86">
                  <c:v>9.689762166144314E-2</c:v>
                </c:pt>
                <c:pt idx="87">
                  <c:v>9.6976533365722525E-2</c:v>
                </c:pt>
                <c:pt idx="88">
                  <c:v>9.7056186882453738E-2</c:v>
                </c:pt>
                <c:pt idx="89">
                  <c:v>9.7136619693580659E-2</c:v>
                </c:pt>
                <c:pt idx="90">
                  <c:v>9.7217868775903007E-2</c:v>
                </c:pt>
                <c:pt idx="91">
                  <c:v>9.7299970518414297E-2</c:v>
                </c:pt>
                <c:pt idx="92">
                  <c:v>9.7382960643220259E-2</c:v>
                </c:pt>
                <c:pt idx="93">
                  <c:v>9.746687412977191E-2</c:v>
                </c:pt>
                <c:pt idx="94">
                  <c:v>9.7551745142082924E-2</c:v>
                </c:pt>
                <c:pt idx="95">
                  <c:v>9.7637606958542816E-2</c:v>
                </c:pt>
                <c:pt idx="96">
                  <c:v>9.7724491903890945E-2</c:v>
                </c:pt>
                <c:pt idx="97">
                  <c:v>9.7812431282876033E-2</c:v>
                </c:pt>
                <c:pt idx="98">
                  <c:v>9.7901455315100458E-2</c:v>
                </c:pt>
                <c:pt idx="99">
                  <c:v>9.7991593070529764E-2</c:v>
                </c:pt>
                <c:pt idx="100">
                  <c:v>9.8082872405143268E-2</c:v>
                </c:pt>
                <c:pt idx="101">
                  <c:v>9.817531989620755E-2</c:v>
                </c:pt>
                <c:pt idx="102">
                  <c:v>9.8268960776670772E-2</c:v>
                </c:pt>
                <c:pt idx="103">
                  <c:v>9.8363818868205097E-2</c:v>
                </c:pt>
                <c:pt idx="104">
                  <c:v>9.845991651246376E-2</c:v>
                </c:pt>
                <c:pt idx="105">
                  <c:v>9.8557274500168504E-2</c:v>
                </c:pt>
                <c:pt idx="106">
                  <c:v>9.8655911997703766E-2</c:v>
                </c:pt>
                <c:pt idx="107">
                  <c:v>9.8755846470962125E-2</c:v>
                </c:pt>
                <c:pt idx="108">
                  <c:v>9.8857093606263477E-2</c:v>
                </c:pt>
                <c:pt idx="109">
                  <c:v>9.8959667228254153E-2</c:v>
                </c:pt>
                <c:pt idx="110">
                  <c:v>9.9063579214783912E-2</c:v>
                </c:pt>
                <c:pt idx="111">
                  <c:v>9.9168839408853141E-2</c:v>
                </c:pt>
                <c:pt idx="112">
                  <c:v>9.927545552782388E-2</c:v>
                </c:pt>
                <c:pt idx="113">
                  <c:v>9.9383433070188348E-2</c:v>
                </c:pt>
                <c:pt idx="114">
                  <c:v>9.9492775220292692E-2</c:v>
                </c:pt>
                <c:pt idx="115">
                  <c:v>9.9603482751515884E-2</c:v>
                </c:pt>
                <c:pt idx="116">
                  <c:v>9.9715553928503814E-2</c:v>
                </c:pt>
                <c:pt idx="117">
                  <c:v>9.9828984409156399E-2</c:v>
                </c:pt>
                <c:pt idx="118">
                  <c:v>9.9943767147157317E-2</c:v>
                </c:pt>
                <c:pt idx="119">
                  <c:v>1.7188084241429463E-2</c:v>
                </c:pt>
                <c:pt idx="120">
                  <c:v>1.7376473368245087E-2</c:v>
                </c:pt>
                <c:pt idx="121">
                  <c:v>1.7565035020645551E-2</c:v>
                </c:pt>
                <c:pt idx="122">
                  <c:v>1.7753772533565026E-2</c:v>
                </c:pt>
                <c:pt idx="123">
                  <c:v>1.7942688518941697E-2</c:v>
                </c:pt>
                <c:pt idx="124">
                  <c:v>1.8131784827386494E-2</c:v>
                </c:pt>
                <c:pt idx="125">
                  <c:v>1.8321062510774911E-2</c:v>
                </c:pt>
                <c:pt idx="126">
                  <c:v>1.8510521786080286E-2</c:v>
                </c:pt>
                <c:pt idx="127">
                  <c:v>1.8700162000780767E-2</c:v>
                </c:pt>
                <c:pt idx="128">
                  <c:v>1.8889981600183285E-2</c:v>
                </c:pt>
                <c:pt idx="129">
                  <c:v>1.9079978097016038E-2</c:v>
                </c:pt>
                <c:pt idx="130">
                  <c:v>1.9270148043644832E-2</c:v>
                </c:pt>
                <c:pt idx="131">
                  <c:v>1.9460487007269902E-2</c:v>
                </c:pt>
                <c:pt idx="132">
                  <c:v>1.9650989548456187E-2</c:v>
                </c:pt>
                <c:pt idx="133">
                  <c:v>1.9841649203342838E-2</c:v>
                </c:pt>
                <c:pt idx="134">
                  <c:v>2.0032458469866676E-2</c:v>
                </c:pt>
                <c:pt idx="135">
                  <c:v>2.0223408798318569E-2</c:v>
                </c:pt>
                <c:pt idx="136">
                  <c:v>2.0414490586532243E-2</c:v>
                </c:pt>
                <c:pt idx="137">
                  <c:v>2.0605693179981076E-2</c:v>
                </c:pt>
                <c:pt idx="138">
                  <c:v>2.0797004877031403E-2</c:v>
                </c:pt>
                <c:pt idx="139">
                  <c:v>2.0988412939568591E-2</c:v>
                </c:pt>
                <c:pt idx="140">
                  <c:v>2.1179903609177601E-2</c:v>
                </c:pt>
                <c:pt idx="141">
                  <c:v>2.1371462129021374E-2</c:v>
                </c:pt>
                <c:pt idx="142">
                  <c:v>2.1563072771518515E-2</c:v>
                </c:pt>
                <c:pt idx="143">
                  <c:v>2.1754718871878045E-2</c:v>
                </c:pt>
                <c:pt idx="144">
                  <c:v>2.194638286750239E-2</c:v>
                </c:pt>
                <c:pt idx="145">
                  <c:v>2.2138046343221085E-2</c:v>
                </c:pt>
                <c:pt idx="146">
                  <c:v>2.2329690082268705E-2</c:v>
                </c:pt>
                <c:pt idx="147">
                  <c:v>2.2521294122868799E-2</c:v>
                </c:pt>
                <c:pt idx="148">
                  <c:v>2.271283782023539E-2</c:v>
                </c:pt>
                <c:pt idx="149">
                  <c:v>2.2904299913751709E-2</c:v>
                </c:pt>
                <c:pt idx="150">
                  <c:v>2.3095658599036069E-2</c:v>
                </c:pt>
                <c:pt idx="151">
                  <c:v>2.3286891604554865E-2</c:v>
                </c:pt>
                <c:pt idx="152">
                  <c:v>2.3477976272395538E-2</c:v>
                </c:pt>
                <c:pt idx="153">
                  <c:v>2.3668889642766731E-2</c:v>
                </c:pt>
                <c:pt idx="154">
                  <c:v>2.3859608541750336E-2</c:v>
                </c:pt>
                <c:pt idx="155">
                  <c:v>2.4050109671790765E-2</c:v>
                </c:pt>
                <c:pt idx="156">
                  <c:v>2.4240369704371222E-2</c:v>
                </c:pt>
                <c:pt idx="157">
                  <c:v>2.4430365374295233E-2</c:v>
                </c:pt>
                <c:pt idx="158">
                  <c:v>2.4620073574965144E-2</c:v>
                </c:pt>
                <c:pt idx="159">
                  <c:v>2.4809471454027041E-2</c:v>
                </c:pt>
                <c:pt idx="160">
                  <c:v>2.499853650873566E-2</c:v>
                </c:pt>
                <c:pt idx="161">
                  <c:v>2.5187246680381303E-2</c:v>
                </c:pt>
                <c:pt idx="162">
                  <c:v>2.5375580447115863E-2</c:v>
                </c:pt>
                <c:pt idx="163">
                  <c:v>2.5563516914516259E-2</c:v>
                </c:pt>
                <c:pt idx="164">
                  <c:v>2.5751035903229719E-2</c:v>
                </c:pt>
                <c:pt idx="165">
                  <c:v>2.5938118033059072E-2</c:v>
                </c:pt>
                <c:pt idx="166">
                  <c:v>2.612474480286477E-2</c:v>
                </c:pt>
                <c:pt idx="167">
                  <c:v>2.6310898665685721E-2</c:v>
                </c:pt>
                <c:pt idx="168">
                  <c:v>2.6496563098511668E-2</c:v>
                </c:pt>
                <c:pt idx="169">
                  <c:v>2.6681722666176501E-2</c:v>
                </c:pt>
                <c:pt idx="170">
                  <c:v>2.6866363078883623E-2</c:v>
                </c:pt>
                <c:pt idx="171">
                  <c:v>2.7050471242921429E-2</c:v>
                </c:pt>
                <c:pt idx="172">
                  <c:v>2.723403530417802E-2</c:v>
                </c:pt>
                <c:pt idx="173">
                  <c:v>2.7417044684120265E-2</c:v>
                </c:pt>
                <c:pt idx="174">
                  <c:v>2.7599490107961127E-2</c:v>
                </c:pt>
                <c:pt idx="175">
                  <c:v>2.7781363624801561E-2</c:v>
                </c:pt>
                <c:pt idx="176">
                  <c:v>2.7962658619598017E-2</c:v>
                </c:pt>
                <c:pt idx="177">
                  <c:v>2.8143369816873154E-2</c:v>
                </c:pt>
                <c:pt idx="178">
                  <c:v>2.8323493276155326E-2</c:v>
                </c:pt>
                <c:pt idx="179">
                  <c:v>2.8503026379200741E-2</c:v>
                </c:pt>
                <c:pt idx="180">
                  <c:v>2.8681967809120395E-2</c:v>
                </c:pt>
                <c:pt idx="181">
                  <c:v>2.8860317521601585E-2</c:v>
                </c:pt>
                <c:pt idx="182">
                  <c:v>2.9038076708479819E-2</c:v>
                </c:pt>
                <c:pt idx="183">
                  <c:v>2.9215247753980347E-2</c:v>
                </c:pt>
                <c:pt idx="184">
                  <c:v>2.9391834184010347E-2</c:v>
                </c:pt>
                <c:pt idx="185">
                  <c:v>2.9567840608939626E-2</c:v>
                </c:pt>
                <c:pt idx="186">
                  <c:v>2.9743272660361551E-2</c:v>
                </c:pt>
                <c:pt idx="187">
                  <c:v>2.9918136922375101E-2</c:v>
                </c:pt>
                <c:pt idx="188">
                  <c:v>3.0092440857971973E-2</c:v>
                </c:pt>
                <c:pt idx="189">
                  <c:v>3.0266192731151571E-2</c:v>
                </c:pt>
                <c:pt idx="190">
                  <c:v>3.04394015254183E-2</c:v>
                </c:pt>
                <c:pt idx="191">
                  <c:v>3.0612076859341617E-2</c:v>
                </c:pt>
                <c:pt idx="192">
                  <c:v>3.0784228899878266E-2</c:v>
                </c:pt>
                <c:pt idx="193">
                  <c:v>3.0955868274168297E-2</c:v>
                </c:pt>
                <c:pt idx="194">
                  <c:v>3.1127005980521757E-2</c:v>
                </c:pt>
                <c:pt idx="195">
                  <c:v>3.1297653299310772E-2</c:v>
                </c:pt>
                <c:pt idx="196">
                  <c:v>3.1467821704473133E-2</c:v>
                </c:pt>
                <c:pt idx="197">
                  <c:v>3.1637522776317192E-2</c:v>
                </c:pt>
                <c:pt idx="198">
                  <c:v>3.1806768116294924E-2</c:v>
                </c:pt>
                <c:pt idx="199">
                  <c:v>3.197556926438113E-2</c:v>
                </c:pt>
                <c:pt idx="200">
                  <c:v>3.2143937619660175E-2</c:v>
                </c:pt>
                <c:pt idx="201">
                  <c:v>3.2311884364680687E-2</c:v>
                </c:pt>
                <c:pt idx="202">
                  <c:v>3.2479420394091345E-2</c:v>
                </c:pt>
                <c:pt idx="203">
                  <c:v>3.2646556248018245E-2</c:v>
                </c:pt>
                <c:pt idx="204">
                  <c:v>3.2813302050588807E-2</c:v>
                </c:pt>
                <c:pt idx="205">
                  <c:v>3.2979667453945913E-2</c:v>
                </c:pt>
                <c:pt idx="206">
                  <c:v>3.3145661588033344E-2</c:v>
                </c:pt>
                <c:pt idx="207">
                  <c:v>3.3311293016367122E-2</c:v>
                </c:pt>
                <c:pt idx="208">
                  <c:v>3.3476569697940654E-2</c:v>
                </c:pt>
                <c:pt idx="209">
                  <c:v>3.3641498955341964E-2</c:v>
                </c:pt>
                <c:pt idx="210">
                  <c:v>3.3806087449094226E-2</c:v>
                </c:pt>
                <c:pt idx="211">
                  <c:v>3.3970341158161124E-2</c:v>
                </c:pt>
                <c:pt idx="212">
                  <c:v>3.4134265366493541E-2</c:v>
                </c:pt>
                <c:pt idx="213">
                  <c:v>3.4297864655428251E-2</c:v>
                </c:pt>
                <c:pt idx="214">
                  <c:v>3.4461142901688696E-2</c:v>
                </c:pt>
                <c:pt idx="215">
                  <c:v>3.4624103280679025E-2</c:v>
                </c:pt>
                <c:pt idx="216">
                  <c:v>3.4786748274709588E-2</c:v>
                </c:pt>
                <c:pt idx="217">
                  <c:v>3.4949079685742616E-2</c:v>
                </c:pt>
                <c:pt idx="218">
                  <c:v>3.511109865220341E-2</c:v>
                </c:pt>
                <c:pt idx="219">
                  <c:v>3.5272805669365498E-2</c:v>
                </c:pt>
                <c:pt idx="220">
                  <c:v>3.543420061278596E-2</c:v>
                </c:pt>
                <c:pt idx="221">
                  <c:v>3.5595282764244521E-2</c:v>
                </c:pt>
                <c:pt idx="222">
                  <c:v>3.5756050839621224E-2</c:v>
                </c:pt>
                <c:pt idx="223">
                  <c:v>3.591650301813893E-2</c:v>
                </c:pt>
                <c:pt idx="224">
                  <c:v>3.6076636972394001E-2</c:v>
                </c:pt>
                <c:pt idx="225">
                  <c:v>3.6236449898603786E-2</c:v>
                </c:pt>
                <c:pt idx="226">
                  <c:v>3.6395938546512498E-2</c:v>
                </c:pt>
                <c:pt idx="227">
                  <c:v>3.6555099248416718E-2</c:v>
                </c:pt>
                <c:pt idx="228">
                  <c:v>3.6713927946799674E-2</c:v>
                </c:pt>
                <c:pt idx="229">
                  <c:v>3.6872420220096895E-2</c:v>
                </c:pt>
                <c:pt idx="230">
                  <c:v>3.7030571306157119E-2</c:v>
                </c:pt>
                <c:pt idx="231">
                  <c:v>3.7188376123008522E-2</c:v>
                </c:pt>
                <c:pt idx="232">
                  <c:v>3.734582928659326E-2</c:v>
                </c:pt>
                <c:pt idx="233">
                  <c:v>3.7502925125189594E-2</c:v>
                </c:pt>
                <c:pt idx="234">
                  <c:v>3.76596576903033E-2</c:v>
                </c:pt>
                <c:pt idx="235">
                  <c:v>3.7816020763874303E-2</c:v>
                </c:pt>
                <c:pt idx="236">
                  <c:v>3.7972007861712516E-2</c:v>
                </c:pt>
                <c:pt idx="237">
                  <c:v>3.8127612233147111E-2</c:v>
                </c:pt>
                <c:pt idx="238">
                  <c:v>3.8282826856943078E-2</c:v>
                </c:pt>
                <c:pt idx="239">
                  <c:v>3.8437644433611695E-2</c:v>
                </c:pt>
                <c:pt idx="240">
                  <c:v>3.8592057374310734E-2</c:v>
                </c:pt>
                <c:pt idx="241">
                  <c:v>3.8746057786599966E-2</c:v>
                </c:pt>
                <c:pt idx="242">
                  <c:v>3.8899637457384041E-2</c:v>
                </c:pt>
                <c:pt idx="243">
                  <c:v>3.9052787833438303E-2</c:v>
                </c:pt>
                <c:pt idx="244">
                  <c:v>3.9205499999972325E-2</c:v>
                </c:pt>
                <c:pt idx="245">
                  <c:v>3.9357764657740685E-2</c:v>
                </c:pt>
                <c:pt idx="246">
                  <c:v>3.9509572099259413E-2</c:v>
                </c:pt>
                <c:pt idx="247">
                  <c:v>3.9660912184728933E-2</c:v>
                </c:pt>
                <c:pt idx="248">
                  <c:v>3.9811774318300172E-2</c:v>
                </c:pt>
                <c:pt idx="249">
                  <c:v>3.9962147425348551E-2</c:v>
                </c:pt>
                <c:pt idx="250">
                  <c:v>4.011201993144102E-2</c:v>
                </c:pt>
                <c:pt idx="251">
                  <c:v>4.026137974369226E-2</c:v>
                </c:pt>
                <c:pt idx="252">
                  <c:v>4.04102142352104E-2</c:v>
                </c:pt>
                <c:pt idx="253">
                  <c:v>4.055851023332542E-2</c:v>
                </c:pt>
                <c:pt idx="254">
                  <c:v>4.0706254012279557E-2</c:v>
                </c:pt>
                <c:pt idx="255">
                  <c:v>4.0853431291034061E-2</c:v>
                </c:pt>
                <c:pt idx="256">
                  <c:v>4.100002723681434E-2</c:v>
                </c:pt>
                <c:pt idx="257">
                  <c:v>4.1146026474973403E-2</c:v>
                </c:pt>
                <c:pt idx="258">
                  <c:v>4.129141310570289E-2</c:v>
                </c:pt>
                <c:pt idx="259">
                  <c:v>4.1436170728063201E-2</c:v>
                </c:pt>
                <c:pt idx="260">
                  <c:v>4.1580282471737132E-2</c:v>
                </c:pt>
                <c:pt idx="261">
                  <c:v>4.1723731036839344E-2</c:v>
                </c:pt>
                <c:pt idx="262">
                  <c:v>4.1866498742033235E-2</c:v>
                </c:pt>
                <c:pt idx="263">
                  <c:v>4.2008567581122529E-2</c:v>
                </c:pt>
                <c:pt idx="264">
                  <c:v>4.2149919288194018E-2</c:v>
                </c:pt>
                <c:pt idx="265">
                  <c:v>4.2290535411294627E-2</c:v>
                </c:pt>
                <c:pt idx="266">
                  <c:v>4.2430397394527981E-2</c:v>
                </c:pt>
                <c:pt idx="267">
                  <c:v>4.2569486668357921E-2</c:v>
                </c:pt>
                <c:pt idx="268">
                  <c:v>4.270778474780506E-2</c:v>
                </c:pt>
                <c:pt idx="269">
                  <c:v>4.2845273338123976E-2</c:v>
                </c:pt>
                <c:pt idx="270">
                  <c:v>4.2981934447448737E-2</c:v>
                </c:pt>
                <c:pt idx="271">
                  <c:v>4.3117750505799371E-2</c:v>
                </c:pt>
                <c:pt idx="272">
                  <c:v>4.3252704489747669E-2</c:v>
                </c:pt>
                <c:pt idx="273">
                  <c:v>4.3386780051953081E-2</c:v>
                </c:pt>
                <c:pt idx="274">
                  <c:v>4.3519961654695981E-2</c:v>
                </c:pt>
                <c:pt idx="275">
                  <c:v>4.3652234706459042E-2</c:v>
                </c:pt>
                <c:pt idx="276">
                  <c:v>4.3783585700537961E-2</c:v>
                </c:pt>
                <c:pt idx="277">
                  <c:v>4.3914002354602778E-2</c:v>
                </c:pt>
                <c:pt idx="278">
                  <c:v>4.4043473750077798E-2</c:v>
                </c:pt>
                <c:pt idx="279">
                  <c:v>4.4171990470167705E-2</c:v>
                </c:pt>
                <c:pt idx="280">
                  <c:v>4.4299544735324423E-2</c:v>
                </c:pt>
                <c:pt idx="281">
                  <c:v>4.4426130534930344E-2</c:v>
                </c:pt>
                <c:pt idx="282">
                  <c:v>4.4551743753962932E-2</c:v>
                </c:pt>
                <c:pt idx="283">
                  <c:v>4.467638229340979E-2</c:v>
                </c:pt>
                <c:pt idx="284">
                  <c:v>4.480004618321691E-2</c:v>
                </c:pt>
                <c:pt idx="285">
                  <c:v>4.4922737686580297E-2</c:v>
                </c:pt>
                <c:pt idx="286">
                  <c:v>4.5044461394429476E-2</c:v>
                </c:pt>
                <c:pt idx="287">
                  <c:v>4.5165224309002397E-2</c:v>
                </c:pt>
                <c:pt idx="288">
                  <c:v>4.5285035915473074E-2</c:v>
                </c:pt>
                <c:pt idx="289">
                  <c:v>4.5403908240667354E-2</c:v>
                </c:pt>
                <c:pt idx="290">
                  <c:v>4.5521855897985533E-2</c:v>
                </c:pt>
                <c:pt idx="291">
                  <c:v>4.563889611774552E-2</c:v>
                </c:pt>
                <c:pt idx="292">
                  <c:v>4.5755048762263086E-2</c:v>
                </c:pt>
                <c:pt idx="293">
                  <c:v>4.5870336325098057E-2</c:v>
                </c:pt>
                <c:pt idx="294">
                  <c:v>4.5984783914014504E-2</c:v>
                </c:pt>
                <c:pt idx="295">
                  <c:v>4.6098419217329031E-2</c:v>
                </c:pt>
                <c:pt idx="296">
                  <c:v>4.6211272453452724E-2</c:v>
                </c:pt>
                <c:pt idx="297">
                  <c:v>4.632337630356749E-2</c:v>
                </c:pt>
                <c:pt idx="298">
                  <c:v>4.6434765827516336E-2</c:v>
                </c:pt>
                <c:pt idx="299">
                  <c:v>4.6545478363127481E-2</c:v>
                </c:pt>
                <c:pt idx="300">
                  <c:v>4.6655553409332313E-2</c:v>
                </c:pt>
                <c:pt idx="301">
                  <c:v>4.6765032493577607E-2</c:v>
                </c:pt>
                <c:pt idx="302">
                  <c:v>4.6873959024169493E-2</c:v>
                </c:pt>
                <c:pt idx="303">
                  <c:v>4.6982378128320776E-2</c:v>
                </c:pt>
                <c:pt idx="304">
                  <c:v>4.7090336476802178E-2</c:v>
                </c:pt>
                <c:pt idx="305">
                  <c:v>4.7197882096221416E-2</c:v>
                </c:pt>
                <c:pt idx="306">
                  <c:v>4.7305064170069001E-2</c:v>
                </c:pt>
                <c:pt idx="307">
                  <c:v>4.7411932829777695E-2</c:v>
                </c:pt>
                <c:pt idx="308">
                  <c:v>4.7518538937138997E-2</c:v>
                </c:pt>
                <c:pt idx="309">
                  <c:v>4.7624933859508493E-2</c:v>
                </c:pt>
                <c:pt idx="310">
                  <c:v>4.7731169239305461E-2</c:v>
                </c:pt>
                <c:pt idx="311">
                  <c:v>4.7837296759377382E-2</c:v>
                </c:pt>
                <c:pt idx="312">
                  <c:v>4.7943367905848452E-2</c:v>
                </c:pt>
                <c:pt idx="313">
                  <c:v>4.8049433730108629E-2</c:v>
                </c:pt>
                <c:pt idx="314">
                  <c:v>4.8155544611622511E-2</c:v>
                </c:pt>
                <c:pt idx="315">
                  <c:v>4.8261750023244676E-2</c:v>
                </c:pt>
                <c:pt idx="316">
                  <c:v>4.8368098300722501E-2</c:v>
                </c:pt>
                <c:pt idx="317">
                  <c:v>4.84746364180468E-2</c:v>
                </c:pt>
                <c:pt idx="318">
                  <c:v>4.858140977027401E-2</c:v>
                </c:pt>
                <c:pt idx="319">
                  <c:v>4.8688461965395682E-2</c:v>
                </c:pt>
                <c:pt idx="320">
                  <c:v>4.8795834626766045E-2</c:v>
                </c:pt>
                <c:pt idx="321">
                  <c:v>4.890356720752248E-2</c:v>
                </c:pt>
                <c:pt idx="322">
                  <c:v>4.9011696818343671E-2</c:v>
                </c:pt>
                <c:pt idx="323">
                  <c:v>4.9120258069788404E-2</c:v>
                </c:pt>
                <c:pt idx="324">
                  <c:v>4.9229282930345883E-2</c:v>
                </c:pt>
                <c:pt idx="325">
                  <c:v>4.9338800601204824E-2</c:v>
                </c:pt>
                <c:pt idx="326">
                  <c:v>4.9448837408616934E-2</c:v>
                </c:pt>
                <c:pt idx="327">
                  <c:v>4.9559416714590868E-2</c:v>
                </c:pt>
                <c:pt idx="328">
                  <c:v>4.9670558846505987E-2</c:v>
                </c:pt>
                <c:pt idx="329">
                  <c:v>4.9782281046083461E-2</c:v>
                </c:pt>
                <c:pt idx="330">
                  <c:v>4.9894597437997311E-2</c:v>
                </c:pt>
                <c:pt idx="331">
                  <c:v>5.0007519018248806E-2</c:v>
                </c:pt>
                <c:pt idx="332">
                  <c:v>5.0121053662269453E-2</c:v>
                </c:pt>
                <c:pt idx="333">
                  <c:v>5.0235206152558401E-2</c:v>
                </c:pt>
                <c:pt idx="334">
                  <c:v>5.0349978225503217E-2</c:v>
                </c:pt>
                <c:pt idx="335">
                  <c:v>5.0465368636879386E-2</c:v>
                </c:pt>
                <c:pt idx="336">
                  <c:v>5.0581373245375129E-2</c:v>
                </c:pt>
                <c:pt idx="337">
                  <c:v>5.0697985113344335E-2</c:v>
                </c:pt>
                <c:pt idx="338">
                  <c:v>5.0815194623856072E-2</c:v>
                </c:pt>
                <c:pt idx="339">
                  <c:v>5.0932989612980775E-2</c:v>
                </c:pt>
                <c:pt idx="340">
                  <c:v>5.105135551613698E-2</c:v>
                </c:pt>
                <c:pt idx="341">
                  <c:v>5.1170275527215439E-2</c:v>
                </c:pt>
                <c:pt idx="342">
                  <c:v>5.1289730769102773E-2</c:v>
                </c:pt>
                <c:pt idx="343">
                  <c:v>5.1409700474145011E-2</c:v>
                </c:pt>
                <c:pt idx="344">
                  <c:v>5.1530162173022191E-2</c:v>
                </c:pt>
                <c:pt idx="345">
                  <c:v>5.16510918904503E-2</c:v>
                </c:pt>
                <c:pt idx="346">
                  <c:v>5.1772464346086816E-2</c:v>
                </c:pt>
                <c:pt idx="347">
                  <c:v>5.1894253158989594E-2</c:v>
                </c:pt>
                <c:pt idx="348">
                  <c:v>5.2016431053968311E-2</c:v>
                </c:pt>
                <c:pt idx="349">
                  <c:v>5.2138970068171454E-2</c:v>
                </c:pt>
                <c:pt idx="350">
                  <c:v>5.2261841756270681E-2</c:v>
                </c:pt>
                <c:pt idx="351">
                  <c:v>5.2385017392637449E-2</c:v>
                </c:pt>
                <c:pt idx="352">
                  <c:v>5.2508468168954457E-2</c:v>
                </c:pt>
                <c:pt idx="353">
                  <c:v>5.2632165385765164E-2</c:v>
                </c:pt>
                <c:pt idx="354">
                  <c:v>5.2756080636539263E-2</c:v>
                </c:pt>
                <c:pt idx="355">
                  <c:v>5.288018598291748E-2</c:v>
                </c:pt>
                <c:pt idx="356">
                  <c:v>5.3004454119896897E-2</c:v>
                </c:pt>
                <c:pt idx="357">
                  <c:v>5.3128858529826191E-2</c:v>
                </c:pt>
                <c:pt idx="358">
                  <c:v>5.3253373624196534E-2</c:v>
                </c:pt>
                <c:pt idx="359">
                  <c:v>5.3377974872339549E-2</c:v>
                </c:pt>
                <c:pt idx="360">
                  <c:v>5.3502638916275089E-2</c:v>
                </c:pt>
                <c:pt idx="361">
                  <c:v>5.3627343671089643E-2</c:v>
                </c:pt>
                <c:pt idx="362">
                  <c:v>5.375206841036663E-2</c:v>
                </c:pt>
                <c:pt idx="363">
                  <c:v>5.38767938363355E-2</c:v>
                </c:pt>
                <c:pt idx="364">
                  <c:v>5.400150213455035E-2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2.4106800278481895E-2</c:v>
                </c:pt>
                <c:pt idx="1">
                  <c:v>2.4131927623126475E-2</c:v>
                </c:pt>
                <c:pt idx="2">
                  <c:v>2.4157138101137319E-2</c:v>
                </c:pt>
                <c:pt idx="3">
                  <c:v>2.4183039683244593E-2</c:v>
                </c:pt>
                <c:pt idx="4">
                  <c:v>2.4210215518723044E-2</c:v>
                </c:pt>
                <c:pt idx="5">
                  <c:v>2.4239223392325631E-2</c:v>
                </c:pt>
                <c:pt idx="6">
                  <c:v>2.42705956353826E-2</c:v>
                </c:pt>
                <c:pt idx="7">
                  <c:v>2.4304839454712276E-2</c:v>
                </c:pt>
                <c:pt idx="8">
                  <c:v>2.4341023011716364E-2</c:v>
                </c:pt>
                <c:pt idx="9">
                  <c:v>2.4371957743321623E-2</c:v>
                </c:pt>
                <c:pt idx="10">
                  <c:v>2.4387586739322377E-2</c:v>
                </c:pt>
                <c:pt idx="11">
                  <c:v>2.4388213475772004E-2</c:v>
                </c:pt>
                <c:pt idx="12">
                  <c:v>2.4374154026097973E-2</c:v>
                </c:pt>
                <c:pt idx="13">
                  <c:v>2.4345736318255474E-2</c:v>
                </c:pt>
                <c:pt idx="14">
                  <c:v>2.4303299318364689E-2</c:v>
                </c:pt>
                <c:pt idx="15">
                  <c:v>2.4246915019908465E-2</c:v>
                </c:pt>
                <c:pt idx="16">
                  <c:v>2.4178155169028076E-2</c:v>
                </c:pt>
                <c:pt idx="17">
                  <c:v>2.4097349660416947E-2</c:v>
                </c:pt>
                <c:pt idx="18">
                  <c:v>2.4004835689247057E-2</c:v>
                </c:pt>
                <c:pt idx="19">
                  <c:v>2.3901090110852573E-2</c:v>
                </c:pt>
                <c:pt idx="20">
                  <c:v>2.3786652550697819E-2</c:v>
                </c:pt>
                <c:pt idx="21">
                  <c:v>2.3661960521297751E-2</c:v>
                </c:pt>
                <c:pt idx="22">
                  <c:v>2.352595013046796E-2</c:v>
                </c:pt>
                <c:pt idx="23">
                  <c:v>2.3368531601325324E-2</c:v>
                </c:pt>
                <c:pt idx="24">
                  <c:v>2.3196361306077311E-2</c:v>
                </c:pt>
                <c:pt idx="25">
                  <c:v>2.3011098342128104E-2</c:v>
                </c:pt>
                <c:pt idx="26">
                  <c:v>2.2814310237459338E-2</c:v>
                </c:pt>
                <c:pt idx="27">
                  <c:v>2.2607469998482652E-2</c:v>
                </c:pt>
                <c:pt idx="28">
                  <c:v>2.2391954849105493E-2</c:v>
                </c:pt>
                <c:pt idx="29">
                  <c:v>2.2136333049221343E-2</c:v>
                </c:pt>
                <c:pt idx="30">
                  <c:v>2.1843464527937104E-2</c:v>
                </c:pt>
                <c:pt idx="31">
                  <c:v>2.1515824480933022E-2</c:v>
                </c:pt>
                <c:pt idx="32">
                  <c:v>2.1155732944325222E-2</c:v>
                </c:pt>
                <c:pt idx="33">
                  <c:v>2.0765352486857385E-2</c:v>
                </c:pt>
                <c:pt idx="34">
                  <c:v>2.0346687737454853E-2</c:v>
                </c:pt>
                <c:pt idx="35">
                  <c:v>1.990158639473372E-2</c:v>
                </c:pt>
                <c:pt idx="36">
                  <c:v>1.9428869255066355E-2</c:v>
                </c:pt>
                <c:pt idx="37">
                  <c:v>1.8907140323913697E-2</c:v>
                </c:pt>
                <c:pt idx="38">
                  <c:v>1.8347285066536843E-2</c:v>
                </c:pt>
                <c:pt idx="39">
                  <c:v>1.7751802951673307E-2</c:v>
                </c:pt>
                <c:pt idx="40">
                  <c:v>1.7123011922913805E-2</c:v>
                </c:pt>
                <c:pt idx="41">
                  <c:v>1.6463046130180462E-2</c:v>
                </c:pt>
                <c:pt idx="42">
                  <c:v>1.577385559045039E-2</c:v>
                </c:pt>
                <c:pt idx="43">
                  <c:v>1.5064311491619237E-2</c:v>
                </c:pt>
                <c:pt idx="44">
                  <c:v>1.4362180028658748E-2</c:v>
                </c:pt>
                <c:pt idx="45">
                  <c:v>1.3667569276287967E-2</c:v>
                </c:pt>
                <c:pt idx="46">
                  <c:v>1.2980497137385907E-2</c:v>
                </c:pt>
                <c:pt idx="47">
                  <c:v>1.2300899265163283E-2</c:v>
                </c:pt>
                <c:pt idx="48">
                  <c:v>1.1628636263226371E-2</c:v>
                </c:pt>
                <c:pt idx="49">
                  <c:v>1.0963500161317974E-2</c:v>
                </c:pt>
                <c:pt idx="50">
                  <c:v>1.030448777216344E-2</c:v>
                </c:pt>
                <c:pt idx="51">
                  <c:v>9.6520783907521161E-3</c:v>
                </c:pt>
                <c:pt idx="52">
                  <c:v>9.0228382006659787E-3</c:v>
                </c:pt>
                <c:pt idx="53">
                  <c:v>8.415841958956817E-3</c:v>
                </c:pt>
                <c:pt idx="54">
                  <c:v>7.8302613241798633E-3</c:v>
                </c:pt>
                <c:pt idx="55">
                  <c:v>7.265310740211299E-3</c:v>
                </c:pt>
                <c:pt idx="56">
                  <c:v>6.7202446083311357E-3</c:v>
                </c:pt>
                <c:pt idx="57">
                  <c:v>6.2001368540206088E-3</c:v>
                </c:pt>
                <c:pt idx="58">
                  <c:v>5.6981737766265824E-3</c:v>
                </c:pt>
                <c:pt idx="59">
                  <c:v>5.2137263897148326E-3</c:v>
                </c:pt>
                <c:pt idx="60">
                  <c:v>4.7461956405728655E-3</c:v>
                </c:pt>
                <c:pt idx="61">
                  <c:v>4.2950104814924303E-3</c:v>
                </c:pt>
                <c:pt idx="62">
                  <c:v>3.8596260777034991E-3</c:v>
                </c:pt>
                <c:pt idx="63">
                  <c:v>3.4395221426438628E-3</c:v>
                </c:pt>
                <c:pt idx="64">
                  <c:v>3.0341095640114978E-3</c:v>
                </c:pt>
                <c:pt idx="65">
                  <c:v>2.6585528567253085E-3</c:v>
                </c:pt>
                <c:pt idx="66">
                  <c:v>2.3107651802505443E-3</c:v>
                </c:pt>
                <c:pt idx="67">
                  <c:v>1.9899963241265988E-3</c:v>
                </c:pt>
                <c:pt idx="68">
                  <c:v>1.6955089351925667E-3</c:v>
                </c:pt>
                <c:pt idx="69">
                  <c:v>1.4265814903646563E-3</c:v>
                </c:pt>
                <c:pt idx="70">
                  <c:v>1.1825109540827368E-3</c:v>
                </c:pt>
                <c:pt idx="71">
                  <c:v>9.6869151703677292E-4</c:v>
                </c:pt>
                <c:pt idx="72">
                  <c:v>7.7928512340331611E-4</c:v>
                </c:pt>
                <c:pt idx="73">
                  <c:v>6.1363803457251955E-4</c:v>
                </c:pt>
                <c:pt idx="74">
                  <c:v>4.7112478307916169E-4</c:v>
                </c:pt>
                <c:pt idx="75">
                  <c:v>3.5114971126311181E-4</c:v>
                </c:pt>
                <c:pt idx="76">
                  <c:v>2.5314835048202992E-4</c:v>
                </c:pt>
                <c:pt idx="77">
                  <c:v>1.7658866454064561E-4</c:v>
                </c:pt>
                <c:pt idx="78">
                  <c:v>1.2096441724215083E-4</c:v>
                </c:pt>
                <c:pt idx="79">
                  <c:v>8.5813855959480554E-5</c:v>
                </c:pt>
                <c:pt idx="80">
                  <c:v>5.6829223332437925E-5</c:v>
                </c:pt>
                <c:pt idx="81">
                  <c:v>3.387850769057656E-5</c:v>
                </c:pt>
                <c:pt idx="82">
                  <c:v>1.6835861149036676E-5</c:v>
                </c:pt>
                <c:pt idx="83">
                  <c:v>5.582316686333917E-6</c:v>
                </c:pt>
                <c:pt idx="84">
                  <c:v>6.4491845978046987E-9</c:v>
                </c:pt>
                <c:pt idx="85">
                  <c:v>4.9874888362913183E-9</c:v>
                </c:pt>
                <c:pt idx="86">
                  <c:v>3.7202451757312921E-9</c:v>
                </c:pt>
                <c:pt idx="87">
                  <c:v>2.6435321194497985E-9</c:v>
                </c:pt>
                <c:pt idx="88">
                  <c:v>1.0762984994523424E-8</c:v>
                </c:pt>
                <c:pt idx="89">
                  <c:v>4.3816099841609569E-8</c:v>
                </c:pt>
                <c:pt idx="90">
                  <c:v>4.1119541174134267E-8</c:v>
                </c:pt>
                <c:pt idx="91">
                  <c:v>2.0340263030705288E-8</c:v>
                </c:pt>
                <c:pt idx="92">
                  <c:v>1.045025477916647E-10</c:v>
                </c:pt>
                <c:pt idx="93">
                  <c:v>9.4447099537075583E-11</c:v>
                </c:pt>
                <c:pt idx="94">
                  <c:v>7.6920794737292521E-11</c:v>
                </c:pt>
                <c:pt idx="95">
                  <c:v>5.5273381777567308E-11</c:v>
                </c:pt>
                <c:pt idx="96">
                  <c:v>3.305796260394485E-11</c:v>
                </c:pt>
                <c:pt idx="97">
                  <c:v>1.4049038815339352E-11</c:v>
                </c:pt>
                <c:pt idx="98">
                  <c:v>2.2602752672186024E-12</c:v>
                </c:pt>
                <c:pt idx="99">
                  <c:v>1.9619252948378651E-12</c:v>
                </c:pt>
                <c:pt idx="100">
                  <c:v>1.6292236672087152E-12</c:v>
                </c:pt>
                <c:pt idx="101">
                  <c:v>1.2799968780555802E-12</c:v>
                </c:pt>
                <c:pt idx="102">
                  <c:v>9.3329422343342793E-13</c:v>
                </c:pt>
                <c:pt idx="103">
                  <c:v>6.0946946009070542E-13</c:v>
                </c:pt>
                <c:pt idx="104">
                  <c:v>3.3025972264488628E-13</c:v>
                </c:pt>
                <c:pt idx="105">
                  <c:v>1.1886107667724955E-13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3.0126863744901563E-12</c:v>
                </c:pt>
                <c:pt idx="240">
                  <c:v>9.08212423573315E-12</c:v>
                </c:pt>
                <c:pt idx="241">
                  <c:v>1.8254058020248145E-11</c:v>
                </c:pt>
                <c:pt idx="242">
                  <c:v>3.0576669519884833E-11</c:v>
                </c:pt>
                <c:pt idx="243">
                  <c:v>4.6101372704274761E-11</c:v>
                </c:pt>
                <c:pt idx="244">
                  <c:v>6.4883650610538895E-11</c:v>
                </c:pt>
                <c:pt idx="245">
                  <c:v>8.6983940836146675E-11</c:v>
                </c:pt>
                <c:pt idx="246">
                  <c:v>1.1246707914877718E-10</c:v>
                </c:pt>
                <c:pt idx="247">
                  <c:v>7.9220738980034295E-10</c:v>
                </c:pt>
                <c:pt idx="248">
                  <c:v>2.1378964072944946E-9</c:v>
                </c:pt>
                <c:pt idx="249">
                  <c:v>4.1619022576766891E-9</c:v>
                </c:pt>
                <c:pt idx="250">
                  <c:v>6.8771928261291412E-9</c:v>
                </c:pt>
                <c:pt idx="251">
                  <c:v>1.0297252433589597E-8</c:v>
                </c:pt>
                <c:pt idx="252">
                  <c:v>1.4435991125831249E-8</c:v>
                </c:pt>
                <c:pt idx="253">
                  <c:v>3.7471595967219781E-6</c:v>
                </c:pt>
                <c:pt idx="254">
                  <c:v>1.1281727822104522E-5</c:v>
                </c:pt>
                <c:pt idx="255">
                  <c:v>2.2693367226260496E-5</c:v>
                </c:pt>
                <c:pt idx="256">
                  <c:v>3.8058670160658548E-5</c:v>
                </c:pt>
                <c:pt idx="257">
                  <c:v>5.7454942024807006E-5</c:v>
                </c:pt>
                <c:pt idx="258">
                  <c:v>8.0959489932821928E-5</c:v>
                </c:pt>
                <c:pt idx="259">
                  <c:v>1.0864884971115462E-4</c:v>
                </c:pt>
                <c:pt idx="260">
                  <c:v>1.4060277436307681E-4</c:v>
                </c:pt>
                <c:pt idx="261">
                  <c:v>1.92749031387312E-4</c:v>
                </c:pt>
                <c:pt idx="262">
                  <c:v>2.6547422834942018E-4</c:v>
                </c:pt>
                <c:pt idx="263">
                  <c:v>3.591772468022984E-4</c:v>
                </c:pt>
                <c:pt idx="264">
                  <c:v>4.7427036715193721E-4</c:v>
                </c:pt>
                <c:pt idx="265">
                  <c:v>6.1118448396268532E-4</c:v>
                </c:pt>
                <c:pt idx="266">
                  <c:v>7.7036931164874026E-4</c:v>
                </c:pt>
                <c:pt idx="267">
                  <c:v>9.7960251461059046E-4</c:v>
                </c:pt>
                <c:pt idx="268">
                  <c:v>1.2358004516144904E-3</c:v>
                </c:pt>
                <c:pt idx="269">
                  <c:v>1.5399612614390393E-3</c:v>
                </c:pt>
                <c:pt idx="270">
                  <c:v>1.8931340647538166E-3</c:v>
                </c:pt>
                <c:pt idx="271">
                  <c:v>2.2964244054127737E-3</c:v>
                </c:pt>
                <c:pt idx="272">
                  <c:v>2.7510002401579334E-3</c:v>
                </c:pt>
                <c:pt idx="273">
                  <c:v>3.2580985472965428E-3</c:v>
                </c:pt>
                <c:pt idx="274">
                  <c:v>3.8189645034652341E-3</c:v>
                </c:pt>
                <c:pt idx="275">
                  <c:v>4.4429354072630578E-3</c:v>
                </c:pt>
                <c:pt idx="276">
                  <c:v>5.1139830044671288E-3</c:v>
                </c:pt>
                <c:pt idx="277">
                  <c:v>5.8333117479735779E-3</c:v>
                </c:pt>
                <c:pt idx="278">
                  <c:v>6.6021827077677306E-3</c:v>
                </c:pt>
                <c:pt idx="279">
                  <c:v>7.4219174352944351E-3</c:v>
                </c:pt>
                <c:pt idx="280">
                  <c:v>8.2939022745732813E-3</c:v>
                </c:pt>
                <c:pt idx="281">
                  <c:v>9.2094726989943344E-3</c:v>
                </c:pt>
                <c:pt idx="282">
                  <c:v>1.0139340489325519E-2</c:v>
                </c:pt>
                <c:pt idx="283">
                  <c:v>1.108405915369967E-2</c:v>
                </c:pt>
                <c:pt idx="284">
                  <c:v>1.2044216188439988E-2</c:v>
                </c:pt>
                <c:pt idx="285">
                  <c:v>1.3020436461511633E-2</c:v>
                </c:pt>
                <c:pt idx="286">
                  <c:v>1.4013385897762867E-2</c:v>
                </c:pt>
                <c:pt idx="287">
                  <c:v>1.5023775492778623E-2</c:v>
                </c:pt>
                <c:pt idx="288">
                  <c:v>1.6052792956741592E-2</c:v>
                </c:pt>
                <c:pt idx="289">
                  <c:v>1.7099335360347526E-2</c:v>
                </c:pt>
                <c:pt idx="290">
                  <c:v>1.8154976461338037E-2</c:v>
                </c:pt>
                <c:pt idx="291">
                  <c:v>1.9220202112732118E-2</c:v>
                </c:pt>
                <c:pt idx="292">
                  <c:v>2.0295490825013307E-2</c:v>
                </c:pt>
                <c:pt idx="293">
                  <c:v>2.1381313465816579E-2</c:v>
                </c:pt>
                <c:pt idx="294">
                  <c:v>2.2478132704967159E-2</c:v>
                </c:pt>
                <c:pt idx="295">
                  <c:v>2.3557368620352029E-2</c:v>
                </c:pt>
                <c:pt idx="296">
                  <c:v>2.4630521405409049E-2</c:v>
                </c:pt>
                <c:pt idx="297">
                  <c:v>2.5697662583536039E-2</c:v>
                </c:pt>
                <c:pt idx="298">
                  <c:v>2.6758629412270942E-2</c:v>
                </c:pt>
                <c:pt idx="299">
                  <c:v>2.7813207801291807E-2</c:v>
                </c:pt>
                <c:pt idx="300">
                  <c:v>2.8861128776904305E-2</c:v>
                </c:pt>
                <c:pt idx="301">
                  <c:v>2.9902064475574051E-2</c:v>
                </c:pt>
                <c:pt idx="302">
                  <c:v>3.0942389099389983E-2</c:v>
                </c:pt>
                <c:pt idx="303">
                  <c:v>3.1945171708280332E-2</c:v>
                </c:pt>
                <c:pt idx="304">
                  <c:v>3.2910452594023039E-2</c:v>
                </c:pt>
                <c:pt idx="305">
                  <c:v>3.3835016096808709E-2</c:v>
                </c:pt>
                <c:pt idx="306">
                  <c:v>3.471504806197525E-2</c:v>
                </c:pt>
                <c:pt idx="307">
                  <c:v>3.5546112101801315E-2</c:v>
                </c:pt>
                <c:pt idx="308">
                  <c:v>3.632312954368612E-2</c:v>
                </c:pt>
                <c:pt idx="309">
                  <c:v>3.703471307672191E-2</c:v>
                </c:pt>
                <c:pt idx="310">
                  <c:v>3.7709545344676083E-2</c:v>
                </c:pt>
                <c:pt idx="311">
                  <c:v>3.8341942974795859E-2</c:v>
                </c:pt>
                <c:pt idx="312">
                  <c:v>3.8925620465178126E-2</c:v>
                </c:pt>
                <c:pt idx="313">
                  <c:v>3.945370248010286E-2</c:v>
                </c:pt>
                <c:pt idx="314">
                  <c:v>3.9918755313135837E-2</c:v>
                </c:pt>
                <c:pt idx="315">
                  <c:v>4.0312841845980781E-2</c:v>
                </c:pt>
                <c:pt idx="316">
                  <c:v>4.0638446853783761E-2</c:v>
                </c:pt>
                <c:pt idx="317">
                  <c:v>4.0902558340337139E-2</c:v>
                </c:pt>
                <c:pt idx="318">
                  <c:v>4.1155861297939286E-2</c:v>
                </c:pt>
                <c:pt idx="319">
                  <c:v>4.1397621279163258E-2</c:v>
                </c:pt>
                <c:pt idx="320">
                  <c:v>4.162707035342457E-2</c:v>
                </c:pt>
                <c:pt idx="321">
                  <c:v>4.1843407266472454E-2</c:v>
                </c:pt>
                <c:pt idx="322">
                  <c:v>4.2045797964906123E-2</c:v>
                </c:pt>
                <c:pt idx="323">
                  <c:v>4.2210777115344565E-2</c:v>
                </c:pt>
                <c:pt idx="324">
                  <c:v>4.2343540335980354E-2</c:v>
                </c:pt>
                <c:pt idx="325">
                  <c:v>4.2442557244286409E-2</c:v>
                </c:pt>
                <c:pt idx="326">
                  <c:v>4.2506013087863892E-2</c:v>
                </c:pt>
                <c:pt idx="327">
                  <c:v>4.2532255045706388E-2</c:v>
                </c:pt>
                <c:pt idx="328">
                  <c:v>4.2519843011702314E-2</c:v>
                </c:pt>
                <c:pt idx="329">
                  <c:v>4.246733921724364E-2</c:v>
                </c:pt>
                <c:pt idx="330">
                  <c:v>4.2381142041291384E-2</c:v>
                </c:pt>
                <c:pt idx="331">
                  <c:v>4.2267436252911968E-2</c:v>
                </c:pt>
                <c:pt idx="332">
                  <c:v>4.2120486469114031E-2</c:v>
                </c:pt>
                <c:pt idx="333">
                  <c:v>4.1935415415788567E-2</c:v>
                </c:pt>
                <c:pt idx="334">
                  <c:v>4.1707199379897329E-2</c:v>
                </c:pt>
                <c:pt idx="335">
                  <c:v>4.1430718308202739E-2</c:v>
                </c:pt>
                <c:pt idx="336">
                  <c:v>4.1100820070988829E-2</c:v>
                </c:pt>
                <c:pt idx="337">
                  <c:v>4.0751994826681889E-2</c:v>
                </c:pt>
                <c:pt idx="338">
                  <c:v>4.0407192754391537E-2</c:v>
                </c:pt>
                <c:pt idx="339">
                  <c:v>4.0063311099743662E-2</c:v>
                </c:pt>
                <c:pt idx="340">
                  <c:v>3.9717255377324685E-2</c:v>
                </c:pt>
                <c:pt idx="341">
                  <c:v>3.9365974202674729E-2</c:v>
                </c:pt>
                <c:pt idx="342">
                  <c:v>3.9006501150261053E-2</c:v>
                </c:pt>
                <c:pt idx="343">
                  <c:v>3.8636002869204475E-2</c:v>
                </c:pt>
                <c:pt idx="344">
                  <c:v>3.8253154746571191E-2</c:v>
                </c:pt>
                <c:pt idx="345">
                  <c:v>3.7861772767931075E-2</c:v>
                </c:pt>
                <c:pt idx="346">
                  <c:v>3.7477730542994088E-2</c:v>
                </c:pt>
                <c:pt idx="347">
                  <c:v>3.7105915025293583E-2</c:v>
                </c:pt>
                <c:pt idx="348">
                  <c:v>3.67510082840996E-2</c:v>
                </c:pt>
                <c:pt idx="349">
                  <c:v>3.6417448131813912E-2</c:v>
                </c:pt>
                <c:pt idx="350">
                  <c:v>3.610940171399056E-2</c:v>
                </c:pt>
                <c:pt idx="351">
                  <c:v>3.5843542363049596E-2</c:v>
                </c:pt>
                <c:pt idx="352">
                  <c:v>3.5582643881950933E-2</c:v>
                </c:pt>
                <c:pt idx="353">
                  <c:v>3.533047846266231E-2</c:v>
                </c:pt>
                <c:pt idx="354">
                  <c:v>3.5090626923331723E-2</c:v>
                </c:pt>
                <c:pt idx="355">
                  <c:v>3.4866474059366104E-2</c:v>
                </c:pt>
                <c:pt idx="356">
                  <c:v>3.4661101082390657E-2</c:v>
                </c:pt>
                <c:pt idx="357">
                  <c:v>3.4477583706825021E-2</c:v>
                </c:pt>
                <c:pt idx="358">
                  <c:v>3.4308104379013646E-2</c:v>
                </c:pt>
                <c:pt idx="359">
                  <c:v>3.4143821533925818E-2</c:v>
                </c:pt>
                <c:pt idx="360">
                  <c:v>3.402434485185727E-2</c:v>
                </c:pt>
                <c:pt idx="361">
                  <c:v>3.3937797762585535E-2</c:v>
                </c:pt>
                <c:pt idx="362">
                  <c:v>3.3884416571825518E-2</c:v>
                </c:pt>
                <c:pt idx="363">
                  <c:v>3.3864320382847E-2</c:v>
                </c:pt>
                <c:pt idx="364">
                  <c:v>3.3877523960829499E-2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725648"/>
        <c:axId val="327726040"/>
      </c:lineChart>
      <c:dateAx>
        <c:axId val="3277256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7726040"/>
        <c:crosses val="autoZero"/>
        <c:auto val="1"/>
        <c:lblOffset val="100"/>
        <c:baseTimeUnit val="days"/>
        <c:majorUnit val="1"/>
        <c:majorTimeUnit val="months"/>
      </c:dateAx>
      <c:valAx>
        <c:axId val="3277260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77256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69710218426086568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0.80228914971430698</c:v>
                </c:pt>
                <c:pt idx="1">
                  <c:v>0.80212912632551969</c:v>
                </c:pt>
                <c:pt idx="2">
                  <c:v>0.80197810729214347</c:v>
                </c:pt>
                <c:pt idx="3">
                  <c:v>0.80183515610083267</c:v>
                </c:pt>
                <c:pt idx="4">
                  <c:v>0.80169945704421919</c:v>
                </c:pt>
                <c:pt idx="5">
                  <c:v>0.80157031130564005</c:v>
                </c:pt>
                <c:pt idx="6">
                  <c:v>0.80144713216359986</c:v>
                </c:pt>
                <c:pt idx="7">
                  <c:v>0.80132943939243761</c:v>
                </c:pt>
                <c:pt idx="8">
                  <c:v>0.80121685294133982</c:v>
                </c:pt>
                <c:pt idx="9">
                  <c:v>0.80110908597862929</c:v>
                </c:pt>
                <c:pt idx="10">
                  <c:v>0.80100593739213621</c:v>
                </c:pt>
                <c:pt idx="11">
                  <c:v>0.8009072838393918</c:v>
                </c:pt>
                <c:pt idx="12">
                  <c:v>0.80081307144337421</c:v>
                </c:pt>
                <c:pt idx="13">
                  <c:v>0.80072330723056218</c:v>
                </c:pt>
                <c:pt idx="14">
                  <c:v>0.80063805040813218</c:v>
                </c:pt>
                <c:pt idx="15">
                  <c:v>0.80055740357627303</c:v>
                </c:pt>
                <c:pt idx="16">
                  <c:v>0.80048150396982487</c:v>
                </c:pt>
                <c:pt idx="17">
                  <c:v>0.80041051482079162</c:v>
                </c:pt>
                <c:pt idx="18">
                  <c:v>0.8003446169297862</c:v>
                </c:pt>
                <c:pt idx="19">
                  <c:v>0.80028400053018334</c:v>
                </c:pt>
                <c:pt idx="20">
                  <c:v>0.80022885752373218</c:v>
                </c:pt>
                <c:pt idx="21">
                  <c:v>0.80017937416068796</c:v>
                </c:pt>
                <c:pt idx="22">
                  <c:v>0.80013572423122303</c:v>
                </c:pt>
                <c:pt idx="23">
                  <c:v>0.80009806282804263</c:v>
                </c:pt>
                <c:pt idx="24">
                  <c:v>0.80006652073284723</c:v>
                </c:pt>
                <c:pt idx="25">
                  <c:v>0.80004119947162011</c:v>
                </c:pt>
                <c:pt idx="26">
                  <c:v>0.80002216707577067</c:v>
                </c:pt>
                <c:pt idx="27">
                  <c:v>0.80000945457800687</c:v>
                </c:pt>
                <c:pt idx="28">
                  <c:v>0.80000305326353893</c:v>
                </c:pt>
                <c:pt idx="29">
                  <c:v>0.80000291268890711</c:v>
                </c:pt>
                <c:pt idx="30">
                  <c:v>0.80000893947247598</c:v>
                </c:pt>
                <c:pt idx="31">
                  <c:v>0.80002099685251504</c:v>
                </c:pt>
                <c:pt idx="32">
                  <c:v>0.80003890500088692</c:v>
                </c:pt>
                <c:pt idx="33">
                  <c:v>0.80006244207275168</c:v>
                </c:pt>
                <c:pt idx="34">
                  <c:v>0.80009134596545062</c:v>
                </c:pt>
                <c:pt idx="35">
                  <c:v>0.80012531675292231</c:v>
                </c:pt>
                <c:pt idx="36">
                  <c:v>0.80016401975568541</c:v>
                </c:pt>
                <c:pt idx="37">
                  <c:v>0.80020708920065409</c:v>
                </c:pt>
                <c:pt idx="38">
                  <c:v>0.80025413241988708</c:v>
                </c:pt>
                <c:pt idx="39">
                  <c:v>0.80030473453284146</c:v>
                </c:pt>
                <c:pt idx="40">
                  <c:v>0.80035846355285278</c:v>
                </c:pt>
                <c:pt idx="41">
                  <c:v>0.8004148758554156</c:v>
                </c:pt>
                <c:pt idx="42">
                  <c:v>0.80047352194340737</c:v>
                </c:pt>
                <c:pt idx="43">
                  <c:v>0.80053395244270398</c:v>
                </c:pt>
                <c:pt idx="44">
                  <c:v>0.80059572426067438</c:v>
                </c:pt>
                <c:pt idx="45">
                  <c:v>0.80065840683980449</c:v>
                </c:pt>
                <c:pt idx="46">
                  <c:v>0.80072158843918573</c:v>
                </c:pt>
                <c:pt idx="47">
                  <c:v>0.800784882377781</c:v>
                </c:pt>
                <c:pt idx="48">
                  <c:v>0.80084793317522285</c:v>
                </c:pt>
                <c:pt idx="49">
                  <c:v>0.80091042252837996</c:v>
                </c:pt>
                <c:pt idx="50">
                  <c:v>0.80097207506499557</c:v>
                </c:pt>
                <c:pt idx="51">
                  <c:v>0.80103266381931448</c:v>
                </c:pt>
                <c:pt idx="52">
                  <c:v>0.80109201537872954</c:v>
                </c:pt>
                <c:pt idx="53">
                  <c:v>0.80115001465501567</c:v>
                </c:pt>
                <c:pt idx="54">
                  <c:v>0.80120660923865139</c:v>
                </c:pt>
                <c:pt idx="55">
                  <c:v>0.80126181329995483</c:v>
                </c:pt>
                <c:pt idx="56">
                  <c:v>0.80131571100625376</c:v>
                </c:pt>
                <c:pt idx="57">
                  <c:v>0.80136845942997015</c:v>
                </c:pt>
                <c:pt idx="58">
                  <c:v>0.80142029092827893</c:v>
                </c:pt>
                <c:pt idx="59">
                  <c:v>0.80147151498082458</c:v>
                </c:pt>
                <c:pt idx="60">
                  <c:v>0.80152251947778264</c:v>
                </c:pt>
                <c:pt idx="61">
                  <c:v>0.8015737714562603</c:v>
                </c:pt>
                <c:pt idx="62">
                  <c:v>0.80162581728859983</c:v>
                </c:pt>
                <c:pt idx="63">
                  <c:v>0.80167928233149144</c:v>
                </c:pt>
                <c:pt idx="64">
                  <c:v>0.80173487004988542</c:v>
                </c:pt>
                <c:pt idx="65">
                  <c:v>0.80179336063445283</c:v>
                </c:pt>
                <c:pt idx="66">
                  <c:v>0.80185560913572951</c:v>
                </c:pt>
                <c:pt idx="67">
                  <c:v>0.80192254314205558</c:v>
                </c:pt>
                <c:pt idx="68">
                  <c:v>0.80199516003194948</c:v>
                </c:pt>
                <c:pt idx="69">
                  <c:v>0.8020745238345981</c:v>
                </c:pt>
                <c:pt idx="70">
                  <c:v>0.80216176173468567</c:v>
                </c:pt>
                <c:pt idx="71">
                  <c:v>0.80225806025979984</c:v>
                </c:pt>
                <c:pt idx="72">
                  <c:v>0.80236466119013272</c:v>
                </c:pt>
                <c:pt idx="73">
                  <c:v>0.80248285723113599</c:v>
                </c:pt>
                <c:pt idx="74">
                  <c:v>0.80261398749019375</c:v>
                </c:pt>
                <c:pt idx="75">
                  <c:v>0.80275943279824569</c:v>
                </c:pt>
                <c:pt idx="76">
                  <c:v>0.80292061091665823</c:v>
                </c:pt>
                <c:pt idx="77">
                  <c:v>0.80309897166850319</c:v>
                </c:pt>
                <c:pt idx="78">
                  <c:v>0.80329599203180646</c:v>
                </c:pt>
                <c:pt idx="79">
                  <c:v>0.80351317123029775</c:v>
                </c:pt>
                <c:pt idx="80">
                  <c:v>0.80375202585476069</c:v>
                </c:pt>
                <c:pt idx="81">
                  <c:v>0.80401408504530669</c:v>
                </c:pt>
                <c:pt idx="82">
                  <c:v>0.80430088576180425</c:v>
                </c:pt>
                <c:pt idx="83">
                  <c:v>0.80461396816634967</c:v>
                </c:pt>
                <c:pt idx="84">
                  <c:v>0.80495487113811703</c:v>
                </c:pt>
                <c:pt idx="85">
                  <c:v>0.80532512793722</c:v>
                </c:pt>
                <c:pt idx="86">
                  <c:v>0.80572626203042286</c:v>
                </c:pt>
                <c:pt idx="87">
                  <c:v>0.8061597830877012</c:v>
                </c:pt>
                <c:pt idx="88">
                  <c:v>0.80662718315483395</c:v>
                </c:pt>
                <c:pt idx="89">
                  <c:v>0.80712993300346425</c:v>
                </c:pt>
                <c:pt idx="90">
                  <c:v>0.80766947865644667</c:v>
                </c:pt>
                <c:pt idx="91">
                  <c:v>0.80824723808286036</c:v>
                </c:pt>
                <c:pt idx="92">
                  <c:v>0.80886459805385891</c:v>
                </c:pt>
                <c:pt idx="93">
                  <c:v>0.80952291114759001</c:v>
                </c:pt>
                <c:pt idx="94">
                  <c:v>0.81022349288880224</c:v>
                </c:pt>
                <c:pt idx="95">
                  <c:v>0.8109676190064915</c:v>
                </c:pt>
                <c:pt idx="96">
                  <c:v>0.81175652279106436</c:v>
                </c:pt>
                <c:pt idx="97">
                  <c:v>0.81259139253103185</c:v>
                </c:pt>
                <c:pt idx="98">
                  <c:v>0.81347336900822631</c:v>
                </c:pt>
                <c:pt idx="99">
                  <c:v>0.81440354302995865</c:v>
                </c:pt>
                <c:pt idx="100">
                  <c:v>0.81538295297642405</c:v>
                </c:pt>
                <c:pt idx="101">
                  <c:v>0.81641258234202108</c:v>
                </c:pt>
                <c:pt idx="102">
                  <c:v>0.81749335725006778</c:v>
                </c:pt>
                <c:pt idx="103">
                  <c:v>0.81862614392166877</c:v>
                </c:pt>
                <c:pt idx="104">
                  <c:v>0.81981174608120277</c:v>
                </c:pt>
                <c:pt idx="105">
                  <c:v>0.82105090228302391</c:v>
                </c:pt>
                <c:pt idx="106">
                  <c:v>0.8223442831464931</c:v>
                </c:pt>
                <c:pt idx="107">
                  <c:v>0.82369248848932741</c:v>
                </c:pt>
                <c:pt idx="108">
                  <c:v>0.82509604435245776</c:v>
                </c:pt>
                <c:pt idx="109">
                  <c:v>0.8265553999130506</c:v>
                </c:pt>
                <c:pt idx="110">
                  <c:v>0.8280709242860641</c:v>
                </c:pt>
                <c:pt idx="111">
                  <c:v>0.82964290321858791</c:v>
                </c:pt>
                <c:pt idx="112">
                  <c:v>0.83127153568523371</c:v>
                </c:pt>
                <c:pt idx="113">
                  <c:v>0.83295693039693186</c:v>
                </c:pt>
                <c:pt idx="114">
                  <c:v>0.83469910223959143</c:v>
                </c:pt>
                <c:pt idx="115">
                  <c:v>0.83649796866314208</c:v>
                </c:pt>
                <c:pt idx="116">
                  <c:v>0.83835334604543776</c:v>
                </c:pt>
                <c:pt idx="117">
                  <c:v>0.84026494605930402</c:v>
                </c:pt>
                <c:pt idx="118">
                  <c:v>0.84223237207459767</c:v>
                </c:pt>
                <c:pt idx="119">
                  <c:v>0.84425511563046163</c:v>
                </c:pt>
                <c:pt idx="120">
                  <c:v>0.84633255301595478</c:v>
                </c:pt>
                <c:pt idx="121">
                  <c:v>0.84846394199985486</c:v>
                </c:pt>
                <c:pt idx="122">
                  <c:v>0.85064841875263586</c:v>
                </c:pt>
                <c:pt idx="123">
                  <c:v>0.8528849950053663</c:v>
                </c:pt>
                <c:pt idx="124">
                  <c:v>0.85517255549152238</c:v>
                </c:pt>
                <c:pt idx="125">
                  <c:v>0.85750985571843319</c:v>
                </c:pt>
                <c:pt idx="126">
                  <c:v>0.85989552011524362</c:v>
                </c:pt>
                <c:pt idx="127">
                  <c:v>0.86232804060388435</c:v>
                </c:pt>
                <c:pt idx="128">
                  <c:v>0.86480577563855354</c:v>
                </c:pt>
                <c:pt idx="129">
                  <c:v>0.86732694975764535</c:v>
                </c:pt>
                <c:pt idx="130">
                  <c:v>0.86988965368990123</c:v>
                </c:pt>
                <c:pt idx="131">
                  <c:v>0.8724918450538246</c:v>
                </c:pt>
                <c:pt idx="132">
                  <c:v>0.87513134968609607</c:v>
                </c:pt>
                <c:pt idx="133">
                  <c:v>0.87780586363088453</c:v>
                </c:pt>
                <c:pt idx="134">
                  <c:v>0.88051295581758837</c:v>
                </c:pt>
                <c:pt idx="135">
                  <c:v>0.88325007144970769</c:v>
                </c:pt>
                <c:pt idx="136">
                  <c:v>0.88601453612226877</c:v>
                </c:pt>
                <c:pt idx="137">
                  <c:v>0.88880356067956079</c:v>
                </c:pt>
                <c:pt idx="138">
                  <c:v>0.8916142468189302</c:v>
                </c:pt>
                <c:pt idx="139">
                  <c:v>0.89444359344009583</c:v>
                </c:pt>
                <c:pt idx="140">
                  <c:v>0.89728850373293267</c:v>
                </c:pt>
                <c:pt idx="141">
                  <c:v>0.90014579298999975</c:v>
                </c:pt>
                <c:pt idx="142">
                  <c:v>0.90301219712333258</c:v>
                </c:pt>
                <c:pt idx="143">
                  <c:v>0.90588438185823272</c:v>
                </c:pt>
                <c:pt idx="144">
                  <c:v>0.90875895257005612</c:v>
                </c:pt>
                <c:pt idx="145">
                  <c:v>0.91163246472338955</c:v>
                </c:pt>
                <c:pt idx="146">
                  <c:v>0.91450143486658353</c:v>
                </c:pt>
                <c:pt idx="147">
                  <c:v>0.91736235212844719</c:v>
                </c:pt>
                <c:pt idx="148">
                  <c:v>0.92021169015808968</c:v>
                </c:pt>
                <c:pt idx="149">
                  <c:v>0.92304591944345127</c:v>
                </c:pt>
                <c:pt idx="150">
                  <c:v>0.92586151993910282</c:v>
                </c:pt>
                <c:pt idx="151">
                  <c:v>0.92865499392943418</c:v>
                </c:pt>
                <c:pt idx="152">
                  <c:v>0.93142287904947363</c:v>
                </c:pt>
                <c:pt idx="153">
                  <c:v>0.9341617613823191</c:v>
                </c:pt>
                <c:pt idx="154">
                  <c:v>0.93686828854957138</c:v>
                </c:pt>
                <c:pt idx="155">
                  <c:v>0.93953918270926895</c:v>
                </c:pt>
                <c:pt idx="156">
                  <c:v>0.94217125337466512</c:v>
                </c:pt>
                <c:pt idx="157">
                  <c:v>0.94476140996678681</c:v>
                </c:pt>
                <c:pt idx="158">
                  <c:v>0.94730667401408586</c:v>
                </c:pt>
                <c:pt idx="159">
                  <c:v>0.94980419091364054</c:v>
                </c:pt>
                <c:pt idx="160">
                  <c:v>0.95225124117029591</c:v>
                </c:pt>
                <c:pt idx="161">
                  <c:v>0.95464525103282949</c:v>
                </c:pt>
                <c:pt idx="162">
                  <c:v>0.9569838024496844</c:v>
                </c:pt>
                <c:pt idx="163">
                  <c:v>0.9592646422710025</c:v>
                </c:pt>
                <c:pt idx="164">
                  <c:v>0.96148569062856992</c:v>
                </c:pt>
                <c:pt idx="165">
                  <c:v>0.96364504843084275</c:v>
                </c:pt>
                <c:pt idx="166">
                  <c:v>0.96574100391638185</c:v>
                </c:pt>
                <c:pt idx="167">
                  <c:v>0.96777203821575042</c:v>
                </c:pt>
                <c:pt idx="168">
                  <c:v>0.96973682987916232</c:v>
                </c:pt>
                <c:pt idx="169">
                  <c:v>0.97163425833483785</c:v>
                </c:pt>
                <c:pt idx="170">
                  <c:v>0.97346340625106642</c:v>
                </c:pt>
                <c:pt idx="171">
                  <c:v>0.97522356078331529</c:v>
                </c:pt>
                <c:pt idx="172">
                  <c:v>0.97691421369628162</c:v>
                </c:pt>
                <c:pt idx="173">
                  <c:v>0.97853506035948734</c:v>
                </c:pt>
                <c:pt idx="174">
                  <c:v>0.98008599762377813</c:v>
                </c:pt>
                <c:pt idx="175">
                  <c:v>0.98156712059481777</c:v>
                </c:pt>
                <c:pt idx="176">
                  <c:v>0.98297871832830719</c:v>
                </c:pt>
                <c:pt idx="177">
                  <c:v>0.98432126848009438</c:v>
                </c:pt>
                <c:pt idx="178">
                  <c:v>0.98559543095251079</c:v>
                </c:pt>
                <c:pt idx="179">
                  <c:v>0.98680204058609777</c:v>
                </c:pt>
                <c:pt idx="180">
                  <c:v>0.98794209895328122</c:v>
                </c:pt>
                <c:pt idx="181">
                  <c:v>0.98901676531745952</c:v>
                </c:pt>
                <c:pt idx="182">
                  <c:v>0.99002734682730487</c:v>
                </c:pt>
                <c:pt idx="183">
                  <c:v>0.99097528802180368</c:v>
                </c:pt>
                <c:pt idx="184">
                  <c:v>0.99186215972658798</c:v>
                </c:pt>
                <c:pt idx="185">
                  <c:v>0.9926896474264294</c:v>
                </c:pt>
                <c:pt idx="186">
                  <c:v>0.99345953920229579</c:v>
                </c:pt>
                <c:pt idx="187">
                  <c:v>0.99417371332411075</c:v>
                </c:pt>
                <c:pt idx="188">
                  <c:v>0.99483412559225748</c:v>
                </c:pt>
                <c:pt idx="189">
                  <c:v>0.99544279652192258</c:v>
                </c:pt>
                <c:pt idx="190">
                  <c:v>0.99600179846457615</c:v>
                </c:pt>
                <c:pt idx="191">
                  <c:v>0.99651324276022013</c:v>
                </c:pt>
                <c:pt idx="192">
                  <c:v>0.99697926701252793</c:v>
                </c:pt>
                <c:pt idx="193">
                  <c:v>0.99740202257665411</c:v>
                </c:pt>
                <c:pt idx="194">
                  <c:v>0.99778366234633942</c:v>
                </c:pt>
                <c:pt idx="195">
                  <c:v>0.99812632892300646</c:v>
                </c:pt>
                <c:pt idx="196">
                  <c:v>0.99843214324488216</c:v>
                </c:pt>
                <c:pt idx="197">
                  <c:v>0.99870319374883132</c:v>
                </c:pt>
                <c:pt idx="198">
                  <c:v>0.99894152613161069</c:v>
                </c:pt>
                <c:pt idx="199">
                  <c:v>0.99914913377070502</c:v>
                </c:pt>
                <c:pt idx="200">
                  <c:v>0.99932794885786236</c:v>
                </c:pt>
                <c:pt idx="201">
                  <c:v>0.9994798342909732</c:v>
                </c:pt>
                <c:pt idx="202">
                  <c:v>0.99960657636211303</c:v>
                </c:pt>
                <c:pt idx="203">
                  <c:v>0.99970987827148239</c:v>
                </c:pt>
                <c:pt idx="204">
                  <c:v>0.99979135448869283</c:v>
                </c:pt>
                <c:pt idx="205">
                  <c:v>0.99985252597448171</c:v>
                </c:pt>
                <c:pt idx="206">
                  <c:v>0.99989481626753784</c:v>
                </c:pt>
                <c:pt idx="207">
                  <c:v>0.99991954843281095</c:v>
                </c:pt>
                <c:pt idx="208">
                  <c:v>0.99992794285951137</c:v>
                </c:pt>
                <c:pt idx="209">
                  <c:v>0.99992111588909649</c:v>
                </c:pt>
                <c:pt idx="210">
                  <c:v>0.99990007924593782</c:v>
                </c:pt>
                <c:pt idx="211">
                  <c:v>0.99986574023617636</c:v>
                </c:pt>
                <c:pt idx="212">
                  <c:v>0.99981890267354601</c:v>
                </c:pt>
                <c:pt idx="213">
                  <c:v>0.99976026848477439</c:v>
                </c:pt>
                <c:pt idx="214">
                  <c:v>0.99969043994158979</c:v>
                </c:pt>
                <c:pt idx="215">
                  <c:v>0.99960992246144886</c:v>
                </c:pt>
                <c:pt idx="216">
                  <c:v>0.9995191279149005</c:v>
                </c:pt>
                <c:pt idx="217">
                  <c:v>0.99941837837403535</c:v>
                </c:pt>
                <c:pt idx="218">
                  <c:v>0.99930791023380428</c:v>
                </c:pt>
                <c:pt idx="219">
                  <c:v>0.99918787863611658</c:v>
                </c:pt>
                <c:pt idx="220">
                  <c:v>0.99905836212559096</c:v>
                </c:pt>
                <c:pt idx="221">
                  <c:v>0.99891936746561016</c:v>
                </c:pt>
                <c:pt idx="222">
                  <c:v>0.99877083454395099</c:v>
                </c:pt>
                <c:pt idx="223">
                  <c:v>0.99861264129868688</c:v>
                </c:pt>
                <c:pt idx="224">
                  <c:v>0.9984446085972869</c:v>
                </c:pt>
                <c:pt idx="225">
                  <c:v>0.9982665050048336</c:v>
                </c:pt>
                <c:pt idx="226">
                  <c:v>0.99807805138100247</c:v>
                </c:pt>
                <c:pt idx="227">
                  <c:v>0.99787892524986321</c:v>
                </c:pt>
                <c:pt idx="228">
                  <c:v>0.99766876489160472</c:v>
                </c:pt>
                <c:pt idx="229">
                  <c:v>0.99744717311090825</c:v>
                </c:pt>
                <c:pt idx="230">
                  <c:v>0.99721372064282132</c:v>
                </c:pt>
                <c:pt idx="231">
                  <c:v>0.99696794916354636</c:v>
                </c:pt>
                <c:pt idx="232">
                  <c:v>0.99670937388049308</c:v>
                </c:pt>
                <c:pt idx="233">
                  <c:v>0.99643748568313639</c:v>
                </c:pt>
                <c:pt idx="234">
                  <c:v>0.996151752843635</c:v>
                </c:pt>
                <c:pt idx="235">
                  <c:v>0.99585162226367219</c:v>
                </c:pt>
                <c:pt idx="236">
                  <c:v>0.99553652027151274</c:v>
                </c:pt>
                <c:pt idx="237">
                  <c:v>0.99520585298074637</c:v>
                </c:pt>
                <c:pt idx="238">
                  <c:v>0.99485900622949497</c:v>
                </c:pt>
                <c:pt idx="239">
                  <c:v>0.99449534512594595</c:v>
                </c:pt>
                <c:pt idx="240">
                  <c:v>0.99411421323281979</c:v>
                </c:pt>
                <c:pt idx="241">
                  <c:v>0.99371493142973943</c:v>
                </c:pt>
                <c:pt idx="242">
                  <c:v>0.99329679649832814</c:v>
                </c:pt>
                <c:pt idx="243">
                  <c:v>0.99285907948019281</c:v>
                </c:pt>
                <c:pt idx="244">
                  <c:v>0.99240102386264439</c:v>
                </c:pt>
                <c:pt idx="245">
                  <c:v>0.99192184365103486</c:v>
                </c:pt>
                <c:pt idx="246">
                  <c:v>0.99142072138988702</c:v>
                </c:pt>
                <c:pt idx="247">
                  <c:v>0.99089680619752429</c:v>
                </c:pt>
                <c:pt idx="248">
                  <c:v>0.99034921188061475</c:v>
                </c:pt>
                <c:pt idx="249">
                  <c:v>0.98977701519593753</c:v>
                </c:pt>
                <c:pt idx="250">
                  <c:v>0.98917925432669707</c:v>
                </c:pt>
                <c:pt idx="251">
                  <c:v>0.9885549276398875</c:v>
                </c:pt>
                <c:pt idx="252">
                  <c:v>0.98790299278950333</c:v>
                </c:pt>
                <c:pt idx="253">
                  <c:v>0.98722236622785298</c:v>
                </c:pt>
                <c:pt idx="254">
                  <c:v>0.9865119231838495</c:v>
                </c:pt>
                <c:pt idx="255">
                  <c:v>0.98577049816296836</c:v>
                </c:pt>
                <c:pt idx="256">
                  <c:v>0.98499688601861646</c:v>
                </c:pt>
                <c:pt idx="257">
                  <c:v>0.98418984363898465</c:v>
                </c:pt>
                <c:pt idx="258">
                  <c:v>0.98334809228712805</c:v>
                </c:pt>
                <c:pt idx="259">
                  <c:v>0.98247032062508133</c:v>
                </c:pt>
                <c:pt idx="260">
                  <c:v>0.98155518844534817</c:v>
                </c:pt>
                <c:pt idx="261">
                  <c:v>0.98060133112518399</c:v>
                </c:pt>
                <c:pt idx="262">
                  <c:v>0.97960736481078747</c:v>
                </c:pt>
                <c:pt idx="263">
                  <c:v>0.97857189232993147</c:v>
                </c:pt>
                <c:pt idx="264">
                  <c:v>0.97749350982277661</c:v>
                </c:pt>
                <c:pt idx="265">
                  <c:v>0.97637081407171811</c:v>
                </c:pt>
                <c:pt idx="266">
                  <c:v>0.97520241050221512</c:v>
                </c:pt>
                <c:pt idx="267">
                  <c:v>0.97398692181773572</c:v>
                </c:pt>
                <c:pt idx="268">
                  <c:v>0.97272299722331523</c:v>
                </c:pt>
                <c:pt idx="269">
                  <c:v>0.97140932218387765</c:v>
                </c:pt>
                <c:pt idx="270">
                  <c:v>0.9700446286554737</c:v>
                </c:pt>
                <c:pt idx="271">
                  <c:v>0.96862770572008172</c:v>
                </c:pt>
                <c:pt idx="272">
                  <c:v>0.96715741054763371</c:v>
                </c:pt>
                <c:pt idx="273">
                  <c:v>0.96563267960259114</c:v>
                </c:pt>
                <c:pt idx="274">
                  <c:v>0.96405254000676222</c:v>
                </c:pt>
                <c:pt idx="275">
                  <c:v>0.9624161209651827</c:v>
                </c:pt>
                <c:pt idx="276">
                  <c:v>0.96072266515787474</c:v>
                </c:pt>
                <c:pt idx="277">
                  <c:v>0.95897153999715545</c:v>
                </c:pt>
                <c:pt idx="278">
                  <c:v>0.95716224864798471</c:v>
                </c:pt>
                <c:pt idx="279">
                  <c:v>0.95529444070762437</c:v>
                </c:pt>
                <c:pt idx="280">
                  <c:v>0.9533679224406586</c:v>
                </c:pt>
                <c:pt idx="281">
                  <c:v>0.95138266646623926</c:v>
                </c:pt>
                <c:pt idx="282">
                  <c:v>0.94933882079623833</c:v>
                </c:pt>
                <c:pt idx="283">
                  <c:v>0.94723671712584379</c:v>
                </c:pt>
                <c:pt idx="284">
                  <c:v>0.9450768782819946</c:v>
                </c:pt>
                <c:pt idx="285">
                  <c:v>0.94286002473988373</c:v>
                </c:pt>
                <c:pt idx="286">
                  <c:v>0.9405870801235594</c:v>
                </c:pt>
                <c:pt idx="287">
                  <c:v>0.93825917561333938</c:v>
                </c:pt>
                <c:pt idx="288">
                  <c:v>0.9358776531903088</c:v>
                </c:pt>
                <c:pt idx="289">
                  <c:v>0.93344406765650922</c:v>
                </c:pt>
                <c:pt idx="290">
                  <c:v>0.93096018737847663</c:v>
                </c:pt>
                <c:pt idx="291">
                  <c:v>0.92842799371149387</c:v>
                </c:pt>
                <c:pt idx="292">
                  <c:v>0.92584967907216797</c:v>
                </c:pt>
                <c:pt idx="293">
                  <c:v>0.92322764363766141</c:v>
                </c:pt>
                <c:pt idx="294">
                  <c:v>0.92056449066099522</c:v>
                </c:pt>
                <c:pt idx="295">
                  <c:v>0.91786302040318457</c:v>
                </c:pt>
                <c:pt idx="296">
                  <c:v>0.91512622269448374</c:v>
                </c:pt>
                <c:pt idx="297">
                  <c:v>0.91235726814858187</c:v>
                </c:pt>
                <c:pt idx="298">
                  <c:v>0.90955949806510361</c:v>
                </c:pt>
                <c:pt idx="299">
                  <c:v>0.90673641306712205</c:v>
                </c:pt>
                <c:pt idx="300">
                  <c:v>0.90389166053146663</c:v>
                </c:pt>
                <c:pt idx="301">
                  <c:v>0.90102902088032577</c:v>
                </c:pt>
                <c:pt idx="302">
                  <c:v>0.8981523928128603</c:v>
                </c:pt>
                <c:pt idx="303">
                  <c:v>0.89526577756520931</c:v>
                </c:pt>
                <c:pt idx="304">
                  <c:v>0.89237326229624314</c:v>
                </c:pt>
                <c:pt idx="305">
                  <c:v>0.88947900270464697</c:v>
                </c:pt>
                <c:pt idx="306">
                  <c:v>0.88658720499030574</c:v>
                </c:pt>
                <c:pt idx="307">
                  <c:v>0.88370210727942844</c:v>
                </c:pt>
                <c:pt idx="308">
                  <c:v>0.88082796063835156</c:v>
                </c:pt>
                <c:pt idx="309">
                  <c:v>0.87796900980541837</c:v>
                </c:pt>
                <c:pt idx="310">
                  <c:v>0.8751294737737112</c:v>
                </c:pt>
                <c:pt idx="311">
                  <c:v>0.87231352635968007</c:v>
                </c:pt>
                <c:pt idx="312">
                  <c:v>0.86952527689382553</c:v>
                </c:pt>
                <c:pt idx="313">
                  <c:v>0.86676875116955832</c:v>
                </c:pt>
                <c:pt idx="314">
                  <c:v>0.86404787278515471</c:v>
                </c:pt>
                <c:pt idx="315">
                  <c:v>0.86136644501136117</c:v>
                </c:pt>
                <c:pt idx="316">
                  <c:v>0.8587281333137079</c:v>
                </c:pt>
                <c:pt idx="317">
                  <c:v>0.85613644865397354</c:v>
                </c:pt>
                <c:pt idx="318">
                  <c:v>0.85359473168955746</c:v>
                </c:pt>
                <c:pt idx="319">
                  <c:v>0.85110613798280521</c:v>
                </c:pt>
                <c:pt idx="320">
                  <c:v>0.84867362432465421</c:v>
                </c:pt>
                <c:pt idx="321">
                  <c:v>0.84629993626838529</c:v>
                </c:pt>
                <c:pt idx="322">
                  <c:v>0.84398759695987169</c:v>
                </c:pt>
                <c:pt idx="323">
                  <c:v>0.84173889734056495</c:v>
                </c:pt>
                <c:pt idx="324">
                  <c:v>0.83955588778867762</c:v>
                </c:pt>
                <c:pt idx="325">
                  <c:v>0.8374403712526679</c:v>
                </c:pt>
                <c:pt idx="326">
                  <c:v>0.83539389791934549</c:v>
                </c:pt>
                <c:pt idx="327">
                  <c:v>0.83341776144677304</c:v>
                </c:pt>
                <c:pt idx="328">
                  <c:v>0.83151299677976409</c:v>
                </c:pt>
                <c:pt idx="329">
                  <c:v>0.82968037955327611</c:v>
                </c:pt>
                <c:pt idx="330">
                  <c:v>0.82792042707648716</c:v>
                </c:pt>
                <c:pt idx="331">
                  <c:v>0.8262334008779274</c:v>
                </c:pt>
                <c:pt idx="332">
                  <c:v>0.8246193107798383</c:v>
                </c:pt>
                <c:pt idx="333">
                  <c:v>0.82307792045804407</c:v>
                </c:pt>
                <c:pt idx="334">
                  <c:v>0.82160875443216697</c:v>
                </c:pt>
                <c:pt idx="335">
                  <c:v>0.82021110642007999</c:v>
                </c:pt>
                <c:pt idx="336">
                  <c:v>0.81888404898018519</c:v>
                </c:pt>
                <c:pt idx="337">
                  <c:v>0.81762644435550791</c:v>
                </c:pt>
                <c:pt idx="338">
                  <c:v>0.81643695642479197</c:v>
                </c:pt>
                <c:pt idx="339">
                  <c:v>0.81531406365785486</c:v>
                </c:pt>
                <c:pt idx="340">
                  <c:v>0.81425607296546376</c:v>
                </c:pt>
                <c:pt idx="341">
                  <c:v>0.81326113432799818</c:v>
                </c:pt>
                <c:pt idx="342">
                  <c:v>0.81232725608220924</c:v>
                </c:pt>
                <c:pt idx="343">
                  <c:v>0.81145232074151274</c:v>
                </c:pt>
                <c:pt idx="344">
                  <c:v>0.81063410122249158</c:v>
                </c:pt>
                <c:pt idx="345">
                  <c:v>0.80987027734864592</c:v>
                </c:pt>
                <c:pt idx="346">
                  <c:v>0.80915845250192853</c:v>
                </c:pt>
                <c:pt idx="347">
                  <c:v>0.80849617029323162</c:v>
                </c:pt>
                <c:pt idx="348">
                  <c:v>0.80788093112473136</c:v>
                </c:pt>
                <c:pt idx="349">
                  <c:v>0.80731020851983559</c:v>
                </c:pt>
                <c:pt idx="350">
                  <c:v>0.80678146510036286</c:v>
                </c:pt>
                <c:pt idx="351">
                  <c:v>0.80629216809548476</c:v>
                </c:pt>
                <c:pt idx="352">
                  <c:v>0.80583980427281687</c:v>
                </c:pt>
                <c:pt idx="353">
                  <c:v>0.80542189418879484</c:v>
                </c:pt>
                <c:pt idx="354">
                  <c:v>0.80503600566304356</c:v>
                </c:pt>
                <c:pt idx="355">
                  <c:v>0.80467976638976668</c:v>
                </c:pt>
                <c:pt idx="356">
                  <c:v>0.8043508756081631</c:v>
                </c:pt>
                <c:pt idx="357">
                  <c:v>0.8040471147634275</c:v>
                </c:pt>
                <c:pt idx="358">
                  <c:v>0.80376635709992073</c:v>
                </c:pt>
                <c:pt idx="359">
                  <c:v>0.80350657613850163</c:v>
                </c:pt>
                <c:pt idx="360">
                  <c:v>0.80326585300069508</c:v>
                </c:pt>
                <c:pt idx="361">
                  <c:v>0.80304238255323301</c:v>
                </c:pt>
                <c:pt idx="362">
                  <c:v>0.80283447835743404</c:v>
                </c:pt>
                <c:pt idx="363">
                  <c:v>0.8026405764187875</c:v>
                </c:pt>
                <c:pt idx="364">
                  <c:v>0.80245923774287642</c:v>
                </c:pt>
                <c:pt idx="365">
                  <c:v>0.80228914971430698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639232"/>
        <c:axId val="308638448"/>
      </c:lineChart>
      <c:dateAx>
        <c:axId val="308639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0863844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08638448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08639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5.6465127850057535E-2</c:v>
                </c:pt>
                <c:pt idx="1">
                  <c:v>5.5886605834959795E-2</c:v>
                </c:pt>
                <c:pt idx="2">
                  <c:v>5.5257276621524166E-2</c:v>
                </c:pt>
                <c:pt idx="3">
                  <c:v>5.4576916790387613E-2</c:v>
                </c:pt>
                <c:pt idx="4">
                  <c:v>5.3845308826973824E-2</c:v>
                </c:pt>
                <c:pt idx="5">
                  <c:v>5.3062242411435333E-2</c:v>
                </c:pt>
                <c:pt idx="6">
                  <c:v>5.2227515709275162E-2</c:v>
                </c:pt>
                <c:pt idx="7">
                  <c:v>5.1340936660759007E-2</c:v>
                </c:pt>
                <c:pt idx="8">
                  <c:v>5.0402324271094728E-2</c:v>
                </c:pt>
                <c:pt idx="9">
                  <c:v>4.9345545788212035E-2</c:v>
                </c:pt>
                <c:pt idx="10">
                  <c:v>4.8218922512021319E-2</c:v>
                </c:pt>
                <c:pt idx="11">
                  <c:v>4.702229601729091E-2</c:v>
                </c:pt>
                <c:pt idx="12">
                  <c:v>4.5755526807644407E-2</c:v>
                </c:pt>
                <c:pt idx="13">
                  <c:v>4.4418496048718448E-2</c:v>
                </c:pt>
                <c:pt idx="14">
                  <c:v>4.3011107300568847E-2</c:v>
                </c:pt>
                <c:pt idx="15">
                  <c:v>4.1473330765418627E-2</c:v>
                </c:pt>
                <c:pt idx="16">
                  <c:v>3.9807267287384804E-2</c:v>
                </c:pt>
                <c:pt idx="17">
                  <c:v>3.8012858736827443E-2</c:v>
                </c:pt>
                <c:pt idx="18">
                  <c:v>3.6090088916972685E-2</c:v>
                </c:pt>
                <c:pt idx="19">
                  <c:v>3.4039176628881958E-2</c:v>
                </c:pt>
                <c:pt idx="20">
                  <c:v>3.1860420665141949E-2</c:v>
                </c:pt>
                <c:pt idx="21">
                  <c:v>2.9553964739355593E-2</c:v>
                </c:pt>
                <c:pt idx="22">
                  <c:v>2.7119960042116923E-2</c:v>
                </c:pt>
                <c:pt idx="23">
                  <c:v>2.4666009445934545E-2</c:v>
                </c:pt>
                <c:pt idx="24">
                  <c:v>2.2258518154691861E-2</c:v>
                </c:pt>
                <c:pt idx="25">
                  <c:v>1.9897673373890649E-2</c:v>
                </c:pt>
                <c:pt idx="26">
                  <c:v>1.7583644772667835E-2</c:v>
                </c:pt>
                <c:pt idx="27">
                  <c:v>1.5316585076238886E-2</c:v>
                </c:pt>
                <c:pt idx="28">
                  <c:v>1.3096630658762569E-2</c:v>
                </c:pt>
                <c:pt idx="29">
                  <c:v>1.1011190179731038E-2</c:v>
                </c:pt>
                <c:pt idx="30">
                  <c:v>9.1204201092244513E-3</c:v>
                </c:pt>
                <c:pt idx="31">
                  <c:v>7.424392414795508E-3</c:v>
                </c:pt>
                <c:pt idx="32">
                  <c:v>5.9231558335872065E-3</c:v>
                </c:pt>
                <c:pt idx="33">
                  <c:v>4.6167383069929428E-3</c:v>
                </c:pt>
                <c:pt idx="34">
                  <c:v>3.5051494153455162E-3</c:v>
                </c:pt>
                <c:pt idx="35">
                  <c:v>2.5883828125837149E-3</c:v>
                </c:pt>
                <c:pt idx="36">
                  <c:v>1.8664186609085103E-3</c:v>
                </c:pt>
                <c:pt idx="37">
                  <c:v>1.3393604940897259E-3</c:v>
                </c:pt>
                <c:pt idx="38">
                  <c:v>8.9976146608143767E-4</c:v>
                </c:pt>
                <c:pt idx="39">
                  <c:v>5.4760426867897039E-4</c:v>
                </c:pt>
                <c:pt idx="40">
                  <c:v>2.8286845654147078E-4</c:v>
                </c:pt>
                <c:pt idx="41">
                  <c:v>1.0553154008751039E-4</c:v>
                </c:pt>
                <c:pt idx="42">
                  <c:v>1.5570078382603175E-5</c:v>
                </c:pt>
                <c:pt idx="43">
                  <c:v>1.3062980284661264E-5</c:v>
                </c:pt>
                <c:pt idx="44">
                  <c:v>1.0792896279824434E-5</c:v>
                </c:pt>
                <c:pt idx="45">
                  <c:v>8.7597526017210663E-6</c:v>
                </c:pt>
                <c:pt idx="46">
                  <c:v>6.9634722410557677E-6</c:v>
                </c:pt>
                <c:pt idx="47">
                  <c:v>5.4039779059651949E-6</c:v>
                </c:pt>
                <c:pt idx="48">
                  <c:v>4.081194982248969E-6</c:v>
                </c:pt>
                <c:pt idx="49">
                  <c:v>2.9950544936778609E-6</c:v>
                </c:pt>
                <c:pt idx="50">
                  <c:v>2.1454960622645156E-6</c:v>
                </c:pt>
                <c:pt idx="51">
                  <c:v>1.5324708685575899E-6</c:v>
                </c:pt>
                <c:pt idx="52">
                  <c:v>1.02163845420138E-6</c:v>
                </c:pt>
                <c:pt idx="53">
                  <c:v>6.1297978521393198E-7</c:v>
                </c:pt>
                <c:pt idx="54">
                  <c:v>3.0648912936123886E-7</c:v>
                </c:pt>
                <c:pt idx="55">
                  <c:v>1.0216304437777482E-7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9.9231655409248565E-8</c:v>
                </c:pt>
                <c:pt idx="290">
                  <c:v>2.978437319637254E-7</c:v>
                </c:pt>
                <c:pt idx="291">
                  <c:v>5.9598060047199876E-7</c:v>
                </c:pt>
                <c:pt idx="292">
                  <c:v>9.9378115519044377E-7</c:v>
                </c:pt>
                <c:pt idx="293">
                  <c:v>1.4913777322001453E-6</c:v>
                </c:pt>
                <c:pt idx="294">
                  <c:v>2.0888950277849449E-6</c:v>
                </c:pt>
                <c:pt idx="295">
                  <c:v>2.9172684331605455E-6</c:v>
                </c:pt>
                <c:pt idx="296">
                  <c:v>3.9768244317949192E-6</c:v>
                </c:pt>
                <c:pt idx="297">
                  <c:v>5.267910917530421E-6</c:v>
                </c:pt>
                <c:pt idx="298">
                  <c:v>6.7908635179592438E-6</c:v>
                </c:pt>
                <c:pt idx="299">
                  <c:v>8.5460207520656585E-6</c:v>
                </c:pt>
                <c:pt idx="300">
                  <c:v>1.0533721901626758E-5</c:v>
                </c:pt>
                <c:pt idx="301">
                  <c:v>1.2754304882594865E-5</c:v>
                </c:pt>
                <c:pt idx="302">
                  <c:v>1.5208104116498511E-5</c:v>
                </c:pt>
                <c:pt idx="303">
                  <c:v>1.0311824897776208E-4</c:v>
                </c:pt>
                <c:pt idx="304">
                  <c:v>2.7650698917709395E-4</c:v>
                </c:pt>
                <c:pt idx="305">
                  <c:v>5.35496040075777E-4</c:v>
                </c:pt>
                <c:pt idx="306">
                  <c:v>8.8020600374010135E-4</c:v>
                </c:pt>
                <c:pt idx="307">
                  <c:v>1.3107555830946466E-3</c:v>
                </c:pt>
                <c:pt idx="308">
                  <c:v>1.8272607960666517E-3</c:v>
                </c:pt>
                <c:pt idx="309">
                  <c:v>2.535054505681813E-3</c:v>
                </c:pt>
                <c:pt idx="310">
                  <c:v>3.4342577768157168E-3</c:v>
                </c:pt>
                <c:pt idx="311">
                  <c:v>4.5251143251600146E-3</c:v>
                </c:pt>
                <c:pt idx="312">
                  <c:v>5.8078572089029267E-3</c:v>
                </c:pt>
                <c:pt idx="313">
                  <c:v>7.2827070780845096E-3</c:v>
                </c:pt>
                <c:pt idx="314">
                  <c:v>8.9498704239050642E-3</c:v>
                </c:pt>
                <c:pt idx="315">
                  <c:v>1.0809537828119262E-2</c:v>
                </c:pt>
                <c:pt idx="316">
                  <c:v>1.2861882212315837E-2</c:v>
                </c:pt>
                <c:pt idx="317">
                  <c:v>1.5048051215030929E-2</c:v>
                </c:pt>
                <c:pt idx="318">
                  <c:v>1.7282318740781868E-2</c:v>
                </c:pt>
                <c:pt idx="319">
                  <c:v>1.9564636632990889E-2</c:v>
                </c:pt>
                <c:pt idx="320">
                  <c:v>2.1894944744878981E-2</c:v>
                </c:pt>
                <c:pt idx="321">
                  <c:v>2.4273170513348208E-2</c:v>
                </c:pt>
                <c:pt idx="322">
                  <c:v>2.669922853301376E-2</c:v>
                </c:pt>
                <c:pt idx="323">
                  <c:v>2.9107819610174248E-2</c:v>
                </c:pt>
                <c:pt idx="324">
                  <c:v>3.1392944023287496E-2</c:v>
                </c:pt>
                <c:pt idx="325">
                  <c:v>3.3554339521903204E-2</c:v>
                </c:pt>
                <c:pt idx="326">
                  <c:v>3.5591528010984835E-2</c:v>
                </c:pt>
                <c:pt idx="327">
                  <c:v>3.7504146122320489E-2</c:v>
                </c:pt>
                <c:pt idx="328">
                  <c:v>3.9292029703334633E-2</c:v>
                </c:pt>
                <c:pt idx="329">
                  <c:v>4.0955050157122641E-2</c:v>
                </c:pt>
                <c:pt idx="330">
                  <c:v>4.2493111851816097E-2</c:v>
                </c:pt>
                <c:pt idx="331">
                  <c:v>4.3903977278681193E-2</c:v>
                </c:pt>
                <c:pt idx="332">
                  <c:v>4.5246837377773817E-2</c:v>
                </c:pt>
                <c:pt idx="333">
                  <c:v>4.6521693876118438E-2</c:v>
                </c:pt>
                <c:pt idx="334">
                  <c:v>4.7728566098160681E-2</c:v>
                </c:pt>
                <c:pt idx="335">
                  <c:v>4.8867489562545136E-2</c:v>
                </c:pt>
                <c:pt idx="336">
                  <c:v>4.9938514578294978E-2</c:v>
                </c:pt>
                <c:pt idx="337">
                  <c:v>5.0893630448126233E-2</c:v>
                </c:pt>
                <c:pt idx="338">
                  <c:v>5.1798240776386527E-2</c:v>
                </c:pt>
                <c:pt idx="339">
                  <c:v>5.2652433714960097E-2</c:v>
                </c:pt>
                <c:pt idx="340">
                  <c:v>5.3456305975289858E-2</c:v>
                </c:pt>
                <c:pt idx="341">
                  <c:v>5.4209961783784739E-2</c:v>
                </c:pt>
                <c:pt idx="342">
                  <c:v>5.4913511837201917E-2</c:v>
                </c:pt>
                <c:pt idx="343">
                  <c:v>5.5567072257370786E-2</c:v>
                </c:pt>
                <c:pt idx="344">
                  <c:v>5.6170763546763335E-2</c:v>
                </c:pt>
                <c:pt idx="345">
                  <c:v>5.6724709543492298E-2</c:v>
                </c:pt>
                <c:pt idx="346">
                  <c:v>5.721367681631092E-2</c:v>
                </c:pt>
                <c:pt idx="347">
                  <c:v>5.7637789679984626E-2</c:v>
                </c:pt>
                <c:pt idx="348">
                  <c:v>5.7997171311012646E-2</c:v>
                </c:pt>
                <c:pt idx="349">
                  <c:v>5.829194238307301E-2</c:v>
                </c:pt>
                <c:pt idx="350">
                  <c:v>5.8522219703823035E-2</c:v>
                </c:pt>
                <c:pt idx="351">
                  <c:v>5.8670572854950032E-2</c:v>
                </c:pt>
                <c:pt idx="352">
                  <c:v>5.8785218226703684E-2</c:v>
                </c:pt>
                <c:pt idx="353">
                  <c:v>5.8866268472344614E-2</c:v>
                </c:pt>
                <c:pt idx="354">
                  <c:v>5.891383172970318E-2</c:v>
                </c:pt>
                <c:pt idx="355">
                  <c:v>5.8928010889306263E-2</c:v>
                </c:pt>
                <c:pt idx="356">
                  <c:v>5.8908943574942335E-2</c:v>
                </c:pt>
                <c:pt idx="357">
                  <c:v>5.8856588733621706E-2</c:v>
                </c:pt>
                <c:pt idx="358">
                  <c:v>5.8770757148207169E-2</c:v>
                </c:pt>
                <c:pt idx="359">
                  <c:v>5.8651254369525931E-2</c:v>
                </c:pt>
                <c:pt idx="360">
                  <c:v>5.8449651535014864E-2</c:v>
                </c:pt>
                <c:pt idx="361">
                  <c:v>5.8183280024968455E-2</c:v>
                </c:pt>
                <c:pt idx="362">
                  <c:v>5.7851893460636371E-2</c:v>
                </c:pt>
                <c:pt idx="363">
                  <c:v>5.7455241335581692E-2</c:v>
                </c:pt>
                <c:pt idx="364">
                  <c:v>5.6993070700958902E-2</c:v>
                </c:pt>
                <c:pt idx="365" formatCode="0.0000">
                  <c:v>5.6465127850057535E-2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0.12272135782143695</c:v>
                </c:pt>
                <c:pt idx="1">
                  <c:v>0.12216799991669526</c:v>
                </c:pt>
                <c:pt idx="2">
                  <c:v>0.12160010151015135</c:v>
                </c:pt>
                <c:pt idx="3">
                  <c:v>0.121017321691723</c:v>
                </c:pt>
                <c:pt idx="4">
                  <c:v>0.12041932571245945</c:v>
                </c:pt>
                <c:pt idx="5">
                  <c:v>0.11980578535913367</c:v>
                </c:pt>
                <c:pt idx="6">
                  <c:v>0.1191763793303669</c:v>
                </c:pt>
                <c:pt idx="7">
                  <c:v>0.11853079361004475</c:v>
                </c:pt>
                <c:pt idx="8">
                  <c:v>0.11786872184242905</c:v>
                </c:pt>
                <c:pt idx="9">
                  <c:v>0.11708940502002983</c:v>
                </c:pt>
                <c:pt idx="10">
                  <c:v>0.11618175762195114</c:v>
                </c:pt>
                <c:pt idx="11">
                  <c:v>0.11514536515226899</c:v>
                </c:pt>
                <c:pt idx="12">
                  <c:v>0.11397983626042829</c:v>
                </c:pt>
                <c:pt idx="13">
                  <c:v>0.11268480594182062</c:v>
                </c:pt>
                <c:pt idx="14">
                  <c:v>0.11125993873644074</c:v>
                </c:pt>
                <c:pt idx="15">
                  <c:v>0.10961471986888927</c:v>
                </c:pt>
                <c:pt idx="16">
                  <c:v>0.10777427225677193</c:v>
                </c:pt>
                <c:pt idx="17">
                  <c:v>0.10573832646714537</c:v>
                </c:pt>
                <c:pt idx="18">
                  <c:v>0.10350666977865923</c:v>
                </c:pt>
                <c:pt idx="19">
                  <c:v>0.1010797148353252</c:v>
                </c:pt>
                <c:pt idx="20">
                  <c:v>9.8458130254881315E-2</c:v>
                </c:pt>
                <c:pt idx="21">
                  <c:v>9.5642145151990487E-2</c:v>
                </c:pt>
                <c:pt idx="22">
                  <c:v>9.2632003312731956E-2</c:v>
                </c:pt>
                <c:pt idx="23">
                  <c:v>8.9375812952560474E-2</c:v>
                </c:pt>
                <c:pt idx="24">
                  <c:v>8.5974677352837356E-2</c:v>
                </c:pt>
                <c:pt idx="25">
                  <c:v>8.2428881293553954E-2</c:v>
                </c:pt>
                <c:pt idx="26">
                  <c:v>7.8738709007717012E-2</c:v>
                </c:pt>
                <c:pt idx="27">
                  <c:v>7.4904442398805102E-2</c:v>
                </c:pt>
                <c:pt idx="28">
                  <c:v>7.0926359259989039E-2</c:v>
                </c:pt>
                <c:pt idx="29">
                  <c:v>6.6842879255179094E-2</c:v>
                </c:pt>
                <c:pt idx="30">
                  <c:v>6.2744625929830919E-2</c:v>
                </c:pt>
                <c:pt idx="31">
                  <c:v>5.8631838953516535E-2</c:v>
                </c:pt>
                <c:pt idx="32">
                  <c:v>5.4504738500828279E-2</c:v>
                </c:pt>
                <c:pt idx="33">
                  <c:v>5.0363525076140295E-2</c:v>
                </c:pt>
                <c:pt idx="34">
                  <c:v>4.6208379338630548E-2</c:v>
                </c:pt>
                <c:pt idx="35">
                  <c:v>4.2039461927206562E-2</c:v>
                </c:pt>
                <c:pt idx="36">
                  <c:v>3.7856913285311301E-2</c:v>
                </c:pt>
                <c:pt idx="37">
                  <c:v>3.3823611601482263E-2</c:v>
                </c:pt>
                <c:pt idx="38">
                  <c:v>2.9991743565082898E-2</c:v>
                </c:pt>
                <c:pt idx="39">
                  <c:v>2.6361330022623419E-2</c:v>
                </c:pt>
                <c:pt idx="40">
                  <c:v>2.2932370506275994E-2</c:v>
                </c:pt>
                <c:pt idx="41">
                  <c:v>1.970484574656118E-2</c:v>
                </c:pt>
                <c:pt idx="42">
                  <c:v>1.6678720184798906E-2</c:v>
                </c:pt>
                <c:pt idx="43">
                  <c:v>1.3954030696238942E-2</c:v>
                </c:pt>
                <c:pt idx="44">
                  <c:v>1.1492585282154221E-2</c:v>
                </c:pt>
                <c:pt idx="45">
                  <c:v>9.2943021920733893E-3</c:v>
                </c:pt>
                <c:pt idx="46">
                  <c:v>7.359096373580707E-3</c:v>
                </c:pt>
                <c:pt idx="47">
                  <c:v>5.6868827604381767E-3</c:v>
                </c:pt>
                <c:pt idx="48">
                  <c:v>4.2775795605748419E-3</c:v>
                </c:pt>
                <c:pt idx="49">
                  <c:v>3.1311115441581437E-3</c:v>
                </c:pt>
                <c:pt idx="50">
                  <c:v>2.2474133316256967E-3</c:v>
                </c:pt>
                <c:pt idx="51">
                  <c:v>1.6277925446003946E-3</c:v>
                </c:pt>
                <c:pt idx="52">
                  <c:v>1.109604252766684E-3</c:v>
                </c:pt>
                <c:pt idx="53">
                  <c:v>6.928288274079355E-4</c:v>
                </c:pt>
                <c:pt idx="54">
                  <c:v>3.7746044332945819E-4</c:v>
                </c:pt>
                <c:pt idx="55">
                  <c:v>1.6349556475856575E-4</c:v>
                </c:pt>
                <c:pt idx="56">
                  <c:v>5.0932570194463456E-5</c:v>
                </c:pt>
                <c:pt idx="57">
                  <c:v>3.9790217402304048E-5</c:v>
                </c:pt>
                <c:pt idx="58">
                  <c:v>3.0026513603206087E-5</c:v>
                </c:pt>
                <c:pt idx="59">
                  <c:v>2.1641431918837835E-5</c:v>
                </c:pt>
                <c:pt idx="60">
                  <c:v>1.4634967359939388E-5</c:v>
                </c:pt>
                <c:pt idx="61">
                  <c:v>9.0071317257045174E-6</c:v>
                </c:pt>
                <c:pt idx="62">
                  <c:v>4.7579485031467392E-6</c:v>
                </c:pt>
                <c:pt idx="63">
                  <c:v>1.8874477664980534E-6</c:v>
                </c:pt>
                <c:pt idx="64">
                  <c:v>3.9566107657280134E-7</c:v>
                </c:pt>
                <c:pt idx="65">
                  <c:v>2.8261638015550675E-7</c:v>
                </c:pt>
                <c:pt idx="66">
                  <c:v>1.8841150851910258E-7</c:v>
                </c:pt>
                <c:pt idx="67">
                  <c:v>1.1304703920481625E-7</c:v>
                </c:pt>
                <c:pt idx="68">
                  <c:v>5.6523456260794518E-8</c:v>
                </c:pt>
                <c:pt idx="69">
                  <c:v>1.8841080540161019E-8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1.816840925804006E-8</c:v>
                </c:pt>
                <c:pt idx="276">
                  <c:v>5.4532052088804004E-8</c:v>
                </c:pt>
                <c:pt idx="277">
                  <c:v>1.0911861782714452E-7</c:v>
                </c:pt>
                <c:pt idx="278">
                  <c:v>1.8195646136454799E-7</c:v>
                </c:pt>
                <c:pt idx="279">
                  <c:v>2.7307440368515974E-7</c:v>
                </c:pt>
                <c:pt idx="280">
                  <c:v>3.8250153240364163E-7</c:v>
                </c:pt>
                <c:pt idx="281">
                  <c:v>1.8256306482059664E-6</c:v>
                </c:pt>
                <c:pt idx="282">
                  <c:v>4.6045494265321206E-6</c:v>
                </c:pt>
                <c:pt idx="283">
                  <c:v>8.7213558177266672E-6</c:v>
                </c:pt>
                <c:pt idx="284">
                  <c:v>1.417814345064185E-5</c:v>
                </c:pt>
                <c:pt idx="285">
                  <c:v>2.0976987036176598E-5</c:v>
                </c:pt>
                <c:pt idx="286">
                  <c:v>2.9119927770940633E-5</c:v>
                </c:pt>
                <c:pt idx="287">
                  <c:v>3.8608958740836023E-5</c:v>
                </c:pt>
                <c:pt idx="288">
                  <c:v>4.9446010324662065E-5</c:v>
                </c:pt>
                <c:pt idx="289">
                  <c:v>1.5880434693263653E-4</c:v>
                </c:pt>
                <c:pt idx="290">
                  <c:v>3.6681309821406743E-4</c:v>
                </c:pt>
                <c:pt idx="291">
                  <c:v>6.7361526520615068E-4</c:v>
                </c:pt>
                <c:pt idx="292">
                  <c:v>1.0793483659350838E-3</c:v>
                </c:pt>
                <c:pt idx="293">
                  <c:v>1.5841433618528911E-3</c:v>
                </c:pt>
                <c:pt idx="294">
                  <c:v>2.1881235842751787E-3</c:v>
                </c:pt>
                <c:pt idx="295">
                  <c:v>3.0497918778300465E-3</c:v>
                </c:pt>
                <c:pt idx="296">
                  <c:v>4.168186763786148E-3</c:v>
                </c:pt>
                <c:pt idx="297">
                  <c:v>5.5436924986977847E-3</c:v>
                </c:pt>
                <c:pt idx="298">
                  <c:v>7.1766810232761812E-3</c:v>
                </c:pt>
                <c:pt idx="299">
                  <c:v>9.0675277054996593E-3</c:v>
                </c:pt>
                <c:pt idx="300">
                  <c:v>1.1216608976335916E-2</c:v>
                </c:pt>
                <c:pt idx="301">
                  <c:v>1.3624299965444987E-2</c:v>
                </c:pt>
                <c:pt idx="302">
                  <c:v>1.6290972136901911E-2</c:v>
                </c:pt>
                <c:pt idx="303">
                  <c:v>1.9254236108724902E-2</c:v>
                </c:pt>
                <c:pt idx="304">
                  <c:v>2.241664129296201E-2</c:v>
                </c:pt>
                <c:pt idx="305">
                  <c:v>2.5778447403815213E-2</c:v>
                </c:pt>
                <c:pt idx="306">
                  <c:v>2.9339901455871134E-2</c:v>
                </c:pt>
                <c:pt idx="307">
                  <c:v>3.3101235957537292E-2</c:v>
                </c:pt>
                <c:pt idx="308">
                  <c:v>3.7062667104213541E-2</c:v>
                </c:pt>
                <c:pt idx="309">
                  <c:v>4.1173325234926852E-2</c:v>
                </c:pt>
                <c:pt idx="310">
                  <c:v>4.5273814977185432E-2</c:v>
                </c:pt>
                <c:pt idx="311">
                  <c:v>4.9364008447781924E-2</c:v>
                </c:pt>
                <c:pt idx="312">
                  <c:v>5.3443763310493657E-2</c:v>
                </c:pt>
                <c:pt idx="313">
                  <c:v>5.7512922902209856E-2</c:v>
                </c:pt>
                <c:pt idx="314">
                  <c:v>6.1571316358598333E-2</c:v>
                </c:pt>
                <c:pt idx="315">
                  <c:v>6.5618758740475749E-2</c:v>
                </c:pt>
                <c:pt idx="316">
                  <c:v>6.965505115928565E-2</c:v>
                </c:pt>
                <c:pt idx="317">
                  <c:v>7.3591200639048615E-2</c:v>
                </c:pt>
                <c:pt idx="318">
                  <c:v>7.7389385642290545E-2</c:v>
                </c:pt>
                <c:pt idx="319">
                  <c:v>8.1049230242590364E-2</c:v>
                </c:pt>
                <c:pt idx="320">
                  <c:v>8.4570356257178805E-2</c:v>
                </c:pt>
                <c:pt idx="321">
                  <c:v>8.7952384528263525E-2</c:v>
                </c:pt>
                <c:pt idx="322">
                  <c:v>9.1194936204797794E-2</c:v>
                </c:pt>
                <c:pt idx="323">
                  <c:v>9.4198336255947715E-2</c:v>
                </c:pt>
                <c:pt idx="324">
                  <c:v>9.7013489062645633E-2</c:v>
                </c:pt>
                <c:pt idx="325">
                  <c:v>9.9639985635958619E-2</c:v>
                </c:pt>
                <c:pt idx="326">
                  <c:v>0.10207679302830389</c:v>
                </c:pt>
                <c:pt idx="327">
                  <c:v>0.10432326792384834</c:v>
                </c:pt>
                <c:pt idx="328">
                  <c:v>0.10637931702763108</c:v>
                </c:pt>
                <c:pt idx="329">
                  <c:v>0.10824489539028209</c:v>
                </c:pt>
                <c:pt idx="330">
                  <c:v>0.10992000248482921</c:v>
                </c:pt>
                <c:pt idx="331">
                  <c:v>0.11137952879575336</c:v>
                </c:pt>
                <c:pt idx="332">
                  <c:v>0.11271265955043629</c:v>
                </c:pt>
                <c:pt idx="333">
                  <c:v>0.11391952079281625</c:v>
                </c:pt>
                <c:pt idx="334">
                  <c:v>0.11500026149852946</c:v>
                </c:pt>
                <c:pt idx="335">
                  <c:v>0.11595505098390874</c:v>
                </c:pt>
                <c:pt idx="336">
                  <c:v>0.11678407631349678</c:v>
                </c:pt>
                <c:pt idx="337">
                  <c:v>0.1174980979909445</c:v>
                </c:pt>
                <c:pt idx="338">
                  <c:v>0.11819682991959778</c:v>
                </c:pt>
                <c:pt idx="339">
                  <c:v>0.11888050496205722</c:v>
                </c:pt>
                <c:pt idx="340">
                  <c:v>0.11954936206807713</c:v>
                </c:pt>
                <c:pt idx="341">
                  <c:v>0.12020364597143623</c:v>
                </c:pt>
                <c:pt idx="342">
                  <c:v>0.12084360688672792</c:v>
                </c:pt>
                <c:pt idx="343">
                  <c:v>0.12146950020469705</c:v>
                </c:pt>
                <c:pt idx="344">
                  <c:v>0.12208158618945987</c:v>
                </c:pt>
                <c:pt idx="345">
                  <c:v>0.12268012967445495</c:v>
                </c:pt>
                <c:pt idx="346">
                  <c:v>0.12324679111034276</c:v>
                </c:pt>
                <c:pt idx="347">
                  <c:v>0.12378183985094433</c:v>
                </c:pt>
                <c:pt idx="348">
                  <c:v>0.1242855472860626</c:v>
                </c:pt>
                <c:pt idx="349">
                  <c:v>0.12475818615003474</c:v>
                </c:pt>
                <c:pt idx="350">
                  <c:v>0.12520002983319217</c:v>
                </c:pt>
                <c:pt idx="351">
                  <c:v>0.12556755499986039</c:v>
                </c:pt>
                <c:pt idx="352">
                  <c:v>0.12585044501996337</c:v>
                </c:pt>
                <c:pt idx="353">
                  <c:v>0.12604893770036504</c:v>
                </c:pt>
                <c:pt idx="354">
                  <c:v>0.12616325957387023</c:v>
                </c:pt>
                <c:pt idx="355">
                  <c:v>0.12619362407302126</c:v>
                </c:pt>
                <c:pt idx="356">
                  <c:v>0.12614031688046753</c:v>
                </c:pt>
                <c:pt idx="357">
                  <c:v>0.126003238703952</c:v>
                </c:pt>
                <c:pt idx="358">
                  <c:v>0.12578197078176839</c:v>
                </c:pt>
                <c:pt idx="359">
                  <c:v>0.12547608128984022</c:v>
                </c:pt>
                <c:pt idx="360">
                  <c:v>0.12509572006863745</c:v>
                </c:pt>
                <c:pt idx="361">
                  <c:v>0.12468437058805892</c:v>
                </c:pt>
                <c:pt idx="362">
                  <c:v>0.12424164512861474</c:v>
                </c:pt>
                <c:pt idx="363">
                  <c:v>0.12376715710502999</c:v>
                </c:pt>
                <c:pt idx="364">
                  <c:v>0.1232605219208418</c:v>
                </c:pt>
                <c:pt idx="365">
                  <c:v>0.12272135782143695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0.22428730930236032</c:v>
                </c:pt>
                <c:pt idx="1">
                  <c:v>0.22352940121019063</c:v>
                </c:pt>
                <c:pt idx="2">
                  <c:v>0.22259406527260417</c:v>
                </c:pt>
                <c:pt idx="3">
                  <c:v>0.22148046305795746</c:v>
                </c:pt>
                <c:pt idx="4">
                  <c:v>0.22018776399015616</c:v>
                </c:pt>
                <c:pt idx="5">
                  <c:v>0.21871514988789664</c:v>
                </c:pt>
                <c:pt idx="6">
                  <c:v>0.21706181950670728</c:v>
                </c:pt>
                <c:pt idx="7">
                  <c:v>0.21522699307603596</c:v>
                </c:pt>
                <c:pt idx="8">
                  <c:v>0.21320991683944793</c:v>
                </c:pt>
                <c:pt idx="9">
                  <c:v>0.21101972497925131</c:v>
                </c:pt>
                <c:pt idx="10">
                  <c:v>0.20875243243597047</c:v>
                </c:pt>
                <c:pt idx="11">
                  <c:v>0.20640752295023884</c:v>
                </c:pt>
                <c:pt idx="12">
                  <c:v>0.20398451191128533</c:v>
                </c:pt>
                <c:pt idx="13">
                  <c:v>0.20148294818883483</c:v>
                </c:pt>
                <c:pt idx="14">
                  <c:v>0.19890241596157615</c:v>
                </c:pt>
                <c:pt idx="15">
                  <c:v>0.19613125133391046</c:v>
                </c:pt>
                <c:pt idx="16">
                  <c:v>0.19325111706267706</c:v>
                </c:pt>
                <c:pt idx="17">
                  <c:v>0.1902617021851537</c:v>
                </c:pt>
                <c:pt idx="18">
                  <c:v>0.18716274557015822</c:v>
                </c:pt>
                <c:pt idx="19">
                  <c:v>0.18395506457015298</c:v>
                </c:pt>
                <c:pt idx="20">
                  <c:v>0.18063991267443089</c:v>
                </c:pt>
                <c:pt idx="21">
                  <c:v>0.17721772118328474</c:v>
                </c:pt>
                <c:pt idx="22">
                  <c:v>0.17368891946483844</c:v>
                </c:pt>
                <c:pt idx="23">
                  <c:v>0.16989120102470348</c:v>
                </c:pt>
                <c:pt idx="24">
                  <c:v>0.16581505485322431</c:v>
                </c:pt>
                <c:pt idx="25">
                  <c:v>0.16146087727395197</c:v>
                </c:pt>
                <c:pt idx="26">
                  <c:v>0.15682907590240386</c:v>
                </c:pt>
                <c:pt idx="27">
                  <c:v>0.15192006621612383</c:v>
                </c:pt>
                <c:pt idx="28">
                  <c:v>0.14673426812820708</c:v>
                </c:pt>
                <c:pt idx="29">
                  <c:v>0.14123785330714733</c:v>
                </c:pt>
                <c:pt idx="30">
                  <c:v>0.13554271281738434</c:v>
                </c:pt>
                <c:pt idx="31">
                  <c:v>0.12964925232539207</c:v>
                </c:pt>
                <c:pt idx="32">
                  <c:v>0.12355786297129605</c:v>
                </c:pt>
                <c:pt idx="33">
                  <c:v>0.11726891890573928</c:v>
                </c:pt>
                <c:pt idx="34">
                  <c:v>0.11078277482733222</c:v>
                </c:pt>
                <c:pt idx="35">
                  <c:v>0.10409976351992363</c:v>
                </c:pt>
                <c:pt idx="36">
                  <c:v>9.7220193389601972E-2</c:v>
                </c:pt>
                <c:pt idx="37">
                  <c:v>9.0271373874980174E-2</c:v>
                </c:pt>
                <c:pt idx="38">
                  <c:v>8.3416198812615902E-2</c:v>
                </c:pt>
                <c:pt idx="39">
                  <c:v>7.6654811168288595E-2</c:v>
                </c:pt>
                <c:pt idx="40">
                  <c:v>6.9987318651966807E-2</c:v>
                </c:pt>
                <c:pt idx="41">
                  <c:v>6.3413794878885946E-2</c:v>
                </c:pt>
                <c:pt idx="42">
                  <c:v>5.6934280529993088E-2</c:v>
                </c:pt>
                <c:pt idx="43">
                  <c:v>5.0784424614603613E-2</c:v>
                </c:pt>
                <c:pt idx="44">
                  <c:v>4.4998361330026222E-2</c:v>
                </c:pt>
                <c:pt idx="45">
                  <c:v>3.957598234639343E-2</c:v>
                </c:pt>
                <c:pt idx="46">
                  <c:v>3.4517162829308126E-2</c:v>
                </c:pt>
                <c:pt idx="47">
                  <c:v>2.9821765977582564E-2</c:v>
                </c:pt>
                <c:pt idx="48">
                  <c:v>2.54896475604326E-2</c:v>
                </c:pt>
                <c:pt idx="49">
                  <c:v>2.1520660455022624E-2</c:v>
                </c:pt>
                <c:pt idx="50">
                  <c:v>1.7914659183817336E-2</c:v>
                </c:pt>
                <c:pt idx="51">
                  <c:v>1.4791725657853876E-2</c:v>
                </c:pt>
                <c:pt idx="52">
                  <c:v>1.2024757267294283E-2</c:v>
                </c:pt>
                <c:pt idx="53">
                  <c:v>9.6136224947748119E-3</c:v>
                </c:pt>
                <c:pt idx="54">
                  <c:v>7.5582893666384481E-3</c:v>
                </c:pt>
                <c:pt idx="55">
                  <c:v>5.8587353455855267E-3</c:v>
                </c:pt>
                <c:pt idx="56">
                  <c:v>4.5149460145058147E-3</c:v>
                </c:pt>
                <c:pt idx="57">
                  <c:v>3.5286413308893904E-3</c:v>
                </c:pt>
                <c:pt idx="58">
                  <c:v>2.6642806528649659E-3</c:v>
                </c:pt>
                <c:pt idx="59">
                  <c:v>1.9218615970636262E-3</c:v>
                </c:pt>
                <c:pt idx="60">
                  <c:v>1.3013837173446671E-3</c:v>
                </c:pt>
                <c:pt idx="61">
                  <c:v>8.0284805363670054E-4</c:v>
                </c:pt>
                <c:pt idx="62">
                  <c:v>4.2625668077733085E-4</c:v>
                </c:pt>
                <c:pt idx="63">
                  <c:v>1.7161225735575294E-4</c:v>
                </c:pt>
                <c:pt idx="64">
                  <c:v>3.8917574552236097E-5</c:v>
                </c:pt>
                <c:pt idx="65">
                  <c:v>2.8200218784350186E-5</c:v>
                </c:pt>
                <c:pt idx="66">
                  <c:v>1.9235511875728586E-5</c:v>
                </c:pt>
                <c:pt idx="67">
                  <c:v>1.2023507941547194E-5</c:v>
                </c:pt>
                <c:pt idx="68">
                  <c:v>6.564252696702565E-6</c:v>
                </c:pt>
                <c:pt idx="69">
                  <c:v>2.8577769714919139E-6</c:v>
                </c:pt>
                <c:pt idx="70">
                  <c:v>9.0409022738738127E-7</c:v>
                </c:pt>
                <c:pt idx="71">
                  <c:v>7.0317407277536408E-7</c:v>
                </c:pt>
                <c:pt idx="72">
                  <c:v>5.273731461830972E-7</c:v>
                </c:pt>
                <c:pt idx="73">
                  <c:v>3.7668824691187619E-7</c:v>
                </c:pt>
                <c:pt idx="74">
                  <c:v>2.5111978950365068E-7</c:v>
                </c:pt>
                <c:pt idx="75">
                  <c:v>1.5066771083491023E-7</c:v>
                </c:pt>
                <c:pt idx="76">
                  <c:v>7.5331377209388959E-8</c:v>
                </c:pt>
                <c:pt idx="77">
                  <c:v>2.5109491451630918E-8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2.4131929648513413E-8</c:v>
                </c:pt>
                <c:pt idx="268">
                  <c:v>7.2424060366550841E-8</c:v>
                </c:pt>
                <c:pt idx="269">
                  <c:v>1.4490709276234858E-7</c:v>
                </c:pt>
                <c:pt idx="270">
                  <c:v>2.4161389076202999E-7</c:v>
                </c:pt>
                <c:pt idx="271">
                  <c:v>3.6257921573834996E-7</c:v>
                </c:pt>
                <c:pt idx="272">
                  <c:v>5.078394606409776E-7</c:v>
                </c:pt>
                <c:pt idx="273">
                  <c:v>6.7743238412322404E-7</c:v>
                </c:pt>
                <c:pt idx="274">
                  <c:v>8.7139684467396233E-7</c:v>
                </c:pt>
                <c:pt idx="275">
                  <c:v>2.7557475525670486E-6</c:v>
                </c:pt>
                <c:pt idx="276">
                  <c:v>6.3329844574445127E-6</c:v>
                </c:pt>
                <c:pt idx="277">
                  <c:v>1.1605687130277617E-5</c:v>
                </c:pt>
                <c:pt idx="278">
                  <c:v>1.8576496207440811E-5</c:v>
                </c:pt>
                <c:pt idx="279">
                  <c:v>2.7248094834737479E-5</c:v>
                </c:pt>
                <c:pt idx="280">
                  <c:v>3.7623190111611223E-5</c:v>
                </c:pt>
                <c:pt idx="281">
                  <c:v>1.6599166461584594E-4</c:v>
                </c:pt>
                <c:pt idx="282">
                  <c:v>4.1251391303009477E-4</c:v>
                </c:pt>
                <c:pt idx="283">
                  <c:v>7.7737550160978611E-4</c:v>
                </c:pt>
                <c:pt idx="284">
                  <c:v>1.2607616112181514E-3</c:v>
                </c:pt>
                <c:pt idx="285">
                  <c:v>1.8628557462427972E-3</c:v>
                </c:pt>
                <c:pt idx="286">
                  <c:v>2.5838384435234066E-3</c:v>
                </c:pt>
                <c:pt idx="287">
                  <c:v>3.4238859812720807E-3</c:v>
                </c:pt>
                <c:pt idx="288">
                  <c:v>4.3831690879957584E-3</c:v>
                </c:pt>
                <c:pt idx="289">
                  <c:v>5.6906292337702037E-3</c:v>
                </c:pt>
                <c:pt idx="290">
                  <c:v>7.3450863230062795E-3</c:v>
                </c:pt>
                <c:pt idx="291">
                  <c:v>9.3470170556234234E-3</c:v>
                </c:pt>
                <c:pt idx="292">
                  <c:v>1.1696874876658549E-2</c:v>
                </c:pt>
                <c:pt idx="293">
                  <c:v>1.4395086209828208E-2</c:v>
                </c:pt>
                <c:pt idx="294">
                  <c:v>1.7442046691076254E-2</c:v>
                </c:pt>
                <c:pt idx="295">
                  <c:v>2.0961736602364653E-2</c:v>
                </c:pt>
                <c:pt idx="296">
                  <c:v>2.483778736793181E-2</c:v>
                </c:pt>
                <c:pt idx="297">
                  <c:v>2.9070882469732343E-2</c:v>
                </c:pt>
                <c:pt idx="298">
                  <c:v>3.366156045241428E-2</c:v>
                </c:pt>
                <c:pt idx="299">
                  <c:v>3.8610355999005204E-2</c:v>
                </c:pt>
                <c:pt idx="300">
                  <c:v>4.3917796668302859E-2</c:v>
                </c:pt>
                <c:pt idx="301">
                  <c:v>4.9584399632170581E-2</c:v>
                </c:pt>
                <c:pt idx="302">
                  <c:v>5.5610668412916793E-2</c:v>
                </c:pt>
                <c:pt idx="303">
                  <c:v>6.1963650710709132E-2</c:v>
                </c:pt>
                <c:pt idx="304">
                  <c:v>6.8413364281202718E-2</c:v>
                </c:pt>
                <c:pt idx="305">
                  <c:v>7.4959875554657732E-2</c:v>
                </c:pt>
                <c:pt idx="306">
                  <c:v>8.1603226823893427E-2</c:v>
                </c:pt>
                <c:pt idx="307">
                  <c:v>8.8343435409950072E-2</c:v>
                </c:pt>
                <c:pt idx="308">
                  <c:v>9.5180492827030283E-2</c:v>
                </c:pt>
                <c:pt idx="309">
                  <c:v>0.10195500189099577</c:v>
                </c:pt>
                <c:pt idx="310">
                  <c:v>0.10854219347179726</c:v>
                </c:pt>
                <c:pt idx="311">
                  <c:v>0.11494159502881263</c:v>
                </c:pt>
                <c:pt idx="312">
                  <c:v>0.12115271745938208</c:v>
                </c:pt>
                <c:pt idx="313">
                  <c:v>0.12717505687022657</c:v>
                </c:pt>
                <c:pt idx="314">
                  <c:v>0.13300809634780303</c:v>
                </c:pt>
                <c:pt idx="315">
                  <c:v>0.13865130773022946</c:v>
                </c:pt>
                <c:pt idx="316">
                  <c:v>0.14410415337723881</c:v>
                </c:pt>
                <c:pt idx="317">
                  <c:v>0.1492565689827052</c:v>
                </c:pt>
                <c:pt idx="318">
                  <c:v>0.15414153963009067</c:v>
                </c:pt>
                <c:pt idx="319">
                  <c:v>0.15875843044312341</c:v>
                </c:pt>
                <c:pt idx="320">
                  <c:v>0.16310661108026867</c:v>
                </c:pt>
                <c:pt idx="321">
                  <c:v>0.16718545820024533</c:v>
                </c:pt>
                <c:pt idx="322">
                  <c:v>0.17099435792833717</c:v>
                </c:pt>
                <c:pt idx="323">
                  <c:v>0.17454245159398141</c:v>
                </c:pt>
                <c:pt idx="324">
                  <c:v>0.17798944736358474</c:v>
                </c:pt>
                <c:pt idx="325">
                  <c:v>0.18133490009635636</c:v>
                </c:pt>
                <c:pt idx="326">
                  <c:v>0.18457721500487467</c:v>
                </c:pt>
                <c:pt idx="327">
                  <c:v>0.18771549726462286</c:v>
                </c:pt>
                <c:pt idx="328">
                  <c:v>0.19074980899871141</c:v>
                </c:pt>
                <c:pt idx="329">
                  <c:v>0.19368025397316915</c:v>
                </c:pt>
                <c:pt idx="330">
                  <c:v>0.19650697551187959</c:v>
                </c:pt>
                <c:pt idx="331">
                  <c:v>0.19914908351741742</c:v>
                </c:pt>
                <c:pt idx="332">
                  <c:v>0.20171670357628771</c:v>
                </c:pt>
                <c:pt idx="333">
                  <c:v>0.20421009626769232</c:v>
                </c:pt>
                <c:pt idx="334">
                  <c:v>0.20662955019760304</c:v>
                </c:pt>
                <c:pt idx="335">
                  <c:v>0.20897538051708217</c:v>
                </c:pt>
                <c:pt idx="336">
                  <c:v>0.21124792743794174</c:v>
                </c:pt>
                <c:pt idx="337">
                  <c:v>0.21335183501716931</c:v>
                </c:pt>
                <c:pt idx="338">
                  <c:v>0.21527771783662</c:v>
                </c:pt>
                <c:pt idx="339">
                  <c:v>0.21702597569544624</c:v>
                </c:pt>
                <c:pt idx="340">
                  <c:v>0.21859702804743317</c:v>
                </c:pt>
                <c:pt idx="341">
                  <c:v>0.21999131032520078</c:v>
                </c:pt>
                <c:pt idx="342">
                  <c:v>0.22120927026426596</c:v>
                </c:pt>
                <c:pt idx="343">
                  <c:v>0.22225136422444219</c:v>
                </c:pt>
                <c:pt idx="344">
                  <c:v>0.22311805351468472</c:v>
                </c:pt>
                <c:pt idx="345">
                  <c:v>0.22380980071561549</c:v>
                </c:pt>
                <c:pt idx="346">
                  <c:v>0.22440101900654388</c:v>
                </c:pt>
                <c:pt idx="347">
                  <c:v>0.22489217721697249</c:v>
                </c:pt>
                <c:pt idx="348">
                  <c:v>0.22528374087059067</c:v>
                </c:pt>
                <c:pt idx="349">
                  <c:v>0.22557617004401148</c:v>
                </c:pt>
                <c:pt idx="350">
                  <c:v>0.22576991723077933</c:v>
                </c:pt>
                <c:pt idx="351">
                  <c:v>0.22585824977071617</c:v>
                </c:pt>
                <c:pt idx="352">
                  <c:v>0.2259374053053716</c:v>
                </c:pt>
                <c:pt idx="353">
                  <c:v>0.22600784930952317</c:v>
                </c:pt>
                <c:pt idx="354">
                  <c:v>0.2260700454156693</c:v>
                </c:pt>
                <c:pt idx="355">
                  <c:v>0.22612445510455409</c:v>
                </c:pt>
                <c:pt idx="356">
                  <c:v>0.22617169370475107</c:v>
                </c:pt>
                <c:pt idx="357">
                  <c:v>0.22621171350111899</c:v>
                </c:pt>
                <c:pt idx="358">
                  <c:v>0.2262439192473977</c:v>
                </c:pt>
                <c:pt idx="359">
                  <c:v>0.22626771355400629</c:v>
                </c:pt>
                <c:pt idx="360">
                  <c:v>0.22618646754005545</c:v>
                </c:pt>
                <c:pt idx="361">
                  <c:v>0.22600666004648884</c:v>
                </c:pt>
                <c:pt idx="362">
                  <c:v>0.22572757124662723</c:v>
                </c:pt>
                <c:pt idx="363">
                  <c:v>0.22534847295980448</c:v>
                </c:pt>
                <c:pt idx="364">
                  <c:v>0.22486863129678147</c:v>
                </c:pt>
                <c:pt idx="365">
                  <c:v>0.22428730930236032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0.3464721512551856</c:v>
                </c:pt>
                <c:pt idx="1">
                  <c:v>0.34623911347884262</c:v>
                </c:pt>
                <c:pt idx="2">
                  <c:v>0.34569388563129394</c:v>
                </c:pt>
                <c:pt idx="3">
                  <c:v>0.34483512597536065</c:v>
                </c:pt>
                <c:pt idx="4">
                  <c:v>0.34366149512400423</c:v>
                </c:pt>
                <c:pt idx="5">
                  <c:v>0.34217166404735638</c:v>
                </c:pt>
                <c:pt idx="6">
                  <c:v>0.34036432208412815</c:v>
                </c:pt>
                <c:pt idx="7">
                  <c:v>0.33823818494528346</c:v>
                </c:pt>
                <c:pt idx="8">
                  <c:v>0.33579200272255511</c:v>
                </c:pt>
                <c:pt idx="9">
                  <c:v>0.33303775709430911</c:v>
                </c:pt>
                <c:pt idx="10">
                  <c:v>0.33013982337854286</c:v>
                </c:pt>
                <c:pt idx="11">
                  <c:v>0.32709732478032177</c:v>
                </c:pt>
                <c:pt idx="12">
                  <c:v>0.32390942994445071</c:v>
                </c:pt>
                <c:pt idx="13">
                  <c:v>0.32057535642163798</c:v>
                </c:pt>
                <c:pt idx="14">
                  <c:v>0.31709437412919389</c:v>
                </c:pt>
                <c:pt idx="15">
                  <c:v>0.31337225244144151</c:v>
                </c:pt>
                <c:pt idx="16">
                  <c:v>0.30955816459610974</c:v>
                </c:pt>
                <c:pt idx="17">
                  <c:v>0.30565161131033647</c:v>
                </c:pt>
                <c:pt idx="18">
                  <c:v>0.30165214879054708</c:v>
                </c:pt>
                <c:pt idx="19">
                  <c:v>0.2975610505307007</c:v>
                </c:pt>
                <c:pt idx="20">
                  <c:v>0.29338029548911176</c:v>
                </c:pt>
                <c:pt idx="21">
                  <c:v>0.28911053443242457</c:v>
                </c:pt>
                <c:pt idx="22">
                  <c:v>0.28475240869584267</c:v>
                </c:pt>
                <c:pt idx="23">
                  <c:v>0.28013916946307682</c:v>
                </c:pt>
                <c:pt idx="24">
                  <c:v>0.27525815771740025</c:v>
                </c:pt>
                <c:pt idx="25">
                  <c:v>0.27010995974689983</c:v>
                </c:pt>
                <c:pt idx="26">
                  <c:v>0.26469516754745248</c:v>
                </c:pt>
                <c:pt idx="27">
                  <c:v>0.25901437555557766</c:v>
                </c:pt>
                <c:pt idx="28">
                  <c:v>0.25306817738709697</c:v>
                </c:pt>
                <c:pt idx="29">
                  <c:v>0.2467020369175702</c:v>
                </c:pt>
                <c:pt idx="30">
                  <c:v>0.24001025905496753</c:v>
                </c:pt>
                <c:pt idx="31">
                  <c:v>0.23299342759121774</c:v>
                </c:pt>
                <c:pt idx="32">
                  <c:v>0.22565211569983409</c:v>
                </c:pt>
                <c:pt idx="33">
                  <c:v>0.21798688190336579</c:v>
                </c:pt>
                <c:pt idx="34">
                  <c:v>0.20999826604189978</c:v>
                </c:pt>
                <c:pt idx="35">
                  <c:v>0.20168678524128622</c:v>
                </c:pt>
                <c:pt idx="36">
                  <c:v>0.19305292988087833</c:v>
                </c:pt>
                <c:pt idx="37">
                  <c:v>0.18413393702959394</c:v>
                </c:pt>
                <c:pt idx="38">
                  <c:v>0.17509754172903061</c:v>
                </c:pt>
                <c:pt idx="39">
                  <c:v>0.16594407565327324</c:v>
                </c:pt>
                <c:pt idx="40">
                  <c:v>0.15667382661398874</c:v>
                </c:pt>
                <c:pt idx="41">
                  <c:v>0.14728703708218915</c:v>
                </c:pt>
                <c:pt idx="42">
                  <c:v>0.13778390270870569</c:v>
                </c:pt>
                <c:pt idx="43">
                  <c:v>0.12840271556117186</c:v>
                </c:pt>
                <c:pt idx="44">
                  <c:v>0.11929847642478555</c:v>
                </c:pt>
                <c:pt idx="45">
                  <c:v>0.1104711466565102</c:v>
                </c:pt>
                <c:pt idx="46">
                  <c:v>0.10192065152109665</c:v>
                </c:pt>
                <c:pt idx="47">
                  <c:v>9.3646883631938335E-2</c:v>
                </c:pt>
                <c:pt idx="48">
                  <c:v>8.5649706390438521E-2</c:v>
                </c:pt>
                <c:pt idx="49">
                  <c:v>7.7928957426362508E-2</c:v>
                </c:pt>
                <c:pt idx="50">
                  <c:v>7.0484452037600898E-2</c:v>
                </c:pt>
                <c:pt idx="51">
                  <c:v>6.3501842287605567E-2</c:v>
                </c:pt>
                <c:pt idx="52">
                  <c:v>5.6943851952308638E-2</c:v>
                </c:pt>
                <c:pt idx="53">
                  <c:v>5.0810030880105675E-2</c:v>
                </c:pt>
                <c:pt idx="54">
                  <c:v>4.5100295901687487E-2</c:v>
                </c:pt>
                <c:pt idx="55">
                  <c:v>3.9814579916720584E-2</c:v>
                </c:pt>
                <c:pt idx="56">
                  <c:v>3.495283032558473E-2</c:v>
                </c:pt>
                <c:pt idx="57">
                  <c:v>3.0648385790347035E-2</c:v>
                </c:pt>
                <c:pt idx="58">
                  <c:v>2.6663178049676887E-2</c:v>
                </c:pt>
                <c:pt idx="59">
                  <c:v>2.2997187020536006E-2</c:v>
                </c:pt>
                <c:pt idx="60">
                  <c:v>1.9650400240317903E-2</c:v>
                </c:pt>
                <c:pt idx="61">
                  <c:v>1.6622811685817272E-2</c:v>
                </c:pt>
                <c:pt idx="62">
                  <c:v>1.3914420592172679E-2</c:v>
                </c:pt>
                <c:pt idx="63">
                  <c:v>1.1525230271862372E-2</c:v>
                </c:pt>
                <c:pt idx="64">
                  <c:v>9.4552469336352529E-3</c:v>
                </c:pt>
                <c:pt idx="65">
                  <c:v>7.7678376958649591E-3</c:v>
                </c:pt>
                <c:pt idx="66">
                  <c:v>6.2771479521209293E-3</c:v>
                </c:pt>
                <c:pt idx="67">
                  <c:v>4.983184709704303E-3</c:v>
                </c:pt>
                <c:pt idx="68">
                  <c:v>3.8859547498696165E-3</c:v>
                </c:pt>
                <c:pt idx="69">
                  <c:v>2.9854638999625796E-3</c:v>
                </c:pt>
                <c:pt idx="70">
                  <c:v>2.2817163055879278E-3</c:v>
                </c:pt>
                <c:pt idx="71">
                  <c:v>1.7747213437145542E-3</c:v>
                </c:pt>
                <c:pt idx="72">
                  <c:v>1.3310968081447331E-3</c:v>
                </c:pt>
                <c:pt idx="73">
                  <c:v>9.5084471604206674E-4</c:v>
                </c:pt>
                <c:pt idx="74">
                  <c:v>6.3396611381806329E-4</c:v>
                </c:pt>
                <c:pt idx="75">
                  <c:v>3.8046084271259925E-4</c:v>
                </c:pt>
                <c:pt idx="76">
                  <c:v>1.9032730437140466E-4</c:v>
                </c:pt>
                <c:pt idx="77">
                  <c:v>6.3562226425716053E-5</c:v>
                </c:pt>
                <c:pt idx="78">
                  <c:v>1.6042807585540647E-7</c:v>
                </c:pt>
                <c:pt idx="79">
                  <c:v>1.1458610513344986E-7</c:v>
                </c:pt>
                <c:pt idx="80">
                  <c:v>7.6387147521907687E-8</c:v>
                </c:pt>
                <c:pt idx="81">
                  <c:v>4.5830117798361787E-8</c:v>
                </c:pt>
                <c:pt idx="82">
                  <c:v>2.2913957613284999E-8</c:v>
                </c:pt>
                <c:pt idx="83">
                  <c:v>7.6376110192140891E-9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7.3278414917998569E-9</c:v>
                </c:pt>
                <c:pt idx="262">
                  <c:v>2.1989990967061467E-8</c:v>
                </c:pt>
                <c:pt idx="263">
                  <c:v>4.3993413820734664E-8</c:v>
                </c:pt>
                <c:pt idx="264">
                  <c:v>7.3345590753811911E-8</c:v>
                </c:pt>
                <c:pt idx="265">
                  <c:v>1.1005512391308849E-7</c:v>
                </c:pt>
                <c:pt idx="266">
                  <c:v>1.5413170285450253E-7</c:v>
                </c:pt>
                <c:pt idx="267">
                  <c:v>6.108762415053336E-5</c:v>
                </c:pt>
                <c:pt idx="268">
                  <c:v>1.8298186880193526E-4</c:v>
                </c:pt>
                <c:pt idx="269">
                  <c:v>3.6591433109251029E-4</c:v>
                </c:pt>
                <c:pt idx="270">
                  <c:v>6.0996793472001308E-4</c:v>
                </c:pt>
                <c:pt idx="271">
                  <c:v>9.1523039080149539E-4</c:v>
                </c:pt>
                <c:pt idx="272">
                  <c:v>1.2817935270341872E-3</c:v>
                </c:pt>
                <c:pt idx="273">
                  <c:v>1.7097526168473982E-3</c:v>
                </c:pt>
                <c:pt idx="274">
                  <c:v>2.199205708567535E-3</c:v>
                </c:pt>
                <c:pt idx="275">
                  <c:v>2.8788757547108784E-3</c:v>
                </c:pt>
                <c:pt idx="276">
                  <c:v>3.7490468710351765E-3</c:v>
                </c:pt>
                <c:pt idx="277">
                  <c:v>4.8100174204042988E-3</c:v>
                </c:pt>
                <c:pt idx="278">
                  <c:v>6.0620905687077068E-3</c:v>
                </c:pt>
                <c:pt idx="279">
                  <c:v>7.505572201987238E-3</c:v>
                </c:pt>
                <c:pt idx="280">
                  <c:v>9.1407688436212827E-3</c:v>
                </c:pt>
                <c:pt idx="281">
                  <c:v>1.1147759416400692E-2</c:v>
                </c:pt>
                <c:pt idx="282">
                  <c:v>1.3465811434453747E-2</c:v>
                </c:pt>
                <c:pt idx="283">
                  <c:v>1.6095407485754044E-2</c:v>
                </c:pt>
                <c:pt idx="284">
                  <c:v>1.9037021854410772E-2</c:v>
                </c:pt>
                <c:pt idx="285">
                  <c:v>2.2291117140839291E-2</c:v>
                </c:pt>
                <c:pt idx="286">
                  <c:v>2.5858140882110855E-2</c:v>
                </c:pt>
                <c:pt idx="287">
                  <c:v>2.97385221721411E-2</c:v>
                </c:pt>
                <c:pt idx="288">
                  <c:v>3.3932668281933545E-2</c:v>
                </c:pt>
                <c:pt idx="289">
                  <c:v>3.8672170535077585E-2</c:v>
                </c:pt>
                <c:pt idx="290">
                  <c:v>4.3828113812788755E-2</c:v>
                </c:pt>
                <c:pt idx="291">
                  <c:v>4.9400964671873694E-2</c:v>
                </c:pt>
                <c:pt idx="292">
                  <c:v>5.5391148151716148E-2</c:v>
                </c:pt>
                <c:pt idx="293">
                  <c:v>6.1799043286584664E-2</c:v>
                </c:pt>
                <c:pt idx="294">
                  <c:v>6.8624978617806753E-2</c:v>
                </c:pt>
                <c:pt idx="295">
                  <c:v>7.5905025437407458E-2</c:v>
                </c:pt>
                <c:pt idx="296">
                  <c:v>8.3459341303477708E-2</c:v>
                </c:pt>
                <c:pt idx="297">
                  <c:v>9.1288944785068896E-2</c:v>
                </c:pt>
                <c:pt idx="298">
                  <c:v>9.9394269149310988E-2</c:v>
                </c:pt>
                <c:pt idx="299">
                  <c:v>0.10777572778088913</c:v>
                </c:pt>
                <c:pt idx="300">
                  <c:v>0.11643371170865256</c:v>
                </c:pt>
                <c:pt idx="301">
                  <c:v>0.12536858713193419</c:v>
                </c:pt>
                <c:pt idx="302">
                  <c:v>0.13458069294710648</c:v>
                </c:pt>
                <c:pt idx="303">
                  <c:v>0.14391888290878405</c:v>
                </c:pt>
                <c:pt idx="304">
                  <c:v>0.15315036752263961</c:v>
                </c:pt>
                <c:pt idx="305">
                  <c:v>0.16227484055362257</c:v>
                </c:pt>
                <c:pt idx="306">
                  <c:v>0.17129196268122474</c:v>
                </c:pt>
                <c:pt idx="307">
                  <c:v>0.18020136256353531</c:v>
                </c:pt>
                <c:pt idx="308">
                  <c:v>0.18900263789980667</c:v>
                </c:pt>
                <c:pt idx="309">
                  <c:v>0.19753144363991423</c:v>
                </c:pt>
                <c:pt idx="310">
                  <c:v>0.20575105161419197</c:v>
                </c:pt>
                <c:pt idx="311">
                  <c:v>0.21366070511377433</c:v>
                </c:pt>
                <c:pt idx="312">
                  <c:v>0.22125962978046027</c:v>
                </c:pt>
                <c:pt idx="313">
                  <c:v>0.22854703650688801</c:v>
                </c:pt>
                <c:pt idx="314">
                  <c:v>0.23552212433474251</c:v>
                </c:pt>
                <c:pt idx="315">
                  <c:v>0.24218408335580024</c:v>
                </c:pt>
                <c:pt idx="316">
                  <c:v>0.24853209760943454</c:v>
                </c:pt>
                <c:pt idx="317">
                  <c:v>0.25447327647702339</c:v>
                </c:pt>
                <c:pt idx="318">
                  <c:v>0.26015916005141593</c:v>
                </c:pt>
                <c:pt idx="319">
                  <c:v>0.26558900199529106</c:v>
                </c:pt>
                <c:pt idx="320">
                  <c:v>0.27076205666140829</c:v>
                </c:pt>
                <c:pt idx="321">
                  <c:v>0.2756775814405506</c:v>
                </c:pt>
                <c:pt idx="322">
                  <c:v>0.28033483911073598</c:v>
                </c:pt>
                <c:pt idx="323">
                  <c:v>0.28474613669866539</c:v>
                </c:pt>
                <c:pt idx="324">
                  <c:v>0.2890756305644715</c:v>
                </c:pt>
                <c:pt idx="325">
                  <c:v>0.29332273887992899</c:v>
                </c:pt>
                <c:pt idx="326">
                  <c:v>0.29748502221626272</c:v>
                </c:pt>
                <c:pt idx="327">
                  <c:v>0.30156118413687838</c:v>
                </c:pt>
                <c:pt idx="328">
                  <c:v>0.30555145899388791</c:v>
                </c:pt>
                <c:pt idx="329">
                  <c:v>0.30945612709966269</c:v>
                </c:pt>
                <c:pt idx="330">
                  <c:v>0.31327551307369511</c:v>
                </c:pt>
                <c:pt idx="331">
                  <c:v>0.31686199255831832</c:v>
                </c:pt>
                <c:pt idx="332">
                  <c:v>0.32030835014613829</c:v>
                </c:pt>
                <c:pt idx="333">
                  <c:v>0.32361502733792125</c:v>
                </c:pt>
                <c:pt idx="334">
                  <c:v>0.32678250696766453</c:v>
                </c:pt>
                <c:pt idx="335">
                  <c:v>0.32981131039850414</c:v>
                </c:pt>
                <c:pt idx="336">
                  <c:v>0.33270199471439904</c:v>
                </c:pt>
                <c:pt idx="337">
                  <c:v>0.33529129594566576</c:v>
                </c:pt>
                <c:pt idx="338">
                  <c:v>0.33756675705473499</c:v>
                </c:pt>
                <c:pt idx="339">
                  <c:v>0.33952901426021154</c:v>
                </c:pt>
                <c:pt idx="340">
                  <c:v>0.3411787291313938</c:v>
                </c:pt>
                <c:pt idx="341">
                  <c:v>0.34251658210423674</c:v>
                </c:pt>
                <c:pt idx="342">
                  <c:v>0.3435432659970778</c:v>
                </c:pt>
                <c:pt idx="343">
                  <c:v>0.34425947952222219</c:v>
                </c:pt>
                <c:pt idx="344">
                  <c:v>0.34466592080289815</c:v>
                </c:pt>
                <c:pt idx="345">
                  <c:v>0.34476328088660108</c:v>
                </c:pt>
                <c:pt idx="346">
                  <c:v>0.34476039814001225</c:v>
                </c:pt>
                <c:pt idx="347">
                  <c:v>0.34465797147947558</c:v>
                </c:pt>
                <c:pt idx="348">
                  <c:v>0.34445669144999885</c:v>
                </c:pt>
                <c:pt idx="349">
                  <c:v>0.34415723806404386</c:v>
                </c:pt>
                <c:pt idx="350">
                  <c:v>0.34376027864837932</c:v>
                </c:pt>
                <c:pt idx="351">
                  <c:v>0.3433265663530729</c:v>
                </c:pt>
                <c:pt idx="352">
                  <c:v>0.34302077425942751</c:v>
                </c:pt>
                <c:pt idx="353">
                  <c:v>0.34284364735346629</c:v>
                </c:pt>
                <c:pt idx="354">
                  <c:v>0.34279594610428082</c:v>
                </c:pt>
                <c:pt idx="355">
                  <c:v>0.3428784489442489</c:v>
                </c:pt>
                <c:pt idx="356">
                  <c:v>0.3430921918630041</c:v>
                </c:pt>
                <c:pt idx="357">
                  <c:v>0.34343723212555116</c:v>
                </c:pt>
                <c:pt idx="358">
                  <c:v>0.34391282156983227</c:v>
                </c:pt>
                <c:pt idx="359">
                  <c:v>0.34451822995066789</c:v>
                </c:pt>
                <c:pt idx="360">
                  <c:v>0.34508835725360593</c:v>
                </c:pt>
                <c:pt idx="361">
                  <c:v>0.34556202797607632</c:v>
                </c:pt>
                <c:pt idx="362">
                  <c:v>0.34593825261335004</c:v>
                </c:pt>
                <c:pt idx="363">
                  <c:v>0.34621602701189325</c:v>
                </c:pt>
                <c:pt idx="364">
                  <c:v>0.34639433504016642</c:v>
                </c:pt>
                <c:pt idx="365">
                  <c:v>0.3464721512551856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0.44524080329429494</c:v>
                </c:pt>
                <c:pt idx="1">
                  <c:v>0.44620495089160744</c:v>
                </c:pt>
                <c:pt idx="2">
                  <c:v>0.446898515640896</c:v>
                </c:pt>
                <c:pt idx="3">
                  <c:v>0.44731997310833232</c:v>
                </c:pt>
                <c:pt idx="4">
                  <c:v>0.44746778967946632</c:v>
                </c:pt>
                <c:pt idx="5">
                  <c:v>0.4473404295477485</c:v>
                </c:pt>
                <c:pt idx="6">
                  <c:v>0.44693636170877543</c:v>
                </c:pt>
                <c:pt idx="7">
                  <c:v>0.44625406694445691</c:v>
                </c:pt>
                <c:pt idx="8">
                  <c:v>0.44529204481345569</c:v>
                </c:pt>
                <c:pt idx="9">
                  <c:v>0.44403586678210322</c:v>
                </c:pt>
                <c:pt idx="10">
                  <c:v>0.44260354305692107</c:v>
                </c:pt>
                <c:pt idx="11">
                  <c:v>0.44099380478645672</c:v>
                </c:pt>
                <c:pt idx="12">
                  <c:v>0.43920541756747411</c:v>
                </c:pt>
                <c:pt idx="13">
                  <c:v>0.43723718572814668</c:v>
                </c:pt>
                <c:pt idx="14">
                  <c:v>0.43508795660377747</c:v>
                </c:pt>
                <c:pt idx="15">
                  <c:v>0.43266170496940964</c:v>
                </c:pt>
                <c:pt idx="16">
                  <c:v>0.43011316005213795</c:v>
                </c:pt>
                <c:pt idx="17">
                  <c:v>0.42744138055866965</c:v>
                </c:pt>
                <c:pt idx="18">
                  <c:v>0.42464547364435018</c:v>
                </c:pt>
                <c:pt idx="19">
                  <c:v>0.42172694999314914</c:v>
                </c:pt>
                <c:pt idx="20">
                  <c:v>0.41868836131077042</c:v>
                </c:pt>
                <c:pt idx="21">
                  <c:v>0.41553041522054723</c:v>
                </c:pt>
                <c:pt idx="22">
                  <c:v>0.41225381955211027</c:v>
                </c:pt>
                <c:pt idx="23">
                  <c:v>0.40863805686430082</c:v>
                </c:pt>
                <c:pt idx="24">
                  <c:v>0.40469678473673482</c:v>
                </c:pt>
                <c:pt idx="25">
                  <c:v>0.40043068129311565</c:v>
                </c:pt>
                <c:pt idx="26">
                  <c:v>0.39584044140761998</c:v>
                </c:pt>
                <c:pt idx="27">
                  <c:v>0.39092677274610188</c:v>
                </c:pt>
                <c:pt idx="28">
                  <c:v>0.38569039181591946</c:v>
                </c:pt>
                <c:pt idx="29">
                  <c:v>0.37978022955166313</c:v>
                </c:pt>
                <c:pt idx="30">
                  <c:v>0.37329211051829581</c:v>
                </c:pt>
                <c:pt idx="31">
                  <c:v>0.3662267942693978</c:v>
                </c:pt>
                <c:pt idx="32">
                  <c:v>0.35858504849551159</c:v>
                </c:pt>
                <c:pt idx="33">
                  <c:v>0.35036764185951758</c:v>
                </c:pt>
                <c:pt idx="34">
                  <c:v>0.34157533683366909</c:v>
                </c:pt>
                <c:pt idx="35">
                  <c:v>0.33220888253623643</c:v>
                </c:pt>
                <c:pt idx="36">
                  <c:v>0.32226900756738719</c:v>
                </c:pt>
                <c:pt idx="37">
                  <c:v>0.31165441801712351</c:v>
                </c:pt>
                <c:pt idx="38">
                  <c:v>0.3005869511424436</c:v>
                </c:pt>
                <c:pt idx="39">
                  <c:v>0.28906720013486581</c:v>
                </c:pt>
                <c:pt idx="40">
                  <c:v>0.27709570781692439</c:v>
                </c:pt>
                <c:pt idx="41">
                  <c:v>0.26467296097051185</c:v>
                </c:pt>
                <c:pt idx="42">
                  <c:v>0.25179938466303714</c:v>
                </c:pt>
                <c:pt idx="43">
                  <c:v>0.23876552679326388</c:v>
                </c:pt>
                <c:pt idx="44">
                  <c:v>0.22592301837027171</c:v>
                </c:pt>
                <c:pt idx="45">
                  <c:v>0.21327192504562265</c:v>
                </c:pt>
                <c:pt idx="46">
                  <c:v>0.20081225473698458</c:v>
                </c:pt>
                <c:pt idx="47">
                  <c:v>0.18854395998540829</c:v>
                </c:pt>
                <c:pt idx="48">
                  <c:v>0.17646694030975499</c:v>
                </c:pt>
                <c:pt idx="49">
                  <c:v>0.16458104456303091</c:v>
                </c:pt>
                <c:pt idx="50">
                  <c:v>0.152886073287545</c:v>
                </c:pt>
                <c:pt idx="51">
                  <c:v>0.14157979947855495</c:v>
                </c:pt>
                <c:pt idx="52">
                  <c:v>0.13076311108290367</c:v>
                </c:pt>
                <c:pt idx="53">
                  <c:v>0.12043507597682594</c:v>
                </c:pt>
                <c:pt idx="54">
                  <c:v>0.11059554493194962</c:v>
                </c:pt>
                <c:pt idx="55">
                  <c:v>0.10124439205387352</c:v>
                </c:pt>
                <c:pt idx="56">
                  <c:v>9.238151297642111E-2</c:v>
                </c:pt>
                <c:pt idx="57">
                  <c:v>8.4190133969396952E-2</c:v>
                </c:pt>
                <c:pt idx="58">
                  <c:v>7.638012606900009E-2</c:v>
                </c:pt>
                <c:pt idx="59">
                  <c:v>6.8951437197016602E-2</c:v>
                </c:pt>
                <c:pt idx="60">
                  <c:v>6.1904028891267858E-2</c:v>
                </c:pt>
                <c:pt idx="61">
                  <c:v>5.5237874894864571E-2</c:v>
                </c:pt>
                <c:pt idx="62">
                  <c:v>4.8952959745374461E-2</c:v>
                </c:pt>
                <c:pt idx="63">
                  <c:v>4.3049277364162024E-2</c:v>
                </c:pt>
                <c:pt idx="64">
                  <c:v>3.7526829645512821E-2</c:v>
                </c:pt>
                <c:pt idx="65">
                  <c:v>3.2595202006722584E-2</c:v>
                </c:pt>
                <c:pt idx="66">
                  <c:v>2.805638308714592E-2</c:v>
                </c:pt>
                <c:pt idx="67">
                  <c:v>2.3910389058739667E-2</c:v>
                </c:pt>
                <c:pt idx="68">
                  <c:v>2.0157237953435839E-2</c:v>
                </c:pt>
                <c:pt idx="69">
                  <c:v>1.6796948209554779E-2</c:v>
                </c:pt>
                <c:pt idx="70">
                  <c:v>1.3829537218351553E-2</c:v>
                </c:pt>
                <c:pt idx="71">
                  <c:v>1.1314870566391187E-2</c:v>
                </c:pt>
                <c:pt idx="72">
                  <c:v>9.0696423527075118E-3</c:v>
                </c:pt>
                <c:pt idx="73">
                  <c:v>7.0938641028289173E-3</c:v>
                </c:pt>
                <c:pt idx="74">
                  <c:v>5.3875437459080747E-3</c:v>
                </c:pt>
                <c:pt idx="75">
                  <c:v>3.950684618001004E-3</c:v>
                </c:pt>
                <c:pt idx="76">
                  <c:v>2.7832844653240939E-3</c:v>
                </c:pt>
                <c:pt idx="77">
                  <c:v>1.8853344475290659E-3</c:v>
                </c:pt>
                <c:pt idx="78">
                  <c:v>1.2568181826918894E-3</c:v>
                </c:pt>
                <c:pt idx="79">
                  <c:v>8.9771609173762716E-4</c:v>
                </c:pt>
                <c:pt idx="80">
                  <c:v>5.9848279978687139E-4</c:v>
                </c:pt>
                <c:pt idx="81">
                  <c:v>3.5910980610500819E-4</c:v>
                </c:pt>
                <c:pt idx="82">
                  <c:v>1.7958882047638849E-4</c:v>
                </c:pt>
                <c:pt idx="83">
                  <c:v>5.9911571520894903E-5</c:v>
                </c:pt>
                <c:pt idx="84">
                  <c:v>6.9615011115552571E-8</c:v>
                </c:pt>
                <c:pt idx="85">
                  <c:v>5.414218906030643E-8</c:v>
                </c:pt>
                <c:pt idx="86">
                  <c:v>4.0604446828107386E-8</c:v>
                </c:pt>
                <c:pt idx="87">
                  <c:v>2.9001541836496095E-8</c:v>
                </c:pt>
                <c:pt idx="88">
                  <c:v>1.9333220958366646E-8</c:v>
                </c:pt>
                <c:pt idx="89">
                  <c:v>1.1599214325977661E-8</c:v>
                </c:pt>
                <c:pt idx="90">
                  <c:v>5.7992291349262114E-9</c:v>
                </c:pt>
                <c:pt idx="91">
                  <c:v>1.932943448172557E-9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1.8517665825260551E-9</c:v>
                </c:pt>
                <c:pt idx="254">
                  <c:v>5.5564670006235257E-9</c:v>
                </c:pt>
                <c:pt idx="255">
                  <c:v>1.1115379174936223E-8</c:v>
                </c:pt>
                <c:pt idx="256">
                  <c:v>1.8529894955221803E-8</c:v>
                </c:pt>
                <c:pt idx="257">
                  <c:v>2.7801523381731935E-8</c:v>
                </c:pt>
                <c:pt idx="258">
                  <c:v>3.893189394650171E-8</c:v>
                </c:pt>
                <c:pt idx="259">
                  <c:v>5.1922759855308625E-8</c:v>
                </c:pt>
                <c:pt idx="260">
                  <c:v>6.6776001288818481E-8</c:v>
                </c:pt>
                <c:pt idx="261">
                  <c:v>5.7481652119398433E-5</c:v>
                </c:pt>
                <c:pt idx="262">
                  <c:v>1.723472045602185E-4</c:v>
                </c:pt>
                <c:pt idx="263">
                  <c:v>3.44717994759903E-4</c:v>
                </c:pt>
                <c:pt idx="264">
                  <c:v>5.7465262063587476E-4</c:v>
                </c:pt>
                <c:pt idx="265">
                  <c:v>8.6221846531824356E-4</c:v>
                </c:pt>
                <c:pt idx="266">
                  <c:v>1.2074914296883897E-3</c:v>
                </c:pt>
                <c:pt idx="267">
                  <c:v>1.8119346757512775E-3</c:v>
                </c:pt>
                <c:pt idx="268">
                  <c:v>2.6758672096703919E-3</c:v>
                </c:pt>
                <c:pt idx="269">
                  <c:v>3.7996344355608874E-3</c:v>
                </c:pt>
                <c:pt idx="270">
                  <c:v>5.1836034454806187E-3</c:v>
                </c:pt>
                <c:pt idx="271">
                  <c:v>6.8281601670462135E-3</c:v>
                </c:pt>
                <c:pt idx="272">
                  <c:v>8.733706511113163E-3</c:v>
                </c:pt>
                <c:pt idx="273">
                  <c:v>1.0900657519386034E-2</c:v>
                </c:pt>
                <c:pt idx="274">
                  <c:v>1.3329438512124399E-2</c:v>
                </c:pt>
                <c:pt idx="275">
                  <c:v>1.619725730203191E-2</c:v>
                </c:pt>
                <c:pt idx="276">
                  <c:v>1.9447068929604926E-2</c:v>
                </c:pt>
                <c:pt idx="277">
                  <c:v>2.3079495262780789E-2</c:v>
                </c:pt>
                <c:pt idx="278">
                  <c:v>2.7095161146738749E-2</c:v>
                </c:pt>
                <c:pt idx="279">
                  <c:v>3.1494690244371036E-2</c:v>
                </c:pt>
                <c:pt idx="280">
                  <c:v>3.6278700877006603E-2</c:v>
                </c:pt>
                <c:pt idx="281">
                  <c:v>4.1639340454412838E-2</c:v>
                </c:pt>
                <c:pt idx="282">
                  <c:v>4.7374687341306482E-2</c:v>
                </c:pt>
                <c:pt idx="283">
                  <c:v>5.348530211880561E-2</c:v>
                </c:pt>
                <c:pt idx="284">
                  <c:v>5.9971722533223901E-2</c:v>
                </c:pt>
                <c:pt idx="285">
                  <c:v>6.6834459458689793E-2</c:v>
                </c:pt>
                <c:pt idx="286">
                  <c:v>7.4073992860334462E-2</c:v>
                </c:pt>
                <c:pt idx="287">
                  <c:v>8.1690767756943325E-2</c:v>
                </c:pt>
                <c:pt idx="288">
                  <c:v>8.9685190183796504E-2</c:v>
                </c:pt>
                <c:pt idx="289">
                  <c:v>9.8339362198905392E-2</c:v>
                </c:pt>
                <c:pt idx="290">
                  <c:v>0.10747588310797568</c:v>
                </c:pt>
                <c:pt idx="291">
                  <c:v>0.1170951646855844</c:v>
                </c:pt>
                <c:pt idx="292">
                  <c:v>0.12719755707497019</c:v>
                </c:pt>
                <c:pt idx="293">
                  <c:v>0.13778334362102346</c:v>
                </c:pt>
                <c:pt idx="294">
                  <c:v>0.14885273570292085</c:v>
                </c:pt>
                <c:pt idx="295">
                  <c:v>0.16030662781388449</c:v>
                </c:pt>
                <c:pt idx="296">
                  <c:v>0.17195405823056512</c:v>
                </c:pt>
                <c:pt idx="297">
                  <c:v>0.18379660363621553</c:v>
                </c:pt>
                <c:pt idx="298">
                  <c:v>0.19583457324815459</c:v>
                </c:pt>
                <c:pt idx="299">
                  <c:v>0.20806823892660903</c:v>
                </c:pt>
                <c:pt idx="300">
                  <c:v>0.22049783348119667</c:v>
                </c:pt>
                <c:pt idx="301">
                  <c:v>0.23312354897683502</c:v>
                </c:pt>
                <c:pt idx="302">
                  <c:v>0.24594553504010616</c:v>
                </c:pt>
                <c:pt idx="303">
                  <c:v>0.25862043010465652</c:v>
                </c:pt>
                <c:pt idx="304">
                  <c:v>0.27086406458728118</c:v>
                </c:pt>
                <c:pt idx="305">
                  <c:v>0.28267555576481451</c:v>
                </c:pt>
                <c:pt idx="306">
                  <c:v>0.29405397876592815</c:v>
                </c:pt>
                <c:pt idx="307">
                  <c:v>0.30499837065127844</c:v>
                </c:pt>
                <c:pt idx="308">
                  <c:v>0.31550773449111991</c:v>
                </c:pt>
                <c:pt idx="309">
                  <c:v>0.32536440143502471</c:v>
                </c:pt>
                <c:pt idx="310">
                  <c:v>0.33466697646435223</c:v>
                </c:pt>
                <c:pt idx="311">
                  <c:v>0.34341423096248719</c:v>
                </c:pt>
                <c:pt idx="312">
                  <c:v>0.35160492437157154</c:v>
                </c:pt>
                <c:pt idx="313">
                  <c:v>0.35923780934515753</c:v>
                </c:pt>
                <c:pt idx="314">
                  <c:v>0.36631163689770968</c:v>
                </c:pt>
                <c:pt idx="315">
                  <c:v>0.37282516155858431</c:v>
                </c:pt>
                <c:pt idx="316">
                  <c:v>0.37877714652044792</c:v>
                </c:pt>
                <c:pt idx="317">
                  <c:v>0.38407295544854192</c:v>
                </c:pt>
                <c:pt idx="318">
                  <c:v>0.38905703381428913</c:v>
                </c:pt>
                <c:pt idx="319">
                  <c:v>0.39372848417950146</c:v>
                </c:pt>
                <c:pt idx="320">
                  <c:v>0.39808641701393888</c:v>
                </c:pt>
                <c:pt idx="321">
                  <c:v>0.40212995353998349</c:v>
                </c:pt>
                <c:pt idx="322">
                  <c:v>0.40585822857910198</c:v>
                </c:pt>
                <c:pt idx="323">
                  <c:v>0.40925758947915092</c:v>
                </c:pt>
                <c:pt idx="324">
                  <c:v>0.41254509562114794</c:v>
                </c:pt>
                <c:pt idx="325">
                  <c:v>0.41572008100807023</c:v>
                </c:pt>
                <c:pt idx="326">
                  <c:v>0.41877927496163625</c:v>
                </c:pt>
                <c:pt idx="327">
                  <c:v>0.42172108407273884</c:v>
                </c:pt>
                <c:pt idx="328">
                  <c:v>0.424546074427959</c:v>
                </c:pt>
                <c:pt idx="329">
                  <c:v>0.42725485272244967</c:v>
                </c:pt>
                <c:pt idx="330">
                  <c:v>0.42984806403944664</c:v>
                </c:pt>
                <c:pt idx="331">
                  <c:v>0.43217247712638185</c:v>
                </c:pt>
                <c:pt idx="332">
                  <c:v>0.43432252867849402</c:v>
                </c:pt>
                <c:pt idx="333">
                  <c:v>0.43629895868964513</c:v>
                </c:pt>
                <c:pt idx="334">
                  <c:v>0.43810254065311816</c:v>
                </c:pt>
                <c:pt idx="335">
                  <c:v>0.43973407809694726</c:v>
                </c:pt>
                <c:pt idx="336">
                  <c:v>0.44119440111352914</c:v>
                </c:pt>
                <c:pt idx="337">
                  <c:v>0.44236609314538389</c:v>
                </c:pt>
                <c:pt idx="338">
                  <c:v>0.44326284643483427</c:v>
                </c:pt>
                <c:pt idx="339">
                  <c:v>0.44388554355005216</c:v>
                </c:pt>
                <c:pt idx="340">
                  <c:v>0.44423508008945578</c:v>
                </c:pt>
                <c:pt idx="341">
                  <c:v>0.44431235902276561</c:v>
                </c:pt>
                <c:pt idx="342">
                  <c:v>0.44411828503171336</c:v>
                </c:pt>
                <c:pt idx="343">
                  <c:v>0.44365375884538838</c:v>
                </c:pt>
                <c:pt idx="344">
                  <c:v>0.44291967158256107</c:v>
                </c:pt>
                <c:pt idx="345">
                  <c:v>0.44191689908932202</c:v>
                </c:pt>
                <c:pt idx="346">
                  <c:v>0.44091577465837467</c:v>
                </c:pt>
                <c:pt idx="347">
                  <c:v>0.43991718030238292</c:v>
                </c:pt>
                <c:pt idx="348">
                  <c:v>0.43892198928921666</c:v>
                </c:pt>
                <c:pt idx="349">
                  <c:v>0.43793106607921739</c:v>
                </c:pt>
                <c:pt idx="350">
                  <c:v>0.43694526627274444</c:v>
                </c:pt>
                <c:pt idx="351">
                  <c:v>0.43608095749942932</c:v>
                </c:pt>
                <c:pt idx="352">
                  <c:v>0.43545741433771135</c:v>
                </c:pt>
                <c:pt idx="353">
                  <c:v>0.43507560369015713</c:v>
                </c:pt>
                <c:pt idx="354">
                  <c:v>0.43493652221447499</c:v>
                </c:pt>
                <c:pt idx="355">
                  <c:v>0.43504120110200661</c:v>
                </c:pt>
                <c:pt idx="356">
                  <c:v>0.4353910117584292</c:v>
                </c:pt>
                <c:pt idx="357">
                  <c:v>0.43598609854336717</c:v>
                </c:pt>
                <c:pt idx="358">
                  <c:v>0.43682559762145406</c:v>
                </c:pt>
                <c:pt idx="359">
                  <c:v>0.43790867959932889</c:v>
                </c:pt>
                <c:pt idx="360">
                  <c:v>0.43911589084601738</c:v>
                </c:pt>
                <c:pt idx="361">
                  <c:v>0.44033045810083327</c:v>
                </c:pt>
                <c:pt idx="362">
                  <c:v>0.44155131533773623</c:v>
                </c:pt>
                <c:pt idx="363">
                  <c:v>0.44277738560650876</c:v>
                </c:pt>
                <c:pt idx="364">
                  <c:v>0.44400758111304783</c:v>
                </c:pt>
                <c:pt idx="365">
                  <c:v>0.44524080329429494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0.52265609855523709</c:v>
                </c:pt>
                <c:pt idx="1">
                  <c:v>0.52486079197931346</c:v>
                </c:pt>
                <c:pt idx="2">
                  <c:v>0.5270364618243103</c:v>
                </c:pt>
                <c:pt idx="3">
                  <c:v>0.52918174464927281</c:v>
                </c:pt>
                <c:pt idx="4">
                  <c:v>0.53129525683843581</c:v>
                </c:pt>
                <c:pt idx="5">
                  <c:v>0.53337559546828928</c:v>
                </c:pt>
                <c:pt idx="6">
                  <c:v>0.53542133918146484</c:v>
                </c:pt>
                <c:pt idx="7">
                  <c:v>0.53743104904864725</c:v>
                </c:pt>
                <c:pt idx="8">
                  <c:v>0.53940326943789385</c:v>
                </c:pt>
                <c:pt idx="9">
                  <c:v>0.54117102064350175</c:v>
                </c:pt>
                <c:pt idx="10">
                  <c:v>0.54263945037075911</c:v>
                </c:pt>
                <c:pt idx="11">
                  <c:v>0.54380674422860531</c:v>
                </c:pt>
                <c:pt idx="12">
                  <c:v>0.54467110645210648</c:v>
                </c:pt>
                <c:pt idx="13">
                  <c:v>0.54523076734769438</c:v>
                </c:pt>
                <c:pt idx="14">
                  <c:v>0.54548399072906584</c:v>
                </c:pt>
                <c:pt idx="15">
                  <c:v>0.54534592926081293</c:v>
                </c:pt>
                <c:pt idx="16">
                  <c:v>0.54494245032370303</c:v>
                </c:pt>
                <c:pt idx="17">
                  <c:v>0.54427200557704625</c:v>
                </c:pt>
                <c:pt idx="18">
                  <c:v>0.54333310158457127</c:v>
                </c:pt>
                <c:pt idx="19">
                  <c:v>0.5421273300536692</c:v>
                </c:pt>
                <c:pt idx="20">
                  <c:v>0.54065767963945666</c:v>
                </c:pt>
                <c:pt idx="21">
                  <c:v>0.53892482057759961</c:v>
                </c:pt>
                <c:pt idx="22">
                  <c:v>0.53692945166634765</c:v>
                </c:pt>
                <c:pt idx="23">
                  <c:v>0.53450080465150396</c:v>
                </c:pt>
                <c:pt idx="24">
                  <c:v>0.53180573527358865</c:v>
                </c:pt>
                <c:pt idx="25">
                  <c:v>0.52884501849800936</c:v>
                </c:pt>
                <c:pt idx="26">
                  <c:v>0.52561944510407255</c:v>
                </c:pt>
                <c:pt idx="27">
                  <c:v>0.52212981849406681</c:v>
                </c:pt>
                <c:pt idx="28">
                  <c:v>0.51837695151373997</c:v>
                </c:pt>
                <c:pt idx="29">
                  <c:v>0.51389571075956186</c:v>
                </c:pt>
                <c:pt idx="30">
                  <c:v>0.50877024133449666</c:v>
                </c:pt>
                <c:pt idx="31">
                  <c:v>0.50300142316053131</c:v>
                </c:pt>
                <c:pt idx="32">
                  <c:v>0.49659015568341147</c:v>
                </c:pt>
                <c:pt idx="33">
                  <c:v>0.48953734990238779</c:v>
                </c:pt>
                <c:pt idx="34">
                  <c:v>0.4818439204022435</c:v>
                </c:pt>
                <c:pt idx="35">
                  <c:v>0.47351077738483416</c:v>
                </c:pt>
                <c:pt idx="36">
                  <c:v>0.46453881869958152</c:v>
                </c:pt>
                <c:pt idx="37">
                  <c:v>0.4547280922693982</c:v>
                </c:pt>
                <c:pt idx="38">
                  <c:v>0.44425093020507334</c:v>
                </c:pt>
                <c:pt idx="39">
                  <c:v>0.43310815458783991</c:v>
                </c:pt>
                <c:pt idx="40">
                  <c:v>0.42130054243099724</c:v>
                </c:pt>
                <c:pt idx="41">
                  <c:v>0.40882881734582455</c:v>
                </c:pt>
                <c:pt idx="42">
                  <c:v>0.39569364120431599</c:v>
                </c:pt>
                <c:pt idx="43">
                  <c:v>0.3820426132606044</c:v>
                </c:pt>
                <c:pt idx="44">
                  <c:v>0.3683416685837782</c:v>
                </c:pt>
                <c:pt idx="45">
                  <c:v>0.35459109787492882</c:v>
                </c:pt>
                <c:pt idx="46">
                  <c:v>0.34079112156062003</c:v>
                </c:pt>
                <c:pt idx="47">
                  <c:v>0.32694188912336181</c:v>
                </c:pt>
                <c:pt idx="48">
                  <c:v>0.31304347842738234</c:v>
                </c:pt>
                <c:pt idx="49">
                  <c:v>0.29909589504758066</c:v>
                </c:pt>
                <c:pt idx="50">
                  <c:v>0.28509907159645609</c:v>
                </c:pt>
                <c:pt idx="51">
                  <c:v>0.27106935980506613</c:v>
                </c:pt>
                <c:pt idx="52">
                  <c:v>0.25720576851311733</c:v>
                </c:pt>
                <c:pt idx="53">
                  <c:v>0.24350664014467696</c:v>
                </c:pt>
                <c:pt idx="54">
                  <c:v>0.22997175374364018</c:v>
                </c:pt>
                <c:pt idx="55">
                  <c:v>0.21660091132049217</c:v>
                </c:pt>
                <c:pt idx="56">
                  <c:v>0.20339393724757876</c:v>
                </c:pt>
                <c:pt idx="57">
                  <c:v>0.19055886714870737</c:v>
                </c:pt>
                <c:pt idx="58">
                  <c:v>0.17794862751496396</c:v>
                </c:pt>
                <c:pt idx="59">
                  <c:v>0.16556310797713858</c:v>
                </c:pt>
                <c:pt idx="60">
                  <c:v>0.15340221804113099</c:v>
                </c:pt>
                <c:pt idx="61">
                  <c:v>0.14146588625676099</c:v>
                </c:pt>
                <c:pt idx="62">
                  <c:v>0.12975405938636117</c:v>
                </c:pt>
                <c:pt idx="63">
                  <c:v>0.11826670157380452</c:v>
                </c:pt>
                <c:pt idx="64">
                  <c:v>0.10700379351297834</c:v>
                </c:pt>
                <c:pt idx="65">
                  <c:v>9.6332635293184879E-2</c:v>
                </c:pt>
                <c:pt idx="66">
                  <c:v>8.6236748194072274E-2</c:v>
                </c:pt>
                <c:pt idx="67">
                  <c:v>7.6716156686676626E-2</c:v>
                </c:pt>
                <c:pt idx="68">
                  <c:v>6.777089306837758E-2</c:v>
                </c:pt>
                <c:pt idx="69">
                  <c:v>5.9400995333582944E-2</c:v>
                </c:pt>
                <c:pt idx="70">
                  <c:v>5.1606505044821026E-2</c:v>
                </c:pt>
                <c:pt idx="71">
                  <c:v>4.4602630822591E-2</c:v>
                </c:pt>
                <c:pt idx="72">
                  <c:v>3.8181212553160662E-2</c:v>
                </c:pt>
                <c:pt idx="73">
                  <c:v>3.2342286665472127E-2</c:v>
                </c:pt>
                <c:pt idx="74">
                  <c:v>2.7085884132711891E-2</c:v>
                </c:pt>
                <c:pt idx="75">
                  <c:v>2.24120283175442E-2</c:v>
                </c:pt>
                <c:pt idx="76">
                  <c:v>1.8320732817244376E-2</c:v>
                </c:pt>
                <c:pt idx="77">
                  <c:v>1.4811999308920921E-2</c:v>
                </c:pt>
                <c:pt idx="78">
                  <c:v>1.1885815789283221E-2</c:v>
                </c:pt>
                <c:pt idx="79">
                  <c:v>9.6123374570964305E-3</c:v>
                </c:pt>
                <c:pt idx="80">
                  <c:v>7.6243180471348487E-3</c:v>
                </c:pt>
                <c:pt idx="81">
                  <c:v>5.9217157775837267E-3</c:v>
                </c:pt>
                <c:pt idx="82">
                  <c:v>4.5044905894242931E-3</c:v>
                </c:pt>
                <c:pt idx="83">
                  <c:v>3.3726032326370659E-3</c:v>
                </c:pt>
                <c:pt idx="84">
                  <c:v>2.526014352419345E-3</c:v>
                </c:pt>
                <c:pt idx="85">
                  <c:v>1.9646962843505177E-3</c:v>
                </c:pt>
                <c:pt idx="86">
                  <c:v>1.4735687696092728E-3</c:v>
                </c:pt>
                <c:pt idx="87">
                  <c:v>1.052623009324223E-3</c:v>
                </c:pt>
                <c:pt idx="88">
                  <c:v>7.0184982224022604E-4</c:v>
                </c:pt>
                <c:pt idx="89">
                  <c:v>4.2123941997320417E-4</c:v>
                </c:pt>
                <c:pt idx="90">
                  <c:v>2.107811822636287E-4</c:v>
                </c:pt>
                <c:pt idx="91">
                  <c:v>7.0463432231839546E-5</c:v>
                </c:pt>
                <c:pt idx="92">
                  <c:v>2.7321163101514319E-7</c:v>
                </c:pt>
                <c:pt idx="93">
                  <c:v>1.9611743058821208E-7</c:v>
                </c:pt>
                <c:pt idx="94">
                  <c:v>1.3179726348127838E-7</c:v>
                </c:pt>
                <c:pt idx="95">
                  <c:v>8.0248861656750865E-8</c:v>
                </c:pt>
                <c:pt idx="96">
                  <c:v>4.1469658913624716E-8</c:v>
                </c:pt>
                <c:pt idx="97">
                  <c:v>1.5456749968135326E-8</c:v>
                </c:pt>
                <c:pt idx="98">
                  <c:v>2.2068495333258185E-9</c:v>
                </c:pt>
                <c:pt idx="99">
                  <c:v>1.7162513990958808E-9</c:v>
                </c:pt>
                <c:pt idx="100">
                  <c:v>1.2870398760792524E-9</c:v>
                </c:pt>
                <c:pt idx="101">
                  <c:v>9.1920175843515013E-10</c:v>
                </c:pt>
                <c:pt idx="102">
                  <c:v>6.1272185410139805E-10</c:v>
                </c:pt>
                <c:pt idx="103">
                  <c:v>3.6758278816647513E-10</c:v>
                </c:pt>
                <c:pt idx="104">
                  <c:v>1.837648062598306E-10</c:v>
                </c:pt>
                <c:pt idx="105">
                  <c:v>6.1245577924728582E-11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5.8645498405273197E-11</c:v>
                </c:pt>
                <c:pt idx="240">
                  <c:v>1.7595221321855004E-10</c:v>
                </c:pt>
                <c:pt idx="241">
                  <c:v>3.5193850492180862E-10</c:v>
                </c:pt>
                <c:pt idx="242">
                  <c:v>5.8662547997082823E-10</c:v>
                </c:pt>
                <c:pt idx="243">
                  <c:v>8.8003709429140067E-10</c:v>
                </c:pt>
                <c:pt idx="244">
                  <c:v>1.2322002567815853E-9</c:v>
                </c:pt>
                <c:pt idx="245">
                  <c:v>1.6431449328070304E-9</c:v>
                </c:pt>
                <c:pt idx="246">
                  <c:v>2.112904247678141E-9</c:v>
                </c:pt>
                <c:pt idx="247">
                  <c:v>1.4799388973317232E-8</c:v>
                </c:pt>
                <c:pt idx="248">
                  <c:v>3.9708263619608831E-8</c:v>
                </c:pt>
                <c:pt idx="249">
                  <c:v>7.6845846363919734E-8</c:v>
                </c:pt>
                <c:pt idx="250">
                  <c:v>1.2621913058946483E-7</c:v>
                </c:pt>
                <c:pt idx="251">
                  <c:v>1.8783580642619439E-7</c:v>
                </c:pt>
                <c:pt idx="252">
                  <c:v>2.6170428228979892E-7</c:v>
                </c:pt>
                <c:pt idx="253">
                  <c:v>6.750421447682284E-5</c:v>
                </c:pt>
                <c:pt idx="254">
                  <c:v>2.019576492583558E-4</c:v>
                </c:pt>
                <c:pt idx="255">
                  <c:v>4.0366836449827535E-4</c:v>
                </c:pt>
                <c:pt idx="256">
                  <c:v>6.726868486352424E-4</c:v>
                </c:pt>
                <c:pt idx="257">
                  <c:v>1.0090678409742126E-3</c:v>
                </c:pt>
                <c:pt idx="258">
                  <c:v>1.4128704499821705E-3</c:v>
                </c:pt>
                <c:pt idx="259">
                  <c:v>1.884158271608158E-3</c:v>
                </c:pt>
                <c:pt idx="260">
                  <c:v>2.4229995075737958E-3</c:v>
                </c:pt>
                <c:pt idx="261">
                  <c:v>3.2358157336532284E-3</c:v>
                </c:pt>
                <c:pt idx="262">
                  <c:v>4.3228546130863266E-3</c:v>
                </c:pt>
                <c:pt idx="263">
                  <c:v>5.6843950058825038E-3</c:v>
                </c:pt>
                <c:pt idx="264">
                  <c:v>7.3207356133003238E-3</c:v>
                </c:pt>
                <c:pt idx="265">
                  <c:v>9.2322449454331976E-3</c:v>
                </c:pt>
                <c:pt idx="266">
                  <c:v>1.1419329301613747E-2</c:v>
                </c:pt>
                <c:pt idx="267">
                  <c:v>1.4235339093396582E-2</c:v>
                </c:pt>
                <c:pt idx="268">
                  <c:v>1.7613667885394528E-2</c:v>
                </c:pt>
                <c:pt idx="269">
                  <c:v>2.1555128490412197E-2</c:v>
                </c:pt>
                <c:pt idx="270">
                  <c:v>2.6060573971367219E-2</c:v>
                </c:pt>
                <c:pt idx="271">
                  <c:v>3.1130891474549123E-2</c:v>
                </c:pt>
                <c:pt idx="272">
                  <c:v>3.6766996063321934E-2</c:v>
                </c:pt>
                <c:pt idx="273">
                  <c:v>4.2969824551492508E-2</c:v>
                </c:pt>
                <c:pt idx="274">
                  <c:v>4.974032933710662E-2</c:v>
                </c:pt>
                <c:pt idx="275">
                  <c:v>5.7280238851218211E-2</c:v>
                </c:pt>
                <c:pt idx="276">
                  <c:v>6.5383225219950228E-2</c:v>
                </c:pt>
                <c:pt idx="277">
                  <c:v>7.4050245292086869E-2</c:v>
                </c:pt>
                <c:pt idx="278">
                  <c:v>8.3282245677620381E-2</c:v>
                </c:pt>
                <c:pt idx="279">
                  <c:v>9.3080156654868518E-2</c:v>
                </c:pt>
                <c:pt idx="280">
                  <c:v>0.10344488607836594</c:v>
                </c:pt>
                <c:pt idx="281">
                  <c:v>0.11439326633974375</c:v>
                </c:pt>
                <c:pt idx="282">
                  <c:v>0.12557071169276959</c:v>
                </c:pt>
                <c:pt idx="283">
                  <c:v>0.1369774938001985</c:v>
                </c:pt>
                <c:pt idx="284">
                  <c:v>0.14861383695240454</c:v>
                </c:pt>
                <c:pt idx="285">
                  <c:v>0.16047991568813194</c:v>
                </c:pt>
                <c:pt idx="286">
                  <c:v>0.17257585241666137</c:v>
                </c:pt>
                <c:pt idx="287">
                  <c:v>0.18490171503860331</c:v>
                </c:pt>
                <c:pt idx="288">
                  <c:v>0.19745751456718516</c:v>
                </c:pt>
                <c:pt idx="289">
                  <c:v>0.21038592892754629</c:v>
                </c:pt>
                <c:pt idx="290">
                  <c:v>0.22348474650308806</c:v>
                </c:pt>
                <c:pt idx="291">
                  <c:v>0.23675370234549298</c:v>
                </c:pt>
                <c:pt idx="292">
                  <c:v>0.25019246750497504</c:v>
                </c:pt>
                <c:pt idx="293">
                  <c:v>0.26380064730074348</c:v>
                </c:pt>
                <c:pt idx="294">
                  <c:v>0.27757777959068453</c:v>
                </c:pt>
                <c:pt idx="295">
                  <c:v>0.29132792573625038</c:v>
                </c:pt>
                <c:pt idx="296">
                  <c:v>0.30503785255024968</c:v>
                </c:pt>
                <c:pt idx="297">
                  <c:v>0.31870980545827404</c:v>
                </c:pt>
                <c:pt idx="298">
                  <c:v>0.33234368064337272</c:v>
                </c:pt>
                <c:pt idx="299">
                  <c:v>0.34593932257190729</c:v>
                </c:pt>
                <c:pt idx="300">
                  <c:v>0.3594965244774691</c:v>
                </c:pt>
                <c:pt idx="301">
                  <c:v>0.37301502884380899</c:v>
                </c:pt>
                <c:pt idx="302">
                  <c:v>0.38649452788853156</c:v>
                </c:pt>
                <c:pt idx="303">
                  <c:v>0.39947973602386661</c:v>
                </c:pt>
                <c:pt idx="304">
                  <c:v>0.41182585697459273</c:v>
                </c:pt>
                <c:pt idx="305">
                  <c:v>0.4235315810554463</c:v>
                </c:pt>
                <c:pt idx="306">
                  <c:v>0.43459555746104594</c:v>
                </c:pt>
                <c:pt idx="307">
                  <c:v>0.44501640026136396</c:v>
                </c:pt>
                <c:pt idx="308">
                  <c:v>0.45479269439348374</c:v>
                </c:pt>
                <c:pt idx="309">
                  <c:v>0.46375506121527316</c:v>
                </c:pt>
                <c:pt idx="310">
                  <c:v>0.47209862826622484</c:v>
                </c:pt>
                <c:pt idx="311">
                  <c:v>0.47982197114980468</c:v>
                </c:pt>
                <c:pt idx="312">
                  <c:v>0.4869236597156068</c:v>
                </c:pt>
                <c:pt idx="313">
                  <c:v>0.49340226379166663</c:v>
                </c:pt>
                <c:pt idx="314">
                  <c:v>0.4992563589123804</c:v>
                </c:pt>
                <c:pt idx="315">
                  <c:v>0.50448453205259303</c:v>
                </c:pt>
                <c:pt idx="316">
                  <c:v>0.50908538735405096</c:v>
                </c:pt>
                <c:pt idx="317">
                  <c:v>0.51297571948869969</c:v>
                </c:pt>
                <c:pt idx="318">
                  <c:v>0.5166120508053943</c:v>
                </c:pt>
                <c:pt idx="319">
                  <c:v>0.51999349007595985</c:v>
                </c:pt>
                <c:pt idx="320">
                  <c:v>0.52311915411002163</c:v>
                </c:pt>
                <c:pt idx="321">
                  <c:v>0.5259881700469452</c:v>
                </c:pt>
                <c:pt idx="322">
                  <c:v>0.52859967765006233</c:v>
                </c:pt>
                <c:pt idx="323">
                  <c:v>0.53078923924981092</c:v>
                </c:pt>
                <c:pt idx="324">
                  <c:v>0.53272480144154877</c:v>
                </c:pt>
                <c:pt idx="325">
                  <c:v>0.5344055379203565</c:v>
                </c:pt>
                <c:pt idx="326">
                  <c:v>0.53582731117207372</c:v>
                </c:pt>
                <c:pt idx="327">
                  <c:v>0.53698820624806287</c:v>
                </c:pt>
                <c:pt idx="328">
                  <c:v>0.53788909422356845</c:v>
                </c:pt>
                <c:pt idx="329">
                  <c:v>0.53853089379747598</c:v>
                </c:pt>
                <c:pt idx="330">
                  <c:v>0.53891456617111211</c:v>
                </c:pt>
                <c:pt idx="331">
                  <c:v>0.53891512209274206</c:v>
                </c:pt>
                <c:pt idx="332">
                  <c:v>0.53861569732584058</c:v>
                </c:pt>
                <c:pt idx="333">
                  <c:v>0.53801734550497071</c:v>
                </c:pt>
                <c:pt idx="334">
                  <c:v>0.5371211450864225</c:v>
                </c:pt>
                <c:pt idx="335">
                  <c:v>0.5359281933236969</c:v>
                </c:pt>
                <c:pt idx="336">
                  <c:v>0.53443960023590331</c:v>
                </c:pt>
                <c:pt idx="337">
                  <c:v>0.53274869880853271</c:v>
                </c:pt>
                <c:pt idx="338">
                  <c:v>0.53102053710763675</c:v>
                </c:pt>
                <c:pt idx="339">
                  <c:v>0.52925624529428561</c:v>
                </c:pt>
                <c:pt idx="340">
                  <c:v>0.52745693973154628</c:v>
                </c:pt>
                <c:pt idx="341">
                  <c:v>0.52562372228337584</c:v>
                </c:pt>
                <c:pt idx="342">
                  <c:v>0.52375767961305608</c:v>
                </c:pt>
                <c:pt idx="343">
                  <c:v>0.52185988247529691</c:v>
                </c:pt>
                <c:pt idx="344">
                  <c:v>0.51993138501660452</c:v>
                </c:pt>
                <c:pt idx="345">
                  <c:v>0.51797322407010682</c:v>
                </c:pt>
                <c:pt idx="346">
                  <c:v>0.51620765481506126</c:v>
                </c:pt>
                <c:pt idx="347">
                  <c:v>0.51463572143024894</c:v>
                </c:pt>
                <c:pt idx="348">
                  <c:v>0.5132584679735821</c:v>
                </c:pt>
                <c:pt idx="349">
                  <c:v>0.51207694227341483</c:v>
                </c:pt>
                <c:pt idx="350">
                  <c:v>0.51109219983188392</c:v>
                </c:pt>
                <c:pt idx="351">
                  <c:v>0.51040051978700085</c:v>
                </c:pt>
                <c:pt idx="352">
                  <c:v>0.50991072694592732</c:v>
                </c:pt>
                <c:pt idx="353">
                  <c:v>0.50962393191966393</c:v>
                </c:pt>
                <c:pt idx="354">
                  <c:v>0.50954126984685688</c:v>
                </c:pt>
                <c:pt idx="355">
                  <c:v>0.50966390432465936</c:v>
                </c:pt>
                <c:pt idx="356">
                  <c:v>0.5099933838000924</c:v>
                </c:pt>
                <c:pt idx="357">
                  <c:v>0.51052980412489957</c:v>
                </c:pt>
                <c:pt idx="358">
                  <c:v>0.51127206599602382</c:v>
                </c:pt>
                <c:pt idx="359">
                  <c:v>0.51221909849503133</c:v>
                </c:pt>
                <c:pt idx="360">
                  <c:v>0.51346236909217136</c:v>
                </c:pt>
                <c:pt idx="361">
                  <c:v>0.51490547715079282</c:v>
                </c:pt>
                <c:pt idx="362">
                  <c:v>0.51654740913077357</c:v>
                </c:pt>
                <c:pt idx="363">
                  <c:v>0.51838715910351396</c:v>
                </c:pt>
                <c:pt idx="364">
                  <c:v>0.52042372395043801</c:v>
                </c:pt>
                <c:pt idx="365">
                  <c:v>0.52265609855523709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0.58712641864304294</c:v>
                </c:pt>
                <c:pt idx="1">
                  <c:v>0.5902460615180154</c:v>
                </c:pt>
                <c:pt idx="2">
                  <c:v>0.59339836868207008</c:v>
                </c:pt>
                <c:pt idx="3">
                  <c:v>0.59658190845994852</c:v>
                </c:pt>
                <c:pt idx="4">
                  <c:v>0.59979522029816212</c:v>
                </c:pt>
                <c:pt idx="5">
                  <c:v>0.6030368140896093</c:v>
                </c:pt>
                <c:pt idx="6">
                  <c:v>0.60630516950589886</c:v>
                </c:pt>
                <c:pt idx="7">
                  <c:v>0.60959873531615383</c:v>
                </c:pt>
                <c:pt idx="8">
                  <c:v>0.61291592871416301</c:v>
                </c:pt>
                <c:pt idx="9">
                  <c:v>0.61611975797286689</c:v>
                </c:pt>
                <c:pt idx="10">
                  <c:v>0.61908711594944499</c:v>
                </c:pt>
                <c:pt idx="11">
                  <c:v>0.62181600818603455</c:v>
                </c:pt>
                <c:pt idx="12">
                  <c:v>0.6243044372681894</c:v>
                </c:pt>
                <c:pt idx="13">
                  <c:v>0.62655040867683365</c:v>
                </c:pt>
                <c:pt idx="14">
                  <c:v>0.62855193662947662</c:v>
                </c:pt>
                <c:pt idx="15">
                  <c:v>0.63025035553852304</c:v>
                </c:pt>
                <c:pt idx="16">
                  <c:v>0.63173863367440997</c:v>
                </c:pt>
                <c:pt idx="17">
                  <c:v>0.63301488188831379</c:v>
                </c:pt>
                <c:pt idx="18">
                  <c:v>0.63407723580036057</c:v>
                </c:pt>
                <c:pt idx="19">
                  <c:v>0.63492740222900235</c:v>
                </c:pt>
                <c:pt idx="20">
                  <c:v>0.63556873815939641</c:v>
                </c:pt>
                <c:pt idx="21">
                  <c:v>0.63600190048094751</c:v>
                </c:pt>
                <c:pt idx="22">
                  <c:v>0.63622757686008025</c:v>
                </c:pt>
                <c:pt idx="23">
                  <c:v>0.63612469067815336</c:v>
                </c:pt>
                <c:pt idx="24">
                  <c:v>0.63582985634341693</c:v>
                </c:pt>
                <c:pt idx="25">
                  <c:v>0.6353438489382488</c:v>
                </c:pt>
                <c:pt idx="26">
                  <c:v>0.63466746250340822</c:v>
                </c:pt>
                <c:pt idx="27">
                  <c:v>0.63380150779877586</c:v>
                </c:pt>
                <c:pt idx="28">
                  <c:v>0.63274681007779443</c:v>
                </c:pt>
                <c:pt idx="29">
                  <c:v>0.63100835568922342</c:v>
                </c:pt>
                <c:pt idx="30">
                  <c:v>0.62864381551725135</c:v>
                </c:pt>
                <c:pt idx="31">
                  <c:v>0.62565410986559533</c:v>
                </c:pt>
                <c:pt idx="32">
                  <c:v>0.62204019098036356</c:v>
                </c:pt>
                <c:pt idx="33">
                  <c:v>0.61780303532718905</c:v>
                </c:pt>
                <c:pt idx="34">
                  <c:v>0.61294363587121237</c:v>
                </c:pt>
                <c:pt idx="35">
                  <c:v>0.60746299435650353</c:v>
                </c:pt>
                <c:pt idx="36">
                  <c:v>0.60136211358418978</c:v>
                </c:pt>
                <c:pt idx="37">
                  <c:v>0.59423254176589568</c:v>
                </c:pt>
                <c:pt idx="38">
                  <c:v>0.58619711532384922</c:v>
                </c:pt>
                <c:pt idx="39">
                  <c:v>0.57725687275908322</c:v>
                </c:pt>
                <c:pt idx="40">
                  <c:v>0.5674128223417807</c:v>
                </c:pt>
                <c:pt idx="41">
                  <c:v>0.5566659307950842</c:v>
                </c:pt>
                <c:pt idx="42">
                  <c:v>0.54501711197476388</c:v>
                </c:pt>
                <c:pt idx="43">
                  <c:v>0.53248801424580572</c:v>
                </c:pt>
                <c:pt idx="44">
                  <c:v>0.51957473082899286</c:v>
                </c:pt>
                <c:pt idx="45">
                  <c:v>0.50627783286762229</c:v>
                </c:pt>
                <c:pt idx="46">
                  <c:v>0.4925978137508697</c:v>
                </c:pt>
                <c:pt idx="47">
                  <c:v>0.47853508425687408</c:v>
                </c:pt>
                <c:pt idx="48">
                  <c:v>0.4640899676891414</c:v>
                </c:pt>
                <c:pt idx="49">
                  <c:v>0.44926269501749883</c:v>
                </c:pt>
                <c:pt idx="50">
                  <c:v>0.43405340001610032</c:v>
                </c:pt>
                <c:pt idx="51">
                  <c:v>0.41841087547155242</c:v>
                </c:pt>
                <c:pt idx="52">
                  <c:v>0.40274189046010872</c:v>
                </c:pt>
                <c:pt idx="53">
                  <c:v>0.38704398148700853</c:v>
                </c:pt>
                <c:pt idx="54">
                  <c:v>0.37131685898722389</c:v>
                </c:pt>
                <c:pt idx="55">
                  <c:v>0.35556025612088438</c:v>
                </c:pt>
                <c:pt idx="56">
                  <c:v>0.33977392888579627</c:v>
                </c:pt>
                <c:pt idx="57">
                  <c:v>0.32393044594192005</c:v>
                </c:pt>
                <c:pt idx="58">
                  <c:v>0.30800881913295891</c:v>
                </c:pt>
                <c:pt idx="59">
                  <c:v>0.29200887265200332</c:v>
                </c:pt>
                <c:pt idx="60">
                  <c:v>0.27593045383278408</c:v>
                </c:pt>
                <c:pt idx="61">
                  <c:v>0.25977343343999187</c:v>
                </c:pt>
                <c:pt idx="62">
                  <c:v>0.24353770595919835</c:v>
                </c:pt>
                <c:pt idx="63">
                  <c:v>0.22722318988757084</c:v>
                </c:pt>
                <c:pt idx="64">
                  <c:v>0.21082982802356678</c:v>
                </c:pt>
                <c:pt idx="65">
                  <c:v>0.19472135042623251</c:v>
                </c:pt>
                <c:pt idx="66">
                  <c:v>0.1789489939145382</c:v>
                </c:pt>
                <c:pt idx="67">
                  <c:v>0.16351277529608044</c:v>
                </c:pt>
                <c:pt idx="68">
                  <c:v>0.14841273055900603</c:v>
                </c:pt>
                <c:pt idx="69">
                  <c:v>0.13364891362638665</c:v>
                </c:pt>
                <c:pt idx="70">
                  <c:v>0.1192213951114367</c:v>
                </c:pt>
                <c:pt idx="71">
                  <c:v>0.10564719293002603</c:v>
                </c:pt>
                <c:pt idx="72">
                  <c:v>9.2953596349043044E-2</c:v>
                </c:pt>
                <c:pt idx="73">
                  <c:v>8.1140682418755813E-2</c:v>
                </c:pt>
                <c:pt idx="74">
                  <c:v>7.0208524355790086E-2</c:v>
                </c:pt>
                <c:pt idx="75">
                  <c:v>6.0157188285156003E-2</c:v>
                </c:pt>
                <c:pt idx="76">
                  <c:v>5.0986729982024602E-2</c:v>
                </c:pt>
                <c:pt idx="77">
                  <c:v>4.2697191613732977E-2</c:v>
                </c:pt>
                <c:pt idx="78">
                  <c:v>3.528859965320584E-2</c:v>
                </c:pt>
                <c:pt idx="79">
                  <c:v>2.8986268604664522E-2</c:v>
                </c:pt>
                <c:pt idx="80">
                  <c:v>2.3426494830782005E-2</c:v>
                </c:pt>
                <c:pt idx="81">
                  <c:v>1.8609168687155949E-2</c:v>
                </c:pt>
                <c:pt idx="82">
                  <c:v>1.4534185508400318E-2</c:v>
                </c:pt>
                <c:pt idx="83">
                  <c:v>1.1201443231221939E-2</c:v>
                </c:pt>
                <c:pt idx="84">
                  <c:v>8.610840017542672E-3</c:v>
                </c:pt>
                <c:pt idx="85">
                  <c:v>6.7642475510899689E-3</c:v>
                </c:pt>
                <c:pt idx="86">
                  <c:v>5.1449318554962773E-3</c:v>
                </c:pt>
                <c:pt idx="87">
                  <c:v>3.7528645021769644E-3</c:v>
                </c:pt>
                <c:pt idx="88">
                  <c:v>2.5880158616266411E-3</c:v>
                </c:pt>
                <c:pt idx="89">
                  <c:v>1.6503543757025408E-3</c:v>
                </c:pt>
                <c:pt idx="90">
                  <c:v>9.3984582990294197E-4</c:v>
                </c:pt>
                <c:pt idx="91">
                  <c:v>4.5645262565269788E-4</c:v>
                </c:pt>
                <c:pt idx="92">
                  <c:v>2.0013305258022564E-4</c:v>
                </c:pt>
                <c:pt idx="93">
                  <c:v>1.7184054628405633E-4</c:v>
                </c:pt>
                <c:pt idx="94">
                  <c:v>1.4652613696987542E-4</c:v>
                </c:pt>
                <c:pt idx="95">
                  <c:v>1.2418940281341544E-4</c:v>
                </c:pt>
                <c:pt idx="96">
                  <c:v>1.0482986572960256E-4</c:v>
                </c:pt>
                <c:pt idx="97">
                  <c:v>8.8446981836796259E-5</c:v>
                </c:pt>
                <c:pt idx="98">
                  <c:v>7.5040131919761912E-5</c:v>
                </c:pt>
                <c:pt idx="99">
                  <c:v>6.4656599397753056E-5</c:v>
                </c:pt>
                <c:pt idx="100">
                  <c:v>5.5322262145848428E-5</c:v>
                </c:pt>
                <c:pt idx="101">
                  <c:v>4.7036923194716476E-5</c:v>
                </c:pt>
                <c:pt idx="102">
                  <c:v>3.9800354195768281E-5</c:v>
                </c:pt>
                <c:pt idx="103">
                  <c:v>3.3612292060868799E-5</c:v>
                </c:pt>
                <c:pt idx="104">
                  <c:v>2.8472435603072677E-5</c:v>
                </c:pt>
                <c:pt idx="105">
                  <c:v>2.4380442176397826E-5</c:v>
                </c:pt>
                <c:pt idx="106">
                  <c:v>2.1335924316106779E-5</c:v>
                </c:pt>
                <c:pt idx="107">
                  <c:v>1.9362497379130875E-5</c:v>
                </c:pt>
                <c:pt idx="108">
                  <c:v>1.7461553991579594E-5</c:v>
                </c:pt>
                <c:pt idx="109">
                  <c:v>1.5633101978525248E-5</c:v>
                </c:pt>
                <c:pt idx="110">
                  <c:v>1.3877187033495844E-5</c:v>
                </c:pt>
                <c:pt idx="111">
                  <c:v>1.2193834651279923E-5</c:v>
                </c:pt>
                <c:pt idx="112">
                  <c:v>1.0583020878394716E-5</c:v>
                </c:pt>
                <c:pt idx="113">
                  <c:v>9.1317431221905948E-6</c:v>
                </c:pt>
                <c:pt idx="114">
                  <c:v>7.7920538414884264E-6</c:v>
                </c:pt>
                <c:pt idx="115">
                  <c:v>6.5639000905700041E-6</c:v>
                </c:pt>
                <c:pt idx="116">
                  <c:v>5.4472266286272708E-6</c:v>
                </c:pt>
                <c:pt idx="117">
                  <c:v>4.4419756770313256E-6</c:v>
                </c:pt>
                <c:pt idx="118">
                  <c:v>3.5480866765183549E-6</c:v>
                </c:pt>
                <c:pt idx="119">
                  <c:v>2.765496044401005E-6</c:v>
                </c:pt>
                <c:pt idx="120">
                  <c:v>2.094136931775829E-6</c:v>
                </c:pt>
                <c:pt idx="121">
                  <c:v>1.5365061698059119E-6</c:v>
                </c:pt>
                <c:pt idx="122">
                  <c:v>1.0685559826315764E-6</c:v>
                </c:pt>
                <c:pt idx="123">
                  <c:v>6.9022544661984363E-7</c:v>
                </c:pt>
                <c:pt idx="124">
                  <c:v>4.0145031178221709E-7</c:v>
                </c:pt>
                <c:pt idx="125">
                  <c:v>2.0216280589225296E-7</c:v>
                </c:pt>
                <c:pt idx="126">
                  <c:v>9.2291438590545206E-8</c:v>
                </c:pt>
                <c:pt idx="127">
                  <c:v>7.1760805496140004E-8</c:v>
                </c:pt>
                <c:pt idx="128">
                  <c:v>5.3804105235190563E-8</c:v>
                </c:pt>
                <c:pt idx="129">
                  <c:v>3.8419402886341712E-8</c:v>
                </c:pt>
                <c:pt idx="130">
                  <c:v>2.5604651776227433E-8</c:v>
                </c:pt>
                <c:pt idx="131">
                  <c:v>1.5357687855306134E-8</c:v>
                </c:pt>
                <c:pt idx="132">
                  <c:v>7.676224074567408E-9</c:v>
                </c:pt>
                <c:pt idx="133">
                  <c:v>2.5578447621909599E-9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2.4675848321271476E-9</c:v>
                </c:pt>
                <c:pt idx="212">
                  <c:v>7.4017188758264163E-9</c:v>
                </c:pt>
                <c:pt idx="213">
                  <c:v>1.4801541642915252E-8</c:v>
                </c:pt>
                <c:pt idx="214">
                  <c:v>2.4666360115401459E-8</c:v>
                </c:pt>
                <c:pt idx="215">
                  <c:v>3.6995641083287165E-8</c:v>
                </c:pt>
                <c:pt idx="216">
                  <c:v>5.1789003482340998E-8</c:v>
                </c:pt>
                <c:pt idx="217">
                  <c:v>6.9046210732084716E-8</c:v>
                </c:pt>
                <c:pt idx="218">
                  <c:v>8.8767163073666931E-8</c:v>
                </c:pt>
                <c:pt idx="219">
                  <c:v>1.9437406006070799E-7</c:v>
                </c:pt>
                <c:pt idx="220">
                  <c:v>3.8585353729891544E-7</c:v>
                </c:pt>
                <c:pt idx="221">
                  <c:v>6.6319702536278343E-7</c:v>
                </c:pt>
                <c:pt idx="222">
                  <c:v>1.0264004828812263E-6</c:v>
                </c:pt>
                <c:pt idx="223">
                  <c:v>1.4754641296360437E-6</c:v>
                </c:pt>
                <c:pt idx="224">
                  <c:v>2.0103921796534452E-6</c:v>
                </c:pt>
                <c:pt idx="225">
                  <c:v>2.6542172413471566E-6</c:v>
                </c:pt>
                <c:pt idx="226">
                  <c:v>3.4044854173257E-6</c:v>
                </c:pt>
                <c:pt idx="227">
                  <c:v>4.2612121247221747E-6</c:v>
                </c:pt>
                <c:pt idx="228">
                  <c:v>5.2244165641758422E-6</c:v>
                </c:pt>
                <c:pt idx="229">
                  <c:v>6.2941213889774638E-6</c:v>
                </c:pt>
                <c:pt idx="230">
                  <c:v>7.4703523742617449E-6</c:v>
                </c:pt>
                <c:pt idx="231">
                  <c:v>8.7531380862544762E-6</c:v>
                </c:pt>
                <c:pt idx="232">
                  <c:v>1.0142509551365422E-5</c:v>
                </c:pt>
                <c:pt idx="233">
                  <c:v>1.1684395526988835E-5</c:v>
                </c:pt>
                <c:pt idx="234">
                  <c:v>1.3295412948170127E-5</c:v>
                </c:pt>
                <c:pt idx="235">
                  <c:v>1.4975604971132493E-5</c:v>
                </c:pt>
                <c:pt idx="236">
                  <c:v>1.6725025852162913E-5</c:v>
                </c:pt>
                <c:pt idx="237">
                  <c:v>1.8543726267625614E-5</c:v>
                </c:pt>
                <c:pt idx="238">
                  <c:v>2.0431760967404237E-5</c:v>
                </c:pt>
                <c:pt idx="239">
                  <c:v>2.3345410905143821E-5</c:v>
                </c:pt>
                <c:pt idx="240">
                  <c:v>2.7261955986282746E-5</c:v>
                </c:pt>
                <c:pt idx="241">
                  <c:v>3.2181756588504577E-5</c:v>
                </c:pt>
                <c:pt idx="242">
                  <c:v>3.8105221360747713E-5</c:v>
                </c:pt>
                <c:pt idx="243">
                  <c:v>4.5032808991962408E-5</c:v>
                </c:pt>
                <c:pt idx="244">
                  <c:v>5.2965029979890842E-5</c:v>
                </c:pt>
                <c:pt idx="245">
                  <c:v>6.1902448399412345E-5</c:v>
                </c:pt>
                <c:pt idx="246">
                  <c:v>7.1845683670443623E-5</c:v>
                </c:pt>
                <c:pt idx="247">
                  <c:v>8.4685415136891314E-5</c:v>
                </c:pt>
                <c:pt idx="248">
                  <c:v>1.0037728914697304E-4</c:v>
                </c:pt>
                <c:pt idx="249">
                  <c:v>1.1892305475243869E-4</c:v>
                </c:pt>
                <c:pt idx="250">
                  <c:v>1.4032462532575731E-4</c:v>
                </c:pt>
                <c:pt idx="251">
                  <c:v>1.6458408358284703E-4</c:v>
                </c:pt>
                <c:pt idx="252">
                  <c:v>1.9170368660136408E-4</c:v>
                </c:pt>
                <c:pt idx="253">
                  <c:v>4.3728321151301739E-4</c:v>
                </c:pt>
                <c:pt idx="254">
                  <c:v>9.0050284581414037E-4</c:v>
                </c:pt>
                <c:pt idx="255">
                  <c:v>1.5815135528502884E-3</c:v>
                </c:pt>
                <c:pt idx="256">
                  <c:v>2.4804796966661786E-3</c:v>
                </c:pt>
                <c:pt idx="257">
                  <c:v>3.5975794250513609E-3</c:v>
                </c:pt>
                <c:pt idx="258">
                  <c:v>4.9330050525772801E-3</c:v>
                </c:pt>
                <c:pt idx="259">
                  <c:v>6.4869634437185134E-3</c:v>
                </c:pt>
                <c:pt idx="260">
                  <c:v>8.2596763958683074E-3</c:v>
                </c:pt>
                <c:pt idx="261">
                  <c:v>1.0747130257261395E-2</c:v>
                </c:pt>
                <c:pt idx="262">
                  <c:v>1.394811902148313E-2</c:v>
                </c:pt>
                <c:pt idx="263">
                  <c:v>1.7863381074337395E-2</c:v>
                </c:pt>
                <c:pt idx="264">
                  <c:v>2.2493706839387378E-2</c:v>
                </c:pt>
                <c:pt idx="265">
                  <c:v>2.7840089156963357E-2</c:v>
                </c:pt>
                <c:pt idx="266">
                  <c:v>3.3903616476717378E-2</c:v>
                </c:pt>
                <c:pt idx="267">
                  <c:v>4.1034906110962929E-2</c:v>
                </c:pt>
                <c:pt idx="268">
                  <c:v>4.9018963238215432E-2</c:v>
                </c:pt>
                <c:pt idx="269">
                  <c:v>5.785714281350432E-2</c:v>
                </c:pt>
                <c:pt idx="270">
                  <c:v>6.7550848014774165E-2</c:v>
                </c:pt>
                <c:pt idx="271">
                  <c:v>7.810152091830358E-2</c:v>
                </c:pt>
                <c:pt idx="272">
                  <c:v>8.9510633175372237E-2</c:v>
                </c:pt>
                <c:pt idx="273">
                  <c:v>0.10177967668807537</c:v>
                </c:pt>
                <c:pt idx="274">
                  <c:v>0.11491015428620448</c:v>
                </c:pt>
                <c:pt idx="275">
                  <c:v>0.12887733028266579</c:v>
                </c:pt>
                <c:pt idx="276">
                  <c:v>0.1431839326339806</c:v>
                </c:pt>
                <c:pt idx="277">
                  <c:v>0.15783065317670525</c:v>
                </c:pt>
                <c:pt idx="278">
                  <c:v>0.17281813596930112</c:v>
                </c:pt>
                <c:pt idx="279">
                  <c:v>0.18814697372867895</c:v>
                </c:pt>
                <c:pt idx="280">
                  <c:v>0.2038177042683457</c:v>
                </c:pt>
                <c:pt idx="281">
                  <c:v>0.21978124470778637</c:v>
                </c:pt>
                <c:pt idx="282">
                  <c:v>0.23568590613617044</c:v>
                </c:pt>
                <c:pt idx="283">
                  <c:v>0.25153141022210329</c:v>
                </c:pt>
                <c:pt idx="284">
                  <c:v>0.26731740909452378</c:v>
                </c:pt>
                <c:pt idx="285">
                  <c:v>0.28304348617235853</c:v>
                </c:pt>
                <c:pt idx="286">
                  <c:v>0.29870915699672823</c:v>
                </c:pt>
                <c:pt idx="287">
                  <c:v>0.31431387006063477</c:v>
                </c:pt>
                <c:pt idx="288">
                  <c:v>0.32985700763957021</c:v>
                </c:pt>
                <c:pt idx="289">
                  <c:v>0.34535807960209353</c:v>
                </c:pt>
                <c:pt idx="290">
                  <c:v>0.36084281113752875</c:v>
                </c:pt>
                <c:pt idx="291">
                  <c:v>0.37631045926774837</c:v>
                </c:pt>
                <c:pt idx="292">
                  <c:v>0.39176021566053681</c:v>
                </c:pt>
                <c:pt idx="293">
                  <c:v>0.40719120695323774</c:v>
                </c:pt>
                <c:pt idx="294">
                  <c:v>0.42260249507509795</c:v>
                </c:pt>
                <c:pt idx="295">
                  <c:v>0.43759466852363371</c:v>
                </c:pt>
                <c:pt idx="296">
                  <c:v>0.45222155032643396</c:v>
                </c:pt>
                <c:pt idx="297">
                  <c:v>0.46648602911485754</c:v>
                </c:pt>
                <c:pt idx="298">
                  <c:v>0.48038742837295867</c:v>
                </c:pt>
                <c:pt idx="299">
                  <c:v>0.49392500709979564</c:v>
                </c:pt>
                <c:pt idx="300">
                  <c:v>0.50709796330538082</c:v>
                </c:pt>
                <c:pt idx="301">
                  <c:v>0.51990543750519291</c:v>
                </c:pt>
                <c:pt idx="302">
                  <c:v>0.53234651621578721</c:v>
                </c:pt>
                <c:pt idx="303">
                  <c:v>0.54393611617498516</c:v>
                </c:pt>
                <c:pt idx="304">
                  <c:v>0.5546521978607436</c:v>
                </c:pt>
                <c:pt idx="305">
                  <c:v>0.5644929872711324</c:v>
                </c:pt>
                <c:pt idx="306">
                  <c:v>0.57345667683492441</c:v>
                </c:pt>
                <c:pt idx="307">
                  <c:v>0.58154143355223664</c:v>
                </c:pt>
                <c:pt idx="308">
                  <c:v>0.58874540713030032</c:v>
                </c:pt>
                <c:pt idx="309">
                  <c:v>0.59494746812247823</c:v>
                </c:pt>
                <c:pt idx="310">
                  <c:v>0.60054685230384497</c:v>
                </c:pt>
                <c:pt idx="311">
                  <c:v>0.60554209040869411</c:v>
                </c:pt>
                <c:pt idx="312">
                  <c:v>0.60993171696188608</c:v>
                </c:pt>
                <c:pt idx="313">
                  <c:v>0.61371427583361848</c:v>
                </c:pt>
                <c:pt idx="314">
                  <c:v>0.61688832578865782</c:v>
                </c:pt>
                <c:pt idx="315">
                  <c:v>0.61945244604326755</c:v>
                </c:pt>
                <c:pt idx="316">
                  <c:v>0.62140524181263879</c:v>
                </c:pt>
                <c:pt idx="317">
                  <c:v>0.62268955527923808</c:v>
                </c:pt>
                <c:pt idx="318">
                  <c:v>0.62379134264795288</c:v>
                </c:pt>
                <c:pt idx="319">
                  <c:v>0.62470979937752213</c:v>
                </c:pt>
                <c:pt idx="320">
                  <c:v>0.62544413222085771</c:v>
                </c:pt>
                <c:pt idx="321">
                  <c:v>0.62599356083221835</c:v>
                </c:pt>
                <c:pt idx="322">
                  <c:v>0.62635731937704231</c:v>
                </c:pt>
                <c:pt idx="323">
                  <c:v>0.62640084855603262</c:v>
                </c:pt>
                <c:pt idx="324">
                  <c:v>0.62624326369359617</c:v>
                </c:pt>
                <c:pt idx="325">
                  <c:v>0.62588381200957699</c:v>
                </c:pt>
                <c:pt idx="326">
                  <c:v>0.62531787469503941</c:v>
                </c:pt>
                <c:pt idx="327">
                  <c:v>0.62454346810129335</c:v>
                </c:pt>
                <c:pt idx="328">
                  <c:v>0.62356184813885251</c:v>
                </c:pt>
                <c:pt idx="329">
                  <c:v>0.62237429322043147</c:v>
                </c:pt>
                <c:pt idx="330">
                  <c:v>0.62098210030316359</c:v>
                </c:pt>
                <c:pt idx="331">
                  <c:v>0.61929280262720143</c:v>
                </c:pt>
                <c:pt idx="332">
                  <c:v>0.61736370047818945</c:v>
                </c:pt>
                <c:pt idx="333">
                  <c:v>0.61519611823002762</c:v>
                </c:pt>
                <c:pt idx="334">
                  <c:v>0.61279138551356471</c:v>
                </c:pt>
                <c:pt idx="335">
                  <c:v>0.6101508324832301</c:v>
                </c:pt>
                <c:pt idx="336">
                  <c:v>0.60727578507554869</c:v>
                </c:pt>
                <c:pt idx="337">
                  <c:v>0.60428762649627099</c:v>
                </c:pt>
                <c:pt idx="338">
                  <c:v>0.60132175018343892</c:v>
                </c:pt>
                <c:pt idx="339">
                  <c:v>0.59837945851099561</c:v>
                </c:pt>
                <c:pt idx="340">
                  <c:v>0.59546202848989982</c:v>
                </c:pt>
                <c:pt idx="341">
                  <c:v>0.59257071231636849</c:v>
                </c:pt>
                <c:pt idx="342">
                  <c:v>0.58970673791958494</c:v>
                </c:pt>
                <c:pt idx="343">
                  <c:v>0.58687130950227018</c:v>
                </c:pt>
                <c:pt idx="344">
                  <c:v>0.58406560809058261</c:v>
                </c:pt>
                <c:pt idx="345">
                  <c:v>0.58129079207776324</c:v>
                </c:pt>
                <c:pt idx="346">
                  <c:v>0.57878049292224487</c:v>
                </c:pt>
                <c:pt idx="347">
                  <c:v>0.5765358717144774</c:v>
                </c:pt>
                <c:pt idx="348">
                  <c:v>0.57455808883422443</c:v>
                </c:pt>
                <c:pt idx="349">
                  <c:v>0.57284830932445685</c:v>
                </c:pt>
                <c:pt idx="350">
                  <c:v>0.57140770827871645</c:v>
                </c:pt>
                <c:pt idx="351">
                  <c:v>0.57037619970864539</c:v>
                </c:pt>
                <c:pt idx="352">
                  <c:v>0.56963488176422394</c:v>
                </c:pt>
                <c:pt idx="353">
                  <c:v>0.56918501259448495</c:v>
                </c:pt>
                <c:pt idx="354">
                  <c:v>0.56902788608105637</c:v>
                </c:pt>
                <c:pt idx="355">
                  <c:v>0.56916483757408387</c:v>
                </c:pt>
                <c:pt idx="356">
                  <c:v>0.56959764328163254</c:v>
                </c:pt>
                <c:pt idx="357">
                  <c:v>0.57032646940302312</c:v>
                </c:pt>
                <c:pt idx="358">
                  <c:v>0.57135015877667383</c:v>
                </c:pt>
                <c:pt idx="359">
                  <c:v>0.57266759559999292</c:v>
                </c:pt>
                <c:pt idx="360">
                  <c:v>0.57439815339143241</c:v>
                </c:pt>
                <c:pt idx="361">
                  <c:v>0.576401804046341</c:v>
                </c:pt>
                <c:pt idx="362">
                  <c:v>0.57867749634131971</c:v>
                </c:pt>
                <c:pt idx="363">
                  <c:v>0.58122418889348859</c:v>
                </c:pt>
                <c:pt idx="364">
                  <c:v>0.58404084352874586</c:v>
                </c:pt>
                <c:pt idx="365">
                  <c:v>0.58712641864304294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0.65214327496065083</c:v>
                </c:pt>
                <c:pt idx="1">
                  <c:v>0.65551968760740842</c:v>
                </c:pt>
                <c:pt idx="2">
                  <c:v>0.65907344937001133</c:v>
                </c:pt>
                <c:pt idx="3">
                  <c:v>0.66280317277349654</c:v>
                </c:pt>
                <c:pt idx="4">
                  <c:v>0.66670743993586246</c:v>
                </c:pt>
                <c:pt idx="5">
                  <c:v>0.67078479821692394</c:v>
                </c:pt>
                <c:pt idx="6">
                  <c:v>0.67503375587573666</c:v>
                </c:pt>
                <c:pt idx="7">
                  <c:v>0.67945277771299428</c:v>
                </c:pt>
                <c:pt idx="8">
                  <c:v>0.68404028072269296</c:v>
                </c:pt>
                <c:pt idx="9">
                  <c:v>0.68869982143462727</c:v>
                </c:pt>
                <c:pt idx="10">
                  <c:v>0.69327792685328271</c:v>
                </c:pt>
                <c:pt idx="11">
                  <c:v>0.69777254223541996</c:v>
                </c:pt>
                <c:pt idx="12">
                  <c:v>0.70218157734434872</c:v>
                </c:pt>
                <c:pt idx="13">
                  <c:v>0.70650290836689278</c:v>
                </c:pt>
                <c:pt idx="14">
                  <c:v>0.71073437981823351</c:v>
                </c:pt>
                <c:pt idx="15">
                  <c:v>0.71471128283252694</c:v>
                </c:pt>
                <c:pt idx="16">
                  <c:v>0.71841174444572353</c:v>
                </c:pt>
                <c:pt idx="17">
                  <c:v>0.72183339936717106</c:v>
                </c:pt>
                <c:pt idx="18">
                  <c:v>0.72497389775753529</c:v>
                </c:pt>
                <c:pt idx="19">
                  <c:v>0.72783497153856147</c:v>
                </c:pt>
                <c:pt idx="20">
                  <c:v>0.73042027914052721</c:v>
                </c:pt>
                <c:pt idx="21">
                  <c:v>0.73273041537055117</c:v>
                </c:pt>
                <c:pt idx="22">
                  <c:v>0.73476602497716326</c:v>
                </c:pt>
                <c:pt idx="23">
                  <c:v>0.73645404301173878</c:v>
                </c:pt>
                <c:pt idx="24">
                  <c:v>0.73789036254460005</c:v>
                </c:pt>
                <c:pt idx="25">
                  <c:v>0.7390757667278669</c:v>
                </c:pt>
                <c:pt idx="26">
                  <c:v>0.74001107300062663</c:v>
                </c:pt>
                <c:pt idx="27">
                  <c:v>0.74069713012401706</c:v>
                </c:pt>
                <c:pt idx="28">
                  <c:v>0.74113481523225533</c:v>
                </c:pt>
                <c:pt idx="29">
                  <c:v>0.74100000973279989</c:v>
                </c:pt>
                <c:pt idx="30">
                  <c:v>0.74045645512924319</c:v>
                </c:pt>
                <c:pt idx="31">
                  <c:v>0.73950512511830824</c:v>
                </c:pt>
                <c:pt idx="32">
                  <c:v>0.73814701897499002</c:v>
                </c:pt>
                <c:pt idx="33">
                  <c:v>0.73638315656566</c:v>
                </c:pt>
                <c:pt idx="34">
                  <c:v>0.73421457336453511</c:v>
                </c:pt>
                <c:pt idx="35">
                  <c:v>0.73164231546952518</c:v>
                </c:pt>
                <c:pt idx="36">
                  <c:v>0.72866743461655403</c:v>
                </c:pt>
                <c:pt idx="37">
                  <c:v>0.72481114808457114</c:v>
                </c:pt>
                <c:pt idx="38">
                  <c:v>0.7201483577319715</c:v>
                </c:pt>
                <c:pt idx="39">
                  <c:v>0.71468021296325934</c:v>
                </c:pt>
                <c:pt idx="40">
                  <c:v>0.70840784880415308</c:v>
                </c:pt>
                <c:pt idx="41">
                  <c:v>0.70133237584145514</c:v>
                </c:pt>
                <c:pt idx="42">
                  <c:v>0.6934548701578831</c:v>
                </c:pt>
                <c:pt idx="43">
                  <c:v>0.68451336274160768</c:v>
                </c:pt>
                <c:pt idx="44">
                  <c:v>0.67483356967272889</c:v>
                </c:pt>
                <c:pt idx="45">
                  <c:v>0.66441638502107425</c:v>
                </c:pt>
                <c:pt idx="46">
                  <c:v>0.65326262920013989</c:v>
                </c:pt>
                <c:pt idx="47">
                  <c:v>0.64137303967966508</c:v>
                </c:pt>
                <c:pt idx="48">
                  <c:v>0.62874826168947151</c:v>
                </c:pt>
                <c:pt idx="49">
                  <c:v>0.61538883892928731</c:v>
                </c:pt>
                <c:pt idx="50">
                  <c:v>0.60129520427463268</c:v>
                </c:pt>
                <c:pt idx="51">
                  <c:v>0.58617312765278662</c:v>
                </c:pt>
                <c:pt idx="52">
                  <c:v>0.57049903688507475</c:v>
                </c:pt>
                <c:pt idx="53">
                  <c:v>0.55426959126651421</c:v>
                </c:pt>
                <c:pt idx="54">
                  <c:v>0.53748444307249588</c:v>
                </c:pt>
                <c:pt idx="55">
                  <c:v>0.52014325939619821</c:v>
                </c:pt>
                <c:pt idx="56">
                  <c:v>0.50224572421065738</c:v>
                </c:pt>
                <c:pt idx="57">
                  <c:v>0.48369533937119247</c:v>
                </c:pt>
                <c:pt idx="58">
                  <c:v>0.46475471444033112</c:v>
                </c:pt>
                <c:pt idx="59">
                  <c:v>0.44542359927145675</c:v>
                </c:pt>
                <c:pt idx="60">
                  <c:v>0.4257017696422038</c:v>
                </c:pt>
                <c:pt idx="61">
                  <c:v>0.40558902870018798</c:v>
                </c:pt>
                <c:pt idx="62">
                  <c:v>0.38508520840811833</c:v>
                </c:pt>
                <c:pt idx="63">
                  <c:v>0.36419017099014367</c:v>
                </c:pt>
                <c:pt idx="64">
                  <c:v>0.34290381037660134</c:v>
                </c:pt>
                <c:pt idx="65">
                  <c:v>0.32157905148324795</c:v>
                </c:pt>
                <c:pt idx="66">
                  <c:v>0.30051041481161289</c:v>
                </c:pt>
                <c:pt idx="67">
                  <c:v>0.2796978983385458</c:v>
                </c:pt>
                <c:pt idx="68">
                  <c:v>0.25914152804544777</c:v>
                </c:pt>
                <c:pt idx="69">
                  <c:v>0.23884135696731792</c:v>
                </c:pt>
                <c:pt idx="70">
                  <c:v>0.21879746424321439</c:v>
                </c:pt>
                <c:pt idx="71">
                  <c:v>0.19954793019500805</c:v>
                </c:pt>
                <c:pt idx="72">
                  <c:v>0.18118906349370689</c:v>
                </c:pt>
                <c:pt idx="73">
                  <c:v>0.16372097454791926</c:v>
                </c:pt>
                <c:pt idx="74">
                  <c:v>0.14714377805019971</c:v>
                </c:pt>
                <c:pt idx="75">
                  <c:v>0.13145758968117438</c:v>
                </c:pt>
                <c:pt idx="76">
                  <c:v>0.11666252281316042</c:v>
                </c:pt>
                <c:pt idx="77">
                  <c:v>0.10275868521426421</c:v>
                </c:pt>
                <c:pt idx="78">
                  <c:v>8.9746178731705692E-2</c:v>
                </c:pt>
                <c:pt idx="79">
                  <c:v>7.8053403100774077E-2</c:v>
                </c:pt>
                <c:pt idx="80">
                  <c:v>6.7327528932619687E-2</c:v>
                </c:pt>
                <c:pt idx="81">
                  <c:v>5.7568403390793485E-2</c:v>
                </c:pt>
                <c:pt idx="82">
                  <c:v>4.8775884588118087E-2</c:v>
                </c:pt>
                <c:pt idx="83">
                  <c:v>4.0949838492652373E-2</c:v>
                </c:pt>
                <c:pt idx="84">
                  <c:v>3.4090135833809619E-2</c:v>
                </c:pt>
                <c:pt idx="85">
                  <c:v>2.8353939119587016E-2</c:v>
                </c:pt>
                <c:pt idx="86">
                  <c:v>2.3203436990934731E-2</c:v>
                </c:pt>
                <c:pt idx="87">
                  <c:v>1.8638559121006381E-2</c:v>
                </c:pt>
                <c:pt idx="88">
                  <c:v>1.465923334155834E-2</c:v>
                </c:pt>
                <c:pt idx="89">
                  <c:v>1.1265383767884392E-2</c:v>
                </c:pt>
                <c:pt idx="90">
                  <c:v>8.4569289237220405E-3</c:v>
                </c:pt>
                <c:pt idx="91">
                  <c:v>6.2337798662057027E-3</c:v>
                </c:pt>
                <c:pt idx="92">
                  <c:v>4.5958383107738941E-3</c:v>
                </c:pt>
                <c:pt idx="93">
                  <c:v>3.5496718689723983E-3</c:v>
                </c:pt>
                <c:pt idx="94">
                  <c:v>2.6675278268012211E-3</c:v>
                </c:pt>
                <c:pt idx="95">
                  <c:v>1.9493775339091016E-3</c:v>
                </c:pt>
                <c:pt idx="96">
                  <c:v>1.3951885835971319E-3</c:v>
                </c:pt>
                <c:pt idx="97">
                  <c:v>1.0049242874211148E-3</c:v>
                </c:pt>
                <c:pt idx="98">
                  <c:v>7.7854314977139844E-4</c:v>
                </c:pt>
                <c:pt idx="99">
                  <c:v>7.159708170552735E-4</c:v>
                </c:pt>
                <c:pt idx="100">
                  <c:v>6.6005290954574075E-4</c:v>
                </c:pt>
                <c:pt idx="101">
                  <c:v>6.1078801234311451E-4</c:v>
                </c:pt>
                <c:pt idx="102">
                  <c:v>5.6817450715594654E-4</c:v>
                </c:pt>
                <c:pt idx="103">
                  <c:v>5.3221055097680213E-4</c:v>
                </c:pt>
                <c:pt idx="104">
                  <c:v>5.0289405477186829E-4</c:v>
                </c:pt>
                <c:pt idx="105">
                  <c:v>4.8022266215767975E-4</c:v>
                </c:pt>
                <c:pt idx="106">
                  <c:v>4.6419372808485164E-4</c:v>
                </c:pt>
                <c:pt idx="107">
                  <c:v>4.5379425932632754E-4</c:v>
                </c:pt>
                <c:pt idx="108">
                  <c:v>4.4235694030052758E-4</c:v>
                </c:pt>
                <c:pt idx="109">
                  <c:v>4.2988249835202331E-4</c:v>
                </c:pt>
                <c:pt idx="110">
                  <c:v>4.1637292024271339E-4</c:v>
                </c:pt>
                <c:pt idx="111">
                  <c:v>4.0183013242722738E-4</c:v>
                </c:pt>
                <c:pt idx="112">
                  <c:v>3.8625485578259143E-4</c:v>
                </c:pt>
                <c:pt idx="113">
                  <c:v>3.7022118259878424E-4</c:v>
                </c:pt>
                <c:pt idx="114">
                  <c:v>3.5375700619984989E-4</c:v>
                </c:pt>
                <c:pt idx="115">
                  <c:v>3.3686277359422167E-4</c:v>
                </c:pt>
                <c:pt idx="116">
                  <c:v>3.1953895971235312E-4</c:v>
                </c:pt>
                <c:pt idx="117">
                  <c:v>3.0178606836156626E-4</c:v>
                </c:pt>
                <c:pt idx="118">
                  <c:v>2.8360463317725956E-4</c:v>
                </c:pt>
                <c:pt idx="119">
                  <c:v>2.6499521857517111E-4</c:v>
                </c:pt>
                <c:pt idx="120">
                  <c:v>2.4595842070324487E-4</c:v>
                </c:pt>
                <c:pt idx="121">
                  <c:v>2.2689431470949363E-4</c:v>
                </c:pt>
                <c:pt idx="122">
                  <c:v>2.0880995573883693E-4</c:v>
                </c:pt>
                <c:pt idx="123">
                  <c:v>1.9170490055713706E-4</c:v>
                </c:pt>
                <c:pt idx="124">
                  <c:v>1.7557868113049914E-4</c:v>
                </c:pt>
                <c:pt idx="125">
                  <c:v>1.6043080249840519E-4</c:v>
                </c:pt>
                <c:pt idx="126">
                  <c:v>1.4626074064404092E-4</c:v>
                </c:pt>
                <c:pt idx="127">
                  <c:v>1.3353201969949972E-4</c:v>
                </c:pt>
                <c:pt idx="128">
                  <c:v>1.2167249808009987E-4</c:v>
                </c:pt>
                <c:pt idx="129">
                  <c:v>1.1068164163917995E-4</c:v>
                </c:pt>
                <c:pt idx="130">
                  <c:v>1.0055888368190274E-4</c:v>
                </c:pt>
                <c:pt idx="131">
                  <c:v>9.1303623070607264E-5</c:v>
                </c:pt>
                <c:pt idx="132">
                  <c:v>8.2915222331593621E-5</c:v>
                </c:pt>
                <c:pt idx="133">
                  <c:v>7.5393005762387937E-5</c:v>
                </c:pt>
                <c:pt idx="134">
                  <c:v>6.8736257538394663E-5</c:v>
                </c:pt>
                <c:pt idx="135">
                  <c:v>6.315893276584691E-5</c:v>
                </c:pt>
                <c:pt idx="136">
                  <c:v>5.8262434056195011E-5</c:v>
                </c:pt>
                <c:pt idx="137">
                  <c:v>5.404612122050695E-5</c:v>
                </c:pt>
                <c:pt idx="138">
                  <c:v>5.050931740654314E-5</c:v>
                </c:pt>
                <c:pt idx="139">
                  <c:v>4.7651307609376219E-5</c:v>
                </c:pt>
                <c:pt idx="140">
                  <c:v>4.5471337179049891E-5</c:v>
                </c:pt>
                <c:pt idx="141">
                  <c:v>4.3800122072812864E-5</c:v>
                </c:pt>
                <c:pt idx="142">
                  <c:v>4.2175317483709659E-5</c:v>
                </c:pt>
                <c:pt idx="143">
                  <c:v>4.0596751722231265E-5</c:v>
                </c:pt>
                <c:pt idx="144">
                  <c:v>3.906451254367456E-5</c:v>
                </c:pt>
                <c:pt idx="145">
                  <c:v>3.7578673969020673E-5</c:v>
                </c:pt>
                <c:pt idx="146">
                  <c:v>3.6139296898121127E-5</c:v>
                </c:pt>
                <c:pt idx="147">
                  <c:v>3.4746429724204451E-5</c:v>
                </c:pt>
                <c:pt idx="148">
                  <c:v>3.3400108947436683E-5</c:v>
                </c:pt>
                <c:pt idx="149">
                  <c:v>3.2220921508511757E-5</c:v>
                </c:pt>
                <c:pt idx="150">
                  <c:v>3.0995485951927966E-5</c:v>
                </c:pt>
                <c:pt idx="151">
                  <c:v>2.9723968567114719E-5</c:v>
                </c:pt>
                <c:pt idx="152">
                  <c:v>2.8406532009841558E-5</c:v>
                </c:pt>
                <c:pt idx="153">
                  <c:v>2.7043334665076354E-5</c:v>
                </c:pt>
                <c:pt idx="154">
                  <c:v>2.5634530010017569E-5</c:v>
                </c:pt>
                <c:pt idx="155">
                  <c:v>2.4251992809546239E-5</c:v>
                </c:pt>
                <c:pt idx="156">
                  <c:v>2.3062807729063394E-5</c:v>
                </c:pt>
                <c:pt idx="157">
                  <c:v>2.2066655547768272E-5</c:v>
                </c:pt>
                <c:pt idx="158">
                  <c:v>2.1263208295801332E-5</c:v>
                </c:pt>
                <c:pt idx="159">
                  <c:v>2.0652131851006897E-5</c:v>
                </c:pt>
                <c:pt idx="160">
                  <c:v>2.0233088535964893E-5</c:v>
                </c:pt>
                <c:pt idx="161">
                  <c:v>2.0005739714776753E-5</c:v>
                </c:pt>
                <c:pt idx="162">
                  <c:v>1.9969748389969853E-5</c:v>
                </c:pt>
                <c:pt idx="163">
                  <c:v>2.0085071473956167E-5</c:v>
                </c:pt>
                <c:pt idx="164">
                  <c:v>2.0232012269741025E-5</c:v>
                </c:pt>
                <c:pt idx="165">
                  <c:v>2.0410543441501956E-5</c:v>
                </c:pt>
                <c:pt idx="166">
                  <c:v>2.0620640191954528E-5</c:v>
                </c:pt>
                <c:pt idx="167">
                  <c:v>2.0862280692682718E-5</c:v>
                </c:pt>
                <c:pt idx="168">
                  <c:v>2.1135446515121552E-5</c:v>
                </c:pt>
                <c:pt idx="169">
                  <c:v>2.1400553400183089E-5</c:v>
                </c:pt>
                <c:pt idx="170">
                  <c:v>2.1586582198118084E-5</c:v>
                </c:pt>
                <c:pt idx="171">
                  <c:v>2.1693701505733332E-5</c:v>
                </c:pt>
                <c:pt idx="172">
                  <c:v>2.172207291835261E-5</c:v>
                </c:pt>
                <c:pt idx="173">
                  <c:v>2.1671628332546417E-5</c:v>
                </c:pt>
                <c:pt idx="174">
                  <c:v>2.1542284087317809E-5</c:v>
                </c:pt>
                <c:pt idx="175">
                  <c:v>2.1334172429275715E-5</c:v>
                </c:pt>
                <c:pt idx="176">
                  <c:v>2.1047425084939786E-5</c:v>
                </c:pt>
                <c:pt idx="177">
                  <c:v>2.0752993516961928E-5</c:v>
                </c:pt>
                <c:pt idx="178">
                  <c:v>2.0490287982385618E-5</c:v>
                </c:pt>
                <c:pt idx="179">
                  <c:v>2.025927157801764E-5</c:v>
                </c:pt>
                <c:pt idx="180">
                  <c:v>2.0059907347295245E-5</c:v>
                </c:pt>
                <c:pt idx="181">
                  <c:v>1.9892158464581577E-5</c:v>
                </c:pt>
                <c:pt idx="182">
                  <c:v>1.975598841963964E-5</c:v>
                </c:pt>
                <c:pt idx="183">
                  <c:v>1.976961604730134E-5</c:v>
                </c:pt>
                <c:pt idx="184">
                  <c:v>1.9972108463679964E-5</c:v>
                </c:pt>
                <c:pt idx="185">
                  <c:v>2.036321051182206E-5</c:v>
                </c:pt>
                <c:pt idx="186">
                  <c:v>2.094267478934004E-5</c:v>
                </c:pt>
                <c:pt idx="187">
                  <c:v>2.1710262760496877E-5</c:v>
                </c:pt>
                <c:pt idx="188">
                  <c:v>2.2665745868430645E-5</c:v>
                </c:pt>
                <c:pt idx="189">
                  <c:v>2.380890664671792E-5</c:v>
                </c:pt>
                <c:pt idx="190">
                  <c:v>2.5139539831871663E-5</c:v>
                </c:pt>
                <c:pt idx="191">
                  <c:v>2.6493464515081577E-5</c:v>
                </c:pt>
                <c:pt idx="192">
                  <c:v>2.7800379421353861E-5</c:v>
                </c:pt>
                <c:pt idx="193">
                  <c:v>2.9060399952407618E-5</c:v>
                </c:pt>
                <c:pt idx="194">
                  <c:v>3.0273641536834848E-5</c:v>
                </c:pt>
                <c:pt idx="195">
                  <c:v>3.1440219357958166E-5</c:v>
                </c:pt>
                <c:pt idx="196">
                  <c:v>3.25602480805925E-5</c:v>
                </c:pt>
                <c:pt idx="197">
                  <c:v>3.3841832687715611E-5</c:v>
                </c:pt>
                <c:pt idx="198">
                  <c:v>3.5167358217567782E-5</c:v>
                </c:pt>
                <c:pt idx="199">
                  <c:v>3.6536857086375014E-5</c:v>
                </c:pt>
                <c:pt idx="200">
                  <c:v>3.7950368802165809E-5</c:v>
                </c:pt>
                <c:pt idx="201">
                  <c:v>3.9407940227302459E-5</c:v>
                </c:pt>
                <c:pt idx="202">
                  <c:v>4.0909625841167793E-5</c:v>
                </c:pt>
                <c:pt idx="203">
                  <c:v>4.2455488003761769E-5</c:v>
                </c:pt>
                <c:pt idx="204">
                  <c:v>4.4045526091753639E-5</c:v>
                </c:pt>
                <c:pt idx="205">
                  <c:v>4.6127026070995027E-5</c:v>
                </c:pt>
                <c:pt idx="206">
                  <c:v>4.8862924210697638E-5</c:v>
                </c:pt>
                <c:pt idx="207">
                  <c:v>5.2252892950913279E-5</c:v>
                </c:pt>
                <c:pt idx="208">
                  <c:v>5.6296654654389378E-5</c:v>
                </c:pt>
                <c:pt idx="209">
                  <c:v>6.0993979574801988E-5</c:v>
                </c:pt>
                <c:pt idx="210">
                  <c:v>6.634468382685369E-5</c:v>
                </c:pt>
                <c:pt idx="211">
                  <c:v>7.2732575572095702E-5</c:v>
                </c:pt>
                <c:pt idx="212">
                  <c:v>7.9950136976647098E-5</c:v>
                </c:pt>
                <c:pt idx="213">
                  <c:v>8.7997255300491459E-5</c:v>
                </c:pt>
                <c:pt idx="214">
                  <c:v>9.6873867271396387E-5</c:v>
                </c:pt>
                <c:pt idx="215">
                  <c:v>1.0657995650546179E-4</c:v>
                </c:pt>
                <c:pt idx="216">
                  <c:v>1.1711555092740502E-4</c:v>
                </c:pt>
                <c:pt idx="217">
                  <c:v>1.2848072019130944E-4</c:v>
                </c:pt>
                <c:pt idx="218">
                  <c:v>1.4067557310082867E-4</c:v>
                </c:pt>
                <c:pt idx="219">
                  <c:v>1.542498695681567E-4</c:v>
                </c:pt>
                <c:pt idx="220">
                  <c:v>1.6875726135999087E-4</c:v>
                </c:pt>
                <c:pt idx="221">
                  <c:v>1.8419796085406503E-4</c:v>
                </c:pt>
                <c:pt idx="222">
                  <c:v>2.0057221416975142E-4</c:v>
                </c:pt>
                <c:pt idx="223">
                  <c:v>2.1788029827078247E-4</c:v>
                </c:pt>
                <c:pt idx="224">
                  <c:v>2.3612251806399422E-4</c:v>
                </c:pt>
                <c:pt idx="225">
                  <c:v>2.5433226687876932E-4</c:v>
                </c:pt>
                <c:pt idx="226">
                  <c:v>2.7212633905703562E-4</c:v>
                </c:pt>
                <c:pt idx="227">
                  <c:v>2.8950506420467111E-4</c:v>
                </c:pt>
                <c:pt idx="228">
                  <c:v>3.0646873130766607E-4</c:v>
                </c:pt>
                <c:pt idx="229">
                  <c:v>3.2301759002635009E-4</c:v>
                </c:pt>
                <c:pt idx="230">
                  <c:v>3.3915185199387334E-4</c:v>
                </c:pt>
                <c:pt idx="231">
                  <c:v>3.5487169211634718E-4</c:v>
                </c:pt>
                <c:pt idx="232">
                  <c:v>3.7017724986577246E-4</c:v>
                </c:pt>
                <c:pt idx="233">
                  <c:v>3.8504230508400422E-4</c:v>
                </c:pt>
                <c:pt idx="234">
                  <c:v>3.9891729510457049E-4</c:v>
                </c:pt>
                <c:pt idx="235">
                  <c:v>4.1180250011589326E-4</c:v>
                </c:pt>
                <c:pt idx="236">
                  <c:v>4.2369832982664204E-4</c:v>
                </c:pt>
                <c:pt idx="237">
                  <c:v>4.3460491495467702E-4</c:v>
                </c:pt>
                <c:pt idx="238">
                  <c:v>4.4452235367361636E-4</c:v>
                </c:pt>
                <c:pt idx="239">
                  <c:v>4.5983560482287773E-4</c:v>
                </c:pt>
                <c:pt idx="240">
                  <c:v>4.8151397295545739E-4</c:v>
                </c:pt>
                <c:pt idx="241">
                  <c:v>5.0955972815995608E-4</c:v>
                </c:pt>
                <c:pt idx="242">
                  <c:v>5.4397544454549171E-4</c:v>
                </c:pt>
                <c:pt idx="243">
                  <c:v>5.8476401146743072E-4</c:v>
                </c:pt>
                <c:pt idx="244">
                  <c:v>6.3192864475133926E-4</c:v>
                </c:pt>
                <c:pt idx="245">
                  <c:v>6.8547289791101172E-4</c:v>
                </c:pt>
                <c:pt idx="246">
                  <c:v>7.4540067336337126E-4</c:v>
                </c:pt>
                <c:pt idx="247">
                  <c:v>9.6218580548552957E-4</c:v>
                </c:pt>
                <c:pt idx="248">
                  <c:v>1.3359289062862755E-3</c:v>
                </c:pt>
                <c:pt idx="249">
                  <c:v>1.8667126658668761E-3</c:v>
                </c:pt>
                <c:pt idx="250">
                  <c:v>2.5546284818719427E-3</c:v>
                </c:pt>
                <c:pt idx="251">
                  <c:v>3.3997767360964158E-3</c:v>
                </c:pt>
                <c:pt idx="252">
                  <c:v>4.4022670710324903E-3</c:v>
                </c:pt>
                <c:pt idx="253">
                  <c:v>5.9719829103003106E-3</c:v>
                </c:pt>
                <c:pt idx="254">
                  <c:v>8.102912541992198E-3</c:v>
                </c:pt>
                <c:pt idx="255">
                  <c:v>1.0795473608136163E-2</c:v>
                </c:pt>
                <c:pt idx="256">
                  <c:v>1.4050118939214255E-2</c:v>
                </c:pt>
                <c:pt idx="257">
                  <c:v>1.7867337541080792E-2</c:v>
                </c:pt>
                <c:pt idx="258">
                  <c:v>2.2247655581902479E-2</c:v>
                </c:pt>
                <c:pt idx="259">
                  <c:v>2.7191637379466269E-2</c:v>
                </c:pt>
                <c:pt idx="260">
                  <c:v>3.2699886387950336E-2</c:v>
                </c:pt>
                <c:pt idx="261">
                  <c:v>3.9288977251402186E-2</c:v>
                </c:pt>
                <c:pt idx="262">
                  <c:v>4.6809079409367974E-2</c:v>
                </c:pt>
                <c:pt idx="263">
                  <c:v>5.5261271736480072E-2</c:v>
                </c:pt>
                <c:pt idx="264">
                  <c:v>6.4646704894185184E-2</c:v>
                </c:pt>
                <c:pt idx="265">
                  <c:v>7.4967003548027072E-2</c:v>
                </c:pt>
                <c:pt idx="266">
                  <c:v>8.6223881193150706E-2</c:v>
                </c:pt>
                <c:pt idx="267">
                  <c:v>9.875808783866441E-2</c:v>
                </c:pt>
                <c:pt idx="268">
                  <c:v>0.11216008398796906</c:v>
                </c:pt>
                <c:pt idx="269">
                  <c:v>0.12643144995490926</c:v>
                </c:pt>
                <c:pt idx="270">
                  <c:v>0.14157379148176019</c:v>
                </c:pt>
                <c:pt idx="271">
                  <c:v>0.15758873030458589</c:v>
                </c:pt>
                <c:pt idx="272">
                  <c:v>0.17447789472151387</c:v>
                </c:pt>
                <c:pt idx="273">
                  <c:v>0.19224291015923684</c:v>
                </c:pt>
                <c:pt idx="274">
                  <c:v>0.21088538974164578</c:v>
                </c:pt>
                <c:pt idx="275">
                  <c:v>0.23031415379166914</c:v>
                </c:pt>
                <c:pt idx="276">
                  <c:v>0.25001159236521148</c:v>
                </c:pt>
                <c:pt idx="277">
                  <c:v>0.26997830540756884</c:v>
                </c:pt>
                <c:pt idx="278">
                  <c:v>0.29021481815039807</c:v>
                </c:pt>
                <c:pt idx="279">
                  <c:v>0.31072157839226411</c:v>
                </c:pt>
                <c:pt idx="280">
                  <c:v>0.3314989537818846</c:v>
                </c:pt>
                <c:pt idx="281">
                  <c:v>0.35226232467803953</c:v>
                </c:pt>
                <c:pt idx="282">
                  <c:v>0.37266983330502801</c:v>
                </c:pt>
                <c:pt idx="283">
                  <c:v>0.39272060660174424</c:v>
                </c:pt>
                <c:pt idx="284">
                  <c:v>0.41241368079171808</c:v>
                </c:pt>
                <c:pt idx="285">
                  <c:v>0.4317480055185845</c:v>
                </c:pt>
                <c:pt idx="286">
                  <c:v>0.45072244798548727</c:v>
                </c:pt>
                <c:pt idx="287">
                  <c:v>0.46933579709056011</c:v>
                </c:pt>
                <c:pt idx="288">
                  <c:v>0.48758676756385427</c:v>
                </c:pt>
                <c:pt idx="289">
                  <c:v>0.50521866291482131</c:v>
                </c:pt>
                <c:pt idx="290">
                  <c:v>0.52232316601504403</c:v>
                </c:pt>
                <c:pt idx="291">
                  <c:v>0.53889856043311224</c:v>
                </c:pt>
                <c:pt idx="292">
                  <c:v>0.55494308145817972</c:v>
                </c:pt>
                <c:pt idx="293">
                  <c:v>0.57045492200338499</c:v>
                </c:pt>
                <c:pt idx="294">
                  <c:v>0.58543223850734649</c:v>
                </c:pt>
                <c:pt idx="295">
                  <c:v>0.59940626713712852</c:v>
                </c:pt>
                <c:pt idx="296">
                  <c:v>0.61266895098391072</c:v>
                </c:pt>
                <c:pt idx="297">
                  <c:v>0.62522388076542601</c:v>
                </c:pt>
                <c:pt idx="298">
                  <c:v>0.63706972652608285</c:v>
                </c:pt>
                <c:pt idx="299">
                  <c:v>0.6482050889527341</c:v>
                </c:pt>
                <c:pt idx="300">
                  <c:v>0.65862850605752565</c:v>
                </c:pt>
                <c:pt idx="301">
                  <c:v>0.66833845985882601</c:v>
                </c:pt>
                <c:pt idx="302">
                  <c:v>0.6773333830636008</c:v>
                </c:pt>
                <c:pt idx="303">
                  <c:v>0.68529433464359757</c:v>
                </c:pt>
                <c:pt idx="304">
                  <c:v>0.69247636791039924</c:v>
                </c:pt>
                <c:pt idx="305">
                  <c:v>0.69887772220179467</c:v>
                </c:pt>
                <c:pt idx="306">
                  <c:v>0.70449661599742586</c:v>
                </c:pt>
                <c:pt idx="307">
                  <c:v>0.70933125415706599</c:v>
                </c:pt>
                <c:pt idx="308">
                  <c:v>0.71337983515294301</c:v>
                </c:pt>
                <c:pt idx="309">
                  <c:v>0.71656832960001227</c:v>
                </c:pt>
                <c:pt idx="310">
                  <c:v>0.71936508537683441</c:v>
                </c:pt>
                <c:pt idx="311">
                  <c:v>0.72176886559381759</c:v>
                </c:pt>
                <c:pt idx="312">
                  <c:v>0.72377843937085129</c:v>
                </c:pt>
                <c:pt idx="313">
                  <c:v>0.725392585425081</c:v>
                </c:pt>
                <c:pt idx="314">
                  <c:v>0.72661009565208734</c:v>
                </c:pt>
                <c:pt idx="315">
                  <c:v>0.72742977871617276</c:v>
                </c:pt>
                <c:pt idx="316">
                  <c:v>0.72785046362942896</c:v>
                </c:pt>
                <c:pt idx="317">
                  <c:v>0.72771105918537071</c:v>
                </c:pt>
                <c:pt idx="318">
                  <c:v>0.72732970897958127</c:v>
                </c:pt>
                <c:pt idx="319">
                  <c:v>0.72670550715008042</c:v>
                </c:pt>
                <c:pt idx="320">
                  <c:v>0.72583756939305566</c:v>
                </c:pt>
                <c:pt idx="321">
                  <c:v>0.72472503509135511</c:v>
                </c:pt>
                <c:pt idx="322">
                  <c:v>0.72336706944602347</c:v>
                </c:pt>
                <c:pt idx="323">
                  <c:v>0.72166915476800098</c:v>
                </c:pt>
                <c:pt idx="324">
                  <c:v>0.71970308168655273</c:v>
                </c:pt>
                <c:pt idx="325">
                  <c:v>0.71746805209729303</c:v>
                </c:pt>
                <c:pt idx="326">
                  <c:v>0.71495885888869037</c:v>
                </c:pt>
                <c:pt idx="327">
                  <c:v>0.71217335884317945</c:v>
                </c:pt>
                <c:pt idx="328">
                  <c:v>0.70911312244062064</c:v>
                </c:pt>
                <c:pt idx="329">
                  <c:v>0.7057797359423672</c:v>
                </c:pt>
                <c:pt idx="330">
                  <c:v>0.70217479609384326</c:v>
                </c:pt>
                <c:pt idx="331">
                  <c:v>0.69831917771914709</c:v>
                </c:pt>
                <c:pt idx="332">
                  <c:v>0.69437503743177009</c:v>
                </c:pt>
                <c:pt idx="333">
                  <c:v>0.69034401453090366</c:v>
                </c:pt>
                <c:pt idx="334">
                  <c:v>0.6862277220724573</c:v>
                </c:pt>
                <c:pt idx="335">
                  <c:v>0.68202774532332933</c:v>
                </c:pt>
                <c:pt idx="336">
                  <c:v>0.67774564020654915</c:v>
                </c:pt>
                <c:pt idx="337">
                  <c:v>0.67353306785904599</c:v>
                </c:pt>
                <c:pt idx="338">
                  <c:v>0.66948543395546445</c:v>
                </c:pt>
                <c:pt idx="339">
                  <c:v>0.66560421346814502</c:v>
                </c:pt>
                <c:pt idx="340">
                  <c:v>0.66189084400533549</c:v>
                </c:pt>
                <c:pt idx="341">
                  <c:v>0.65834672933650928</c:v>
                </c:pt>
                <c:pt idx="342">
                  <c:v>0.65497324291707582</c:v>
                </c:pt>
                <c:pt idx="343">
                  <c:v>0.65177173140516909</c:v>
                </c:pt>
                <c:pt idx="344">
                  <c:v>0.64874351818879761</c:v>
                </c:pt>
                <c:pt idx="345">
                  <c:v>0.64588990690604686</c:v>
                </c:pt>
                <c:pt idx="346">
                  <c:v>0.64332496350349477</c:v>
                </c:pt>
                <c:pt idx="347">
                  <c:v>0.6410499851596434</c:v>
                </c:pt>
                <c:pt idx="348">
                  <c:v>0.63906626971287983</c:v>
                </c:pt>
                <c:pt idx="349">
                  <c:v>0.63737512152307929</c:v>
                </c:pt>
                <c:pt idx="350">
                  <c:v>0.63597785734818979</c:v>
                </c:pt>
                <c:pt idx="351">
                  <c:v>0.63500794223238</c:v>
                </c:pt>
                <c:pt idx="352">
                  <c:v>0.63431652068994504</c:v>
                </c:pt>
                <c:pt idx="353">
                  <c:v>0.63390498167797071</c:v>
                </c:pt>
                <c:pt idx="354">
                  <c:v>0.63377474818993085</c:v>
                </c:pt>
                <c:pt idx="355">
                  <c:v>0.63392728271439069</c:v>
                </c:pt>
                <c:pt idx="356">
                  <c:v>0.63436453110810009</c:v>
                </c:pt>
                <c:pt idx="357">
                  <c:v>0.63508663761718886</c:v>
                </c:pt>
                <c:pt idx="358">
                  <c:v>0.63609226472676739</c:v>
                </c:pt>
                <c:pt idx="359">
                  <c:v>0.63738011431370956</c:v>
                </c:pt>
                <c:pt idx="360">
                  <c:v>0.63909954321456564</c:v>
                </c:pt>
                <c:pt idx="361">
                  <c:v>0.64111698699615915</c:v>
                </c:pt>
                <c:pt idx="362">
                  <c:v>0.64343125665134115</c:v>
                </c:pt>
                <c:pt idx="363">
                  <c:v>0.64604117567847075</c:v>
                </c:pt>
                <c:pt idx="364">
                  <c:v>0.64894557284789522</c:v>
                </c:pt>
                <c:pt idx="365">
                  <c:v>0.65214327496065083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0.70697789870684835</c:v>
                </c:pt>
                <c:pt idx="1">
                  <c:v>0.71107327517753915</c:v>
                </c:pt>
                <c:pt idx="2">
                  <c:v>0.7154079730954257</c:v>
                </c:pt>
                <c:pt idx="3">
                  <c:v>0.71998056013038425</c:v>
                </c:pt>
                <c:pt idx="4">
                  <c:v>0.7247895667991443</c:v>
                </c:pt>
                <c:pt idx="5">
                  <c:v>0.72983348055831765</c:v>
                </c:pt>
                <c:pt idx="6">
                  <c:v>0.73511073990674991</c:v>
                </c:pt>
                <c:pt idx="7">
                  <c:v>0.74061972847153512</c:v>
                </c:pt>
                <c:pt idx="8">
                  <c:v>0.74635876910409149</c:v>
                </c:pt>
                <c:pt idx="9">
                  <c:v>0.75230876709200778</c:v>
                </c:pt>
                <c:pt idx="10">
                  <c:v>0.75834580921829009</c:v>
                </c:pt>
                <c:pt idx="11">
                  <c:v>0.76446782779490285</c:v>
                </c:pt>
                <c:pt idx="12">
                  <c:v>0.77067268717511828</c:v>
                </c:pt>
                <c:pt idx="13">
                  <c:v>0.77695818139346107</c:v>
                </c:pt>
                <c:pt idx="14">
                  <c:v>0.78332203179231419</c:v>
                </c:pt>
                <c:pt idx="15">
                  <c:v>0.78953558602229679</c:v>
                </c:pt>
                <c:pt idx="16">
                  <c:v>0.79548570998295454</c:v>
                </c:pt>
                <c:pt idx="17">
                  <c:v>0.80116965195274248</c:v>
                </c:pt>
                <c:pt idx="18">
                  <c:v>0.80658465032129378</c:v>
                </c:pt>
                <c:pt idx="19">
                  <c:v>0.81173246751756256</c:v>
                </c:pt>
                <c:pt idx="20">
                  <c:v>0.81661703490966753</c:v>
                </c:pt>
                <c:pt idx="21">
                  <c:v>0.82123888691631963</c:v>
                </c:pt>
                <c:pt idx="22">
                  <c:v>0.82559861730955664</c:v>
                </c:pt>
                <c:pt idx="23">
                  <c:v>0.82960015981073687</c:v>
                </c:pt>
                <c:pt idx="24">
                  <c:v>0.83326161359591988</c:v>
                </c:pt>
                <c:pt idx="25">
                  <c:v>0.83658372441152651</c:v>
                </c:pt>
                <c:pt idx="26">
                  <c:v>0.83956729343582792</c:v>
                </c:pt>
                <c:pt idx="27">
                  <c:v>0.84221317322734579</c:v>
                </c:pt>
                <c:pt idx="28">
                  <c:v>0.84452226369130901</c:v>
                </c:pt>
                <c:pt idx="29">
                  <c:v>0.84628476938293618</c:v>
                </c:pt>
                <c:pt idx="30">
                  <c:v>0.84772836226874704</c:v>
                </c:pt>
                <c:pt idx="31">
                  <c:v>0.84885406603748814</c:v>
                </c:pt>
                <c:pt idx="32">
                  <c:v>0.84966293344565702</c:v>
                </c:pt>
                <c:pt idx="33">
                  <c:v>0.85015604247196797</c:v>
                </c:pt>
                <c:pt idx="34">
                  <c:v>0.85033449247567761</c:v>
                </c:pt>
                <c:pt idx="35">
                  <c:v>0.85019940035422603</c:v>
                </c:pt>
                <c:pt idx="36">
                  <c:v>0.84975189669912987</c:v>
                </c:pt>
                <c:pt idx="37">
                  <c:v>0.84844949207013753</c:v>
                </c:pt>
                <c:pt idx="38">
                  <c:v>0.8463901548932804</c:v>
                </c:pt>
                <c:pt idx="39">
                  <c:v>0.84357515567864239</c:v>
                </c:pt>
                <c:pt idx="40">
                  <c:v>0.84000576309436581</c:v>
                </c:pt>
                <c:pt idx="41">
                  <c:v>0.83568323453807214</c:v>
                </c:pt>
                <c:pt idx="42">
                  <c:v>0.83060880670239401</c:v>
                </c:pt>
                <c:pt idx="43">
                  <c:v>0.82438402459695326</c:v>
                </c:pt>
                <c:pt idx="44">
                  <c:v>0.81722066641351576</c:v>
                </c:pt>
                <c:pt idx="45">
                  <c:v>0.80911988646363531</c:v>
                </c:pt>
                <c:pt idx="46">
                  <c:v>0.80008277117967497</c:v>
                </c:pt>
                <c:pt idx="47">
                  <c:v>0.79011032732044439</c:v>
                </c:pt>
                <c:pt idx="48">
                  <c:v>0.77920347016622182</c:v>
                </c:pt>
                <c:pt idx="49">
                  <c:v>0.76736301172107402</c:v>
                </c:pt>
                <c:pt idx="50">
                  <c:v>0.75458964891033276</c:v>
                </c:pt>
                <c:pt idx="51">
                  <c:v>0.74058536719790224</c:v>
                </c:pt>
                <c:pt idx="52">
                  <c:v>0.72588972223674431</c:v>
                </c:pt>
                <c:pt idx="53">
                  <c:v>0.71049856999219241</c:v>
                </c:pt>
                <c:pt idx="54">
                  <c:v>0.69441151510764187</c:v>
                </c:pt>
                <c:pt idx="55">
                  <c:v>0.67762817348255211</c:v>
                </c:pt>
                <c:pt idx="56">
                  <c:v>0.66014817485478794</c:v>
                </c:pt>
                <c:pt idx="57">
                  <c:v>0.64167878600213035</c:v>
                </c:pt>
                <c:pt idx="58">
                  <c:v>0.6226191567290239</c:v>
                </c:pt>
                <c:pt idx="59">
                  <c:v>0.60296897491940227</c:v>
                </c:pt>
                <c:pt idx="60">
                  <c:v>0.58272795347831563</c:v>
                </c:pt>
                <c:pt idx="61">
                  <c:v>0.56189583251845254</c:v>
                </c:pt>
                <c:pt idx="62">
                  <c:v>0.54047238154580768</c:v>
                </c:pt>
                <c:pt idx="63">
                  <c:v>0.51845740164705556</c:v>
                </c:pt>
                <c:pt idx="64">
                  <c:v>0.49585072767470195</c:v>
                </c:pt>
                <c:pt idx="65">
                  <c:v>0.47281349436454867</c:v>
                </c:pt>
                <c:pt idx="66">
                  <c:v>0.44964420961101736</c:v>
                </c:pt>
                <c:pt idx="67">
                  <c:v>0.42634282338311352</c:v>
                </c:pt>
                <c:pt idx="68">
                  <c:v>0.40290932155899473</c:v>
                </c:pt>
                <c:pt idx="69">
                  <c:v>0.37934372640963043</c:v>
                </c:pt>
                <c:pt idx="70">
                  <c:v>0.35564609708457329</c:v>
                </c:pt>
                <c:pt idx="71">
                  <c:v>0.33234015319454752</c:v>
                </c:pt>
                <c:pt idx="72">
                  <c:v>0.30971839184229855</c:v>
                </c:pt>
                <c:pt idx="73">
                  <c:v>0.28778093462967369</c:v>
                </c:pt>
                <c:pt idx="74">
                  <c:v>0.26652791904004425</c:v>
                </c:pt>
                <c:pt idx="75">
                  <c:v>0.24595949590502342</c:v>
                </c:pt>
                <c:pt idx="76">
                  <c:v>0.22607582687029618</c:v>
                </c:pt>
                <c:pt idx="77">
                  <c:v>0.20687708186231468</c:v>
                </c:pt>
                <c:pt idx="78">
                  <c:v>0.18836344280803236</c:v>
                </c:pt>
                <c:pt idx="79">
                  <c:v>0.17097580804354356</c:v>
                </c:pt>
                <c:pt idx="80">
                  <c:v>0.15455329680215546</c:v>
                </c:pt>
                <c:pt idx="81">
                  <c:v>0.13909573138248899</c:v>
                </c:pt>
                <c:pt idx="82">
                  <c:v>0.12460295233325554</c:v>
                </c:pt>
                <c:pt idx="83">
                  <c:v>0.11107481536654445</c:v>
                </c:pt>
                <c:pt idx="84">
                  <c:v>9.8511188271507816E-2</c:v>
                </c:pt>
                <c:pt idx="85">
                  <c:v>8.7256705399285595E-2</c:v>
                </c:pt>
                <c:pt idx="86">
                  <c:v>7.6787881118283524E-2</c:v>
                </c:pt>
                <c:pt idx="87">
                  <c:v>6.7104628742792813E-2</c:v>
                </c:pt>
                <c:pt idx="88">
                  <c:v>5.8206863680664966E-2</c:v>
                </c:pt>
                <c:pt idx="89">
                  <c:v>5.0094500918993978E-2</c:v>
                </c:pt>
                <c:pt idx="90">
                  <c:v>4.2767452509684618E-2</c:v>
                </c:pt>
                <c:pt idx="91">
                  <c:v>3.6225625055223178E-2</c:v>
                </c:pt>
                <c:pt idx="92">
                  <c:v>3.04689171942744E-2</c:v>
                </c:pt>
                <c:pt idx="93">
                  <c:v>2.5677306826384902E-2</c:v>
                </c:pt>
                <c:pt idx="94">
                  <c:v>2.1410965333845275E-2</c:v>
                </c:pt>
                <c:pt idx="95">
                  <c:v>1.7669816970688406E-2</c:v>
                </c:pt>
                <c:pt idx="96">
                  <c:v>1.4453775813370259E-2</c:v>
                </c:pt>
                <c:pt idx="97">
                  <c:v>1.176274407881963E-2</c:v>
                </c:pt>
                <c:pt idx="98">
                  <c:v>9.5966104423033539E-3</c:v>
                </c:pt>
                <c:pt idx="99">
                  <c:v>7.9668843650262753E-3</c:v>
                </c:pt>
                <c:pt idx="100">
                  <c:v>6.5290737530582302E-3</c:v>
                </c:pt>
                <c:pt idx="101">
                  <c:v>5.2831384057412372E-3</c:v>
                </c:pt>
                <c:pt idx="102">
                  <c:v>4.2290320357544721E-3</c:v>
                </c:pt>
                <c:pt idx="103">
                  <c:v>3.3667016543793768E-3</c:v>
                </c:pt>
                <c:pt idx="104">
                  <c:v>2.696086956877231E-3</c:v>
                </c:pt>
                <c:pt idx="105">
                  <c:v>2.2171197077606674E-3</c:v>
                </c:pt>
                <c:pt idx="106">
                  <c:v>1.9297231261209775E-3</c:v>
                </c:pt>
                <c:pt idx="107">
                  <c:v>1.8321912974650892E-3</c:v>
                </c:pt>
                <c:pt idx="108">
                  <c:v>1.744677888280366E-3</c:v>
                </c:pt>
                <c:pt idx="109">
                  <c:v>1.6671793576262897E-3</c:v>
                </c:pt>
                <c:pt idx="110">
                  <c:v>1.5996962639289126E-3</c:v>
                </c:pt>
                <c:pt idx="111">
                  <c:v>1.5422281314173313E-3</c:v>
                </c:pt>
                <c:pt idx="112">
                  <c:v>1.4947693764260476E-3</c:v>
                </c:pt>
                <c:pt idx="113">
                  <c:v>1.4573173264377875E-3</c:v>
                </c:pt>
                <c:pt idx="114">
                  <c:v>1.4182592272234231E-3</c:v>
                </c:pt>
                <c:pt idx="115">
                  <c:v>1.3775963839682355E-3</c:v>
                </c:pt>
                <c:pt idx="116">
                  <c:v>1.3353301861400149E-3</c:v>
                </c:pt>
                <c:pt idx="117">
                  <c:v>1.2914621110304313E-3</c:v>
                </c:pt>
                <c:pt idx="118">
                  <c:v>1.2459937272818972E-3</c:v>
                </c:pt>
                <c:pt idx="119">
                  <c:v>1.1989266984185898E-3</c:v>
                </c:pt>
                <c:pt idx="120">
                  <c:v>1.1502627863756248E-3</c:v>
                </c:pt>
                <c:pt idx="121">
                  <c:v>1.0999975263095822E-3</c:v>
                </c:pt>
                <c:pt idx="122">
                  <c:v>1.0497475214892068E-3</c:v>
                </c:pt>
                <c:pt idx="123">
                  <c:v>9.995135555325948E-4</c:v>
                </c:pt>
                <c:pt idx="124">
                  <c:v>9.4929645597582315E-4</c:v>
                </c:pt>
                <c:pt idx="125">
                  <c:v>8.9909709428845678E-4</c:v>
                </c:pt>
                <c:pt idx="126">
                  <c:v>8.489163858747136E-4</c:v>
                </c:pt>
                <c:pt idx="127">
                  <c:v>8.0122139631519298E-4</c:v>
                </c:pt>
                <c:pt idx="128">
                  <c:v>7.5600773934150029E-4</c:v>
                </c:pt>
                <c:pt idx="129">
                  <c:v>7.132740755739944E-4</c:v>
                </c:pt>
                <c:pt idx="130">
                  <c:v>6.7301898274952992E-4</c:v>
                </c:pt>
                <c:pt idx="131">
                  <c:v>6.3524095031589013E-4</c:v>
                </c:pt>
                <c:pt idx="132">
                  <c:v>5.9993837403452335E-4</c:v>
                </c:pt>
                <c:pt idx="133">
                  <c:v>5.6710955058691438E-4</c:v>
                </c:pt>
                <c:pt idx="134">
                  <c:v>5.3675267217707533E-4</c:v>
                </c:pt>
                <c:pt idx="135">
                  <c:v>5.0970038444481927E-4</c:v>
                </c:pt>
                <c:pt idx="136">
                  <c:v>4.8595600307973087E-4</c:v>
                </c:pt>
                <c:pt idx="137">
                  <c:v>4.6551636696392986E-4</c:v>
                </c:pt>
                <c:pt idx="138">
                  <c:v>4.4837813660942666E-4</c:v>
                </c:pt>
                <c:pt idx="139">
                  <c:v>4.3453778692214201E-4</c:v>
                </c:pt>
                <c:pt idx="140">
                  <c:v>4.2399159994011541E-4</c:v>
                </c:pt>
                <c:pt idx="141">
                  <c:v>4.1591550724247631E-4</c:v>
                </c:pt>
                <c:pt idx="142">
                  <c:v>4.0785183810775083E-4</c:v>
                </c:pt>
                <c:pt idx="143">
                  <c:v>3.9979909592894512E-4</c:v>
                </c:pt>
                <c:pt idx="144">
                  <c:v>3.9175829316132353E-4</c:v>
                </c:pt>
                <c:pt idx="145">
                  <c:v>3.8373039854189039E-4</c:v>
                </c:pt>
                <c:pt idx="146">
                  <c:v>3.7571633724912425E-4</c:v>
                </c:pt>
                <c:pt idx="147">
                  <c:v>3.6771699107595728E-4</c:v>
                </c:pt>
                <c:pt idx="148">
                  <c:v>3.5973319859330287E-4</c:v>
                </c:pt>
                <c:pt idx="149">
                  <c:v>3.52986060042046E-4</c:v>
                </c:pt>
                <c:pt idx="150">
                  <c:v>3.4664556509814002E-4</c:v>
                </c:pt>
                <c:pt idx="151">
                  <c:v>3.4071168624766216E-4</c:v>
                </c:pt>
                <c:pt idx="152">
                  <c:v>3.3518433826690698E-4</c:v>
                </c:pt>
                <c:pt idx="153">
                  <c:v>3.3006338366331641E-4</c:v>
                </c:pt>
                <c:pt idx="154">
                  <c:v>3.2534863811832623E-4</c:v>
                </c:pt>
                <c:pt idx="155">
                  <c:v>3.210968248001533E-4</c:v>
                </c:pt>
                <c:pt idx="156">
                  <c:v>3.1812086271448516E-4</c:v>
                </c:pt>
                <c:pt idx="157">
                  <c:v>3.164188060343873E-4</c:v>
                </c:pt>
                <c:pt idx="158">
                  <c:v>3.1598867805641859E-4</c:v>
                </c:pt>
                <c:pt idx="159">
                  <c:v>3.1682848842771771E-4</c:v>
                </c:pt>
                <c:pt idx="160">
                  <c:v>3.1893625037699293E-4</c:v>
                </c:pt>
                <c:pt idx="161">
                  <c:v>3.2230999794193569E-4</c:v>
                </c:pt>
                <c:pt idx="162">
                  <c:v>3.2694780319833782E-4</c:v>
                </c:pt>
                <c:pt idx="163">
                  <c:v>3.3241823053298963E-4</c:v>
                </c:pt>
                <c:pt idx="164">
                  <c:v>3.3751128070118861E-4</c:v>
                </c:pt>
                <c:pt idx="165">
                  <c:v>3.4222821978783716E-4</c:v>
                </c:pt>
                <c:pt idx="166">
                  <c:v>3.465703230433922E-4</c:v>
                </c:pt>
                <c:pt idx="167">
                  <c:v>3.5053886980527437E-4</c:v>
                </c:pt>
                <c:pt idx="168">
                  <c:v>3.5413513843021146E-4</c:v>
                </c:pt>
                <c:pt idx="169">
                  <c:v>3.5693235988880682E-4</c:v>
                </c:pt>
                <c:pt idx="170">
                  <c:v>3.5887606771431733E-4</c:v>
                </c:pt>
                <c:pt idx="171">
                  <c:v>3.5996825694156948E-4</c:v>
                </c:pt>
                <c:pt idx="172">
                  <c:v>3.6021084686775601E-4</c:v>
                </c:pt>
                <c:pt idx="173">
                  <c:v>3.5960199202937063E-4</c:v>
                </c:pt>
                <c:pt idx="174">
                  <c:v>3.5813961338980818E-4</c:v>
                </c:pt>
                <c:pt idx="175">
                  <c:v>3.5582521484659135E-4</c:v>
                </c:pt>
                <c:pt idx="176">
                  <c:v>3.5266029467235924E-4</c:v>
                </c:pt>
                <c:pt idx="177">
                  <c:v>3.4870256994785692E-4</c:v>
                </c:pt>
                <c:pt idx="178">
                  <c:v>3.4437949836679734E-4</c:v>
                </c:pt>
                <c:pt idx="179">
                  <c:v>3.3969181007916839E-4</c:v>
                </c:pt>
                <c:pt idx="180">
                  <c:v>3.34640219137207E-4</c:v>
                </c:pt>
                <c:pt idx="181">
                  <c:v>3.2922542132112051E-4</c:v>
                </c:pt>
                <c:pt idx="182">
                  <c:v>3.2344809196780929E-4</c:v>
                </c:pt>
                <c:pt idx="183">
                  <c:v>3.1850583874247208E-4</c:v>
                </c:pt>
                <c:pt idx="184">
                  <c:v>3.1482239472269098E-4</c:v>
                </c:pt>
                <c:pt idx="185">
                  <c:v>3.1239608833319769E-4</c:v>
                </c:pt>
                <c:pt idx="186">
                  <c:v>3.1122528781114253E-4</c:v>
                </c:pt>
                <c:pt idx="187">
                  <c:v>3.1130840858500653E-4</c:v>
                </c:pt>
                <c:pt idx="188">
                  <c:v>3.126439206552437E-4</c:v>
                </c:pt>
                <c:pt idx="189">
                  <c:v>3.1523035596543324E-4</c:v>
                </c:pt>
                <c:pt idx="190">
                  <c:v>3.1906631578673743E-4</c:v>
                </c:pt>
                <c:pt idx="191">
                  <c:v>3.2335222897287392E-4</c:v>
                </c:pt>
                <c:pt idx="192">
                  <c:v>3.2803200956340201E-4</c:v>
                </c:pt>
                <c:pt idx="193">
                  <c:v>3.3310551545161253E-4</c:v>
                </c:pt>
                <c:pt idx="194">
                  <c:v>3.3857264229993089E-4</c:v>
                </c:pt>
                <c:pt idx="195">
                  <c:v>3.4443332587777106E-4</c:v>
                </c:pt>
                <c:pt idx="196">
                  <c:v>3.5068754438664533E-4</c:v>
                </c:pt>
                <c:pt idx="197">
                  <c:v>3.5814375713410606E-4</c:v>
                </c:pt>
                <c:pt idx="198">
                  <c:v>3.6561173443635533E-4</c:v>
                </c:pt>
                <c:pt idx="199">
                  <c:v>3.7309200273487336E-4</c:v>
                </c:pt>
                <c:pt idx="200">
                  <c:v>3.8058510752328809E-4</c:v>
                </c:pt>
                <c:pt idx="201">
                  <c:v>3.8809161341520987E-4</c:v>
                </c:pt>
                <c:pt idx="202">
                  <c:v>3.9561210421392275E-4</c:v>
                </c:pt>
                <c:pt idx="203">
                  <c:v>4.0314718299088614E-4</c:v>
                </c:pt>
                <c:pt idx="204">
                  <c:v>4.1069680894387391E-4</c:v>
                </c:pt>
                <c:pt idx="205">
                  <c:v>4.2063768722783466E-4</c:v>
                </c:pt>
                <c:pt idx="206">
                  <c:v>4.3376287845145342E-4</c:v>
                </c:pt>
                <c:pt idx="207">
                  <c:v>4.5007072368099383E-4</c:v>
                </c:pt>
                <c:pt idx="208">
                  <c:v>4.6955980685976946E-4</c:v>
                </c:pt>
                <c:pt idx="209">
                  <c:v>4.9222894492775794E-4</c:v>
                </c:pt>
                <c:pt idx="210">
                  <c:v>5.1807717795685198E-4</c:v>
                </c:pt>
                <c:pt idx="211">
                  <c:v>5.4709767608572318E-4</c:v>
                </c:pt>
                <c:pt idx="212">
                  <c:v>5.7848431003158134E-4</c:v>
                </c:pt>
                <c:pt idx="213">
                  <c:v>6.1223704166751217E-4</c:v>
                </c:pt>
                <c:pt idx="214">
                  <c:v>6.4835596039678053E-4</c:v>
                </c:pt>
                <c:pt idx="215">
                  <c:v>6.8684127580051534E-4</c:v>
                </c:pt>
                <c:pt idx="216">
                  <c:v>7.2769331028342738E-4</c:v>
                </c:pt>
                <c:pt idx="217">
                  <c:v>7.7091249172237496E-4</c:v>
                </c:pt>
                <c:pt idx="218">
                  <c:v>8.1649934611127087E-4</c:v>
                </c:pt>
                <c:pt idx="219">
                  <c:v>8.6445749421768187E-4</c:v>
                </c:pt>
                <c:pt idx="220">
                  <c:v>9.1241527216026684E-4</c:v>
                </c:pt>
                <c:pt idx="221">
                  <c:v>9.6037377364918903E-4</c:v>
                </c:pt>
                <c:pt idx="222">
                  <c:v>1.0083340325383649E-3</c:v>
                </c:pt>
                <c:pt idx="223">
                  <c:v>1.056297022850994E-3</c:v>
                </c:pt>
                <c:pt idx="224">
                  <c:v>1.1042636587832654E-3</c:v>
                </c:pt>
                <c:pt idx="225">
                  <c:v>1.15068395071355E-3</c:v>
                </c:pt>
                <c:pt idx="226">
                  <c:v>1.1955647821921434E-3</c:v>
                </c:pt>
                <c:pt idx="227">
                  <c:v>1.2389068302643387E-3</c:v>
                </c:pt>
                <c:pt idx="228">
                  <c:v>1.2807106475891152E-3</c:v>
                </c:pt>
                <c:pt idx="229">
                  <c:v>1.3209766672361888E-3</c:v>
                </c:pt>
                <c:pt idx="230">
                  <c:v>1.3597052075019162E-3</c:v>
                </c:pt>
                <c:pt idx="231">
                  <c:v>1.3968964767310616E-3</c:v>
                </c:pt>
                <c:pt idx="232">
                  <c:v>1.4325505781095441E-3</c:v>
                </c:pt>
                <c:pt idx="233">
                  <c:v>1.4777962794860064E-3</c:v>
                </c:pt>
                <c:pt idx="234">
                  <c:v>1.5326321083115068E-3</c:v>
                </c:pt>
                <c:pt idx="235">
                  <c:v>1.5970611277361475E-3</c:v>
                </c:pt>
                <c:pt idx="236">
                  <c:v>1.6710873957299192E-3</c:v>
                </c:pt>
                <c:pt idx="237">
                  <c:v>1.7547144474626393E-3</c:v>
                </c:pt>
                <c:pt idx="238">
                  <c:v>1.8479462648080076E-3</c:v>
                </c:pt>
                <c:pt idx="239">
                  <c:v>2.1229955646035184E-3</c:v>
                </c:pt>
                <c:pt idx="240">
                  <c:v>2.5814652802532301E-3</c:v>
                </c:pt>
                <c:pt idx="241">
                  <c:v>3.223415200342404E-3</c:v>
                </c:pt>
                <c:pt idx="242">
                  <c:v>4.0489137627134882E-3</c:v>
                </c:pt>
                <c:pt idx="243">
                  <c:v>5.0580383780410663E-3</c:v>
                </c:pt>
                <c:pt idx="244">
                  <c:v>6.25087575341672E-3</c:v>
                </c:pt>
                <c:pt idx="245">
                  <c:v>7.6275222158878764E-3</c:v>
                </c:pt>
                <c:pt idx="246">
                  <c:v>9.1880840359321019E-3</c:v>
                </c:pt>
                <c:pt idx="247">
                  <c:v>1.1262485669685489E-2</c:v>
                </c:pt>
                <c:pt idx="248">
                  <c:v>1.3839861608012125E-2</c:v>
                </c:pt>
                <c:pt idx="249">
                  <c:v>1.6920514661205477E-2</c:v>
                </c:pt>
                <c:pt idx="250">
                  <c:v>2.050477648880019E-2</c:v>
                </c:pt>
                <c:pt idx="251">
                  <c:v>2.4593008485380055E-2</c:v>
                </c:pt>
                <c:pt idx="252">
                  <c:v>2.9185602665769875E-2</c:v>
                </c:pt>
                <c:pt idx="253">
                  <c:v>3.4704275477795782E-2</c:v>
                </c:pt>
                <c:pt idx="254">
                  <c:v>4.0977159729664647E-2</c:v>
                </c:pt>
                <c:pt idx="255">
                  <c:v>4.8004921423578956E-2</c:v>
                </c:pt>
                <c:pt idx="256">
                  <c:v>5.5788276149033304E-2</c:v>
                </c:pt>
                <c:pt idx="257">
                  <c:v>6.4327990405926461E-2</c:v>
                </c:pt>
                <c:pt idx="258">
                  <c:v>7.3624882927950469E-2</c:v>
                </c:pt>
                <c:pt idx="259">
                  <c:v>8.3679826007147351E-2</c:v>
                </c:pt>
                <c:pt idx="260">
                  <c:v>9.4493746816505589E-2</c:v>
                </c:pt>
                <c:pt idx="261">
                  <c:v>0.10656979501696685</c:v>
                </c:pt>
                <c:pt idx="262">
                  <c:v>0.11957854869596504</c:v>
                </c:pt>
                <c:pt idx="263">
                  <c:v>0.13352128175473124</c:v>
                </c:pt>
                <c:pt idx="264">
                  <c:v>0.14839934759512044</c:v>
                </c:pt>
                <c:pt idx="265">
                  <c:v>0.16421505660270197</c:v>
                </c:pt>
                <c:pt idx="266">
                  <c:v>0.18097068135197183</c:v>
                </c:pt>
                <c:pt idx="267">
                  <c:v>0.19882295087528995</c:v>
                </c:pt>
                <c:pt idx="268">
                  <c:v>0.21735072341982259</c:v>
                </c:pt>
                <c:pt idx="269">
                  <c:v>0.23655549879524365</c:v>
                </c:pt>
                <c:pt idx="270">
                  <c:v>0.25643876033527918</c:v>
                </c:pt>
                <c:pt idx="271">
                  <c:v>0.27700196764271995</c:v>
                </c:pt>
                <c:pt idx="272">
                  <c:v>0.29824654934018147</c:v>
                </c:pt>
                <c:pt idx="273">
                  <c:v>0.32017389581766104</c:v>
                </c:pt>
                <c:pt idx="274">
                  <c:v>0.34278535198381044</c:v>
                </c:pt>
                <c:pt idx="275">
                  <c:v>0.36580025525548998</c:v>
                </c:pt>
                <c:pt idx="276">
                  <c:v>0.38871423589076431</c:v>
                </c:pt>
                <c:pt idx="277">
                  <c:v>0.41152727161478564</c:v>
                </c:pt>
                <c:pt idx="278">
                  <c:v>0.43423923462501618</c:v>
                </c:pt>
                <c:pt idx="279">
                  <c:v>0.45684989297808049</c:v>
                </c:pt>
                <c:pt idx="280">
                  <c:v>0.47935891198065911</c:v>
                </c:pt>
                <c:pt idx="281">
                  <c:v>0.501477041662584</c:v>
                </c:pt>
                <c:pt idx="282">
                  <c:v>0.52304723198607661</c:v>
                </c:pt>
                <c:pt idx="283">
                  <c:v>0.54406814923180979</c:v>
                </c:pt>
                <c:pt idx="284">
                  <c:v>0.56453836308034833</c:v>
                </c:pt>
                <c:pt idx="285">
                  <c:v>0.58445635286688691</c:v>
                </c:pt>
                <c:pt idx="286">
                  <c:v>0.60382051384138191</c:v>
                </c:pt>
                <c:pt idx="287">
                  <c:v>0.62262916342325436</c:v>
                </c:pt>
                <c:pt idx="288">
                  <c:v>0.64088054745811585</c:v>
                </c:pt>
                <c:pt idx="289">
                  <c:v>0.65818482423031055</c:v>
                </c:pt>
                <c:pt idx="290">
                  <c:v>0.67482366376026459</c:v>
                </c:pt>
                <c:pt idx="291">
                  <c:v>0.6907949896433534</c:v>
                </c:pt>
                <c:pt idx="292">
                  <c:v>0.70609668590558816</c:v>
                </c:pt>
                <c:pt idx="293">
                  <c:v>0.72072660439659986</c:v>
                </c:pt>
                <c:pt idx="294">
                  <c:v>0.73468257218010513</c:v>
                </c:pt>
                <c:pt idx="295">
                  <c:v>0.74743344256148703</c:v>
                </c:pt>
                <c:pt idx="296">
                  <c:v>0.75927648911026147</c:v>
                </c:pt>
                <c:pt idx="297">
                  <c:v>0.7702161059449214</c:v>
                </c:pt>
                <c:pt idx="298">
                  <c:v>0.78025052934339356</c:v>
                </c:pt>
                <c:pt idx="299">
                  <c:v>0.7893779259551994</c:v>
                </c:pt>
                <c:pt idx="300">
                  <c:v>0.79759640128794962</c:v>
                </c:pt>
                <c:pt idx="301">
                  <c:v>0.80490400819147956</c:v>
                </c:pt>
                <c:pt idx="302">
                  <c:v>0.81129875534375073</c:v>
                </c:pt>
                <c:pt idx="303">
                  <c:v>0.81657286318554489</c:v>
                </c:pt>
                <c:pt idx="304">
                  <c:v>0.82111475872735928</c:v>
                </c:pt>
                <c:pt idx="305">
                  <c:v>0.82492263338627247</c:v>
                </c:pt>
                <c:pt idx="306">
                  <c:v>0.82799466739571381</c:v>
                </c:pt>
                <c:pt idx="307">
                  <c:v>0.8303290365903897</c:v>
                </c:pt>
                <c:pt idx="308">
                  <c:v>0.83192391918423492</c:v>
                </c:pt>
                <c:pt idx="309">
                  <c:v>0.83268278946905117</c:v>
                </c:pt>
                <c:pt idx="310">
                  <c:v>0.83313647940208524</c:v>
                </c:pt>
                <c:pt idx="311">
                  <c:v>0.83328381004055219</c:v>
                </c:pt>
                <c:pt idx="312">
                  <c:v>0.83312361379514466</c:v>
                </c:pt>
                <c:pt idx="313">
                  <c:v>0.83265473719741445</c:v>
                </c:pt>
                <c:pt idx="314">
                  <c:v>0.83187604365953893</c:v>
                </c:pt>
                <c:pt idx="315">
                  <c:v>0.83078641624455929</c:v>
                </c:pt>
                <c:pt idx="316">
                  <c:v>0.82938476042373621</c:v>
                </c:pt>
                <c:pt idx="317">
                  <c:v>0.82744729987886689</c:v>
                </c:pt>
                <c:pt idx="318">
                  <c:v>0.825179862143682</c:v>
                </c:pt>
                <c:pt idx="319">
                  <c:v>0.82258142817153557</c:v>
                </c:pt>
                <c:pt idx="320">
                  <c:v>0.81965101454274858</c:v>
                </c:pt>
                <c:pt idx="321">
                  <c:v>0.81638767637405285</c:v>
                </c:pt>
                <c:pt idx="322">
                  <c:v>0.81279051023142312</c:v>
                </c:pt>
                <c:pt idx="323">
                  <c:v>0.80884150698698243</c:v>
                </c:pt>
                <c:pt idx="324">
                  <c:v>0.80463510305845409</c:v>
                </c:pt>
                <c:pt idx="325">
                  <c:v>0.80017055385899261</c:v>
                </c:pt>
                <c:pt idx="326">
                  <c:v>0.79544221243633273</c:v>
                </c:pt>
                <c:pt idx="327">
                  <c:v>0.79044788248178022</c:v>
                </c:pt>
                <c:pt idx="328">
                  <c:v>0.78518949616855016</c:v>
                </c:pt>
                <c:pt idx="329">
                  <c:v>0.77966898075469759</c:v>
                </c:pt>
                <c:pt idx="330">
                  <c:v>0.77388825356985003</c:v>
                </c:pt>
                <c:pt idx="331">
                  <c:v>0.76795833665710433</c:v>
                </c:pt>
                <c:pt idx="332">
                  <c:v>0.76210469381545132</c:v>
                </c:pt>
                <c:pt idx="333">
                  <c:v>0.7563292581403952</c:v>
                </c:pt>
                <c:pt idx="334">
                  <c:v>0.75063390459450252</c:v>
                </c:pt>
                <c:pt idx="335">
                  <c:v>0.74502045192622379</c:v>
                </c:pt>
                <c:pt idx="336">
                  <c:v>0.73949066457869961</c:v>
                </c:pt>
                <c:pt idx="337">
                  <c:v>0.7341671035821079</c:v>
                </c:pt>
                <c:pt idx="338">
                  <c:v>0.72906862572127362</c:v>
                </c:pt>
                <c:pt idx="339">
                  <c:v>0.72419685282229973</c:v>
                </c:pt>
                <c:pt idx="340">
                  <c:v>0.71955335932818987</c:v>
                </c:pt>
                <c:pt idx="341">
                  <c:v>0.71513967708432835</c:v>
                </c:pt>
                <c:pt idx="342">
                  <c:v>0.71095730012328395</c:v>
                </c:pt>
                <c:pt idx="343">
                  <c:v>0.70700768944101378</c:v>
                </c:pt>
                <c:pt idx="344">
                  <c:v>0.70329227778432291</c:v>
                </c:pt>
                <c:pt idx="345">
                  <c:v>0.69981247443078132</c:v>
                </c:pt>
                <c:pt idx="346">
                  <c:v>0.69664616703526772</c:v>
                </c:pt>
                <c:pt idx="347">
                  <c:v>0.6937947475280003</c:v>
                </c:pt>
                <c:pt idx="348">
                  <c:v>0.69125960539492137</c:v>
                </c:pt>
                <c:pt idx="349">
                  <c:v>0.68904213404459558</c:v>
                </c:pt>
                <c:pt idx="350">
                  <c:v>0.68714373719131339</c:v>
                </c:pt>
                <c:pt idx="351">
                  <c:v>0.68575161705310406</c:v>
                </c:pt>
                <c:pt idx="352">
                  <c:v>0.68474634295829639</c:v>
                </c:pt>
                <c:pt idx="353">
                  <c:v>0.68412943756472466</c:v>
                </c:pt>
                <c:pt idx="354">
                  <c:v>0.68390247138234406</c:v>
                </c:pt>
                <c:pt idx="355">
                  <c:v>0.68406707045882542</c:v>
                </c:pt>
                <c:pt idx="356">
                  <c:v>0.68462539721523163</c:v>
                </c:pt>
                <c:pt idx="357">
                  <c:v>0.6855776861952767</c:v>
                </c:pt>
                <c:pt idx="358">
                  <c:v>0.68692258808272477</c:v>
                </c:pt>
                <c:pt idx="359">
                  <c:v>0.68865880895152765</c:v>
                </c:pt>
                <c:pt idx="360">
                  <c:v>0.6909063411059807</c:v>
                </c:pt>
                <c:pt idx="361">
                  <c:v>0.69347780730480013</c:v>
                </c:pt>
                <c:pt idx="362">
                  <c:v>0.69637194695335647</c:v>
                </c:pt>
                <c:pt idx="363">
                  <c:v>0.69958750913747159</c:v>
                </c:pt>
                <c:pt idx="364">
                  <c:v>0.70312324476630517</c:v>
                </c:pt>
                <c:pt idx="365">
                  <c:v>0.70697789870684835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0.76043589210206308</c:v>
                </c:pt>
                <c:pt idx="1">
                  <c:v>0.76503538590763287</c:v>
                </c:pt>
                <c:pt idx="2">
                  <c:v>0.76999368985894434</c:v>
                </c:pt>
                <c:pt idx="3">
                  <c:v>0.77530941135998832</c:v>
                </c:pt>
                <c:pt idx="4">
                  <c:v>0.78098111641461954</c:v>
                </c:pt>
                <c:pt idx="5">
                  <c:v>0.78700732069102053</c:v>
                </c:pt>
                <c:pt idx="6">
                  <c:v>0.79338648059621508</c:v>
                </c:pt>
                <c:pt idx="7">
                  <c:v>0.80011698433297895</c:v>
                </c:pt>
                <c:pt idx="8">
                  <c:v>0.80719714296757927</c:v>
                </c:pt>
                <c:pt idx="9">
                  <c:v>0.81466674889849777</c:v>
                </c:pt>
                <c:pt idx="10">
                  <c:v>0.82234499965515218</c:v>
                </c:pt>
                <c:pt idx="11">
                  <c:v>0.83022974805516669</c:v>
                </c:pt>
                <c:pt idx="12">
                  <c:v>0.8383187496469553</c:v>
                </c:pt>
                <c:pt idx="13">
                  <c:v>0.84660965726972504</c:v>
                </c:pt>
                <c:pt idx="14">
                  <c:v>0.85510001559893423</c:v>
                </c:pt>
                <c:pt idx="15">
                  <c:v>0.86362360647096592</c:v>
                </c:pt>
                <c:pt idx="16">
                  <c:v>0.87200471948510494</c:v>
                </c:pt>
                <c:pt idx="17">
                  <c:v>0.88024029556013095</c:v>
                </c:pt>
                <c:pt idx="18">
                  <c:v>0.88832721723714125</c:v>
                </c:pt>
                <c:pt idx="19">
                  <c:v>0.89626731104518953</c:v>
                </c:pt>
                <c:pt idx="20">
                  <c:v>0.90406480310626391</c:v>
                </c:pt>
                <c:pt idx="21">
                  <c:v>0.91172017638866776</c:v>
                </c:pt>
                <c:pt idx="22">
                  <c:v>0.91923396995154882</c:v>
                </c:pt>
                <c:pt idx="23">
                  <c:v>0.92638524871647909</c:v>
                </c:pt>
                <c:pt idx="24">
                  <c:v>0.93313288050259835</c:v>
                </c:pt>
                <c:pt idx="25">
                  <c:v>0.93947753191774197</c:v>
                </c:pt>
                <c:pt idx="26">
                  <c:v>0.9454199475847247</c:v>
                </c:pt>
                <c:pt idx="27">
                  <c:v>0.95096094531261222</c:v>
                </c:pt>
                <c:pt idx="28">
                  <c:v>0.95610141128828097</c:v>
                </c:pt>
                <c:pt idx="29">
                  <c:v>0.96052475476711252</c:v>
                </c:pt>
                <c:pt idx="30">
                  <c:v>0.96439592768614579</c:v>
                </c:pt>
                <c:pt idx="31">
                  <c:v>0.9677160204426678</c:v>
                </c:pt>
                <c:pt idx="32">
                  <c:v>0.97048618104020534</c:v>
                </c:pt>
                <c:pt idx="33">
                  <c:v>0.97270760834697911</c:v>
                </c:pt>
                <c:pt idx="34">
                  <c:v>0.97438154535876287</c:v>
                </c:pt>
                <c:pt idx="35">
                  <c:v>0.97550927246098518</c:v>
                </c:pt>
                <c:pt idx="36">
                  <c:v>0.97609210068883046</c:v>
                </c:pt>
                <c:pt idx="37">
                  <c:v>0.97572406605347295</c:v>
                </c:pt>
                <c:pt idx="38">
                  <c:v>0.97462807509756699</c:v>
                </c:pt>
                <c:pt idx="39">
                  <c:v>0.97280554224819227</c:v>
                </c:pt>
                <c:pt idx="40">
                  <c:v>0.97025788464703266</c:v>
                </c:pt>
                <c:pt idx="41">
                  <c:v>0.96698651309250083</c:v>
                </c:pt>
                <c:pt idx="42">
                  <c:v>0.96299282297509192</c:v>
                </c:pt>
                <c:pt idx="43">
                  <c:v>0.9579892421144085</c:v>
                </c:pt>
                <c:pt idx="44">
                  <c:v>0.95229438065785188</c:v>
                </c:pt>
                <c:pt idx="45">
                  <c:v>0.94590952240556192</c:v>
                </c:pt>
                <c:pt idx="46">
                  <c:v>0.93883589915552867</c:v>
                </c:pt>
                <c:pt idx="47">
                  <c:v>0.93107468200079935</c:v>
                </c:pt>
                <c:pt idx="48">
                  <c:v>0.9226269726142875</c:v>
                </c:pt>
                <c:pt idx="49">
                  <c:v>0.91349379454212631</c:v>
                </c:pt>
                <c:pt idx="50">
                  <c:v>0.90367608449131231</c:v>
                </c:pt>
                <c:pt idx="51">
                  <c:v>0.89282874698860715</c:v>
                </c:pt>
                <c:pt idx="52">
                  <c:v>0.88135458803533417</c:v>
                </c:pt>
                <c:pt idx="53">
                  <c:v>0.86924869923374004</c:v>
                </c:pt>
                <c:pt idx="54">
                  <c:v>0.85651065620332578</c:v>
                </c:pt>
                <c:pt idx="55">
                  <c:v>0.84314004200119363</c:v>
                </c:pt>
                <c:pt idx="56">
                  <c:v>0.82913644947007292</c:v>
                </c:pt>
                <c:pt idx="57">
                  <c:v>0.81407474427926207</c:v>
                </c:pt>
                <c:pt idx="58">
                  <c:v>0.79824335769787824</c:v>
                </c:pt>
                <c:pt idx="59">
                  <c:v>0.7816419221348796</c:v>
                </c:pt>
                <c:pt idx="60">
                  <c:v>0.76427008927460782</c:v>
                </c:pt>
                <c:pt idx="61">
                  <c:v>0.7461275329282343</c:v>
                </c:pt>
                <c:pt idx="62">
                  <c:v>0.72721395188408222</c:v>
                </c:pt>
                <c:pt idx="63">
                  <c:v>0.70752907276020205</c:v>
                </c:pt>
                <c:pt idx="64">
                  <c:v>0.68707265285398844</c:v>
                </c:pt>
                <c:pt idx="65">
                  <c:v>0.66568004604188413</c:v>
                </c:pt>
                <c:pt idx="66">
                  <c:v>0.64369702952180075</c:v>
                </c:pt>
                <c:pt idx="67">
                  <c:v>0.62112347133989454</c:v>
                </c:pt>
                <c:pt idx="68">
                  <c:v>0.59795927935955739</c:v>
                </c:pt>
                <c:pt idx="69">
                  <c:v>0.574204403439043</c:v>
                </c:pt>
                <c:pt idx="70">
                  <c:v>0.54985883761211263</c:v>
                </c:pt>
                <c:pt idx="71">
                  <c:v>0.52512429593900023</c:v>
                </c:pt>
                <c:pt idx="72">
                  <c:v>0.50042560603480934</c:v>
                </c:pt>
                <c:pt idx="73">
                  <c:v>0.47576287081214486</c:v>
                </c:pt>
                <c:pt idx="74">
                  <c:v>0.45113622876564435</c:v>
                </c:pt>
                <c:pt idx="75">
                  <c:v>0.42654585383493848</c:v>
                </c:pt>
                <c:pt idx="76">
                  <c:v>0.40199195526614173</c:v>
                </c:pt>
                <c:pt idx="77">
                  <c:v>0.37747477747480462</c:v>
                </c:pt>
                <c:pt idx="78">
                  <c:v>0.35299461162723089</c:v>
                </c:pt>
                <c:pt idx="79">
                  <c:v>0.32902515168223917</c:v>
                </c:pt>
                <c:pt idx="80">
                  <c:v>0.30573160744276473</c:v>
                </c:pt>
                <c:pt idx="81">
                  <c:v>0.28311379704152406</c:v>
                </c:pt>
                <c:pt idx="82">
                  <c:v>0.26117156649375572</c:v>
                </c:pt>
                <c:pt idx="83">
                  <c:v>0.23990478753882055</c:v>
                </c:pt>
                <c:pt idx="84">
                  <c:v>0.21931335548264064</c:v>
                </c:pt>
                <c:pt idx="85">
                  <c:v>0.19992098887664916</c:v>
                </c:pt>
                <c:pt idx="86">
                  <c:v>0.18152598473338533</c:v>
                </c:pt>
                <c:pt idx="87">
                  <c:v>0.16412823802176341</c:v>
                </c:pt>
                <c:pt idx="88">
                  <c:v>0.14772765291132156</c:v>
                </c:pt>
                <c:pt idx="89">
                  <c:v>0.13232413958160583</c:v>
                </c:pt>
                <c:pt idx="90">
                  <c:v>0.11791761103126201</c:v>
                </c:pt>
                <c:pt idx="91">
                  <c:v>0.10450797988765509</c:v>
                </c:pt>
                <c:pt idx="92">
                  <c:v>9.209515521605785E-2</c:v>
                </c:pt>
                <c:pt idx="93">
                  <c:v>8.10498629972876E-2</c:v>
                </c:pt>
                <c:pt idx="94">
                  <c:v>7.0900233575116933E-2</c:v>
                </c:pt>
                <c:pt idx="95">
                  <c:v>6.1646166896703547E-2</c:v>
                </c:pt>
                <c:pt idx="96">
                  <c:v>5.3287549246396164E-2</c:v>
                </c:pt>
                <c:pt idx="97">
                  <c:v>4.5824250378862764E-2</c:v>
                </c:pt>
                <c:pt idx="98">
                  <c:v>3.9256120651603006E-2</c:v>
                </c:pt>
                <c:pt idx="99">
                  <c:v>3.3736669381520444E-2</c:v>
                </c:pt>
                <c:pt idx="100">
                  <c:v>2.8742471870993849E-2</c:v>
                </c:pt>
                <c:pt idx="101">
                  <c:v>2.4273435533284697E-2</c:v>
                </c:pt>
                <c:pt idx="102">
                  <c:v>2.0329452486991445E-2</c:v>
                </c:pt>
                <c:pt idx="103">
                  <c:v>1.6910397874000744E-2</c:v>
                </c:pt>
                <c:pt idx="104">
                  <c:v>1.4016128177965421E-2</c:v>
                </c:pt>
                <c:pt idx="105">
                  <c:v>1.1646479542287159E-2</c:v>
                </c:pt>
                <c:pt idx="106">
                  <c:v>9.8012660883589012E-3</c:v>
                </c:pt>
                <c:pt idx="107">
                  <c:v>8.5013178451431339E-3</c:v>
                </c:pt>
                <c:pt idx="108">
                  <c:v>7.3762613721776744E-3</c:v>
                </c:pt>
                <c:pt idx="109">
                  <c:v>6.4260313640882487E-3</c:v>
                </c:pt>
                <c:pt idx="110">
                  <c:v>5.6505701294050662E-3</c:v>
                </c:pt>
                <c:pt idx="111">
                  <c:v>5.0498044506648958E-3</c:v>
                </c:pt>
                <c:pt idx="112">
                  <c:v>4.6236365143107749E-3</c:v>
                </c:pt>
                <c:pt idx="113">
                  <c:v>4.3703671440333009E-3</c:v>
                </c:pt>
                <c:pt idx="114">
                  <c:v>4.1365965667953149E-3</c:v>
                </c:pt>
                <c:pt idx="115">
                  <c:v>3.9223149013789286E-3</c:v>
                </c:pt>
                <c:pt idx="116">
                  <c:v>3.727511864272792E-3</c:v>
                </c:pt>
                <c:pt idx="117">
                  <c:v>3.5521767272473142E-3</c:v>
                </c:pt>
                <c:pt idx="118">
                  <c:v>3.3962982748872578E-3</c:v>
                </c:pt>
                <c:pt idx="119">
                  <c:v>3.2598647621366996E-3</c:v>
                </c:pt>
                <c:pt idx="120">
                  <c:v>3.1428638718388347E-3</c:v>
                </c:pt>
                <c:pt idx="121">
                  <c:v>3.0442315701105886E-3</c:v>
                </c:pt>
                <c:pt idx="122">
                  <c:v>2.9429848936516818E-3</c:v>
                </c:pt>
                <c:pt idx="123">
                  <c:v>2.8391273055990468E-3</c:v>
                </c:pt>
                <c:pt idx="124">
                  <c:v>2.7326624676306237E-3</c:v>
                </c:pt>
                <c:pt idx="125">
                  <c:v>2.6235942457837444E-3</c:v>
                </c:pt>
                <c:pt idx="126">
                  <c:v>2.5119267162330653E-3</c:v>
                </c:pt>
                <c:pt idx="127">
                  <c:v>2.403328198926124E-3</c:v>
                </c:pt>
                <c:pt idx="128">
                  <c:v>2.2993889910226301E-3</c:v>
                </c:pt>
                <c:pt idx="129">
                  <c:v>2.2001068427556568E-3</c:v>
                </c:pt>
                <c:pt idx="130">
                  <c:v>2.1054793654124654E-3</c:v>
                </c:pt>
                <c:pt idx="131">
                  <c:v>2.0155040211839621E-3</c:v>
                </c:pt>
                <c:pt idx="132">
                  <c:v>1.9301781130386996E-3</c:v>
                </c:pt>
                <c:pt idx="133">
                  <c:v>1.8494987746087062E-3</c:v>
                </c:pt>
                <c:pt idx="134">
                  <c:v>1.7734629600634553E-3</c:v>
                </c:pt>
                <c:pt idx="135">
                  <c:v>1.7034998147967943E-3</c:v>
                </c:pt>
                <c:pt idx="136">
                  <c:v>1.6406503884581264E-3</c:v>
                </c:pt>
                <c:pt idx="137">
                  <c:v>1.5849080967564688E-3</c:v>
                </c:pt>
                <c:pt idx="138">
                  <c:v>1.5362659821459902E-3</c:v>
                </c:pt>
                <c:pt idx="139">
                  <c:v>1.4947166982850963E-3</c:v>
                </c:pt>
                <c:pt idx="140">
                  <c:v>1.4602524944074015E-3</c:v>
                </c:pt>
                <c:pt idx="141">
                  <c:v>1.431595599831722E-3</c:v>
                </c:pt>
                <c:pt idx="142">
                  <c:v>1.4030988446902483E-3</c:v>
                </c:pt>
                <c:pt idx="143">
                  <c:v>1.3747569637283233E-3</c:v>
                </c:pt>
                <c:pt idx="144">
                  <c:v>1.3465733145515233E-3</c:v>
                </c:pt>
                <c:pt idx="145">
                  <c:v>1.3185510872631811E-3</c:v>
                </c:pt>
                <c:pt idx="146">
                  <c:v>1.2906933065812767E-3</c:v>
                </c:pt>
                <c:pt idx="147">
                  <c:v>1.2630028340008715E-3</c:v>
                </c:pt>
                <c:pt idx="148">
                  <c:v>1.2354823699240339E-3</c:v>
                </c:pt>
                <c:pt idx="149">
                  <c:v>1.2115517037606237E-3</c:v>
                </c:pt>
                <c:pt idx="150">
                  <c:v>1.1897850418892606E-3</c:v>
                </c:pt>
                <c:pt idx="151">
                  <c:v>1.1701809443296655E-3</c:v>
                </c:pt>
                <c:pt idx="152">
                  <c:v>1.1527377261942541E-3</c:v>
                </c:pt>
                <c:pt idx="153">
                  <c:v>1.1374534867186622E-3</c:v>
                </c:pt>
                <c:pt idx="154">
                  <c:v>1.1243261382988495E-3</c:v>
                </c:pt>
                <c:pt idx="155">
                  <c:v>1.1131995946664448E-3</c:v>
                </c:pt>
                <c:pt idx="156">
                  <c:v>1.105330750062095E-3</c:v>
                </c:pt>
                <c:pt idx="157">
                  <c:v>1.1007150319637716E-3</c:v>
                </c:pt>
                <c:pt idx="158">
                  <c:v>1.0993477885366449E-3</c:v>
                </c:pt>
                <c:pt idx="159">
                  <c:v>1.1012243326322712E-3</c:v>
                </c:pt>
                <c:pt idx="160">
                  <c:v>1.106339985801364E-3</c:v>
                </c:pt>
                <c:pt idx="161">
                  <c:v>1.1146901222941119E-3</c:v>
                </c:pt>
                <c:pt idx="162">
                  <c:v>1.1262702130664319E-3</c:v>
                </c:pt>
                <c:pt idx="163">
                  <c:v>1.1401033219539717E-3</c:v>
                </c:pt>
                <c:pt idx="164">
                  <c:v>1.1528014715306569E-3</c:v>
                </c:pt>
                <c:pt idx="165">
                  <c:v>1.1643686080957424E-3</c:v>
                </c:pt>
                <c:pt idx="166">
                  <c:v>1.1748086915062221E-3</c:v>
                </c:pt>
                <c:pt idx="167">
                  <c:v>1.1841256798448482E-3</c:v>
                </c:pt>
                <c:pt idx="168">
                  <c:v>1.1923235141253509E-3</c:v>
                </c:pt>
                <c:pt idx="169">
                  <c:v>1.1984370001614296E-3</c:v>
                </c:pt>
                <c:pt idx="170">
                  <c:v>1.2026240300440152E-3</c:v>
                </c:pt>
                <c:pt idx="171">
                  <c:v>1.2048896535236172E-3</c:v>
                </c:pt>
                <c:pt idx="172">
                  <c:v>1.2052387488786045E-3</c:v>
                </c:pt>
                <c:pt idx="173">
                  <c:v>1.2036636876373288E-3</c:v>
                </c:pt>
                <c:pt idx="174">
                  <c:v>1.2001561093678741E-3</c:v>
                </c:pt>
                <c:pt idx="175">
                  <c:v>1.1947196471493639E-3</c:v>
                </c:pt>
                <c:pt idx="176">
                  <c:v>1.1873579213294962E-3</c:v>
                </c:pt>
                <c:pt idx="177">
                  <c:v>1.1779226307556808E-3</c:v>
                </c:pt>
                <c:pt idx="178">
                  <c:v>1.1673822048727789E-3</c:v>
                </c:pt>
                <c:pt idx="179">
                  <c:v>1.1557389403147684E-3</c:v>
                </c:pt>
                <c:pt idx="180">
                  <c:v>1.1429950911663121E-3</c:v>
                </c:pt>
                <c:pt idx="181">
                  <c:v>1.1291528623989084E-3</c:v>
                </c:pt>
                <c:pt idx="182">
                  <c:v>1.114214403317231E-3</c:v>
                </c:pt>
                <c:pt idx="183">
                  <c:v>1.1015336620218486E-3</c:v>
                </c:pt>
                <c:pt idx="184">
                  <c:v>1.0920696637517708E-3</c:v>
                </c:pt>
                <c:pt idx="185">
                  <c:v>1.0858183100859098E-3</c:v>
                </c:pt>
                <c:pt idx="186">
                  <c:v>1.0827756044815367E-3</c:v>
                </c:pt>
                <c:pt idx="187">
                  <c:v>1.0829376711224839E-3</c:v>
                </c:pt>
                <c:pt idx="188">
                  <c:v>1.0863007737734248E-3</c:v>
                </c:pt>
                <c:pt idx="189">
                  <c:v>1.092861334601126E-3</c:v>
                </c:pt>
                <c:pt idx="190">
                  <c:v>1.1026159530419654E-3</c:v>
                </c:pt>
                <c:pt idx="191">
                  <c:v>1.114325727989937E-3</c:v>
                </c:pt>
                <c:pt idx="192">
                  <c:v>1.1281400401290207E-3</c:v>
                </c:pt>
                <c:pt idx="193">
                  <c:v>1.1440574020969985E-3</c:v>
                </c:pt>
                <c:pt idx="194">
                  <c:v>1.1620765010720232E-3</c:v>
                </c:pt>
                <c:pt idx="195">
                  <c:v>1.1821962112312458E-3</c:v>
                </c:pt>
                <c:pt idx="196">
                  <c:v>1.2044156061656259E-3</c:v>
                </c:pt>
                <c:pt idx="197">
                  <c:v>1.2301215097962636E-3</c:v>
                </c:pt>
                <c:pt idx="198">
                  <c:v>1.2559810997297145E-3</c:v>
                </c:pt>
                <c:pt idx="199">
                  <c:v>1.2819960777789713E-3</c:v>
                </c:pt>
                <c:pt idx="200">
                  <c:v>1.3081682217140553E-3</c:v>
                </c:pt>
                <c:pt idx="201">
                  <c:v>1.3344993861665528E-3</c:v>
                </c:pt>
                <c:pt idx="202">
                  <c:v>1.3609915035405218E-3</c:v>
                </c:pt>
                <c:pt idx="203">
                  <c:v>1.3876465849536963E-3</c:v>
                </c:pt>
                <c:pt idx="204">
                  <c:v>1.4144644370080834E-3</c:v>
                </c:pt>
                <c:pt idx="205">
                  <c:v>1.446903339479015E-3</c:v>
                </c:pt>
                <c:pt idx="206">
                  <c:v>1.4861901151597854E-3</c:v>
                </c:pt>
                <c:pt idx="207">
                  <c:v>1.5323214922115117E-3</c:v>
                </c:pt>
                <c:pt idx="208">
                  <c:v>1.5852947070239332E-3</c:v>
                </c:pt>
                <c:pt idx="209">
                  <c:v>1.645107482968429E-3</c:v>
                </c:pt>
                <c:pt idx="210">
                  <c:v>1.7117580092038558E-3</c:v>
                </c:pt>
                <c:pt idx="211">
                  <c:v>1.7842345988788634E-3</c:v>
                </c:pt>
                <c:pt idx="212">
                  <c:v>1.8611540822941236E-3</c:v>
                </c:pt>
                <c:pt idx="213">
                  <c:v>1.9425168021441658E-3</c:v>
                </c:pt>
                <c:pt idx="214">
                  <c:v>2.0283233178366939E-3</c:v>
                </c:pt>
                <c:pt idx="215">
                  <c:v>2.1185743917016601E-3</c:v>
                </c:pt>
                <c:pt idx="216">
                  <c:v>2.2132709751939384E-3</c:v>
                </c:pt>
                <c:pt idx="217">
                  <c:v>2.3124141951046066E-3</c:v>
                </c:pt>
                <c:pt idx="218">
                  <c:v>2.4160053397607787E-3</c:v>
                </c:pt>
                <c:pt idx="219">
                  <c:v>2.5225147783944544E-3</c:v>
                </c:pt>
                <c:pt idx="220">
                  <c:v>2.6264956046447539E-3</c:v>
                </c:pt>
                <c:pt idx="221">
                  <c:v>2.7279504007284008E-3</c:v>
                </c:pt>
                <c:pt idx="222">
                  <c:v>2.8268814784201436E-3</c:v>
                </c:pt>
                <c:pt idx="223">
                  <c:v>2.9232908869940705E-3</c:v>
                </c:pt>
                <c:pt idx="224">
                  <c:v>3.0171804211017593E-3</c:v>
                </c:pt>
                <c:pt idx="225">
                  <c:v>3.1286934123955137E-3</c:v>
                </c:pt>
                <c:pt idx="226">
                  <c:v>3.2588403283000484E-3</c:v>
                </c:pt>
                <c:pt idx="227">
                  <c:v>3.4076230127892807E-3</c:v>
                </c:pt>
                <c:pt idx="228">
                  <c:v>3.5750439727484443E-3</c:v>
                </c:pt>
                <c:pt idx="229">
                  <c:v>3.761106320088779E-3</c:v>
                </c:pt>
                <c:pt idx="230">
                  <c:v>3.9658137139128814E-3</c:v>
                </c:pt>
                <c:pt idx="231">
                  <c:v>4.1891703026986065E-3</c:v>
                </c:pt>
                <c:pt idx="232">
                  <c:v>4.4311806663989376E-3</c:v>
                </c:pt>
                <c:pt idx="233">
                  <c:v>4.8388316081786377E-3</c:v>
                </c:pt>
                <c:pt idx="234">
                  <c:v>5.4136809629862061E-3</c:v>
                </c:pt>
                <c:pt idx="235">
                  <c:v>6.1557653351770368E-3</c:v>
                </c:pt>
                <c:pt idx="236">
                  <c:v>7.0651307553424823E-3</c:v>
                </c:pt>
                <c:pt idx="237">
                  <c:v>8.1418273659434031E-3</c:v>
                </c:pt>
                <c:pt idx="238">
                  <c:v>9.3859128354752078E-3</c:v>
                </c:pt>
                <c:pt idx="239">
                  <c:v>1.1152047552946253E-2</c:v>
                </c:pt>
                <c:pt idx="240">
                  <c:v>1.3420245279071059E-2</c:v>
                </c:pt>
                <c:pt idx="241">
                  <c:v>1.6190693190763342E-2</c:v>
                </c:pt>
                <c:pt idx="242">
                  <c:v>1.9463602845071575E-2</c:v>
                </c:pt>
                <c:pt idx="243">
                  <c:v>2.3239211064551679E-2</c:v>
                </c:pt>
                <c:pt idx="244">
                  <c:v>2.7517780822662916E-2</c:v>
                </c:pt>
                <c:pt idx="245">
                  <c:v>3.2299602128938731E-2</c:v>
                </c:pt>
                <c:pt idx="246">
                  <c:v>3.7584992913919563E-2</c:v>
                </c:pt>
                <c:pt idx="247">
                  <c:v>4.3875388239154052E-2</c:v>
                </c:pt>
                <c:pt idx="248">
                  <c:v>5.1024197173312087E-2</c:v>
                </c:pt>
                <c:pt idx="249">
                  <c:v>5.9032013320404739E-2</c:v>
                </c:pt>
                <c:pt idx="250">
                  <c:v>6.7899481400935366E-2</c:v>
                </c:pt>
                <c:pt idx="251">
                  <c:v>7.7627298762617772E-2</c:v>
                </c:pt>
                <c:pt idx="252">
                  <c:v>8.8216216888841639E-2</c:v>
                </c:pt>
                <c:pt idx="253">
                  <c:v>0.10011901017912685</c:v>
                </c:pt>
                <c:pt idx="254">
                  <c:v>0.11298144964501472</c:v>
                </c:pt>
                <c:pt idx="255">
                  <c:v>0.12680453555829643</c:v>
                </c:pt>
                <c:pt idx="256">
                  <c:v>0.14158933456163841</c:v>
                </c:pt>
                <c:pt idx="257">
                  <c:v>0.15733698134705146</c:v>
                </c:pt>
                <c:pt idx="258">
                  <c:v>0.17404868033523838</c:v>
                </c:pt>
                <c:pt idx="259">
                  <c:v>0.19172570735763544</c:v>
                </c:pt>
                <c:pt idx="260">
                  <c:v>0.21036941133364462</c:v>
                </c:pt>
                <c:pt idx="261">
                  <c:v>0.23017462551913193</c:v>
                </c:pt>
                <c:pt idx="262">
                  <c:v>0.25064026411226437</c:v>
                </c:pt>
                <c:pt idx="263">
                  <c:v>0.27176762858009634</c:v>
                </c:pt>
                <c:pt idx="264">
                  <c:v>0.29355809304923869</c:v>
                </c:pt>
                <c:pt idx="265">
                  <c:v>0.31601478902472036</c:v>
                </c:pt>
                <c:pt idx="266">
                  <c:v>0.33914051701029185</c:v>
                </c:pt>
                <c:pt idx="267">
                  <c:v>0.36277894323975157</c:v>
                </c:pt>
                <c:pt idx="268">
                  <c:v>0.38647759690014311</c:v>
                </c:pt>
                <c:pt idx="269">
                  <c:v>0.41023733132031587</c:v>
                </c:pt>
                <c:pt idx="270">
                  <c:v>0.434058899584224</c:v>
                </c:pt>
                <c:pt idx="271">
                  <c:v>0.45794295412898578</c:v>
                </c:pt>
                <c:pt idx="272">
                  <c:v>0.48189004635328797</c:v>
                </c:pt>
                <c:pt idx="273">
                  <c:v>0.50590062622037235</c:v>
                </c:pt>
                <c:pt idx="274">
                  <c:v>0.52997504186712674</c:v>
                </c:pt>
                <c:pt idx="275">
                  <c:v>0.55370394374207821</c:v>
                </c:pt>
                <c:pt idx="276">
                  <c:v>0.57689229792616947</c:v>
                </c:pt>
                <c:pt idx="277">
                  <c:v>0.59953922870825416</c:v>
                </c:pt>
                <c:pt idx="278">
                  <c:v>0.62164373399081851</c:v>
                </c:pt>
                <c:pt idx="279">
                  <c:v>0.64320469152557458</c:v>
                </c:pt>
                <c:pt idx="280">
                  <c:v>0.66422086515485101</c:v>
                </c:pt>
                <c:pt idx="281">
                  <c:v>0.68435629459794456</c:v>
                </c:pt>
                <c:pt idx="282">
                  <c:v>0.70376814353905559</c:v>
                </c:pt>
                <c:pt idx="283">
                  <c:v>0.72245459467405759</c:v>
                </c:pt>
                <c:pt idx="284">
                  <c:v>0.74041374293950724</c:v>
                </c:pt>
                <c:pt idx="285">
                  <c:v>0.75764360366945793</c:v>
                </c:pt>
                <c:pt idx="286">
                  <c:v>0.77414212075934707</c:v>
                </c:pt>
                <c:pt idx="287">
                  <c:v>0.78990717482269091</c:v>
                </c:pt>
                <c:pt idx="288">
                  <c:v>0.80493659135048778</c:v>
                </c:pt>
                <c:pt idx="289">
                  <c:v>0.81894762063103788</c:v>
                </c:pt>
                <c:pt idx="290">
                  <c:v>0.83235033765135791</c:v>
                </c:pt>
                <c:pt idx="291">
                  <c:v>0.84514265270269084</c:v>
                </c:pt>
                <c:pt idx="292">
                  <c:v>0.8573224481011017</c:v>
                </c:pt>
                <c:pt idx="293">
                  <c:v>0.86888758491067331</c:v>
                </c:pt>
                <c:pt idx="294">
                  <c:v>0.87983590966355252</c:v>
                </c:pt>
                <c:pt idx="295">
                  <c:v>0.88976898962307116</c:v>
                </c:pt>
                <c:pt idx="296">
                  <c:v>0.89903214673256904</c:v>
                </c:pt>
                <c:pt idx="297">
                  <c:v>0.90763111317201706</c:v>
                </c:pt>
                <c:pt idx="298">
                  <c:v>0.91556428118382527</c:v>
                </c:pt>
                <c:pt idx="299">
                  <c:v>0.92282999025180223</c:v>
                </c:pt>
                <c:pt idx="300">
                  <c:v>0.92942653336560044</c:v>
                </c:pt>
                <c:pt idx="301">
                  <c:v>0.93535216328239246</c:v>
                </c:pt>
                <c:pt idx="302">
                  <c:v>0.94060509879061149</c:v>
                </c:pt>
                <c:pt idx="303">
                  <c:v>0.94487350352817978</c:v>
                </c:pt>
                <c:pt idx="304">
                  <c:v>0.94843762252350905</c:v>
                </c:pt>
                <c:pt idx="305">
                  <c:v>0.95129557133359399</c:v>
                </c:pt>
                <c:pt idx="306">
                  <c:v>0.9534454579952979</c:v>
                </c:pt>
                <c:pt idx="307">
                  <c:v>0.95488538954451352</c:v>
                </c:pt>
                <c:pt idx="308">
                  <c:v>0.95561347852729794</c:v>
                </c:pt>
                <c:pt idx="309">
                  <c:v>0.95541090926117611</c:v>
                </c:pt>
                <c:pt idx="310">
                  <c:v>0.95467468093772867</c:v>
                </c:pt>
                <c:pt idx="311">
                  <c:v>0.95340321240559744</c:v>
                </c:pt>
                <c:pt idx="312">
                  <c:v>0.95159494719581927</c:v>
                </c:pt>
                <c:pt idx="313">
                  <c:v>0.94924835837192267</c:v>
                </c:pt>
                <c:pt idx="314">
                  <c:v>0.94636195337132056</c:v>
                </c:pt>
                <c:pt idx="315">
                  <c:v>0.94293427885864511</c:v>
                </c:pt>
                <c:pt idx="316">
                  <c:v>0.93896392556440256</c:v>
                </c:pt>
                <c:pt idx="317">
                  <c:v>0.93428848123320607</c:v>
                </c:pt>
                <c:pt idx="318">
                  <c:v>0.92921854878745336</c:v>
                </c:pt>
                <c:pt idx="319">
                  <c:v>0.92375305350766901</c:v>
                </c:pt>
                <c:pt idx="320">
                  <c:v>0.91789097172794221</c:v>
                </c:pt>
                <c:pt idx="321">
                  <c:v>0.91163133430372467</c:v>
                </c:pt>
                <c:pt idx="322">
                  <c:v>0.90497323008334873</c:v>
                </c:pt>
                <c:pt idx="323">
                  <c:v>0.89795689557475711</c:v>
                </c:pt>
                <c:pt idx="324">
                  <c:v>0.89079978119657766</c:v>
                </c:pt>
                <c:pt idx="325">
                  <c:v>0.8835013251077366</c:v>
                </c:pt>
                <c:pt idx="326">
                  <c:v>0.87605555940725033</c:v>
                </c:pt>
                <c:pt idx="327">
                  <c:v>0.86846035169300628</c:v>
                </c:pt>
                <c:pt idx="328">
                  <c:v>0.86071809682637657</c:v>
                </c:pt>
                <c:pt idx="329">
                  <c:v>0.85283114394529491</c:v>
                </c:pt>
                <c:pt idx="330">
                  <c:v>0.84480179395089983</c:v>
                </c:pt>
                <c:pt idx="331">
                  <c:v>0.8368030091769505</c:v>
                </c:pt>
                <c:pt idx="332">
                  <c:v>0.82899869769781021</c:v>
                </c:pt>
                <c:pt idx="333">
                  <c:v>0.82139107311278026</c:v>
                </c:pt>
                <c:pt idx="334">
                  <c:v>0.81398226311978916</c:v>
                </c:pt>
                <c:pt idx="335">
                  <c:v>0.8067743139292658</c:v>
                </c:pt>
                <c:pt idx="336">
                  <c:v>0.79976919466712082</c:v>
                </c:pt>
                <c:pt idx="337">
                  <c:v>0.79314599156964105</c:v>
                </c:pt>
                <c:pt idx="338">
                  <c:v>0.78686537915021604</c:v>
                </c:pt>
                <c:pt idx="339">
                  <c:v>0.78092912969207839</c:v>
                </c:pt>
                <c:pt idx="340">
                  <c:v>0.77533895578790923</c:v>
                </c:pt>
                <c:pt idx="341">
                  <c:v>0.77009651757821651</c:v>
                </c:pt>
                <c:pt idx="342">
                  <c:v>0.76520342998897528</c:v>
                </c:pt>
                <c:pt idx="343">
                  <c:v>0.76066126996000905</c:v>
                </c:pt>
                <c:pt idx="344">
                  <c:v>0.75647158368549572</c:v>
                </c:pt>
                <c:pt idx="345">
                  <c:v>0.75263589384634966</c:v>
                </c:pt>
                <c:pt idx="346">
                  <c:v>0.74917190916385934</c:v>
                </c:pt>
                <c:pt idx="347">
                  <c:v>0.74608113022802691</c:v>
                </c:pt>
                <c:pt idx="348">
                  <c:v>0.74336505723919255</c:v>
                </c:pt>
                <c:pt idx="349">
                  <c:v>0.74102519757381569</c:v>
                </c:pt>
                <c:pt idx="350">
                  <c:v>0.73906307336767973</c:v>
                </c:pt>
                <c:pt idx="351">
                  <c:v>0.73766735035165787</c:v>
                </c:pt>
                <c:pt idx="352">
                  <c:v>0.73666233537665871</c:v>
                </c:pt>
                <c:pt idx="353">
                  <c:v>0.73604965966945146</c:v>
                </c:pt>
                <c:pt idx="354">
                  <c:v>0.7358310026550261</c:v>
                </c:pt>
                <c:pt idx="355">
                  <c:v>0.7360080996952495</c:v>
                </c:pt>
                <c:pt idx="356">
                  <c:v>0.73658325888609222</c:v>
                </c:pt>
                <c:pt idx="357">
                  <c:v>0.73755670926671535</c:v>
                </c:pt>
                <c:pt idx="358">
                  <c:v>0.73892697129206608</c:v>
                </c:pt>
                <c:pt idx="359">
                  <c:v>0.74069262120588519</c:v>
                </c:pt>
                <c:pt idx="360">
                  <c:v>0.7430300450827374</c:v>
                </c:pt>
                <c:pt idx="361">
                  <c:v>0.74575046176281323</c:v>
                </c:pt>
                <c:pt idx="362">
                  <c:v>0.74885255487046443</c:v>
                </c:pt>
                <c:pt idx="363">
                  <c:v>0.7523350226387957</c:v>
                </c:pt>
                <c:pt idx="364">
                  <c:v>0.75619656857256645</c:v>
                </c:pt>
                <c:pt idx="365">
                  <c:v>0.76043589210206308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0.81639443756274266</c:v>
                </c:pt>
                <c:pt idx="1">
                  <c:v>0.82096462173848839</c:v>
                </c:pt>
                <c:pt idx="2">
                  <c:v>0.82591730618394321</c:v>
                </c:pt>
                <c:pt idx="3">
                  <c:v>0.83125098860558977</c:v>
                </c:pt>
                <c:pt idx="4">
                  <c:v>0.83696412600520864</c:v>
                </c:pt>
                <c:pt idx="5">
                  <c:v>0.84305512514707115</c:v>
                </c:pt>
                <c:pt idx="6">
                  <c:v>0.84952233303590019</c:v>
                </c:pt>
                <c:pt idx="7">
                  <c:v>0.85636402737596695</c:v>
                </c:pt>
                <c:pt idx="8">
                  <c:v>0.863578407041798</c:v>
                </c:pt>
                <c:pt idx="9">
                  <c:v>0.87132357505858593</c:v>
                </c:pt>
                <c:pt idx="10">
                  <c:v>0.87941129969287923</c:v>
                </c:pt>
                <c:pt idx="11">
                  <c:v>0.88783944517189106</c:v>
                </c:pt>
                <c:pt idx="12">
                  <c:v>0.89660576022265059</c:v>
                </c:pt>
                <c:pt idx="13">
                  <c:v>0.90570786921346913</c:v>
                </c:pt>
                <c:pt idx="14">
                  <c:v>0.91514326327985052</c:v>
                </c:pt>
                <c:pt idx="15">
                  <c:v>0.92493944413427853</c:v>
                </c:pt>
                <c:pt idx="16">
                  <c:v>0.93490469388391695</c:v>
                </c:pt>
                <c:pt idx="17">
                  <c:v>0.94503592415743898</c:v>
                </c:pt>
                <c:pt idx="18">
                  <c:v>0.95532991057406491</c:v>
                </c:pt>
                <c:pt idx="19">
                  <c:v>0.96578867496299203</c:v>
                </c:pt>
                <c:pt idx="20">
                  <c:v>0.97641679070616261</c:v>
                </c:pt>
                <c:pt idx="21">
                  <c:v>0.98721477282203252</c:v>
                </c:pt>
                <c:pt idx="22">
                  <c:v>0.99818316090326997</c:v>
                </c:pt>
                <c:pt idx="23">
                  <c:v>1.0089857027292084</c:v>
                </c:pt>
                <c:pt idx="24">
                  <c:v>1.0194623058629675</c:v>
                </c:pt>
                <c:pt idx="25">
                  <c:v>1.0296135335270959</c:v>
                </c:pt>
                <c:pt idx="26">
                  <c:v>1.0394400364542777</c:v>
                </c:pt>
                <c:pt idx="27">
                  <c:v>1.048942549042998</c:v>
                </c:pt>
                <c:pt idx="28">
                  <c:v>1.058121885535463</c:v>
                </c:pt>
                <c:pt idx="29">
                  <c:v>1.0664560936425442</c:v>
                </c:pt>
                <c:pt idx="30">
                  <c:v>1.0739159696297698</c:v>
                </c:pt>
                <c:pt idx="31">
                  <c:v>1.0805026223696836</c:v>
                </c:pt>
                <c:pt idx="32">
                  <c:v>1.086217258978998</c:v>
                </c:pt>
                <c:pt idx="33">
                  <c:v>1.091061174068733</c:v>
                </c:pt>
                <c:pt idx="34">
                  <c:v>1.0950357389992751</c:v>
                </c:pt>
                <c:pt idx="35">
                  <c:v>1.0981423911346246</c:v>
                </c:pt>
                <c:pt idx="36">
                  <c:v>1.1003826230944014</c:v>
                </c:pt>
                <c:pt idx="37">
                  <c:v>1.1014379526306348</c:v>
                </c:pt>
                <c:pt idx="38">
                  <c:v>1.1016467313016489</c:v>
                </c:pt>
                <c:pt idx="39">
                  <c:v>1.1010105506974974</c:v>
                </c:pt>
                <c:pt idx="40">
                  <c:v>1.0995310129708347</c:v>
                </c:pt>
                <c:pt idx="41">
                  <c:v>1.0972097203048752</c:v>
                </c:pt>
                <c:pt idx="42">
                  <c:v>1.0940482643737124</c:v>
                </c:pt>
                <c:pt idx="43">
                  <c:v>1.0900106011515274</c:v>
                </c:pt>
                <c:pt idx="44">
                  <c:v>1.0856205655307989</c:v>
                </c:pt>
                <c:pt idx="45">
                  <c:v>1.080879544402201</c:v>
                </c:pt>
                <c:pt idx="46">
                  <c:v>1.0757888908531865</c:v>
                </c:pt>
                <c:pt idx="47">
                  <c:v>1.0703499197027935</c:v>
                </c:pt>
                <c:pt idx="48">
                  <c:v>1.0645639030222964</c:v>
                </c:pt>
                <c:pt idx="49">
                  <c:v>1.058432065665629</c:v>
                </c:pt>
                <c:pt idx="50">
                  <c:v>1.0519555807932484</c:v>
                </c:pt>
                <c:pt idx="51">
                  <c:v>1.0449881292541858</c:v>
                </c:pt>
                <c:pt idx="52">
                  <c:v>1.0378447780333306</c:v>
                </c:pt>
                <c:pt idx="53">
                  <c:v>1.0305198594835001</c:v>
                </c:pt>
                <c:pt idx="54">
                  <c:v>1.0230129269043557</c:v>
                </c:pt>
                <c:pt idx="55">
                  <c:v>1.0153235413750321</c:v>
                </c:pt>
                <c:pt idx="56">
                  <c:v>1.0074512724383202</c:v>
                </c:pt>
                <c:pt idx="57">
                  <c:v>0.99868737193493773</c:v>
                </c:pt>
                <c:pt idx="58">
                  <c:v>0.98906901556160809</c:v>
                </c:pt>
                <c:pt idx="59">
                  <c:v>0.97859578746407327</c:v>
                </c:pt>
                <c:pt idx="60">
                  <c:v>0.96726728141143925</c:v>
                </c:pt>
                <c:pt idx="61">
                  <c:v>0.95508310396249563</c:v>
                </c:pt>
                <c:pt idx="62">
                  <c:v>0.94204287763059391</c:v>
                </c:pt>
                <c:pt idx="63">
                  <c:v>0.92814624405140389</c:v>
                </c:pt>
                <c:pt idx="64">
                  <c:v>0.91339286714687373</c:v>
                </c:pt>
                <c:pt idx="65">
                  <c:v>0.89698471286239156</c:v>
                </c:pt>
                <c:pt idx="66">
                  <c:v>0.8790689342144834</c:v>
                </c:pt>
                <c:pt idx="67">
                  <c:v>0.85964528330384271</c:v>
                </c:pt>
                <c:pt idx="68">
                  <c:v>0.83871355736509179</c:v>
                </c:pt>
                <c:pt idx="69">
                  <c:v>0.81627360433562179</c:v>
                </c:pt>
                <c:pt idx="70">
                  <c:v>0.79232532842854708</c:v>
                </c:pt>
                <c:pt idx="71">
                  <c:v>0.76680816906458882</c:v>
                </c:pt>
                <c:pt idx="72">
                  <c:v>0.74043050227017548</c:v>
                </c:pt>
                <c:pt idx="73">
                  <c:v>0.7131923998906502</c:v>
                </c:pt>
                <c:pt idx="74">
                  <c:v>0.68509399482812039</c:v>
                </c:pt>
                <c:pt idx="75">
                  <c:v>0.65613548421758616</c:v>
                </c:pt>
                <c:pt idx="76">
                  <c:v>0.62631713260085986</c:v>
                </c:pt>
                <c:pt idx="77">
                  <c:v>0.59563927510270898</c:v>
                </c:pt>
                <c:pt idx="78">
                  <c:v>0.564102339333591</c:v>
                </c:pt>
                <c:pt idx="79">
                  <c:v>0.53227016811710659</c:v>
                </c:pt>
                <c:pt idx="80">
                  <c:v>0.50094169143421186</c:v>
                </c:pt>
                <c:pt idx="81">
                  <c:v>0.47011669319617516</c:v>
                </c:pt>
                <c:pt idx="82">
                  <c:v>0.43979499598030164</c:v>
                </c:pt>
                <c:pt idx="83">
                  <c:v>0.409976459425416</c:v>
                </c:pt>
                <c:pt idx="84">
                  <c:v>0.38066097862876841</c:v>
                </c:pt>
                <c:pt idx="85">
                  <c:v>0.35239150423230908</c:v>
                </c:pt>
                <c:pt idx="86">
                  <c:v>0.32522840010296644</c:v>
                </c:pt>
                <c:pt idx="87">
                  <c:v>0.29917155231546994</c:v>
                </c:pt>
                <c:pt idx="88">
                  <c:v>0.274220865810129</c:v>
                </c:pt>
                <c:pt idx="89">
                  <c:v>0.25037626085502368</c:v>
                </c:pt>
                <c:pt idx="90">
                  <c:v>0.22763766950765021</c:v>
                </c:pt>
                <c:pt idx="91">
                  <c:v>0.2060050320775583</c:v>
                </c:pt>
                <c:pt idx="92">
                  <c:v>0.18547829358819792</c:v>
                </c:pt>
                <c:pt idx="93">
                  <c:v>0.1666326017992685</c:v>
                </c:pt>
                <c:pt idx="94">
                  <c:v>0.14890698774293412</c:v>
                </c:pt>
                <c:pt idx="95">
                  <c:v>0.13230137723990068</c:v>
                </c:pt>
                <c:pt idx="96">
                  <c:v>0.11681568548728978</c:v>
                </c:pt>
                <c:pt idx="97">
                  <c:v>0.10244981347538989</c:v>
                </c:pt>
                <c:pt idx="98">
                  <c:v>8.9203644403109628E-2</c:v>
                </c:pt>
                <c:pt idx="99">
                  <c:v>7.7503319698921561E-2</c:v>
                </c:pt>
                <c:pt idx="100">
                  <c:v>6.680615727912477E-2</c:v>
                </c:pt>
                <c:pt idx="101">
                  <c:v>5.7111999394609252E-2</c:v>
                </c:pt>
                <c:pt idx="102">
                  <c:v>4.8420660578132657E-2</c:v>
                </c:pt>
                <c:pt idx="103">
                  <c:v>4.0731924432298346E-2</c:v>
                </c:pt>
                <c:pt idx="104">
                  <c:v>3.4045540418779378E-2</c:v>
                </c:pt>
                <c:pt idx="105">
                  <c:v>2.8361220646371938E-2</c:v>
                </c:pt>
                <c:pt idx="106">
                  <c:v>2.3678636659662092E-2</c:v>
                </c:pt>
                <c:pt idx="107">
                  <c:v>2.006546713517153E-2</c:v>
                </c:pt>
                <c:pt idx="108">
                  <c:v>1.6947135113666665E-2</c:v>
                </c:pt>
                <c:pt idx="109">
                  <c:v>1.4323455325321456E-2</c:v>
                </c:pt>
                <c:pt idx="110">
                  <c:v>1.219425315752895E-2</c:v>
                </c:pt>
                <c:pt idx="111">
                  <c:v>1.0559310461696536E-2</c:v>
                </c:pt>
                <c:pt idx="112">
                  <c:v>9.4183504762893663E-3</c:v>
                </c:pt>
                <c:pt idx="113">
                  <c:v>8.7665446821531112E-3</c:v>
                </c:pt>
                <c:pt idx="114">
                  <c:v>8.1783881802401388E-3</c:v>
                </c:pt>
                <c:pt idx="115">
                  <c:v>7.6538472525037905E-3</c:v>
                </c:pt>
                <c:pt idx="116">
                  <c:v>7.1928867142842115E-3</c:v>
                </c:pt>
                <c:pt idx="117">
                  <c:v>6.7954697756817421E-3</c:v>
                </c:pt>
                <c:pt idx="118">
                  <c:v>6.4615579028456391E-3</c:v>
                </c:pt>
                <c:pt idx="119">
                  <c:v>6.1911106792875321E-3</c:v>
                </c:pt>
                <c:pt idx="120">
                  <c:v>5.9840856671849567E-3</c:v>
                </c:pt>
                <c:pt idx="121">
                  <c:v>5.8373116499124368E-3</c:v>
                </c:pt>
                <c:pt idx="122">
                  <c:v>5.6829177844353188E-3</c:v>
                </c:pt>
                <c:pt idx="123">
                  <c:v>5.5209119265392133E-3</c:v>
                </c:pt>
                <c:pt idx="124">
                  <c:v>5.3513023858997484E-3</c:v>
                </c:pt>
                <c:pt idx="125">
                  <c:v>5.1740979429035399E-3</c:v>
                </c:pt>
                <c:pt idx="126">
                  <c:v>4.9893078653908277E-3</c:v>
                </c:pt>
                <c:pt idx="127">
                  <c:v>4.8065356902492811E-3</c:v>
                </c:pt>
                <c:pt idx="128">
                  <c:v>4.630305167359094E-3</c:v>
                </c:pt>
                <c:pt idx="129">
                  <c:v>4.4606135597536458E-3</c:v>
                </c:pt>
                <c:pt idx="130">
                  <c:v>4.2974579619441348E-3</c:v>
                </c:pt>
                <c:pt idx="131">
                  <c:v>4.1408352856677827E-3</c:v>
                </c:pt>
                <c:pt idx="132">
                  <c:v>3.9907422456847532E-3</c:v>
                </c:pt>
                <c:pt idx="133">
                  <c:v>3.8471753455996613E-3</c:v>
                </c:pt>
                <c:pt idx="134">
                  <c:v>3.7101308636591401E-3</c:v>
                </c:pt>
                <c:pt idx="135">
                  <c:v>3.5813982910559254E-3</c:v>
                </c:pt>
                <c:pt idx="136">
                  <c:v>3.4640831561351861E-3</c:v>
                </c:pt>
                <c:pt idx="137">
                  <c:v>3.3581751893776175E-3</c:v>
                </c:pt>
                <c:pt idx="138">
                  <c:v>3.2636635366096907E-3</c:v>
                </c:pt>
                <c:pt idx="139">
                  <c:v>3.1805367340888625E-3</c:v>
                </c:pt>
                <c:pt idx="140">
                  <c:v>3.1087826834018581E-3</c:v>
                </c:pt>
                <c:pt idx="141">
                  <c:v>3.0470402777677363E-3</c:v>
                </c:pt>
                <c:pt idx="142">
                  <c:v>2.9857410197474924E-3</c:v>
                </c:pt>
                <c:pt idx="143">
                  <c:v>2.9248736033981337E-3</c:v>
                </c:pt>
                <c:pt idx="144">
                  <c:v>2.8644450641705996E-3</c:v>
                </c:pt>
                <c:pt idx="145">
                  <c:v>2.8044620661638714E-3</c:v>
                </c:pt>
                <c:pt idx="146">
                  <c:v>2.7449309079964584E-3</c:v>
                </c:pt>
                <c:pt idx="147">
                  <c:v>2.6858575287747421E-3</c:v>
                </c:pt>
                <c:pt idx="148">
                  <c:v>2.6272475139921931E-3</c:v>
                </c:pt>
                <c:pt idx="149">
                  <c:v>2.5756969311557334E-3</c:v>
                </c:pt>
                <c:pt idx="150">
                  <c:v>2.5294184303733609E-3</c:v>
                </c:pt>
                <c:pt idx="151">
                  <c:v>2.4884077742460104E-3</c:v>
                </c:pt>
                <c:pt idx="152">
                  <c:v>2.4526601637820406E-3</c:v>
                </c:pt>
                <c:pt idx="153">
                  <c:v>2.4221703091660378E-3</c:v>
                </c:pt>
                <c:pt idx="154">
                  <c:v>2.3969325005415705E-3</c:v>
                </c:pt>
                <c:pt idx="155">
                  <c:v>2.3763083095988745E-3</c:v>
                </c:pt>
                <c:pt idx="156">
                  <c:v>2.3616296620428291E-3</c:v>
                </c:pt>
                <c:pt idx="157">
                  <c:v>2.3528886777881529E-3</c:v>
                </c:pt>
                <c:pt idx="158">
                  <c:v>2.3500773314406782E-3</c:v>
                </c:pt>
                <c:pt idx="159">
                  <c:v>2.3531875326136598E-3</c:v>
                </c:pt>
                <c:pt idx="160">
                  <c:v>2.3622112062731131E-3</c:v>
                </c:pt>
                <c:pt idx="161">
                  <c:v>2.3771403730565286E-3</c:v>
                </c:pt>
                <c:pt idx="162">
                  <c:v>2.3979672296042813E-3</c:v>
                </c:pt>
                <c:pt idx="163">
                  <c:v>2.423055274262946E-3</c:v>
                </c:pt>
                <c:pt idx="164">
                  <c:v>2.4458705724884049E-3</c:v>
                </c:pt>
                <c:pt idx="165">
                  <c:v>2.4664211649237156E-3</c:v>
                </c:pt>
                <c:pt idx="166">
                  <c:v>2.4847151053884898E-3</c:v>
                </c:pt>
                <c:pt idx="167">
                  <c:v>2.5007604301187218E-3</c:v>
                </c:pt>
                <c:pt idx="168">
                  <c:v>2.514565127085418E-3</c:v>
                </c:pt>
                <c:pt idx="169">
                  <c:v>2.5245139208178681E-3</c:v>
                </c:pt>
                <c:pt idx="170">
                  <c:v>2.5312438869890944E-3</c:v>
                </c:pt>
                <c:pt idx="171">
                  <c:v>2.534764189746143E-3</c:v>
                </c:pt>
                <c:pt idx="172">
                  <c:v>2.5350837060325458E-3</c:v>
                </c:pt>
                <c:pt idx="173">
                  <c:v>2.5321850868238738E-3</c:v>
                </c:pt>
                <c:pt idx="174">
                  <c:v>2.5260494879341972E-3</c:v>
                </c:pt>
                <c:pt idx="175">
                  <c:v>2.5166832969083183E-3</c:v>
                </c:pt>
                <c:pt idx="176">
                  <c:v>2.5040928799714103E-3</c:v>
                </c:pt>
                <c:pt idx="177">
                  <c:v>2.4876601824234718E-3</c:v>
                </c:pt>
                <c:pt idx="178">
                  <c:v>2.4690081195179441E-3</c:v>
                </c:pt>
                <c:pt idx="179">
                  <c:v>2.4481413907068007E-3</c:v>
                </c:pt>
                <c:pt idx="180">
                  <c:v>2.4250646160873146E-3</c:v>
                </c:pt>
                <c:pt idx="181">
                  <c:v>2.3997823232333637E-3</c:v>
                </c:pt>
                <c:pt idx="182">
                  <c:v>2.3722989340482646E-3</c:v>
                </c:pt>
                <c:pt idx="183">
                  <c:v>2.349083469838129E-3</c:v>
                </c:pt>
                <c:pt idx="184">
                  <c:v>2.3317418070872395E-3</c:v>
                </c:pt>
                <c:pt idx="185">
                  <c:v>2.320266665258136E-3</c:v>
                </c:pt>
                <c:pt idx="186">
                  <c:v>2.3146509500111823E-3</c:v>
                </c:pt>
                <c:pt idx="187">
                  <c:v>2.3148877876124317E-3</c:v>
                </c:pt>
                <c:pt idx="188">
                  <c:v>2.3209705593545426E-3</c:v>
                </c:pt>
                <c:pt idx="189">
                  <c:v>2.3328929359070784E-3</c:v>
                </c:pt>
                <c:pt idx="190">
                  <c:v>2.3506489117656837E-3</c:v>
                </c:pt>
                <c:pt idx="191">
                  <c:v>2.3729204970511881E-3</c:v>
                </c:pt>
                <c:pt idx="192">
                  <c:v>2.4003240916968568E-3</c:v>
                </c:pt>
                <c:pt idx="193">
                  <c:v>2.4328556599361576E-3</c:v>
                </c:pt>
                <c:pt idx="194">
                  <c:v>2.4705115763162776E-3</c:v>
                </c:pt>
                <c:pt idx="195">
                  <c:v>2.5132886560604241E-3</c:v>
                </c:pt>
                <c:pt idx="196">
                  <c:v>2.5611841853369417E-3</c:v>
                </c:pt>
                <c:pt idx="197">
                  <c:v>2.615933257986472E-3</c:v>
                </c:pt>
                <c:pt idx="198">
                  <c:v>2.6711080958800766E-3</c:v>
                </c:pt>
                <c:pt idx="199">
                  <c:v>2.7267122251322935E-3</c:v>
                </c:pt>
                <c:pt idx="200">
                  <c:v>2.782749342572301E-3</c:v>
                </c:pt>
                <c:pt idx="201">
                  <c:v>2.8392233182540291E-3</c:v>
                </c:pt>
                <c:pt idx="202">
                  <c:v>2.8961381979797965E-3</c:v>
                </c:pt>
                <c:pt idx="203">
                  <c:v>2.9534982058884302E-3</c:v>
                </c:pt>
                <c:pt idx="204">
                  <c:v>3.0113028841926288E-3</c:v>
                </c:pt>
                <c:pt idx="205">
                  <c:v>3.0787969567535409E-3</c:v>
                </c:pt>
                <c:pt idx="206">
                  <c:v>3.1572817101249966E-3</c:v>
                </c:pt>
                <c:pt idx="207">
                  <c:v>3.2467523055915537E-3</c:v>
                </c:pt>
                <c:pt idx="208">
                  <c:v>3.3472047004924916E-3</c:v>
                </c:pt>
                <c:pt idx="209">
                  <c:v>3.4586356141220131E-3</c:v>
                </c:pt>
                <c:pt idx="210">
                  <c:v>3.5810424937410116E-3</c:v>
                </c:pt>
                <c:pt idx="211">
                  <c:v>3.7114181711339184E-3</c:v>
                </c:pt>
                <c:pt idx="212">
                  <c:v>3.8480315219442535E-3</c:v>
                </c:pt>
                <c:pt idx="213">
                  <c:v>3.9908836860548906E-3</c:v>
                </c:pt>
                <c:pt idx="214">
                  <c:v>4.1399760714000847E-3</c:v>
                </c:pt>
                <c:pt idx="215">
                  <c:v>4.2953103346266841E-3</c:v>
                </c:pt>
                <c:pt idx="216">
                  <c:v>4.4568883617419819E-3</c:v>
                </c:pt>
                <c:pt idx="217">
                  <c:v>4.6247122487788903E-3</c:v>
                </c:pt>
                <c:pt idx="218">
                  <c:v>4.7987842824377437E-3</c:v>
                </c:pt>
                <c:pt idx="219">
                  <c:v>4.9747549747104994E-3</c:v>
                </c:pt>
                <c:pt idx="220">
                  <c:v>5.1433985580653582E-3</c:v>
                </c:pt>
                <c:pt idx="221">
                  <c:v>5.3047194723137231E-3</c:v>
                </c:pt>
                <c:pt idx="222">
                  <c:v>5.4587215390939801E-3</c:v>
                </c:pt>
                <c:pt idx="223">
                  <c:v>5.6054079848181374E-3</c:v>
                </c:pt>
                <c:pt idx="224">
                  <c:v>5.7447814634944416E-3</c:v>
                </c:pt>
                <c:pt idx="225">
                  <c:v>5.9419910367699315E-3</c:v>
                </c:pt>
                <c:pt idx="226">
                  <c:v>6.2000400945756914E-3</c:v>
                </c:pt>
                <c:pt idx="227">
                  <c:v>6.5189321839489922E-3</c:v>
                </c:pt>
                <c:pt idx="228">
                  <c:v>6.8986732251705143E-3</c:v>
                </c:pt>
                <c:pt idx="229">
                  <c:v>7.3392713227247025E-3</c:v>
                </c:pt>
                <c:pt idx="230">
                  <c:v>7.8407365763556811E-3</c:v>
                </c:pt>
                <c:pt idx="231">
                  <c:v>8.4030808921613971E-3</c:v>
                </c:pt>
                <c:pt idx="232">
                  <c:v>9.0263177935222764E-3</c:v>
                </c:pt>
                <c:pt idx="233">
                  <c:v>1.0118159172658859E-2</c:v>
                </c:pt>
                <c:pt idx="234">
                  <c:v>1.1683032802868608E-2</c:v>
                </c:pt>
                <c:pt idx="235">
                  <c:v>1.3721039437236066E-2</c:v>
                </c:pt>
                <c:pt idx="236">
                  <c:v>1.6232305156394181E-2</c:v>
                </c:pt>
                <c:pt idx="237">
                  <c:v>1.9216969934245164E-2</c:v>
                </c:pt>
                <c:pt idx="238">
                  <c:v>2.2675194994903811E-2</c:v>
                </c:pt>
                <c:pt idx="239">
                  <c:v>2.7157192021807147E-2</c:v>
                </c:pt>
                <c:pt idx="240">
                  <c:v>3.2598125336555692E-2</c:v>
                </c:pt>
                <c:pt idx="241">
                  <c:v>3.8998378185212811E-2</c:v>
                </c:pt>
                <c:pt idx="242">
                  <c:v>4.6358381151280069E-2</c:v>
                </c:pt>
                <c:pt idx="243">
                  <c:v>5.4678613846396447E-2</c:v>
                </c:pt>
                <c:pt idx="244">
                  <c:v>6.3959606601077482E-2</c:v>
                </c:pt>
                <c:pt idx="245">
                  <c:v>7.4201942154916031E-2</c:v>
                </c:pt>
                <c:pt idx="246">
                  <c:v>8.5406257346260964E-2</c:v>
                </c:pt>
                <c:pt idx="247">
                  <c:v>9.8092719555649466E-2</c:v>
                </c:pt>
                <c:pt idx="248">
                  <c:v>0.11185401943854996</c:v>
                </c:pt>
                <c:pt idx="249">
                  <c:v>0.12669103460431599</c:v>
                </c:pt>
                <c:pt idx="250">
                  <c:v>0.14260470995499103</c:v>
                </c:pt>
                <c:pt idx="251">
                  <c:v>0.15959605957504239</c:v>
                </c:pt>
                <c:pt idx="252">
                  <c:v>0.17766616861617257</c:v>
                </c:pt>
                <c:pt idx="253">
                  <c:v>0.19735354109510181</c:v>
                </c:pt>
                <c:pt idx="254">
                  <c:v>0.2181085053357176</c:v>
                </c:pt>
                <c:pt idx="255">
                  <c:v>0.23993237796920844</c:v>
                </c:pt>
                <c:pt idx="256">
                  <c:v>0.26282655378190806</c:v>
                </c:pt>
                <c:pt idx="257">
                  <c:v>0.28679250757560654</c:v>
                </c:pt>
                <c:pt idx="258">
                  <c:v>0.311831796029649</c:v>
                </c:pt>
                <c:pt idx="259">
                  <c:v>0.33794605956779544</c:v>
                </c:pt>
                <c:pt idx="260">
                  <c:v>0.36513702421630034</c:v>
                </c:pt>
                <c:pt idx="261">
                  <c:v>0.39334845706084409</c:v>
                </c:pt>
                <c:pt idx="262">
                  <c:v>0.42206100544406105</c:v>
                </c:pt>
                <c:pt idx="263">
                  <c:v>0.45127613066170164</c:v>
                </c:pt>
                <c:pt idx="264">
                  <c:v>0.48099537007738813</c:v>
                </c:pt>
                <c:pt idx="265">
                  <c:v>0.51122306006601737</c:v>
                </c:pt>
                <c:pt idx="266">
                  <c:v>0.54196283089537955</c:v>
                </c:pt>
                <c:pt idx="267">
                  <c:v>0.5724498686227466</c:v>
                </c:pt>
                <c:pt idx="268">
                  <c:v>0.6021452348336489</c:v>
                </c:pt>
                <c:pt idx="269">
                  <c:v>0.63104884881649237</c:v>
                </c:pt>
                <c:pt idx="270">
                  <c:v>0.65916041883954291</c:v>
                </c:pt>
                <c:pt idx="271">
                  <c:v>0.68647945122481813</c:v>
                </c:pt>
                <c:pt idx="272">
                  <c:v>0.71300525943819082</c:v>
                </c:pt>
                <c:pt idx="273">
                  <c:v>0.7387369731712724</c:v>
                </c:pt>
                <c:pt idx="274">
                  <c:v>0.76367354743241123</c:v>
                </c:pt>
                <c:pt idx="275">
                  <c:v>0.78713069977558181</c:v>
                </c:pt>
                <c:pt idx="276">
                  <c:v>0.80916445000804005</c:v>
                </c:pt>
                <c:pt idx="277">
                  <c:v>0.8297723301340828</c:v>
                </c:pt>
                <c:pt idx="278">
                  <c:v>0.84895171118995039</c:v>
                </c:pt>
                <c:pt idx="279">
                  <c:v>0.8666998191853712</c:v>
                </c:pt>
                <c:pt idx="280">
                  <c:v>0.88301375105304425</c:v>
                </c:pt>
                <c:pt idx="281">
                  <c:v>0.89774787903209807</c:v>
                </c:pt>
                <c:pt idx="282">
                  <c:v>0.91167085753320576</c:v>
                </c:pt>
                <c:pt idx="283">
                  <c:v>0.92478047827198084</c:v>
                </c:pt>
                <c:pt idx="284">
                  <c:v>0.93707446922659499</c:v>
                </c:pt>
                <c:pt idx="285">
                  <c:v>0.94855050369482496</c:v>
                </c:pt>
                <c:pt idx="286">
                  <c:v>0.95920620936005341</c:v>
                </c:pt>
                <c:pt idx="287">
                  <c:v>0.96903917734807965</c:v>
                </c:pt>
                <c:pt idx="288">
                  <c:v>0.97804697128742379</c:v>
                </c:pt>
                <c:pt idx="289">
                  <c:v>0.98619061716746748</c:v>
                </c:pt>
                <c:pt idx="290">
                  <c:v>0.99415593835695004</c:v>
                </c:pt>
                <c:pt idx="291">
                  <c:v>1.0019414334176595</c:v>
                </c:pt>
                <c:pt idx="292">
                  <c:v>1.009545576696774</c:v>
                </c:pt>
                <c:pt idx="293">
                  <c:v>1.0169668202894215</c:v>
                </c:pt>
                <c:pt idx="294">
                  <c:v>1.0242035959974283</c:v>
                </c:pt>
                <c:pt idx="295">
                  <c:v>1.0309429963057479</c:v>
                </c:pt>
                <c:pt idx="296">
                  <c:v>1.0373392492051632</c:v>
                </c:pt>
                <c:pt idx="297">
                  <c:v>1.0433995337686472</c:v>
                </c:pt>
                <c:pt idx="298">
                  <c:v>1.0491225180518728</c:v>
                </c:pt>
                <c:pt idx="299">
                  <c:v>1.0545068379133915</c:v>
                </c:pt>
                <c:pt idx="300">
                  <c:v>1.0595511002329607</c:v>
                </c:pt>
                <c:pt idx="301">
                  <c:v>1.0642538861266904</c:v>
                </c:pt>
                <c:pt idx="302">
                  <c:v>1.068613754164552</c:v>
                </c:pt>
                <c:pt idx="303">
                  <c:v>1.0721187715577478</c:v>
                </c:pt>
                <c:pt idx="304">
                  <c:v>1.0748035098032671</c:v>
                </c:pt>
                <c:pt idx="305">
                  <c:v>1.0766658035783176</c:v>
                </c:pt>
                <c:pt idx="306">
                  <c:v>1.0777034841416564</c:v>
                </c:pt>
                <c:pt idx="307">
                  <c:v>1.0779143869135395</c:v>
                </c:pt>
                <c:pt idx="308">
                  <c:v>1.0772963590466094</c:v>
                </c:pt>
                <c:pt idx="309">
                  <c:v>1.0755174246220556</c:v>
                </c:pt>
                <c:pt idx="310">
                  <c:v>1.0728886438008536</c:v>
                </c:pt>
                <c:pt idx="311">
                  <c:v>1.069407928304279</c:v>
                </c:pt>
                <c:pt idx="312">
                  <c:v>1.0650732338026829</c:v>
                </c:pt>
                <c:pt idx="313">
                  <c:v>1.0598825676481036</c:v>
                </c:pt>
                <c:pt idx="314">
                  <c:v>1.0538339965971266</c:v>
                </c:pt>
                <c:pt idx="315">
                  <c:v>1.0469256545470877</c:v>
                </c:pt>
                <c:pt idx="316">
                  <c:v>1.0391557502558868</c:v>
                </c:pt>
                <c:pt idx="317">
                  <c:v>1.0305522491505756</c:v>
                </c:pt>
                <c:pt idx="318">
                  <c:v>1.0216274415333981</c:v>
                </c:pt>
                <c:pt idx="319">
                  <c:v>1.0123804063594701</c:v>
                </c:pt>
                <c:pt idx="320">
                  <c:v>1.0028102814944824</c:v>
                </c:pt>
                <c:pt idx="321">
                  <c:v>0.99291626647427556</c:v>
                </c:pt>
                <c:pt idx="322">
                  <c:v>0.98269762526840909</c:v>
                </c:pt>
                <c:pt idx="323">
                  <c:v>0.97231182946959949</c:v>
                </c:pt>
                <c:pt idx="324">
                  <c:v>0.96209017376764161</c:v>
                </c:pt>
                <c:pt idx="325">
                  <c:v>0.95203246128523189</c:v>
                </c:pt>
                <c:pt idx="326">
                  <c:v>0.9421326544844818</c:v>
                </c:pt>
                <c:pt idx="327">
                  <c:v>0.93238884336013594</c:v>
                </c:pt>
                <c:pt idx="328">
                  <c:v>0.92280393769996838</c:v>
                </c:pt>
                <c:pt idx="329">
                  <c:v>0.91338073474451864</c:v>
                </c:pt>
                <c:pt idx="330">
                  <c:v>0.9041219230938603</c:v>
                </c:pt>
                <c:pt idx="331">
                  <c:v>0.89521666081303908</c:v>
                </c:pt>
                <c:pt idx="332">
                  <c:v>0.8866376994263282</c:v>
                </c:pt>
                <c:pt idx="333">
                  <c:v>0.87838745399079288</c:v>
                </c:pt>
                <c:pt idx="334">
                  <c:v>0.870468234423878</c:v>
                </c:pt>
                <c:pt idx="335">
                  <c:v>0.86288225268645424</c:v>
                </c:pt>
                <c:pt idx="336">
                  <c:v>0.85563162995421305</c:v>
                </c:pt>
                <c:pt idx="337">
                  <c:v>0.84890298411040288</c:v>
                </c:pt>
                <c:pt idx="338">
                  <c:v>0.84253983276666722</c:v>
                </c:pt>
                <c:pt idx="339">
                  <c:v>0.83654406744968968</c:v>
                </c:pt>
                <c:pt idx="340">
                  <c:v>0.83091751881015252</c:v>
                </c:pt>
                <c:pt idx="341">
                  <c:v>0.82566196434494954</c:v>
                </c:pt>
                <c:pt idx="342">
                  <c:v>0.82077913611861375</c:v>
                </c:pt>
                <c:pt idx="343">
                  <c:v>0.81627072847481819</c:v>
                </c:pt>
                <c:pt idx="344">
                  <c:v>0.81213840576087415</c:v>
                </c:pt>
                <c:pt idx="345">
                  <c:v>0.80838381004351623</c:v>
                </c:pt>
                <c:pt idx="346">
                  <c:v>0.80500069668513241</c:v>
                </c:pt>
                <c:pt idx="347">
                  <c:v>0.80199068478108615</c:v>
                </c:pt>
                <c:pt idx="348">
                  <c:v>0.79935539362085795</c:v>
                </c:pt>
                <c:pt idx="349">
                  <c:v>0.79709645023653186</c:v>
                </c:pt>
                <c:pt idx="350">
                  <c:v>0.7952154969700248</c:v>
                </c:pt>
                <c:pt idx="351">
                  <c:v>0.79389311431409082</c:v>
                </c:pt>
                <c:pt idx="352">
                  <c:v>0.79294632892794736</c:v>
                </c:pt>
                <c:pt idx="353">
                  <c:v>0.79237688453193378</c:v>
                </c:pt>
                <c:pt idx="354">
                  <c:v>0.79218657093300904</c:v>
                </c:pt>
                <c:pt idx="355">
                  <c:v>0.7923772314196027</c:v>
                </c:pt>
                <c:pt idx="356">
                  <c:v>0.79295131817145259</c:v>
                </c:pt>
                <c:pt idx="357">
                  <c:v>0.79390903661470158</c:v>
                </c:pt>
                <c:pt idx="358">
                  <c:v>0.79524874485780295</c:v>
                </c:pt>
                <c:pt idx="359">
                  <c:v>0.79696885435005227</c:v>
                </c:pt>
                <c:pt idx="360">
                  <c:v>0.79925299880985878</c:v>
                </c:pt>
                <c:pt idx="361">
                  <c:v>0.80192046707077935</c:v>
                </c:pt>
                <c:pt idx="362">
                  <c:v>0.80496979342859787</c:v>
                </c:pt>
                <c:pt idx="363">
                  <c:v>0.80839952747399613</c:v>
                </c:pt>
                <c:pt idx="364">
                  <c:v>0.81220822477717258</c:v>
                </c:pt>
                <c:pt idx="365">
                  <c:v>0.81639443756274266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637272"/>
        <c:axId val="308636880"/>
      </c:lineChart>
      <c:dateAx>
        <c:axId val="308637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08636880"/>
        <c:crosses val="autoZero"/>
        <c:auto val="1"/>
        <c:lblOffset val="100"/>
        <c:baseTimeUnit val="days"/>
      </c:dateAx>
      <c:valAx>
        <c:axId val="30863688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086372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8637664"/>
        <c:axId val="245637352"/>
      </c:scatterChart>
      <c:valAx>
        <c:axId val="308637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637352"/>
        <c:crosses val="autoZero"/>
        <c:crossBetween val="midCat"/>
      </c:valAx>
      <c:valAx>
        <c:axId val="245637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0863766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13.392613598935561</c:v>
                </c:pt>
                <c:pt idx="1">
                  <c:v>13.53797340154134</c:v>
                </c:pt>
                <c:pt idx="2">
                  <c:v>13.689428560615614</c:v>
                </c:pt>
                <c:pt idx="3">
                  <c:v>13.846600307960962</c:v>
                </c:pt>
                <c:pt idx="4">
                  <c:v>14.009109876381938</c:v>
                </c:pt>
                <c:pt idx="5">
                  <c:v>14.176578499274008</c:v>
                </c:pt>
                <c:pt idx="6">
                  <c:v>14.34862740792591</c:v>
                </c:pt>
                <c:pt idx="7">
                  <c:v>14.524877838828953</c:v>
                </c:pt>
                <c:pt idx="8">
                  <c:v>14.706790043201224</c:v>
                </c:pt>
                <c:pt idx="9">
                  <c:v>14.895848395809843</c:v>
                </c:pt>
                <c:pt idx="10">
                  <c:v>15.09171030719838</c:v>
                </c:pt>
                <c:pt idx="11">
                  <c:v>15.294033187402073</c:v>
                </c:pt>
                <c:pt idx="12">
                  <c:v>15.502474445755837</c:v>
                </c:pt>
                <c:pt idx="13">
                  <c:v>15.716691494416079</c:v>
                </c:pt>
                <c:pt idx="14">
                  <c:v>15.936341741607237</c:v>
                </c:pt>
                <c:pt idx="15">
                  <c:v>16.161082599332254</c:v>
                </c:pt>
                <c:pt idx="16">
                  <c:v>16.390571477730518</c:v>
                </c:pt>
                <c:pt idx="17">
                  <c:v>16.624465785458629</c:v>
                </c:pt>
                <c:pt idx="18">
                  <c:v>16.862422934645476</c:v>
                </c:pt>
                <c:pt idx="19">
                  <c:v>17.104100334275458</c:v>
                </c:pt>
                <c:pt idx="20">
                  <c:v>17.349155396362541</c:v>
                </c:pt>
                <c:pt idx="21">
                  <c:v>17.597245529107749</c:v>
                </c:pt>
                <c:pt idx="22">
                  <c:v>17.850015206024651</c:v>
                </c:pt>
                <c:pt idx="23">
                  <c:v>18.10905103275519</c:v>
                </c:pt>
                <c:pt idx="24">
                  <c:v>18.37392362230624</c:v>
                </c:pt>
                <c:pt idx="25">
                  <c:v>18.644203584980485</c:v>
                </c:pt>
                <c:pt idx="26">
                  <c:v>18.919461531323446</c:v>
                </c:pt>
                <c:pt idx="27">
                  <c:v>19.199268074253013</c:v>
                </c:pt>
                <c:pt idx="28">
                  <c:v>19.48319382350892</c:v>
                </c:pt>
                <c:pt idx="29">
                  <c:v>19.770809391846079</c:v>
                </c:pt>
                <c:pt idx="30">
                  <c:v>20.061685389393823</c:v>
                </c:pt>
                <c:pt idx="31">
                  <c:v>20.355392428467582</c:v>
                </c:pt>
                <c:pt idx="32">
                  <c:v>20.65150111970101</c:v>
                </c:pt>
                <c:pt idx="33">
                  <c:v>20.949582074963423</c:v>
                </c:pt>
                <c:pt idx="34">
                  <c:v>21.249205905440611</c:v>
                </c:pt>
                <c:pt idx="35">
                  <c:v>21.54994322236162</c:v>
                </c:pt>
                <c:pt idx="36">
                  <c:v>21.853141448317494</c:v>
                </c:pt>
                <c:pt idx="37">
                  <c:v>22.160126114896098</c:v>
                </c:pt>
                <c:pt idx="38">
                  <c:v>22.470434996822902</c:v>
                </c:pt>
                <c:pt idx="39">
                  <c:v>22.783605867167765</c:v>
                </c:pt>
                <c:pt idx="40">
                  <c:v>23.099176502500942</c:v>
                </c:pt>
                <c:pt idx="41">
                  <c:v>23.416684675271558</c:v>
                </c:pt>
                <c:pt idx="42">
                  <c:v>23.735668161395004</c:v>
                </c:pt>
                <c:pt idx="43">
                  <c:v>24.055664734678743</c:v>
                </c:pt>
                <c:pt idx="44">
                  <c:v>24.376212169535574</c:v>
                </c:pt>
                <c:pt idx="45">
                  <c:v>24.696848240624448</c:v>
                </c:pt>
                <c:pt idx="46">
                  <c:v>25.017110722312022</c:v>
                </c:pt>
                <c:pt idx="47">
                  <c:v>25.33653738888097</c:v>
                </c:pt>
                <c:pt idx="48">
                  <c:v>25.654666015044704</c:v>
                </c:pt>
                <c:pt idx="49">
                  <c:v>25.971034374879672</c:v>
                </c:pt>
                <c:pt idx="50">
                  <c:v>26.287134485543355</c:v>
                </c:pt>
                <c:pt idx="51">
                  <c:v>26.60452122823834</c:v>
                </c:pt>
                <c:pt idx="52">
                  <c:v>26.922826675227512</c:v>
                </c:pt>
                <c:pt idx="53">
                  <c:v>27.241682899084743</c:v>
                </c:pt>
                <c:pt idx="54">
                  <c:v>27.560721971794763</c:v>
                </c:pt>
                <c:pt idx="55">
                  <c:v>27.879575965754753</c:v>
                </c:pt>
                <c:pt idx="56">
                  <c:v>28.197876953118246</c:v>
                </c:pt>
                <c:pt idx="57">
                  <c:v>28.515257006273274</c:v>
                </c:pt>
                <c:pt idx="58">
                  <c:v>28.83134819729894</c:v>
                </c:pt>
                <c:pt idx="59">
                  <c:v>29.145782598528811</c:v>
                </c:pt>
                <c:pt idx="60">
                  <c:v>29.458192282100626</c:v>
                </c:pt>
                <c:pt idx="61">
                  <c:v>29.768209320373298</c:v>
                </c:pt>
                <c:pt idx="62">
                  <c:v>30.075465785830083</c:v>
                </c:pt>
                <c:pt idx="63">
                  <c:v>30.379593749990455</c:v>
                </c:pt>
                <c:pt idx="64">
                  <c:v>30.681889880333827</c:v>
                </c:pt>
                <c:pt idx="65">
                  <c:v>30.983690980387784</c:v>
                </c:pt>
                <c:pt idx="66">
                  <c:v>31.284689329227383</c:v>
                </c:pt>
                <c:pt idx="67">
                  <c:v>31.584577204768514</c:v>
                </c:pt>
                <c:pt idx="68">
                  <c:v>31.88304688663754</c:v>
                </c:pt>
                <c:pt idx="69">
                  <c:v>32.17979065245683</c:v>
                </c:pt>
                <c:pt idx="70">
                  <c:v>32.47450078117545</c:v>
                </c:pt>
                <c:pt idx="71">
                  <c:v>32.766869551892988</c:v>
                </c:pt>
                <c:pt idx="72">
                  <c:v>33.05658924228171</c:v>
                </c:pt>
                <c:pt idx="73">
                  <c:v>33.34335213212762</c:v>
                </c:pt>
                <c:pt idx="74">
                  <c:v>33.626850498568302</c:v>
                </c:pt>
                <c:pt idx="75">
                  <c:v>33.906776621683292</c:v>
                </c:pt>
                <c:pt idx="76">
                  <c:v>34.18282277939683</c:v>
                </c:pt>
                <c:pt idx="77">
                  <c:v>34.454681250499561</c:v>
                </c:pt>
                <c:pt idx="78">
                  <c:v>34.723000924651778</c:v>
                </c:pt>
                <c:pt idx="79">
                  <c:v>34.988510969573902</c:v>
                </c:pt>
                <c:pt idx="80">
                  <c:v>35.251024075514366</c:v>
                </c:pt>
                <c:pt idx="81">
                  <c:v>35.5103529338991</c:v>
                </c:pt>
                <c:pt idx="82">
                  <c:v>35.766310235994332</c:v>
                </c:pt>
                <c:pt idx="83">
                  <c:v>36.018708673305809</c:v>
                </c:pt>
                <c:pt idx="84">
                  <c:v>36.267360937641939</c:v>
                </c:pt>
                <c:pt idx="85">
                  <c:v>36.512079719753402</c:v>
                </c:pt>
                <c:pt idx="86">
                  <c:v>36.752677710301114</c:v>
                </c:pt>
                <c:pt idx="87">
                  <c:v>36.988967602048071</c:v>
                </c:pt>
                <c:pt idx="88">
                  <c:v>37.220762085801525</c:v>
                </c:pt>
                <c:pt idx="89">
                  <c:v>37.447873852448538</c:v>
                </c:pt>
                <c:pt idx="90">
                  <c:v>37.670115593228758</c:v>
                </c:pt>
                <c:pt idx="91">
                  <c:v>37.88730000006035</c:v>
                </c:pt>
                <c:pt idx="92">
                  <c:v>38.099860781471115</c:v>
                </c:pt>
                <c:pt idx="93">
                  <c:v>38.308343139902817</c:v>
                </c:pt>
                <c:pt idx="94">
                  <c:v>38.512727005094561</c:v>
                </c:pt>
                <c:pt idx="95">
                  <c:v>38.712992310909819</c:v>
                </c:pt>
                <c:pt idx="96">
                  <c:v>38.909118985996713</c:v>
                </c:pt>
                <c:pt idx="97">
                  <c:v>39.101086962515758</c:v>
                </c:pt>
                <c:pt idx="98">
                  <c:v>39.288876171922311</c:v>
                </c:pt>
                <c:pt idx="99">
                  <c:v>39.472466544993217</c:v>
                </c:pt>
                <c:pt idx="100">
                  <c:v>39.651838013928923</c:v>
                </c:pt>
                <c:pt idx="101">
                  <c:v>39.826970508428559</c:v>
                </c:pt>
                <c:pt idx="102">
                  <c:v>39.997843960685927</c:v>
                </c:pt>
                <c:pt idx="103">
                  <c:v>40.164438302083205</c:v>
                </c:pt>
                <c:pt idx="104">
                  <c:v>40.326733462831811</c:v>
                </c:pt>
                <c:pt idx="105">
                  <c:v>40.48470937535167</c:v>
                </c:pt>
                <c:pt idx="106">
                  <c:v>40.638509865038628</c:v>
                </c:pt>
                <c:pt idx="107">
                  <c:v>40.788309975819928</c:v>
                </c:pt>
                <c:pt idx="108">
                  <c:v>40.934136468012419</c:v>
                </c:pt>
                <c:pt idx="109">
                  <c:v>41.076016098899501</c:v>
                </c:pt>
                <c:pt idx="110">
                  <c:v>41.213975626828947</c:v>
                </c:pt>
                <c:pt idx="111">
                  <c:v>41.348041809323647</c:v>
                </c:pt>
                <c:pt idx="112">
                  <c:v>41.478241406101731</c:v>
                </c:pt>
                <c:pt idx="113">
                  <c:v>41.604601175258196</c:v>
                </c:pt>
                <c:pt idx="114">
                  <c:v>41.72714787463525</c:v>
                </c:pt>
                <c:pt idx="115">
                  <c:v>41.845908263139428</c:v>
                </c:pt>
                <c:pt idx="116">
                  <c:v>41.960909099411218</c:v>
                </c:pt>
                <c:pt idx="117">
                  <c:v>42.072177140627588</c:v>
                </c:pt>
                <c:pt idx="118">
                  <c:v>42.179739146653027</c:v>
                </c:pt>
                <c:pt idx="119">
                  <c:v>42.283621874824163</c:v>
                </c:pt>
                <c:pt idx="120">
                  <c:v>42.383423950296958</c:v>
                </c:pt>
                <c:pt idx="121">
                  <c:v>42.478779673602972</c:v>
                </c:pt>
                <c:pt idx="122">
                  <c:v>42.569769321601569</c:v>
                </c:pt>
                <c:pt idx="123">
                  <c:v>42.656473168863783</c:v>
                </c:pt>
                <c:pt idx="124">
                  <c:v>42.7389714901269</c:v>
                </c:pt>
                <c:pt idx="125">
                  <c:v>42.817344560859993</c:v>
                </c:pt>
                <c:pt idx="126">
                  <c:v>42.891672655940056</c:v>
                </c:pt>
                <c:pt idx="127">
                  <c:v>42.962036050962553</c:v>
                </c:pt>
                <c:pt idx="128">
                  <c:v>43.028515021270138</c:v>
                </c:pt>
                <c:pt idx="129">
                  <c:v>43.091189841779752</c:v>
                </c:pt>
                <c:pt idx="130">
                  <c:v>43.150140786889409</c:v>
                </c:pt>
                <c:pt idx="131">
                  <c:v>43.205448132434064</c:v>
                </c:pt>
                <c:pt idx="132">
                  <c:v>43.257192153410458</c:v>
                </c:pt>
                <c:pt idx="133">
                  <c:v>43.305453124549238</c:v>
                </c:pt>
                <c:pt idx="134">
                  <c:v>43.349737131931555</c:v>
                </c:pt>
                <c:pt idx="135">
                  <c:v>43.389626075420523</c:v>
                </c:pt>
                <c:pt idx="136">
                  <c:v>43.425313952561865</c:v>
                </c:pt>
                <c:pt idx="137">
                  <c:v>43.45699476138023</c:v>
                </c:pt>
                <c:pt idx="138">
                  <c:v>43.484862501456931</c:v>
                </c:pt>
                <c:pt idx="139">
                  <c:v>43.509111169772225</c:v>
                </c:pt>
                <c:pt idx="140">
                  <c:v>43.5299347658176</c:v>
                </c:pt>
                <c:pt idx="141">
                  <c:v>43.547527286982429</c:v>
                </c:pt>
                <c:pt idx="142">
                  <c:v>43.562082731224862</c:v>
                </c:pt>
                <c:pt idx="143">
                  <c:v>43.573795098618476</c:v>
                </c:pt>
                <c:pt idx="144">
                  <c:v>43.582858385777627</c:v>
                </c:pt>
                <c:pt idx="145">
                  <c:v>43.589466591006413</c:v>
                </c:pt>
                <c:pt idx="146">
                  <c:v>43.593813713127744</c:v>
                </c:pt>
                <c:pt idx="147">
                  <c:v>43.596093750093132</c:v>
                </c:pt>
                <c:pt idx="148">
                  <c:v>43.59590421153365</c:v>
                </c:pt>
                <c:pt idx="149">
                  <c:v>43.59282922756725</c:v>
                </c:pt>
                <c:pt idx="150">
                  <c:v>43.587042727760434</c:v>
                </c:pt>
                <c:pt idx="151">
                  <c:v>43.578718641107642</c:v>
                </c:pt>
                <c:pt idx="152">
                  <c:v>43.568030897195314</c:v>
                </c:pt>
                <c:pt idx="153">
                  <c:v>43.55515342610223</c:v>
                </c:pt>
                <c:pt idx="154">
                  <c:v>43.540260156500153</c:v>
                </c:pt>
                <c:pt idx="155">
                  <c:v>43.523525018437894</c:v>
                </c:pt>
                <c:pt idx="156">
                  <c:v>43.505121941372217</c:v>
                </c:pt>
                <c:pt idx="157">
                  <c:v>43.48522485427425</c:v>
                </c:pt>
                <c:pt idx="158">
                  <c:v>43.464007687488838</c:v>
                </c:pt>
                <c:pt idx="159">
                  <c:v>43.441644369903955</c:v>
                </c:pt>
                <c:pt idx="160">
                  <c:v>43.418308831026245</c:v>
                </c:pt>
                <c:pt idx="161">
                  <c:v>43.394175000302496</c:v>
                </c:pt>
                <c:pt idx="162">
                  <c:v>43.368864915739479</c:v>
                </c:pt>
                <c:pt idx="163">
                  <c:v>43.341915880383127</c:v>
                </c:pt>
                <c:pt idx="164">
                  <c:v>43.313374721258882</c:v>
                </c:pt>
                <c:pt idx="165">
                  <c:v>43.283288265511928</c:v>
                </c:pt>
                <c:pt idx="166">
                  <c:v>43.251703340453759</c:v>
                </c:pt>
                <c:pt idx="167">
                  <c:v>43.218666772970131</c:v>
                </c:pt>
                <c:pt idx="168">
                  <c:v>43.184225390595387</c:v>
                </c:pt>
                <c:pt idx="169">
                  <c:v>43.148426020371595</c:v>
                </c:pt>
                <c:pt idx="170">
                  <c:v>43.111315489670133</c:v>
                </c:pt>
                <c:pt idx="171">
                  <c:v>43.072940625296901</c:v>
                </c:pt>
                <c:pt idx="172">
                  <c:v>43.033348254353868</c:v>
                </c:pt>
                <c:pt idx="173">
                  <c:v>42.992585204282243</c:v>
                </c:pt>
                <c:pt idx="174">
                  <c:v>42.950698302213894</c:v>
                </c:pt>
                <c:pt idx="175">
                  <c:v>42.907734375260773</c:v>
                </c:pt>
                <c:pt idx="176">
                  <c:v>42.8634213798247</c:v>
                </c:pt>
                <c:pt idx="177">
                  <c:v>42.817460513986383</c:v>
                </c:pt>
                <c:pt idx="178">
                  <c:v>42.769858467528991</c:v>
                </c:pt>
                <c:pt idx="179">
                  <c:v>42.72062192989646</c:v>
                </c:pt>
                <c:pt idx="180">
                  <c:v>42.669757590519396</c:v>
                </c:pt>
                <c:pt idx="181">
                  <c:v>42.617272139207593</c:v>
                </c:pt>
                <c:pt idx="182">
                  <c:v>42.563172265724276</c:v>
                </c:pt>
                <c:pt idx="183">
                  <c:v>42.507464659367024</c:v>
                </c:pt>
                <c:pt idx="184">
                  <c:v>42.45015600988242</c:v>
                </c:pt>
                <c:pt idx="185">
                  <c:v>42.391253006631246</c:v>
                </c:pt>
                <c:pt idx="186">
                  <c:v>42.330762339519737</c:v>
                </c:pt>
                <c:pt idx="187">
                  <c:v>42.268690697902016</c:v>
                </c:pt>
                <c:pt idx="188">
                  <c:v>42.2050447716544</c:v>
                </c:pt>
                <c:pt idx="189">
                  <c:v>42.1398312500678</c:v>
                </c:pt>
                <c:pt idx="190">
                  <c:v>42.072998846392146</c:v>
                </c:pt>
                <c:pt idx="191">
                  <c:v>42.004514112543049</c:v>
                </c:pt>
                <c:pt idx="192">
                  <c:v>41.934410496877646</c:v>
                </c:pt>
                <c:pt idx="193">
                  <c:v>41.862721446954779</c:v>
                </c:pt>
                <c:pt idx="194">
                  <c:v>41.789480410729134</c:v>
                </c:pt>
                <c:pt idx="195">
                  <c:v>41.714720836394868</c:v>
                </c:pt>
                <c:pt idx="196">
                  <c:v>41.63847617183346</c:v>
                </c:pt>
                <c:pt idx="197">
                  <c:v>41.560779865212474</c:v>
                </c:pt>
                <c:pt idx="198">
                  <c:v>41.481665364130663</c:v>
                </c:pt>
                <c:pt idx="199">
                  <c:v>41.401166116998397</c:v>
                </c:pt>
                <c:pt idx="200">
                  <c:v>41.319315571454354</c:v>
                </c:pt>
                <c:pt idx="201">
                  <c:v>41.23614717562284</c:v>
                </c:pt>
                <c:pt idx="202">
                  <c:v>41.15169437744855</c:v>
                </c:pt>
                <c:pt idx="203">
                  <c:v>41.065990624995905</c:v>
                </c:pt>
                <c:pt idx="204">
                  <c:v>40.979275628734783</c:v>
                </c:pt>
                <c:pt idx="205">
                  <c:v>40.89174004205104</c:v>
                </c:pt>
                <c:pt idx="206">
                  <c:v>40.803343727349834</c:v>
                </c:pt>
                <c:pt idx="207">
                  <c:v>40.714046547156087</c:v>
                </c:pt>
                <c:pt idx="208">
                  <c:v>40.623808363858345</c:v>
                </c:pt>
                <c:pt idx="209">
                  <c:v>40.532589039818518</c:v>
                </c:pt>
                <c:pt idx="210">
                  <c:v>40.440348437568176</c:v>
                </c:pt>
                <c:pt idx="211">
                  <c:v>40.347046419426</c:v>
                </c:pt>
                <c:pt idx="212">
                  <c:v>40.252642848136439</c:v>
                </c:pt>
                <c:pt idx="213">
                  <c:v>40.157097585825255</c:v>
                </c:pt>
                <c:pt idx="214">
                  <c:v>40.060370494781196</c:v>
                </c:pt>
                <c:pt idx="215">
                  <c:v>39.962421437858474</c:v>
                </c:pt>
                <c:pt idx="216">
                  <c:v>39.863210276873517</c:v>
                </c:pt>
                <c:pt idx="217">
                  <c:v>39.76269687502645</c:v>
                </c:pt>
                <c:pt idx="218">
                  <c:v>39.661255849179412</c:v>
                </c:pt>
                <c:pt idx="219">
                  <c:v>39.559172622047896</c:v>
                </c:pt>
                <c:pt idx="220">
                  <c:v>39.456273264541025</c:v>
                </c:pt>
                <c:pt idx="221">
                  <c:v>39.352383846609982</c:v>
                </c:pt>
                <c:pt idx="222">
                  <c:v>39.247330439197157</c:v>
                </c:pt>
                <c:pt idx="223">
                  <c:v>39.140939112865766</c:v>
                </c:pt>
                <c:pt idx="224">
                  <c:v>39.033035937463865</c:v>
                </c:pt>
                <c:pt idx="225">
                  <c:v>38.923446984462707</c:v>
                </c:pt>
                <c:pt idx="226">
                  <c:v>38.811998323683767</c:v>
                </c:pt>
                <c:pt idx="227">
                  <c:v>38.69851602591973</c:v>
                </c:pt>
                <c:pt idx="228">
                  <c:v>38.582826162059796</c:v>
                </c:pt>
                <c:pt idx="229">
                  <c:v>38.464754801456415</c:v>
                </c:pt>
                <c:pt idx="230">
                  <c:v>38.344128015840298</c:v>
                </c:pt>
                <c:pt idx="231">
                  <c:v>38.220771875325596</c:v>
                </c:pt>
                <c:pt idx="232">
                  <c:v>38.094953963310189</c:v>
                </c:pt>
                <c:pt idx="233">
                  <c:v>37.966959702915382</c:v>
                </c:pt>
                <c:pt idx="234">
                  <c:v>37.836641923404699</c:v>
                </c:pt>
                <c:pt idx="235">
                  <c:v>37.703853453017238</c:v>
                </c:pt>
                <c:pt idx="236">
                  <c:v>37.568447121196158</c:v>
                </c:pt>
                <c:pt idx="237">
                  <c:v>37.4302757561872</c:v>
                </c:pt>
                <c:pt idx="238">
                  <c:v>37.289192187460138</c:v>
                </c:pt>
                <c:pt idx="239">
                  <c:v>37.145049243905987</c:v>
                </c:pt>
                <c:pt idx="240">
                  <c:v>36.997699753793754</c:v>
                </c:pt>
                <c:pt idx="241">
                  <c:v>36.846996546869306</c:v>
                </c:pt>
                <c:pt idx="242">
                  <c:v>36.692792451727598</c:v>
                </c:pt>
                <c:pt idx="243">
                  <c:v>36.534940296937052</c:v>
                </c:pt>
                <c:pt idx="244">
                  <c:v>36.37329291177781</c:v>
                </c:pt>
                <c:pt idx="245">
                  <c:v>36.207703125011179</c:v>
                </c:pt>
                <c:pt idx="246">
                  <c:v>36.038422911221687</c:v>
                </c:pt>
                <c:pt idx="247">
                  <c:v>35.865802359527777</c:v>
                </c:pt>
                <c:pt idx="248">
                  <c:v>35.689841469949371</c:v>
                </c:pt>
                <c:pt idx="249">
                  <c:v>35.510540242533068</c:v>
                </c:pt>
                <c:pt idx="250">
                  <c:v>35.327898676666834</c:v>
                </c:pt>
                <c:pt idx="251">
                  <c:v>35.141916772975989</c:v>
                </c:pt>
                <c:pt idx="252">
                  <c:v>34.952594531234354</c:v>
                </c:pt>
                <c:pt idx="253">
                  <c:v>34.759931951521764</c:v>
                </c:pt>
                <c:pt idx="254">
                  <c:v>34.563929033631993</c:v>
                </c:pt>
                <c:pt idx="255">
                  <c:v>34.3645857778777</c:v>
                </c:pt>
                <c:pt idx="256">
                  <c:v>34.161902184345365</c:v>
                </c:pt>
                <c:pt idx="257">
                  <c:v>33.955878252669102</c:v>
                </c:pt>
                <c:pt idx="258">
                  <c:v>33.746513982848931</c:v>
                </c:pt>
                <c:pt idx="259">
                  <c:v>33.533809374924751</c:v>
                </c:pt>
                <c:pt idx="260">
                  <c:v>33.317835784789978</c:v>
                </c:pt>
                <c:pt idx="261">
                  <c:v>33.098700246214861</c:v>
                </c:pt>
                <c:pt idx="262">
                  <c:v>32.876456274690909</c:v>
                </c:pt>
                <c:pt idx="263">
                  <c:v>32.651157388822838</c:v>
                </c:pt>
                <c:pt idx="264">
                  <c:v>32.42285710427511</c:v>
                </c:pt>
                <c:pt idx="265">
                  <c:v>32.191608937643466</c:v>
                </c:pt>
                <c:pt idx="266">
                  <c:v>31.957466406142338</c:v>
                </c:pt>
                <c:pt idx="267">
                  <c:v>31.720483026640224</c:v>
                </c:pt>
                <c:pt idx="268">
                  <c:v>31.4807123155067</c:v>
                </c:pt>
                <c:pt idx="269">
                  <c:v>31.238207790055974</c:v>
                </c:pt>
                <c:pt idx="270">
                  <c:v>30.993022965965793</c:v>
                </c:pt>
                <c:pt idx="271">
                  <c:v>30.74521136112245</c:v>
                </c:pt>
                <c:pt idx="272">
                  <c:v>30.494826492214841</c:v>
                </c:pt>
                <c:pt idx="273">
                  <c:v>30.241921874973922</c:v>
                </c:pt>
                <c:pt idx="274">
                  <c:v>29.985666885564569</c:v>
                </c:pt>
                <c:pt idx="275">
                  <c:v>29.725315633993262</c:v>
                </c:pt>
                <c:pt idx="276">
                  <c:v>29.461048739316176</c:v>
                </c:pt>
                <c:pt idx="277">
                  <c:v>29.193046820173706</c:v>
                </c:pt>
                <c:pt idx="278">
                  <c:v>28.921490496303889</c:v>
                </c:pt>
                <c:pt idx="279">
                  <c:v>28.646560386390362</c:v>
                </c:pt>
                <c:pt idx="280">
                  <c:v>28.368437109363732</c:v>
                </c:pt>
                <c:pt idx="281">
                  <c:v>28.087301284547095</c:v>
                </c:pt>
                <c:pt idx="282">
                  <c:v>27.803333531372481</c:v>
                </c:pt>
                <c:pt idx="283">
                  <c:v>27.516714467816719</c:v>
                </c:pt>
                <c:pt idx="284">
                  <c:v>27.227624714138386</c:v>
                </c:pt>
                <c:pt idx="285">
                  <c:v>26.93624488886978</c:v>
                </c:pt>
                <c:pt idx="286">
                  <c:v>26.642755611159373</c:v>
                </c:pt>
                <c:pt idx="287">
                  <c:v>26.347337499679998</c:v>
                </c:pt>
                <c:pt idx="288">
                  <c:v>26.048267984908307</c:v>
                </c:pt>
                <c:pt idx="289">
                  <c:v>25.744078698874056</c:v>
                </c:pt>
                <c:pt idx="290">
                  <c:v>25.435331569006667</c:v>
                </c:pt>
                <c:pt idx="291">
                  <c:v>25.122588520485444</c:v>
                </c:pt>
                <c:pt idx="292">
                  <c:v>24.80641147947172</c:v>
                </c:pt>
                <c:pt idx="293">
                  <c:v>24.487362372506013</c:v>
                </c:pt>
                <c:pt idx="294">
                  <c:v>24.166003125236603</c:v>
                </c:pt>
                <c:pt idx="295">
                  <c:v>23.842895663443155</c:v>
                </c:pt>
                <c:pt idx="296">
                  <c:v>23.518601913410905</c:v>
                </c:pt>
                <c:pt idx="297">
                  <c:v>23.193683801371868</c:v>
                </c:pt>
                <c:pt idx="298">
                  <c:v>22.868703252654193</c:v>
                </c:pt>
                <c:pt idx="299">
                  <c:v>22.544222194418708</c:v>
                </c:pt>
                <c:pt idx="300">
                  <c:v>22.220802551449744</c:v>
                </c:pt>
                <c:pt idx="301">
                  <c:v>21.899006250128153</c:v>
                </c:pt>
                <c:pt idx="302">
                  <c:v>21.576662517600926</c:v>
                </c:pt>
                <c:pt idx="303">
                  <c:v>21.251783428036809</c:v>
                </c:pt>
                <c:pt idx="304">
                  <c:v>20.925205180853041</c:v>
                </c:pt>
                <c:pt idx="305">
                  <c:v>20.597763976188645</c:v>
                </c:pt>
                <c:pt idx="306">
                  <c:v>20.270296013640472</c:v>
                </c:pt>
                <c:pt idx="307">
                  <c:v>19.943637490831314</c:v>
                </c:pt>
                <c:pt idx="308">
                  <c:v>19.618624609580728</c:v>
                </c:pt>
                <c:pt idx="309">
                  <c:v>19.296093568441989</c:v>
                </c:pt>
                <c:pt idx="310">
                  <c:v>18.976880566407424</c:v>
                </c:pt>
                <c:pt idx="311">
                  <c:v>18.661821802377901</c:v>
                </c:pt>
                <c:pt idx="312">
                  <c:v>18.351753477144356</c:v>
                </c:pt>
                <c:pt idx="313">
                  <c:v>18.047511790253758</c:v>
                </c:pt>
                <c:pt idx="314">
                  <c:v>17.749932939196672</c:v>
                </c:pt>
                <c:pt idx="315">
                  <c:v>17.459853125759402</c:v>
                </c:pt>
                <c:pt idx="316">
                  <c:v>17.175003100444364</c:v>
                </c:pt>
                <c:pt idx="317">
                  <c:v>16.893018693071127</c:v>
                </c:pt>
                <c:pt idx="318">
                  <c:v>16.614593719949646</c:v>
                </c:pt>
                <c:pt idx="319">
                  <c:v>16.340421996648157</c:v>
                </c:pt>
                <c:pt idx="320">
                  <c:v>16.071197339484932</c:v>
                </c:pt>
                <c:pt idx="321">
                  <c:v>15.807613563863562</c:v>
                </c:pt>
                <c:pt idx="322">
                  <c:v>15.550364484934835</c:v>
                </c:pt>
                <c:pt idx="323">
                  <c:v>15.300143919983281</c:v>
                </c:pt>
                <c:pt idx="324">
                  <c:v>15.057645684042447</c:v>
                </c:pt>
                <c:pt idx="325">
                  <c:v>14.823563593329993</c:v>
                </c:pt>
                <c:pt idx="326">
                  <c:v>14.598591464920069</c:v>
                </c:pt>
                <c:pt idx="327">
                  <c:v>14.383423112627185</c:v>
                </c:pt>
                <c:pt idx="328">
                  <c:v>14.178752352948401</c:v>
                </c:pt>
                <c:pt idx="329">
                  <c:v>13.985273001901806</c:v>
                </c:pt>
                <c:pt idx="330">
                  <c:v>13.801694198258753</c:v>
                </c:pt>
                <c:pt idx="331">
                  <c:v>13.626417868956924</c:v>
                </c:pt>
                <c:pt idx="332">
                  <c:v>13.459677012397774</c:v>
                </c:pt>
                <c:pt idx="333">
                  <c:v>13.301704628446272</c:v>
                </c:pt>
                <c:pt idx="334">
                  <c:v>13.152733716608157</c:v>
                </c:pt>
                <c:pt idx="335">
                  <c:v>13.012997272504226</c:v>
                </c:pt>
                <c:pt idx="336">
                  <c:v>12.882728295587004</c:v>
                </c:pt>
                <c:pt idx="337">
                  <c:v>12.762159784643778</c:v>
                </c:pt>
                <c:pt idx="338">
                  <c:v>12.651524739406472</c:v>
                </c:pt>
                <c:pt idx="339">
                  <c:v>12.551056159340909</c:v>
                </c:pt>
                <c:pt idx="340">
                  <c:v>12.460987041358436</c:v>
                </c:pt>
                <c:pt idx="341">
                  <c:v>12.381550382849362</c:v>
                </c:pt>
                <c:pt idx="342">
                  <c:v>12.312979187510376</c:v>
                </c:pt>
                <c:pt idx="343">
                  <c:v>12.255506448820235</c:v>
                </c:pt>
                <c:pt idx="344">
                  <c:v>12.209096720973442</c:v>
                </c:pt>
                <c:pt idx="345">
                  <c:v>12.173401418405358</c:v>
                </c:pt>
                <c:pt idx="346">
                  <c:v>12.148183830419161</c:v>
                </c:pt>
                <c:pt idx="347">
                  <c:v>12.133207242636772</c:v>
                </c:pt>
                <c:pt idx="348">
                  <c:v>12.128234947080095</c:v>
                </c:pt>
                <c:pt idx="349">
                  <c:v>12.133030231021749</c:v>
                </c:pt>
                <c:pt idx="350">
                  <c:v>12.147356381382922</c:v>
                </c:pt>
                <c:pt idx="351">
                  <c:v>12.17097669103793</c:v>
                </c:pt>
                <c:pt idx="352">
                  <c:v>12.203654443149642</c:v>
                </c:pt>
                <c:pt idx="353">
                  <c:v>12.245152931410839</c:v>
                </c:pt>
                <c:pt idx="354">
                  <c:v>12.295235440472664</c:v>
                </c:pt>
                <c:pt idx="355">
                  <c:v>12.35366526105868</c:v>
                </c:pt>
                <c:pt idx="356">
                  <c:v>12.4202056822445</c:v>
                </c:pt>
                <c:pt idx="357">
                  <c:v>12.494619991835849</c:v>
                </c:pt>
                <c:pt idx="358">
                  <c:v>12.577581341731651</c:v>
                </c:pt>
                <c:pt idx="359">
                  <c:v>12.669668184683243</c:v>
                </c:pt>
                <c:pt idx="360">
                  <c:v>12.770501751542604</c:v>
                </c:pt>
                <c:pt idx="361">
                  <c:v>12.8797032732645</c:v>
                </c:pt>
                <c:pt idx="362">
                  <c:v>12.996893987162359</c:v>
                </c:pt>
                <c:pt idx="363">
                  <c:v>13.121695123767029</c:v>
                </c:pt>
                <c:pt idx="364">
                  <c:v>13.25372791565184</c:v>
                </c:pt>
                <c:pt idx="365">
                  <c:v>13.392613597728054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13.460777377734582</c:v>
                </c:pt>
                <c:pt idx="1">
                  <c:v>13.607444118261338</c:v>
                </c:pt>
                <c:pt idx="2">
                  <c:v>13.759531526764235</c:v>
                </c:pt>
                <c:pt idx="3">
                  <c:v>13.91663450176517</c:v>
                </c:pt>
                <c:pt idx="4">
                  <c:v>14.078347940742969</c:v>
                </c:pt>
                <c:pt idx="5">
                  <c:v>14.244266738643248</c:v>
                </c:pt>
                <c:pt idx="6">
                  <c:v>14.413985792795819</c:v>
                </c:pt>
                <c:pt idx="7">
                  <c:v>14.587099999189377</c:v>
                </c:pt>
                <c:pt idx="8">
                  <c:v>14.76406222193369</c:v>
                </c:pt>
                <c:pt idx="9">
                  <c:v>14.945663793385028</c:v>
                </c:pt>
                <c:pt idx="10">
                  <c:v>15.132007320065583</c:v>
                </c:pt>
                <c:pt idx="11">
                  <c:v>15.323195406049489</c:v>
                </c:pt>
                <c:pt idx="12">
                  <c:v>15.519330654719045</c:v>
                </c:pt>
                <c:pt idx="13">
                  <c:v>15.720515670520919</c:v>
                </c:pt>
                <c:pt idx="14">
                  <c:v>15.926853059977294</c:v>
                </c:pt>
                <c:pt idx="15">
                  <c:v>16.138445427375181</c:v>
                </c:pt>
                <c:pt idx="16">
                  <c:v>16.355395375458254</c:v>
                </c:pt>
                <c:pt idx="17">
                  <c:v>16.577805509737559</c:v>
                </c:pt>
                <c:pt idx="18">
                  <c:v>16.805778434021128</c:v>
                </c:pt>
                <c:pt idx="19">
                  <c:v>17.039416754245757</c:v>
                </c:pt>
                <c:pt idx="20">
                  <c:v>17.278823076241785</c:v>
                </c:pt>
                <c:pt idx="21">
                  <c:v>17.524100001156331</c:v>
                </c:pt>
                <c:pt idx="22">
                  <c:v>17.776485059037803</c:v>
                </c:pt>
                <c:pt idx="23">
                  <c:v>18.036719242004416</c:v>
                </c:pt>
                <c:pt idx="24">
                  <c:v>18.304160350401485</c:v>
                </c:pt>
                <c:pt idx="25">
                  <c:v>18.578166180849074</c:v>
                </c:pt>
                <c:pt idx="26">
                  <c:v>18.858094534517399</c:v>
                </c:pt>
                <c:pt idx="27">
                  <c:v>19.143303207574142</c:v>
                </c:pt>
                <c:pt idx="28">
                  <c:v>19.433149999938905</c:v>
                </c:pt>
                <c:pt idx="29">
                  <c:v>19.726992711424828</c:v>
                </c:pt>
                <c:pt idx="30">
                  <c:v>20.024189139503456</c:v>
                </c:pt>
                <c:pt idx="31">
                  <c:v>20.32409708483943</c:v>
                </c:pt>
                <c:pt idx="32">
                  <c:v>20.626074344079409</c:v>
                </c:pt>
                <c:pt idx="33">
                  <c:v>20.929478716637409</c:v>
                </c:pt>
                <c:pt idx="34">
                  <c:v>21.23366800280554</c:v>
                </c:pt>
                <c:pt idx="35">
                  <c:v>21.537999999523162</c:v>
                </c:pt>
                <c:pt idx="36">
                  <c:v>21.845061352143865</c:v>
                </c:pt>
                <c:pt idx="37">
                  <c:v>22.157367346355962</c:v>
                </c:pt>
                <c:pt idx="38">
                  <c:v>22.474168750204679</c:v>
                </c:pt>
                <c:pt idx="39">
                  <c:v>22.794716326679502</c:v>
                </c:pt>
                <c:pt idx="40">
                  <c:v>23.118260841550573</c:v>
                </c:pt>
                <c:pt idx="41">
                  <c:v>23.444053061386306</c:v>
                </c:pt>
                <c:pt idx="42">
                  <c:v>23.771343749761581</c:v>
                </c:pt>
                <c:pt idx="43">
                  <c:v>24.099383673657265</c:v>
                </c:pt>
                <c:pt idx="44">
                  <c:v>24.427423596901018</c:v>
                </c:pt>
                <c:pt idx="45">
                  <c:v>24.754714285502477</c:v>
                </c:pt>
                <c:pt idx="46">
                  <c:v>25.08050650516525</c:v>
                </c:pt>
                <c:pt idx="47">
                  <c:v>25.404051020315716</c:v>
                </c:pt>
                <c:pt idx="48">
                  <c:v>25.724598597136456</c:v>
                </c:pt>
                <c:pt idx="49">
                  <c:v>26.041400000080465</c:v>
                </c:pt>
                <c:pt idx="50">
                  <c:v>26.355579081563548</c:v>
                </c:pt>
                <c:pt idx="51">
                  <c:v>26.668759183771908</c:v>
                </c:pt>
                <c:pt idx="52">
                  <c:v>26.98094030614676</c:v>
                </c:pt>
                <c:pt idx="53">
                  <c:v>27.292122449113855</c:v>
                </c:pt>
                <c:pt idx="54">
                  <c:v>27.602305612274044</c:v>
                </c:pt>
                <c:pt idx="55">
                  <c:v>27.911489795813601</c:v>
                </c:pt>
                <c:pt idx="56">
                  <c:v>28.219675000105052</c:v>
                </c:pt>
                <c:pt idx="57">
                  <c:v>28.526861224509776</c:v>
                </c:pt>
                <c:pt idx="58">
                  <c:v>28.83304846957326</c:v>
                </c:pt>
                <c:pt idx="59">
                  <c:v>29.138236734696797</c:v>
                </c:pt>
                <c:pt idx="60">
                  <c:v>29.442426020279527</c:v>
                </c:pt>
                <c:pt idx="61">
                  <c:v>29.745616326667367</c:v>
                </c:pt>
                <c:pt idx="62">
                  <c:v>30.047807652889087</c:v>
                </c:pt>
                <c:pt idx="63">
                  <c:v>30.348999999836089</c:v>
                </c:pt>
                <c:pt idx="64">
                  <c:v>30.650120991282165</c:v>
                </c:pt>
                <c:pt idx="65">
                  <c:v>30.951812828066096</c:v>
                </c:pt>
                <c:pt idx="66">
                  <c:v>31.253647376357446</c:v>
                </c:pt>
                <c:pt idx="67">
                  <c:v>31.555196501793603</c:v>
                </c:pt>
                <c:pt idx="68">
                  <c:v>31.856032069918832</c:v>
                </c:pt>
                <c:pt idx="69">
                  <c:v>32.155725947820713</c:v>
                </c:pt>
                <c:pt idx="70">
                  <c:v>32.453850000351665</c:v>
                </c:pt>
                <c:pt idx="71">
                  <c:v>32.749976093880832</c:v>
                </c:pt>
                <c:pt idx="72">
                  <c:v>33.043676093806113</c:v>
                </c:pt>
                <c:pt idx="73">
                  <c:v>33.33452186595116</c:v>
                </c:pt>
                <c:pt idx="74">
                  <c:v>33.622085277350351</c:v>
                </c:pt>
                <c:pt idx="75">
                  <c:v>33.905938193068977</c:v>
                </c:pt>
                <c:pt idx="76">
                  <c:v>34.18565247855814</c:v>
                </c:pt>
                <c:pt idx="77">
                  <c:v>34.460800000280145</c:v>
                </c:pt>
                <c:pt idx="78">
                  <c:v>34.733182489605881</c:v>
                </c:pt>
                <c:pt idx="79">
                  <c:v>35.004530321274487</c:v>
                </c:pt>
                <c:pt idx="80">
                  <c:v>35.274308328037812</c:v>
                </c:pt>
                <c:pt idx="81">
                  <c:v>35.541981341743039</c:v>
                </c:pt>
                <c:pt idx="82">
                  <c:v>35.807014194317162</c:v>
                </c:pt>
                <c:pt idx="83">
                  <c:v>36.068871720348085</c:v>
                </c:pt>
                <c:pt idx="84">
                  <c:v>36.327018750645223</c:v>
                </c:pt>
                <c:pt idx="85">
                  <c:v>36.580920116550161</c:v>
                </c:pt>
                <c:pt idx="86">
                  <c:v>36.830040652491149</c:v>
                </c:pt>
                <c:pt idx="87">
                  <c:v>37.073845188851863</c:v>
                </c:pt>
                <c:pt idx="88">
                  <c:v>37.311798561045102</c:v>
                </c:pt>
                <c:pt idx="89">
                  <c:v>37.543365597299172</c:v>
                </c:pt>
                <c:pt idx="90">
                  <c:v>37.768011133665482</c:v>
                </c:pt>
                <c:pt idx="91">
                  <c:v>37.985199999064207</c:v>
                </c:pt>
                <c:pt idx="92">
                  <c:v>38.194575418771379</c:v>
                </c:pt>
                <c:pt idx="93">
                  <c:v>38.396494169586475</c:v>
                </c:pt>
                <c:pt idx="94">
                  <c:v>38.591491417267491</c:v>
                </c:pt>
                <c:pt idx="95">
                  <c:v>38.780102332574977</c:v>
                </c:pt>
                <c:pt idx="96">
                  <c:v>38.962862080388831</c:v>
                </c:pt>
                <c:pt idx="97">
                  <c:v>39.140305830910805</c:v>
                </c:pt>
                <c:pt idx="98">
                  <c:v>39.312968749552965</c:v>
                </c:pt>
                <c:pt idx="99">
                  <c:v>39.481386005878448</c:v>
                </c:pt>
                <c:pt idx="100">
                  <c:v>39.646092765964568</c:v>
                </c:pt>
                <c:pt idx="101">
                  <c:v>39.807624198549561</c:v>
                </c:pt>
                <c:pt idx="102">
                  <c:v>39.966515469737352</c:v>
                </c:pt>
                <c:pt idx="103">
                  <c:v>40.123301748718532</c:v>
                </c:pt>
                <c:pt idx="104">
                  <c:v>40.278518203033933</c:v>
                </c:pt>
                <c:pt idx="105">
                  <c:v>40.432699999958274</c:v>
                </c:pt>
                <c:pt idx="106">
                  <c:v>40.585508199727961</c:v>
                </c:pt>
                <c:pt idx="107">
                  <c:v>40.736104372888803</c:v>
                </c:pt>
                <c:pt idx="108">
                  <c:v>40.884274453323869</c:v>
                </c:pt>
                <c:pt idx="109">
                  <c:v>41.029804373479315</c:v>
                </c:pt>
                <c:pt idx="110">
                  <c:v>41.172480065481999</c:v>
                </c:pt>
                <c:pt idx="111">
                  <c:v>41.312087463587524</c:v>
                </c:pt>
                <c:pt idx="112">
                  <c:v>41.448412500508127</c:v>
                </c:pt>
                <c:pt idx="113">
                  <c:v>41.581241107998153</c:v>
                </c:pt>
                <c:pt idx="114">
                  <c:v>41.710359220313173</c:v>
                </c:pt>
                <c:pt idx="115">
                  <c:v>41.835552770005805</c:v>
                </c:pt>
                <c:pt idx="116">
                  <c:v>41.956607690187433</c:v>
                </c:pt>
                <c:pt idx="117">
                  <c:v>42.073309912851883</c:v>
                </c:pt>
                <c:pt idx="118">
                  <c:v>42.185445372095067</c:v>
                </c:pt>
                <c:pt idx="119">
                  <c:v>42.292800001054999</c:v>
                </c:pt>
                <c:pt idx="120">
                  <c:v>42.39592680398907</c:v>
                </c:pt>
                <c:pt idx="121">
                  <c:v>42.495450146070553</c:v>
                </c:pt>
                <c:pt idx="122">
                  <c:v>42.591262992577889</c:v>
                </c:pt>
                <c:pt idx="123">
                  <c:v>42.683258308576683</c:v>
                </c:pt>
                <c:pt idx="124">
                  <c:v>42.771329063336758</c:v>
                </c:pt>
                <c:pt idx="125">
                  <c:v>42.85536822176406</c:v>
                </c:pt>
                <c:pt idx="126">
                  <c:v>42.935268750414252</c:v>
                </c:pt>
                <c:pt idx="127">
                  <c:v>43.010923614885122</c:v>
                </c:pt>
                <c:pt idx="128">
                  <c:v>43.082225783009612</c:v>
                </c:pt>
                <c:pt idx="129">
                  <c:v>43.149068221556284</c:v>
                </c:pt>
                <c:pt idx="130">
                  <c:v>43.211343895377851</c:v>
                </c:pt>
                <c:pt idx="131">
                  <c:v>43.268945772520134</c:v>
                </c:pt>
                <c:pt idx="132">
                  <c:v>43.32176681772939</c:v>
                </c:pt>
                <c:pt idx="133">
                  <c:v>43.369699999690056</c:v>
                </c:pt>
                <c:pt idx="134">
                  <c:v>43.411746337530865</c:v>
                </c:pt>
                <c:pt idx="135">
                  <c:v>43.447334984902824</c:v>
                </c:pt>
                <c:pt idx="136">
                  <c:v>43.47700111163514</c:v>
                </c:pt>
                <c:pt idx="137">
                  <c:v>43.501279883405985</c:v>
                </c:pt>
                <c:pt idx="138">
                  <c:v>43.520706468128729</c:v>
                </c:pt>
                <c:pt idx="139">
                  <c:v>43.535816034621419</c:v>
                </c:pt>
                <c:pt idx="140">
                  <c:v>43.547143750078973</c:v>
                </c:pt>
                <c:pt idx="141">
                  <c:v>43.555224781270539</c:v>
                </c:pt>
                <c:pt idx="142">
                  <c:v>43.560594296641646</c:v>
                </c:pt>
                <c:pt idx="143">
                  <c:v>43.563787463413817</c:v>
                </c:pt>
                <c:pt idx="144">
                  <c:v>43.56533944981971</c:v>
                </c:pt>
                <c:pt idx="145">
                  <c:v>43.56578542302762</c:v>
                </c:pt>
                <c:pt idx="146">
                  <c:v>43.565660550126005</c:v>
                </c:pt>
                <c:pt idx="147">
                  <c:v>43.565500000119208</c:v>
                </c:pt>
                <c:pt idx="148">
                  <c:v>43.564269114684848</c:v>
                </c:pt>
                <c:pt idx="149">
                  <c:v>43.560647813363801</c:v>
                </c:pt>
                <c:pt idx="150">
                  <c:v>43.554743130744569</c:v>
                </c:pt>
                <c:pt idx="151">
                  <c:v>43.546662099340132</c:v>
                </c:pt>
                <c:pt idx="152">
                  <c:v>43.536511752741141</c:v>
                </c:pt>
                <c:pt idx="153">
                  <c:v>43.524399125336537</c:v>
                </c:pt>
                <c:pt idx="154">
                  <c:v>43.510431249998511</c:v>
                </c:pt>
                <c:pt idx="155">
                  <c:v>43.494715160131456</c:v>
                </c:pt>
                <c:pt idx="156">
                  <c:v>43.477357889911424</c:v>
                </c:pt>
                <c:pt idx="157">
                  <c:v>43.458466472210624</c:v>
                </c:pt>
                <c:pt idx="158">
                  <c:v>43.438147941058766</c:v>
                </c:pt>
                <c:pt idx="159">
                  <c:v>43.41650932958084</c:v>
                </c:pt>
                <c:pt idx="160">
                  <c:v>43.393657671061476</c:v>
                </c:pt>
                <c:pt idx="161">
                  <c:v>43.369699999876318</c:v>
                </c:pt>
                <c:pt idx="162">
                  <c:v>43.344243859353341</c:v>
                </c:pt>
                <c:pt idx="163">
                  <c:v>43.316896792687473</c:v>
                </c:pt>
                <c:pt idx="164">
                  <c:v>43.287765834320865</c:v>
                </c:pt>
                <c:pt idx="165">
                  <c:v>43.256958017391824</c:v>
                </c:pt>
                <c:pt idx="166">
                  <c:v>43.224580375224882</c:v>
                </c:pt>
                <c:pt idx="167">
                  <c:v>43.190739941410719</c:v>
                </c:pt>
                <c:pt idx="168">
                  <c:v>43.155543749779461</c:v>
                </c:pt>
                <c:pt idx="169">
                  <c:v>43.119098833575848</c:v>
                </c:pt>
                <c:pt idx="170">
                  <c:v>43.081512226470352</c:v>
                </c:pt>
                <c:pt idx="171">
                  <c:v>43.042890961760925</c:v>
                </c:pt>
                <c:pt idx="172">
                  <c:v>43.003342073384133</c:v>
                </c:pt>
                <c:pt idx="173">
                  <c:v>42.962972594637954</c:v>
                </c:pt>
                <c:pt idx="174">
                  <c:v>42.921889558940066</c:v>
                </c:pt>
                <c:pt idx="175">
                  <c:v>42.880199999734756</c:v>
                </c:pt>
                <c:pt idx="176">
                  <c:v>42.838439085254713</c:v>
                </c:pt>
                <c:pt idx="177">
                  <c:v>42.796856559759803</c:v>
                </c:pt>
                <c:pt idx="178">
                  <c:v>42.75513132289052</c:v>
                </c:pt>
                <c:pt idx="179">
                  <c:v>42.71294227394143</c:v>
                </c:pt>
                <c:pt idx="180">
                  <c:v>42.669968312699346</c:v>
                </c:pt>
                <c:pt idx="181">
                  <c:v>42.625888338099635</c:v>
                </c:pt>
                <c:pt idx="182">
                  <c:v>42.580381250102072</c:v>
                </c:pt>
                <c:pt idx="183">
                  <c:v>42.533125947761746</c:v>
                </c:pt>
                <c:pt idx="184">
                  <c:v>42.483801330107134</c:v>
                </c:pt>
                <c:pt idx="185">
                  <c:v>42.432086297710029</c:v>
                </c:pt>
                <c:pt idx="186">
                  <c:v>42.377659748827242</c:v>
                </c:pt>
                <c:pt idx="187">
                  <c:v>42.320200583099258</c:v>
                </c:pt>
                <c:pt idx="188">
                  <c:v>42.259387700751958</c:v>
                </c:pt>
                <c:pt idx="189">
                  <c:v>42.194900000840427</c:v>
                </c:pt>
                <c:pt idx="190">
                  <c:v>42.12629150949153</c:v>
                </c:pt>
                <c:pt idx="191">
                  <c:v>42.05361574393298</c:v>
                </c:pt>
                <c:pt idx="192">
                  <c:v>41.977300838620536</c:v>
                </c:pt>
                <c:pt idx="193">
                  <c:v>41.897774927690627</c:v>
                </c:pt>
                <c:pt idx="194">
                  <c:v>41.815466144348363</c:v>
                </c:pt>
                <c:pt idx="195">
                  <c:v>41.73080262423359</c:v>
                </c:pt>
                <c:pt idx="196">
                  <c:v>41.644212500425056</c:v>
                </c:pt>
                <c:pt idx="197">
                  <c:v>41.556123906799726</c:v>
                </c:pt>
                <c:pt idx="198">
                  <c:v>41.466964978199186</c:v>
                </c:pt>
                <c:pt idx="199">
                  <c:v>41.37716384858691</c:v>
                </c:pt>
                <c:pt idx="200">
                  <c:v>41.287148651607069</c:v>
                </c:pt>
                <c:pt idx="201">
                  <c:v>41.197347521968183</c:v>
                </c:pt>
                <c:pt idx="202">
                  <c:v>41.108188593314431</c:v>
                </c:pt>
                <c:pt idx="203">
                  <c:v>41.020099999848753</c:v>
                </c:pt>
                <c:pt idx="204">
                  <c:v>40.932903352719066</c:v>
                </c:pt>
                <c:pt idx="205">
                  <c:v>40.845992128231693</c:v>
                </c:pt>
                <c:pt idx="206">
                  <c:v>40.759152259325077</c:v>
                </c:pt>
                <c:pt idx="207">
                  <c:v>40.672169679243652</c:v>
                </c:pt>
                <c:pt idx="208">
                  <c:v>40.584830320633145</c:v>
                </c:pt>
                <c:pt idx="209">
                  <c:v>40.496920116352186</c:v>
                </c:pt>
                <c:pt idx="210">
                  <c:v>40.408224999858064</c:v>
                </c:pt>
                <c:pt idx="211">
                  <c:v>40.318530903610267</c:v>
                </c:pt>
                <c:pt idx="212">
                  <c:v>40.227623760753445</c:v>
                </c:pt>
                <c:pt idx="213">
                  <c:v>40.13528950416616</c:v>
                </c:pt>
                <c:pt idx="214">
                  <c:v>40.041314066813456</c:v>
                </c:pt>
                <c:pt idx="215">
                  <c:v>39.945483381873267</c:v>
                </c:pt>
                <c:pt idx="216">
                  <c:v>39.847583381924778</c:v>
                </c:pt>
                <c:pt idx="217">
                  <c:v>39.747399999946353</c:v>
                </c:pt>
                <c:pt idx="218">
                  <c:v>39.645254336324122</c:v>
                </c:pt>
                <c:pt idx="219">
                  <c:v>39.541610203763206</c:v>
                </c:pt>
                <c:pt idx="220">
                  <c:v>39.436467601811245</c:v>
                </c:pt>
                <c:pt idx="221">
                  <c:v>39.329826530361814</c:v>
                </c:pt>
                <c:pt idx="222">
                  <c:v>39.221686989574565</c:v>
                </c:pt>
                <c:pt idx="223">
                  <c:v>39.112048979449483</c:v>
                </c:pt>
                <c:pt idx="224">
                  <c:v>39.00091249998659</c:v>
                </c:pt>
                <c:pt idx="225">
                  <c:v>38.888277550893172</c:v>
                </c:pt>
                <c:pt idx="226">
                  <c:v>38.774144132555065</c:v>
                </c:pt>
                <c:pt idx="227">
                  <c:v>38.658512244825914</c:v>
                </c:pt>
                <c:pt idx="228">
                  <c:v>38.541381887679123</c:v>
                </c:pt>
                <c:pt idx="229">
                  <c:v>38.422753061141286</c:v>
                </c:pt>
                <c:pt idx="230">
                  <c:v>38.302625765278933</c:v>
                </c:pt>
                <c:pt idx="231">
                  <c:v>38.181000000052151</c:v>
                </c:pt>
                <c:pt idx="232">
                  <c:v>38.059499106981924</c:v>
                </c:pt>
                <c:pt idx="233">
                  <c:v>37.939246938750145</c:v>
                </c:pt>
                <c:pt idx="234">
                  <c:v>37.819494260062598</c:v>
                </c:pt>
                <c:pt idx="235">
                  <c:v>37.699491836689411</c:v>
                </c:pt>
                <c:pt idx="236">
                  <c:v>37.57849043356255</c:v>
                </c:pt>
                <c:pt idx="237">
                  <c:v>37.455740816784761</c:v>
                </c:pt>
                <c:pt idx="238">
                  <c:v>37.330493749957533</c:v>
                </c:pt>
                <c:pt idx="239">
                  <c:v>37.201999999449718</c:v>
                </c:pt>
                <c:pt idx="240">
                  <c:v>37.069510331709999</c:v>
                </c:pt>
                <c:pt idx="241">
                  <c:v>36.932275509781071</c:v>
                </c:pt>
                <c:pt idx="242">
                  <c:v>36.789546300284563</c:v>
                </c:pt>
                <c:pt idx="243">
                  <c:v>36.640573469336545</c:v>
                </c:pt>
                <c:pt idx="244">
                  <c:v>36.484607780338926</c:v>
                </c:pt>
                <c:pt idx="245">
                  <c:v>36.320900000631809</c:v>
                </c:pt>
                <c:pt idx="246">
                  <c:v>36.149182542759391</c:v>
                </c:pt>
                <c:pt idx="247">
                  <c:v>35.970115451195412</c:v>
                </c:pt>
                <c:pt idx="248">
                  <c:v>35.78434092559452</c:v>
                </c:pt>
                <c:pt idx="249">
                  <c:v>35.592501165717842</c:v>
                </c:pt>
                <c:pt idx="250">
                  <c:v>35.395238374759046</c:v>
                </c:pt>
                <c:pt idx="251">
                  <c:v>35.193194752186535</c:v>
                </c:pt>
                <c:pt idx="252">
                  <c:v>34.987012499384583</c:v>
                </c:pt>
                <c:pt idx="253">
                  <c:v>34.777333819121125</c:v>
                </c:pt>
                <c:pt idx="254">
                  <c:v>34.564800911050824</c:v>
                </c:pt>
                <c:pt idx="255">
                  <c:v>34.350055976318465</c:v>
                </c:pt>
                <c:pt idx="256">
                  <c:v>34.133741217106582</c:v>
                </c:pt>
                <c:pt idx="257">
                  <c:v>33.916498833788296</c:v>
                </c:pt>
                <c:pt idx="258">
                  <c:v>33.69897102761481</c:v>
                </c:pt>
                <c:pt idx="259">
                  <c:v>33.481799999997023</c:v>
                </c:pt>
                <c:pt idx="260">
                  <c:v>33.264486261004848</c:v>
                </c:pt>
                <c:pt idx="261">
                  <c:v>33.045959475051077</c:v>
                </c:pt>
                <c:pt idx="262">
                  <c:v>32.826005575752689</c:v>
                </c:pt>
                <c:pt idx="263">
                  <c:v>32.604410495928356</c:v>
                </c:pt>
                <c:pt idx="264">
                  <c:v>32.380960167731558</c:v>
                </c:pt>
                <c:pt idx="265">
                  <c:v>32.155440524912308</c:v>
                </c:pt>
                <c:pt idx="266">
                  <c:v>31.927637500315903</c:v>
                </c:pt>
                <c:pt idx="267">
                  <c:v>31.697337026361907</c:v>
                </c:pt>
                <c:pt idx="268">
                  <c:v>31.464325036826938</c:v>
                </c:pt>
                <c:pt idx="269">
                  <c:v>31.228387464157173</c:v>
                </c:pt>
                <c:pt idx="270">
                  <c:v>30.989310240931808</c:v>
                </c:pt>
                <c:pt idx="271">
                  <c:v>30.746879300794433</c:v>
                </c:pt>
                <c:pt idx="272">
                  <c:v>30.500880576031552</c:v>
                </c:pt>
                <c:pt idx="273">
                  <c:v>30.251100000739097</c:v>
                </c:pt>
                <c:pt idx="274">
                  <c:v>29.997858674371876</c:v>
                </c:pt>
                <c:pt idx="275">
                  <c:v>29.741620408371091</c:v>
                </c:pt>
                <c:pt idx="276">
                  <c:v>29.482385204732417</c:v>
                </c:pt>
                <c:pt idx="277">
                  <c:v>29.220153061300515</c:v>
                </c:pt>
                <c:pt idx="278">
                  <c:v>28.954923980044462</c:v>
                </c:pt>
                <c:pt idx="279">
                  <c:v>28.686697959527372</c:v>
                </c:pt>
                <c:pt idx="280">
                  <c:v>28.415475000068547</c:v>
                </c:pt>
                <c:pt idx="281">
                  <c:v>28.141255102253389</c:v>
                </c:pt>
                <c:pt idx="282">
                  <c:v>27.864038265496493</c:v>
                </c:pt>
                <c:pt idx="283">
                  <c:v>27.583824489851082</c:v>
                </c:pt>
                <c:pt idx="284">
                  <c:v>27.300613775769513</c:v>
                </c:pt>
                <c:pt idx="285">
                  <c:v>27.014406122639777</c:v>
                </c:pt>
                <c:pt idx="286">
                  <c:v>26.725201531153704</c:v>
                </c:pt>
                <c:pt idx="287">
                  <c:v>26.433000000193715</c:v>
                </c:pt>
                <c:pt idx="288">
                  <c:v>26.137105813356378</c:v>
                </c:pt>
                <c:pt idx="289">
                  <c:v>25.837037318332921</c:v>
                </c:pt>
                <c:pt idx="290">
                  <c:v>25.533115616028333</c:v>
                </c:pt>
                <c:pt idx="291">
                  <c:v>25.225661808092678</c:v>
                </c:pt>
                <c:pt idx="292">
                  <c:v>24.914996993701372</c:v>
                </c:pt>
                <c:pt idx="293">
                  <c:v>24.601442274158551</c:v>
                </c:pt>
                <c:pt idx="294">
                  <c:v>24.285318750143052</c:v>
                </c:pt>
                <c:pt idx="295">
                  <c:v>23.966947522227251</c:v>
                </c:pt>
                <c:pt idx="296">
                  <c:v>23.646649690171969</c:v>
                </c:pt>
                <c:pt idx="297">
                  <c:v>23.324746355946576</c:v>
                </c:pt>
                <c:pt idx="298">
                  <c:v>23.001558618859519</c:v>
                </c:pt>
                <c:pt idx="299">
                  <c:v>22.67740758024156</c:v>
                </c:pt>
                <c:pt idx="300">
                  <c:v>22.352614340598564</c:v>
                </c:pt>
                <c:pt idx="301">
                  <c:v>22.027500000037254</c:v>
                </c:pt>
                <c:pt idx="302">
                  <c:v>21.697640506856676</c:v>
                </c:pt>
                <c:pt idx="303">
                  <c:v>21.359610787246911</c:v>
                </c:pt>
                <c:pt idx="304">
                  <c:v>21.015230412022877</c:v>
                </c:pt>
                <c:pt idx="305">
                  <c:v>20.666318950535995</c:v>
                </c:pt>
                <c:pt idx="306">
                  <c:v>20.314695973308488</c:v>
                </c:pt>
                <c:pt idx="307">
                  <c:v>19.96218104990465</c:v>
                </c:pt>
                <c:pt idx="308">
                  <c:v>19.610593750607222</c:v>
                </c:pt>
                <c:pt idx="309">
                  <c:v>19.261753644927275</c:v>
                </c:pt>
                <c:pt idx="310">
                  <c:v>18.917480303214063</c:v>
                </c:pt>
                <c:pt idx="311">
                  <c:v>18.579593295231462</c:v>
                </c:pt>
                <c:pt idx="312">
                  <c:v>18.249912191182375</c:v>
                </c:pt>
                <c:pt idx="313">
                  <c:v>17.930256560843969</c:v>
                </c:pt>
                <c:pt idx="314">
                  <c:v>17.622445974312722</c:v>
                </c:pt>
                <c:pt idx="315">
                  <c:v>17.328300001472236</c:v>
                </c:pt>
                <c:pt idx="316">
                  <c:v>17.045089287257618</c:v>
                </c:pt>
                <c:pt idx="317">
                  <c:v>16.768871430201191</c:v>
                </c:pt>
                <c:pt idx="318">
                  <c:v>16.49964642971754</c:v>
                </c:pt>
                <c:pt idx="319">
                  <c:v>16.237414286817824</c:v>
                </c:pt>
                <c:pt idx="320">
                  <c:v>15.982175001235944</c:v>
                </c:pt>
                <c:pt idx="321">
                  <c:v>15.733928572812252</c:v>
                </c:pt>
                <c:pt idx="322">
                  <c:v>15.492675000056625</c:v>
                </c:pt>
                <c:pt idx="323">
                  <c:v>15.258414285949296</c:v>
                </c:pt>
                <c:pt idx="324">
                  <c:v>15.031146429000154</c:v>
                </c:pt>
                <c:pt idx="325">
                  <c:v>14.810871429209197</c:v>
                </c:pt>
                <c:pt idx="326">
                  <c:v>14.597589285831367</c:v>
                </c:pt>
                <c:pt idx="327">
                  <c:v>14.391300000356779</c:v>
                </c:pt>
                <c:pt idx="328">
                  <c:v>14.192003571348533</c:v>
                </c:pt>
                <c:pt idx="329">
                  <c:v>13.999700000137091</c:v>
                </c:pt>
                <c:pt idx="330">
                  <c:v>13.811838320483057</c:v>
                </c:pt>
                <c:pt idx="331">
                  <c:v>13.62665247789451</c:v>
                </c:pt>
                <c:pt idx="332">
                  <c:v>13.445319843398673</c:v>
                </c:pt>
                <c:pt idx="333">
                  <c:v>13.269017783765282</c:v>
                </c:pt>
                <c:pt idx="334">
                  <c:v>13.098923669595802</c:v>
                </c:pt>
                <c:pt idx="335">
                  <c:v>12.936214868298597</c:v>
                </c:pt>
                <c:pt idx="336">
                  <c:v>12.78206875026226</c:v>
                </c:pt>
                <c:pt idx="337">
                  <c:v>12.63766268257584</c:v>
                </c:pt>
                <c:pt idx="338">
                  <c:v>12.50417403413781</c:v>
                </c:pt>
                <c:pt idx="339">
                  <c:v>12.382780174272401</c:v>
                </c:pt>
                <c:pt idx="340">
                  <c:v>12.27465847241027</c:v>
                </c:pt>
                <c:pt idx="341">
                  <c:v>12.180986296598402</c:v>
                </c:pt>
                <c:pt idx="342">
                  <c:v>12.102941015628833</c:v>
                </c:pt>
                <c:pt idx="343">
                  <c:v>12.04169999808073</c:v>
                </c:pt>
                <c:pt idx="344">
                  <c:v>11.998025767345514</c:v>
                </c:pt>
                <c:pt idx="345">
                  <c:v>11.971117910317011</c:v>
                </c:pt>
                <c:pt idx="346">
                  <c:v>11.959809387422034</c:v>
                </c:pt>
                <c:pt idx="347">
                  <c:v>11.962933166325092</c:v>
                </c:pt>
                <c:pt idx="348">
                  <c:v>11.979322212508746</c:v>
                </c:pt>
                <c:pt idx="349">
                  <c:v>12.007809492945672</c:v>
                </c:pt>
                <c:pt idx="350">
                  <c:v>12.047227973118424</c:v>
                </c:pt>
                <c:pt idx="351">
                  <c:v>12.096410617232323</c:v>
                </c:pt>
                <c:pt idx="352">
                  <c:v>12.154190390716705</c:v>
                </c:pt>
                <c:pt idx="353">
                  <c:v>12.219400259958846</c:v>
                </c:pt>
                <c:pt idx="354">
                  <c:v>12.290873190175208</c:v>
                </c:pt>
                <c:pt idx="355">
                  <c:v>12.36744214700801</c:v>
                </c:pt>
                <c:pt idx="356">
                  <c:v>12.447940094981874</c:v>
                </c:pt>
                <c:pt idx="357">
                  <c:v>12.531199999898671</c:v>
                </c:pt>
                <c:pt idx="358">
                  <c:v>12.619917653948068</c:v>
                </c:pt>
                <c:pt idx="359">
                  <c:v>12.717296807269255</c:v>
                </c:pt>
                <c:pt idx="360">
                  <c:v>12.82293235436082</c:v>
                </c:pt>
                <c:pt idx="361">
                  <c:v>12.93641919190685</c:v>
                </c:pt>
                <c:pt idx="362">
                  <c:v>13.057352216541767</c:v>
                </c:pt>
                <c:pt idx="363">
                  <c:v>13.185326325297357</c:v>
                </c:pt>
                <c:pt idx="364">
                  <c:v>13.319936412920555</c:v>
                </c:pt>
                <c:pt idx="365">
                  <c:v>13.460777378877003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13.113081184620425</c:v>
                </c:pt>
                <c:pt idx="1">
                  <c:v>13.53519224964062</c:v>
                </c:pt>
                <c:pt idx="2">
                  <c:v>14.124165439868252</c:v>
                </c:pt>
                <c:pt idx="3">
                  <c:v>14.134069142951605</c:v>
                </c:pt>
                <c:pt idx="4">
                  <c:v>14.283254951142144</c:v>
                </c:pt>
                <c:pt idx="5">
                  <c:v>14.635126795331709</c:v>
                </c:pt>
                <c:pt idx="6">
                  <c:v>8.971852492930589</c:v>
                </c:pt>
                <c:pt idx="7">
                  <c:v>12.341431159322497</c:v>
                </c:pt>
                <c:pt idx="8">
                  <c:v>13.592706813048993</c:v>
                </c:pt>
                <c:pt idx="9">
                  <c:v>10.238443369739281</c:v>
                </c:pt>
                <c:pt idx="10">
                  <c:v>15.067623483252582</c:v>
                </c:pt>
                <c:pt idx="11">
                  <c:v>15.033013193258533</c:v>
                </c:pt>
                <c:pt idx="12">
                  <c:v>10.493774411231749</c:v>
                </c:pt>
                <c:pt idx="13">
                  <c:v>15.66337716078853</c:v>
                </c:pt>
                <c:pt idx="14">
                  <c:v>16.01372498587039</c:v>
                </c:pt>
                <c:pt idx="15">
                  <c:v>16.102218040848967</c:v>
                </c:pt>
                <c:pt idx="16">
                  <c:v>11.494776439311693</c:v>
                </c:pt>
                <c:pt idx="17">
                  <c:v>16.33584148224859</c:v>
                </c:pt>
                <c:pt idx="18">
                  <c:v>16.836051106728092</c:v>
                </c:pt>
                <c:pt idx="19">
                  <c:v>7.5521238527845549</c:v>
                </c:pt>
                <c:pt idx="20">
                  <c:v>12.199672633065241</c:v>
                </c:pt>
                <c:pt idx="21">
                  <c:v>17.808971984336939</c:v>
                </c:pt>
                <c:pt idx="22">
                  <c:v>17.871865098354334</c:v>
                </c:pt>
                <c:pt idx="23">
                  <c:v>18.189713580371091</c:v>
                </c:pt>
                <c:pt idx="24">
                  <c:v>17.201428770631761</c:v>
                </c:pt>
                <c:pt idx="25">
                  <c:v>18.754153438721257</c:v>
                </c:pt>
                <c:pt idx="26">
                  <c:v>15.896017389858935</c:v>
                </c:pt>
                <c:pt idx="27">
                  <c:v>11.238202055607671</c:v>
                </c:pt>
                <c:pt idx="28">
                  <c:v>14.430567184560136</c:v>
                </c:pt>
                <c:pt idx="29">
                  <c:v>7.5125643185257411</c:v>
                </c:pt>
                <c:pt idx="30">
                  <c:v>13.77882589725804</c:v>
                </c:pt>
                <c:pt idx="31">
                  <c:v>16.408521217221892</c:v>
                </c:pt>
                <c:pt idx="32">
                  <c:v>18.666071177776274</c:v>
                </c:pt>
                <c:pt idx="33">
                  <c:v>16.889504299779531</c:v>
                </c:pt>
                <c:pt idx="34">
                  <c:v>17.966121132529384</c:v>
                </c:pt>
                <c:pt idx="35">
                  <c:v>21.61065608350567</c:v>
                </c:pt>
                <c:pt idx="36">
                  <c:v>22.282786270723793</c:v>
                </c:pt>
                <c:pt idx="37">
                  <c:v>15.348596284444294</c:v>
                </c:pt>
                <c:pt idx="38">
                  <c:v>23.402327715383759</c:v>
                </c:pt>
                <c:pt idx="39">
                  <c:v>23.433477340738428</c:v>
                </c:pt>
                <c:pt idx="40">
                  <c:v>22.177935187448366</c:v>
                </c:pt>
                <c:pt idx="41">
                  <c:v>19.987799360241688</c:v>
                </c:pt>
                <c:pt idx="42">
                  <c:v>24.323485541278668</c:v>
                </c:pt>
                <c:pt idx="43">
                  <c:v>24.939074122850123</c:v>
                </c:pt>
                <c:pt idx="44">
                  <c:v>25.04355830581331</c:v>
                </c:pt>
                <c:pt idx="45">
                  <c:v>25.359879246140192</c:v>
                </c:pt>
                <c:pt idx="46">
                  <c:v>25.832581952942551</c:v>
                </c:pt>
                <c:pt idx="47">
                  <c:v>26.057323912775445</c:v>
                </c:pt>
                <c:pt idx="48">
                  <c:v>25.702210502087123</c:v>
                </c:pt>
                <c:pt idx="49">
                  <c:v>25.212086475297145</c:v>
                </c:pt>
                <c:pt idx="50">
                  <c:v>26.392814303463727</c:v>
                </c:pt>
                <c:pt idx="51">
                  <c:v>25.140056728294933</c:v>
                </c:pt>
                <c:pt idx="52">
                  <c:v>26.553607822777124</c:v>
                </c:pt>
                <c:pt idx="53">
                  <c:v>27.261868971635646</c:v>
                </c:pt>
                <c:pt idx="54">
                  <c:v>27.125715294135134</c:v>
                </c:pt>
                <c:pt idx="55">
                  <c:v>27.521029362463523</c:v>
                </c:pt>
                <c:pt idx="56">
                  <c:v>28.941558485562066</c:v>
                </c:pt>
                <c:pt idx="57">
                  <c:v>28.603433631443369</c:v>
                </c:pt>
                <c:pt idx="58">
                  <c:v>25.521075885672495</c:v>
                </c:pt>
                <c:pt idx="59">
                  <c:v>28.679109175623339</c:v>
                </c:pt>
                <c:pt idx="60">
                  <c:v>19.932639932535867</c:v>
                </c:pt>
                <c:pt idx="61">
                  <c:v>27.01618388081711</c:v>
                </c:pt>
                <c:pt idx="62">
                  <c:v>21.87797527558812</c:v>
                </c:pt>
                <c:pt idx="63">
                  <c:v>29.771929629009751</c:v>
                </c:pt>
                <c:pt idx="64">
                  <c:v>15.983360810169867</c:v>
                </c:pt>
                <c:pt idx="65">
                  <c:v>29.519413340694289</c:v>
                </c:pt>
                <c:pt idx="66">
                  <c:v>22.557219179099164</c:v>
                </c:pt>
                <c:pt idx="67">
                  <c:v>30.249266737760252</c:v>
                </c:pt>
                <c:pt idx="68">
                  <c:v>30.500189061416798</c:v>
                </c:pt>
                <c:pt idx="69">
                  <c:v>23.683748695587767</c:v>
                </c:pt>
                <c:pt idx="70">
                  <c:v>29.411637891813143</c:v>
                </c:pt>
                <c:pt idx="71">
                  <c:v>29.39742528369991</c:v>
                </c:pt>
                <c:pt idx="72">
                  <c:v>27.041870864735497</c:v>
                </c:pt>
                <c:pt idx="73">
                  <c:v>29.113438237494268</c:v>
                </c:pt>
                <c:pt idx="74">
                  <c:v>33.759513299417414</c:v>
                </c:pt>
                <c:pt idx="75">
                  <c:v>18.204761461001336</c:v>
                </c:pt>
                <c:pt idx="76">
                  <c:v>22.615966613904025</c:v>
                </c:pt>
                <c:pt idx="77">
                  <c:v>31.49075258123468</c:v>
                </c:pt>
                <c:pt idx="78">
                  <c:v>35.290557656198175</c:v>
                </c:pt>
                <c:pt idx="79">
                  <c:v>35.232626438185896</c:v>
                </c:pt>
                <c:pt idx="80">
                  <c:v>34.33751568572859</c:v>
                </c:pt>
                <c:pt idx="81">
                  <c:v>36.330998993590491</c:v>
                </c:pt>
                <c:pt idx="82">
                  <c:v>35.972058370872873</c:v>
                </c:pt>
                <c:pt idx="83">
                  <c:v>33.539793588319633</c:v>
                </c:pt>
                <c:pt idx="84">
                  <c:v>37.971121713669092</c:v>
                </c:pt>
                <c:pt idx="85">
                  <c:v>37.339002876856433</c:v>
                </c:pt>
                <c:pt idx="86">
                  <c:v>36.534422327632868</c:v>
                </c:pt>
                <c:pt idx="87">
                  <c:v>36.692193713560719</c:v>
                </c:pt>
                <c:pt idx="88">
                  <c:v>36.462755841463355</c:v>
                </c:pt>
                <c:pt idx="89">
                  <c:v>33.190656549107899</c:v>
                </c:pt>
                <c:pt idx="90">
                  <c:v>33.527563379735113</c:v>
                </c:pt>
                <c:pt idx="91">
                  <c:v>29.015475964814325</c:v>
                </c:pt>
                <c:pt idx="92">
                  <c:v>37.337963589482051</c:v>
                </c:pt>
                <c:pt idx="93">
                  <c:v>39.674347557533999</c:v>
                </c:pt>
                <c:pt idx="94">
                  <c:v>39.549856186864908</c:v>
                </c:pt>
                <c:pt idx="95">
                  <c:v>39.474372462150207</c:v>
                </c:pt>
                <c:pt idx="96">
                  <c:v>39.698812303963905</c:v>
                </c:pt>
                <c:pt idx="97">
                  <c:v>36.829222658134903</c:v>
                </c:pt>
                <c:pt idx="98">
                  <c:v>33.294727279888392</c:v>
                </c:pt>
                <c:pt idx="99">
                  <c:v>38.780942750477344</c:v>
                </c:pt>
                <c:pt idx="100">
                  <c:v>39.310121110453636</c:v>
                </c:pt>
                <c:pt idx="101">
                  <c:v>40.636382536630947</c:v>
                </c:pt>
                <c:pt idx="102">
                  <c:v>40.953213285754423</c:v>
                </c:pt>
                <c:pt idx="103">
                  <c:v>29.055463983298168</c:v>
                </c:pt>
                <c:pt idx="104">
                  <c:v>39.087125925166902</c:v>
                </c:pt>
                <c:pt idx="105">
                  <c:v>34.469326384256924</c:v>
                </c:pt>
                <c:pt idx="106">
                  <c:v>40.23868442366517</c:v>
                </c:pt>
                <c:pt idx="107">
                  <c:v>28.819471293246423</c:v>
                </c:pt>
                <c:pt idx="108">
                  <c:v>38.947990013439039</c:v>
                </c:pt>
                <c:pt idx="109">
                  <c:v>34.517360529046911</c:v>
                </c:pt>
                <c:pt idx="110">
                  <c:v>37.760094952186769</c:v>
                </c:pt>
                <c:pt idx="111">
                  <c:v>41.180654227850937</c:v>
                </c:pt>
                <c:pt idx="112">
                  <c:v>41.263564610244281</c:v>
                </c:pt>
                <c:pt idx="113">
                  <c:v>38.769139149526289</c:v>
                </c:pt>
                <c:pt idx="114">
                  <c:v>37.502516618915408</c:v>
                </c:pt>
                <c:pt idx="115">
                  <c:v>39.97943878783088</c:v>
                </c:pt>
                <c:pt idx="116">
                  <c:v>29.008527228448123</c:v>
                </c:pt>
                <c:pt idx="117">
                  <c:v>31.162451823892468</c:v>
                </c:pt>
                <c:pt idx="118">
                  <c:v>39.72311913554482</c:v>
                </c:pt>
                <c:pt idx="119">
                  <c:v>43.204941551644787</c:v>
                </c:pt>
                <c:pt idx="120">
                  <c:v>40.273883228930465</c:v>
                </c:pt>
                <c:pt idx="121">
                  <c:v>28.08893330221149</c:v>
                </c:pt>
                <c:pt idx="122">
                  <c:v>42.400180832539675</c:v>
                </c:pt>
                <c:pt idx="123">
                  <c:v>39.79073296578693</c:v>
                </c:pt>
                <c:pt idx="124">
                  <c:v>40.603023029597871</c:v>
                </c:pt>
                <c:pt idx="125">
                  <c:v>44.619992536921345</c:v>
                </c:pt>
                <c:pt idx="126">
                  <c:v>41.484775655026766</c:v>
                </c:pt>
                <c:pt idx="127">
                  <c:v>40.780889517262061</c:v>
                </c:pt>
                <c:pt idx="128">
                  <c:v>40.647662544730203</c:v>
                </c:pt>
                <c:pt idx="129">
                  <c:v>37.579575727883402</c:v>
                </c:pt>
                <c:pt idx="130">
                  <c:v>40.531538531633224</c:v>
                </c:pt>
                <c:pt idx="131">
                  <c:v>40.951725833965142</c:v>
                </c:pt>
                <c:pt idx="132">
                  <c:v>45.292153927540518</c:v>
                </c:pt>
                <c:pt idx="133">
                  <c:v>43.95743971785987</c:v>
                </c:pt>
                <c:pt idx="134">
                  <c:v>44.25827136765831</c:v>
                </c:pt>
                <c:pt idx="135">
                  <c:v>36.612235094431377</c:v>
                </c:pt>
                <c:pt idx="136">
                  <c:v>40.085945831650221</c:v>
                </c:pt>
                <c:pt idx="137">
                  <c:v>44.898392288883365</c:v>
                </c:pt>
                <c:pt idx="138">
                  <c:v>44.234710656745264</c:v>
                </c:pt>
                <c:pt idx="139">
                  <c:v>43.678078338959317</c:v>
                </c:pt>
                <c:pt idx="140">
                  <c:v>42.630970800856602</c:v>
                </c:pt>
                <c:pt idx="141">
                  <c:v>42.922836576302252</c:v>
                </c:pt>
                <c:pt idx="142">
                  <c:v>39.13669865982753</c:v>
                </c:pt>
                <c:pt idx="143">
                  <c:v>19.559062636800455</c:v>
                </c:pt>
                <c:pt idx="144">
                  <c:v>41.574102486699203</c:v>
                </c:pt>
                <c:pt idx="145">
                  <c:v>43.15188461541296</c:v>
                </c:pt>
                <c:pt idx="146">
                  <c:v>43.072441964376736</c:v>
                </c:pt>
                <c:pt idx="147">
                  <c:v>41.82650557784492</c:v>
                </c:pt>
                <c:pt idx="148">
                  <c:v>43.771585370686978</c:v>
                </c:pt>
                <c:pt idx="149">
                  <c:v>42.658493741310721</c:v>
                </c:pt>
                <c:pt idx="150">
                  <c:v>43.393408345276015</c:v>
                </c:pt>
                <c:pt idx="151">
                  <c:v>43.566085731494503</c:v>
                </c:pt>
                <c:pt idx="152">
                  <c:v>42.879308484292096</c:v>
                </c:pt>
                <c:pt idx="153">
                  <c:v>40.900365987061008</c:v>
                </c:pt>
                <c:pt idx="154">
                  <c:v>39.208479410281221</c:v>
                </c:pt>
                <c:pt idx="155">
                  <c:v>31.965848154895578</c:v>
                </c:pt>
                <c:pt idx="156">
                  <c:v>41.05414814635413</c:v>
                </c:pt>
                <c:pt idx="157">
                  <c:v>38.856191383459525</c:v>
                </c:pt>
                <c:pt idx="158">
                  <c:v>43.845518262110815</c:v>
                </c:pt>
                <c:pt idx="159">
                  <c:v>42.32398609821027</c:v>
                </c:pt>
                <c:pt idx="160">
                  <c:v>42.347233701436771</c:v>
                </c:pt>
                <c:pt idx="161">
                  <c:v>40.130158094722169</c:v>
                </c:pt>
                <c:pt idx="162">
                  <c:v>42.346993291813639</c:v>
                </c:pt>
                <c:pt idx="163">
                  <c:v>42.331938879997239</c:v>
                </c:pt>
                <c:pt idx="164">
                  <c:v>38.498125268407549</c:v>
                </c:pt>
                <c:pt idx="165">
                  <c:v>39.284680421129103</c:v>
                </c:pt>
                <c:pt idx="166">
                  <c:v>44.363595434270344</c:v>
                </c:pt>
                <c:pt idx="167">
                  <c:v>42.925961898835723</c:v>
                </c:pt>
                <c:pt idx="168">
                  <c:v>41.455412731300569</c:v>
                </c:pt>
                <c:pt idx="169">
                  <c:v>40.09284587657087</c:v>
                </c:pt>
                <c:pt idx="170">
                  <c:v>39.022000068069346</c:v>
                </c:pt>
                <c:pt idx="171">
                  <c:v>35.180212507104621</c:v>
                </c:pt>
                <c:pt idx="172">
                  <c:v>43.398049823870345</c:v>
                </c:pt>
                <c:pt idx="173">
                  <c:v>43.321618231322205</c:v>
                </c:pt>
                <c:pt idx="174">
                  <c:v>42.706685617077156</c:v>
                </c:pt>
                <c:pt idx="175">
                  <c:v>42.181442408546353</c:v>
                </c:pt>
                <c:pt idx="176">
                  <c:v>41.141814363893154</c:v>
                </c:pt>
                <c:pt idx="177">
                  <c:v>40.70663915680317</c:v>
                </c:pt>
                <c:pt idx="178">
                  <c:v>43.026185543990657</c:v>
                </c:pt>
                <c:pt idx="179">
                  <c:v>41.575903340599019</c:v>
                </c:pt>
                <c:pt idx="180">
                  <c:v>39.940934900012763</c:v>
                </c:pt>
                <c:pt idx="181">
                  <c:v>41.378085246589393</c:v>
                </c:pt>
                <c:pt idx="182">
                  <c:v>40.387490579650731</c:v>
                </c:pt>
                <c:pt idx="183">
                  <c:v>34.016353689339262</c:v>
                </c:pt>
                <c:pt idx="184">
                  <c:v>39.345572837234378</c:v>
                </c:pt>
                <c:pt idx="185">
                  <c:v>42.685652702898089</c:v>
                </c:pt>
                <c:pt idx="186">
                  <c:v>42.389212353371924</c:v>
                </c:pt>
                <c:pt idx="187">
                  <c:v>41.168172925291458</c:v>
                </c:pt>
                <c:pt idx="188">
                  <c:v>44.11830918893618</c:v>
                </c:pt>
                <c:pt idx="189">
                  <c:v>42.583630575998079</c:v>
                </c:pt>
                <c:pt idx="190">
                  <c:v>41.184194792398188</c:v>
                </c:pt>
                <c:pt idx="191">
                  <c:v>41.921892854152688</c:v>
                </c:pt>
                <c:pt idx="192">
                  <c:v>42.496597456132768</c:v>
                </c:pt>
                <c:pt idx="193">
                  <c:v>39.387936405089434</c:v>
                </c:pt>
                <c:pt idx="194">
                  <c:v>42.613851519576691</c:v>
                </c:pt>
                <c:pt idx="195">
                  <c:v>43.03729894617058</c:v>
                </c:pt>
                <c:pt idx="196">
                  <c:v>41.785421826741953</c:v>
                </c:pt>
                <c:pt idx="197">
                  <c:v>41.903533821101661</c:v>
                </c:pt>
                <c:pt idx="198">
                  <c:v>38.01746196958247</c:v>
                </c:pt>
                <c:pt idx="199">
                  <c:v>42.433234679233138</c:v>
                </c:pt>
                <c:pt idx="200">
                  <c:v>41.130665538224456</c:v>
                </c:pt>
                <c:pt idx="201">
                  <c:v>37.731956107423237</c:v>
                </c:pt>
                <c:pt idx="202">
                  <c:v>39.921621323756099</c:v>
                </c:pt>
                <c:pt idx="203">
                  <c:v>40.234800142137267</c:v>
                </c:pt>
                <c:pt idx="204">
                  <c:v>37.893996743141429</c:v>
                </c:pt>
                <c:pt idx="205">
                  <c:v>41.517040985591251</c:v>
                </c:pt>
                <c:pt idx="206">
                  <c:v>40.464552652725096</c:v>
                </c:pt>
                <c:pt idx="207">
                  <c:v>41.272360426201722</c:v>
                </c:pt>
                <c:pt idx="208">
                  <c:v>39.810455578458225</c:v>
                </c:pt>
                <c:pt idx="209">
                  <c:v>38.323446514546944</c:v>
                </c:pt>
                <c:pt idx="210">
                  <c:v>37.359921298844867</c:v>
                </c:pt>
                <c:pt idx="211">
                  <c:v>39.57385341036813</c:v>
                </c:pt>
                <c:pt idx="212">
                  <c:v>39.466065603726243</c:v>
                </c:pt>
                <c:pt idx="213">
                  <c:v>39.353713796788718</c:v>
                </c:pt>
                <c:pt idx="214">
                  <c:v>38.935712166326411</c:v>
                </c:pt>
                <c:pt idx="215">
                  <c:v>36.542089306289583</c:v>
                </c:pt>
                <c:pt idx="216">
                  <c:v>40.51327472097406</c:v>
                </c:pt>
                <c:pt idx="217">
                  <c:v>40.005159812023336</c:v>
                </c:pt>
                <c:pt idx="218">
                  <c:v>38.644291488995613</c:v>
                </c:pt>
                <c:pt idx="219">
                  <c:v>38.853932004616944</c:v>
                </c:pt>
                <c:pt idx="220">
                  <c:v>38.382501503737309</c:v>
                </c:pt>
                <c:pt idx="221">
                  <c:v>35.976281897663725</c:v>
                </c:pt>
                <c:pt idx="222">
                  <c:v>36.771034850041509</c:v>
                </c:pt>
                <c:pt idx="223">
                  <c:v>34.27274619245987</c:v>
                </c:pt>
                <c:pt idx="224">
                  <c:v>34.50916616392346</c:v>
                </c:pt>
                <c:pt idx="225">
                  <c:v>38.844476104478311</c:v>
                </c:pt>
                <c:pt idx="226">
                  <c:v>38.017729507891737</c:v>
                </c:pt>
                <c:pt idx="227">
                  <c:v>38.177761326018796</c:v>
                </c:pt>
                <c:pt idx="228">
                  <c:v>37.316431373615615</c:v>
                </c:pt>
                <c:pt idx="229">
                  <c:v>36.873994716439007</c:v>
                </c:pt>
                <c:pt idx="230">
                  <c:v>35.384293693834039</c:v>
                </c:pt>
                <c:pt idx="231">
                  <c:v>36.556455204531737</c:v>
                </c:pt>
                <c:pt idx="232">
                  <c:v>36.591801967762351</c:v>
                </c:pt>
                <c:pt idx="233">
                  <c:v>38.793135012494737</c:v>
                </c:pt>
                <c:pt idx="234">
                  <c:v>36.458624208406086</c:v>
                </c:pt>
                <c:pt idx="235">
                  <c:v>36.227969880355467</c:v>
                </c:pt>
                <c:pt idx="236">
                  <c:v>34.955028036144711</c:v>
                </c:pt>
                <c:pt idx="237">
                  <c:v>36.589991055920372</c:v>
                </c:pt>
                <c:pt idx="238">
                  <c:v>36.207633790648693</c:v>
                </c:pt>
                <c:pt idx="239">
                  <c:v>37.6474142668485</c:v>
                </c:pt>
                <c:pt idx="240">
                  <c:v>37.163900184673778</c:v>
                </c:pt>
                <c:pt idx="241">
                  <c:v>35.748351799960105</c:v>
                </c:pt>
                <c:pt idx="242">
                  <c:v>35.974532803787852</c:v>
                </c:pt>
                <c:pt idx="243">
                  <c:v>36.800779305473014</c:v>
                </c:pt>
                <c:pt idx="244">
                  <c:v>34.771079559810111</c:v>
                </c:pt>
                <c:pt idx="245">
                  <c:v>37.558631129408738</c:v>
                </c:pt>
                <c:pt idx="246">
                  <c:v>36.263260924320456</c:v>
                </c:pt>
                <c:pt idx="247">
                  <c:v>35.661957440699879</c:v>
                </c:pt>
                <c:pt idx="248">
                  <c:v>37.214641888290501</c:v>
                </c:pt>
                <c:pt idx="249">
                  <c:v>35.695847850032024</c:v>
                </c:pt>
                <c:pt idx="250">
                  <c:v>32.004308101052679</c:v>
                </c:pt>
                <c:pt idx="251">
                  <c:v>33.483412316512208</c:v>
                </c:pt>
                <c:pt idx="252">
                  <c:v>33.121802280387051</c:v>
                </c:pt>
                <c:pt idx="253">
                  <c:v>33.003036179252092</c:v>
                </c:pt>
                <c:pt idx="254">
                  <c:v>34.361918081315721</c:v>
                </c:pt>
                <c:pt idx="255">
                  <c:v>32.643598753916862</c:v>
                </c:pt>
                <c:pt idx="256">
                  <c:v>31.813436700328825</c:v>
                </c:pt>
                <c:pt idx="257">
                  <c:v>32.156591580426863</c:v>
                </c:pt>
                <c:pt idx="258">
                  <c:v>31.548663581663206</c:v>
                </c:pt>
                <c:pt idx="259">
                  <c:v>33.133845987379907</c:v>
                </c:pt>
                <c:pt idx="260">
                  <c:v>33.270665157690054</c:v>
                </c:pt>
                <c:pt idx="261">
                  <c:v>32.612832561298127</c:v>
                </c:pt>
                <c:pt idx="262">
                  <c:v>34.029849011308073</c:v>
                </c:pt>
                <c:pt idx="263">
                  <c:v>32.84635122027899</c:v>
                </c:pt>
                <c:pt idx="264">
                  <c:v>31.626022229598281</c:v>
                </c:pt>
                <c:pt idx="265">
                  <c:v>30.447289439965701</c:v>
                </c:pt>
                <c:pt idx="266">
                  <c:v>26.744687251171772</c:v>
                </c:pt>
                <c:pt idx="267">
                  <c:v>31.944717903389673</c:v>
                </c:pt>
                <c:pt idx="268">
                  <c:v>30.905032154620368</c:v>
                </c:pt>
                <c:pt idx="269">
                  <c:v>30.281766812625989</c:v>
                </c:pt>
                <c:pt idx="270">
                  <c:v>29.367871929004963</c:v>
                </c:pt>
                <c:pt idx="271">
                  <c:v>29.816399783631852</c:v>
                </c:pt>
                <c:pt idx="272">
                  <c:v>27.899503681565321</c:v>
                </c:pt>
                <c:pt idx="273">
                  <c:v>29.54290748735184</c:v>
                </c:pt>
                <c:pt idx="274">
                  <c:v>29.656559533352279</c:v>
                </c:pt>
                <c:pt idx="275">
                  <c:v>28.585247689548495</c:v>
                </c:pt>
                <c:pt idx="276">
                  <c:v>29.342644538407928</c:v>
                </c:pt>
                <c:pt idx="277">
                  <c:v>29.520531135154268</c:v>
                </c:pt>
                <c:pt idx="278">
                  <c:v>25.825303664148674</c:v>
                </c:pt>
                <c:pt idx="279">
                  <c:v>28.972781254005142</c:v>
                </c:pt>
                <c:pt idx="280">
                  <c:v>28.425909994617459</c:v>
                </c:pt>
                <c:pt idx="281">
                  <c:v>26.833200173835117</c:v>
                </c:pt>
                <c:pt idx="282">
                  <c:v>21.405536530211585</c:v>
                </c:pt>
                <c:pt idx="283">
                  <c:v>28.014827724061675</c:v>
                </c:pt>
                <c:pt idx="284">
                  <c:v>26.927218477967962</c:v>
                </c:pt>
                <c:pt idx="285">
                  <c:v>25.635281069099932</c:v>
                </c:pt>
                <c:pt idx="286">
                  <c:v>27.876049215110069</c:v>
                </c:pt>
                <c:pt idx="287">
                  <c:v>25.958386813134396</c:v>
                </c:pt>
                <c:pt idx="288">
                  <c:v>25.248209273651742</c:v>
                </c:pt>
                <c:pt idx="289">
                  <c:v>23.457499941196161</c:v>
                </c:pt>
                <c:pt idx="290">
                  <c:v>25.579002164286386</c:v>
                </c:pt>
                <c:pt idx="291">
                  <c:v>24.959587812927008</c:v>
                </c:pt>
                <c:pt idx="292">
                  <c:v>20.300420803339481</c:v>
                </c:pt>
                <c:pt idx="293">
                  <c:v>15.02935928669431</c:v>
                </c:pt>
                <c:pt idx="294">
                  <c:v>22.197470097705743</c:v>
                </c:pt>
                <c:pt idx="295">
                  <c:v>23.868421011205619</c:v>
                </c:pt>
                <c:pt idx="296">
                  <c:v>24.436721996898605</c:v>
                </c:pt>
                <c:pt idx="297">
                  <c:v>22.975160579894975</c:v>
                </c:pt>
                <c:pt idx="298">
                  <c:v>22.259943902038003</c:v>
                </c:pt>
                <c:pt idx="299">
                  <c:v>20.509460885058797</c:v>
                </c:pt>
                <c:pt idx="300">
                  <c:v>22.111247290077316</c:v>
                </c:pt>
                <c:pt idx="301">
                  <c:v>18.063917561707093</c:v>
                </c:pt>
                <c:pt idx="302">
                  <c:v>19.915918764671726</c:v>
                </c:pt>
                <c:pt idx="303">
                  <c:v>21.044547034866937</c:v>
                </c:pt>
                <c:pt idx="304">
                  <c:v>19.702358339343263</c:v>
                </c:pt>
                <c:pt idx="305">
                  <c:v>18.470798370056769</c:v>
                </c:pt>
                <c:pt idx="306">
                  <c:v>19.194337554419008</c:v>
                </c:pt>
                <c:pt idx="307">
                  <c:v>14.185805406628766</c:v>
                </c:pt>
                <c:pt idx="308">
                  <c:v>19.974952359032539</c:v>
                </c:pt>
                <c:pt idx="309">
                  <c:v>19.022619955261106</c:v>
                </c:pt>
                <c:pt idx="310">
                  <c:v>18.24735206974805</c:v>
                </c:pt>
                <c:pt idx="311">
                  <c:v>16.798255579370284</c:v>
                </c:pt>
                <c:pt idx="312">
                  <c:v>13.987292778156712</c:v>
                </c:pt>
                <c:pt idx="313">
                  <c:v>13.982713546036214</c:v>
                </c:pt>
                <c:pt idx="314">
                  <c:v>16.472302935797078</c:v>
                </c:pt>
                <c:pt idx="315">
                  <c:v>16.237743820350616</c:v>
                </c:pt>
                <c:pt idx="316">
                  <c:v>17.166565954887307</c:v>
                </c:pt>
                <c:pt idx="317">
                  <c:v>12.052084330395068</c:v>
                </c:pt>
                <c:pt idx="318">
                  <c:v>15.011200511504091</c:v>
                </c:pt>
                <c:pt idx="319">
                  <c:v>14.52095020445914</c:v>
                </c:pt>
                <c:pt idx="320">
                  <c:v>16.318890198291346</c:v>
                </c:pt>
                <c:pt idx="321">
                  <c:v>14.520944266694507</c:v>
                </c:pt>
                <c:pt idx="322">
                  <c:v>15.038910963249226</c:v>
                </c:pt>
                <c:pt idx="323">
                  <c:v>14.953005209630511</c:v>
                </c:pt>
                <c:pt idx="324">
                  <c:v>14.614708080024094</c:v>
                </c:pt>
                <c:pt idx="325">
                  <c:v>15.138714921882022</c:v>
                </c:pt>
                <c:pt idx="326">
                  <c:v>14.559641419504979</c:v>
                </c:pt>
                <c:pt idx="327">
                  <c:v>14.017853674238541</c:v>
                </c:pt>
                <c:pt idx="328">
                  <c:v>14.256922771094214</c:v>
                </c:pt>
                <c:pt idx="329">
                  <c:v>13.332457203646875</c:v>
                </c:pt>
                <c:pt idx="330">
                  <c:v>14.406333862137721</c:v>
                </c:pt>
                <c:pt idx="331">
                  <c:v>11.673950035161885</c:v>
                </c:pt>
                <c:pt idx="332">
                  <c:v>13.75945482004663</c:v>
                </c:pt>
                <c:pt idx="333">
                  <c:v>12.01500433375004</c:v>
                </c:pt>
                <c:pt idx="334">
                  <c:v>12.606497833534238</c:v>
                </c:pt>
                <c:pt idx="335">
                  <c:v>5.9138462610467215</c:v>
                </c:pt>
                <c:pt idx="336">
                  <c:v>10.154627758831777</c:v>
                </c:pt>
                <c:pt idx="337">
                  <c:v>9.825135926325423</c:v>
                </c:pt>
                <c:pt idx="338">
                  <c:v>11.560418979019833</c:v>
                </c:pt>
                <c:pt idx="339">
                  <c:v>11.896832592856089</c:v>
                </c:pt>
                <c:pt idx="340">
                  <c:v>11.718067390953806</c:v>
                </c:pt>
                <c:pt idx="341">
                  <c:v>10.360105711351219</c:v>
                </c:pt>
                <c:pt idx="342">
                  <c:v>6.3586080107423522</c:v>
                </c:pt>
                <c:pt idx="343">
                  <c:v>11.203024909325297</c:v>
                </c:pt>
                <c:pt idx="344">
                  <c:v>10.504365744752464</c:v>
                </c:pt>
                <c:pt idx="345">
                  <c:v>10.718459481317785</c:v>
                </c:pt>
                <c:pt idx="346">
                  <c:v>11.207179441431046</c:v>
                </c:pt>
                <c:pt idx="347">
                  <c:v>10.863458902037726</c:v>
                </c:pt>
                <c:pt idx="348">
                  <c:v>11.20513204000641</c:v>
                </c:pt>
                <c:pt idx="349">
                  <c:v>11.238528761899044</c:v>
                </c:pt>
                <c:pt idx="350">
                  <c:v>12.021783785395716</c:v>
                </c:pt>
                <c:pt idx="351">
                  <c:v>11.681754622743613</c:v>
                </c:pt>
                <c:pt idx="352">
                  <c:v>11.859161695286367</c:v>
                </c:pt>
                <c:pt idx="353">
                  <c:v>10.857367407751404</c:v>
                </c:pt>
                <c:pt idx="354">
                  <c:v>10.896065094329265</c:v>
                </c:pt>
                <c:pt idx="355">
                  <c:v>12.677093484896854</c:v>
                </c:pt>
                <c:pt idx="356">
                  <c:v>11.766325638958318</c:v>
                </c:pt>
                <c:pt idx="357">
                  <c:v>11.585601604209947</c:v>
                </c:pt>
                <c:pt idx="358">
                  <c:v>7.2647215358617787</c:v>
                </c:pt>
                <c:pt idx="359">
                  <c:v>12.958648457601393</c:v>
                </c:pt>
                <c:pt idx="360">
                  <c:v>13.195050919032267</c:v>
                </c:pt>
                <c:pt idx="361">
                  <c:v>12.61970257797199</c:v>
                </c:pt>
                <c:pt idx="362">
                  <c:v>12.09881611457118</c:v>
                </c:pt>
                <c:pt idx="363">
                  <c:v>12.623938379603631</c:v>
                </c:pt>
                <c:pt idx="364">
                  <c:v>12.634141180813497</c:v>
                </c:pt>
                <c:pt idx="365">
                  <c:v>9.8304510021791351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13.113081184620425</c:v>
                </c:pt>
                <c:pt idx="1">
                  <c:v>10.125231645438662</c:v>
                </c:pt>
                <c:pt idx="2">
                  <c:v>11.678514410313179</c:v>
                </c:pt>
                <c:pt idx="3">
                  <c:v>12.269560185953107</c:v>
                </c:pt>
                <c:pt idx="4">
                  <c:v>10.068830641774086</c:v>
                </c:pt>
                <c:pt idx="5">
                  <c:v>14.635126795331709</c:v>
                </c:pt>
                <c:pt idx="6">
                  <c:v>6.3399603071780124</c:v>
                </c:pt>
                <c:pt idx="7">
                  <c:v>5.0872555399504416</c:v>
                </c:pt>
                <c:pt idx="8">
                  <c:v>1.3990041807525166</c:v>
                </c:pt>
                <c:pt idx="9">
                  <c:v>1.0045968267923975</c:v>
                </c:pt>
                <c:pt idx="10">
                  <c:v>15.067623483252582</c:v>
                </c:pt>
                <c:pt idx="11">
                  <c:v>12.163228323215435</c:v>
                </c:pt>
                <c:pt idx="12">
                  <c:v>3.6123210138451154</c:v>
                </c:pt>
                <c:pt idx="13">
                  <c:v>15.66337716078853</c:v>
                </c:pt>
                <c:pt idx="14">
                  <c:v>16.01372498587039</c:v>
                </c:pt>
                <c:pt idx="15">
                  <c:v>16.102218040848967</c:v>
                </c:pt>
                <c:pt idx="16">
                  <c:v>11.494776439311693</c:v>
                </c:pt>
                <c:pt idx="17">
                  <c:v>2.7241910609055324</c:v>
                </c:pt>
                <c:pt idx="18">
                  <c:v>8.2539844879182809</c:v>
                </c:pt>
                <c:pt idx="19">
                  <c:v>4.3541354437743998</c:v>
                </c:pt>
                <c:pt idx="20">
                  <c:v>12.199672633065241</c:v>
                </c:pt>
                <c:pt idx="21">
                  <c:v>17.808971984336939</c:v>
                </c:pt>
                <c:pt idx="22">
                  <c:v>17.871865098354334</c:v>
                </c:pt>
                <c:pt idx="23">
                  <c:v>18.189713580371091</c:v>
                </c:pt>
                <c:pt idx="24">
                  <c:v>17.201428770631761</c:v>
                </c:pt>
                <c:pt idx="25">
                  <c:v>18.754153438721257</c:v>
                </c:pt>
                <c:pt idx="26">
                  <c:v>15.896017389858935</c:v>
                </c:pt>
                <c:pt idx="27">
                  <c:v>2.891708509470305</c:v>
                </c:pt>
                <c:pt idx="28">
                  <c:v>4.9434084842334549</c:v>
                </c:pt>
                <c:pt idx="29">
                  <c:v>3.2072930839756593</c:v>
                </c:pt>
                <c:pt idx="30">
                  <c:v>7.5611599873946806</c:v>
                </c:pt>
                <c:pt idx="31">
                  <c:v>9.4601633612892879</c:v>
                </c:pt>
                <c:pt idx="32">
                  <c:v>4.1324515510322657</c:v>
                </c:pt>
                <c:pt idx="33">
                  <c:v>8.871475655479431</c:v>
                </c:pt>
                <c:pt idx="34">
                  <c:v>8.6005103924123922</c:v>
                </c:pt>
                <c:pt idx="35">
                  <c:v>7.9693530747339194</c:v>
                </c:pt>
                <c:pt idx="36">
                  <c:v>16.62077837248026</c:v>
                </c:pt>
                <c:pt idx="37">
                  <c:v>9.6112349615678099</c:v>
                </c:pt>
                <c:pt idx="38">
                  <c:v>23.402327715383759</c:v>
                </c:pt>
                <c:pt idx="39">
                  <c:v>23.433477340738428</c:v>
                </c:pt>
                <c:pt idx="40">
                  <c:v>22.177935187448366</c:v>
                </c:pt>
                <c:pt idx="41">
                  <c:v>11.803607787089303</c:v>
                </c:pt>
                <c:pt idx="42">
                  <c:v>18.97139766866292</c:v>
                </c:pt>
                <c:pt idx="43">
                  <c:v>21.848657424504548</c:v>
                </c:pt>
                <c:pt idx="44">
                  <c:v>11.906158641002708</c:v>
                </c:pt>
                <c:pt idx="45">
                  <c:v>15.105474951867281</c:v>
                </c:pt>
                <c:pt idx="46">
                  <c:v>6.5356655797205931</c:v>
                </c:pt>
                <c:pt idx="47">
                  <c:v>11.221051263568242</c:v>
                </c:pt>
                <c:pt idx="48">
                  <c:v>21.423399501903923</c:v>
                </c:pt>
                <c:pt idx="49">
                  <c:v>13.687009769548519</c:v>
                </c:pt>
                <c:pt idx="50">
                  <c:v>15.39971976721012</c:v>
                </c:pt>
                <c:pt idx="51">
                  <c:v>15.950255225536782</c:v>
                </c:pt>
                <c:pt idx="52">
                  <c:v>25.057422406427815</c:v>
                </c:pt>
                <c:pt idx="53">
                  <c:v>25.620087741609272</c:v>
                </c:pt>
                <c:pt idx="54">
                  <c:v>16.426571213846238</c:v>
                </c:pt>
                <c:pt idx="55">
                  <c:v>23.025504108015859</c:v>
                </c:pt>
                <c:pt idx="56">
                  <c:v>28.941558485562066</c:v>
                </c:pt>
                <c:pt idx="57">
                  <c:v>19.452284220281804</c:v>
                </c:pt>
                <c:pt idx="58">
                  <c:v>25.521075885672495</c:v>
                </c:pt>
                <c:pt idx="59">
                  <c:v>28.679109175623339</c:v>
                </c:pt>
                <c:pt idx="60">
                  <c:v>10.449304130693555</c:v>
                </c:pt>
                <c:pt idx="61">
                  <c:v>27.01618388081711</c:v>
                </c:pt>
                <c:pt idx="62">
                  <c:v>4.0928194998000684</c:v>
                </c:pt>
                <c:pt idx="63">
                  <c:v>10.501496371209068</c:v>
                </c:pt>
                <c:pt idx="64">
                  <c:v>14.304608852024277</c:v>
                </c:pt>
                <c:pt idx="65">
                  <c:v>27.215983452666894</c:v>
                </c:pt>
                <c:pt idx="66">
                  <c:v>22.557219179099164</c:v>
                </c:pt>
                <c:pt idx="67">
                  <c:v>25.360092737422072</c:v>
                </c:pt>
                <c:pt idx="68">
                  <c:v>17.51457834913176</c:v>
                </c:pt>
                <c:pt idx="69">
                  <c:v>11.331394178212099</c:v>
                </c:pt>
                <c:pt idx="70">
                  <c:v>11.418663101583729</c:v>
                </c:pt>
                <c:pt idx="71">
                  <c:v>6.2368144782343657</c:v>
                </c:pt>
                <c:pt idx="72">
                  <c:v>8.9283988651265034</c:v>
                </c:pt>
                <c:pt idx="73">
                  <c:v>9.1405485517509728</c:v>
                </c:pt>
                <c:pt idx="74">
                  <c:v>7.0245069421679558</c:v>
                </c:pt>
                <c:pt idx="75">
                  <c:v>8.2400881483296455</c:v>
                </c:pt>
                <c:pt idx="76">
                  <c:v>10.285370898926834</c:v>
                </c:pt>
                <c:pt idx="77">
                  <c:v>20.668304205078591</c:v>
                </c:pt>
                <c:pt idx="78">
                  <c:v>23.046787539706486</c:v>
                </c:pt>
                <c:pt idx="79">
                  <c:v>33.01770858267119</c:v>
                </c:pt>
                <c:pt idx="80">
                  <c:v>30.482102645902163</c:v>
                </c:pt>
                <c:pt idx="81">
                  <c:v>34.238554511891387</c:v>
                </c:pt>
                <c:pt idx="82">
                  <c:v>33.897145052711679</c:v>
                </c:pt>
                <c:pt idx="83">
                  <c:v>30.273151593779929</c:v>
                </c:pt>
                <c:pt idx="84">
                  <c:v>32.216374813435301</c:v>
                </c:pt>
                <c:pt idx="85">
                  <c:v>32.137530779331819</c:v>
                </c:pt>
                <c:pt idx="86">
                  <c:v>24.832751098642269</c:v>
                </c:pt>
                <c:pt idx="87">
                  <c:v>19.97788176588956</c:v>
                </c:pt>
                <c:pt idx="88">
                  <c:v>4.9406632892874116</c:v>
                </c:pt>
                <c:pt idx="89">
                  <c:v>21.324828854498513</c:v>
                </c:pt>
                <c:pt idx="90">
                  <c:v>23.481536445770328</c:v>
                </c:pt>
                <c:pt idx="91">
                  <c:v>14.494572201398373</c:v>
                </c:pt>
                <c:pt idx="92">
                  <c:v>17.228797941325777</c:v>
                </c:pt>
                <c:pt idx="93">
                  <c:v>31.379573106990492</c:v>
                </c:pt>
                <c:pt idx="94">
                  <c:v>38.689387790565419</c:v>
                </c:pt>
                <c:pt idx="95">
                  <c:v>8.899731884760758</c:v>
                </c:pt>
                <c:pt idx="96">
                  <c:v>28.772501504267613</c:v>
                </c:pt>
                <c:pt idx="97">
                  <c:v>22.689512977008199</c:v>
                </c:pt>
                <c:pt idx="98">
                  <c:v>27.391073530837588</c:v>
                </c:pt>
                <c:pt idx="99">
                  <c:v>38.780942750477344</c:v>
                </c:pt>
                <c:pt idx="100">
                  <c:v>31.086260163811616</c:v>
                </c:pt>
                <c:pt idx="101">
                  <c:v>26.377755180194516</c:v>
                </c:pt>
                <c:pt idx="102">
                  <c:v>5.1245118142962225</c:v>
                </c:pt>
                <c:pt idx="103">
                  <c:v>29.055463983298168</c:v>
                </c:pt>
                <c:pt idx="104">
                  <c:v>32.228882199738592</c:v>
                </c:pt>
                <c:pt idx="105">
                  <c:v>32.449394180065866</c:v>
                </c:pt>
                <c:pt idx="106">
                  <c:v>40.23868442366517</c:v>
                </c:pt>
                <c:pt idx="107">
                  <c:v>28.819471293246423</c:v>
                </c:pt>
                <c:pt idx="108">
                  <c:v>7.0617994746801056</c:v>
                </c:pt>
                <c:pt idx="109">
                  <c:v>7.2228323350049664</c:v>
                </c:pt>
                <c:pt idx="110">
                  <c:v>7.7169860544404987</c:v>
                </c:pt>
                <c:pt idx="111">
                  <c:v>20.348961263903767</c:v>
                </c:pt>
                <c:pt idx="112">
                  <c:v>6.3502860653964861</c:v>
                </c:pt>
                <c:pt idx="113">
                  <c:v>24.965667437147506</c:v>
                </c:pt>
                <c:pt idx="114">
                  <c:v>34.609832496093716</c:v>
                </c:pt>
                <c:pt idx="115">
                  <c:v>39.97943878783088</c:v>
                </c:pt>
                <c:pt idx="116">
                  <c:v>29.008527228448123</c:v>
                </c:pt>
                <c:pt idx="117">
                  <c:v>18.567318392381065</c:v>
                </c:pt>
                <c:pt idx="118">
                  <c:v>31.612525457458464</c:v>
                </c:pt>
                <c:pt idx="119">
                  <c:v>33.274981308646517</c:v>
                </c:pt>
                <c:pt idx="120">
                  <c:v>34.303031324274393</c:v>
                </c:pt>
                <c:pt idx="121">
                  <c:v>19.98776788257306</c:v>
                </c:pt>
                <c:pt idx="122">
                  <c:v>22.215391637027544</c:v>
                </c:pt>
                <c:pt idx="123">
                  <c:v>15.488411761251898</c:v>
                </c:pt>
                <c:pt idx="124">
                  <c:v>30.294712686159112</c:v>
                </c:pt>
                <c:pt idx="125">
                  <c:v>28.117399326686314</c:v>
                </c:pt>
                <c:pt idx="126">
                  <c:v>34.955377641753955</c:v>
                </c:pt>
                <c:pt idx="127">
                  <c:v>36.066573431333204</c:v>
                </c:pt>
                <c:pt idx="128">
                  <c:v>40.647662544730203</c:v>
                </c:pt>
                <c:pt idx="129">
                  <c:v>37.579575727883402</c:v>
                </c:pt>
                <c:pt idx="130">
                  <c:v>40.531538531633224</c:v>
                </c:pt>
                <c:pt idx="131">
                  <c:v>31.197061071585896</c:v>
                </c:pt>
                <c:pt idx="132">
                  <c:v>34.063158222562798</c:v>
                </c:pt>
                <c:pt idx="133">
                  <c:v>35.48218915799513</c:v>
                </c:pt>
                <c:pt idx="134">
                  <c:v>37.797179347143995</c:v>
                </c:pt>
                <c:pt idx="135">
                  <c:v>36.612235094431377</c:v>
                </c:pt>
                <c:pt idx="136">
                  <c:v>39.357839903187006</c:v>
                </c:pt>
                <c:pt idx="137">
                  <c:v>37.857031988664168</c:v>
                </c:pt>
                <c:pt idx="138">
                  <c:v>39.072930032792662</c:v>
                </c:pt>
                <c:pt idx="139">
                  <c:v>34.858176450271422</c:v>
                </c:pt>
                <c:pt idx="140">
                  <c:v>34.753337080815953</c:v>
                </c:pt>
                <c:pt idx="141">
                  <c:v>25.979370190920456</c:v>
                </c:pt>
                <c:pt idx="142">
                  <c:v>13.526610052219135</c:v>
                </c:pt>
                <c:pt idx="143">
                  <c:v>12.109533029431791</c:v>
                </c:pt>
                <c:pt idx="144">
                  <c:v>29.835657473081969</c:v>
                </c:pt>
                <c:pt idx="145">
                  <c:v>15.978414407576402</c:v>
                </c:pt>
                <c:pt idx="146">
                  <c:v>31.700428957965595</c:v>
                </c:pt>
                <c:pt idx="147">
                  <c:v>40.325535220007595</c:v>
                </c:pt>
                <c:pt idx="148">
                  <c:v>43.771585370686978</c:v>
                </c:pt>
                <c:pt idx="149">
                  <c:v>36.257161813807407</c:v>
                </c:pt>
                <c:pt idx="150">
                  <c:v>39.682483106542961</c:v>
                </c:pt>
                <c:pt idx="151">
                  <c:v>40.591912618408223</c:v>
                </c:pt>
                <c:pt idx="152">
                  <c:v>32.418951631784523</c:v>
                </c:pt>
                <c:pt idx="153">
                  <c:v>39.269073008719751</c:v>
                </c:pt>
                <c:pt idx="154">
                  <c:v>19.511266034952591</c:v>
                </c:pt>
                <c:pt idx="155">
                  <c:v>23.941996250314073</c:v>
                </c:pt>
                <c:pt idx="156">
                  <c:v>33.230013924667368</c:v>
                </c:pt>
                <c:pt idx="157">
                  <c:v>19.259245514063288</c:v>
                </c:pt>
                <c:pt idx="158">
                  <c:v>17.002206801709359</c:v>
                </c:pt>
                <c:pt idx="159">
                  <c:v>33.284757184799638</c:v>
                </c:pt>
                <c:pt idx="160">
                  <c:v>42.347233701436771</c:v>
                </c:pt>
                <c:pt idx="161">
                  <c:v>40.130158094722169</c:v>
                </c:pt>
                <c:pt idx="162">
                  <c:v>31.775314722678644</c:v>
                </c:pt>
                <c:pt idx="163">
                  <c:v>38.677194364786089</c:v>
                </c:pt>
                <c:pt idx="164">
                  <c:v>34.654679976732957</c:v>
                </c:pt>
                <c:pt idx="165">
                  <c:v>39.284680421129103</c:v>
                </c:pt>
                <c:pt idx="166">
                  <c:v>37.072612616521525</c:v>
                </c:pt>
                <c:pt idx="167">
                  <c:v>37.754761758737096</c:v>
                </c:pt>
                <c:pt idx="168">
                  <c:v>39.150894218603867</c:v>
                </c:pt>
                <c:pt idx="169">
                  <c:v>40.09284587657087</c:v>
                </c:pt>
                <c:pt idx="170">
                  <c:v>22.537290893212859</c:v>
                </c:pt>
                <c:pt idx="171">
                  <c:v>15.776816067949103</c:v>
                </c:pt>
                <c:pt idx="172">
                  <c:v>32.923617315425467</c:v>
                </c:pt>
                <c:pt idx="173">
                  <c:v>29.584069484411511</c:v>
                </c:pt>
                <c:pt idx="174">
                  <c:v>33.58078468897488</c:v>
                </c:pt>
                <c:pt idx="175">
                  <c:v>23.952083735084258</c:v>
                </c:pt>
                <c:pt idx="176">
                  <c:v>8.5469039237348543</c:v>
                </c:pt>
                <c:pt idx="177">
                  <c:v>11.067277512433622</c:v>
                </c:pt>
                <c:pt idx="178">
                  <c:v>43.026185543990657</c:v>
                </c:pt>
                <c:pt idx="179">
                  <c:v>41.575903340599019</c:v>
                </c:pt>
                <c:pt idx="180">
                  <c:v>10.112243249778215</c:v>
                </c:pt>
                <c:pt idx="181">
                  <c:v>39.182154153910105</c:v>
                </c:pt>
                <c:pt idx="182">
                  <c:v>40.387490579650731</c:v>
                </c:pt>
                <c:pt idx="183">
                  <c:v>33.427082447456463</c:v>
                </c:pt>
                <c:pt idx="184">
                  <c:v>32.038010626508665</c:v>
                </c:pt>
                <c:pt idx="185">
                  <c:v>39.986392186605819</c:v>
                </c:pt>
                <c:pt idx="186">
                  <c:v>31.945337323291508</c:v>
                </c:pt>
                <c:pt idx="187">
                  <c:v>41.168172925291458</c:v>
                </c:pt>
                <c:pt idx="188">
                  <c:v>42.472550687835621</c:v>
                </c:pt>
                <c:pt idx="189">
                  <c:v>41.669144620844989</c:v>
                </c:pt>
                <c:pt idx="190">
                  <c:v>41.184194792398188</c:v>
                </c:pt>
                <c:pt idx="191">
                  <c:v>39.735931586193558</c:v>
                </c:pt>
                <c:pt idx="192">
                  <c:v>39.541137383491282</c:v>
                </c:pt>
                <c:pt idx="193">
                  <c:v>39.387936405089434</c:v>
                </c:pt>
                <c:pt idx="194">
                  <c:v>38.699351978486845</c:v>
                </c:pt>
                <c:pt idx="195">
                  <c:v>37.475158803509267</c:v>
                </c:pt>
                <c:pt idx="196">
                  <c:v>38.84667634256131</c:v>
                </c:pt>
                <c:pt idx="197">
                  <c:v>38.08997045466694</c:v>
                </c:pt>
                <c:pt idx="198">
                  <c:v>38.01746196958247</c:v>
                </c:pt>
                <c:pt idx="199">
                  <c:v>29.518466138299036</c:v>
                </c:pt>
                <c:pt idx="200">
                  <c:v>28.895417034199351</c:v>
                </c:pt>
                <c:pt idx="201">
                  <c:v>37.731956107423237</c:v>
                </c:pt>
                <c:pt idx="202">
                  <c:v>29.951397279492873</c:v>
                </c:pt>
                <c:pt idx="203">
                  <c:v>35.065754349983763</c:v>
                </c:pt>
                <c:pt idx="204">
                  <c:v>37.893996743141429</c:v>
                </c:pt>
                <c:pt idx="205">
                  <c:v>21.353011775298434</c:v>
                </c:pt>
                <c:pt idx="206">
                  <c:v>39.307257543631842</c:v>
                </c:pt>
                <c:pt idx="207">
                  <c:v>41.272360426201722</c:v>
                </c:pt>
                <c:pt idx="208">
                  <c:v>33.30861133877076</c:v>
                </c:pt>
                <c:pt idx="209">
                  <c:v>21.244670252956531</c:v>
                </c:pt>
                <c:pt idx="210">
                  <c:v>33.954390193564478</c:v>
                </c:pt>
                <c:pt idx="211">
                  <c:v>39.57385341036813</c:v>
                </c:pt>
                <c:pt idx="212">
                  <c:v>39.466065603726243</c:v>
                </c:pt>
                <c:pt idx="213">
                  <c:v>39.353713796788718</c:v>
                </c:pt>
                <c:pt idx="214">
                  <c:v>36.724819198888646</c:v>
                </c:pt>
                <c:pt idx="215">
                  <c:v>36.110268301949532</c:v>
                </c:pt>
                <c:pt idx="216">
                  <c:v>32.78850597632696</c:v>
                </c:pt>
                <c:pt idx="217">
                  <c:v>35.587168530065945</c:v>
                </c:pt>
                <c:pt idx="218">
                  <c:v>38.135550728798151</c:v>
                </c:pt>
                <c:pt idx="219">
                  <c:v>38.853932004616944</c:v>
                </c:pt>
                <c:pt idx="220">
                  <c:v>36.566634473861754</c:v>
                </c:pt>
                <c:pt idx="221">
                  <c:v>35.189204040046462</c:v>
                </c:pt>
                <c:pt idx="222">
                  <c:v>32.861237601450838</c:v>
                </c:pt>
                <c:pt idx="223">
                  <c:v>34.27274619245987</c:v>
                </c:pt>
                <c:pt idx="224">
                  <c:v>24.668864729093134</c:v>
                </c:pt>
                <c:pt idx="225">
                  <c:v>26.113618741612477</c:v>
                </c:pt>
                <c:pt idx="226">
                  <c:v>24.95688223654243</c:v>
                </c:pt>
                <c:pt idx="227">
                  <c:v>24.689495471907193</c:v>
                </c:pt>
                <c:pt idx="228">
                  <c:v>19.614375739992656</c:v>
                </c:pt>
                <c:pt idx="229">
                  <c:v>29.105397221994217</c:v>
                </c:pt>
                <c:pt idx="230">
                  <c:v>29.344529856319895</c:v>
                </c:pt>
                <c:pt idx="231">
                  <c:v>36.425875849219466</c:v>
                </c:pt>
                <c:pt idx="232">
                  <c:v>22.83608585749807</c:v>
                </c:pt>
                <c:pt idx="233">
                  <c:v>18.936696334394476</c:v>
                </c:pt>
                <c:pt idx="234">
                  <c:v>33.916447842136613</c:v>
                </c:pt>
                <c:pt idx="235">
                  <c:v>33.333696106921295</c:v>
                </c:pt>
                <c:pt idx="236">
                  <c:v>24.58433542578123</c:v>
                </c:pt>
                <c:pt idx="237">
                  <c:v>29.924986284005364</c:v>
                </c:pt>
                <c:pt idx="238">
                  <c:v>36.207633790648693</c:v>
                </c:pt>
                <c:pt idx="239">
                  <c:v>35.036498392596727</c:v>
                </c:pt>
                <c:pt idx="240">
                  <c:v>24.019117864524507</c:v>
                </c:pt>
                <c:pt idx="241">
                  <c:v>34.631005216334579</c:v>
                </c:pt>
                <c:pt idx="242">
                  <c:v>16.23010034124967</c:v>
                </c:pt>
                <c:pt idx="243">
                  <c:v>30.614343533345316</c:v>
                </c:pt>
                <c:pt idx="244">
                  <c:v>30.192598195646426</c:v>
                </c:pt>
                <c:pt idx="245">
                  <c:v>29.335148430244079</c:v>
                </c:pt>
                <c:pt idx="246">
                  <c:v>32.507119332566376</c:v>
                </c:pt>
                <c:pt idx="247">
                  <c:v>28.81886707795627</c:v>
                </c:pt>
                <c:pt idx="248">
                  <c:v>32.960525422986301</c:v>
                </c:pt>
                <c:pt idx="249">
                  <c:v>25.039544779102929</c:v>
                </c:pt>
                <c:pt idx="250">
                  <c:v>27.703917345487255</c:v>
                </c:pt>
                <c:pt idx="251">
                  <c:v>15.450050562276456</c:v>
                </c:pt>
                <c:pt idx="252">
                  <c:v>33.121802280387051</c:v>
                </c:pt>
                <c:pt idx="253">
                  <c:v>33.003036179252092</c:v>
                </c:pt>
                <c:pt idx="254">
                  <c:v>23.174475650288763</c:v>
                </c:pt>
                <c:pt idx="255">
                  <c:v>8.7192493674003337</c:v>
                </c:pt>
                <c:pt idx="256">
                  <c:v>25.872051655821465</c:v>
                </c:pt>
                <c:pt idx="257">
                  <c:v>31.392190606728214</c:v>
                </c:pt>
                <c:pt idx="258">
                  <c:v>23.488194450520023</c:v>
                </c:pt>
                <c:pt idx="259">
                  <c:v>33.133845987379907</c:v>
                </c:pt>
                <c:pt idx="260">
                  <c:v>33.270665157690054</c:v>
                </c:pt>
                <c:pt idx="261">
                  <c:v>32.612832561298127</c:v>
                </c:pt>
                <c:pt idx="262">
                  <c:v>34.029849011308073</c:v>
                </c:pt>
                <c:pt idx="263">
                  <c:v>32.84635122027899</c:v>
                </c:pt>
                <c:pt idx="264">
                  <c:v>31.626022229598281</c:v>
                </c:pt>
                <c:pt idx="265">
                  <c:v>19.562147947906649</c:v>
                </c:pt>
                <c:pt idx="266">
                  <c:v>12.208591510694152</c:v>
                </c:pt>
                <c:pt idx="267">
                  <c:v>22.830085117231157</c:v>
                </c:pt>
                <c:pt idx="268">
                  <c:v>21.765523260704121</c:v>
                </c:pt>
                <c:pt idx="269">
                  <c:v>10.914546074719134</c:v>
                </c:pt>
                <c:pt idx="270">
                  <c:v>12.360784162836801</c:v>
                </c:pt>
                <c:pt idx="271">
                  <c:v>16.835694891674269</c:v>
                </c:pt>
                <c:pt idx="272">
                  <c:v>21.008758374573951</c:v>
                </c:pt>
                <c:pt idx="273">
                  <c:v>26.96785859603926</c:v>
                </c:pt>
                <c:pt idx="274">
                  <c:v>28.341138994621335</c:v>
                </c:pt>
                <c:pt idx="275">
                  <c:v>26.18765933419596</c:v>
                </c:pt>
                <c:pt idx="276">
                  <c:v>29.342644538407928</c:v>
                </c:pt>
                <c:pt idx="277">
                  <c:v>29.520531135154268</c:v>
                </c:pt>
                <c:pt idx="278">
                  <c:v>9.6407576120356069</c:v>
                </c:pt>
                <c:pt idx="279">
                  <c:v>20.177971239107283</c:v>
                </c:pt>
                <c:pt idx="280">
                  <c:v>12.746064537073556</c:v>
                </c:pt>
                <c:pt idx="281">
                  <c:v>26.833200173835117</c:v>
                </c:pt>
                <c:pt idx="282">
                  <c:v>21.405536530211585</c:v>
                </c:pt>
                <c:pt idx="283">
                  <c:v>16.762029230727773</c:v>
                </c:pt>
                <c:pt idx="284">
                  <c:v>20.38578526009395</c:v>
                </c:pt>
                <c:pt idx="285">
                  <c:v>15.715083680079989</c:v>
                </c:pt>
                <c:pt idx="286">
                  <c:v>12.383367793903355</c:v>
                </c:pt>
                <c:pt idx="287">
                  <c:v>25.958386813134396</c:v>
                </c:pt>
                <c:pt idx="288">
                  <c:v>23.041312332958196</c:v>
                </c:pt>
                <c:pt idx="289">
                  <c:v>13.417703474529516</c:v>
                </c:pt>
                <c:pt idx="290">
                  <c:v>23.350733482650419</c:v>
                </c:pt>
                <c:pt idx="291">
                  <c:v>10.721732022057308</c:v>
                </c:pt>
                <c:pt idx="292">
                  <c:v>5.1718292618806263</c:v>
                </c:pt>
                <c:pt idx="293">
                  <c:v>11.170102927004969</c:v>
                </c:pt>
                <c:pt idx="294">
                  <c:v>22.197470097705743</c:v>
                </c:pt>
                <c:pt idx="295">
                  <c:v>14.193883699759315</c:v>
                </c:pt>
                <c:pt idx="296">
                  <c:v>17.424111748702202</c:v>
                </c:pt>
                <c:pt idx="297">
                  <c:v>15.087211785390313</c:v>
                </c:pt>
                <c:pt idx="298">
                  <c:v>10.014445741399447</c:v>
                </c:pt>
                <c:pt idx="299">
                  <c:v>9.2679486109594365</c:v>
                </c:pt>
                <c:pt idx="300">
                  <c:v>12.248182840539751</c:v>
                </c:pt>
                <c:pt idx="301">
                  <c:v>18.063917561707093</c:v>
                </c:pt>
                <c:pt idx="302">
                  <c:v>15.072693448485985</c:v>
                </c:pt>
                <c:pt idx="303">
                  <c:v>14.275726185420737</c:v>
                </c:pt>
                <c:pt idx="304">
                  <c:v>15.297007332339952</c:v>
                </c:pt>
                <c:pt idx="305">
                  <c:v>17.880381431930342</c:v>
                </c:pt>
                <c:pt idx="306">
                  <c:v>6.509236172870593</c:v>
                </c:pt>
                <c:pt idx="307">
                  <c:v>9.4051703041123957</c:v>
                </c:pt>
                <c:pt idx="308">
                  <c:v>19.974952359032539</c:v>
                </c:pt>
                <c:pt idx="309">
                  <c:v>19.022619955261106</c:v>
                </c:pt>
                <c:pt idx="310">
                  <c:v>18.24735206974805</c:v>
                </c:pt>
                <c:pt idx="311">
                  <c:v>13.072730030744214</c:v>
                </c:pt>
                <c:pt idx="312">
                  <c:v>7.0897694436728029</c:v>
                </c:pt>
                <c:pt idx="313">
                  <c:v>13.982713546036214</c:v>
                </c:pt>
                <c:pt idx="314">
                  <c:v>16.472302935797078</c:v>
                </c:pt>
                <c:pt idx="315">
                  <c:v>16.237743820350616</c:v>
                </c:pt>
                <c:pt idx="316">
                  <c:v>16.290319426982204</c:v>
                </c:pt>
                <c:pt idx="317">
                  <c:v>7.0508569600936308</c:v>
                </c:pt>
                <c:pt idx="318">
                  <c:v>8.7962636848593814</c:v>
                </c:pt>
                <c:pt idx="319">
                  <c:v>14.52095020445914</c:v>
                </c:pt>
                <c:pt idx="320">
                  <c:v>10.791306589668929</c:v>
                </c:pt>
                <c:pt idx="321">
                  <c:v>8.9310719910075242</c:v>
                </c:pt>
                <c:pt idx="322">
                  <c:v>5.9908575836193876</c:v>
                </c:pt>
                <c:pt idx="323">
                  <c:v>11.752936706772632</c:v>
                </c:pt>
                <c:pt idx="324">
                  <c:v>2.229549992013117</c:v>
                </c:pt>
                <c:pt idx="325">
                  <c:v>6.5366915751711554</c:v>
                </c:pt>
                <c:pt idx="326">
                  <c:v>8.7753795394941001</c:v>
                </c:pt>
                <c:pt idx="327">
                  <c:v>8.4968218355200857</c:v>
                </c:pt>
                <c:pt idx="328">
                  <c:v>3.5015295043282473</c:v>
                </c:pt>
                <c:pt idx="329">
                  <c:v>7.0369250719142418</c:v>
                </c:pt>
                <c:pt idx="330">
                  <c:v>9.8392377501987873</c:v>
                </c:pt>
                <c:pt idx="331">
                  <c:v>6.4485996648026731</c:v>
                </c:pt>
                <c:pt idx="332">
                  <c:v>7.2452966246033785</c:v>
                </c:pt>
                <c:pt idx="333">
                  <c:v>2.6430543841740364</c:v>
                </c:pt>
                <c:pt idx="334">
                  <c:v>2.4468644647520654</c:v>
                </c:pt>
                <c:pt idx="335">
                  <c:v>3.7839683058007867</c:v>
                </c:pt>
                <c:pt idx="336">
                  <c:v>6.7093822948481625</c:v>
                </c:pt>
                <c:pt idx="337">
                  <c:v>9.825135926325423</c:v>
                </c:pt>
                <c:pt idx="338">
                  <c:v>11.560418979019833</c:v>
                </c:pt>
                <c:pt idx="339">
                  <c:v>8.2354866536287439</c:v>
                </c:pt>
                <c:pt idx="340">
                  <c:v>9.6886799716624097</c:v>
                </c:pt>
                <c:pt idx="341">
                  <c:v>3.0823151178662398</c:v>
                </c:pt>
                <c:pt idx="342">
                  <c:v>4.4142578170057902</c:v>
                </c:pt>
                <c:pt idx="343">
                  <c:v>7.7447153053825968</c:v>
                </c:pt>
                <c:pt idx="344">
                  <c:v>9.0966017152988385</c:v>
                </c:pt>
                <c:pt idx="345">
                  <c:v>3.5567418923574872</c:v>
                </c:pt>
                <c:pt idx="346">
                  <c:v>3.5290962175599687</c:v>
                </c:pt>
                <c:pt idx="347">
                  <c:v>8.5401461538280152</c:v>
                </c:pt>
                <c:pt idx="348">
                  <c:v>4.1541023716436971</c:v>
                </c:pt>
                <c:pt idx="349">
                  <c:v>3.4586406758495349</c:v>
                </c:pt>
                <c:pt idx="350">
                  <c:v>2.0215143499413939</c:v>
                </c:pt>
                <c:pt idx="351">
                  <c:v>11.214972831905575</c:v>
                </c:pt>
                <c:pt idx="352">
                  <c:v>11.194737433692417</c:v>
                </c:pt>
                <c:pt idx="353">
                  <c:v>2.77925469919475</c:v>
                </c:pt>
                <c:pt idx="354">
                  <c:v>10.150108436409633</c:v>
                </c:pt>
                <c:pt idx="355">
                  <c:v>11.510741951142982</c:v>
                </c:pt>
                <c:pt idx="356">
                  <c:v>11.326675667959588</c:v>
                </c:pt>
                <c:pt idx="357">
                  <c:v>11.585601604209947</c:v>
                </c:pt>
                <c:pt idx="358">
                  <c:v>6.7522688852313832</c:v>
                </c:pt>
                <c:pt idx="359">
                  <c:v>11.957161265116167</c:v>
                </c:pt>
                <c:pt idx="360">
                  <c:v>4.4775443619688629</c:v>
                </c:pt>
                <c:pt idx="361">
                  <c:v>12.61970257797199</c:v>
                </c:pt>
                <c:pt idx="362">
                  <c:v>7.02529846331492</c:v>
                </c:pt>
                <c:pt idx="363">
                  <c:v>9.0340918295586317</c:v>
                </c:pt>
                <c:pt idx="364">
                  <c:v>8.4709553367605235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14.587100000000001</c:v>
                </c:pt>
                <c:pt idx="21">
                  <c:v>17.524099999999997</c:v>
                </c:pt>
                <c:pt idx="35">
                  <c:v>21.538</c:v>
                </c:pt>
                <c:pt idx="49">
                  <c:v>26.041399999999999</c:v>
                </c:pt>
                <c:pt idx="63">
                  <c:v>30.349</c:v>
                </c:pt>
                <c:pt idx="77">
                  <c:v>34.460799999999999</c:v>
                </c:pt>
                <c:pt idx="91">
                  <c:v>37.985199999999999</c:v>
                </c:pt>
                <c:pt idx="105">
                  <c:v>40.432699999999997</c:v>
                </c:pt>
                <c:pt idx="119">
                  <c:v>42.2928</c:v>
                </c:pt>
                <c:pt idx="133">
                  <c:v>43.369700000000002</c:v>
                </c:pt>
                <c:pt idx="147">
                  <c:v>43.5655</c:v>
                </c:pt>
                <c:pt idx="161">
                  <c:v>43.369700000000002</c:v>
                </c:pt>
                <c:pt idx="175">
                  <c:v>42.880199999999995</c:v>
                </c:pt>
                <c:pt idx="189">
                  <c:v>42.194900000000004</c:v>
                </c:pt>
                <c:pt idx="203">
                  <c:v>41.020099999999999</c:v>
                </c:pt>
                <c:pt idx="217">
                  <c:v>39.747399999999999</c:v>
                </c:pt>
                <c:pt idx="231">
                  <c:v>38.180999999999997</c:v>
                </c:pt>
                <c:pt idx="245">
                  <c:v>36.320900000000002</c:v>
                </c:pt>
                <c:pt idx="259">
                  <c:v>33.4818</c:v>
                </c:pt>
                <c:pt idx="273">
                  <c:v>30.251099999999997</c:v>
                </c:pt>
                <c:pt idx="287">
                  <c:v>26.433</c:v>
                </c:pt>
                <c:pt idx="301">
                  <c:v>22.0275</c:v>
                </c:pt>
                <c:pt idx="315">
                  <c:v>17.328299999999999</c:v>
                </c:pt>
                <c:pt idx="329">
                  <c:v>13.999699999999999</c:v>
                </c:pt>
                <c:pt idx="343">
                  <c:v>12.041700000000001</c:v>
                </c:pt>
                <c:pt idx="357">
                  <c:v>12.5312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637744"/>
        <c:axId val="245640096"/>
      </c:lineChart>
      <c:dateAx>
        <c:axId val="245637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640096"/>
        <c:crosses val="autoZero"/>
        <c:auto val="1"/>
        <c:lblOffset val="100"/>
        <c:baseTimeUnit val="days"/>
        <c:majorUnit val="1"/>
        <c:majorTimeUnit val="months"/>
      </c:dateAx>
      <c:valAx>
        <c:axId val="2456400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6377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3.7225116653148205E-2</c:v>
                </c:pt>
                <c:pt idx="1">
                  <c:v>3.7878606397629189E-2</c:v>
                </c:pt>
                <c:pt idx="2">
                  <c:v>3.8468473941090764E-2</c:v>
                </c:pt>
                <c:pt idx="3">
                  <c:v>3.9121119748686262E-2</c:v>
                </c:pt>
                <c:pt idx="4">
                  <c:v>3.9752290679429536E-2</c:v>
                </c:pt>
                <c:pt idx="5">
                  <c:v>4.0404065088023411E-2</c:v>
                </c:pt>
                <c:pt idx="6">
                  <c:v>4.1034393292570304E-2</c:v>
                </c:pt>
                <c:pt idx="7">
                  <c:v>4.1685297465635873E-2</c:v>
                </c:pt>
                <c:pt idx="8">
                  <c:v>4.2335759833240005E-2</c:v>
                </c:pt>
                <c:pt idx="9">
                  <c:v>4.2964819168634594E-2</c:v>
                </c:pt>
                <c:pt idx="10">
                  <c:v>4.3614413052520229E-2</c:v>
                </c:pt>
                <c:pt idx="11">
                  <c:v>4.4242632481076294E-2</c:v>
                </c:pt>
                <c:pt idx="12">
                  <c:v>4.4891359040824641E-2</c:v>
                </c:pt>
                <c:pt idx="13">
                  <c:v>4.5539645273180773E-2</c:v>
                </c:pt>
                <c:pt idx="14">
                  <c:v>4.6124815906032124E-2</c:v>
                </c:pt>
                <c:pt idx="15">
                  <c:v>4.6772264921479456E-2</c:v>
                </c:pt>
                <c:pt idx="16">
                  <c:v>4.7398410057068685E-2</c:v>
                </c:pt>
                <c:pt idx="17">
                  <c:v>4.8044994612162162E-2</c:v>
                </c:pt>
                <c:pt idx="18">
                  <c:v>4.8670303731891407E-2</c:v>
                </c:pt>
                <c:pt idx="19">
                  <c:v>4.9316024980840312E-2</c:v>
                </c:pt>
                <c:pt idx="20">
                  <c:v>4.9961307942271271E-2</c:v>
                </c:pt>
                <c:pt idx="21">
                  <c:v>5.0585358296413085E-2</c:v>
                </c:pt>
                <c:pt idx="22">
                  <c:v>5.1229779689560107E-2</c:v>
                </c:pt>
                <c:pt idx="23">
                  <c:v>5.1852996824750197E-2</c:v>
                </c:pt>
                <c:pt idx="24">
                  <c:v>5.2517310557048891E-2</c:v>
                </c:pt>
                <c:pt idx="25">
                  <c:v>5.3160420624972393E-2</c:v>
                </c:pt>
                <c:pt idx="26">
                  <c:v>5.3740919032399859E-2</c:v>
                </c:pt>
                <c:pt idx="27">
                  <c:v>5.438319856807361E-2</c:v>
                </c:pt>
                <c:pt idx="28">
                  <c:v>5.5004344322187926E-2</c:v>
                </c:pt>
                <c:pt idx="29">
                  <c:v>5.564576629968887E-2</c:v>
                </c:pt>
                <c:pt idx="30">
                  <c:v>5.6266082713012477E-2</c:v>
                </c:pt>
                <c:pt idx="31">
                  <c:v>5.6906648277334271E-2</c:v>
                </c:pt>
                <c:pt idx="32">
                  <c:v>5.7546779053592734E-2</c:v>
                </c:pt>
                <c:pt idx="33">
                  <c:v>5.816584675179326E-2</c:v>
                </c:pt>
                <c:pt idx="34">
                  <c:v>5.8805122838857415E-2</c:v>
                </c:pt>
                <c:pt idx="35">
                  <c:v>5.9423363970844023E-2</c:v>
                </c:pt>
                <c:pt idx="36">
                  <c:v>6.0061786509877035E-2</c:v>
                </c:pt>
                <c:pt idx="37">
                  <c:v>6.0699775715439053E-2</c:v>
                </c:pt>
                <c:pt idx="38">
                  <c:v>6.1275651815436261E-2</c:v>
                </c:pt>
                <c:pt idx="39">
                  <c:v>6.1912817101988815E-2</c:v>
                </c:pt>
                <c:pt idx="40">
                  <c:v>6.2529016887952649E-2</c:v>
                </c:pt>
                <c:pt idx="41">
                  <c:v>6.3165331444770545E-2</c:v>
                </c:pt>
                <c:pt idx="42">
                  <c:v>6.3780708493696658E-2</c:v>
                </c:pt>
                <c:pt idx="43">
                  <c:v>6.4416173456656511E-2</c:v>
                </c:pt>
                <c:pt idx="44">
                  <c:v>6.5051207093619445E-2</c:v>
                </c:pt>
                <c:pt idx="45">
                  <c:v>6.5665345370507833E-2</c:v>
                </c:pt>
                <c:pt idx="46">
                  <c:v>6.6299531123870103E-2</c:v>
                </c:pt>
                <c:pt idx="47">
                  <c:v>6.6912849416204456E-2</c:v>
                </c:pt>
                <c:pt idx="48">
                  <c:v>6.7546188418042385E-2</c:v>
                </c:pt>
                <c:pt idx="49">
                  <c:v>6.817909753689344E-2</c:v>
                </c:pt>
                <c:pt idx="50">
                  <c:v>6.8750388135290885E-2</c:v>
                </c:pt>
                <c:pt idx="51">
                  <c:v>6.9382479895713556E-2</c:v>
                </c:pt>
                <c:pt idx="52">
                  <c:v>6.9993773096555523E-2</c:v>
                </c:pt>
                <c:pt idx="53">
                  <c:v>7.0625020901309399E-2</c:v>
                </c:pt>
                <c:pt idx="54">
                  <c:v>7.1235497916283141E-2</c:v>
                </c:pt>
                <c:pt idx="55">
                  <c:v>7.1865902892200073E-2</c:v>
                </c:pt>
                <c:pt idx="56">
                  <c:v>7.2495879976619437E-2</c:v>
                </c:pt>
                <c:pt idx="57">
                  <c:v>7.3105128083467474E-2</c:v>
                </c:pt>
                <c:pt idx="58">
                  <c:v>7.3734264035689168E-2</c:v>
                </c:pt>
                <c:pt idx="59">
                  <c:v>7.4342698687235753E-2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9.428684801613875E-2</c:v>
                </c:pt>
                <c:pt idx="1">
                  <c:v>9.6604704061221722E-2</c:v>
                </c:pt>
                <c:pt idx="2">
                  <c:v>9.8659863936389966E-2</c:v>
                </c:pt>
                <c:pt idx="3">
                  <c:v>0.10123469879455119</c:v>
                </c:pt>
                <c:pt idx="4">
                  <c:v>2.0032458469866676E-2</c:v>
                </c:pt>
                <c:pt idx="5">
                  <c:v>2.5938118033059072E-2</c:v>
                </c:pt>
                <c:pt idx="6">
                  <c:v>3.1297653299310772E-2</c:v>
                </c:pt>
                <c:pt idx="7">
                  <c:v>3.6395938546512498E-2</c:v>
                </c:pt>
                <c:pt idx="8">
                  <c:v>4.1146026474973403E-2</c:v>
                </c:pt>
                <c:pt idx="9">
                  <c:v>4.5165224309002397E-2</c:v>
                </c:pt>
                <c:pt idx="10">
                  <c:v>4.858140977027401E-2</c:v>
                </c:pt>
                <c:pt idx="11">
                  <c:v>5.2016431053968311E-2</c:v>
                </c:pt>
                <c:pt idx="12">
                  <c:v>5.5862555664721356E-2</c:v>
                </c:pt>
                <c:pt idx="13">
                  <c:v>5.9639168220794188E-2</c:v>
                </c:pt>
                <c:pt idx="14">
                  <c:v>6.2943602733994047E-2</c:v>
                </c:pt>
                <c:pt idx="15">
                  <c:v>6.6715921256044142E-2</c:v>
                </c:pt>
                <c:pt idx="16">
                  <c:v>7.1020714079246094E-2</c:v>
                </c:pt>
                <c:pt idx="17">
                  <c:v>7.5802041756846406E-2</c:v>
                </c:pt>
                <c:pt idx="18">
                  <c:v>7.9550232862848083E-2</c:v>
                </c:pt>
                <c:pt idx="19">
                  <c:v>8.2641802667041089E-2</c:v>
                </c:pt>
                <c:pt idx="20">
                  <c:v>8.5322508554255883E-2</c:v>
                </c:pt>
                <c:pt idx="21">
                  <c:v>8.7097623914321437E-2</c:v>
                </c:pt>
                <c:pt idx="22">
                  <c:v>8.7948173496309345E-2</c:v>
                </c:pt>
                <c:pt idx="23">
                  <c:v>8.9372096660125452E-2</c:v>
                </c:pt>
                <c:pt idx="24">
                  <c:v>9.1675808235350736E-2</c:v>
                </c:pt>
                <c:pt idx="25">
                  <c:v>9.3963598143825225E-2</c:v>
                </c:pt>
                <c:pt idx="26">
                  <c:v>9.5991472604550279E-2</c:v>
                </c:pt>
                <c:pt idx="27">
                  <c:v>9.8526902375840969E-2</c:v>
                </c:pt>
                <c:pt idx="28">
                  <c:v>2.0032458469866676E-2</c:v>
                </c:pt>
                <c:pt idx="29">
                  <c:v>2.5938118033059072E-2</c:v>
                </c:pt>
                <c:pt idx="30">
                  <c:v>3.1297653299310772E-2</c:v>
                </c:pt>
                <c:pt idx="31">
                  <c:v>3.6395938546512498E-2</c:v>
                </c:pt>
                <c:pt idx="32">
                  <c:v>4.1146026474973403E-2</c:v>
                </c:pt>
                <c:pt idx="33">
                  <c:v>4.5165224309002397E-2</c:v>
                </c:pt>
                <c:pt idx="34">
                  <c:v>4.858140977027401E-2</c:v>
                </c:pt>
                <c:pt idx="35">
                  <c:v>5.2016431053968311E-2</c:v>
                </c:pt>
                <c:pt idx="36">
                  <c:v>5.5862555664721356E-2</c:v>
                </c:pt>
                <c:pt idx="37">
                  <c:v>5.9639168220794188E-2</c:v>
                </c:pt>
                <c:pt idx="38">
                  <c:v>6.2943602733994047E-2</c:v>
                </c:pt>
                <c:pt idx="39">
                  <c:v>6.6715921256044142E-2</c:v>
                </c:pt>
                <c:pt idx="40">
                  <c:v>7.1020714079246094E-2</c:v>
                </c:pt>
                <c:pt idx="41">
                  <c:v>7.5802041756846406E-2</c:v>
                </c:pt>
                <c:pt idx="42">
                  <c:v>7.9550232862848083E-2</c:v>
                </c:pt>
                <c:pt idx="43">
                  <c:v>8.2641802667041089E-2</c:v>
                </c:pt>
                <c:pt idx="44">
                  <c:v>8.5322508554255883E-2</c:v>
                </c:pt>
                <c:pt idx="45">
                  <c:v>8.7097623914321437E-2</c:v>
                </c:pt>
                <c:pt idx="46">
                  <c:v>8.7948173496309345E-2</c:v>
                </c:pt>
                <c:pt idx="47">
                  <c:v>8.9372096660125452E-2</c:v>
                </c:pt>
                <c:pt idx="48">
                  <c:v>9.1600394602720028E-2</c:v>
                </c:pt>
                <c:pt idx="49">
                  <c:v>9.3891319594331044E-2</c:v>
                </c:pt>
                <c:pt idx="50">
                  <c:v>9.5921882166967717E-2</c:v>
                </c:pt>
                <c:pt idx="51">
                  <c:v>9.845991651246376E-2</c:v>
                </c:pt>
                <c:pt idx="52">
                  <c:v>2.0032458469866676E-2</c:v>
                </c:pt>
                <c:pt idx="53">
                  <c:v>2.5938118033059072E-2</c:v>
                </c:pt>
                <c:pt idx="54">
                  <c:v>3.1297653299310772E-2</c:v>
                </c:pt>
                <c:pt idx="55">
                  <c:v>3.6395938546512498E-2</c:v>
                </c:pt>
                <c:pt idx="56">
                  <c:v>4.1146026474973403E-2</c:v>
                </c:pt>
                <c:pt idx="57">
                  <c:v>4.5165224309002397E-2</c:v>
                </c:pt>
                <c:pt idx="58">
                  <c:v>4.858140977027401E-2</c:v>
                </c:pt>
                <c:pt idx="59">
                  <c:v>5.2016431053968311E-2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4.3538443000898541E-2</c:v>
                </c:pt>
                <c:pt idx="1">
                  <c:v>2.9349584849261177E-2</c:v>
                </c:pt>
                <c:pt idx="2">
                  <c:v>2.6825300265283119E-3</c:v>
                </c:pt>
                <c:pt idx="3">
                  <c:v>1.2990389928068296E-11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2.9957549689320397E-8</c:v>
                </c:pt>
                <c:pt idx="8">
                  <c:v>1.528315896476199E-4</c:v>
                </c:pt>
                <c:pt idx="9">
                  <c:v>2.5023366252330471E-2</c:v>
                </c:pt>
                <c:pt idx="10">
                  <c:v>5.8011999498856097E-2</c:v>
                </c:pt>
                <c:pt idx="11">
                  <c:v>4.9518117903426466E-2</c:v>
                </c:pt>
                <c:pt idx="12">
                  <c:v>4.9955849325762886E-2</c:v>
                </c:pt>
                <c:pt idx="13">
                  <c:v>3.5283258532077241E-2</c:v>
                </c:pt>
                <c:pt idx="14">
                  <c:v>3.7305515350760411E-3</c:v>
                </c:pt>
                <c:pt idx="15">
                  <c:v>3.5266355782347206E-7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2.0942351762776013E-7</c:v>
                </c:pt>
                <c:pt idx="20">
                  <c:v>3.0943861914565265E-4</c:v>
                </c:pt>
                <c:pt idx="21">
                  <c:v>3.465035934376727E-2</c:v>
                </c:pt>
                <c:pt idx="22">
                  <c:v>6.9650624864668331E-2</c:v>
                </c:pt>
                <c:pt idx="23">
                  <c:v>5.8199181701100063E-2</c:v>
                </c:pt>
                <c:pt idx="24">
                  <c:v>5.8725028658003983E-2</c:v>
                </c:pt>
                <c:pt idx="25">
                  <c:v>4.5586080153090215E-2</c:v>
                </c:pt>
                <c:pt idx="26">
                  <c:v>6.1975353810702054E-3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1.5791208601070303E-9</c:v>
                </c:pt>
                <c:pt idx="33">
                  <c:v>3.6594415610827847E-3</c:v>
                </c:pt>
                <c:pt idx="34">
                  <c:v>1.3287263012881644E-2</c:v>
                </c:pt>
                <c:pt idx="35">
                  <c:v>1.2708393063900498E-2</c:v>
                </c:pt>
                <c:pt idx="36">
                  <c:v>1.1847148229547536E-2</c:v>
                </c:pt>
                <c:pt idx="37">
                  <c:v>6.6851651636585484E-3</c:v>
                </c:pt>
                <c:pt idx="38">
                  <c:v>3.0308008776107413E-4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3.273285784555458E-9</c:v>
                </c:pt>
                <c:pt idx="45">
                  <c:v>7.5320172605408148E-3</c:v>
                </c:pt>
                <c:pt idx="46">
                  <c:v>2.7290939497101138E-2</c:v>
                </c:pt>
                <c:pt idx="47">
                  <c:v>2.6086868835407635E-2</c:v>
                </c:pt>
                <c:pt idx="48">
                  <c:v>2.4303299318364689E-2</c:v>
                </c:pt>
                <c:pt idx="49">
                  <c:v>1.3667569276287967E-2</c:v>
                </c:pt>
                <c:pt idx="50">
                  <c:v>6.1363803457251955E-4</c:v>
                </c:pt>
                <c:pt idx="51">
                  <c:v>3.3025972264488628E-13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5.7454942024807006E-5</c:v>
                </c:pt>
                <c:pt idx="57">
                  <c:v>1.5023775492778623E-2</c:v>
                </c:pt>
                <c:pt idx="58">
                  <c:v>4.1155861297939286E-2</c:v>
                </c:pt>
                <c:pt idx="59">
                  <c:v>3.67510082840996E-2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638136"/>
        <c:axId val="245639704"/>
      </c:lineChart>
      <c:dateAx>
        <c:axId val="245638136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63970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2456397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63813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5.6931084477085392E-4</c:v>
                </c:pt>
                <c:pt idx="5">
                  <c:v>1.2476809570156622E-3</c:v>
                </c:pt>
                <c:pt idx="6">
                  <c:v>1.9037297512481954E-3</c:v>
                </c:pt>
                <c:pt idx="7">
                  <c:v>2.5811941179388898E-3</c:v>
                </c:pt>
                <c:pt idx="8">
                  <c:v>3.2581986512629779E-3</c:v>
                </c:pt>
                <c:pt idx="9">
                  <c:v>3.9129268000421824E-3</c:v>
                </c:pt>
                <c:pt idx="10">
                  <c:v>4.5890274111044516E-3</c:v>
                </c:pt>
                <c:pt idx="11">
                  <c:v>5.2428813805835972E-3</c:v>
                </c:pt>
                <c:pt idx="12">
                  <c:v>5.9180792762821843E-3</c:v>
                </c:pt>
                <c:pt idx="13">
                  <c:v>6.5928188769961427E-3</c:v>
                </c:pt>
                <c:pt idx="14">
                  <c:v>7.2018674414315864E-3</c:v>
                </c:pt>
                <c:pt idx="15">
                  <c:v>7.8757356625379638E-3</c:v>
                </c:pt>
                <c:pt idx="16">
                  <c:v>8.5274306973701641E-3</c:v>
                </c:pt>
                <c:pt idx="17">
                  <c:v>9.2003991837530386E-3</c:v>
                </c:pt>
                <c:pt idx="18">
                  <c:v>9.8512240890352709E-3</c:v>
                </c:pt>
                <c:pt idx="19">
                  <c:v>1.0523294042001807E-2</c:v>
                </c:pt>
                <c:pt idx="20">
                  <c:v>1.1194907823095179E-2</c:v>
                </c:pt>
                <c:pt idx="21">
                  <c:v>1.1844422598765725E-2</c:v>
                </c:pt>
                <c:pt idx="22">
                  <c:v>1.2515139655216778E-2</c:v>
                </c:pt>
                <c:pt idx="23">
                  <c:v>1.3163787212373657E-2</c:v>
                </c:pt>
                <c:pt idx="24">
                  <c:v>1.3833608741470216E-2</c:v>
                </c:pt>
                <c:pt idx="25">
                  <c:v>1.4502975624826164E-2</c:v>
                </c:pt>
                <c:pt idx="26">
                  <c:v>1.5107174546835744E-2</c:v>
                </c:pt>
                <c:pt idx="27">
                  <c:v>1.5775676989077669E-2</c:v>
                </c:pt>
                <c:pt idx="28">
                  <c:v>1.6422182802435126E-2</c:v>
                </c:pt>
                <c:pt idx="29">
                  <c:v>1.7089792674229054E-2</c:v>
                </c:pt>
                <c:pt idx="30">
                  <c:v>1.7735435286576395E-2</c:v>
                </c:pt>
                <c:pt idx="31">
                  <c:v>1.8402153779663699E-2</c:v>
                </c:pt>
                <c:pt idx="32">
                  <c:v>1.906841973321638E-2</c:v>
                </c:pt>
                <c:pt idx="33">
                  <c:v>1.9712762648059545E-2</c:v>
                </c:pt>
                <c:pt idx="34">
                  <c:v>2.037813901727703E-2</c:v>
                </c:pt>
                <c:pt idx="35">
                  <c:v>2.1021621618966813E-2</c:v>
                </c:pt>
                <c:pt idx="36">
                  <c:v>2.1707537176579805E-2</c:v>
                </c:pt>
                <c:pt idx="37">
                  <c:v>2.2371559579548839E-2</c:v>
                </c:pt>
                <c:pt idx="38">
                  <c:v>2.2970934347019467E-2</c:v>
                </c:pt>
                <c:pt idx="39">
                  <c:v>2.363409921090176E-2</c:v>
                </c:pt>
                <c:pt idx="40">
                  <c:v>2.4275443075370773E-2</c:v>
                </c:pt>
                <c:pt idx="41">
                  <c:v>2.4937722495427916E-2</c:v>
                </c:pt>
                <c:pt idx="42">
                  <c:v>2.5578210051012684E-2</c:v>
                </c:pt>
                <c:pt idx="43">
                  <c:v>2.6239605209470551E-2</c:v>
                </c:pt>
                <c:pt idx="44">
                  <c:v>2.690055144164194E-2</c:v>
                </c:pt>
                <c:pt idx="45">
                  <c:v>2.7539749677003011E-2</c:v>
                </c:pt>
                <c:pt idx="46">
                  <c:v>2.819981342761968E-2</c:v>
                </c:pt>
                <c:pt idx="47">
                  <c:v>2.8838158218895571E-2</c:v>
                </c:pt>
                <c:pt idx="48">
                  <c:v>2.9497340666228444E-2</c:v>
                </c:pt>
                <c:pt idx="49">
                  <c:v>3.0156075689166895E-2</c:v>
                </c:pt>
                <c:pt idx="50">
                  <c:v>3.0750677843300989E-2</c:v>
                </c:pt>
                <c:pt idx="51">
                  <c:v>3.1408562155439079E-2</c:v>
                </c:pt>
                <c:pt idx="52">
                  <c:v>3.2044799221212061E-2</c:v>
                </c:pt>
                <c:pt idx="53">
                  <c:v>3.2701805140006979E-2</c:v>
                </c:pt>
                <c:pt idx="54">
                  <c:v>3.3337192715386266E-2</c:v>
                </c:pt>
                <c:pt idx="55">
                  <c:v>3.3993321413650301E-2</c:v>
                </c:pt>
                <c:pt idx="56">
                  <c:v>3.4649004760272106E-2</c:v>
                </c:pt>
                <c:pt idx="57">
                  <c:v>3.5283113281837308E-2</c:v>
                </c:pt>
                <c:pt idx="58">
                  <c:v>3.5937921173798903E-2</c:v>
                </c:pt>
                <c:pt idx="59">
                  <c:v>3.6571183046958056E-2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4.997148281644619E-3</c:v>
                </c:pt>
                <c:pt idx="5">
                  <c:v>1.0945830692732634E-2</c:v>
                </c:pt>
                <c:pt idx="6">
                  <c:v>1.6508124562307637E-2</c:v>
                </c:pt>
                <c:pt idx="7">
                  <c:v>2.1930568990624469E-2</c:v>
                </c:pt>
                <c:pt idx="8">
                  <c:v>2.7038003124227845E-2</c:v>
                </c:pt>
                <c:pt idx="9">
                  <c:v>3.1496164876600008E-2</c:v>
                </c:pt>
                <c:pt idx="10">
                  <c:v>3.5467800490867105E-2</c:v>
                </c:pt>
                <c:pt idx="11">
                  <c:v>3.9303797950306044E-2</c:v>
                </c:pt>
                <c:pt idx="12">
                  <c:v>4.3423268339272153E-2</c:v>
                </c:pt>
                <c:pt idx="13">
                  <c:v>4.7439781196664081E-2</c:v>
                </c:pt>
                <c:pt idx="14">
                  <c:v>5.0946901579558709E-2</c:v>
                </c:pt>
                <c:pt idx="15">
                  <c:v>5.4889671931574936E-2</c:v>
                </c:pt>
                <c:pt idx="16">
                  <c:v>5.9225409570533717E-2</c:v>
                </c:pt>
                <c:pt idx="17">
                  <c:v>6.3978315375055467E-2</c:v>
                </c:pt>
                <c:pt idx="18">
                  <c:v>6.7826873579347371E-2</c:v>
                </c:pt>
                <c:pt idx="19">
                  <c:v>7.1115087525068357E-2</c:v>
                </c:pt>
                <c:pt idx="20">
                  <c:v>7.4021642481730751E-2</c:v>
                </c:pt>
                <c:pt idx="21">
                  <c:v>7.6093123432857374E-2</c:v>
                </c:pt>
                <c:pt idx="22">
                  <c:v>7.7336092000739917E-2</c:v>
                </c:pt>
                <c:pt idx="23">
                  <c:v>7.9033197807209923E-2</c:v>
                </c:pt>
                <c:pt idx="24">
                  <c:v>8.1432038097489293E-2</c:v>
                </c:pt>
                <c:pt idx="25">
                  <c:v>8.3868456627738425E-2</c:v>
                </c:pt>
                <c:pt idx="26">
                  <c:v>8.6020757952482374E-2</c:v>
                </c:pt>
                <c:pt idx="27">
                  <c:v>8.8650812581417396E-2</c:v>
                </c:pt>
                <c:pt idx="28">
                  <c:v>9.2116512665152694E-2</c:v>
                </c:pt>
                <c:pt idx="29">
                  <c:v>9.6144143295624845E-2</c:v>
                </c:pt>
                <c:pt idx="30">
                  <c:v>9.8953268276279524E-2</c:v>
                </c:pt>
                <c:pt idx="31">
                  <c:v>0.10094700599941284</c:v>
                </c:pt>
                <c:pt idx="32">
                  <c:v>0.10251866025693741</c:v>
                </c:pt>
                <c:pt idx="33">
                  <c:v>0.10314254612716112</c:v>
                </c:pt>
                <c:pt idx="34">
                  <c:v>0.10273049447126391</c:v>
                </c:pt>
                <c:pt idx="35">
                  <c:v>0.10313029691240486</c:v>
                </c:pt>
                <c:pt idx="36">
                  <c:v>0.10453416952709468</c:v>
                </c:pt>
                <c:pt idx="37">
                  <c:v>0.10601019004790982</c:v>
                </c:pt>
                <c:pt idx="38">
                  <c:v>0.10733901804942249</c:v>
                </c:pt>
                <c:pt idx="39">
                  <c:v>0.10917119020656889</c:v>
                </c:pt>
                <c:pt idx="40">
                  <c:v>2.1909992184859204E-2</c:v>
                </c:pt>
                <c:pt idx="41">
                  <c:v>2.791850951911478E-2</c:v>
                </c:pt>
                <c:pt idx="42">
                  <c:v>3.3354906071438775E-2</c:v>
                </c:pt>
                <c:pt idx="43">
                  <c:v>3.851308674049813E-2</c:v>
                </c:pt>
                <c:pt idx="44">
                  <c:v>4.3313408512760145E-2</c:v>
                </c:pt>
                <c:pt idx="45">
                  <c:v>4.7361356012462122E-2</c:v>
                </c:pt>
                <c:pt idx="46">
                  <c:v>5.0783617001921105E-2</c:v>
                </c:pt>
                <c:pt idx="47">
                  <c:v>5.4240610004729378E-2</c:v>
                </c:pt>
                <c:pt idx="48">
                  <c:v>5.8129019383776341E-2</c:v>
                </c:pt>
                <c:pt idx="49">
                  <c:v>6.1950022735842249E-2</c:v>
                </c:pt>
                <c:pt idx="50">
                  <c:v>6.5294025045114265E-2</c:v>
                </c:pt>
                <c:pt idx="51">
                  <c:v>6.9117649339505968E-2</c:v>
                </c:pt>
                <c:pt idx="52">
                  <c:v>7.3497459792666239E-2</c:v>
                </c:pt>
                <c:pt idx="53">
                  <c:v>7.8368432136703775E-2</c:v>
                </c:pt>
                <c:pt idx="54">
                  <c:v>8.2174548074826173E-2</c:v>
                </c:pt>
                <c:pt idx="55">
                  <c:v>8.5302430458975079E-2</c:v>
                </c:pt>
                <c:pt idx="56">
                  <c:v>8.8009050892662102E-2</c:v>
                </c:pt>
                <c:pt idx="57">
                  <c:v>8.9786543548375633E-2</c:v>
                </c:pt>
                <c:pt idx="58">
                  <c:v>9.0613017405402729E-2</c:v>
                </c:pt>
                <c:pt idx="59">
                  <c:v>9.2035277941382845E-2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1.3508562999586845E-5</c:v>
                </c:pt>
                <c:pt idx="1">
                  <c:v>5.1715257189448648E-5</c:v>
                </c:pt>
                <c:pt idx="2">
                  <c:v>8.0426550946568826E-6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1.66378882930209E-9</c:v>
                </c:pt>
                <c:pt idx="9">
                  <c:v>3.8529782795542742E-3</c:v>
                </c:pt>
                <c:pt idx="10">
                  <c:v>1.3987113914097465E-2</c:v>
                </c:pt>
                <c:pt idx="11">
                  <c:v>1.3376998792984159E-2</c:v>
                </c:pt>
                <c:pt idx="12">
                  <c:v>1.2466927556184748E-2</c:v>
                </c:pt>
                <c:pt idx="13">
                  <c:v>7.0236600020623903E-3</c:v>
                </c:pt>
                <c:pt idx="14">
                  <c:v>3.1697398160205237E-4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3.0214538467494033E-9</c:v>
                </c:pt>
                <c:pt idx="21">
                  <c:v>6.9462923263834781E-3</c:v>
                </c:pt>
                <c:pt idx="22">
                  <c:v>2.5161908241870423E-2</c:v>
                </c:pt>
                <c:pt idx="23">
                  <c:v>2.4049987683874733E-2</c:v>
                </c:pt>
                <c:pt idx="24">
                  <c:v>2.2401161118813934E-2</c:v>
                </c:pt>
                <c:pt idx="25">
                  <c:v>1.258365196125533E-2</c:v>
                </c:pt>
                <c:pt idx="26">
                  <c:v>5.6313140121413909E-4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2.393738314215848E-5</c:v>
                </c:pt>
                <c:pt idx="33">
                  <c:v>1.0790463306942076E-2</c:v>
                </c:pt>
                <c:pt idx="34">
                  <c:v>3.3509138593405215E-2</c:v>
                </c:pt>
                <c:pt idx="35">
                  <c:v>3.0937272851922923E-2</c:v>
                </c:pt>
                <c:pt idx="36">
                  <c:v>2.9553513291731365E-2</c:v>
                </c:pt>
                <c:pt idx="37">
                  <c:v>1.7831215523972557E-2</c:v>
                </c:pt>
                <c:pt idx="38">
                  <c:v>1.1508207361666427E-3</c:v>
                </c:pt>
                <c:pt idx="39">
                  <c:v>3.5649082074078646E-12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6.083062610301134E-5</c:v>
                </c:pt>
                <c:pt idx="45">
                  <c:v>1.54065365981694E-2</c:v>
                </c:pt>
                <c:pt idx="46">
                  <c:v>4.1823812100589955E-2</c:v>
                </c:pt>
                <c:pt idx="47">
                  <c:v>3.7253935204048842E-2</c:v>
                </c:pt>
                <c:pt idx="48">
                  <c:v>3.6545978146314953E-2</c:v>
                </c:pt>
                <c:pt idx="49">
                  <c:v>2.3590400186616876E-2</c:v>
                </c:pt>
                <c:pt idx="50">
                  <c:v>1.9166753813474773E-3</c:v>
                </c:pt>
                <c:pt idx="51">
                  <c:v>8.2776490677380815E-12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9.772386906386418E-5</c:v>
                </c:pt>
                <c:pt idx="57">
                  <c:v>2.0022609889396734E-2</c:v>
                </c:pt>
                <c:pt idx="58">
                  <c:v>5.0138485607774723E-2</c:v>
                </c:pt>
                <c:pt idx="59">
                  <c:v>4.3570597556174769E-2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638528"/>
        <c:axId val="180827984"/>
      </c:lineChart>
      <c:dateAx>
        <c:axId val="245638528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82798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1808279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63852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3823505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6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7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070189" y="1095374"/>
            <a:ext cx="5809537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64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0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1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49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0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52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52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54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55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708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709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710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4861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486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486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486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190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194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195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171450</xdr:colOff>
      <xdr:row>23</xdr:row>
      <xdr:rowOff>0</xdr:rowOff>
    </xdr:from>
    <xdr:to>
      <xdr:col>52</xdr:col>
      <xdr:colOff>190500</xdr:colOff>
      <xdr:row>58</xdr:row>
      <xdr:rowOff>39375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154951</xdr:colOff>
      <xdr:row>58</xdr:row>
      <xdr:rowOff>36517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0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0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56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590550</xdr:colOff>
      <xdr:row>16</xdr:row>
      <xdr:rowOff>104775</xdr:rowOff>
    </xdr:from>
    <xdr:to>
      <xdr:col>54</xdr:col>
      <xdr:colOff>447675</xdr:colOff>
      <xdr:row>52</xdr:row>
      <xdr:rowOff>104775</xdr:rowOff>
    </xdr:to>
    <xdr:graphicFrame macro="">
      <xdr:nvGraphicFramePr>
        <xdr:cNvPr id="4272656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497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6003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03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89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M18" sqref="M1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8" t="s">
        <v>50</v>
      </c>
      <c r="M1" s="238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187">
        <f>Tmaj</f>
        <v>44926</v>
      </c>
      <c r="D2" s="1187"/>
      <c r="E2" s="75">
        <f>Amaj</f>
        <v>2022</v>
      </c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8.0000000000000002E-3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128</v>
      </c>
      <c r="C3" s="1188" t="str">
        <f>Station</f>
        <v>Donneville</v>
      </c>
      <c r="D3" s="1189"/>
      <c r="E3" s="1189"/>
      <c r="F3" s="1189"/>
      <c r="G3" s="1189"/>
      <c r="H3" s="1190"/>
      <c r="K3" s="21"/>
      <c r="L3" s="30"/>
      <c r="M3" s="30"/>
      <c r="N3" s="209" t="s">
        <v>164</v>
      </c>
      <c r="O3" s="720">
        <f>Salim_i</f>
        <v>0.14000000000000001</v>
      </c>
      <c r="P3" s="451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191">
        <f>T0</f>
        <v>43209</v>
      </c>
      <c r="D4" s="1192"/>
      <c r="H4" s="33" t="s">
        <v>320</v>
      </c>
      <c r="I4" s="661">
        <f>Azi_pvG</f>
        <v>40</v>
      </c>
      <c r="J4" s="661">
        <f>Azi_pvD</f>
        <v>40</v>
      </c>
      <c r="K4" s="21"/>
      <c r="L4" s="30"/>
      <c r="M4" s="30"/>
      <c r="N4" s="82" t="s">
        <v>22</v>
      </c>
      <c r="O4" s="160">
        <f>Persistant</f>
        <v>0.8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185">
        <f>Tservice</f>
        <v>43249</v>
      </c>
      <c r="D5" s="1186"/>
      <c r="E5" s="95"/>
      <c r="H5" s="33" t="s">
        <v>15</v>
      </c>
      <c r="I5" s="662">
        <f>Ram_pv</f>
        <v>0.33</v>
      </c>
      <c r="J5" s="3"/>
      <c r="M5" s="30"/>
      <c r="V5" s="8"/>
    </row>
    <row r="6" spans="1:29" ht="16.5" thickBot="1" x14ac:dyDescent="0.3">
      <c r="A6" s="131"/>
      <c r="B6" s="52" t="s">
        <v>117</v>
      </c>
      <c r="C6" s="624">
        <f>Pc</f>
        <v>6</v>
      </c>
      <c r="D6" s="560"/>
      <c r="E6" s="132"/>
      <c r="F6" s="561"/>
      <c r="G6" s="561"/>
      <c r="H6" s="562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31"/>
      <c r="B7" s="534"/>
      <c r="C7" s="52"/>
      <c r="D7" s="832"/>
      <c r="E7" s="29"/>
      <c r="F7" s="534"/>
      <c r="G7" s="534"/>
      <c r="H7" s="698"/>
      <c r="I7" s="534"/>
      <c r="J7" s="22" t="s">
        <v>356</v>
      </c>
      <c r="K7" s="1193" t="s">
        <v>355</v>
      </c>
      <c r="L7" s="1194"/>
      <c r="M7" s="1178" t="b">
        <f>IF(K7="début",TRUE,FALSE)</f>
        <v>0</v>
      </c>
      <c r="N7" s="807"/>
      <c r="O7" s="30"/>
      <c r="P7" s="30"/>
      <c r="Q7" s="534"/>
      <c r="R7" s="534"/>
      <c r="S7" s="534"/>
      <c r="T7" s="534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3" t="str">
        <f>"Bilan ICEA "&amp;C3&amp;" (kWh)"</f>
        <v>Bilan ICEA Donneville (kWh)</v>
      </c>
      <c r="B8" s="132"/>
      <c r="C8" s="133"/>
      <c r="D8" s="563"/>
      <c r="E8" s="560"/>
      <c r="F8" s="132"/>
      <c r="G8" s="132"/>
      <c r="H8" s="62"/>
      <c r="I8" s="132"/>
      <c r="J8" s="22" t="s">
        <v>110</v>
      </c>
      <c r="K8" s="557">
        <f>[1]!Inter_net</f>
        <v>2</v>
      </c>
      <c r="L8" s="558">
        <f>[1]!Inter_tai</f>
        <v>7</v>
      </c>
      <c r="N8" s="15"/>
    </row>
    <row r="9" spans="1:29" ht="15.75" x14ac:dyDescent="0.25">
      <c r="A9" s="29" t="s">
        <v>293</v>
      </c>
      <c r="B9" s="149">
        <f>AVERAGE(B11:B30)</f>
        <v>6847.4575776689699</v>
      </c>
      <c r="C9" s="885">
        <f t="shared" ref="C9:J9" si="0">AVERAGE(C11:C30)</f>
        <v>461.97049194607973</v>
      </c>
      <c r="D9" s="886">
        <f t="shared" si="0"/>
        <v>26.231289620119146</v>
      </c>
      <c r="E9" s="149">
        <f t="shared" si="0"/>
        <v>488.20178156619897</v>
      </c>
      <c r="F9" s="149">
        <f t="shared" si="0"/>
        <v>7335.6593592351683</v>
      </c>
      <c r="G9" s="149">
        <f t="shared" si="0"/>
        <v>7628.382271380101</v>
      </c>
      <c r="H9" s="892">
        <f t="shared" si="0"/>
        <v>303.5157271397506</v>
      </c>
      <c r="I9" s="893">
        <f t="shared" si="0"/>
        <v>13.044486361736949</v>
      </c>
      <c r="J9" s="149">
        <f t="shared" si="0"/>
        <v>6527.2740891684416</v>
      </c>
      <c r="K9" s="342" t="s">
        <v>6</v>
      </c>
      <c r="L9" s="21"/>
      <c r="P9" s="15"/>
    </row>
    <row r="10" spans="1:29" s="240" customFormat="1" ht="51" customHeight="1" x14ac:dyDescent="0.25">
      <c r="A10" s="174" t="s">
        <v>52</v>
      </c>
      <c r="B10" s="174" t="s">
        <v>103</v>
      </c>
      <c r="C10" s="332" t="s">
        <v>59</v>
      </c>
      <c r="D10" s="333" t="s">
        <v>94</v>
      </c>
      <c r="E10" s="174" t="s">
        <v>93</v>
      </c>
      <c r="F10" s="174" t="s">
        <v>338</v>
      </c>
      <c r="G10" s="174" t="s">
        <v>105</v>
      </c>
      <c r="H10" s="332" t="s">
        <v>334</v>
      </c>
      <c r="I10" s="333" t="s">
        <v>335</v>
      </c>
      <c r="J10" s="174" t="s">
        <v>104</v>
      </c>
      <c r="K10" s="332" t="s">
        <v>340</v>
      </c>
      <c r="L10" s="333" t="s">
        <v>341</v>
      </c>
      <c r="M10" s="332" t="s">
        <v>287</v>
      </c>
      <c r="N10" s="333" t="s">
        <v>288</v>
      </c>
      <c r="O10" s="100" t="s">
        <v>289</v>
      </c>
      <c r="P10" s="100" t="s">
        <v>290</v>
      </c>
      <c r="Q10" s="100" t="s">
        <v>291</v>
      </c>
      <c r="R10" s="100" t="s">
        <v>292</v>
      </c>
      <c r="S10" s="100"/>
      <c r="T10" s="100"/>
      <c r="U10" s="241"/>
      <c r="V10" s="241"/>
      <c r="W10" s="241"/>
      <c r="X10" s="242"/>
      <c r="Y10" s="239"/>
      <c r="Z10" s="239"/>
      <c r="AA10" s="239"/>
      <c r="AB10" s="239"/>
    </row>
    <row r="11" spans="1:29" s="19" customFormat="1" ht="12.75" x14ac:dyDescent="0.2">
      <c r="A11" s="142">
        <f>'2018'!An</f>
        <v>2018</v>
      </c>
      <c r="B11" s="139">
        <f>'2018'!Prod_an</f>
        <v>4501.9250000000002</v>
      </c>
      <c r="C11" s="143">
        <f>'2018'!Wh_Psa</f>
        <v>104.45963514175737</v>
      </c>
      <c r="D11" s="329">
        <f>'2018'!Wh_Pvg</f>
        <v>5.6326408194618862</v>
      </c>
      <c r="E11" s="139">
        <f t="shared" ref="E11:E16" si="1">C11+D11</f>
        <v>110.09227596121926</v>
      </c>
      <c r="F11" s="139">
        <f t="shared" ref="F11:F16" si="2">B11+E11</f>
        <v>4612.0172759612196</v>
      </c>
      <c r="G11" s="139">
        <f>'2018'!F$9</f>
        <v>4624.8060593551318</v>
      </c>
      <c r="H11" s="145">
        <f>'2018'!Wh_gain_sa</f>
        <v>0</v>
      </c>
      <c r="I11" s="329">
        <f>'2018'!Wh_gain_vg</f>
        <v>0</v>
      </c>
      <c r="J11" s="139">
        <f>'2018'!Prod_an_s</f>
        <v>4501.9250000000002</v>
      </c>
      <c r="K11" s="863" t="str">
        <f>IF('2018'!Acti_net,'2018'!Tnet,"")</f>
        <v/>
      </c>
      <c r="L11" s="864" t="str">
        <f>IF('2018'!Acti_tai,'2018'!Ttai,"")</f>
        <v/>
      </c>
      <c r="M11" s="875">
        <v>0</v>
      </c>
      <c r="N11" s="876">
        <v>0</v>
      </c>
      <c r="O11" s="370">
        <f>+'2018'!$AJ$3</f>
        <v>0</v>
      </c>
      <c r="P11" s="370">
        <f>+'2018'!$AJ$4</f>
        <v>0</v>
      </c>
      <c r="Q11" s="370">
        <f>+'2018'!$AK$3</f>
        <v>0</v>
      </c>
      <c r="R11" s="370">
        <f>+'2018'!$AK$4</f>
        <v>0</v>
      </c>
      <c r="S11" s="869"/>
      <c r="T11" s="869"/>
    </row>
    <row r="12" spans="1:29" s="19" customFormat="1" ht="12.75" x14ac:dyDescent="0.2">
      <c r="A12" s="144">
        <f>'2019'!An</f>
        <v>2019</v>
      </c>
      <c r="B12" s="137">
        <f>'2019'!Prod_an</f>
        <v>7466.1250000000009</v>
      </c>
      <c r="C12" s="145">
        <f>'2019'!Wh_Psa</f>
        <v>507.07282394770164</v>
      </c>
      <c r="D12" s="330">
        <f>'2019'!Wh_Pvg</f>
        <v>12.090446238296549</v>
      </c>
      <c r="E12" s="137">
        <f t="shared" si="1"/>
        <v>519.16327018599816</v>
      </c>
      <c r="F12" s="137">
        <f t="shared" si="2"/>
        <v>7985.288270185999</v>
      </c>
      <c r="G12" s="137">
        <f>'2019'!F$9</f>
        <v>8061.4591059419599</v>
      </c>
      <c r="H12" s="145">
        <f>'2019'!Wh_gain_sa</f>
        <v>0</v>
      </c>
      <c r="I12" s="330">
        <f>'2019'!Wh_gain_vg</f>
        <v>0</v>
      </c>
      <c r="J12" s="137">
        <f>'2019'!Prod_an_s</f>
        <v>7466.1250000000009</v>
      </c>
      <c r="K12" s="865" t="str">
        <f>IF('2019'!Acti_net,'2019'!Tnet,"")</f>
        <v/>
      </c>
      <c r="L12" s="866" t="str">
        <f>IF('2019'!Acti_tai,'2019'!Ttai,"")</f>
        <v/>
      </c>
      <c r="M12" s="877">
        <f>O12+P11+(K11="")*M11</f>
        <v>0</v>
      </c>
      <c r="N12" s="878">
        <f>Q12+R11+(L11="")*N11</f>
        <v>0</v>
      </c>
      <c r="O12" s="370">
        <f>+'2019'!$AJ$3</f>
        <v>0</v>
      </c>
      <c r="P12" s="370">
        <f>+'2019'!$AJ$4</f>
        <v>0</v>
      </c>
      <c r="Q12" s="370">
        <f>+'2019'!$AK$3</f>
        <v>0</v>
      </c>
      <c r="R12" s="370">
        <f>+'2019'!$AK$4</f>
        <v>0</v>
      </c>
      <c r="S12" s="869"/>
      <c r="T12" s="869"/>
    </row>
    <row r="13" spans="1:29" s="19" customFormat="1" ht="12.75" x14ac:dyDescent="0.2">
      <c r="A13" s="144">
        <f>'2020'!An</f>
        <v>2020</v>
      </c>
      <c r="B13" s="137">
        <f>'2020'!Prod_an</f>
        <v>7050.1550000000007</v>
      </c>
      <c r="C13" s="145">
        <f>'2020'!Wh_Psa</f>
        <v>741.96867869641869</v>
      </c>
      <c r="D13" s="330">
        <f>'2020'!Wh_Pvg</f>
        <v>21.143298543434643</v>
      </c>
      <c r="E13" s="137">
        <f t="shared" si="1"/>
        <v>763.11197723985333</v>
      </c>
      <c r="F13" s="137">
        <f t="shared" si="2"/>
        <v>7813.266977239854</v>
      </c>
      <c r="G13" s="137">
        <f>'2020'!F$9</f>
        <v>7952.7400963774271</v>
      </c>
      <c r="H13" s="145">
        <f>'2020'!Wh_gain_sa</f>
        <v>0</v>
      </c>
      <c r="I13" s="330">
        <f>'2020'!Wh_gain_vg</f>
        <v>0</v>
      </c>
      <c r="J13" s="137">
        <f>'2020'!Prod_an_s</f>
        <v>7050.1550000000007</v>
      </c>
      <c r="K13" s="865" t="str">
        <f>IF('2020'!Acti_net,'2020'!Tnet,"")</f>
        <v/>
      </c>
      <c r="L13" s="866" t="str">
        <f>IF('2020'!Acti_tai,'2020'!Ttai,"")</f>
        <v/>
      </c>
      <c r="M13" s="877">
        <f t="shared" ref="M13:M20" si="3">O13+P12+(K12="")*M12</f>
        <v>0</v>
      </c>
      <c r="N13" s="878">
        <f>Q13+R12+(L12="")*N12</f>
        <v>0</v>
      </c>
      <c r="O13" s="370">
        <f>+'2020'!$AJ$3</f>
        <v>0</v>
      </c>
      <c r="P13" s="370">
        <f>+'2020'!$AJ$4</f>
        <v>0</v>
      </c>
      <c r="Q13" s="370">
        <f>+'2020'!$AK$3</f>
        <v>0</v>
      </c>
      <c r="R13" s="370">
        <f>+'2020'!$AK$4</f>
        <v>0</v>
      </c>
      <c r="S13" s="869"/>
      <c r="T13" s="869"/>
    </row>
    <row r="14" spans="1:29" s="19" customFormat="1" ht="12.75" x14ac:dyDescent="0.2">
      <c r="A14" s="144">
        <f>'2021'!An</f>
        <v>2021</v>
      </c>
      <c r="B14" s="137">
        <f>'2021'!Prod_an</f>
        <v>7068.6090000000022</v>
      </c>
      <c r="C14" s="145">
        <f>'2021'!Wh_Psa</f>
        <v>398.89595030755072</v>
      </c>
      <c r="D14" s="330">
        <f>'2021'!Wh_Pvg</f>
        <v>25.362680897145037</v>
      </c>
      <c r="E14" s="137">
        <f t="shared" si="1"/>
        <v>424.25863120469575</v>
      </c>
      <c r="F14" s="137">
        <f t="shared" si="2"/>
        <v>7492.8676312046982</v>
      </c>
      <c r="G14" s="137">
        <f>'2021'!F$9</f>
        <v>7687.9088859889562</v>
      </c>
      <c r="H14" s="145">
        <f>'2021'!Wh_gain_sa</f>
        <v>462.97974451982009</v>
      </c>
      <c r="I14" s="330">
        <f>'2021'!Wh_gain_vg</f>
        <v>-1.6599989140942988</v>
      </c>
      <c r="J14" s="137">
        <f>'2021'!Prod_an_s</f>
        <v>6605.9653499954002</v>
      </c>
      <c r="K14" s="865">
        <f>IF('2021'!Acti_net,'2021'!Tnet,"")</f>
        <v>44306</v>
      </c>
      <c r="L14" s="866" t="str">
        <f>IF('2021'!Acti_tai,'2021'!Ttai,"")</f>
        <v/>
      </c>
      <c r="M14" s="877">
        <f t="shared" si="3"/>
        <v>0</v>
      </c>
      <c r="N14" s="878">
        <f>Q14+R13+(L13="")*N13</f>
        <v>0</v>
      </c>
      <c r="O14" s="370">
        <f>+'2021'!$AJ$3</f>
        <v>0</v>
      </c>
      <c r="P14" s="370">
        <f>+'2021'!$AJ$4</f>
        <v>462.59029586073643</v>
      </c>
      <c r="Q14" s="370">
        <f>+'2021'!$AK$3</f>
        <v>0</v>
      </c>
      <c r="R14" s="370">
        <f>+'2021'!$AK$4</f>
        <v>-1.6599989140942988</v>
      </c>
      <c r="S14" s="869"/>
      <c r="T14" s="869"/>
    </row>
    <row r="15" spans="1:29" s="19" customFormat="1" ht="12.75" x14ac:dyDescent="0.2">
      <c r="A15" s="364">
        <f>'2022'!An</f>
        <v>2022</v>
      </c>
      <c r="B15" s="365">
        <f>'2022'!Prod_an</f>
        <v>7091.7319999999954</v>
      </c>
      <c r="C15" s="366">
        <f>'2022'!Wh_Psa</f>
        <v>601.50009124311646</v>
      </c>
      <c r="D15" s="367">
        <f>'2022'!Wh_Pvg</f>
        <v>34.696300770530115</v>
      </c>
      <c r="E15" s="365">
        <f t="shared" si="1"/>
        <v>636.19639201364657</v>
      </c>
      <c r="F15" s="365">
        <f t="shared" si="2"/>
        <v>7727.9283920136422</v>
      </c>
      <c r="G15" s="365">
        <f>'2022'!F$9</f>
        <v>7989.9826872444901</v>
      </c>
      <c r="H15" s="366">
        <f>'2022'!Wh_gain_sa</f>
        <v>403.54404421488664</v>
      </c>
      <c r="I15" s="367">
        <f>'2022'!Wh_gain_vg</f>
        <v>-1.9937197098665465</v>
      </c>
      <c r="J15" s="365">
        <f>'2022'!Prod_an_s</f>
        <v>6684.2267169728093</v>
      </c>
      <c r="K15" s="867" t="str">
        <f>IF('2022'!Acti_net,'2022'!Tnet,"")</f>
        <v/>
      </c>
      <c r="L15" s="868" t="str">
        <f>IF('2022'!Acti_tai,'2022'!Ttai,"")</f>
        <v/>
      </c>
      <c r="M15" s="879">
        <f t="shared" si="3"/>
        <v>462.59029586073643</v>
      </c>
      <c r="N15" s="880">
        <f t="shared" ref="N15:N20" si="4">Q15+R14+(L14="")*N14</f>
        <v>-1.6599989140942988</v>
      </c>
      <c r="O15" s="370">
        <f>+'2022'!$AJ$3</f>
        <v>0</v>
      </c>
      <c r="P15" s="370">
        <f>+'2022'!$AJ$4</f>
        <v>403.84768092544482</v>
      </c>
      <c r="Q15" s="370">
        <f>+'2022'!$AK$3</f>
        <v>0</v>
      </c>
      <c r="R15" s="370">
        <f>+'2022'!$AK$4</f>
        <v>-1.9762050481268716</v>
      </c>
      <c r="S15" s="869"/>
      <c r="T15" s="869"/>
    </row>
    <row r="16" spans="1:29" s="19" customFormat="1" ht="12.75" x14ac:dyDescent="0.2">
      <c r="A16" s="362">
        <f>'2023'!An</f>
        <v>2023</v>
      </c>
      <c r="B16" s="363">
        <f>'2023'!Prod_an</f>
        <v>7231.0737478759693</v>
      </c>
      <c r="C16" s="145">
        <f>'2023'!Wh_Psa</f>
        <v>385.19101417997501</v>
      </c>
      <c r="D16" s="330">
        <f>'2023'!Wh_Pvg</f>
        <v>42.390344717203995</v>
      </c>
      <c r="E16" s="363">
        <f t="shared" si="1"/>
        <v>427.58135889717903</v>
      </c>
      <c r="F16" s="363">
        <f t="shared" si="2"/>
        <v>7658.655106773148</v>
      </c>
      <c r="G16" s="363">
        <f>'2023'!F$9</f>
        <v>7985.6606269319509</v>
      </c>
      <c r="H16" s="145">
        <f>'2023'!Wh_gain_sa</f>
        <v>507.11078156996098</v>
      </c>
      <c r="I16" s="330">
        <f>'2023'!Wh_gain_vg</f>
        <v>-2.9719515460187154</v>
      </c>
      <c r="J16" s="363">
        <f>'2023'!Prod_an_s</f>
        <v>6724.1092268808497</v>
      </c>
      <c r="K16" s="865">
        <f>IF('2023'!Acti_net,'2023'!Tnet,"")</f>
        <v>45046</v>
      </c>
      <c r="L16" s="866" t="str">
        <f>IF('2023'!Acti_tai,'2023'!Ttai,"")</f>
        <v/>
      </c>
      <c r="M16" s="877">
        <f>O16+P15+(K15="")*M15</f>
        <v>937.7847699361979</v>
      </c>
      <c r="N16" s="878">
        <f t="shared" si="4"/>
        <v>-3.6362039622211704</v>
      </c>
      <c r="O16" s="370">
        <f>+'2023'!$AJ$3</f>
        <v>71.346793150016623</v>
      </c>
      <c r="P16" s="370">
        <f>+'2023'!$AJ$4</f>
        <v>435.56951255183708</v>
      </c>
      <c r="Q16" s="370">
        <f>+'2023'!$AK$3</f>
        <v>0</v>
      </c>
      <c r="R16" s="370">
        <f>+'2023'!$AK$4</f>
        <v>-2.9719515460187154</v>
      </c>
      <c r="S16" s="869"/>
      <c r="T16" s="869"/>
    </row>
    <row r="17" spans="1:30" s="19" customFormat="1" ht="12.75" x14ac:dyDescent="0.2">
      <c r="A17" s="362">
        <f>'2024'!An</f>
        <v>2024</v>
      </c>
      <c r="B17" s="363">
        <f>'2024'!Prod_an</f>
        <v>6977.5709326180931</v>
      </c>
      <c r="C17" s="145">
        <f>'2024'!Wh_Psa</f>
        <v>571.08263381964969</v>
      </c>
      <c r="D17" s="330">
        <f>'2024'!Wh_Pvg</f>
        <v>50.397576753518784</v>
      </c>
      <c r="E17" s="363">
        <f>C17+D17</f>
        <v>621.48021057316851</v>
      </c>
      <c r="F17" s="363">
        <f>B17+E17</f>
        <v>7599.0511431912619</v>
      </c>
      <c r="G17" s="363">
        <f>'2024'!F$9</f>
        <v>7988.7120430402856</v>
      </c>
      <c r="H17" s="145">
        <f>'2024'!Wh_gain_sa</f>
        <v>370.7723840124138</v>
      </c>
      <c r="I17" s="330">
        <f>'2024'!Wh_gain_vg</f>
        <v>-2.678525521337022</v>
      </c>
      <c r="J17" s="363">
        <f>'2024'!Prod_an_s</f>
        <v>6606.7276694317934</v>
      </c>
      <c r="K17" s="865" t="str">
        <f>IF('2024'!Acti_net,'2024'!Tnet,"")</f>
        <v/>
      </c>
      <c r="L17" s="866" t="str">
        <f>IF('2024'!Acti_tai,'2024'!Ttai,"")</f>
        <v/>
      </c>
      <c r="M17" s="877">
        <f t="shared" si="3"/>
        <v>435.56951255183708</v>
      </c>
      <c r="N17" s="878">
        <f t="shared" si="4"/>
        <v>-6.6081555082398857</v>
      </c>
      <c r="O17" s="370">
        <f>+'2024'!$AJ$3</f>
        <v>0</v>
      </c>
      <c r="P17" s="370">
        <f>+'2024'!$AJ$4</f>
        <v>370.7723840124138</v>
      </c>
      <c r="Q17" s="370">
        <f>+'2024'!$AK$3</f>
        <v>0</v>
      </c>
      <c r="R17" s="370">
        <f>+'2024'!$AK$4</f>
        <v>-2.678525521337022</v>
      </c>
      <c r="S17" s="869"/>
      <c r="T17" s="869"/>
    </row>
    <row r="18" spans="1:30" s="19" customFormat="1" ht="12.75" x14ac:dyDescent="0.2">
      <c r="A18" s="362">
        <f>'2025'!An</f>
        <v>2025</v>
      </c>
      <c r="B18" s="363">
        <f>'2025'!Prod_an</f>
        <v>7140.2806980236173</v>
      </c>
      <c r="C18" s="145">
        <f>'2025'!Wh_Psa</f>
        <v>374.16679456507927</v>
      </c>
      <c r="D18" s="330">
        <f>'2025'!Wh_Pvg</f>
        <v>31.364395858997668</v>
      </c>
      <c r="E18" s="363">
        <f>C18+D18</f>
        <v>405.53119042407695</v>
      </c>
      <c r="F18" s="363">
        <f>B18+E18</f>
        <v>7545.8118884476944</v>
      </c>
      <c r="G18" s="363">
        <f>'2025'!F$9</f>
        <v>7994.5047204908269</v>
      </c>
      <c r="H18" s="145">
        <f>'2025'!Wh_gain_sa</f>
        <v>478.58535324315153</v>
      </c>
      <c r="I18" s="330">
        <f>'2025'!Wh_gain_vg</f>
        <v>27.621459277795864</v>
      </c>
      <c r="J18" s="363">
        <f>'2025'!Prod_an_s</f>
        <v>6628.3739206129558</v>
      </c>
      <c r="K18" s="865">
        <f>IF('2025'!Acti_net,'2025'!Tnet,"")</f>
        <v>45777</v>
      </c>
      <c r="L18" s="866">
        <f>IF('2025'!Acti_tai,'2025'!Ttai,"")</f>
        <v>45747</v>
      </c>
      <c r="M18" s="877">
        <f t="shared" si="3"/>
        <v>871.45507058596331</v>
      </c>
      <c r="N18" s="878">
        <f t="shared" si="4"/>
        <v>-10.236070931724623</v>
      </c>
      <c r="O18" s="370">
        <f>+'2025'!$AJ$3</f>
        <v>65.113174021712439</v>
      </c>
      <c r="P18" s="370">
        <f>+'2025'!$AJ$4</f>
        <v>413.28022205917046</v>
      </c>
      <c r="Q18" s="370">
        <f>+'2025'!$AK$3</f>
        <v>-0.94938990214771479</v>
      </c>
      <c r="R18" s="370">
        <f>+'2025'!$AK$4</f>
        <v>29.449902526362795</v>
      </c>
      <c r="S18" s="869"/>
      <c r="T18" s="869"/>
    </row>
    <row r="19" spans="1:30" s="19" customFormat="1" ht="12.75" x14ac:dyDescent="0.2">
      <c r="A19" s="362">
        <f>'2026'!An</f>
        <v>2026</v>
      </c>
      <c r="B19" s="363">
        <f>'2026'!Prod_an</f>
        <v>6914.0346649798785</v>
      </c>
      <c r="C19" s="145">
        <f>'2026'!Wh_Psa</f>
        <v>565.7175274781996</v>
      </c>
      <c r="D19" s="330">
        <f>'2026'!Wh_Pvg</f>
        <v>14.242289101114245</v>
      </c>
      <c r="E19" s="363">
        <f>C19+D19</f>
        <v>579.95981657931384</v>
      </c>
      <c r="F19" s="363">
        <f>B19+E19</f>
        <v>7493.9944815591925</v>
      </c>
      <c r="G19" s="363">
        <f>'2026'!F$9</f>
        <v>8002.3071884701394</v>
      </c>
      <c r="H19" s="145">
        <f>'2026'!Wh_gain_sa</f>
        <v>347.91939891767822</v>
      </c>
      <c r="I19" s="330">
        <f>'2026'!Wh_gain_vg</f>
        <v>55.337574856388592</v>
      </c>
      <c r="J19" s="363">
        <f>'2026'!Prod_an_s</f>
        <v>6502.1090266816709</v>
      </c>
      <c r="K19" s="865" t="str">
        <f>IF('2026'!Acti_net,'2026'!Tnet,"")</f>
        <v/>
      </c>
      <c r="L19" s="866" t="str">
        <f>IF('2026'!Acti_tai,'2026'!Ttai,"")</f>
        <v/>
      </c>
      <c r="M19" s="877">
        <f t="shared" si="3"/>
        <v>413.28022205917046</v>
      </c>
      <c r="N19" s="878">
        <f t="shared" si="4"/>
        <v>29.449902526362795</v>
      </c>
      <c r="O19" s="370">
        <f>+'2026'!$AJ$3</f>
        <v>0</v>
      </c>
      <c r="P19" s="370">
        <f>+'2026'!$AJ$4</f>
        <v>347.91939891767822</v>
      </c>
      <c r="Q19" s="370">
        <f>+'2026'!$AK$3</f>
        <v>0</v>
      </c>
      <c r="R19" s="370">
        <f>+'2026'!$AK$4</f>
        <v>55.337574856388592</v>
      </c>
      <c r="S19" s="869"/>
      <c r="T19" s="869"/>
    </row>
    <row r="20" spans="1:30" s="19" customFormat="1" ht="12.75" x14ac:dyDescent="0.2">
      <c r="A20" s="362">
        <f>'2027'!An</f>
        <v>2027</v>
      </c>
      <c r="B20" s="363">
        <f>'2027'!Prod_an</f>
        <v>7033.0697331921319</v>
      </c>
      <c r="C20" s="145">
        <f>'2027'!Wh_Psa</f>
        <v>369.64977008134849</v>
      </c>
      <c r="D20" s="330">
        <f>'2027'!Wh_Pvg</f>
        <v>24.992922501488536</v>
      </c>
      <c r="E20" s="363">
        <f>C20+D20</f>
        <v>394.64269258283701</v>
      </c>
      <c r="F20" s="363">
        <f>B20+E20</f>
        <v>7427.7124257749692</v>
      </c>
      <c r="G20" s="363">
        <f>'2027'!F$9</f>
        <v>7995.7412999598391</v>
      </c>
      <c r="H20" s="145">
        <f>'2027'!Wh_gain_sa</f>
        <v>464.24556491959504</v>
      </c>
      <c r="I20" s="330">
        <f>'2027'!Wh_gain_vg</f>
        <v>56.790025174501622</v>
      </c>
      <c r="J20" s="363">
        <f>'2027'!Prod_an_s</f>
        <v>6503.0239811089423</v>
      </c>
      <c r="K20" s="865">
        <f>IF('2027'!Acti_net,'2027'!Tnet,"")</f>
        <v>46507</v>
      </c>
      <c r="L20" s="866" t="str">
        <f>IF('2027'!Acti_tai,'2027'!Ttai,"")</f>
        <v/>
      </c>
      <c r="M20" s="877">
        <f t="shared" si="3"/>
        <v>820.42151841633211</v>
      </c>
      <c r="N20" s="878">
        <f t="shared" si="4"/>
        <v>84.787477382751391</v>
      </c>
      <c r="O20" s="370">
        <f>+'2027'!$AJ$3</f>
        <v>59.221897439483456</v>
      </c>
      <c r="P20" s="370">
        <f>+'2027'!$AJ$4</f>
        <v>404.82633829714422</v>
      </c>
      <c r="Q20" s="370">
        <f>+'2027'!$AK$3</f>
        <v>0</v>
      </c>
      <c r="R20" s="370">
        <f>+'2027'!$AK$4</f>
        <v>56.790025174501622</v>
      </c>
      <c r="S20" s="869"/>
      <c r="T20" s="869"/>
    </row>
    <row r="21" spans="1:30" s="19" customFormat="1" ht="12.75" x14ac:dyDescent="0.2">
      <c r="A21" s="713"/>
      <c r="B21" s="714"/>
      <c r="C21" s="715"/>
      <c r="D21" s="712"/>
      <c r="E21" s="714"/>
      <c r="F21" s="714"/>
      <c r="G21" s="714"/>
      <c r="H21" s="715"/>
      <c r="I21" s="712"/>
      <c r="J21" s="714"/>
      <c r="K21" s="881"/>
      <c r="L21" s="882"/>
      <c r="M21" s="871"/>
      <c r="N21" s="872"/>
      <c r="O21" s="10"/>
      <c r="P21" s="10"/>
      <c r="Q21" s="10"/>
      <c r="R21" s="10"/>
      <c r="S21" s="869"/>
      <c r="T21" s="869"/>
    </row>
    <row r="22" spans="1:30" s="19" customFormat="1" ht="12.75" x14ac:dyDescent="0.2">
      <c r="A22" s="713"/>
      <c r="B22" s="714"/>
      <c r="C22" s="715"/>
      <c r="D22" s="712"/>
      <c r="E22" s="714"/>
      <c r="F22" s="714"/>
      <c r="G22" s="714"/>
      <c r="H22" s="715"/>
      <c r="I22" s="712"/>
      <c r="J22" s="714"/>
      <c r="K22" s="881"/>
      <c r="L22" s="882"/>
      <c r="M22" s="871"/>
      <c r="N22" s="872"/>
      <c r="O22" s="10"/>
      <c r="P22" s="870"/>
      <c r="Q22" s="10"/>
      <c r="R22" s="870"/>
      <c r="S22" s="869"/>
      <c r="T22" s="869"/>
    </row>
    <row r="23" spans="1:30" s="19" customFormat="1" ht="12.75" x14ac:dyDescent="0.2">
      <c r="A23" s="713"/>
      <c r="B23" s="714"/>
      <c r="C23" s="715"/>
      <c r="D23" s="712"/>
      <c r="E23" s="714"/>
      <c r="F23" s="714"/>
      <c r="G23" s="714"/>
      <c r="H23" s="715"/>
      <c r="I23" s="712"/>
      <c r="J23" s="714"/>
      <c r="K23" s="881"/>
      <c r="L23" s="882"/>
      <c r="M23" s="871"/>
      <c r="N23" s="872"/>
      <c r="O23" s="10"/>
      <c r="P23" s="870"/>
      <c r="Q23" s="10"/>
      <c r="S23" s="869"/>
      <c r="T23" s="869"/>
    </row>
    <row r="24" spans="1:30" s="19" customFormat="1" ht="12.75" x14ac:dyDescent="0.2">
      <c r="A24" s="713"/>
      <c r="B24" s="714"/>
      <c r="C24" s="715"/>
      <c r="D24" s="712"/>
      <c r="E24" s="714"/>
      <c r="F24" s="714"/>
      <c r="G24" s="714"/>
      <c r="H24" s="715"/>
      <c r="I24" s="712"/>
      <c r="J24" s="714"/>
      <c r="K24" s="881"/>
      <c r="L24" s="882"/>
      <c r="M24" s="871"/>
      <c r="N24" s="872"/>
      <c r="O24" s="10"/>
      <c r="P24" s="870"/>
      <c r="Q24" s="10"/>
      <c r="R24" s="870"/>
      <c r="S24" s="869"/>
      <c r="T24" s="869"/>
    </row>
    <row r="25" spans="1:30" s="19" customFormat="1" ht="12.75" x14ac:dyDescent="0.2">
      <c r="A25" s="713"/>
      <c r="B25" s="714"/>
      <c r="C25" s="715"/>
      <c r="D25" s="712"/>
      <c r="E25" s="714"/>
      <c r="F25" s="714"/>
      <c r="G25" s="714"/>
      <c r="H25" s="715"/>
      <c r="I25" s="712"/>
      <c r="J25" s="714"/>
      <c r="K25" s="881"/>
      <c r="L25" s="882"/>
      <c r="M25" s="871"/>
      <c r="N25" s="872"/>
      <c r="O25" s="10"/>
      <c r="P25" s="870"/>
      <c r="Q25" s="10"/>
      <c r="R25" s="870"/>
      <c r="S25" s="869"/>
      <c r="T25" s="869"/>
    </row>
    <row r="26" spans="1:30" s="19" customFormat="1" ht="12.75" x14ac:dyDescent="0.2">
      <c r="A26" s="713"/>
      <c r="B26" s="714"/>
      <c r="C26" s="715"/>
      <c r="D26" s="712"/>
      <c r="E26" s="714"/>
      <c r="F26" s="714"/>
      <c r="G26" s="714"/>
      <c r="H26" s="715"/>
      <c r="I26" s="712"/>
      <c r="J26" s="714"/>
      <c r="K26" s="881"/>
      <c r="L26" s="882"/>
      <c r="M26" s="871"/>
      <c r="N26" s="872"/>
      <c r="O26" s="10"/>
      <c r="P26" s="870"/>
      <c r="Q26" s="10"/>
      <c r="R26" s="870"/>
      <c r="S26" s="869"/>
      <c r="T26" s="869"/>
    </row>
    <row r="27" spans="1:30" s="19" customFormat="1" ht="12.75" x14ac:dyDescent="0.2">
      <c r="A27" s="713"/>
      <c r="B27" s="714"/>
      <c r="C27" s="715"/>
      <c r="D27" s="712"/>
      <c r="E27" s="714"/>
      <c r="F27" s="714"/>
      <c r="G27" s="714"/>
      <c r="H27" s="715"/>
      <c r="I27" s="712"/>
      <c r="J27" s="714"/>
      <c r="K27" s="881"/>
      <c r="L27" s="882"/>
      <c r="M27" s="871"/>
      <c r="N27" s="872"/>
      <c r="O27" s="10"/>
      <c r="P27" s="870"/>
      <c r="Q27" s="10"/>
      <c r="R27" s="870"/>
      <c r="S27" s="869"/>
      <c r="T27" s="869"/>
    </row>
    <row r="28" spans="1:30" s="19" customFormat="1" ht="12.75" x14ac:dyDescent="0.2">
      <c r="A28" s="713"/>
      <c r="B28" s="714"/>
      <c r="C28" s="715"/>
      <c r="D28" s="712"/>
      <c r="E28" s="714"/>
      <c r="F28" s="714"/>
      <c r="G28" s="714"/>
      <c r="H28" s="715"/>
      <c r="I28" s="712"/>
      <c r="J28" s="714"/>
      <c r="K28" s="881"/>
      <c r="L28" s="882"/>
      <c r="M28" s="871"/>
      <c r="N28" s="872"/>
      <c r="O28" s="10"/>
      <c r="P28" s="10"/>
      <c r="Q28" s="10"/>
      <c r="R28" s="10"/>
      <c r="S28" s="869"/>
      <c r="T28" s="869"/>
    </row>
    <row r="29" spans="1:30" s="19" customFormat="1" ht="12.75" x14ac:dyDescent="0.2">
      <c r="A29" s="713"/>
      <c r="B29" s="714"/>
      <c r="C29" s="715"/>
      <c r="D29" s="712"/>
      <c r="E29" s="714"/>
      <c r="F29" s="714"/>
      <c r="G29" s="714"/>
      <c r="H29" s="715"/>
      <c r="I29" s="712"/>
      <c r="J29" s="714"/>
      <c r="K29" s="881"/>
      <c r="L29" s="882"/>
      <c r="M29" s="871"/>
      <c r="N29" s="872"/>
      <c r="O29" s="10"/>
      <c r="P29" s="10"/>
      <c r="Q29" s="10"/>
      <c r="R29" s="10"/>
      <c r="S29" s="869"/>
      <c r="T29" s="869"/>
    </row>
    <row r="30" spans="1:30" s="19" customFormat="1" ht="12.75" x14ac:dyDescent="0.2">
      <c r="A30" s="716"/>
      <c r="B30" s="717"/>
      <c r="C30" s="718"/>
      <c r="D30" s="719"/>
      <c r="E30" s="717"/>
      <c r="F30" s="717"/>
      <c r="G30" s="717"/>
      <c r="H30" s="718"/>
      <c r="I30" s="719"/>
      <c r="J30" s="717"/>
      <c r="K30" s="883"/>
      <c r="L30" s="884"/>
      <c r="M30" s="873"/>
      <c r="N30" s="874"/>
      <c r="O30" s="10"/>
      <c r="P30" s="10"/>
      <c r="Q30" s="10"/>
      <c r="R30" s="10"/>
      <c r="S30" s="869"/>
      <c r="T30" s="869"/>
      <c r="AD30" s="30"/>
    </row>
    <row r="31" spans="1:30" s="4" customFormat="1" x14ac:dyDescent="0.25">
      <c r="A31" s="887" t="s">
        <v>351</v>
      </c>
      <c r="B31" s="888">
        <f>SUM(B11:B15)/1000</f>
        <v>33.178546000000004</v>
      </c>
      <c r="C31" s="889">
        <f t="shared" ref="C31:J31" si="5">SUM(C11:C15)/1000</f>
        <v>2.3538971793365451</v>
      </c>
      <c r="D31" s="890">
        <f t="shared" si="5"/>
        <v>9.8925367268868233E-2</v>
      </c>
      <c r="E31" s="888">
        <f t="shared" si="5"/>
        <v>2.4528225466054132</v>
      </c>
      <c r="F31" s="888">
        <f t="shared" si="5"/>
        <v>35.631368546605415</v>
      </c>
      <c r="G31" s="888">
        <f t="shared" si="5"/>
        <v>36.316896834907965</v>
      </c>
      <c r="H31" s="889">
        <f t="shared" si="5"/>
        <v>0.8665237887347067</v>
      </c>
      <c r="I31" s="890">
        <f t="shared" si="5"/>
        <v>-3.653718623960845E-3</v>
      </c>
      <c r="J31" s="888">
        <f t="shared" si="5"/>
        <v>32.308397066968212</v>
      </c>
      <c r="K31" s="1174" t="s">
        <v>10</v>
      </c>
      <c r="L31" s="3"/>
      <c r="M31" s="1172" t="s">
        <v>350</v>
      </c>
      <c r="N31" s="1172" t="s">
        <v>353</v>
      </c>
      <c r="O31" s="1172" t="s">
        <v>353</v>
      </c>
      <c r="P31" s="370"/>
      <c r="Q31" s="869"/>
      <c r="R31" s="869"/>
      <c r="S31" s="19"/>
      <c r="T31" s="19"/>
      <c r="U31" s="77"/>
      <c r="V31" s="77"/>
      <c r="W31" s="77"/>
      <c r="X31" s="891"/>
      <c r="Y31" s="3"/>
      <c r="Z31" s="3"/>
      <c r="AA31" s="3"/>
      <c r="AB31" s="3"/>
    </row>
    <row r="32" spans="1:30" ht="15.75" x14ac:dyDescent="0.25">
      <c r="A32" s="1181" t="s">
        <v>354</v>
      </c>
      <c r="B32" s="1182">
        <f>IF(K16&lt;&gt;"",B15-H16-C16+C15-D16+D15,B16)</f>
        <v>6793.2362515465011</v>
      </c>
      <c r="J32" s="356" t="s">
        <v>267</v>
      </c>
      <c r="K32" s="68">
        <f>[2]!Inter_net</f>
        <v>2</v>
      </c>
      <c r="L32" s="68">
        <f>[2]!Inter_tai</f>
        <v>7</v>
      </c>
      <c r="M32" s="1173">
        <f>Inter_net</f>
        <v>2</v>
      </c>
      <c r="N32" s="1173">
        <f>CHOOSE(Inter_net,N33,N34,N35,N36)</f>
        <v>395.58236011328904</v>
      </c>
      <c r="O32" s="1177">
        <f>CHOOSE(Inter_net,O33,O34,O35,O36)</f>
        <v>5.8231797844986402E-2</v>
      </c>
      <c r="P32" s="370"/>
      <c r="Q32" s="869"/>
      <c r="R32" s="869"/>
      <c r="S32" s="19"/>
      <c r="T32" s="19"/>
      <c r="W32" s="24"/>
      <c r="X32" s="3"/>
      <c r="AB32" s="15"/>
    </row>
    <row r="33" spans="1:28" ht="15.75" x14ac:dyDescent="0.25">
      <c r="A33" s="29" t="s">
        <v>293</v>
      </c>
      <c r="B33" s="1143">
        <f t="shared" ref="B33:G33" si="6">AVERAGE(B35:B54)</f>
        <v>4.0497528959938377E-2</v>
      </c>
      <c r="C33" s="1113">
        <f t="shared" si="6"/>
        <v>7.1790306914736951E-2</v>
      </c>
      <c r="D33" s="1122">
        <f t="shared" si="6"/>
        <v>3.0654046150932656E-2</v>
      </c>
      <c r="E33" s="1143">
        <f t="shared" si="6"/>
        <v>3.8536782974082653E-2</v>
      </c>
      <c r="F33" s="1113">
        <f t="shared" si="6"/>
        <v>6.3486398059783303E-2</v>
      </c>
      <c r="G33" s="1122">
        <f t="shared" si="6"/>
        <v>3.361723429862999E-3</v>
      </c>
      <c r="H33" s="1110">
        <f t="shared" ref="H33:J33" si="7">AVERAGE(H35:H54)</f>
        <v>4.3708582095556378E-2</v>
      </c>
      <c r="I33" s="1111">
        <f t="shared" si="7"/>
        <v>1.6487362229498106E-3</v>
      </c>
      <c r="J33" s="1149">
        <f t="shared" si="7"/>
        <v>9.9119841515461798E-2</v>
      </c>
      <c r="K33" s="342"/>
      <c r="L33" s="21"/>
      <c r="M33" s="370">
        <v>1</v>
      </c>
      <c r="N33" s="1179">
        <f>O33*$B$32</f>
        <v>395.58236011328904</v>
      </c>
      <c r="O33" s="1175">
        <f>AVERAGE(H19:H20)/AVERAGE(B19:B20)</f>
        <v>5.8231797844986402E-2</v>
      </c>
      <c r="P33" s="370"/>
      <c r="Q33" s="869"/>
      <c r="R33" s="869"/>
      <c r="S33" s="19"/>
      <c r="T33" s="19"/>
    </row>
    <row r="34" spans="1:28" s="240" customFormat="1" ht="37.5" customHeight="1" x14ac:dyDescent="0.2">
      <c r="A34" s="174" t="s">
        <v>52</v>
      </c>
      <c r="B34" s="1144" t="s">
        <v>342</v>
      </c>
      <c r="C34" s="1145" t="s">
        <v>343</v>
      </c>
      <c r="D34" s="1146" t="s">
        <v>344</v>
      </c>
      <c r="E34" s="1144" t="s">
        <v>345</v>
      </c>
      <c r="F34" s="332" t="s">
        <v>346</v>
      </c>
      <c r="G34" s="333" t="s">
        <v>347</v>
      </c>
      <c r="H34" s="332" t="s">
        <v>333</v>
      </c>
      <c r="I34" s="333" t="s">
        <v>336</v>
      </c>
      <c r="J34" s="174" t="s">
        <v>332</v>
      </c>
      <c r="K34" s="332" t="s">
        <v>339</v>
      </c>
      <c r="L34" s="332" t="s">
        <v>337</v>
      </c>
      <c r="M34" s="370">
        <v>2</v>
      </c>
      <c r="N34" s="1180">
        <f>O34*$B$32</f>
        <v>395.58236011328904</v>
      </c>
      <c r="O34" s="1176">
        <f>AVERAGE(H19:H20)/AVERAGE(B19:B20)</f>
        <v>5.8231797844986402E-2</v>
      </c>
      <c r="P34" s="370"/>
      <c r="Q34" s="869"/>
      <c r="R34" s="869"/>
      <c r="S34" s="19"/>
      <c r="T34" s="19"/>
      <c r="U34" s="241"/>
      <c r="V34" s="241"/>
      <c r="W34" s="241"/>
      <c r="X34" s="242"/>
      <c r="Y34" s="239"/>
      <c r="Z34" s="239"/>
      <c r="AA34" s="239"/>
      <c r="AB34" s="239"/>
    </row>
    <row r="35" spans="1:28" s="19" customFormat="1" ht="12.75" x14ac:dyDescent="0.2">
      <c r="A35" s="142">
        <f>A11</f>
        <v>2018</v>
      </c>
      <c r="B35" s="1147">
        <f>'2018'!L$379</f>
        <v>5.591427863555487E-3</v>
      </c>
      <c r="C35" s="1117">
        <f>'2018'!O$379</f>
        <v>4.1436677140841767E-2</v>
      </c>
      <c r="D35" s="1121">
        <f>'2018'!P$379</f>
        <v>1.2349484004259829E-2</v>
      </c>
      <c r="E35" s="1147">
        <f>'2018'!Wh_Ppv/Recap!B11</f>
        <v>2.7445102515151168E-3</v>
      </c>
      <c r="F35" s="1117">
        <f>'2018'!Wh_Psa/'2018'!D$9</f>
        <v>2.3139818916091848E-2</v>
      </c>
      <c r="G35" s="1121">
        <f>'2018'!Wh_Pvg/'2018'!E$9</f>
        <v>1.2194431717577506E-3</v>
      </c>
      <c r="H35" s="1124">
        <f>H11/'2018'!Z$9</f>
        <v>0</v>
      </c>
      <c r="I35" s="1139">
        <f>I11/'2018'!AA$9</f>
        <v>0</v>
      </c>
      <c r="J35" s="1125">
        <f>1-B11/G11</f>
        <v>2.6569991860862063E-2</v>
      </c>
      <c r="K35" s="863" t="str">
        <f>K11</f>
        <v/>
      </c>
      <c r="L35" s="1136">
        <f>(K35&lt;&gt;"")*('2018'!O$383-'2018'!O$381)</f>
        <v>0</v>
      </c>
      <c r="M35" s="370">
        <v>3</v>
      </c>
      <c r="N35" s="1180">
        <f>O35*$B$32</f>
        <v>415.81124476489902</v>
      </c>
      <c r="O35" s="1176">
        <f>AVERAGE(H18:H20)/AVERAGE(B18:B20)</f>
        <v>6.1209595746097939E-2</v>
      </c>
      <c r="P35" s="370"/>
      <c r="Q35" s="869"/>
      <c r="R35" s="869"/>
    </row>
    <row r="36" spans="1:28" s="19" customFormat="1" ht="12.75" x14ac:dyDescent="0.2">
      <c r="A36" s="144">
        <f t="shared" ref="A36:A44" si="8">A12</f>
        <v>2019</v>
      </c>
      <c r="B36" s="1143">
        <f>'2019'!L$379</f>
        <v>1.3509558340620287E-2</v>
      </c>
      <c r="C36" s="1113">
        <f>'2019'!O$379</f>
        <v>8.0252189975595953E-2</v>
      </c>
      <c r="D36" s="1122">
        <f>'2019'!P$379</f>
        <v>2.2201295139368141E-2</v>
      </c>
      <c r="E36" s="1143">
        <f>'2019'!Wh_Ppv/Recap!B12</f>
        <v>9.4350942996907078E-3</v>
      </c>
      <c r="F36" s="1113">
        <f>'2019'!Wh_Psa/'2019'!D$9</f>
        <v>6.7281657117784069E-2</v>
      </c>
      <c r="G36" s="1122">
        <f>'2019'!Wh_Pvg/'2019'!E$9</f>
        <v>1.5022125683998605E-3</v>
      </c>
      <c r="H36" s="1126">
        <f>H12/'2019'!Z$9</f>
        <v>0</v>
      </c>
      <c r="I36" s="1140">
        <f>I12/'2019'!AA$9</f>
        <v>0</v>
      </c>
      <c r="J36" s="1127">
        <f t="shared" ref="J36:J44" si="9">1-B12/G12</f>
        <v>7.3849423301440398E-2</v>
      </c>
      <c r="K36" s="865" t="str">
        <f t="shared" ref="K36:K44" si="10">K12</f>
        <v/>
      </c>
      <c r="L36" s="1137">
        <f>(K36&lt;&gt;"")*('2019'!O$383-'2019'!O$381)</f>
        <v>0</v>
      </c>
      <c r="M36" s="370">
        <v>4</v>
      </c>
      <c r="N36" s="1180">
        <f>O36*$B$32</f>
        <v>402.17829788306375</v>
      </c>
      <c r="O36" s="1176">
        <f>AVERAGE(H17:H20)/AVERAGE(B17:B20)</f>
        <v>5.9202754473835148E-2</v>
      </c>
      <c r="P36" s="370"/>
      <c r="Q36" s="869"/>
      <c r="R36" s="869"/>
    </row>
    <row r="37" spans="1:28" s="19" customFormat="1" ht="12.75" x14ac:dyDescent="0.2">
      <c r="A37" s="144">
        <f t="shared" si="8"/>
        <v>2020</v>
      </c>
      <c r="B37" s="1143">
        <f>'2020'!L$379</f>
        <v>2.1364639491675108E-2</v>
      </c>
      <c r="C37" s="1113">
        <f>'2020'!O$379</f>
        <v>0.10379498858234359</v>
      </c>
      <c r="D37" s="1122">
        <f>'2020'!P$379</f>
        <v>2.8538291395385714E-2</v>
      </c>
      <c r="E37" s="1143">
        <f>'2020'!Wh_Ppv/Recap!B13</f>
        <v>1.7561014078621512E-2</v>
      </c>
      <c r="F37" s="1113">
        <f>'2020'!Wh_Psa/'2020'!D$9</f>
        <v>0.10342521867152105</v>
      </c>
      <c r="G37" s="1122">
        <f>'2020'!Wh_Pvg/'2020'!E$9</f>
        <v>2.6665912239027963E-3</v>
      </c>
      <c r="H37" s="1126">
        <f>H13/'2020'!Z$9</f>
        <v>0</v>
      </c>
      <c r="I37" s="1140">
        <f>I13/'2020'!AA$9</f>
        <v>0</v>
      </c>
      <c r="J37" s="1127">
        <f t="shared" si="9"/>
        <v>0.11349359911668244</v>
      </c>
      <c r="K37" s="865" t="str">
        <f t="shared" si="10"/>
        <v/>
      </c>
      <c r="L37" s="1137">
        <f>(K37&lt;&gt;"")*('2020'!O$383-'2020'!O$381)</f>
        <v>0</v>
      </c>
      <c r="N37" s="1183" t="s">
        <v>352</v>
      </c>
      <c r="O37" s="1184"/>
      <c r="P37" s="370"/>
      <c r="Q37" s="869"/>
      <c r="R37" s="869"/>
    </row>
    <row r="38" spans="1:28" s="19" customFormat="1" ht="12.75" x14ac:dyDescent="0.2">
      <c r="A38" s="144">
        <f t="shared" si="8"/>
        <v>2021</v>
      </c>
      <c r="B38" s="1143">
        <f>'2021'!L$379</f>
        <v>2.9178437306135563E-2</v>
      </c>
      <c r="C38" s="1113">
        <f>'2021'!O$379</f>
        <v>5.6246827721786158E-2</v>
      </c>
      <c r="D38" s="1122">
        <f>'2021'!P$379</f>
        <v>3.4338939357719825E-2</v>
      </c>
      <c r="E38" s="1143">
        <f>'2021'!Wh_Ppv/Recap!B14</f>
        <v>2.5834302827776726E-2</v>
      </c>
      <c r="F38" s="1113">
        <f>'2021'!Wh_Psa/'2021'!D$9</f>
        <v>5.5010862046536435E-2</v>
      </c>
      <c r="G38" s="1122">
        <f>'2021'!Wh_Pvg/'2021'!E$9</f>
        <v>3.3108722293765328E-3</v>
      </c>
      <c r="H38" s="1126">
        <f>H14/'2021'!Z$9</f>
        <v>6.8323173175164689E-2</v>
      </c>
      <c r="I38" s="1140">
        <f>I14/'2021'!AA$9</f>
        <v>-2.166980820268365E-4</v>
      </c>
      <c r="J38" s="1127">
        <f t="shared" si="9"/>
        <v>8.055505016684239E-2</v>
      </c>
      <c r="K38" s="865">
        <f t="shared" si="10"/>
        <v>44306</v>
      </c>
      <c r="L38" s="1137">
        <f>(K38&lt;&gt;"")*('2021'!O$383-'2021'!O$381)</f>
        <v>9.2374320811537389E-2</v>
      </c>
      <c r="O38" s="370"/>
      <c r="P38" s="370"/>
      <c r="S38" s="869"/>
      <c r="T38" s="869"/>
    </row>
    <row r="39" spans="1:28" s="19" customFormat="1" ht="12.75" x14ac:dyDescent="0.2">
      <c r="A39" s="364">
        <f t="shared" si="8"/>
        <v>2022</v>
      </c>
      <c r="B39" s="1148">
        <f>'2022'!L$379</f>
        <v>3.6908752609876916E-2</v>
      </c>
      <c r="C39" s="1112">
        <f>'2022'!O$379</f>
        <v>9.3172112867404011E-2</v>
      </c>
      <c r="D39" s="1123">
        <f>'2022'!P$379</f>
        <v>4.0139587320053911E-2</v>
      </c>
      <c r="E39" s="1148">
        <f>'2022'!Wh_Ppv/Recap!B15</f>
        <v>3.3516462519325232E-2</v>
      </c>
      <c r="F39" s="1112">
        <f>'2022'!Wh_Psa/'2022'!D$9</f>
        <v>8.2066513585501252E-2</v>
      </c>
      <c r="G39" s="1123">
        <f>'2022'!Wh_Pvg/'2022'!E$9</f>
        <v>4.3637206482691517E-3</v>
      </c>
      <c r="H39" s="1128">
        <f>H15/'2022'!Z$9</f>
        <v>5.8384651994312128E-2</v>
      </c>
      <c r="I39" s="1141">
        <f>I15/'2022'!AA$9</f>
        <v>-2.50748225937543E-4</v>
      </c>
      <c r="J39" s="1129">
        <f t="shared" si="9"/>
        <v>0.11242210683115694</v>
      </c>
      <c r="K39" s="867" t="str">
        <f t="shared" si="10"/>
        <v/>
      </c>
      <c r="L39" s="1138">
        <f>(K39&lt;&gt;"")*('2022'!O$383-'2022'!O$381)</f>
        <v>0</v>
      </c>
      <c r="O39" s="370"/>
      <c r="P39" s="370"/>
      <c r="Q39" s="370"/>
      <c r="R39" s="370"/>
      <c r="S39" s="869"/>
      <c r="T39" s="869"/>
    </row>
    <row r="40" spans="1:28" s="19" customFormat="1" ht="12.75" x14ac:dyDescent="0.2">
      <c r="A40" s="1132">
        <f t="shared" si="8"/>
        <v>2023</v>
      </c>
      <c r="B40" s="1135">
        <f>'2023'!L$379</f>
        <v>4.4577514094676141E-2</v>
      </c>
      <c r="C40" s="1133">
        <f>'2023'!O$379</f>
        <v>5.400150213455035E-2</v>
      </c>
      <c r="D40" s="1134">
        <f>'2023'!P$379</f>
        <v>4.5616383012226536E-2</v>
      </c>
      <c r="E40" s="1135">
        <f>'2023'!Wh_Ppv/Recap!B16</f>
        <v>4.239017293725799E-2</v>
      </c>
      <c r="F40" s="1133">
        <f>'2023'!Wh_Psa/'2023'!D$9</f>
        <v>5.110260603041597E-2</v>
      </c>
      <c r="G40" s="1134">
        <f>'2023'!Wh_Pvg/'2023'!E$9</f>
        <v>5.339426430162224E-3</v>
      </c>
      <c r="H40" s="1135">
        <f>H16/'2023'!Z$9</f>
        <v>7.2351262885490986E-2</v>
      </c>
      <c r="I40" s="1142">
        <f>I16/'2023'!AA$9</f>
        <v>-3.7434271270583982E-4</v>
      </c>
      <c r="J40" s="1134">
        <f t="shared" si="9"/>
        <v>9.4492730696707605E-2</v>
      </c>
      <c r="K40" s="865">
        <f t="shared" si="10"/>
        <v>45046</v>
      </c>
      <c r="L40" s="1137">
        <f>(K40&lt;&gt;"")*('2023'!O$383-'2023'!O$381)</f>
        <v>8.5556926032540129E-2</v>
      </c>
      <c r="M40" s="370"/>
      <c r="N40" s="370"/>
      <c r="O40" s="370"/>
      <c r="P40" s="370"/>
      <c r="Q40" s="370"/>
      <c r="R40" s="370"/>
      <c r="S40" s="869"/>
      <c r="T40" s="869"/>
    </row>
    <row r="41" spans="1:28" s="19" customFormat="1" ht="12.75" x14ac:dyDescent="0.2">
      <c r="A41" s="1132">
        <f t="shared" si="8"/>
        <v>2024</v>
      </c>
      <c r="B41" s="1135">
        <f>'2024'!L$379</f>
        <v>5.2185211892238903E-2</v>
      </c>
      <c r="C41" s="1133">
        <f>'2024'!O$379</f>
        <v>9.0497883227873416E-2</v>
      </c>
      <c r="D41" s="1134">
        <f>'2024'!P$379</f>
        <v>5.3664866514586559E-2</v>
      </c>
      <c r="E41" s="1135">
        <f>'2024'!Wh_Ppv/Recap!B17</f>
        <v>5.0707242372174777E-2</v>
      </c>
      <c r="F41" s="1133">
        <f>'2024'!Wh_Psa/'2024'!D$9</f>
        <v>7.7895607355047067E-2</v>
      </c>
      <c r="G41" s="1134">
        <f>'2024'!Wh_Pvg/'2024'!E$9</f>
        <v>6.354164217501952E-3</v>
      </c>
      <c r="H41" s="1135">
        <f>H17/'2024'!Z$9</f>
        <v>5.3411548635040766E-2</v>
      </c>
      <c r="I41" s="1142">
        <f>I17/'2024'!AA$9</f>
        <v>-3.3771050355426335E-4</v>
      </c>
      <c r="J41" s="1134">
        <f t="shared" si="9"/>
        <v>0.12657123012752625</v>
      </c>
      <c r="K41" s="865" t="str">
        <f t="shared" si="10"/>
        <v/>
      </c>
      <c r="L41" s="1137">
        <f>(K41&lt;&gt;"")*('2024'!O$383-'2024'!O$381)</f>
        <v>0</v>
      </c>
      <c r="M41" s="370"/>
      <c r="N41" s="370"/>
      <c r="O41" s="370"/>
      <c r="P41" s="370"/>
      <c r="Q41" s="370"/>
      <c r="R41" s="370"/>
      <c r="S41" s="869"/>
      <c r="T41" s="869"/>
    </row>
    <row r="42" spans="1:28" s="19" customFormat="1" ht="12.75" x14ac:dyDescent="0.2">
      <c r="A42" s="1132">
        <f t="shared" si="8"/>
        <v>2025</v>
      </c>
      <c r="B42" s="1135">
        <f>'2025'!L$379</f>
        <v>5.9752926506579929E-2</v>
      </c>
      <c r="C42" s="1133">
        <f>'2025'!O$379</f>
        <v>5.400150213455035E-2</v>
      </c>
      <c r="D42" s="1134">
        <f>'2025'!P$379</f>
        <v>1.1732303400318353E-2</v>
      </c>
      <c r="E42" s="1135">
        <f>'2025'!Wh_Ppv/Recap!B18</f>
        <v>5.9231786103018255E-2</v>
      </c>
      <c r="F42" s="1133">
        <f>'2025'!Wh_Psa/'2025'!D$9</f>
        <v>4.9471941399917375E-2</v>
      </c>
      <c r="G42" s="1134">
        <f>'2025'!Wh_Pvg/'2025'!E$9</f>
        <v>3.9404776406620958E-3</v>
      </c>
      <c r="H42" s="1135">
        <f>H18/'2025'!Z$9</f>
        <v>6.8167207302004498E-2</v>
      </c>
      <c r="I42" s="1142">
        <f>I18/'2025'!AA$9</f>
        <v>3.4858022395724219E-3</v>
      </c>
      <c r="J42" s="1134">
        <f t="shared" si="9"/>
        <v>0.10685140009708616</v>
      </c>
      <c r="K42" s="865">
        <f t="shared" si="10"/>
        <v>45777</v>
      </c>
      <c r="L42" s="1137">
        <f>(K42&lt;&gt;"")*('2025'!O$383-'2025'!O$381)</f>
        <v>8.282176286778882E-2</v>
      </c>
      <c r="M42" s="370"/>
      <c r="N42" s="370"/>
      <c r="O42" s="370"/>
      <c r="P42" s="370"/>
      <c r="Q42" s="370"/>
      <c r="R42" s="370"/>
      <c r="S42" s="869"/>
      <c r="T42" s="869"/>
    </row>
    <row r="43" spans="1:28" s="19" customFormat="1" ht="12.75" x14ac:dyDescent="0.2">
      <c r="A43" s="1132">
        <f t="shared" si="8"/>
        <v>2026</v>
      </c>
      <c r="B43" s="1135">
        <f>'2026'!L$379</f>
        <v>6.7239787759800995E-2</v>
      </c>
      <c r="C43" s="1133">
        <f>'2026'!O$379</f>
        <v>9.0497883227873416E-2</v>
      </c>
      <c r="D43" s="1134">
        <f>'2026'!P$379</f>
        <v>2.4081787404578173E-2</v>
      </c>
      <c r="E43" s="1135">
        <f>'2026'!Wh_Ppv/Recap!B19</f>
        <v>6.7663317749511967E-2</v>
      </c>
      <c r="F43" s="1133">
        <f>'2026'!Wh_Psa/'2026'!D$9</f>
        <v>7.6636164370971746E-2</v>
      </c>
      <c r="G43" s="1134">
        <f>'2026'!Wh_Pvg/'2026'!E$9</f>
        <v>1.7834390256006845E-3</v>
      </c>
      <c r="H43" s="1135">
        <f>H19/'2026'!Z$9</f>
        <v>5.0117196548165939E-2</v>
      </c>
      <c r="I43" s="1142">
        <f>I19/'2026'!AA$9</f>
        <v>6.9892029505897058E-3</v>
      </c>
      <c r="J43" s="1134">
        <f t="shared" si="9"/>
        <v>0.13599484471906587</v>
      </c>
      <c r="K43" s="865" t="str">
        <f t="shared" si="10"/>
        <v/>
      </c>
      <c r="L43" s="1137">
        <f>(K43&lt;&gt;"")*('2026'!O$383-'2026'!O$381)</f>
        <v>0</v>
      </c>
      <c r="M43" s="370"/>
      <c r="N43" s="370"/>
      <c r="O43" s="370"/>
      <c r="P43" s="370"/>
      <c r="Q43" s="370"/>
      <c r="R43" s="370"/>
      <c r="S43" s="869"/>
      <c r="T43" s="869"/>
    </row>
    <row r="44" spans="1:28" s="19" customFormat="1" ht="12.75" x14ac:dyDescent="0.2">
      <c r="A44" s="1132">
        <f t="shared" si="8"/>
        <v>2027</v>
      </c>
      <c r="B44" s="1135">
        <f>'2027'!L$379</f>
        <v>7.4667033734224453E-2</v>
      </c>
      <c r="C44" s="1133">
        <f>'2027'!O$379</f>
        <v>5.400150213455035E-2</v>
      </c>
      <c r="D44" s="1134">
        <f>'2027'!P$379</f>
        <v>3.3877523960829499E-2</v>
      </c>
      <c r="E44" s="1135">
        <f>'2027'!Wh_Ppv/Recap!B20</f>
        <v>7.6283926601934254E-2</v>
      </c>
      <c r="F44" s="1133">
        <f>'2027'!Wh_Psa/'2027'!D$9</f>
        <v>4.8833591104046184E-2</v>
      </c>
      <c r="G44" s="1134">
        <f>'2027'!Wh_Pvg/'2027'!E$9</f>
        <v>3.136887142996936E-3</v>
      </c>
      <c r="H44" s="1135">
        <f>H20/'2027'!Z$9</f>
        <v>6.633078041538483E-2</v>
      </c>
      <c r="I44" s="1142">
        <f>I20/'2027'!AA$9</f>
        <v>7.1918565635604613E-3</v>
      </c>
      <c r="J44" s="1134">
        <f t="shared" si="9"/>
        <v>0.12039803823724793</v>
      </c>
      <c r="K44" s="865">
        <f t="shared" si="10"/>
        <v>46507</v>
      </c>
      <c r="L44" s="1137">
        <f>(K44&lt;&gt;"")*('2027'!O$383-'2027'!O$381)</f>
        <v>8.2755682905727851E-2</v>
      </c>
      <c r="M44" s="370"/>
      <c r="N44" s="370"/>
      <c r="O44" s="370"/>
      <c r="P44" s="370"/>
      <c r="Q44" s="370"/>
      <c r="R44" s="370"/>
      <c r="S44" s="869"/>
      <c r="T44" s="869"/>
    </row>
    <row r="45" spans="1:28" s="19" customFormat="1" ht="12.75" x14ac:dyDescent="0.2">
      <c r="A45" s="713"/>
      <c r="B45" s="871"/>
      <c r="C45" s="1118"/>
      <c r="D45" s="1119"/>
      <c r="E45" s="871"/>
      <c r="F45" s="1118"/>
      <c r="G45" s="1119"/>
      <c r="H45" s="1130"/>
      <c r="I45" s="714"/>
      <c r="J45" s="1119"/>
      <c r="K45" s="881"/>
      <c r="L45" s="1119"/>
      <c r="M45" s="10"/>
      <c r="N45" s="10"/>
      <c r="O45" s="10"/>
      <c r="P45" s="10"/>
      <c r="Q45" s="10"/>
      <c r="R45" s="10"/>
      <c r="S45" s="869"/>
      <c r="T45" s="869"/>
    </row>
    <row r="46" spans="1:28" s="19" customFormat="1" ht="12.75" x14ac:dyDescent="0.2">
      <c r="A46" s="713"/>
      <c r="B46" s="871"/>
      <c r="C46" s="1118"/>
      <c r="D46" s="1119"/>
      <c r="E46" s="871"/>
      <c r="F46" s="1118"/>
      <c r="G46" s="1119"/>
      <c r="H46" s="1130"/>
      <c r="I46" s="714"/>
      <c r="J46" s="1119"/>
      <c r="K46" s="881"/>
      <c r="L46" s="1119"/>
      <c r="M46" s="10"/>
      <c r="N46" s="10"/>
      <c r="O46" s="10"/>
      <c r="P46" s="870"/>
      <c r="Q46" s="10"/>
      <c r="R46" s="870"/>
      <c r="S46" s="869"/>
      <c r="T46" s="869"/>
    </row>
    <row r="47" spans="1:28" s="19" customFormat="1" ht="12.75" x14ac:dyDescent="0.2">
      <c r="A47" s="713"/>
      <c r="B47" s="871"/>
      <c r="C47" s="1118"/>
      <c r="D47" s="1119"/>
      <c r="E47" s="871"/>
      <c r="F47" s="1118"/>
      <c r="G47" s="1119"/>
      <c r="H47" s="1130"/>
      <c r="I47" s="714"/>
      <c r="J47" s="1119"/>
      <c r="K47" s="881"/>
      <c r="L47" s="1119"/>
      <c r="M47" s="10"/>
      <c r="N47" s="10"/>
      <c r="O47" s="10"/>
      <c r="P47" s="870"/>
      <c r="Q47" s="10"/>
      <c r="S47" s="869"/>
      <c r="T47" s="869"/>
    </row>
    <row r="48" spans="1:28" s="19" customFormat="1" ht="12.75" x14ac:dyDescent="0.2">
      <c r="A48" s="713"/>
      <c r="B48" s="871"/>
      <c r="C48" s="1118"/>
      <c r="D48" s="1119"/>
      <c r="E48" s="871"/>
      <c r="F48" s="1118"/>
      <c r="G48" s="1119"/>
      <c r="H48" s="1130"/>
      <c r="I48" s="714"/>
      <c r="J48" s="1119"/>
      <c r="K48" s="881"/>
      <c r="L48" s="1119"/>
      <c r="M48" s="10"/>
      <c r="N48" s="10"/>
      <c r="O48" s="10"/>
      <c r="P48" s="870"/>
      <c r="Q48" s="10"/>
      <c r="R48" s="870"/>
      <c r="S48" s="869"/>
      <c r="T48" s="869"/>
    </row>
    <row r="49" spans="1:30" s="19" customFormat="1" ht="12.75" x14ac:dyDescent="0.2">
      <c r="A49" s="713"/>
      <c r="B49" s="871"/>
      <c r="C49" s="1118"/>
      <c r="D49" s="1119"/>
      <c r="E49" s="871"/>
      <c r="F49" s="1118"/>
      <c r="G49" s="1119"/>
      <c r="H49" s="1130"/>
      <c r="I49" s="714"/>
      <c r="J49" s="1119"/>
      <c r="K49" s="881"/>
      <c r="L49" s="1119"/>
      <c r="M49" s="10"/>
      <c r="N49" s="10"/>
      <c r="O49" s="10"/>
      <c r="P49" s="870"/>
      <c r="Q49" s="10"/>
      <c r="R49" s="870"/>
      <c r="S49" s="869"/>
      <c r="T49" s="869"/>
    </row>
    <row r="50" spans="1:30" s="19" customFormat="1" ht="12.75" x14ac:dyDescent="0.2">
      <c r="A50" s="713"/>
      <c r="B50" s="871"/>
      <c r="C50" s="1118"/>
      <c r="D50" s="1119"/>
      <c r="E50" s="871"/>
      <c r="F50" s="1118"/>
      <c r="G50" s="1119"/>
      <c r="H50" s="1130"/>
      <c r="I50" s="714"/>
      <c r="J50" s="1119"/>
      <c r="K50" s="881"/>
      <c r="L50" s="1119"/>
      <c r="M50" s="10"/>
      <c r="N50" s="10"/>
      <c r="O50" s="10"/>
      <c r="P50" s="870"/>
      <c r="Q50" s="10"/>
      <c r="R50" s="870"/>
      <c r="S50" s="869"/>
      <c r="T50" s="869"/>
    </row>
    <row r="51" spans="1:30" s="19" customFormat="1" ht="12.75" x14ac:dyDescent="0.2">
      <c r="A51" s="713"/>
      <c r="B51" s="871"/>
      <c r="C51" s="1118"/>
      <c r="D51" s="1119"/>
      <c r="E51" s="871"/>
      <c r="F51" s="1118"/>
      <c r="G51" s="1119"/>
      <c r="H51" s="1130"/>
      <c r="I51" s="714"/>
      <c r="J51" s="1119"/>
      <c r="K51" s="881"/>
      <c r="L51" s="1119"/>
      <c r="M51" s="10"/>
      <c r="N51" s="10"/>
      <c r="O51" s="10"/>
      <c r="P51" s="870"/>
      <c r="Q51" s="10"/>
      <c r="R51" s="870"/>
      <c r="S51" s="869"/>
      <c r="T51" s="869"/>
    </row>
    <row r="52" spans="1:30" s="19" customFormat="1" ht="12.75" x14ac:dyDescent="0.2">
      <c r="A52" s="713"/>
      <c r="B52" s="871"/>
      <c r="C52" s="1118"/>
      <c r="D52" s="1119"/>
      <c r="E52" s="871"/>
      <c r="F52" s="1118"/>
      <c r="G52" s="1119"/>
      <c r="H52" s="1130"/>
      <c r="I52" s="714"/>
      <c r="J52" s="1119"/>
      <c r="K52" s="881"/>
      <c r="L52" s="1119"/>
      <c r="M52" s="10"/>
      <c r="N52" s="10"/>
      <c r="O52" s="10"/>
      <c r="P52" s="10"/>
      <c r="Q52" s="10"/>
      <c r="R52" s="10"/>
      <c r="S52" s="869"/>
      <c r="T52" s="869"/>
    </row>
    <row r="53" spans="1:30" s="19" customFormat="1" ht="12.75" x14ac:dyDescent="0.2">
      <c r="A53" s="713"/>
      <c r="B53" s="871"/>
      <c r="C53" s="1118"/>
      <c r="D53" s="1119"/>
      <c r="E53" s="871"/>
      <c r="F53" s="1118"/>
      <c r="G53" s="1119"/>
      <c r="H53" s="1130"/>
      <c r="I53" s="714"/>
      <c r="J53" s="1119"/>
      <c r="K53" s="881"/>
      <c r="L53" s="1119"/>
      <c r="M53" s="10"/>
      <c r="N53" s="10"/>
      <c r="O53" s="10"/>
      <c r="P53" s="10"/>
      <c r="Q53" s="10"/>
      <c r="R53" s="10"/>
      <c r="S53" s="869"/>
      <c r="T53" s="869"/>
    </row>
    <row r="54" spans="1:30" s="19" customFormat="1" ht="12.75" x14ac:dyDescent="0.2">
      <c r="A54" s="716"/>
      <c r="B54" s="873"/>
      <c r="C54" s="717"/>
      <c r="D54" s="1120"/>
      <c r="E54" s="873"/>
      <c r="F54" s="717"/>
      <c r="G54" s="1120"/>
      <c r="H54" s="1131"/>
      <c r="I54" s="717"/>
      <c r="J54" s="1120"/>
      <c r="K54" s="883"/>
      <c r="L54" s="1120"/>
      <c r="M54" s="10"/>
      <c r="N54" s="10"/>
      <c r="O54" s="10"/>
      <c r="P54" s="10"/>
      <c r="Q54" s="10"/>
      <c r="R54" s="10"/>
      <c r="S54" s="869"/>
      <c r="T54" s="869"/>
      <c r="AD54" s="30"/>
    </row>
    <row r="55" spans="1:30" s="19" customFormat="1" ht="12.75" x14ac:dyDescent="0.2">
      <c r="A55" s="1114"/>
      <c r="B55" s="714"/>
      <c r="C55" s="715"/>
      <c r="D55" s="712"/>
      <c r="E55" s="714"/>
      <c r="F55" s="714"/>
      <c r="G55" s="714"/>
      <c r="H55" s="715"/>
      <c r="I55" s="712"/>
      <c r="J55" s="714"/>
      <c r="K55" s="1115"/>
      <c r="L55" s="1115"/>
      <c r="M55" s="714"/>
      <c r="N55" s="1116"/>
      <c r="O55" s="10"/>
      <c r="P55" s="10"/>
      <c r="Q55" s="10"/>
      <c r="R55" s="10"/>
      <c r="S55" s="869"/>
      <c r="T55" s="869"/>
      <c r="AD55" s="30"/>
    </row>
    <row r="56" spans="1:30" ht="18.75" x14ac:dyDescent="0.3">
      <c r="A56" s="1" t="s">
        <v>106</v>
      </c>
      <c r="AB56" s="15"/>
    </row>
    <row r="57" spans="1:30" s="10" customFormat="1" ht="11.25" x14ac:dyDescent="0.2">
      <c r="A57" s="75" t="s">
        <v>55</v>
      </c>
      <c r="B57" s="369">
        <f>MIN(B$61:B$80)</f>
        <v>2.2105292670251067</v>
      </c>
      <c r="C57" s="369">
        <f t="shared" ref="C57:N57" si="11">MIN(C$61:C$80)</f>
        <v>3.3605096678278348</v>
      </c>
      <c r="D57" s="369">
        <f t="shared" si="11"/>
        <v>4.6966017807307514</v>
      </c>
      <c r="E57" s="369">
        <f t="shared" si="11"/>
        <v>5.6462677245244626</v>
      </c>
      <c r="F57" s="369">
        <f t="shared" si="11"/>
        <v>6.2784149332166095</v>
      </c>
      <c r="G57" s="369">
        <f t="shared" si="11"/>
        <v>6.2324064224154867</v>
      </c>
      <c r="H57" s="369">
        <f t="shared" si="11"/>
        <v>5.9718675446083056</v>
      </c>
      <c r="I57" s="369">
        <f t="shared" si="11"/>
        <v>5.5223534866343877</v>
      </c>
      <c r="J57" s="369">
        <f t="shared" si="11"/>
        <v>4.8089103079255979</v>
      </c>
      <c r="K57" s="369">
        <f t="shared" si="11"/>
        <v>3.6286806383342789</v>
      </c>
      <c r="L57" s="369">
        <f t="shared" si="11"/>
        <v>2.2390193877138613</v>
      </c>
      <c r="M57" s="369">
        <f t="shared" si="11"/>
        <v>1.6847124599156356</v>
      </c>
      <c r="N57" s="369">
        <f t="shared" si="11"/>
        <v>4.4388375485145266</v>
      </c>
      <c r="P57" s="370"/>
      <c r="Q57" s="371"/>
      <c r="R57" s="370"/>
      <c r="S57" s="370"/>
      <c r="T57" s="370"/>
      <c r="U57" s="370"/>
      <c r="V57" s="370"/>
    </row>
    <row r="58" spans="1:30" s="10" customFormat="1" ht="11.25" x14ac:dyDescent="0.2">
      <c r="A58" s="75" t="s">
        <v>56</v>
      </c>
      <c r="B58" s="369">
        <f>AVERAGE(B$61:B$80)</f>
        <v>2.3515925842848979</v>
      </c>
      <c r="C58" s="369">
        <f t="shared" ref="C58:N58" si="12">AVERAGE(C$61:C$80)</f>
        <v>3.5625979846651266</v>
      </c>
      <c r="D58" s="369">
        <f t="shared" si="12"/>
        <v>4.9294848754361356</v>
      </c>
      <c r="E58" s="369">
        <f t="shared" si="12"/>
        <v>5.941994884268766</v>
      </c>
      <c r="F58" s="369">
        <f t="shared" si="12"/>
        <v>6.5777832800208103</v>
      </c>
      <c r="G58" s="369">
        <f t="shared" si="12"/>
        <v>6.5845759186260207</v>
      </c>
      <c r="H58" s="369">
        <f t="shared" si="12"/>
        <v>6.3042347342999712</v>
      </c>
      <c r="I58" s="369">
        <f t="shared" si="12"/>
        <v>5.8237171755920141</v>
      </c>
      <c r="J58" s="369">
        <f t="shared" si="12"/>
        <v>5.0630613459773919</v>
      </c>
      <c r="K58" s="369">
        <f t="shared" si="12"/>
        <v>3.8312776463721456</v>
      </c>
      <c r="L58" s="369">
        <f t="shared" si="12"/>
        <v>2.3923783882514713</v>
      </c>
      <c r="M58" s="369">
        <f t="shared" si="12"/>
        <v>1.7886489205097136</v>
      </c>
      <c r="N58" s="369">
        <f t="shared" si="12"/>
        <v>4.6059610900614905</v>
      </c>
      <c r="P58" s="370"/>
      <c r="Q58" s="371"/>
      <c r="R58" s="370"/>
      <c r="S58" s="370"/>
      <c r="T58" s="370"/>
      <c r="U58" s="370"/>
      <c r="V58" s="370"/>
    </row>
    <row r="59" spans="1:30" s="10" customFormat="1" ht="11.25" x14ac:dyDescent="0.2">
      <c r="A59" s="75" t="s">
        <v>57</v>
      </c>
      <c r="B59" s="369">
        <f>MAX(B$61:B$80)</f>
        <v>2.5596793039106465</v>
      </c>
      <c r="C59" s="369">
        <f t="shared" ref="C59:N59" si="13">MAX(C$61:C$80)</f>
        <v>3.8493910524980426</v>
      </c>
      <c r="D59" s="369">
        <f t="shared" si="13"/>
        <v>5.2587072353533904</v>
      </c>
      <c r="E59" s="369">
        <f t="shared" si="13"/>
        <v>6.2901075508036408</v>
      </c>
      <c r="F59" s="369">
        <f t="shared" si="13"/>
        <v>6.8799240477871644</v>
      </c>
      <c r="G59" s="369">
        <f t="shared" si="13"/>
        <v>7.1102008718806111</v>
      </c>
      <c r="H59" s="369">
        <f t="shared" si="13"/>
        <v>6.8020974015852138</v>
      </c>
      <c r="I59" s="369">
        <f t="shared" si="13"/>
        <v>6.2766025915697439</v>
      </c>
      <c r="J59" s="369">
        <f t="shared" si="13"/>
        <v>5.4536279799564653</v>
      </c>
      <c r="K59" s="369">
        <f t="shared" si="13"/>
        <v>4.1645841739538794</v>
      </c>
      <c r="L59" s="369">
        <f t="shared" si="13"/>
        <v>2.6297661869359863</v>
      </c>
      <c r="M59" s="369">
        <f t="shared" si="13"/>
        <v>1.9545506403320569</v>
      </c>
      <c r="N59" s="369">
        <f t="shared" si="13"/>
        <v>4.9130614066019946</v>
      </c>
      <c r="P59" s="370"/>
      <c r="Q59" s="371"/>
      <c r="R59" s="370"/>
      <c r="S59" s="370"/>
      <c r="T59" s="370"/>
      <c r="U59" s="370"/>
      <c r="V59" s="370"/>
    </row>
    <row r="60" spans="1:30" s="19" customFormat="1" ht="12.75" x14ac:dyDescent="0.2">
      <c r="A60" s="107" t="s">
        <v>52</v>
      </c>
      <c r="B60" s="344">
        <v>15</v>
      </c>
      <c r="C60" s="344">
        <v>46</v>
      </c>
      <c r="D60" s="344">
        <v>75</v>
      </c>
      <c r="E60" s="344">
        <v>106</v>
      </c>
      <c r="F60" s="344">
        <v>136</v>
      </c>
      <c r="G60" s="344">
        <v>167</v>
      </c>
      <c r="H60" s="344">
        <v>197</v>
      </c>
      <c r="I60" s="344">
        <v>228</v>
      </c>
      <c r="J60" s="344">
        <v>259</v>
      </c>
      <c r="K60" s="344">
        <v>289</v>
      </c>
      <c r="L60" s="344">
        <v>320</v>
      </c>
      <c r="M60" s="344">
        <v>350</v>
      </c>
      <c r="N60" s="344" t="s">
        <v>58</v>
      </c>
      <c r="O60" s="30"/>
      <c r="P60" s="149"/>
      <c r="Q60" s="343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5"/>
      <c r="C61" s="345"/>
      <c r="D61" s="345"/>
      <c r="E61" s="346"/>
      <c r="F61" s="345"/>
      <c r="G61" s="345">
        <f>AVERAGE('2018'!$V$166:$V$195)/Pc</f>
        <v>7.1102008718806111</v>
      </c>
      <c r="H61" s="345">
        <f>AVERAGE('2018'!$V$196:$V$226)/Pc</f>
        <v>6.8020974015852138</v>
      </c>
      <c r="I61" s="345">
        <f>AVERAGE('2018'!$V$227:$V$257)/Pc</f>
        <v>6.2766025915697439</v>
      </c>
      <c r="J61" s="347">
        <f>AVERAGE('2018'!$V$258:$V$287)/Pc</f>
        <v>5.4536279799564653</v>
      </c>
      <c r="K61" s="348">
        <f>AVERAGE('2018'!$V$288:$V$318)/Pc</f>
        <v>4.1645841739538794</v>
      </c>
      <c r="L61" s="345">
        <f>AVERAGE('2018'!$V$319:$V$348)/Pc</f>
        <v>2.6297661869359863</v>
      </c>
      <c r="M61" s="349">
        <f>AVERAGE('2018'!$V$349:$V$379)/Pc</f>
        <v>1.9545506403320569</v>
      </c>
      <c r="N61" s="353">
        <f t="shared" ref="N61:N66" si="14">AVERAGE(B61:M61)</f>
        <v>4.9130614066019946</v>
      </c>
      <c r="O61" s="30"/>
      <c r="P61" s="149"/>
      <c r="Q61" s="343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50">
        <f>AVERAGE('2019'!$V$15:$V$45)/Pc</f>
        <v>2.5596793039106465</v>
      </c>
      <c r="C62" s="350">
        <f>AVERAGE('2019'!$V$46:$V$73)/Pc</f>
        <v>3.8493910524980426</v>
      </c>
      <c r="D62" s="350">
        <f>AVERAGE('2019'!$V$74:$V$104)/Pc</f>
        <v>5.2587072353533904</v>
      </c>
      <c r="E62" s="351">
        <f>AVERAGE('2019'!$V$105:$V$134)/Pc</f>
        <v>6.2901075508036408</v>
      </c>
      <c r="F62" s="350">
        <f>AVERAGE('2019'!$V$135:$V$165)/Pc</f>
        <v>6.7244291296167722</v>
      </c>
      <c r="G62" s="350">
        <f>AVERAGE('2019'!$V$166:$V$195)/Pc</f>
        <v>6.6756952832162533</v>
      </c>
      <c r="H62" s="350">
        <f>AVERAGE('2019'!$V$196:$V$226)/Pc</f>
        <v>6.3962579668463571</v>
      </c>
      <c r="I62" s="350">
        <f>AVERAGE('2019'!$V$227:$V$257)/Pc</f>
        <v>5.9138125161923432</v>
      </c>
      <c r="J62" s="348">
        <f>AVERAGE('2019'!$V$258:$V$287)/Pc</f>
        <v>5.148781024035217</v>
      </c>
      <c r="K62" s="348">
        <f>AVERAGE('2019'!$V$288:$V$318)/Pc</f>
        <v>3.9276057795164889</v>
      </c>
      <c r="L62" s="350">
        <f>AVERAGE('2019'!$V$319:$V$348)/Pc</f>
        <v>2.4683598239818436</v>
      </c>
      <c r="M62" s="352">
        <f>AVERAGE('2019'!$V$349:$V$379)/Pc</f>
        <v>1.8387974432516596</v>
      </c>
      <c r="N62" s="354">
        <f t="shared" si="14"/>
        <v>4.7543020091018873</v>
      </c>
      <c r="O62" s="30"/>
      <c r="P62" s="149"/>
      <c r="Q62" s="343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50">
        <f>AVERAGE('2020'!$V$15:$V$45)/Pc</f>
        <v>2.4147445652156327</v>
      </c>
      <c r="C63" s="350">
        <f>AVERAGE('2020'!$V$46:$V$74)/Pc</f>
        <v>3.6768922152082673</v>
      </c>
      <c r="D63" s="350">
        <f>AVERAGE('2020'!$V$75:$V$105)/Pc</f>
        <v>5.063893835367856</v>
      </c>
      <c r="E63" s="351">
        <f>AVERAGE('2020'!$V$106:$V$135)/Pc</f>
        <v>6.0394217767033451</v>
      </c>
      <c r="F63" s="350">
        <f>AVERAGE('2020'!$V$136:$V$166)/Pc</f>
        <v>6.4421998353443577</v>
      </c>
      <c r="G63" s="350">
        <f>AVERAGE('2020'!$V$167:$V$196)/Pc</f>
        <v>6.3896716966723881</v>
      </c>
      <c r="H63" s="350">
        <f>AVERAGE('2020'!$V$197:$V$227)/Pc</f>
        <v>6.1216769108639433</v>
      </c>
      <c r="I63" s="350">
        <f>AVERAGE('2020'!$V$228:$V$258)/Pc</f>
        <v>5.6610007633471033</v>
      </c>
      <c r="J63" s="348">
        <f>AVERAGE('2020'!$V$259:$V$288)/Pc</f>
        <v>4.9180576235519649</v>
      </c>
      <c r="K63" s="348">
        <f>AVERAGE('2020'!$V$289:$V$319)/Pc</f>
        <v>3.721697966220292</v>
      </c>
      <c r="L63" s="350">
        <f>AVERAGE('2020'!$V$320:$V$349)/Pc</f>
        <v>2.3231614433554331</v>
      </c>
      <c r="M63" s="352">
        <f>AVERAGE('2020'!$V$350:$V$380)/Pc</f>
        <v>1.7656707235523934</v>
      </c>
      <c r="N63" s="355">
        <f t="shared" si="14"/>
        <v>4.5448407796169148</v>
      </c>
      <c r="O63" s="30"/>
      <c r="P63" s="149"/>
      <c r="Q63" s="343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50">
        <f>AVERAGE('2021'!$V$15:$V$45)/Pc</f>
        <v>2.3188594063676873</v>
      </c>
      <c r="C64" s="350">
        <f>AVERAGE('2021'!$V$46:$V$73)/Pc</f>
        <v>3.5178623594313634</v>
      </c>
      <c r="D64" s="350">
        <f>AVERAGE('2021'!$V$74:$V$104)/Pc</f>
        <v>4.8620932506971171</v>
      </c>
      <c r="E64" s="351">
        <f>AVERAGE('2021'!$V$105:$V$134)/Pc</f>
        <v>6.0634007241981074</v>
      </c>
      <c r="F64" s="350">
        <f>AVERAGE('2021'!$V$135:$V$165)/Pc</f>
        <v>6.8799240477871644</v>
      </c>
      <c r="G64" s="350">
        <f>AVERAGE('2021'!$V$166:$V$195)/Pc</f>
        <v>6.8224864732040835</v>
      </c>
      <c r="H64" s="350">
        <f>AVERAGE('2021'!$V$196:$V$226)/Pc</f>
        <v>6.5270630530562883</v>
      </c>
      <c r="I64" s="350">
        <f>AVERAGE('2021'!$V$227:$V$257)/Pc</f>
        <v>6.0238716215927468</v>
      </c>
      <c r="J64" s="348">
        <f>AVERAGE('2021'!$V$258:$V$287)/Pc</f>
        <v>5.2332083634172291</v>
      </c>
      <c r="K64" s="348">
        <f>AVERAGE('2021'!$V$288:$V$318)/Pc</f>
        <v>3.9521187745800792</v>
      </c>
      <c r="L64" s="350">
        <f>AVERAGE('2021'!$V$319:$V$348)/Pc</f>
        <v>2.4576152506795839</v>
      </c>
      <c r="M64" s="352">
        <f>AVERAGE('2021'!$V$349:$V$379)/Pc</f>
        <v>1.8326047291629866</v>
      </c>
      <c r="N64" s="354">
        <f t="shared" si="14"/>
        <v>4.7075923378478688</v>
      </c>
      <c r="O64" s="30"/>
      <c r="P64" s="149"/>
      <c r="Q64" s="343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5">
        <f>'2022'!An</f>
        <v>2022</v>
      </c>
      <c r="B65" s="546">
        <f>AVERAGE('2022'!$V$15:$V$45)/Pc</f>
        <v>2.402454044465784</v>
      </c>
      <c r="C65" s="546">
        <f>AVERAGE('2022'!$V$46:$V$73)/Pc</f>
        <v>3.6413062417929525</v>
      </c>
      <c r="D65" s="546">
        <f>AVERAGE('2022'!$V$74:$V$104)/Pc</f>
        <v>5.0450442205644732</v>
      </c>
      <c r="E65" s="548">
        <f>AVERAGE('2022'!$V$105:$V$134)/Pc</f>
        <v>6.0484064415957342</v>
      </c>
      <c r="F65" s="546">
        <f>AVERAGE('2022'!$V$135:$V$165)/Pc</f>
        <v>6.4652606224057187</v>
      </c>
      <c r="G65" s="546">
        <f>AVERAGE('2022'!$V$166:$V$195)/Pc</f>
        <v>6.4172011243688756</v>
      </c>
      <c r="H65" s="546">
        <f>AVERAGE('2022'!$V$196:$V$226)/Pc</f>
        <v>6.1484749050221481</v>
      </c>
      <c r="I65" s="546">
        <f>AVERAGE('2022'!$V$227:$V$257)/Pc</f>
        <v>5.6853856283765545</v>
      </c>
      <c r="J65" s="546">
        <f>AVERAGE('2022'!$V$258:$V$287)/Pc</f>
        <v>4.9480761009986072</v>
      </c>
      <c r="K65" s="546">
        <f>AVERAGE('2022'!$V$288:$V$318)/Pc</f>
        <v>3.7291589856623895</v>
      </c>
      <c r="L65" s="546">
        <f>AVERAGE('2022'!$V$319:$V$348)/Pc</f>
        <v>2.315724518475883</v>
      </c>
      <c r="M65" s="547">
        <f>AVERAGE('2022'!$V$349:$V$379)/Pc</f>
        <v>1.7336989716275146</v>
      </c>
      <c r="N65" s="553">
        <f t="shared" si="14"/>
        <v>4.5483493171130522</v>
      </c>
      <c r="O65" s="30"/>
      <c r="P65" s="149"/>
      <c r="Q65" s="343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5">
        <v>2023</v>
      </c>
      <c r="B66" s="546">
        <f>AVERAGE('2023'!$V$15:$V$45)/Pc</f>
        <v>2.2760567860776364</v>
      </c>
      <c r="C66" s="546">
        <f>AVERAGE('2023'!$V$46:$V$73)/Pc</f>
        <v>3.4593848955928208</v>
      </c>
      <c r="D66" s="546">
        <f>AVERAGE('2023'!$V$74:$V$104)/Pc</f>
        <v>4.8217993121341438</v>
      </c>
      <c r="E66" s="548">
        <f>AVERAGE('2023'!$V$105:$V$134)/Pc</f>
        <v>5.8125940260862698</v>
      </c>
      <c r="F66" s="546">
        <f>AVERAGE('2023'!$V$135:$V$165)/Pc</f>
        <v>6.7838233147262308</v>
      </c>
      <c r="G66" s="546">
        <f>AVERAGE('2023'!$V$166:$V$195)/Pc</f>
        <v>6.727950089237364</v>
      </c>
      <c r="H66" s="546">
        <f>AVERAGE('2023'!$V$196:$V$226)/Pc</f>
        <v>6.4372107058048043</v>
      </c>
      <c r="I66" s="546">
        <f>AVERAGE('2023'!$V$227:$V$257)/Pc</f>
        <v>5.9413827222180222</v>
      </c>
      <c r="J66" s="546">
        <f>AVERAGE('2023'!$V$258:$V$287)/Pc</f>
        <v>5.15945358246928</v>
      </c>
      <c r="K66" s="546">
        <f>AVERAGE('2023'!$V$288:$V$318)/Pc</f>
        <v>3.8617984656613511</v>
      </c>
      <c r="L66" s="546">
        <f>AVERAGE('2023'!$V$319:$V$348)/Pc</f>
        <v>2.3840634059177206</v>
      </c>
      <c r="M66" s="547">
        <f>AVERAGE('2023'!$V$349:$V$379)/Pc</f>
        <v>1.78424242125514</v>
      </c>
      <c r="N66" s="553">
        <f t="shared" si="14"/>
        <v>4.6208133105983995</v>
      </c>
      <c r="O66" s="30"/>
      <c r="P66" s="149"/>
      <c r="Q66" s="343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5">
        <v>2024</v>
      </c>
      <c r="B67" s="546">
        <f>AVERAGE('2024'!$V$15:$V$45)/Pc</f>
        <v>2.338046281320922</v>
      </c>
      <c r="C67" s="546">
        <f>AVERAGE('2024'!$V$46:$V$73)/Pc</f>
        <v>3.5515000405706663</v>
      </c>
      <c r="D67" s="546">
        <f>AVERAGE('2024'!$V$74:$V$104)/Pc</f>
        <v>4.966587003223478</v>
      </c>
      <c r="E67" s="548">
        <f>AVERAGE('2024'!$V$105:$V$134)/Pc</f>
        <v>5.9678369723572535</v>
      </c>
      <c r="F67" s="546">
        <f>AVERAGE('2024'!$V$135:$V$165)/Pc</f>
        <v>6.3797473594301017</v>
      </c>
      <c r="G67" s="546">
        <f>AVERAGE('2024'!$V$166:$V$195)/Pc</f>
        <v>6.3329962997414029</v>
      </c>
      <c r="H67" s="546">
        <f>AVERAGE('2024'!$V$196:$V$226)/Pc</f>
        <v>6.0682523730098668</v>
      </c>
      <c r="I67" s="546">
        <f>AVERAGE('2024'!$V$227:$V$257)/Pc</f>
        <v>5.6114801724571999</v>
      </c>
      <c r="J67" s="546">
        <f>AVERAGE('2024'!$V$258:$V$287)/Pc</f>
        <v>4.8792564451253195</v>
      </c>
      <c r="K67" s="546">
        <f>AVERAGE('2024'!$V$288:$V$318)/Pc</f>
        <v>3.6286806383342789</v>
      </c>
      <c r="L67" s="546">
        <f>AVERAGE('2024'!$V$319:$V$348)/Pc</f>
        <v>2.2390193877138613</v>
      </c>
      <c r="M67" s="547">
        <f>AVERAGE('2024'!$V$349:$V$379)/Pc</f>
        <v>1.6847124599156356</v>
      </c>
      <c r="N67" s="553">
        <f>AVERAGE(B67:M67)</f>
        <v>4.4706762860999989</v>
      </c>
      <c r="O67" s="30"/>
      <c r="P67" s="149"/>
      <c r="Q67" s="343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5">
        <v>2025</v>
      </c>
      <c r="B68" s="546">
        <f>AVERAGE('2025'!$V$15:$V$45)/Pc</f>
        <v>2.2105292670251067</v>
      </c>
      <c r="C68" s="546">
        <f>AVERAGE('2025'!$V$46:$V$73)/Pc</f>
        <v>3.3605096678278348</v>
      </c>
      <c r="D68" s="546">
        <f>AVERAGE('2025'!$V$74:$V$104)/Pc</f>
        <v>4.7410330571724035</v>
      </c>
      <c r="E68" s="548">
        <f>AVERAGE('2025'!$V$105:$V$134)/Pc</f>
        <v>5.7368615944603301</v>
      </c>
      <c r="F68" s="546">
        <f>AVERAGE('2025'!$V$135:$V$165)/Pc</f>
        <v>6.676072745685655</v>
      </c>
      <c r="G68" s="546">
        <f>AVERAGE('2025'!$V$166:$V$195)/Pc</f>
        <v>6.6210869801970356</v>
      </c>
      <c r="H68" s="546">
        <f>AVERAGE('2025'!$V$196:$V$226)/Pc</f>
        <v>6.3349655433967946</v>
      </c>
      <c r="I68" s="546">
        <f>AVERAGE('2025'!$V$227:$V$257)/Pc</f>
        <v>5.8470135052864185</v>
      </c>
      <c r="J68" s="546">
        <f>AVERAGE('2025'!$V$258:$V$287)/Pc</f>
        <v>5.0818570081418075</v>
      </c>
      <c r="K68" s="546">
        <f>AVERAGE('2025'!$V$288:$V$318)/Pc</f>
        <v>3.8830505584973363</v>
      </c>
      <c r="L68" s="546">
        <f>AVERAGE('2025'!$V$319:$V$348)/Pc</f>
        <v>2.4543431170716548</v>
      </c>
      <c r="M68" s="547">
        <f>AVERAGE('2025'!$V$349:$V$379)/Pc</f>
        <v>1.8248785707664812</v>
      </c>
      <c r="N68" s="553">
        <f>AVERAGE(B68:M68)</f>
        <v>4.5643501346274045</v>
      </c>
      <c r="O68" s="30"/>
      <c r="P68" s="149"/>
      <c r="Q68" s="343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5">
        <v>2026</v>
      </c>
      <c r="B69" s="546">
        <f>AVERAGE('2026'!$V$15:$V$45)/Pc</f>
        <v>2.3902805756996774</v>
      </c>
      <c r="C69" s="546">
        <f>AVERAGE('2026'!$V$46:$V$73)/Pc</f>
        <v>3.5943258624604475</v>
      </c>
      <c r="D69" s="546">
        <f>AVERAGE('2026'!$V$74:$V$104)/Pc</f>
        <v>4.9096041836816058</v>
      </c>
      <c r="E69" s="548">
        <f>AVERAGE('2026'!$V$105:$V$134)/Pc</f>
        <v>5.8730571476897522</v>
      </c>
      <c r="F69" s="546">
        <f>AVERAGE('2026'!$V$135:$V$165)/Pc</f>
        <v>6.2784149332166095</v>
      </c>
      <c r="G69" s="546">
        <f>AVERAGE('2026'!$V$166:$V$195)/Pc</f>
        <v>6.2324064224154867</v>
      </c>
      <c r="H69" s="546">
        <f>AVERAGE('2026'!$V$196:$V$226)/Pc</f>
        <v>5.9718675446083056</v>
      </c>
      <c r="I69" s="546">
        <f>AVERAGE('2026'!$V$227:$V$257)/Pc</f>
        <v>5.5223534866343877</v>
      </c>
      <c r="J69" s="546">
        <f>AVERAGE('2026'!$V$258:$V$287)/Pc</f>
        <v>4.8089103079255979</v>
      </c>
      <c r="K69" s="546">
        <f>AVERAGE('2026'!$V$288:$V$318)/Pc</f>
        <v>3.6670527237513788</v>
      </c>
      <c r="L69" s="546">
        <f>AVERAGE('2026'!$V$319:$V$348)/Pc</f>
        <v>2.3022308682910757</v>
      </c>
      <c r="M69" s="547">
        <f>AVERAGE('2026'!$V$349:$V$379)/Pc</f>
        <v>1.715546525799992</v>
      </c>
      <c r="N69" s="553">
        <f>AVERAGE(B69:M69)</f>
        <v>4.4388375485145266</v>
      </c>
      <c r="O69" s="30"/>
      <c r="P69" s="149"/>
      <c r="Q69" s="343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5">
        <v>2027</v>
      </c>
      <c r="B70" s="546">
        <f>AVERAGE('2027'!$V$15:$V$45)/Pc</f>
        <v>2.2536830284809874</v>
      </c>
      <c r="C70" s="546">
        <f>AVERAGE('2027'!$V$46:$V$73)/Pc</f>
        <v>3.4122095266037444</v>
      </c>
      <c r="D70" s="546">
        <f>AVERAGE('2027'!$V$74:$V$104)/Pc</f>
        <v>4.6966017807307514</v>
      </c>
      <c r="E70" s="548">
        <f>AVERAGE('2027'!$V$105:$V$134)/Pc</f>
        <v>5.6462677245244626</v>
      </c>
      <c r="F70" s="546">
        <f>AVERAGE('2027'!$V$135:$V$165)/Pc</f>
        <v>6.5701775319746751</v>
      </c>
      <c r="G70" s="546">
        <f>AVERAGE('2027'!$V$166:$V$195)/Pc</f>
        <v>6.5160639453267128</v>
      </c>
      <c r="H70" s="546">
        <f>AVERAGE('2027'!$V$196:$V$226)/Pc</f>
        <v>6.2344809388059863</v>
      </c>
      <c r="I70" s="546">
        <f>AVERAGE('2027'!$V$227:$V$257)/Pc</f>
        <v>5.7542687482456296</v>
      </c>
      <c r="J70" s="546">
        <f>AVERAGE('2027'!$V$258:$V$287)/Pc</f>
        <v>4.9993850241524331</v>
      </c>
      <c r="K70" s="546">
        <f>AVERAGE('2027'!$V$288:$V$318)/Pc</f>
        <v>3.7770283975439773</v>
      </c>
      <c r="L70" s="546">
        <f>AVERAGE('2027'!$V$319:$V$348)/Pc</f>
        <v>2.3494998800916687</v>
      </c>
      <c r="M70" s="547">
        <f>AVERAGE('2027'!$V$349:$V$379)/Pc</f>
        <v>1.7517867194332719</v>
      </c>
      <c r="N70" s="553">
        <f>AVERAGE(B70:M70)</f>
        <v>4.4967877704928583</v>
      </c>
      <c r="O70" s="30"/>
      <c r="P70" s="149"/>
      <c r="Q70" s="343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5"/>
      <c r="B71" s="546"/>
      <c r="C71" s="546"/>
      <c r="D71" s="546"/>
      <c r="E71" s="548"/>
      <c r="F71" s="546"/>
      <c r="G71" s="546"/>
      <c r="H71" s="546"/>
      <c r="I71" s="546"/>
      <c r="J71" s="546"/>
      <c r="K71" s="546"/>
      <c r="L71" s="546"/>
      <c r="M71" s="547"/>
      <c r="N71" s="553"/>
      <c r="O71" s="30"/>
      <c r="P71" s="149"/>
      <c r="Q71" s="343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5"/>
      <c r="B72" s="546"/>
      <c r="C72" s="546"/>
      <c r="D72" s="546"/>
      <c r="E72" s="548"/>
      <c r="F72" s="546"/>
      <c r="G72" s="546"/>
      <c r="H72" s="546"/>
      <c r="I72" s="546"/>
      <c r="J72" s="546"/>
      <c r="K72" s="546"/>
      <c r="L72" s="546"/>
      <c r="M72" s="547"/>
      <c r="N72" s="553"/>
      <c r="O72" s="30"/>
      <c r="P72" s="149"/>
      <c r="Q72" s="343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5"/>
      <c r="B73" s="546"/>
      <c r="C73" s="546"/>
      <c r="D73" s="546"/>
      <c r="E73" s="548"/>
      <c r="F73" s="546"/>
      <c r="G73" s="546"/>
      <c r="H73" s="546"/>
      <c r="I73" s="546"/>
      <c r="J73" s="546"/>
      <c r="K73" s="546"/>
      <c r="L73" s="546"/>
      <c r="M73" s="547"/>
      <c r="N73" s="553"/>
      <c r="O73" s="30"/>
      <c r="P73" s="149"/>
      <c r="Q73" s="343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5"/>
      <c r="B74" s="546"/>
      <c r="C74" s="546"/>
      <c r="D74" s="546"/>
      <c r="E74" s="548"/>
      <c r="F74" s="546"/>
      <c r="G74" s="546"/>
      <c r="H74" s="546"/>
      <c r="I74" s="546"/>
      <c r="J74" s="546"/>
      <c r="K74" s="546"/>
      <c r="L74" s="546"/>
      <c r="M74" s="547"/>
      <c r="N74" s="553"/>
      <c r="O74" s="30"/>
      <c r="P74" s="149"/>
      <c r="Q74" s="343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5"/>
      <c r="B75" s="546"/>
      <c r="C75" s="546"/>
      <c r="D75" s="546"/>
      <c r="E75" s="548"/>
      <c r="F75" s="546"/>
      <c r="G75" s="546"/>
      <c r="H75" s="546"/>
      <c r="I75" s="546"/>
      <c r="J75" s="546"/>
      <c r="K75" s="546"/>
      <c r="L75" s="546"/>
      <c r="M75" s="547"/>
      <c r="N75" s="553"/>
      <c r="O75" s="30"/>
      <c r="P75" s="149"/>
      <c r="Q75" s="343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5"/>
      <c r="B76" s="546"/>
      <c r="C76" s="546"/>
      <c r="D76" s="546"/>
      <c r="E76" s="548"/>
      <c r="F76" s="546"/>
      <c r="G76" s="546"/>
      <c r="H76" s="546"/>
      <c r="I76" s="546"/>
      <c r="J76" s="546"/>
      <c r="K76" s="546"/>
      <c r="L76" s="546"/>
      <c r="M76" s="547"/>
      <c r="N76" s="553"/>
      <c r="O76" s="30"/>
      <c r="P76" s="149"/>
      <c r="Q76" s="343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5"/>
      <c r="B77" s="546"/>
      <c r="C77" s="546"/>
      <c r="D77" s="546"/>
      <c r="E77" s="548"/>
      <c r="F77" s="546"/>
      <c r="G77" s="546"/>
      <c r="H77" s="546"/>
      <c r="I77" s="546"/>
      <c r="J77" s="546"/>
      <c r="K77" s="546"/>
      <c r="L77" s="546"/>
      <c r="M77" s="547"/>
      <c r="N77" s="553"/>
      <c r="O77" s="30"/>
      <c r="P77" s="149"/>
      <c r="Q77" s="343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5"/>
      <c r="B78" s="546"/>
      <c r="C78" s="546"/>
      <c r="D78" s="546"/>
      <c r="E78" s="548"/>
      <c r="F78" s="546"/>
      <c r="G78" s="546"/>
      <c r="H78" s="546"/>
      <c r="I78" s="546"/>
      <c r="J78" s="546"/>
      <c r="K78" s="546"/>
      <c r="L78" s="546"/>
      <c r="M78" s="547"/>
      <c r="N78" s="553"/>
      <c r="O78" s="30"/>
      <c r="P78" s="149"/>
      <c r="Q78" s="343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5"/>
      <c r="B79" s="546"/>
      <c r="C79" s="546"/>
      <c r="D79" s="546"/>
      <c r="E79" s="548"/>
      <c r="F79" s="546"/>
      <c r="G79" s="546"/>
      <c r="H79" s="546"/>
      <c r="I79" s="546"/>
      <c r="J79" s="546"/>
      <c r="K79" s="546"/>
      <c r="L79" s="546"/>
      <c r="M79" s="547"/>
      <c r="N79" s="553"/>
      <c r="O79" s="30"/>
      <c r="P79" s="149"/>
      <c r="Q79" s="343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9"/>
      <c r="B80" s="550"/>
      <c r="C80" s="550"/>
      <c r="D80" s="550"/>
      <c r="E80" s="551"/>
      <c r="F80" s="550"/>
      <c r="G80" s="550"/>
      <c r="H80" s="550"/>
      <c r="I80" s="550"/>
      <c r="J80" s="550"/>
      <c r="K80" s="550"/>
      <c r="L80" s="550"/>
      <c r="M80" s="552"/>
      <c r="N80" s="554"/>
      <c r="O80" s="30"/>
      <c r="P80" s="149"/>
      <c r="Q80" s="343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 M55">
    <cfRule type="expression" dxfId="43" priority="7" stopIfTrue="1">
      <formula>K12&lt;&gt;""</formula>
    </cfRule>
  </conditionalFormatting>
  <conditionalFormatting sqref="N12:N30">
    <cfRule type="expression" dxfId="42" priority="6" stopIfTrue="1">
      <formula>$L12&lt;&gt;""</formula>
    </cfRule>
  </conditionalFormatting>
  <conditionalFormatting sqref="N55">
    <cfRule type="expression" dxfId="41" priority="4" stopIfTrue="1">
      <formula>$L55&lt;&gt;""</formula>
    </cfRule>
  </conditionalFormatting>
  <conditionalFormatting sqref="L36:L54">
    <cfRule type="expression" dxfId="40" priority="3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2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39">
        <f>'2022'!An+1</f>
        <v>2023</v>
      </c>
      <c r="K1" s="1240"/>
      <c r="L1" s="113" t="str">
        <f>"Calcul pertes et enveloppes en "&amp;TEXT(An,0)</f>
        <v>Calcul pertes et enveloppes en 2023</v>
      </c>
      <c r="M1" s="243"/>
      <c r="N1" s="243"/>
      <c r="V1" s="458"/>
      <c r="W1" s="456"/>
      <c r="X1" s="486" t="str">
        <f>"Prévision sans nettoyage ni taille végétation en "&amp;TEXT(An,0)</f>
        <v>Prévision sans nettoyage ni taille végétation en 2023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4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91"/>
      <c r="R2" s="18"/>
      <c r="S2" s="494"/>
      <c r="T2" s="494"/>
      <c r="U2" s="294" t="s">
        <v>75</v>
      </c>
      <c r="V2" s="495">
        <f>PertePVan</f>
        <v>8.0000000000000002E-3</v>
      </c>
      <c r="W2" s="451" t="s">
        <v>14</v>
      </c>
      <c r="X2" s="496"/>
      <c r="Y2" s="497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40" t="s">
        <v>272</v>
      </c>
      <c r="AK2" s="840" t="s">
        <v>274</v>
      </c>
      <c r="AL2" s="840" t="s">
        <v>273</v>
      </c>
      <c r="AM2" s="840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49">
        <f>Tmaj</f>
        <v>44926</v>
      </c>
      <c r="F3" s="1249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51"/>
      <c r="U3" s="209" t="s">
        <v>164</v>
      </c>
      <c r="V3" s="634">
        <f>Salim_i</f>
        <v>0.14000000000000001</v>
      </c>
      <c r="W3" s="451"/>
      <c r="X3" s="501" t="s">
        <v>92</v>
      </c>
      <c r="Y3" s="502"/>
      <c r="Z3" s="503"/>
      <c r="AA3" s="497"/>
      <c r="AB3" s="497"/>
      <c r="AC3" s="429"/>
      <c r="AD3" s="429"/>
      <c r="AE3" s="429"/>
      <c r="AF3" s="429"/>
      <c r="AG3" s="429"/>
      <c r="AH3" s="429"/>
      <c r="AI3" s="429"/>
      <c r="AJ3" s="838">
        <f>AL11-AJ11</f>
        <v>71.346793150016623</v>
      </c>
      <c r="AK3" s="839">
        <f>AM11-AK11</f>
        <v>0</v>
      </c>
      <c r="AL3" s="838"/>
      <c r="AM3" s="839"/>
      <c r="AN3" s="837" t="s">
        <v>281</v>
      </c>
    </row>
    <row r="4" spans="1:40" s="19" customFormat="1" ht="16.5" customHeight="1" x14ac:dyDescent="0.3">
      <c r="A4" s="35"/>
      <c r="B4" s="28"/>
      <c r="C4" s="28"/>
      <c r="D4" s="83" t="s">
        <v>128</v>
      </c>
      <c r="E4" s="1188" t="str">
        <f>Station</f>
        <v>Donneville</v>
      </c>
      <c r="F4" s="1189"/>
      <c r="G4" s="1189"/>
      <c r="H4" s="1189"/>
      <c r="I4" s="1190"/>
      <c r="J4" s="158"/>
      <c r="K4" s="191"/>
      <c r="L4" s="505"/>
      <c r="M4" s="504"/>
      <c r="N4" s="504"/>
      <c r="O4" s="429"/>
      <c r="P4" s="34"/>
      <c r="Q4" s="504"/>
      <c r="R4" s="34"/>
      <c r="S4" s="494"/>
      <c r="T4" s="409"/>
      <c r="U4" s="295" t="s">
        <v>78</v>
      </c>
      <c r="V4" s="633">
        <f>Persistant</f>
        <v>0.8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9"/>
      <c r="AD4" s="429"/>
      <c r="AE4" s="429"/>
      <c r="AF4" s="429"/>
      <c r="AG4" s="429"/>
      <c r="AH4" s="429"/>
      <c r="AI4" s="429"/>
      <c r="AJ4" s="838">
        <f>AL12-AJ12</f>
        <v>435.56951255183708</v>
      </c>
      <c r="AK4" s="839">
        <f>AM12-AK12</f>
        <v>-2.9719515460187154</v>
      </c>
      <c r="AL4" s="838"/>
      <c r="AM4" s="839"/>
      <c r="AN4" s="837" t="s">
        <v>282</v>
      </c>
    </row>
    <row r="5" spans="1:40" s="35" customFormat="1" ht="16.5" customHeight="1" x14ac:dyDescent="0.25">
      <c r="D5" s="161" t="s">
        <v>20</v>
      </c>
      <c r="E5" s="1250">
        <f>T0</f>
        <v>43209</v>
      </c>
      <c r="F5" s="1250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507.11078156996098</v>
      </c>
      <c r="AA5" s="237">
        <f>Wh_Pvg_s-Wh_Pvg</f>
        <v>-2.9719515460187154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1798.1104063103162</v>
      </c>
      <c r="AK5" s="515">
        <f>SUMIF(AK15:AK380,"VRAI",Wh)</f>
        <v>0</v>
      </c>
      <c r="AL5" s="515">
        <f>SUMIF(AJ15:AJ380,"VRAI",Wh_s)</f>
        <v>1726.7612789225057</v>
      </c>
      <c r="AM5" s="515">
        <f>SUMIF(AK15:AK380,"VRAI",Wh_s)</f>
        <v>0</v>
      </c>
      <c r="AN5" s="837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51">
        <f>Tservice</f>
        <v>43249</v>
      </c>
      <c r="F6" s="1251"/>
      <c r="G6" s="95"/>
      <c r="H6" s="35"/>
      <c r="I6" s="35"/>
      <c r="J6" s="8"/>
      <c r="K6" s="193"/>
      <c r="L6" s="154" t="s">
        <v>79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2"/>
      <c r="X6" s="496"/>
      <c r="Y6" s="497"/>
      <c r="Z6" s="462"/>
      <c r="AA6" s="462"/>
      <c r="AB6" s="515"/>
      <c r="AC6" s="462"/>
      <c r="AD6" s="462"/>
      <c r="AE6" s="462"/>
      <c r="AF6" s="462"/>
      <c r="AG6" s="462"/>
      <c r="AH6" s="462"/>
      <c r="AI6" s="462"/>
      <c r="AJ6" s="515">
        <f>SUMIF(AJ15:AJ380,"FAUX",Wh)</f>
        <v>5432.9633415656517</v>
      </c>
      <c r="AK6" s="515">
        <f>SUMIF(AK15:AK380,"FAUX",Wh)</f>
        <v>7231.0737478759693</v>
      </c>
      <c r="AL6" s="515">
        <f>SUMIF(AJ15:AJ380,"FAUX",Wh_s)</f>
        <v>4997.3479479583402</v>
      </c>
      <c r="AM6" s="515">
        <f>SUMIF(AK15:AK380,"FAUX",Wh_s)</f>
        <v>6724.1092268808497</v>
      </c>
      <c r="AN6" s="837" t="s">
        <v>279</v>
      </c>
    </row>
    <row r="7" spans="1:40" s="40" customFormat="1" ht="15" customHeight="1" x14ac:dyDescent="0.25">
      <c r="A7" s="183"/>
      <c r="B7" s="178"/>
      <c r="C7" s="178"/>
      <c r="D7" s="22" t="s">
        <v>108</v>
      </c>
      <c r="E7" s="320" t="b">
        <f>AND(YEAR(Tnet)=An,Resal_2023="I")</f>
        <v>0</v>
      </c>
      <c r="F7" s="320" t="b">
        <f>YEAR(Tnet)=An</f>
        <v>1</v>
      </c>
      <c r="J7" s="178"/>
      <c r="K7" s="191"/>
      <c r="L7" s="189" t="s">
        <v>77</v>
      </c>
      <c r="M7" s="848"/>
      <c r="N7" s="848"/>
      <c r="O7" s="18"/>
      <c r="P7" s="118"/>
      <c r="Q7" s="118"/>
      <c r="R7" s="141"/>
      <c r="S7" s="141"/>
      <c r="T7" s="141"/>
      <c r="U7" s="141"/>
      <c r="V7" s="429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1869.9067772634651</v>
      </c>
      <c r="AK7" s="515">
        <f>SUMIF(AK15:AK380,"VRAI",Wh_sa)</f>
        <v>0</v>
      </c>
      <c r="AL7" s="515">
        <f>SUMIF(AJ15:AJ380,"VRAI",Wh_pvt_s)</f>
        <v>1795.7108670659802</v>
      </c>
      <c r="AM7" s="515">
        <f>SUMIF(AK15:AK380,"VRAI",Wh_sa_s)</f>
        <v>0</v>
      </c>
      <c r="AN7" s="837" t="s">
        <v>270</v>
      </c>
    </row>
    <row r="8" spans="1:40" s="6" customFormat="1" ht="15" customHeight="1" x14ac:dyDescent="0.25">
      <c r="A8" s="34"/>
      <c r="B8" s="210"/>
      <c r="C8" s="210"/>
      <c r="D8" s="22" t="s">
        <v>80</v>
      </c>
      <c r="E8" s="320" t="b">
        <f>AND(YEAR(Tnet)=An,Resal_2023&lt;&gt;"I")</f>
        <v>1</v>
      </c>
      <c r="F8" s="321" t="b">
        <f>YEAR(Ttai)=An</f>
        <v>0</v>
      </c>
      <c r="H8" s="179" t="s">
        <v>72</v>
      </c>
      <c r="I8" s="98"/>
      <c r="J8" s="158"/>
      <c r="K8" s="191"/>
      <c r="L8" s="114"/>
      <c r="M8" s="114"/>
      <c r="N8" s="114"/>
      <c r="O8" s="115" t="s">
        <v>59</v>
      </c>
      <c r="P8" s="18"/>
      <c r="Q8" s="18"/>
      <c r="R8" s="18"/>
      <c r="S8" s="18"/>
      <c r="T8" s="18"/>
      <c r="U8" s="18"/>
      <c r="V8" s="517"/>
      <c r="W8" s="404"/>
      <c r="X8" s="1237" t="s">
        <v>98</v>
      </c>
      <c r="Y8" s="1238"/>
      <c r="Z8" s="497"/>
      <c r="AA8" s="497"/>
      <c r="AB8" s="462"/>
      <c r="AC8" s="519" t="s">
        <v>59</v>
      </c>
      <c r="AD8" s="462"/>
      <c r="AE8" s="462"/>
      <c r="AF8" s="462"/>
      <c r="AG8" s="462"/>
      <c r="AH8" s="462"/>
      <c r="AI8" s="462"/>
      <c r="AJ8" s="515">
        <f>SUMIF(AJ15:AJ380,"FAUX",Wh_pvt)</f>
        <v>5667.693437307028</v>
      </c>
      <c r="AK8" s="515">
        <f>SUMIF(AK15:AK380,"FAUX",Wh_sa)</f>
        <v>7939.1195424554398</v>
      </c>
      <c r="AL8" s="515">
        <f>SUMIF(AJ15:AJ380,"FAUX",Wh_pvt_s)</f>
        <v>5213.2999137486649</v>
      </c>
      <c r="AM8" s="515">
        <f>SUMIF(AK15:AK380,"FAUX",Wh_sa_s)</f>
        <v>7939.1195424554398</v>
      </c>
      <c r="AN8" s="837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7537.6002145704979</v>
      </c>
      <c r="E9" s="184">
        <f>SUM(E$15:E$380)</f>
        <v>7939.1195424554398</v>
      </c>
      <c r="F9" s="184">
        <f>SUM(F$15:F$380)</f>
        <v>7985.6606269319509</v>
      </c>
      <c r="H9" s="1241">
        <f>+SUM(Wh)</f>
        <v>7231.0737478759693</v>
      </c>
      <c r="I9" s="1242"/>
      <c r="J9" s="1243"/>
      <c r="K9" s="191"/>
      <c r="L9" s="232"/>
      <c r="M9" s="232"/>
      <c r="N9" s="232"/>
      <c r="O9" s="223">
        <f>Tnet_2023</f>
        <v>45046</v>
      </c>
      <c r="P9" s="244" t="s">
        <v>87</v>
      </c>
      <c r="Q9" s="245"/>
      <c r="R9" s="245"/>
      <c r="S9" s="245"/>
      <c r="T9" s="245"/>
      <c r="U9" s="246"/>
      <c r="V9" s="462"/>
      <c r="W9" s="520"/>
      <c r="X9" s="1235">
        <f>+SUM(Wh_s)</f>
        <v>6724.1092268808497</v>
      </c>
      <c r="Y9" s="1236"/>
      <c r="Z9" s="515">
        <f>SUM(Z$15:Z$380)</f>
        <v>7009.0107808146477</v>
      </c>
      <c r="AA9" s="515">
        <f>SUM(AA$15:AA$380)</f>
        <v>7939.1195424554398</v>
      </c>
      <c r="AB9" s="515">
        <f>F9</f>
        <v>7985.6606269319509</v>
      </c>
      <c r="AC9" s="325">
        <f>IF(An_Tnet,Tnet,'2022'!Tnet_s)</f>
        <v>45046</v>
      </c>
      <c r="AD9" s="316" t="s">
        <v>87</v>
      </c>
      <c r="AE9" s="316"/>
      <c r="AF9" s="316"/>
      <c r="AG9" s="316"/>
      <c r="AH9" s="316"/>
      <c r="AI9" s="317"/>
      <c r="AJ9" s="515">
        <f>SUMIF(AJ15:AJ380,"VRAI",Wh_sa)</f>
        <v>2074.2827341214552</v>
      </c>
      <c r="AK9" s="515">
        <f>SUMIF(AK15:AK380,"VRAI",Wh_hp)</f>
        <v>0</v>
      </c>
      <c r="AL9" s="515">
        <f>SUMIF(AJ15:AJ380,"VRAI",Wh_sa_s)</f>
        <v>2074.2827341214552</v>
      </c>
      <c r="AM9" s="515">
        <f>SUMIF(AK15:AK380,"VRAI",Wh_hp)</f>
        <v>0</v>
      </c>
      <c r="AN9" s="837" t="s">
        <v>276</v>
      </c>
    </row>
    <row r="10" spans="1:40" s="19" customFormat="1" ht="15" customHeight="1" x14ac:dyDescent="0.25">
      <c r="A10" s="206"/>
      <c r="B10" s="207"/>
      <c r="C10" s="844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IF(Inflex,'2022'!Resal+('2022'!Salim-'2022'!Resal)*(1-EXP(-(Tnet-'2022'!Tnet)/('2022'!Tau_j))),IF(An_Tnet,Resal_2023,'2022'!Resal))</f>
        <v>1.7000000000000001E-2</v>
      </c>
      <c r="P10" s="422" t="b">
        <f>NOT(Acti_tai)</f>
        <v>1</v>
      </c>
      <c r="Q10" s="257">
        <f>IF(Acti_tai,'2022'!PousD,Dens-Dd)</f>
        <v>0</v>
      </c>
      <c r="R10" s="274"/>
      <c r="S10" s="275"/>
      <c r="T10" s="276"/>
      <c r="U10" s="266">
        <f>IF(Acti_tai,'2022'!PousH,Hdtf-Hdd)</f>
        <v>0.30000006185595751</v>
      </c>
      <c r="V10" s="429"/>
      <c r="W10" s="504"/>
      <c r="X10" s="505"/>
      <c r="Y10" s="521" t="s">
        <v>26</v>
      </c>
      <c r="Z10" s="511" t="s">
        <v>27</v>
      </c>
      <c r="AA10" s="511" t="s">
        <v>28</v>
      </c>
      <c r="AB10" s="429"/>
      <c r="AC10" s="318">
        <f>IF(OR(Inflex,GainD),'2022'!Resal_s+('2022'!Salim-'2022'!Resal_s)*(1-EXP(('2022'!Tnet_s-Tnet)/('2022'!Tau_j))),IF(Acti_net,'2022'!Resal+('2022'!Salim-'2022'!Resal)*(1-EXP(('2022'!Tnet-Tnet)/'2022'!Tau_j)),'2022'!Resal_s))</f>
        <v>0.10173771059322895</v>
      </c>
      <c r="AD10" s="429"/>
      <c r="AE10" s="429"/>
      <c r="AF10" s="260"/>
      <c r="AG10" s="261"/>
      <c r="AH10" s="262"/>
      <c r="AI10" s="472"/>
      <c r="AJ10" s="515">
        <f>SUMIF(AJ15:AJ380,"FAUX",Wh_sa)</f>
        <v>5864.8368083339892</v>
      </c>
      <c r="AK10" s="515">
        <f>SUMIF(AK15:AK380,"FAUX",Wh_hp)</f>
        <v>7985.6606269319509</v>
      </c>
      <c r="AL10" s="515">
        <f>SUMIF(AJ15:AJ380,"FAUX",Wh_sa_s)</f>
        <v>5864.8368083339892</v>
      </c>
      <c r="AM10" s="515">
        <f>SUMIF(AK15:AK380,"FAUX",Wh_hp)</f>
        <v>7985.6606269319509</v>
      </c>
      <c r="AN10" s="837" t="s">
        <v>277</v>
      </c>
    </row>
    <row r="11" spans="1:40" s="40" customFormat="1" ht="15" customHeight="1" x14ac:dyDescent="0.25">
      <c r="A11" s="216"/>
      <c r="B11" s="217" t="s">
        <v>43</v>
      </c>
      <c r="C11" s="845"/>
      <c r="D11" s="50">
        <f>D$9-Prod_an</f>
        <v>306.52646669452861</v>
      </c>
      <c r="E11" s="51">
        <f>(E$9-D$9)*Prod_an/D$9</f>
        <v>385.19101417997501</v>
      </c>
      <c r="F11" s="186">
        <f>(F$9-E$9)*Prod_an/E$9</f>
        <v>42.390344717203995</v>
      </c>
      <c r="G11" s="185" t="s">
        <v>6</v>
      </c>
      <c r="K11" s="194"/>
      <c r="L11" s="211">
        <f>Tvie_2023</f>
        <v>43209</v>
      </c>
      <c r="M11" s="849"/>
      <c r="N11" s="849"/>
      <c r="O11" s="202">
        <f>IF(An_Tnet,Salim_2023,'2022'!Salim)</f>
        <v>0.14666666666666667</v>
      </c>
      <c r="P11" s="256">
        <f>Ttai_2023</f>
        <v>43101</v>
      </c>
      <c r="Q11" s="272">
        <f>Dens_2023</f>
        <v>0.7</v>
      </c>
      <c r="R11" s="277"/>
      <c r="S11" s="230"/>
      <c r="T11" s="230"/>
      <c r="U11" s="266">
        <f>Htf_2023</f>
        <v>0.10000004599954887</v>
      </c>
      <c r="V11" s="429"/>
      <c r="W11" s="518"/>
      <c r="X11" s="525" t="s">
        <v>43</v>
      </c>
      <c r="Y11" s="50">
        <f>Z$9-Prod_an_s</f>
        <v>284.90155393379791</v>
      </c>
      <c r="Z11" s="51">
        <f>(AA$9-Z$9)*Prod_an_s/Z$9</f>
        <v>892.30179574993599</v>
      </c>
      <c r="AA11" s="186">
        <f>(AB$9-AA$9)*Prod_an_s/AA$9</f>
        <v>39.418393171185279</v>
      </c>
      <c r="AB11" s="526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8">
        <f>IF($AJ7=0,0,($AJ9-$AJ7)*$AJ5/$AJ7)</f>
        <v>196.52879988155783</v>
      </c>
      <c r="AK11" s="839">
        <f>IF($AK7=0,0,($AK9-$AK7)*$AK5/$AK7)</f>
        <v>0</v>
      </c>
      <c r="AL11" s="838">
        <f>IF($AL7=0,0,($AL9-$AL7)*$AL5/$AL7)</f>
        <v>267.87559303157445</v>
      </c>
      <c r="AM11" s="839">
        <f>IF($AM7=0,0,($AM9-$AM7)*$AM5/$AM7)</f>
        <v>0</v>
      </c>
      <c r="AN11" s="837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4.129892302115179E-2</v>
      </c>
      <c r="K12" s="191"/>
      <c r="L12" s="212">
        <f>Pspv_2023</f>
        <v>0</v>
      </c>
      <c r="M12" s="212"/>
      <c r="N12" s="212"/>
      <c r="O12" s="205">
        <f>IF(An_Tnet,Tau_2023*365,'2022'!Tau_j)</f>
        <v>730</v>
      </c>
      <c r="P12" s="281">
        <f>INDEX(Croivg,MIN(MAX(Ttai-$A$15,0)+1,366))</f>
        <v>2.3909964587625958E-6</v>
      </c>
      <c r="Q12" s="280">
        <f>'2022'!Df</f>
        <v>0.7</v>
      </c>
      <c r="R12" s="278"/>
      <c r="S12" s="279"/>
      <c r="T12" s="279"/>
      <c r="U12" s="267">
        <f>'2022'!Hdf</f>
        <v>-0.20000001585640864</v>
      </c>
      <c r="V12" s="40"/>
      <c r="W12" s="34"/>
      <c r="X12" s="54"/>
      <c r="Y12" s="34"/>
      <c r="AB12" s="319" t="s">
        <v>102</v>
      </c>
      <c r="AC12" s="318" t="b">
        <f>NOT(An_Tnet)</f>
        <v>0</v>
      </c>
      <c r="AE12" s="296">
        <f>'2022'!Df_s</f>
        <v>0.7</v>
      </c>
      <c r="AF12" s="203"/>
      <c r="AG12" s="203"/>
      <c r="AH12" s="203"/>
      <c r="AI12" s="297">
        <f>'2022'!Hdf_s</f>
        <v>-0.20000001585640864</v>
      </c>
      <c r="AJ12" s="838">
        <f>IF($AJ8=0,0,($AJ10-$AJ8)*$AJ6/$AJ8)</f>
        <v>188.97858885096477</v>
      </c>
      <c r="AK12" s="839">
        <f>IF($AK8=0,0,($AK10-$AK8)*$AK6/$AK8)</f>
        <v>42.390344717203995</v>
      </c>
      <c r="AL12" s="838">
        <f>IF($AL8=0,0,($AL10-$AL8)*$AL6/$AL8)</f>
        <v>624.54810140280188</v>
      </c>
      <c r="AM12" s="839">
        <f>IF($AM8=0,0,($AM10-$AM8)*$AM6/$AM8)</f>
        <v>39.418393171185279</v>
      </c>
      <c r="AN12" s="837" t="s">
        <v>284</v>
      </c>
    </row>
    <row r="13" spans="1:40" s="37" customFormat="1" ht="11.25" x14ac:dyDescent="0.2">
      <c r="A13" s="130" t="s">
        <v>64</v>
      </c>
      <c r="B13" s="124" t="s">
        <v>34</v>
      </c>
      <c r="C13" s="124"/>
      <c r="D13" s="124" t="s">
        <v>68</v>
      </c>
      <c r="E13" s="124" t="s">
        <v>69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42" t="s">
        <v>46</v>
      </c>
      <c r="X13" s="259"/>
      <c r="Y13" s="124" t="s">
        <v>96</v>
      </c>
      <c r="Z13" s="124" t="s">
        <v>97</v>
      </c>
      <c r="AA13" s="124" t="s">
        <v>70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385.5073887325226</v>
      </c>
      <c r="AK13" s="73">
        <f>+AK11+AK12</f>
        <v>42.390344717203995</v>
      </c>
      <c r="AL13" s="73">
        <f>+AL11+AL12</f>
        <v>892.42369443437633</v>
      </c>
      <c r="AM13" s="73">
        <f>+AM11+AM12</f>
        <v>39.418393171185279</v>
      </c>
      <c r="AN13" s="836" t="s">
        <v>285</v>
      </c>
    </row>
    <row r="14" spans="1:40" s="46" customFormat="1" ht="40.5" customHeight="1" thickBot="1" x14ac:dyDescent="0.25">
      <c r="A14" s="45" t="s">
        <v>2</v>
      </c>
      <c r="B14" s="416" t="s">
        <v>187</v>
      </c>
      <c r="C14" s="416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3" t="s">
        <v>112</v>
      </c>
      <c r="I14" s="415" t="s">
        <v>3</v>
      </c>
      <c r="J14" s="79" t="s">
        <v>31</v>
      </c>
      <c r="K14" s="196"/>
      <c r="L14" s="23" t="s">
        <v>63</v>
      </c>
      <c r="M14" s="23"/>
      <c r="N14" s="23"/>
      <c r="O14" s="23" t="s">
        <v>61</v>
      </c>
      <c r="P14" s="23" t="s">
        <v>83</v>
      </c>
      <c r="Q14" s="23" t="s">
        <v>84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2023</v>
      </c>
      <c r="W14" s="843" t="s">
        <v>111</v>
      </c>
      <c r="X14" s="258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131</v>
      </c>
      <c r="AD14" s="23" t="s">
        <v>132</v>
      </c>
      <c r="AE14" s="23" t="s">
        <v>95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7" t="s">
        <v>268</v>
      </c>
      <c r="AK14" s="697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44927</v>
      </c>
      <c r="B15" s="410">
        <f>'2022'!Wh/'2022'!Env_an*'2023'!Env_an</f>
        <v>11.004648583767269</v>
      </c>
      <c r="C15" s="846"/>
      <c r="D15" s="393">
        <f t="shared" ref="D15:D78" si="0">Wh/(1-Ppv)</f>
        <v>11.42663236626367</v>
      </c>
      <c r="E15" s="400">
        <f t="shared" ref="E15:E79" si="1">Wh_pvt/(1-Psa)</f>
        <v>12.601690471746885</v>
      </c>
      <c r="F15" s="400">
        <f t="shared" ref="F15:F78" si="2">Wh_sa/(1-Pvg*MEDIAN((-Sdif+Wh/Env_an)/Csdif,0,1))</f>
        <v>13.110193399978673</v>
      </c>
      <c r="G15" s="123">
        <f>+Wh_hp/MaxiM</f>
        <v>0.97395514628034718</v>
      </c>
      <c r="H15" s="414" t="b">
        <f>Wh_hp&gt;='2022'!Maxi_hp</f>
        <v>0</v>
      </c>
      <c r="I15" s="396">
        <f>IF(H15,Wh_hp,'2022'!Maxi_hp)</f>
        <v>13.113081184620425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3.6929846779903297E-2</v>
      </c>
      <c r="M15" s="850"/>
      <c r="N15" s="850"/>
      <c r="O15" s="48">
        <f>IF(t&lt;Tnet,'2022'!Resal+('2022'!Salim-'2022'!Resal)*(1-EXP(('2022'!Tnet-t)/('2022'!Tau_j))),Resal+(Salim-Resal)*(1-EXP((Tnet-t)/(Tau_j))))*Salcycl</f>
        <v>9.3246069495017861E-2</v>
      </c>
      <c r="P15" s="302">
        <f>(INDEX(Models!$BJ15:$BT15,,T15)*(1-R15)+INDEX(Models!$BJ15:$BT15,,T15+1)*R15-ERP_i)*Q15*Ramure*Pc/MaxiM</f>
        <v>4.0200197829168262E-2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0.80000070144267688</v>
      </c>
      <c r="S15" s="816">
        <f t="shared" ref="S15:S78" si="6">INDEX(Echel_vg,T15)</f>
        <v>-1</v>
      </c>
      <c r="T15" s="249">
        <f t="shared" ref="T15:T78" si="7">MIN(MATCH(Hp_vg,Echel_vg),10)</f>
        <v>5</v>
      </c>
      <c r="U15" s="251">
        <f t="shared" ref="U15:U78" si="8">IF(OR(t&lt;Ttai,Notai),Hdd+PousH*Croivg,Hdtf+PousH*(Croivg-Croi_tai))</f>
        <v>-0.19999929855732312</v>
      </c>
      <c r="V15" s="382">
        <f t="shared" ref="V15:V78" si="9">MaxiM*(1-Ppv)*(1-Pvg)*(1-Psa)</f>
        <v>11.282313631429345</v>
      </c>
      <c r="W15" s="402">
        <f t="shared" ref="W15:W78" si="10">Wh*(A15&gt;Tmaj)</f>
        <v>11.004648583767269</v>
      </c>
      <c r="X15" s="156">
        <f t="shared" ref="X15:X78" si="11">t</f>
        <v>44927</v>
      </c>
      <c r="Y15" s="385">
        <f t="shared" ref="Y15:Y78" si="12">Wh_pvt_s*(1-Ppv)</f>
        <v>10.528268537166353</v>
      </c>
      <c r="Z15" s="385">
        <f>Wh_sa_s*(1-Psa_s)</f>
        <v>10.931985070832383</v>
      </c>
      <c r="AA15" s="386">
        <f t="shared" ref="AA15:AA78" si="13">Wh_hp*(1-Pvg_s*MEDIAN((-Sdif+Wh/Env_an)/Csdif,0,1))</f>
        <v>12.601690471746885</v>
      </c>
      <c r="AB15" s="197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0.13249852507153695</v>
      </c>
      <c r="AD15" s="231">
        <f>(INDEX(Models!$BJ15:$BT15,,AH15)*(1-AF15)+INDEX(Models!$BJ15:$BT15,,AH15+1)*AF15-ERP_i)*AE15*Ramure*Pc/MaxiM</f>
        <v>4.0200197829168262E-2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0.80000070144267688</v>
      </c>
      <c r="AG15" s="816">
        <f>INDEX(Echel_vg,AH15)</f>
        <v>-1</v>
      </c>
      <c r="AH15" s="249">
        <f t="shared" ref="AH15:AH78" si="16">MIN(MATCH(Hp_vg_s,Echel_vg),10)</f>
        <v>5</v>
      </c>
      <c r="AI15" s="224">
        <f t="shared" ref="AI15:AI78" si="17">IF(OR(t&lt;Ttai,Notai),Hdd_s+PousH*Croivg,Hdtai_s+PousH*(Croivg-Croi_tai))</f>
        <v>-0.19999929855732312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44928</v>
      </c>
      <c r="B16" s="411">
        <f>'2022'!Wh/'2022'!Env_an*'2023'!Env_an</f>
        <v>8.591470035337176</v>
      </c>
      <c r="C16" s="846"/>
      <c r="D16" s="393">
        <f t="shared" si="0"/>
        <v>8.9211135720229091</v>
      </c>
      <c r="E16" s="385">
        <f t="shared" si="1"/>
        <v>9.839320403656636</v>
      </c>
      <c r="F16" s="385">
        <f t="shared" si="2"/>
        <v>10.103075117809567</v>
      </c>
      <c r="G16" s="110">
        <f t="shared" ref="G16:G79" si="21">+Wh_hp/MaxiM</f>
        <v>0.74246677259920768</v>
      </c>
      <c r="H16" s="414" t="b">
        <f>Wh_hp&gt;='2022'!Maxi_hp</f>
        <v>0</v>
      </c>
      <c r="I16" s="390">
        <f>IF(H16,Wh_hp,'2022'!Maxi_hp)</f>
        <v>13.53519224964062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3.6950940487913253E-2</v>
      </c>
      <c r="M16" s="850"/>
      <c r="N16" s="850"/>
      <c r="O16" s="48">
        <f>IF(t&lt;Tnet,'2022'!Resal+('2022'!Salim-'2022'!Resal)*(1-EXP(('2022'!Tnet-t)/('2022'!Tau_j))),Resal+(Salim-Resal)*(1-EXP((Tnet-t)/(Tau_j))))*Salcycl</f>
        <v>9.3320147526905303E-2</v>
      </c>
      <c r="P16" s="169">
        <f>(INDEX(Models!$BJ16:$BT16,,T16)*(1-R16)+INDEX(Models!$BJ16:$BT16,,T16+1)*R16-ERP_i)*Q16*Ramure*Pc/MaxiM</f>
        <v>4.0301088047190785E-2</v>
      </c>
      <c r="Q16" s="305">
        <f t="shared" si="4"/>
        <v>0.7</v>
      </c>
      <c r="R16" s="177">
        <f t="shared" si="5"/>
        <v>0.80001823021468765</v>
      </c>
      <c r="S16" s="817">
        <f t="shared" si="6"/>
        <v>-1</v>
      </c>
      <c r="T16" s="176">
        <f t="shared" si="7"/>
        <v>5</v>
      </c>
      <c r="U16" s="251">
        <f t="shared" si="8"/>
        <v>-0.19998176978531237</v>
      </c>
      <c r="V16" s="383">
        <f t="shared" si="9"/>
        <v>11.402863843726834</v>
      </c>
      <c r="W16" s="402">
        <f t="shared" si="10"/>
        <v>8.591470035337176</v>
      </c>
      <c r="X16" s="157">
        <f t="shared" si="11"/>
        <v>44928</v>
      </c>
      <c r="Y16" s="385">
        <f t="shared" si="12"/>
        <v>8.2200476656059198</v>
      </c>
      <c r="Z16" s="385">
        <f t="shared" ref="Z16:Z78" si="22">Wh_sa_s*(1-Psa_s)</f>
        <v>8.5354402087994092</v>
      </c>
      <c r="AA16" s="386">
        <f t="shared" si="13"/>
        <v>9.839320403656636</v>
      </c>
      <c r="AB16" s="197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0.13251730214747945</v>
      </c>
      <c r="AD16" s="231">
        <f>(INDEX(Models!$BJ16:$BT16,,AH16)*(1-AF16)+INDEX(Models!$BJ16:$BT16,,AH16+1)*AF16-ERP_i)*AE16*Ramure*Pc/MaxiM</f>
        <v>4.0301088047190785E-2</v>
      </c>
      <c r="AE16" s="305">
        <f t="shared" si="15"/>
        <v>0.7</v>
      </c>
      <c r="AF16" s="177">
        <f t="shared" ref="AF16:AF78" si="23">(Hp_vg_s-AG16)/(INDEX(Echel_vg,AH16+1)-AG16)</f>
        <v>0.80001823021468765</v>
      </c>
      <c r="AG16" s="817">
        <f t="shared" ref="AG16:AG79" si="24">INDEX(Echel_vg,AH16)</f>
        <v>-1</v>
      </c>
      <c r="AH16" s="176">
        <f t="shared" si="16"/>
        <v>5</v>
      </c>
      <c r="AI16" s="225">
        <f t="shared" si="17"/>
        <v>-0.19998176978531237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44929</v>
      </c>
      <c r="B17" s="411">
        <f>'2022'!Wh/'2022'!Env_an*'2023'!Env_an</f>
        <v>9.8565143570199965</v>
      </c>
      <c r="C17" s="846"/>
      <c r="D17" s="393">
        <f t="shared" si="0"/>
        <v>10.234920170840248</v>
      </c>
      <c r="E17" s="385">
        <f t="shared" si="1"/>
        <v>11.289274300942596</v>
      </c>
      <c r="F17" s="385">
        <f t="shared" si="2"/>
        <v>11.663284182714193</v>
      </c>
      <c r="G17" s="110">
        <f t="shared" si="21"/>
        <v>0.84765125615123271</v>
      </c>
      <c r="H17" s="414" t="b">
        <f>Wh_hp&gt;='2022'!Maxi_hp</f>
        <v>0</v>
      </c>
      <c r="I17" s="390">
        <f>IF(H17,Wh_hp,'2022'!Maxi_hp)</f>
        <v>14.124165439868252</v>
      </c>
      <c r="J17" s="85">
        <f>IF(H17,An,'2022'!An_max)</f>
        <v>2019</v>
      </c>
      <c r="K17" s="197">
        <f t="shared" si="3"/>
        <v>44929</v>
      </c>
      <c r="L17" s="147">
        <f>IF(t&lt;Tvie,1-EXP((T0-t)*PertePVj)+'2022'!Pspv,1-EXP((T0-t)*PertePVj)+Pspv)</f>
        <v>3.6972033733916776E-2</v>
      </c>
      <c r="M17" s="850"/>
      <c r="N17" s="850"/>
      <c r="O17" s="48">
        <f>IF(t&lt;Tnet,'2022'!Resal+('2022'!Salim-'2022'!Resal)*(1-EXP(('2022'!Tnet-t)/('2022'!Tau_j))),Resal+(Salim-Resal)*(1-EXP((Tnet-t)/(Tau_j))))*Salcycl</f>
        <v>9.3394322964968177E-2</v>
      </c>
      <c r="P17" s="169">
        <f>(INDEX(Models!$BJ17:$BT17,,T17)*(1-R17)+INDEX(Models!$BJ17:$BT17,,T17+1)*R17-ERP_i)*Q17*Ramure*Pc/MaxiM</f>
        <v>4.044165795793634E-2</v>
      </c>
      <c r="Q17" s="305">
        <f t="shared" si="4"/>
        <v>0.7</v>
      </c>
      <c r="R17" s="177">
        <f t="shared" si="5"/>
        <v>0.80003649217574679</v>
      </c>
      <c r="S17" s="817">
        <f t="shared" si="6"/>
        <v>-1</v>
      </c>
      <c r="T17" s="176">
        <f t="shared" si="7"/>
        <v>5</v>
      </c>
      <c r="U17" s="251">
        <f t="shared" si="8"/>
        <v>-0.19996350782425326</v>
      </c>
      <c r="V17" s="383">
        <f t="shared" si="9"/>
        <v>11.527426623358293</v>
      </c>
      <c r="W17" s="402">
        <f t="shared" si="10"/>
        <v>9.8565143570199965</v>
      </c>
      <c r="X17" s="157">
        <f t="shared" si="11"/>
        <v>44929</v>
      </c>
      <c r="Y17" s="385">
        <f t="shared" si="12"/>
        <v>9.4309667482397845</v>
      </c>
      <c r="Z17" s="385">
        <f t="shared" si="22"/>
        <v>9.7930351750906706</v>
      </c>
      <c r="AA17" s="386">
        <f t="shared" si="13"/>
        <v>11.289274300942596</v>
      </c>
      <c r="AB17" s="197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0.13253634254657068</v>
      </c>
      <c r="AD17" s="231">
        <f>(INDEX(Models!$BJ17:$BT17,,AH17)*(1-AF17)+INDEX(Models!$BJ17:$BT17,,AH17+1)*AF17-ERP_i)*AE17*Ramure*Pc/MaxiM</f>
        <v>4.044165795793634E-2</v>
      </c>
      <c r="AE17" s="305">
        <f t="shared" si="15"/>
        <v>0.7</v>
      </c>
      <c r="AF17" s="177">
        <f>(Hp_vg_s-AG17)/(INDEX(Echel_vg,AH17+1)-AG17)</f>
        <v>0.80003649217574679</v>
      </c>
      <c r="AG17" s="817">
        <f>INDEX(Echel_vg,AH17)</f>
        <v>-1</v>
      </c>
      <c r="AH17" s="176">
        <f t="shared" si="16"/>
        <v>5</v>
      </c>
      <c r="AI17" s="225">
        <f t="shared" si="17"/>
        <v>-0.19996350782425326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44930</v>
      </c>
      <c r="B18" s="411">
        <f>'2022'!Wh/'2022'!Env_an*'2023'!Env_an</f>
        <v>10.335883081855741</v>
      </c>
      <c r="C18" s="846"/>
      <c r="D18" s="393">
        <f t="shared" si="0"/>
        <v>10.732927631640752</v>
      </c>
      <c r="E18" s="385">
        <f t="shared" si="1"/>
        <v>11.839553854536112</v>
      </c>
      <c r="F18" s="385">
        <f t="shared" si="2"/>
        <v>12.256910857125302</v>
      </c>
      <c r="G18" s="110">
        <f t="shared" si="21"/>
        <v>0.88073814510042991</v>
      </c>
      <c r="H18" s="414" t="b">
        <f>Wh_hp&gt;='2022'!Maxi_hp</f>
        <v>0</v>
      </c>
      <c r="I18" s="390">
        <f>IF(H18,Wh_hp,'2022'!Maxi_hp)</f>
        <v>14.134069142951605</v>
      </c>
      <c r="J18" s="85">
        <f>IF(H18,An,'2022'!An_max)</f>
        <v>2019</v>
      </c>
      <c r="K18" s="197">
        <f t="shared" si="3"/>
        <v>44930</v>
      </c>
      <c r="L18" s="147">
        <f>IF(t&lt;Tvie,1-EXP((T0-t)*PertePVj)+'2022'!Pspv,1-EXP((T0-t)*PertePVj)+Pspv)</f>
        <v>3.6993126517924191E-2</v>
      </c>
      <c r="M18" s="850"/>
      <c r="N18" s="850"/>
      <c r="O18" s="48">
        <f>IF(t&lt;Tnet,'2022'!Resal+('2022'!Salim-'2022'!Resal)*(1-EXP(('2022'!Tnet-t)/('2022'!Tau_j))),Resal+(Salim-Resal)*(1-EXP((Tnet-t)/(Tau_j))))*Salcycl</f>
        <v>9.3468574617900507E-2</v>
      </c>
      <c r="P18" s="169">
        <f>(INDEX(Models!$BJ18:$BT18,,T18)*(1-R18)+INDEX(Models!$BJ18:$BT18,,T18+1)*R18-ERP_i)*Q18*Ramure*Pc/MaxiM</f>
        <v>4.06215566627336E-2</v>
      </c>
      <c r="Q18" s="305">
        <f t="shared" si="4"/>
        <v>0.7</v>
      </c>
      <c r="R18" s="177">
        <f t="shared" si="5"/>
        <v>0.80005551789844664</v>
      </c>
      <c r="S18" s="817">
        <f t="shared" si="6"/>
        <v>-1</v>
      </c>
      <c r="T18" s="176">
        <f t="shared" si="7"/>
        <v>5</v>
      </c>
      <c r="U18" s="251">
        <f t="shared" si="8"/>
        <v>-0.19994448210155333</v>
      </c>
      <c r="V18" s="383">
        <f t="shared" si="9"/>
        <v>11.655648123623706</v>
      </c>
      <c r="W18" s="402">
        <f t="shared" si="10"/>
        <v>10.335883081855741</v>
      </c>
      <c r="X18" s="157">
        <f t="shared" si="11"/>
        <v>44930</v>
      </c>
      <c r="Y18" s="385">
        <f t="shared" si="12"/>
        <v>9.8902293815657316</v>
      </c>
      <c r="Z18" s="385">
        <f>Wh_sa_s*(1-Psa_s)</f>
        <v>10.270154506586517</v>
      </c>
      <c r="AA18" s="386">
        <f t="shared" si="13"/>
        <v>11.839553854536112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0.13255561545913386</v>
      </c>
      <c r="AD18" s="231">
        <f>(INDEX(Models!$BJ18:$BT18,,AH18)*(1-AF18)+INDEX(Models!$BJ18:$BT18,,AH18+1)*AF18-ERP_i)*AE18*Ramure*Pc/MaxiM</f>
        <v>4.06215566627336E-2</v>
      </c>
      <c r="AE18" s="305">
        <f t="shared" si="15"/>
        <v>0.7</v>
      </c>
      <c r="AF18" s="177">
        <f t="shared" si="23"/>
        <v>0.80005551789844664</v>
      </c>
      <c r="AG18" s="817">
        <f t="shared" si="24"/>
        <v>-1</v>
      </c>
      <c r="AH18" s="176">
        <f t="shared" si="16"/>
        <v>5</v>
      </c>
      <c r="AI18" s="225">
        <f t="shared" si="17"/>
        <v>-0.19994448210155333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44931</v>
      </c>
      <c r="B19" s="411">
        <f>'2022'!Wh/'2022'!Env_an*'2023'!Env_an</f>
        <v>8.5495417439727142</v>
      </c>
      <c r="C19" s="846"/>
      <c r="D19" s="393">
        <f t="shared" si="0"/>
        <v>8.8781598973076878</v>
      </c>
      <c r="E19" s="385">
        <f t="shared" si="1"/>
        <v>9.7943518132633454</v>
      </c>
      <c r="F19" s="385">
        <f t="shared" si="2"/>
        <v>10.043582880331671</v>
      </c>
      <c r="G19" s="110">
        <f t="shared" si="21"/>
        <v>0.71340635439655375</v>
      </c>
      <c r="H19" s="414" t="b">
        <f>Wh_hp&gt;='2022'!Maxi_hp</f>
        <v>0</v>
      </c>
      <c r="I19" s="390">
        <f>IF(H19,Wh_hp,'2022'!Maxi_hp)</f>
        <v>14.283254951142144</v>
      </c>
      <c r="J19" s="85">
        <f>IF(H19,An,'2022'!An_max)</f>
        <v>2019</v>
      </c>
      <c r="K19" s="197">
        <f t="shared" si="3"/>
        <v>44931</v>
      </c>
      <c r="L19" s="147">
        <f>IF(t&lt;Tvie,1-EXP((T0-t)*PertePVj)+'2022'!Pspv,1-EXP((T0-t)*PertePVj)+Pspv)</f>
        <v>3.7014218839945379E-2</v>
      </c>
      <c r="M19" s="850"/>
      <c r="N19" s="850"/>
      <c r="O19" s="48">
        <f>IF(t&lt;Tnet,'2022'!Resal+('2022'!Salim-'2022'!Resal)*(1-EXP(('2022'!Tnet-t)/('2022'!Tau_j))),Resal+(Salim-Resal)*(1-EXP((Tnet-t)/(Tau_j))))*Salcycl</f>
        <v>9.3542884044145375E-2</v>
      </c>
      <c r="P19" s="169">
        <f>(INDEX(Models!$BJ19:$BT19,,T19)*(1-R19)+INDEX(Models!$BJ19:$BT19,,T19+1)*R19-ERP_i)*Q19*Ramure*Pc/MaxiM</f>
        <v>4.0840385226607059E-2</v>
      </c>
      <c r="Q19" s="305">
        <f t="shared" si="4"/>
        <v>0.7</v>
      </c>
      <c r="R19" s="177">
        <f t="shared" si="5"/>
        <v>0.80007533922207053</v>
      </c>
      <c r="S19" s="817">
        <f t="shared" si="6"/>
        <v>-1</v>
      </c>
      <c r="T19" s="176">
        <f t="shared" si="7"/>
        <v>5</v>
      </c>
      <c r="U19" s="251">
        <f t="shared" si="8"/>
        <v>-0.19992466077792945</v>
      </c>
      <c r="V19" s="383">
        <f t="shared" si="9"/>
        <v>11.787174590782097</v>
      </c>
      <c r="W19" s="402">
        <f t="shared" si="10"/>
        <v>8.5495417439727142</v>
      </c>
      <c r="X19" s="157">
        <f t="shared" si="11"/>
        <v>44931</v>
      </c>
      <c r="Y19" s="385">
        <f t="shared" si="12"/>
        <v>8.1813969051584312</v>
      </c>
      <c r="Z19" s="385">
        <f t="shared" si="22"/>
        <v>8.4958647004141259</v>
      </c>
      <c r="AA19" s="386">
        <f t="shared" si="13"/>
        <v>9.7943518132633454</v>
      </c>
      <c r="AB19" s="197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0.13257509405480311</v>
      </c>
      <c r="AD19" s="231">
        <f>(INDEX(Models!$BJ19:$BT19,,AH19)*(1-AF19)+INDEX(Models!$BJ19:$BT19,,AH19+1)*AF19-ERP_i)*AE19*Ramure*Pc/MaxiM</f>
        <v>4.0840385226607059E-2</v>
      </c>
      <c r="AE19" s="305">
        <f t="shared" si="15"/>
        <v>0.7</v>
      </c>
      <c r="AF19" s="177">
        <f t="shared" si="23"/>
        <v>0.80007533922207053</v>
      </c>
      <c r="AG19" s="817">
        <f t="shared" si="24"/>
        <v>-1</v>
      </c>
      <c r="AH19" s="176">
        <f t="shared" si="16"/>
        <v>5</v>
      </c>
      <c r="AI19" s="225">
        <f t="shared" si="17"/>
        <v>-0.19992466077792945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44932</v>
      </c>
      <c r="B20" s="411">
        <f>'2022'!Wh/'2022'!Env_an*'2023'!Env_an</f>
        <v>12.248780329941525</v>
      </c>
      <c r="C20" s="846"/>
      <c r="D20" s="393">
        <f t="shared" si="0"/>
        <v>12.719864462367058</v>
      </c>
      <c r="E20" s="385">
        <f t="shared" si="1"/>
        <v>14.033656596497769</v>
      </c>
      <c r="F20" s="385">
        <f t="shared" si="2"/>
        <v>14.635126795331708</v>
      </c>
      <c r="G20" s="110">
        <f t="shared" si="21"/>
        <v>1.0274398158824207</v>
      </c>
      <c r="H20" s="414" t="b">
        <f>Wh_hp&gt;='2022'!Maxi_hp</f>
        <v>1</v>
      </c>
      <c r="I20" s="390">
        <f>IF(H20,Wh_hp,'2022'!Maxi_hp)</f>
        <v>14.635126795331708</v>
      </c>
      <c r="J20" s="85">
        <f>IF(H20,An,'2022'!An_max)</f>
        <v>2023</v>
      </c>
      <c r="K20" s="197">
        <f t="shared" si="3"/>
        <v>44932</v>
      </c>
      <c r="L20" s="147">
        <f>IF(t&lt;Tvie,1-EXP((T0-t)*PertePVj)+'2022'!Pspv,1-EXP((T0-t)*PertePVj)+Pspv)</f>
        <v>3.7035310699990664E-2</v>
      </c>
      <c r="M20" s="850"/>
      <c r="N20" s="850"/>
      <c r="O20" s="48">
        <f>IF(t&lt;Tnet,'2022'!Resal+('2022'!Salim-'2022'!Resal)*(1-EXP(('2022'!Tnet-t)/('2022'!Tau_j))),Resal+(Salim-Resal)*(1-EXP((Tnet-t)/(Tau_j))))*Salcycl</f>
        <v>9.3617235472227528E-2</v>
      </c>
      <c r="P20" s="169">
        <f>(INDEX(Models!$BJ20:$BT20,,T20)*(1-R20)+INDEX(Models!$BJ20:$BT20,,T20+1)*R20-ERP_i)*Q20*Ramure*Pc/MaxiM</f>
        <v>4.1097710135712319E-2</v>
      </c>
      <c r="Q20" s="305">
        <f t="shared" si="4"/>
        <v>0.7</v>
      </c>
      <c r="R20" s="177">
        <f t="shared" si="5"/>
        <v>0.80009598930437875</v>
      </c>
      <c r="S20" s="817">
        <f t="shared" si="6"/>
        <v>-1</v>
      </c>
      <c r="T20" s="176">
        <f t="shared" si="7"/>
        <v>5</v>
      </c>
      <c r="U20" s="251">
        <f t="shared" si="8"/>
        <v>-0.19990401069562125</v>
      </c>
      <c r="V20" s="383">
        <f t="shared" si="9"/>
        <v>11.921652383523419</v>
      </c>
      <c r="W20" s="402">
        <f t="shared" si="10"/>
        <v>12.248780329941525</v>
      </c>
      <c r="X20" s="157">
        <f t="shared" si="11"/>
        <v>44932</v>
      </c>
      <c r="Y20" s="385">
        <f t="shared" si="12"/>
        <v>11.722041409528716</v>
      </c>
      <c r="Z20" s="385">
        <f t="shared" si="22"/>
        <v>12.172867333328297</v>
      </c>
      <c r="AA20" s="386">
        <f t="shared" si="13"/>
        <v>14.033656596497769</v>
      </c>
      <c r="AB20" s="197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0.13259475535647994</v>
      </c>
      <c r="AD20" s="231">
        <f>(INDEX(Models!$BJ20:$BT20,,AH20)*(1-AF20)+INDEX(Models!$BJ20:$BT20,,AH20+1)*AF20-ERP_i)*AE20*Ramure*Pc/MaxiM</f>
        <v>4.1097710135712319E-2</v>
      </c>
      <c r="AE20" s="305">
        <f t="shared" si="15"/>
        <v>0.7</v>
      </c>
      <c r="AF20" s="177">
        <f t="shared" si="23"/>
        <v>0.80009598930437875</v>
      </c>
      <c r="AG20" s="817">
        <f t="shared" si="24"/>
        <v>-1</v>
      </c>
      <c r="AH20" s="176">
        <f t="shared" si="16"/>
        <v>5</v>
      </c>
      <c r="AI20" s="225">
        <f t="shared" si="17"/>
        <v>-0.19990401069562125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44933</v>
      </c>
      <c r="B21" s="411">
        <f>'2022'!Wh/'2022'!Env_an*'2023'!Env_an</f>
        <v>5.4553606387410687</v>
      </c>
      <c r="C21" s="846"/>
      <c r="D21" s="393">
        <f t="shared" si="0"/>
        <v>5.6652961301443376</v>
      </c>
      <c r="E21" s="385">
        <f t="shared" si="1"/>
        <v>6.2509585349580936</v>
      </c>
      <c r="F21" s="385">
        <f t="shared" si="2"/>
        <v>6.3078033559713624</v>
      </c>
      <c r="G21" s="110">
        <f t="shared" si="21"/>
        <v>0.43761687063158017</v>
      </c>
      <c r="H21" s="414" t="b">
        <f>Wh_hp&gt;='2022'!Maxi_hp</f>
        <v>0</v>
      </c>
      <c r="I21" s="390">
        <f>IF(H21,Wh_hp,'2022'!Maxi_hp)</f>
        <v>8.971852492930589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3.705640209807004E-2</v>
      </c>
      <c r="M21" s="850"/>
      <c r="N21" s="850"/>
      <c r="O21" s="48">
        <f>IF(t&lt;Tnet,'2022'!Resal+('2022'!Salim-'2022'!Resal)*(1-EXP(('2022'!Tnet-t)/('2022'!Tau_j))),Resal+(Salim-Resal)*(1-EXP((Tnet-t)/(Tau_j))))*Salcycl</f>
        <v>9.3691615699972391E-2</v>
      </c>
      <c r="P21" s="169">
        <f>(INDEX(Models!$BJ21:$BT21,,T21)*(1-R21)+INDEX(Models!$BJ21:$BT21,,T21+1)*R21-ERP_i)*Q21*Ramure*Pc/MaxiM</f>
        <v>4.1393075836638857E-2</v>
      </c>
      <c r="Q21" s="305">
        <f t="shared" si="4"/>
        <v>0.7</v>
      </c>
      <c r="R21" s="177">
        <f t="shared" si="5"/>
        <v>0.80011750267545245</v>
      </c>
      <c r="S21" s="817">
        <f t="shared" si="6"/>
        <v>-1</v>
      </c>
      <c r="T21" s="176">
        <f t="shared" si="7"/>
        <v>5</v>
      </c>
      <c r="U21" s="251">
        <f t="shared" si="8"/>
        <v>-0.19988249732454758</v>
      </c>
      <c r="V21" s="383">
        <f t="shared" si="9"/>
        <v>12.05872799735962</v>
      </c>
      <c r="W21" s="402">
        <f t="shared" si="10"/>
        <v>5.4553606387410687</v>
      </c>
      <c r="X21" s="157">
        <f t="shared" si="11"/>
        <v>44933</v>
      </c>
      <c r="Y21" s="385">
        <f t="shared" si="12"/>
        <v>5.2210708412203477</v>
      </c>
      <c r="Z21" s="385">
        <f t="shared" si="22"/>
        <v>5.4219902937161253</v>
      </c>
      <c r="AA21" s="386">
        <f t="shared" si="13"/>
        <v>6.2509585349580936</v>
      </c>
      <c r="AB21" s="197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0.13261458008496066</v>
      </c>
      <c r="AD21" s="231">
        <f>(INDEX(Models!$BJ21:$BT21,,AH21)*(1-AF21)+INDEX(Models!$BJ21:$BT21,,AH21+1)*AF21-ERP_i)*AE21*Ramure*Pc/MaxiM</f>
        <v>4.1393075836638857E-2</v>
      </c>
      <c r="AE21" s="305">
        <f t="shared" si="15"/>
        <v>0.7</v>
      </c>
      <c r="AF21" s="177">
        <f t="shared" si="23"/>
        <v>0.80011750267545245</v>
      </c>
      <c r="AG21" s="817">
        <f t="shared" si="24"/>
        <v>-1</v>
      </c>
      <c r="AH21" s="176">
        <f t="shared" si="16"/>
        <v>5</v>
      </c>
      <c r="AI21" s="225">
        <f t="shared" si="17"/>
        <v>-0.19988249732454758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44934</v>
      </c>
      <c r="B22" s="411">
        <f>'2022'!Wh/'2022'!Env_an*'2023'!Env_an</f>
        <v>4.3967746293871413</v>
      </c>
      <c r="C22" s="846"/>
      <c r="D22" s="393">
        <f t="shared" si="0"/>
        <v>4.5660731757548092</v>
      </c>
      <c r="E22" s="385">
        <f t="shared" si="1"/>
        <v>5.0385146067841893</v>
      </c>
      <c r="F22" s="385">
        <f t="shared" si="2"/>
        <v>5.0567354500279391</v>
      </c>
      <c r="G22" s="110">
        <f t="shared" si="21"/>
        <v>0.34665803691679281</v>
      </c>
      <c r="H22" s="414" t="b">
        <f>Wh_hp&gt;='2022'!Maxi_hp</f>
        <v>0</v>
      </c>
      <c r="I22" s="390">
        <f>IF(H22,Wh_hp,'2022'!Maxi_hp)</f>
        <v>12.341431159322497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3.707749303419372E-2</v>
      </c>
      <c r="M22" s="850"/>
      <c r="N22" s="850"/>
      <c r="O22" s="48">
        <f>IF(t&lt;Tnet,'2022'!Resal+('2022'!Salim-'2022'!Resal)*(1-EXP(('2022'!Tnet-t)/('2022'!Tau_j))),Resal+(Salim-Resal)*(1-EXP((Tnet-t)/(Tau_j))))*Salcycl</f>
        <v>9.3766013974287979E-2</v>
      </c>
      <c r="P22" s="169">
        <f>(INDEX(Models!$BJ22:$BT22,,T22)*(1-R22)+INDEX(Models!$BJ22:$BT22,,T22+1)*R22-ERP_i)*Q22*Ramure*Pc/MaxiM</f>
        <v>4.1726016354027097E-2</v>
      </c>
      <c r="Q22" s="305">
        <f t="shared" si="4"/>
        <v>0.7</v>
      </c>
      <c r="R22" s="177">
        <f t="shared" si="5"/>
        <v>0.8001399152936719</v>
      </c>
      <c r="S22" s="817">
        <f t="shared" si="6"/>
        <v>-1</v>
      </c>
      <c r="T22" s="176">
        <f t="shared" si="7"/>
        <v>5</v>
      </c>
      <c r="U22" s="251">
        <f t="shared" si="8"/>
        <v>-0.1998600847063281</v>
      </c>
      <c r="V22" s="383">
        <f t="shared" si="9"/>
        <v>12.198048080960348</v>
      </c>
      <c r="W22" s="402">
        <f t="shared" si="10"/>
        <v>4.3967746293871413</v>
      </c>
      <c r="X22" s="157">
        <f t="shared" si="11"/>
        <v>44934</v>
      </c>
      <c r="Y22" s="385">
        <f t="shared" si="12"/>
        <v>4.2081961754732937</v>
      </c>
      <c r="Z22" s="385">
        <f t="shared" si="22"/>
        <v>4.3702334767658808</v>
      </c>
      <c r="AA22" s="386">
        <f t="shared" si="13"/>
        <v>5.0385146067841893</v>
      </c>
      <c r="AB22" s="197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0.13263455247673395</v>
      </c>
      <c r="AD22" s="231">
        <f>(INDEX(Models!$BJ22:$BT22,,AH22)*(1-AF22)+INDEX(Models!$BJ22:$BT22,,AH22+1)*AF22-ERP_i)*AE22*Ramure*Pc/MaxiM</f>
        <v>4.1726016354027097E-2</v>
      </c>
      <c r="AE22" s="305">
        <f t="shared" si="15"/>
        <v>0.7</v>
      </c>
      <c r="AF22" s="177">
        <f t="shared" si="23"/>
        <v>0.8001399152936719</v>
      </c>
      <c r="AG22" s="817">
        <f t="shared" si="24"/>
        <v>-1</v>
      </c>
      <c r="AH22" s="176">
        <f t="shared" si="16"/>
        <v>5</v>
      </c>
      <c r="AI22" s="225">
        <f t="shared" si="17"/>
        <v>-0.1998600847063281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44935</v>
      </c>
      <c r="B23" s="411">
        <f>'2022'!Wh/'2022'!Env_an*'2023'!Env_an</f>
        <v>1.2125446373335607</v>
      </c>
      <c r="C23" s="846"/>
      <c r="D23" s="393">
        <f t="shared" si="0"/>
        <v>1.2592614535260711</v>
      </c>
      <c r="E23" s="385">
        <f t="shared" si="1"/>
        <v>1.3896685350957552</v>
      </c>
      <c r="F23" s="385">
        <f t="shared" si="2"/>
        <v>1.3896685350957552</v>
      </c>
      <c r="G23" s="110">
        <f t="shared" si="21"/>
        <v>9.4125079819241397E-2</v>
      </c>
      <c r="H23" s="414" t="b">
        <f>Wh_hp&gt;='2022'!Maxi_hp</f>
        <v>0</v>
      </c>
      <c r="I23" s="390">
        <f>IF(H23,Wh_hp,'2022'!Maxi_hp)</f>
        <v>13.592706813048993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3.7098583508371696E-2</v>
      </c>
      <c r="M23" s="850"/>
      <c r="N23" s="850"/>
      <c r="O23" s="48">
        <f>IF(t&lt;Tnet,'2022'!Resal+('2022'!Salim-'2022'!Resal)*(1-EXP(('2022'!Tnet-t)/('2022'!Tau_j))),Resal+(Salim-Resal)*(1-EXP((Tnet-t)/(Tau_j))))*Salcycl</f>
        <v>9.3840421853329581E-2</v>
      </c>
      <c r="P23" s="169">
        <f>(INDEX(Models!$BJ23:$BT23,,T23)*(1-R23)+INDEX(Models!$BJ23:$BT23,,T23+1)*R23-ERP_i)*Q23*Ramure*Pc/MaxiM</f>
        <v>4.2093619648295284E-2</v>
      </c>
      <c r="Q23" s="305">
        <f t="shared" si="4"/>
        <v>0.7</v>
      </c>
      <c r="R23" s="177">
        <f t="shared" si="5"/>
        <v>0.8001632646039073</v>
      </c>
      <c r="S23" s="817">
        <f t="shared" si="6"/>
        <v>-1</v>
      </c>
      <c r="T23" s="176">
        <f t="shared" si="7"/>
        <v>5</v>
      </c>
      <c r="U23" s="251">
        <f t="shared" si="8"/>
        <v>-0.19983673539609273</v>
      </c>
      <c r="V23" s="383">
        <f t="shared" si="9"/>
        <v>12.340008070044924</v>
      </c>
      <c r="W23" s="402">
        <f t="shared" si="10"/>
        <v>1.2125446373335607</v>
      </c>
      <c r="X23" s="157">
        <f t="shared" si="11"/>
        <v>44935</v>
      </c>
      <c r="Y23" s="385">
        <f t="shared" si="12"/>
        <v>1.160606769494287</v>
      </c>
      <c r="Z23" s="385">
        <f t="shared" si="22"/>
        <v>1.2053225279520374</v>
      </c>
      <c r="AA23" s="386">
        <f t="shared" si="13"/>
        <v>1.3896685350957552</v>
      </c>
      <c r="AB23" s="197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0.13265466007763879</v>
      </c>
      <c r="AD23" s="231">
        <f>(INDEX(Models!$BJ23:$BT23,,AH23)*(1-AF23)+INDEX(Models!$BJ23:$BT23,,AH23+1)*AF23-ERP_i)*AE23*Ramure*Pc/MaxiM</f>
        <v>4.2093619648295284E-2</v>
      </c>
      <c r="AE23" s="305">
        <f t="shared" si="15"/>
        <v>0.7</v>
      </c>
      <c r="AF23" s="177">
        <f t="shared" si="23"/>
        <v>0.8001632646039073</v>
      </c>
      <c r="AG23" s="817">
        <f t="shared" si="24"/>
        <v>-1</v>
      </c>
      <c r="AH23" s="176">
        <f t="shared" si="16"/>
        <v>5</v>
      </c>
      <c r="AI23" s="225">
        <f t="shared" si="17"/>
        <v>-0.19983673539609273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44936</v>
      </c>
      <c r="B24" s="411">
        <f>'2022'!Wh/'2022'!Env_an*'2023'!Env_an</f>
        <v>0.8704981431532467</v>
      </c>
      <c r="C24" s="846"/>
      <c r="D24" s="393">
        <f t="shared" si="0"/>
        <v>0.90405642239683159</v>
      </c>
      <c r="E24" s="385">
        <f t="shared" si="1"/>
        <v>0.99776097808000797</v>
      </c>
      <c r="F24" s="385">
        <f t="shared" si="2"/>
        <v>0.99776097808000797</v>
      </c>
      <c r="G24" s="110">
        <f t="shared" si="21"/>
        <v>6.6759228086049838E-2</v>
      </c>
      <c r="H24" s="414" t="b">
        <f>Wh_hp&gt;='2022'!Maxi_hp</f>
        <v>0</v>
      </c>
      <c r="I24" s="390">
        <f>IF(H24,Wh_hp,'2022'!Maxi_hp)</f>
        <v>10.238443369739281</v>
      </c>
      <c r="J24" s="85">
        <f>IF(H24,An,'2022'!An_max)</f>
        <v>2019</v>
      </c>
      <c r="K24" s="197">
        <f t="shared" si="3"/>
        <v>44936</v>
      </c>
      <c r="L24" s="147">
        <f>IF(t&lt;Tvie,1-EXP((T0-t)*PertePVj)+'2022'!Pspv,1-EXP((T0-t)*PertePVj)+Pspv)</f>
        <v>3.7119673520614183E-2</v>
      </c>
      <c r="M24" s="850"/>
      <c r="N24" s="850"/>
      <c r="O24" s="48">
        <f>IF(t&lt;Tnet,'2022'!Resal+('2022'!Salim-'2022'!Resal)*(1-EXP(('2022'!Tnet-t)/('2022'!Tau_j))),Resal+(Salim-Resal)*(1-EXP((Tnet-t)/(Tau_j))))*Salcycl</f>
        <v>9.3914833052994459E-2</v>
      </c>
      <c r="P24" s="169">
        <f>(INDEX(Models!$BJ24:$BT24,,T24)*(1-R24)+INDEX(Models!$BJ24:$BT24,,T24+1)*R24-ERP_i)*Q24*Ramure*Pc/MaxiM</f>
        <v>4.2458686078971061E-2</v>
      </c>
      <c r="Q24" s="305">
        <f t="shared" si="4"/>
        <v>0.7</v>
      </c>
      <c r="R24" s="177">
        <f t="shared" si="5"/>
        <v>0.80018758959800451</v>
      </c>
      <c r="S24" s="817">
        <f t="shared" si="6"/>
        <v>-1</v>
      </c>
      <c r="T24" s="176">
        <f t="shared" si="7"/>
        <v>5</v>
      </c>
      <c r="U24" s="251">
        <f t="shared" si="8"/>
        <v>-0.19981241040199552</v>
      </c>
      <c r="V24" s="383">
        <f t="shared" si="9"/>
        <v>12.485733578081229</v>
      </c>
      <c r="W24" s="402">
        <f t="shared" si="10"/>
        <v>0.8704981431532467</v>
      </c>
      <c r="X24" s="157">
        <f t="shared" si="11"/>
        <v>44936</v>
      </c>
      <c r="Y24" s="385">
        <f t="shared" si="12"/>
        <v>0.83326040668905133</v>
      </c>
      <c r="Z24" s="385">
        <f t="shared" si="22"/>
        <v>0.86538314655958493</v>
      </c>
      <c r="AA24" s="386">
        <f t="shared" si="13"/>
        <v>0.99776097808000797</v>
      </c>
      <c r="AB24" s="197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0.13267489351523631</v>
      </c>
      <c r="AD24" s="231">
        <f>(INDEX(Models!$BJ24:$BT24,,AH24)*(1-AF24)+INDEX(Models!$BJ24:$BT24,,AH24+1)*AF24-ERP_i)*AE24*Ramure*Pc/MaxiM</f>
        <v>4.2458686078971061E-2</v>
      </c>
      <c r="AE24" s="305">
        <f t="shared" si="15"/>
        <v>0.7</v>
      </c>
      <c r="AF24" s="177">
        <f t="shared" si="23"/>
        <v>0.80018758959800451</v>
      </c>
      <c r="AG24" s="817">
        <f t="shared" si="24"/>
        <v>-1</v>
      </c>
      <c r="AH24" s="176">
        <f t="shared" si="16"/>
        <v>5</v>
      </c>
      <c r="AI24" s="225">
        <f t="shared" si="17"/>
        <v>-0.19981241040199552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44937</v>
      </c>
      <c r="B25" s="411">
        <f>'2022'!Wh/'2022'!Env_an*'2023'!Env_an</f>
        <v>12.584904632778343</v>
      </c>
      <c r="C25" s="846"/>
      <c r="D25" s="393">
        <f t="shared" si="0"/>
        <v>13.070347305299249</v>
      </c>
      <c r="E25" s="385">
        <f t="shared" si="1"/>
        <v>14.42626062477941</v>
      </c>
      <c r="F25" s="385">
        <f t="shared" si="2"/>
        <v>15.066994858249059</v>
      </c>
      <c r="G25" s="110">
        <f t="shared" si="21"/>
        <v>0.99570364589169114</v>
      </c>
      <c r="H25" s="414" t="b">
        <f>Wh_hp&gt;='2022'!Maxi_hp</f>
        <v>0</v>
      </c>
      <c r="I25" s="390">
        <f>IF(H25,Wh_hp,'2022'!Maxi_hp)</f>
        <v>15.067623483252582</v>
      </c>
      <c r="J25" s="85">
        <f>IF(H25,An,'2022'!An_max)</f>
        <v>2022</v>
      </c>
      <c r="K25" s="197">
        <f t="shared" si="3"/>
        <v>44937</v>
      </c>
      <c r="L25" s="147">
        <f>IF(t&lt;Tvie,1-EXP((T0-t)*PertePVj)+'2022'!Pspv,1-EXP((T0-t)*PertePVj)+Pspv)</f>
        <v>3.7140763070931393E-2</v>
      </c>
      <c r="M25" s="850"/>
      <c r="N25" s="850"/>
      <c r="O25" s="48">
        <f>IF(t&lt;Tnet,'2022'!Resal+('2022'!Salim-'2022'!Resal)*(1-EXP(('2022'!Tnet-t)/('2022'!Tau_j))),Resal+(Salim-Resal)*(1-EXP((Tnet-t)/(Tau_j))))*Salcycl</f>
        <v>9.3989243279797866E-2</v>
      </c>
      <c r="P25" s="169">
        <f>(INDEX(Models!$BJ25:$BT25,,T25)*(1-R25)+INDEX(Models!$BJ25:$BT25,,T25+1)*R25-ERP_i)*Q25*Ramure*Pc/MaxiM</f>
        <v>4.2772516084730282E-2</v>
      </c>
      <c r="Q25" s="305">
        <f t="shared" si="4"/>
        <v>0.7</v>
      </c>
      <c r="R25" s="177">
        <f t="shared" si="5"/>
        <v>0.80021293087764911</v>
      </c>
      <c r="S25" s="817">
        <f t="shared" si="6"/>
        <v>-1</v>
      </c>
      <c r="T25" s="176">
        <f t="shared" si="7"/>
        <v>5</v>
      </c>
      <c r="U25" s="251">
        <f t="shared" si="8"/>
        <v>-0.19978706912235086</v>
      </c>
      <c r="V25" s="383">
        <f t="shared" si="9"/>
        <v>12.635948792851408</v>
      </c>
      <c r="W25" s="402">
        <f t="shared" si="10"/>
        <v>12.584904632778343</v>
      </c>
      <c r="X25" s="157">
        <f t="shared" si="11"/>
        <v>44937</v>
      </c>
      <c r="Y25" s="385">
        <f t="shared" si="12"/>
        <v>12.047260512640447</v>
      </c>
      <c r="Z25" s="385">
        <f t="shared" si="22"/>
        <v>12.511964418666047</v>
      </c>
      <c r="AA25" s="386">
        <f t="shared" si="13"/>
        <v>14.42626062477941</v>
      </c>
      <c r="AB25" s="197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0.13269524625288237</v>
      </c>
      <c r="AD25" s="231">
        <f>(INDEX(Models!$BJ25:$BT25,,AH25)*(1-AF25)+INDEX(Models!$BJ25:$BT25,,AH25+1)*AF25-ERP_i)*AE25*Ramure*Pc/MaxiM</f>
        <v>4.2772516084730282E-2</v>
      </c>
      <c r="AE25" s="305">
        <f t="shared" si="15"/>
        <v>0.7</v>
      </c>
      <c r="AF25" s="177">
        <f t="shared" si="23"/>
        <v>0.80021293087764911</v>
      </c>
      <c r="AG25" s="817">
        <f t="shared" si="24"/>
        <v>-1</v>
      </c>
      <c r="AH25" s="176">
        <f t="shared" si="16"/>
        <v>5</v>
      </c>
      <c r="AI25" s="225">
        <f t="shared" si="17"/>
        <v>-0.19978706912235086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44938</v>
      </c>
      <c r="B26" s="411">
        <f>'2022'!Wh/'2022'!Env_an*'2023'!Env_an</f>
        <v>10.260970436101745</v>
      </c>
      <c r="C26" s="846"/>
      <c r="D26" s="393">
        <f t="shared" si="0"/>
        <v>10.657004460317415</v>
      </c>
      <c r="E26" s="385">
        <f t="shared" si="1"/>
        <v>11.763524513540313</v>
      </c>
      <c r="F26" s="385">
        <f t="shared" si="2"/>
        <v>12.138313873596537</v>
      </c>
      <c r="G26" s="110">
        <f t="shared" si="21"/>
        <v>0.79215291275372091</v>
      </c>
      <c r="H26" s="414" t="b">
        <f>Wh_hp&gt;='2022'!Maxi_hp</f>
        <v>0</v>
      </c>
      <c r="I26" s="390">
        <f>IF(H26,Wh_hp,'2022'!Maxi_hp)</f>
        <v>15.033013193258533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3.7161852159333209E-2</v>
      </c>
      <c r="M26" s="850"/>
      <c r="N26" s="850"/>
      <c r="O26" s="48">
        <f>IF(t&lt;Tnet,'2022'!Resal+('2022'!Salim-'2022'!Resal)*(1-EXP(('2022'!Tnet-t)/('2022'!Tau_j))),Resal+(Salim-Resal)*(1-EXP((Tnet-t)/(Tau_j))))*Salcycl</f>
        <v>9.4063650052265108E-2</v>
      </c>
      <c r="P26" s="169">
        <f>(INDEX(Models!$BJ26:$BT26,,T26)*(1-R26)+INDEX(Models!$BJ26:$BT26,,T26+1)*R26-ERP_i)*Q26*Ramure*Pc/MaxiM</f>
        <v>4.30362372667513E-2</v>
      </c>
      <c r="Q26" s="305">
        <f t="shared" si="4"/>
        <v>0.7</v>
      </c>
      <c r="R26" s="177">
        <f t="shared" si="5"/>
        <v>0.80023933071969511</v>
      </c>
      <c r="S26" s="817">
        <f t="shared" si="6"/>
        <v>-1</v>
      </c>
      <c r="T26" s="176">
        <f t="shared" si="7"/>
        <v>5</v>
      </c>
      <c r="U26" s="251">
        <f t="shared" si="8"/>
        <v>-0.19976066928030492</v>
      </c>
      <c r="V26" s="383">
        <f t="shared" si="9"/>
        <v>12.790744006304376</v>
      </c>
      <c r="W26" s="402">
        <f t="shared" si="10"/>
        <v>10.260970436101745</v>
      </c>
      <c r="X26" s="157">
        <f t="shared" si="11"/>
        <v>44938</v>
      </c>
      <c r="Y26" s="385">
        <f t="shared" si="12"/>
        <v>9.823182848865029</v>
      </c>
      <c r="Z26" s="385">
        <f t="shared" si="22"/>
        <v>10.202319954703952</v>
      </c>
      <c r="AA26" s="386">
        <f t="shared" si="13"/>
        <v>11.763524513540313</v>
      </c>
      <c r="AB26" s="197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0.13271571432858825</v>
      </c>
      <c r="AD26" s="231">
        <f>(INDEX(Models!$BJ26:$BT26,,AH26)*(1-AF26)+INDEX(Models!$BJ26:$BT26,,AH26+1)*AF26-ERP_i)*AE26*Ramure*Pc/MaxiM</f>
        <v>4.30362372667513E-2</v>
      </c>
      <c r="AE26" s="305">
        <f t="shared" si="15"/>
        <v>0.7</v>
      </c>
      <c r="AF26" s="177">
        <f t="shared" si="23"/>
        <v>0.80023933071969511</v>
      </c>
      <c r="AG26" s="817">
        <f t="shared" si="24"/>
        <v>-1</v>
      </c>
      <c r="AH26" s="176">
        <f t="shared" si="16"/>
        <v>5</v>
      </c>
      <c r="AI26" s="225">
        <f t="shared" si="17"/>
        <v>-0.19976066928030492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44939</v>
      </c>
      <c r="B27" s="411">
        <f>'2022'!Wh/'2022'!Env_an*'2023'!Env_an</f>
        <v>3.1281719036582079</v>
      </c>
      <c r="C27" s="846"/>
      <c r="D27" s="393">
        <f t="shared" si="0"/>
        <v>3.2489784780208941</v>
      </c>
      <c r="E27" s="385">
        <f t="shared" si="1"/>
        <v>3.586615473841448</v>
      </c>
      <c r="F27" s="385">
        <f t="shared" si="2"/>
        <v>3.586615473841448</v>
      </c>
      <c r="G27" s="110">
        <f t="shared" si="21"/>
        <v>0.23110632498514663</v>
      </c>
      <c r="H27" s="414" t="b">
        <f>Wh_hp&gt;='2022'!Maxi_hp</f>
        <v>0</v>
      </c>
      <c r="I27" s="390">
        <f>IF(H27,Wh_hp,'2022'!Maxi_hp)</f>
        <v>10.493774411231749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3.7182940785829843E-2</v>
      </c>
      <c r="M27" s="850"/>
      <c r="N27" s="850"/>
      <c r="O27" s="48">
        <f>IF(t&lt;Tnet,'2022'!Resal+('2022'!Salim-'2022'!Resal)*(1-EXP(('2022'!Tnet-t)/('2022'!Tau_j))),Resal+(Salim-Resal)*(1-EXP((Tnet-t)/(Tau_j))))*Salcycl</f>
        <v>9.4138052513036127E-2</v>
      </c>
      <c r="P27" s="169">
        <f>(INDEX(Models!$BJ27:$BT27,,T27)*(1-R27)+INDEX(Models!$BJ27:$BT27,,T27+1)*R27-ERP_i)*Q27*Ramure*Pc/MaxiM</f>
        <v>4.3251005790219711E-2</v>
      </c>
      <c r="Q27" s="305">
        <f t="shared" si="4"/>
        <v>0.7</v>
      </c>
      <c r="R27" s="177">
        <f t="shared" si="5"/>
        <v>0.80026683314404723</v>
      </c>
      <c r="S27" s="817">
        <f t="shared" si="6"/>
        <v>-1</v>
      </c>
      <c r="T27" s="176">
        <f t="shared" si="7"/>
        <v>5</v>
      </c>
      <c r="U27" s="251">
        <f t="shared" si="8"/>
        <v>-0.1997331668559528</v>
      </c>
      <c r="V27" s="383">
        <f t="shared" si="9"/>
        <v>12.950209487917038</v>
      </c>
      <c r="W27" s="402">
        <f t="shared" si="10"/>
        <v>3.1281719036582079</v>
      </c>
      <c r="X27" s="157">
        <f t="shared" si="11"/>
        <v>44939</v>
      </c>
      <c r="Y27" s="385">
        <f t="shared" si="12"/>
        <v>2.9948823429283244</v>
      </c>
      <c r="Z27" s="385">
        <f t="shared" si="22"/>
        <v>3.1105414203739605</v>
      </c>
      <c r="AA27" s="386">
        <f t="shared" si="13"/>
        <v>3.586615473841448</v>
      </c>
      <c r="AB27" s="197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0.13273629608182894</v>
      </c>
      <c r="AD27" s="231">
        <f>(INDEX(Models!$BJ27:$BT27,,AH27)*(1-AF27)+INDEX(Models!$BJ27:$BT27,,AH27+1)*AF27-ERP_i)*AE27*Ramure*Pc/MaxiM</f>
        <v>4.3251005790219711E-2</v>
      </c>
      <c r="AE27" s="305">
        <f t="shared" si="15"/>
        <v>0.7</v>
      </c>
      <c r="AF27" s="177">
        <f t="shared" si="23"/>
        <v>0.80026683314404723</v>
      </c>
      <c r="AG27" s="817">
        <f t="shared" si="24"/>
        <v>-1</v>
      </c>
      <c r="AH27" s="176">
        <f t="shared" si="16"/>
        <v>5</v>
      </c>
      <c r="AI27" s="225">
        <f t="shared" si="17"/>
        <v>-0.1997331668559528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44940</v>
      </c>
      <c r="B28" s="411">
        <f>'2022'!Wh/'2022'!Env_an*'2023'!Env_an</f>
        <v>13.069207044275281</v>
      </c>
      <c r="C28" s="846"/>
      <c r="D28" s="393">
        <f t="shared" si="0"/>
        <v>13.574222823168032</v>
      </c>
      <c r="E28" s="385">
        <f t="shared" si="1"/>
        <v>14.986100042619988</v>
      </c>
      <c r="F28" s="385">
        <f t="shared" si="2"/>
        <v>15.662796988847766</v>
      </c>
      <c r="G28" s="110">
        <f t="shared" si="21"/>
        <v>0.99632844857746061</v>
      </c>
      <c r="H28" s="414" t="b">
        <f>Wh_hp&gt;='2022'!Maxi_hp</f>
        <v>0</v>
      </c>
      <c r="I28" s="390">
        <f>IF(H28,Wh_hp,'2022'!Maxi_hp)</f>
        <v>15.66337716078853</v>
      </c>
      <c r="J28" s="85">
        <f>IF(H28,An,'2022'!An_max)</f>
        <v>2022</v>
      </c>
      <c r="K28" s="197">
        <f t="shared" si="3"/>
        <v>44940</v>
      </c>
      <c r="L28" s="147">
        <f>IF(t&lt;Tvie,1-EXP((T0-t)*PertePVj)+'2022'!Pspv,1-EXP((T0-t)*PertePVj)+Pspv)</f>
        <v>3.7204028950431511E-2</v>
      </c>
      <c r="M28" s="850"/>
      <c r="N28" s="850"/>
      <c r="O28" s="48">
        <f>IF(t&lt;Tnet,'2022'!Resal+('2022'!Salim-'2022'!Resal)*(1-EXP(('2022'!Tnet-t)/('2022'!Tau_j))),Resal+(Salim-Resal)*(1-EXP((Tnet-t)/(Tau_j))))*Salcycl</f>
        <v>9.4212451233918151E-2</v>
      </c>
      <c r="P28" s="169">
        <f>(INDEX(Models!$BJ28:$BT28,,T28)*(1-R28)+INDEX(Models!$BJ28:$BT28,,T28+1)*R28-ERP_i)*Q28*Ramure*Pc/MaxiM</f>
        <v>4.341800487001081E-2</v>
      </c>
      <c r="Q28" s="305">
        <f t="shared" si="4"/>
        <v>0.7</v>
      </c>
      <c r="R28" s="177">
        <f t="shared" si="5"/>
        <v>0.80029548398418826</v>
      </c>
      <c r="S28" s="817">
        <f t="shared" si="6"/>
        <v>-1</v>
      </c>
      <c r="T28" s="176">
        <f t="shared" si="7"/>
        <v>5</v>
      </c>
      <c r="U28" s="251">
        <f t="shared" si="8"/>
        <v>-0.19970451601581171</v>
      </c>
      <c r="V28" s="383">
        <f t="shared" si="9"/>
        <v>13.114435479508519</v>
      </c>
      <c r="W28" s="402">
        <f t="shared" si="10"/>
        <v>13.069207044275281</v>
      </c>
      <c r="X28" s="157">
        <f t="shared" si="11"/>
        <v>44940</v>
      </c>
      <c r="Y28" s="385">
        <f t="shared" si="12"/>
        <v>12.513064952561592</v>
      </c>
      <c r="Z28" s="385">
        <f t="shared" si="22"/>
        <v>12.996590481076463</v>
      </c>
      <c r="AA28" s="386">
        <f t="shared" si="13"/>
        <v>14.986100042619988</v>
      </c>
      <c r="AB28" s="197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0.13275699187149581</v>
      </c>
      <c r="AD28" s="231">
        <f>(INDEX(Models!$BJ28:$BT28,,AH28)*(1-AF28)+INDEX(Models!$BJ28:$BT28,,AH28+1)*AF28-ERP_i)*AE28*Ramure*Pc/MaxiM</f>
        <v>4.341800487001081E-2</v>
      </c>
      <c r="AE28" s="305">
        <f t="shared" si="15"/>
        <v>0.7</v>
      </c>
      <c r="AF28" s="177">
        <f t="shared" si="23"/>
        <v>0.80029548398418826</v>
      </c>
      <c r="AG28" s="817">
        <f t="shared" si="24"/>
        <v>-1</v>
      </c>
      <c r="AH28" s="176">
        <f t="shared" si="16"/>
        <v>5</v>
      </c>
      <c r="AI28" s="225">
        <f t="shared" si="17"/>
        <v>-0.19970451601581171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44941</v>
      </c>
      <c r="B29" s="411">
        <f>'2022'!Wh/'2022'!Env_an*'2023'!Env_an</f>
        <v>13.355966195550877</v>
      </c>
      <c r="C29" s="846"/>
      <c r="D29" s="393">
        <f t="shared" si="0"/>
        <v>13.872366662829966</v>
      </c>
      <c r="E29" s="385">
        <f t="shared" si="1"/>
        <v>15.316512333341004</v>
      </c>
      <c r="F29" s="385">
        <f t="shared" si="2"/>
        <v>16.013724985870386</v>
      </c>
      <c r="G29" s="110">
        <f t="shared" si="21"/>
        <v>1.0054544313032807</v>
      </c>
      <c r="H29" s="414" t="b">
        <f>Wh_hp&gt;='2022'!Maxi_hp</f>
        <v>1</v>
      </c>
      <c r="I29" s="390">
        <f>IF(H29,Wh_hp,'2022'!Maxi_hp)</f>
        <v>16.013724985870386</v>
      </c>
      <c r="J29" s="85">
        <f>IF(H29,An,'2022'!An_max)</f>
        <v>2023</v>
      </c>
      <c r="K29" s="197">
        <f t="shared" si="3"/>
        <v>44941</v>
      </c>
      <c r="L29" s="147">
        <f>IF(t&lt;Tvie,1-EXP((T0-t)*PertePVj)+'2022'!Pspv,1-EXP((T0-t)*PertePVj)+Pspv)</f>
        <v>3.7225116653148205E-2</v>
      </c>
      <c r="M29" s="850"/>
      <c r="N29" s="850"/>
      <c r="O29" s="48">
        <f>IF(t&lt;Tnet,'2022'!Resal+('2022'!Salim-'2022'!Resal)*(1-EXP(('2022'!Tnet-t)/('2022'!Tau_j))),Resal+(Salim-Resal)*(1-EXP((Tnet-t)/(Tau_j))))*Salcycl</f>
        <v>9.428684801613875E-2</v>
      </c>
      <c r="P29" s="169">
        <f>(INDEX(Models!$BJ29:$BT29,,T29)*(1-R29)+INDEX(Models!$BJ29:$BT29,,T29+1)*R29-ERP_i)*Q29*Ramure*Pc/MaxiM</f>
        <v>4.3538443000898541E-2</v>
      </c>
      <c r="Q29" s="305">
        <f t="shared" si="4"/>
        <v>0.7</v>
      </c>
      <c r="R29" s="177">
        <f t="shared" si="5"/>
        <v>0.80032533096044567</v>
      </c>
      <c r="S29" s="817">
        <f t="shared" si="6"/>
        <v>-1</v>
      </c>
      <c r="T29" s="176">
        <f t="shared" si="7"/>
        <v>5</v>
      </c>
      <c r="U29" s="251">
        <f t="shared" si="8"/>
        <v>-0.19967466903955428</v>
      </c>
      <c r="V29" s="383">
        <f t="shared" si="9"/>
        <v>13.283512190839648</v>
      </c>
      <c r="W29" s="402">
        <f t="shared" si="10"/>
        <v>13.355966195550877</v>
      </c>
      <c r="X29" s="157">
        <f t="shared" si="11"/>
        <v>44941</v>
      </c>
      <c r="Y29" s="385">
        <f t="shared" si="12"/>
        <v>12.788364959994087</v>
      </c>
      <c r="Z29" s="385">
        <f t="shared" si="22"/>
        <v>13.282819464025131</v>
      </c>
      <c r="AA29" s="386">
        <f t="shared" si="13"/>
        <v>15.316512333341004</v>
      </c>
      <c r="AB29" s="197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0.13277780378819834</v>
      </c>
      <c r="AD29" s="231">
        <f>(INDEX(Models!$BJ29:$BT29,,AH29)*(1-AF29)+INDEX(Models!$BJ29:$BT29,,AH29+1)*AF29-ERP_i)*AE29*Ramure*Pc/MaxiM</f>
        <v>4.3538443000898541E-2</v>
      </c>
      <c r="AE29" s="305">
        <f t="shared" si="15"/>
        <v>0.7</v>
      </c>
      <c r="AF29" s="177">
        <f t="shared" si="23"/>
        <v>0.80032533096044567</v>
      </c>
      <c r="AG29" s="817">
        <f t="shared" si="24"/>
        <v>-1</v>
      </c>
      <c r="AH29" s="176">
        <f t="shared" si="16"/>
        <v>5</v>
      </c>
      <c r="AI29" s="225">
        <f t="shared" si="17"/>
        <v>-0.19967466903955428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44942</v>
      </c>
      <c r="B30" s="411">
        <f>'2022'!Wh/'2022'!Env_an*'2023'!Env_an</f>
        <v>13.428847569873607</v>
      </c>
      <c r="C30" s="846"/>
      <c r="D30" s="393">
        <f t="shared" si="0"/>
        <v>13.94837145715595</v>
      </c>
      <c r="E30" s="385">
        <f t="shared" si="1"/>
        <v>15.40169453962141</v>
      </c>
      <c r="F30" s="385">
        <f t="shared" si="2"/>
        <v>16.10184364549351</v>
      </c>
      <c r="G30" s="110">
        <f t="shared" si="21"/>
        <v>0.99773201315787297</v>
      </c>
      <c r="H30" s="414" t="b">
        <f>Wh_hp&gt;='2022'!Maxi_hp</f>
        <v>0</v>
      </c>
      <c r="I30" s="390">
        <f>IF(H30,Wh_hp,'2022'!Maxi_hp)</f>
        <v>16.102218040848967</v>
      </c>
      <c r="J30" s="85">
        <f>IF(H30,An,'2022'!An_max)</f>
        <v>2022</v>
      </c>
      <c r="K30" s="197">
        <f t="shared" si="3"/>
        <v>44942</v>
      </c>
      <c r="L30" s="147">
        <f>IF(t&lt;Tvie,1-EXP((T0-t)*PertePVj)+'2022'!Pspv,1-EXP((T0-t)*PertePVj)+Pspv)</f>
        <v>3.7246203893990137E-2</v>
      </c>
      <c r="M30" s="850"/>
      <c r="N30" s="850"/>
      <c r="O30" s="48">
        <f>IF(t&lt;Tnet,'2022'!Resal+('2022'!Salim-'2022'!Resal)*(1-EXP(('2022'!Tnet-t)/('2022'!Tau_j))),Resal+(Salim-Resal)*(1-EXP((Tnet-t)/(Tau_j))))*Salcycl</f>
        <v>9.4361245688046505E-2</v>
      </c>
      <c r="P30" s="169">
        <f>(INDEX(Models!$BJ30:$BT30,,T30)*(1-R30)+INDEX(Models!$BJ30:$BT30,,T30+1)*R30-ERP_i)*Q30*Ramure*Pc/MaxiM</f>
        <v>4.3615230493707871E-2</v>
      </c>
      <c r="Q30" s="305">
        <f t="shared" si="4"/>
        <v>0.7</v>
      </c>
      <c r="R30" s="177">
        <f t="shared" si="5"/>
        <v>0.80035642375609262</v>
      </c>
      <c r="S30" s="817">
        <f t="shared" si="6"/>
        <v>-1</v>
      </c>
      <c r="T30" s="176">
        <f t="shared" si="7"/>
        <v>5</v>
      </c>
      <c r="U30" s="251">
        <f t="shared" si="8"/>
        <v>-0.19964357624390738</v>
      </c>
      <c r="V30" s="383">
        <f t="shared" si="9"/>
        <v>13.457506173141638</v>
      </c>
      <c r="W30" s="402">
        <f t="shared" si="10"/>
        <v>13.428847569873607</v>
      </c>
      <c r="X30" s="157">
        <f t="shared" si="11"/>
        <v>44942</v>
      </c>
      <c r="Y30" s="385">
        <f t="shared" si="12"/>
        <v>12.858894939897629</v>
      </c>
      <c r="Z30" s="385">
        <f t="shared" si="22"/>
        <v>13.356368982295576</v>
      </c>
      <c r="AA30" s="386">
        <f t="shared" si="13"/>
        <v>15.40169453962141</v>
      </c>
      <c r="AB30" s="197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0.13279873536409653</v>
      </c>
      <c r="AD30" s="231">
        <f>(INDEX(Models!$BJ30:$BT30,,AH30)*(1-AF30)+INDEX(Models!$BJ30:$BT30,,AH30+1)*AF30-ERP_i)*AE30*Ramure*Pc/MaxiM</f>
        <v>4.3615230493707871E-2</v>
      </c>
      <c r="AE30" s="305">
        <f t="shared" si="15"/>
        <v>0.7</v>
      </c>
      <c r="AF30" s="177">
        <f t="shared" si="23"/>
        <v>0.80035642375609262</v>
      </c>
      <c r="AG30" s="817">
        <f t="shared" si="24"/>
        <v>-1</v>
      </c>
      <c r="AH30" s="176">
        <f t="shared" si="16"/>
        <v>5</v>
      </c>
      <c r="AI30" s="225">
        <f t="shared" si="17"/>
        <v>-0.19964357624390738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44943</v>
      </c>
      <c r="B31" s="411">
        <f>'2022'!Wh/'2022'!Env_an*'2023'!Env_an</f>
        <v>9.732698999249223</v>
      </c>
      <c r="C31" s="846"/>
      <c r="D31" s="393">
        <f t="shared" si="0"/>
        <v>10.10945084233458</v>
      </c>
      <c r="E31" s="385">
        <f t="shared" si="1"/>
        <v>11.163702302236704</v>
      </c>
      <c r="F31" s="385">
        <f t="shared" si="2"/>
        <v>11.459308750127462</v>
      </c>
      <c r="G31" s="110">
        <f t="shared" si="21"/>
        <v>0.70064394574786548</v>
      </c>
      <c r="H31" s="414" t="b">
        <f>Wh_hp&gt;='2022'!Maxi_hp</f>
        <v>0</v>
      </c>
      <c r="I31" s="390">
        <f>IF(H31,Wh_hp,'2022'!Maxi_hp)</f>
        <v>11.494776439311693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3.7267290672967301E-2</v>
      </c>
      <c r="M31" s="850"/>
      <c r="N31" s="850"/>
      <c r="O31" s="48">
        <f>IF(t&lt;Tnet,'2022'!Resal+('2022'!Salim-'2022'!Resal)*(1-EXP(('2022'!Tnet-t)/('2022'!Tau_j))),Resal+(Salim-Resal)*(1-EXP((Tnet-t)/(Tau_j))))*Salcycl</f>
        <v>9.4435647902479353E-2</v>
      </c>
      <c r="P31" s="169">
        <f>(INDEX(Models!$BJ31:$BT31,,T31)*(1-R31)+INDEX(Models!$BJ31:$BT31,,T31+1)*R31-ERP_i)*Q31*Ramure*Pc/MaxiM</f>
        <v>4.3646133151752677E-2</v>
      </c>
      <c r="Q31" s="305">
        <f t="shared" si="4"/>
        <v>0.7</v>
      </c>
      <c r="R31" s="177">
        <f t="shared" si="5"/>
        <v>0.80038881409638352</v>
      </c>
      <c r="S31" s="817">
        <f t="shared" si="6"/>
        <v>-1</v>
      </c>
      <c r="T31" s="176">
        <f t="shared" si="7"/>
        <v>5</v>
      </c>
      <c r="U31" s="251">
        <f t="shared" si="8"/>
        <v>-0.19961118590361646</v>
      </c>
      <c r="V31" s="383">
        <f t="shared" si="9"/>
        <v>13.636556331841973</v>
      </c>
      <c r="W31" s="402">
        <f t="shared" si="10"/>
        <v>9.732698999249223</v>
      </c>
      <c r="X31" s="157">
        <f t="shared" si="11"/>
        <v>44943</v>
      </c>
      <c r="Y31" s="385">
        <f t="shared" si="12"/>
        <v>9.3201592244611522</v>
      </c>
      <c r="Z31" s="385">
        <f t="shared" si="22"/>
        <v>9.6809416925037368</v>
      </c>
      <c r="AA31" s="386">
        <f t="shared" si="13"/>
        <v>11.163702302236704</v>
      </c>
      <c r="AB31" s="197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0.13281979128338892</v>
      </c>
      <c r="AD31" s="231">
        <f>(INDEX(Models!$BJ31:$BT31,,AH31)*(1-AF31)+INDEX(Models!$BJ31:$BT31,,AH31+1)*AF31-ERP_i)*AE31*Ramure*Pc/MaxiM</f>
        <v>4.3646133151752677E-2</v>
      </c>
      <c r="AE31" s="305">
        <f t="shared" si="15"/>
        <v>0.7</v>
      </c>
      <c r="AF31" s="177">
        <f t="shared" si="23"/>
        <v>0.80038881409638352</v>
      </c>
      <c r="AG31" s="817">
        <f t="shared" si="24"/>
        <v>-1</v>
      </c>
      <c r="AH31" s="176">
        <f t="shared" si="16"/>
        <v>5</v>
      </c>
      <c r="AI31" s="225">
        <f t="shared" si="17"/>
        <v>-0.19961118590361646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44944</v>
      </c>
      <c r="B32" s="411">
        <f>'2022'!Wh/'2022'!Env_an*'2023'!Env_an</f>
        <v>2.3572291135756682</v>
      </c>
      <c r="C32" s="846"/>
      <c r="D32" s="393">
        <f t="shared" si="0"/>
        <v>2.4485308551753127</v>
      </c>
      <c r="E32" s="385">
        <f t="shared" si="1"/>
        <v>2.7040950364374883</v>
      </c>
      <c r="F32" s="385">
        <f t="shared" si="2"/>
        <v>2.7040950364374883</v>
      </c>
      <c r="G32" s="110">
        <f t="shared" si="21"/>
        <v>0.16311537946618704</v>
      </c>
      <c r="H32" s="414" t="b">
        <f>Wh_hp&gt;='2022'!Maxi_hp</f>
        <v>0</v>
      </c>
      <c r="I32" s="390">
        <f>IF(H32,Wh_hp,'2022'!Maxi_hp)</f>
        <v>16.33584148224859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3.7288376990089911E-2</v>
      </c>
      <c r="M32" s="850"/>
      <c r="N32" s="850"/>
      <c r="O32" s="48">
        <f>IF(t&lt;Tnet,'2022'!Resal+('2022'!Salim-'2022'!Resal)*(1-EXP(('2022'!Tnet-t)/('2022'!Tau_j))),Resal+(Salim-Resal)*(1-EXP((Tnet-t)/(Tau_j))))*Salcycl</f>
        <v>9.4510058935971766E-2</v>
      </c>
      <c r="P32" s="169">
        <f>(INDEX(Models!$BJ32:$BT32,,T32)*(1-R32)+INDEX(Models!$BJ32:$BT32,,T32+1)*R32-ERP_i)*Q32*Ramure*Pc/MaxiM</f>
        <v>4.3632492510453987E-2</v>
      </c>
      <c r="Q32" s="305">
        <f t="shared" si="4"/>
        <v>0.7</v>
      </c>
      <c r="R32" s="177">
        <f t="shared" si="5"/>
        <v>0.8004225558306256</v>
      </c>
      <c r="S32" s="817">
        <f t="shared" si="6"/>
        <v>-1</v>
      </c>
      <c r="T32" s="176">
        <f t="shared" si="7"/>
        <v>5</v>
      </c>
      <c r="U32" s="251">
        <f t="shared" si="8"/>
        <v>-0.19957744416937437</v>
      </c>
      <c r="V32" s="383">
        <f t="shared" si="9"/>
        <v>13.820752765985958</v>
      </c>
      <c r="W32" s="402">
        <f t="shared" si="10"/>
        <v>2.3572291135756682</v>
      </c>
      <c r="X32" s="157">
        <f t="shared" si="11"/>
        <v>44944</v>
      </c>
      <c r="Y32" s="385">
        <f t="shared" si="12"/>
        <v>2.2574436249241758</v>
      </c>
      <c r="Z32" s="385">
        <f t="shared" si="22"/>
        <v>2.3448804096353348</v>
      </c>
      <c r="AA32" s="386">
        <f t="shared" si="13"/>
        <v>2.7040950364374883</v>
      </c>
      <c r="AB32" s="197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0.13284097709650072</v>
      </c>
      <c r="AD32" s="231">
        <f>(INDEX(Models!$BJ32:$BT32,,AH32)*(1-AF32)+INDEX(Models!$BJ32:$BT32,,AH32+1)*AF32-ERP_i)*AE32*Ramure*Pc/MaxiM</f>
        <v>4.3632492510453987E-2</v>
      </c>
      <c r="AE32" s="305">
        <f t="shared" si="15"/>
        <v>0.7</v>
      </c>
      <c r="AF32" s="177">
        <f t="shared" si="23"/>
        <v>0.8004225558306256</v>
      </c>
      <c r="AG32" s="817">
        <f t="shared" si="24"/>
        <v>-1</v>
      </c>
      <c r="AH32" s="176">
        <f t="shared" si="16"/>
        <v>5</v>
      </c>
      <c r="AI32" s="225">
        <f t="shared" si="17"/>
        <v>-0.19957744416937437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44945</v>
      </c>
      <c r="B33" s="411">
        <f>'2022'!Wh/'2022'!Env_an*'2023'!Env_an</f>
        <v>7.0653073179659112</v>
      </c>
      <c r="C33" s="846"/>
      <c r="D33" s="393">
        <f t="shared" si="0"/>
        <v>7.3391261732440274</v>
      </c>
      <c r="E33" s="385">
        <f t="shared" si="1"/>
        <v>8.1058100280286141</v>
      </c>
      <c r="F33" s="385">
        <f t="shared" si="2"/>
        <v>8.2102255384502172</v>
      </c>
      <c r="G33" s="110">
        <f t="shared" si="21"/>
        <v>0.48853586703426222</v>
      </c>
      <c r="H33" s="414" t="b">
        <f>Wh_hp&gt;='2022'!Maxi_hp</f>
        <v>0</v>
      </c>
      <c r="I33" s="390">
        <f>IF(H33,Wh_hp,'2022'!Maxi_hp)</f>
        <v>16.836051106728092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3.7309462845368069E-2</v>
      </c>
      <c r="M33" s="850"/>
      <c r="N33" s="850"/>
      <c r="O33" s="48">
        <f>IF(t&lt;Tnet,'2022'!Resal+('2022'!Salim-'2022'!Resal)*(1-EXP(('2022'!Tnet-t)/('2022'!Tau_j))),Resal+(Salim-Resal)*(1-EXP((Tnet-t)/(Tau_j))))*Salcycl</f>
        <v>9.4584483491904597E-2</v>
      </c>
      <c r="P33" s="169">
        <f>(INDEX(Models!$BJ33:$BT33,,T33)*(1-R33)+INDEX(Models!$BJ33:$BT33,,T33+1)*R33-ERP_i)*Q33*Ramure*Pc/MaxiM</f>
        <v>4.3575666518405699E-2</v>
      </c>
      <c r="Q33" s="305">
        <f t="shared" si="4"/>
        <v>0.7</v>
      </c>
      <c r="R33" s="177">
        <f t="shared" si="5"/>
        <v>0.80045770501738944</v>
      </c>
      <c r="S33" s="817">
        <f t="shared" si="6"/>
        <v>-1</v>
      </c>
      <c r="T33" s="176">
        <f t="shared" si="7"/>
        <v>5</v>
      </c>
      <c r="U33" s="251">
        <f t="shared" si="8"/>
        <v>-0.19954229498261056</v>
      </c>
      <c r="V33" s="383">
        <f t="shared" si="9"/>
        <v>14.01018552546396</v>
      </c>
      <c r="W33" s="402">
        <f t="shared" si="10"/>
        <v>7.0653073179659112</v>
      </c>
      <c r="X33" s="157">
        <f t="shared" si="11"/>
        <v>44945</v>
      </c>
      <c r="Y33" s="385">
        <f t="shared" si="12"/>
        <v>6.7666107254328285</v>
      </c>
      <c r="Z33" s="385">
        <f t="shared" si="22"/>
        <v>7.0288534729265164</v>
      </c>
      <c r="AA33" s="386">
        <f t="shared" si="13"/>
        <v>8.1058100280286141</v>
      </c>
      <c r="AB33" s="197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0.1328622989409019</v>
      </c>
      <c r="AD33" s="231">
        <f>(INDEX(Models!$BJ33:$BT33,,AH33)*(1-AF33)+INDEX(Models!$BJ33:$BT33,,AH33+1)*AF33-ERP_i)*AE33*Ramure*Pc/MaxiM</f>
        <v>4.3575666518405699E-2</v>
      </c>
      <c r="AE33" s="305">
        <f t="shared" si="15"/>
        <v>0.7</v>
      </c>
      <c r="AF33" s="177">
        <f t="shared" si="23"/>
        <v>0.80045770501738944</v>
      </c>
      <c r="AG33" s="817">
        <f t="shared" si="24"/>
        <v>-1</v>
      </c>
      <c r="AH33" s="176">
        <f t="shared" si="16"/>
        <v>5</v>
      </c>
      <c r="AI33" s="225">
        <f t="shared" si="17"/>
        <v>-0.19954229498261056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44946</v>
      </c>
      <c r="B34" s="411">
        <f>'2022'!Wh/'2022'!Env_an*'2023'!Env_an</f>
        <v>3.7667632017480406</v>
      </c>
      <c r="C34" s="846"/>
      <c r="D34" s="393">
        <f t="shared" si="0"/>
        <v>3.9128313408686735</v>
      </c>
      <c r="E34" s="385">
        <f t="shared" si="1"/>
        <v>4.3219417029025529</v>
      </c>
      <c r="F34" s="385">
        <f t="shared" si="2"/>
        <v>4.3219417029025529</v>
      </c>
      <c r="G34" s="110">
        <f t="shared" si="21"/>
        <v>0.25364375818941359</v>
      </c>
      <c r="H34" s="414" t="b">
        <f>Wh_hp&gt;='2022'!Maxi_hp</f>
        <v>0</v>
      </c>
      <c r="I34" s="390">
        <f>IF(H34,Wh_hp,'2022'!Maxi_hp)</f>
        <v>7.5521238527845549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3.7330548238811878E-2</v>
      </c>
      <c r="M34" s="850"/>
      <c r="N34" s="850"/>
      <c r="O34" s="48">
        <f>IF(t&lt;Tnet,'2022'!Resal+('2022'!Salim-'2022'!Resal)*(1-EXP(('2022'!Tnet-t)/('2022'!Tau_j))),Resal+(Salim-Resal)*(1-EXP((Tnet-t)/(Tau_j))))*Salcycl</f>
        <v>9.4658926509611788E-2</v>
      </c>
      <c r="P34" s="169">
        <f>(INDEX(Models!$BJ34:$BT34,,T34)*(1-R34)+INDEX(Models!$BJ34:$BT34,,T34+1)*R34-ERP_i)*Q34*Ramure*Pc/MaxiM</f>
        <v>4.3477269451298123E-2</v>
      </c>
      <c r="Q34" s="305">
        <f t="shared" si="4"/>
        <v>0.7</v>
      </c>
      <c r="R34" s="177">
        <f t="shared" si="5"/>
        <v>0.80049432001296461</v>
      </c>
      <c r="S34" s="817">
        <f t="shared" si="6"/>
        <v>-1</v>
      </c>
      <c r="T34" s="176">
        <f t="shared" si="7"/>
        <v>5</v>
      </c>
      <c r="U34" s="251">
        <f t="shared" si="8"/>
        <v>-0.19950567998703544</v>
      </c>
      <c r="V34" s="383">
        <f t="shared" si="9"/>
        <v>14.204941011699558</v>
      </c>
      <c r="W34" s="402">
        <f t="shared" si="10"/>
        <v>3.7667632017480406</v>
      </c>
      <c r="X34" s="157">
        <f t="shared" si="11"/>
        <v>44946</v>
      </c>
      <c r="Y34" s="385">
        <f t="shared" si="12"/>
        <v>3.6077248981484562</v>
      </c>
      <c r="Z34" s="385">
        <f t="shared" si="22"/>
        <v>3.7476258247814784</v>
      </c>
      <c r="AA34" s="386">
        <f t="shared" si="13"/>
        <v>4.3219417029025529</v>
      </c>
      <c r="AB34" s="197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0.13288376327134907</v>
      </c>
      <c r="AD34" s="231">
        <f>(INDEX(Models!$BJ34:$BT34,,AH34)*(1-AF34)+INDEX(Models!$BJ34:$BT34,,AH34+1)*AF34-ERP_i)*AE34*Ramure*Pc/MaxiM</f>
        <v>4.3477269451298123E-2</v>
      </c>
      <c r="AE34" s="305">
        <f t="shared" si="15"/>
        <v>0.7</v>
      </c>
      <c r="AF34" s="177">
        <f t="shared" si="23"/>
        <v>0.80049432001296461</v>
      </c>
      <c r="AG34" s="817">
        <f t="shared" si="24"/>
        <v>-1</v>
      </c>
      <c r="AH34" s="176">
        <f t="shared" si="16"/>
        <v>5</v>
      </c>
      <c r="AI34" s="225">
        <f t="shared" si="17"/>
        <v>-0.19950567998703544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44947</v>
      </c>
      <c r="B35" s="411">
        <f>'2022'!Wh/'2022'!Env_an*'2023'!Env_an</f>
        <v>10.325343949086697</v>
      </c>
      <c r="C35" s="846"/>
      <c r="D35" s="393">
        <f t="shared" si="0"/>
        <v>10.725976696031463</v>
      </c>
      <c r="E35" s="385">
        <f t="shared" si="1"/>
        <v>11.848417485933535</v>
      </c>
      <c r="F35" s="385">
        <f t="shared" si="2"/>
        <v>12.162255873557257</v>
      </c>
      <c r="G35" s="110">
        <f t="shared" si="21"/>
        <v>0.70388219266393448</v>
      </c>
      <c r="H35" s="414" t="b">
        <f>Wh_hp&gt;='2022'!Maxi_hp</f>
        <v>0</v>
      </c>
      <c r="I35" s="390">
        <f>IF(H35,Wh_hp,'2022'!Maxi_hp)</f>
        <v>12.199672633065241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3.7351633170431553E-2</v>
      </c>
      <c r="M35" s="850"/>
      <c r="N35" s="850"/>
      <c r="O35" s="48">
        <f>IF(t&lt;Tnet,'2022'!Resal+('2022'!Salim-'2022'!Resal)*(1-EXP(('2022'!Tnet-t)/('2022'!Tau_j))),Resal+(Salim-Resal)*(1-EXP((Tnet-t)/(Tau_j))))*Salcycl</f>
        <v>9.4733392981352679E-2</v>
      </c>
      <c r="P35" s="169">
        <f>(INDEX(Models!$BJ35:$BT35,,T35)*(1-R35)+INDEX(Models!$BJ35:$BT35,,T35+1)*R35-ERP_i)*Q35*Ramure*Pc/MaxiM</f>
        <v>4.3339032883318203E-2</v>
      </c>
      <c r="Q35" s="305">
        <f t="shared" si="4"/>
        <v>0.7</v>
      </c>
      <c r="R35" s="177">
        <f t="shared" si="5"/>
        <v>0.80053246156317059</v>
      </c>
      <c r="S35" s="817">
        <f t="shared" si="6"/>
        <v>-1</v>
      </c>
      <c r="T35" s="176">
        <f t="shared" si="7"/>
        <v>5</v>
      </c>
      <c r="U35" s="251">
        <f t="shared" si="8"/>
        <v>-0.19946753843682946</v>
      </c>
      <c r="V35" s="383">
        <f t="shared" si="9"/>
        <v>14.405103777655409</v>
      </c>
      <c r="W35" s="402">
        <f t="shared" si="10"/>
        <v>10.325343949086697</v>
      </c>
      <c r="X35" s="157">
        <f t="shared" si="11"/>
        <v>44947</v>
      </c>
      <c r="Y35" s="385">
        <f t="shared" si="12"/>
        <v>9.8899596578203006</v>
      </c>
      <c r="Z35" s="385">
        <f t="shared" si="22"/>
        <v>10.273699097825679</v>
      </c>
      <c r="AA35" s="386">
        <f t="shared" si="13"/>
        <v>11.848417485933535</v>
      </c>
      <c r="AB35" s="197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0.13290537660218041</v>
      </c>
      <c r="AD35" s="231">
        <f>(INDEX(Models!$BJ35:$BT35,,AH35)*(1-AF35)+INDEX(Models!$BJ35:$BT35,,AH35+1)*AF35-ERP_i)*AE35*Ramure*Pc/MaxiM</f>
        <v>4.3339032883318203E-2</v>
      </c>
      <c r="AE35" s="305">
        <f t="shared" si="15"/>
        <v>0.7</v>
      </c>
      <c r="AF35" s="177">
        <f t="shared" si="23"/>
        <v>0.80053246156317059</v>
      </c>
      <c r="AG35" s="817">
        <f t="shared" si="24"/>
        <v>-1</v>
      </c>
      <c r="AH35" s="176">
        <f t="shared" si="16"/>
        <v>5</v>
      </c>
      <c r="AI35" s="225">
        <f t="shared" si="17"/>
        <v>-0.19946753843682946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44948</v>
      </c>
      <c r="B36" s="411">
        <f>'2022'!Wh/'2022'!Env_an*'2023'!Env_an</f>
        <v>14.848273680151168</v>
      </c>
      <c r="C36" s="846"/>
      <c r="D36" s="393">
        <f t="shared" si="0"/>
        <v>15.424738060355448</v>
      </c>
      <c r="E36" s="385">
        <f t="shared" si="1"/>
        <v>17.040292167933114</v>
      </c>
      <c r="F36" s="385">
        <f t="shared" si="2"/>
        <v>17.808971984336939</v>
      </c>
      <c r="G36" s="110">
        <f t="shared" si="21"/>
        <v>1.0162560121867492</v>
      </c>
      <c r="H36" s="414" t="b">
        <f>Wh_hp&gt;='2022'!Maxi_hp</f>
        <v>1</v>
      </c>
      <c r="I36" s="390">
        <f>IF(H36,Wh_hp,'2022'!Maxi_hp)</f>
        <v>17.808971984336939</v>
      </c>
      <c r="J36" s="85">
        <f>IF(H36,An,'2022'!An_max)</f>
        <v>2023</v>
      </c>
      <c r="K36" s="197">
        <f t="shared" si="3"/>
        <v>44948</v>
      </c>
      <c r="L36" s="147">
        <f>IF(t&lt;Tvie,1-EXP((T0-t)*PertePVj)+'2022'!Pspv,1-EXP((T0-t)*PertePVj)+Pspv)</f>
        <v>3.7372717640236974E-2</v>
      </c>
      <c r="M36" s="850"/>
      <c r="N36" s="850"/>
      <c r="O36" s="48">
        <f>IF(t&lt;Tnet,'2022'!Resal+('2022'!Salim-'2022'!Resal)*(1-EXP(('2022'!Tnet-t)/('2022'!Tau_j))),Resal+(Salim-Resal)*(1-EXP((Tnet-t)/(Tau_j))))*Salcycl</f>
        <v>9.4807887778934938E-2</v>
      </c>
      <c r="P36" s="169">
        <f>(INDEX(Models!$BJ36:$BT36,,T36)*(1-R36)+INDEX(Models!$BJ36:$BT36,,T36+1)*R36-ERP_i)*Q36*Ramure*Pc/MaxiM</f>
        <v>4.3162503544835792E-2</v>
      </c>
      <c r="Q36" s="305">
        <f t="shared" si="4"/>
        <v>0.7</v>
      </c>
      <c r="R36" s="177">
        <f t="shared" si="5"/>
        <v>0.8005721928986318</v>
      </c>
      <c r="S36" s="817">
        <f t="shared" si="6"/>
        <v>-1</v>
      </c>
      <c r="T36" s="176">
        <f t="shared" si="7"/>
        <v>5</v>
      </c>
      <c r="U36" s="251">
        <f t="shared" si="8"/>
        <v>-0.19942780710136815</v>
      </c>
      <c r="V36" s="383">
        <f t="shared" si="9"/>
        <v>14.610760971736934</v>
      </c>
      <c r="W36" s="402">
        <f t="shared" si="10"/>
        <v>14.848273680151168</v>
      </c>
      <c r="X36" s="157">
        <f t="shared" si="11"/>
        <v>44948</v>
      </c>
      <c r="Y36" s="385">
        <f t="shared" si="12"/>
        <v>14.222986340610383</v>
      </c>
      <c r="Z36" s="385">
        <f t="shared" si="22"/>
        <v>14.775174775583414</v>
      </c>
      <c r="AA36" s="386">
        <f t="shared" si="13"/>
        <v>17.040292167933114</v>
      </c>
      <c r="AB36" s="197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0.1329271452641087</v>
      </c>
      <c r="AD36" s="231">
        <f>(INDEX(Models!$BJ36:$BT36,,AH36)*(1-AF36)+INDEX(Models!$BJ36:$BT36,,AH36+1)*AF36-ERP_i)*AE36*Ramure*Pc/MaxiM</f>
        <v>4.3162503544835792E-2</v>
      </c>
      <c r="AE36" s="305">
        <f t="shared" si="15"/>
        <v>0.7</v>
      </c>
      <c r="AF36" s="177">
        <f t="shared" si="23"/>
        <v>0.8005721928986318</v>
      </c>
      <c r="AG36" s="817">
        <f t="shared" si="24"/>
        <v>-1</v>
      </c>
      <c r="AH36" s="176">
        <f t="shared" si="16"/>
        <v>5</v>
      </c>
      <c r="AI36" s="225">
        <f t="shared" si="17"/>
        <v>-0.19942780710136815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44949</v>
      </c>
      <c r="B37" s="411">
        <f>'2022'!Wh/'2022'!Env_an*'2023'!Env_an</f>
        <v>14.902521467595903</v>
      </c>
      <c r="C37" s="846"/>
      <c r="D37" s="393">
        <f t="shared" si="0"/>
        <v>15.481431028714539</v>
      </c>
      <c r="E37" s="385">
        <f t="shared" si="1"/>
        <v>17.104331297599998</v>
      </c>
      <c r="F37" s="385">
        <f t="shared" si="2"/>
        <v>17.871865098354338</v>
      </c>
      <c r="G37" s="110">
        <f t="shared" si="21"/>
        <v>1.0053655173674529</v>
      </c>
      <c r="H37" s="414" t="b">
        <f>Wh_hp&gt;='2022'!Maxi_hp</f>
        <v>1</v>
      </c>
      <c r="I37" s="390">
        <f>IF(H37,Wh_hp,'2022'!Maxi_hp)</f>
        <v>17.871865098354338</v>
      </c>
      <c r="J37" s="85">
        <f>IF(H37,An,'2022'!An_max)</f>
        <v>2023</v>
      </c>
      <c r="K37" s="197">
        <f t="shared" si="3"/>
        <v>44949</v>
      </c>
      <c r="L37" s="147">
        <f>IF(t&lt;Tvie,1-EXP((T0-t)*PertePVj)+'2022'!Pspv,1-EXP((T0-t)*PertePVj)+Pspv)</f>
        <v>3.7393801648238467E-2</v>
      </c>
      <c r="M37" s="850"/>
      <c r="N37" s="850"/>
      <c r="O37" s="48">
        <f>IF(t&lt;Tnet,'2022'!Resal+('2022'!Salim-'2022'!Resal)*(1-EXP(('2022'!Tnet-t)/('2022'!Tau_j))),Resal+(Salim-Resal)*(1-EXP((Tnet-t)/(Tau_j))))*Salcycl</f>
        <v>9.488241549163498E-2</v>
      </c>
      <c r="P37" s="169">
        <f>(INDEX(Models!$BJ37:$BT37,,T37)*(1-R37)+INDEX(Models!$BJ37:$BT37,,T37+1)*R37-ERP_i)*Q37*Ramure*Pc/MaxiM</f>
        <v>4.2946485804943549E-2</v>
      </c>
      <c r="Q37" s="305">
        <f t="shared" si="4"/>
        <v>0.7</v>
      </c>
      <c r="R37" s="177">
        <f t="shared" si="5"/>
        <v>0.80061357983363168</v>
      </c>
      <c r="S37" s="817">
        <f t="shared" si="6"/>
        <v>-1</v>
      </c>
      <c r="T37" s="176">
        <f t="shared" si="7"/>
        <v>5</v>
      </c>
      <c r="U37" s="251">
        <f t="shared" si="8"/>
        <v>-0.19938642016636834</v>
      </c>
      <c r="V37" s="383">
        <f t="shared" si="9"/>
        <v>14.822988465546459</v>
      </c>
      <c r="W37" s="402">
        <f t="shared" si="10"/>
        <v>14.902521467595903</v>
      </c>
      <c r="X37" s="157">
        <f t="shared" si="11"/>
        <v>44949</v>
      </c>
      <c r="Y37" s="385">
        <f t="shared" si="12"/>
        <v>14.275763991129317</v>
      </c>
      <c r="Z37" s="385">
        <f t="shared" si="22"/>
        <v>14.830326270050236</v>
      </c>
      <c r="AA37" s="386">
        <f t="shared" si="13"/>
        <v>17.104331297599998</v>
      </c>
      <c r="AB37" s="197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0.1329490751777499</v>
      </c>
      <c r="AD37" s="231">
        <f>(INDEX(Models!$BJ37:$BT37,,AH37)*(1-AF37)+INDEX(Models!$BJ37:$BT37,,AH37+1)*AF37-ERP_i)*AE37*Ramure*Pc/MaxiM</f>
        <v>4.2946485804943549E-2</v>
      </c>
      <c r="AE37" s="305">
        <f t="shared" si="15"/>
        <v>0.7</v>
      </c>
      <c r="AF37" s="177">
        <f t="shared" si="23"/>
        <v>0.80061357983363168</v>
      </c>
      <c r="AG37" s="817">
        <f t="shared" si="24"/>
        <v>-1</v>
      </c>
      <c r="AH37" s="176">
        <f t="shared" si="16"/>
        <v>5</v>
      </c>
      <c r="AI37" s="225">
        <f t="shared" si="17"/>
        <v>-0.19938642016636834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44950</v>
      </c>
      <c r="B38" s="411">
        <f>'2022'!Wh/'2022'!Env_an*'2023'!Env_an</f>
        <v>15.170065908207603</v>
      </c>
      <c r="C38" s="846"/>
      <c r="D38" s="393">
        <f t="shared" si="0"/>
        <v>15.759713790371688</v>
      </c>
      <c r="E38" s="385">
        <f t="shared" si="1"/>
        <v>17.413220639162077</v>
      </c>
      <c r="F38" s="385">
        <f t="shared" si="2"/>
        <v>18.189713580371087</v>
      </c>
      <c r="G38" s="110">
        <f t="shared" si="21"/>
        <v>1.0084823817632185</v>
      </c>
      <c r="H38" s="414" t="b">
        <f>Wh_hp&gt;='2022'!Maxi_hp</f>
        <v>1</v>
      </c>
      <c r="I38" s="390">
        <f>IF(H38,Wh_hp,'2022'!Maxi_hp)</f>
        <v>18.189713580371087</v>
      </c>
      <c r="J38" s="85">
        <f>IF(H38,An,'2022'!An_max)</f>
        <v>2023</v>
      </c>
      <c r="K38" s="197">
        <f t="shared" si="3"/>
        <v>44950</v>
      </c>
      <c r="L38" s="147">
        <f>IF(t&lt;Tvie,1-EXP((T0-t)*PertePVj)+'2022'!Pspv,1-EXP((T0-t)*PertePVj)+Pspv)</f>
        <v>3.7414885194446024E-2</v>
      </c>
      <c r="M38" s="850"/>
      <c r="N38" s="850"/>
      <c r="O38" s="48">
        <f>IF(t&lt;Tnet,'2022'!Resal+('2022'!Salim-'2022'!Resal)*(1-EXP(('2022'!Tnet-t)/('2022'!Tau_j))),Resal+(Salim-Resal)*(1-EXP((Tnet-t)/(Tau_j))))*Salcycl</f>
        <v>9.4956980276909617E-2</v>
      </c>
      <c r="P38" s="169">
        <f>(INDEX(Models!$BJ38:$BT38,,T38)*(1-R38)+INDEX(Models!$BJ38:$BT38,,T38+1)*R38-ERP_i)*Q38*Ramure*Pc/MaxiM</f>
        <v>4.2688574384532336E-2</v>
      </c>
      <c r="Q38" s="305">
        <f t="shared" si="4"/>
        <v>0.7</v>
      </c>
      <c r="R38" s="177">
        <f t="shared" si="5"/>
        <v>0.80065669086865832</v>
      </c>
      <c r="S38" s="817">
        <f t="shared" si="6"/>
        <v>-1</v>
      </c>
      <c r="T38" s="176">
        <f t="shared" si="7"/>
        <v>5</v>
      </c>
      <c r="U38" s="251">
        <f t="shared" si="8"/>
        <v>-0.19934330913134174</v>
      </c>
      <c r="V38" s="383">
        <f t="shared" si="9"/>
        <v>15.042469935552511</v>
      </c>
      <c r="W38" s="402">
        <f t="shared" si="10"/>
        <v>15.170065908207603</v>
      </c>
      <c r="X38" s="157">
        <f t="shared" si="11"/>
        <v>44950</v>
      </c>
      <c r="Y38" s="385">
        <f t="shared" si="12"/>
        <v>14.532883171091655</v>
      </c>
      <c r="Z38" s="385">
        <f t="shared" si="22"/>
        <v>15.097764288644079</v>
      </c>
      <c r="AA38" s="386">
        <f t="shared" si="13"/>
        <v>17.413220639162077</v>
      </c>
      <c r="AB38" s="197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0.13297117164590272</v>
      </c>
      <c r="AD38" s="231">
        <f>(INDEX(Models!$BJ38:$BT38,,AH38)*(1-AF38)+INDEX(Models!$BJ38:$BT38,,AH38+1)*AF38-ERP_i)*AE38*Ramure*Pc/MaxiM</f>
        <v>4.2688574384532336E-2</v>
      </c>
      <c r="AE38" s="305">
        <f t="shared" si="15"/>
        <v>0.7</v>
      </c>
      <c r="AF38" s="177">
        <f t="shared" si="23"/>
        <v>0.80065669086865832</v>
      </c>
      <c r="AG38" s="817">
        <f t="shared" si="24"/>
        <v>-1</v>
      </c>
      <c r="AH38" s="176">
        <f t="shared" si="16"/>
        <v>5</v>
      </c>
      <c r="AI38" s="225">
        <f t="shared" si="17"/>
        <v>-0.19934330913134174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44951</v>
      </c>
      <c r="B39" s="411">
        <f>'2022'!Wh/'2022'!Env_an*'2023'!Env_an</f>
        <v>14.391590649996306</v>
      </c>
      <c r="C39" s="846"/>
      <c r="D39" s="393">
        <f t="shared" si="0"/>
        <v>14.951307316421497</v>
      </c>
      <c r="E39" s="385">
        <f t="shared" si="1"/>
        <v>16.521358182874547</v>
      </c>
      <c r="F39" s="385">
        <f t="shared" si="2"/>
        <v>17.190774535573077</v>
      </c>
      <c r="G39" s="110">
        <f t="shared" si="21"/>
        <v>0.93917307357919932</v>
      </c>
      <c r="H39" s="414" t="b">
        <f>Wh_hp&gt;='2022'!Maxi_hp</f>
        <v>0</v>
      </c>
      <c r="I39" s="390">
        <f>IF(H39,Wh_hp,'2022'!Maxi_hp)</f>
        <v>17.201428770631761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3.7435968278869858E-2</v>
      </c>
      <c r="M39" s="850"/>
      <c r="N39" s="850"/>
      <c r="O39" s="48">
        <f>IF(t&lt;Tnet,'2022'!Resal+('2022'!Salim-'2022'!Resal)*(1-EXP(('2022'!Tnet-t)/('2022'!Tau_j))),Resal+(Salim-Resal)*(1-EXP((Tnet-t)/(Tau_j))))*Salcycl</f>
        <v>9.5031585725228629E-2</v>
      </c>
      <c r="P39" s="169">
        <f>(INDEX(Models!$BJ39:$BT39,,T39)*(1-R39)+INDEX(Models!$BJ39:$BT39,,T39+1)*R39-ERP_i)*Q39*Ramure*Pc/MaxiM</f>
        <v>4.2419739574030814E-2</v>
      </c>
      <c r="Q39" s="305">
        <f t="shared" si="4"/>
        <v>0.7</v>
      </c>
      <c r="R39" s="177">
        <f t="shared" si="5"/>
        <v>0.80070159729676227</v>
      </c>
      <c r="S39" s="817">
        <f t="shared" si="6"/>
        <v>-1</v>
      </c>
      <c r="T39" s="176">
        <f t="shared" si="7"/>
        <v>5</v>
      </c>
      <c r="U39" s="251">
        <f t="shared" si="8"/>
        <v>-0.1992984027032377</v>
      </c>
      <c r="V39" s="383">
        <f t="shared" si="9"/>
        <v>15.268207284699356</v>
      </c>
      <c r="W39" s="402">
        <f t="shared" si="10"/>
        <v>14.391590649996306</v>
      </c>
      <c r="X39" s="157">
        <f t="shared" si="11"/>
        <v>44951</v>
      </c>
      <c r="Y39" s="385">
        <f t="shared" si="12"/>
        <v>13.787888414181118</v>
      </c>
      <c r="Z39" s="385">
        <f t="shared" si="22"/>
        <v>14.324125938434904</v>
      </c>
      <c r="AA39" s="386">
        <f t="shared" si="13"/>
        <v>16.521358182874547</v>
      </c>
      <c r="AB39" s="197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0.13299343916635231</v>
      </c>
      <c r="AD39" s="231">
        <f>(INDEX(Models!$BJ39:$BT39,,AH39)*(1-AF39)+INDEX(Models!$BJ39:$BT39,,AH39+1)*AF39-ERP_i)*AE39*Ramure*Pc/MaxiM</f>
        <v>4.2419739574030814E-2</v>
      </c>
      <c r="AE39" s="305">
        <f t="shared" si="15"/>
        <v>0.7</v>
      </c>
      <c r="AF39" s="177">
        <f t="shared" si="23"/>
        <v>0.80070159729676227</v>
      </c>
      <c r="AG39" s="817">
        <f t="shared" si="24"/>
        <v>-1</v>
      </c>
      <c r="AH39" s="176">
        <f t="shared" si="16"/>
        <v>5</v>
      </c>
      <c r="AI39" s="225">
        <f t="shared" si="17"/>
        <v>-0.1992984027032377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44952</v>
      </c>
      <c r="B40" s="411">
        <f>'2022'!Wh/'2022'!Env_an*'2023'!Env_an</f>
        <v>15.646463295494623</v>
      </c>
      <c r="C40" s="846"/>
      <c r="D40" s="393">
        <f t="shared" si="0"/>
        <v>16.255340408601132</v>
      </c>
      <c r="E40" s="385">
        <f t="shared" si="1"/>
        <v>17.963810816990033</v>
      </c>
      <c r="F40" s="385">
        <f t="shared" si="2"/>
        <v>18.754153438721254</v>
      </c>
      <c r="G40" s="110">
        <f t="shared" si="21"/>
        <v>1.0094728002838942</v>
      </c>
      <c r="H40" s="414" t="b">
        <f>Wh_hp&gt;='2022'!Maxi_hp</f>
        <v>1</v>
      </c>
      <c r="I40" s="390">
        <f>IF(H40,Wh_hp,'2022'!Maxi_hp)</f>
        <v>18.754153438721254</v>
      </c>
      <c r="J40" s="85">
        <f>IF(H40,An,'2022'!An_max)</f>
        <v>2023</v>
      </c>
      <c r="K40" s="197">
        <f t="shared" si="3"/>
        <v>44952</v>
      </c>
      <c r="L40" s="147">
        <f>IF(t&lt;Tvie,1-EXP((T0-t)*PertePVj)+'2022'!Pspv,1-EXP((T0-t)*PertePVj)+Pspv)</f>
        <v>3.7457050901520073E-2</v>
      </c>
      <c r="M40" s="850"/>
      <c r="N40" s="850"/>
      <c r="O40" s="48">
        <f>IF(t&lt;Tnet,'2022'!Resal+('2022'!Salim-'2022'!Resal)*(1-EXP(('2022'!Tnet-t)/('2022'!Tau_j))),Resal+(Salim-Resal)*(1-EXP((Tnet-t)/(Tau_j))))*Salcycl</f>
        <v>9.5106234740183399E-2</v>
      </c>
      <c r="P40" s="169">
        <f>(INDEX(Models!$BJ40:$BT40,,T40)*(1-R40)+INDEX(Models!$BJ40:$BT40,,T40+1)*R40-ERP_i)*Q40*Ramure*Pc/MaxiM</f>
        <v>4.2142271274128458E-2</v>
      </c>
      <c r="Q40" s="305">
        <f t="shared" si="4"/>
        <v>0.7</v>
      </c>
      <c r="R40" s="177">
        <f t="shared" si="5"/>
        <v>0.80074837331384252</v>
      </c>
      <c r="S40" s="817">
        <f t="shared" si="6"/>
        <v>-1</v>
      </c>
      <c r="T40" s="176">
        <f t="shared" si="7"/>
        <v>5</v>
      </c>
      <c r="U40" s="251">
        <f t="shared" si="8"/>
        <v>-0.19925162668615751</v>
      </c>
      <c r="V40" s="383">
        <f t="shared" si="9"/>
        <v>15.499638317242788</v>
      </c>
      <c r="W40" s="402">
        <f t="shared" si="10"/>
        <v>15.646463295494623</v>
      </c>
      <c r="X40" s="157">
        <f t="shared" si="11"/>
        <v>44952</v>
      </c>
      <c r="Y40" s="385">
        <f t="shared" si="12"/>
        <v>14.990969893180877</v>
      </c>
      <c r="Z40" s="385">
        <f t="shared" si="22"/>
        <v>15.574338690259438</v>
      </c>
      <c r="AA40" s="386">
        <f t="shared" si="13"/>
        <v>17.963810816990033</v>
      </c>
      <c r="AB40" s="197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0.13301588126672162</v>
      </c>
      <c r="AD40" s="231">
        <f>(INDEX(Models!$BJ40:$BT40,,AH40)*(1-AF40)+INDEX(Models!$BJ40:$BT40,,AH40+1)*AF40-ERP_i)*AE40*Ramure*Pc/MaxiM</f>
        <v>4.2142271274128458E-2</v>
      </c>
      <c r="AE40" s="305">
        <f t="shared" si="15"/>
        <v>0.7</v>
      </c>
      <c r="AF40" s="177">
        <f t="shared" si="23"/>
        <v>0.80074837331384252</v>
      </c>
      <c r="AG40" s="817">
        <f t="shared" si="24"/>
        <v>-1</v>
      </c>
      <c r="AH40" s="176">
        <f t="shared" si="16"/>
        <v>5</v>
      </c>
      <c r="AI40" s="225">
        <f t="shared" si="17"/>
        <v>-0.19925162668615751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44953</v>
      </c>
      <c r="B41" s="411">
        <f>'2022'!Wh/'2022'!Env_an*'2023'!Env_an</f>
        <v>13.367689204748791</v>
      </c>
      <c r="C41" s="846"/>
      <c r="D41" s="393">
        <f t="shared" si="0"/>
        <v>13.888192740264785</v>
      </c>
      <c r="E41" s="385">
        <f t="shared" si="1"/>
        <v>15.349137957039432</v>
      </c>
      <c r="F41" s="385">
        <f t="shared" si="2"/>
        <v>15.870613973138957</v>
      </c>
      <c r="G41" s="110">
        <f t="shared" si="21"/>
        <v>0.8415809955820176</v>
      </c>
      <c r="H41" s="414" t="b">
        <f>Wh_hp&gt;='2022'!Maxi_hp</f>
        <v>0</v>
      </c>
      <c r="I41" s="390">
        <f>IF(H41,Wh_hp,'2022'!Maxi_hp)</f>
        <v>15.896017389858935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3.747813306240666E-2</v>
      </c>
      <c r="M41" s="850"/>
      <c r="N41" s="850"/>
      <c r="O41" s="48">
        <f>IF(t&lt;Tnet,'2022'!Resal+('2022'!Salim-'2022'!Resal)*(1-EXP(('2022'!Tnet-t)/('2022'!Tau_j))),Resal+(Salim-Resal)*(1-EXP((Tnet-t)/(Tau_j))))*Salcycl</f>
        <v>9.5180929434843464E-2</v>
      </c>
      <c r="P41" s="169">
        <f>(INDEX(Models!$BJ41:$BT41,,T41)*(1-R41)+INDEX(Models!$BJ41:$BT41,,T41+1)*R41-ERP_i)*Q41*Ramure*Pc/MaxiM</f>
        <v>4.1858309288539571E-2</v>
      </c>
      <c r="Q41" s="305">
        <f t="shared" si="4"/>
        <v>0.7</v>
      </c>
      <c r="R41" s="177">
        <f t="shared" si="5"/>
        <v>0.80079709613298156</v>
      </c>
      <c r="S41" s="817">
        <f t="shared" si="6"/>
        <v>-1</v>
      </c>
      <c r="T41" s="176">
        <f t="shared" si="7"/>
        <v>5</v>
      </c>
      <c r="U41" s="251">
        <f t="shared" si="8"/>
        <v>-0.19920290386701847</v>
      </c>
      <c r="V41" s="383">
        <f t="shared" si="9"/>
        <v>15.736201077550929</v>
      </c>
      <c r="W41" s="402">
        <f t="shared" si="10"/>
        <v>13.367689204748791</v>
      </c>
      <c r="X41" s="157">
        <f t="shared" si="11"/>
        <v>44953</v>
      </c>
      <c r="Y41" s="385">
        <f t="shared" si="12"/>
        <v>12.808385959854448</v>
      </c>
      <c r="Z41" s="385">
        <f t="shared" si="22"/>
        <v>13.307111661375794</v>
      </c>
      <c r="AA41" s="386">
        <f t="shared" si="13"/>
        <v>15.349137957039432</v>
      </c>
      <c r="AB41" s="197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0.13303850036262937</v>
      </c>
      <c r="AD41" s="231">
        <f>(INDEX(Models!$BJ41:$BT41,,AH41)*(1-AF41)+INDEX(Models!$BJ41:$BT41,,AH41+1)*AF41-ERP_i)*AE41*Ramure*Pc/MaxiM</f>
        <v>4.1858309288539571E-2</v>
      </c>
      <c r="AE41" s="305">
        <f t="shared" si="15"/>
        <v>0.7</v>
      </c>
      <c r="AF41" s="177">
        <f t="shared" si="23"/>
        <v>0.80079709613298156</v>
      </c>
      <c r="AG41" s="817">
        <f t="shared" si="24"/>
        <v>-1</v>
      </c>
      <c r="AH41" s="176">
        <f t="shared" si="16"/>
        <v>5</v>
      </c>
      <c r="AI41" s="225">
        <f t="shared" si="17"/>
        <v>-0.19920290386701847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44954</v>
      </c>
      <c r="B42" s="411">
        <f>'2022'!Wh/'2022'!Env_an*'2023'!Env_an</f>
        <v>2.5001276511448394</v>
      </c>
      <c r="C42" s="846"/>
      <c r="D42" s="393">
        <f t="shared" si="0"/>
        <v>2.5975331028176059</v>
      </c>
      <c r="E42" s="385">
        <f t="shared" si="1"/>
        <v>2.8710134119527764</v>
      </c>
      <c r="F42" s="385">
        <f t="shared" si="2"/>
        <v>2.8710134119527764</v>
      </c>
      <c r="G42" s="110">
        <f t="shared" si="21"/>
        <v>0.14997481786825828</v>
      </c>
      <c r="H42" s="414" t="b">
        <f>Wh_hp&gt;='2022'!Maxi_hp</f>
        <v>0</v>
      </c>
      <c r="I42" s="390">
        <f>IF(H42,Wh_hp,'2022'!Maxi_hp)</f>
        <v>11.238202055607671</v>
      </c>
      <c r="J42" s="85">
        <f>IF(H42,An,'2022'!An_max)</f>
        <v>2020</v>
      </c>
      <c r="K42" s="197">
        <f t="shared" si="3"/>
        <v>44954</v>
      </c>
      <c r="L42" s="147">
        <f>IF(t&lt;Tvie,1-EXP((T0-t)*PertePVj)+'2022'!Pspv,1-EXP((T0-t)*PertePVj)+Pspv)</f>
        <v>3.7499214761539834E-2</v>
      </c>
      <c r="M42" s="850"/>
      <c r="N42" s="850"/>
      <c r="O42" s="48">
        <f>IF(t&lt;Tnet,'2022'!Resal+('2022'!Salim-'2022'!Resal)*(1-EXP(('2022'!Tnet-t)/('2022'!Tau_j))),Resal+(Salim-Resal)*(1-EXP((Tnet-t)/(Tau_j))))*Salcycl</f>
        <v>9.5255671045144125E-2</v>
      </c>
      <c r="P42" s="169">
        <f>(INDEX(Models!$BJ42:$BT42,,T42)*(1-R42)+INDEX(Models!$BJ42:$BT42,,T42+1)*R42-ERP_i)*Q42*Ramure*Pc/MaxiM</f>
        <v>4.1569844294653296E-2</v>
      </c>
      <c r="Q42" s="305">
        <f t="shared" si="4"/>
        <v>0.7</v>
      </c>
      <c r="R42" s="177">
        <f t="shared" si="5"/>
        <v>0.80084784610295301</v>
      </c>
      <c r="S42" s="817">
        <f t="shared" si="6"/>
        <v>-1</v>
      </c>
      <c r="T42" s="176">
        <f t="shared" si="7"/>
        <v>5</v>
      </c>
      <c r="U42" s="251">
        <f t="shared" si="8"/>
        <v>-0.19915215389704696</v>
      </c>
      <c r="V42" s="383">
        <f t="shared" si="9"/>
        <v>15.977333848638995</v>
      </c>
      <c r="W42" s="402">
        <f t="shared" si="10"/>
        <v>2.5001276511448394</v>
      </c>
      <c r="X42" s="157">
        <f t="shared" si="11"/>
        <v>44954</v>
      </c>
      <c r="Y42" s="385">
        <f t="shared" si="12"/>
        <v>2.3956573722007262</v>
      </c>
      <c r="Z42" s="385">
        <f t="shared" si="22"/>
        <v>2.4889926418160799</v>
      </c>
      <c r="AA42" s="386">
        <f t="shared" si="13"/>
        <v>2.8710134119527764</v>
      </c>
      <c r="AB42" s="197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0.13306129764014496</v>
      </c>
      <c r="AD42" s="231">
        <f>(INDEX(Models!$BJ42:$BT42,,AH42)*(1-AF42)+INDEX(Models!$BJ42:$BT42,,AH42+1)*AF42-ERP_i)*AE42*Ramure*Pc/MaxiM</f>
        <v>4.1569844294653296E-2</v>
      </c>
      <c r="AE42" s="305">
        <f t="shared" si="15"/>
        <v>0.7</v>
      </c>
      <c r="AF42" s="177">
        <f t="shared" si="23"/>
        <v>0.80084784610295301</v>
      </c>
      <c r="AG42" s="817">
        <f t="shared" si="24"/>
        <v>-1</v>
      </c>
      <c r="AH42" s="176">
        <f t="shared" si="16"/>
        <v>5</v>
      </c>
      <c r="AI42" s="225">
        <f t="shared" si="17"/>
        <v>-0.19915215389704696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44955</v>
      </c>
      <c r="B43" s="411">
        <f>'2022'!Wh/'2022'!Env_an*'2023'!Env_an</f>
        <v>4.2736746705151862</v>
      </c>
      <c r="C43" s="846"/>
      <c r="D43" s="393">
        <f t="shared" si="0"/>
        <v>4.440275106840522</v>
      </c>
      <c r="E43" s="385">
        <f t="shared" si="1"/>
        <v>4.90817354827462</v>
      </c>
      <c r="F43" s="385">
        <f t="shared" si="2"/>
        <v>4.90817354827462</v>
      </c>
      <c r="G43" s="110">
        <f t="shared" si="21"/>
        <v>0.25256705929250023</v>
      </c>
      <c r="H43" s="414" t="b">
        <f>Wh_hp&gt;='2022'!Maxi_hp</f>
        <v>0</v>
      </c>
      <c r="I43" s="390">
        <f>IF(H43,Wh_hp,'2022'!Maxi_hp)</f>
        <v>14.430567184560136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3.7520295998929698E-2</v>
      </c>
      <c r="M43" s="850"/>
      <c r="N43" s="850"/>
      <c r="O43" s="48">
        <f>IF(t&lt;Tnet,'2022'!Resal+('2022'!Salim-'2022'!Resal)*(1-EXP(('2022'!Tnet-t)/('2022'!Tau_j))),Resal+(Salim-Resal)*(1-EXP((Tnet-t)/(Tau_j))))*Salcycl</f>
        <v>9.5330459860894501E-2</v>
      </c>
      <c r="P43" s="169">
        <f>(INDEX(Models!$BJ43:$BT43,,T43)*(1-R43)+INDEX(Models!$BJ43:$BT43,,T43+1)*R43-ERP_i)*Q43*Ramure*Pc/MaxiM</f>
        <v>4.1278720771746602E-2</v>
      </c>
      <c r="Q43" s="305">
        <f t="shared" si="4"/>
        <v>0.7</v>
      </c>
      <c r="R43" s="177">
        <f t="shared" si="5"/>
        <v>0.80090070683102343</v>
      </c>
      <c r="S43" s="817">
        <f t="shared" si="6"/>
        <v>-1</v>
      </c>
      <c r="T43" s="176">
        <f t="shared" si="7"/>
        <v>5</v>
      </c>
      <c r="U43" s="251">
        <f t="shared" si="8"/>
        <v>-0.19909929316897662</v>
      </c>
      <c r="V43" s="383">
        <f t="shared" si="9"/>
        <v>16.222475165997899</v>
      </c>
      <c r="W43" s="402">
        <f t="shared" si="10"/>
        <v>4.2736746705151862</v>
      </c>
      <c r="X43" s="157">
        <f t="shared" si="11"/>
        <v>44955</v>
      </c>
      <c r="Y43" s="385">
        <f t="shared" si="12"/>
        <v>4.095324999599864</v>
      </c>
      <c r="Z43" s="385">
        <f t="shared" si="22"/>
        <v>4.2549728400250091</v>
      </c>
      <c r="AA43" s="386">
        <f t="shared" si="13"/>
        <v>4.90817354827462</v>
      </c>
      <c r="AB43" s="197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0.13308427296325578</v>
      </c>
      <c r="AD43" s="231">
        <f>(INDEX(Models!$BJ43:$BT43,,AH43)*(1-AF43)+INDEX(Models!$BJ43:$BT43,,AH43+1)*AF43-ERP_i)*AE43*Ramure*Pc/MaxiM</f>
        <v>4.1278720771746602E-2</v>
      </c>
      <c r="AE43" s="305">
        <f t="shared" si="15"/>
        <v>0.7</v>
      </c>
      <c r="AF43" s="177">
        <f t="shared" si="23"/>
        <v>0.80090070683102343</v>
      </c>
      <c r="AG43" s="817">
        <f t="shared" si="24"/>
        <v>-1</v>
      </c>
      <c r="AH43" s="176">
        <f t="shared" si="16"/>
        <v>5</v>
      </c>
      <c r="AI43" s="225">
        <f t="shared" si="17"/>
        <v>-0.19909929316897662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44956</v>
      </c>
      <c r="B44" s="411">
        <f>'2022'!Wh/'2022'!Env_an*'2023'!Env_an</f>
        <v>2.7725701007472781</v>
      </c>
      <c r="C44" s="846"/>
      <c r="D44" s="393">
        <f t="shared" si="0"/>
        <v>2.8807161511585577</v>
      </c>
      <c r="E44" s="385">
        <f t="shared" si="1"/>
        <v>3.184537932615044</v>
      </c>
      <c r="F44" s="385">
        <f t="shared" si="2"/>
        <v>3.184537932615044</v>
      </c>
      <c r="G44" s="110">
        <f t="shared" si="21"/>
        <v>0.16143048153359577</v>
      </c>
      <c r="H44" s="414" t="b">
        <f>Wh_hp&gt;='2022'!Maxi_hp</f>
        <v>0</v>
      </c>
      <c r="I44" s="390">
        <f>IF(H44,Wh_hp,'2022'!Maxi_hp)</f>
        <v>7.5125643185257411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3.7541376774586355E-2</v>
      </c>
      <c r="M44" s="850"/>
      <c r="N44" s="850"/>
      <c r="O44" s="48">
        <f>IF(t&lt;Tnet,'2022'!Resal+('2022'!Salim-'2022'!Resal)*(1-EXP(('2022'!Tnet-t)/('2022'!Tau_j))),Resal+(Salim-Resal)*(1-EXP((Tnet-t)/(Tau_j))))*Salcycl</f>
        <v>9.5405295174800203E-2</v>
      </c>
      <c r="P44" s="169">
        <f>(INDEX(Models!$BJ44:$BT44,,T44)*(1-R44)+INDEX(Models!$BJ44:$BT44,,T44+1)*R44-ERP_i)*Q44*Ramure*Pc/MaxiM</f>
        <v>4.0937607831939435E-2</v>
      </c>
      <c r="Q44" s="305">
        <f t="shared" si="4"/>
        <v>0.7</v>
      </c>
      <c r="R44" s="177">
        <f t="shared" si="5"/>
        <v>0.80095576531017176</v>
      </c>
      <c r="S44" s="817">
        <f t="shared" si="6"/>
        <v>-1</v>
      </c>
      <c r="T44" s="176">
        <f t="shared" si="7"/>
        <v>5</v>
      </c>
      <c r="U44" s="251">
        <f t="shared" si="8"/>
        <v>-0.19904423468982824</v>
      </c>
      <c r="V44" s="383">
        <f t="shared" si="9"/>
        <v>16.4719059747272</v>
      </c>
      <c r="W44" s="402">
        <f t="shared" si="10"/>
        <v>2.7725701007472781</v>
      </c>
      <c r="X44" s="157">
        <f t="shared" si="11"/>
        <v>44956</v>
      </c>
      <c r="Y44" s="385">
        <f t="shared" si="12"/>
        <v>2.6570136014724479</v>
      </c>
      <c r="Z44" s="385">
        <f t="shared" si="22"/>
        <v>2.760652289205122</v>
      </c>
      <c r="AA44" s="386">
        <f t="shared" si="13"/>
        <v>3.184537932615044</v>
      </c>
      <c r="AB44" s="197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0.13310742480678833</v>
      </c>
      <c r="AD44" s="231">
        <f>(INDEX(Models!$BJ44:$BT44,,AH44)*(1-AF44)+INDEX(Models!$BJ44:$BT44,,AH44+1)*AF44-ERP_i)*AE44*Ramure*Pc/MaxiM</f>
        <v>4.0937607831939435E-2</v>
      </c>
      <c r="AE44" s="305">
        <f t="shared" si="15"/>
        <v>0.7</v>
      </c>
      <c r="AF44" s="177">
        <f t="shared" si="23"/>
        <v>0.80095576531017176</v>
      </c>
      <c r="AG44" s="817">
        <f t="shared" si="24"/>
        <v>-1</v>
      </c>
      <c r="AH44" s="176">
        <f t="shared" si="16"/>
        <v>5</v>
      </c>
      <c r="AI44" s="225">
        <f t="shared" si="17"/>
        <v>-0.19904423468982824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44957</v>
      </c>
      <c r="B45" s="411">
        <f>'2022'!Wh/'2022'!Env_an*'2023'!Env_an</f>
        <v>6.5078021145962079</v>
      </c>
      <c r="C45" s="846"/>
      <c r="D45" s="393">
        <f t="shared" si="0"/>
        <v>6.7617916222484276</v>
      </c>
      <c r="E45" s="385">
        <f t="shared" si="1"/>
        <v>7.4755593379228227</v>
      </c>
      <c r="F45" s="385">
        <f t="shared" si="2"/>
        <v>7.5143449178735331</v>
      </c>
      <c r="G45" s="110">
        <f t="shared" si="21"/>
        <v>0.37526338098002343</v>
      </c>
      <c r="H45" s="414" t="b">
        <f>Wh_hp&gt;='2022'!Maxi_hp</f>
        <v>0</v>
      </c>
      <c r="I45" s="390">
        <f>IF(H45,Wh_hp,'2022'!Maxi_hp)</f>
        <v>13.77882589725804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3.7562457088519907E-2</v>
      </c>
      <c r="M45" s="850"/>
      <c r="N45" s="850"/>
      <c r="O45" s="48">
        <f>IF(t&lt;Tnet,'2022'!Resal+('2022'!Salim-'2022'!Resal)*(1-EXP(('2022'!Tnet-t)/('2022'!Tau_j))),Resal+(Salim-Resal)*(1-EXP((Tnet-t)/(Tau_j))))*Salcycl</f>
        <v>9.5480175249698998E-2</v>
      </c>
      <c r="P45" s="169">
        <f>(INDEX(Models!$BJ45:$BT45,,T45)*(1-R45)+INDEX(Models!$BJ45:$BT45,,T45+1)*R45-ERP_i)*Q45*Ramure*Pc/MaxiM</f>
        <v>4.0548899394029593E-2</v>
      </c>
      <c r="Q45" s="305">
        <f t="shared" si="4"/>
        <v>0.7</v>
      </c>
      <c r="R45" s="177">
        <f t="shared" si="5"/>
        <v>0.8010131120508539</v>
      </c>
      <c r="S45" s="817">
        <f t="shared" si="6"/>
        <v>-1</v>
      </c>
      <c r="T45" s="176">
        <f t="shared" si="7"/>
        <v>5</v>
      </c>
      <c r="U45" s="251">
        <f t="shared" si="8"/>
        <v>-0.19898688794914607</v>
      </c>
      <c r="V45" s="383">
        <f t="shared" si="9"/>
        <v>16.725088702648076</v>
      </c>
      <c r="W45" s="402">
        <f t="shared" si="10"/>
        <v>6.5078021145962079</v>
      </c>
      <c r="X45" s="157">
        <f t="shared" si="11"/>
        <v>44957</v>
      </c>
      <c r="Y45" s="385">
        <f t="shared" si="12"/>
        <v>6.236915302975194</v>
      </c>
      <c r="Z45" s="385">
        <f t="shared" si="22"/>
        <v>6.4803325149888016</v>
      </c>
      <c r="AA45" s="386">
        <f t="shared" si="13"/>
        <v>7.4755593379228227</v>
      </c>
      <c r="AB45" s="197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0.13313075021494752</v>
      </c>
      <c r="AD45" s="231">
        <f>(INDEX(Models!$BJ45:$BT45,,AH45)*(1-AF45)+INDEX(Models!$BJ45:$BT45,,AH45+1)*AF45-ERP_i)*AE45*Ramure*Pc/MaxiM</f>
        <v>4.0548899394029593E-2</v>
      </c>
      <c r="AE45" s="305">
        <f t="shared" si="15"/>
        <v>0.7</v>
      </c>
      <c r="AF45" s="177">
        <f t="shared" si="23"/>
        <v>0.8010131120508539</v>
      </c>
      <c r="AG45" s="817">
        <f t="shared" si="24"/>
        <v>-1</v>
      </c>
      <c r="AH45" s="176">
        <f t="shared" si="16"/>
        <v>5</v>
      </c>
      <c r="AI45" s="225">
        <f t="shared" si="17"/>
        <v>-0.19898688794914607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44958</v>
      </c>
      <c r="B46" s="411">
        <f>'2022'!Wh/'2022'!Env_an*'2023'!Env_an</f>
        <v>8.1077457297092632</v>
      </c>
      <c r="C46" s="846"/>
      <c r="D46" s="393">
        <f t="shared" si="0"/>
        <v>8.4243630911476206</v>
      </c>
      <c r="E46" s="385">
        <f t="shared" si="1"/>
        <v>9.3144016468400874</v>
      </c>
      <c r="F46" s="385">
        <f t="shared" si="2"/>
        <v>9.410095475722315</v>
      </c>
      <c r="G46" s="110">
        <f t="shared" si="21"/>
        <v>0.46300189555489224</v>
      </c>
      <c r="H46" s="414" t="b">
        <f>Wh_hp&gt;='2022'!Maxi_hp</f>
        <v>0</v>
      </c>
      <c r="I46" s="390">
        <f>IF(H46,Wh_hp,'2022'!Maxi_hp)</f>
        <v>16.408521217221892</v>
      </c>
      <c r="J46" s="85">
        <f>IF(H46,An,'2022'!An_max)</f>
        <v>2019</v>
      </c>
      <c r="K46" s="197">
        <f t="shared" si="3"/>
        <v>44958</v>
      </c>
      <c r="L46" s="147">
        <f>IF(t&lt;Tvie,1-EXP((T0-t)*PertePVj)+'2022'!Pspv,1-EXP((T0-t)*PertePVj)+Pspv)</f>
        <v>3.7583536940740569E-2</v>
      </c>
      <c r="M46" s="850"/>
      <c r="N46" s="850"/>
      <c r="O46" s="48">
        <f>IF(t&lt;Tnet,'2022'!Resal+('2022'!Salim-'2022'!Resal)*(1-EXP(('2022'!Tnet-t)/('2022'!Tau_j))),Resal+(Salim-Resal)*(1-EXP((Tnet-t)/(Tau_j))))*Salcycl</f>
        <v>9.5555097304013306E-2</v>
      </c>
      <c r="P46" s="169">
        <f>(INDEX(Models!$BJ46:$BT46,,T46)*(1-R46)+INDEX(Models!$BJ46:$BT46,,T46+1)*R46-ERP_i)*Q46*Ramure*Pc/MaxiM</f>
        <v>4.0116187046095375E-2</v>
      </c>
      <c r="Q46" s="305">
        <f t="shared" si="4"/>
        <v>0.7</v>
      </c>
      <c r="R46" s="177">
        <f t="shared" si="5"/>
        <v>0.80107284121743361</v>
      </c>
      <c r="S46" s="817">
        <f t="shared" si="6"/>
        <v>-1</v>
      </c>
      <c r="T46" s="176">
        <f t="shared" si="7"/>
        <v>5</v>
      </c>
      <c r="U46" s="251">
        <f t="shared" si="8"/>
        <v>-0.19892715878256642</v>
      </c>
      <c r="V46" s="383">
        <f t="shared" si="9"/>
        <v>16.981462394270981</v>
      </c>
      <c r="W46" s="402">
        <f t="shared" si="10"/>
        <v>8.1077457297092632</v>
      </c>
      <c r="X46" s="157">
        <f t="shared" si="11"/>
        <v>44958</v>
      </c>
      <c r="Y46" s="385">
        <f t="shared" si="12"/>
        <v>7.7706944328043823</v>
      </c>
      <c r="Z46" s="385">
        <f t="shared" si="22"/>
        <v>8.0741495299274746</v>
      </c>
      <c r="AA46" s="386">
        <f t="shared" si="13"/>
        <v>9.3144016468400874</v>
      </c>
      <c r="AB46" s="197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0.13315424478537149</v>
      </c>
      <c r="AD46" s="231">
        <f>(INDEX(Models!$BJ46:$BT46,,AH46)*(1-AF46)+INDEX(Models!$BJ46:$BT46,,AH46+1)*AF46-ERP_i)*AE46*Ramure*Pc/MaxiM</f>
        <v>4.0116187046095375E-2</v>
      </c>
      <c r="AE46" s="305">
        <f t="shared" si="15"/>
        <v>0.7</v>
      </c>
      <c r="AF46" s="177">
        <f t="shared" si="23"/>
        <v>0.80107284121743361</v>
      </c>
      <c r="AG46" s="817">
        <f t="shared" si="24"/>
        <v>-1</v>
      </c>
      <c r="AH46" s="176">
        <f t="shared" si="16"/>
        <v>5</v>
      </c>
      <c r="AI46" s="225">
        <f t="shared" si="17"/>
        <v>-0.19892715878256642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44959</v>
      </c>
      <c r="B47" s="411">
        <f>'2022'!Wh/'2022'!Env_an*'2023'!Env_an</f>
        <v>3.5716426323438015</v>
      </c>
      <c r="C47" s="846"/>
      <c r="D47" s="393">
        <f t="shared" si="0"/>
        <v>3.7112009190322217</v>
      </c>
      <c r="E47" s="385">
        <f t="shared" si="1"/>
        <v>4.1036314285674518</v>
      </c>
      <c r="F47" s="385">
        <f t="shared" si="2"/>
        <v>4.1036314285674518</v>
      </c>
      <c r="G47" s="110">
        <f t="shared" si="21"/>
        <v>0.19895358467692978</v>
      </c>
      <c r="H47" s="414" t="b">
        <f>Wh_hp&gt;='2022'!Maxi_hp</f>
        <v>0</v>
      </c>
      <c r="I47" s="390">
        <f>IF(H47,Wh_hp,'2022'!Maxi_hp)</f>
        <v>18.666071177776274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3.7604616331258334E-2</v>
      </c>
      <c r="M47" s="850"/>
      <c r="N47" s="850"/>
      <c r="O47" s="48">
        <f>IF(t&lt;Tnet,'2022'!Resal+('2022'!Salim-'2022'!Resal)*(1-EXP(('2022'!Tnet-t)/('2022'!Tau_j))),Resal+(Salim-Resal)*(1-EXP((Tnet-t)/(Tau_j))))*Salcycl</f>
        <v>9.5630057515234651E-2</v>
      </c>
      <c r="P47" s="169">
        <f>(INDEX(Models!$BJ47:$BT47,,T47)*(1-R47)+INDEX(Models!$BJ47:$BT47,,T47+1)*R47-ERP_i)*Q47*Ramure*Pc/MaxiM</f>
        <v>3.9642838272973761E-2</v>
      </c>
      <c r="Q47" s="305">
        <f t="shared" si="4"/>
        <v>0.7</v>
      </c>
      <c r="R47" s="177">
        <f t="shared" si="5"/>
        <v>0.80113505076940728</v>
      </c>
      <c r="S47" s="817">
        <f t="shared" si="6"/>
        <v>-1</v>
      </c>
      <c r="T47" s="176">
        <f t="shared" si="7"/>
        <v>5</v>
      </c>
      <c r="U47" s="251">
        <f t="shared" si="8"/>
        <v>-0.19886494923059272</v>
      </c>
      <c r="V47" s="383">
        <f t="shared" si="9"/>
        <v>17.240466346312978</v>
      </c>
      <c r="W47" s="402">
        <f t="shared" si="10"/>
        <v>3.5716426323438015</v>
      </c>
      <c r="X47" s="157">
        <f t="shared" si="11"/>
        <v>44959</v>
      </c>
      <c r="Y47" s="385">
        <f t="shared" si="12"/>
        <v>3.4233543288109525</v>
      </c>
      <c r="Z47" s="385">
        <f t="shared" si="22"/>
        <v>3.5571184015459467</v>
      </c>
      <c r="AA47" s="386">
        <f t="shared" si="13"/>
        <v>4.1036314285674518</v>
      </c>
      <c r="AB47" s="197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0.13317790267833302</v>
      </c>
      <c r="AD47" s="231">
        <f>(INDEX(Models!$BJ47:$BT47,,AH47)*(1-AF47)+INDEX(Models!$BJ47:$BT47,,AH47+1)*AF47-ERP_i)*AE47*Ramure*Pc/MaxiM</f>
        <v>3.9642838272973761E-2</v>
      </c>
      <c r="AE47" s="305">
        <f t="shared" si="15"/>
        <v>0.7</v>
      </c>
      <c r="AF47" s="177">
        <f t="shared" si="23"/>
        <v>0.80113505076940728</v>
      </c>
      <c r="AG47" s="817">
        <f t="shared" si="24"/>
        <v>-1</v>
      </c>
      <c r="AH47" s="176">
        <f t="shared" si="16"/>
        <v>5</v>
      </c>
      <c r="AI47" s="225">
        <f t="shared" si="17"/>
        <v>-0.19886494923059272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44960</v>
      </c>
      <c r="B48" s="411">
        <f>'2022'!Wh/'2022'!Env_an*'2023'!Env_an</f>
        <v>7.6190243366886463</v>
      </c>
      <c r="C48" s="846"/>
      <c r="D48" s="393">
        <f t="shared" si="0"/>
        <v>7.9169033287393313</v>
      </c>
      <c r="E48" s="385">
        <f t="shared" si="1"/>
        <v>8.7547799950156335</v>
      </c>
      <c r="F48" s="385">
        <f t="shared" si="2"/>
        <v>8.8215199510133928</v>
      </c>
      <c r="G48" s="110">
        <f t="shared" si="21"/>
        <v>0.42148780055381541</v>
      </c>
      <c r="H48" s="414" t="b">
        <f>Wh_hp&gt;='2022'!Maxi_hp</f>
        <v>0</v>
      </c>
      <c r="I48" s="390">
        <f>IF(H48,Wh_hp,'2022'!Maxi_hp)</f>
        <v>16.889504299779531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3.7625695260083303E-2</v>
      </c>
      <c r="M48" s="850"/>
      <c r="N48" s="850"/>
      <c r="O48" s="48">
        <f>IF(t&lt;Tnet,'2022'!Resal+('2022'!Salim-'2022'!Resal)*(1-EXP(('2022'!Tnet-t)/('2022'!Tau_j))),Resal+(Salim-Resal)*(1-EXP((Tnet-t)/(Tau_j))))*Salcycl</f>
        <v>9.5705051041069231E-2</v>
      </c>
      <c r="P48" s="169">
        <f>(INDEX(Models!$BJ48:$BT48,,T48)*(1-R48)+INDEX(Models!$BJ48:$BT48,,T48+1)*R48-ERP_i)*Q48*Ramure*Pc/MaxiM</f>
        <v>3.9131995147445836E-2</v>
      </c>
      <c r="Q48" s="305">
        <f t="shared" si="4"/>
        <v>0.7</v>
      </c>
      <c r="R48" s="177">
        <f t="shared" si="5"/>
        <v>0.80119984260754629</v>
      </c>
      <c r="S48" s="817">
        <f t="shared" si="6"/>
        <v>-1</v>
      </c>
      <c r="T48" s="176">
        <f t="shared" si="7"/>
        <v>5</v>
      </c>
      <c r="U48" s="251">
        <f t="shared" si="8"/>
        <v>-0.19880015739245374</v>
      </c>
      <c r="V48" s="383">
        <f t="shared" si="9"/>
        <v>17.501540123878637</v>
      </c>
      <c r="W48" s="402">
        <f t="shared" si="10"/>
        <v>7.6190243366886463</v>
      </c>
      <c r="X48" s="157">
        <f t="shared" si="11"/>
        <v>44960</v>
      </c>
      <c r="Y48" s="385">
        <f t="shared" si="12"/>
        <v>7.3031008560238782</v>
      </c>
      <c r="Z48" s="385">
        <f t="shared" si="22"/>
        <v>7.5886282707823893</v>
      </c>
      <c r="AA48" s="386">
        <f t="shared" si="13"/>
        <v>8.7547799950156335</v>
      </c>
      <c r="AB48" s="197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0.13320171665046648</v>
      </c>
      <c r="AD48" s="231">
        <f>(INDEX(Models!$BJ48:$BT48,,AH48)*(1-AF48)+INDEX(Models!$BJ48:$BT48,,AH48+1)*AF48-ERP_i)*AE48*Ramure*Pc/MaxiM</f>
        <v>3.9131995147445836E-2</v>
      </c>
      <c r="AE48" s="305">
        <f t="shared" si="15"/>
        <v>0.7</v>
      </c>
      <c r="AF48" s="177">
        <f t="shared" si="23"/>
        <v>0.80119984260754629</v>
      </c>
      <c r="AG48" s="817">
        <f t="shared" si="24"/>
        <v>-1</v>
      </c>
      <c r="AH48" s="176">
        <f t="shared" si="16"/>
        <v>5</v>
      </c>
      <c r="AI48" s="225">
        <f t="shared" si="17"/>
        <v>-0.19880015739245374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44961</v>
      </c>
      <c r="B49" s="411">
        <f>'2022'!Wh/'2022'!Env_an*'2023'!Env_an</f>
        <v>7.3931140792500285</v>
      </c>
      <c r="C49" s="846"/>
      <c r="D49" s="393">
        <f t="shared" si="0"/>
        <v>7.6823289800604728</v>
      </c>
      <c r="E49" s="385">
        <f t="shared" si="1"/>
        <v>8.4960845726358265</v>
      </c>
      <c r="F49" s="385">
        <f t="shared" si="2"/>
        <v>8.5508475927599932</v>
      </c>
      <c r="G49" s="110">
        <f t="shared" si="21"/>
        <v>0.40270233063972721</v>
      </c>
      <c r="H49" s="414" t="b">
        <f>Wh_hp&gt;='2022'!Maxi_hp</f>
        <v>0</v>
      </c>
      <c r="I49" s="390">
        <f>IF(H49,Wh_hp,'2022'!Maxi_hp)</f>
        <v>17.966121132529384</v>
      </c>
      <c r="J49" s="85">
        <f>IF(H49,An,'2022'!An_max)</f>
        <v>2019</v>
      </c>
      <c r="K49" s="197">
        <f t="shared" si="3"/>
        <v>44961</v>
      </c>
      <c r="L49" s="147">
        <f>IF(t&lt;Tvie,1-EXP((T0-t)*PertePVj)+'2022'!Pspv,1-EXP((T0-t)*PertePVj)+Pspv)</f>
        <v>3.764677372722558E-2</v>
      </c>
      <c r="M49" s="850"/>
      <c r="N49" s="850"/>
      <c r="O49" s="48">
        <f>IF(t&lt;Tnet,'2022'!Resal+('2022'!Salim-'2022'!Resal)*(1-EXP(('2022'!Tnet-t)/('2022'!Tau_j))),Resal+(Salim-Resal)*(1-EXP((Tnet-t)/(Tau_j))))*Salcycl</f>
        <v>9.5780072057697799E-2</v>
      </c>
      <c r="P49" s="169">
        <f>(INDEX(Models!$BJ49:$BT49,,T49)*(1-R49)+INDEX(Models!$BJ49:$BT49,,T49+1)*R49-ERP_i)*Q49*Ramure*Pc/MaxiM</f>
        <v>3.8586575520561939E-2</v>
      </c>
      <c r="Q49" s="305">
        <f t="shared" si="4"/>
        <v>0.7</v>
      </c>
      <c r="R49" s="177">
        <f t="shared" si="5"/>
        <v>0.80126732272507928</v>
      </c>
      <c r="S49" s="817">
        <f t="shared" si="6"/>
        <v>-1</v>
      </c>
      <c r="T49" s="176">
        <f t="shared" si="7"/>
        <v>5</v>
      </c>
      <c r="U49" s="251">
        <f t="shared" si="8"/>
        <v>-0.19873267727492067</v>
      </c>
      <c r="V49" s="383">
        <f t="shared" si="9"/>
        <v>17.764123567350371</v>
      </c>
      <c r="W49" s="402">
        <f t="shared" si="10"/>
        <v>7.3931140792500285</v>
      </c>
      <c r="X49" s="157">
        <f t="shared" si="11"/>
        <v>44961</v>
      </c>
      <c r="Y49" s="385">
        <f t="shared" si="12"/>
        <v>7.0869500269300856</v>
      </c>
      <c r="Z49" s="385">
        <f t="shared" si="22"/>
        <v>7.3641879441481954</v>
      </c>
      <c r="AA49" s="386">
        <f t="shared" si="13"/>
        <v>8.4960845726358265</v>
      </c>
      <c r="AB49" s="197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0.13322567811215555</v>
      </c>
      <c r="AD49" s="231">
        <f>(INDEX(Models!$BJ49:$BT49,,AH49)*(1-AF49)+INDEX(Models!$BJ49:$BT49,,AH49+1)*AF49-ERP_i)*AE49*Ramure*Pc/MaxiM</f>
        <v>3.8586575520561939E-2</v>
      </c>
      <c r="AE49" s="305">
        <f t="shared" si="15"/>
        <v>0.7</v>
      </c>
      <c r="AF49" s="177">
        <f t="shared" si="23"/>
        <v>0.80126732272507928</v>
      </c>
      <c r="AG49" s="817">
        <f t="shared" si="24"/>
        <v>-1</v>
      </c>
      <c r="AH49" s="176">
        <f t="shared" si="16"/>
        <v>5</v>
      </c>
      <c r="AI49" s="225">
        <f t="shared" si="17"/>
        <v>-0.19873267727492067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44962</v>
      </c>
      <c r="B50" s="411">
        <f>'2022'!Wh/'2022'!Env_an*'2023'!Env_an</f>
        <v>6.861784292722569</v>
      </c>
      <c r="C50" s="846"/>
      <c r="D50" s="393">
        <f t="shared" si="0"/>
        <v>7.1303700131782239</v>
      </c>
      <c r="E50" s="385">
        <f t="shared" si="1"/>
        <v>7.8863134903743761</v>
      </c>
      <c r="F50" s="385">
        <f t="shared" si="2"/>
        <v>7.9209906090112243</v>
      </c>
      <c r="G50" s="110">
        <f t="shared" si="21"/>
        <v>0.36776815902992804</v>
      </c>
      <c r="H50" s="414" t="b">
        <f>Wh_hp&gt;='2022'!Maxi_hp</f>
        <v>0</v>
      </c>
      <c r="I50" s="390">
        <f>IF(H50,Wh_hp,'2022'!Maxi_hp)</f>
        <v>21.61065608350567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3.766785173269549E-2</v>
      </c>
      <c r="M50" s="850"/>
      <c r="N50" s="850"/>
      <c r="O50" s="48">
        <f>IF(t&lt;Tnet,'2022'!Resal+('2022'!Salim-'2022'!Resal)*(1-EXP(('2022'!Tnet-t)/('2022'!Tau_j))),Resal+(Salim-Resal)*(1-EXP((Tnet-t)/(Tau_j))))*Salcycl</f>
        <v>9.5855113814435275E-2</v>
      </c>
      <c r="P50" s="169">
        <f>(INDEX(Models!$BJ50:$BT50,,T50)*(1-R50)+INDEX(Models!$BJ50:$BT50,,T50+1)*R50-ERP_i)*Q50*Ramure*Pc/MaxiM</f>
        <v>3.8009276214096464E-2</v>
      </c>
      <c r="Q50" s="305">
        <f t="shared" si="4"/>
        <v>0.7</v>
      </c>
      <c r="R50" s="177">
        <f t="shared" si="5"/>
        <v>0.80133760136403831</v>
      </c>
      <c r="S50" s="817">
        <f t="shared" si="6"/>
        <v>-1</v>
      </c>
      <c r="T50" s="176">
        <f t="shared" si="7"/>
        <v>5</v>
      </c>
      <c r="U50" s="251">
        <f t="shared" si="8"/>
        <v>-0.19866239863596166</v>
      </c>
      <c r="V50" s="383">
        <f t="shared" si="9"/>
        <v>18.027656795527992</v>
      </c>
      <c r="W50" s="402">
        <f t="shared" si="10"/>
        <v>6.861784292722569</v>
      </c>
      <c r="X50" s="157">
        <f t="shared" si="11"/>
        <v>44962</v>
      </c>
      <c r="Y50" s="385">
        <f t="shared" si="12"/>
        <v>6.5779867312668658</v>
      </c>
      <c r="Z50" s="385">
        <f t="shared" si="22"/>
        <v>6.8354639747935719</v>
      </c>
      <c r="AA50" s="386">
        <f t="shared" si="13"/>
        <v>7.8863134903743761</v>
      </c>
      <c r="AB50" s="197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0.13324977720748948</v>
      </c>
      <c r="AD50" s="231">
        <f>(INDEX(Models!$BJ50:$BT50,,AH50)*(1-AF50)+INDEX(Models!$BJ50:$BT50,,AH50+1)*AF50-ERP_i)*AE50*Ramure*Pc/MaxiM</f>
        <v>3.8009276214096464E-2</v>
      </c>
      <c r="AE50" s="305">
        <f t="shared" si="15"/>
        <v>0.7</v>
      </c>
      <c r="AF50" s="177">
        <f t="shared" si="23"/>
        <v>0.80133760136403831</v>
      </c>
      <c r="AG50" s="817">
        <f t="shared" si="24"/>
        <v>-1</v>
      </c>
      <c r="AH50" s="176">
        <f t="shared" si="16"/>
        <v>5</v>
      </c>
      <c r="AI50" s="225">
        <f t="shared" si="17"/>
        <v>-0.19866239863596166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44963</v>
      </c>
      <c r="B51" s="411">
        <f>'2022'!Wh/'2022'!Env_an*'2023'!Env_an</f>
        <v>14.065478451459807</v>
      </c>
      <c r="C51" s="846"/>
      <c r="D51" s="393">
        <f t="shared" si="0"/>
        <v>14.616353151673623</v>
      </c>
      <c r="E51" s="385">
        <f t="shared" si="1"/>
        <v>16.167283373143306</v>
      </c>
      <c r="F51" s="385">
        <f t="shared" si="2"/>
        <v>16.582637553478115</v>
      </c>
      <c r="G51" s="110">
        <f t="shared" si="21"/>
        <v>0.75910235664550796</v>
      </c>
      <c r="H51" s="414" t="b">
        <f>Wh_hp&gt;='2022'!Maxi_hp</f>
        <v>0</v>
      </c>
      <c r="I51" s="390">
        <f>IF(H51,Wh_hp,'2022'!Maxi_hp)</f>
        <v>22.282786270723793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3.7688929276502803E-2</v>
      </c>
      <c r="M51" s="850"/>
      <c r="N51" s="850"/>
      <c r="O51" s="48">
        <f>IF(t&lt;Tnet,'2022'!Resal+('2022'!Salim-'2022'!Resal)*(1-EXP(('2022'!Tnet-t)/('2022'!Tau_j))),Resal+(Salim-Resal)*(1-EXP((Tnet-t)/(Tau_j))))*Salcycl</f>
        <v>9.5930168703917879E-2</v>
      </c>
      <c r="P51" s="169">
        <f>(INDEX(Models!$BJ51:$BT51,,T51)*(1-R51)+INDEX(Models!$BJ51:$BT51,,T51+1)*R51-ERP_i)*Q51*Ramure*Pc/MaxiM</f>
        <v>3.7397049411499093E-2</v>
      </c>
      <c r="Q51" s="305">
        <f t="shared" si="4"/>
        <v>0.7</v>
      </c>
      <c r="R51" s="177">
        <f t="shared" si="5"/>
        <v>0.80141079317688602</v>
      </c>
      <c r="S51" s="817">
        <f t="shared" si="6"/>
        <v>-1</v>
      </c>
      <c r="T51" s="176">
        <f t="shared" si="7"/>
        <v>5</v>
      </c>
      <c r="U51" s="251">
        <f t="shared" si="8"/>
        <v>-0.19858920682311401</v>
      </c>
      <c r="V51" s="383">
        <f t="shared" si="9"/>
        <v>18.294389300227088</v>
      </c>
      <c r="W51" s="402">
        <f t="shared" si="10"/>
        <v>14.065478451459807</v>
      </c>
      <c r="X51" s="157">
        <f t="shared" si="11"/>
        <v>44963</v>
      </c>
      <c r="Y51" s="385">
        <f t="shared" si="12"/>
        <v>13.484484730383372</v>
      </c>
      <c r="Z51" s="385">
        <f t="shared" si="22"/>
        <v>14.012604801735566</v>
      </c>
      <c r="AA51" s="386">
        <f t="shared" si="13"/>
        <v>16.167283373143306</v>
      </c>
      <c r="AB51" s="197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0.13327400291548297</v>
      </c>
      <c r="AD51" s="231">
        <f>(INDEX(Models!$BJ51:$BT51,,AH51)*(1-AF51)+INDEX(Models!$BJ51:$BT51,,AH51+1)*AF51-ERP_i)*AE51*Ramure*Pc/MaxiM</f>
        <v>3.7397049411499093E-2</v>
      </c>
      <c r="AE51" s="305">
        <f t="shared" si="15"/>
        <v>0.7</v>
      </c>
      <c r="AF51" s="177">
        <f t="shared" si="23"/>
        <v>0.80141079317688602</v>
      </c>
      <c r="AG51" s="817">
        <f t="shared" si="24"/>
        <v>-1</v>
      </c>
      <c r="AH51" s="176">
        <f t="shared" si="16"/>
        <v>5</v>
      </c>
      <c r="AI51" s="225">
        <f t="shared" si="17"/>
        <v>-0.19858920682311401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44964</v>
      </c>
      <c r="B52" s="411">
        <f>'2022'!Wh/'2022'!Env_an*'2023'!Env_an</f>
        <v>8.2529569151437983</v>
      </c>
      <c r="C52" s="846"/>
      <c r="D52" s="393">
        <f t="shared" si="0"/>
        <v>8.5763719561442127</v>
      </c>
      <c r="E52" s="385">
        <f t="shared" si="1"/>
        <v>9.4871919894625059</v>
      </c>
      <c r="F52" s="385">
        <f t="shared" si="2"/>
        <v>9.559639797352995</v>
      </c>
      <c r="G52" s="110">
        <f t="shared" si="21"/>
        <v>0.43144294391658355</v>
      </c>
      <c r="H52" s="414" t="b">
        <f>Wh_hp&gt;='2022'!Maxi_hp</f>
        <v>0</v>
      </c>
      <c r="I52" s="390">
        <f>IF(H52,Wh_hp,'2022'!Maxi_hp)</f>
        <v>15.348596284444294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3.7710006358657955E-2</v>
      </c>
      <c r="M52" s="850"/>
      <c r="N52" s="850"/>
      <c r="O52" s="48">
        <f>IF(t&lt;Tnet,'2022'!Resal+('2022'!Salim-'2022'!Resal)*(1-EXP(('2022'!Tnet-t)/('2022'!Tau_j))),Resal+(Salim-Resal)*(1-EXP((Tnet-t)/(Tau_j))))*Salcycl</f>
        <v>9.6005228346801502E-2</v>
      </c>
      <c r="P52" s="169">
        <f>(INDEX(Models!$BJ52:$BT52,,T52)*(1-R52)+INDEX(Models!$BJ52:$BT52,,T52+1)*R52-ERP_i)*Q52*Ramure*Pc/MaxiM</f>
        <v>3.6714395506281271E-2</v>
      </c>
      <c r="Q52" s="305">
        <f t="shared" si="4"/>
        <v>0.7</v>
      </c>
      <c r="R52" s="177">
        <f t="shared" si="5"/>
        <v>0.80148701739354333</v>
      </c>
      <c r="S52" s="817">
        <f t="shared" si="6"/>
        <v>-1</v>
      </c>
      <c r="T52" s="176">
        <f t="shared" si="7"/>
        <v>5</v>
      </c>
      <c r="U52" s="251">
        <f t="shared" si="8"/>
        <v>-0.19851298260645672</v>
      </c>
      <c r="V52" s="383">
        <f t="shared" si="9"/>
        <v>18.567144467224232</v>
      </c>
      <c r="W52" s="402">
        <f t="shared" si="10"/>
        <v>8.2529569151437983</v>
      </c>
      <c r="X52" s="157">
        <f t="shared" si="11"/>
        <v>44964</v>
      </c>
      <c r="Y52" s="385">
        <f t="shared" si="12"/>
        <v>7.9124920368865173</v>
      </c>
      <c r="Z52" s="385">
        <f t="shared" si="22"/>
        <v>8.2225650159213917</v>
      </c>
      <c r="AA52" s="386">
        <f t="shared" si="13"/>
        <v>9.4871919894625059</v>
      </c>
      <c r="AB52" s="197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0.13329834317106107</v>
      </c>
      <c r="AD52" s="231">
        <f>(INDEX(Models!$BJ52:$BT52,,AH52)*(1-AF52)+INDEX(Models!$BJ52:$BT52,,AH52+1)*AF52-ERP_i)*AE52*Ramure*Pc/MaxiM</f>
        <v>3.6714395506281271E-2</v>
      </c>
      <c r="AE52" s="305">
        <f t="shared" si="15"/>
        <v>0.7</v>
      </c>
      <c r="AF52" s="177">
        <f t="shared" si="23"/>
        <v>0.80148701739354333</v>
      </c>
      <c r="AG52" s="817">
        <f t="shared" si="24"/>
        <v>-1</v>
      </c>
      <c r="AH52" s="176">
        <f t="shared" si="16"/>
        <v>5</v>
      </c>
      <c r="AI52" s="225">
        <f t="shared" si="17"/>
        <v>-0.19851298260645672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44965</v>
      </c>
      <c r="B53" s="411">
        <f>'2022'!Wh/'2022'!Env_an*'2023'!Env_an</f>
        <v>19.623515176887729</v>
      </c>
      <c r="C53" s="846"/>
      <c r="D53" s="393">
        <f t="shared" si="0"/>
        <v>20.392963785676308</v>
      </c>
      <c r="E53" s="385">
        <f t="shared" si="1"/>
        <v>22.560591850923338</v>
      </c>
      <c r="F53" s="385">
        <f t="shared" si="2"/>
        <v>23.402327715383759</v>
      </c>
      <c r="G53" s="110">
        <f t="shared" si="21"/>
        <v>1.0412989230211518</v>
      </c>
      <c r="H53" s="414" t="b">
        <f>Wh_hp&gt;='2022'!Maxi_hp</f>
        <v>1</v>
      </c>
      <c r="I53" s="390">
        <f>IF(H53,Wh_hp,'2022'!Maxi_hp)</f>
        <v>23.402327715383759</v>
      </c>
      <c r="J53" s="85">
        <f>IF(H53,An,'2022'!An_max)</f>
        <v>2023</v>
      </c>
      <c r="K53" s="197">
        <f t="shared" si="3"/>
        <v>44965</v>
      </c>
      <c r="L53" s="147">
        <f>IF(t&lt;Tvie,1-EXP((T0-t)*PertePVj)+'2022'!Pspv,1-EXP((T0-t)*PertePVj)+Pspv)</f>
        <v>3.7731082979170827E-2</v>
      </c>
      <c r="M53" s="850"/>
      <c r="N53" s="850"/>
      <c r="O53" s="48">
        <f>IF(t&lt;Tnet,'2022'!Resal+('2022'!Salim-'2022'!Resal)*(1-EXP(('2022'!Tnet-t)/('2022'!Tau_j))),Resal+(Salim-Resal)*(1-EXP((Tnet-t)/(Tau_j))))*Salcycl</f>
        <v>9.6080283689823243E-2</v>
      </c>
      <c r="P53" s="169">
        <f>(INDEX(Models!$BJ53:$BT53,,T53)*(1-R53)+INDEX(Models!$BJ53:$BT53,,T53+1)*R53-ERP_i)*Q53*Ramure*Pc/MaxiM</f>
        <v>3.5968040217943802E-2</v>
      </c>
      <c r="Q53" s="305">
        <f t="shared" si="4"/>
        <v>0.7</v>
      </c>
      <c r="R53" s="177">
        <f t="shared" si="5"/>
        <v>0.80156639799393026</v>
      </c>
      <c r="S53" s="817">
        <f t="shared" si="6"/>
        <v>-1</v>
      </c>
      <c r="T53" s="176">
        <f t="shared" si="7"/>
        <v>5</v>
      </c>
      <c r="U53" s="251">
        <f t="shared" si="8"/>
        <v>-0.19843360200606977</v>
      </c>
      <c r="V53" s="383">
        <f t="shared" si="9"/>
        <v>18.845227573993292</v>
      </c>
      <c r="W53" s="402">
        <f t="shared" si="10"/>
        <v>19.623515176887729</v>
      </c>
      <c r="X53" s="157">
        <f t="shared" si="11"/>
        <v>44965</v>
      </c>
      <c r="Y53" s="385">
        <f t="shared" si="12"/>
        <v>18.815004446808821</v>
      </c>
      <c r="Z53" s="385">
        <f t="shared" si="22"/>
        <v>19.552750914016642</v>
      </c>
      <c r="AA53" s="386">
        <f t="shared" si="13"/>
        <v>22.560591850923338</v>
      </c>
      <c r="AB53" s="197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0.13332278500413519</v>
      </c>
      <c r="AD53" s="231">
        <f>(INDEX(Models!$BJ53:$BT53,,AH53)*(1-AF53)+INDEX(Models!$BJ53:$BT53,,AH53+1)*AF53-ERP_i)*AE53*Ramure*Pc/MaxiM</f>
        <v>3.5968040217943802E-2</v>
      </c>
      <c r="AE53" s="305">
        <f t="shared" si="15"/>
        <v>0.7</v>
      </c>
      <c r="AF53" s="177">
        <f t="shared" si="23"/>
        <v>0.80156639799393026</v>
      </c>
      <c r="AG53" s="817">
        <f t="shared" si="24"/>
        <v>-1</v>
      </c>
      <c r="AH53" s="176">
        <f t="shared" si="16"/>
        <v>5</v>
      </c>
      <c r="AI53" s="225">
        <f t="shared" si="17"/>
        <v>-0.19843360200606977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44966</v>
      </c>
      <c r="B54" s="411">
        <f>'2022'!Wh/'2022'!Env_an*'2023'!Env_an</f>
        <v>19.663995641068915</v>
      </c>
      <c r="C54" s="846"/>
      <c r="D54" s="393">
        <f t="shared" si="0"/>
        <v>20.435479100118936</v>
      </c>
      <c r="E54" s="385">
        <f t="shared" si="1"/>
        <v>22.609503234325924</v>
      </c>
      <c r="F54" s="385">
        <f t="shared" si="2"/>
        <v>23.433477340738431</v>
      </c>
      <c r="G54" s="110">
        <f t="shared" si="21"/>
        <v>1.0280223278458309</v>
      </c>
      <c r="H54" s="414" t="b">
        <f>Wh_hp&gt;='2022'!Maxi_hp</f>
        <v>1</v>
      </c>
      <c r="I54" s="390">
        <f>IF(H54,Wh_hp,'2022'!Maxi_hp)</f>
        <v>23.433477340738431</v>
      </c>
      <c r="J54" s="85">
        <f>IF(H54,An,'2022'!An_max)</f>
        <v>2023</v>
      </c>
      <c r="K54" s="197">
        <f t="shared" si="3"/>
        <v>44966</v>
      </c>
      <c r="L54" s="147">
        <f>IF(t&lt;Tvie,1-EXP((T0-t)*PertePVj)+'2022'!Pspv,1-EXP((T0-t)*PertePVj)+Pspv)</f>
        <v>3.7752159138051744E-2</v>
      </c>
      <c r="M54" s="850"/>
      <c r="N54" s="850"/>
      <c r="O54" s="48">
        <f>IF(t&lt;Tnet,'2022'!Resal+('2022'!Salim-'2022'!Resal)*(1-EXP(('2022'!Tnet-t)/('2022'!Tau_j))),Resal+(Salim-Resal)*(1-EXP((Tnet-t)/(Tau_j))))*Salcycl</f>
        <v>9.6155325115961324E-2</v>
      </c>
      <c r="P54" s="169">
        <f>(INDEX(Models!$BJ54:$BT54,,T54)*(1-R54)+INDEX(Models!$BJ54:$BT54,,T54+1)*R54-ERP_i)*Q54*Ramure*Pc/MaxiM</f>
        <v>3.516226356128755E-2</v>
      </c>
      <c r="Q54" s="305">
        <f t="shared" si="4"/>
        <v>0.7</v>
      </c>
      <c r="R54" s="177">
        <f t="shared" si="5"/>
        <v>0.80164906388612955</v>
      </c>
      <c r="S54" s="817">
        <f t="shared" si="6"/>
        <v>-1</v>
      </c>
      <c r="T54" s="176">
        <f t="shared" si="7"/>
        <v>5</v>
      </c>
      <c r="U54" s="251">
        <f t="shared" si="8"/>
        <v>-0.1983509361138705</v>
      </c>
      <c r="V54" s="383">
        <f t="shared" si="9"/>
        <v>19.127984975067449</v>
      </c>
      <c r="W54" s="402">
        <f t="shared" si="10"/>
        <v>19.663995641068915</v>
      </c>
      <c r="X54" s="157">
        <f t="shared" si="11"/>
        <v>44966</v>
      </c>
      <c r="Y54" s="385">
        <f t="shared" si="12"/>
        <v>18.854848736422241</v>
      </c>
      <c r="Z54" s="385">
        <f t="shared" si="22"/>
        <v>19.594586691441908</v>
      </c>
      <c r="AA54" s="386">
        <f t="shared" si="13"/>
        <v>22.609503234325924</v>
      </c>
      <c r="AB54" s="197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0.1333473146949441</v>
      </c>
      <c r="AD54" s="231">
        <f>(INDEX(Models!$BJ54:$BT54,,AH54)*(1-AF54)+INDEX(Models!$BJ54:$BT54,,AH54+1)*AF54-ERP_i)*AE54*Ramure*Pc/MaxiM</f>
        <v>3.516226356128755E-2</v>
      </c>
      <c r="AE54" s="305">
        <f t="shared" si="15"/>
        <v>0.7</v>
      </c>
      <c r="AF54" s="177">
        <f t="shared" si="23"/>
        <v>0.80164906388612955</v>
      </c>
      <c r="AG54" s="817">
        <f t="shared" si="24"/>
        <v>-1</v>
      </c>
      <c r="AH54" s="176">
        <f t="shared" si="16"/>
        <v>5</v>
      </c>
      <c r="AI54" s="225">
        <f t="shared" si="17"/>
        <v>-0.1983509361138705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44967</v>
      </c>
      <c r="B55" s="411">
        <f>'2022'!Wh/'2022'!Env_an*'2023'!Env_an</f>
        <v>18.655078816121314</v>
      </c>
      <c r="C55" s="846"/>
      <c r="D55" s="393">
        <f t="shared" si="0"/>
        <v>19.38740377163424</v>
      </c>
      <c r="E55" s="385">
        <f t="shared" si="1"/>
        <v>21.451709085548313</v>
      </c>
      <c r="F55" s="385">
        <f t="shared" si="2"/>
        <v>22.169643568339385</v>
      </c>
      <c r="G55" s="110">
        <f t="shared" si="21"/>
        <v>0.9589667544754823</v>
      </c>
      <c r="H55" s="414" t="b">
        <f>Wh_hp&gt;='2022'!Maxi_hp</f>
        <v>0</v>
      </c>
      <c r="I55" s="390">
        <f>IF(H55,Wh_hp,'2022'!Maxi_hp)</f>
        <v>22.177935187448366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3.7773234835310587E-2</v>
      </c>
      <c r="M55" s="850"/>
      <c r="N55" s="850"/>
      <c r="O55" s="48">
        <f>IF(t&lt;Tnet,'2022'!Resal+('2022'!Salim-'2022'!Resal)*(1-EXP(('2022'!Tnet-t)/('2022'!Tau_j))),Resal+(Salim-Resal)*(1-EXP((Tnet-t)/(Tau_j))))*Salcycl</f>
        <v>9.6230342565327975E-2</v>
      </c>
      <c r="P55" s="169">
        <f>(INDEX(Models!$BJ55:$BT55,,T55)*(1-R55)+INDEX(Models!$BJ55:$BT55,,T55+1)*R55-ERP_i)*Q55*Ramure*Pc/MaxiM</f>
        <v>3.430106407881215E-2</v>
      </c>
      <c r="Q55" s="305">
        <f t="shared" si="4"/>
        <v>0.7</v>
      </c>
      <c r="R55" s="177">
        <f t="shared" si="5"/>
        <v>0.80173514909027666</v>
      </c>
      <c r="S55" s="817">
        <f t="shared" si="6"/>
        <v>-1</v>
      </c>
      <c r="T55" s="176">
        <f t="shared" si="7"/>
        <v>5</v>
      </c>
      <c r="U55" s="251">
        <f t="shared" si="8"/>
        <v>-0.19826485090972337</v>
      </c>
      <c r="V55" s="383">
        <f t="shared" si="9"/>
        <v>19.414763381925649</v>
      </c>
      <c r="W55" s="402">
        <f t="shared" si="10"/>
        <v>18.655078816121314</v>
      </c>
      <c r="X55" s="157">
        <f t="shared" si="11"/>
        <v>44967</v>
      </c>
      <c r="Y55" s="385">
        <f t="shared" si="12"/>
        <v>17.888424381179128</v>
      </c>
      <c r="Z55" s="385">
        <f t="shared" si="22"/>
        <v>18.590653501638403</v>
      </c>
      <c r="AA55" s="386">
        <f t="shared" si="13"/>
        <v>21.451709085548313</v>
      </c>
      <c r="AB55" s="197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0.13337191794370176</v>
      </c>
      <c r="AD55" s="231">
        <f>(INDEX(Models!$BJ55:$BT55,,AH55)*(1-AF55)+INDEX(Models!$BJ55:$BT55,,AH55+1)*AF55-ERP_i)*AE55*Ramure*Pc/MaxiM</f>
        <v>3.430106407881215E-2</v>
      </c>
      <c r="AE55" s="305">
        <f t="shared" si="15"/>
        <v>0.7</v>
      </c>
      <c r="AF55" s="177">
        <f t="shared" si="23"/>
        <v>0.80173514909027666</v>
      </c>
      <c r="AG55" s="817">
        <f t="shared" si="24"/>
        <v>-1</v>
      </c>
      <c r="AH55" s="176">
        <f t="shared" si="16"/>
        <v>5</v>
      </c>
      <c r="AI55" s="225">
        <f t="shared" si="17"/>
        <v>-0.19826485090972337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44968</v>
      </c>
      <c r="B56" s="411">
        <f>'2022'!Wh/'2022'!Env_an*'2023'!Env_an</f>
        <v>10.113813158855338</v>
      </c>
      <c r="C56" s="846"/>
      <c r="D56" s="393">
        <f t="shared" si="0"/>
        <v>10.511071868221002</v>
      </c>
      <c r="E56" s="385">
        <f t="shared" si="1"/>
        <v>11.631220329985638</v>
      </c>
      <c r="F56" s="385">
        <f t="shared" si="2"/>
        <v>11.750750273765419</v>
      </c>
      <c r="G56" s="110">
        <f t="shared" si="21"/>
        <v>0.50122520380742419</v>
      </c>
      <c r="H56" s="414" t="b">
        <f>Wh_hp&gt;='2022'!Maxi_hp</f>
        <v>0</v>
      </c>
      <c r="I56" s="390">
        <f>IF(H56,Wh_hp,'2022'!Maxi_hp)</f>
        <v>19.987799360241688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3.7794310070957571E-2</v>
      </c>
      <c r="M56" s="850"/>
      <c r="N56" s="850"/>
      <c r="O56" s="48">
        <f>IF(t&lt;Tnet,'2022'!Resal+('2022'!Salim-'2022'!Resal)*(1-EXP(('2022'!Tnet-t)/('2022'!Tau_j))),Resal+(Salim-Resal)*(1-EXP((Tnet-t)/(Tau_j))))*Salcycl</f>
        <v>9.6305325665343874E-2</v>
      </c>
      <c r="P56" s="169">
        <f>(INDEX(Models!$BJ56:$BT56,,T56)*(1-R56)+INDEX(Models!$BJ56:$BT56,,T56+1)*R56-ERP_i)*Q56*Ramure*Pc/MaxiM</f>
        <v>3.3388153651744121E-2</v>
      </c>
      <c r="Q56" s="305">
        <f t="shared" si="4"/>
        <v>0.7</v>
      </c>
      <c r="R56" s="177">
        <f t="shared" si="5"/>
        <v>0.80182479292827669</v>
      </c>
      <c r="S56" s="817">
        <f t="shared" si="6"/>
        <v>-1</v>
      </c>
      <c r="T56" s="176">
        <f t="shared" si="7"/>
        <v>5</v>
      </c>
      <c r="U56" s="251">
        <f t="shared" si="8"/>
        <v>-0.19817520707172331</v>
      </c>
      <c r="V56" s="383">
        <f t="shared" si="9"/>
        <v>19.704909865297402</v>
      </c>
      <c r="W56" s="402">
        <f t="shared" si="10"/>
        <v>10.113813158855338</v>
      </c>
      <c r="X56" s="157">
        <f t="shared" si="11"/>
        <v>44968</v>
      </c>
      <c r="Y56" s="385">
        <f t="shared" si="12"/>
        <v>9.6987016977024538</v>
      </c>
      <c r="Z56" s="385">
        <f t="shared" si="22"/>
        <v>10.079655316128594</v>
      </c>
      <c r="AA56" s="386">
        <f t="shared" si="13"/>
        <v>11.631220329985638</v>
      </c>
      <c r="AB56" s="197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0.13339658005248695</v>
      </c>
      <c r="AD56" s="231">
        <f>(INDEX(Models!$BJ56:$BT56,,AH56)*(1-AF56)+INDEX(Models!$BJ56:$BT56,,AH56+1)*AF56-ERP_i)*AE56*Ramure*Pc/MaxiM</f>
        <v>3.3388153651744121E-2</v>
      </c>
      <c r="AE56" s="305">
        <f t="shared" si="15"/>
        <v>0.7</v>
      </c>
      <c r="AF56" s="177">
        <f t="shared" si="23"/>
        <v>0.80182479292827669</v>
      </c>
      <c r="AG56" s="817">
        <f t="shared" si="24"/>
        <v>-1</v>
      </c>
      <c r="AH56" s="176">
        <f t="shared" si="16"/>
        <v>5</v>
      </c>
      <c r="AI56" s="225">
        <f t="shared" si="17"/>
        <v>-0.19817520707172331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44969</v>
      </c>
      <c r="B57" s="411">
        <f>'2022'!Wh/'2022'!Env_an*'2023'!Env_an</f>
        <v>16.080524242671487</v>
      </c>
      <c r="C57" s="846"/>
      <c r="D57" s="393">
        <f t="shared" si="0"/>
        <v>16.712514406688051</v>
      </c>
      <c r="E57" s="385">
        <f t="shared" si="1"/>
        <v>18.49507457444378</v>
      </c>
      <c r="F57" s="385">
        <f t="shared" si="2"/>
        <v>18.937313340804735</v>
      </c>
      <c r="G57" s="110">
        <f t="shared" si="21"/>
        <v>0.79664462977591122</v>
      </c>
      <c r="H57" s="414" t="b">
        <f>Wh_hp&gt;='2022'!Maxi_hp</f>
        <v>0</v>
      </c>
      <c r="I57" s="390">
        <f>IF(H57,Wh_hp,'2022'!Maxi_hp)</f>
        <v>24.323485541278668</v>
      </c>
      <c r="J57" s="85">
        <f>IF(H57,An,'2022'!An_max)</f>
        <v>2019</v>
      </c>
      <c r="K57" s="197">
        <f t="shared" si="3"/>
        <v>44969</v>
      </c>
      <c r="L57" s="147">
        <f>IF(t&lt;Tvie,1-EXP((T0-t)*PertePVj)+'2022'!Pspv,1-EXP((T0-t)*PertePVj)+Pspv)</f>
        <v>3.7815384845002797E-2</v>
      </c>
      <c r="M57" s="850"/>
      <c r="N57" s="850"/>
      <c r="O57" s="48">
        <f>IF(t&lt;Tnet,'2022'!Resal+('2022'!Salim-'2022'!Resal)*(1-EXP(('2022'!Tnet-t)/('2022'!Tau_j))),Resal+(Salim-Resal)*(1-EXP((Tnet-t)/(Tau_j))))*Salcycl</f>
        <v>9.6380263868675958E-2</v>
      </c>
      <c r="P57" s="169">
        <f>(INDEX(Models!$BJ57:$BT57,,T57)*(1-R57)+INDEX(Models!$BJ57:$BT57,,T57+1)*R57-ERP_i)*Q57*Ramure*Pc/MaxiM</f>
        <v>3.2426955716554531E-2</v>
      </c>
      <c r="Q57" s="305">
        <f t="shared" si="4"/>
        <v>0.7</v>
      </c>
      <c r="R57" s="177">
        <f t="shared" si="5"/>
        <v>0.8019181402194373</v>
      </c>
      <c r="S57" s="817">
        <f t="shared" si="6"/>
        <v>-1</v>
      </c>
      <c r="T57" s="176">
        <f t="shared" si="7"/>
        <v>5</v>
      </c>
      <c r="U57" s="251">
        <f t="shared" si="8"/>
        <v>-0.19808185978056267</v>
      </c>
      <c r="V57" s="383">
        <f t="shared" si="9"/>
        <v>19.997771855127521</v>
      </c>
      <c r="W57" s="402">
        <f t="shared" si="10"/>
        <v>16.080524242671487</v>
      </c>
      <c r="X57" s="157">
        <f t="shared" si="11"/>
        <v>44969</v>
      </c>
      <c r="Y57" s="385">
        <f t="shared" si="12"/>
        <v>15.421354204186901</v>
      </c>
      <c r="Z57" s="385">
        <f t="shared" si="22"/>
        <v>16.027437937887516</v>
      </c>
      <c r="AA57" s="386">
        <f t="shared" si="13"/>
        <v>18.49507457444378</v>
      </c>
      <c r="AB57" s="197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0.13342128611722423</v>
      </c>
      <c r="AD57" s="231">
        <f>(INDEX(Models!$BJ57:$BT57,,AH57)*(1-AF57)+INDEX(Models!$BJ57:$BT57,,AH57+1)*AF57-ERP_i)*AE57*Ramure*Pc/MaxiM</f>
        <v>3.2426955716554531E-2</v>
      </c>
      <c r="AE57" s="305">
        <f t="shared" si="15"/>
        <v>0.7</v>
      </c>
      <c r="AF57" s="177">
        <f t="shared" si="23"/>
        <v>0.8019181402194373</v>
      </c>
      <c r="AG57" s="817">
        <f t="shared" si="24"/>
        <v>-1</v>
      </c>
      <c r="AH57" s="176">
        <f t="shared" si="16"/>
        <v>5</v>
      </c>
      <c r="AI57" s="225">
        <f t="shared" si="17"/>
        <v>-0.19808185978056267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44970</v>
      </c>
      <c r="B58" s="411">
        <f>'2022'!Wh/'2022'!Env_an*'2023'!Env_an</f>
        <v>18.459576592626707</v>
      </c>
      <c r="C58" s="846"/>
      <c r="D58" s="393">
        <f t="shared" si="0"/>
        <v>19.185487507105183</v>
      </c>
      <c r="E58" s="385">
        <f t="shared" si="1"/>
        <v>21.233575106819732</v>
      </c>
      <c r="F58" s="385">
        <f t="shared" si="2"/>
        <v>21.830818614934561</v>
      </c>
      <c r="G58" s="110">
        <f t="shared" si="21"/>
        <v>0.90586626241390378</v>
      </c>
      <c r="H58" s="414" t="b">
        <f>Wh_hp&gt;='2022'!Maxi_hp</f>
        <v>0</v>
      </c>
      <c r="I58" s="390">
        <f>IF(H58,Wh_hp,'2022'!Maxi_hp)</f>
        <v>24.939074122850123</v>
      </c>
      <c r="J58" s="85">
        <f>IF(H58,An,'2022'!An_max)</f>
        <v>2019</v>
      </c>
      <c r="K58" s="197">
        <f t="shared" si="3"/>
        <v>44970</v>
      </c>
      <c r="L58" s="147">
        <f>IF(t&lt;Tvie,1-EXP((T0-t)*PertePVj)+'2022'!Pspv,1-EXP((T0-t)*PertePVj)+Pspv)</f>
        <v>3.783645915745637E-2</v>
      </c>
      <c r="M58" s="850"/>
      <c r="N58" s="850"/>
      <c r="O58" s="48">
        <f>IF(t&lt;Tnet,'2022'!Resal+('2022'!Salim-'2022'!Resal)*(1-EXP(('2022'!Tnet-t)/('2022'!Tau_j))),Resal+(Salim-Resal)*(1-EXP((Tnet-t)/(Tau_j))))*Salcycl</f>
        <v>9.6455146597369354E-2</v>
      </c>
      <c r="P58" s="169">
        <f>(INDEX(Models!$BJ58:$BT58,,T58)*(1-R58)+INDEX(Models!$BJ58:$BT58,,T58+1)*R58-ERP_i)*Q58*Ramure*Pc/MaxiM</f>
        <v>3.1411837973612834E-2</v>
      </c>
      <c r="Q58" s="305">
        <f t="shared" si="4"/>
        <v>0.7</v>
      </c>
      <c r="R58" s="177">
        <f t="shared" si="5"/>
        <v>0.80201534148210241</v>
      </c>
      <c r="S58" s="817">
        <f t="shared" si="6"/>
        <v>-1</v>
      </c>
      <c r="T58" s="176">
        <f t="shared" si="7"/>
        <v>5</v>
      </c>
      <c r="U58" s="251">
        <f t="shared" si="8"/>
        <v>-0.19798465851789757</v>
      </c>
      <c r="V58" s="383">
        <f t="shared" si="9"/>
        <v>20.292880852565403</v>
      </c>
      <c r="W58" s="402">
        <f t="shared" si="10"/>
        <v>18.459576592626707</v>
      </c>
      <c r="X58" s="157">
        <f t="shared" si="11"/>
        <v>44970</v>
      </c>
      <c r="Y58" s="385">
        <f t="shared" si="12"/>
        <v>17.703846668547595</v>
      </c>
      <c r="Z58" s="385">
        <f t="shared" si="22"/>
        <v>18.40003899237832</v>
      </c>
      <c r="AA58" s="386">
        <f t="shared" si="13"/>
        <v>21.233575106819732</v>
      </c>
      <c r="AB58" s="197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0.13344602122754853</v>
      </c>
      <c r="AD58" s="231">
        <f>(INDEX(Models!$BJ58:$BT58,,AH58)*(1-AF58)+INDEX(Models!$BJ58:$BT58,,AH58+1)*AF58-ERP_i)*AE58*Ramure*Pc/MaxiM</f>
        <v>3.1411837973612834E-2</v>
      </c>
      <c r="AE58" s="305">
        <f t="shared" si="15"/>
        <v>0.7</v>
      </c>
      <c r="AF58" s="177">
        <f t="shared" si="23"/>
        <v>0.80201534148210241</v>
      </c>
      <c r="AG58" s="817">
        <f t="shared" si="24"/>
        <v>-1</v>
      </c>
      <c r="AH58" s="176">
        <f t="shared" si="16"/>
        <v>5</v>
      </c>
      <c r="AI58" s="225">
        <f t="shared" si="17"/>
        <v>-0.19798465851789757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44971</v>
      </c>
      <c r="B59" s="411">
        <f>'2022'!Wh/'2022'!Env_an*'2023'!Env_an</f>
        <v>10.216568804917674</v>
      </c>
      <c r="C59" s="846"/>
      <c r="D59" s="393">
        <f t="shared" si="0"/>
        <v>10.618561341400714</v>
      </c>
      <c r="E59" s="385">
        <f t="shared" si="1"/>
        <v>11.753086335062235</v>
      </c>
      <c r="F59" s="385">
        <f t="shared" si="2"/>
        <v>11.854054016216708</v>
      </c>
      <c r="G59" s="110">
        <f t="shared" si="21"/>
        <v>0.48527647499102489</v>
      </c>
      <c r="H59" s="414" t="b">
        <f>Wh_hp&gt;='2022'!Maxi_hp</f>
        <v>0</v>
      </c>
      <c r="I59" s="390">
        <f>IF(H59,Wh_hp,'2022'!Maxi_hp)</f>
        <v>25.04355830581331</v>
      </c>
      <c r="J59" s="85">
        <f>IF(H59,An,'2022'!An_max)</f>
        <v>2019</v>
      </c>
      <c r="K59" s="197">
        <f t="shared" si="3"/>
        <v>44971</v>
      </c>
      <c r="L59" s="147">
        <f>IF(t&lt;Tvie,1-EXP((T0-t)*PertePVj)+'2022'!Pspv,1-EXP((T0-t)*PertePVj)+Pspv)</f>
        <v>3.7857533008328503E-2</v>
      </c>
      <c r="M59" s="850"/>
      <c r="N59" s="850"/>
      <c r="O59" s="48">
        <f>IF(t&lt;Tnet,'2022'!Resal+('2022'!Salim-'2022'!Resal)*(1-EXP(('2022'!Tnet-t)/('2022'!Tau_j))),Resal+(Salim-Resal)*(1-EXP((Tnet-t)/(Tau_j))))*Salcycl</f>
        <v>9.652996339157012E-2</v>
      </c>
      <c r="P59" s="169">
        <f>(INDEX(Models!$BJ59:$BT59,,T59)*(1-R59)+INDEX(Models!$BJ59:$BT59,,T59+1)*R59-ERP_i)*Q59*Ramure*Pc/MaxiM</f>
        <v>3.0385603315742072E-2</v>
      </c>
      <c r="Q59" s="305">
        <f t="shared" si="4"/>
        <v>0.7</v>
      </c>
      <c r="R59" s="177">
        <f t="shared" si="5"/>
        <v>0.80211655314135988</v>
      </c>
      <c r="S59" s="817">
        <f t="shared" si="6"/>
        <v>-1</v>
      </c>
      <c r="T59" s="176">
        <f t="shared" si="7"/>
        <v>5</v>
      </c>
      <c r="U59" s="251">
        <f t="shared" si="8"/>
        <v>-0.19788344685864007</v>
      </c>
      <c r="V59" s="383">
        <f t="shared" si="9"/>
        <v>20.588744139883175</v>
      </c>
      <c r="W59" s="402">
        <f t="shared" si="10"/>
        <v>10.216568804917674</v>
      </c>
      <c r="X59" s="157">
        <f t="shared" si="11"/>
        <v>44971</v>
      </c>
      <c r="Y59" s="385">
        <f t="shared" si="12"/>
        <v>9.7988368558763668</v>
      </c>
      <c r="Z59" s="385">
        <f t="shared" si="22"/>
        <v>10.184392844143307</v>
      </c>
      <c r="AA59" s="386">
        <f t="shared" si="13"/>
        <v>11.753086335062235</v>
      </c>
      <c r="AB59" s="197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0.13347077067230792</v>
      </c>
      <c r="AD59" s="231">
        <f>(INDEX(Models!$BJ59:$BT59,,AH59)*(1-AF59)+INDEX(Models!$BJ59:$BT59,,AH59+1)*AF59-ERP_i)*AE59*Ramure*Pc/MaxiM</f>
        <v>3.0385603315742072E-2</v>
      </c>
      <c r="AE59" s="305">
        <f t="shared" si="15"/>
        <v>0.7</v>
      </c>
      <c r="AF59" s="177">
        <f t="shared" si="23"/>
        <v>0.80211655314135988</v>
      </c>
      <c r="AG59" s="817">
        <f t="shared" si="24"/>
        <v>-1</v>
      </c>
      <c r="AH59" s="176">
        <f t="shared" si="16"/>
        <v>5</v>
      </c>
      <c r="AI59" s="225">
        <f t="shared" si="17"/>
        <v>-0.19788344685864007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44972</v>
      </c>
      <c r="B60" s="411">
        <f>'2022'!Wh/'2022'!Env_an*'2023'!Env_an</f>
        <v>12.911892026553557</v>
      </c>
      <c r="C60" s="846"/>
      <c r="D60" s="393">
        <f t="shared" si="0"/>
        <v>13.420231700917601</v>
      </c>
      <c r="E60" s="385">
        <f t="shared" si="1"/>
        <v>14.855326080674066</v>
      </c>
      <c r="F60" s="385">
        <f t="shared" si="2"/>
        <v>15.056227619889711</v>
      </c>
      <c r="G60" s="110">
        <f t="shared" si="21"/>
        <v>0.60821657831483622</v>
      </c>
      <c r="H60" s="414" t="b">
        <f>Wh_hp&gt;='2022'!Maxi_hp</f>
        <v>0</v>
      </c>
      <c r="I60" s="390">
        <f>IF(H60,Wh_hp,'2022'!Maxi_hp)</f>
        <v>25.359879246140192</v>
      </c>
      <c r="J60" s="85">
        <f>IF(H60,An,'2022'!An_max)</f>
        <v>2019</v>
      </c>
      <c r="K60" s="197">
        <f t="shared" si="3"/>
        <v>44972</v>
      </c>
      <c r="L60" s="147">
        <f>IF(t&lt;Tvie,1-EXP((T0-t)*PertePVj)+'2022'!Pspv,1-EXP((T0-t)*PertePVj)+Pspv)</f>
        <v>3.7878606397629189E-2</v>
      </c>
      <c r="M60" s="850"/>
      <c r="N60" s="850"/>
      <c r="O60" s="48">
        <f>IF(t&lt;Tnet,'2022'!Resal+('2022'!Salim-'2022'!Resal)*(1-EXP(('2022'!Tnet-t)/('2022'!Tau_j))),Resal+(Salim-Resal)*(1-EXP((Tnet-t)/(Tau_j))))*Salcycl</f>
        <v>9.6604704061221722E-2</v>
      </c>
      <c r="P60" s="169">
        <f>(INDEX(Models!$BJ60:$BT60,,T60)*(1-R60)+INDEX(Models!$BJ60:$BT60,,T60+1)*R60-ERP_i)*Q60*Ramure*Pc/MaxiM</f>
        <v>2.9349584849261177E-2</v>
      </c>
      <c r="Q60" s="305">
        <f t="shared" si="4"/>
        <v>0.7</v>
      </c>
      <c r="R60" s="177">
        <f t="shared" si="5"/>
        <v>0.80222193774288708</v>
      </c>
      <c r="S60" s="817">
        <f t="shared" si="6"/>
        <v>-1</v>
      </c>
      <c r="T60" s="176">
        <f t="shared" si="7"/>
        <v>5</v>
      </c>
      <c r="U60" s="251">
        <f t="shared" si="8"/>
        <v>-0.19777806225711292</v>
      </c>
      <c r="V60" s="383">
        <f t="shared" si="9"/>
        <v>20.884710487071988</v>
      </c>
      <c r="W60" s="402">
        <f t="shared" si="10"/>
        <v>12.911892026553557</v>
      </c>
      <c r="X60" s="157">
        <f t="shared" si="11"/>
        <v>44972</v>
      </c>
      <c r="Y60" s="385">
        <f t="shared" si="12"/>
        <v>12.384625351343839</v>
      </c>
      <c r="Z60" s="385">
        <f t="shared" si="22"/>
        <v>12.872206598559645</v>
      </c>
      <c r="AA60" s="386">
        <f t="shared" si="13"/>
        <v>14.855326080674066</v>
      </c>
      <c r="AB60" s="197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0.13349552014845012</v>
      </c>
      <c r="AD60" s="231">
        <f>(INDEX(Models!$BJ60:$BT60,,AH60)*(1-AF60)+INDEX(Models!$BJ60:$BT60,,AH60+1)*AF60-ERP_i)*AE60*Ramure*Pc/MaxiM</f>
        <v>2.9349584849261177E-2</v>
      </c>
      <c r="AE60" s="305">
        <f t="shared" si="15"/>
        <v>0.7</v>
      </c>
      <c r="AF60" s="177">
        <f t="shared" si="23"/>
        <v>0.80222193774288708</v>
      </c>
      <c r="AG60" s="817">
        <f t="shared" si="24"/>
        <v>-1</v>
      </c>
      <c r="AH60" s="176">
        <f t="shared" si="16"/>
        <v>5</v>
      </c>
      <c r="AI60" s="225">
        <f t="shared" si="17"/>
        <v>-0.19777806225711292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44973</v>
      </c>
      <c r="B61" s="411">
        <f>'2022'!Wh/'2022'!Env_an*'2023'!Env_an</f>
        <v>5.6473235829904755</v>
      </c>
      <c r="C61" s="846"/>
      <c r="D61" s="393">
        <f t="shared" si="0"/>
        <v>5.8697866133445755</v>
      </c>
      <c r="E61" s="385">
        <f t="shared" si="1"/>
        <v>6.4980100596407828</v>
      </c>
      <c r="F61" s="385">
        <f t="shared" si="2"/>
        <v>6.4980100596407828</v>
      </c>
      <c r="G61" s="110">
        <f t="shared" si="21"/>
        <v>0.25908607779920784</v>
      </c>
      <c r="H61" s="414" t="b">
        <f>Wh_hp&gt;='2022'!Maxi_hp</f>
        <v>0</v>
      </c>
      <c r="I61" s="390">
        <f>IF(H61,Wh_hp,'2022'!Maxi_hp)</f>
        <v>25.832581952942551</v>
      </c>
      <c r="J61" s="85">
        <f>IF(H61,An,'2022'!An_max)</f>
        <v>2019</v>
      </c>
      <c r="K61" s="197">
        <f t="shared" si="3"/>
        <v>44973</v>
      </c>
      <c r="L61" s="147">
        <f>IF(t&lt;Tvie,1-EXP((T0-t)*PertePVj)+'2022'!Pspv,1-EXP((T0-t)*PertePVj)+Pspv)</f>
        <v>3.7899679325368529E-2</v>
      </c>
      <c r="M61" s="850"/>
      <c r="N61" s="850"/>
      <c r="O61" s="48">
        <f>IF(t&lt;Tnet,'2022'!Resal+('2022'!Salim-'2022'!Resal)*(1-EXP(('2022'!Tnet-t)/('2022'!Tau_j))),Resal+(Salim-Resal)*(1-EXP((Tnet-t)/(Tau_j))))*Salcycl</f>
        <v>9.667935883911756E-2</v>
      </c>
      <c r="P61" s="169">
        <f>(INDEX(Models!$BJ61:$BT61,,T61)*(1-R61)+INDEX(Models!$BJ61:$BT61,,T61+1)*R61-ERP_i)*Q61*Ramure*Pc/MaxiM</f>
        <v>2.8304917849397856E-2</v>
      </c>
      <c r="Q61" s="305">
        <f t="shared" si="4"/>
        <v>0.7</v>
      </c>
      <c r="R61" s="177">
        <f t="shared" si="5"/>
        <v>0.80233166417298407</v>
      </c>
      <c r="S61" s="817">
        <f t="shared" si="6"/>
        <v>-1</v>
      </c>
      <c r="T61" s="176">
        <f t="shared" si="7"/>
        <v>5</v>
      </c>
      <c r="U61" s="251">
        <f t="shared" si="8"/>
        <v>-0.19766833582701596</v>
      </c>
      <c r="V61" s="383">
        <f t="shared" si="9"/>
        <v>21.180129011632062</v>
      </c>
      <c r="W61" s="402">
        <f t="shared" si="10"/>
        <v>5.6473235829904755</v>
      </c>
      <c r="X61" s="157">
        <f t="shared" si="11"/>
        <v>44973</v>
      </c>
      <c r="Y61" s="385">
        <f t="shared" si="12"/>
        <v>5.4170039625683017</v>
      </c>
      <c r="Z61" s="385">
        <f t="shared" si="22"/>
        <v>5.6303940931750862</v>
      </c>
      <c r="AA61" s="386">
        <f t="shared" si="13"/>
        <v>6.4980100596407828</v>
      </c>
      <c r="AB61" s="197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0.13352025597105022</v>
      </c>
      <c r="AD61" s="231">
        <f>(INDEX(Models!$BJ61:$BT61,,AH61)*(1-AF61)+INDEX(Models!$BJ61:$BT61,,AH61+1)*AF61-ERP_i)*AE61*Ramure*Pc/MaxiM</f>
        <v>2.8304917849397856E-2</v>
      </c>
      <c r="AE61" s="305">
        <f t="shared" si="15"/>
        <v>0.7</v>
      </c>
      <c r="AF61" s="177">
        <f t="shared" si="23"/>
        <v>0.80233166417298407</v>
      </c>
      <c r="AG61" s="817">
        <f t="shared" si="24"/>
        <v>-1</v>
      </c>
      <c r="AH61" s="176">
        <f t="shared" si="16"/>
        <v>5</v>
      </c>
      <c r="AI61" s="225">
        <f t="shared" si="17"/>
        <v>-0.19766833582701596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44974</v>
      </c>
      <c r="B62" s="411">
        <f>'2022'!Wh/'2022'!Env_an*'2023'!Env_an</f>
        <v>9.6512064877154664</v>
      </c>
      <c r="C62" s="846"/>
      <c r="D62" s="393">
        <f t="shared" si="0"/>
        <v>10.031612786251934</v>
      </c>
      <c r="E62" s="385">
        <f t="shared" si="1"/>
        <v>11.106179137768391</v>
      </c>
      <c r="F62" s="385">
        <f t="shared" si="2"/>
        <v>11.171168777123937</v>
      </c>
      <c r="G62" s="110">
        <f t="shared" si="21"/>
        <v>0.43973966074112786</v>
      </c>
      <c r="H62" s="414" t="b">
        <f>Wh_hp&gt;='2022'!Maxi_hp</f>
        <v>0</v>
      </c>
      <c r="I62" s="390">
        <f>IF(H62,Wh_hp,'2022'!Maxi_hp)</f>
        <v>26.057323912775445</v>
      </c>
      <c r="J62" s="85">
        <f>IF(H62,An,'2022'!An_max)</f>
        <v>2019</v>
      </c>
      <c r="K62" s="197">
        <f t="shared" si="3"/>
        <v>44974</v>
      </c>
      <c r="L62" s="147">
        <f>IF(t&lt;Tvie,1-EXP((T0-t)*PertePVj)+'2022'!Pspv,1-EXP((T0-t)*PertePVj)+Pspv)</f>
        <v>3.7920751791556739E-2</v>
      </c>
      <c r="M62" s="850"/>
      <c r="N62" s="850"/>
      <c r="O62" s="48">
        <f>IF(t&lt;Tnet,'2022'!Resal+('2022'!Salim-'2022'!Resal)*(1-EXP(('2022'!Tnet-t)/('2022'!Tau_j))),Resal+(Salim-Resal)*(1-EXP((Tnet-t)/(Tau_j))))*Salcycl</f>
        <v>9.6753918533712277E-2</v>
      </c>
      <c r="P62" s="169">
        <f>(INDEX(Models!$BJ62:$BT62,,T62)*(1-R62)+INDEX(Models!$BJ62:$BT62,,T62+1)*R62-ERP_i)*Q62*Ramure*Pc/MaxiM</f>
        <v>2.7252550068337832E-2</v>
      </c>
      <c r="Q62" s="305">
        <f t="shared" si="4"/>
        <v>0.7</v>
      </c>
      <c r="R62" s="177">
        <f t="shared" si="5"/>
        <v>0.80244590788483339</v>
      </c>
      <c r="S62" s="817">
        <f t="shared" si="6"/>
        <v>-1</v>
      </c>
      <c r="T62" s="176">
        <f t="shared" si="7"/>
        <v>5</v>
      </c>
      <c r="U62" s="251">
        <f t="shared" si="8"/>
        <v>-0.19755409211516667</v>
      </c>
      <c r="V62" s="383">
        <f t="shared" si="9"/>
        <v>21.474349176963152</v>
      </c>
      <c r="W62" s="402">
        <f t="shared" si="10"/>
        <v>9.6512064877154664</v>
      </c>
      <c r="X62" s="157">
        <f t="shared" si="11"/>
        <v>44974</v>
      </c>
      <c r="Y62" s="385">
        <f t="shared" si="12"/>
        <v>9.2580932527339836</v>
      </c>
      <c r="Z62" s="385">
        <f t="shared" si="22"/>
        <v>9.6230048303963969</v>
      </c>
      <c r="AA62" s="386">
        <f t="shared" si="13"/>
        <v>11.106179137768391</v>
      </c>
      <c r="AB62" s="197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0.13354496528227391</v>
      </c>
      <c r="AD62" s="231">
        <f>(INDEX(Models!$BJ62:$BT62,,AH62)*(1-AF62)+INDEX(Models!$BJ62:$BT62,,AH62+1)*AF62-ERP_i)*AE62*Ramure*Pc/MaxiM</f>
        <v>2.7252550068337832E-2</v>
      </c>
      <c r="AE62" s="305">
        <f t="shared" si="15"/>
        <v>0.7</v>
      </c>
      <c r="AF62" s="177">
        <f t="shared" si="23"/>
        <v>0.80244590788483339</v>
      </c>
      <c r="AG62" s="817">
        <f t="shared" si="24"/>
        <v>-1</v>
      </c>
      <c r="AH62" s="176">
        <f t="shared" si="16"/>
        <v>5</v>
      </c>
      <c r="AI62" s="225">
        <f t="shared" si="17"/>
        <v>-0.19755409211516667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44975</v>
      </c>
      <c r="B63" s="411">
        <f>'2022'!Wh/'2022'!Env_an*'2023'!Env_an</f>
        <v>18.21714778942528</v>
      </c>
      <c r="C63" s="846"/>
      <c r="D63" s="393">
        <f t="shared" si="0"/>
        <v>18.93559894819321</v>
      </c>
      <c r="E63" s="385">
        <f t="shared" si="1"/>
        <v>20.965670773245225</v>
      </c>
      <c r="F63" s="385">
        <f t="shared" si="2"/>
        <v>21.395533128480754</v>
      </c>
      <c r="G63" s="110">
        <f t="shared" si="21"/>
        <v>0.83171494582086136</v>
      </c>
      <c r="H63" s="414" t="b">
        <f>Wh_hp&gt;='2022'!Maxi_hp</f>
        <v>0</v>
      </c>
      <c r="I63" s="390">
        <f>IF(H63,Wh_hp,'2022'!Maxi_hp)</f>
        <v>25.702210502087123</v>
      </c>
      <c r="J63" s="85">
        <f>IF(H63,An,'2022'!An_max)</f>
        <v>2019</v>
      </c>
      <c r="K63" s="197">
        <f t="shared" si="3"/>
        <v>44975</v>
      </c>
      <c r="L63" s="147">
        <f>IF(t&lt;Tvie,1-EXP((T0-t)*PertePVj)+'2022'!Pspv,1-EXP((T0-t)*PertePVj)+Pspv)</f>
        <v>3.7941823796203811E-2</v>
      </c>
      <c r="M63" s="850"/>
      <c r="N63" s="850"/>
      <c r="O63" s="48">
        <f>IF(t&lt;Tnet,'2022'!Resal+('2022'!Salim-'2022'!Resal)*(1-EXP(('2022'!Tnet-t)/('2022'!Tau_j))),Resal+(Salim-Resal)*(1-EXP((Tnet-t)/(Tau_j))))*Salcycl</f>
        <v>9.6828374680128837E-2</v>
      </c>
      <c r="P63" s="169">
        <f>(INDEX(Models!$BJ63:$BT63,,T63)*(1-R63)+INDEX(Models!$BJ63:$BT63,,T63+1)*R63-ERP_i)*Q63*Ramure*Pc/MaxiM</f>
        <v>2.6193251644788373E-2</v>
      </c>
      <c r="Q63" s="305">
        <f t="shared" si="4"/>
        <v>0.7</v>
      </c>
      <c r="R63" s="177">
        <f t="shared" si="5"/>
        <v>0.80256485113100684</v>
      </c>
      <c r="S63" s="817">
        <f t="shared" si="6"/>
        <v>-1</v>
      </c>
      <c r="T63" s="176">
        <f t="shared" si="7"/>
        <v>5</v>
      </c>
      <c r="U63" s="251">
        <f t="shared" si="8"/>
        <v>-0.19743514886899322</v>
      </c>
      <c r="V63" s="383">
        <f t="shared" si="9"/>
        <v>21.766720795057513</v>
      </c>
      <c r="W63" s="402">
        <f t="shared" si="10"/>
        <v>18.21714778942528</v>
      </c>
      <c r="X63" s="157">
        <f t="shared" si="11"/>
        <v>44975</v>
      </c>
      <c r="Y63" s="385">
        <f t="shared" si="12"/>
        <v>17.476069379348907</v>
      </c>
      <c r="Z63" s="385">
        <f t="shared" si="22"/>
        <v>18.16529375417614</v>
      </c>
      <c r="AA63" s="386">
        <f t="shared" si="13"/>
        <v>20.965670773245225</v>
      </c>
      <c r="AB63" s="197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0.13356963625712898</v>
      </c>
      <c r="AD63" s="231">
        <f>(INDEX(Models!$BJ63:$BT63,,AH63)*(1-AF63)+INDEX(Models!$BJ63:$BT63,,AH63+1)*AF63-ERP_i)*AE63*Ramure*Pc/MaxiM</f>
        <v>2.6193251644788373E-2</v>
      </c>
      <c r="AE63" s="305">
        <f t="shared" si="15"/>
        <v>0.7</v>
      </c>
      <c r="AF63" s="177">
        <f t="shared" si="23"/>
        <v>0.80256485113100684</v>
      </c>
      <c r="AG63" s="817">
        <f t="shared" si="24"/>
        <v>-1</v>
      </c>
      <c r="AH63" s="176">
        <f t="shared" si="16"/>
        <v>5</v>
      </c>
      <c r="AI63" s="225">
        <f t="shared" si="17"/>
        <v>-0.19743514886899322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44976</v>
      </c>
      <c r="B64" s="411">
        <f>'2022'!Wh/'2022'!Env_an*'2023'!Env_an</f>
        <v>11.74989591819566</v>
      </c>
      <c r="C64" s="846"/>
      <c r="D64" s="393">
        <f t="shared" si="0"/>
        <v>12.213557939992308</v>
      </c>
      <c r="E64" s="385">
        <f t="shared" si="1"/>
        <v>13.524077866529225</v>
      </c>
      <c r="F64" s="385">
        <f t="shared" si="2"/>
        <v>13.638005772605483</v>
      </c>
      <c r="G64" s="110">
        <f t="shared" si="21"/>
        <v>0.52370478440342472</v>
      </c>
      <c r="H64" s="414" t="b">
        <f>Wh_hp&gt;='2022'!Maxi_hp</f>
        <v>0</v>
      </c>
      <c r="I64" s="390">
        <f>IF(H64,Wh_hp,'2022'!Maxi_hp)</f>
        <v>25.212086475297145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3.7962895339319846E-2</v>
      </c>
      <c r="M64" s="850"/>
      <c r="N64" s="850"/>
      <c r="O64" s="48">
        <f>IF(t&lt;Tnet,'2022'!Resal+('2022'!Salim-'2022'!Resal)*(1-EXP(('2022'!Tnet-t)/('2022'!Tau_j))),Resal+(Salim-Resal)*(1-EXP((Tnet-t)/(Tau_j))))*Salcycl</f>
        <v>9.6902719687848485E-2</v>
      </c>
      <c r="P64" s="169">
        <f>(INDEX(Models!$BJ64:$BT64,,T64)*(1-R64)+INDEX(Models!$BJ64:$BT64,,T64+1)*R64-ERP_i)*Q64*Ramure*Pc/MaxiM</f>
        <v>2.5127624485592113E-2</v>
      </c>
      <c r="Q64" s="305">
        <f t="shared" si="4"/>
        <v>0.7</v>
      </c>
      <c r="R64" s="177">
        <f t="shared" si="5"/>
        <v>0.80268868320222464</v>
      </c>
      <c r="S64" s="817">
        <f t="shared" si="6"/>
        <v>-1</v>
      </c>
      <c r="T64" s="176">
        <f t="shared" si="7"/>
        <v>5</v>
      </c>
      <c r="U64" s="251">
        <f t="shared" si="8"/>
        <v>-0.19731131679777533</v>
      </c>
      <c r="V64" s="383">
        <f t="shared" si="9"/>
        <v>22.056594024558937</v>
      </c>
      <c r="W64" s="402">
        <f t="shared" si="10"/>
        <v>11.74989591819566</v>
      </c>
      <c r="X64" s="157">
        <f t="shared" si="11"/>
        <v>44976</v>
      </c>
      <c r="Y64" s="385">
        <f t="shared" si="12"/>
        <v>11.272514611423833</v>
      </c>
      <c r="Z64" s="385">
        <f t="shared" si="22"/>
        <v>11.717338714705562</v>
      </c>
      <c r="AA64" s="386">
        <f t="shared" si="13"/>
        <v>13.524077866529225</v>
      </c>
      <c r="AB64" s="197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0.13359425830393698</v>
      </c>
      <c r="AD64" s="231">
        <f>(INDEX(Models!$BJ64:$BT64,,AH64)*(1-AF64)+INDEX(Models!$BJ64:$BT64,,AH64+1)*AF64-ERP_i)*AE64*Ramure*Pc/MaxiM</f>
        <v>2.5127624485592113E-2</v>
      </c>
      <c r="AE64" s="305">
        <f t="shared" si="15"/>
        <v>0.7</v>
      </c>
      <c r="AF64" s="177">
        <f t="shared" si="23"/>
        <v>0.80268868320222464</v>
      </c>
      <c r="AG64" s="817">
        <f t="shared" si="24"/>
        <v>-1</v>
      </c>
      <c r="AH64" s="176">
        <f t="shared" si="16"/>
        <v>5</v>
      </c>
      <c r="AI64" s="225">
        <f t="shared" si="17"/>
        <v>-0.19731131679777533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44977</v>
      </c>
      <c r="B65" s="411">
        <f>'2022'!Wh/'2022'!Env_an*'2023'!Env_an</f>
        <v>13.203997963279775</v>
      </c>
      <c r="C65" s="846"/>
      <c r="D65" s="393">
        <f t="shared" si="0"/>
        <v>13.725340849211852</v>
      </c>
      <c r="E65" s="385">
        <f t="shared" si="1"/>
        <v>15.199324982197501</v>
      </c>
      <c r="F65" s="385">
        <f t="shared" si="2"/>
        <v>15.352805279310505</v>
      </c>
      <c r="G65" s="110">
        <f t="shared" si="21"/>
        <v>0.58252581860552688</v>
      </c>
      <c r="H65" s="414" t="b">
        <f>Wh_hp&gt;='2022'!Maxi_hp</f>
        <v>0</v>
      </c>
      <c r="I65" s="390">
        <f>IF(H65,Wh_hp,'2022'!Maxi_hp)</f>
        <v>26.392814303463727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3.7983966420915061E-2</v>
      </c>
      <c r="M65" s="850"/>
      <c r="N65" s="850"/>
      <c r="O65" s="48">
        <f>IF(t&lt;Tnet,'2022'!Resal+('2022'!Salim-'2022'!Resal)*(1-EXP(('2022'!Tnet-t)/('2022'!Tau_j))),Resal+(Salim-Resal)*(1-EXP((Tnet-t)/(Tau_j))))*Salcycl</f>
        <v>9.6976946983637777E-2</v>
      </c>
      <c r="P65" s="169">
        <f>(INDEX(Models!$BJ65:$BT65,,T65)*(1-R65)+INDEX(Models!$BJ65:$BT65,,T65+1)*R65-ERP_i)*Q65*Ramure*Pc/MaxiM</f>
        <v>2.4054401327633604E-2</v>
      </c>
      <c r="Q65" s="305">
        <f t="shared" si="4"/>
        <v>0.7</v>
      </c>
      <c r="R65" s="177">
        <f t="shared" si="5"/>
        <v>0.80281760067235186</v>
      </c>
      <c r="S65" s="817">
        <f t="shared" si="6"/>
        <v>-1</v>
      </c>
      <c r="T65" s="176">
        <f t="shared" si="7"/>
        <v>5</v>
      </c>
      <c r="U65" s="251">
        <f t="shared" si="8"/>
        <v>-0.19718239932764811</v>
      </c>
      <c r="V65" s="383">
        <f t="shared" si="9"/>
        <v>22.344946568560612</v>
      </c>
      <c r="W65" s="402">
        <f t="shared" si="10"/>
        <v>13.203997963279775</v>
      </c>
      <c r="X65" s="157">
        <f t="shared" si="11"/>
        <v>44977</v>
      </c>
      <c r="Y65" s="385">
        <f t="shared" si="12"/>
        <v>12.668220670694048</v>
      </c>
      <c r="Z65" s="385">
        <f t="shared" si="22"/>
        <v>13.168409078966381</v>
      </c>
      <c r="AA65" s="386">
        <f t="shared" si="13"/>
        <v>15.199324982197501</v>
      </c>
      <c r="AB65" s="197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0.13361882225755867</v>
      </c>
      <c r="AD65" s="231">
        <f>(INDEX(Models!$BJ65:$BT65,,AH65)*(1-AF65)+INDEX(Models!$BJ65:$BT65,,AH65+1)*AF65-ERP_i)*AE65*Ramure*Pc/MaxiM</f>
        <v>2.4054401327633604E-2</v>
      </c>
      <c r="AE65" s="305">
        <f t="shared" si="15"/>
        <v>0.7</v>
      </c>
      <c r="AF65" s="177">
        <f t="shared" si="23"/>
        <v>0.80281760067235186</v>
      </c>
      <c r="AG65" s="817">
        <f t="shared" si="24"/>
        <v>-1</v>
      </c>
      <c r="AH65" s="176">
        <f t="shared" si="16"/>
        <v>5</v>
      </c>
      <c r="AI65" s="225">
        <f t="shared" si="17"/>
        <v>-0.19718239932764811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44978</v>
      </c>
      <c r="B66" s="411">
        <f>'2022'!Wh/'2022'!Env_an*'2023'!Env_an</f>
        <v>13.67756087335677</v>
      </c>
      <c r="C66" s="846"/>
      <c r="D66" s="393">
        <f t="shared" si="0"/>
        <v>14.217913190819583</v>
      </c>
      <c r="E66" s="385">
        <f t="shared" si="1"/>
        <v>15.746087537840884</v>
      </c>
      <c r="F66" s="385">
        <f t="shared" si="2"/>
        <v>15.904803287073635</v>
      </c>
      <c r="G66" s="110">
        <f t="shared" si="21"/>
        <v>0.59638332542864603</v>
      </c>
      <c r="H66" s="414" t="b">
        <f>Wh_hp&gt;='2022'!Maxi_hp</f>
        <v>0</v>
      </c>
      <c r="I66" s="390">
        <f>IF(H66,Wh_hp,'2022'!Maxi_hp)</f>
        <v>25.140056728294933</v>
      </c>
      <c r="J66" s="85">
        <f>IF(H66,An,'2022'!An_max)</f>
        <v>2019</v>
      </c>
      <c r="K66" s="197">
        <f t="shared" si="3"/>
        <v>44978</v>
      </c>
      <c r="L66" s="147">
        <f>IF(t&lt;Tvie,1-EXP((T0-t)*PertePVj)+'2022'!Pspv,1-EXP((T0-t)*PertePVj)+Pspv)</f>
        <v>3.8005037040999556E-2</v>
      </c>
      <c r="M66" s="850"/>
      <c r="N66" s="850"/>
      <c r="O66" s="48">
        <f>IF(t&lt;Tnet,'2022'!Resal+('2022'!Salim-'2022'!Resal)*(1-EXP(('2022'!Tnet-t)/('2022'!Tau_j))),Resal+(Salim-Resal)*(1-EXP((Tnet-t)/(Tau_j))))*Salcycl</f>
        <v>9.7051051148344267E-2</v>
      </c>
      <c r="P66" s="169">
        <f>(INDEX(Models!$BJ66:$BT66,,T66)*(1-R66)+INDEX(Models!$BJ66:$BT66,,T66+1)*R66-ERP_i)*Q66*Ramure*Pc/MaxiM</f>
        <v>2.2955260998731717E-2</v>
      </c>
      <c r="Q66" s="305">
        <f t="shared" si="4"/>
        <v>0.7</v>
      </c>
      <c r="R66" s="177">
        <f t="shared" si="5"/>
        <v>0.80295180764959551</v>
      </c>
      <c r="S66" s="817">
        <f t="shared" si="6"/>
        <v>-1</v>
      </c>
      <c r="T66" s="176">
        <f t="shared" si="7"/>
        <v>5</v>
      </c>
      <c r="U66" s="251">
        <f t="shared" si="8"/>
        <v>-0.19704819235040447</v>
      </c>
      <c r="V66" s="383">
        <f t="shared" si="9"/>
        <v>22.633580130942459</v>
      </c>
      <c r="W66" s="402">
        <f t="shared" si="10"/>
        <v>13.67756087335677</v>
      </c>
      <c r="X66" s="157">
        <f t="shared" si="11"/>
        <v>44978</v>
      </c>
      <c r="Y66" s="385">
        <f t="shared" si="12"/>
        <v>13.123273731146925</v>
      </c>
      <c r="Z66" s="385">
        <f t="shared" si="22"/>
        <v>13.641728113399935</v>
      </c>
      <c r="AA66" s="386">
        <f t="shared" si="13"/>
        <v>15.746087537840884</v>
      </c>
      <c r="AB66" s="197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0.13364332056352199</v>
      </c>
      <c r="AD66" s="231">
        <f>(INDEX(Models!$BJ66:$BT66,,AH66)*(1-AF66)+INDEX(Models!$BJ66:$BT66,,AH66+1)*AF66-ERP_i)*AE66*Ramure*Pc/MaxiM</f>
        <v>2.2955260998731717E-2</v>
      </c>
      <c r="AE66" s="305">
        <f t="shared" si="15"/>
        <v>0.7</v>
      </c>
      <c r="AF66" s="177">
        <f t="shared" si="23"/>
        <v>0.80295180764959551</v>
      </c>
      <c r="AG66" s="817">
        <f t="shared" si="24"/>
        <v>-1</v>
      </c>
      <c r="AH66" s="176">
        <f t="shared" si="16"/>
        <v>5</v>
      </c>
      <c r="AI66" s="225">
        <f t="shared" si="17"/>
        <v>-0.19704819235040447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44979</v>
      </c>
      <c r="B67" s="411">
        <f>'2022'!Wh/'2022'!Env_an*'2023'!Env_an</f>
        <v>21.324650011162124</v>
      </c>
      <c r="C67" s="846"/>
      <c r="D67" s="393">
        <f t="shared" si="0"/>
        <v>22.167597448080024</v>
      </c>
      <c r="E67" s="385">
        <f t="shared" si="1"/>
        <v>24.552233849291422</v>
      </c>
      <c r="F67" s="385">
        <f t="shared" si="2"/>
        <v>25.045176905979435</v>
      </c>
      <c r="G67" s="110">
        <f t="shared" si="21"/>
        <v>0.92825441299663225</v>
      </c>
      <c r="H67" s="414" t="b">
        <f>Wh_hp&gt;='2022'!Maxi_hp</f>
        <v>0</v>
      </c>
      <c r="I67" s="390">
        <f>IF(H67,Wh_hp,'2022'!Maxi_hp)</f>
        <v>26.553607822777124</v>
      </c>
      <c r="J67" s="85">
        <f>IF(H67,An,'2022'!An_max)</f>
        <v>2019</v>
      </c>
      <c r="K67" s="197">
        <f t="shared" si="3"/>
        <v>44979</v>
      </c>
      <c r="L67" s="147">
        <f>IF(t&lt;Tvie,1-EXP((T0-t)*PertePVj)+'2022'!Pspv,1-EXP((T0-t)*PertePVj)+Pspv)</f>
        <v>3.8026107199583326E-2</v>
      </c>
      <c r="M67" s="850"/>
      <c r="N67" s="850"/>
      <c r="O67" s="48">
        <f>IF(t&lt;Tnet,'2022'!Resal+('2022'!Salim-'2022'!Resal)*(1-EXP(('2022'!Tnet-t)/('2022'!Tau_j))),Resal+(Salim-Resal)*(1-EXP((Tnet-t)/(Tau_j))))*Salcycl</f>
        <v>9.7125028046285811E-2</v>
      </c>
      <c r="P67" s="169">
        <f>(INDEX(Models!$BJ67:$BT67,,T67)*(1-R67)+INDEX(Models!$BJ67:$BT67,,T67+1)*R67-ERP_i)*Q67*Ramure*Pc/MaxiM</f>
        <v>2.1857984114114971E-2</v>
      </c>
      <c r="Q67" s="305">
        <f t="shared" si="4"/>
        <v>0.7</v>
      </c>
      <c r="R67" s="177">
        <f t="shared" si="5"/>
        <v>0.8030915160338431</v>
      </c>
      <c r="S67" s="817">
        <f t="shared" si="6"/>
        <v>-1</v>
      </c>
      <c r="T67" s="176">
        <f t="shared" si="7"/>
        <v>5</v>
      </c>
      <c r="U67" s="251">
        <f t="shared" si="8"/>
        <v>-0.19690848396615693</v>
      </c>
      <c r="V67" s="383">
        <f t="shared" si="9"/>
        <v>22.921862107974007</v>
      </c>
      <c r="W67" s="402">
        <f t="shared" si="10"/>
        <v>21.324650011162124</v>
      </c>
      <c r="X67" s="157">
        <f t="shared" si="11"/>
        <v>44979</v>
      </c>
      <c r="Y67" s="385">
        <f t="shared" si="12"/>
        <v>20.461561847268687</v>
      </c>
      <c r="Z67" s="385">
        <f t="shared" si="22"/>
        <v>21.270392055758112</v>
      </c>
      <c r="AA67" s="386">
        <f t="shared" si="13"/>
        <v>24.552233849291422</v>
      </c>
      <c r="AB67" s="197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0.13366774745133939</v>
      </c>
      <c r="AD67" s="231">
        <f>(INDEX(Models!$BJ67:$BT67,,AH67)*(1-AF67)+INDEX(Models!$BJ67:$BT67,,AH67+1)*AF67-ERP_i)*AE67*Ramure*Pc/MaxiM</f>
        <v>2.1857984114114971E-2</v>
      </c>
      <c r="AE67" s="305">
        <f t="shared" si="15"/>
        <v>0.7</v>
      </c>
      <c r="AF67" s="177">
        <f t="shared" si="23"/>
        <v>0.8030915160338431</v>
      </c>
      <c r="AG67" s="817">
        <f t="shared" si="24"/>
        <v>-1</v>
      </c>
      <c r="AH67" s="176">
        <f t="shared" si="16"/>
        <v>5</v>
      </c>
      <c r="AI67" s="225">
        <f t="shared" si="17"/>
        <v>-0.19690848396615693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44980</v>
      </c>
      <c r="B68" s="411">
        <f>'2022'!Wh/'2022'!Env_an*'2023'!Env_an</f>
        <v>21.818603941164259</v>
      </c>
      <c r="C68" s="846"/>
      <c r="D68" s="393">
        <f t="shared" si="0"/>
        <v>22.681573791504661</v>
      </c>
      <c r="E68" s="385">
        <f t="shared" si="1"/>
        <v>25.123555079918098</v>
      </c>
      <c r="F68" s="385">
        <f t="shared" si="2"/>
        <v>25.609740488598</v>
      </c>
      <c r="G68" s="110">
        <f t="shared" si="21"/>
        <v>0.93835649962172585</v>
      </c>
      <c r="H68" s="414" t="b">
        <f>Wh_hp&gt;='2022'!Maxi_hp</f>
        <v>0</v>
      </c>
      <c r="I68" s="390">
        <f>IF(H68,Wh_hp,'2022'!Maxi_hp)</f>
        <v>27.261868971635646</v>
      </c>
      <c r="J68" s="85">
        <f>IF(H68,An,'2022'!An_max)</f>
        <v>2019</v>
      </c>
      <c r="K68" s="197">
        <f t="shared" si="3"/>
        <v>44980</v>
      </c>
      <c r="L68" s="147">
        <f>IF(t&lt;Tvie,1-EXP((T0-t)*PertePVj)+'2022'!Pspv,1-EXP((T0-t)*PertePVj)+Pspv)</f>
        <v>3.8047176896676582E-2</v>
      </c>
      <c r="M68" s="850"/>
      <c r="N68" s="850"/>
      <c r="O68" s="48">
        <f>IF(t&lt;Tnet,'2022'!Resal+('2022'!Salim-'2022'!Resal)*(1-EXP(('2022'!Tnet-t)/('2022'!Tau_j))),Resal+(Salim-Resal)*(1-EXP((Tnet-t)/(Tau_j))))*Salcycl</f>
        <v>9.7198874946061026E-2</v>
      </c>
      <c r="P68" s="169">
        <f>(INDEX(Models!$BJ68:$BT68,,T68)*(1-R68)+INDEX(Models!$BJ68:$BT68,,T68+1)*R68-ERP_i)*Q68*Ramure*Pc/MaxiM</f>
        <v>2.0762230956244413E-2</v>
      </c>
      <c r="Q68" s="305">
        <f t="shared" si="4"/>
        <v>0.7</v>
      </c>
      <c r="R68" s="177">
        <f t="shared" si="5"/>
        <v>0.80323694578005544</v>
      </c>
      <c r="S68" s="817">
        <f t="shared" si="6"/>
        <v>-1</v>
      </c>
      <c r="T68" s="176">
        <f t="shared" si="7"/>
        <v>5</v>
      </c>
      <c r="U68" s="251">
        <f t="shared" si="8"/>
        <v>-0.19676305421994456</v>
      </c>
      <c r="V68" s="383">
        <f t="shared" si="9"/>
        <v>23.209796468637478</v>
      </c>
      <c r="W68" s="402">
        <f t="shared" si="10"/>
        <v>21.818603941164259</v>
      </c>
      <c r="X68" s="157">
        <f t="shared" si="11"/>
        <v>44980</v>
      </c>
      <c r="Y68" s="385">
        <f t="shared" si="12"/>
        <v>20.936647569871475</v>
      </c>
      <c r="Z68" s="385">
        <f t="shared" si="22"/>
        <v>21.76473426454373</v>
      </c>
      <c r="AA68" s="386">
        <f t="shared" si="13"/>
        <v>25.123555079918098</v>
      </c>
      <c r="AB68" s="197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0.13369209909544841</v>
      </c>
      <c r="AD68" s="231">
        <f>(INDEX(Models!$BJ68:$BT68,,AH68)*(1-AF68)+INDEX(Models!$BJ68:$BT68,,AH68+1)*AF68-ERP_i)*AE68*Ramure*Pc/MaxiM</f>
        <v>2.0762230956244413E-2</v>
      </c>
      <c r="AE68" s="305">
        <f t="shared" si="15"/>
        <v>0.7</v>
      </c>
      <c r="AF68" s="177">
        <f t="shared" si="23"/>
        <v>0.80323694578005544</v>
      </c>
      <c r="AG68" s="817">
        <f t="shared" si="24"/>
        <v>-1</v>
      </c>
      <c r="AH68" s="176">
        <f t="shared" si="16"/>
        <v>5</v>
      </c>
      <c r="AI68" s="225">
        <f t="shared" si="17"/>
        <v>-0.19676305421994456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44981</v>
      </c>
      <c r="B69" s="411">
        <f>'2022'!Wh/'2022'!Env_an*'2023'!Env_an</f>
        <v>14.107715877002539</v>
      </c>
      <c r="C69" s="846"/>
      <c r="D69" s="393">
        <f t="shared" si="0"/>
        <v>14.666025755235331</v>
      </c>
      <c r="E69" s="385">
        <f t="shared" si="1"/>
        <v>16.246350341238116</v>
      </c>
      <c r="F69" s="385">
        <f t="shared" si="2"/>
        <v>16.384639265887863</v>
      </c>
      <c r="G69" s="110">
        <f t="shared" si="21"/>
        <v>0.59359676311249987</v>
      </c>
      <c r="H69" s="414" t="b">
        <f>Wh_hp&gt;='2022'!Maxi_hp</f>
        <v>0</v>
      </c>
      <c r="I69" s="390">
        <f>IF(H69,Wh_hp,'2022'!Maxi_hp)</f>
        <v>27.125715294135134</v>
      </c>
      <c r="J69" s="85">
        <f>IF(H69,An,'2022'!An_max)</f>
        <v>2019</v>
      </c>
      <c r="K69" s="197">
        <f t="shared" si="3"/>
        <v>44981</v>
      </c>
      <c r="L69" s="147">
        <f>IF(t&lt;Tvie,1-EXP((T0-t)*PertePVj)+'2022'!Pspv,1-EXP((T0-t)*PertePVj)+Pspv)</f>
        <v>3.8068246132289318E-2</v>
      </c>
      <c r="M69" s="850"/>
      <c r="N69" s="850"/>
      <c r="O69" s="48">
        <f>IF(t&lt;Tnet,'2022'!Resal+('2022'!Salim-'2022'!Resal)*(1-EXP(('2022'!Tnet-t)/('2022'!Tau_j))),Resal+(Salim-Resal)*(1-EXP((Tnet-t)/(Tau_j))))*Salcycl</f>
        <v>9.7272590631721598E-2</v>
      </c>
      <c r="P69" s="169">
        <f>(INDEX(Models!$BJ69:$BT69,,T69)*(1-R69)+INDEX(Models!$BJ69:$BT69,,T69+1)*R69-ERP_i)*Q69*Ramure*Pc/MaxiM</f>
        <v>1.9667792740953885E-2</v>
      </c>
      <c r="Q69" s="305">
        <f t="shared" si="4"/>
        <v>0.7</v>
      </c>
      <c r="R69" s="177">
        <f t="shared" si="5"/>
        <v>0.80338832516759884</v>
      </c>
      <c r="S69" s="817">
        <f t="shared" si="6"/>
        <v>-1</v>
      </c>
      <c r="T69" s="176">
        <f t="shared" si="7"/>
        <v>5</v>
      </c>
      <c r="U69" s="251">
        <f t="shared" si="8"/>
        <v>-0.19661167483240119</v>
      </c>
      <c r="V69" s="383">
        <f t="shared" si="9"/>
        <v>23.497384380876966</v>
      </c>
      <c r="W69" s="402">
        <f t="shared" si="10"/>
        <v>14.107715877002539</v>
      </c>
      <c r="X69" s="157">
        <f t="shared" si="11"/>
        <v>44981</v>
      </c>
      <c r="Y69" s="385">
        <f t="shared" si="12"/>
        <v>13.538176797370378</v>
      </c>
      <c r="Z69" s="385">
        <f t="shared" si="22"/>
        <v>14.073947286734658</v>
      </c>
      <c r="AA69" s="386">
        <f t="shared" si="13"/>
        <v>16.246350341238116</v>
      </c>
      <c r="AB69" s="197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0.13371637376237347</v>
      </c>
      <c r="AD69" s="231">
        <f>(INDEX(Models!$BJ69:$BT69,,AH69)*(1-AF69)+INDEX(Models!$BJ69:$BT69,,AH69+1)*AF69-ERP_i)*AE69*Ramure*Pc/MaxiM</f>
        <v>1.9667792740953885E-2</v>
      </c>
      <c r="AE69" s="305">
        <f t="shared" si="15"/>
        <v>0.7</v>
      </c>
      <c r="AF69" s="177">
        <f t="shared" si="23"/>
        <v>0.80338832516759884</v>
      </c>
      <c r="AG69" s="817">
        <f t="shared" si="24"/>
        <v>-1</v>
      </c>
      <c r="AH69" s="176">
        <f t="shared" si="16"/>
        <v>5</v>
      </c>
      <c r="AI69" s="225">
        <f t="shared" si="17"/>
        <v>-0.19661167483240119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44982</v>
      </c>
      <c r="B70" s="411">
        <f>'2022'!Wh/'2022'!Env_an*'2023'!Env_an</f>
        <v>19.691545595209529</v>
      </c>
      <c r="C70" s="846"/>
      <c r="D70" s="393">
        <f t="shared" si="0"/>
        <v>20.471282729637284</v>
      </c>
      <c r="E70" s="385">
        <f t="shared" si="1"/>
        <v>22.678996281939195</v>
      </c>
      <c r="F70" s="385">
        <f t="shared" si="2"/>
        <v>23.001199083381874</v>
      </c>
      <c r="G70" s="110">
        <f t="shared" si="21"/>
        <v>0.82407636610037871</v>
      </c>
      <c r="H70" s="414" t="b">
        <f>Wh_hp&gt;='2022'!Maxi_hp</f>
        <v>0</v>
      </c>
      <c r="I70" s="390">
        <f>IF(H70,Wh_hp,'2022'!Maxi_hp)</f>
        <v>27.521029362463523</v>
      </c>
      <c r="J70" s="85">
        <f>IF(H70,An,'2022'!An_max)</f>
        <v>2019</v>
      </c>
      <c r="K70" s="197">
        <f t="shared" si="3"/>
        <v>44982</v>
      </c>
      <c r="L70" s="147">
        <f>IF(t&lt;Tvie,1-EXP((T0-t)*PertePVj)+'2022'!Pspv,1-EXP((T0-t)*PertePVj)+Pspv)</f>
        <v>3.8089314906431859E-2</v>
      </c>
      <c r="M70" s="850"/>
      <c r="N70" s="850"/>
      <c r="O70" s="48">
        <f>IF(t&lt;Tnet,'2022'!Resal+('2022'!Salim-'2022'!Resal)*(1-EXP(('2022'!Tnet-t)/('2022'!Tau_j))),Resal+(Salim-Resal)*(1-EXP((Tnet-t)/(Tau_j))))*Salcycl</f>
        <v>9.7346175503369256E-2</v>
      </c>
      <c r="P70" s="169">
        <f>(INDEX(Models!$BJ70:$BT70,,T70)*(1-R70)+INDEX(Models!$BJ70:$BT70,,T70+1)*R70-ERP_i)*Q70*Ramure*Pc/MaxiM</f>
        <v>1.8574471433539103E-2</v>
      </c>
      <c r="Q70" s="305">
        <f t="shared" si="4"/>
        <v>0.7</v>
      </c>
      <c r="R70" s="177">
        <f t="shared" si="5"/>
        <v>0.80354589107536833</v>
      </c>
      <c r="S70" s="817">
        <f t="shared" si="6"/>
        <v>-1</v>
      </c>
      <c r="T70" s="176">
        <f t="shared" si="7"/>
        <v>5</v>
      </c>
      <c r="U70" s="251">
        <f t="shared" si="8"/>
        <v>-0.19645410892463161</v>
      </c>
      <c r="V70" s="383">
        <f t="shared" si="9"/>
        <v>23.78462694307753</v>
      </c>
      <c r="W70" s="402">
        <f t="shared" si="10"/>
        <v>19.691545595209529</v>
      </c>
      <c r="X70" s="157">
        <f t="shared" si="11"/>
        <v>44982</v>
      </c>
      <c r="Y70" s="385">
        <f t="shared" si="12"/>
        <v>18.897595691658857</v>
      </c>
      <c r="Z70" s="385">
        <f t="shared" si="22"/>
        <v>19.645894348102214</v>
      </c>
      <c r="AA70" s="386">
        <f t="shared" si="13"/>
        <v>22.678996281939195</v>
      </c>
      <c r="AB70" s="197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0.13374057194287933</v>
      </c>
      <c r="AD70" s="231">
        <f>(INDEX(Models!$BJ70:$BT70,,AH70)*(1-AF70)+INDEX(Models!$BJ70:$BT70,,AH70+1)*AF70-ERP_i)*AE70*Ramure*Pc/MaxiM</f>
        <v>1.8574471433539103E-2</v>
      </c>
      <c r="AE70" s="305">
        <f t="shared" si="15"/>
        <v>0.7</v>
      </c>
      <c r="AF70" s="177">
        <f t="shared" si="23"/>
        <v>0.80354589107536833</v>
      </c>
      <c r="AG70" s="817">
        <f t="shared" si="24"/>
        <v>-1</v>
      </c>
      <c r="AH70" s="176">
        <f t="shared" si="16"/>
        <v>5</v>
      </c>
      <c r="AI70" s="225">
        <f t="shared" si="17"/>
        <v>-0.19645410892463161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44983</v>
      </c>
      <c r="B71" s="411">
        <f>'2022'!Wh/'2022'!Env_an*'2023'!Env_an</f>
        <v>24.687295442216435</v>
      </c>
      <c r="C71" s="846"/>
      <c r="D71" s="393">
        <f t="shared" si="0"/>
        <v>25.665414213365075</v>
      </c>
      <c r="E71" s="385">
        <f t="shared" si="1"/>
        <v>28.435599879874694</v>
      </c>
      <c r="F71" s="385">
        <f t="shared" si="2"/>
        <v>28.941558485562066</v>
      </c>
      <c r="G71" s="110">
        <f t="shared" si="21"/>
        <v>1.0255808575206597</v>
      </c>
      <c r="H71" s="414" t="b">
        <f>Wh_hp&gt;='2022'!Maxi_hp</f>
        <v>1</v>
      </c>
      <c r="I71" s="390">
        <f>IF(H71,Wh_hp,'2022'!Maxi_hp)</f>
        <v>28.941558485562066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3.8110383219114086E-2</v>
      </c>
      <c r="M71" s="850"/>
      <c r="N71" s="850"/>
      <c r="O71" s="48">
        <f>IF(t&lt;Tnet,'2022'!Resal+('2022'!Salim-'2022'!Resal)*(1-EXP(('2022'!Tnet-t)/('2022'!Tau_j))),Resal+(Salim-Resal)*(1-EXP((Tnet-t)/(Tau_j))))*Salcycl</f>
        <v>9.7419631666368189E-2</v>
      </c>
      <c r="P71" s="169">
        <f>(INDEX(Models!$BJ71:$BT71,,T71)*(1-R71)+INDEX(Models!$BJ71:$BT71,,T71+1)*R71-ERP_i)*Q71*Ramure*Pc/MaxiM</f>
        <v>1.7482078787836496E-2</v>
      </c>
      <c r="Q71" s="305">
        <f t="shared" si="4"/>
        <v>0.7</v>
      </c>
      <c r="R71" s="177">
        <f t="shared" si="5"/>
        <v>0.80370988926252185</v>
      </c>
      <c r="S71" s="817">
        <f t="shared" si="6"/>
        <v>-1</v>
      </c>
      <c r="T71" s="176">
        <f t="shared" si="7"/>
        <v>5</v>
      </c>
      <c r="U71" s="251">
        <f t="shared" si="8"/>
        <v>-0.19629011073747821</v>
      </c>
      <c r="V71" s="383">
        <f t="shared" si="9"/>
        <v>24.071525186125189</v>
      </c>
      <c r="W71" s="402">
        <f t="shared" si="10"/>
        <v>24.687295442216435</v>
      </c>
      <c r="X71" s="157">
        <f t="shared" si="11"/>
        <v>44983</v>
      </c>
      <c r="Y71" s="385">
        <f t="shared" si="12"/>
        <v>23.693188563642696</v>
      </c>
      <c r="Z71" s="385">
        <f t="shared" si="22"/>
        <v>24.631920493055802</v>
      </c>
      <c r="AA71" s="386">
        <f t="shared" si="13"/>
        <v>28.435599879874694</v>
      </c>
      <c r="AB71" s="197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0.13376469646806882</v>
      </c>
      <c r="AD71" s="231">
        <f>(INDEX(Models!$BJ71:$BT71,,AH71)*(1-AF71)+INDEX(Models!$BJ71:$BT71,,AH71+1)*AF71-ERP_i)*AE71*Ramure*Pc/MaxiM</f>
        <v>1.7482078787836496E-2</v>
      </c>
      <c r="AE71" s="305">
        <f t="shared" si="15"/>
        <v>0.7</v>
      </c>
      <c r="AF71" s="177">
        <f t="shared" si="23"/>
        <v>0.80370988926252185</v>
      </c>
      <c r="AG71" s="817">
        <f t="shared" si="24"/>
        <v>-1</v>
      </c>
      <c r="AH71" s="176">
        <f t="shared" si="16"/>
        <v>5</v>
      </c>
      <c r="AI71" s="225">
        <f t="shared" si="17"/>
        <v>-0.19629011073747821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44984</v>
      </c>
      <c r="B72" s="411">
        <f>'2022'!Wh/'2022'!Env_an*'2023'!Env_an</f>
        <v>16.704869800254023</v>
      </c>
      <c r="C72" s="846"/>
      <c r="D72" s="393">
        <f t="shared" si="0"/>
        <v>17.367102624202481</v>
      </c>
      <c r="E72" s="385">
        <f t="shared" si="1"/>
        <v>19.243176964132651</v>
      </c>
      <c r="F72" s="385">
        <f t="shared" si="2"/>
        <v>19.418687813693833</v>
      </c>
      <c r="G72" s="110">
        <f t="shared" si="21"/>
        <v>0.68071589302680235</v>
      </c>
      <c r="H72" s="414" t="b">
        <f>Wh_hp&gt;='2022'!Maxi_hp</f>
        <v>0</v>
      </c>
      <c r="I72" s="390">
        <f>IF(H72,Wh_hp,'2022'!Maxi_hp)</f>
        <v>28.603433631443369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3.8131451070346212E-2</v>
      </c>
      <c r="M72" s="850"/>
      <c r="N72" s="850"/>
      <c r="O72" s="48">
        <f>IF(t&lt;Tnet,'2022'!Resal+('2022'!Salim-'2022'!Resal)*(1-EXP(('2022'!Tnet-t)/('2022'!Tau_j))),Resal+(Salim-Resal)*(1-EXP((Tnet-t)/(Tau_j))))*Salcycl</f>
        <v>9.749296300849826E-2</v>
      </c>
      <c r="P72" s="169">
        <f>(INDEX(Models!$BJ72:$BT72,,T72)*(1-R72)+INDEX(Models!$BJ72:$BT72,,T72+1)*R72-ERP_i)*Q72*Ramure*Pc/MaxiM</f>
        <v>1.6398679699792962E-2</v>
      </c>
      <c r="Q72" s="305">
        <f t="shared" si="4"/>
        <v>0.7</v>
      </c>
      <c r="R72" s="177">
        <f t="shared" si="5"/>
        <v>0.80388057465460094</v>
      </c>
      <c r="S72" s="817">
        <f t="shared" si="6"/>
        <v>-1</v>
      </c>
      <c r="T72" s="176">
        <f t="shared" si="7"/>
        <v>5</v>
      </c>
      <c r="U72" s="251">
        <f t="shared" si="8"/>
        <v>-0.19611942534539911</v>
      </c>
      <c r="V72" s="383">
        <f t="shared" si="9"/>
        <v>24.357875914642101</v>
      </c>
      <c r="W72" s="402">
        <f t="shared" si="10"/>
        <v>16.704869800254023</v>
      </c>
      <c r="X72" s="157">
        <f t="shared" si="11"/>
        <v>44984</v>
      </c>
      <c r="Y72" s="385">
        <f t="shared" si="12"/>
        <v>16.03305626892945</v>
      </c>
      <c r="Z72" s="385">
        <f t="shared" si="22"/>
        <v>16.66865632187546</v>
      </c>
      <c r="AA72" s="386">
        <f t="shared" si="13"/>
        <v>19.243176964132651</v>
      </c>
      <c r="AB72" s="197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0.13378875260856563</v>
      </c>
      <c r="AD72" s="231">
        <f>(INDEX(Models!$BJ72:$BT72,,AH72)*(1-AF72)+INDEX(Models!$BJ72:$BT72,,AH72+1)*AF72-ERP_i)*AE72*Ramure*Pc/MaxiM</f>
        <v>1.6398679699792962E-2</v>
      </c>
      <c r="AE72" s="305">
        <f t="shared" si="15"/>
        <v>0.7</v>
      </c>
      <c r="AF72" s="177">
        <f t="shared" si="23"/>
        <v>0.80388057465460094</v>
      </c>
      <c r="AG72" s="817">
        <f t="shared" si="24"/>
        <v>-1</v>
      </c>
      <c r="AH72" s="176">
        <f t="shared" si="16"/>
        <v>5</v>
      </c>
      <c r="AI72" s="225">
        <f t="shared" si="17"/>
        <v>-0.19611942534539911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44985</v>
      </c>
      <c r="B73" s="411">
        <f>'2022'!Wh/'2022'!Env_an*'2023'!Env_an</f>
        <v>21.854778591835938</v>
      </c>
      <c r="C73" s="846"/>
      <c r="D73" s="393">
        <f t="shared" si="0"/>
        <v>22.721667427821004</v>
      </c>
      <c r="E73" s="385">
        <f t="shared" si="1"/>
        <v>25.178208977795048</v>
      </c>
      <c r="F73" s="385">
        <f t="shared" si="2"/>
        <v>25.506031852388912</v>
      </c>
      <c r="G73" s="110">
        <f t="shared" si="21"/>
        <v>0.88461100043946927</v>
      </c>
      <c r="H73" s="414" t="b">
        <f>Wh_hp&gt;='2022'!Maxi_hp</f>
        <v>0</v>
      </c>
      <c r="I73" s="390">
        <f>IF(H73,Wh_hp,'2022'!Maxi_hp)</f>
        <v>25.521075885672495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3.815251846013834E-2</v>
      </c>
      <c r="M73" s="850"/>
      <c r="N73" s="850"/>
      <c r="O73" s="48">
        <f>IF(t&lt;Tnet,'2022'!Resal+('2022'!Salim-'2022'!Resal)*(1-EXP(('2022'!Tnet-t)/('2022'!Tau_j))),Resal+(Salim-Resal)*(1-EXP((Tnet-t)/(Tau_j))))*Salcycl</f>
        <v>9.7566175264511446E-2</v>
      </c>
      <c r="P73" s="169">
        <f>(INDEX(Models!$BJ73:$BT73,,T73)*(1-R73)+INDEX(Models!$BJ73:$BT73,,T73+1)*R73-ERP_i)*Q73*Ramure*Pc/MaxiM</f>
        <v>1.5331211040232299E-2</v>
      </c>
      <c r="Q73" s="305">
        <f t="shared" si="4"/>
        <v>0.7</v>
      </c>
      <c r="R73" s="177">
        <f t="shared" si="5"/>
        <v>0.80405821163477986</v>
      </c>
      <c r="S73" s="817">
        <f t="shared" si="6"/>
        <v>-1</v>
      </c>
      <c r="T73" s="176">
        <f t="shared" si="7"/>
        <v>5</v>
      </c>
      <c r="U73" s="251">
        <f t="shared" si="8"/>
        <v>-0.19594178836522019</v>
      </c>
      <c r="V73" s="383">
        <f t="shared" si="9"/>
        <v>24.643495624821888</v>
      </c>
      <c r="W73" s="402">
        <f t="shared" si="10"/>
        <v>21.854778591835938</v>
      </c>
      <c r="X73" s="157">
        <f t="shared" si="11"/>
        <v>44985</v>
      </c>
      <c r="Y73" s="385">
        <f t="shared" si="12"/>
        <v>20.976973700722702</v>
      </c>
      <c r="Z73" s="385">
        <f t="shared" si="22"/>
        <v>21.80904364082733</v>
      </c>
      <c r="AA73" s="386">
        <f t="shared" si="13"/>
        <v>25.178208977795048</v>
      </c>
      <c r="AB73" s="197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0.1338127481561148</v>
      </c>
      <c r="AD73" s="231">
        <f>(INDEX(Models!$BJ73:$BT73,,AH73)*(1-AF73)+INDEX(Models!$BJ73:$BT73,,AH73+1)*AF73-ERP_i)*AE73*Ramure*Pc/MaxiM</f>
        <v>1.5331211040232299E-2</v>
      </c>
      <c r="AE73" s="305">
        <f t="shared" si="15"/>
        <v>0.7</v>
      </c>
      <c r="AF73" s="177">
        <f t="shared" si="23"/>
        <v>0.80405821163477986</v>
      </c>
      <c r="AG73" s="817">
        <f t="shared" si="24"/>
        <v>-1</v>
      </c>
      <c r="AH73" s="176">
        <f t="shared" si="16"/>
        <v>5</v>
      </c>
      <c r="AI73" s="225">
        <f t="shared" si="17"/>
        <v>-0.19594178836522019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44986</v>
      </c>
      <c r="B74" s="411">
        <f>'2022'!Wh/'2022'!Env_an*'2023'!Env_an</f>
        <v>24.541601769626809</v>
      </c>
      <c r="C74" s="846"/>
      <c r="D74" s="393">
        <f t="shared" si="0"/>
        <v>25.515624645783554</v>
      </c>
      <c r="E74" s="385">
        <f t="shared" si="1"/>
        <v>28.276523976566278</v>
      </c>
      <c r="F74" s="385">
        <f t="shared" si="2"/>
        <v>28.676926717553513</v>
      </c>
      <c r="G74" s="110">
        <f t="shared" si="21"/>
        <v>0.98416822468210741</v>
      </c>
      <c r="H74" s="414" t="b">
        <f>Wh_hp&gt;='2022'!Maxi_hp</f>
        <v>0</v>
      </c>
      <c r="I74" s="390">
        <f>IF(H74,Wh_hp,'2022'!Maxi_hp)</f>
        <v>28.679109175623339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3.8173585388500464E-2</v>
      </c>
      <c r="M74" s="850"/>
      <c r="N74" s="850"/>
      <c r="O74" s="48">
        <f>IF(t&lt;Tnet,'2022'!Resal+('2022'!Salim-'2022'!Resal)*(1-EXP(('2022'!Tnet-t)/('2022'!Tau_j))),Resal+(Salim-Resal)*(1-EXP((Tnet-t)/(Tau_j))))*Salcycl</f>
        <v>9.7639276067694028E-2</v>
      </c>
      <c r="P74" s="169">
        <f>(INDEX(Models!$BJ74:$BT74,,T74)*(1-R74)+INDEX(Models!$BJ74:$BT74,,T74+1)*R74-ERP_i)*Q74*Ramure*Pc/MaxiM</f>
        <v>1.4279040673790145E-2</v>
      </c>
      <c r="Q74" s="305">
        <f t="shared" si="4"/>
        <v>0.7</v>
      </c>
      <c r="R74" s="177">
        <f t="shared" si="5"/>
        <v>0.80424307433993125</v>
      </c>
      <c r="S74" s="817">
        <f t="shared" si="6"/>
        <v>-1</v>
      </c>
      <c r="T74" s="176">
        <f t="shared" si="7"/>
        <v>5</v>
      </c>
      <c r="U74" s="251">
        <f t="shared" si="8"/>
        <v>-0.19575692566006872</v>
      </c>
      <c r="V74" s="383">
        <f t="shared" si="9"/>
        <v>24.928384940731476</v>
      </c>
      <c r="W74" s="402">
        <f t="shared" si="10"/>
        <v>24.541601769626809</v>
      </c>
      <c r="X74" s="157">
        <f t="shared" si="11"/>
        <v>44986</v>
      </c>
      <c r="Y74" s="385">
        <f t="shared" si="12"/>
        <v>23.557136710547688</v>
      </c>
      <c r="Z74" s="385">
        <f t="shared" si="22"/>
        <v>24.492087504233158</v>
      </c>
      <c r="AA74" s="386">
        <f t="shared" si="13"/>
        <v>28.276523976566278</v>
      </c>
      <c r="AB74" s="197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0.13383669348712773</v>
      </c>
      <c r="AD74" s="231">
        <f>(INDEX(Models!$BJ74:$BT74,,AH74)*(1-AF74)+INDEX(Models!$BJ74:$BT74,,AH74+1)*AF74-ERP_i)*AE74*Ramure*Pc/MaxiM</f>
        <v>1.4279040673790145E-2</v>
      </c>
      <c r="AE74" s="305">
        <f t="shared" si="15"/>
        <v>0.7</v>
      </c>
      <c r="AF74" s="177">
        <f t="shared" si="23"/>
        <v>0.80424307433993125</v>
      </c>
      <c r="AG74" s="817">
        <f t="shared" si="24"/>
        <v>-1</v>
      </c>
      <c r="AH74" s="176">
        <f t="shared" si="16"/>
        <v>5</v>
      </c>
      <c r="AI74" s="225">
        <f t="shared" si="17"/>
        <v>-0.19575692566006872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44987</v>
      </c>
      <c r="B75" s="411">
        <f>'2022'!Wh/'2022'!Env_an*'2023'!Env_an</f>
        <v>9.0318212667582181</v>
      </c>
      <c r="C75" s="846"/>
      <c r="D75" s="393">
        <f t="shared" si="0"/>
        <v>9.3904876742281918</v>
      </c>
      <c r="E75" s="385">
        <f t="shared" si="1"/>
        <v>10.407420398083266</v>
      </c>
      <c r="F75" s="385">
        <f t="shared" si="2"/>
        <v>10.418896371671138</v>
      </c>
      <c r="G75" s="110">
        <f t="shared" si="21"/>
        <v>0.3538735688592628</v>
      </c>
      <c r="H75" s="414" t="b">
        <f>Wh_hp&gt;='2022'!Maxi_hp</f>
        <v>0</v>
      </c>
      <c r="I75" s="390">
        <f>IF(H75,Wh_hp,'2022'!Maxi_hp)</f>
        <v>19.932639932535867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3.8194651855442907E-2</v>
      </c>
      <c r="M75" s="850"/>
      <c r="N75" s="850"/>
      <c r="O75" s="48">
        <f>IF(t&lt;Tnet,'2022'!Resal+('2022'!Salim-'2022'!Resal)*(1-EXP(('2022'!Tnet-t)/('2022'!Tau_j))),Resal+(Salim-Resal)*(1-EXP((Tnet-t)/(Tau_j))))*Salcycl</f>
        <v>9.7712274988177028E-2</v>
      </c>
      <c r="P75" s="169">
        <f>(INDEX(Models!$BJ75:$BT75,,T75)*(1-R75)+INDEX(Models!$BJ75:$BT75,,T75+1)*R75-ERP_i)*Q75*Ramure*Pc/MaxiM</f>
        <v>1.3241565768132147E-2</v>
      </c>
      <c r="Q75" s="305">
        <f t="shared" si="4"/>
        <v>0.7</v>
      </c>
      <c r="R75" s="177">
        <f t="shared" si="5"/>
        <v>0.80443544696115288</v>
      </c>
      <c r="S75" s="817">
        <f t="shared" si="6"/>
        <v>-1</v>
      </c>
      <c r="T75" s="176">
        <f t="shared" si="7"/>
        <v>5</v>
      </c>
      <c r="U75" s="251">
        <f t="shared" si="8"/>
        <v>-0.19556455303884715</v>
      </c>
      <c r="V75" s="383">
        <f t="shared" si="9"/>
        <v>25.212544424353379</v>
      </c>
      <c r="W75" s="402">
        <f t="shared" si="10"/>
        <v>9.0318212667582181</v>
      </c>
      <c r="X75" s="157">
        <f t="shared" si="11"/>
        <v>44987</v>
      </c>
      <c r="Y75" s="385">
        <f t="shared" si="12"/>
        <v>8.6699796766851644</v>
      </c>
      <c r="Z75" s="385">
        <f t="shared" si="22"/>
        <v>9.0142768424095792</v>
      </c>
      <c r="AA75" s="386">
        <f t="shared" si="13"/>
        <v>10.407420398083266</v>
      </c>
      <c r="AB75" s="197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0.13386060160789331</v>
      </c>
      <c r="AD75" s="231">
        <f>(INDEX(Models!$BJ75:$BT75,,AH75)*(1-AF75)+INDEX(Models!$BJ75:$BT75,,AH75+1)*AF75-ERP_i)*AE75*Ramure*Pc/MaxiM</f>
        <v>1.3241565768132147E-2</v>
      </c>
      <c r="AE75" s="305">
        <f t="shared" si="15"/>
        <v>0.7</v>
      </c>
      <c r="AF75" s="177">
        <f t="shared" si="23"/>
        <v>0.80443544696115288</v>
      </c>
      <c r="AG75" s="817">
        <f t="shared" si="24"/>
        <v>-1</v>
      </c>
      <c r="AH75" s="176">
        <f t="shared" si="16"/>
        <v>5</v>
      </c>
      <c r="AI75" s="225">
        <f t="shared" si="17"/>
        <v>-0.19556455303884715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44988</v>
      </c>
      <c r="B76" s="411">
        <f>'2022'!Wh/'2022'!Env_an*'2023'!Env_an</f>
        <v>23.184608598268053</v>
      </c>
      <c r="C76" s="846"/>
      <c r="D76" s="393">
        <f t="shared" si="0"/>
        <v>24.105830204154611</v>
      </c>
      <c r="E76" s="385">
        <f t="shared" si="1"/>
        <v>26.718504024591091</v>
      </c>
      <c r="F76" s="385">
        <f t="shared" si="2"/>
        <v>27.00573282913783</v>
      </c>
      <c r="G76" s="110">
        <f t="shared" si="21"/>
        <v>0.90788950319804962</v>
      </c>
      <c r="H76" s="414" t="b">
        <f>Wh_hp&gt;='2022'!Maxi_hp</f>
        <v>0</v>
      </c>
      <c r="I76" s="390">
        <f>IF(H76,Wh_hp,'2022'!Maxi_hp)</f>
        <v>27.01618388081711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3.8215717860975662E-2</v>
      </c>
      <c r="M76" s="850"/>
      <c r="N76" s="850"/>
      <c r="O76" s="48">
        <f>IF(t&lt;Tnet,'2022'!Resal+('2022'!Salim-'2022'!Resal)*(1-EXP(('2022'!Tnet-t)/('2022'!Tau_j))),Resal+(Salim-Resal)*(1-EXP((Tnet-t)/(Tau_j))))*Salcycl</f>
        <v>9.7785183557875688E-2</v>
      </c>
      <c r="P76" s="169">
        <f>(INDEX(Models!$BJ76:$BT76,,T76)*(1-R76)+INDEX(Models!$BJ76:$BT76,,T76+1)*R76-ERP_i)*Q76*Ramure*Pc/MaxiM</f>
        <v>1.2218210588315299E-2</v>
      </c>
      <c r="Q76" s="305">
        <f t="shared" si="4"/>
        <v>0.7</v>
      </c>
      <c r="R76" s="177">
        <f t="shared" si="5"/>
        <v>0.80463562404834144</v>
      </c>
      <c r="S76" s="817">
        <f t="shared" si="6"/>
        <v>-1</v>
      </c>
      <c r="T76" s="176">
        <f t="shared" si="7"/>
        <v>5</v>
      </c>
      <c r="U76" s="251">
        <f t="shared" si="8"/>
        <v>-0.19536437595165862</v>
      </c>
      <c r="V76" s="383">
        <f t="shared" si="9"/>
        <v>25.495974583882127</v>
      </c>
      <c r="W76" s="402">
        <f t="shared" si="10"/>
        <v>23.184608598268053</v>
      </c>
      <c r="X76" s="157">
        <f t="shared" si="11"/>
        <v>44988</v>
      </c>
      <c r="Y76" s="385">
        <f t="shared" si="12"/>
        <v>22.256948984268657</v>
      </c>
      <c r="Z76" s="385">
        <f t="shared" si="22"/>
        <v>23.141310788286983</v>
      </c>
      <c r="AA76" s="386">
        <f t="shared" si="13"/>
        <v>26.718504024591091</v>
      </c>
      <c r="AB76" s="197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0.13388448818136456</v>
      </c>
      <c r="AD76" s="231">
        <f>(INDEX(Models!$BJ76:$BT76,,AH76)*(1-AF76)+INDEX(Models!$BJ76:$BT76,,AH76+1)*AF76-ERP_i)*AE76*Ramure*Pc/MaxiM</f>
        <v>1.2218210588315299E-2</v>
      </c>
      <c r="AE76" s="305">
        <f t="shared" si="15"/>
        <v>0.7</v>
      </c>
      <c r="AF76" s="177">
        <f t="shared" si="23"/>
        <v>0.80463562404834144</v>
      </c>
      <c r="AG76" s="817">
        <f t="shared" si="24"/>
        <v>-1</v>
      </c>
      <c r="AH76" s="176">
        <f t="shared" si="16"/>
        <v>5</v>
      </c>
      <c r="AI76" s="225">
        <f t="shared" si="17"/>
        <v>-0.19536437595165862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44989</v>
      </c>
      <c r="B77" s="411">
        <f>'2022'!Wh/'2022'!Env_an*'2023'!Env_an</f>
        <v>3.541394629032367</v>
      </c>
      <c r="C77" s="846"/>
      <c r="D77" s="393">
        <f t="shared" si="0"/>
        <v>3.6821897198050721</v>
      </c>
      <c r="E77" s="385">
        <f t="shared" si="1"/>
        <v>4.0816077537466535</v>
      </c>
      <c r="F77" s="385">
        <f t="shared" si="2"/>
        <v>4.0816077537466535</v>
      </c>
      <c r="G77" s="110">
        <f t="shared" si="21"/>
        <v>0.13583712332351169</v>
      </c>
      <c r="H77" s="414" t="b">
        <f>Wh_hp&gt;='2022'!Maxi_hp</f>
        <v>0</v>
      </c>
      <c r="I77" s="390">
        <f>IF(H77,Wh_hp,'2022'!Maxi_hp)</f>
        <v>21.87797527558812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3.8236783405108832E-2</v>
      </c>
      <c r="M77" s="850"/>
      <c r="N77" s="850"/>
      <c r="O77" s="48">
        <f>IF(t&lt;Tnet,'2022'!Resal+('2022'!Salim-'2022'!Resal)*(1-EXP(('2022'!Tnet-t)/('2022'!Tau_j))),Resal+(Salim-Resal)*(1-EXP((Tnet-t)/(Tau_j))))*Salcycl</f>
        <v>9.7858015282076383E-2</v>
      </c>
      <c r="P77" s="169">
        <f>(INDEX(Models!$BJ77:$BT77,,T77)*(1-R77)+INDEX(Models!$BJ77:$BT77,,T77+1)*R77-ERP_i)*Q77*Ramure*Pc/MaxiM</f>
        <v>1.120842441153167E-2</v>
      </c>
      <c r="Q77" s="305">
        <f t="shared" si="4"/>
        <v>0.7</v>
      </c>
      <c r="R77" s="177">
        <f t="shared" si="5"/>
        <v>0.80484391081834628</v>
      </c>
      <c r="S77" s="817">
        <f t="shared" si="6"/>
        <v>-1</v>
      </c>
      <c r="T77" s="176">
        <f t="shared" si="7"/>
        <v>5</v>
      </c>
      <c r="U77" s="251">
        <f t="shared" si="8"/>
        <v>-0.19515608918165372</v>
      </c>
      <c r="V77" s="383">
        <f t="shared" si="9"/>
        <v>25.778675882893587</v>
      </c>
      <c r="W77" s="402">
        <f t="shared" si="10"/>
        <v>3.541394629032367</v>
      </c>
      <c r="X77" s="157">
        <f t="shared" si="11"/>
        <v>44989</v>
      </c>
      <c r="Y77" s="385">
        <f t="shared" si="12"/>
        <v>3.3998775062582571</v>
      </c>
      <c r="Z77" s="385">
        <f t="shared" si="22"/>
        <v>3.5350463061952762</v>
      </c>
      <c r="AA77" s="386">
        <f t="shared" si="13"/>
        <v>4.0816077537466535</v>
      </c>
      <c r="AB77" s="197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0.13390837153562071</v>
      </c>
      <c r="AD77" s="231">
        <f>(INDEX(Models!$BJ77:$BT77,,AH77)*(1-AF77)+INDEX(Models!$BJ77:$BT77,,AH77+1)*AF77-ERP_i)*AE77*Ramure*Pc/MaxiM</f>
        <v>1.120842441153167E-2</v>
      </c>
      <c r="AE77" s="305">
        <f t="shared" si="15"/>
        <v>0.7</v>
      </c>
      <c r="AF77" s="177">
        <f t="shared" si="23"/>
        <v>0.80484391081834628</v>
      </c>
      <c r="AG77" s="817">
        <f t="shared" si="24"/>
        <v>-1</v>
      </c>
      <c r="AH77" s="176">
        <f t="shared" si="16"/>
        <v>5</v>
      </c>
      <c r="AI77" s="225">
        <f t="shared" si="17"/>
        <v>-0.19515608918165372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44990</v>
      </c>
      <c r="B78" s="411">
        <f>'2022'!Wh/'2022'!Env_an*'2023'!Env_an</f>
        <v>9.0828154261195255</v>
      </c>
      <c r="C78" s="846"/>
      <c r="D78" s="393">
        <f t="shared" si="0"/>
        <v>9.4441274221355602</v>
      </c>
      <c r="E78" s="385">
        <f t="shared" si="1"/>
        <v>10.469404422379215</v>
      </c>
      <c r="F78" s="385">
        <f t="shared" si="2"/>
        <v>10.476821003646084</v>
      </c>
      <c r="G78" s="110">
        <f t="shared" si="21"/>
        <v>0.34521140741713624</v>
      </c>
      <c r="H78" s="414" t="b">
        <f>Wh_hp&gt;='2022'!Maxi_hp</f>
        <v>0</v>
      </c>
      <c r="I78" s="390">
        <f>IF(H78,Wh_hp,'2022'!Maxi_hp)</f>
        <v>29.771929629009751</v>
      </c>
      <c r="J78" s="85">
        <f>IF(H78,An,'2022'!An_max)</f>
        <v>2019</v>
      </c>
      <c r="K78" s="197">
        <f t="shared" si="3"/>
        <v>44990</v>
      </c>
      <c r="L78" s="147">
        <f>IF(t&lt;Tvie,1-EXP((T0-t)*PertePVj)+'2022'!Pspv,1-EXP((T0-t)*PertePVj)+Pspv)</f>
        <v>3.8257848487852408E-2</v>
      </c>
      <c r="M78" s="850"/>
      <c r="N78" s="850"/>
      <c r="O78" s="48">
        <f>IF(t&lt;Tnet,'2022'!Resal+('2022'!Salim-'2022'!Resal)*(1-EXP(('2022'!Tnet-t)/('2022'!Tau_j))),Resal+(Salim-Resal)*(1-EXP((Tnet-t)/(Tau_j))))*Salcycl</f>
        <v>9.7930785637819123E-2</v>
      </c>
      <c r="P78" s="169">
        <f>(INDEX(Models!$BJ78:$BT78,,T78)*(1-R78)+INDEX(Models!$BJ78:$BT78,,T78+1)*R78-ERP_i)*Q78*Ramure*Pc/MaxiM</f>
        <v>1.0211679554801989E-2</v>
      </c>
      <c r="Q78" s="305">
        <f t="shared" si="4"/>
        <v>0.7</v>
      </c>
      <c r="R78" s="177">
        <f t="shared" si="5"/>
        <v>0.80506062346616691</v>
      </c>
      <c r="S78" s="817">
        <f t="shared" si="6"/>
        <v>-1</v>
      </c>
      <c r="T78" s="176">
        <f t="shared" si="7"/>
        <v>5</v>
      </c>
      <c r="U78" s="251">
        <f t="shared" si="8"/>
        <v>-0.19493937653383311</v>
      </c>
      <c r="V78" s="383">
        <f t="shared" si="9"/>
        <v>26.060648754345365</v>
      </c>
      <c r="W78" s="402">
        <f t="shared" si="10"/>
        <v>9.0828154261195255</v>
      </c>
      <c r="X78" s="157">
        <f t="shared" si="11"/>
        <v>44990</v>
      </c>
      <c r="Y78" s="385">
        <f t="shared" si="12"/>
        <v>8.7203212223154907</v>
      </c>
      <c r="Z78" s="385">
        <f t="shared" si="22"/>
        <v>9.0672132947532003</v>
      </c>
      <c r="AA78" s="386">
        <f t="shared" si="13"/>
        <v>10.469404422379215</v>
      </c>
      <c r="AB78" s="197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0.13393227265427962</v>
      </c>
      <c r="AD78" s="231">
        <f>(INDEX(Models!$BJ78:$BT78,,AH78)*(1-AF78)+INDEX(Models!$BJ78:$BT78,,AH78+1)*AF78-ERP_i)*AE78*Ramure*Pc/MaxiM</f>
        <v>1.0211679554801989E-2</v>
      </c>
      <c r="AE78" s="305">
        <f t="shared" si="15"/>
        <v>0.7</v>
      </c>
      <c r="AF78" s="177">
        <f t="shared" si="23"/>
        <v>0.80506062346616691</v>
      </c>
      <c r="AG78" s="817">
        <f t="shared" si="24"/>
        <v>-1</v>
      </c>
      <c r="AH78" s="176">
        <f t="shared" si="16"/>
        <v>5</v>
      </c>
      <c r="AI78" s="225">
        <f t="shared" si="17"/>
        <v>-0.19493937653383311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44991</v>
      </c>
      <c r="B79" s="411">
        <f>'2022'!Wh/'2022'!Env_an*'2023'!Env_an</f>
        <v>12.359435225757476</v>
      </c>
      <c r="C79" s="846"/>
      <c r="D79" s="393">
        <f t="shared" ref="D79:D142" si="25">Wh/(1-Ppv)</f>
        <v>12.851371769038751</v>
      </c>
      <c r="E79" s="385">
        <f t="shared" si="1"/>
        <v>14.247696017508638</v>
      </c>
      <c r="F79" s="385">
        <f t="shared" ref="F79:F142" si="26">Wh_sa/(1-Pvg*MEDIAN((-Sdif+Wh/Env_an)/Csdif,0,1))</f>
        <v>14.279540307322161</v>
      </c>
      <c r="G79" s="110">
        <f t="shared" si="21"/>
        <v>0.46588854612951447</v>
      </c>
      <c r="H79" s="414" t="b">
        <f>Wh_hp&gt;='2022'!Maxi_hp</f>
        <v>0</v>
      </c>
      <c r="I79" s="390">
        <f>IF(H79,Wh_hp,'2022'!Maxi_hp)</f>
        <v>15.983360810169867</v>
      </c>
      <c r="J79" s="85">
        <f>IF(H79,An,'2022'!An_max)</f>
        <v>2019</v>
      </c>
      <c r="K79" s="197">
        <f t="shared" ref="K79:K142" si="27">t</f>
        <v>44991</v>
      </c>
      <c r="L79" s="147">
        <f>IF(t&lt;Tvie,1-EXP((T0-t)*PertePVj)+'2022'!Pspv,1-EXP((T0-t)*PertePVj)+Pspv)</f>
        <v>3.8278913109216717E-2</v>
      </c>
      <c r="M79" s="850"/>
      <c r="N79" s="850"/>
      <c r="O79" s="48">
        <f>IF(t&lt;Tnet,'2022'!Resal+('2022'!Salim-'2022'!Resal)*(1-EXP(('2022'!Tnet-t)/('2022'!Tau_j))),Resal+(Salim-Resal)*(1-EXP((Tnet-t)/(Tau_j))))*Salcycl</f>
        <v>9.8003512059351733E-2</v>
      </c>
      <c r="P79" s="169">
        <f>(INDEX(Models!$BJ79:$BT79,,T79)*(1-R79)+INDEX(Models!$BJ79:$BT79,,T79+1)*R79-ERP_i)*Q79*Ramure*Pc/MaxiM</f>
        <v>9.227190245860991E-3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0.80528608947859381</v>
      </c>
      <c r="S79" s="817">
        <f t="shared" ref="S79:S142" si="30">INDEX(Echel_vg,T79)</f>
        <v>-1</v>
      </c>
      <c r="T79" s="176">
        <f t="shared" ref="T79:T142" si="31">MIN(MATCH(Hp_vg,Echel_vg),10)</f>
        <v>5</v>
      </c>
      <c r="U79" s="251">
        <f t="shared" ref="U79:U142" si="32">IF(OR(t&lt;Ttai,Notai),Hdd+PousH*Croivg,Hdtf+PousH*(Croivg-Croi_tai))</f>
        <v>-0.19471391052140621</v>
      </c>
      <c r="V79" s="383">
        <f t="shared" ref="V79:V142" si="33">MaxiM*(1-Ppv)*(1-Pvg)*(1-Psa)</f>
        <v>26.342698295224537</v>
      </c>
      <c r="W79" s="402">
        <f t="shared" ref="W79:W142" si="34">Wh*(A79&gt;Tmaj)</f>
        <v>12.359435225757476</v>
      </c>
      <c r="X79" s="157">
        <f t="shared" ref="X79:X142" si="35">t</f>
        <v>44991</v>
      </c>
      <c r="Y79" s="385">
        <f t="shared" ref="Y79:Y142" si="36">Wh_pvt_s*(1-Ppv)</f>
        <v>11.866800153479392</v>
      </c>
      <c r="Z79" s="385">
        <f t="shared" ref="Z79:Z142" si="37">Wh_sa_s*(1-Psa_s)</f>
        <v>12.339128584405294</v>
      </c>
      <c r="AA79" s="386">
        <f t="shared" ref="AA79:AA142" si="38">Wh_hp*(1-Pvg_s*MEDIAN((-Sdif+Wh/Env_an)/Csdif,0,1))</f>
        <v>14.247696017508638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0.13395621514930919</v>
      </c>
      <c r="AD79" s="231">
        <f>(INDEX(Models!$BJ79:$BT79,,AH79)*(1-AF79)+INDEX(Models!$BJ79:$BT79,,AH79+1)*AF79-ERP_i)*AE79*Ramure*Pc/MaxiM</f>
        <v>9.227190245860991E-3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0.80528608947859381</v>
      </c>
      <c r="AG79" s="817">
        <f t="shared" si="24"/>
        <v>-1</v>
      </c>
      <c r="AH79" s="176">
        <f t="shared" ref="AH79:AH142" si="42">MIN(MATCH(Hp_vg_s,Echel_vg),10)</f>
        <v>5</v>
      </c>
      <c r="AI79" s="225">
        <f t="shared" ref="AI79:AI142" si="43">IF(OR(t&lt;Ttai,Notai),Hdd_s+PousH*Croivg,Hdtai_s+PousH*(Croivg-Croi_tai))</f>
        <v>-0.19471391052140621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44992</v>
      </c>
      <c r="B80" s="411">
        <f>'2022'!Wh/'2022'!Env_an*'2023'!Env_an</f>
        <v>23.436046227090316</v>
      </c>
      <c r="C80" s="846"/>
      <c r="D80" s="393">
        <f t="shared" si="25"/>
        <v>24.369393441982734</v>
      </c>
      <c r="E80" s="385">
        <f t="shared" ref="E80:E143" si="47">Wh_pvt/(1-Psa)</f>
        <v>27.019348882744016</v>
      </c>
      <c r="F80" s="385">
        <f t="shared" si="26"/>
        <v>27.206168880409802</v>
      </c>
      <c r="G80" s="110">
        <f t="shared" ref="G80:G143" si="48">+Wh_hp/MaxiM</f>
        <v>0.87898466663445751</v>
      </c>
      <c r="H80" s="414" t="b">
        <f>Wh_hp&gt;='2022'!Maxi_hp</f>
        <v>0</v>
      </c>
      <c r="I80" s="390">
        <f>IF(H80,Wh_hp,'2022'!Maxi_hp)</f>
        <v>29.519413340694289</v>
      </c>
      <c r="J80" s="85">
        <f>IF(H80,An,'2022'!An_max)</f>
        <v>2019</v>
      </c>
      <c r="K80" s="197">
        <f t="shared" si="27"/>
        <v>44992</v>
      </c>
      <c r="L80" s="147">
        <f>IF(t&lt;Tvie,1-EXP((T0-t)*PertePVj)+'2022'!Pspv,1-EXP((T0-t)*PertePVj)+Pspv)</f>
        <v>3.8299977269211749E-2</v>
      </c>
      <c r="M80" s="850"/>
      <c r="N80" s="850"/>
      <c r="O80" s="48">
        <f>IF(t&lt;Tnet,'2022'!Resal+('2022'!Salim-'2022'!Resal)*(1-EXP(('2022'!Tnet-t)/('2022'!Tau_j))),Resal+(Salim-Resal)*(1-EXP((Tnet-t)/(Tau_j))))*Salcycl</f>
        <v>9.8076213911049648E-2</v>
      </c>
      <c r="P80" s="169">
        <f>(INDEX(Models!$BJ80:$BT80,,T80)*(1-R80)+INDEX(Models!$BJ80:$BT80,,T80+1)*R80-ERP_i)*Q80*Ramure*Pc/MaxiM</f>
        <v>8.284107343155378E-3</v>
      </c>
      <c r="Q80" s="305">
        <f t="shared" si="28"/>
        <v>0.7</v>
      </c>
      <c r="R80" s="177">
        <f t="shared" si="29"/>
        <v>0.80552064794961797</v>
      </c>
      <c r="S80" s="817">
        <f t="shared" si="30"/>
        <v>-1</v>
      </c>
      <c r="T80" s="176">
        <f t="shared" si="31"/>
        <v>5</v>
      </c>
      <c r="U80" s="251">
        <f t="shared" si="32"/>
        <v>-0.19447935205038208</v>
      </c>
      <c r="V80" s="383">
        <f t="shared" si="33"/>
        <v>26.624583973219522</v>
      </c>
      <c r="W80" s="402">
        <f t="shared" si="34"/>
        <v>23.436046227090316</v>
      </c>
      <c r="X80" s="157">
        <f t="shared" si="35"/>
        <v>44992</v>
      </c>
      <c r="Y80" s="385">
        <f t="shared" si="36"/>
        <v>22.503098142475096</v>
      </c>
      <c r="Z80" s="385">
        <f t="shared" si="37"/>
        <v>23.399290434221463</v>
      </c>
      <c r="AA80" s="386">
        <f t="shared" si="38"/>
        <v>27.019348882744016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0.13398022521684508</v>
      </c>
      <c r="AD80" s="231">
        <f>(INDEX(Models!$BJ80:$BT80,,AH80)*(1-AF80)+INDEX(Models!$BJ80:$BT80,,AH80+1)*AF80-ERP_i)*AE80*Ramure*Pc/MaxiM</f>
        <v>8.284107343155378E-3</v>
      </c>
      <c r="AE80" s="305">
        <f t="shared" si="40"/>
        <v>0.7</v>
      </c>
      <c r="AF80" s="177">
        <f t="shared" si="41"/>
        <v>0.80552064794961797</v>
      </c>
      <c r="AG80" s="817">
        <f t="shared" ref="AG80:AG143" si="49">INDEX(Echel_vg,AH80)</f>
        <v>-1</v>
      </c>
      <c r="AH80" s="176">
        <f t="shared" si="42"/>
        <v>5</v>
      </c>
      <c r="AI80" s="225">
        <f t="shared" si="43"/>
        <v>-0.19447935205038208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44993</v>
      </c>
      <c r="B81" s="411">
        <f>'2022'!Wh/'2022'!Env_an*'2023'!Env_an</f>
        <v>19.461552417036991</v>
      </c>
      <c r="C81" s="846"/>
      <c r="D81" s="393">
        <f t="shared" si="25"/>
        <v>20.237057527621669</v>
      </c>
      <c r="E81" s="385">
        <f t="shared" si="47"/>
        <v>22.439466788869051</v>
      </c>
      <c r="F81" s="385">
        <f t="shared" si="26"/>
        <v>22.540281940394994</v>
      </c>
      <c r="G81" s="110">
        <f t="shared" si="48"/>
        <v>0.7212048459165159</v>
      </c>
      <c r="H81" s="414" t="b">
        <f>Wh_hp&gt;='2022'!Maxi_hp</f>
        <v>0</v>
      </c>
      <c r="I81" s="390">
        <f>IF(H81,Wh_hp,'2022'!Maxi_hp)</f>
        <v>22.557219179099164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3.8321040967847608E-2</v>
      </c>
      <c r="M81" s="850"/>
      <c r="N81" s="850"/>
      <c r="O81" s="48">
        <f>IF(t&lt;Tnet,'2022'!Resal+('2022'!Salim-'2022'!Resal)*(1-EXP(('2022'!Tnet-t)/('2022'!Tau_j))),Resal+(Salim-Resal)*(1-EXP((Tnet-t)/(Tau_j))))*Salcycl</f>
        <v>9.8148912448306105E-2</v>
      </c>
      <c r="P81" s="169">
        <f>(INDEX(Models!$BJ81:$BT81,,T81)*(1-R81)+INDEX(Models!$BJ81:$BT81,,T81+1)*R81-ERP_i)*Q81*Ramure*Pc/MaxiM</f>
        <v>7.3958268872072724E-3</v>
      </c>
      <c r="Q81" s="305">
        <f t="shared" si="28"/>
        <v>0.7</v>
      </c>
      <c r="R81" s="177">
        <f t="shared" si="29"/>
        <v>0.80576464989685381</v>
      </c>
      <c r="S81" s="817">
        <f t="shared" si="30"/>
        <v>-1</v>
      </c>
      <c r="T81" s="176">
        <f t="shared" si="31"/>
        <v>5</v>
      </c>
      <c r="U81" s="251">
        <f t="shared" si="32"/>
        <v>-0.19423535010314613</v>
      </c>
      <c r="V81" s="383">
        <f t="shared" si="33"/>
        <v>26.905542422951864</v>
      </c>
      <c r="W81" s="402">
        <f t="shared" si="34"/>
        <v>19.461552417036991</v>
      </c>
      <c r="X81" s="157">
        <f t="shared" si="35"/>
        <v>44993</v>
      </c>
      <c r="Y81" s="385">
        <f t="shared" si="36"/>
        <v>18.687808138812763</v>
      </c>
      <c r="Z81" s="385">
        <f t="shared" si="37"/>
        <v>19.432481040887534</v>
      </c>
      <c r="AA81" s="386">
        <f t="shared" si="38"/>
        <v>22.439466788869051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0.13400433157676947</v>
      </c>
      <c r="AD81" s="231">
        <f>(INDEX(Models!$BJ81:$BT81,,AH81)*(1-AF81)+INDEX(Models!$BJ81:$BT81,,AH81+1)*AF81-ERP_i)*AE81*Ramure*Pc/MaxiM</f>
        <v>7.3958268872072724E-3</v>
      </c>
      <c r="AE81" s="305">
        <f t="shared" si="40"/>
        <v>0.7</v>
      </c>
      <c r="AF81" s="177">
        <f t="shared" si="41"/>
        <v>0.80576464989685381</v>
      </c>
      <c r="AG81" s="817">
        <f t="shared" si="49"/>
        <v>-1</v>
      </c>
      <c r="AH81" s="176">
        <f t="shared" si="42"/>
        <v>5</v>
      </c>
      <c r="AI81" s="225">
        <f t="shared" si="43"/>
        <v>-0.19423535010314613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44994</v>
      </c>
      <c r="B82" s="411">
        <f>'2022'!Wh/'2022'!Env_an*'2023'!Env_an</f>
        <v>21.877861385898132</v>
      </c>
      <c r="C82" s="846"/>
      <c r="D82" s="393">
        <f t="shared" si="25"/>
        <v>22.750150008194776</v>
      </c>
      <c r="E82" s="385">
        <f t="shared" si="47"/>
        <v>25.22809460105448</v>
      </c>
      <c r="F82" s="385">
        <f t="shared" si="26"/>
        <v>25.348017647567445</v>
      </c>
      <c r="G82" s="110">
        <f t="shared" si="48"/>
        <v>0.80329138961713198</v>
      </c>
      <c r="H82" s="414" t="b">
        <f>Wh_hp&gt;='2022'!Maxi_hp</f>
        <v>0</v>
      </c>
      <c r="I82" s="390">
        <f>IF(H82,Wh_hp,'2022'!Maxi_hp)</f>
        <v>30.249266737760252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3.8342104205134397E-2</v>
      </c>
      <c r="M82" s="850"/>
      <c r="N82" s="850"/>
      <c r="O82" s="48">
        <f>IF(t&lt;Tnet,'2022'!Resal+('2022'!Salim-'2022'!Resal)*(1-EXP(('2022'!Tnet-t)/('2022'!Tau_j))),Resal+(Salim-Resal)*(1-EXP((Tnet-t)/(Tau_j))))*Salcycl</f>
        <v>9.8221630766999399E-2</v>
      </c>
      <c r="P82" s="169">
        <f>(INDEX(Models!$BJ82:$BT82,,T82)*(1-R82)+INDEX(Models!$BJ82:$BT82,,T82+1)*R82-ERP_i)*Q82*Ramure*Pc/MaxiM</f>
        <v>6.5608833479141749E-3</v>
      </c>
      <c r="Q82" s="305">
        <f t="shared" si="28"/>
        <v>0.7</v>
      </c>
      <c r="R82" s="177">
        <f t="shared" si="29"/>
        <v>0.80601845857813792</v>
      </c>
      <c r="S82" s="817">
        <f t="shared" si="30"/>
        <v>-1</v>
      </c>
      <c r="T82" s="176">
        <f t="shared" si="31"/>
        <v>5</v>
      </c>
      <c r="U82" s="251">
        <f t="shared" si="32"/>
        <v>-0.19398154142186205</v>
      </c>
      <c r="V82" s="383">
        <f t="shared" si="33"/>
        <v>27.185201779100272</v>
      </c>
      <c r="W82" s="402">
        <f t="shared" si="34"/>
        <v>21.877861385898132</v>
      </c>
      <c r="X82" s="157">
        <f t="shared" si="35"/>
        <v>44994</v>
      </c>
      <c r="Y82" s="385">
        <f t="shared" si="36"/>
        <v>21.009156636244306</v>
      </c>
      <c r="Z82" s="385">
        <f t="shared" si="37"/>
        <v>21.84680927397682</v>
      </c>
      <c r="AA82" s="386">
        <f t="shared" si="38"/>
        <v>25.22809460105448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0.13402856539694158</v>
      </c>
      <c r="AD82" s="231">
        <f>(INDEX(Models!$BJ82:$BT82,,AH82)*(1-AF82)+INDEX(Models!$BJ82:$BT82,,AH82+1)*AF82-ERP_i)*AE82*Ramure*Pc/MaxiM</f>
        <v>6.5608833479141749E-3</v>
      </c>
      <c r="AE82" s="305">
        <f t="shared" si="40"/>
        <v>0.7</v>
      </c>
      <c r="AF82" s="177">
        <f t="shared" si="41"/>
        <v>0.80601845857813792</v>
      </c>
      <c r="AG82" s="817">
        <f t="shared" si="49"/>
        <v>-1</v>
      </c>
      <c r="AH82" s="176">
        <f t="shared" si="42"/>
        <v>5</v>
      </c>
      <c r="AI82" s="225">
        <f t="shared" si="43"/>
        <v>-0.19398154142186205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44995</v>
      </c>
      <c r="B83" s="411">
        <f>'2022'!Wh/'2022'!Env_an*'2023'!Env_an</f>
        <v>15.140854842391512</v>
      </c>
      <c r="C83" s="846"/>
      <c r="D83" s="393">
        <f t="shared" si="25"/>
        <v>15.744878235226306</v>
      </c>
      <c r="E83" s="385">
        <f t="shared" si="47"/>
        <v>17.461218080444525</v>
      </c>
      <c r="F83" s="385">
        <f t="shared" si="26"/>
        <v>17.497514187333611</v>
      </c>
      <c r="G83" s="110">
        <f t="shared" si="48"/>
        <v>0.54926847602769235</v>
      </c>
      <c r="H83" s="414" t="b">
        <f>Wh_hp&gt;='2022'!Maxi_hp</f>
        <v>0</v>
      </c>
      <c r="I83" s="390">
        <f>IF(H83,Wh_hp,'2022'!Maxi_hp)</f>
        <v>30.500189061416798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3.836316698108222E-2</v>
      </c>
      <c r="M83" s="850"/>
      <c r="N83" s="850"/>
      <c r="O83" s="48">
        <f>IF(t&lt;Tnet,'2022'!Resal+('2022'!Salim-'2022'!Resal)*(1-EXP(('2022'!Tnet-t)/('2022'!Tau_j))),Resal+(Salim-Resal)*(1-EXP((Tnet-t)/(Tau_j))))*Salcycl</f>
        <v>9.829439374223338E-2</v>
      </c>
      <c r="P83" s="169">
        <f>(INDEX(Models!$BJ83:$BT83,,T83)*(1-R83)+INDEX(Models!$BJ83:$BT83,,T83+1)*R83-ERP_i)*Q83*Ramure*Pc/MaxiM</f>
        <v>5.7778224869701206E-3</v>
      </c>
      <c r="Q83" s="305">
        <f t="shared" si="28"/>
        <v>0.7</v>
      </c>
      <c r="R83" s="177">
        <f t="shared" si="29"/>
        <v>0.8062824498073714</v>
      </c>
      <c r="S83" s="817">
        <f t="shared" si="30"/>
        <v>-1</v>
      </c>
      <c r="T83" s="176">
        <f t="shared" si="31"/>
        <v>5</v>
      </c>
      <c r="U83" s="251">
        <f t="shared" si="32"/>
        <v>-0.19371755019262857</v>
      </c>
      <c r="V83" s="383">
        <f t="shared" si="33"/>
        <v>27.463190265912136</v>
      </c>
      <c r="W83" s="402">
        <f t="shared" si="34"/>
        <v>15.140854842391512</v>
      </c>
      <c r="X83" s="157">
        <f t="shared" si="35"/>
        <v>44995</v>
      </c>
      <c r="Y83" s="385">
        <f t="shared" si="36"/>
        <v>14.540420221159895</v>
      </c>
      <c r="Z83" s="385">
        <f t="shared" si="37"/>
        <v>15.120490108009255</v>
      </c>
      <c r="AA83" s="386">
        <f t="shared" si="38"/>
        <v>17.461218080444525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0.13405296020308805</v>
      </c>
      <c r="AD83" s="231">
        <f>(INDEX(Models!$BJ83:$BT83,,AH83)*(1-AF83)+INDEX(Models!$BJ83:$BT83,,AH83+1)*AF83-ERP_i)*AE83*Ramure*Pc/MaxiM</f>
        <v>5.7778224869701206E-3</v>
      </c>
      <c r="AE83" s="305">
        <f t="shared" si="40"/>
        <v>0.7</v>
      </c>
      <c r="AF83" s="177">
        <f t="shared" si="41"/>
        <v>0.8062824498073714</v>
      </c>
      <c r="AG83" s="817">
        <f t="shared" si="49"/>
        <v>-1</v>
      </c>
      <c r="AH83" s="176">
        <f t="shared" si="42"/>
        <v>5</v>
      </c>
      <c r="AI83" s="225">
        <f t="shared" si="43"/>
        <v>-0.19371755019262857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44996</v>
      </c>
      <c r="B84" s="411">
        <f>'2022'!Wh/'2022'!Env_an*'2023'!Env_an</f>
        <v>9.8086055759336634</v>
      </c>
      <c r="C84" s="846"/>
      <c r="D84" s="393">
        <f t="shared" si="25"/>
        <v>10.200129692912299</v>
      </c>
      <c r="E84" s="385">
        <f t="shared" si="47"/>
        <v>11.31295357621195</v>
      </c>
      <c r="F84" s="385">
        <f t="shared" si="26"/>
        <v>11.317325809674783</v>
      </c>
      <c r="G84" s="110">
        <f t="shared" si="48"/>
        <v>0.3519536715805911</v>
      </c>
      <c r="H84" s="414" t="b">
        <f>Wh_hp&gt;='2022'!Maxi_hp</f>
        <v>0</v>
      </c>
      <c r="I84" s="390">
        <f>IF(H84,Wh_hp,'2022'!Maxi_hp)</f>
        <v>23.683748695587767</v>
      </c>
      <c r="J84" s="85">
        <f>IF(H84,An,'2022'!An_max)</f>
        <v>2020</v>
      </c>
      <c r="K84" s="197">
        <f t="shared" si="27"/>
        <v>44996</v>
      </c>
      <c r="L84" s="147">
        <f>IF(t&lt;Tvie,1-EXP((T0-t)*PertePVj)+'2022'!Pspv,1-EXP((T0-t)*PertePVj)+Pspv)</f>
        <v>3.8384229295701178E-2</v>
      </c>
      <c r="M84" s="850"/>
      <c r="N84" s="850"/>
      <c r="O84" s="48">
        <f>IF(t&lt;Tnet,'2022'!Resal+('2022'!Salim-'2022'!Resal)*(1-EXP(('2022'!Tnet-t)/('2022'!Tau_j))),Resal+(Salim-Resal)*(1-EXP((Tnet-t)/(Tau_j))))*Salcycl</f>
        <v>9.8367227957128267E-2</v>
      </c>
      <c r="P84" s="169">
        <f>(INDEX(Models!$BJ84:$BT84,,T84)*(1-R84)+INDEX(Models!$BJ84:$BT84,,T84+1)*R84-ERP_i)*Q84*Ramure*Pc/MaxiM</f>
        <v>5.0452076116423439E-3</v>
      </c>
      <c r="Q84" s="305">
        <f t="shared" si="28"/>
        <v>0.7</v>
      </c>
      <c r="R84" s="177">
        <f t="shared" si="29"/>
        <v>0.80655701226858145</v>
      </c>
      <c r="S84" s="817">
        <f t="shared" si="30"/>
        <v>-1</v>
      </c>
      <c r="T84" s="176">
        <f t="shared" si="31"/>
        <v>5</v>
      </c>
      <c r="U84" s="251">
        <f t="shared" si="32"/>
        <v>-0.1934429877314186</v>
      </c>
      <c r="V84" s="383">
        <f t="shared" si="33"/>
        <v>27.739136198430231</v>
      </c>
      <c r="W84" s="402">
        <f t="shared" si="34"/>
        <v>9.8086055759336634</v>
      </c>
      <c r="X84" s="157">
        <f t="shared" si="35"/>
        <v>44996</v>
      </c>
      <c r="Y84" s="385">
        <f t="shared" si="36"/>
        <v>9.4201231558355918</v>
      </c>
      <c r="Z84" s="385">
        <f t="shared" si="37"/>
        <v>9.7961404573639452</v>
      </c>
      <c r="AA84" s="386">
        <f t="shared" si="38"/>
        <v>11.31295357621195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0.13407755177546629</v>
      </c>
      <c r="AD84" s="231">
        <f>(INDEX(Models!$BJ84:$BT84,,AH84)*(1-AF84)+INDEX(Models!$BJ84:$BT84,,AH84+1)*AF84-ERP_i)*AE84*Ramure*Pc/MaxiM</f>
        <v>5.0452076116423439E-3</v>
      </c>
      <c r="AE84" s="305">
        <f t="shared" si="40"/>
        <v>0.7</v>
      </c>
      <c r="AF84" s="177">
        <f t="shared" si="41"/>
        <v>0.80655701226858145</v>
      </c>
      <c r="AG84" s="817">
        <f t="shared" si="49"/>
        <v>-1</v>
      </c>
      <c r="AH84" s="176">
        <f t="shared" si="42"/>
        <v>5</v>
      </c>
      <c r="AI84" s="225">
        <f t="shared" si="43"/>
        <v>-0.1934429877314186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44997</v>
      </c>
      <c r="B85" s="411">
        <f>'2022'!Wh/'2022'!Env_an*'2023'!Env_an</f>
        <v>9.8851777460015047</v>
      </c>
      <c r="C85" s="846"/>
      <c r="D85" s="393">
        <f t="shared" si="25"/>
        <v>10.279983505538649</v>
      </c>
      <c r="E85" s="385">
        <f t="shared" si="47"/>
        <v>11.402441710401797</v>
      </c>
      <c r="F85" s="385">
        <f t="shared" si="26"/>
        <v>11.406200106197948</v>
      </c>
      <c r="G85" s="110">
        <f t="shared" si="48"/>
        <v>0.35145907515053998</v>
      </c>
      <c r="H85" s="414" t="b">
        <f>Wh_hp&gt;='2022'!Maxi_hp</f>
        <v>0</v>
      </c>
      <c r="I85" s="390">
        <f>IF(H85,Wh_hp,'2022'!Maxi_hp)</f>
        <v>29.411637891813143</v>
      </c>
      <c r="J85" s="85">
        <f>IF(H85,An,'2022'!An_max)</f>
        <v>2020</v>
      </c>
      <c r="K85" s="197">
        <f t="shared" si="27"/>
        <v>44997</v>
      </c>
      <c r="L85" s="147">
        <f>IF(t&lt;Tvie,1-EXP((T0-t)*PertePVj)+'2022'!Pspv,1-EXP((T0-t)*PertePVj)+Pspv)</f>
        <v>3.8405291149001486E-2</v>
      </c>
      <c r="M85" s="850"/>
      <c r="N85" s="850"/>
      <c r="O85" s="48">
        <f>IF(t&lt;Tnet,'2022'!Resal+('2022'!Salim-'2022'!Resal)*(1-EXP(('2022'!Tnet-t)/('2022'!Tau_j))),Resal+(Salim-Resal)*(1-EXP((Tnet-t)/(Tau_j))))*Salcycl</f>
        <v>9.8440161622505282E-2</v>
      </c>
      <c r="P85" s="169">
        <f>(INDEX(Models!$BJ85:$BT85,,T85)*(1-R85)+INDEX(Models!$BJ85:$BT85,,T85+1)*R85-ERP_i)*Q85*Ramure*Pc/MaxiM</f>
        <v>4.3616251682928866E-3</v>
      </c>
      <c r="Q85" s="305">
        <f t="shared" si="28"/>
        <v>0.7</v>
      </c>
      <c r="R85" s="177">
        <f t="shared" si="29"/>
        <v>0.8068425478270681</v>
      </c>
      <c r="S85" s="817">
        <f t="shared" si="30"/>
        <v>-1</v>
      </c>
      <c r="T85" s="176">
        <f t="shared" si="31"/>
        <v>5</v>
      </c>
      <c r="U85" s="251">
        <f t="shared" si="32"/>
        <v>-0.19315745217293187</v>
      </c>
      <c r="V85" s="383">
        <f t="shared" si="33"/>
        <v>28.012667977954489</v>
      </c>
      <c r="W85" s="402">
        <f t="shared" si="34"/>
        <v>9.8851777460015047</v>
      </c>
      <c r="X85" s="157">
        <f t="shared" si="35"/>
        <v>44997</v>
      </c>
      <c r="Y85" s="385">
        <f t="shared" si="36"/>
        <v>9.4941583892902734</v>
      </c>
      <c r="Z85" s="385">
        <f t="shared" si="37"/>
        <v>9.8733471616485531</v>
      </c>
      <c r="AA85" s="386">
        <f t="shared" si="38"/>
        <v>11.402441710401797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0.13410237803349959</v>
      </c>
      <c r="AD85" s="231">
        <f>(INDEX(Models!$BJ85:$BT85,,AH85)*(1-AF85)+INDEX(Models!$BJ85:$BT85,,AH85+1)*AF85-ERP_i)*AE85*Ramure*Pc/MaxiM</f>
        <v>4.3616251682928866E-3</v>
      </c>
      <c r="AE85" s="305">
        <f t="shared" si="40"/>
        <v>0.7</v>
      </c>
      <c r="AF85" s="177">
        <f t="shared" si="41"/>
        <v>0.8068425478270681</v>
      </c>
      <c r="AG85" s="817">
        <f t="shared" si="49"/>
        <v>-1</v>
      </c>
      <c r="AH85" s="176">
        <f t="shared" si="42"/>
        <v>5</v>
      </c>
      <c r="AI85" s="225">
        <f t="shared" si="43"/>
        <v>-0.19315745217293187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44998</v>
      </c>
      <c r="B86" s="411">
        <f>'2022'!Wh/'2022'!Env_an*'2023'!Env_an</f>
        <v>5.4007873617449818</v>
      </c>
      <c r="C86" s="846"/>
      <c r="D86" s="393">
        <f t="shared" si="25"/>
        <v>5.6166133254761679</v>
      </c>
      <c r="E86" s="385">
        <f t="shared" si="47"/>
        <v>6.2303890395823913</v>
      </c>
      <c r="F86" s="385">
        <f t="shared" si="26"/>
        <v>6.2303890395823913</v>
      </c>
      <c r="G86" s="110">
        <f t="shared" si="48"/>
        <v>0.19024102557273342</v>
      </c>
      <c r="H86" s="414" t="b">
        <f>Wh_hp&gt;='2022'!Maxi_hp</f>
        <v>0</v>
      </c>
      <c r="I86" s="390">
        <f>IF(H86,Wh_hp,'2022'!Maxi_hp)</f>
        <v>29.39742528369991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3.8426352540993025E-2</v>
      </c>
      <c r="M86" s="850"/>
      <c r="N86" s="850"/>
      <c r="O86" s="48">
        <f>IF(t&lt;Tnet,'2022'!Resal+('2022'!Salim-'2022'!Resal)*(1-EXP(('2022'!Tnet-t)/('2022'!Tau_j))),Resal+(Salim-Resal)*(1-EXP((Tnet-t)/(Tau_j))))*Salcycl</f>
        <v>9.8513224488364068E-2</v>
      </c>
      <c r="P86" s="169">
        <f>(INDEX(Models!$BJ86:$BT86,,T86)*(1-R86)+INDEX(Models!$BJ86:$BT86,,T86+1)*R86-ERP_i)*Q86*Ramure*Pc/MaxiM</f>
        <v>3.7447375167397943E-3</v>
      </c>
      <c r="Q86" s="305">
        <f t="shared" si="28"/>
        <v>0.7</v>
      </c>
      <c r="R86" s="177">
        <f t="shared" si="29"/>
        <v>0.80713947183639734</v>
      </c>
      <c r="S86" s="817">
        <f t="shared" si="30"/>
        <v>-1</v>
      </c>
      <c r="T86" s="176">
        <f t="shared" si="31"/>
        <v>5</v>
      </c>
      <c r="U86" s="251">
        <f t="shared" si="32"/>
        <v>-0.19286052816360269</v>
      </c>
      <c r="V86" s="383">
        <f t="shared" si="33"/>
        <v>28.282873341819801</v>
      </c>
      <c r="W86" s="402">
        <f t="shared" si="34"/>
        <v>5.4007873617449818</v>
      </c>
      <c r="X86" s="157">
        <f t="shared" si="35"/>
        <v>44998</v>
      </c>
      <c r="Y86" s="385">
        <f t="shared" si="36"/>
        <v>5.187423150087743</v>
      </c>
      <c r="Z86" s="385">
        <f t="shared" si="37"/>
        <v>5.3947226650768725</v>
      </c>
      <c r="AA86" s="386">
        <f t="shared" si="38"/>
        <v>6.2303890395823913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0.13412747890965271</v>
      </c>
      <c r="AD86" s="231">
        <f>(INDEX(Models!$BJ86:$BT86,,AH86)*(1-AF86)+INDEX(Models!$BJ86:$BT86,,AH86+1)*AF86-ERP_i)*AE86*Ramure*Pc/MaxiM</f>
        <v>3.7447375167397943E-3</v>
      </c>
      <c r="AE86" s="305">
        <f t="shared" si="40"/>
        <v>0.7</v>
      </c>
      <c r="AF86" s="177">
        <f t="shared" si="41"/>
        <v>0.80713947183639734</v>
      </c>
      <c r="AG86" s="817">
        <f t="shared" si="49"/>
        <v>-1</v>
      </c>
      <c r="AH86" s="176">
        <f t="shared" si="42"/>
        <v>5</v>
      </c>
      <c r="AI86" s="225">
        <f t="shared" si="43"/>
        <v>-0.19286052816360269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44999</v>
      </c>
      <c r="B87" s="411">
        <f>'2022'!Wh/'2022'!Env_an*'2023'!Env_an</f>
        <v>7.7318394731438618</v>
      </c>
      <c r="C87" s="846"/>
      <c r="D87" s="393">
        <f t="shared" si="25"/>
        <v>8.0409949299389574</v>
      </c>
      <c r="E87" s="385">
        <f t="shared" si="47"/>
        <v>8.9204282649744862</v>
      </c>
      <c r="F87" s="385">
        <f t="shared" si="26"/>
        <v>8.9204282649744862</v>
      </c>
      <c r="G87" s="110">
        <f t="shared" si="48"/>
        <v>0.26995871281544792</v>
      </c>
      <c r="H87" s="414" t="b">
        <f>Wh_hp&gt;='2022'!Maxi_hp</f>
        <v>0</v>
      </c>
      <c r="I87" s="390">
        <f>IF(H87,Wh_hp,'2022'!Maxi_hp)</f>
        <v>27.041870864735497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3.844741347168612E-2</v>
      </c>
      <c r="M87" s="850"/>
      <c r="N87" s="850"/>
      <c r="O87" s="48">
        <f>IF(t&lt;Tnet,'2022'!Resal+('2022'!Salim-'2022'!Resal)*(1-EXP(('2022'!Tnet-t)/('2022'!Tau_j))),Resal+(Salim-Resal)*(1-EXP((Tnet-t)/(Tau_j))))*Salcycl</f>
        <v>9.858644774809415E-2</v>
      </c>
      <c r="P87" s="169">
        <f>(INDEX(Models!$BJ87:$BT87,,T87)*(1-R87)+INDEX(Models!$BJ87:$BT87,,T87+1)*R87-ERP_i)*Q87*Ramure*Pc/MaxiM</f>
        <v>3.1855698687237336E-3</v>
      </c>
      <c r="Q87" s="305">
        <f t="shared" si="28"/>
        <v>0.7</v>
      </c>
      <c r="R87" s="177">
        <f t="shared" si="29"/>
        <v>0.80744821343987827</v>
      </c>
      <c r="S87" s="817">
        <f t="shared" si="30"/>
        <v>-1</v>
      </c>
      <c r="T87" s="176">
        <f t="shared" si="31"/>
        <v>5</v>
      </c>
      <c r="U87" s="251">
        <f t="shared" si="32"/>
        <v>-0.19255178656012176</v>
      </c>
      <c r="V87" s="383">
        <f t="shared" si="33"/>
        <v>28.549584778755751</v>
      </c>
      <c r="W87" s="402">
        <f t="shared" si="34"/>
        <v>7.7318394731438618</v>
      </c>
      <c r="X87" s="157">
        <f t="shared" si="35"/>
        <v>44999</v>
      </c>
      <c r="Y87" s="385">
        <f t="shared" si="36"/>
        <v>7.4267696531037535</v>
      </c>
      <c r="Z87" s="385">
        <f t="shared" si="37"/>
        <v>7.723726977760113</v>
      </c>
      <c r="AA87" s="386">
        <f t="shared" si="38"/>
        <v>8.9204282649744862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0.13415289621386761</v>
      </c>
      <c r="AD87" s="231">
        <f>(INDEX(Models!$BJ87:$BT87,,AH87)*(1-AF87)+INDEX(Models!$BJ87:$BT87,,AH87+1)*AF87-ERP_i)*AE87*Ramure*Pc/MaxiM</f>
        <v>3.1855698687237336E-3</v>
      </c>
      <c r="AE87" s="305">
        <f t="shared" si="40"/>
        <v>0.7</v>
      </c>
      <c r="AF87" s="177">
        <f t="shared" si="41"/>
        <v>0.80744821343987827</v>
      </c>
      <c r="AG87" s="817">
        <f t="shared" si="49"/>
        <v>-1</v>
      </c>
      <c r="AH87" s="176">
        <f t="shared" si="42"/>
        <v>5</v>
      </c>
      <c r="AI87" s="225">
        <f t="shared" si="43"/>
        <v>-0.19255178656012176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45000</v>
      </c>
      <c r="B88" s="411">
        <f>'2022'!Wh/'2022'!Env_an*'2023'!Env_an</f>
        <v>7.9157327875662897</v>
      </c>
      <c r="C88" s="846"/>
      <c r="D88" s="393">
        <f t="shared" si="25"/>
        <v>8.2324214786914052</v>
      </c>
      <c r="E88" s="385">
        <f t="shared" si="47"/>
        <v>9.1335347770538213</v>
      </c>
      <c r="F88" s="385">
        <f t="shared" si="26"/>
        <v>9.1335347770538213</v>
      </c>
      <c r="G88" s="110">
        <f t="shared" si="48"/>
        <v>0.27399627370636076</v>
      </c>
      <c r="H88" s="414" t="b">
        <f>Wh_hp&gt;='2022'!Maxi_hp</f>
        <v>0</v>
      </c>
      <c r="I88" s="390">
        <f>IF(H88,Wh_hp,'2022'!Maxi_hp)</f>
        <v>29.113438237494268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3.8468473941090764E-2</v>
      </c>
      <c r="M88" s="850"/>
      <c r="N88" s="850"/>
      <c r="O88" s="48">
        <f>IF(t&lt;Tnet,'2022'!Resal+('2022'!Salim-'2022'!Resal)*(1-EXP(('2022'!Tnet-t)/('2022'!Tau_j))),Resal+(Salim-Resal)*(1-EXP((Tnet-t)/(Tau_j))))*Salcycl</f>
        <v>9.8659863936389966E-2</v>
      </c>
      <c r="P88" s="169">
        <f>(INDEX(Models!$BJ88:$BT88,,T88)*(1-R88)+INDEX(Models!$BJ88:$BT88,,T88+1)*R88-ERP_i)*Q88*Ramure*Pc/MaxiM</f>
        <v>2.6825300265283119E-3</v>
      </c>
      <c r="Q88" s="305">
        <f t="shared" si="28"/>
        <v>0.7</v>
      </c>
      <c r="R88" s="177">
        <f t="shared" si="29"/>
        <v>0.80776921586504358</v>
      </c>
      <c r="S88" s="817">
        <f t="shared" si="30"/>
        <v>-1</v>
      </c>
      <c r="T88" s="176">
        <f t="shared" si="31"/>
        <v>5</v>
      </c>
      <c r="U88" s="251">
        <f t="shared" si="32"/>
        <v>-0.19223078413495645</v>
      </c>
      <c r="V88" s="383">
        <f t="shared" si="33"/>
        <v>28.8124305118913</v>
      </c>
      <c r="W88" s="402">
        <f t="shared" si="34"/>
        <v>7.9157327875662897</v>
      </c>
      <c r="X88" s="157">
        <f t="shared" si="35"/>
        <v>45000</v>
      </c>
      <c r="Y88" s="385">
        <f t="shared" si="36"/>
        <v>7.6038001506973441</v>
      </c>
      <c r="Z88" s="385">
        <f t="shared" si="37"/>
        <v>7.9080091963947616</v>
      </c>
      <c r="AA88" s="386">
        <f t="shared" si="38"/>
        <v>9.1335347770538213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0.13417867348991183</v>
      </c>
      <c r="AD88" s="231">
        <f>(INDEX(Models!$BJ88:$BT88,,AH88)*(1-AF88)+INDEX(Models!$BJ88:$BT88,,AH88+1)*AF88-ERP_i)*AE88*Ramure*Pc/MaxiM</f>
        <v>2.6825300265283119E-3</v>
      </c>
      <c r="AE88" s="305">
        <f t="shared" si="40"/>
        <v>0.7</v>
      </c>
      <c r="AF88" s="177">
        <f t="shared" si="41"/>
        <v>0.80776921586504358</v>
      </c>
      <c r="AG88" s="817">
        <f t="shared" si="49"/>
        <v>-1</v>
      </c>
      <c r="AH88" s="176">
        <f t="shared" si="42"/>
        <v>5</v>
      </c>
      <c r="AI88" s="225">
        <f t="shared" si="43"/>
        <v>-0.19223078413495645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45001</v>
      </c>
      <c r="B89" s="411">
        <f>'2022'!Wh/'2022'!Env_an*'2023'!Env_an</f>
        <v>6.0832981742064511</v>
      </c>
      <c r="C89" s="846"/>
      <c r="D89" s="393">
        <f t="shared" si="25"/>
        <v>6.3268143083168029</v>
      </c>
      <c r="E89" s="385">
        <f t="shared" si="47"/>
        <v>7.0199151485222764</v>
      </c>
      <c r="F89" s="385">
        <f t="shared" si="26"/>
        <v>7.0199151485222764</v>
      </c>
      <c r="G89" s="110">
        <f t="shared" si="48"/>
        <v>0.20878880921913756</v>
      </c>
      <c r="H89" s="414" t="b">
        <f>Wh_hp&gt;='2022'!Maxi_hp</f>
        <v>0</v>
      </c>
      <c r="I89" s="390">
        <f>IF(H89,Wh_hp,'2022'!Maxi_hp)</f>
        <v>33.759513299417414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3.8489533949217059E-2</v>
      </c>
      <c r="M89" s="850"/>
      <c r="N89" s="850"/>
      <c r="O89" s="48">
        <f>IF(t&lt;Tnet,'2022'!Resal+('2022'!Salim-'2022'!Resal)*(1-EXP(('2022'!Tnet-t)/('2022'!Tau_j))),Resal+(Salim-Resal)*(1-EXP((Tnet-t)/(Tau_j))))*Salcycl</f>
        <v>9.8733506821855874E-2</v>
      </c>
      <c r="P89" s="169">
        <f>(INDEX(Models!$BJ89:$BT89,,T89)*(1-R89)+INDEX(Models!$BJ89:$BT89,,T89+1)*R89-ERP_i)*Q89*Ramure*Pc/MaxiM</f>
        <v>2.2340847868539374E-3</v>
      </c>
      <c r="Q89" s="305">
        <f t="shared" si="28"/>
        <v>0.7</v>
      </c>
      <c r="R89" s="177">
        <f t="shared" si="29"/>
        <v>0.80810293670951538</v>
      </c>
      <c r="S89" s="817">
        <f t="shared" si="30"/>
        <v>-1</v>
      </c>
      <c r="T89" s="176">
        <f t="shared" si="31"/>
        <v>5</v>
      </c>
      <c r="U89" s="251">
        <f t="shared" si="32"/>
        <v>-0.19189706329048456</v>
      </c>
      <c r="V89" s="383">
        <f t="shared" si="33"/>
        <v>29.071038783170621</v>
      </c>
      <c r="W89" s="402">
        <f t="shared" si="34"/>
        <v>6.0832981742064511</v>
      </c>
      <c r="X89" s="157">
        <f t="shared" si="35"/>
        <v>45001</v>
      </c>
      <c r="Y89" s="385">
        <f t="shared" si="36"/>
        <v>5.8438764332406494</v>
      </c>
      <c r="Z89" s="385">
        <f t="shared" si="37"/>
        <v>6.0778084478302503</v>
      </c>
      <c r="AA89" s="386">
        <f t="shared" si="38"/>
        <v>7.0199151485222764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0.13420485586500902</v>
      </c>
      <c r="AD89" s="231">
        <f>(INDEX(Models!$BJ89:$BT89,,AH89)*(1-AF89)+INDEX(Models!$BJ89:$BT89,,AH89+1)*AF89-ERP_i)*AE89*Ramure*Pc/MaxiM</f>
        <v>2.2340847868539374E-3</v>
      </c>
      <c r="AE89" s="305">
        <f t="shared" si="40"/>
        <v>0.7</v>
      </c>
      <c r="AF89" s="177">
        <f t="shared" si="41"/>
        <v>0.80810293670951538</v>
      </c>
      <c r="AG89" s="817">
        <f t="shared" si="49"/>
        <v>-1</v>
      </c>
      <c r="AH89" s="176">
        <f t="shared" si="42"/>
        <v>5</v>
      </c>
      <c r="AI89" s="225">
        <f t="shared" si="43"/>
        <v>-0.19189706329048456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45002</v>
      </c>
      <c r="B90" s="411">
        <f>'2022'!Wh/'2022'!Env_an*'2023'!Env_an</f>
        <v>7.1359930194686756</v>
      </c>
      <c r="C90" s="846"/>
      <c r="D90" s="393">
        <f t="shared" si="25"/>
        <v>7.4218113805495642</v>
      </c>
      <c r="E90" s="385">
        <f t="shared" si="47"/>
        <v>8.2355441817569499</v>
      </c>
      <c r="F90" s="385">
        <f t="shared" si="26"/>
        <v>8.2355441817569499</v>
      </c>
      <c r="G90" s="110">
        <f t="shared" si="48"/>
        <v>0.24289385932522148</v>
      </c>
      <c r="H90" s="414" t="b">
        <f>Wh_hp&gt;='2022'!Maxi_hp</f>
        <v>0</v>
      </c>
      <c r="I90" s="390">
        <f>IF(H90,Wh_hp,'2022'!Maxi_hp)</f>
        <v>18.204761461001336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3.8510593496075107E-2</v>
      </c>
      <c r="M90" s="850"/>
      <c r="N90" s="850"/>
      <c r="O90" s="48">
        <f>IF(t&lt;Tnet,'2022'!Resal+('2022'!Salim-'2022'!Resal)*(1-EXP(('2022'!Tnet-t)/('2022'!Tau_j))),Resal+(Salim-Resal)*(1-EXP((Tnet-t)/(Tau_j))))*Salcycl</f>
        <v>9.8807411295289208E-2</v>
      </c>
      <c r="P90" s="169">
        <f>(INDEX(Models!$BJ90:$BT90,,T90)*(1-R90)+INDEX(Models!$BJ90:$BT90,,T90+1)*R90-ERP_i)*Q90*Ramure*Pc/MaxiM</f>
        <v>1.8387635793211726E-3</v>
      </c>
      <c r="Q90" s="305">
        <f t="shared" si="28"/>
        <v>0.7</v>
      </c>
      <c r="R90" s="177">
        <f t="shared" si="29"/>
        <v>0.80844984821650245</v>
      </c>
      <c r="S90" s="817">
        <f t="shared" si="30"/>
        <v>-1</v>
      </c>
      <c r="T90" s="176">
        <f t="shared" si="31"/>
        <v>5</v>
      </c>
      <c r="U90" s="251">
        <f t="shared" si="32"/>
        <v>-0.19155015178349755</v>
      </c>
      <c r="V90" s="383">
        <f t="shared" si="33"/>
        <v>29.325037838297323</v>
      </c>
      <c r="W90" s="402">
        <f t="shared" si="34"/>
        <v>7.1359930194686756</v>
      </c>
      <c r="X90" s="157">
        <f t="shared" si="35"/>
        <v>45002</v>
      </c>
      <c r="Y90" s="385">
        <f t="shared" si="36"/>
        <v>6.855491403309502</v>
      </c>
      <c r="Z90" s="385">
        <f t="shared" si="37"/>
        <v>7.1300748161508913</v>
      </c>
      <c r="AA90" s="386">
        <f t="shared" si="38"/>
        <v>8.2355441817569499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0.13423148989411665</v>
      </c>
      <c r="AD90" s="231">
        <f>(INDEX(Models!$BJ90:$BT90,,AH90)*(1-AF90)+INDEX(Models!$BJ90:$BT90,,AH90+1)*AF90-ERP_i)*AE90*Ramure*Pc/MaxiM</f>
        <v>1.8387635793211726E-3</v>
      </c>
      <c r="AE90" s="305">
        <f t="shared" si="40"/>
        <v>0.7</v>
      </c>
      <c r="AF90" s="177">
        <f t="shared" si="41"/>
        <v>0.80844984821650245</v>
      </c>
      <c r="AG90" s="817">
        <f t="shared" si="49"/>
        <v>-1</v>
      </c>
      <c r="AH90" s="176">
        <f t="shared" si="42"/>
        <v>5</v>
      </c>
      <c r="AI90" s="225">
        <f t="shared" si="43"/>
        <v>-0.19155015178349755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45003</v>
      </c>
      <c r="B91" s="411">
        <f>'2022'!Wh/'2022'!Env_an*'2023'!Env_an</f>
        <v>8.9070952426439778</v>
      </c>
      <c r="C91" s="846"/>
      <c r="D91" s="393">
        <f t="shared" si="25"/>
        <v>9.2640545750265808</v>
      </c>
      <c r="E91" s="385">
        <f t="shared" si="47"/>
        <v>10.280618741435399</v>
      </c>
      <c r="F91" s="385">
        <f t="shared" si="26"/>
        <v>10.280644638884002</v>
      </c>
      <c r="G91" s="110">
        <f t="shared" si="48"/>
        <v>0.30072980602994803</v>
      </c>
      <c r="H91" s="414" t="b">
        <f>Wh_hp&gt;='2022'!Maxi_hp</f>
        <v>0</v>
      </c>
      <c r="I91" s="390">
        <f>IF(H91,Wh_hp,'2022'!Maxi_hp)</f>
        <v>22.615966613904025</v>
      </c>
      <c r="J91" s="85">
        <f>IF(H91,An,'2022'!An_max)</f>
        <v>2019</v>
      </c>
      <c r="K91" s="197">
        <f t="shared" si="27"/>
        <v>45003</v>
      </c>
      <c r="L91" s="147">
        <f>IF(t&lt;Tvie,1-EXP((T0-t)*PertePVj)+'2022'!Pspv,1-EXP((T0-t)*PertePVj)+Pspv)</f>
        <v>3.8531652581675124E-2</v>
      </c>
      <c r="M91" s="850"/>
      <c r="N91" s="850"/>
      <c r="O91" s="48">
        <f>IF(t&lt;Tnet,'2022'!Resal+('2022'!Salim-'2022'!Resal)*(1-EXP(('2022'!Tnet-t)/('2022'!Tau_j))),Resal+(Salim-Resal)*(1-EXP((Tnet-t)/(Tau_j))))*Salcycl</f>
        <v>9.8881613254620498E-2</v>
      </c>
      <c r="P91" s="169">
        <f>(INDEX(Models!$BJ91:$BT91,,T91)*(1-R91)+INDEX(Models!$BJ91:$BT91,,T91+1)*R91-ERP_i)*Q91*Ramure*Pc/MaxiM</f>
        <v>1.4951616913337006E-3</v>
      </c>
      <c r="Q91" s="305">
        <f t="shared" si="28"/>
        <v>0.7</v>
      </c>
      <c r="R91" s="177">
        <f t="shared" si="29"/>
        <v>0.80881043753802628</v>
      </c>
      <c r="S91" s="817">
        <f t="shared" si="30"/>
        <v>-1</v>
      </c>
      <c r="T91" s="176">
        <f t="shared" si="31"/>
        <v>5</v>
      </c>
      <c r="U91" s="251">
        <f t="shared" si="32"/>
        <v>-0.19118956246197366</v>
      </c>
      <c r="V91" s="383">
        <f t="shared" si="33"/>
        <v>29.574055915460363</v>
      </c>
      <c r="W91" s="402">
        <f t="shared" si="34"/>
        <v>8.9070952426439778</v>
      </c>
      <c r="X91" s="157">
        <f t="shared" si="35"/>
        <v>45003</v>
      </c>
      <c r="Y91" s="385">
        <f t="shared" si="36"/>
        <v>8.557411556902391</v>
      </c>
      <c r="Z91" s="385">
        <f t="shared" si="37"/>
        <v>8.900357021508011</v>
      </c>
      <c r="AA91" s="386">
        <f t="shared" si="38"/>
        <v>10.280618741435399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0.13425862340019759</v>
      </c>
      <c r="AD91" s="231">
        <f>(INDEX(Models!$BJ91:$BT91,,AH91)*(1-AF91)+INDEX(Models!$BJ91:$BT91,,AH91+1)*AF91-ERP_i)*AE91*Ramure*Pc/MaxiM</f>
        <v>1.4951616913337006E-3</v>
      </c>
      <c r="AE91" s="305">
        <f t="shared" si="40"/>
        <v>0.7</v>
      </c>
      <c r="AF91" s="177">
        <f t="shared" si="41"/>
        <v>0.80881043753802628</v>
      </c>
      <c r="AG91" s="817">
        <f t="shared" si="49"/>
        <v>-1</v>
      </c>
      <c r="AH91" s="176">
        <f t="shared" si="42"/>
        <v>5</v>
      </c>
      <c r="AI91" s="225">
        <f t="shared" si="43"/>
        <v>-0.19118956246197366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45004</v>
      </c>
      <c r="B92" s="411">
        <f>'2022'!Wh/'2022'!Env_an*'2023'!Env_an</f>
        <v>17.891968381853051</v>
      </c>
      <c r="C92" s="846"/>
      <c r="D92" s="393">
        <f t="shared" si="25"/>
        <v>18.609411655106442</v>
      </c>
      <c r="E92" s="385">
        <f t="shared" si="47"/>
        <v>20.653169814677732</v>
      </c>
      <c r="F92" s="385">
        <f t="shared" si="26"/>
        <v>20.663815717468729</v>
      </c>
      <c r="G92" s="110">
        <f t="shared" si="48"/>
        <v>0.59963250177885441</v>
      </c>
      <c r="H92" s="414" t="b">
        <f>Wh_hp&gt;='2022'!Maxi_hp</f>
        <v>0</v>
      </c>
      <c r="I92" s="390">
        <f>IF(H92,Wh_hp,'2022'!Maxi_hp)</f>
        <v>31.49075258123468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3.8552711206026991E-2</v>
      </c>
      <c r="M92" s="850"/>
      <c r="N92" s="850"/>
      <c r="O92" s="48">
        <f>IF(t&lt;Tnet,'2022'!Resal+('2022'!Salim-'2022'!Resal)*(1-EXP(('2022'!Tnet-t)/('2022'!Tau_j))),Resal+(Salim-Resal)*(1-EXP((Tnet-t)/(Tau_j))))*Salcycl</f>
        <v>9.8956149487466991E-2</v>
      </c>
      <c r="P92" s="169">
        <f>(INDEX(Models!$BJ92:$BT92,,T92)*(1-R92)+INDEX(Models!$BJ92:$BT92,,T92+1)*R92-ERP_i)*Q92*Ramure*Pc/MaxiM</f>
        <v>1.2019431340190535E-3</v>
      </c>
      <c r="Q92" s="305">
        <f t="shared" si="28"/>
        <v>0.7</v>
      </c>
      <c r="R92" s="177">
        <f t="shared" si="29"/>
        <v>0.80918520698382268</v>
      </c>
      <c r="S92" s="817">
        <f t="shared" si="30"/>
        <v>-1</v>
      </c>
      <c r="T92" s="176">
        <f t="shared" si="31"/>
        <v>5</v>
      </c>
      <c r="U92" s="251">
        <f t="shared" si="32"/>
        <v>-0.19081479301617729</v>
      </c>
      <c r="V92" s="383">
        <f t="shared" si="33"/>
        <v>29.817721231670358</v>
      </c>
      <c r="W92" s="402">
        <f t="shared" si="34"/>
        <v>17.891968381853051</v>
      </c>
      <c r="X92" s="157">
        <f t="shared" si="35"/>
        <v>45004</v>
      </c>
      <c r="Y92" s="385">
        <f t="shared" si="36"/>
        <v>17.190419805082602</v>
      </c>
      <c r="Z92" s="385">
        <f t="shared" si="37"/>
        <v>17.879731947287553</v>
      </c>
      <c r="AA92" s="386">
        <f t="shared" si="38"/>
        <v>20.653169814677732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0.13428630531179589</v>
      </c>
      <c r="AD92" s="231">
        <f>(INDEX(Models!$BJ92:$BT92,,AH92)*(1-AF92)+INDEX(Models!$BJ92:$BT92,,AH92+1)*AF92-ERP_i)*AE92*Ramure*Pc/MaxiM</f>
        <v>1.2019431340190535E-3</v>
      </c>
      <c r="AE92" s="305">
        <f t="shared" si="40"/>
        <v>0.7</v>
      </c>
      <c r="AF92" s="177">
        <f t="shared" si="41"/>
        <v>0.80918520698382268</v>
      </c>
      <c r="AG92" s="817">
        <f t="shared" si="49"/>
        <v>-1</v>
      </c>
      <c r="AH92" s="176">
        <f t="shared" si="42"/>
        <v>5</v>
      </c>
      <c r="AI92" s="225">
        <f t="shared" si="43"/>
        <v>-0.19081479301617729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45005</v>
      </c>
      <c r="B93" s="411">
        <f>'2022'!Wh/'2022'!Env_an*'2023'!Env_an</f>
        <v>19.950569085784316</v>
      </c>
      <c r="C93" s="846"/>
      <c r="D93" s="393">
        <f t="shared" si="25"/>
        <v>20.751013910545538</v>
      </c>
      <c r="E93" s="385">
        <f t="shared" si="47"/>
        <v>23.031885931793159</v>
      </c>
      <c r="F93" s="385">
        <f t="shared" si="26"/>
        <v>23.043354545273022</v>
      </c>
      <c r="G93" s="110">
        <f t="shared" si="48"/>
        <v>0.66343919254070338</v>
      </c>
      <c r="H93" s="414" t="b">
        <f>Wh_hp&gt;='2022'!Maxi_hp</f>
        <v>0</v>
      </c>
      <c r="I93" s="390">
        <f>IF(H93,Wh_hp,'2022'!Maxi_hp)</f>
        <v>35.290557656198175</v>
      </c>
      <c r="J93" s="85">
        <f>IF(H93,An,'2022'!An_max)</f>
        <v>2019</v>
      </c>
      <c r="K93" s="197">
        <f t="shared" si="27"/>
        <v>45005</v>
      </c>
      <c r="L93" s="147">
        <f>IF(t&lt;Tvie,1-EXP((T0-t)*PertePVj)+'2022'!Pspv,1-EXP((T0-t)*PertePVj)+Pspv)</f>
        <v>3.8573769369141031E-2</v>
      </c>
      <c r="M93" s="850"/>
      <c r="N93" s="850"/>
      <c r="O93" s="48">
        <f>IF(t&lt;Tnet,'2022'!Resal+('2022'!Salim-'2022'!Resal)*(1-EXP(('2022'!Tnet-t)/('2022'!Tau_j))),Resal+(Salim-Resal)*(1-EXP((Tnet-t)/(Tau_j))))*Salcycl</f>
        <v>9.903105755222201E-2</v>
      </c>
      <c r="P93" s="169">
        <f>(INDEX(Models!$BJ93:$BT93,,T93)*(1-R93)+INDEX(Models!$BJ93:$BT93,,T93+1)*R93-ERP_i)*Q93*Ramure*Pc/MaxiM</f>
        <v>9.5778173867001437E-4</v>
      </c>
      <c r="Q93" s="305">
        <f t="shared" si="28"/>
        <v>0.7</v>
      </c>
      <c r="R93" s="177">
        <f t="shared" si="29"/>
        <v>0.80957467425369845</v>
      </c>
      <c r="S93" s="817">
        <f t="shared" si="30"/>
        <v>-1</v>
      </c>
      <c r="T93" s="176">
        <f t="shared" si="31"/>
        <v>5</v>
      </c>
      <c r="U93" s="251">
        <f t="shared" si="32"/>
        <v>-0.19042532574630153</v>
      </c>
      <c r="V93" s="383">
        <f t="shared" si="33"/>
        <v>30.057593508782105</v>
      </c>
      <c r="W93" s="402">
        <f t="shared" si="34"/>
        <v>19.950569085784316</v>
      </c>
      <c r="X93" s="157">
        <f t="shared" si="35"/>
        <v>45005</v>
      </c>
      <c r="Y93" s="385">
        <f t="shared" si="36"/>
        <v>19.169269721587117</v>
      </c>
      <c r="Z93" s="385">
        <f t="shared" si="37"/>
        <v>19.938367719600098</v>
      </c>
      <c r="AA93" s="386">
        <f t="shared" si="38"/>
        <v>23.031885931793159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0.13431458549917424</v>
      </c>
      <c r="AD93" s="231">
        <f>(INDEX(Models!$BJ93:$BT93,,AH93)*(1-AF93)+INDEX(Models!$BJ93:$BT93,,AH93+1)*AF93-ERP_i)*AE93*Ramure*Pc/MaxiM</f>
        <v>9.5778173867001437E-4</v>
      </c>
      <c r="AE93" s="305">
        <f t="shared" si="40"/>
        <v>0.7</v>
      </c>
      <c r="AF93" s="177">
        <f t="shared" si="41"/>
        <v>0.80957467425369845</v>
      </c>
      <c r="AG93" s="817">
        <f t="shared" si="49"/>
        <v>-1</v>
      </c>
      <c r="AH93" s="176">
        <f t="shared" si="42"/>
        <v>5</v>
      </c>
      <c r="AI93" s="225">
        <f t="shared" si="43"/>
        <v>-0.19042532574630153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45006</v>
      </c>
      <c r="B94" s="411">
        <f>'2022'!Wh/'2022'!Env_an*'2023'!Env_an</f>
        <v>28.576682706816808</v>
      </c>
      <c r="C94" s="846"/>
      <c r="D94" s="393">
        <f t="shared" si="25"/>
        <v>29.723870342569928</v>
      </c>
      <c r="E94" s="385">
        <f t="shared" si="47"/>
        <v>32.993762570245977</v>
      </c>
      <c r="F94" s="385">
        <f t="shared" si="26"/>
        <v>33.017033433281362</v>
      </c>
      <c r="G94" s="110">
        <f t="shared" si="48"/>
        <v>0.94322172388111725</v>
      </c>
      <c r="H94" s="414" t="b">
        <f>Wh_hp&gt;='2022'!Maxi_hp</f>
        <v>0</v>
      </c>
      <c r="I94" s="390">
        <f>IF(H94,Wh_hp,'2022'!Maxi_hp)</f>
        <v>35.232626438185896</v>
      </c>
      <c r="J94" s="85">
        <f>IF(H94,An,'2022'!An_max)</f>
        <v>2019</v>
      </c>
      <c r="K94" s="197">
        <f t="shared" si="27"/>
        <v>45006</v>
      </c>
      <c r="L94" s="147">
        <f>IF(t&lt;Tvie,1-EXP((T0-t)*PertePVj)+'2022'!Pspv,1-EXP((T0-t)*PertePVj)+Pspv)</f>
        <v>3.8594827071027238E-2</v>
      </c>
      <c r="M94" s="850"/>
      <c r="N94" s="850"/>
      <c r="O94" s="48">
        <f>IF(t&lt;Tnet,'2022'!Resal+('2022'!Salim-'2022'!Resal)*(1-EXP(('2022'!Tnet-t)/('2022'!Tau_j))),Resal+(Salim-Resal)*(1-EXP((Tnet-t)/(Tau_j))))*Salcycl</f>
        <v>9.9106375658557525E-2</v>
      </c>
      <c r="P94" s="169">
        <f>(INDEX(Models!$BJ94:$BT94,,T94)*(1-R94)+INDEX(Models!$BJ94:$BT94,,T94+1)*R94-ERP_i)*Q94*Ramure*Pc/MaxiM</f>
        <v>7.6695904072384368E-4</v>
      </c>
      <c r="Q94" s="305">
        <f t="shared" si="28"/>
        <v>0.7</v>
      </c>
      <c r="R94" s="177">
        <f t="shared" si="29"/>
        <v>0.80997937265096187</v>
      </c>
      <c r="S94" s="817">
        <f t="shared" si="30"/>
        <v>-1</v>
      </c>
      <c r="T94" s="176">
        <f t="shared" si="31"/>
        <v>5</v>
      </c>
      <c r="U94" s="251">
        <f t="shared" si="32"/>
        <v>-0.19002062734903807</v>
      </c>
      <c r="V94" s="383">
        <f t="shared" si="33"/>
        <v>30.295003632639411</v>
      </c>
      <c r="W94" s="402">
        <f t="shared" si="34"/>
        <v>28.576682706816808</v>
      </c>
      <c r="X94" s="157">
        <f t="shared" si="35"/>
        <v>45006</v>
      </c>
      <c r="Y94" s="385">
        <f t="shared" si="36"/>
        <v>27.458947480248451</v>
      </c>
      <c r="Z94" s="385">
        <f t="shared" si="37"/>
        <v>28.561264546344479</v>
      </c>
      <c r="AA94" s="386">
        <f t="shared" si="38"/>
        <v>32.993762570245977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0.13434351461020569</v>
      </c>
      <c r="AD94" s="231">
        <f>(INDEX(Models!$BJ94:$BT94,,AH94)*(1-AF94)+INDEX(Models!$BJ94:$BT94,,AH94+1)*AF94-ERP_i)*AE94*Ramure*Pc/MaxiM</f>
        <v>7.6695904072384368E-4</v>
      </c>
      <c r="AE94" s="305">
        <f t="shared" si="40"/>
        <v>0.7</v>
      </c>
      <c r="AF94" s="177">
        <f t="shared" si="41"/>
        <v>0.80997937265096187</v>
      </c>
      <c r="AG94" s="817">
        <f t="shared" si="49"/>
        <v>-1</v>
      </c>
      <c r="AH94" s="176">
        <f t="shared" si="42"/>
        <v>5</v>
      </c>
      <c r="AI94" s="225">
        <f t="shared" si="43"/>
        <v>-0.19002062734903807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45007</v>
      </c>
      <c r="B95" s="411">
        <f>'2022'!Wh/'2022'!Env_an*'2023'!Env_an</f>
        <v>26.384631190646935</v>
      </c>
      <c r="C95" s="846"/>
      <c r="D95" s="393">
        <f t="shared" si="25"/>
        <v>27.444421808193514</v>
      </c>
      <c r="E95" s="385">
        <f t="shared" si="47"/>
        <v>30.46611651974364</v>
      </c>
      <c r="F95" s="385">
        <f t="shared" si="26"/>
        <v>30.480908861313207</v>
      </c>
      <c r="G95" s="110">
        <f t="shared" si="48"/>
        <v>0.86411074535756194</v>
      </c>
      <c r="H95" s="414" t="b">
        <f>Wh_hp&gt;='2022'!Maxi_hp</f>
        <v>0</v>
      </c>
      <c r="I95" s="390">
        <f>IF(H95,Wh_hp,'2022'!Maxi_hp)</f>
        <v>34.33751568572859</v>
      </c>
      <c r="J95" s="85">
        <f>IF(H95,An,'2022'!An_max)</f>
        <v>2019</v>
      </c>
      <c r="K95" s="197">
        <f t="shared" si="27"/>
        <v>45007</v>
      </c>
      <c r="L95" s="147">
        <f>IF(t&lt;Tvie,1-EXP((T0-t)*PertePVj)+'2022'!Pspv,1-EXP((T0-t)*PertePVj)+Pspv)</f>
        <v>3.8615884311695714E-2</v>
      </c>
      <c r="M95" s="850"/>
      <c r="N95" s="850"/>
      <c r="O95" s="48">
        <f>IF(t&lt;Tnet,'2022'!Resal+('2022'!Salim-'2022'!Resal)*(1-EXP(('2022'!Tnet-t)/('2022'!Tau_j))),Resal+(Salim-Resal)*(1-EXP((Tnet-t)/(Tau_j))))*Salcycl</f>
        <v>9.9182142548161933E-2</v>
      </c>
      <c r="P95" s="169">
        <f>(INDEX(Models!$BJ95:$BT95,,T95)*(1-R95)+INDEX(Models!$BJ95:$BT95,,T95+1)*R95-ERP_i)*Q95*Ramure*Pc/MaxiM</f>
        <v>6.0209489144085664E-4</v>
      </c>
      <c r="Q95" s="305">
        <f t="shared" si="28"/>
        <v>0.7</v>
      </c>
      <c r="R95" s="177">
        <f t="shared" si="29"/>
        <v>0.81039985127436376</v>
      </c>
      <c r="S95" s="817">
        <f t="shared" si="30"/>
        <v>-1</v>
      </c>
      <c r="T95" s="176">
        <f t="shared" si="31"/>
        <v>5</v>
      </c>
      <c r="U95" s="251">
        <f t="shared" si="32"/>
        <v>-0.18960014872563624</v>
      </c>
      <c r="V95" s="383">
        <f t="shared" si="33"/>
        <v>30.530285855552382</v>
      </c>
      <c r="W95" s="402">
        <f t="shared" si="34"/>
        <v>26.384631190646935</v>
      </c>
      <c r="X95" s="157">
        <f t="shared" si="35"/>
        <v>45007</v>
      </c>
      <c r="Y95" s="385">
        <f t="shared" si="36"/>
        <v>25.353899412402221</v>
      </c>
      <c r="Z95" s="385">
        <f t="shared" si="37"/>
        <v>26.372288660344736</v>
      </c>
      <c r="AA95" s="386">
        <f t="shared" si="38"/>
        <v>30.46611651974364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0.13437314390713012</v>
      </c>
      <c r="AD95" s="231">
        <f>(INDEX(Models!$BJ95:$BT95,,AH95)*(1-AF95)+INDEX(Models!$BJ95:$BT95,,AH95+1)*AF95-ERP_i)*AE95*Ramure*Pc/MaxiM</f>
        <v>6.0209489144085664E-4</v>
      </c>
      <c r="AE95" s="305">
        <f t="shared" si="40"/>
        <v>0.7</v>
      </c>
      <c r="AF95" s="177">
        <f t="shared" si="41"/>
        <v>0.81039985127436376</v>
      </c>
      <c r="AG95" s="817">
        <f t="shared" si="49"/>
        <v>-1</v>
      </c>
      <c r="AH95" s="176">
        <f t="shared" si="42"/>
        <v>5</v>
      </c>
      <c r="AI95" s="225">
        <f t="shared" si="43"/>
        <v>-0.18960014872563624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45008</v>
      </c>
      <c r="B96" s="411">
        <f>'2022'!Wh/'2022'!Env_an*'2023'!Env_an</f>
        <v>29.635280066733937</v>
      </c>
      <c r="C96" s="846"/>
      <c r="D96" s="393">
        <f t="shared" si="25"/>
        <v>30.826314566705186</v>
      </c>
      <c r="E96" s="385">
        <f t="shared" si="47"/>
        <v>34.223260563206452</v>
      </c>
      <c r="F96" s="385">
        <f t="shared" si="26"/>
        <v>34.23827001727841</v>
      </c>
      <c r="G96" s="110">
        <f t="shared" si="48"/>
        <v>0.9633191151632996</v>
      </c>
      <c r="H96" s="414" t="b">
        <f>Wh_hp&gt;='2022'!Maxi_hp</f>
        <v>0</v>
      </c>
      <c r="I96" s="390">
        <f>IF(H96,Wh_hp,'2022'!Maxi_hp)</f>
        <v>36.330998993590491</v>
      </c>
      <c r="J96" s="85">
        <f>IF(H96,An,'2022'!An_max)</f>
        <v>2021</v>
      </c>
      <c r="K96" s="197">
        <f t="shared" si="27"/>
        <v>45008</v>
      </c>
      <c r="L96" s="147">
        <f>IF(t&lt;Tvie,1-EXP((T0-t)*PertePVj)+'2022'!Pspv,1-EXP((T0-t)*PertePVj)+Pspv)</f>
        <v>3.8636941091156562E-2</v>
      </c>
      <c r="M96" s="850"/>
      <c r="N96" s="850"/>
      <c r="O96" s="48">
        <f>IF(t&lt;Tnet,'2022'!Resal+('2022'!Salim-'2022'!Resal)*(1-EXP(('2022'!Tnet-t)/('2022'!Tau_j))),Resal+(Salim-Resal)*(1-EXP((Tnet-t)/(Tau_j))))*Salcycl</f>
        <v>9.92583973764712E-2</v>
      </c>
      <c r="P96" s="169">
        <f>(INDEX(Models!$BJ96:$BT96,,T96)*(1-R96)+INDEX(Models!$BJ96:$BT96,,T96+1)*R96-ERP_i)*Q96*Ramure*Pc/MaxiM</f>
        <v>4.6260819777777147E-4</v>
      </c>
      <c r="Q96" s="305">
        <f t="shared" si="28"/>
        <v>0.7</v>
      </c>
      <c r="R96" s="177">
        <f t="shared" si="29"/>
        <v>0.81083667518580771</v>
      </c>
      <c r="S96" s="817">
        <f t="shared" si="30"/>
        <v>-1</v>
      </c>
      <c r="T96" s="176">
        <f t="shared" si="31"/>
        <v>5</v>
      </c>
      <c r="U96" s="251">
        <f t="shared" si="32"/>
        <v>-0.18916332481419226</v>
      </c>
      <c r="V96" s="383">
        <f t="shared" si="33"/>
        <v>30.762974954307616</v>
      </c>
      <c r="W96" s="402">
        <f t="shared" si="34"/>
        <v>29.635280066733937</v>
      </c>
      <c r="X96" s="157">
        <f t="shared" si="35"/>
        <v>45008</v>
      </c>
      <c r="Y96" s="385">
        <f t="shared" si="36"/>
        <v>28.478970976326341</v>
      </c>
      <c r="Z96" s="385">
        <f t="shared" si="37"/>
        <v>29.623533702917872</v>
      </c>
      <c r="AA96" s="386">
        <f t="shared" si="38"/>
        <v>34.223260563206452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0.13440352510519596</v>
      </c>
      <c r="AD96" s="231">
        <f>(INDEX(Models!$BJ96:$BT96,,AH96)*(1-AF96)+INDEX(Models!$BJ96:$BT96,,AH96+1)*AF96-ERP_i)*AE96*Ramure*Pc/MaxiM</f>
        <v>4.6260819777777147E-4</v>
      </c>
      <c r="AE96" s="305">
        <f t="shared" si="40"/>
        <v>0.7</v>
      </c>
      <c r="AF96" s="177">
        <f t="shared" si="41"/>
        <v>0.81083667518580771</v>
      </c>
      <c r="AG96" s="817">
        <f t="shared" si="49"/>
        <v>-1</v>
      </c>
      <c r="AH96" s="176">
        <f t="shared" si="42"/>
        <v>5</v>
      </c>
      <c r="AI96" s="225">
        <f t="shared" si="43"/>
        <v>-0.18916332481419226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45009</v>
      </c>
      <c r="B97" s="411">
        <f>'2022'!Wh/'2022'!Env_an*'2023'!Env_an</f>
        <v>29.340030930112263</v>
      </c>
      <c r="C97" s="846"/>
      <c r="D97" s="393">
        <f t="shared" si="25"/>
        <v>30.519867904500273</v>
      </c>
      <c r="E97" s="385">
        <f t="shared" si="47"/>
        <v>33.885933160810055</v>
      </c>
      <c r="F97" s="385">
        <f t="shared" si="26"/>
        <v>33.896828822800657</v>
      </c>
      <c r="G97" s="110">
        <f t="shared" si="48"/>
        <v>0.94665331878412617</v>
      </c>
      <c r="H97" s="414" t="b">
        <f>Wh_hp&gt;='2022'!Maxi_hp</f>
        <v>0</v>
      </c>
      <c r="I97" s="390">
        <f>IF(H97,Wh_hp,'2022'!Maxi_hp)</f>
        <v>35.972058370872873</v>
      </c>
      <c r="J97" s="85">
        <f>IF(H97,An,'2022'!An_max)</f>
        <v>2021</v>
      </c>
      <c r="K97" s="197">
        <f t="shared" si="27"/>
        <v>45009</v>
      </c>
      <c r="L97" s="147">
        <f>IF(t&lt;Tvie,1-EXP((T0-t)*PertePVj)+'2022'!Pspv,1-EXP((T0-t)*PertePVj)+Pspv)</f>
        <v>3.8657997409419886E-2</v>
      </c>
      <c r="M97" s="850"/>
      <c r="N97" s="850"/>
      <c r="O97" s="48">
        <f>IF(t&lt;Tnet,'2022'!Resal+('2022'!Salim-'2022'!Resal)*(1-EXP(('2022'!Tnet-t)/('2022'!Tau_j))),Resal+(Salim-Resal)*(1-EXP((Tnet-t)/(Tau_j))))*Salcycl</f>
        <v>9.9335179596078571E-2</v>
      </c>
      <c r="P97" s="169">
        <f>(INDEX(Models!$BJ97:$BT97,,T97)*(1-R97)+INDEX(Models!$BJ97:$BT97,,T97+1)*R97-ERP_i)*Q97*Ramure*Pc/MaxiM</f>
        <v>3.4793989243621734E-4</v>
      </c>
      <c r="Q97" s="305">
        <f t="shared" si="28"/>
        <v>0.7</v>
      </c>
      <c r="R97" s="177">
        <f t="shared" si="29"/>
        <v>0.81129042555090081</v>
      </c>
      <c r="S97" s="817">
        <f t="shared" si="30"/>
        <v>-1</v>
      </c>
      <c r="T97" s="176">
        <f t="shared" si="31"/>
        <v>5</v>
      </c>
      <c r="U97" s="251">
        <f t="shared" si="32"/>
        <v>-0.18870957444909919</v>
      </c>
      <c r="V97" s="383">
        <f t="shared" si="33"/>
        <v>30.992605712862225</v>
      </c>
      <c r="W97" s="402">
        <f t="shared" si="34"/>
        <v>29.340030930112263</v>
      </c>
      <c r="X97" s="157">
        <f t="shared" si="35"/>
        <v>45009</v>
      </c>
      <c r="Y97" s="385">
        <f t="shared" si="36"/>
        <v>28.196629644045096</v>
      </c>
      <c r="Z97" s="385">
        <f t="shared" si="37"/>
        <v>29.330487556002044</v>
      </c>
      <c r="AA97" s="386">
        <f t="shared" si="38"/>
        <v>33.885933160810055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0.13443471021410441</v>
      </c>
      <c r="AD97" s="231">
        <f>(INDEX(Models!$BJ97:$BT97,,AH97)*(1-AF97)+INDEX(Models!$BJ97:$BT97,,AH97+1)*AF97-ERP_i)*AE97*Ramure*Pc/MaxiM</f>
        <v>3.4793989243621734E-4</v>
      </c>
      <c r="AE97" s="305">
        <f t="shared" si="40"/>
        <v>0.7</v>
      </c>
      <c r="AF97" s="177">
        <f t="shared" si="41"/>
        <v>0.81129042555090081</v>
      </c>
      <c r="AG97" s="817">
        <f t="shared" si="49"/>
        <v>-1</v>
      </c>
      <c r="AH97" s="176">
        <f t="shared" si="42"/>
        <v>5</v>
      </c>
      <c r="AI97" s="225">
        <f t="shared" si="43"/>
        <v>-0.18870957444909919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45010</v>
      </c>
      <c r="B98" s="411">
        <f>'2022'!Wh/'2022'!Env_an*'2023'!Env_an</f>
        <v>26.203328734545348</v>
      </c>
      <c r="C98" s="846"/>
      <c r="D98" s="393">
        <f t="shared" si="25"/>
        <v>27.257627979065965</v>
      </c>
      <c r="E98" s="385">
        <f t="shared" si="47"/>
        <v>30.266496983386141</v>
      </c>
      <c r="F98" s="385">
        <f t="shared" si="26"/>
        <v>30.272504431770084</v>
      </c>
      <c r="G98" s="110">
        <f t="shared" si="48"/>
        <v>0.83929723852969851</v>
      </c>
      <c r="H98" s="414" t="b">
        <f>Wh_hp&gt;='2022'!Maxi_hp</f>
        <v>0</v>
      </c>
      <c r="I98" s="390">
        <f>IF(H98,Wh_hp,'2022'!Maxi_hp)</f>
        <v>33.539793588319633</v>
      </c>
      <c r="J98" s="85">
        <f>IF(H98,An,'2022'!An_max)</f>
        <v>2020</v>
      </c>
      <c r="K98" s="197">
        <f t="shared" si="27"/>
        <v>45010</v>
      </c>
      <c r="L98" s="147">
        <f>IF(t&lt;Tvie,1-EXP((T0-t)*PertePVj)+'2022'!Pspv,1-EXP((T0-t)*PertePVj)+Pspv)</f>
        <v>3.8679053266495789E-2</v>
      </c>
      <c r="M98" s="850"/>
      <c r="N98" s="850"/>
      <c r="O98" s="48">
        <f>IF(t&lt;Tnet,'2022'!Resal+('2022'!Salim-'2022'!Resal)*(1-EXP(('2022'!Tnet-t)/('2022'!Tau_j))),Resal+(Salim-Resal)*(1-EXP((Tnet-t)/(Tau_j))))*Salcycl</f>
        <v>9.9412528842429307E-2</v>
      </c>
      <c r="P98" s="169">
        <f>(INDEX(Models!$BJ98:$BT98,,T98)*(1-R98)+INDEX(Models!$BJ98:$BT98,,T98+1)*R98-ERP_i)*Q98*Ramure*Pc/MaxiM</f>
        <v>2.5755594567255813E-4</v>
      </c>
      <c r="Q98" s="305">
        <f t="shared" si="28"/>
        <v>0.7</v>
      </c>
      <c r="R98" s="177">
        <f t="shared" si="29"/>
        <v>0.81176169974921952</v>
      </c>
      <c r="S98" s="817">
        <f t="shared" si="30"/>
        <v>-1</v>
      </c>
      <c r="T98" s="176">
        <f t="shared" si="31"/>
        <v>5</v>
      </c>
      <c r="U98" s="251">
        <f t="shared" si="32"/>
        <v>-0.18823830025078048</v>
      </c>
      <c r="V98" s="383">
        <f t="shared" si="33"/>
        <v>31.218712917322428</v>
      </c>
      <c r="W98" s="402">
        <f t="shared" si="34"/>
        <v>26.203328734545348</v>
      </c>
      <c r="X98" s="157">
        <f t="shared" si="35"/>
        <v>45010</v>
      </c>
      <c r="Y98" s="385">
        <f t="shared" si="36"/>
        <v>25.183397471693709</v>
      </c>
      <c r="Z98" s="385">
        <f t="shared" si="37"/>
        <v>26.196659458284962</v>
      </c>
      <c r="AA98" s="386">
        <f t="shared" si="38"/>
        <v>30.266496983386141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0.13446675138306199</v>
      </c>
      <c r="AD98" s="231">
        <f>(INDEX(Models!$BJ98:$BT98,,AH98)*(1-AF98)+INDEX(Models!$BJ98:$BT98,,AH98+1)*AF98-ERP_i)*AE98*Ramure*Pc/MaxiM</f>
        <v>2.5755594567255813E-4</v>
      </c>
      <c r="AE98" s="305">
        <f t="shared" si="40"/>
        <v>0.7</v>
      </c>
      <c r="AF98" s="177">
        <f t="shared" si="41"/>
        <v>0.81176169974921952</v>
      </c>
      <c r="AG98" s="817">
        <f t="shared" si="49"/>
        <v>-1</v>
      </c>
      <c r="AH98" s="176">
        <f t="shared" si="42"/>
        <v>5</v>
      </c>
      <c r="AI98" s="225">
        <f t="shared" si="43"/>
        <v>-0.18823830025078048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45011</v>
      </c>
      <c r="B99" s="411">
        <f>'2022'!Wh/'2022'!Env_an*'2023'!Env_an</f>
        <v>27.883634817928886</v>
      </c>
      <c r="C99" s="846"/>
      <c r="D99" s="393">
        <f t="shared" si="25"/>
        <v>29.006177020503003</v>
      </c>
      <c r="E99" s="385">
        <f t="shared" si="47"/>
        <v>32.210850114981639</v>
      </c>
      <c r="F99" s="385">
        <f t="shared" si="26"/>
        <v>32.216007488433902</v>
      </c>
      <c r="G99" s="110">
        <f t="shared" si="48"/>
        <v>0.88683323312518447</v>
      </c>
      <c r="H99" s="414" t="b">
        <f>Wh_hp&gt;='2022'!Maxi_hp</f>
        <v>0</v>
      </c>
      <c r="I99" s="390">
        <f>IF(H99,Wh_hp,'2022'!Maxi_hp)</f>
        <v>37.971121713669092</v>
      </c>
      <c r="J99" s="85">
        <f>IF(H99,An,'2022'!An_max)</f>
        <v>2019</v>
      </c>
      <c r="K99" s="197">
        <f t="shared" si="27"/>
        <v>45011</v>
      </c>
      <c r="L99" s="147">
        <f>IF(t&lt;Tvie,1-EXP((T0-t)*PertePVj)+'2022'!Pspv,1-EXP((T0-t)*PertePVj)+Pspv)</f>
        <v>3.8700108662394483E-2</v>
      </c>
      <c r="M99" s="850"/>
      <c r="N99" s="850"/>
      <c r="O99" s="48">
        <f>IF(t&lt;Tnet,'2022'!Resal+('2022'!Salim-'2022'!Resal)*(1-EXP(('2022'!Tnet-t)/('2022'!Tau_j))),Resal+(Salim-Resal)*(1-EXP((Tnet-t)/(Tau_j))))*Salcycl</f>
        <v>9.9490484822321076E-2</v>
      </c>
      <c r="P99" s="169">
        <f>(INDEX(Models!$BJ99:$BT99,,T99)*(1-R99)+INDEX(Models!$BJ99:$BT99,,T99+1)*R99-ERP_i)*Q99*Ramure*Pc/MaxiM</f>
        <v>1.9095012333764653E-4</v>
      </c>
      <c r="Q99" s="305">
        <f t="shared" si="28"/>
        <v>0.7</v>
      </c>
      <c r="R99" s="177">
        <f t="shared" si="29"/>
        <v>0.81225111145097184</v>
      </c>
      <c r="S99" s="817">
        <f t="shared" si="30"/>
        <v>-1</v>
      </c>
      <c r="T99" s="176">
        <f t="shared" si="31"/>
        <v>5</v>
      </c>
      <c r="U99" s="251">
        <f t="shared" si="32"/>
        <v>-0.18774888854902821</v>
      </c>
      <c r="V99" s="383">
        <f t="shared" si="33"/>
        <v>31.440831343240323</v>
      </c>
      <c r="W99" s="402">
        <f t="shared" si="34"/>
        <v>27.883634817928886</v>
      </c>
      <c r="X99" s="157">
        <f t="shared" si="35"/>
        <v>45011</v>
      </c>
      <c r="Y99" s="385">
        <f t="shared" si="36"/>
        <v>26.799599418258047</v>
      </c>
      <c r="Z99" s="385">
        <f t="shared" si="37"/>
        <v>27.878500413609338</v>
      </c>
      <c r="AA99" s="386">
        <f t="shared" si="38"/>
        <v>32.210850114981639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0.13449970075012943</v>
      </c>
      <c r="AD99" s="231">
        <f>(INDEX(Models!$BJ99:$BT99,,AH99)*(1-AF99)+INDEX(Models!$BJ99:$BT99,,AH99+1)*AF99-ERP_i)*AE99*Ramure*Pc/MaxiM</f>
        <v>1.9095012333764653E-4</v>
      </c>
      <c r="AE99" s="305">
        <f t="shared" si="40"/>
        <v>0.7</v>
      </c>
      <c r="AF99" s="177">
        <f t="shared" si="41"/>
        <v>0.81225111145097184</v>
      </c>
      <c r="AG99" s="817">
        <f t="shared" si="49"/>
        <v>-1</v>
      </c>
      <c r="AH99" s="176">
        <f t="shared" si="42"/>
        <v>5</v>
      </c>
      <c r="AI99" s="225">
        <f t="shared" si="43"/>
        <v>-0.18774888854902821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45012</v>
      </c>
      <c r="B100" s="411">
        <f>'2022'!Wh/'2022'!Env_an*'2023'!Env_an</f>
        <v>27.813470046754926</v>
      </c>
      <c r="C100" s="846"/>
      <c r="D100" s="393">
        <f t="shared" si="25"/>
        <v>28.933821273787242</v>
      </c>
      <c r="E100" s="385">
        <f t="shared" si="47"/>
        <v>32.13330513497732</v>
      </c>
      <c r="F100" s="385">
        <f t="shared" si="26"/>
        <v>32.137226839555474</v>
      </c>
      <c r="G100" s="110">
        <f t="shared" si="48"/>
        <v>0.87852428908740754</v>
      </c>
      <c r="H100" s="414" t="b">
        <f>Wh_hp&gt;='2022'!Maxi_hp</f>
        <v>0</v>
      </c>
      <c r="I100" s="390">
        <f>IF(H100,Wh_hp,'2022'!Maxi_hp)</f>
        <v>37.339002876856433</v>
      </c>
      <c r="J100" s="85">
        <f>IF(H100,An,'2022'!An_max)</f>
        <v>2019</v>
      </c>
      <c r="K100" s="197">
        <f t="shared" si="27"/>
        <v>45012</v>
      </c>
      <c r="L100" s="147">
        <f>IF(t&lt;Tvie,1-EXP((T0-t)*PertePVj)+'2022'!Pspv,1-EXP((T0-t)*PertePVj)+Pspv)</f>
        <v>3.8721163597125852E-2</v>
      </c>
      <c r="M100" s="850"/>
      <c r="N100" s="850"/>
      <c r="O100" s="48">
        <f>IF(t&lt;Tnet,'2022'!Resal+('2022'!Salim-'2022'!Resal)*(1-EXP(('2022'!Tnet-t)/('2022'!Tau_j))),Resal+(Salim-Resal)*(1-EXP((Tnet-t)/(Tau_j))))*Salcycl</f>
        <v>9.9569087205642517E-2</v>
      </c>
      <c r="P100" s="169">
        <f>(INDEX(Models!$BJ100:$BT100,,T100)*(1-R100)+INDEX(Models!$BJ100:$BT100,,T100+1)*R100-ERP_i)*Q100*Ramure*Pc/MaxiM</f>
        <v>1.4764747444795102E-4</v>
      </c>
      <c r="Q100" s="305">
        <f t="shared" si="28"/>
        <v>0.7</v>
      </c>
      <c r="R100" s="177">
        <f t="shared" si="29"/>
        <v>0.81275929065653019</v>
      </c>
      <c r="S100" s="817">
        <f t="shared" si="30"/>
        <v>-1</v>
      </c>
      <c r="T100" s="176">
        <f t="shared" si="31"/>
        <v>5</v>
      </c>
      <c r="U100" s="251">
        <f t="shared" si="32"/>
        <v>-0.18724070934346979</v>
      </c>
      <c r="V100" s="383">
        <f t="shared" si="33"/>
        <v>31.65849572216122</v>
      </c>
      <c r="W100" s="402">
        <f t="shared" si="34"/>
        <v>27.813470046754926</v>
      </c>
      <c r="X100" s="157">
        <f t="shared" si="35"/>
        <v>45012</v>
      </c>
      <c r="Y100" s="385">
        <f t="shared" si="36"/>
        <v>26.733448579403518</v>
      </c>
      <c r="Z100" s="385">
        <f t="shared" si="37"/>
        <v>27.810295584411961</v>
      </c>
      <c r="AA100" s="386">
        <f t="shared" si="38"/>
        <v>32.13330513497732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0.13453361029643154</v>
      </c>
      <c r="AD100" s="231">
        <f>(INDEX(Models!$BJ100:$BT100,,AH100)*(1-AF100)+INDEX(Models!$BJ100:$BT100,,AH100+1)*AF100-ERP_i)*AE100*Ramure*Pc/MaxiM</f>
        <v>1.4764747444795102E-4</v>
      </c>
      <c r="AE100" s="305">
        <f t="shared" si="40"/>
        <v>0.7</v>
      </c>
      <c r="AF100" s="177">
        <f t="shared" si="41"/>
        <v>0.81275929065653019</v>
      </c>
      <c r="AG100" s="817">
        <f t="shared" si="49"/>
        <v>-1</v>
      </c>
      <c r="AH100" s="176">
        <f t="shared" si="42"/>
        <v>5</v>
      </c>
      <c r="AI100" s="225">
        <f t="shared" si="43"/>
        <v>-0.18724070934346979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45013</v>
      </c>
      <c r="B101" s="411">
        <f>'2022'!Wh/'2022'!Env_an*'2023'!Env_an</f>
        <v>21.490329618424362</v>
      </c>
      <c r="C101" s="846"/>
      <c r="D101" s="393">
        <f t="shared" si="25"/>
        <v>22.356468808285776</v>
      </c>
      <c r="E101" s="385">
        <f t="shared" si="47"/>
        <v>24.830819649173083</v>
      </c>
      <c r="F101" s="385">
        <f t="shared" si="26"/>
        <v>24.832281692521072</v>
      </c>
      <c r="G101" s="110">
        <f t="shared" si="48"/>
        <v>0.67423986649445744</v>
      </c>
      <c r="H101" s="414" t="b">
        <f>Wh_hp&gt;='2022'!Maxi_hp</f>
        <v>0</v>
      </c>
      <c r="I101" s="390">
        <f>IF(H101,Wh_hp,'2022'!Maxi_hp)</f>
        <v>36.534422327632868</v>
      </c>
      <c r="J101" s="85">
        <f>IF(H101,An,'2022'!An_max)</f>
        <v>2019</v>
      </c>
      <c r="K101" s="197">
        <f t="shared" si="27"/>
        <v>45013</v>
      </c>
      <c r="L101" s="147">
        <f>IF(t&lt;Tvie,1-EXP((T0-t)*PertePVj)+'2022'!Pspv,1-EXP((T0-t)*PertePVj)+Pspv)</f>
        <v>3.8742218070700218E-2</v>
      </c>
      <c r="M101" s="850"/>
      <c r="N101" s="850"/>
      <c r="O101" s="48">
        <f>IF(t&lt;Tnet,'2022'!Resal+('2022'!Salim-'2022'!Resal)*(1-EXP(('2022'!Tnet-t)/('2022'!Tau_j))),Resal+(Salim-Resal)*(1-EXP((Tnet-t)/(Tau_j))))*Salcycl</f>
        <v>9.9648375520689142E-2</v>
      </c>
      <c r="P101" s="169">
        <f>(INDEX(Models!$BJ101:$BT101,,T101)*(1-R101)+INDEX(Models!$BJ101:$BT101,,T101+1)*R101-ERP_i)*Q101*Ramure*Pc/MaxiM</f>
        <v>1.1011627691633886E-4</v>
      </c>
      <c r="Q101" s="305">
        <f t="shared" si="28"/>
        <v>0.7</v>
      </c>
      <c r="R101" s="177">
        <f t="shared" si="29"/>
        <v>0.81328688369511126</v>
      </c>
      <c r="S101" s="817">
        <f t="shared" si="30"/>
        <v>-1</v>
      </c>
      <c r="T101" s="176">
        <f t="shared" si="31"/>
        <v>5</v>
      </c>
      <c r="U101" s="251">
        <f t="shared" si="32"/>
        <v>-0.18671311630488868</v>
      </c>
      <c r="V101" s="383">
        <f t="shared" si="33"/>
        <v>31.871785497338308</v>
      </c>
      <c r="W101" s="402">
        <f t="shared" si="34"/>
        <v>21.490329618424362</v>
      </c>
      <c r="X101" s="157">
        <f t="shared" si="35"/>
        <v>45013</v>
      </c>
      <c r="Y101" s="385">
        <f t="shared" si="36"/>
        <v>20.656826744282281</v>
      </c>
      <c r="Z101" s="385">
        <f t="shared" si="37"/>
        <v>21.489372707935679</v>
      </c>
      <c r="AA101" s="386">
        <f t="shared" si="38"/>
        <v>24.830819649173083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0.1345685317056653</v>
      </c>
      <c r="AD101" s="231">
        <f>(INDEX(Models!$BJ101:$BT101,,AH101)*(1-AF101)+INDEX(Models!$BJ101:$BT101,,AH101+1)*AF101-ERP_i)*AE101*Ramure*Pc/MaxiM</f>
        <v>1.1011627691633886E-4</v>
      </c>
      <c r="AE101" s="305">
        <f t="shared" si="40"/>
        <v>0.7</v>
      </c>
      <c r="AF101" s="177">
        <f t="shared" si="41"/>
        <v>0.81328688369511126</v>
      </c>
      <c r="AG101" s="817">
        <f t="shared" si="49"/>
        <v>-1</v>
      </c>
      <c r="AH101" s="176">
        <f t="shared" si="42"/>
        <v>5</v>
      </c>
      <c r="AI101" s="225">
        <f t="shared" si="43"/>
        <v>-0.18671311630488868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45014</v>
      </c>
      <c r="B102" s="411">
        <f>'2022'!Wh/'2022'!Env_an*'2023'!Env_an</f>
        <v>17.28755215960178</v>
      </c>
      <c r="C102" s="846"/>
      <c r="D102" s="393">
        <f t="shared" si="25"/>
        <v>17.984697897536854</v>
      </c>
      <c r="E102" s="385">
        <f t="shared" si="47"/>
        <v>19.976968815694082</v>
      </c>
      <c r="F102" s="385">
        <f t="shared" si="26"/>
        <v>19.977502207288175</v>
      </c>
      <c r="G102" s="110">
        <f t="shared" si="48"/>
        <v>0.53885703264724827</v>
      </c>
      <c r="H102" s="414" t="b">
        <f>Wh_hp&gt;='2022'!Maxi_hp</f>
        <v>0</v>
      </c>
      <c r="I102" s="390">
        <f>IF(H102,Wh_hp,'2022'!Maxi_hp)</f>
        <v>36.692193713560719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3.8763272083127576E-2</v>
      </c>
      <c r="M102" s="850"/>
      <c r="N102" s="850"/>
      <c r="O102" s="48">
        <f>IF(t&lt;Tnet,'2022'!Resal+('2022'!Salim-'2022'!Resal)*(1-EXP(('2022'!Tnet-t)/('2022'!Tau_j))),Resal+(Salim-Resal)*(1-EXP((Tnet-t)/(Tau_j))))*Salcycl</f>
        <v>9.9728389053302322E-2</v>
      </c>
      <c r="P102" s="169">
        <f>(INDEX(Models!$BJ102:$BT102,,T102)*(1-R102)+INDEX(Models!$BJ102:$BT102,,T102+1)*R102-ERP_i)*Q102*Ramure*Pc/MaxiM</f>
        <v>7.8237414776740789E-5</v>
      </c>
      <c r="Q102" s="305">
        <f t="shared" si="28"/>
        <v>0.7</v>
      </c>
      <c r="R102" s="177">
        <f t="shared" si="29"/>
        <v>0.81383455317866515</v>
      </c>
      <c r="S102" s="817">
        <f t="shared" si="30"/>
        <v>-1</v>
      </c>
      <c r="T102" s="176">
        <f t="shared" si="31"/>
        <v>5</v>
      </c>
      <c r="U102" s="251">
        <f t="shared" si="32"/>
        <v>-0.18616544682133482</v>
      </c>
      <c r="V102" s="383">
        <f t="shared" si="33"/>
        <v>32.080236734531006</v>
      </c>
      <c r="W102" s="402">
        <f t="shared" si="34"/>
        <v>17.28755215960178</v>
      </c>
      <c r="X102" s="157">
        <f t="shared" si="35"/>
        <v>45014</v>
      </c>
      <c r="Y102" s="385">
        <f t="shared" si="36"/>
        <v>16.61783997458188</v>
      </c>
      <c r="Z102" s="385">
        <f t="shared" si="37"/>
        <v>17.287978592531463</v>
      </c>
      <c r="AA102" s="386">
        <f t="shared" si="38"/>
        <v>19.976968815694082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0.13460451622921524</v>
      </c>
      <c r="AD102" s="231">
        <f>(INDEX(Models!$BJ102:$BT102,,AH102)*(1-AF102)+INDEX(Models!$BJ102:$BT102,,AH102+1)*AF102-ERP_i)*AE102*Ramure*Pc/MaxiM</f>
        <v>7.8237414776740789E-5</v>
      </c>
      <c r="AE102" s="305">
        <f t="shared" si="40"/>
        <v>0.7</v>
      </c>
      <c r="AF102" s="177">
        <f t="shared" si="41"/>
        <v>0.81383455317866515</v>
      </c>
      <c r="AG102" s="817">
        <f t="shared" si="49"/>
        <v>-1</v>
      </c>
      <c r="AH102" s="176">
        <f t="shared" si="42"/>
        <v>5</v>
      </c>
      <c r="AI102" s="225">
        <f t="shared" si="43"/>
        <v>-0.18616544682133482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45015</v>
      </c>
      <c r="B103" s="411">
        <f>'2022'!Wh/'2022'!Env_an*'2023'!Env_an</f>
        <v>4.2749632406478186</v>
      </c>
      <c r="C103" s="846"/>
      <c r="D103" s="393">
        <f t="shared" si="25"/>
        <v>4.4474547748811561</v>
      </c>
      <c r="E103" s="385">
        <f t="shared" si="47"/>
        <v>4.9405688334152735</v>
      </c>
      <c r="F103" s="385">
        <f t="shared" si="26"/>
        <v>4.9405688334152735</v>
      </c>
      <c r="G103" s="110">
        <f t="shared" si="48"/>
        <v>0.13241304423672062</v>
      </c>
      <c r="H103" s="414" t="b">
        <f>Wh_hp&gt;='2022'!Maxi_hp</f>
        <v>0</v>
      </c>
      <c r="I103" s="390">
        <f>IF(H103,Wh_hp,'2022'!Maxi_hp)</f>
        <v>36.462755841463355</v>
      </c>
      <c r="J103" s="85">
        <f>IF(H103,An,'2022'!An_max)</f>
        <v>2019</v>
      </c>
      <c r="K103" s="197">
        <f t="shared" si="27"/>
        <v>45015</v>
      </c>
      <c r="L103" s="147">
        <f>IF(t&lt;Tvie,1-EXP((T0-t)*PertePVj)+'2022'!Pspv,1-EXP((T0-t)*PertePVj)+Pspv)</f>
        <v>3.8784325634417915E-2</v>
      </c>
      <c r="M103" s="850"/>
      <c r="N103" s="850"/>
      <c r="O103" s="48">
        <f>IF(t&lt;Tnet,'2022'!Resal+('2022'!Salim-'2022'!Resal)*(1-EXP(('2022'!Tnet-t)/('2022'!Tau_j))),Resal+(Salim-Resal)*(1-EXP((Tnet-t)/(Tau_j))))*Salcycl</f>
        <v>9.9809166749983677E-2</v>
      </c>
      <c r="P103" s="169">
        <f>(INDEX(Models!$BJ103:$BT103,,T103)*(1-R103)+INDEX(Models!$BJ103:$BT103,,T103+1)*R103-ERP_i)*Q103*Ramure*Pc/MaxiM</f>
        <v>5.1899385640887441E-5</v>
      </c>
      <c r="Q103" s="305">
        <f t="shared" si="28"/>
        <v>0.7</v>
      </c>
      <c r="R103" s="177">
        <f t="shared" si="29"/>
        <v>0.81440297790683769</v>
      </c>
      <c r="S103" s="817">
        <f t="shared" si="30"/>
        <v>-1</v>
      </c>
      <c r="T103" s="176">
        <f t="shared" si="31"/>
        <v>5</v>
      </c>
      <c r="U103" s="251">
        <f t="shared" si="32"/>
        <v>-0.18559702209316231</v>
      </c>
      <c r="V103" s="383">
        <f t="shared" si="33"/>
        <v>32.283385653756653</v>
      </c>
      <c r="W103" s="402">
        <f t="shared" si="34"/>
        <v>4.2749632406478186</v>
      </c>
      <c r="X103" s="157">
        <f t="shared" si="35"/>
        <v>45015</v>
      </c>
      <c r="Y103" s="385">
        <f t="shared" si="36"/>
        <v>4.1095456108998949</v>
      </c>
      <c r="Z103" s="385">
        <f t="shared" si="37"/>
        <v>4.275362668853961</v>
      </c>
      <c r="AA103" s="386">
        <f t="shared" si="38"/>
        <v>4.9405688334152735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0.13464161455705792</v>
      </c>
      <c r="AD103" s="231">
        <f>(INDEX(Models!$BJ103:$BT103,,AH103)*(1-AF103)+INDEX(Models!$BJ103:$BT103,,AH103+1)*AF103-ERP_i)*AE103*Ramure*Pc/MaxiM</f>
        <v>5.1899385640887441E-5</v>
      </c>
      <c r="AE103" s="305">
        <f t="shared" si="40"/>
        <v>0.7</v>
      </c>
      <c r="AF103" s="177">
        <f t="shared" si="41"/>
        <v>0.81440297790683769</v>
      </c>
      <c r="AG103" s="817">
        <f t="shared" si="49"/>
        <v>-1</v>
      </c>
      <c r="AH103" s="176">
        <f t="shared" si="42"/>
        <v>5</v>
      </c>
      <c r="AI103" s="225">
        <f t="shared" si="43"/>
        <v>-0.18559702209316231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45016</v>
      </c>
      <c r="B104" s="411">
        <f>'2022'!Wh/'2022'!Env_an*'2023'!Env_an</f>
        <v>18.449470211933626</v>
      </c>
      <c r="C104" s="846"/>
      <c r="D104" s="393">
        <f t="shared" si="25"/>
        <v>19.194312789071631</v>
      </c>
      <c r="E104" s="385">
        <f t="shared" si="47"/>
        <v>21.324425593631922</v>
      </c>
      <c r="F104" s="385">
        <f t="shared" si="26"/>
        <v>21.324678688846856</v>
      </c>
      <c r="G104" s="110">
        <f t="shared" si="48"/>
        <v>0.5680012526735464</v>
      </c>
      <c r="H104" s="414" t="b">
        <f>Wh_hp&gt;='2022'!Maxi_hp</f>
        <v>0</v>
      </c>
      <c r="I104" s="390">
        <f>IF(H104,Wh_hp,'2022'!Maxi_hp)</f>
        <v>33.190656549107899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3.8805378724581563E-2</v>
      </c>
      <c r="M104" s="850"/>
      <c r="N104" s="850"/>
      <c r="O104" s="48">
        <f>IF(t&lt;Tnet,'2022'!Resal+('2022'!Salim-'2022'!Resal)*(1-EXP(('2022'!Tnet-t)/('2022'!Tau_j))),Resal+(Salim-Resal)*(1-EXP((Tnet-t)/(Tau_j))))*Salcycl</f>
        <v>9.9890747125043367E-2</v>
      </c>
      <c r="P104" s="169">
        <f>(INDEX(Models!$BJ104:$BT104,,T104)*(1-R104)+INDEX(Models!$BJ104:$BT104,,T104+1)*R104-ERP_i)*Q104*Ramure*Pc/MaxiM</f>
        <v>3.0998811689665504E-5</v>
      </c>
      <c r="Q104" s="305">
        <f t="shared" si="28"/>
        <v>0.7</v>
      </c>
      <c r="R104" s="177">
        <f t="shared" si="29"/>
        <v>0.81499285271866051</v>
      </c>
      <c r="S104" s="817">
        <f t="shared" si="30"/>
        <v>-1</v>
      </c>
      <c r="T104" s="176">
        <f t="shared" si="31"/>
        <v>5</v>
      </c>
      <c r="U104" s="251">
        <f t="shared" si="32"/>
        <v>-0.18500714728133955</v>
      </c>
      <c r="V104" s="383">
        <f t="shared" si="33"/>
        <v>32.480768624392475</v>
      </c>
      <c r="W104" s="402">
        <f t="shared" si="34"/>
        <v>18.449470211933626</v>
      </c>
      <c r="X104" s="157">
        <f t="shared" si="35"/>
        <v>45016</v>
      </c>
      <c r="Y104" s="385">
        <f t="shared" si="36"/>
        <v>17.736400095566172</v>
      </c>
      <c r="Z104" s="385">
        <f t="shared" si="37"/>
        <v>18.452454584100327</v>
      </c>
      <c r="AA104" s="386">
        <f t="shared" si="38"/>
        <v>21.324425593631922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0.13467987669450976</v>
      </c>
      <c r="AD104" s="231">
        <f>(INDEX(Models!$BJ104:$BT104,,AH104)*(1-AF104)+INDEX(Models!$BJ104:$BT104,,AH104+1)*AF104-ERP_i)*AE104*Ramure*Pc/MaxiM</f>
        <v>3.0998811689665504E-5</v>
      </c>
      <c r="AE104" s="305">
        <f t="shared" si="40"/>
        <v>0.7</v>
      </c>
      <c r="AF104" s="177">
        <f t="shared" si="41"/>
        <v>0.81499285271866051</v>
      </c>
      <c r="AG104" s="817">
        <f t="shared" si="49"/>
        <v>-1</v>
      </c>
      <c r="AH104" s="176">
        <f t="shared" si="42"/>
        <v>5</v>
      </c>
      <c r="AI104" s="225">
        <f t="shared" si="43"/>
        <v>-0.18500714728133955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45017</v>
      </c>
      <c r="B105" s="411">
        <f>'2022'!Wh/'2022'!Env_an*'2023'!Env_an</f>
        <v>20.313248047791497</v>
      </c>
      <c r="C105" s="846"/>
      <c r="D105" s="393">
        <f t="shared" si="25"/>
        <v>21.133798005285151</v>
      </c>
      <c r="E105" s="385">
        <f t="shared" si="47"/>
        <v>23.481297732374816</v>
      </c>
      <c r="F105" s="385">
        <f t="shared" si="26"/>
        <v>23.48146437934216</v>
      </c>
      <c r="G105" s="110">
        <f t="shared" si="48"/>
        <v>0.62172890958537541</v>
      </c>
      <c r="H105" s="414" t="b">
        <f>Wh_hp&gt;='2022'!Maxi_hp</f>
        <v>0</v>
      </c>
      <c r="I105" s="390">
        <f>IF(H105,Wh_hp,'2022'!Maxi_hp)</f>
        <v>33.527563379735113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3.882643135362851E-2</v>
      </c>
      <c r="M105" s="850"/>
      <c r="N105" s="850"/>
      <c r="O105" s="48">
        <f>IF(t&lt;Tnet,'2022'!Resal+('2022'!Salim-'2022'!Resal)*(1-EXP(('2022'!Tnet-t)/('2022'!Tau_j))),Resal+(Salim-Resal)*(1-EXP((Tnet-t)/(Tau_j))))*Salcycl</f>
        <v>9.9973168171751142E-2</v>
      </c>
      <c r="P105" s="169">
        <f>(INDEX(Models!$BJ105:$BT105,,T105)*(1-R105)+INDEX(Models!$BJ105:$BT105,,T105+1)*R105-ERP_i)*Q105*Ramure*Pc/MaxiM</f>
        <v>1.5440920520146136E-5</v>
      </c>
      <c r="Q105" s="305">
        <f t="shared" si="28"/>
        <v>0.7</v>
      </c>
      <c r="R105" s="177">
        <f t="shared" si="29"/>
        <v>0.81560488828642508</v>
      </c>
      <c r="S105" s="817">
        <f t="shared" si="30"/>
        <v>-1</v>
      </c>
      <c r="T105" s="176">
        <f t="shared" si="31"/>
        <v>5</v>
      </c>
      <c r="U105" s="251">
        <f t="shared" si="32"/>
        <v>-0.18439511171357495</v>
      </c>
      <c r="V105" s="383">
        <f t="shared" si="33"/>
        <v>32.671922184148649</v>
      </c>
      <c r="W105" s="402">
        <f t="shared" si="34"/>
        <v>20.313248047791497</v>
      </c>
      <c r="X105" s="157">
        <f t="shared" si="35"/>
        <v>45017</v>
      </c>
      <c r="Y105" s="385">
        <f t="shared" si="36"/>
        <v>19.52904048563461</v>
      </c>
      <c r="Z105" s="385">
        <f t="shared" si="37"/>
        <v>20.317912521395606</v>
      </c>
      <c r="AA105" s="386">
        <f t="shared" si="38"/>
        <v>23.481297732374816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0.13471935184475339</v>
      </c>
      <c r="AD105" s="231">
        <f>(INDEX(Models!$BJ105:$BT105,,AH105)*(1-AF105)+INDEX(Models!$BJ105:$BT105,,AH105+1)*AF105-ERP_i)*AE105*Ramure*Pc/MaxiM</f>
        <v>1.5440920520146136E-5</v>
      </c>
      <c r="AE105" s="305">
        <f t="shared" si="40"/>
        <v>0.7</v>
      </c>
      <c r="AF105" s="177">
        <f t="shared" si="41"/>
        <v>0.81560488828642508</v>
      </c>
      <c r="AG105" s="817">
        <f t="shared" si="49"/>
        <v>-1</v>
      </c>
      <c r="AH105" s="176">
        <f t="shared" si="42"/>
        <v>5</v>
      </c>
      <c r="AI105" s="225">
        <f t="shared" si="43"/>
        <v>-0.18439511171357495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45018</v>
      </c>
      <c r="B106" s="411">
        <f>'2022'!Wh/'2022'!Env_an*'2023'!Env_an</f>
        <v>12.537529983343035</v>
      </c>
      <c r="C106" s="846"/>
      <c r="D106" s="393">
        <f t="shared" si="25"/>
        <v>13.044266927874586</v>
      </c>
      <c r="E106" s="385">
        <f t="shared" si="47"/>
        <v>14.49453932783023</v>
      </c>
      <c r="F106" s="385">
        <f t="shared" si="26"/>
        <v>14.4945480111276</v>
      </c>
      <c r="G106" s="110">
        <f t="shared" si="48"/>
        <v>0.38158409094817675</v>
      </c>
      <c r="H106" s="414" t="b">
        <f>Wh_hp&gt;='2022'!Maxi_hp</f>
        <v>0</v>
      </c>
      <c r="I106" s="390">
        <f>IF(H106,Wh_hp,'2022'!Maxi_hp)</f>
        <v>29.015475964814325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3.8847483521568749E-2</v>
      </c>
      <c r="M106" s="850"/>
      <c r="N106" s="850"/>
      <c r="O106" s="48">
        <f>IF(t&lt;Tnet,'2022'!Resal+('2022'!Salim-'2022'!Resal)*(1-EXP(('2022'!Tnet-t)/('2022'!Tau_j))),Resal+(Salim-Resal)*(1-EXP((Tnet-t)/(Tau_j))))*Salcycl</f>
        <v>0.10005646727737318</v>
      </c>
      <c r="P106" s="169">
        <f>(INDEX(Models!$BJ106:$BT106,,T106)*(1-R106)+INDEX(Models!$BJ106:$BT106,,T106+1)*R106-ERP_i)*Q106*Ramure*Pc/MaxiM</f>
        <v>5.1400025504994573E-6</v>
      </c>
      <c r="Q106" s="305">
        <f t="shared" si="28"/>
        <v>0.7</v>
      </c>
      <c r="R106" s="177">
        <f t="shared" si="29"/>
        <v>0.81623981084700115</v>
      </c>
      <c r="S106" s="817">
        <f t="shared" si="30"/>
        <v>-1</v>
      </c>
      <c r="T106" s="176">
        <f t="shared" si="31"/>
        <v>5</v>
      </c>
      <c r="U106" s="251">
        <f t="shared" si="32"/>
        <v>-0.18376018915299888</v>
      </c>
      <c r="V106" s="383">
        <f t="shared" si="33"/>
        <v>32.856383032424681</v>
      </c>
      <c r="W106" s="402">
        <f t="shared" si="34"/>
        <v>12.537529983343035</v>
      </c>
      <c r="X106" s="157">
        <f t="shared" si="35"/>
        <v>45018</v>
      </c>
      <c r="Y106" s="385">
        <f t="shared" si="36"/>
        <v>12.054057772872975</v>
      </c>
      <c r="Z106" s="385">
        <f t="shared" si="37"/>
        <v>12.54125392818807</v>
      </c>
      <c r="AA106" s="386">
        <f t="shared" si="38"/>
        <v>14.49453932783023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0.13476008829695993</v>
      </c>
      <c r="AD106" s="231">
        <f>(INDEX(Models!$BJ106:$BT106,,AH106)*(1-AF106)+INDEX(Models!$BJ106:$BT106,,AH106+1)*AF106-ERP_i)*AE106*Ramure*Pc/MaxiM</f>
        <v>5.1400025504994573E-6</v>
      </c>
      <c r="AE106" s="305">
        <f t="shared" si="40"/>
        <v>0.7</v>
      </c>
      <c r="AF106" s="177">
        <f t="shared" si="41"/>
        <v>0.81623981084700115</v>
      </c>
      <c r="AG106" s="817">
        <f t="shared" si="49"/>
        <v>-1</v>
      </c>
      <c r="AH106" s="176">
        <f t="shared" si="42"/>
        <v>5</v>
      </c>
      <c r="AI106" s="225">
        <f t="shared" si="43"/>
        <v>-0.18376018915299888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45019</v>
      </c>
      <c r="B107" s="411">
        <f>'2022'!Wh/'2022'!Env_an*'2023'!Env_an</f>
        <v>14.900896113715493</v>
      </c>
      <c r="C107" s="846"/>
      <c r="D107" s="393">
        <f t="shared" si="25"/>
        <v>15.503494225170003</v>
      </c>
      <c r="E107" s="385">
        <f t="shared" si="47"/>
        <v>17.228797769015152</v>
      </c>
      <c r="F107" s="385">
        <f t="shared" si="26"/>
        <v>17.2287978428317</v>
      </c>
      <c r="G107" s="110">
        <f t="shared" si="48"/>
        <v>0.45107970579414564</v>
      </c>
      <c r="H107" s="414" t="b">
        <f>Wh_hp&gt;='2022'!Maxi_hp</f>
        <v>0</v>
      </c>
      <c r="I107" s="390">
        <f>IF(H107,Wh_hp,'2022'!Maxi_hp)</f>
        <v>37.337963589482051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3.8868535228412493E-2</v>
      </c>
      <c r="M107" s="850"/>
      <c r="N107" s="850"/>
      <c r="O107" s="48">
        <f>IF(t&lt;Tnet,'2022'!Resal+('2022'!Salim-'2022'!Resal)*(1-EXP(('2022'!Tnet-t)/('2022'!Tau_j))),Resal+(Salim-Resal)*(1-EXP((Tnet-t)/(Tau_j))))*Salcycl</f>
        <v>0.10014068114189568</v>
      </c>
      <c r="P107" s="169">
        <f>(INDEX(Models!$BJ107:$BT107,,T107)*(1-R107)+INDEX(Models!$BJ107:$BT107,,T107+1)*R107-ERP_i)*Q107*Ramure*Pc/MaxiM</f>
        <v>1.9851377161858151E-8</v>
      </c>
      <c r="Q107" s="305">
        <f t="shared" si="28"/>
        <v>0.7</v>
      </c>
      <c r="R107" s="177">
        <f t="shared" si="29"/>
        <v>0.81689836186567355</v>
      </c>
      <c r="S107" s="817">
        <f t="shared" si="30"/>
        <v>-1</v>
      </c>
      <c r="T107" s="176">
        <f t="shared" si="31"/>
        <v>5</v>
      </c>
      <c r="U107" s="251">
        <f t="shared" si="32"/>
        <v>-0.18310163813432642</v>
      </c>
      <c r="V107" s="383">
        <f t="shared" si="33"/>
        <v>33.033842335072876</v>
      </c>
      <c r="W107" s="402">
        <f t="shared" si="34"/>
        <v>14.900896113715493</v>
      </c>
      <c r="X107" s="157">
        <f t="shared" si="35"/>
        <v>45019</v>
      </c>
      <c r="Y107" s="385">
        <f t="shared" si="36"/>
        <v>14.326932287116863</v>
      </c>
      <c r="Z107" s="385">
        <f t="shared" si="37"/>
        <v>14.906319075217928</v>
      </c>
      <c r="AA107" s="386">
        <f t="shared" si="38"/>
        <v>17.228797769015152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0.13480213331971699</v>
      </c>
      <c r="AD107" s="231">
        <f>(INDEX(Models!$BJ107:$BT107,,AH107)*(1-AF107)+INDEX(Models!$BJ107:$BT107,,AH107+1)*AF107-ERP_i)*AE107*Ramure*Pc/MaxiM</f>
        <v>1.9851377161858151E-8</v>
      </c>
      <c r="AE107" s="305">
        <f t="shared" si="40"/>
        <v>0.7</v>
      </c>
      <c r="AF107" s="177">
        <f t="shared" si="41"/>
        <v>0.81689836186567355</v>
      </c>
      <c r="AG107" s="817">
        <f t="shared" si="49"/>
        <v>-1</v>
      </c>
      <c r="AH107" s="176">
        <f t="shared" si="42"/>
        <v>5</v>
      </c>
      <c r="AI107" s="225">
        <f t="shared" si="43"/>
        <v>-0.18310163813432642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45020</v>
      </c>
      <c r="B108" s="411">
        <f>'2022'!Wh/'2022'!Env_an*'2023'!Env_an</f>
        <v>27.136499381570989</v>
      </c>
      <c r="C108" s="846"/>
      <c r="D108" s="393">
        <f t="shared" si="25"/>
        <v>28.234528520007228</v>
      </c>
      <c r="E108" s="385">
        <f t="shared" si="47"/>
        <v>31.379572735091529</v>
      </c>
      <c r="F108" s="385">
        <f t="shared" si="26"/>
        <v>31.379573064310108</v>
      </c>
      <c r="G108" s="110">
        <f t="shared" si="48"/>
        <v>0.81725099499228737</v>
      </c>
      <c r="H108" s="414" t="b">
        <f>Wh_hp&gt;='2022'!Maxi_hp</f>
        <v>0</v>
      </c>
      <c r="I108" s="390">
        <f>IF(H108,Wh_hp,'2022'!Maxi_hp)</f>
        <v>39.674347557533999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3.8889586474169957E-2</v>
      </c>
      <c r="M108" s="850"/>
      <c r="N108" s="850"/>
      <c r="O108" s="48">
        <f>IF(t&lt;Tnet,'2022'!Resal+('2022'!Salim-'2022'!Resal)*(1-EXP(('2022'!Tnet-t)/('2022'!Tau_j))),Resal+(Salim-Resal)*(1-EXP((Tnet-t)/(Tau_j))))*Salcycl</f>
        <v>0.10022584570016227</v>
      </c>
      <c r="P108" s="169">
        <f>(INDEX(Models!$BJ108:$BT108,,T108)*(1-R108)+INDEX(Models!$BJ108:$BT108,,T108+1)*R108-ERP_i)*Q108*Ramure*Pc/MaxiM</f>
        <v>1.4198223413606167E-8</v>
      </c>
      <c r="Q108" s="305">
        <f t="shared" si="28"/>
        <v>0.7</v>
      </c>
      <c r="R108" s="177">
        <f t="shared" si="29"/>
        <v>0.81758129762739729</v>
      </c>
      <c r="S108" s="817">
        <f t="shared" si="30"/>
        <v>-1</v>
      </c>
      <c r="T108" s="176">
        <f t="shared" si="31"/>
        <v>5</v>
      </c>
      <c r="U108" s="251">
        <f t="shared" si="32"/>
        <v>-0.18241870237260269</v>
      </c>
      <c r="V108" s="383">
        <f t="shared" si="33"/>
        <v>33.204608433960246</v>
      </c>
      <c r="W108" s="402">
        <f t="shared" si="34"/>
        <v>27.136499381570989</v>
      </c>
      <c r="X108" s="157">
        <f t="shared" si="35"/>
        <v>45020</v>
      </c>
      <c r="Y108" s="385">
        <f t="shared" si="36"/>
        <v>26.09239612507718</v>
      </c>
      <c r="Z108" s="385">
        <f t="shared" si="37"/>
        <v>27.148177522452723</v>
      </c>
      <c r="AA108" s="386">
        <f t="shared" si="38"/>
        <v>31.379572735091529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0.13484553305937369</v>
      </c>
      <c r="AD108" s="231">
        <f>(INDEX(Models!$BJ108:$BT108,,AH108)*(1-AF108)+INDEX(Models!$BJ108:$BT108,,AH108+1)*AF108-ERP_i)*AE108*Ramure*Pc/MaxiM</f>
        <v>1.4198223413606167E-8</v>
      </c>
      <c r="AE108" s="305">
        <f t="shared" si="40"/>
        <v>0.7</v>
      </c>
      <c r="AF108" s="177">
        <f t="shared" si="41"/>
        <v>0.81758129762739729</v>
      </c>
      <c r="AG108" s="817">
        <f t="shared" si="49"/>
        <v>-1</v>
      </c>
      <c r="AH108" s="176">
        <f t="shared" si="42"/>
        <v>5</v>
      </c>
      <c r="AI108" s="225">
        <f t="shared" si="43"/>
        <v>-0.18241870237260269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45021</v>
      </c>
      <c r="B109" s="411">
        <f>'2022'!Wh/'2022'!Env_an*'2023'!Env_an</f>
        <v>33.45396158444737</v>
      </c>
      <c r="C109" s="846"/>
      <c r="D109" s="393">
        <f t="shared" si="25"/>
        <v>34.808377744429947</v>
      </c>
      <c r="E109" s="385">
        <f t="shared" si="47"/>
        <v>38.689387422633267</v>
      </c>
      <c r="F109" s="385">
        <f t="shared" si="26"/>
        <v>38.689387790565412</v>
      </c>
      <c r="G109" s="110">
        <f t="shared" si="48"/>
        <v>1.0025367346454539</v>
      </c>
      <c r="H109" s="414" t="b">
        <f>Wh_hp&gt;='2022'!Maxi_hp</f>
        <v>0</v>
      </c>
      <c r="I109" s="390">
        <f>IF(H109,Wh_hp,'2022'!Maxi_hp)</f>
        <v>39.549856186864908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3.8910637258851022E-2</v>
      </c>
      <c r="M109" s="850"/>
      <c r="N109" s="850"/>
      <c r="O109" s="48">
        <f>IF(t&lt;Tnet,'2022'!Resal+('2022'!Salim-'2022'!Resal)*(1-EXP(('2022'!Tnet-t)/('2022'!Tau_j))),Resal+(Salim-Resal)*(1-EXP((Tnet-t)/(Tau_j))))*Salcycl</f>
        <v>0.10031199604708482</v>
      </c>
      <c r="P109" s="169">
        <f>(INDEX(Models!$BJ109:$BT109,,T109)*(1-R109)+INDEX(Models!$BJ109:$BT109,,T109+1)*R109-ERP_i)*Q109*Ramure*Pc/MaxiM</f>
        <v>9.5098982831388921E-9</v>
      </c>
      <c r="Q109" s="305">
        <f t="shared" si="28"/>
        <v>0.7</v>
      </c>
      <c r="R109" s="177">
        <f t="shared" si="29"/>
        <v>0.8182893887502074</v>
      </c>
      <c r="S109" s="817">
        <f t="shared" si="30"/>
        <v>-1</v>
      </c>
      <c r="T109" s="176">
        <f t="shared" si="31"/>
        <v>5</v>
      </c>
      <c r="U109" s="251">
        <f t="shared" si="32"/>
        <v>-0.18171061124979265</v>
      </c>
      <c r="V109" s="383">
        <f t="shared" si="33"/>
        <v>33.369312493350506</v>
      </c>
      <c r="W109" s="402">
        <f t="shared" si="34"/>
        <v>33.45396158444737</v>
      </c>
      <c r="X109" s="157">
        <f t="shared" si="35"/>
        <v>45021</v>
      </c>
      <c r="Y109" s="385">
        <f t="shared" si="36"/>
        <v>32.168202151894455</v>
      </c>
      <c r="Z109" s="385">
        <f t="shared" si="37"/>
        <v>33.470563091185042</v>
      </c>
      <c r="AA109" s="386">
        <f t="shared" si="38"/>
        <v>38.689387422633267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0.13489033244282439</v>
      </c>
      <c r="AD109" s="231">
        <f>(INDEX(Models!$BJ109:$BT109,,AH109)*(1-AF109)+INDEX(Models!$BJ109:$BT109,,AH109+1)*AF109-ERP_i)*AE109*Ramure*Pc/MaxiM</f>
        <v>9.5098982831388921E-9</v>
      </c>
      <c r="AE109" s="305">
        <f t="shared" si="40"/>
        <v>0.7</v>
      </c>
      <c r="AF109" s="177">
        <f t="shared" si="41"/>
        <v>0.8182893887502074</v>
      </c>
      <c r="AG109" s="817">
        <f t="shared" si="49"/>
        <v>-1</v>
      </c>
      <c r="AH109" s="176">
        <f t="shared" si="42"/>
        <v>5</v>
      </c>
      <c r="AI109" s="225">
        <f t="shared" si="43"/>
        <v>-0.18171061124979265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45022</v>
      </c>
      <c r="B110" s="411">
        <f>'2022'!Wh/'2022'!Env_an*'2023'!Env_an</f>
        <v>7.694511087002998</v>
      </c>
      <c r="C110" s="846"/>
      <c r="D110" s="393">
        <f t="shared" si="25"/>
        <v>8.0062062057250856</v>
      </c>
      <c r="E110" s="385">
        <f t="shared" si="47"/>
        <v>8.8997318659424351</v>
      </c>
      <c r="F110" s="385">
        <f t="shared" si="26"/>
        <v>8.8997318659424351</v>
      </c>
      <c r="G110" s="110">
        <f t="shared" si="48"/>
        <v>0.22949222231594607</v>
      </c>
      <c r="H110" s="414" t="b">
        <f>Wh_hp&gt;='2022'!Maxi_hp</f>
        <v>0</v>
      </c>
      <c r="I110" s="390">
        <f>IF(H110,Wh_hp,'2022'!Maxi_hp)</f>
        <v>39.474372462150207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3.893168758246579E-2</v>
      </c>
      <c r="M110" s="850"/>
      <c r="N110" s="850"/>
      <c r="O110" s="48">
        <f>IF(t&lt;Tnet,'2022'!Resal+('2022'!Salim-'2022'!Resal)*(1-EXP(('2022'!Tnet-t)/('2022'!Tau_j))),Resal+(Salim-Resal)*(1-EXP((Tnet-t)/(Tau_j))))*Salcycl</f>
        <v>0.10039916636552847</v>
      </c>
      <c r="P110" s="169">
        <f>(INDEX(Models!$BJ110:$BT110,,T110)*(1-R110)+INDEX(Models!$BJ110:$BT110,,T110+1)*R110-ERP_i)*Q110*Ramure*Pc/MaxiM</f>
        <v>5.7727008767736911E-9</v>
      </c>
      <c r="Q110" s="305">
        <f t="shared" si="28"/>
        <v>0.7</v>
      </c>
      <c r="R110" s="177">
        <f t="shared" si="29"/>
        <v>0.81902341961537872</v>
      </c>
      <c r="S110" s="817">
        <f t="shared" si="30"/>
        <v>-1</v>
      </c>
      <c r="T110" s="176">
        <f t="shared" si="31"/>
        <v>5</v>
      </c>
      <c r="U110" s="251">
        <f t="shared" si="32"/>
        <v>-0.18097658038462128</v>
      </c>
      <c r="V110" s="383">
        <f t="shared" si="33"/>
        <v>33.528417499010992</v>
      </c>
      <c r="W110" s="402">
        <f t="shared" si="34"/>
        <v>7.694511087002998</v>
      </c>
      <c r="X110" s="157">
        <f t="shared" si="35"/>
        <v>45022</v>
      </c>
      <c r="Y110" s="385">
        <f t="shared" si="36"/>
        <v>7.3991039860242838</v>
      </c>
      <c r="Z110" s="385">
        <f t="shared" si="37"/>
        <v>7.6988325287846529</v>
      </c>
      <c r="AA110" s="386">
        <f t="shared" si="38"/>
        <v>8.8997318659424351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0.13493657508417681</v>
      </c>
      <c r="AD110" s="231">
        <f>(INDEX(Models!$BJ110:$BT110,,AH110)*(1-AF110)+INDEX(Models!$BJ110:$BT110,,AH110+1)*AF110-ERP_i)*AE110*Ramure*Pc/MaxiM</f>
        <v>5.7727008767736911E-9</v>
      </c>
      <c r="AE110" s="305">
        <f t="shared" si="40"/>
        <v>0.7</v>
      </c>
      <c r="AF110" s="177">
        <f t="shared" si="41"/>
        <v>0.81902341961537872</v>
      </c>
      <c r="AG110" s="817">
        <f t="shared" si="49"/>
        <v>-1</v>
      </c>
      <c r="AH110" s="176">
        <f t="shared" si="42"/>
        <v>5</v>
      </c>
      <c r="AI110" s="225">
        <f t="shared" si="43"/>
        <v>-0.18097658038462128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45023</v>
      </c>
      <c r="B111" s="411">
        <f>'2022'!Wh/'2022'!Env_an*'2023'!Env_an</f>
        <v>24.873083195748279</v>
      </c>
      <c r="C111" s="846"/>
      <c r="D111" s="393">
        <f t="shared" si="25"/>
        <v>25.881227869712024</v>
      </c>
      <c r="E111" s="385">
        <f t="shared" si="47"/>
        <v>28.772501438952517</v>
      </c>
      <c r="F111" s="385">
        <f t="shared" si="26"/>
        <v>28.772501492564693</v>
      </c>
      <c r="G111" s="110">
        <f t="shared" si="48"/>
        <v>0.73845964994051994</v>
      </c>
      <c r="H111" s="414" t="b">
        <f>Wh_hp&gt;='2022'!Maxi_hp</f>
        <v>0</v>
      </c>
      <c r="I111" s="390">
        <f>IF(H111,Wh_hp,'2022'!Maxi_hp)</f>
        <v>39.698812303963905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3.8952737445024588E-2</v>
      </c>
      <c r="M111" s="850"/>
      <c r="N111" s="850"/>
      <c r="O111" s="48">
        <f>IF(t&lt;Tnet,'2022'!Resal+('2022'!Salim-'2022'!Resal)*(1-EXP(('2022'!Tnet-t)/('2022'!Tau_j))),Resal+(Salim-Resal)*(1-EXP((Tnet-t)/(Tau_j))))*Salcycl</f>
        <v>0.1004873898564223</v>
      </c>
      <c r="P111" s="169">
        <f>(INDEX(Models!$BJ111:$BT111,,T111)*(1-R111)+INDEX(Models!$BJ111:$BT111,,T111+1)*R111-ERP_i)*Q111*Ramure*Pc/MaxiM</f>
        <v>2.9747757109345777E-9</v>
      </c>
      <c r="Q111" s="305">
        <f t="shared" si="28"/>
        <v>0.7</v>
      </c>
      <c r="R111" s="177">
        <f t="shared" si="29"/>
        <v>0.81978418770880823</v>
      </c>
      <c r="S111" s="817">
        <f t="shared" si="30"/>
        <v>-1</v>
      </c>
      <c r="T111" s="176">
        <f t="shared" si="31"/>
        <v>5</v>
      </c>
      <c r="U111" s="251">
        <f t="shared" si="32"/>
        <v>-0.18021581229119177</v>
      </c>
      <c r="V111" s="383">
        <f t="shared" si="33"/>
        <v>33.682386261871187</v>
      </c>
      <c r="W111" s="402">
        <f t="shared" si="34"/>
        <v>24.873083195748279</v>
      </c>
      <c r="X111" s="157">
        <f t="shared" si="35"/>
        <v>45023</v>
      </c>
      <c r="Y111" s="385">
        <f t="shared" si="36"/>
        <v>23.919183733102397</v>
      </c>
      <c r="Z111" s="385">
        <f t="shared" si="37"/>
        <v>24.88866538104741</v>
      </c>
      <c r="AA111" s="386">
        <f t="shared" si="38"/>
        <v>28.772501438952517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0.13498430319468602</v>
      </c>
      <c r="AD111" s="231">
        <f>(INDEX(Models!$BJ111:$BT111,,AH111)*(1-AF111)+INDEX(Models!$BJ111:$BT111,,AH111+1)*AF111-ERP_i)*AE111*Ramure*Pc/MaxiM</f>
        <v>2.9747757109345777E-9</v>
      </c>
      <c r="AE111" s="305">
        <f t="shared" si="40"/>
        <v>0.7</v>
      </c>
      <c r="AF111" s="177">
        <f t="shared" si="41"/>
        <v>0.81978418770880823</v>
      </c>
      <c r="AG111" s="817">
        <f t="shared" si="49"/>
        <v>-1</v>
      </c>
      <c r="AH111" s="176">
        <f t="shared" si="42"/>
        <v>5</v>
      </c>
      <c r="AI111" s="225">
        <f t="shared" si="43"/>
        <v>-0.18021581229119177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45024</v>
      </c>
      <c r="B112" s="411">
        <f>'2022'!Wh/'2022'!Env_an*'2023'!Env_an</f>
        <v>19.612120008200467</v>
      </c>
      <c r="C112" s="846"/>
      <c r="D112" s="393">
        <f t="shared" si="25"/>
        <v>20.407476653364377</v>
      </c>
      <c r="E112" s="385">
        <f t="shared" si="47"/>
        <v>22.689512961473334</v>
      </c>
      <c r="F112" s="385">
        <f t="shared" si="26"/>
        <v>22.689512971499784</v>
      </c>
      <c r="G112" s="110">
        <f t="shared" si="48"/>
        <v>0.57969687486654453</v>
      </c>
      <c r="H112" s="414" t="b">
        <f>Wh_hp&gt;='2022'!Maxi_hp</f>
        <v>0</v>
      </c>
      <c r="I112" s="390">
        <f>IF(H112,Wh_hp,'2022'!Maxi_hp)</f>
        <v>36.829222658134903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3.8973786846537295E-2</v>
      </c>
      <c r="M112" s="850"/>
      <c r="N112" s="850"/>
      <c r="O112" s="48">
        <f>IF(t&lt;Tnet,'2022'!Resal+('2022'!Salim-'2022'!Resal)*(1-EXP(('2022'!Tnet-t)/('2022'!Tau_j))),Resal+(Salim-Resal)*(1-EXP((Tnet-t)/(Tau_j))))*Salcycl</f>
        <v>0.10057669867060794</v>
      </c>
      <c r="P112" s="169">
        <f>(INDEX(Models!$BJ112:$BT112,,T112)*(1-R112)+INDEX(Models!$BJ112:$BT112,,T112+1)*R112-ERP_i)*Q112*Ramure*Pc/MaxiM</f>
        <v>1.105942212418382E-9</v>
      </c>
      <c r="Q112" s="305">
        <f t="shared" si="28"/>
        <v>0.7</v>
      </c>
      <c r="R112" s="177">
        <f t="shared" si="29"/>
        <v>0.82057250286799432</v>
      </c>
      <c r="S112" s="817">
        <f t="shared" si="30"/>
        <v>-1</v>
      </c>
      <c r="T112" s="176">
        <f t="shared" si="31"/>
        <v>5</v>
      </c>
      <c r="U112" s="251">
        <f t="shared" si="32"/>
        <v>-0.1794274971320057</v>
      </c>
      <c r="V112" s="383">
        <f t="shared" si="33"/>
        <v>33.831681427801684</v>
      </c>
      <c r="W112" s="402">
        <f t="shared" si="34"/>
        <v>19.612120008200467</v>
      </c>
      <c r="X112" s="157">
        <f t="shared" si="35"/>
        <v>45024</v>
      </c>
      <c r="Y112" s="385">
        <f t="shared" si="36"/>
        <v>18.860780734049602</v>
      </c>
      <c r="Z112" s="385">
        <f t="shared" si="37"/>
        <v>19.625667308450193</v>
      </c>
      <c r="AA112" s="386">
        <f t="shared" si="38"/>
        <v>22.689512961473334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0.13503355749528576</v>
      </c>
      <c r="AD112" s="231">
        <f>(INDEX(Models!$BJ112:$BT112,,AH112)*(1-AF112)+INDEX(Models!$BJ112:$BT112,,AH112+1)*AF112-ERP_i)*AE112*Ramure*Pc/MaxiM</f>
        <v>1.105942212418382E-9</v>
      </c>
      <c r="AE112" s="305">
        <f t="shared" si="40"/>
        <v>0.7</v>
      </c>
      <c r="AF112" s="177">
        <f t="shared" si="41"/>
        <v>0.82057250286799432</v>
      </c>
      <c r="AG112" s="817">
        <f t="shared" si="49"/>
        <v>-1</v>
      </c>
      <c r="AH112" s="176">
        <f t="shared" si="42"/>
        <v>5</v>
      </c>
      <c r="AI112" s="225">
        <f t="shared" si="43"/>
        <v>-0.1794274971320057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45025</v>
      </c>
      <c r="B113" s="411">
        <f>'2022'!Wh/'2022'!Env_an*'2023'!Env_an</f>
        <v>23.673106125836767</v>
      </c>
      <c r="C113" s="846"/>
      <c r="D113" s="393">
        <f t="shared" si="25"/>
        <v>24.633692936732377</v>
      </c>
      <c r="E113" s="385">
        <f t="shared" si="47"/>
        <v>27.391073527709136</v>
      </c>
      <c r="F113" s="385">
        <f t="shared" si="26"/>
        <v>27.391073530154816</v>
      </c>
      <c r="G113" s="110">
        <f t="shared" si="48"/>
        <v>0.69674396010772621</v>
      </c>
      <c r="H113" s="414" t="b">
        <f>Wh_hp&gt;='2022'!Maxi_hp</f>
        <v>0</v>
      </c>
      <c r="I113" s="390">
        <f>IF(H113,Wh_hp,'2022'!Maxi_hp)</f>
        <v>33.294727279888392</v>
      </c>
      <c r="J113" s="85">
        <f>IF(H113,An,'2022'!An_max)</f>
        <v>2020</v>
      </c>
      <c r="K113" s="197">
        <f t="shared" si="27"/>
        <v>45025</v>
      </c>
      <c r="L113" s="147">
        <f>IF(t&lt;Tvie,1-EXP((T0-t)*PertePVj)+'2022'!Pspv,1-EXP((T0-t)*PertePVj)+Pspv)</f>
        <v>3.8994835787014126E-2</v>
      </c>
      <c r="M113" s="850"/>
      <c r="N113" s="850"/>
      <c r="O113" s="48">
        <f>IF(t&lt;Tnet,'2022'!Resal+('2022'!Salim-'2022'!Resal)*(1-EXP(('2022'!Tnet-t)/('2022'!Tau_j))),Resal+(Salim-Resal)*(1-EXP((Tnet-t)/(Tau_j))))*Salcycl</f>
        <v>0.10066712384191</v>
      </c>
      <c r="P113" s="169">
        <f>(INDEX(Models!$BJ113:$BT113,,T113)*(1-R113)+INDEX(Models!$BJ113:$BT113,,T113+1)*R113-ERP_i)*Q113*Ramure*Pc/MaxiM</f>
        <v>1.5753552093983851E-10</v>
      </c>
      <c r="Q113" s="305">
        <f t="shared" si="28"/>
        <v>0.7</v>
      </c>
      <c r="R113" s="177">
        <f t="shared" si="29"/>
        <v>0.821389186428923</v>
      </c>
      <c r="S113" s="817">
        <f t="shared" si="30"/>
        <v>-1</v>
      </c>
      <c r="T113" s="176">
        <f t="shared" si="31"/>
        <v>5</v>
      </c>
      <c r="U113" s="251">
        <f t="shared" si="32"/>
        <v>-0.17861081357107697</v>
      </c>
      <c r="V113" s="383">
        <f t="shared" si="33"/>
        <v>33.976765468567443</v>
      </c>
      <c r="W113" s="402">
        <f t="shared" si="34"/>
        <v>23.673106125836767</v>
      </c>
      <c r="X113" s="157">
        <f t="shared" si="35"/>
        <v>45025</v>
      </c>
      <c r="Y113" s="385">
        <f t="shared" si="36"/>
        <v>22.767142037040887</v>
      </c>
      <c r="Z113" s="385">
        <f t="shared" si="37"/>
        <v>23.690967421268766</v>
      </c>
      <c r="AA113" s="386">
        <f t="shared" si="38"/>
        <v>27.391073527709136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0.13508437713101309</v>
      </c>
      <c r="AD113" s="231">
        <f>(INDEX(Models!$BJ113:$BT113,,AH113)*(1-AF113)+INDEX(Models!$BJ113:$BT113,,AH113+1)*AF113-ERP_i)*AE113*Ramure*Pc/MaxiM</f>
        <v>1.5753552093983851E-10</v>
      </c>
      <c r="AE113" s="305">
        <f t="shared" si="40"/>
        <v>0.7</v>
      </c>
      <c r="AF113" s="177">
        <f t="shared" si="41"/>
        <v>0.821389186428923</v>
      </c>
      <c r="AG113" s="817">
        <f t="shared" si="49"/>
        <v>-1</v>
      </c>
      <c r="AH113" s="176">
        <f t="shared" si="42"/>
        <v>5</v>
      </c>
      <c r="AI113" s="225">
        <f t="shared" si="43"/>
        <v>-0.17861081357107697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45026</v>
      </c>
      <c r="B114" s="411">
        <f>'2022'!Wh/'2022'!Env_an*'2023'!Env_an</f>
        <v>33.512808019867066</v>
      </c>
      <c r="C114" s="846"/>
      <c r="D114" s="393">
        <f t="shared" si="25"/>
        <v>34.87342555530816</v>
      </c>
      <c r="E114" s="385">
        <f t="shared" si="47"/>
        <v>38.780942745812439</v>
      </c>
      <c r="F114" s="385">
        <f t="shared" si="26"/>
        <v>38.78094275043351</v>
      </c>
      <c r="G114" s="110">
        <f t="shared" si="48"/>
        <v>0.98225889903306207</v>
      </c>
      <c r="H114" s="414" t="b">
        <f>Wh_hp&gt;='2022'!Maxi_hp</f>
        <v>0</v>
      </c>
      <c r="I114" s="390">
        <f>IF(H114,Wh_hp,'2022'!Maxi_hp)</f>
        <v>38.780942750477344</v>
      </c>
      <c r="J114" s="85">
        <f>IF(H114,An,'2022'!An_max)</f>
        <v>2022</v>
      </c>
      <c r="K114" s="197">
        <f t="shared" si="27"/>
        <v>45026</v>
      </c>
      <c r="L114" s="147">
        <f>IF(t&lt;Tvie,1-EXP((T0-t)*PertePVj)+'2022'!Pspv,1-EXP((T0-t)*PertePVj)+Pspv)</f>
        <v>3.9015884266465184E-2</v>
      </c>
      <c r="M114" s="850"/>
      <c r="N114" s="850"/>
      <c r="O114" s="48">
        <f>IF(t&lt;Tnet,'2022'!Resal+('2022'!Salim-'2022'!Resal)*(1-EXP(('2022'!Tnet-t)/('2022'!Tau_j))),Resal+(Salim-Resal)*(1-EXP((Tnet-t)/(Tau_j))))*Salcycl</f>
        <v>0.10075869522089458</v>
      </c>
      <c r="P114" s="169">
        <f>(INDEX(Models!$BJ114:$BT114,,T114)*(1-R114)+INDEX(Models!$BJ114:$BT114,,T114+1)*R114-ERP_i)*Q114*Ramure*Pc/MaxiM</f>
        <v>1.2225692135232729E-10</v>
      </c>
      <c r="Q114" s="305">
        <f t="shared" si="28"/>
        <v>0.7</v>
      </c>
      <c r="R114" s="177">
        <f t="shared" si="29"/>
        <v>0.82223507026713838</v>
      </c>
      <c r="S114" s="817">
        <f t="shared" si="30"/>
        <v>-1</v>
      </c>
      <c r="T114" s="176">
        <f t="shared" si="31"/>
        <v>5</v>
      </c>
      <c r="U114" s="251">
        <f t="shared" si="32"/>
        <v>-0.17776492973286165</v>
      </c>
      <c r="V114" s="383">
        <f t="shared" si="33"/>
        <v>34.118100688884894</v>
      </c>
      <c r="W114" s="402">
        <f t="shared" si="34"/>
        <v>33.512808019867066</v>
      </c>
      <c r="X114" s="157">
        <f t="shared" si="35"/>
        <v>45026</v>
      </c>
      <c r="Y114" s="385">
        <f t="shared" si="36"/>
        <v>32.231609296485516</v>
      </c>
      <c r="Z114" s="385">
        <f t="shared" si="37"/>
        <v>33.540210258192047</v>
      </c>
      <c r="AA114" s="386">
        <f t="shared" si="38"/>
        <v>38.780942745812439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0.13513679958660321</v>
      </c>
      <c r="AD114" s="231">
        <f>(INDEX(Models!$BJ114:$BT114,,AH114)*(1-AF114)+INDEX(Models!$BJ114:$BT114,,AH114+1)*AF114-ERP_i)*AE114*Ramure*Pc/MaxiM</f>
        <v>1.2225692135232729E-10</v>
      </c>
      <c r="AE114" s="305">
        <f t="shared" si="40"/>
        <v>0.7</v>
      </c>
      <c r="AF114" s="177">
        <f t="shared" si="41"/>
        <v>0.82223507026713838</v>
      </c>
      <c r="AG114" s="817">
        <f t="shared" si="49"/>
        <v>-1</v>
      </c>
      <c r="AH114" s="176">
        <f t="shared" si="42"/>
        <v>5</v>
      </c>
      <c r="AI114" s="225">
        <f t="shared" si="43"/>
        <v>-0.17776492973286165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45027</v>
      </c>
      <c r="B115" s="411">
        <f>'2022'!Wh/'2022'!Env_an*'2023'!Env_an</f>
        <v>26.860038241167135</v>
      </c>
      <c r="C115" s="846"/>
      <c r="D115" s="393">
        <f t="shared" si="25"/>
        <v>27.951166016226583</v>
      </c>
      <c r="E115" s="385">
        <f t="shared" si="47"/>
        <v>31.086260161524574</v>
      </c>
      <c r="F115" s="385">
        <f t="shared" si="26"/>
        <v>31.086260163491833</v>
      </c>
      <c r="G115" s="110">
        <f t="shared" si="48"/>
        <v>0.78409391682044416</v>
      </c>
      <c r="H115" s="414" t="b">
        <f>Wh_hp&gt;='2022'!Maxi_hp</f>
        <v>0</v>
      </c>
      <c r="I115" s="390">
        <f>IF(H115,Wh_hp,'2022'!Maxi_hp)</f>
        <v>39.310121110453636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3.9036932284900461E-2</v>
      </c>
      <c r="M115" s="850"/>
      <c r="N115" s="850"/>
      <c r="O115" s="48">
        <f>IF(t&lt;Tnet,'2022'!Resal+('2022'!Salim-'2022'!Resal)*(1-EXP(('2022'!Tnet-t)/('2022'!Tau_j))),Resal+(Salim-Resal)*(1-EXP((Tnet-t)/(Tau_j))))*Salcycl</f>
        <v>0.10085144140877686</v>
      </c>
      <c r="P115" s="169">
        <f>(INDEX(Models!$BJ115:$BT115,,T115)*(1-R115)+INDEX(Models!$BJ115:$BT115,,T115+1)*R115-ERP_i)*Q115*Ramure*Pc/MaxiM</f>
        <v>9.1508393535921219E-11</v>
      </c>
      <c r="Q115" s="305">
        <f t="shared" si="28"/>
        <v>0.7</v>
      </c>
      <c r="R115" s="177">
        <f t="shared" si="29"/>
        <v>0.82311099572728064</v>
      </c>
      <c r="S115" s="817">
        <f t="shared" si="30"/>
        <v>-1</v>
      </c>
      <c r="T115" s="176">
        <f t="shared" si="31"/>
        <v>5</v>
      </c>
      <c r="U115" s="251">
        <f t="shared" si="32"/>
        <v>-0.17688900427271939</v>
      </c>
      <c r="V115" s="383">
        <f t="shared" si="33"/>
        <v>34.256149249733198</v>
      </c>
      <c r="W115" s="402">
        <f t="shared" si="34"/>
        <v>26.860038241167135</v>
      </c>
      <c r="X115" s="157">
        <f t="shared" si="35"/>
        <v>45027</v>
      </c>
      <c r="Y115" s="385">
        <f t="shared" si="36"/>
        <v>25.834225427577501</v>
      </c>
      <c r="Z115" s="385">
        <f t="shared" si="37"/>
        <v>26.883681897374096</v>
      </c>
      <c r="AA115" s="386">
        <f t="shared" si="38"/>
        <v>31.086260161524574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0.13519086060252453</v>
      </c>
      <c r="AD115" s="231">
        <f>(INDEX(Models!$BJ115:$BT115,,AH115)*(1-AF115)+INDEX(Models!$BJ115:$BT115,,AH115+1)*AF115-ERP_i)*AE115*Ramure*Pc/MaxiM</f>
        <v>9.1508393535921219E-11</v>
      </c>
      <c r="AE115" s="305">
        <f t="shared" si="40"/>
        <v>0.7</v>
      </c>
      <c r="AF115" s="177">
        <f t="shared" si="41"/>
        <v>0.82311099572728064</v>
      </c>
      <c r="AG115" s="817">
        <f t="shared" si="49"/>
        <v>-1</v>
      </c>
      <c r="AH115" s="176">
        <f t="shared" si="42"/>
        <v>5</v>
      </c>
      <c r="AI115" s="225">
        <f t="shared" si="43"/>
        <v>-0.17688900427271939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45028</v>
      </c>
      <c r="B116" s="411">
        <f>'2022'!Wh/'2022'!Env_an*'2023'!Env_an</f>
        <v>22.788780755136937</v>
      </c>
      <c r="C116" s="846"/>
      <c r="D116" s="393">
        <f t="shared" si="25"/>
        <v>23.715042403284421</v>
      </c>
      <c r="E116" s="385">
        <f t="shared" si="47"/>
        <v>26.377755179000996</v>
      </c>
      <c r="F116" s="385">
        <f t="shared" si="26"/>
        <v>26.377755179892542</v>
      </c>
      <c r="G116" s="110">
        <f t="shared" si="48"/>
        <v>0.66263073245284621</v>
      </c>
      <c r="H116" s="414" t="b">
        <f>Wh_hp&gt;='2022'!Maxi_hp</f>
        <v>0</v>
      </c>
      <c r="I116" s="390">
        <f>IF(H116,Wh_hp,'2022'!Maxi_hp)</f>
        <v>40.636382536630947</v>
      </c>
      <c r="J116" s="85">
        <f>IF(H116,An,'2022'!An_max)</f>
        <v>2019</v>
      </c>
      <c r="K116" s="197">
        <f t="shared" si="27"/>
        <v>45028</v>
      </c>
      <c r="L116" s="147">
        <f>IF(t&lt;Tvie,1-EXP((T0-t)*PertePVj)+'2022'!Pspv,1-EXP((T0-t)*PertePVj)+Pspv)</f>
        <v>3.9057979842330059E-2</v>
      </c>
      <c r="M116" s="850"/>
      <c r="N116" s="850"/>
      <c r="O116" s="48">
        <f>IF(t&lt;Tnet,'2022'!Resal+('2022'!Salim-'2022'!Resal)*(1-EXP(('2022'!Tnet-t)/('2022'!Tau_j))),Resal+(Salim-Resal)*(1-EXP((Tnet-t)/(Tau_j))))*Salcycl</f>
        <v>0.1009453896909441</v>
      </c>
      <c r="P116" s="169">
        <f>(INDEX(Models!$BJ116:$BT116,,T116)*(1-R116)+INDEX(Models!$BJ116:$BT116,,T116+1)*R116-ERP_i)*Q116*Ramure*Pc/MaxiM</f>
        <v>6.5243938128997095E-11</v>
      </c>
      <c r="Q116" s="305">
        <f t="shared" si="28"/>
        <v>0.7</v>
      </c>
      <c r="R116" s="177">
        <f t="shared" si="29"/>
        <v>0.82401781243543093</v>
      </c>
      <c r="S116" s="817">
        <f t="shared" si="30"/>
        <v>-1</v>
      </c>
      <c r="T116" s="176">
        <f t="shared" si="31"/>
        <v>5</v>
      </c>
      <c r="U116" s="251">
        <f t="shared" si="32"/>
        <v>-0.17598218756456904</v>
      </c>
      <c r="V116" s="383">
        <f t="shared" si="33"/>
        <v>34.391373110727287</v>
      </c>
      <c r="W116" s="402">
        <f t="shared" si="34"/>
        <v>22.788780755136937</v>
      </c>
      <c r="X116" s="157">
        <f t="shared" si="35"/>
        <v>45028</v>
      </c>
      <c r="Y116" s="385">
        <f t="shared" si="36"/>
        <v>21.919331204752751</v>
      </c>
      <c r="Z116" s="385">
        <f t="shared" si="37"/>
        <v>22.810253631281793</v>
      </c>
      <c r="AA116" s="386">
        <f t="shared" si="38"/>
        <v>26.377755179000996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0.13524659409073767</v>
      </c>
      <c r="AD116" s="231">
        <f>(INDEX(Models!$BJ116:$BT116,,AH116)*(1-AF116)+INDEX(Models!$BJ116:$BT116,,AH116+1)*AF116-ERP_i)*AE116*Ramure*Pc/MaxiM</f>
        <v>6.5243938128997095E-11</v>
      </c>
      <c r="AE116" s="305">
        <f t="shared" si="40"/>
        <v>0.7</v>
      </c>
      <c r="AF116" s="177">
        <f t="shared" si="41"/>
        <v>0.82401781243543093</v>
      </c>
      <c r="AG116" s="817">
        <f t="shared" si="49"/>
        <v>-1</v>
      </c>
      <c r="AH116" s="176">
        <f t="shared" si="42"/>
        <v>5</v>
      </c>
      <c r="AI116" s="225">
        <f t="shared" si="43"/>
        <v>-0.17598218756456904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45029</v>
      </c>
      <c r="B117" s="411">
        <f>'2022'!Wh/'2022'!Env_an*'2023'!Env_an</f>
        <v>4.4267017831912723</v>
      </c>
      <c r="C117" s="846"/>
      <c r="D117" s="393">
        <f t="shared" si="25"/>
        <v>4.6067282401891916</v>
      </c>
      <c r="E117" s="385">
        <f t="shared" si="47"/>
        <v>5.1245118142153006</v>
      </c>
      <c r="F117" s="385">
        <f t="shared" si="26"/>
        <v>5.1245118142153006</v>
      </c>
      <c r="G117" s="110">
        <f t="shared" si="48"/>
        <v>0.1282201301260697</v>
      </c>
      <c r="H117" s="414" t="b">
        <f>Wh_hp&gt;='2022'!Maxi_hp</f>
        <v>0</v>
      </c>
      <c r="I117" s="390">
        <f>IF(H117,Wh_hp,'2022'!Maxi_hp)</f>
        <v>40.953213285754423</v>
      </c>
      <c r="J117" s="85">
        <f>IF(H117,An,'2022'!An_max)</f>
        <v>2019</v>
      </c>
      <c r="K117" s="197">
        <f t="shared" si="27"/>
        <v>45029</v>
      </c>
      <c r="L117" s="147">
        <f>IF(t&lt;Tvie,1-EXP((T0-t)*PertePVj)+'2022'!Pspv,1-EXP((T0-t)*PertePVj)+Pspv)</f>
        <v>3.9079026938764194E-2</v>
      </c>
      <c r="M117" s="850"/>
      <c r="N117" s="850"/>
      <c r="O117" s="48">
        <f>IF(t&lt;Tnet,'2022'!Resal+('2022'!Salim-'2022'!Resal)*(1-EXP(('2022'!Tnet-t)/('2022'!Tau_j))),Resal+(Salim-Resal)*(1-EXP((Tnet-t)/(Tau_j))))*Salcycl</f>
        <v>0.10104056596957915</v>
      </c>
      <c r="P117" s="169">
        <f>(INDEX(Models!$BJ117:$BT117,,T117)*(1-R117)+INDEX(Models!$BJ117:$BT117,,T117+1)*R117-ERP_i)*Q117*Ramure*Pc/MaxiM</f>
        <v>4.3424176589010632E-11</v>
      </c>
      <c r="Q117" s="305">
        <f t="shared" si="28"/>
        <v>0.7</v>
      </c>
      <c r="R117" s="177">
        <f t="shared" si="29"/>
        <v>0.82495637698870317</v>
      </c>
      <c r="S117" s="817">
        <f t="shared" si="30"/>
        <v>-1</v>
      </c>
      <c r="T117" s="176">
        <f t="shared" si="31"/>
        <v>5</v>
      </c>
      <c r="U117" s="251">
        <f t="shared" si="32"/>
        <v>-0.17504362301129678</v>
      </c>
      <c r="V117" s="383">
        <f t="shared" si="33"/>
        <v>34.524234054719706</v>
      </c>
      <c r="W117" s="402">
        <f t="shared" si="34"/>
        <v>4.4267017831912723</v>
      </c>
      <c r="X117" s="157">
        <f t="shared" si="35"/>
        <v>45029</v>
      </c>
      <c r="Y117" s="385">
        <f t="shared" si="36"/>
        <v>4.2579798802304003</v>
      </c>
      <c r="Z117" s="385">
        <f t="shared" si="37"/>
        <v>4.4311447034667388</v>
      </c>
      <c r="AA117" s="386">
        <f t="shared" si="38"/>
        <v>5.1245118142153006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0.13530403204948702</v>
      </c>
      <c r="AD117" s="231">
        <f>(INDEX(Models!$BJ117:$BT117,,AH117)*(1-AF117)+INDEX(Models!$BJ117:$BT117,,AH117+1)*AF117-ERP_i)*AE117*Ramure*Pc/MaxiM</f>
        <v>4.3424176589010632E-11</v>
      </c>
      <c r="AE117" s="305">
        <f t="shared" si="40"/>
        <v>0.7</v>
      </c>
      <c r="AF117" s="177">
        <f t="shared" si="41"/>
        <v>0.82495637698870317</v>
      </c>
      <c r="AG117" s="817">
        <f t="shared" si="49"/>
        <v>-1</v>
      </c>
      <c r="AH117" s="176">
        <f t="shared" si="42"/>
        <v>5</v>
      </c>
      <c r="AI117" s="225">
        <f t="shared" si="43"/>
        <v>-0.17504362301129678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45030</v>
      </c>
      <c r="B118" s="411">
        <f>'2022'!Wh/'2022'!Env_an*'2023'!Env_an</f>
        <v>25.095709680989938</v>
      </c>
      <c r="C118" s="846"/>
      <c r="D118" s="393">
        <f t="shared" si="25"/>
        <v>26.116881676052611</v>
      </c>
      <c r="E118" s="385">
        <f t="shared" si="47"/>
        <v>29.055463982731951</v>
      </c>
      <c r="F118" s="385">
        <f t="shared" si="26"/>
        <v>29.055463983189977</v>
      </c>
      <c r="G118" s="110">
        <f t="shared" si="48"/>
        <v>0.72415436210002226</v>
      </c>
      <c r="H118" s="414" t="b">
        <f>Wh_hp&gt;='2022'!Maxi_hp</f>
        <v>0</v>
      </c>
      <c r="I118" s="390">
        <f>IF(H118,Wh_hp,'2022'!Maxi_hp)</f>
        <v>29.055463983298168</v>
      </c>
      <c r="J118" s="85">
        <f>IF(H118,An,'2022'!An_max)</f>
        <v>2022</v>
      </c>
      <c r="K118" s="197">
        <f t="shared" si="27"/>
        <v>45030</v>
      </c>
      <c r="L118" s="147">
        <f>IF(t&lt;Tvie,1-EXP((T0-t)*PertePVj)+'2022'!Pspv,1-EXP((T0-t)*PertePVj)+Pspv)</f>
        <v>3.9100073574212968E-2</v>
      </c>
      <c r="M118" s="850"/>
      <c r="N118" s="850"/>
      <c r="O118" s="48">
        <f>IF(t&lt;Tnet,'2022'!Resal+('2022'!Salim-'2022'!Resal)*(1-EXP(('2022'!Tnet-t)/('2022'!Tau_j))),Resal+(Salim-Resal)*(1-EXP((Tnet-t)/(Tau_j))))*Salcycl</f>
        <v>0.10113699469489729</v>
      </c>
      <c r="P118" s="169">
        <f>(INDEX(Models!$BJ118:$BT118,,T118)*(1-R118)+INDEX(Models!$BJ118:$BT118,,T118+1)*R118-ERP_i)*Q118*Ramure*Pc/MaxiM</f>
        <v>2.6015690546264785E-11</v>
      </c>
      <c r="Q118" s="305">
        <f t="shared" si="28"/>
        <v>0.7</v>
      </c>
      <c r="R118" s="177">
        <f t="shared" si="29"/>
        <v>0.8259275515166844</v>
      </c>
      <c r="S118" s="817">
        <f t="shared" si="30"/>
        <v>-1</v>
      </c>
      <c r="T118" s="176">
        <f t="shared" si="31"/>
        <v>5</v>
      </c>
      <c r="U118" s="251">
        <f t="shared" si="32"/>
        <v>-0.1740724484833156</v>
      </c>
      <c r="V118" s="383">
        <f t="shared" si="33"/>
        <v>34.655193690963877</v>
      </c>
      <c r="W118" s="402">
        <f t="shared" si="34"/>
        <v>25.095709680989938</v>
      </c>
      <c r="X118" s="157">
        <f t="shared" si="35"/>
        <v>45030</v>
      </c>
      <c r="Y118" s="385">
        <f t="shared" si="36"/>
        <v>24.140134672240293</v>
      </c>
      <c r="Z118" s="385">
        <f t="shared" si="37"/>
        <v>25.122423270478524</v>
      </c>
      <c r="AA118" s="386">
        <f t="shared" si="38"/>
        <v>29.055463982731951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0.13536320447647593</v>
      </c>
      <c r="AD118" s="231">
        <f>(INDEX(Models!$BJ118:$BT118,,AH118)*(1-AF118)+INDEX(Models!$BJ118:$BT118,,AH118+1)*AF118-ERP_i)*AE118*Ramure*Pc/MaxiM</f>
        <v>2.6015690546264785E-11</v>
      </c>
      <c r="AE118" s="305">
        <f t="shared" si="40"/>
        <v>0.7</v>
      </c>
      <c r="AF118" s="177">
        <f t="shared" si="41"/>
        <v>0.8259275515166844</v>
      </c>
      <c r="AG118" s="817">
        <f t="shared" si="49"/>
        <v>-1</v>
      </c>
      <c r="AH118" s="176">
        <f t="shared" si="42"/>
        <v>5</v>
      </c>
      <c r="AI118" s="225">
        <f t="shared" si="43"/>
        <v>-0.1740724484833156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45031</v>
      </c>
      <c r="B119" s="411">
        <f>'2022'!Wh/'2022'!Env_an*'2023'!Env_an</f>
        <v>27.833010798786766</v>
      </c>
      <c r="C119" s="846"/>
      <c r="D119" s="393">
        <f t="shared" si="25"/>
        <v>28.966201017455148</v>
      </c>
      <c r="E119" s="385">
        <f t="shared" si="47"/>
        <v>32.228882199396082</v>
      </c>
      <c r="F119" s="385">
        <f t="shared" si="26"/>
        <v>32.228882199695221</v>
      </c>
      <c r="G119" s="110">
        <f t="shared" si="48"/>
        <v>0.80015064201809727</v>
      </c>
      <c r="H119" s="414" t="b">
        <f>Wh_hp&gt;='2022'!Maxi_hp</f>
        <v>0</v>
      </c>
      <c r="I119" s="390">
        <f>IF(H119,Wh_hp,'2022'!Maxi_hp)</f>
        <v>39.087125925166902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3.9121119748686262E-2</v>
      </c>
      <c r="M119" s="850"/>
      <c r="N119" s="850"/>
      <c r="O119" s="48">
        <f>IF(t&lt;Tnet,'2022'!Resal+('2022'!Salim-'2022'!Resal)*(1-EXP(('2022'!Tnet-t)/('2022'!Tau_j))),Resal+(Salim-Resal)*(1-EXP((Tnet-t)/(Tau_j))))*Salcycl</f>
        <v>0.10123469879455119</v>
      </c>
      <c r="P119" s="169">
        <f>(INDEX(Models!$BJ119:$BT119,,T119)*(1-R119)+INDEX(Models!$BJ119:$BT119,,T119+1)*R119-ERP_i)*Q119*Ramure*Pc/MaxiM</f>
        <v>1.2990389928068296E-11</v>
      </c>
      <c r="Q119" s="305">
        <f t="shared" si="28"/>
        <v>0.7</v>
      </c>
      <c r="R119" s="177">
        <f t="shared" si="29"/>
        <v>0.82693220210954865</v>
      </c>
      <c r="S119" s="817">
        <f t="shared" si="30"/>
        <v>-1</v>
      </c>
      <c r="T119" s="176">
        <f t="shared" si="31"/>
        <v>5</v>
      </c>
      <c r="U119" s="251">
        <f t="shared" si="32"/>
        <v>-0.17306779789045132</v>
      </c>
      <c r="V119" s="383">
        <f t="shared" si="33"/>
        <v>34.784713449063297</v>
      </c>
      <c r="W119" s="402">
        <f t="shared" si="34"/>
        <v>27.833010798786766</v>
      </c>
      <c r="X119" s="157">
        <f t="shared" si="35"/>
        <v>45031</v>
      </c>
      <c r="Y119" s="385">
        <f t="shared" si="36"/>
        <v>26.774230419799018</v>
      </c>
      <c r="Z119" s="385">
        <f t="shared" si="37"/>
        <v>27.864313567591715</v>
      </c>
      <c r="AA119" s="386">
        <f t="shared" si="38"/>
        <v>32.228882199396082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0.13542413927983371</v>
      </c>
      <c r="AD119" s="231">
        <f>(INDEX(Models!$BJ119:$BT119,,AH119)*(1-AF119)+INDEX(Models!$BJ119:$BT119,,AH119+1)*AF119-ERP_i)*AE119*Ramure*Pc/MaxiM</f>
        <v>1.2990389928068296E-11</v>
      </c>
      <c r="AE119" s="305">
        <f t="shared" si="40"/>
        <v>0.7</v>
      </c>
      <c r="AF119" s="177">
        <f t="shared" si="41"/>
        <v>0.82693220210954865</v>
      </c>
      <c r="AG119" s="817">
        <f t="shared" si="49"/>
        <v>-1</v>
      </c>
      <c r="AH119" s="176">
        <f t="shared" si="42"/>
        <v>5</v>
      </c>
      <c r="AI119" s="225">
        <f t="shared" si="43"/>
        <v>-0.17306779789045132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45032</v>
      </c>
      <c r="B120" s="411">
        <f>'2022'!Wh/'2022'!Env_an*'2023'!Env_an</f>
        <v>28.019745401984739</v>
      </c>
      <c r="C120" s="846"/>
      <c r="D120" s="393">
        <f t="shared" si="25"/>
        <v>29.161177017891386</v>
      </c>
      <c r="E120" s="385">
        <f t="shared" si="47"/>
        <v>32.449394179950772</v>
      </c>
      <c r="F120" s="385">
        <f t="shared" si="26"/>
        <v>32.449394180051527</v>
      </c>
      <c r="G120" s="110">
        <f t="shared" si="48"/>
        <v>0.80255323488377017</v>
      </c>
      <c r="H120" s="414" t="b">
        <f>Wh_hp&gt;='2022'!Maxi_hp</f>
        <v>0</v>
      </c>
      <c r="I120" s="390">
        <f>IF(H120,Wh_hp,'2022'!Maxi_hp)</f>
        <v>34.469326384256924</v>
      </c>
      <c r="J120" s="85">
        <f>IF(H120,An,'2022'!An_max)</f>
        <v>2020</v>
      </c>
      <c r="K120" s="197">
        <f t="shared" si="27"/>
        <v>45032</v>
      </c>
      <c r="L120" s="147">
        <f>IF(t&lt;Tvie,1-EXP((T0-t)*PertePVj)+'2022'!Pspv,1-EXP((T0-t)*PertePVj)+Pspv)</f>
        <v>3.9142165462194511E-2</v>
      </c>
      <c r="M120" s="850"/>
      <c r="N120" s="850"/>
      <c r="O120" s="48">
        <f>IF(t&lt;Tnet,'2022'!Resal+('2022'!Salim-'2022'!Resal)*(1-EXP(('2022'!Tnet-t)/('2022'!Tau_j))),Resal+(Salim-Resal)*(1-EXP((Tnet-t)/(Tau_j))))*Salcycl</f>
        <v>0.10133369960080944</v>
      </c>
      <c r="P120" s="169">
        <f>(INDEX(Models!$BJ120:$BT120,,T120)*(1-R120)+INDEX(Models!$BJ120:$BT120,,T120+1)*R120-ERP_i)*Q120*Ramure*Pc/MaxiM</f>
        <v>4.3249052344581912E-12</v>
      </c>
      <c r="Q120" s="305">
        <f t="shared" si="28"/>
        <v>0.7</v>
      </c>
      <c r="R120" s="177">
        <f t="shared" si="29"/>
        <v>0.82797119710796085</v>
      </c>
      <c r="S120" s="817">
        <f t="shared" si="30"/>
        <v>-1</v>
      </c>
      <c r="T120" s="176">
        <f t="shared" si="31"/>
        <v>5</v>
      </c>
      <c r="U120" s="251">
        <f t="shared" si="32"/>
        <v>-0.17202880289203915</v>
      </c>
      <c r="V120" s="383">
        <f t="shared" si="33"/>
        <v>34.913254578069854</v>
      </c>
      <c r="W120" s="402">
        <f t="shared" si="34"/>
        <v>28.019745401984739</v>
      </c>
      <c r="X120" s="157">
        <f t="shared" si="35"/>
        <v>45032</v>
      </c>
      <c r="Y120" s="385">
        <f t="shared" si="36"/>
        <v>26.954875249521645</v>
      </c>
      <c r="Z120" s="385">
        <f t="shared" si="37"/>
        <v>28.052927582661127</v>
      </c>
      <c r="AA120" s="386">
        <f t="shared" si="38"/>
        <v>32.449394179950772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0.13548686218635328</v>
      </c>
      <c r="AD120" s="231">
        <f>(INDEX(Models!$BJ120:$BT120,,AH120)*(1-AF120)+INDEX(Models!$BJ120:$BT120,,AH120+1)*AF120-ERP_i)*AE120*Ramure*Pc/MaxiM</f>
        <v>4.3249052344581912E-12</v>
      </c>
      <c r="AE120" s="305">
        <f t="shared" si="40"/>
        <v>0.7</v>
      </c>
      <c r="AF120" s="177">
        <f t="shared" si="41"/>
        <v>0.82797119710796085</v>
      </c>
      <c r="AG120" s="817">
        <f t="shared" si="49"/>
        <v>-1</v>
      </c>
      <c r="AH120" s="176">
        <f t="shared" si="42"/>
        <v>5</v>
      </c>
      <c r="AI120" s="225">
        <f t="shared" si="43"/>
        <v>-0.17202880289203915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45033</v>
      </c>
      <c r="B121" s="411">
        <f>'2022'!Wh/'2022'!Env_an*'2023'!Env_an</f>
        <v>34.741084396282702</v>
      </c>
      <c r="C121" s="846"/>
      <c r="D121" s="393">
        <f t="shared" si="25"/>
        <v>36.157113032824135</v>
      </c>
      <c r="E121" s="385">
        <f t="shared" si="47"/>
        <v>40.23868442366517</v>
      </c>
      <c r="F121" s="385">
        <f t="shared" si="26"/>
        <v>40.23868442366517</v>
      </c>
      <c r="G121" s="110">
        <f t="shared" si="48"/>
        <v>0.99145449222032611</v>
      </c>
      <c r="H121" s="414" t="b">
        <f>Wh_hp&gt;='2022'!Maxi_hp</f>
        <v>1</v>
      </c>
      <c r="I121" s="390">
        <f>IF(H121,Wh_hp,'2022'!Maxi_hp)</f>
        <v>40.23868442366517</v>
      </c>
      <c r="J121" s="85">
        <f>IF(H121,An,'2022'!An_max)</f>
        <v>2023</v>
      </c>
      <c r="K121" s="197">
        <f t="shared" si="27"/>
        <v>45033</v>
      </c>
      <c r="L121" s="147">
        <f>IF(t&lt;Tvie,1-EXP((T0-t)*PertePVj)+'2022'!Pspv,1-EXP((T0-t)*PertePVj)+Pspv)</f>
        <v>3.9163210714747487E-2</v>
      </c>
      <c r="M121" s="850"/>
      <c r="N121" s="850"/>
      <c r="O121" s="48">
        <f>IF(t&lt;Tnet,'2022'!Resal+('2022'!Salim-'2022'!Resal)*(1-EXP(('2022'!Tnet-t)/('2022'!Tau_j))),Resal+(Salim-Resal)*(1-EXP((Tnet-t)/(Tau_j))))*Salcycl</f>
        <v>0.10143401677517512</v>
      </c>
      <c r="P121" s="169">
        <f>(INDEX(Models!$BJ121:$BT121,,T121)*(1-R121)+INDEX(Models!$BJ121:$BT121,,T121+1)*R121-ERP_i)*Q121*Ramure*Pc/MaxiM</f>
        <v>0</v>
      </c>
      <c r="Q121" s="305">
        <f t="shared" si="28"/>
        <v>0.7</v>
      </c>
      <c r="R121" s="177">
        <f t="shared" si="29"/>
        <v>0.82904540525025405</v>
      </c>
      <c r="S121" s="817">
        <f t="shared" si="30"/>
        <v>-1</v>
      </c>
      <c r="T121" s="176">
        <f t="shared" si="31"/>
        <v>5</v>
      </c>
      <c r="U121" s="251">
        <f t="shared" si="32"/>
        <v>-0.17095459474974589</v>
      </c>
      <c r="V121" s="383">
        <f t="shared" si="33"/>
        <v>35.040523462132199</v>
      </c>
      <c r="W121" s="402">
        <f t="shared" si="34"/>
        <v>34.741084396282702</v>
      </c>
      <c r="X121" s="157">
        <f t="shared" si="35"/>
        <v>45033</v>
      </c>
      <c r="Y121" s="385">
        <f t="shared" si="36"/>
        <v>33.422010677023771</v>
      </c>
      <c r="Z121" s="385">
        <f t="shared" si="37"/>
        <v>34.784274550817045</v>
      </c>
      <c r="AA121" s="386">
        <f t="shared" si="38"/>
        <v>40.23868442366517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0.13555139664656324</v>
      </c>
      <c r="AD121" s="231">
        <f>(INDEX(Models!$BJ121:$BT121,,AH121)*(1-AF121)+INDEX(Models!$BJ121:$BT121,,AH121+1)*AF121-ERP_i)*AE121*Ramure*Pc/MaxiM</f>
        <v>0</v>
      </c>
      <c r="AE121" s="305">
        <f t="shared" si="40"/>
        <v>0.7</v>
      </c>
      <c r="AF121" s="177">
        <f t="shared" si="41"/>
        <v>0.82904540525025405</v>
      </c>
      <c r="AG121" s="817">
        <f t="shared" si="49"/>
        <v>-1</v>
      </c>
      <c r="AH121" s="176">
        <f t="shared" si="42"/>
        <v>5</v>
      </c>
      <c r="AI121" s="225">
        <f t="shared" si="43"/>
        <v>-0.17095459474974589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45034</v>
      </c>
      <c r="B122" s="411">
        <f>'2022'!Wh/'2022'!Env_an*'2023'!Env_an</f>
        <v>24.878658626740187</v>
      </c>
      <c r="C122" s="846"/>
      <c r="D122" s="393">
        <f t="shared" si="25"/>
        <v>25.893267017446078</v>
      </c>
      <c r="E122" s="385">
        <f t="shared" si="47"/>
        <v>28.819471293246423</v>
      </c>
      <c r="F122" s="385">
        <f t="shared" si="26"/>
        <v>28.819471293246423</v>
      </c>
      <c r="G122" s="110">
        <f t="shared" si="48"/>
        <v>0.70746753370031901</v>
      </c>
      <c r="H122" s="414" t="b">
        <f>Wh_hp&gt;='2022'!Maxi_hp</f>
        <v>1</v>
      </c>
      <c r="I122" s="390">
        <f>IF(H122,Wh_hp,'2022'!Maxi_hp)</f>
        <v>28.819471293246423</v>
      </c>
      <c r="J122" s="85">
        <f>IF(H122,An,'2022'!An_max)</f>
        <v>2023</v>
      </c>
      <c r="K122" s="197">
        <f t="shared" si="27"/>
        <v>45034</v>
      </c>
      <c r="L122" s="147">
        <f>IF(t&lt;Tvie,1-EXP((T0-t)*PertePVj)+'2022'!Pspv,1-EXP((T0-t)*PertePVj)+Pspv)</f>
        <v>3.9184255506355403E-2</v>
      </c>
      <c r="M122" s="850"/>
      <c r="N122" s="850"/>
      <c r="O122" s="48">
        <f>IF(t&lt;Tnet,'2022'!Resal+('2022'!Salim-'2022'!Resal)*(1-EXP(('2022'!Tnet-t)/('2022'!Tau_j))),Resal+(Salim-Resal)*(1-EXP((Tnet-t)/(Tau_j))))*Salcycl</f>
        <v>0.10153566823018279</v>
      </c>
      <c r="P122" s="169">
        <f>(INDEX(Models!$BJ122:$BT122,,T122)*(1-R122)+INDEX(Models!$BJ122:$BT122,,T122+1)*R122-ERP_i)*Q122*Ramure*Pc/MaxiM</f>
        <v>0</v>
      </c>
      <c r="Q122" s="305">
        <f t="shared" si="28"/>
        <v>0.7</v>
      </c>
      <c r="R122" s="177">
        <f t="shared" si="29"/>
        <v>0.83015569367281428</v>
      </c>
      <c r="S122" s="817">
        <f t="shared" si="30"/>
        <v>-1</v>
      </c>
      <c r="T122" s="176">
        <f t="shared" si="31"/>
        <v>5</v>
      </c>
      <c r="U122" s="251">
        <f t="shared" si="32"/>
        <v>-0.16984430632718567</v>
      </c>
      <c r="V122" s="383">
        <f t="shared" si="33"/>
        <v>35.165795519429032</v>
      </c>
      <c r="W122" s="402">
        <f t="shared" si="34"/>
        <v>24.878658626740187</v>
      </c>
      <c r="X122" s="157">
        <f t="shared" si="35"/>
        <v>45034</v>
      </c>
      <c r="Y122" s="385">
        <f t="shared" si="36"/>
        <v>23.934918525549715</v>
      </c>
      <c r="Z122" s="385">
        <f t="shared" si="37"/>
        <v>24.911039044394048</v>
      </c>
      <c r="AA122" s="386">
        <f t="shared" si="38"/>
        <v>28.819471293246423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0.13561776373629308</v>
      </c>
      <c r="AD122" s="231">
        <f>(INDEX(Models!$BJ122:$BT122,,AH122)*(1-AF122)+INDEX(Models!$BJ122:$BT122,,AH122+1)*AF122-ERP_i)*AE122*Ramure*Pc/MaxiM</f>
        <v>0</v>
      </c>
      <c r="AE122" s="305">
        <f t="shared" si="40"/>
        <v>0.7</v>
      </c>
      <c r="AF122" s="177">
        <f t="shared" si="41"/>
        <v>0.83015569367281428</v>
      </c>
      <c r="AG122" s="817">
        <f t="shared" si="49"/>
        <v>-1</v>
      </c>
      <c r="AH122" s="176">
        <f t="shared" si="42"/>
        <v>5</v>
      </c>
      <c r="AI122" s="225">
        <f t="shared" si="43"/>
        <v>-0.16984430632718567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45035</v>
      </c>
      <c r="B123" s="411">
        <f>'2022'!Wh/'2022'!Env_an*'2023'!Env_an</f>
        <v>6.0953272808456722</v>
      </c>
      <c r="C123" s="846"/>
      <c r="D123" s="393">
        <f t="shared" si="25"/>
        <v>6.344047567926606</v>
      </c>
      <c r="E123" s="385">
        <f t="shared" si="47"/>
        <v>7.0617994746801056</v>
      </c>
      <c r="F123" s="385">
        <f t="shared" si="26"/>
        <v>7.0617994746801056</v>
      </c>
      <c r="G123" s="110">
        <f t="shared" si="48"/>
        <v>0.17272654508623633</v>
      </c>
      <c r="H123" s="414" t="b">
        <f>Wh_hp&gt;='2022'!Maxi_hp</f>
        <v>0</v>
      </c>
      <c r="I123" s="390">
        <f>IF(H123,Wh_hp,'2022'!Maxi_hp)</f>
        <v>38.947990013439039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3.9205299837028473E-2</v>
      </c>
      <c r="M123" s="850"/>
      <c r="N123" s="850"/>
      <c r="O123" s="48">
        <f>IF(t&lt;Tnet,'2022'!Resal+('2022'!Salim-'2022'!Resal)*(1-EXP(('2022'!Tnet-t)/('2022'!Tau_j))),Resal+(Salim-Resal)*(1-EXP((Tnet-t)/(Tau_j))))*Salcycl</f>
        <v>0.10163867004819097</v>
      </c>
      <c r="P123" s="169">
        <f>(INDEX(Models!$BJ123:$BT123,,T123)*(1-R123)+INDEX(Models!$BJ123:$BT123,,T123+1)*R123-ERP_i)*Q123*Ramure*Pc/MaxiM</f>
        <v>0</v>
      </c>
      <c r="Q123" s="305">
        <f t="shared" si="28"/>
        <v>0.7</v>
      </c>
      <c r="R123" s="177">
        <f t="shared" si="29"/>
        <v>0.8313029257601402</v>
      </c>
      <c r="S123" s="817">
        <f t="shared" si="30"/>
        <v>-1</v>
      </c>
      <c r="T123" s="176">
        <f t="shared" si="31"/>
        <v>5</v>
      </c>
      <c r="U123" s="251">
        <f t="shared" si="32"/>
        <v>-0.1686970742398598</v>
      </c>
      <c r="V123" s="383">
        <f t="shared" si="33"/>
        <v>35.288885549134839</v>
      </c>
      <c r="W123" s="402">
        <f t="shared" si="34"/>
        <v>6.0953272808456722</v>
      </c>
      <c r="X123" s="157">
        <f t="shared" si="35"/>
        <v>45035</v>
      </c>
      <c r="Y123" s="385">
        <f t="shared" si="36"/>
        <v>5.8643183284426899</v>
      </c>
      <c r="Z123" s="385">
        <f t="shared" si="37"/>
        <v>6.1036122778861861</v>
      </c>
      <c r="AA123" s="386">
        <f t="shared" si="38"/>
        <v>7.0617994746801056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0.13568598205449953</v>
      </c>
      <c r="AD123" s="231">
        <f>(INDEX(Models!$BJ123:$BT123,,AH123)*(1-AF123)+INDEX(Models!$BJ123:$BT123,,AH123+1)*AF123-ERP_i)*AE123*Ramure*Pc/MaxiM</f>
        <v>0</v>
      </c>
      <c r="AE123" s="305">
        <f t="shared" si="40"/>
        <v>0.7</v>
      </c>
      <c r="AF123" s="177">
        <f t="shared" si="41"/>
        <v>0.8313029257601402</v>
      </c>
      <c r="AG123" s="817">
        <f t="shared" si="49"/>
        <v>-1</v>
      </c>
      <c r="AH123" s="176">
        <f t="shared" si="42"/>
        <v>5</v>
      </c>
      <c r="AI123" s="225">
        <f t="shared" si="43"/>
        <v>-0.1686970742398598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45036</v>
      </c>
      <c r="B124" s="411">
        <f>'2022'!Wh/'2022'!Env_an*'2023'!Env_an</f>
        <v>6.2334605148327755</v>
      </c>
      <c r="C124" s="846"/>
      <c r="D124" s="393">
        <f t="shared" si="25"/>
        <v>6.4879594418545903</v>
      </c>
      <c r="E124" s="385">
        <f t="shared" si="47"/>
        <v>7.2228323350049664</v>
      </c>
      <c r="F124" s="385">
        <f t="shared" si="26"/>
        <v>7.2228323350049664</v>
      </c>
      <c r="G124" s="110">
        <f t="shared" si="48"/>
        <v>0.17603867347887314</v>
      </c>
      <c r="H124" s="414" t="b">
        <f>Wh_hp&gt;='2022'!Maxi_hp</f>
        <v>0</v>
      </c>
      <c r="I124" s="390">
        <f>IF(H124,Wh_hp,'2022'!Maxi_hp)</f>
        <v>34.517360529046911</v>
      </c>
      <c r="J124" s="85">
        <f>IF(H124,An,'2022'!An_max)</f>
        <v>2019</v>
      </c>
      <c r="K124" s="197">
        <f t="shared" si="27"/>
        <v>45036</v>
      </c>
      <c r="L124" s="147">
        <f>IF(t&lt;Tvie,1-EXP((T0-t)*PertePVj)+'2022'!Pspv,1-EXP((T0-t)*PertePVj)+Pspv)</f>
        <v>3.9226343706776579E-2</v>
      </c>
      <c r="M124" s="850"/>
      <c r="N124" s="850"/>
      <c r="O124" s="48">
        <f>IF(t&lt;Tnet,'2022'!Resal+('2022'!Salim-'2022'!Resal)*(1-EXP(('2022'!Tnet-t)/('2022'!Tau_j))),Resal+(Salim-Resal)*(1-EXP((Tnet-t)/(Tau_j))))*Salcycl</f>
        <v>0.10174303639707433</v>
      </c>
      <c r="P124" s="169">
        <f>(INDEX(Models!$BJ124:$BT124,,T124)*(1-R124)+INDEX(Models!$BJ124:$BT124,,T124+1)*R124-ERP_i)*Q124*Ramure*Pc/MaxiM</f>
        <v>0</v>
      </c>
      <c r="Q124" s="305">
        <f t="shared" si="28"/>
        <v>0.7</v>
      </c>
      <c r="R124" s="177">
        <f t="shared" si="29"/>
        <v>0.83248795884167959</v>
      </c>
      <c r="S124" s="817">
        <f t="shared" si="30"/>
        <v>-1</v>
      </c>
      <c r="T124" s="176">
        <f t="shared" si="31"/>
        <v>5</v>
      </c>
      <c r="U124" s="251">
        <f t="shared" si="32"/>
        <v>-0.16751204115832047</v>
      </c>
      <c r="V124" s="383">
        <f t="shared" si="33"/>
        <v>35.409608534575042</v>
      </c>
      <c r="W124" s="402">
        <f t="shared" si="34"/>
        <v>6.2334605148327755</v>
      </c>
      <c r="X124" s="157">
        <f t="shared" si="35"/>
        <v>45036</v>
      </c>
      <c r="Y124" s="385">
        <f t="shared" si="36"/>
        <v>5.9974268455247772</v>
      </c>
      <c r="Z124" s="385">
        <f t="shared" si="37"/>
        <v>6.2422890201460648</v>
      </c>
      <c r="AA124" s="386">
        <f t="shared" si="38"/>
        <v>7.2228323350049664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0.13575606761723727</v>
      </c>
      <c r="AD124" s="231">
        <f>(INDEX(Models!$BJ124:$BT124,,AH124)*(1-AF124)+INDEX(Models!$BJ124:$BT124,,AH124+1)*AF124-ERP_i)*AE124*Ramure*Pc/MaxiM</f>
        <v>0</v>
      </c>
      <c r="AE124" s="305">
        <f t="shared" si="40"/>
        <v>0.7</v>
      </c>
      <c r="AF124" s="177">
        <f t="shared" si="41"/>
        <v>0.83248795884167959</v>
      </c>
      <c r="AG124" s="817">
        <f t="shared" si="49"/>
        <v>-1</v>
      </c>
      <c r="AH124" s="176">
        <f t="shared" si="42"/>
        <v>5</v>
      </c>
      <c r="AI124" s="225">
        <f t="shared" si="43"/>
        <v>-0.16751204115832047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45037</v>
      </c>
      <c r="B125" s="411">
        <f>'2022'!Wh/'2022'!Env_an*'2023'!Env_an</f>
        <v>6.6589960013537732</v>
      </c>
      <c r="C125" s="846"/>
      <c r="D125" s="393">
        <f t="shared" si="25"/>
        <v>6.9310204438185261</v>
      </c>
      <c r="E125" s="385">
        <f t="shared" si="47"/>
        <v>7.7169860544404987</v>
      </c>
      <c r="F125" s="385">
        <f t="shared" si="26"/>
        <v>7.7169860544404987</v>
      </c>
      <c r="G125" s="110">
        <f t="shared" si="48"/>
        <v>0.18743068287766884</v>
      </c>
      <c r="H125" s="414" t="b">
        <f>Wh_hp&gt;='2022'!Maxi_hp</f>
        <v>0</v>
      </c>
      <c r="I125" s="390">
        <f>IF(H125,Wh_hp,'2022'!Maxi_hp)</f>
        <v>37.760094952186769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3.9247387115610044E-2</v>
      </c>
      <c r="M125" s="850"/>
      <c r="N125" s="850"/>
      <c r="O125" s="48">
        <f>IF(t&lt;Tnet,'2022'!Resal+('2022'!Salim-'2022'!Resal)*(1-EXP(('2022'!Tnet-t)/('2022'!Tau_j))),Resal+(Salim-Resal)*(1-EXP((Tnet-t)/(Tau_j))))*Salcycl</f>
        <v>0.10184877944281277</v>
      </c>
      <c r="P125" s="169">
        <f>(INDEX(Models!$BJ125:$BT125,,T125)*(1-R125)+INDEX(Models!$BJ125:$BT125,,T125+1)*R125-ERP_i)*Q125*Ramure*Pc/MaxiM</f>
        <v>0</v>
      </c>
      <c r="Q125" s="305">
        <f t="shared" si="28"/>
        <v>0.7</v>
      </c>
      <c r="R125" s="177">
        <f t="shared" si="29"/>
        <v>0.83371164173327017</v>
      </c>
      <c r="S125" s="817">
        <f t="shared" si="30"/>
        <v>-1</v>
      </c>
      <c r="T125" s="176">
        <f t="shared" si="31"/>
        <v>5</v>
      </c>
      <c r="U125" s="251">
        <f t="shared" si="32"/>
        <v>-0.16628835826672977</v>
      </c>
      <c r="V125" s="383">
        <f t="shared" si="33"/>
        <v>35.527779652277786</v>
      </c>
      <c r="W125" s="402">
        <f t="shared" si="34"/>
        <v>6.6589960013537732</v>
      </c>
      <c r="X125" s="157">
        <f t="shared" si="35"/>
        <v>45037</v>
      </c>
      <c r="Y125" s="385">
        <f t="shared" si="36"/>
        <v>6.4070699187889595</v>
      </c>
      <c r="Z125" s="385">
        <f t="shared" si="37"/>
        <v>6.6688030122067854</v>
      </c>
      <c r="AA125" s="386">
        <f t="shared" si="38"/>
        <v>7.7169860544404987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0.13582803374778288</v>
      </c>
      <c r="AD125" s="231">
        <f>(INDEX(Models!$BJ125:$BT125,,AH125)*(1-AF125)+INDEX(Models!$BJ125:$BT125,,AH125+1)*AF125-ERP_i)*AE125*Ramure*Pc/MaxiM</f>
        <v>0</v>
      </c>
      <c r="AE125" s="305">
        <f t="shared" si="40"/>
        <v>0.7</v>
      </c>
      <c r="AF125" s="177">
        <f t="shared" si="41"/>
        <v>0.83371164173327017</v>
      </c>
      <c r="AG125" s="817">
        <f t="shared" si="49"/>
        <v>-1</v>
      </c>
      <c r="AH125" s="176">
        <f t="shared" si="42"/>
        <v>5</v>
      </c>
      <c r="AI125" s="225">
        <f t="shared" si="43"/>
        <v>-0.16628835826672977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45038</v>
      </c>
      <c r="B126" s="411">
        <f>'2022'!Wh/'2022'!Env_an*'2023'!Env_an</f>
        <v>17.556662741591712</v>
      </c>
      <c r="C126" s="846"/>
      <c r="D126" s="393">
        <f t="shared" si="25"/>
        <v>18.274264415764787</v>
      </c>
      <c r="E126" s="385">
        <f t="shared" si="47"/>
        <v>20.348961263903771</v>
      </c>
      <c r="F126" s="385">
        <f t="shared" si="26"/>
        <v>20.348961263903771</v>
      </c>
      <c r="G126" s="110">
        <f t="shared" si="48"/>
        <v>0.49256676467485083</v>
      </c>
      <c r="H126" s="414" t="b">
        <f>Wh_hp&gt;='2022'!Maxi_hp</f>
        <v>0</v>
      </c>
      <c r="I126" s="390">
        <f>IF(H126,Wh_hp,'2022'!Maxi_hp)</f>
        <v>41.180654227850937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3.9268430063538751E-2</v>
      </c>
      <c r="M126" s="850"/>
      <c r="N126" s="850"/>
      <c r="O126" s="48">
        <f>IF(t&lt;Tnet,'2022'!Resal+('2022'!Salim-'2022'!Resal)*(1-EXP(('2022'!Tnet-t)/('2022'!Tau_j))),Resal+(Salim-Resal)*(1-EXP((Tnet-t)/(Tau_j))))*Salcycl</f>
        <v>0.10195590925907397</v>
      </c>
      <c r="P126" s="169">
        <f>(INDEX(Models!$BJ126:$BT126,,T126)*(1-R126)+INDEX(Models!$BJ126:$BT126,,T126+1)*R126-ERP_i)*Q126*Ramure*Pc/MaxiM</f>
        <v>0</v>
      </c>
      <c r="Q126" s="305">
        <f t="shared" si="28"/>
        <v>0.7</v>
      </c>
      <c r="R126" s="177">
        <f t="shared" si="29"/>
        <v>0.83497481212184832</v>
      </c>
      <c r="S126" s="817">
        <f t="shared" si="30"/>
        <v>-1</v>
      </c>
      <c r="T126" s="176">
        <f t="shared" si="31"/>
        <v>5</v>
      </c>
      <c r="U126" s="251">
        <f t="shared" si="32"/>
        <v>-0.16502518787815162</v>
      </c>
      <c r="V126" s="383">
        <f t="shared" si="33"/>
        <v>35.643214282191927</v>
      </c>
      <c r="W126" s="402">
        <f t="shared" si="34"/>
        <v>17.556662741591712</v>
      </c>
      <c r="X126" s="157">
        <f t="shared" si="35"/>
        <v>45038</v>
      </c>
      <c r="Y126" s="385">
        <f t="shared" si="36"/>
        <v>16.893022550254027</v>
      </c>
      <c r="Z126" s="385">
        <f t="shared" si="37"/>
        <v>17.583498949005349</v>
      </c>
      <c r="AA126" s="386">
        <f t="shared" si="38"/>
        <v>20.348961263903771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0.13590189096305211</v>
      </c>
      <c r="AD126" s="231">
        <f>(INDEX(Models!$BJ126:$BT126,,AH126)*(1-AF126)+INDEX(Models!$BJ126:$BT126,,AH126+1)*AF126-ERP_i)*AE126*Ramure*Pc/MaxiM</f>
        <v>0</v>
      </c>
      <c r="AE126" s="305">
        <f t="shared" si="40"/>
        <v>0.7</v>
      </c>
      <c r="AF126" s="177">
        <f t="shared" si="41"/>
        <v>0.83497481212184832</v>
      </c>
      <c r="AG126" s="817">
        <f t="shared" si="49"/>
        <v>-1</v>
      </c>
      <c r="AH126" s="176">
        <f t="shared" si="42"/>
        <v>5</v>
      </c>
      <c r="AI126" s="225">
        <f t="shared" si="43"/>
        <v>-0.16502518787815162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45039</v>
      </c>
      <c r="B127" s="411">
        <f>'2022'!Wh/'2022'!Env_an*'2023'!Env_an</f>
        <v>5.478113337991191</v>
      </c>
      <c r="C127" s="846"/>
      <c r="D127" s="393">
        <f t="shared" si="25"/>
        <v>5.7021477140829662</v>
      </c>
      <c r="E127" s="385">
        <f t="shared" si="47"/>
        <v>6.350286065396487</v>
      </c>
      <c r="F127" s="385">
        <f t="shared" si="26"/>
        <v>6.350286065396487</v>
      </c>
      <c r="G127" s="110">
        <f t="shared" si="48"/>
        <v>0.15320939168221792</v>
      </c>
      <c r="H127" s="414" t="b">
        <f>Wh_hp&gt;='2022'!Maxi_hp</f>
        <v>0</v>
      </c>
      <c r="I127" s="390">
        <f>IF(H127,Wh_hp,'2022'!Maxi_hp)</f>
        <v>41.263564610244281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3.9289472550572913E-2</v>
      </c>
      <c r="M127" s="850"/>
      <c r="N127" s="850"/>
      <c r="O127" s="48">
        <f>IF(t&lt;Tnet,'2022'!Resal+('2022'!Salim-'2022'!Resal)*(1-EXP(('2022'!Tnet-t)/('2022'!Tau_j))),Resal+(Salim-Resal)*(1-EXP((Tnet-t)/(Tau_j))))*Salcycl</f>
        <v>0.10206443373398702</v>
      </c>
      <c r="P127" s="169">
        <f>(INDEX(Models!$BJ127:$BT127,,T127)*(1-R127)+INDEX(Models!$BJ127:$BT127,,T127+1)*R127-ERP_i)*Q127*Ramure*Pc/MaxiM</f>
        <v>0</v>
      </c>
      <c r="Q127" s="305">
        <f t="shared" si="28"/>
        <v>0.7</v>
      </c>
      <c r="R127" s="177">
        <f t="shared" si="29"/>
        <v>0.83627829379302865</v>
      </c>
      <c r="S127" s="817">
        <f t="shared" si="30"/>
        <v>-1</v>
      </c>
      <c r="T127" s="176">
        <f t="shared" si="31"/>
        <v>5</v>
      </c>
      <c r="U127" s="251">
        <f t="shared" si="32"/>
        <v>-0.1637217062069713</v>
      </c>
      <c r="V127" s="383">
        <f t="shared" si="33"/>
        <v>35.755728012769097</v>
      </c>
      <c r="W127" s="402">
        <f t="shared" si="34"/>
        <v>5.478113337991191</v>
      </c>
      <c r="X127" s="157">
        <f t="shared" si="35"/>
        <v>45039</v>
      </c>
      <c r="Y127" s="385">
        <f t="shared" si="36"/>
        <v>5.271216059254817</v>
      </c>
      <c r="Z127" s="385">
        <f t="shared" si="37"/>
        <v>5.4867891093577095</v>
      </c>
      <c r="AA127" s="386">
        <f t="shared" si="38"/>
        <v>6.350286065396487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0.13597764685658523</v>
      </c>
      <c r="AD127" s="231">
        <f>(INDEX(Models!$BJ127:$BT127,,AH127)*(1-AF127)+INDEX(Models!$BJ127:$BT127,,AH127+1)*AF127-ERP_i)*AE127*Ramure*Pc/MaxiM</f>
        <v>0</v>
      </c>
      <c r="AE127" s="305">
        <f t="shared" si="40"/>
        <v>0.7</v>
      </c>
      <c r="AF127" s="177">
        <f t="shared" si="41"/>
        <v>0.83627829379302865</v>
      </c>
      <c r="AG127" s="817">
        <f t="shared" si="49"/>
        <v>-1</v>
      </c>
      <c r="AH127" s="176">
        <f t="shared" si="42"/>
        <v>5</v>
      </c>
      <c r="AI127" s="225">
        <f t="shared" si="43"/>
        <v>-0.1637217062069713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45040</v>
      </c>
      <c r="B128" s="411">
        <f>'2022'!Wh/'2022'!Env_an*'2023'!Env_an</f>
        <v>21.53367841671805</v>
      </c>
      <c r="C128" s="846"/>
      <c r="D128" s="393">
        <f t="shared" si="25"/>
        <v>22.414816382871482</v>
      </c>
      <c r="E128" s="385">
        <f t="shared" si="47"/>
        <v>24.965667437147513</v>
      </c>
      <c r="F128" s="385">
        <f t="shared" si="26"/>
        <v>24.965667437147513</v>
      </c>
      <c r="G128" s="110">
        <f t="shared" si="48"/>
        <v>0.60040698093413492</v>
      </c>
      <c r="H128" s="414" t="b">
        <f>Wh_hp&gt;='2022'!Maxi_hp</f>
        <v>0</v>
      </c>
      <c r="I128" s="390">
        <f>IF(H128,Wh_hp,'2022'!Maxi_hp)</f>
        <v>38.769139149526289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3.9310514576722633E-2</v>
      </c>
      <c r="M128" s="850"/>
      <c r="N128" s="850"/>
      <c r="O128" s="48">
        <f>IF(t&lt;Tnet,'2022'!Resal+('2022'!Salim-'2022'!Resal)*(1-EXP(('2022'!Tnet-t)/('2022'!Tau_j))),Resal+(Salim-Resal)*(1-EXP((Tnet-t)/(Tau_j))))*Salcycl</f>
        <v>0.10217435847441057</v>
      </c>
      <c r="P128" s="169">
        <f>(INDEX(Models!$BJ128:$BT128,,T128)*(1-R128)+INDEX(Models!$BJ128:$BT128,,T128+1)*R128-ERP_i)*Q128*Ramure*Pc/MaxiM</f>
        <v>0</v>
      </c>
      <c r="Q128" s="305">
        <f t="shared" si="28"/>
        <v>0.7</v>
      </c>
      <c r="R128" s="177">
        <f t="shared" si="29"/>
        <v>0.83762289370221588</v>
      </c>
      <c r="S128" s="817">
        <f t="shared" si="30"/>
        <v>-1</v>
      </c>
      <c r="T128" s="176">
        <f t="shared" si="31"/>
        <v>5</v>
      </c>
      <c r="U128" s="251">
        <f t="shared" si="32"/>
        <v>-0.16237710629778407</v>
      </c>
      <c r="V128" s="383">
        <f t="shared" si="33"/>
        <v>35.865136649835712</v>
      </c>
      <c r="W128" s="402">
        <f t="shared" si="34"/>
        <v>21.53367841671805</v>
      </c>
      <c r="X128" s="157">
        <f t="shared" si="35"/>
        <v>45040</v>
      </c>
      <c r="Y128" s="385">
        <f t="shared" si="36"/>
        <v>20.721069159126138</v>
      </c>
      <c r="Z128" s="385">
        <f t="shared" si="37"/>
        <v>21.568955915028557</v>
      </c>
      <c r="AA128" s="386">
        <f t="shared" si="38"/>
        <v>24.965667437147513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0.13605530597851509</v>
      </c>
      <c r="AD128" s="231">
        <f>(INDEX(Models!$BJ128:$BT128,,AH128)*(1-AF128)+INDEX(Models!$BJ128:$BT128,,AH128+1)*AF128-ERP_i)*AE128*Ramure*Pc/MaxiM</f>
        <v>0</v>
      </c>
      <c r="AE128" s="305">
        <f t="shared" si="40"/>
        <v>0.7</v>
      </c>
      <c r="AF128" s="177">
        <f t="shared" si="41"/>
        <v>0.83762289370221588</v>
      </c>
      <c r="AG128" s="817">
        <f t="shared" si="49"/>
        <v>-1</v>
      </c>
      <c r="AH128" s="176">
        <f t="shared" si="42"/>
        <v>5</v>
      </c>
      <c r="AI128" s="225">
        <f t="shared" si="43"/>
        <v>-0.16237710629778407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45041</v>
      </c>
      <c r="B129" s="411">
        <f>'2022'!Wh/'2022'!Env_an*'2023'!Env_an</f>
        <v>29.847720710101083</v>
      </c>
      <c r="C129" s="846"/>
      <c r="D129" s="393">
        <f t="shared" si="25"/>
        <v>31.069742012378335</v>
      </c>
      <c r="E129" s="385">
        <f t="shared" si="47"/>
        <v>34.609832496093716</v>
      </c>
      <c r="F129" s="385">
        <f t="shared" si="26"/>
        <v>34.609832496093716</v>
      </c>
      <c r="G129" s="110">
        <f t="shared" si="48"/>
        <v>0.82976586975157329</v>
      </c>
      <c r="H129" s="414" t="b">
        <f>Wh_hp&gt;='2022'!Maxi_hp</f>
        <v>0</v>
      </c>
      <c r="I129" s="390">
        <f>IF(H129,Wh_hp,'2022'!Maxi_hp)</f>
        <v>37.502516618915408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3.9331556141998014E-2</v>
      </c>
      <c r="M129" s="850"/>
      <c r="N129" s="850"/>
      <c r="O129" s="48">
        <f>IF(t&lt;Tnet,'2022'!Resal+('2022'!Salim-'2022'!Resal)*(1-EXP(('2022'!Tnet-t)/('2022'!Tau_j))),Resal+(Salim-Resal)*(1-EXP((Tnet-t)/(Tau_j))))*Salcycl</f>
        <v>0.1022856867081036</v>
      </c>
      <c r="P129" s="169">
        <f>(INDEX(Models!$BJ129:$BT129,,T129)*(1-R129)+INDEX(Models!$BJ129:$BT129,,T129+1)*R129-ERP_i)*Q129*Ramure*Pc/MaxiM</f>
        <v>0</v>
      </c>
      <c r="Q129" s="305">
        <f t="shared" si="28"/>
        <v>0.7</v>
      </c>
      <c r="R129" s="177">
        <f t="shared" si="29"/>
        <v>0.83900939889107407</v>
      </c>
      <c r="S129" s="817">
        <f t="shared" si="30"/>
        <v>-1</v>
      </c>
      <c r="T129" s="176">
        <f t="shared" si="31"/>
        <v>5</v>
      </c>
      <c r="U129" s="251">
        <f t="shared" si="32"/>
        <v>-0.16099060110892593</v>
      </c>
      <c r="V129" s="383">
        <f t="shared" si="33"/>
        <v>35.971256228021645</v>
      </c>
      <c r="W129" s="402">
        <f t="shared" si="34"/>
        <v>29.847720710101083</v>
      </c>
      <c r="X129" s="157">
        <f t="shared" si="35"/>
        <v>45041</v>
      </c>
      <c r="Y129" s="385">
        <f t="shared" si="36"/>
        <v>28.72228364661871</v>
      </c>
      <c r="Z129" s="385">
        <f t="shared" si="37"/>
        <v>29.89822745844684</v>
      </c>
      <c r="AA129" s="386">
        <f t="shared" si="38"/>
        <v>34.609832496093716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0.13613486971306943</v>
      </c>
      <c r="AD129" s="231">
        <f>(INDEX(Models!$BJ129:$BT129,,AH129)*(1-AF129)+INDEX(Models!$BJ129:$BT129,,AH129+1)*AF129-ERP_i)*AE129*Ramure*Pc/MaxiM</f>
        <v>0</v>
      </c>
      <c r="AE129" s="305">
        <f t="shared" si="40"/>
        <v>0.7</v>
      </c>
      <c r="AF129" s="177">
        <f t="shared" si="41"/>
        <v>0.83900939889107407</v>
      </c>
      <c r="AG129" s="817">
        <f t="shared" si="49"/>
        <v>-1</v>
      </c>
      <c r="AH129" s="176">
        <f t="shared" si="42"/>
        <v>5</v>
      </c>
      <c r="AI129" s="225">
        <f t="shared" si="43"/>
        <v>-0.16099060110892593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45042</v>
      </c>
      <c r="B130" s="411">
        <f>'2022'!Wh/'2022'!Env_an*'2023'!Env_an</f>
        <v>34.47341559891909</v>
      </c>
      <c r="C130" s="846"/>
      <c r="D130" s="393">
        <f t="shared" si="25"/>
        <v>35.885607456080976</v>
      </c>
      <c r="E130" s="385">
        <f t="shared" si="47"/>
        <v>39.979438787830873</v>
      </c>
      <c r="F130" s="385">
        <f t="shared" si="26"/>
        <v>39.979438787830873</v>
      </c>
      <c r="G130" s="110">
        <f t="shared" si="48"/>
        <v>0.95563309531538732</v>
      </c>
      <c r="H130" s="414" t="b">
        <f>Wh_hp&gt;='2022'!Maxi_hp</f>
        <v>1</v>
      </c>
      <c r="I130" s="390">
        <f>IF(H130,Wh_hp,'2022'!Maxi_hp)</f>
        <v>39.979438787830873</v>
      </c>
      <c r="J130" s="85">
        <f>IF(H130,An,'2022'!An_max)</f>
        <v>2023</v>
      </c>
      <c r="K130" s="197">
        <f t="shared" si="27"/>
        <v>45042</v>
      </c>
      <c r="L130" s="147">
        <f>IF(t&lt;Tvie,1-EXP((T0-t)*PertePVj)+'2022'!Pspv,1-EXP((T0-t)*PertePVj)+Pspv)</f>
        <v>3.9352597246409049E-2</v>
      </c>
      <c r="M130" s="850"/>
      <c r="N130" s="850"/>
      <c r="O130" s="48">
        <f>IF(t&lt;Tnet,'2022'!Resal+('2022'!Salim-'2022'!Resal)*(1-EXP(('2022'!Tnet-t)/('2022'!Tau_j))),Resal+(Salim-Resal)*(1-EXP((Tnet-t)/(Tau_j))))*Salcycl</f>
        <v>0.10239841918431331</v>
      </c>
      <c r="P130" s="169">
        <f>(INDEX(Models!$BJ130:$BT130,,T130)*(1-R130)+INDEX(Models!$BJ130:$BT130,,T130+1)*R130-ERP_i)*Q130*Ramure*Pc/MaxiM</f>
        <v>0</v>
      </c>
      <c r="Q130" s="305">
        <f t="shared" si="28"/>
        <v>0.7</v>
      </c>
      <c r="R130" s="177">
        <f t="shared" si="29"/>
        <v>0.84043857325246585</v>
      </c>
      <c r="S130" s="817">
        <f t="shared" si="30"/>
        <v>-1</v>
      </c>
      <c r="T130" s="176">
        <f t="shared" si="31"/>
        <v>5</v>
      </c>
      <c r="U130" s="251">
        <f t="shared" si="32"/>
        <v>-0.15956142674753412</v>
      </c>
      <c r="V130" s="383">
        <f t="shared" si="33"/>
        <v>36.073903015614832</v>
      </c>
      <c r="W130" s="402">
        <f t="shared" si="34"/>
        <v>34.47341559891909</v>
      </c>
      <c r="X130" s="157">
        <f t="shared" si="35"/>
        <v>45042</v>
      </c>
      <c r="Y130" s="385">
        <f t="shared" si="36"/>
        <v>33.174599808803585</v>
      </c>
      <c r="Z130" s="385">
        <f t="shared" si="37"/>
        <v>34.533586114647491</v>
      </c>
      <c r="AA130" s="386">
        <f t="shared" si="38"/>
        <v>39.979438787830873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0.13621633615429873</v>
      </c>
      <c r="AD130" s="231">
        <f>(INDEX(Models!$BJ130:$BT130,,AH130)*(1-AF130)+INDEX(Models!$BJ130:$BT130,,AH130+1)*AF130-ERP_i)*AE130*Ramure*Pc/MaxiM</f>
        <v>0</v>
      </c>
      <c r="AE130" s="305">
        <f t="shared" si="40"/>
        <v>0.7</v>
      </c>
      <c r="AF130" s="177">
        <f t="shared" si="41"/>
        <v>0.84043857325246585</v>
      </c>
      <c r="AG130" s="817">
        <f t="shared" si="49"/>
        <v>-1</v>
      </c>
      <c r="AH130" s="176">
        <f t="shared" si="42"/>
        <v>5</v>
      </c>
      <c r="AI130" s="225">
        <f t="shared" si="43"/>
        <v>-0.15956142674753412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45043</v>
      </c>
      <c r="B131" s="411">
        <f>'2022'!Wh/'2022'!Env_an*'2023'!Env_an</f>
        <v>25.009704657238203</v>
      </c>
      <c r="C131" s="846"/>
      <c r="D131" s="393">
        <f t="shared" si="25"/>
        <v>26.034789012352224</v>
      </c>
      <c r="E131" s="385">
        <f t="shared" si="47"/>
        <v>29.008527228448123</v>
      </c>
      <c r="F131" s="385">
        <f t="shared" si="26"/>
        <v>29.008527228448123</v>
      </c>
      <c r="G131" s="110">
        <f t="shared" si="48"/>
        <v>0.69139353311522533</v>
      </c>
      <c r="H131" s="414" t="b">
        <f>Wh_hp&gt;='2022'!Maxi_hp</f>
        <v>1</v>
      </c>
      <c r="I131" s="390">
        <f>IF(H131,Wh_hp,'2022'!Maxi_hp)</f>
        <v>29.008527228448123</v>
      </c>
      <c r="J131" s="85">
        <f>IF(H131,An,'2022'!An_max)</f>
        <v>2023</v>
      </c>
      <c r="K131" s="197">
        <f t="shared" si="27"/>
        <v>45043</v>
      </c>
      <c r="L131" s="147">
        <f>IF(t&lt;Tvie,1-EXP((T0-t)*PertePVj)+'2022'!Pspv,1-EXP((T0-t)*PertePVj)+Pspv)</f>
        <v>3.9373637889965951E-2</v>
      </c>
      <c r="M131" s="850"/>
      <c r="N131" s="850"/>
      <c r="O131" s="48">
        <f>IF(t&lt;Tnet,'2022'!Resal+('2022'!Salim-'2022'!Resal)*(1-EXP(('2022'!Tnet-t)/('2022'!Tau_j))),Resal+(Salim-Resal)*(1-EXP((Tnet-t)/(Tau_j))))*Salcycl</f>
        <v>0.10251255407339706</v>
      </c>
      <c r="P131" s="169">
        <f>(INDEX(Models!$BJ131:$BT131,,T131)*(1-R131)+INDEX(Models!$BJ131:$BT131,,T131+1)*R131-ERP_i)*Q131*Ramure*Pc/MaxiM</f>
        <v>0</v>
      </c>
      <c r="Q131" s="305">
        <f t="shared" si="28"/>
        <v>0.7</v>
      </c>
      <c r="R131" s="177">
        <f t="shared" si="29"/>
        <v>0.84191115414837314</v>
      </c>
      <c r="S131" s="817">
        <f t="shared" si="30"/>
        <v>-1</v>
      </c>
      <c r="T131" s="176">
        <f t="shared" si="31"/>
        <v>5</v>
      </c>
      <c r="U131" s="251">
        <f t="shared" si="32"/>
        <v>-0.15808884585162689</v>
      </c>
      <c r="V131" s="383">
        <f t="shared" si="33"/>
        <v>36.172893524982058</v>
      </c>
      <c r="W131" s="402">
        <f t="shared" si="34"/>
        <v>25.009704657238203</v>
      </c>
      <c r="X131" s="157">
        <f t="shared" si="35"/>
        <v>45043</v>
      </c>
      <c r="Y131" s="385">
        <f t="shared" si="36"/>
        <v>24.068180021777597</v>
      </c>
      <c r="Z131" s="385">
        <f t="shared" si="37"/>
        <v>25.054673670324206</v>
      </c>
      <c r="AA131" s="386">
        <f t="shared" si="38"/>
        <v>29.008527228448123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0.13629969998085417</v>
      </c>
      <c r="AD131" s="231">
        <f>(INDEX(Models!$BJ131:$BT131,,AH131)*(1-AF131)+INDEX(Models!$BJ131:$BT131,,AH131+1)*AF131-ERP_i)*AE131*Ramure*Pc/MaxiM</f>
        <v>0</v>
      </c>
      <c r="AE131" s="305">
        <f t="shared" si="40"/>
        <v>0.7</v>
      </c>
      <c r="AF131" s="177">
        <f t="shared" si="41"/>
        <v>0.84191115414837314</v>
      </c>
      <c r="AG131" s="817">
        <f t="shared" si="49"/>
        <v>-1</v>
      </c>
      <c r="AH131" s="176">
        <f t="shared" si="42"/>
        <v>5</v>
      </c>
      <c r="AI131" s="225">
        <f t="shared" si="43"/>
        <v>-0.15808884585162689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45044</v>
      </c>
      <c r="B132" s="411">
        <f>'2022'!Wh/'2022'!Env_an*'2023'!Env_an</f>
        <v>16.005404173286138</v>
      </c>
      <c r="C132" s="846"/>
      <c r="D132" s="393">
        <f t="shared" si="25"/>
        <v>16.661790027535467</v>
      </c>
      <c r="E132" s="385">
        <f t="shared" si="47"/>
        <v>18.567318392381061</v>
      </c>
      <c r="F132" s="385">
        <f t="shared" si="26"/>
        <v>18.567318392381061</v>
      </c>
      <c r="G132" s="110">
        <f t="shared" si="48"/>
        <v>0.44130871640097452</v>
      </c>
      <c r="H132" s="414" t="b">
        <f>Wh_hp&gt;='2022'!Maxi_hp</f>
        <v>0</v>
      </c>
      <c r="I132" s="390">
        <f>IF(H132,Wh_hp,'2022'!Maxi_hp)</f>
        <v>31.162451823892468</v>
      </c>
      <c r="J132" s="85">
        <f>IF(H132,An,'2022'!An_max)</f>
        <v>2019</v>
      </c>
      <c r="K132" s="197">
        <f t="shared" si="27"/>
        <v>45044</v>
      </c>
      <c r="L132" s="147">
        <f>IF(t&lt;Tvie,1-EXP((T0-t)*PertePVj)+'2022'!Pspv,1-EXP((T0-t)*PertePVj)+Pspv)</f>
        <v>3.9394678072678713E-2</v>
      </c>
      <c r="M132" s="850"/>
      <c r="N132" s="850"/>
      <c r="O132" s="48">
        <f>IF(t&lt;Tnet,'2022'!Resal+('2022'!Salim-'2022'!Resal)*(1-EXP(('2022'!Tnet-t)/('2022'!Tau_j))),Resal+(Salim-Resal)*(1-EXP((Tnet-t)/(Tau_j))))*Salcycl</f>
        <v>0.10262808686619564</v>
      </c>
      <c r="P132" s="169">
        <f>(INDEX(Models!$BJ132:$BT132,,T132)*(1-R132)+INDEX(Models!$BJ132:$BT132,,T132+1)*R132-ERP_i)*Q132*Ramure*Pc/MaxiM</f>
        <v>0</v>
      </c>
      <c r="Q132" s="305">
        <f t="shared" si="28"/>
        <v>0.7</v>
      </c>
      <c r="R132" s="177">
        <f t="shared" si="29"/>
        <v>0.84342784888682143</v>
      </c>
      <c r="S132" s="817">
        <f t="shared" si="30"/>
        <v>-1</v>
      </c>
      <c r="T132" s="176">
        <f t="shared" si="31"/>
        <v>5</v>
      </c>
      <c r="U132" s="251">
        <f t="shared" si="32"/>
        <v>-0.15657215111317854</v>
      </c>
      <c r="V132" s="383">
        <f t="shared" si="33"/>
        <v>36.268044519527628</v>
      </c>
      <c r="W132" s="402">
        <f t="shared" si="34"/>
        <v>16.005404173286138</v>
      </c>
      <c r="X132" s="157">
        <f t="shared" si="35"/>
        <v>45044</v>
      </c>
      <c r="Y132" s="385">
        <f t="shared" si="36"/>
        <v>15.403321282707415</v>
      </c>
      <c r="Z132" s="385">
        <f t="shared" si="37"/>
        <v>16.035015558525938</v>
      </c>
      <c r="AA132" s="386">
        <f t="shared" si="38"/>
        <v>18.567318392381061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0.13638495233077005</v>
      </c>
      <c r="AD132" s="231">
        <f>(INDEX(Models!$BJ132:$BT132,,AH132)*(1-AF132)+INDEX(Models!$BJ132:$BT132,,AH132+1)*AF132-ERP_i)*AE132*Ramure*Pc/MaxiM</f>
        <v>0</v>
      </c>
      <c r="AE132" s="305">
        <f t="shared" si="40"/>
        <v>0.7</v>
      </c>
      <c r="AF132" s="177">
        <f t="shared" si="41"/>
        <v>0.84342784888682143</v>
      </c>
      <c r="AG132" s="817">
        <f t="shared" si="49"/>
        <v>-1</v>
      </c>
      <c r="AH132" s="176">
        <f t="shared" si="42"/>
        <v>5</v>
      </c>
      <c r="AI132" s="225">
        <f t="shared" si="43"/>
        <v>-0.15657215111317854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45045</v>
      </c>
      <c r="B133" s="411">
        <f>'2022'!Wh/'2022'!Env_an*'2023'!Env_an</f>
        <v>27.246489226762595</v>
      </c>
      <c r="C133" s="846"/>
      <c r="D133" s="393">
        <f t="shared" si="25"/>
        <v>28.36449620454577</v>
      </c>
      <c r="E133" s="385">
        <f t="shared" si="47"/>
        <v>31.612525457458464</v>
      </c>
      <c r="F133" s="385">
        <f t="shared" si="26"/>
        <v>31.612525457458464</v>
      </c>
      <c r="G133" s="110">
        <f t="shared" si="48"/>
        <v>0.74937043282633198</v>
      </c>
      <c r="H133" s="414" t="b">
        <f>Wh_hp&gt;='2022'!Maxi_hp</f>
        <v>0</v>
      </c>
      <c r="I133" s="390">
        <f>IF(H133,Wh_hp,'2022'!Maxi_hp)</f>
        <v>39.72311913554482</v>
      </c>
      <c r="J133" s="85">
        <f>IF(H133,An,'2022'!An_max)</f>
        <v>2019</v>
      </c>
      <c r="K133" s="197">
        <f t="shared" si="27"/>
        <v>45045</v>
      </c>
      <c r="L133" s="147">
        <f>IF(t&lt;Tvie,1-EXP((T0-t)*PertePVj)+'2022'!Pspv,1-EXP((T0-t)*PertePVj)+Pspv)</f>
        <v>3.9415717794557548E-2</v>
      </c>
      <c r="M133" s="850"/>
      <c r="N133" s="850"/>
      <c r="O133" s="48">
        <f>IF(t&lt;Tnet,'2022'!Resal+('2022'!Salim-'2022'!Resal)*(1-EXP(('2022'!Tnet-t)/('2022'!Tau_j))),Resal+(Salim-Resal)*(1-EXP((Tnet-t)/(Tau_j))))*Salcycl</f>
        <v>0.10274501027396959</v>
      </c>
      <c r="P133" s="169">
        <f>(INDEX(Models!$BJ133:$BT133,,T133)*(1-R133)+INDEX(Models!$BJ133:$BT133,,T133+1)*R133-ERP_i)*Q133*Ramure*Pc/MaxiM</f>
        <v>0</v>
      </c>
      <c r="Q133" s="305">
        <f t="shared" si="28"/>
        <v>0.7</v>
      </c>
      <c r="R133" s="177">
        <f t="shared" si="29"/>
        <v>0.84498933106545726</v>
      </c>
      <c r="S133" s="817">
        <f t="shared" si="30"/>
        <v>-1</v>
      </c>
      <c r="T133" s="176">
        <f t="shared" si="31"/>
        <v>5</v>
      </c>
      <c r="U133" s="251">
        <f t="shared" si="32"/>
        <v>-0.15501066893454277</v>
      </c>
      <c r="V133" s="383">
        <f t="shared" si="33"/>
        <v>36.359173024747591</v>
      </c>
      <c r="W133" s="402">
        <f t="shared" si="34"/>
        <v>27.246489226762595</v>
      </c>
      <c r="X133" s="157">
        <f t="shared" si="35"/>
        <v>45045</v>
      </c>
      <c r="Y133" s="385">
        <f t="shared" si="36"/>
        <v>26.222316309456296</v>
      </c>
      <c r="Z133" s="385">
        <f t="shared" si="37"/>
        <v>27.298298332814138</v>
      </c>
      <c r="AA133" s="386">
        <f t="shared" si="38"/>
        <v>31.612525457458464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0.13647208067732697</v>
      </c>
      <c r="AD133" s="231">
        <f>(INDEX(Models!$BJ133:$BT133,,AH133)*(1-AF133)+INDEX(Models!$BJ133:$BT133,,AH133+1)*AF133-ERP_i)*AE133*Ramure*Pc/MaxiM</f>
        <v>0</v>
      </c>
      <c r="AE133" s="305">
        <f t="shared" si="40"/>
        <v>0.7</v>
      </c>
      <c r="AF133" s="177">
        <f t="shared" si="41"/>
        <v>0.84498933106545726</v>
      </c>
      <c r="AG133" s="817">
        <f t="shared" si="49"/>
        <v>-1</v>
      </c>
      <c r="AH133" s="176">
        <f t="shared" si="42"/>
        <v>5</v>
      </c>
      <c r="AI133" s="225">
        <f t="shared" si="43"/>
        <v>-0.15501066893454277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45046</v>
      </c>
      <c r="B134" s="411">
        <f>'2022'!Wh/'2022'!Env_an*'2023'!Env_an</f>
        <v>31.413345962827627</v>
      </c>
      <c r="C134" s="846"/>
      <c r="D134" s="393">
        <f t="shared" si="25"/>
        <v>32.703048126781511</v>
      </c>
      <c r="E134" s="385">
        <f t="shared" si="47"/>
        <v>33.274981308646517</v>
      </c>
      <c r="F134" s="385">
        <f t="shared" si="26"/>
        <v>33.274981308646517</v>
      </c>
      <c r="G134" s="110">
        <f t="shared" si="48"/>
        <v>0.78677650351398976</v>
      </c>
      <c r="H134" s="414" t="b">
        <f>Wh_hp&gt;='2022'!Maxi_hp</f>
        <v>0</v>
      </c>
      <c r="I134" s="390">
        <f>IF(H134,Wh_hp,'2022'!Maxi_hp)</f>
        <v>43.204941551644787</v>
      </c>
      <c r="J134" s="85">
        <f>IF(H134,An,'2022'!An_max)</f>
        <v>2019</v>
      </c>
      <c r="K134" s="197">
        <f t="shared" si="27"/>
        <v>45046</v>
      </c>
      <c r="L134" s="147">
        <f>IF(t&lt;Tvie,1-EXP((T0-t)*PertePVj)+'2022'!Pspv,1-EXP((T0-t)*PertePVj)+Pspv)</f>
        <v>3.9436757055612337E-2</v>
      </c>
      <c r="M134" s="850"/>
      <c r="N134" s="850"/>
      <c r="O134" s="48">
        <f>IF(t&lt;Tnet,'2022'!Resal+('2022'!Salim-'2022'!Resal)*(1-EXP(('2022'!Tnet-t)/('2022'!Tau_j))),Resal+(Salim-Resal)*(1-EXP((Tnet-t)/(Tau_j))))*Salcycl</f>
        <v>1.7188084241429463E-2</v>
      </c>
      <c r="P134" s="169">
        <f>(INDEX(Models!$BJ134:$BT134,,T134)*(1-R134)+INDEX(Models!$BJ134:$BT134,,T134+1)*R134-ERP_i)*Q134*Ramure*Pc/MaxiM</f>
        <v>0</v>
      </c>
      <c r="Q134" s="305">
        <f t="shared" si="28"/>
        <v>0.7</v>
      </c>
      <c r="R134" s="177">
        <f t="shared" si="29"/>
        <v>0.84659623679114693</v>
      </c>
      <c r="S134" s="817">
        <f t="shared" si="30"/>
        <v>-1</v>
      </c>
      <c r="T134" s="176">
        <f t="shared" si="31"/>
        <v>5</v>
      </c>
      <c r="U134" s="251">
        <f t="shared" si="32"/>
        <v>-0.15340376320885307</v>
      </c>
      <c r="V134" s="383">
        <f t="shared" si="33"/>
        <v>39.926644761918794</v>
      </c>
      <c r="W134" s="402">
        <f t="shared" si="34"/>
        <v>31.413345962827627</v>
      </c>
      <c r="X134" s="157">
        <f t="shared" si="35"/>
        <v>45046</v>
      </c>
      <c r="Y134" s="385">
        <f t="shared" si="36"/>
        <v>28.674932240146134</v>
      </c>
      <c r="Z134" s="385">
        <f t="shared" si="37"/>
        <v>29.852206453632004</v>
      </c>
      <c r="AA134" s="386">
        <f t="shared" si="38"/>
        <v>33.274981308646517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0.10286331412979939</v>
      </c>
      <c r="AD134" s="231">
        <f>(INDEX(Models!$BJ134:$BT134,,AH134)*(1-AF134)+INDEX(Models!$BJ134:$BT134,,AH134+1)*AF134-ERP_i)*AE134*Ramure*Pc/MaxiM</f>
        <v>0</v>
      </c>
      <c r="AE134" s="305">
        <f t="shared" si="40"/>
        <v>0.7</v>
      </c>
      <c r="AF134" s="177">
        <f t="shared" si="41"/>
        <v>0.84659623679114693</v>
      </c>
      <c r="AG134" s="817">
        <f t="shared" si="49"/>
        <v>-1</v>
      </c>
      <c r="AH134" s="176">
        <f t="shared" si="42"/>
        <v>5</v>
      </c>
      <c r="AI134" s="225">
        <f t="shared" si="43"/>
        <v>-0.15340376320885307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45047</v>
      </c>
      <c r="B135" s="411">
        <f>'2022'!Wh/'2022'!Env_an*'2023'!Env_an</f>
        <v>32.376963045899863</v>
      </c>
      <c r="C135" s="846"/>
      <c r="D135" s="393">
        <f t="shared" si="25"/>
        <v>33.70696561401806</v>
      </c>
      <c r="E135" s="385">
        <f t="shared" si="47"/>
        <v>34.303031324274393</v>
      </c>
      <c r="F135" s="385">
        <f t="shared" si="26"/>
        <v>34.303031324274393</v>
      </c>
      <c r="G135" s="110">
        <f t="shared" si="48"/>
        <v>0.80911148570637659</v>
      </c>
      <c r="H135" s="414" t="b">
        <f>Wh_hp&gt;='2022'!Maxi_hp</f>
        <v>0</v>
      </c>
      <c r="I135" s="390">
        <f>IF(H135,Wh_hp,'2022'!Maxi_hp)</f>
        <v>40.273883228930465</v>
      </c>
      <c r="J135" s="85">
        <f>IF(H135,An,'2022'!An_max)</f>
        <v>2019</v>
      </c>
      <c r="K135" s="197">
        <f t="shared" si="27"/>
        <v>45047</v>
      </c>
      <c r="L135" s="147">
        <f>IF(t&lt;Tvie,1-EXP((T0-t)*PertePVj)+'2022'!Pspv,1-EXP((T0-t)*PertePVj)+Pspv)</f>
        <v>3.9457795855853406E-2</v>
      </c>
      <c r="M135" s="850"/>
      <c r="N135" s="850"/>
      <c r="O135" s="48">
        <f>IF(t&lt;Tnet,'2022'!Resal+('2022'!Salim-'2022'!Resal)*(1-EXP(('2022'!Tnet-t)/('2022'!Tau_j))),Resal+(Salim-Resal)*(1-EXP((Tnet-t)/(Tau_j))))*Salcycl</f>
        <v>1.7376473368245087E-2</v>
      </c>
      <c r="P135" s="169">
        <f>(INDEX(Models!$BJ135:$BT135,,T135)*(1-R135)+INDEX(Models!$BJ135:$BT135,,T135+1)*R135-ERP_i)*Q135*Ramure*Pc/MaxiM</f>
        <v>0</v>
      </c>
      <c r="Q135" s="305">
        <f t="shared" si="28"/>
        <v>0.7</v>
      </c>
      <c r="R135" s="177">
        <f t="shared" si="29"/>
        <v>0.84824916078679347</v>
      </c>
      <c r="S135" s="817">
        <f t="shared" si="30"/>
        <v>-1</v>
      </c>
      <c r="T135" s="176">
        <f t="shared" si="31"/>
        <v>5</v>
      </c>
      <c r="U135" s="251">
        <f t="shared" si="32"/>
        <v>-0.15175083921320648</v>
      </c>
      <c r="V135" s="383">
        <f t="shared" si="33"/>
        <v>40.01545351643832</v>
      </c>
      <c r="W135" s="402">
        <f t="shared" si="34"/>
        <v>32.376963045899863</v>
      </c>
      <c r="X135" s="157">
        <f t="shared" si="35"/>
        <v>45047</v>
      </c>
      <c r="Y135" s="385">
        <f t="shared" si="36"/>
        <v>29.55642257657156</v>
      </c>
      <c r="Z135" s="385">
        <f t="shared" si="37"/>
        <v>30.770561094612859</v>
      </c>
      <c r="AA135" s="386">
        <f t="shared" si="38"/>
        <v>34.303031324274393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0.1029783693536669</v>
      </c>
      <c r="AD135" s="231">
        <f>(INDEX(Models!$BJ135:$BT135,,AH135)*(1-AF135)+INDEX(Models!$BJ135:$BT135,,AH135+1)*AF135-ERP_i)*AE135*Ramure*Pc/MaxiM</f>
        <v>0</v>
      </c>
      <c r="AE135" s="305">
        <f t="shared" si="40"/>
        <v>0.7</v>
      </c>
      <c r="AF135" s="177">
        <f t="shared" si="41"/>
        <v>0.84824916078679347</v>
      </c>
      <c r="AG135" s="817">
        <f t="shared" si="49"/>
        <v>-1</v>
      </c>
      <c r="AH135" s="176">
        <f t="shared" si="42"/>
        <v>5</v>
      </c>
      <c r="AI135" s="225">
        <f t="shared" si="43"/>
        <v>-0.15175083921320648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45048</v>
      </c>
      <c r="B136" s="411">
        <f>'2022'!Wh/'2022'!Env_an*'2023'!Env_an</f>
        <v>18.861448725338942</v>
      </c>
      <c r="C136" s="846"/>
      <c r="D136" s="393">
        <f t="shared" si="25"/>
        <v>19.636682039731131</v>
      </c>
      <c r="E136" s="385">
        <f t="shared" si="47"/>
        <v>19.98776788257306</v>
      </c>
      <c r="F136" s="385">
        <f t="shared" si="26"/>
        <v>19.98776788257306</v>
      </c>
      <c r="G136" s="110">
        <f t="shared" si="48"/>
        <v>0.47035077435039896</v>
      </c>
      <c r="H136" s="414" t="b">
        <f>Wh_hp&gt;='2022'!Maxi_hp</f>
        <v>0</v>
      </c>
      <c r="I136" s="390">
        <f>IF(H136,Wh_hp,'2022'!Maxi_hp)</f>
        <v>28.08893330221149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3.9478834195290746E-2</v>
      </c>
      <c r="M136" s="850"/>
      <c r="N136" s="850"/>
      <c r="O136" s="48">
        <f>IF(t&lt;Tnet,'2022'!Resal+('2022'!Salim-'2022'!Resal)*(1-EXP(('2022'!Tnet-t)/('2022'!Tau_j))),Resal+(Salim-Resal)*(1-EXP((Tnet-t)/(Tau_j))))*Salcycl</f>
        <v>1.7565035020645551E-2</v>
      </c>
      <c r="P136" s="169">
        <f>(INDEX(Models!$BJ136:$BT136,,T136)*(1-R136)+INDEX(Models!$BJ136:$BT136,,T136+1)*R136-ERP_i)*Q136*Ramure*Pc/MaxiM</f>
        <v>0</v>
      </c>
      <c r="Q136" s="305">
        <f t="shared" si="28"/>
        <v>0.7</v>
      </c>
      <c r="R136" s="177">
        <f t="shared" si="29"/>
        <v>0.84994865239846673</v>
      </c>
      <c r="S136" s="817">
        <f t="shared" si="30"/>
        <v>-1</v>
      </c>
      <c r="T136" s="176">
        <f t="shared" si="31"/>
        <v>5</v>
      </c>
      <c r="U136" s="251">
        <f t="shared" si="32"/>
        <v>-0.15005134760153321</v>
      </c>
      <c r="V136" s="383">
        <f t="shared" si="33"/>
        <v>40.100813592554346</v>
      </c>
      <c r="W136" s="402">
        <f t="shared" si="34"/>
        <v>18.861448725338942</v>
      </c>
      <c r="X136" s="157">
        <f t="shared" si="35"/>
        <v>45048</v>
      </c>
      <c r="Y136" s="385">
        <f t="shared" si="36"/>
        <v>17.219391079901225</v>
      </c>
      <c r="Z136" s="385">
        <f t="shared" si="37"/>
        <v>17.927133407284259</v>
      </c>
      <c r="AA136" s="386">
        <f t="shared" si="38"/>
        <v>19.98776788257306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0.10309477713544128</v>
      </c>
      <c r="AD136" s="231">
        <f>(INDEX(Models!$BJ136:$BT136,,AH136)*(1-AF136)+INDEX(Models!$BJ136:$BT136,,AH136+1)*AF136-ERP_i)*AE136*Ramure*Pc/MaxiM</f>
        <v>0</v>
      </c>
      <c r="AE136" s="305">
        <f t="shared" si="40"/>
        <v>0.7</v>
      </c>
      <c r="AF136" s="177">
        <f t="shared" si="41"/>
        <v>0.84994865239846673</v>
      </c>
      <c r="AG136" s="817">
        <f t="shared" si="49"/>
        <v>-1</v>
      </c>
      <c r="AH136" s="176">
        <f t="shared" si="42"/>
        <v>5</v>
      </c>
      <c r="AI136" s="225">
        <f t="shared" si="43"/>
        <v>-0.15005134760153321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45049</v>
      </c>
      <c r="B137" s="411">
        <f>'2022'!Wh/'2022'!Env_an*'2023'!Env_an</f>
        <v>20.959058525859593</v>
      </c>
      <c r="C137" s="846"/>
      <c r="D137" s="393">
        <f t="shared" si="25"/>
        <v>21.820984627159692</v>
      </c>
      <c r="E137" s="385">
        <f t="shared" si="47"/>
        <v>22.21539163702754</v>
      </c>
      <c r="F137" s="385">
        <f t="shared" si="26"/>
        <v>22.21539163702754</v>
      </c>
      <c r="G137" s="110">
        <f t="shared" si="48"/>
        <v>0.52159504264757017</v>
      </c>
      <c r="H137" s="414" t="b">
        <f>Wh_hp&gt;='2022'!Maxi_hp</f>
        <v>0</v>
      </c>
      <c r="I137" s="390">
        <f>IF(H137,Wh_hp,'2022'!Maxi_hp)</f>
        <v>42.400180832539675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3.9499872073934461E-2</v>
      </c>
      <c r="M137" s="850"/>
      <c r="N137" s="850"/>
      <c r="O137" s="48">
        <f>IF(t&lt;Tnet,'2022'!Resal+('2022'!Salim-'2022'!Resal)*(1-EXP(('2022'!Tnet-t)/('2022'!Tau_j))),Resal+(Salim-Resal)*(1-EXP((Tnet-t)/(Tau_j))))*Salcycl</f>
        <v>1.7753772533565026E-2</v>
      </c>
      <c r="P137" s="169">
        <f>(INDEX(Models!$BJ137:$BT137,,T137)*(1-R137)+INDEX(Models!$BJ137:$BT137,,T137+1)*R137-ERP_i)*Q137*Ramure*Pc/MaxiM</f>
        <v>0</v>
      </c>
      <c r="Q137" s="305">
        <f t="shared" si="28"/>
        <v>0.7</v>
      </c>
      <c r="R137" s="177">
        <f t="shared" si="29"/>
        <v>0.85169521151792194</v>
      </c>
      <c r="S137" s="817">
        <f t="shared" si="30"/>
        <v>-1</v>
      </c>
      <c r="T137" s="176">
        <f t="shared" si="31"/>
        <v>5</v>
      </c>
      <c r="U137" s="251">
        <f t="shared" si="32"/>
        <v>-0.14830478848207809</v>
      </c>
      <c r="V137" s="383">
        <f t="shared" si="33"/>
        <v>40.182626007090235</v>
      </c>
      <c r="W137" s="402">
        <f t="shared" si="34"/>
        <v>20.959058525859593</v>
      </c>
      <c r="X137" s="157">
        <f t="shared" si="35"/>
        <v>45049</v>
      </c>
      <c r="Y137" s="385">
        <f t="shared" si="36"/>
        <v>19.135549515326908</v>
      </c>
      <c r="Z137" s="385">
        <f t="shared" si="37"/>
        <v>19.922485129330315</v>
      </c>
      <c r="AA137" s="386">
        <f t="shared" si="38"/>
        <v>22.21539163702754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0.10321251793173519</v>
      </c>
      <c r="AD137" s="231">
        <f>(INDEX(Models!$BJ137:$BT137,,AH137)*(1-AF137)+INDEX(Models!$BJ137:$BT137,,AH137+1)*AF137-ERP_i)*AE137*Ramure*Pc/MaxiM</f>
        <v>0</v>
      </c>
      <c r="AE137" s="305">
        <f t="shared" si="40"/>
        <v>0.7</v>
      </c>
      <c r="AF137" s="177">
        <f t="shared" si="41"/>
        <v>0.85169521151792194</v>
      </c>
      <c r="AG137" s="817">
        <f t="shared" si="49"/>
        <v>-1</v>
      </c>
      <c r="AH137" s="176">
        <f t="shared" si="42"/>
        <v>5</v>
      </c>
      <c r="AI137" s="225">
        <f t="shared" si="43"/>
        <v>-0.14830478848207809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45050</v>
      </c>
      <c r="B138" s="411">
        <f>'2022'!Wh/'2022'!Env_an*'2023'!Env_an</f>
        <v>14.609374902846161</v>
      </c>
      <c r="C138" s="846"/>
      <c r="D138" s="393">
        <f t="shared" si="25"/>
        <v>15.210508013366642</v>
      </c>
      <c r="E138" s="385">
        <f t="shared" si="47"/>
        <v>15.488411761251896</v>
      </c>
      <c r="F138" s="385">
        <f t="shared" si="26"/>
        <v>15.488411761251896</v>
      </c>
      <c r="G138" s="110">
        <f t="shared" si="48"/>
        <v>0.36286854319506551</v>
      </c>
      <c r="H138" s="414" t="b">
        <f>Wh_hp&gt;='2022'!Maxi_hp</f>
        <v>0</v>
      </c>
      <c r="I138" s="390">
        <f>IF(H138,Wh_hp,'2022'!Maxi_hp)</f>
        <v>39.79073296578693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3.9520909491794654E-2</v>
      </c>
      <c r="M138" s="850"/>
      <c r="N138" s="850"/>
      <c r="O138" s="48">
        <f>IF(t&lt;Tnet,'2022'!Resal+('2022'!Salim-'2022'!Resal)*(1-EXP(('2022'!Tnet-t)/('2022'!Tau_j))),Resal+(Salim-Resal)*(1-EXP((Tnet-t)/(Tau_j))))*Salcycl</f>
        <v>1.7942688518941697E-2</v>
      </c>
      <c r="P138" s="169">
        <f>(INDEX(Models!$BJ138:$BT138,,T138)*(1-R138)+INDEX(Models!$BJ138:$BT138,,T138+1)*R138-ERP_i)*Q138*Ramure*Pc/MaxiM</f>
        <v>0</v>
      </c>
      <c r="Q138" s="305">
        <f t="shared" si="28"/>
        <v>0.7</v>
      </c>
      <c r="R138" s="177">
        <f t="shared" si="29"/>
        <v>0.85348928443760974</v>
      </c>
      <c r="S138" s="817">
        <f t="shared" si="30"/>
        <v>-1</v>
      </c>
      <c r="T138" s="176">
        <f t="shared" si="31"/>
        <v>5</v>
      </c>
      <c r="U138" s="251">
        <f t="shared" si="32"/>
        <v>-0.14651071556239026</v>
      </c>
      <c r="V138" s="383">
        <f t="shared" si="33"/>
        <v>40.260791895076636</v>
      </c>
      <c r="W138" s="402">
        <f t="shared" si="34"/>
        <v>14.609374902846161</v>
      </c>
      <c r="X138" s="157">
        <f t="shared" si="35"/>
        <v>45050</v>
      </c>
      <c r="Y138" s="385">
        <f t="shared" si="36"/>
        <v>13.339104672775287</v>
      </c>
      <c r="Z138" s="385">
        <f t="shared" si="37"/>
        <v>13.8879698731571</v>
      </c>
      <c r="AA138" s="386">
        <f t="shared" si="38"/>
        <v>15.488411761251896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0.10333156896685154</v>
      </c>
      <c r="AD138" s="231">
        <f>(INDEX(Models!$BJ138:$BT138,,AH138)*(1-AF138)+INDEX(Models!$BJ138:$BT138,,AH138+1)*AF138-ERP_i)*AE138*Ramure*Pc/MaxiM</f>
        <v>0</v>
      </c>
      <c r="AE138" s="305">
        <f t="shared" si="40"/>
        <v>0.7</v>
      </c>
      <c r="AF138" s="177">
        <f t="shared" si="41"/>
        <v>0.85348928443760974</v>
      </c>
      <c r="AG138" s="817">
        <f t="shared" si="49"/>
        <v>-1</v>
      </c>
      <c r="AH138" s="176">
        <f t="shared" si="42"/>
        <v>5</v>
      </c>
      <c r="AI138" s="225">
        <f t="shared" si="43"/>
        <v>-0.14651071556239026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45051</v>
      </c>
      <c r="B139" s="411">
        <f>'2022'!Wh/'2022'!Env_an*'2023'!Env_an</f>
        <v>28.569223848540648</v>
      </c>
      <c r="C139" s="846"/>
      <c r="D139" s="393">
        <f t="shared" si="25"/>
        <v>29.745415474326183</v>
      </c>
      <c r="E139" s="385">
        <f t="shared" si="47"/>
        <v>30.294712686159116</v>
      </c>
      <c r="F139" s="385">
        <f t="shared" si="26"/>
        <v>30.294712686159116</v>
      </c>
      <c r="G139" s="110">
        <f t="shared" si="48"/>
        <v>0.70829486362927874</v>
      </c>
      <c r="H139" s="414" t="b">
        <f>Wh_hp&gt;='2022'!Maxi_hp</f>
        <v>0</v>
      </c>
      <c r="I139" s="390">
        <f>IF(H139,Wh_hp,'2022'!Maxi_hp)</f>
        <v>40.603023029597871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3.9541946448881427E-2</v>
      </c>
      <c r="M139" s="850"/>
      <c r="N139" s="850"/>
      <c r="O139" s="48">
        <f>IF(t&lt;Tnet,'2022'!Resal+('2022'!Salim-'2022'!Resal)*(1-EXP(('2022'!Tnet-t)/('2022'!Tau_j))),Resal+(Salim-Resal)*(1-EXP((Tnet-t)/(Tau_j))))*Salcycl</f>
        <v>1.8131784827386494E-2</v>
      </c>
      <c r="P139" s="169">
        <f>(INDEX(Models!$BJ139:$BT139,,T139)*(1-R139)+INDEX(Models!$BJ139:$BT139,,T139+1)*R139-ERP_i)*Q139*Ramure*Pc/MaxiM</f>
        <v>0</v>
      </c>
      <c r="Q139" s="305">
        <f t="shared" si="28"/>
        <v>0.7</v>
      </c>
      <c r="R139" s="177">
        <f t="shared" si="29"/>
        <v>0.85533125965734591</v>
      </c>
      <c r="S139" s="817">
        <f t="shared" si="30"/>
        <v>-1</v>
      </c>
      <c r="T139" s="176">
        <f t="shared" si="31"/>
        <v>5</v>
      </c>
      <c r="U139" s="251">
        <f t="shared" si="32"/>
        <v>-0.14466874034265403</v>
      </c>
      <c r="V139" s="383">
        <f t="shared" si="33"/>
        <v>40.33521251608817</v>
      </c>
      <c r="W139" s="402">
        <f t="shared" si="34"/>
        <v>28.569223848540648</v>
      </c>
      <c r="X139" s="157">
        <f t="shared" si="35"/>
        <v>45051</v>
      </c>
      <c r="Y139" s="385">
        <f t="shared" si="36"/>
        <v>26.086681333893939</v>
      </c>
      <c r="Z139" s="385">
        <f t="shared" si="37"/>
        <v>27.160666972850287</v>
      </c>
      <c r="AA139" s="386">
        <f t="shared" si="38"/>
        <v>30.294712686159116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0.10345190415820309</v>
      </c>
      <c r="AD139" s="231">
        <f>(INDEX(Models!$BJ139:$BT139,,AH139)*(1-AF139)+INDEX(Models!$BJ139:$BT139,,AH139+1)*AF139-ERP_i)*AE139*Ramure*Pc/MaxiM</f>
        <v>0</v>
      </c>
      <c r="AE139" s="305">
        <f t="shared" si="40"/>
        <v>0.7</v>
      </c>
      <c r="AF139" s="177">
        <f t="shared" si="41"/>
        <v>0.85533125965734591</v>
      </c>
      <c r="AG139" s="817">
        <f t="shared" si="49"/>
        <v>-1</v>
      </c>
      <c r="AH139" s="176">
        <f t="shared" si="42"/>
        <v>5</v>
      </c>
      <c r="AI139" s="225">
        <f t="shared" si="43"/>
        <v>-0.14466874034265403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45052</v>
      </c>
      <c r="B140" s="411">
        <f>'2022'!Wh/'2022'!Env_an*'2023'!Env_an</f>
        <v>26.510231005943421</v>
      </c>
      <c r="C140" s="846"/>
      <c r="D140" s="393">
        <f t="shared" si="25"/>
        <v>27.602258695981675</v>
      </c>
      <c r="E140" s="385">
        <f t="shared" si="47"/>
        <v>28.117399326686314</v>
      </c>
      <c r="F140" s="385">
        <f t="shared" si="26"/>
        <v>28.117399326686314</v>
      </c>
      <c r="G140" s="110">
        <f t="shared" si="48"/>
        <v>0.65609981884152657</v>
      </c>
      <c r="H140" s="414" t="b">
        <f>Wh_hp&gt;='2022'!Maxi_hp</f>
        <v>0</v>
      </c>
      <c r="I140" s="390">
        <f>IF(H140,Wh_hp,'2022'!Maxi_hp)</f>
        <v>44.619992536921345</v>
      </c>
      <c r="J140" s="85">
        <f>IF(H140,An,'2022'!An_max)</f>
        <v>2019</v>
      </c>
      <c r="K140" s="197">
        <f t="shared" si="27"/>
        <v>45052</v>
      </c>
      <c r="L140" s="147">
        <f>IF(t&lt;Tvie,1-EXP((T0-t)*PertePVj)+'2022'!Pspv,1-EXP((T0-t)*PertePVj)+Pspv)</f>
        <v>3.9562982945204772E-2</v>
      </c>
      <c r="M140" s="850"/>
      <c r="N140" s="850"/>
      <c r="O140" s="48">
        <f>IF(t&lt;Tnet,'2022'!Resal+('2022'!Salim-'2022'!Resal)*(1-EXP(('2022'!Tnet-t)/('2022'!Tau_j))),Resal+(Salim-Resal)*(1-EXP((Tnet-t)/(Tau_j))))*Salcycl</f>
        <v>1.8321062510774911E-2</v>
      </c>
      <c r="P140" s="169">
        <f>(INDEX(Models!$BJ140:$BT140,,T140)*(1-R140)+INDEX(Models!$BJ140:$BT140,,T140+1)*R140-ERP_i)*Q140*Ramure*Pc/MaxiM</f>
        <v>0</v>
      </c>
      <c r="Q140" s="305">
        <f t="shared" si="28"/>
        <v>0.7</v>
      </c>
      <c r="R140" s="177">
        <f t="shared" si="29"/>
        <v>0.8572214636638853</v>
      </c>
      <c r="S140" s="817">
        <f t="shared" si="30"/>
        <v>-1</v>
      </c>
      <c r="T140" s="176">
        <f t="shared" si="31"/>
        <v>5</v>
      </c>
      <c r="U140" s="251">
        <f t="shared" si="32"/>
        <v>-0.1427785363361147</v>
      </c>
      <c r="V140" s="383">
        <f t="shared" si="33"/>
        <v>40.405789248276967</v>
      </c>
      <c r="W140" s="402">
        <f t="shared" si="34"/>
        <v>26.510231005943421</v>
      </c>
      <c r="X140" s="157">
        <f t="shared" si="35"/>
        <v>45052</v>
      </c>
      <c r="Y140" s="385">
        <f t="shared" si="36"/>
        <v>24.207989847849184</v>
      </c>
      <c r="Z140" s="385">
        <f t="shared" si="37"/>
        <v>25.205182034823697</v>
      </c>
      <c r="AA140" s="386">
        <f t="shared" si="38"/>
        <v>28.117399326686314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0.10357349404995024</v>
      </c>
      <c r="AD140" s="231">
        <f>(INDEX(Models!$BJ140:$BT140,,AH140)*(1-AF140)+INDEX(Models!$BJ140:$BT140,,AH140+1)*AF140-ERP_i)*AE140*Ramure*Pc/MaxiM</f>
        <v>0</v>
      </c>
      <c r="AE140" s="305">
        <f t="shared" si="40"/>
        <v>0.7</v>
      </c>
      <c r="AF140" s="177">
        <f t="shared" si="41"/>
        <v>0.8572214636638853</v>
      </c>
      <c r="AG140" s="817">
        <f t="shared" si="49"/>
        <v>-1</v>
      </c>
      <c r="AH140" s="176">
        <f t="shared" si="42"/>
        <v>5</v>
      </c>
      <c r="AI140" s="225">
        <f t="shared" si="43"/>
        <v>-0.1427785363361147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45053</v>
      </c>
      <c r="B141" s="411">
        <f>'2022'!Wh/'2022'!Env_an*'2023'!Env_an</f>
        <v>32.950273564192536</v>
      </c>
      <c r="C141" s="846"/>
      <c r="D141" s="393">
        <f t="shared" si="25"/>
        <v>34.308335362375601</v>
      </c>
      <c r="E141" s="385">
        <f t="shared" si="47"/>
        <v>34.955377641753948</v>
      </c>
      <c r="F141" s="385">
        <f t="shared" si="26"/>
        <v>34.955377641753948</v>
      </c>
      <c r="G141" s="110">
        <f t="shared" si="48"/>
        <v>0.81414134950341233</v>
      </c>
      <c r="H141" s="414" t="b">
        <f>Wh_hp&gt;='2022'!Maxi_hp</f>
        <v>0</v>
      </c>
      <c r="I141" s="390">
        <f>IF(H141,Wh_hp,'2022'!Maxi_hp)</f>
        <v>41.484775655026766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3.9584018980774904E-2</v>
      </c>
      <c r="M141" s="850"/>
      <c r="N141" s="850"/>
      <c r="O141" s="48">
        <f>IF(t&lt;Tnet,'2022'!Resal+('2022'!Salim-'2022'!Resal)*(1-EXP(('2022'!Tnet-t)/('2022'!Tau_j))),Resal+(Salim-Resal)*(1-EXP((Tnet-t)/(Tau_j))))*Salcycl</f>
        <v>1.8510521786080286E-2</v>
      </c>
      <c r="P141" s="169">
        <f>(INDEX(Models!$BJ141:$BT141,,T141)*(1-R141)+INDEX(Models!$BJ141:$BT141,,T141+1)*R141-ERP_i)*Q141*Ramure*Pc/MaxiM</f>
        <v>0</v>
      </c>
      <c r="Q141" s="305">
        <f t="shared" si="28"/>
        <v>0.7</v>
      </c>
      <c r="R141" s="177">
        <f t="shared" si="29"/>
        <v>0.85916015670670898</v>
      </c>
      <c r="S141" s="817">
        <f t="shared" si="30"/>
        <v>-1</v>
      </c>
      <c r="T141" s="176">
        <f t="shared" si="31"/>
        <v>5</v>
      </c>
      <c r="U141" s="251">
        <f t="shared" si="32"/>
        <v>-0.14083984329329099</v>
      </c>
      <c r="V141" s="383">
        <f t="shared" si="33"/>
        <v>40.47242359608763</v>
      </c>
      <c r="W141" s="402">
        <f t="shared" si="34"/>
        <v>32.950273564192536</v>
      </c>
      <c r="X141" s="157">
        <f t="shared" si="35"/>
        <v>45053</v>
      </c>
      <c r="Y141" s="385">
        <f t="shared" si="36"/>
        <v>30.090441698546897</v>
      </c>
      <c r="Z141" s="385">
        <f t="shared" si="37"/>
        <v>31.330634113994989</v>
      </c>
      <c r="AA141" s="386">
        <f t="shared" si="38"/>
        <v>34.955377641753948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0.10369630575609147</v>
      </c>
      <c r="AD141" s="231">
        <f>(INDEX(Models!$BJ141:$BT141,,AH141)*(1-AF141)+INDEX(Models!$BJ141:$BT141,,AH141+1)*AF141-ERP_i)*AE141*Ramure*Pc/MaxiM</f>
        <v>0</v>
      </c>
      <c r="AE141" s="305">
        <f t="shared" si="40"/>
        <v>0.7</v>
      </c>
      <c r="AF141" s="177">
        <f t="shared" si="41"/>
        <v>0.85916015670670898</v>
      </c>
      <c r="AG141" s="817">
        <f t="shared" si="49"/>
        <v>-1</v>
      </c>
      <c r="AH141" s="176">
        <f t="shared" si="42"/>
        <v>5</v>
      </c>
      <c r="AI141" s="225">
        <f t="shared" si="43"/>
        <v>-0.14083984329329099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45054</v>
      </c>
      <c r="B142" s="411">
        <f>'2022'!Wh/'2022'!Env_an*'2023'!Env_an</f>
        <v>33.990415716354313</v>
      </c>
      <c r="C142" s="846"/>
      <c r="D142" s="393">
        <f t="shared" si="25"/>
        <v>35.392122665354222</v>
      </c>
      <c r="E142" s="385">
        <f t="shared" si="47"/>
        <v>36.066573431333204</v>
      </c>
      <c r="F142" s="385">
        <f t="shared" si="26"/>
        <v>36.066573431333204</v>
      </c>
      <c r="G142" s="110">
        <f t="shared" si="48"/>
        <v>0.83854449986401514</v>
      </c>
      <c r="H142" s="414" t="b">
        <f>Wh_hp&gt;='2022'!Maxi_hp</f>
        <v>0</v>
      </c>
      <c r="I142" s="390">
        <f>IF(H142,Wh_hp,'2022'!Maxi_hp)</f>
        <v>40.780889517262061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3.9605054555601815E-2</v>
      </c>
      <c r="M142" s="850"/>
      <c r="N142" s="850"/>
      <c r="O142" s="48">
        <f>IF(t&lt;Tnet,'2022'!Resal+('2022'!Salim-'2022'!Resal)*(1-EXP(('2022'!Tnet-t)/('2022'!Tau_j))),Resal+(Salim-Resal)*(1-EXP((Tnet-t)/(Tau_j))))*Salcycl</f>
        <v>1.8700162000780767E-2</v>
      </c>
      <c r="P142" s="169">
        <f>(INDEX(Models!$BJ142:$BT142,,T142)*(1-R142)+INDEX(Models!$BJ142:$BT142,,T142+1)*R142-ERP_i)*Q142*Ramure*Pc/MaxiM</f>
        <v>0</v>
      </c>
      <c r="Q142" s="305">
        <f t="shared" si="28"/>
        <v>0.7</v>
      </c>
      <c r="R142" s="177">
        <f t="shared" si="29"/>
        <v>0.86114752859535804</v>
      </c>
      <c r="S142" s="817">
        <f t="shared" si="30"/>
        <v>-1</v>
      </c>
      <c r="T142" s="176">
        <f t="shared" si="31"/>
        <v>5</v>
      </c>
      <c r="U142" s="251">
        <f t="shared" si="32"/>
        <v>-0.13885247140464202</v>
      </c>
      <c r="V142" s="383">
        <f t="shared" si="33"/>
        <v>40.535017189745403</v>
      </c>
      <c r="W142" s="402">
        <f t="shared" si="34"/>
        <v>33.990415716354313</v>
      </c>
      <c r="X142" s="157">
        <f t="shared" si="35"/>
        <v>45054</v>
      </c>
      <c r="Y142" s="385">
        <f t="shared" si="36"/>
        <v>31.042011096842632</v>
      </c>
      <c r="Z142" s="385">
        <f t="shared" si="37"/>
        <v>32.322130852613697</v>
      </c>
      <c r="AA142" s="386">
        <f t="shared" si="38"/>
        <v>36.066573431333204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0.10382030291423479</v>
      </c>
      <c r="AD142" s="231">
        <f>(INDEX(Models!$BJ142:$BT142,,AH142)*(1-AF142)+INDEX(Models!$BJ142:$BT142,,AH142+1)*AF142-ERP_i)*AE142*Ramure*Pc/MaxiM</f>
        <v>0</v>
      </c>
      <c r="AE142" s="305">
        <f t="shared" si="40"/>
        <v>0.7</v>
      </c>
      <c r="AF142" s="177">
        <f t="shared" si="41"/>
        <v>0.86114752859535804</v>
      </c>
      <c r="AG142" s="817">
        <f t="shared" si="49"/>
        <v>-1</v>
      </c>
      <c r="AH142" s="176">
        <f t="shared" si="42"/>
        <v>5</v>
      </c>
      <c r="AI142" s="225">
        <f t="shared" si="43"/>
        <v>-0.13885247140464202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45055</v>
      </c>
      <c r="B143" s="411">
        <f>'2022'!Wh/'2022'!Env_an*'2023'!Env_an</f>
        <v>38.299547269297115</v>
      </c>
      <c r="C143" s="846"/>
      <c r="D143" s="393">
        <f t="shared" ref="D143:D206" si="50">Wh/(1-Ppv)</f>
        <v>39.879828947169791</v>
      </c>
      <c r="E143" s="385">
        <f t="shared" si="47"/>
        <v>40.647662544730203</v>
      </c>
      <c r="F143" s="385">
        <f t="shared" ref="F143:F206" si="51">Wh_sa/(1-Pvg*MEDIAN((-Sdif+Wh/Env_an)/Csdif,0,1))</f>
        <v>40.647662544730203</v>
      </c>
      <c r="G143" s="110">
        <f t="shared" si="48"/>
        <v>0.94349030965713176</v>
      </c>
      <c r="H143" s="414" t="b">
        <f>Wh_hp&gt;='2022'!Maxi_hp</f>
        <v>1</v>
      </c>
      <c r="I143" s="390">
        <f>IF(H143,Wh_hp,'2022'!Maxi_hp)</f>
        <v>40.647662544730203</v>
      </c>
      <c r="J143" s="85">
        <f>IF(H143,An,'2022'!An_max)</f>
        <v>2023</v>
      </c>
      <c r="K143" s="197">
        <f t="shared" ref="K143:K206" si="52">t</f>
        <v>45055</v>
      </c>
      <c r="L143" s="147">
        <f>IF(t&lt;Tvie,1-EXP((T0-t)*PertePVj)+'2022'!Pspv,1-EXP((T0-t)*PertePVj)+Pspv)</f>
        <v>3.9626089669695719E-2</v>
      </c>
      <c r="M143" s="850"/>
      <c r="N143" s="850"/>
      <c r="O143" s="48">
        <f>IF(t&lt;Tnet,'2022'!Resal+('2022'!Salim-'2022'!Resal)*(1-EXP(('2022'!Tnet-t)/('2022'!Tau_j))),Resal+(Salim-Resal)*(1-EXP((Tnet-t)/(Tau_j))))*Salcycl</f>
        <v>1.8889981600183285E-2</v>
      </c>
      <c r="P143" s="169">
        <f>(INDEX(Models!$BJ143:$BT143,,T143)*(1-R143)+INDEX(Models!$BJ143:$BT143,,T143+1)*R143-ERP_i)*Q143*Ramure*Pc/MaxiM</f>
        <v>0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0.86318369454559507</v>
      </c>
      <c r="S143" s="817">
        <f t="shared" ref="S143:S206" si="55">INDEX(Echel_vg,T143)</f>
        <v>-1</v>
      </c>
      <c r="T143" s="176">
        <f t="shared" ref="T143:T206" si="56">MIN(MATCH(Hp_vg,Echel_vg),10)</f>
        <v>5</v>
      </c>
      <c r="U143" s="251">
        <f t="shared" ref="U143:U206" si="57">IF(OR(t&lt;Ttai,Notai),Hdd+PousH*Croivg,Hdtf+PousH*(Croivg-Croi_tai))</f>
        <v>-0.13681630545440487</v>
      </c>
      <c r="V143" s="383">
        <f t="shared" ref="V143:V206" si="58">MaxiM*(1-Ppv)*(1-Pvg)*(1-Psa)</f>
        <v>40.593471790097475</v>
      </c>
      <c r="W143" s="402">
        <f t="shared" ref="W143:W206" si="59">Wh*(A143&gt;Tmaj)</f>
        <v>38.299547269297115</v>
      </c>
      <c r="X143" s="157">
        <f t="shared" ref="X143:X206" si="60">t</f>
        <v>45055</v>
      </c>
      <c r="Y143" s="385">
        <f t="shared" ref="Y143:Y206" si="61">Wh_pvt_s*(1-Ppv)</f>
        <v>34.979240978623103</v>
      </c>
      <c r="Z143" s="385">
        <f t="shared" ref="Z143:Z206" si="62">Wh_sa_s*(1-Psa_s)</f>
        <v>36.422523146836205</v>
      </c>
      <c r="AA143" s="386">
        <f t="shared" ref="AA143:AA206" si="63">Wh_hp*(1-Pvg_s*MEDIAN((-Sdif+Wh/Env_an)/Csdif,0,1))</f>
        <v>40.647662544730203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0.1039454456512597</v>
      </c>
      <c r="AD143" s="231">
        <f>(INDEX(Models!$BJ143:$BT143,,AH143)*(1-AF143)+INDEX(Models!$BJ143:$BT143,,AH143+1)*AF143-ERP_i)*AE143*Ramure*Pc/MaxiM</f>
        <v>0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0.86318369454559507</v>
      </c>
      <c r="AG143" s="817">
        <f t="shared" si="49"/>
        <v>-1</v>
      </c>
      <c r="AH143" s="176">
        <f t="shared" ref="AH143:AH206" si="67">MIN(MATCH(Hp_vg_s,Echel_vg),10)</f>
        <v>5</v>
      </c>
      <c r="AI143" s="225">
        <f t="shared" ref="AI143:AI206" si="68">IF(OR(t&lt;Ttai,Notai),Hdd_s+PousH*Croivg,Hdtai_s+PousH*(Croivg-Croi_tai))</f>
        <v>-0.13681630545440487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45056</v>
      </c>
      <c r="B144" s="411">
        <f>'2022'!Wh/'2022'!Env_an*'2023'!Env_an</f>
        <v>35.401063816450815</v>
      </c>
      <c r="C144" s="846"/>
      <c r="D144" s="393">
        <f t="shared" si="50"/>
        <v>36.862558246100235</v>
      </c>
      <c r="E144" s="385">
        <f t="shared" ref="E144:E169" si="72">Wh_pvt/(1-Psa)</f>
        <v>37.579575727883402</v>
      </c>
      <c r="F144" s="385">
        <f t="shared" si="51"/>
        <v>37.579575727883402</v>
      </c>
      <c r="G144" s="110">
        <f t="shared" ref="G144:G169" si="73">+Wh_hp/MaxiM</f>
        <v>0.8709243855492923</v>
      </c>
      <c r="H144" s="414" t="b">
        <f>Wh_hp&gt;='2022'!Maxi_hp</f>
        <v>1</v>
      </c>
      <c r="I144" s="390">
        <f>IF(H144,Wh_hp,'2022'!Maxi_hp)</f>
        <v>37.579575727883402</v>
      </c>
      <c r="J144" s="85">
        <f>IF(H144,An,'2022'!An_max)</f>
        <v>2023</v>
      </c>
      <c r="K144" s="197">
        <f t="shared" si="52"/>
        <v>45056</v>
      </c>
      <c r="L144" s="147">
        <f>IF(t&lt;Tvie,1-EXP((T0-t)*PertePVj)+'2022'!Pspv,1-EXP((T0-t)*PertePVj)+Pspv)</f>
        <v>3.9647124323066607E-2</v>
      </c>
      <c r="M144" s="850"/>
      <c r="N144" s="850"/>
      <c r="O144" s="48">
        <f>IF(t&lt;Tnet,'2022'!Resal+('2022'!Salim-'2022'!Resal)*(1-EXP(('2022'!Tnet-t)/('2022'!Tau_j))),Resal+(Salim-Resal)*(1-EXP((Tnet-t)/(Tau_j))))*Salcycl</f>
        <v>1.9079978097016038E-2</v>
      </c>
      <c r="P144" s="169">
        <f>(INDEX(Models!$BJ144:$BT144,,T144)*(1-R144)+INDEX(Models!$BJ144:$BT144,,T144+1)*R144-ERP_i)*Q144*Ramure*Pc/MaxiM</f>
        <v>0</v>
      </c>
      <c r="Q144" s="305">
        <f t="shared" si="53"/>
        <v>0.7</v>
      </c>
      <c r="R144" s="177">
        <f t="shared" si="54"/>
        <v>0.86526869110352411</v>
      </c>
      <c r="S144" s="817">
        <f t="shared" si="55"/>
        <v>-1</v>
      </c>
      <c r="T144" s="176">
        <f t="shared" si="56"/>
        <v>5</v>
      </c>
      <c r="U144" s="251">
        <f t="shared" si="57"/>
        <v>-0.13473130889647583</v>
      </c>
      <c r="V144" s="383">
        <f t="shared" si="58"/>
        <v>40.647689287197245</v>
      </c>
      <c r="W144" s="402">
        <f t="shared" si="59"/>
        <v>35.401063816450815</v>
      </c>
      <c r="X144" s="157">
        <f t="shared" si="60"/>
        <v>45056</v>
      </c>
      <c r="Y144" s="385">
        <f t="shared" si="61"/>
        <v>32.333742353272953</v>
      </c>
      <c r="Z144" s="385">
        <f t="shared" si="62"/>
        <v>33.668605751278193</v>
      </c>
      <c r="AA144" s="386">
        <f t="shared" si="63"/>
        <v>37.579575727883402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0.10407169056204474</v>
      </c>
      <c r="AD144" s="231">
        <f>(INDEX(Models!$BJ144:$BT144,,AH144)*(1-AF144)+INDEX(Models!$BJ144:$BT144,,AH144+1)*AF144-ERP_i)*AE144*Ramure*Pc/MaxiM</f>
        <v>0</v>
      </c>
      <c r="AE144" s="305">
        <f t="shared" si="65"/>
        <v>0.7</v>
      </c>
      <c r="AF144" s="177">
        <f t="shared" si="66"/>
        <v>0.86526869110352411</v>
      </c>
      <c r="AG144" s="817">
        <f t="shared" ref="AG144:AG207" si="74">INDEX(Echel_vg,AH144)</f>
        <v>-1</v>
      </c>
      <c r="AH144" s="176">
        <f t="shared" si="67"/>
        <v>5</v>
      </c>
      <c r="AI144" s="225">
        <f t="shared" si="68"/>
        <v>-0.13473130889647583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45057</v>
      </c>
      <c r="B145" s="411">
        <f>'2022'!Wh/'2022'!Env_an*'2023'!Env_an</f>
        <v>38.173661053874767</v>
      </c>
      <c r="C145" s="846"/>
      <c r="D145" s="393">
        <f t="shared" si="50"/>
        <v>39.750489783691954</v>
      </c>
      <c r="E145" s="385">
        <f t="shared" si="72"/>
        <v>40.531538531633217</v>
      </c>
      <c r="F145" s="385">
        <f t="shared" si="51"/>
        <v>40.531538531633217</v>
      </c>
      <c r="G145" s="110">
        <f t="shared" si="73"/>
        <v>0.93798375328865247</v>
      </c>
      <c r="H145" s="414" t="b">
        <f>Wh_hp&gt;='2022'!Maxi_hp</f>
        <v>1</v>
      </c>
      <c r="I145" s="390">
        <f>IF(H145,Wh_hp,'2022'!Maxi_hp)</f>
        <v>40.531538531633217</v>
      </c>
      <c r="J145" s="85">
        <f>IF(H145,An,'2022'!An_max)</f>
        <v>2023</v>
      </c>
      <c r="K145" s="197">
        <f t="shared" si="52"/>
        <v>45057</v>
      </c>
      <c r="L145" s="147">
        <f>IF(t&lt;Tvie,1-EXP((T0-t)*PertePVj)+'2022'!Pspv,1-EXP((T0-t)*PertePVj)+Pspv)</f>
        <v>3.9668158515724694E-2</v>
      </c>
      <c r="M145" s="850"/>
      <c r="N145" s="850"/>
      <c r="O145" s="48">
        <f>IF(t&lt;Tnet,'2022'!Resal+('2022'!Salim-'2022'!Resal)*(1-EXP(('2022'!Tnet-t)/('2022'!Tau_j))),Resal+(Salim-Resal)*(1-EXP((Tnet-t)/(Tau_j))))*Salcycl</f>
        <v>1.9270148043644832E-2</v>
      </c>
      <c r="P145" s="169">
        <f>(INDEX(Models!$BJ145:$BT145,,T145)*(1-R145)+INDEX(Models!$BJ145:$BT145,,T145+1)*R145-ERP_i)*Q145*Ramure*Pc/MaxiM</f>
        <v>0</v>
      </c>
      <c r="Q145" s="305">
        <f t="shared" si="53"/>
        <v>0.7</v>
      </c>
      <c r="R145" s="177">
        <f t="shared" si="54"/>
        <v>0.86740247217849953</v>
      </c>
      <c r="S145" s="817">
        <f t="shared" si="55"/>
        <v>-1</v>
      </c>
      <c r="T145" s="176">
        <f t="shared" si="56"/>
        <v>5</v>
      </c>
      <c r="U145" s="251">
        <f t="shared" si="57"/>
        <v>-0.13259752782150047</v>
      </c>
      <c r="V145" s="383">
        <f t="shared" si="58"/>
        <v>40.697571701039166</v>
      </c>
      <c r="W145" s="402">
        <f t="shared" si="59"/>
        <v>38.173661053874767</v>
      </c>
      <c r="X145" s="157">
        <f t="shared" si="60"/>
        <v>45057</v>
      </c>
      <c r="Y145" s="385">
        <f t="shared" si="61"/>
        <v>34.867913964719321</v>
      </c>
      <c r="Z145" s="385">
        <f t="shared" si="62"/>
        <v>36.30819312502225</v>
      </c>
      <c r="AA145" s="386">
        <f t="shared" si="63"/>
        <v>40.531538531633217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0.10419899070238396</v>
      </c>
      <c r="AD145" s="231">
        <f>(INDEX(Models!$BJ145:$BT145,,AH145)*(1-AF145)+INDEX(Models!$BJ145:$BT145,,AH145+1)*AF145-ERP_i)*AE145*Ramure*Pc/MaxiM</f>
        <v>0</v>
      </c>
      <c r="AE145" s="305">
        <f t="shared" si="65"/>
        <v>0.7</v>
      </c>
      <c r="AF145" s="177">
        <f t="shared" si="66"/>
        <v>0.86740247217849953</v>
      </c>
      <c r="AG145" s="817">
        <f t="shared" si="74"/>
        <v>-1</v>
      </c>
      <c r="AH145" s="176">
        <f t="shared" si="67"/>
        <v>5</v>
      </c>
      <c r="AI145" s="225">
        <f t="shared" si="68"/>
        <v>-0.13259752782150047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45058</v>
      </c>
      <c r="B146" s="411">
        <f>'2022'!Wh/'2022'!Env_an*'2023'!Env_an</f>
        <v>29.375860621075439</v>
      </c>
      <c r="C146" s="846"/>
      <c r="D146" s="393">
        <f t="shared" si="50"/>
        <v>30.5899510699373</v>
      </c>
      <c r="E146" s="385">
        <f t="shared" si="72"/>
        <v>31.197061071585903</v>
      </c>
      <c r="F146" s="385">
        <f t="shared" si="51"/>
        <v>31.197061071585903</v>
      </c>
      <c r="G146" s="110">
        <f t="shared" si="73"/>
        <v>0.72100349372040817</v>
      </c>
      <c r="H146" s="414" t="b">
        <f>Wh_hp&gt;='2022'!Maxi_hp</f>
        <v>0</v>
      </c>
      <c r="I146" s="390">
        <f>IF(H146,Wh_hp,'2022'!Maxi_hp)</f>
        <v>40.951725833965142</v>
      </c>
      <c r="J146" s="85">
        <f>IF(H146,An,'2022'!An_max)</f>
        <v>2019</v>
      </c>
      <c r="K146" s="197">
        <f t="shared" si="52"/>
        <v>45058</v>
      </c>
      <c r="L146" s="147">
        <f>IF(t&lt;Tvie,1-EXP((T0-t)*PertePVj)+'2022'!Pspv,1-EXP((T0-t)*PertePVj)+Pspv)</f>
        <v>3.9689192247679861E-2</v>
      </c>
      <c r="M146" s="850"/>
      <c r="N146" s="850"/>
      <c r="O146" s="48">
        <f>IF(t&lt;Tnet,'2022'!Resal+('2022'!Salim-'2022'!Resal)*(1-EXP(('2022'!Tnet-t)/('2022'!Tau_j))),Resal+(Salim-Resal)*(1-EXP((Tnet-t)/(Tau_j))))*Salcycl</f>
        <v>1.9460487007269902E-2</v>
      </c>
      <c r="P146" s="169">
        <f>(INDEX(Models!$BJ146:$BT146,,T146)*(1-R146)+INDEX(Models!$BJ146:$BT146,,T146+1)*R146-ERP_i)*Q146*Ramure*Pc/MaxiM</f>
        <v>0</v>
      </c>
      <c r="Q146" s="305">
        <f t="shared" si="53"/>
        <v>0.7</v>
      </c>
      <c r="R146" s="177">
        <f t="shared" si="54"/>
        <v>0.86958490521718501</v>
      </c>
      <c r="S146" s="817">
        <f t="shared" si="55"/>
        <v>-1</v>
      </c>
      <c r="T146" s="176">
        <f t="shared" si="56"/>
        <v>5</v>
      </c>
      <c r="U146" s="251">
        <f t="shared" si="57"/>
        <v>-0.13041509478281502</v>
      </c>
      <c r="V146" s="383">
        <f t="shared" si="58"/>
        <v>40.743021187726526</v>
      </c>
      <c r="W146" s="402">
        <f t="shared" si="59"/>
        <v>29.375860621075439</v>
      </c>
      <c r="X146" s="157">
        <f t="shared" si="60"/>
        <v>45058</v>
      </c>
      <c r="Y146" s="385">
        <f t="shared" si="61"/>
        <v>26.833346517913178</v>
      </c>
      <c r="Z146" s="385">
        <f t="shared" si="62"/>
        <v>27.942356059408151</v>
      </c>
      <c r="AA146" s="386">
        <f t="shared" si="63"/>
        <v>31.197061071585903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0.10432729559715209</v>
      </c>
      <c r="AD146" s="231">
        <f>(INDEX(Models!$BJ146:$BT146,,AH146)*(1-AF146)+INDEX(Models!$BJ146:$BT146,,AH146+1)*AF146-ERP_i)*AE146*Ramure*Pc/MaxiM</f>
        <v>0</v>
      </c>
      <c r="AE146" s="305">
        <f t="shared" si="65"/>
        <v>0.7</v>
      </c>
      <c r="AF146" s="177">
        <f t="shared" si="66"/>
        <v>0.86958490521718501</v>
      </c>
      <c r="AG146" s="817">
        <f t="shared" si="74"/>
        <v>-1</v>
      </c>
      <c r="AH146" s="176">
        <f t="shared" si="67"/>
        <v>5</v>
      </c>
      <c r="AI146" s="225">
        <f t="shared" si="68"/>
        <v>-0.13041509478281502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45059</v>
      </c>
      <c r="B147" s="411">
        <f>'2022'!Wh/'2022'!Env_an*'2023'!Env_an</f>
        <v>32.067708784361663</v>
      </c>
      <c r="C147" s="846"/>
      <c r="D147" s="393">
        <f t="shared" si="50"/>
        <v>33.393783456343797</v>
      </c>
      <c r="E147" s="385">
        <f t="shared" si="72"/>
        <v>34.063158222562791</v>
      </c>
      <c r="F147" s="385">
        <f t="shared" si="51"/>
        <v>34.063158222562791</v>
      </c>
      <c r="G147" s="110">
        <f t="shared" si="73"/>
        <v>0.78628275633076161</v>
      </c>
      <c r="H147" s="414" t="b">
        <f>Wh_hp&gt;='2022'!Maxi_hp</f>
        <v>0</v>
      </c>
      <c r="I147" s="390">
        <f>IF(H147,Wh_hp,'2022'!Maxi_hp)</f>
        <v>45.292153927540518</v>
      </c>
      <c r="J147" s="85">
        <f>IF(H147,An,'2022'!An_max)</f>
        <v>2019</v>
      </c>
      <c r="K147" s="197">
        <f t="shared" si="52"/>
        <v>45059</v>
      </c>
      <c r="L147" s="147">
        <f>IF(t&lt;Tvie,1-EXP((T0-t)*PertePVj)+'2022'!Pspv,1-EXP((T0-t)*PertePVj)+Pspv)</f>
        <v>3.9710225518942321E-2</v>
      </c>
      <c r="M147" s="850"/>
      <c r="N147" s="850"/>
      <c r="O147" s="48">
        <f>IF(t&lt;Tnet,'2022'!Resal+('2022'!Salim-'2022'!Resal)*(1-EXP(('2022'!Tnet-t)/('2022'!Tau_j))),Resal+(Salim-Resal)*(1-EXP((Tnet-t)/(Tau_j))))*Salcycl</f>
        <v>1.9650989548456187E-2</v>
      </c>
      <c r="P147" s="169">
        <f>(INDEX(Models!$BJ147:$BT147,,T147)*(1-R147)+INDEX(Models!$BJ147:$BT147,,T147+1)*R147-ERP_i)*Q147*Ramure*Pc/MaxiM</f>
        <v>0</v>
      </c>
      <c r="Q147" s="305">
        <f t="shared" si="53"/>
        <v>0.7</v>
      </c>
      <c r="R147" s="177">
        <f t="shared" si="54"/>
        <v>0.87181576755242984</v>
      </c>
      <c r="S147" s="817">
        <f t="shared" si="55"/>
        <v>-1</v>
      </c>
      <c r="T147" s="176">
        <f t="shared" si="56"/>
        <v>5</v>
      </c>
      <c r="U147" s="251">
        <f t="shared" si="57"/>
        <v>-0.1281842324475701</v>
      </c>
      <c r="V147" s="383">
        <f t="shared" si="58"/>
        <v>40.783940034508277</v>
      </c>
      <c r="W147" s="402">
        <f t="shared" si="59"/>
        <v>32.067708784361663</v>
      </c>
      <c r="X147" s="157">
        <f t="shared" si="60"/>
        <v>45059</v>
      </c>
      <c r="Y147" s="385">
        <f t="shared" si="61"/>
        <v>29.293676243483176</v>
      </c>
      <c r="Z147" s="385">
        <f t="shared" si="62"/>
        <v>30.50503818945019</v>
      </c>
      <c r="AA147" s="386">
        <f t="shared" si="63"/>
        <v>34.063158222562791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0.10445655126469654</v>
      </c>
      <c r="AD147" s="231">
        <f>(INDEX(Models!$BJ147:$BT147,,AH147)*(1-AF147)+INDEX(Models!$BJ147:$BT147,,AH147+1)*AF147-ERP_i)*AE147*Ramure*Pc/MaxiM</f>
        <v>0</v>
      </c>
      <c r="AE147" s="305">
        <f t="shared" si="65"/>
        <v>0.7</v>
      </c>
      <c r="AF147" s="177">
        <f t="shared" si="66"/>
        <v>0.87181576755242984</v>
      </c>
      <c r="AG147" s="817">
        <f t="shared" si="74"/>
        <v>-1</v>
      </c>
      <c r="AH147" s="176">
        <f t="shared" si="67"/>
        <v>5</v>
      </c>
      <c r="AI147" s="225">
        <f t="shared" si="68"/>
        <v>-0.1281842324475701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45060</v>
      </c>
      <c r="B148" s="411">
        <f>'2022'!Wh/'2022'!Env_an*'2023'!Env_an</f>
        <v>33.396383789336916</v>
      </c>
      <c r="C148" s="846"/>
      <c r="D148" s="393">
        <f t="shared" si="50"/>
        <v>34.778164007755542</v>
      </c>
      <c r="E148" s="385">
        <f t="shared" si="72"/>
        <v>35.482189157995137</v>
      </c>
      <c r="F148" s="385">
        <f t="shared" si="51"/>
        <v>35.482189157995137</v>
      </c>
      <c r="G148" s="110">
        <f t="shared" si="73"/>
        <v>0.81813314729520181</v>
      </c>
      <c r="H148" s="414" t="b">
        <f>Wh_hp&gt;='2022'!Maxi_hp</f>
        <v>0</v>
      </c>
      <c r="I148" s="390">
        <f>IF(H148,Wh_hp,'2022'!Maxi_hp)</f>
        <v>43.95743971785987</v>
      </c>
      <c r="J148" s="85">
        <f>IF(H148,An,'2022'!An_max)</f>
        <v>2019</v>
      </c>
      <c r="K148" s="197">
        <f t="shared" si="52"/>
        <v>45060</v>
      </c>
      <c r="L148" s="147">
        <f>IF(t&lt;Tvie,1-EXP((T0-t)*PertePVj)+'2022'!Pspv,1-EXP((T0-t)*PertePVj)+Pspv)</f>
        <v>3.973125832952229E-2</v>
      </c>
      <c r="M148" s="850"/>
      <c r="N148" s="850"/>
      <c r="O148" s="48">
        <f>IF(t&lt;Tnet,'2022'!Resal+('2022'!Salim-'2022'!Resal)*(1-EXP(('2022'!Tnet-t)/('2022'!Tau_j))),Resal+(Salim-Resal)*(1-EXP((Tnet-t)/(Tau_j))))*Salcycl</f>
        <v>1.9841649203342838E-2</v>
      </c>
      <c r="P148" s="169">
        <f>(INDEX(Models!$BJ148:$BT148,,T148)*(1-R148)+INDEX(Models!$BJ148:$BT148,,T148+1)*R148-ERP_i)*Q148*Ramure*Pc/MaxiM</f>
        <v>0</v>
      </c>
      <c r="Q148" s="305">
        <f t="shared" si="53"/>
        <v>0.7</v>
      </c>
      <c r="R148" s="177">
        <f t="shared" si="54"/>
        <v>0.87409474296168521</v>
      </c>
      <c r="S148" s="817">
        <f t="shared" si="55"/>
        <v>-1</v>
      </c>
      <c r="T148" s="176">
        <f t="shared" si="56"/>
        <v>5</v>
      </c>
      <c r="U148" s="251">
        <f t="shared" si="57"/>
        <v>-0.12590525703831476</v>
      </c>
      <c r="V148" s="383">
        <f t="shared" si="58"/>
        <v>40.820230667523255</v>
      </c>
      <c r="W148" s="402">
        <f t="shared" si="59"/>
        <v>33.396383789336916</v>
      </c>
      <c r="X148" s="157">
        <f t="shared" si="60"/>
        <v>45060</v>
      </c>
      <c r="Y148" s="385">
        <f t="shared" si="61"/>
        <v>30.508913364808741</v>
      </c>
      <c r="Z148" s="385">
        <f t="shared" si="62"/>
        <v>31.771224076018157</v>
      </c>
      <c r="AA148" s="386">
        <f t="shared" si="63"/>
        <v>35.482189157995137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0.10458670025834063</v>
      </c>
      <c r="AD148" s="231">
        <f>(INDEX(Models!$BJ148:$BT148,,AH148)*(1-AF148)+INDEX(Models!$BJ148:$BT148,,AH148+1)*AF148-ERP_i)*AE148*Ramure*Pc/MaxiM</f>
        <v>0</v>
      </c>
      <c r="AE148" s="305">
        <f t="shared" si="65"/>
        <v>0.7</v>
      </c>
      <c r="AF148" s="177">
        <f t="shared" si="66"/>
        <v>0.87409474296168521</v>
      </c>
      <c r="AG148" s="817">
        <f t="shared" si="74"/>
        <v>-1</v>
      </c>
      <c r="AH148" s="176">
        <f t="shared" si="67"/>
        <v>5</v>
      </c>
      <c r="AI148" s="225">
        <f t="shared" si="68"/>
        <v>-0.12590525703831476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45061</v>
      </c>
      <c r="B149" s="411">
        <f>'2022'!Wh/'2022'!Env_an*'2023'!Env_an</f>
        <v>35.567583720174348</v>
      </c>
      <c r="C149" s="846"/>
      <c r="D149" s="393">
        <f t="shared" si="50"/>
        <v>37.040008921594222</v>
      </c>
      <c r="E149" s="385">
        <f t="shared" si="72"/>
        <v>37.797179347143988</v>
      </c>
      <c r="F149" s="385">
        <f t="shared" si="51"/>
        <v>37.797179347143988</v>
      </c>
      <c r="G149" s="110">
        <f t="shared" si="73"/>
        <v>0.87066710132476521</v>
      </c>
      <c r="H149" s="414" t="b">
        <f>Wh_hp&gt;='2022'!Maxi_hp</f>
        <v>0</v>
      </c>
      <c r="I149" s="390">
        <f>IF(H149,Wh_hp,'2022'!Maxi_hp)</f>
        <v>44.25827136765831</v>
      </c>
      <c r="J149" s="85">
        <f>IF(H149,An,'2022'!An_max)</f>
        <v>2019</v>
      </c>
      <c r="K149" s="197">
        <f t="shared" si="52"/>
        <v>45061</v>
      </c>
      <c r="L149" s="147">
        <f>IF(t&lt;Tvie,1-EXP((T0-t)*PertePVj)+'2022'!Pspv,1-EXP((T0-t)*PertePVj)+Pspv)</f>
        <v>3.9752290679429536E-2</v>
      </c>
      <c r="M149" s="850"/>
      <c r="N149" s="850"/>
      <c r="O149" s="48">
        <f>IF(t&lt;Tnet,'2022'!Resal+('2022'!Salim-'2022'!Resal)*(1-EXP(('2022'!Tnet-t)/('2022'!Tau_j))),Resal+(Salim-Resal)*(1-EXP((Tnet-t)/(Tau_j))))*Salcycl</f>
        <v>2.0032458469866676E-2</v>
      </c>
      <c r="P149" s="169">
        <f>(INDEX(Models!$BJ149:$BT149,,T149)*(1-R149)+INDEX(Models!$BJ149:$BT149,,T149+1)*R149-ERP_i)*Q149*Ramure*Pc/MaxiM</f>
        <v>0</v>
      </c>
      <c r="Q149" s="305">
        <f t="shared" si="53"/>
        <v>0.7</v>
      </c>
      <c r="R149" s="177">
        <f t="shared" si="54"/>
        <v>0.87642141847043809</v>
      </c>
      <c r="S149" s="817">
        <f t="shared" si="55"/>
        <v>-1</v>
      </c>
      <c r="T149" s="176">
        <f t="shared" si="56"/>
        <v>5</v>
      </c>
      <c r="U149" s="251">
        <f t="shared" si="57"/>
        <v>-0.12357858152956194</v>
      </c>
      <c r="V149" s="383">
        <f t="shared" si="58"/>
        <v>40.850956313907375</v>
      </c>
      <c r="W149" s="402">
        <f t="shared" si="59"/>
        <v>35.567583720174348</v>
      </c>
      <c r="X149" s="157">
        <f t="shared" si="60"/>
        <v>45061</v>
      </c>
      <c r="Y149" s="385">
        <f t="shared" si="61"/>
        <v>32.49396276808335</v>
      </c>
      <c r="Z149" s="385">
        <f t="shared" si="62"/>
        <v>33.839146350137781</v>
      </c>
      <c r="AA149" s="386">
        <f t="shared" si="63"/>
        <v>37.797179347143988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0.10471768172577363</v>
      </c>
      <c r="AD149" s="231">
        <f>(INDEX(Models!$BJ149:$BT149,,AH149)*(1-AF149)+INDEX(Models!$BJ149:$BT149,,AH149+1)*AF149-ERP_i)*AE149*Ramure*Pc/MaxiM</f>
        <v>0</v>
      </c>
      <c r="AE149" s="305">
        <f t="shared" si="65"/>
        <v>0.7</v>
      </c>
      <c r="AF149" s="177">
        <f t="shared" si="66"/>
        <v>0.87642141847043809</v>
      </c>
      <c r="AG149" s="817">
        <f t="shared" si="74"/>
        <v>-1</v>
      </c>
      <c r="AH149" s="176">
        <f t="shared" si="67"/>
        <v>5</v>
      </c>
      <c r="AI149" s="225">
        <f t="shared" si="68"/>
        <v>-0.12357858152956194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45062</v>
      </c>
      <c r="B150" s="411">
        <f>'2022'!Wh/'2022'!Env_an*'2023'!Env_an</f>
        <v>34.445069791163824</v>
      </c>
      <c r="C150" s="846"/>
      <c r="D150" s="393">
        <f t="shared" si="50"/>
        <v>35.871810897096537</v>
      </c>
      <c r="E150" s="385">
        <f t="shared" si="72"/>
        <v>36.612235094431369</v>
      </c>
      <c r="F150" s="385">
        <f t="shared" si="51"/>
        <v>36.612235094431369</v>
      </c>
      <c r="G150" s="110">
        <f t="shared" si="73"/>
        <v>0.84268080210566354</v>
      </c>
      <c r="H150" s="414" t="b">
        <f>Wh_hp&gt;='2022'!Maxi_hp</f>
        <v>1</v>
      </c>
      <c r="I150" s="390">
        <f>IF(H150,Wh_hp,'2022'!Maxi_hp)</f>
        <v>36.612235094431369</v>
      </c>
      <c r="J150" s="85">
        <f>IF(H150,An,'2022'!An_max)</f>
        <v>2023</v>
      </c>
      <c r="K150" s="197">
        <f t="shared" si="52"/>
        <v>45062</v>
      </c>
      <c r="L150" s="147">
        <f>IF(t&lt;Tvie,1-EXP((T0-t)*PertePVj)+'2022'!Pspv,1-EXP((T0-t)*PertePVj)+Pspv)</f>
        <v>3.9773322568674496E-2</v>
      </c>
      <c r="M150" s="850"/>
      <c r="N150" s="850"/>
      <c r="O150" s="48">
        <f>IF(t&lt;Tnet,'2022'!Resal+('2022'!Salim-'2022'!Resal)*(1-EXP(('2022'!Tnet-t)/('2022'!Tau_j))),Resal+(Salim-Resal)*(1-EXP((Tnet-t)/(Tau_j))))*Salcycl</f>
        <v>2.0223408798318569E-2</v>
      </c>
      <c r="P150" s="169">
        <f>(INDEX(Models!$BJ150:$BT150,,T150)*(1-R150)+INDEX(Models!$BJ150:$BT150,,T150+1)*R150-ERP_i)*Q150*Ramure*Pc/MaxiM</f>
        <v>0</v>
      </c>
      <c r="Q150" s="305">
        <f t="shared" si="53"/>
        <v>0.7</v>
      </c>
      <c r="R150" s="177">
        <f t="shared" si="54"/>
        <v>0.87879528143657215</v>
      </c>
      <c r="S150" s="817">
        <f t="shared" si="55"/>
        <v>-1</v>
      </c>
      <c r="T150" s="176">
        <f t="shared" si="56"/>
        <v>5</v>
      </c>
      <c r="U150" s="251">
        <f t="shared" si="57"/>
        <v>-0.12120471856342781</v>
      </c>
      <c r="V150" s="383">
        <f t="shared" si="58"/>
        <v>40.87558385701157</v>
      </c>
      <c r="W150" s="402">
        <f t="shared" si="59"/>
        <v>34.445069791163824</v>
      </c>
      <c r="X150" s="157">
        <f t="shared" si="60"/>
        <v>45062</v>
      </c>
      <c r="Y150" s="385">
        <f t="shared" si="61"/>
        <v>31.469953541361932</v>
      </c>
      <c r="Z150" s="385">
        <f t="shared" si="62"/>
        <v>32.773463059312505</v>
      </c>
      <c r="AA150" s="386">
        <f t="shared" si="63"/>
        <v>36.612235094431369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0.10484943148698209</v>
      </c>
      <c r="AD150" s="231">
        <f>(INDEX(Models!$BJ150:$BT150,,AH150)*(1-AF150)+INDEX(Models!$BJ150:$BT150,,AH150+1)*AF150-ERP_i)*AE150*Ramure*Pc/MaxiM</f>
        <v>0</v>
      </c>
      <c r="AE150" s="305">
        <f t="shared" si="65"/>
        <v>0.7</v>
      </c>
      <c r="AF150" s="177">
        <f t="shared" si="66"/>
        <v>0.87879528143657215</v>
      </c>
      <c r="AG150" s="817">
        <f t="shared" si="74"/>
        <v>-1</v>
      </c>
      <c r="AH150" s="176">
        <f t="shared" si="67"/>
        <v>5</v>
      </c>
      <c r="AI150" s="225">
        <f t="shared" si="68"/>
        <v>-0.12120471856342781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45063</v>
      </c>
      <c r="B151" s="411">
        <f>'2022'!Wh/'2022'!Env_an*'2023'!Env_an</f>
        <v>37.020123416944678</v>
      </c>
      <c r="C151" s="846"/>
      <c r="D151" s="393">
        <f t="shared" si="50"/>
        <v>38.554369650977151</v>
      </c>
      <c r="E151" s="385">
        <f t="shared" si="72"/>
        <v>39.357839903187006</v>
      </c>
      <c r="F151" s="385">
        <f t="shared" si="51"/>
        <v>39.357839903187006</v>
      </c>
      <c r="G151" s="110">
        <f t="shared" si="73"/>
        <v>0.90525654706792136</v>
      </c>
      <c r="H151" s="414" t="b">
        <f>Wh_hp&gt;='2022'!Maxi_hp</f>
        <v>0</v>
      </c>
      <c r="I151" s="390">
        <f>IF(H151,Wh_hp,'2022'!Maxi_hp)</f>
        <v>40.085945831650221</v>
      </c>
      <c r="J151" s="85">
        <f>IF(H151,An,'2022'!An_max)</f>
        <v>2021</v>
      </c>
      <c r="K151" s="197">
        <f t="shared" si="52"/>
        <v>45063</v>
      </c>
      <c r="L151" s="147">
        <f>IF(t&lt;Tvie,1-EXP((T0-t)*PertePVj)+'2022'!Pspv,1-EXP((T0-t)*PertePVj)+Pspv)</f>
        <v>3.9794353997267051E-2</v>
      </c>
      <c r="M151" s="850"/>
      <c r="N151" s="850"/>
      <c r="O151" s="48">
        <f>IF(t&lt;Tnet,'2022'!Resal+('2022'!Salim-'2022'!Resal)*(1-EXP(('2022'!Tnet-t)/('2022'!Tau_j))),Resal+(Salim-Resal)*(1-EXP((Tnet-t)/(Tau_j))))*Salcycl</f>
        <v>2.0414490586532243E-2</v>
      </c>
      <c r="P151" s="169">
        <f>(INDEX(Models!$BJ151:$BT151,,T151)*(1-R151)+INDEX(Models!$BJ151:$BT151,,T151+1)*R151-ERP_i)*Q151*Ramure*Pc/MaxiM</f>
        <v>0</v>
      </c>
      <c r="Q151" s="305">
        <f t="shared" si="53"/>
        <v>0.7</v>
      </c>
      <c r="R151" s="177">
        <f t="shared" si="54"/>
        <v>0.8812157169516176</v>
      </c>
      <c r="S151" s="817">
        <f t="shared" si="55"/>
        <v>-1</v>
      </c>
      <c r="T151" s="176">
        <f t="shared" si="56"/>
        <v>5</v>
      </c>
      <c r="U151" s="251">
        <f t="shared" si="57"/>
        <v>-0.11878428304838244</v>
      </c>
      <c r="V151" s="383">
        <f t="shared" si="58"/>
        <v>40.894621018595139</v>
      </c>
      <c r="W151" s="402">
        <f t="shared" si="59"/>
        <v>37.020123416944678</v>
      </c>
      <c r="X151" s="157">
        <f t="shared" si="60"/>
        <v>45063</v>
      </c>
      <c r="Y151" s="385">
        <f t="shared" si="61"/>
        <v>33.824184683725946</v>
      </c>
      <c r="Z151" s="385">
        <f t="shared" si="62"/>
        <v>35.225979793530264</v>
      </c>
      <c r="AA151" s="386">
        <f t="shared" si="63"/>
        <v>39.357839903187006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0.10498188213124381</v>
      </c>
      <c r="AD151" s="231">
        <f>(INDEX(Models!$BJ151:$BT151,,AH151)*(1-AF151)+INDEX(Models!$BJ151:$BT151,,AH151+1)*AF151-ERP_i)*AE151*Ramure*Pc/MaxiM</f>
        <v>0</v>
      </c>
      <c r="AE151" s="305">
        <f t="shared" si="65"/>
        <v>0.7</v>
      </c>
      <c r="AF151" s="177">
        <f t="shared" si="66"/>
        <v>0.8812157169516176</v>
      </c>
      <c r="AG151" s="817">
        <f t="shared" si="74"/>
        <v>-1</v>
      </c>
      <c r="AH151" s="176">
        <f t="shared" si="67"/>
        <v>5</v>
      </c>
      <c r="AI151" s="225">
        <f t="shared" si="68"/>
        <v>-0.11878428304838244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45064</v>
      </c>
      <c r="B152" s="411">
        <f>'2022'!Wh/'2022'!Env_an*'2023'!Env_an</f>
        <v>35.600728103244926</v>
      </c>
      <c r="C152" s="846"/>
      <c r="D152" s="393">
        <f t="shared" si="50"/>
        <v>37.076961602801028</v>
      </c>
      <c r="E152" s="385">
        <f t="shared" si="72"/>
        <v>37.857031988664168</v>
      </c>
      <c r="F152" s="385">
        <f t="shared" si="51"/>
        <v>37.857031988664168</v>
      </c>
      <c r="G152" s="110">
        <f t="shared" si="73"/>
        <v>0.87025099238758552</v>
      </c>
      <c r="H152" s="414" t="b">
        <f>Wh_hp&gt;='2022'!Maxi_hp</f>
        <v>0</v>
      </c>
      <c r="I152" s="390">
        <f>IF(H152,Wh_hp,'2022'!Maxi_hp)</f>
        <v>44.898392288883365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3.9815384965217304E-2</v>
      </c>
      <c r="M152" s="850"/>
      <c r="N152" s="850"/>
      <c r="O152" s="48">
        <f>IF(t&lt;Tnet,'2022'!Resal+('2022'!Salim-'2022'!Resal)*(1-EXP(('2022'!Tnet-t)/('2022'!Tau_j))),Resal+(Salim-Resal)*(1-EXP((Tnet-t)/(Tau_j))))*Salcycl</f>
        <v>2.0605693179981076E-2</v>
      </c>
      <c r="P152" s="169">
        <f>(INDEX(Models!$BJ152:$BT152,,T152)*(1-R152)+INDEX(Models!$BJ152:$BT152,,T152+1)*R152-ERP_i)*Q152*Ramure*Pc/MaxiM</f>
        <v>0</v>
      </c>
      <c r="Q152" s="305">
        <f t="shared" si="53"/>
        <v>0.7</v>
      </c>
      <c r="R152" s="177">
        <f t="shared" si="54"/>
        <v>0.88368200559450716</v>
      </c>
      <c r="S152" s="817">
        <f t="shared" si="55"/>
        <v>-1</v>
      </c>
      <c r="T152" s="176">
        <f t="shared" si="56"/>
        <v>5</v>
      </c>
      <c r="U152" s="251">
        <f t="shared" si="57"/>
        <v>-0.1163179944054928</v>
      </c>
      <c r="V152" s="383">
        <f t="shared" si="58"/>
        <v>40.9085751290811</v>
      </c>
      <c r="W152" s="402">
        <f t="shared" si="59"/>
        <v>35.600728103244926</v>
      </c>
      <c r="X152" s="157">
        <f t="shared" si="60"/>
        <v>45064</v>
      </c>
      <c r="Y152" s="385">
        <f t="shared" si="61"/>
        <v>32.528838139344991</v>
      </c>
      <c r="Z152" s="385">
        <f t="shared" si="62"/>
        <v>33.877691466829674</v>
      </c>
      <c r="AA152" s="386">
        <f t="shared" si="63"/>
        <v>37.857031988664168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0.10511496313356161</v>
      </c>
      <c r="AD152" s="231">
        <f>(INDEX(Models!$BJ152:$BT152,,AH152)*(1-AF152)+INDEX(Models!$BJ152:$BT152,,AH152+1)*AF152-ERP_i)*AE152*Ramure*Pc/MaxiM</f>
        <v>0</v>
      </c>
      <c r="AE152" s="305">
        <f t="shared" si="65"/>
        <v>0.7</v>
      </c>
      <c r="AF152" s="177">
        <f t="shared" si="66"/>
        <v>0.88368200559450716</v>
      </c>
      <c r="AG152" s="817">
        <f t="shared" si="74"/>
        <v>-1</v>
      </c>
      <c r="AH152" s="176">
        <f t="shared" si="67"/>
        <v>5</v>
      </c>
      <c r="AI152" s="225">
        <f t="shared" si="68"/>
        <v>-0.1163179944054928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45065</v>
      </c>
      <c r="B153" s="411">
        <f>'2022'!Wh/'2022'!Env_an*'2023'!Env_an</f>
        <v>36.736175709709862</v>
      </c>
      <c r="C153" s="846"/>
      <c r="D153" s="393">
        <f t="shared" si="50"/>
        <v>38.260330116340775</v>
      </c>
      <c r="E153" s="385">
        <f t="shared" si="72"/>
        <v>39.072930032792669</v>
      </c>
      <c r="F153" s="385">
        <f t="shared" si="51"/>
        <v>39.072930032792669</v>
      </c>
      <c r="G153" s="110">
        <f t="shared" si="73"/>
        <v>0.89780091371923676</v>
      </c>
      <c r="H153" s="414" t="b">
        <f>Wh_hp&gt;='2022'!Maxi_hp</f>
        <v>0</v>
      </c>
      <c r="I153" s="390">
        <f>IF(H153,Wh_hp,'2022'!Maxi_hp)</f>
        <v>44.234710656745264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3.9836415472535469E-2</v>
      </c>
      <c r="M153" s="850"/>
      <c r="N153" s="850"/>
      <c r="O153" s="48">
        <f>IF(t&lt;Tnet,'2022'!Resal+('2022'!Salim-'2022'!Resal)*(1-EXP(('2022'!Tnet-t)/('2022'!Tau_j))),Resal+(Salim-Resal)*(1-EXP((Tnet-t)/(Tau_j))))*Salcycl</f>
        <v>2.0797004877031403E-2</v>
      </c>
      <c r="P153" s="169">
        <f>(INDEX(Models!$BJ153:$BT153,,T153)*(1-R153)+INDEX(Models!$BJ153:$BT153,,T153+1)*R153-ERP_i)*Q153*Ramure*Pc/MaxiM</f>
        <v>0</v>
      </c>
      <c r="Q153" s="305">
        <f t="shared" si="53"/>
        <v>0.7</v>
      </c>
      <c r="R153" s="177">
        <f t="shared" si="54"/>
        <v>0.88619332157268449</v>
      </c>
      <c r="S153" s="817">
        <f t="shared" si="55"/>
        <v>-1</v>
      </c>
      <c r="T153" s="176">
        <f t="shared" si="56"/>
        <v>5</v>
      </c>
      <c r="U153" s="251">
        <f t="shared" si="57"/>
        <v>-0.11380667842731551</v>
      </c>
      <c r="V153" s="383">
        <f t="shared" si="58"/>
        <v>40.917953132311155</v>
      </c>
      <c r="W153" s="402">
        <f t="shared" si="59"/>
        <v>36.736175709709862</v>
      </c>
      <c r="X153" s="157">
        <f t="shared" si="60"/>
        <v>45065</v>
      </c>
      <c r="Y153" s="385">
        <f t="shared" si="61"/>
        <v>33.567855464314981</v>
      </c>
      <c r="Z153" s="385">
        <f t="shared" si="62"/>
        <v>34.960558810231369</v>
      </c>
      <c r="AA153" s="386">
        <f t="shared" si="63"/>
        <v>39.072930032792669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0.10524860099076064</v>
      </c>
      <c r="AD153" s="231">
        <f>(INDEX(Models!$BJ153:$BT153,,AH153)*(1-AF153)+INDEX(Models!$BJ153:$BT153,,AH153+1)*AF153-ERP_i)*AE153*Ramure*Pc/MaxiM</f>
        <v>0</v>
      </c>
      <c r="AE153" s="305">
        <f t="shared" si="65"/>
        <v>0.7</v>
      </c>
      <c r="AF153" s="177">
        <f t="shared" si="66"/>
        <v>0.88619332157268449</v>
      </c>
      <c r="AG153" s="817">
        <f t="shared" si="74"/>
        <v>-1</v>
      </c>
      <c r="AH153" s="176">
        <f t="shared" si="67"/>
        <v>5</v>
      </c>
      <c r="AI153" s="225">
        <f t="shared" si="68"/>
        <v>-0.11380667842731551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45066</v>
      </c>
      <c r="B154" s="411">
        <f>'2022'!Wh/'2022'!Env_an*'2023'!Env_an</f>
        <v>32.76636119651684</v>
      </c>
      <c r="C154" s="846"/>
      <c r="D154" s="393">
        <f t="shared" si="50"/>
        <v>34.126558648612779</v>
      </c>
      <c r="E154" s="385">
        <f t="shared" si="72"/>
        <v>34.858176450271422</v>
      </c>
      <c r="F154" s="385">
        <f t="shared" si="51"/>
        <v>34.858176450271422</v>
      </c>
      <c r="G154" s="110">
        <f t="shared" si="73"/>
        <v>0.80067814561120909</v>
      </c>
      <c r="H154" s="414" t="b">
        <f>Wh_hp&gt;='2022'!Maxi_hp</f>
        <v>0</v>
      </c>
      <c r="I154" s="390">
        <f>IF(H154,Wh_hp,'2022'!Maxi_hp)</f>
        <v>43.678078338959317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3.9857445519231427E-2</v>
      </c>
      <c r="M154" s="850"/>
      <c r="N154" s="850"/>
      <c r="O154" s="48">
        <f>IF(t&lt;Tnet,'2022'!Resal+('2022'!Salim-'2022'!Resal)*(1-EXP(('2022'!Tnet-t)/('2022'!Tau_j))),Resal+(Salim-Resal)*(1-EXP((Tnet-t)/(Tau_j))))*Salcycl</f>
        <v>2.0988412939568591E-2</v>
      </c>
      <c r="P154" s="169">
        <f>(INDEX(Models!$BJ154:$BT154,,T154)*(1-R154)+INDEX(Models!$BJ154:$BT154,,T154+1)*R154-ERP_i)*Q154*Ramure*Pc/MaxiM</f>
        <v>0</v>
      </c>
      <c r="Q154" s="305">
        <f t="shared" si="53"/>
        <v>0.7</v>
      </c>
      <c r="R154" s="177">
        <f t="shared" si="54"/>
        <v>0.88874873128417187</v>
      </c>
      <c r="S154" s="817">
        <f t="shared" si="55"/>
        <v>-1</v>
      </c>
      <c r="T154" s="176">
        <f t="shared" si="56"/>
        <v>5</v>
      </c>
      <c r="U154" s="251">
        <f t="shared" si="57"/>
        <v>-0.11125126871582816</v>
      </c>
      <c r="V154" s="383">
        <f t="shared" si="58"/>
        <v>40.923261582847587</v>
      </c>
      <c r="W154" s="402">
        <f t="shared" si="59"/>
        <v>32.76636119651684</v>
      </c>
      <c r="X154" s="157">
        <f t="shared" si="60"/>
        <v>45066</v>
      </c>
      <c r="Y154" s="385">
        <f t="shared" si="61"/>
        <v>29.941783465040089</v>
      </c>
      <c r="Z154" s="385">
        <f t="shared" si="62"/>
        <v>31.184727023407664</v>
      </c>
      <c r="AA154" s="386">
        <f t="shared" si="63"/>
        <v>34.858176450271422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0.10538271937731142</v>
      </c>
      <c r="AD154" s="231">
        <f>(INDEX(Models!$BJ154:$BT154,,AH154)*(1-AF154)+INDEX(Models!$BJ154:$BT154,,AH154+1)*AF154-ERP_i)*AE154*Ramure*Pc/MaxiM</f>
        <v>0</v>
      </c>
      <c r="AE154" s="305">
        <f t="shared" si="65"/>
        <v>0.7</v>
      </c>
      <c r="AF154" s="177">
        <f t="shared" si="66"/>
        <v>0.88874873128417187</v>
      </c>
      <c r="AG154" s="817">
        <f t="shared" si="74"/>
        <v>-1</v>
      </c>
      <c r="AH154" s="176">
        <f t="shared" si="67"/>
        <v>5</v>
      </c>
      <c r="AI154" s="225">
        <f t="shared" si="68"/>
        <v>-0.11125126871582816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45067</v>
      </c>
      <c r="B155" s="411">
        <f>'2022'!Wh/'2022'!Env_an*'2023'!Env_an</f>
        <v>32.660708105809498</v>
      </c>
      <c r="C155" s="846"/>
      <c r="D155" s="393">
        <f t="shared" si="50"/>
        <v>34.017264751347014</v>
      </c>
      <c r="E155" s="385">
        <f t="shared" si="72"/>
        <v>34.753337080815953</v>
      </c>
      <c r="F155" s="385">
        <f t="shared" si="51"/>
        <v>34.753337080815953</v>
      </c>
      <c r="G155" s="110">
        <f t="shared" si="73"/>
        <v>0.79806237764452526</v>
      </c>
      <c r="H155" s="414" t="b">
        <f>Wh_hp&gt;='2022'!Maxi_hp</f>
        <v>0</v>
      </c>
      <c r="I155" s="390">
        <f>IF(H155,Wh_hp,'2022'!Maxi_hp)</f>
        <v>42.630970800856602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3.9878475105315503E-2</v>
      </c>
      <c r="M155" s="850"/>
      <c r="N155" s="850"/>
      <c r="O155" s="48">
        <f>IF(t&lt;Tnet,'2022'!Resal+('2022'!Salim-'2022'!Resal)*(1-EXP(('2022'!Tnet-t)/('2022'!Tau_j))),Resal+(Salim-Resal)*(1-EXP((Tnet-t)/(Tau_j))))*Salcycl</f>
        <v>2.1179903609177601E-2</v>
      </c>
      <c r="P155" s="169">
        <f>(INDEX(Models!$BJ155:$BT155,,T155)*(1-R155)+INDEX(Models!$BJ155:$BT155,,T155+1)*R155-ERP_i)*Q155*Ramure*Pc/MaxiM</f>
        <v>0</v>
      </c>
      <c r="Q155" s="305">
        <f t="shared" si="53"/>
        <v>0.7</v>
      </c>
      <c r="R155" s="177">
        <f t="shared" si="54"/>
        <v>0.89134719233250514</v>
      </c>
      <c r="S155" s="817">
        <f t="shared" si="55"/>
        <v>-1</v>
      </c>
      <c r="T155" s="176">
        <f t="shared" si="56"/>
        <v>5</v>
      </c>
      <c r="U155" s="251">
        <f t="shared" si="57"/>
        <v>-0.10865280766749491</v>
      </c>
      <c r="V155" s="383">
        <f t="shared" si="58"/>
        <v>40.925006641971166</v>
      </c>
      <c r="W155" s="402">
        <f t="shared" si="59"/>
        <v>32.660708105809498</v>
      </c>
      <c r="X155" s="157">
        <f t="shared" si="60"/>
        <v>45067</v>
      </c>
      <c r="Y155" s="385">
        <f t="shared" si="61"/>
        <v>29.846588213650836</v>
      </c>
      <c r="Z155" s="385">
        <f t="shared" si="62"/>
        <v>31.086260894864015</v>
      </c>
      <c r="AA155" s="386">
        <f t="shared" si="63"/>
        <v>34.753337080815953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0.10551723932077259</v>
      </c>
      <c r="AD155" s="231">
        <f>(INDEX(Models!$BJ155:$BT155,,AH155)*(1-AF155)+INDEX(Models!$BJ155:$BT155,,AH155+1)*AF155-ERP_i)*AE155*Ramure*Pc/MaxiM</f>
        <v>0</v>
      </c>
      <c r="AE155" s="305">
        <f t="shared" si="65"/>
        <v>0.7</v>
      </c>
      <c r="AF155" s="177">
        <f t="shared" si="66"/>
        <v>0.89134719233250514</v>
      </c>
      <c r="AG155" s="817">
        <f t="shared" si="74"/>
        <v>-1</v>
      </c>
      <c r="AH155" s="176">
        <f t="shared" si="67"/>
        <v>5</v>
      </c>
      <c r="AI155" s="225">
        <f t="shared" si="68"/>
        <v>-0.10865280766749491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45068</v>
      </c>
      <c r="B156" s="411">
        <f>'2022'!Wh/'2022'!Env_an*'2023'!Env_an</f>
        <v>24.409741961977957</v>
      </c>
      <c r="C156" s="846"/>
      <c r="D156" s="393">
        <f t="shared" si="50"/>
        <v>25.424153064749373</v>
      </c>
      <c r="E156" s="385">
        <f t="shared" si="72"/>
        <v>25.979370190920456</v>
      </c>
      <c r="F156" s="385">
        <f t="shared" si="51"/>
        <v>25.979370190920456</v>
      </c>
      <c r="G156" s="110">
        <f t="shared" si="73"/>
        <v>0.59646966170846194</v>
      </c>
      <c r="H156" s="414" t="b">
        <f>Wh_hp&gt;='2022'!Maxi_hp</f>
        <v>0</v>
      </c>
      <c r="I156" s="390">
        <f>IF(H156,Wh_hp,'2022'!Maxi_hp)</f>
        <v>42.922836576302252</v>
      </c>
      <c r="J156" s="85">
        <f>IF(H156,An,'2022'!An_max)</f>
        <v>2019</v>
      </c>
      <c r="K156" s="197">
        <f t="shared" si="52"/>
        <v>45068</v>
      </c>
      <c r="L156" s="147">
        <f>IF(t&lt;Tvie,1-EXP((T0-t)*PertePVj)+'2022'!Pspv,1-EXP((T0-t)*PertePVj)+Pspv)</f>
        <v>3.9899504230797689E-2</v>
      </c>
      <c r="M156" s="850"/>
      <c r="N156" s="850"/>
      <c r="O156" s="48">
        <f>IF(t&lt;Tnet,'2022'!Resal+('2022'!Salim-'2022'!Resal)*(1-EXP(('2022'!Tnet-t)/('2022'!Tau_j))),Resal+(Salim-Resal)*(1-EXP((Tnet-t)/(Tau_j))))*Salcycl</f>
        <v>2.1371462129021374E-2</v>
      </c>
      <c r="P156" s="169">
        <f>(INDEX(Models!$BJ156:$BT156,,T156)*(1-R156)+INDEX(Models!$BJ156:$BT156,,T156+1)*R156-ERP_i)*Q156*Ramure*Pc/MaxiM</f>
        <v>0</v>
      </c>
      <c r="Q156" s="305">
        <f t="shared" si="53"/>
        <v>0.7</v>
      </c>
      <c r="R156" s="177">
        <f t="shared" si="54"/>
        <v>0.89398755302424515</v>
      </c>
      <c r="S156" s="817">
        <f t="shared" si="55"/>
        <v>-1</v>
      </c>
      <c r="T156" s="176">
        <f t="shared" si="56"/>
        <v>5</v>
      </c>
      <c r="U156" s="251">
        <f t="shared" si="57"/>
        <v>-0.10601244697575488</v>
      </c>
      <c r="V156" s="383">
        <f t="shared" si="58"/>
        <v>40.923694077015391</v>
      </c>
      <c r="W156" s="402">
        <f t="shared" si="59"/>
        <v>24.409741961977957</v>
      </c>
      <c r="X156" s="157">
        <f t="shared" si="60"/>
        <v>45068</v>
      </c>
      <c r="Y156" s="385">
        <f t="shared" si="61"/>
        <v>22.307546859050749</v>
      </c>
      <c r="Z156" s="385">
        <f t="shared" si="62"/>
        <v>23.234595708836338</v>
      </c>
      <c r="AA156" s="386">
        <f t="shared" si="63"/>
        <v>25.979370190920456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0.10565207939657406</v>
      </c>
      <c r="AD156" s="231">
        <f>(INDEX(Models!$BJ156:$BT156,,AH156)*(1-AF156)+INDEX(Models!$BJ156:$BT156,,AH156+1)*AF156-ERP_i)*AE156*Ramure*Pc/MaxiM</f>
        <v>0</v>
      </c>
      <c r="AE156" s="305">
        <f t="shared" si="65"/>
        <v>0.7</v>
      </c>
      <c r="AF156" s="177">
        <f t="shared" si="66"/>
        <v>0.89398755302424515</v>
      </c>
      <c r="AG156" s="817">
        <f t="shared" si="74"/>
        <v>-1</v>
      </c>
      <c r="AH156" s="176">
        <f t="shared" si="67"/>
        <v>5</v>
      </c>
      <c r="AI156" s="225">
        <f t="shared" si="68"/>
        <v>-0.10601244697575488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45069</v>
      </c>
      <c r="B157" s="411">
        <f>'2022'!Wh/'2022'!Env_an*'2023'!Env_an</f>
        <v>12.706589126241088</v>
      </c>
      <c r="C157" s="846"/>
      <c r="D157" s="393">
        <f t="shared" si="50"/>
        <v>13.234934775311183</v>
      </c>
      <c r="E157" s="385">
        <f t="shared" si="72"/>
        <v>13.526610052219137</v>
      </c>
      <c r="F157" s="385">
        <f t="shared" si="51"/>
        <v>13.526610052219137</v>
      </c>
      <c r="G157" s="110">
        <f t="shared" si="73"/>
        <v>0.31052400158052912</v>
      </c>
      <c r="H157" s="414" t="b">
        <f>Wh_hp&gt;='2022'!Maxi_hp</f>
        <v>0</v>
      </c>
      <c r="I157" s="390">
        <f>IF(H157,Wh_hp,'2022'!Maxi_hp)</f>
        <v>39.13669865982753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3.9920532895687977E-2</v>
      </c>
      <c r="M157" s="850"/>
      <c r="N157" s="850"/>
      <c r="O157" s="48">
        <f>IF(t&lt;Tnet,'2022'!Resal+('2022'!Salim-'2022'!Resal)*(1-EXP(('2022'!Tnet-t)/('2022'!Tau_j))),Resal+(Salim-Resal)*(1-EXP((Tnet-t)/(Tau_j))))*Salcycl</f>
        <v>2.1563072771518515E-2</v>
      </c>
      <c r="P157" s="169">
        <f>(INDEX(Models!$BJ157:$BT157,,T157)*(1-R157)+INDEX(Models!$BJ157:$BT157,,T157+1)*R157-ERP_i)*Q157*Ramure*Pc/MaxiM</f>
        <v>0</v>
      </c>
      <c r="Q157" s="305">
        <f t="shared" si="53"/>
        <v>0.7</v>
      </c>
      <c r="R157" s="177">
        <f t="shared" si="54"/>
        <v>0.89666855237609433</v>
      </c>
      <c r="S157" s="817">
        <f t="shared" si="55"/>
        <v>-1</v>
      </c>
      <c r="T157" s="176">
        <f t="shared" si="56"/>
        <v>5</v>
      </c>
      <c r="U157" s="251">
        <f t="shared" si="57"/>
        <v>-0.10333144762390564</v>
      </c>
      <c r="V157" s="383">
        <f t="shared" si="58"/>
        <v>40.919829261397211</v>
      </c>
      <c r="W157" s="402">
        <f t="shared" si="59"/>
        <v>12.706589126241088</v>
      </c>
      <c r="X157" s="157">
        <f t="shared" si="60"/>
        <v>45069</v>
      </c>
      <c r="Y157" s="385">
        <f t="shared" si="61"/>
        <v>11.612802915198223</v>
      </c>
      <c r="Z157" s="385">
        <f t="shared" si="62"/>
        <v>12.095668445262666</v>
      </c>
      <c r="AA157" s="386">
        <f t="shared" si="63"/>
        <v>13.526610052219137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0.10578715594168504</v>
      </c>
      <c r="AD157" s="231">
        <f>(INDEX(Models!$BJ157:$BT157,,AH157)*(1-AF157)+INDEX(Models!$BJ157:$BT157,,AH157+1)*AF157-ERP_i)*AE157*Ramure*Pc/MaxiM</f>
        <v>0</v>
      </c>
      <c r="AE157" s="305">
        <f t="shared" si="65"/>
        <v>0.7</v>
      </c>
      <c r="AF157" s="177">
        <f t="shared" si="66"/>
        <v>0.89666855237609433</v>
      </c>
      <c r="AG157" s="817">
        <f t="shared" si="74"/>
        <v>-1</v>
      </c>
      <c r="AH157" s="176">
        <f t="shared" si="67"/>
        <v>5</v>
      </c>
      <c r="AI157" s="225">
        <f t="shared" si="68"/>
        <v>-0.10333144762390564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45070</v>
      </c>
      <c r="B158" s="411">
        <f>'2022'!Wh/'2022'!Env_an*'2023'!Env_an</f>
        <v>11.372942073674482</v>
      </c>
      <c r="C158" s="846"/>
      <c r="D158" s="393">
        <f t="shared" si="50"/>
        <v>11.846093542706779</v>
      </c>
      <c r="E158" s="385">
        <f t="shared" si="72"/>
        <v>12.109533029431789</v>
      </c>
      <c r="F158" s="385">
        <f t="shared" si="51"/>
        <v>12.109533029431789</v>
      </c>
      <c r="G158" s="110">
        <f t="shared" si="73"/>
        <v>0.27797245681638083</v>
      </c>
      <c r="H158" s="414" t="b">
        <f>Wh_hp&gt;='2022'!Maxi_hp</f>
        <v>0</v>
      </c>
      <c r="I158" s="390">
        <f>IF(H158,Wh_hp,'2022'!Maxi_hp)</f>
        <v>19.559062636800455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3.9941561099996581E-2</v>
      </c>
      <c r="M158" s="850"/>
      <c r="N158" s="850"/>
      <c r="O158" s="48">
        <f>IF(t&lt;Tnet,'2022'!Resal+('2022'!Salim-'2022'!Resal)*(1-EXP(('2022'!Tnet-t)/('2022'!Tau_j))),Resal+(Salim-Resal)*(1-EXP((Tnet-t)/(Tau_j))))*Salcycl</f>
        <v>2.1754718871878045E-2</v>
      </c>
      <c r="P158" s="169">
        <f>(INDEX(Models!$BJ158:$BT158,,T158)*(1-R158)+INDEX(Models!$BJ158:$BT158,,T158+1)*R158-ERP_i)*Q158*Ramure*Pc/MaxiM</f>
        <v>0</v>
      </c>
      <c r="Q158" s="305">
        <f t="shared" si="53"/>
        <v>0.7</v>
      </c>
      <c r="R158" s="177">
        <f t="shared" si="54"/>
        <v>0.89938882065547465</v>
      </c>
      <c r="S158" s="817">
        <f t="shared" si="55"/>
        <v>-1</v>
      </c>
      <c r="T158" s="176">
        <f t="shared" si="56"/>
        <v>5</v>
      </c>
      <c r="U158" s="251">
        <f t="shared" si="57"/>
        <v>-0.10061117934452539</v>
      </c>
      <c r="V158" s="383">
        <f t="shared" si="58"/>
        <v>40.913917169811754</v>
      </c>
      <c r="W158" s="402">
        <f t="shared" si="59"/>
        <v>11.372942073674482</v>
      </c>
      <c r="X158" s="157">
        <f t="shared" si="60"/>
        <v>45070</v>
      </c>
      <c r="Y158" s="385">
        <f t="shared" si="61"/>
        <v>10.394420643179608</v>
      </c>
      <c r="Z158" s="385">
        <f t="shared" si="62"/>
        <v>10.826862430467378</v>
      </c>
      <c r="AA158" s="386">
        <f t="shared" si="63"/>
        <v>12.109533029431789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0.1059223832865336</v>
      </c>
      <c r="AD158" s="231">
        <f>(INDEX(Models!$BJ158:$BT158,,AH158)*(1-AF158)+INDEX(Models!$BJ158:$BT158,,AH158+1)*AF158-ERP_i)*AE158*Ramure*Pc/MaxiM</f>
        <v>0</v>
      </c>
      <c r="AE158" s="305">
        <f t="shared" si="65"/>
        <v>0.7</v>
      </c>
      <c r="AF158" s="177">
        <f t="shared" si="66"/>
        <v>0.89938882065547465</v>
      </c>
      <c r="AG158" s="817">
        <f t="shared" si="74"/>
        <v>-1</v>
      </c>
      <c r="AH158" s="176">
        <f t="shared" si="67"/>
        <v>5</v>
      </c>
      <c r="AI158" s="225">
        <f t="shared" si="68"/>
        <v>-0.10061117934452539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45071</v>
      </c>
      <c r="B159" s="411">
        <f>'2022'!Wh/'2022'!Env_an*'2023'!Env_an</f>
        <v>28.014729492820084</v>
      </c>
      <c r="C159" s="846"/>
      <c r="D159" s="393">
        <f t="shared" si="50"/>
        <v>29.180872711074059</v>
      </c>
      <c r="E159" s="385">
        <f t="shared" si="72"/>
        <v>29.835657473081977</v>
      </c>
      <c r="F159" s="385">
        <f t="shared" si="51"/>
        <v>29.835657473081977</v>
      </c>
      <c r="G159" s="110">
        <f t="shared" si="73"/>
        <v>0.68484850226974292</v>
      </c>
      <c r="H159" s="414" t="b">
        <f>Wh_hp&gt;='2022'!Maxi_hp</f>
        <v>0</v>
      </c>
      <c r="I159" s="390">
        <f>IF(H159,Wh_hp,'2022'!Maxi_hp)</f>
        <v>41.574102486699203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3.9962588843733493E-2</v>
      </c>
      <c r="M159" s="850"/>
      <c r="N159" s="850"/>
      <c r="O159" s="48">
        <f>IF(t&lt;Tnet,'2022'!Resal+('2022'!Salim-'2022'!Resal)*(1-EXP(('2022'!Tnet-t)/('2022'!Tau_j))),Resal+(Salim-Resal)*(1-EXP((Tnet-t)/(Tau_j))))*Salcycl</f>
        <v>2.194638286750239E-2</v>
      </c>
      <c r="P159" s="169">
        <f>(INDEX(Models!$BJ159:$BT159,,T159)*(1-R159)+INDEX(Models!$BJ159:$BT159,,T159+1)*R159-ERP_i)*Q159*Ramure*Pc/MaxiM</f>
        <v>0</v>
      </c>
      <c r="Q159" s="305">
        <f t="shared" si="53"/>
        <v>0.7</v>
      </c>
      <c r="R159" s="177">
        <f t="shared" si="54"/>
        <v>0.90214688047477953</v>
      </c>
      <c r="S159" s="817">
        <f t="shared" si="55"/>
        <v>-1</v>
      </c>
      <c r="T159" s="176">
        <f t="shared" si="56"/>
        <v>5</v>
      </c>
      <c r="U159" s="251">
        <f t="shared" si="57"/>
        <v>-9.7853119525220481E-2</v>
      </c>
      <c r="V159" s="383">
        <f t="shared" si="58"/>
        <v>40.906462378136084</v>
      </c>
      <c r="W159" s="402">
        <f t="shared" si="59"/>
        <v>28.014729492820084</v>
      </c>
      <c r="X159" s="157">
        <f t="shared" si="60"/>
        <v>45071</v>
      </c>
      <c r="Y159" s="385">
        <f t="shared" si="61"/>
        <v>25.605500563838085</v>
      </c>
      <c r="Z159" s="385">
        <f t="shared" si="62"/>
        <v>26.671357039095891</v>
      </c>
      <c r="AA159" s="386">
        <f t="shared" si="63"/>
        <v>29.835657473081977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0.10605767400436703</v>
      </c>
      <c r="AD159" s="231">
        <f>(INDEX(Models!$BJ159:$BT159,,AH159)*(1-AF159)+INDEX(Models!$BJ159:$BT159,,AH159+1)*AF159-ERP_i)*AE159*Ramure*Pc/MaxiM</f>
        <v>0</v>
      </c>
      <c r="AE159" s="305">
        <f t="shared" si="65"/>
        <v>0.7</v>
      </c>
      <c r="AF159" s="177">
        <f t="shared" si="66"/>
        <v>0.90214688047477953</v>
      </c>
      <c r="AG159" s="817">
        <f t="shared" si="74"/>
        <v>-1</v>
      </c>
      <c r="AH159" s="176">
        <f t="shared" si="67"/>
        <v>5</v>
      </c>
      <c r="AI159" s="225">
        <f t="shared" si="68"/>
        <v>-9.7853119525220481E-2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45072</v>
      </c>
      <c r="B160" s="411">
        <f>'2022'!Wh/'2022'!Env_an*'2023'!Env_an</f>
        <v>14.999952180605101</v>
      </c>
      <c r="C160" s="846"/>
      <c r="D160" s="393">
        <f t="shared" si="50"/>
        <v>15.624683528930284</v>
      </c>
      <c r="E160" s="385">
        <f t="shared" si="72"/>
        <v>15.9784144075764</v>
      </c>
      <c r="F160" s="385">
        <f t="shared" si="51"/>
        <v>15.9784144075764</v>
      </c>
      <c r="G160" s="110">
        <f t="shared" si="73"/>
        <v>0.36676520926742368</v>
      </c>
      <c r="H160" s="414" t="b">
        <f>Wh_hp&gt;='2022'!Maxi_hp</f>
        <v>0</v>
      </c>
      <c r="I160" s="390">
        <f>IF(H160,Wh_hp,'2022'!Maxi_hp)</f>
        <v>43.15188461541296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3.9983616126908816E-2</v>
      </c>
      <c r="M160" s="850"/>
      <c r="N160" s="850"/>
      <c r="O160" s="48">
        <f>IF(t&lt;Tnet,'2022'!Resal+('2022'!Salim-'2022'!Resal)*(1-EXP(('2022'!Tnet-t)/('2022'!Tau_j))),Resal+(Salim-Resal)*(1-EXP((Tnet-t)/(Tau_j))))*Salcycl</f>
        <v>2.2138046343221085E-2</v>
      </c>
      <c r="P160" s="169">
        <f>(INDEX(Models!$BJ160:$BT160,,T160)*(1-R160)+INDEX(Models!$BJ160:$BT160,,T160+1)*R160-ERP_i)*Q160*Ramure*Pc/MaxiM</f>
        <v>0</v>
      </c>
      <c r="Q160" s="305">
        <f t="shared" si="53"/>
        <v>0.7</v>
      </c>
      <c r="R160" s="177">
        <f t="shared" si="54"/>
        <v>0.90494114845541918</v>
      </c>
      <c r="S160" s="817">
        <f t="shared" si="55"/>
        <v>-1</v>
      </c>
      <c r="T160" s="176">
        <f t="shared" si="56"/>
        <v>5</v>
      </c>
      <c r="U160" s="251">
        <f t="shared" si="57"/>
        <v>-9.5058851544580797E-2</v>
      </c>
      <c r="V160" s="383">
        <f t="shared" si="58"/>
        <v>40.897969059186352</v>
      </c>
      <c r="W160" s="402">
        <f t="shared" si="59"/>
        <v>14.999952180605101</v>
      </c>
      <c r="X160" s="157">
        <f t="shared" si="60"/>
        <v>45072</v>
      </c>
      <c r="Y160" s="385">
        <f t="shared" si="61"/>
        <v>13.710588821760165</v>
      </c>
      <c r="Z160" s="385">
        <f t="shared" si="62"/>
        <v>14.281619618246671</v>
      </c>
      <c r="AA160" s="386">
        <f t="shared" si="63"/>
        <v>15.9784144075764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0.10619293917706685</v>
      </c>
      <c r="AD160" s="231">
        <f>(INDEX(Models!$BJ160:$BT160,,AH160)*(1-AF160)+INDEX(Models!$BJ160:$BT160,,AH160+1)*AF160-ERP_i)*AE160*Ramure*Pc/MaxiM</f>
        <v>0</v>
      </c>
      <c r="AE160" s="305">
        <f t="shared" si="65"/>
        <v>0.7</v>
      </c>
      <c r="AF160" s="177">
        <f t="shared" si="66"/>
        <v>0.90494114845541918</v>
      </c>
      <c r="AG160" s="817">
        <f t="shared" si="74"/>
        <v>-1</v>
      </c>
      <c r="AH160" s="176">
        <f t="shared" si="67"/>
        <v>5</v>
      </c>
      <c r="AI160" s="225">
        <f t="shared" si="68"/>
        <v>-9.5058851544580797E-2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45073</v>
      </c>
      <c r="B161" s="411">
        <f>'2022'!Wh/'2022'!Env_an*'2023'!Env_an</f>
        <v>29.752721578774818</v>
      </c>
      <c r="C161" s="846"/>
      <c r="D161" s="393">
        <f t="shared" si="50"/>
        <v>30.99256820385925</v>
      </c>
      <c r="E161" s="385">
        <f t="shared" si="72"/>
        <v>31.700428957965599</v>
      </c>
      <c r="F161" s="385">
        <f t="shared" si="51"/>
        <v>31.700428957965599</v>
      </c>
      <c r="G161" s="110">
        <f t="shared" si="73"/>
        <v>0.72764715506818844</v>
      </c>
      <c r="H161" s="414" t="b">
        <f>Wh_hp&gt;='2022'!Maxi_hp</f>
        <v>0</v>
      </c>
      <c r="I161" s="390">
        <f>IF(H161,Wh_hp,'2022'!Maxi_hp)</f>
        <v>43.072441964376736</v>
      </c>
      <c r="J161" s="85">
        <f>IF(H161,An,'2022'!An_max)</f>
        <v>2021</v>
      </c>
      <c r="K161" s="197">
        <f t="shared" si="52"/>
        <v>45073</v>
      </c>
      <c r="L161" s="147">
        <f>IF(t&lt;Tvie,1-EXP((T0-t)*PertePVj)+'2022'!Pspv,1-EXP((T0-t)*PertePVj)+Pspv)</f>
        <v>4.0004642949532765E-2</v>
      </c>
      <c r="M161" s="850"/>
      <c r="N161" s="850"/>
      <c r="O161" s="48">
        <f>IF(t&lt;Tnet,'2022'!Resal+('2022'!Salim-'2022'!Resal)*(1-EXP(('2022'!Tnet-t)/('2022'!Tau_j))),Resal+(Salim-Resal)*(1-EXP((Tnet-t)/(Tau_j))))*Salcycl</f>
        <v>2.2329690082268705E-2</v>
      </c>
      <c r="P161" s="169">
        <f>(INDEX(Models!$BJ161:$BT161,,T161)*(1-R161)+INDEX(Models!$BJ161:$BT161,,T161+1)*R161-ERP_i)*Q161*Ramure*Pc/MaxiM</f>
        <v>0</v>
      </c>
      <c r="Q161" s="305">
        <f t="shared" si="53"/>
        <v>0.7</v>
      </c>
      <c r="R161" s="177">
        <f t="shared" si="54"/>
        <v>0.90776993747326273</v>
      </c>
      <c r="S161" s="817">
        <f t="shared" si="55"/>
        <v>-1</v>
      </c>
      <c r="T161" s="176">
        <f t="shared" si="56"/>
        <v>5</v>
      </c>
      <c r="U161" s="251">
        <f t="shared" si="57"/>
        <v>-9.2230062526737225E-2</v>
      </c>
      <c r="V161" s="383">
        <f t="shared" si="58"/>
        <v>40.888940981273628</v>
      </c>
      <c r="W161" s="402">
        <f t="shared" si="59"/>
        <v>29.752721578774818</v>
      </c>
      <c r="X161" s="157">
        <f t="shared" si="60"/>
        <v>45073</v>
      </c>
      <c r="Y161" s="385">
        <f t="shared" si="61"/>
        <v>27.196460085429162</v>
      </c>
      <c r="Z161" s="385">
        <f t="shared" si="62"/>
        <v>28.329782936647511</v>
      </c>
      <c r="AA161" s="386">
        <f t="shared" si="63"/>
        <v>31.700428957965599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0.10632808867626135</v>
      </c>
      <c r="AD161" s="231">
        <f>(INDEX(Models!$BJ161:$BT161,,AH161)*(1-AF161)+INDEX(Models!$BJ161:$BT161,,AH161+1)*AF161-ERP_i)*AE161*Ramure*Pc/MaxiM</f>
        <v>0</v>
      </c>
      <c r="AE161" s="305">
        <f t="shared" si="65"/>
        <v>0.7</v>
      </c>
      <c r="AF161" s="177">
        <f t="shared" si="66"/>
        <v>0.90776993747326273</v>
      </c>
      <c r="AG161" s="817">
        <f t="shared" si="74"/>
        <v>-1</v>
      </c>
      <c r="AH161" s="176">
        <f t="shared" si="67"/>
        <v>5</v>
      </c>
      <c r="AI161" s="225">
        <f t="shared" si="68"/>
        <v>-9.2230062526737225E-2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45074</v>
      </c>
      <c r="B162" s="411">
        <f>'2022'!Wh/'2022'!Env_an*'2023'!Env_an</f>
        <v>37.839646085138419</v>
      </c>
      <c r="C162" s="846"/>
      <c r="D162" s="393">
        <f t="shared" si="50"/>
        <v>39.417351980655688</v>
      </c>
      <c r="E162" s="385">
        <f t="shared" si="72"/>
        <v>40.325535220007588</v>
      </c>
      <c r="F162" s="385">
        <f t="shared" si="51"/>
        <v>40.325535220007588</v>
      </c>
      <c r="G162" s="110">
        <f t="shared" si="73"/>
        <v>0.92563003339562833</v>
      </c>
      <c r="H162" s="414" t="b">
        <f>Wh_hp&gt;='2022'!Maxi_hp</f>
        <v>0</v>
      </c>
      <c r="I162" s="390">
        <f>IF(H162,Wh_hp,'2022'!Maxi_hp)</f>
        <v>41.82650557784492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4.0025669311615331E-2</v>
      </c>
      <c r="M162" s="850"/>
      <c r="N162" s="850"/>
      <c r="O162" s="48">
        <f>IF(t&lt;Tnet,'2022'!Resal+('2022'!Salim-'2022'!Resal)*(1-EXP(('2022'!Tnet-t)/('2022'!Tau_j))),Resal+(Salim-Resal)*(1-EXP((Tnet-t)/(Tau_j))))*Salcycl</f>
        <v>2.2521294122868799E-2</v>
      </c>
      <c r="P162" s="169">
        <f>(INDEX(Models!$BJ162:$BT162,,T162)*(1-R162)+INDEX(Models!$BJ162:$BT162,,T162+1)*R162-ERP_i)*Q162*Ramure*Pc/MaxiM</f>
        <v>0</v>
      </c>
      <c r="Q162" s="305">
        <f t="shared" si="53"/>
        <v>0.7</v>
      </c>
      <c r="R162" s="177">
        <f t="shared" si="54"/>
        <v>0.91063145949219537</v>
      </c>
      <c r="S162" s="817">
        <f t="shared" si="55"/>
        <v>-1</v>
      </c>
      <c r="T162" s="176">
        <f t="shared" si="56"/>
        <v>5</v>
      </c>
      <c r="U162" s="251">
        <f t="shared" si="57"/>
        <v>-8.9368540507804642E-2</v>
      </c>
      <c r="V162" s="383">
        <f t="shared" si="58"/>
        <v>40.879881507653266</v>
      </c>
      <c r="W162" s="402">
        <f t="shared" si="59"/>
        <v>37.839646085138419</v>
      </c>
      <c r="X162" s="157">
        <f t="shared" si="60"/>
        <v>45074</v>
      </c>
      <c r="Y162" s="385">
        <f t="shared" si="61"/>
        <v>34.590137309703337</v>
      </c>
      <c r="Z162" s="385">
        <f t="shared" si="62"/>
        <v>36.032356495302551</v>
      </c>
      <c r="AA162" s="386">
        <f t="shared" si="63"/>
        <v>40.325535220007588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0.10646303145841357</v>
      </c>
      <c r="AD162" s="231">
        <f>(INDEX(Models!$BJ162:$BT162,,AH162)*(1-AF162)+INDEX(Models!$BJ162:$BT162,,AH162+1)*AF162-ERP_i)*AE162*Ramure*Pc/MaxiM</f>
        <v>0</v>
      </c>
      <c r="AE162" s="305">
        <f t="shared" si="65"/>
        <v>0.7</v>
      </c>
      <c r="AF162" s="177">
        <f t="shared" si="66"/>
        <v>0.91063145949219537</v>
      </c>
      <c r="AG162" s="817">
        <f t="shared" si="74"/>
        <v>-1</v>
      </c>
      <c r="AH162" s="176">
        <f t="shared" si="67"/>
        <v>5</v>
      </c>
      <c r="AI162" s="225">
        <f t="shared" si="68"/>
        <v>-8.9368540507804642E-2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45075</v>
      </c>
      <c r="B163" s="411">
        <f>'2022'!Wh/'2022'!Env_an*'2023'!Env_an</f>
        <v>41.064314612780514</v>
      </c>
      <c r="C163" s="846"/>
      <c r="D163" s="393">
        <f t="shared" si="50"/>
        <v>42.777408451027966</v>
      </c>
      <c r="E163" s="385">
        <f t="shared" si="72"/>
        <v>43.771585370686964</v>
      </c>
      <c r="F163" s="385">
        <f t="shared" si="51"/>
        <v>43.771585370686964</v>
      </c>
      <c r="G163" s="110">
        <f t="shared" si="73"/>
        <v>1.0047588599605872</v>
      </c>
      <c r="H163" s="414" t="b">
        <f>Wh_hp&gt;='2022'!Maxi_hp</f>
        <v>1</v>
      </c>
      <c r="I163" s="390">
        <f>IF(H163,Wh_hp,'2022'!Maxi_hp)</f>
        <v>43.771585370686964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4.0046695213166617E-2</v>
      </c>
      <c r="M163" s="850"/>
      <c r="N163" s="850"/>
      <c r="O163" s="48">
        <f>IF(t&lt;Tnet,'2022'!Resal+('2022'!Salim-'2022'!Resal)*(1-EXP(('2022'!Tnet-t)/('2022'!Tau_j))),Resal+(Salim-Resal)*(1-EXP((Tnet-t)/(Tau_j))))*Salcycl</f>
        <v>2.271283782023539E-2</v>
      </c>
      <c r="P163" s="169">
        <f>(INDEX(Models!$BJ163:$BT163,,T163)*(1-R163)+INDEX(Models!$BJ163:$BT163,,T163+1)*R163-ERP_i)*Q163*Ramure*Pc/MaxiM</f>
        <v>0</v>
      </c>
      <c r="Q163" s="305">
        <f t="shared" si="53"/>
        <v>0.7</v>
      </c>
      <c r="R163" s="177">
        <f t="shared" si="54"/>
        <v>0.913523828987296</v>
      </c>
      <c r="S163" s="817">
        <f t="shared" si="55"/>
        <v>-1</v>
      </c>
      <c r="T163" s="176">
        <f t="shared" si="56"/>
        <v>5</v>
      </c>
      <c r="U163" s="251">
        <f t="shared" si="57"/>
        <v>-8.6476171012703967E-2</v>
      </c>
      <c r="V163" s="383">
        <f t="shared" si="58"/>
        <v>40.869820858699669</v>
      </c>
      <c r="W163" s="402">
        <f t="shared" si="59"/>
        <v>41.064314612780514</v>
      </c>
      <c r="X163" s="157">
        <f t="shared" si="60"/>
        <v>45075</v>
      </c>
      <c r="Y163" s="385">
        <f t="shared" si="61"/>
        <v>37.539584610870584</v>
      </c>
      <c r="Z163" s="385">
        <f t="shared" si="62"/>
        <v>39.105636100921181</v>
      </c>
      <c r="AA163" s="386">
        <f t="shared" si="63"/>
        <v>43.771585370686964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0.10659767587240476</v>
      </c>
      <c r="AD163" s="231">
        <f>(INDEX(Models!$BJ163:$BT163,,AH163)*(1-AF163)+INDEX(Models!$BJ163:$BT163,,AH163+1)*AF163-ERP_i)*AE163*Ramure*Pc/MaxiM</f>
        <v>0</v>
      </c>
      <c r="AE163" s="305">
        <f t="shared" si="65"/>
        <v>0.7</v>
      </c>
      <c r="AF163" s="177">
        <f t="shared" si="66"/>
        <v>0.913523828987296</v>
      </c>
      <c r="AG163" s="817">
        <f t="shared" si="74"/>
        <v>-1</v>
      </c>
      <c r="AH163" s="176">
        <f t="shared" si="67"/>
        <v>5</v>
      </c>
      <c r="AI163" s="225">
        <f t="shared" si="68"/>
        <v>-8.6476171012703967E-2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45076</v>
      </c>
      <c r="B164" s="411">
        <f>'2022'!Wh/'2022'!Env_an*'2023'!Env_an</f>
        <v>34.007249108933543</v>
      </c>
      <c r="C164" s="846"/>
      <c r="D164" s="393">
        <f t="shared" si="50"/>
        <v>35.426716905602532</v>
      </c>
      <c r="E164" s="385">
        <f t="shared" si="72"/>
        <v>36.257161813807407</v>
      </c>
      <c r="F164" s="385">
        <f t="shared" si="51"/>
        <v>36.257161813807407</v>
      </c>
      <c r="G164" s="110">
        <f t="shared" si="73"/>
        <v>0.8323375255839105</v>
      </c>
      <c r="H164" s="414" t="b">
        <f>Wh_hp&gt;='2022'!Maxi_hp</f>
        <v>0</v>
      </c>
      <c r="I164" s="390">
        <f>IF(H164,Wh_hp,'2022'!Maxi_hp)</f>
        <v>42.658493741310721</v>
      </c>
      <c r="J164" s="85">
        <f>IF(H164,An,'2022'!An_max)</f>
        <v>2019</v>
      </c>
      <c r="K164" s="197">
        <f t="shared" si="52"/>
        <v>45076</v>
      </c>
      <c r="L164" s="147">
        <f>IF(t&lt;Tvie,1-EXP((T0-t)*PertePVj)+'2022'!Pspv,1-EXP((T0-t)*PertePVj)+Pspv)</f>
        <v>4.0067720654196615E-2</v>
      </c>
      <c r="M164" s="850"/>
      <c r="N164" s="850"/>
      <c r="O164" s="48">
        <f>IF(t&lt;Tnet,'2022'!Resal+('2022'!Salim-'2022'!Resal)*(1-EXP(('2022'!Tnet-t)/('2022'!Tau_j))),Resal+(Salim-Resal)*(1-EXP((Tnet-t)/(Tau_j))))*Salcycl</f>
        <v>2.2904299913751709E-2</v>
      </c>
      <c r="P164" s="169">
        <f>(INDEX(Models!$BJ164:$BT164,,T164)*(1-R164)+INDEX(Models!$BJ164:$BT164,,T164+1)*R164-ERP_i)*Q164*Ramure*Pc/MaxiM</f>
        <v>0</v>
      </c>
      <c r="Q164" s="305">
        <f t="shared" si="53"/>
        <v>0.7</v>
      </c>
      <c r="R164" s="177">
        <f t="shared" si="54"/>
        <v>0.91644506695366834</v>
      </c>
      <c r="S164" s="817">
        <f t="shared" si="55"/>
        <v>-1</v>
      </c>
      <c r="T164" s="176">
        <f t="shared" si="56"/>
        <v>5</v>
      </c>
      <c r="U164" s="251">
        <f t="shared" si="57"/>
        <v>-8.3554933046331645E-2</v>
      </c>
      <c r="V164" s="383">
        <f t="shared" si="58"/>
        <v>40.857522415652724</v>
      </c>
      <c r="W164" s="402">
        <f t="shared" si="59"/>
        <v>34.007249108933543</v>
      </c>
      <c r="X164" s="157">
        <f t="shared" si="60"/>
        <v>45076</v>
      </c>
      <c r="Y164" s="385">
        <f t="shared" si="61"/>
        <v>31.08967706603713</v>
      </c>
      <c r="Z164" s="385">
        <f t="shared" si="62"/>
        <v>32.387364957895606</v>
      </c>
      <c r="AA164" s="386">
        <f t="shared" si="63"/>
        <v>36.257161813807407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0.10673192997798607</v>
      </c>
      <c r="AD164" s="231">
        <f>(INDEX(Models!$BJ164:$BT164,,AH164)*(1-AF164)+INDEX(Models!$BJ164:$BT164,,AH164+1)*AF164-ERP_i)*AE164*Ramure*Pc/MaxiM</f>
        <v>0</v>
      </c>
      <c r="AE164" s="305">
        <f t="shared" si="65"/>
        <v>0.7</v>
      </c>
      <c r="AF164" s="177">
        <f t="shared" si="66"/>
        <v>0.91644506695366834</v>
      </c>
      <c r="AG164" s="817">
        <f t="shared" si="74"/>
        <v>-1</v>
      </c>
      <c r="AH164" s="176">
        <f t="shared" si="67"/>
        <v>5</v>
      </c>
      <c r="AI164" s="225">
        <f t="shared" si="68"/>
        <v>-8.3554933046331645E-2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45077</v>
      </c>
      <c r="B165" s="411">
        <f>'2022'!Wh/'2022'!Env_an*'2023'!Env_an</f>
        <v>37.211910110988057</v>
      </c>
      <c r="C165" s="846"/>
      <c r="D165" s="393">
        <f t="shared" si="50"/>
        <v>38.765990024352234</v>
      </c>
      <c r="E165" s="385">
        <f t="shared" si="72"/>
        <v>39.682483106542968</v>
      </c>
      <c r="F165" s="385">
        <f t="shared" si="51"/>
        <v>39.682483106542968</v>
      </c>
      <c r="G165" s="110">
        <f t="shared" si="73"/>
        <v>0.91109441255163237</v>
      </c>
      <c r="H165" s="414" t="b">
        <f>Wh_hp&gt;='2022'!Maxi_hp</f>
        <v>0</v>
      </c>
      <c r="I165" s="390">
        <f>IF(H165,Wh_hp,'2022'!Maxi_hp)</f>
        <v>43.393408345276015</v>
      </c>
      <c r="J165" s="85">
        <f>IF(H165,An,'2022'!An_max)</f>
        <v>2019</v>
      </c>
      <c r="K165" s="197">
        <f t="shared" si="52"/>
        <v>45077</v>
      </c>
      <c r="L165" s="147">
        <f>IF(t&lt;Tvie,1-EXP((T0-t)*PertePVj)+'2022'!Pspv,1-EXP((T0-t)*PertePVj)+Pspv)</f>
        <v>4.0088745634715539E-2</v>
      </c>
      <c r="M165" s="850"/>
      <c r="N165" s="850"/>
      <c r="O165" s="48">
        <f>IF(t&lt;Tnet,'2022'!Resal+('2022'!Salim-'2022'!Resal)*(1-EXP(('2022'!Tnet-t)/('2022'!Tau_j))),Resal+(Salim-Resal)*(1-EXP((Tnet-t)/(Tau_j))))*Salcycl</f>
        <v>2.3095658599036069E-2</v>
      </c>
      <c r="P165" s="169">
        <f>(INDEX(Models!$BJ165:$BT165,,T165)*(1-R165)+INDEX(Models!$BJ165:$BT165,,T165+1)*R165-ERP_i)*Q165*Ramure*Pc/MaxiM</f>
        <v>0</v>
      </c>
      <c r="Q165" s="305">
        <f t="shared" si="53"/>
        <v>0.7</v>
      </c>
      <c r="R165" s="177">
        <f t="shared" si="54"/>
        <v>0.91939310549129005</v>
      </c>
      <c r="S165" s="817">
        <f t="shared" si="55"/>
        <v>-1</v>
      </c>
      <c r="T165" s="176">
        <f t="shared" si="56"/>
        <v>5</v>
      </c>
      <c r="U165" s="251">
        <f t="shared" si="57"/>
        <v>-8.0606894508709948E-2</v>
      </c>
      <c r="V165" s="383">
        <f t="shared" si="58"/>
        <v>40.843088925078042</v>
      </c>
      <c r="W165" s="402">
        <f t="shared" si="59"/>
        <v>37.211910110988057</v>
      </c>
      <c r="X165" s="157">
        <f t="shared" si="60"/>
        <v>45077</v>
      </c>
      <c r="Y165" s="385">
        <f t="shared" si="61"/>
        <v>34.020969925538203</v>
      </c>
      <c r="Z165" s="385">
        <f t="shared" si="62"/>
        <v>35.441786697285529</v>
      </c>
      <c r="AA165" s="386">
        <f t="shared" si="63"/>
        <v>39.682483106542968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0.10686570187333407</v>
      </c>
      <c r="AD165" s="231">
        <f>(INDEX(Models!$BJ165:$BT165,,AH165)*(1-AF165)+INDEX(Models!$BJ165:$BT165,,AH165+1)*AF165-ERP_i)*AE165*Ramure*Pc/MaxiM</f>
        <v>0</v>
      </c>
      <c r="AE165" s="305">
        <f t="shared" si="65"/>
        <v>0.7</v>
      </c>
      <c r="AF165" s="177">
        <f t="shared" si="66"/>
        <v>0.91939310549129005</v>
      </c>
      <c r="AG165" s="817">
        <f t="shared" si="74"/>
        <v>-1</v>
      </c>
      <c r="AH165" s="176">
        <f t="shared" si="67"/>
        <v>5</v>
      </c>
      <c r="AI165" s="225">
        <f t="shared" si="68"/>
        <v>-8.0606894508709948E-2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45078</v>
      </c>
      <c r="B166" s="411">
        <f>'2022'!Wh/'2022'!Env_an*'2023'!Env_an</f>
        <v>38.056435004021267</v>
      </c>
      <c r="C166" s="846"/>
      <c r="D166" s="393">
        <f t="shared" si="50"/>
        <v>39.646653149241793</v>
      </c>
      <c r="E166" s="385">
        <f t="shared" si="72"/>
        <v>40.59191261840823</v>
      </c>
      <c r="F166" s="385">
        <f t="shared" si="51"/>
        <v>40.59191261840823</v>
      </c>
      <c r="G166" s="110">
        <f t="shared" si="73"/>
        <v>0.93214750939598023</v>
      </c>
      <c r="H166" s="414" t="b">
        <f>Wh_hp&gt;='2022'!Maxi_hp</f>
        <v>0</v>
      </c>
      <c r="I166" s="390">
        <f>IF(H166,Wh_hp,'2022'!Maxi_hp)</f>
        <v>43.566085731494503</v>
      </c>
      <c r="J166" s="85">
        <f>IF(H166,An,'2022'!An_max)</f>
        <v>2019</v>
      </c>
      <c r="K166" s="197">
        <f t="shared" si="52"/>
        <v>45078</v>
      </c>
      <c r="L166" s="147">
        <f>IF(t&lt;Tvie,1-EXP((T0-t)*PertePVj)+'2022'!Pspv,1-EXP((T0-t)*PertePVj)+Pspv)</f>
        <v>4.0109770154733382E-2</v>
      </c>
      <c r="M166" s="850"/>
      <c r="N166" s="850"/>
      <c r="O166" s="48">
        <f>IF(t&lt;Tnet,'2022'!Resal+('2022'!Salim-'2022'!Resal)*(1-EXP(('2022'!Tnet-t)/('2022'!Tau_j))),Resal+(Salim-Resal)*(1-EXP((Tnet-t)/(Tau_j))))*Salcycl</f>
        <v>2.3286891604554865E-2</v>
      </c>
      <c r="P166" s="169">
        <f>(INDEX(Models!$BJ166:$BT166,,T166)*(1-R166)+INDEX(Models!$BJ166:$BT166,,T166+1)*R166-ERP_i)*Q166*Ramure*Pc/MaxiM</f>
        <v>0</v>
      </c>
      <c r="Q166" s="305">
        <f t="shared" si="53"/>
        <v>0.7</v>
      </c>
      <c r="R166" s="177">
        <f t="shared" si="54"/>
        <v>0.92236579295046739</v>
      </c>
      <c r="S166" s="817">
        <f t="shared" si="55"/>
        <v>-1</v>
      </c>
      <c r="T166" s="176">
        <f t="shared" si="56"/>
        <v>5</v>
      </c>
      <c r="U166" s="251">
        <f t="shared" si="57"/>
        <v>-7.7634207049532569E-2</v>
      </c>
      <c r="V166" s="383">
        <f t="shared" si="58"/>
        <v>40.826623061709796</v>
      </c>
      <c r="W166" s="402">
        <f t="shared" si="59"/>
        <v>38.056435004021267</v>
      </c>
      <c r="X166" s="157">
        <f t="shared" si="60"/>
        <v>45078</v>
      </c>
      <c r="Y166" s="385">
        <f t="shared" si="61"/>
        <v>34.794698696492951</v>
      </c>
      <c r="Z166" s="385">
        <f t="shared" si="62"/>
        <v>36.24862261813189</v>
      </c>
      <c r="AA166" s="386">
        <f t="shared" si="63"/>
        <v>40.59191261840823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0.10699890002982224</v>
      </c>
      <c r="AD166" s="231">
        <f>(INDEX(Models!$BJ166:$BT166,,AH166)*(1-AF166)+INDEX(Models!$BJ166:$BT166,,AH166+1)*AF166-ERP_i)*AE166*Ramure*Pc/MaxiM</f>
        <v>0</v>
      </c>
      <c r="AE166" s="305">
        <f t="shared" si="65"/>
        <v>0.7</v>
      </c>
      <c r="AF166" s="177">
        <f t="shared" si="66"/>
        <v>0.92236579295046739</v>
      </c>
      <c r="AG166" s="817">
        <f t="shared" si="74"/>
        <v>-1</v>
      </c>
      <c r="AH166" s="176">
        <f t="shared" si="67"/>
        <v>5</v>
      </c>
      <c r="AI166" s="225">
        <f t="shared" si="68"/>
        <v>-7.7634207049532569E-2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45079</v>
      </c>
      <c r="B167" s="411">
        <f>'2022'!Wh/'2022'!Env_an*'2023'!Env_an</f>
        <v>30.387366784688247</v>
      </c>
      <c r="C167" s="846"/>
      <c r="D167" s="393">
        <f t="shared" si="50"/>
        <v>31.657820254597546</v>
      </c>
      <c r="E167" s="385">
        <f t="shared" si="72"/>
        <v>32.418951631784523</v>
      </c>
      <c r="F167" s="385">
        <f t="shared" si="51"/>
        <v>32.418951631784523</v>
      </c>
      <c r="G167" s="110">
        <f t="shared" si="73"/>
        <v>0.74463824331868678</v>
      </c>
      <c r="H167" s="414" t="b">
        <f>Wh_hp&gt;='2022'!Maxi_hp</f>
        <v>0</v>
      </c>
      <c r="I167" s="390">
        <f>IF(H167,Wh_hp,'2022'!Maxi_hp)</f>
        <v>42.879308484292096</v>
      </c>
      <c r="J167" s="85">
        <f>IF(H167,An,'2022'!An_max)</f>
        <v>2019</v>
      </c>
      <c r="K167" s="197">
        <f t="shared" si="52"/>
        <v>45079</v>
      </c>
      <c r="L167" s="147">
        <f>IF(t&lt;Tvie,1-EXP((T0-t)*PertePVj)+'2022'!Pspv,1-EXP((T0-t)*PertePVj)+Pspv)</f>
        <v>4.0130794214260357E-2</v>
      </c>
      <c r="M167" s="850"/>
      <c r="N167" s="850"/>
      <c r="O167" s="48">
        <f>IF(t&lt;Tnet,'2022'!Resal+('2022'!Salim-'2022'!Resal)*(1-EXP(('2022'!Tnet-t)/('2022'!Tau_j))),Resal+(Salim-Resal)*(1-EXP((Tnet-t)/(Tau_j))))*Salcycl</f>
        <v>2.3477976272395538E-2</v>
      </c>
      <c r="P167" s="169">
        <f>(INDEX(Models!$BJ167:$BT167,,T167)*(1-R167)+INDEX(Models!$BJ167:$BT167,,T167+1)*R167-ERP_i)*Q167*Ramure*Pc/MaxiM</f>
        <v>0</v>
      </c>
      <c r="Q167" s="305">
        <f t="shared" si="53"/>
        <v>0.7</v>
      </c>
      <c r="R167" s="177">
        <f t="shared" si="54"/>
        <v>0.92536089961666546</v>
      </c>
      <c r="S167" s="817">
        <f t="shared" si="55"/>
        <v>-1</v>
      </c>
      <c r="T167" s="176">
        <f t="shared" si="56"/>
        <v>5</v>
      </c>
      <c r="U167" s="251">
        <f t="shared" si="57"/>
        <v>-7.4639100383334517E-2</v>
      </c>
      <c r="V167" s="383">
        <f t="shared" si="58"/>
        <v>40.808227427668129</v>
      </c>
      <c r="W167" s="402">
        <f t="shared" si="59"/>
        <v>30.387366784688247</v>
      </c>
      <c r="X167" s="157">
        <f t="shared" si="60"/>
        <v>45079</v>
      </c>
      <c r="Y167" s="385">
        <f t="shared" si="61"/>
        <v>27.784242400569909</v>
      </c>
      <c r="Z167" s="385">
        <f t="shared" si="62"/>
        <v>28.945862866624623</v>
      </c>
      <c r="AA167" s="386">
        <f t="shared" si="63"/>
        <v>32.418951631784523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0.10713143363201108</v>
      </c>
      <c r="AD167" s="231">
        <f>(INDEX(Models!$BJ167:$BT167,,AH167)*(1-AF167)+INDEX(Models!$BJ167:$BT167,,AH167+1)*AF167-ERP_i)*AE167*Ramure*Pc/MaxiM</f>
        <v>0</v>
      </c>
      <c r="AE167" s="305">
        <f t="shared" si="65"/>
        <v>0.7</v>
      </c>
      <c r="AF167" s="177">
        <f t="shared" si="66"/>
        <v>0.92536089961666546</v>
      </c>
      <c r="AG167" s="817">
        <f t="shared" si="74"/>
        <v>-1</v>
      </c>
      <c r="AH167" s="176">
        <f t="shared" si="67"/>
        <v>5</v>
      </c>
      <c r="AI167" s="225">
        <f t="shared" si="68"/>
        <v>-7.4639100383334517E-2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45080</v>
      </c>
      <c r="B168" s="411">
        <f>'2022'!Wh/'2022'!Env_an*'2023'!Env_an</f>
        <v>36.800212310255382</v>
      </c>
      <c r="C168" s="846"/>
      <c r="D168" s="393">
        <f t="shared" si="50"/>
        <v>38.339617653302618</v>
      </c>
      <c r="E168" s="385">
        <f t="shared" si="72"/>
        <v>39.269073008719751</v>
      </c>
      <c r="F168" s="385">
        <f t="shared" si="51"/>
        <v>39.269073008719751</v>
      </c>
      <c r="G168" s="110">
        <f t="shared" si="73"/>
        <v>0.90223124954895328</v>
      </c>
      <c r="H168" s="414" t="b">
        <f>Wh_hp&gt;='2022'!Maxi_hp</f>
        <v>0</v>
      </c>
      <c r="I168" s="390">
        <f>IF(H168,Wh_hp,'2022'!Maxi_hp)</f>
        <v>40.900365987061008</v>
      </c>
      <c r="J168" s="85">
        <f>IF(H168,An,'2022'!An_max)</f>
        <v>2020</v>
      </c>
      <c r="K168" s="197">
        <f t="shared" si="52"/>
        <v>45080</v>
      </c>
      <c r="L168" s="147">
        <f>IF(t&lt;Tvie,1-EXP((T0-t)*PertePVj)+'2022'!Pspv,1-EXP((T0-t)*PertePVj)+Pspv)</f>
        <v>4.0151817813306456E-2</v>
      </c>
      <c r="M168" s="850"/>
      <c r="N168" s="850"/>
      <c r="O168" s="48">
        <f>IF(t&lt;Tnet,'2022'!Resal+('2022'!Salim-'2022'!Resal)*(1-EXP(('2022'!Tnet-t)/('2022'!Tau_j))),Resal+(Salim-Resal)*(1-EXP((Tnet-t)/(Tau_j))))*Salcycl</f>
        <v>2.3668889642766731E-2</v>
      </c>
      <c r="P168" s="169">
        <f>(INDEX(Models!$BJ168:$BT168,,T168)*(1-R168)+INDEX(Models!$BJ168:$BT168,,T168+1)*R168-ERP_i)*Q168*Ramure*Pc/MaxiM</f>
        <v>0</v>
      </c>
      <c r="Q168" s="305">
        <f t="shared" si="53"/>
        <v>0.7</v>
      </c>
      <c r="R168" s="177">
        <f t="shared" si="54"/>
        <v>0.92837612390772706</v>
      </c>
      <c r="S168" s="817">
        <f t="shared" si="55"/>
        <v>-1</v>
      </c>
      <c r="T168" s="176">
        <f t="shared" si="56"/>
        <v>5</v>
      </c>
      <c r="U168" s="251">
        <f t="shared" si="57"/>
        <v>-7.1623876092272887E-2</v>
      </c>
      <c r="V168" s="383">
        <f t="shared" si="58"/>
        <v>40.788004548338002</v>
      </c>
      <c r="W168" s="402">
        <f t="shared" si="59"/>
        <v>36.800212310255382</v>
      </c>
      <c r="X168" s="157">
        <f t="shared" si="60"/>
        <v>45080</v>
      </c>
      <c r="Y168" s="385">
        <f t="shared" si="61"/>
        <v>33.649345957715539</v>
      </c>
      <c r="Z168" s="385">
        <f t="shared" si="62"/>
        <v>35.056946069384367</v>
      </c>
      <c r="AA168" s="386">
        <f t="shared" si="63"/>
        <v>39.269073008719751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0.10726321292076522</v>
      </c>
      <c r="AD168" s="231">
        <f>(INDEX(Models!$BJ168:$BT168,,AH168)*(1-AF168)+INDEX(Models!$BJ168:$BT168,,AH168+1)*AF168-ERP_i)*AE168*Ramure*Pc/MaxiM</f>
        <v>0</v>
      </c>
      <c r="AE168" s="305">
        <f t="shared" si="65"/>
        <v>0.7</v>
      </c>
      <c r="AF168" s="177">
        <f t="shared" si="66"/>
        <v>0.92837612390772706</v>
      </c>
      <c r="AG168" s="817">
        <f t="shared" si="74"/>
        <v>-1</v>
      </c>
      <c r="AH168" s="176">
        <f t="shared" si="67"/>
        <v>5</v>
      </c>
      <c r="AI168" s="225">
        <f t="shared" si="68"/>
        <v>-7.1623876092272887E-2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45081</v>
      </c>
      <c r="B169" s="411">
        <f>'2022'!Wh/'2022'!Env_an*'2023'!Env_an</f>
        <v>18.280613587653104</v>
      </c>
      <c r="C169" s="846"/>
      <c r="D169" s="393">
        <f t="shared" si="50"/>
        <v>19.045734865204683</v>
      </c>
      <c r="E169" s="385">
        <f t="shared" si="72"/>
        <v>19.511266034952598</v>
      </c>
      <c r="F169" s="385">
        <f t="shared" si="51"/>
        <v>19.511266034952598</v>
      </c>
      <c r="G169" s="110">
        <f t="shared" si="73"/>
        <v>0.4484273190225681</v>
      </c>
      <c r="H169" s="414" t="b">
        <f>Wh_hp&gt;='2022'!Maxi_hp</f>
        <v>0</v>
      </c>
      <c r="I169" s="390">
        <f>IF(H169,Wh_hp,'2022'!Maxi_hp)</f>
        <v>39.208479410281221</v>
      </c>
      <c r="J169" s="85">
        <f>IF(H169,An,'2022'!An_max)</f>
        <v>2019</v>
      </c>
      <c r="K169" s="197">
        <f t="shared" si="52"/>
        <v>45081</v>
      </c>
      <c r="L169" s="147">
        <f>IF(t&lt;Tvie,1-EXP((T0-t)*PertePVj)+'2022'!Pspv,1-EXP((T0-t)*PertePVj)+Pspv)</f>
        <v>4.0172840951881783E-2</v>
      </c>
      <c r="M169" s="850"/>
      <c r="N169" s="850"/>
      <c r="O169" s="48">
        <f>IF(t&lt;Tnet,'2022'!Resal+('2022'!Salim-'2022'!Resal)*(1-EXP(('2022'!Tnet-t)/('2022'!Tau_j))),Resal+(Salim-Resal)*(1-EXP((Tnet-t)/(Tau_j))))*Salcycl</f>
        <v>2.3859608541750336E-2</v>
      </c>
      <c r="P169" s="169">
        <f>(INDEX(Models!$BJ169:$BT169,,T169)*(1-R169)+INDEX(Models!$BJ169:$BT169,,T169+1)*R169-ERP_i)*Q169*Ramure*Pc/MaxiM</f>
        <v>0</v>
      </c>
      <c r="Q169" s="305">
        <f t="shared" si="53"/>
        <v>0.7</v>
      </c>
      <c r="R169" s="177">
        <f t="shared" si="54"/>
        <v>0.93140909905088143</v>
      </c>
      <c r="S169" s="817">
        <f t="shared" si="55"/>
        <v>-1</v>
      </c>
      <c r="T169" s="176">
        <f t="shared" si="56"/>
        <v>5</v>
      </c>
      <c r="U169" s="251">
        <f t="shared" si="57"/>
        <v>-6.8590900949118544E-2</v>
      </c>
      <c r="V169" s="383">
        <f t="shared" si="58"/>
        <v>40.766056866247915</v>
      </c>
      <c r="W169" s="402">
        <f t="shared" si="59"/>
        <v>18.280613587653104</v>
      </c>
      <c r="X169" s="157">
        <f t="shared" si="60"/>
        <v>45081</v>
      </c>
      <c r="Y169" s="385">
        <f t="shared" si="61"/>
        <v>16.716225228637562</v>
      </c>
      <c r="Z169" s="385">
        <f t="shared" si="62"/>
        <v>17.415870212732273</v>
      </c>
      <c r="AA169" s="386">
        <f t="shared" si="63"/>
        <v>19.511266034952598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0.10739414953732995</v>
      </c>
      <c r="AD169" s="231">
        <f>(INDEX(Models!$BJ169:$BT169,,AH169)*(1-AF169)+INDEX(Models!$BJ169:$BT169,,AH169+1)*AF169-ERP_i)*AE169*Ramure*Pc/MaxiM</f>
        <v>0</v>
      </c>
      <c r="AE169" s="305">
        <f t="shared" si="65"/>
        <v>0.7</v>
      </c>
      <c r="AF169" s="177">
        <f t="shared" si="66"/>
        <v>0.93140909905088143</v>
      </c>
      <c r="AG169" s="817">
        <f t="shared" si="74"/>
        <v>-1</v>
      </c>
      <c r="AH169" s="176">
        <f t="shared" si="67"/>
        <v>5</v>
      </c>
      <c r="AI169" s="225">
        <f t="shared" si="68"/>
        <v>-6.8590900949118544E-2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45082</v>
      </c>
      <c r="B170" s="411">
        <f>'2022'!Wh/'2022'!Env_an*'2023'!Env_an</f>
        <v>22.427011215999084</v>
      </c>
      <c r="C170" s="846"/>
      <c r="D170" s="393">
        <f t="shared" si="50"/>
        <v>23.366188614732415</v>
      </c>
      <c r="E170" s="385">
        <f t="shared" ref="E170:E232" si="75">Wh_pvt/(1-Psa)</f>
        <v>23.941996250314073</v>
      </c>
      <c r="F170" s="385">
        <f t="shared" si="51"/>
        <v>23.941996250314073</v>
      </c>
      <c r="G170" s="110">
        <f t="shared" ref="G170:G232" si="76">+Wh_hp/MaxiM</f>
        <v>0.55045759380578763</v>
      </c>
      <c r="H170" s="414" t="b">
        <f>Wh_hp&gt;='2022'!Maxi_hp</f>
        <v>0</v>
      </c>
      <c r="I170" s="390">
        <f>IF(H170,Wh_hp,'2022'!Maxi_hp)</f>
        <v>31.965848154895578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4.019386362999644E-2</v>
      </c>
      <c r="M170" s="850"/>
      <c r="N170" s="850"/>
      <c r="O170" s="48">
        <f>IF(t&lt;Tnet,'2022'!Resal+('2022'!Salim-'2022'!Resal)*(1-EXP(('2022'!Tnet-t)/('2022'!Tau_j))),Resal+(Salim-Resal)*(1-EXP((Tnet-t)/(Tau_j))))*Salcycl</f>
        <v>2.4050109671790765E-2</v>
      </c>
      <c r="P170" s="169">
        <f>(INDEX(Models!$BJ170:$BT170,,T170)*(1-R170)+INDEX(Models!$BJ170:$BT170,,T170+1)*R170-ERP_i)*Q170*Ramure*Pc/MaxiM</f>
        <v>0</v>
      </c>
      <c r="Q170" s="305">
        <f t="shared" si="53"/>
        <v>0.7</v>
      </c>
      <c r="R170" s="177">
        <f t="shared" si="54"/>
        <v>0.93445740020156309</v>
      </c>
      <c r="S170" s="817">
        <f t="shared" si="55"/>
        <v>-1</v>
      </c>
      <c r="T170" s="176">
        <f t="shared" si="56"/>
        <v>5</v>
      </c>
      <c r="U170" s="251">
        <f t="shared" si="57"/>
        <v>-6.5542599798436879E-2</v>
      </c>
      <c r="V170" s="383">
        <f t="shared" si="58"/>
        <v>40.742486738972637</v>
      </c>
      <c r="W170" s="402">
        <f t="shared" si="59"/>
        <v>22.427011215999084</v>
      </c>
      <c r="X170" s="157">
        <f t="shared" si="60"/>
        <v>45082</v>
      </c>
      <c r="Y170" s="385">
        <f t="shared" si="61"/>
        <v>20.508804747383248</v>
      </c>
      <c r="Z170" s="385">
        <f t="shared" si="62"/>
        <v>21.367653289806785</v>
      </c>
      <c r="AA170" s="386">
        <f t="shared" si="63"/>
        <v>23.941996250314073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0.10752415686613929</v>
      </c>
      <c r="AD170" s="231">
        <f>(INDEX(Models!$BJ170:$BT170,,AH170)*(1-AF170)+INDEX(Models!$BJ170:$BT170,,AH170+1)*AF170-ERP_i)*AE170*Ramure*Pc/MaxiM</f>
        <v>0</v>
      </c>
      <c r="AE170" s="305">
        <f t="shared" si="65"/>
        <v>0.7</v>
      </c>
      <c r="AF170" s="177">
        <f t="shared" si="66"/>
        <v>0.93445740020156309</v>
      </c>
      <c r="AG170" s="817">
        <f t="shared" si="74"/>
        <v>-1</v>
      </c>
      <c r="AH170" s="176">
        <f t="shared" si="67"/>
        <v>5</v>
      </c>
      <c r="AI170" s="225">
        <f t="shared" si="68"/>
        <v>-6.5542599798436879E-2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45083</v>
      </c>
      <c r="B171" s="411">
        <f>'2022'!Wh/'2022'!Env_an*'2023'!Env_an</f>
        <v>31.120558290299282</v>
      </c>
      <c r="C171" s="846"/>
      <c r="D171" s="393">
        <f t="shared" si="50"/>
        <v>32.424506101852032</v>
      </c>
      <c r="E171" s="385">
        <f t="shared" si="75"/>
        <v>33.230013924667375</v>
      </c>
      <c r="F171" s="385">
        <f t="shared" si="51"/>
        <v>33.230013924667375</v>
      </c>
      <c r="G171" s="110">
        <f t="shared" si="76"/>
        <v>0.76430619378502151</v>
      </c>
      <c r="H171" s="414" t="b">
        <f>Wh_hp&gt;='2022'!Maxi_hp</f>
        <v>0</v>
      </c>
      <c r="I171" s="390">
        <f>IF(H171,Wh_hp,'2022'!Maxi_hp)</f>
        <v>41.05414814635413</v>
      </c>
      <c r="J171" s="85">
        <f>IF(H171,An,'2022'!An_max)</f>
        <v>2019</v>
      </c>
      <c r="K171" s="197">
        <f t="shared" si="52"/>
        <v>45083</v>
      </c>
      <c r="L171" s="147">
        <f>IF(t&lt;Tvie,1-EXP((T0-t)*PertePVj)+'2022'!Pspv,1-EXP((T0-t)*PertePVj)+Pspv)</f>
        <v>4.021488584766042E-2</v>
      </c>
      <c r="M171" s="850"/>
      <c r="N171" s="850"/>
      <c r="O171" s="48">
        <f>IF(t&lt;Tnet,'2022'!Resal+('2022'!Salim-'2022'!Resal)*(1-EXP(('2022'!Tnet-t)/('2022'!Tau_j))),Resal+(Salim-Resal)*(1-EXP((Tnet-t)/(Tau_j))))*Salcycl</f>
        <v>2.4240369704371222E-2</v>
      </c>
      <c r="P171" s="169">
        <f>(INDEX(Models!$BJ171:$BT171,,T171)*(1-R171)+INDEX(Models!$BJ171:$BT171,,T171+1)*R171-ERP_i)*Q171*Ramure*Pc/MaxiM</f>
        <v>0</v>
      </c>
      <c r="Q171" s="305">
        <f t="shared" si="53"/>
        <v>0.7</v>
      </c>
      <c r="R171" s="177">
        <f t="shared" si="54"/>
        <v>0.93751855196101519</v>
      </c>
      <c r="S171" s="817">
        <f t="shared" si="55"/>
        <v>-1</v>
      </c>
      <c r="T171" s="176">
        <f t="shared" si="56"/>
        <v>5</v>
      </c>
      <c r="U171" s="251">
        <f t="shared" si="57"/>
        <v>-6.2481448038984783E-2</v>
      </c>
      <c r="V171" s="383">
        <f t="shared" si="58"/>
        <v>40.717396435299136</v>
      </c>
      <c r="W171" s="402">
        <f t="shared" si="59"/>
        <v>31.120558290299282</v>
      </c>
      <c r="X171" s="157">
        <f t="shared" si="60"/>
        <v>45083</v>
      </c>
      <c r="Y171" s="385">
        <f t="shared" si="61"/>
        <v>28.460218363957548</v>
      </c>
      <c r="Z171" s="385">
        <f t="shared" si="62"/>
        <v>29.652698238702072</v>
      </c>
      <c r="AA171" s="386">
        <f t="shared" si="63"/>
        <v>33.230013924667375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0.10765315037408942</v>
      </c>
      <c r="AD171" s="231">
        <f>(INDEX(Models!$BJ171:$BT171,,AH171)*(1-AF171)+INDEX(Models!$BJ171:$BT171,,AH171+1)*AF171-ERP_i)*AE171*Ramure*Pc/MaxiM</f>
        <v>0</v>
      </c>
      <c r="AE171" s="305">
        <f t="shared" si="65"/>
        <v>0.7</v>
      </c>
      <c r="AF171" s="177">
        <f t="shared" si="66"/>
        <v>0.93751855196101519</v>
      </c>
      <c r="AG171" s="817">
        <f t="shared" si="74"/>
        <v>-1</v>
      </c>
      <c r="AH171" s="176">
        <f t="shared" si="67"/>
        <v>5</v>
      </c>
      <c r="AI171" s="225">
        <f t="shared" si="68"/>
        <v>-6.2481448038984783E-2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45084</v>
      </c>
      <c r="B172" s="411">
        <f>'2022'!Wh/'2022'!Env_an*'2023'!Env_an</f>
        <v>18.032753299450167</v>
      </c>
      <c r="C172" s="846"/>
      <c r="D172" s="393">
        <f t="shared" si="50"/>
        <v>18.788735109321465</v>
      </c>
      <c r="E172" s="385">
        <f t="shared" si="75"/>
        <v>19.259245514063288</v>
      </c>
      <c r="F172" s="385">
        <f t="shared" si="51"/>
        <v>19.259245514063288</v>
      </c>
      <c r="G172" s="110">
        <f t="shared" si="76"/>
        <v>0.44316440678776714</v>
      </c>
      <c r="H172" s="414" t="b">
        <f>Wh_hp&gt;='2022'!Maxi_hp</f>
        <v>0</v>
      </c>
      <c r="I172" s="390">
        <f>IF(H172,Wh_hp,'2022'!Maxi_hp)</f>
        <v>38.856191383459525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4.0235907604883936E-2</v>
      </c>
      <c r="M172" s="850"/>
      <c r="N172" s="850"/>
      <c r="O172" s="48">
        <f>IF(t&lt;Tnet,'2022'!Resal+('2022'!Salim-'2022'!Resal)*(1-EXP(('2022'!Tnet-t)/('2022'!Tau_j))),Resal+(Salim-Resal)*(1-EXP((Tnet-t)/(Tau_j))))*Salcycl</f>
        <v>2.4430365374295233E-2</v>
      </c>
      <c r="P172" s="169">
        <f>(INDEX(Models!$BJ172:$BT172,,T172)*(1-R172)+INDEX(Models!$BJ172:$BT172,,T172+1)*R172-ERP_i)*Q172*Ramure*Pc/MaxiM</f>
        <v>0</v>
      </c>
      <c r="Q172" s="305">
        <f t="shared" si="53"/>
        <v>0.7</v>
      </c>
      <c r="R172" s="177">
        <f t="shared" si="54"/>
        <v>0.94059003624500936</v>
      </c>
      <c r="S172" s="817">
        <f t="shared" si="55"/>
        <v>-1</v>
      </c>
      <c r="T172" s="176">
        <f t="shared" si="56"/>
        <v>5</v>
      </c>
      <c r="U172" s="251">
        <f t="shared" si="57"/>
        <v>-5.9409963754990663E-2</v>
      </c>
      <c r="V172" s="383">
        <f t="shared" si="58"/>
        <v>40.690888129213214</v>
      </c>
      <c r="W172" s="402">
        <f t="shared" si="59"/>
        <v>18.032753299450167</v>
      </c>
      <c r="X172" s="157">
        <f t="shared" si="60"/>
        <v>45084</v>
      </c>
      <c r="Y172" s="385">
        <f t="shared" si="61"/>
        <v>16.492071586148651</v>
      </c>
      <c r="Z172" s="385">
        <f t="shared" si="62"/>
        <v>17.183463849946982</v>
      </c>
      <c r="AA172" s="386">
        <f t="shared" si="63"/>
        <v>19.259245514063288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0.10778104794398878</v>
      </c>
      <c r="AD172" s="231">
        <f>(INDEX(Models!$BJ172:$BT172,,AH172)*(1-AF172)+INDEX(Models!$BJ172:$BT172,,AH172+1)*AF172-ERP_i)*AE172*Ramure*Pc/MaxiM</f>
        <v>0</v>
      </c>
      <c r="AE172" s="305">
        <f t="shared" si="65"/>
        <v>0.7</v>
      </c>
      <c r="AF172" s="177">
        <f t="shared" si="66"/>
        <v>0.94059003624500936</v>
      </c>
      <c r="AG172" s="817">
        <f t="shared" si="74"/>
        <v>-1</v>
      </c>
      <c r="AH172" s="176">
        <f t="shared" si="67"/>
        <v>5</v>
      </c>
      <c r="AI172" s="225">
        <f t="shared" si="68"/>
        <v>-5.9409963754990663E-2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45085</v>
      </c>
      <c r="B173" s="411">
        <f>'2022'!Wh/'2022'!Env_an*'2023'!Env_an</f>
        <v>15.916005961525507</v>
      </c>
      <c r="C173" s="846"/>
      <c r="D173" s="393">
        <f t="shared" si="50"/>
        <v>16.583611219314502</v>
      </c>
      <c r="E173" s="385">
        <f t="shared" si="75"/>
        <v>17.002206801709359</v>
      </c>
      <c r="F173" s="385">
        <f t="shared" si="51"/>
        <v>17.002206801709359</v>
      </c>
      <c r="G173" s="110">
        <f t="shared" si="76"/>
        <v>0.39141187199738947</v>
      </c>
      <c r="H173" s="414" t="b">
        <f>Wh_hp&gt;='2022'!Maxi_hp</f>
        <v>0</v>
      </c>
      <c r="I173" s="390">
        <f>IF(H173,Wh_hp,'2022'!Maxi_hp)</f>
        <v>43.845518262110815</v>
      </c>
      <c r="J173" s="85">
        <f>IF(H173,An,'2022'!An_max)</f>
        <v>2019</v>
      </c>
      <c r="K173" s="197">
        <f t="shared" si="52"/>
        <v>45085</v>
      </c>
      <c r="L173" s="147">
        <f>IF(t&lt;Tvie,1-EXP((T0-t)*PertePVj)+'2022'!Pspv,1-EXP((T0-t)*PertePVj)+Pspv)</f>
        <v>4.025692890167698E-2</v>
      </c>
      <c r="M173" s="850"/>
      <c r="N173" s="850"/>
      <c r="O173" s="48">
        <f>IF(t&lt;Tnet,'2022'!Resal+('2022'!Salim-'2022'!Resal)*(1-EXP(('2022'!Tnet-t)/('2022'!Tau_j))),Resal+(Salim-Resal)*(1-EXP((Tnet-t)/(Tau_j))))*Salcycl</f>
        <v>2.4620073574965144E-2</v>
      </c>
      <c r="P173" s="169">
        <f>(INDEX(Models!$BJ173:$BT173,,T173)*(1-R173)+INDEX(Models!$BJ173:$BT173,,T173+1)*R173-ERP_i)*Q173*Ramure*Pc/MaxiM</f>
        <v>0</v>
      </c>
      <c r="Q173" s="305">
        <f t="shared" si="53"/>
        <v>0.7</v>
      </c>
      <c r="R173" s="177">
        <f t="shared" si="54"/>
        <v>0.94366930045187192</v>
      </c>
      <c r="S173" s="817">
        <f t="shared" si="55"/>
        <v>-1</v>
      </c>
      <c r="T173" s="176">
        <f t="shared" si="56"/>
        <v>5</v>
      </c>
      <c r="U173" s="251">
        <f t="shared" si="57"/>
        <v>-5.633069954812811E-2</v>
      </c>
      <c r="V173" s="383">
        <f t="shared" si="58"/>
        <v>40.663063898152942</v>
      </c>
      <c r="W173" s="402">
        <f t="shared" si="59"/>
        <v>15.916005961525507</v>
      </c>
      <c r="X173" s="157">
        <f t="shared" si="60"/>
        <v>45085</v>
      </c>
      <c r="Y173" s="385">
        <f t="shared" si="61"/>
        <v>14.556938135655052</v>
      </c>
      <c r="Z173" s="385">
        <f t="shared" si="62"/>
        <v>15.167536577259368</v>
      </c>
      <c r="AA173" s="386">
        <f t="shared" si="63"/>
        <v>17.002206801709359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0.10790777019989772</v>
      </c>
      <c r="AD173" s="231">
        <f>(INDEX(Models!$BJ173:$BT173,,AH173)*(1-AF173)+INDEX(Models!$BJ173:$BT173,,AH173+1)*AF173-ERP_i)*AE173*Ramure*Pc/MaxiM</f>
        <v>0</v>
      </c>
      <c r="AE173" s="305">
        <f t="shared" si="65"/>
        <v>0.7</v>
      </c>
      <c r="AF173" s="177">
        <f t="shared" si="66"/>
        <v>0.94366930045187192</v>
      </c>
      <c r="AG173" s="817">
        <f t="shared" si="74"/>
        <v>-1</v>
      </c>
      <c r="AH173" s="176">
        <f t="shared" si="67"/>
        <v>5</v>
      </c>
      <c r="AI173" s="225">
        <f t="shared" si="68"/>
        <v>-5.633069954812811E-2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45086</v>
      </c>
      <c r="B174" s="411">
        <f>'2022'!Wh/'2022'!Env_an*'2023'!Env_an</f>
        <v>31.151598788531469</v>
      </c>
      <c r="C174" s="846"/>
      <c r="D174" s="393">
        <f t="shared" si="50"/>
        <v>32.458979951569134</v>
      </c>
      <c r="E174" s="385">
        <f t="shared" si="75"/>
        <v>33.284757184799638</v>
      </c>
      <c r="F174" s="385">
        <f t="shared" si="51"/>
        <v>33.284757184799638</v>
      </c>
      <c r="G174" s="110">
        <f t="shared" si="76"/>
        <v>0.76663826039376759</v>
      </c>
      <c r="H174" s="414" t="b">
        <f>Wh_hp&gt;='2022'!Maxi_hp</f>
        <v>0</v>
      </c>
      <c r="I174" s="390">
        <f>IF(H174,Wh_hp,'2022'!Maxi_hp)</f>
        <v>42.32398609821027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4.0277949738049657E-2</v>
      </c>
      <c r="M174" s="850"/>
      <c r="N174" s="850"/>
      <c r="O174" s="48">
        <f>IF(t&lt;Tnet,'2022'!Resal+('2022'!Salim-'2022'!Resal)*(1-EXP(('2022'!Tnet-t)/('2022'!Tau_j))),Resal+(Salim-Resal)*(1-EXP((Tnet-t)/(Tau_j))))*Salcycl</f>
        <v>2.4809471454027041E-2</v>
      </c>
      <c r="P174" s="169">
        <f>(INDEX(Models!$BJ174:$BT174,,T174)*(1-R174)+INDEX(Models!$BJ174:$BT174,,T174+1)*R174-ERP_i)*Q174*Ramure*Pc/MaxiM</f>
        <v>0</v>
      </c>
      <c r="Q174" s="305">
        <f t="shared" si="53"/>
        <v>0.7</v>
      </c>
      <c r="R174" s="177">
        <f t="shared" si="54"/>
        <v>0.9467537658744305</v>
      </c>
      <c r="S174" s="817">
        <f t="shared" si="55"/>
        <v>-1</v>
      </c>
      <c r="T174" s="176">
        <f t="shared" si="56"/>
        <v>5</v>
      </c>
      <c r="U174" s="251">
        <f t="shared" si="57"/>
        <v>-5.3246234125569503E-2</v>
      </c>
      <c r="V174" s="383">
        <f t="shared" si="58"/>
        <v>40.634025717071701</v>
      </c>
      <c r="W174" s="402">
        <f t="shared" si="59"/>
        <v>31.151598788531469</v>
      </c>
      <c r="X174" s="157">
        <f t="shared" si="60"/>
        <v>45086</v>
      </c>
      <c r="Y174" s="385">
        <f t="shared" si="61"/>
        <v>28.493089095160389</v>
      </c>
      <c r="Z174" s="385">
        <f t="shared" si="62"/>
        <v>29.688896996149428</v>
      </c>
      <c r="AA174" s="386">
        <f t="shared" si="63"/>
        <v>33.284757184799638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0.10803324082208875</v>
      </c>
      <c r="AD174" s="231">
        <f>(INDEX(Models!$BJ174:$BT174,,AH174)*(1-AF174)+INDEX(Models!$BJ174:$BT174,,AH174+1)*AF174-ERP_i)*AE174*Ramure*Pc/MaxiM</f>
        <v>0</v>
      </c>
      <c r="AE174" s="305">
        <f t="shared" si="65"/>
        <v>0.7</v>
      </c>
      <c r="AF174" s="177">
        <f t="shared" si="66"/>
        <v>0.9467537658744305</v>
      </c>
      <c r="AG174" s="817">
        <f t="shared" si="74"/>
        <v>-1</v>
      </c>
      <c r="AH174" s="176">
        <f t="shared" si="67"/>
        <v>5</v>
      </c>
      <c r="AI174" s="225">
        <f t="shared" si="68"/>
        <v>-5.3246234125569503E-2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45087</v>
      </c>
      <c r="B175" s="411">
        <f>'2022'!Wh/'2022'!Env_an*'2023'!Env_an</f>
        <v>39.624726178474916</v>
      </c>
      <c r="C175" s="846"/>
      <c r="D175" s="393">
        <f t="shared" si="50"/>
        <v>41.288614833707449</v>
      </c>
      <c r="E175" s="385">
        <f t="shared" si="75"/>
        <v>42.347233701436778</v>
      </c>
      <c r="F175" s="385">
        <f t="shared" si="51"/>
        <v>42.347233701436778</v>
      </c>
      <c r="G175" s="110">
        <f t="shared" si="76"/>
        <v>0.9758853245892074</v>
      </c>
      <c r="H175" s="414" t="b">
        <f>Wh_hp&gt;='2022'!Maxi_hp</f>
        <v>1</v>
      </c>
      <c r="I175" s="390">
        <f>IF(H175,Wh_hp,'2022'!Maxi_hp)</f>
        <v>42.347233701436778</v>
      </c>
      <c r="J175" s="85">
        <f>IF(H175,An,'2022'!An_max)</f>
        <v>2023</v>
      </c>
      <c r="K175" s="197">
        <f t="shared" si="52"/>
        <v>45087</v>
      </c>
      <c r="L175" s="147">
        <f>IF(t&lt;Tvie,1-EXP((T0-t)*PertePVj)+'2022'!Pspv,1-EXP((T0-t)*PertePVj)+Pspv)</f>
        <v>4.0298970114012178E-2</v>
      </c>
      <c r="M175" s="850"/>
      <c r="N175" s="850"/>
      <c r="O175" s="48">
        <f>IF(t&lt;Tnet,'2022'!Resal+('2022'!Salim-'2022'!Resal)*(1-EXP(('2022'!Tnet-t)/('2022'!Tau_j))),Resal+(Salim-Resal)*(1-EXP((Tnet-t)/(Tau_j))))*Salcycl</f>
        <v>2.499853650873566E-2</v>
      </c>
      <c r="P175" s="169">
        <f>(INDEX(Models!$BJ175:$BT175,,T175)*(1-R175)+INDEX(Models!$BJ175:$BT175,,T175+1)*R175-ERP_i)*Q175*Ramure*Pc/MaxiM</f>
        <v>0</v>
      </c>
      <c r="Q175" s="305">
        <f t="shared" si="53"/>
        <v>0.7</v>
      </c>
      <c r="R175" s="177">
        <f t="shared" si="54"/>
        <v>0.94984083629754956</v>
      </c>
      <c r="S175" s="817">
        <f t="shared" si="55"/>
        <v>-1</v>
      </c>
      <c r="T175" s="176">
        <f t="shared" si="56"/>
        <v>5</v>
      </c>
      <c r="U175" s="251">
        <f t="shared" si="57"/>
        <v>-5.015916370245041E-2</v>
      </c>
      <c r="V175" s="383">
        <f t="shared" si="58"/>
        <v>40.603875455504664</v>
      </c>
      <c r="W175" s="402">
        <f t="shared" si="59"/>
        <v>39.624726178474916</v>
      </c>
      <c r="X175" s="157">
        <f t="shared" si="60"/>
        <v>45087</v>
      </c>
      <c r="Y175" s="385">
        <f t="shared" si="61"/>
        <v>36.245093636933468</v>
      </c>
      <c r="Z175" s="385">
        <f t="shared" si="62"/>
        <v>37.767067563988519</v>
      </c>
      <c r="AA175" s="386">
        <f t="shared" si="63"/>
        <v>42.347233701436778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0.10815738684940027</v>
      </c>
      <c r="AD175" s="231">
        <f>(INDEX(Models!$BJ175:$BT175,,AH175)*(1-AF175)+INDEX(Models!$BJ175:$BT175,,AH175+1)*AF175-ERP_i)*AE175*Ramure*Pc/MaxiM</f>
        <v>0</v>
      </c>
      <c r="AE175" s="305">
        <f t="shared" si="65"/>
        <v>0.7</v>
      </c>
      <c r="AF175" s="177">
        <f t="shared" si="66"/>
        <v>0.94984083629754956</v>
      </c>
      <c r="AG175" s="817">
        <f t="shared" si="74"/>
        <v>-1</v>
      </c>
      <c r="AH175" s="176">
        <f t="shared" si="67"/>
        <v>5</v>
      </c>
      <c r="AI175" s="225">
        <f t="shared" si="68"/>
        <v>-5.015916370245041E-2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45088</v>
      </c>
      <c r="B176" s="411">
        <f>'2022'!Wh/'2022'!Env_an*'2023'!Env_an</f>
        <v>37.542096492596855</v>
      </c>
      <c r="C176" s="846"/>
      <c r="D176" s="393">
        <f t="shared" si="50"/>
        <v>39.119389903467706</v>
      </c>
      <c r="E176" s="385">
        <f t="shared" si="75"/>
        <v>40.130158094722177</v>
      </c>
      <c r="F176" s="385">
        <f t="shared" si="51"/>
        <v>40.130158094722177</v>
      </c>
      <c r="G176" s="110">
        <f t="shared" si="76"/>
        <v>0.92530402780827681</v>
      </c>
      <c r="H176" s="414" t="b">
        <f>Wh_hp&gt;='2022'!Maxi_hp</f>
        <v>1</v>
      </c>
      <c r="I176" s="390">
        <f>IF(H176,Wh_hp,'2022'!Maxi_hp)</f>
        <v>40.130158094722177</v>
      </c>
      <c r="J176" s="85">
        <f>IF(H176,An,'2022'!An_max)</f>
        <v>2023</v>
      </c>
      <c r="K176" s="197">
        <f t="shared" si="52"/>
        <v>45088</v>
      </c>
      <c r="L176" s="147">
        <f>IF(t&lt;Tvie,1-EXP((T0-t)*PertePVj)+'2022'!Pspv,1-EXP((T0-t)*PertePVj)+Pspv)</f>
        <v>4.0319990029574426E-2</v>
      </c>
      <c r="M176" s="850"/>
      <c r="N176" s="850"/>
      <c r="O176" s="48">
        <f>IF(t&lt;Tnet,'2022'!Resal+('2022'!Salim-'2022'!Resal)*(1-EXP(('2022'!Tnet-t)/('2022'!Tau_j))),Resal+(Salim-Resal)*(1-EXP((Tnet-t)/(Tau_j))))*Salcycl</f>
        <v>2.5187246680381303E-2</v>
      </c>
      <c r="P176" s="169">
        <f>(INDEX(Models!$BJ176:$BT176,,T176)*(1-R176)+INDEX(Models!$BJ176:$BT176,,T176+1)*R176-ERP_i)*Q176*Ramure*Pc/MaxiM</f>
        <v>0</v>
      </c>
      <c r="Q176" s="305">
        <f t="shared" si="53"/>
        <v>0.7</v>
      </c>
      <c r="R176" s="177">
        <f t="shared" si="54"/>
        <v>0.95292790672066874</v>
      </c>
      <c r="S176" s="817">
        <f t="shared" si="55"/>
        <v>-1</v>
      </c>
      <c r="T176" s="176">
        <f t="shared" si="56"/>
        <v>5</v>
      </c>
      <c r="U176" s="251">
        <f t="shared" si="57"/>
        <v>-4.707209327933129E-2</v>
      </c>
      <c r="V176" s="383">
        <f t="shared" si="58"/>
        <v>40.572714874613716</v>
      </c>
      <c r="W176" s="402">
        <f t="shared" si="59"/>
        <v>37.542096492596855</v>
      </c>
      <c r="X176" s="157">
        <f t="shared" si="60"/>
        <v>45088</v>
      </c>
      <c r="Y176" s="385">
        <f t="shared" si="61"/>
        <v>34.342013841397147</v>
      </c>
      <c r="Z176" s="385">
        <f t="shared" si="62"/>
        <v>35.784858999465314</v>
      </c>
      <c r="AA176" s="386">
        <f t="shared" si="63"/>
        <v>40.130158094722177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0.10828013896681722</v>
      </c>
      <c r="AD176" s="231">
        <f>(INDEX(Models!$BJ176:$BT176,,AH176)*(1-AF176)+INDEX(Models!$BJ176:$BT176,,AH176+1)*AF176-ERP_i)*AE176*Ramure*Pc/MaxiM</f>
        <v>0</v>
      </c>
      <c r="AE176" s="305">
        <f t="shared" si="65"/>
        <v>0.7</v>
      </c>
      <c r="AF176" s="177">
        <f t="shared" si="66"/>
        <v>0.95292790672066874</v>
      </c>
      <c r="AG176" s="817">
        <f t="shared" si="74"/>
        <v>-1</v>
      </c>
      <c r="AH176" s="176">
        <f t="shared" si="67"/>
        <v>5</v>
      </c>
      <c r="AI176" s="225">
        <f t="shared" si="68"/>
        <v>-4.707209327933129E-2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45089</v>
      </c>
      <c r="B177" s="411">
        <f>'2022'!Wh/'2022'!Env_an*'2023'!Env_an</f>
        <v>29.719677039055071</v>
      </c>
      <c r="C177" s="846"/>
      <c r="D177" s="393">
        <f t="shared" si="50"/>
        <v>30.96899766770089</v>
      </c>
      <c r="E177" s="385">
        <f t="shared" si="75"/>
        <v>31.775314722678647</v>
      </c>
      <c r="F177" s="385">
        <f t="shared" si="51"/>
        <v>31.775314722678647</v>
      </c>
      <c r="G177" s="110">
        <f t="shared" si="76"/>
        <v>0.73309191471387936</v>
      </c>
      <c r="H177" s="414" t="b">
        <f>Wh_hp&gt;='2022'!Maxi_hp</f>
        <v>0</v>
      </c>
      <c r="I177" s="390">
        <f>IF(H177,Wh_hp,'2022'!Maxi_hp)</f>
        <v>42.346993291813639</v>
      </c>
      <c r="J177" s="85">
        <f>IF(H177,An,'2022'!An_max)</f>
        <v>2019</v>
      </c>
      <c r="K177" s="197">
        <f t="shared" si="52"/>
        <v>45089</v>
      </c>
      <c r="L177" s="147">
        <f>IF(t&lt;Tvie,1-EXP((T0-t)*PertePVj)+'2022'!Pspv,1-EXP((T0-t)*PertePVj)+Pspv)</f>
        <v>4.0341009484746615E-2</v>
      </c>
      <c r="M177" s="850"/>
      <c r="N177" s="850"/>
      <c r="O177" s="48">
        <f>IF(t&lt;Tnet,'2022'!Resal+('2022'!Salim-'2022'!Resal)*(1-EXP(('2022'!Tnet-t)/('2022'!Tau_j))),Resal+(Salim-Resal)*(1-EXP((Tnet-t)/(Tau_j))))*Salcycl</f>
        <v>2.5375580447115863E-2</v>
      </c>
      <c r="P177" s="169">
        <f>(INDEX(Models!$BJ177:$BT177,,T177)*(1-R177)+INDEX(Models!$BJ177:$BT177,,T177+1)*R177-ERP_i)*Q177*Ramure*Pc/MaxiM</f>
        <v>0</v>
      </c>
      <c r="Q177" s="305">
        <f t="shared" si="53"/>
        <v>0.7</v>
      </c>
      <c r="R177" s="177">
        <f t="shared" si="54"/>
        <v>0.95601237214322732</v>
      </c>
      <c r="S177" s="817">
        <f t="shared" si="55"/>
        <v>-1</v>
      </c>
      <c r="T177" s="176">
        <f t="shared" si="56"/>
        <v>5</v>
      </c>
      <c r="U177" s="251">
        <f t="shared" si="57"/>
        <v>-4.3987627856772682E-2</v>
      </c>
      <c r="V177" s="383">
        <f t="shared" si="58"/>
        <v>40.54017844495592</v>
      </c>
      <c r="W177" s="402">
        <f t="shared" si="59"/>
        <v>29.719677039055071</v>
      </c>
      <c r="X177" s="157">
        <f t="shared" si="60"/>
        <v>45089</v>
      </c>
      <c r="Y177" s="385">
        <f t="shared" si="61"/>
        <v>27.18793102706336</v>
      </c>
      <c r="Z177" s="385">
        <f t="shared" si="62"/>
        <v>28.330825111601161</v>
      </c>
      <c r="AA177" s="386">
        <f t="shared" si="63"/>
        <v>31.775314722678647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0.10840143177619217</v>
      </c>
      <c r="AD177" s="231">
        <f>(INDEX(Models!$BJ177:$BT177,,AH177)*(1-AF177)+INDEX(Models!$BJ177:$BT177,,AH177+1)*AF177-ERP_i)*AE177*Ramure*Pc/MaxiM</f>
        <v>0</v>
      </c>
      <c r="AE177" s="305">
        <f t="shared" si="65"/>
        <v>0.7</v>
      </c>
      <c r="AF177" s="177">
        <f t="shared" si="66"/>
        <v>0.95601237214322732</v>
      </c>
      <c r="AG177" s="817">
        <f t="shared" si="74"/>
        <v>-1</v>
      </c>
      <c r="AH177" s="176">
        <f t="shared" si="67"/>
        <v>5</v>
      </c>
      <c r="AI177" s="225">
        <f t="shared" si="68"/>
        <v>-4.3987627856772682E-2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45090</v>
      </c>
      <c r="B178" s="411">
        <f>'2022'!Wh/'2022'!Env_an*'2023'!Env_an</f>
        <v>36.167286183118819</v>
      </c>
      <c r="C178" s="846"/>
      <c r="D178" s="393">
        <f t="shared" si="50"/>
        <v>37.688469252435851</v>
      </c>
      <c r="E178" s="385">
        <f t="shared" si="75"/>
        <v>38.677194364786097</v>
      </c>
      <c r="F178" s="385">
        <f t="shared" si="51"/>
        <v>38.677194364786097</v>
      </c>
      <c r="G178" s="110">
        <f t="shared" si="76"/>
        <v>0.89288931637677638</v>
      </c>
      <c r="H178" s="414" t="b">
        <f>Wh_hp&gt;='2022'!Maxi_hp</f>
        <v>0</v>
      </c>
      <c r="I178" s="390">
        <f>IF(H178,Wh_hp,'2022'!Maxi_hp)</f>
        <v>42.331938879997239</v>
      </c>
      <c r="J178" s="85">
        <f>IF(H178,An,'2022'!An_max)</f>
        <v>2019</v>
      </c>
      <c r="K178" s="197">
        <f t="shared" si="52"/>
        <v>45090</v>
      </c>
      <c r="L178" s="147">
        <f>IF(t&lt;Tvie,1-EXP((T0-t)*PertePVj)+'2022'!Pspv,1-EXP((T0-t)*PertePVj)+Pspv)</f>
        <v>4.0362028479538736E-2</v>
      </c>
      <c r="M178" s="850"/>
      <c r="N178" s="850"/>
      <c r="O178" s="48">
        <f>IF(t&lt;Tnet,'2022'!Resal+('2022'!Salim-'2022'!Resal)*(1-EXP(('2022'!Tnet-t)/('2022'!Tau_j))),Resal+(Salim-Resal)*(1-EXP((Tnet-t)/(Tau_j))))*Salcycl</f>
        <v>2.5563516914516259E-2</v>
      </c>
      <c r="P178" s="169">
        <f>(INDEX(Models!$BJ178:$BT178,,T178)*(1-R178)+INDEX(Models!$BJ178:$BT178,,T178+1)*R178-ERP_i)*Q178*Ramure*Pc/MaxiM</f>
        <v>0</v>
      </c>
      <c r="Q178" s="305">
        <f t="shared" si="53"/>
        <v>0.7</v>
      </c>
      <c r="R178" s="177">
        <f t="shared" si="54"/>
        <v>0.95909163635008987</v>
      </c>
      <c r="S178" s="817">
        <f t="shared" si="55"/>
        <v>-1</v>
      </c>
      <c r="T178" s="176">
        <f t="shared" si="56"/>
        <v>5</v>
      </c>
      <c r="U178" s="251">
        <f t="shared" si="57"/>
        <v>-4.0908363649910101E-2</v>
      </c>
      <c r="V178" s="383">
        <f t="shared" si="58"/>
        <v>40.505900921606674</v>
      </c>
      <c r="W178" s="402">
        <f t="shared" si="59"/>
        <v>36.167286183118819</v>
      </c>
      <c r="X178" s="157">
        <f t="shared" si="60"/>
        <v>45090</v>
      </c>
      <c r="Y178" s="385">
        <f t="shared" si="61"/>
        <v>33.088220011303932</v>
      </c>
      <c r="Z178" s="385">
        <f t="shared" si="62"/>
        <v>34.479898663116238</v>
      </c>
      <c r="AA178" s="386">
        <f t="shared" si="63"/>
        <v>38.677194364786097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0.10852120404812279</v>
      </c>
      <c r="AD178" s="231">
        <f>(INDEX(Models!$BJ178:$BT178,,AH178)*(1-AF178)+INDEX(Models!$BJ178:$BT178,,AH178+1)*AF178-ERP_i)*AE178*Ramure*Pc/MaxiM</f>
        <v>0</v>
      </c>
      <c r="AE178" s="305">
        <f t="shared" si="65"/>
        <v>0.7</v>
      </c>
      <c r="AF178" s="177">
        <f t="shared" si="66"/>
        <v>0.95909163635008987</v>
      </c>
      <c r="AG178" s="817">
        <f t="shared" si="74"/>
        <v>-1</v>
      </c>
      <c r="AH178" s="176">
        <f t="shared" si="67"/>
        <v>5</v>
      </c>
      <c r="AI178" s="225">
        <f t="shared" si="68"/>
        <v>-4.0908363649910101E-2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45091</v>
      </c>
      <c r="B179" s="411">
        <f>'2022'!Wh/'2022'!Env_an*'2023'!Env_an</f>
        <v>32.398862082836672</v>
      </c>
      <c r="C179" s="846"/>
      <c r="D179" s="393">
        <f t="shared" si="50"/>
        <v>33.76228606843717</v>
      </c>
      <c r="E179" s="385">
        <f t="shared" si="75"/>
        <v>34.654679976732957</v>
      </c>
      <c r="F179" s="385">
        <f t="shared" si="51"/>
        <v>34.654679976732957</v>
      </c>
      <c r="G179" s="110">
        <f t="shared" si="76"/>
        <v>0.8005652245803101</v>
      </c>
      <c r="H179" s="414" t="b">
        <f>Wh_hp&gt;='2022'!Maxi_hp</f>
        <v>0</v>
      </c>
      <c r="I179" s="390">
        <f>IF(H179,Wh_hp,'2022'!Maxi_hp)</f>
        <v>38.498125268407549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4.0383047013961004E-2</v>
      </c>
      <c r="M179" s="850"/>
      <c r="N179" s="850"/>
      <c r="O179" s="48">
        <f>IF(t&lt;Tnet,'2022'!Resal+('2022'!Salim-'2022'!Resal)*(1-EXP(('2022'!Tnet-t)/('2022'!Tau_j))),Resal+(Salim-Resal)*(1-EXP((Tnet-t)/(Tau_j))))*Salcycl</f>
        <v>2.5751035903229719E-2</v>
      </c>
      <c r="P179" s="169">
        <f>(INDEX(Models!$BJ179:$BT179,,T179)*(1-R179)+INDEX(Models!$BJ179:$BT179,,T179+1)*R179-ERP_i)*Q179*Ramure*Pc/MaxiM</f>
        <v>0</v>
      </c>
      <c r="Q179" s="305">
        <f t="shared" si="53"/>
        <v>0.7</v>
      </c>
      <c r="R179" s="177">
        <f t="shared" si="54"/>
        <v>0.96216312063408393</v>
      </c>
      <c r="S179" s="817">
        <f t="shared" si="55"/>
        <v>-1</v>
      </c>
      <c r="T179" s="176">
        <f t="shared" si="56"/>
        <v>5</v>
      </c>
      <c r="U179" s="251">
        <f t="shared" si="57"/>
        <v>-3.783687936591601E-2</v>
      </c>
      <c r="V179" s="383">
        <f t="shared" si="58"/>
        <v>40.46998431617051</v>
      </c>
      <c r="W179" s="402">
        <f t="shared" si="59"/>
        <v>32.398862082836672</v>
      </c>
      <c r="X179" s="157">
        <f t="shared" si="60"/>
        <v>45091</v>
      </c>
      <c r="Y179" s="385">
        <f t="shared" si="61"/>
        <v>29.642391466298537</v>
      </c>
      <c r="Z179" s="385">
        <f t="shared" si="62"/>
        <v>30.889816373147994</v>
      </c>
      <c r="AA179" s="386">
        <f t="shared" si="63"/>
        <v>34.654679976732957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0.10863939895311922</v>
      </c>
      <c r="AD179" s="231">
        <f>(INDEX(Models!$BJ179:$BT179,,AH179)*(1-AF179)+INDEX(Models!$BJ179:$BT179,,AH179+1)*AF179-ERP_i)*AE179*Ramure*Pc/MaxiM</f>
        <v>0</v>
      </c>
      <c r="AE179" s="305">
        <f t="shared" si="65"/>
        <v>0.7</v>
      </c>
      <c r="AF179" s="177">
        <f t="shared" si="66"/>
        <v>0.96216312063408393</v>
      </c>
      <c r="AG179" s="817">
        <f t="shared" si="74"/>
        <v>-1</v>
      </c>
      <c r="AH179" s="176">
        <f t="shared" si="67"/>
        <v>5</v>
      </c>
      <c r="AI179" s="225">
        <f t="shared" si="68"/>
        <v>-3.783687936591601E-2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45092</v>
      </c>
      <c r="B180" s="411">
        <f>'2022'!Wh/'2022'!Env_an*'2023'!Env_an</f>
        <v>36.719619516360076</v>
      </c>
      <c r="C180" s="846"/>
      <c r="D180" s="393">
        <f t="shared" si="50"/>
        <v>38.265709743474844</v>
      </c>
      <c r="E180" s="385">
        <f t="shared" si="75"/>
        <v>39.284680421129096</v>
      </c>
      <c r="F180" s="385">
        <f t="shared" si="51"/>
        <v>39.284680421129096</v>
      </c>
      <c r="G180" s="110">
        <f t="shared" si="76"/>
        <v>0.90817020478727051</v>
      </c>
      <c r="H180" s="414" t="b">
        <f>Wh_hp&gt;='2022'!Maxi_hp</f>
        <v>1</v>
      </c>
      <c r="I180" s="390">
        <f>IF(H180,Wh_hp,'2022'!Maxi_hp)</f>
        <v>39.284680421129096</v>
      </c>
      <c r="J180" s="85">
        <f>IF(H180,An,'2022'!An_max)</f>
        <v>2023</v>
      </c>
      <c r="K180" s="197">
        <f t="shared" si="52"/>
        <v>45092</v>
      </c>
      <c r="L180" s="147">
        <f>IF(t&lt;Tvie,1-EXP((T0-t)*PertePVj)+'2022'!Pspv,1-EXP((T0-t)*PertePVj)+Pspv)</f>
        <v>4.0404065088023411E-2</v>
      </c>
      <c r="M180" s="850"/>
      <c r="N180" s="850"/>
      <c r="O180" s="48">
        <f>IF(t&lt;Tnet,'2022'!Resal+('2022'!Salim-'2022'!Resal)*(1-EXP(('2022'!Tnet-t)/('2022'!Tau_j))),Resal+(Salim-Resal)*(1-EXP((Tnet-t)/(Tau_j))))*Salcycl</f>
        <v>2.5938118033059072E-2</v>
      </c>
      <c r="P180" s="169">
        <f>(INDEX(Models!$BJ180:$BT180,,T180)*(1-R180)+INDEX(Models!$BJ180:$BT180,,T180+1)*R180-ERP_i)*Q180*Ramure*Pc/MaxiM</f>
        <v>0</v>
      </c>
      <c r="Q180" s="305">
        <f t="shared" si="53"/>
        <v>0.7</v>
      </c>
      <c r="R180" s="177">
        <f t="shared" si="54"/>
        <v>0.96522427239353614</v>
      </c>
      <c r="S180" s="817">
        <f t="shared" si="55"/>
        <v>-1</v>
      </c>
      <c r="T180" s="176">
        <f t="shared" si="56"/>
        <v>5</v>
      </c>
      <c r="U180" s="251">
        <f t="shared" si="57"/>
        <v>-3.4775727606463858E-2</v>
      </c>
      <c r="V180" s="383">
        <f t="shared" si="58"/>
        <v>40.432530513331763</v>
      </c>
      <c r="W180" s="402">
        <f t="shared" si="59"/>
        <v>36.719619516360076</v>
      </c>
      <c r="X180" s="157">
        <f t="shared" si="60"/>
        <v>45092</v>
      </c>
      <c r="Y180" s="385">
        <f t="shared" si="61"/>
        <v>33.597600413368063</v>
      </c>
      <c r="Z180" s="385">
        <f t="shared" si="62"/>
        <v>35.012237120877302</v>
      </c>
      <c r="AA180" s="386">
        <f t="shared" si="63"/>
        <v>39.284680421129096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0.10875596427033378</v>
      </c>
      <c r="AD180" s="231">
        <f>(INDEX(Models!$BJ180:$BT180,,AH180)*(1-AF180)+INDEX(Models!$BJ180:$BT180,,AH180+1)*AF180-ERP_i)*AE180*Ramure*Pc/MaxiM</f>
        <v>0</v>
      </c>
      <c r="AE180" s="305">
        <f t="shared" si="65"/>
        <v>0.7</v>
      </c>
      <c r="AF180" s="177">
        <f t="shared" si="66"/>
        <v>0.96522427239353614</v>
      </c>
      <c r="AG180" s="817">
        <f t="shared" si="74"/>
        <v>-1</v>
      </c>
      <c r="AH180" s="176">
        <f t="shared" si="67"/>
        <v>5</v>
      </c>
      <c r="AI180" s="225">
        <f t="shared" si="68"/>
        <v>-3.4775727606463858E-2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45093</v>
      </c>
      <c r="B181" s="411">
        <f>'2022'!Wh/'2022'!Env_an*'2023'!Env_an</f>
        <v>34.644588841427193</v>
      </c>
      <c r="C181" s="846"/>
      <c r="D181" s="393">
        <f t="shared" si="50"/>
        <v>36.104100072739435</v>
      </c>
      <c r="E181" s="385">
        <f t="shared" si="75"/>
        <v>37.072612616521525</v>
      </c>
      <c r="F181" s="385">
        <f t="shared" si="51"/>
        <v>37.072612616521525</v>
      </c>
      <c r="G181" s="110">
        <f t="shared" si="76"/>
        <v>0.85767432083089712</v>
      </c>
      <c r="H181" s="414" t="b">
        <f>Wh_hp&gt;='2022'!Maxi_hp</f>
        <v>0</v>
      </c>
      <c r="I181" s="390">
        <f>IF(H181,Wh_hp,'2022'!Maxi_hp)</f>
        <v>44.363595434270344</v>
      </c>
      <c r="J181" s="85">
        <f>IF(H181,An,'2022'!An_max)</f>
        <v>2019</v>
      </c>
      <c r="K181" s="197">
        <f t="shared" si="52"/>
        <v>45093</v>
      </c>
      <c r="L181" s="147">
        <f>IF(t&lt;Tvie,1-EXP((T0-t)*PertePVj)+'2022'!Pspv,1-EXP((T0-t)*PertePVj)+Pspv)</f>
        <v>4.0425082701735948E-2</v>
      </c>
      <c r="M181" s="850"/>
      <c r="N181" s="850"/>
      <c r="O181" s="48">
        <f>IF(t&lt;Tnet,'2022'!Resal+('2022'!Salim-'2022'!Resal)*(1-EXP(('2022'!Tnet-t)/('2022'!Tau_j))),Resal+(Salim-Resal)*(1-EXP((Tnet-t)/(Tau_j))))*Salcycl</f>
        <v>2.612474480286477E-2</v>
      </c>
      <c r="P181" s="169">
        <f>(INDEX(Models!$BJ181:$BT181,,T181)*(1-R181)+INDEX(Models!$BJ181:$BT181,,T181+1)*R181-ERP_i)*Q181*Ramure*Pc/MaxiM</f>
        <v>0</v>
      </c>
      <c r="Q181" s="305">
        <f t="shared" si="53"/>
        <v>0.7</v>
      </c>
      <c r="R181" s="177">
        <f t="shared" si="54"/>
        <v>0.9682725735442177</v>
      </c>
      <c r="S181" s="817">
        <f t="shared" si="55"/>
        <v>-1</v>
      </c>
      <c r="T181" s="176">
        <f t="shared" si="56"/>
        <v>5</v>
      </c>
      <c r="U181" s="251">
        <f t="shared" si="57"/>
        <v>-3.1727426455782248E-2</v>
      </c>
      <c r="V181" s="383">
        <f t="shared" si="58"/>
        <v>40.393641269175731</v>
      </c>
      <c r="W181" s="402">
        <f t="shared" si="59"/>
        <v>34.644588841427193</v>
      </c>
      <c r="X181" s="157">
        <f t="shared" si="60"/>
        <v>45093</v>
      </c>
      <c r="Y181" s="385">
        <f t="shared" si="61"/>
        <v>31.700983008337726</v>
      </c>
      <c r="Z181" s="385">
        <f t="shared" si="62"/>
        <v>33.036485673879</v>
      </c>
      <c r="AA181" s="386">
        <f t="shared" si="63"/>
        <v>37.072612616521525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0.10887085257227896</v>
      </c>
      <c r="AD181" s="231">
        <f>(INDEX(Models!$BJ181:$BT181,,AH181)*(1-AF181)+INDEX(Models!$BJ181:$BT181,,AH181+1)*AF181-ERP_i)*AE181*Ramure*Pc/MaxiM</f>
        <v>0</v>
      </c>
      <c r="AE181" s="305">
        <f t="shared" si="65"/>
        <v>0.7</v>
      </c>
      <c r="AF181" s="177">
        <f t="shared" si="66"/>
        <v>0.9682725735442177</v>
      </c>
      <c r="AG181" s="817">
        <f t="shared" si="74"/>
        <v>-1</v>
      </c>
      <c r="AH181" s="176">
        <f t="shared" si="67"/>
        <v>5</v>
      </c>
      <c r="AI181" s="225">
        <f t="shared" si="68"/>
        <v>-3.1727426455782248E-2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45094</v>
      </c>
      <c r="B182" s="411">
        <f>'2022'!Wh/'2022'!Env_an*'2023'!Env_an</f>
        <v>35.274544790802629</v>
      </c>
      <c r="C182" s="846"/>
      <c r="D182" s="393">
        <f t="shared" si="50"/>
        <v>36.76140004795586</v>
      </c>
      <c r="E182" s="385">
        <f t="shared" si="75"/>
        <v>37.754761758737096</v>
      </c>
      <c r="F182" s="385">
        <f t="shared" si="51"/>
        <v>37.754761758737096</v>
      </c>
      <c r="G182" s="110">
        <f t="shared" si="76"/>
        <v>0.8741401932440227</v>
      </c>
      <c r="H182" s="414" t="b">
        <f>Wh_hp&gt;='2022'!Maxi_hp</f>
        <v>0</v>
      </c>
      <c r="I182" s="390">
        <f>IF(H182,Wh_hp,'2022'!Maxi_hp)</f>
        <v>42.925961898835723</v>
      </c>
      <c r="J182" s="85">
        <f>IF(H182,An,'2022'!An_max)</f>
        <v>2019</v>
      </c>
      <c r="K182" s="197">
        <f t="shared" si="52"/>
        <v>45094</v>
      </c>
      <c r="L182" s="147">
        <f>IF(t&lt;Tvie,1-EXP((T0-t)*PertePVj)+'2022'!Pspv,1-EXP((T0-t)*PertePVj)+Pspv)</f>
        <v>4.0446099855108941E-2</v>
      </c>
      <c r="M182" s="850"/>
      <c r="N182" s="850"/>
      <c r="O182" s="48">
        <f>IF(t&lt;Tnet,'2022'!Resal+('2022'!Salim-'2022'!Resal)*(1-EXP(('2022'!Tnet-t)/('2022'!Tau_j))),Resal+(Salim-Resal)*(1-EXP((Tnet-t)/(Tau_j))))*Salcycl</f>
        <v>2.6310898665685721E-2</v>
      </c>
      <c r="P182" s="169">
        <f>(INDEX(Models!$BJ182:$BT182,,T182)*(1-R182)+INDEX(Models!$BJ182:$BT182,,T182+1)*R182-ERP_i)*Q182*Ramure*Pc/MaxiM</f>
        <v>0</v>
      </c>
      <c r="Q182" s="305">
        <f t="shared" si="53"/>
        <v>0.7</v>
      </c>
      <c r="R182" s="177">
        <f t="shared" si="54"/>
        <v>0.97130554868737207</v>
      </c>
      <c r="S182" s="817">
        <f t="shared" si="55"/>
        <v>-1</v>
      </c>
      <c r="T182" s="176">
        <f t="shared" si="56"/>
        <v>5</v>
      </c>
      <c r="U182" s="251">
        <f t="shared" si="57"/>
        <v>-2.8694451312627878E-2</v>
      </c>
      <c r="V182" s="383">
        <f t="shared" si="58"/>
        <v>40.353418208462905</v>
      </c>
      <c r="W182" s="402">
        <f t="shared" si="59"/>
        <v>35.274544790802629</v>
      </c>
      <c r="X182" s="157">
        <f t="shared" si="60"/>
        <v>45094</v>
      </c>
      <c r="Y182" s="385">
        <f t="shared" si="61"/>
        <v>32.279485314085761</v>
      </c>
      <c r="Z182" s="385">
        <f t="shared" si="62"/>
        <v>33.640095995870176</v>
      </c>
      <c r="AA182" s="386">
        <f t="shared" si="63"/>
        <v>37.754761758737096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0.10898402138412956</v>
      </c>
      <c r="AD182" s="231">
        <f>(INDEX(Models!$BJ182:$BT182,,AH182)*(1-AF182)+INDEX(Models!$BJ182:$BT182,,AH182+1)*AF182-ERP_i)*AE182*Ramure*Pc/MaxiM</f>
        <v>0</v>
      </c>
      <c r="AE182" s="305">
        <f t="shared" si="65"/>
        <v>0.7</v>
      </c>
      <c r="AF182" s="177">
        <f t="shared" si="66"/>
        <v>0.97130554868737207</v>
      </c>
      <c r="AG182" s="817">
        <f t="shared" si="74"/>
        <v>-1</v>
      </c>
      <c r="AH182" s="176">
        <f t="shared" si="67"/>
        <v>5</v>
      </c>
      <c r="AI182" s="225">
        <f t="shared" si="68"/>
        <v>-2.8694451312627878E-2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45095</v>
      </c>
      <c r="B183" s="411">
        <f>'2022'!Wh/'2022'!Env_an*'2023'!Env_an</f>
        <v>36.571185415785706</v>
      </c>
      <c r="C183" s="846"/>
      <c r="D183" s="393">
        <f t="shared" si="50"/>
        <v>38.113530079577473</v>
      </c>
      <c r="E183" s="385">
        <f t="shared" si="75"/>
        <v>39.150894218603867</v>
      </c>
      <c r="F183" s="385">
        <f t="shared" si="51"/>
        <v>39.150894218603867</v>
      </c>
      <c r="G183" s="110">
        <f t="shared" si="76"/>
        <v>0.90720428516913176</v>
      </c>
      <c r="H183" s="414" t="b">
        <f>Wh_hp&gt;='2022'!Maxi_hp</f>
        <v>0</v>
      </c>
      <c r="I183" s="390">
        <f>IF(H183,Wh_hp,'2022'!Maxi_hp)</f>
        <v>41.455412731300569</v>
      </c>
      <c r="J183" s="85">
        <f>IF(H183,An,'2022'!An_max)</f>
        <v>2019</v>
      </c>
      <c r="K183" s="197">
        <f t="shared" si="52"/>
        <v>45095</v>
      </c>
      <c r="L183" s="147">
        <f>IF(t&lt;Tvie,1-EXP((T0-t)*PertePVj)+'2022'!Pspv,1-EXP((T0-t)*PertePVj)+Pspv)</f>
        <v>4.0467116548152271E-2</v>
      </c>
      <c r="M183" s="850"/>
      <c r="N183" s="850"/>
      <c r="O183" s="48">
        <f>IF(t&lt;Tnet,'2022'!Resal+('2022'!Salim-'2022'!Resal)*(1-EXP(('2022'!Tnet-t)/('2022'!Tau_j))),Resal+(Salim-Resal)*(1-EXP((Tnet-t)/(Tau_j))))*Salcycl</f>
        <v>2.6496563098511668E-2</v>
      </c>
      <c r="P183" s="169">
        <f>(INDEX(Models!$BJ183:$BT183,,T183)*(1-R183)+INDEX(Models!$BJ183:$BT183,,T183+1)*R183-ERP_i)*Q183*Ramure*Pc/MaxiM</f>
        <v>0</v>
      </c>
      <c r="Q183" s="305">
        <f t="shared" si="53"/>
        <v>0.7</v>
      </c>
      <c r="R183" s="177">
        <f t="shared" si="54"/>
        <v>0.97432077297843378</v>
      </c>
      <c r="S183" s="817">
        <f t="shared" si="55"/>
        <v>-1</v>
      </c>
      <c r="T183" s="176">
        <f t="shared" si="56"/>
        <v>5</v>
      </c>
      <c r="U183" s="251">
        <f t="shared" si="57"/>
        <v>-2.567922702156622E-2</v>
      </c>
      <c r="V183" s="383">
        <f t="shared" si="58"/>
        <v>40.311962822097641</v>
      </c>
      <c r="W183" s="402">
        <f t="shared" si="59"/>
        <v>36.571185415785706</v>
      </c>
      <c r="X183" s="157">
        <f t="shared" si="60"/>
        <v>45095</v>
      </c>
      <c r="Y183" s="385">
        <f t="shared" si="61"/>
        <v>33.468229141191578</v>
      </c>
      <c r="Z183" s="385">
        <f t="shared" si="62"/>
        <v>34.879710449101161</v>
      </c>
      <c r="AA183" s="386">
        <f t="shared" si="63"/>
        <v>39.150894218603867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0.10909543331638927</v>
      </c>
      <c r="AD183" s="231">
        <f>(INDEX(Models!$BJ183:$BT183,,AH183)*(1-AF183)+INDEX(Models!$BJ183:$BT183,,AH183+1)*AF183-ERP_i)*AE183*Ramure*Pc/MaxiM</f>
        <v>0</v>
      </c>
      <c r="AE183" s="305">
        <f t="shared" si="65"/>
        <v>0.7</v>
      </c>
      <c r="AF183" s="177">
        <f t="shared" si="66"/>
        <v>0.97432077297843378</v>
      </c>
      <c r="AG183" s="817">
        <f t="shared" si="74"/>
        <v>-1</v>
      </c>
      <c r="AH183" s="176">
        <f t="shared" si="67"/>
        <v>5</v>
      </c>
      <c r="AI183" s="225">
        <f t="shared" si="68"/>
        <v>-2.567922702156622E-2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45096</v>
      </c>
      <c r="B184" s="411">
        <f>'2022'!Wh/'2022'!Env_an*'2023'!Env_an</f>
        <v>37.443127240548492</v>
      </c>
      <c r="C184" s="846"/>
      <c r="D184" s="393">
        <f t="shared" si="50"/>
        <v>39.023099681994445</v>
      </c>
      <c r="E184" s="385">
        <f t="shared" si="75"/>
        <v>40.09284587657087</v>
      </c>
      <c r="F184" s="385">
        <f t="shared" si="51"/>
        <v>40.09284587657087</v>
      </c>
      <c r="G184" s="110">
        <f t="shared" si="76"/>
        <v>0.92981641456178798</v>
      </c>
      <c r="H184" s="414" t="b">
        <f>Wh_hp&gt;='2022'!Maxi_hp</f>
        <v>1</v>
      </c>
      <c r="I184" s="390">
        <f>IF(H184,Wh_hp,'2022'!Maxi_hp)</f>
        <v>40.09284587657087</v>
      </c>
      <c r="J184" s="85">
        <f>IF(H184,An,'2022'!An_max)</f>
        <v>2023</v>
      </c>
      <c r="K184" s="197">
        <f t="shared" si="52"/>
        <v>45096</v>
      </c>
      <c r="L184" s="147">
        <f>IF(t&lt;Tvie,1-EXP((T0-t)*PertePVj)+'2022'!Pspv,1-EXP((T0-t)*PertePVj)+Pspv)</f>
        <v>4.0488132780876041E-2</v>
      </c>
      <c r="M184" s="850"/>
      <c r="N184" s="850"/>
      <c r="O184" s="48">
        <f>IF(t&lt;Tnet,'2022'!Resal+('2022'!Salim-'2022'!Resal)*(1-EXP(('2022'!Tnet-t)/('2022'!Tau_j))),Resal+(Salim-Resal)*(1-EXP((Tnet-t)/(Tau_j))))*Salcycl</f>
        <v>2.6681722666176501E-2</v>
      </c>
      <c r="P184" s="169">
        <f>(INDEX(Models!$BJ184:$BT184,,T184)*(1-R184)+INDEX(Models!$BJ184:$BT184,,T184+1)*R184-ERP_i)*Q184*Ramure*Pc/MaxiM</f>
        <v>0</v>
      </c>
      <c r="Q184" s="305">
        <f t="shared" si="53"/>
        <v>0.7</v>
      </c>
      <c r="R184" s="177">
        <f t="shared" si="54"/>
        <v>0.97731587964463174</v>
      </c>
      <c r="S184" s="817">
        <f t="shared" si="55"/>
        <v>-1</v>
      </c>
      <c r="T184" s="176">
        <f t="shared" si="56"/>
        <v>5</v>
      </c>
      <c r="U184" s="251">
        <f t="shared" si="57"/>
        <v>-2.2684120355368237E-2</v>
      </c>
      <c r="V184" s="383">
        <f t="shared" si="58"/>
        <v>40.269376464164722</v>
      </c>
      <c r="W184" s="402">
        <f t="shared" si="59"/>
        <v>37.443127240548492</v>
      </c>
      <c r="X184" s="157">
        <f t="shared" si="60"/>
        <v>45096</v>
      </c>
      <c r="Y184" s="385">
        <f t="shared" si="61"/>
        <v>34.268490794638737</v>
      </c>
      <c r="Z184" s="385">
        <f t="shared" si="62"/>
        <v>35.714504390608887</v>
      </c>
      <c r="AA184" s="386">
        <f t="shared" si="63"/>
        <v>40.09284587657087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0.10920505616989799</v>
      </c>
      <c r="AD184" s="231">
        <f>(INDEX(Models!$BJ184:$BT184,,AH184)*(1-AF184)+INDEX(Models!$BJ184:$BT184,,AH184+1)*AF184-ERP_i)*AE184*Ramure*Pc/MaxiM</f>
        <v>0</v>
      </c>
      <c r="AE184" s="305">
        <f t="shared" si="65"/>
        <v>0.7</v>
      </c>
      <c r="AF184" s="177">
        <f t="shared" si="66"/>
        <v>0.97731587964463174</v>
      </c>
      <c r="AG184" s="817">
        <f t="shared" si="74"/>
        <v>-1</v>
      </c>
      <c r="AH184" s="176">
        <f t="shared" si="67"/>
        <v>5</v>
      </c>
      <c r="AI184" s="225">
        <f t="shared" si="68"/>
        <v>-2.2684120355368237E-2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45097</v>
      </c>
      <c r="B185" s="411">
        <f>'2022'!Wh/'2022'!Env_an*'2023'!Env_an</f>
        <v>21.043357477001184</v>
      </c>
      <c r="C185" s="846"/>
      <c r="D185" s="393">
        <f t="shared" si="50"/>
        <v>21.931795853261388</v>
      </c>
      <c r="E185" s="385">
        <f t="shared" si="75"/>
        <v>22.537290893212862</v>
      </c>
      <c r="F185" s="385">
        <f t="shared" si="51"/>
        <v>22.537290893212862</v>
      </c>
      <c r="G185" s="110">
        <f t="shared" si="76"/>
        <v>0.52313137883227301</v>
      </c>
      <c r="H185" s="414" t="b">
        <f>Wh_hp&gt;='2022'!Maxi_hp</f>
        <v>0</v>
      </c>
      <c r="I185" s="390">
        <f>IF(H185,Wh_hp,'2022'!Maxi_hp)</f>
        <v>39.022000068069346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4.0509148553290464E-2</v>
      </c>
      <c r="M185" s="850"/>
      <c r="N185" s="850"/>
      <c r="O185" s="48">
        <f>IF(t&lt;Tnet,'2022'!Resal+('2022'!Salim-'2022'!Resal)*(1-EXP(('2022'!Tnet-t)/('2022'!Tau_j))),Resal+(Salim-Resal)*(1-EXP((Tnet-t)/(Tau_j))))*Salcycl</f>
        <v>2.6866363078883623E-2</v>
      </c>
      <c r="P185" s="169">
        <f>(INDEX(Models!$BJ185:$BT185,,T185)*(1-R185)+INDEX(Models!$BJ185:$BT185,,T185+1)*R185-ERP_i)*Q185*Ramure*Pc/MaxiM</f>
        <v>0</v>
      </c>
      <c r="Q185" s="305">
        <f t="shared" si="53"/>
        <v>0.7</v>
      </c>
      <c r="R185" s="177">
        <f t="shared" si="54"/>
        <v>0.98028856710380918</v>
      </c>
      <c r="S185" s="817">
        <f t="shared" si="55"/>
        <v>-1</v>
      </c>
      <c r="T185" s="176">
        <f t="shared" si="56"/>
        <v>5</v>
      </c>
      <c r="U185" s="251">
        <f t="shared" si="57"/>
        <v>-1.9711432896190845E-2</v>
      </c>
      <c r="V185" s="383">
        <f t="shared" si="58"/>
        <v>40.225760351011424</v>
      </c>
      <c r="W185" s="402">
        <f t="shared" si="59"/>
        <v>21.043357477001184</v>
      </c>
      <c r="X185" s="157">
        <f t="shared" si="60"/>
        <v>45097</v>
      </c>
      <c r="Y185" s="385">
        <f t="shared" si="61"/>
        <v>19.260507614451004</v>
      </c>
      <c r="Z185" s="385">
        <f t="shared" si="62"/>
        <v>20.073675101133301</v>
      </c>
      <c r="AA185" s="386">
        <f t="shared" si="63"/>
        <v>22.537290893212862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0.10931286301236338</v>
      </c>
      <c r="AD185" s="231">
        <f>(INDEX(Models!$BJ185:$BT185,,AH185)*(1-AF185)+INDEX(Models!$BJ185:$BT185,,AH185+1)*AF185-ERP_i)*AE185*Ramure*Pc/MaxiM</f>
        <v>0</v>
      </c>
      <c r="AE185" s="305">
        <f t="shared" si="65"/>
        <v>0.7</v>
      </c>
      <c r="AF185" s="177">
        <f t="shared" si="66"/>
        <v>0.98028856710380918</v>
      </c>
      <c r="AG185" s="817">
        <f t="shared" si="74"/>
        <v>-1</v>
      </c>
      <c r="AH185" s="176">
        <f t="shared" si="67"/>
        <v>5</v>
      </c>
      <c r="AI185" s="225">
        <f t="shared" si="68"/>
        <v>-1.9711432896190845E-2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45098</v>
      </c>
      <c r="B186" s="411">
        <f>'2022'!Wh/'2022'!Env_an*'2023'!Env_an</f>
        <v>14.727905888660729</v>
      </c>
      <c r="C186" s="846"/>
      <c r="D186" s="393">
        <f t="shared" si="50"/>
        <v>15.350045758598187</v>
      </c>
      <c r="E186" s="385">
        <f t="shared" si="75"/>
        <v>15.776816067949106</v>
      </c>
      <c r="F186" s="385">
        <f t="shared" si="51"/>
        <v>15.776816067949106</v>
      </c>
      <c r="G186" s="110">
        <f t="shared" si="76"/>
        <v>0.36653709161787357</v>
      </c>
      <c r="H186" s="414" t="b">
        <f>Wh_hp&gt;='2022'!Maxi_hp</f>
        <v>0</v>
      </c>
      <c r="I186" s="390">
        <f>IF(H186,Wh_hp,'2022'!Maxi_hp)</f>
        <v>35.180212507104621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4.0530163865405533E-2</v>
      </c>
      <c r="M186" s="850"/>
      <c r="N186" s="850"/>
      <c r="O186" s="48">
        <f>IF(t&lt;Tnet,'2022'!Resal+('2022'!Salim-'2022'!Resal)*(1-EXP(('2022'!Tnet-t)/('2022'!Tau_j))),Resal+(Salim-Resal)*(1-EXP((Tnet-t)/(Tau_j))))*Salcycl</f>
        <v>2.7050471242921429E-2</v>
      </c>
      <c r="P186" s="169">
        <f>(INDEX(Models!$BJ186:$BT186,,T186)*(1-R186)+INDEX(Models!$BJ186:$BT186,,T186+1)*R186-ERP_i)*Q186*Ramure*Pc/MaxiM</f>
        <v>0</v>
      </c>
      <c r="Q186" s="305">
        <f t="shared" si="53"/>
        <v>0.7</v>
      </c>
      <c r="R186" s="177">
        <f t="shared" si="54"/>
        <v>0.98323660564143089</v>
      </c>
      <c r="S186" s="817">
        <f t="shared" si="55"/>
        <v>-1</v>
      </c>
      <c r="T186" s="176">
        <f t="shared" si="56"/>
        <v>5</v>
      </c>
      <c r="U186" s="251">
        <f t="shared" si="57"/>
        <v>-1.6763394358569134E-2</v>
      </c>
      <c r="V186" s="383">
        <f t="shared" si="58"/>
        <v>40.181215558983688</v>
      </c>
      <c r="W186" s="402">
        <f t="shared" si="59"/>
        <v>14.727905888660729</v>
      </c>
      <c r="X186" s="157">
        <f t="shared" si="60"/>
        <v>45098</v>
      </c>
      <c r="Y186" s="385">
        <f t="shared" si="61"/>
        <v>13.481064780356746</v>
      </c>
      <c r="Z186" s="385">
        <f t="shared" si="62"/>
        <v>14.050535277552616</v>
      </c>
      <c r="AA186" s="386">
        <f t="shared" si="63"/>
        <v>15.776816067949106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0.10941883222581657</v>
      </c>
      <c r="AD186" s="231">
        <f>(INDEX(Models!$BJ186:$BT186,,AH186)*(1-AF186)+INDEX(Models!$BJ186:$BT186,,AH186+1)*AF186-ERP_i)*AE186*Ramure*Pc/MaxiM</f>
        <v>0</v>
      </c>
      <c r="AE186" s="305">
        <f t="shared" si="65"/>
        <v>0.7</v>
      </c>
      <c r="AF186" s="177">
        <f t="shared" si="66"/>
        <v>0.98323660564143089</v>
      </c>
      <c r="AG186" s="817">
        <f t="shared" si="74"/>
        <v>-1</v>
      </c>
      <c r="AH186" s="176">
        <f t="shared" si="67"/>
        <v>5</v>
      </c>
      <c r="AI186" s="225">
        <f t="shared" si="68"/>
        <v>-1.6763394358569134E-2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45099</v>
      </c>
      <c r="B187" s="411">
        <f>'2022'!Wh/'2022'!Env_an*'2023'!Env_an</f>
        <v>30.728242798107239</v>
      </c>
      <c r="C187" s="846"/>
      <c r="D187" s="393">
        <f t="shared" si="50"/>
        <v>32.026974359115933</v>
      </c>
      <c r="E187" s="385">
        <f t="shared" si="75"/>
        <v>32.923617315425474</v>
      </c>
      <c r="F187" s="385">
        <f t="shared" si="51"/>
        <v>32.923617315425474</v>
      </c>
      <c r="G187" s="110">
        <f t="shared" si="76"/>
        <v>0.7656060140451908</v>
      </c>
      <c r="H187" s="414" t="b">
        <f>Wh_hp&gt;='2022'!Maxi_hp</f>
        <v>0</v>
      </c>
      <c r="I187" s="390">
        <f>IF(H187,Wh_hp,'2022'!Maxi_hp)</f>
        <v>43.398049823870345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4.055117871723124E-2</v>
      </c>
      <c r="M187" s="850"/>
      <c r="N187" s="850"/>
      <c r="O187" s="48">
        <f>IF(t&lt;Tnet,'2022'!Resal+('2022'!Salim-'2022'!Resal)*(1-EXP(('2022'!Tnet-t)/('2022'!Tau_j))),Resal+(Salim-Resal)*(1-EXP((Tnet-t)/(Tau_j))))*Salcycl</f>
        <v>2.723403530417802E-2</v>
      </c>
      <c r="P187" s="169">
        <f>(INDEX(Models!$BJ187:$BT187,,T187)*(1-R187)+INDEX(Models!$BJ187:$BT187,,T187+1)*R187-ERP_i)*Q187*Ramure*Pc/MaxiM</f>
        <v>0</v>
      </c>
      <c r="Q187" s="305">
        <f t="shared" si="53"/>
        <v>0.7</v>
      </c>
      <c r="R187" s="177">
        <f t="shared" si="54"/>
        <v>0.98615784360780323</v>
      </c>
      <c r="S187" s="817">
        <f t="shared" si="55"/>
        <v>-1</v>
      </c>
      <c r="T187" s="176">
        <f t="shared" si="56"/>
        <v>5</v>
      </c>
      <c r="U187" s="251">
        <f t="shared" si="57"/>
        <v>-1.3842156392196797E-2</v>
      </c>
      <c r="V187" s="383">
        <f t="shared" si="58"/>
        <v>40.135843024207844</v>
      </c>
      <c r="W187" s="402">
        <f t="shared" si="59"/>
        <v>30.728242798107239</v>
      </c>
      <c r="X187" s="157">
        <f t="shared" si="60"/>
        <v>45099</v>
      </c>
      <c r="Y187" s="385">
        <f t="shared" si="61"/>
        <v>28.12885736926734</v>
      </c>
      <c r="Z187" s="385">
        <f t="shared" si="62"/>
        <v>29.317725703867641</v>
      </c>
      <c r="AA187" s="386">
        <f t="shared" si="63"/>
        <v>32.923617315425474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0.10952294752461439</v>
      </c>
      <c r="AD187" s="231">
        <f>(INDEX(Models!$BJ187:$BT187,,AH187)*(1-AF187)+INDEX(Models!$BJ187:$BT187,,AH187+1)*AF187-ERP_i)*AE187*Ramure*Pc/MaxiM</f>
        <v>0</v>
      </c>
      <c r="AE187" s="305">
        <f t="shared" si="65"/>
        <v>0.7</v>
      </c>
      <c r="AF187" s="177">
        <f t="shared" si="66"/>
        <v>0.98615784360780323</v>
      </c>
      <c r="AG187" s="817">
        <f t="shared" si="74"/>
        <v>-1</v>
      </c>
      <c r="AH187" s="176">
        <f t="shared" si="67"/>
        <v>5</v>
      </c>
      <c r="AI187" s="225">
        <f t="shared" si="68"/>
        <v>-1.3842156392196797E-2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45100</v>
      </c>
      <c r="B188" s="411">
        <f>'2022'!Wh/'2022'!Env_an*'2023'!Env_an</f>
        <v>27.605579569821803</v>
      </c>
      <c r="C188" s="846"/>
      <c r="D188" s="393">
        <f t="shared" si="50"/>
        <v>28.772961729419279</v>
      </c>
      <c r="E188" s="385">
        <f t="shared" si="75"/>
        <v>29.584069484411511</v>
      </c>
      <c r="F188" s="385">
        <f t="shared" si="51"/>
        <v>29.584069484411511</v>
      </c>
      <c r="G188" s="110">
        <f t="shared" si="76"/>
        <v>0.68859456638491046</v>
      </c>
      <c r="H188" s="414" t="b">
        <f>Wh_hp&gt;='2022'!Maxi_hp</f>
        <v>0</v>
      </c>
      <c r="I188" s="390">
        <f>IF(H188,Wh_hp,'2022'!Maxi_hp)</f>
        <v>43.321618231322205</v>
      </c>
      <c r="J188" s="85">
        <f>IF(H188,An,'2022'!An_max)</f>
        <v>2018</v>
      </c>
      <c r="K188" s="197">
        <f t="shared" si="52"/>
        <v>45100</v>
      </c>
      <c r="L188" s="147">
        <f>IF(t&lt;Tvie,1-EXP((T0-t)*PertePVj)+'2022'!Pspv,1-EXP((T0-t)*PertePVj)+Pspv)</f>
        <v>4.057219310877791E-2</v>
      </c>
      <c r="M188" s="850"/>
      <c r="N188" s="850"/>
      <c r="O188" s="48">
        <f>IF(t&lt;Tnet,'2022'!Resal+('2022'!Salim-'2022'!Resal)*(1-EXP(('2022'!Tnet-t)/('2022'!Tau_j))),Resal+(Salim-Resal)*(1-EXP((Tnet-t)/(Tau_j))))*Salcycl</f>
        <v>2.7417044684120265E-2</v>
      </c>
      <c r="P188" s="169">
        <f>(INDEX(Models!$BJ188:$BT188,,T188)*(1-R188)+INDEX(Models!$BJ188:$BT188,,T188+1)*R188-ERP_i)*Q188*Ramure*Pc/MaxiM</f>
        <v>0</v>
      </c>
      <c r="Q188" s="305">
        <f t="shared" si="53"/>
        <v>0.7</v>
      </c>
      <c r="R188" s="177">
        <f t="shared" si="54"/>
        <v>0.98905021310290386</v>
      </c>
      <c r="S188" s="817">
        <f t="shared" si="55"/>
        <v>-1</v>
      </c>
      <c r="T188" s="176">
        <f t="shared" si="56"/>
        <v>5</v>
      </c>
      <c r="U188" s="251">
        <f t="shared" si="57"/>
        <v>-1.0949786897096164E-2</v>
      </c>
      <c r="V188" s="383">
        <f t="shared" si="58"/>
        <v>40.089743540600125</v>
      </c>
      <c r="W188" s="402">
        <f t="shared" si="59"/>
        <v>27.605579569821803</v>
      </c>
      <c r="X188" s="157">
        <f t="shared" si="60"/>
        <v>45100</v>
      </c>
      <c r="Y188" s="385">
        <f t="shared" si="61"/>
        <v>25.272201523563329</v>
      </c>
      <c r="Z188" s="385">
        <f t="shared" si="62"/>
        <v>26.34091001119862</v>
      </c>
      <c r="AA188" s="386">
        <f t="shared" si="63"/>
        <v>29.584069484411511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0.1096251979438387</v>
      </c>
      <c r="AD188" s="231">
        <f>(INDEX(Models!$BJ188:$BT188,,AH188)*(1-AF188)+INDEX(Models!$BJ188:$BT188,,AH188+1)*AF188-ERP_i)*AE188*Ramure*Pc/MaxiM</f>
        <v>0</v>
      </c>
      <c r="AE188" s="305">
        <f t="shared" si="65"/>
        <v>0.7</v>
      </c>
      <c r="AF188" s="177">
        <f t="shared" si="66"/>
        <v>0.98905021310290386</v>
      </c>
      <c r="AG188" s="817">
        <f t="shared" si="74"/>
        <v>-1</v>
      </c>
      <c r="AH188" s="176">
        <f t="shared" si="67"/>
        <v>5</v>
      </c>
      <c r="AI188" s="225">
        <f t="shared" si="68"/>
        <v>-1.0949786897096164E-2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45101</v>
      </c>
      <c r="B189" s="411">
        <f>'2022'!Wh/'2022'!Env_an*'2023'!Env_an</f>
        <v>31.328442701800984</v>
      </c>
      <c r="C189" s="846"/>
      <c r="D189" s="393">
        <f t="shared" si="50"/>
        <v>32.653972154133946</v>
      </c>
      <c r="E189" s="385">
        <f t="shared" si="75"/>
        <v>33.58078468897488</v>
      </c>
      <c r="F189" s="385">
        <f t="shared" si="51"/>
        <v>33.58078468897488</v>
      </c>
      <c r="G189" s="110">
        <f t="shared" si="76"/>
        <v>0.7823696727717907</v>
      </c>
      <c r="H189" s="414" t="b">
        <f>Wh_hp&gt;='2022'!Maxi_hp</f>
        <v>0</v>
      </c>
      <c r="I189" s="390">
        <f>IF(H189,Wh_hp,'2022'!Maxi_hp)</f>
        <v>42.706685617077156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4.0593207040055312E-2</v>
      </c>
      <c r="M189" s="850"/>
      <c r="N189" s="850"/>
      <c r="O189" s="48">
        <f>IF(t&lt;Tnet,'2022'!Resal+('2022'!Salim-'2022'!Resal)*(1-EXP(('2022'!Tnet-t)/('2022'!Tau_j))),Resal+(Salim-Resal)*(1-EXP((Tnet-t)/(Tau_j))))*Salcycl</f>
        <v>2.7599490107961127E-2</v>
      </c>
      <c r="P189" s="169">
        <f>(INDEX(Models!$BJ189:$BT189,,T189)*(1-R189)+INDEX(Models!$BJ189:$BT189,,T189+1)*R189-ERP_i)*Q189*Ramure*Pc/MaxiM</f>
        <v>0</v>
      </c>
      <c r="Q189" s="305">
        <f t="shared" si="53"/>
        <v>0.7</v>
      </c>
      <c r="R189" s="177">
        <f t="shared" si="54"/>
        <v>0.9919117351218365</v>
      </c>
      <c r="S189" s="817">
        <f t="shared" si="55"/>
        <v>-1</v>
      </c>
      <c r="T189" s="176">
        <f t="shared" si="56"/>
        <v>5</v>
      </c>
      <c r="U189" s="251">
        <f t="shared" si="57"/>
        <v>-8.0882648781635536E-3</v>
      </c>
      <c r="V189" s="383">
        <f t="shared" si="58"/>
        <v>40.043017760146711</v>
      </c>
      <c r="W189" s="402">
        <f t="shared" si="59"/>
        <v>31.328442701800984</v>
      </c>
      <c r="X189" s="157">
        <f t="shared" si="60"/>
        <v>45101</v>
      </c>
      <c r="Y189" s="385">
        <f t="shared" si="61"/>
        <v>28.682534553509754</v>
      </c>
      <c r="Z189" s="385">
        <f t="shared" si="62"/>
        <v>29.896113686061064</v>
      </c>
      <c r="AA189" s="386">
        <f t="shared" si="63"/>
        <v>33.58078468897488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0.10972557779817316</v>
      </c>
      <c r="AD189" s="231">
        <f>(INDEX(Models!$BJ189:$BT189,,AH189)*(1-AF189)+INDEX(Models!$BJ189:$BT189,,AH189+1)*AF189-ERP_i)*AE189*Ramure*Pc/MaxiM</f>
        <v>0</v>
      </c>
      <c r="AE189" s="305">
        <f t="shared" si="65"/>
        <v>0.7</v>
      </c>
      <c r="AF189" s="177">
        <f t="shared" si="66"/>
        <v>0.9919117351218365</v>
      </c>
      <c r="AG189" s="817">
        <f t="shared" si="74"/>
        <v>-1</v>
      </c>
      <c r="AH189" s="176">
        <f t="shared" si="67"/>
        <v>5</v>
      </c>
      <c r="AI189" s="225">
        <f t="shared" si="68"/>
        <v>-8.0882648781635536E-3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45102</v>
      </c>
      <c r="B190" s="411">
        <f>'2022'!Wh/'2022'!Env_an*'2023'!Env_an</f>
        <v>22.340892554227597</v>
      </c>
      <c r="C190" s="846"/>
      <c r="D190" s="393">
        <f t="shared" si="50"/>
        <v>23.286662187268192</v>
      </c>
      <c r="E190" s="385">
        <f t="shared" si="75"/>
        <v>23.952083735084262</v>
      </c>
      <c r="F190" s="385">
        <f t="shared" si="51"/>
        <v>23.952083735084262</v>
      </c>
      <c r="G190" s="110">
        <f t="shared" si="76"/>
        <v>0.558581437008979</v>
      </c>
      <c r="H190" s="414" t="b">
        <f>Wh_hp&gt;='2022'!Maxi_hp</f>
        <v>0</v>
      </c>
      <c r="I190" s="390">
        <f>IF(H190,Wh_hp,'2022'!Maxi_hp)</f>
        <v>42.181442408546353</v>
      </c>
      <c r="J190" s="85">
        <f>IF(H190,An,'2022'!An_max)</f>
        <v>2018</v>
      </c>
      <c r="K190" s="197">
        <f t="shared" si="52"/>
        <v>45102</v>
      </c>
      <c r="L190" s="147">
        <f>IF(t&lt;Tvie,1-EXP((T0-t)*PertePVj)+'2022'!Pspv,1-EXP((T0-t)*PertePVj)+Pspv)</f>
        <v>4.0614220511073773E-2</v>
      </c>
      <c r="M190" s="850"/>
      <c r="N190" s="850"/>
      <c r="O190" s="48">
        <f>IF(t&lt;Tnet,'2022'!Resal+('2022'!Salim-'2022'!Resal)*(1-EXP(('2022'!Tnet-t)/('2022'!Tau_j))),Resal+(Salim-Resal)*(1-EXP((Tnet-t)/(Tau_j))))*Salcycl</f>
        <v>2.7781363624801561E-2</v>
      </c>
      <c r="P190" s="169">
        <f>(INDEX(Models!$BJ190:$BT190,,T190)*(1-R190)+INDEX(Models!$BJ190:$BT190,,T190+1)*R190-ERP_i)*Q190*Ramure*Pc/MaxiM</f>
        <v>0</v>
      </c>
      <c r="Q190" s="305">
        <f t="shared" si="53"/>
        <v>0.7</v>
      </c>
      <c r="R190" s="177">
        <f t="shared" si="54"/>
        <v>0.99474052413968006</v>
      </c>
      <c r="S190" s="817">
        <f t="shared" si="55"/>
        <v>-1</v>
      </c>
      <c r="T190" s="176">
        <f t="shared" si="56"/>
        <v>5</v>
      </c>
      <c r="U190" s="251">
        <f t="shared" si="57"/>
        <v>-5.2594758603199676E-3</v>
      </c>
      <c r="V190" s="383">
        <f t="shared" si="58"/>
        <v>39.995766192761032</v>
      </c>
      <c r="W190" s="402">
        <f t="shared" si="59"/>
        <v>22.340892554227597</v>
      </c>
      <c r="X190" s="157">
        <f t="shared" si="60"/>
        <v>45102</v>
      </c>
      <c r="Y190" s="385">
        <f t="shared" si="61"/>
        <v>20.455609151373462</v>
      </c>
      <c r="Z190" s="385">
        <f t="shared" si="62"/>
        <v>21.321568016434803</v>
      </c>
      <c r="AA190" s="386">
        <f t="shared" si="63"/>
        <v>23.952083735084262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0.10982408661156946</v>
      </c>
      <c r="AD190" s="231">
        <f>(INDEX(Models!$BJ190:$BT190,,AH190)*(1-AF190)+INDEX(Models!$BJ190:$BT190,,AH190+1)*AF190-ERP_i)*AE190*Ramure*Pc/MaxiM</f>
        <v>0</v>
      </c>
      <c r="AE190" s="305">
        <f t="shared" si="65"/>
        <v>0.7</v>
      </c>
      <c r="AF190" s="177">
        <f t="shared" si="66"/>
        <v>0.99474052413968006</v>
      </c>
      <c r="AG190" s="817">
        <f t="shared" si="74"/>
        <v>-1</v>
      </c>
      <c r="AH190" s="176">
        <f t="shared" si="67"/>
        <v>5</v>
      </c>
      <c r="AI190" s="225">
        <f t="shared" si="68"/>
        <v>-5.2594758603199676E-3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45103</v>
      </c>
      <c r="B191" s="411">
        <f>'2022'!Wh/'2022'!Env_an*'2023'!Env_an</f>
        <v>7.9703159135980295</v>
      </c>
      <c r="C191" s="846"/>
      <c r="D191" s="393">
        <f t="shared" si="50"/>
        <v>8.3079097670609539</v>
      </c>
      <c r="E191" s="385">
        <f t="shared" si="75"/>
        <v>8.5469039237348543</v>
      </c>
      <c r="F191" s="385">
        <f t="shared" si="51"/>
        <v>8.5469039237348543</v>
      </c>
      <c r="G191" s="110">
        <f t="shared" si="76"/>
        <v>0.19951483075107557</v>
      </c>
      <c r="H191" s="414" t="b">
        <f>Wh_hp&gt;='2022'!Maxi_hp</f>
        <v>0</v>
      </c>
      <c r="I191" s="390">
        <f>IF(H191,Wh_hp,'2022'!Maxi_hp)</f>
        <v>41.141814363893154</v>
      </c>
      <c r="J191" s="85">
        <f>IF(H191,An,'2022'!An_max)</f>
        <v>2021</v>
      </c>
      <c r="K191" s="197">
        <f t="shared" si="52"/>
        <v>45103</v>
      </c>
      <c r="L191" s="147">
        <f>IF(t&lt;Tvie,1-EXP((T0-t)*PertePVj)+'2022'!Pspv,1-EXP((T0-t)*PertePVj)+Pspv)</f>
        <v>4.0635233521843284E-2</v>
      </c>
      <c r="M191" s="850"/>
      <c r="N191" s="850"/>
      <c r="O191" s="48">
        <f>IF(t&lt;Tnet,'2022'!Resal+('2022'!Salim-'2022'!Resal)*(1-EXP(('2022'!Tnet-t)/('2022'!Tau_j))),Resal+(Salim-Resal)*(1-EXP((Tnet-t)/(Tau_j))))*Salcycl</f>
        <v>2.7962658619598017E-2</v>
      </c>
      <c r="P191" s="169">
        <f>(INDEX(Models!$BJ191:$BT191,,T191)*(1-R191)+INDEX(Models!$BJ191:$BT191,,T191+1)*R191-ERP_i)*Q191*Ramure*Pc/MaxiM</f>
        <v>0</v>
      </c>
      <c r="Q191" s="305">
        <f t="shared" si="53"/>
        <v>0.7</v>
      </c>
      <c r="R191" s="177">
        <f t="shared" si="54"/>
        <v>0.9975347921203197</v>
      </c>
      <c r="S191" s="817">
        <f t="shared" si="55"/>
        <v>-1</v>
      </c>
      <c r="T191" s="176">
        <f t="shared" si="56"/>
        <v>5</v>
      </c>
      <c r="U191" s="251">
        <f t="shared" si="57"/>
        <v>-2.4652078796803256E-3</v>
      </c>
      <c r="V191" s="383">
        <f t="shared" si="58"/>
        <v>39.948488458696012</v>
      </c>
      <c r="W191" s="402">
        <f t="shared" si="59"/>
        <v>7.9703159135980295</v>
      </c>
      <c r="X191" s="157">
        <f t="shared" si="60"/>
        <v>45103</v>
      </c>
      <c r="Y191" s="385">
        <f t="shared" si="61"/>
        <v>7.2982926435676312</v>
      </c>
      <c r="Z191" s="385">
        <f t="shared" si="62"/>
        <v>7.6074220135890327</v>
      </c>
      <c r="AA191" s="386">
        <f t="shared" si="63"/>
        <v>8.5469039237348543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0.10992072901824357</v>
      </c>
      <c r="AD191" s="231">
        <f>(INDEX(Models!$BJ191:$BT191,,AH191)*(1-AF191)+INDEX(Models!$BJ191:$BT191,,AH191+1)*AF191-ERP_i)*AE191*Ramure*Pc/MaxiM</f>
        <v>0</v>
      </c>
      <c r="AE191" s="305">
        <f t="shared" si="65"/>
        <v>0.7</v>
      </c>
      <c r="AF191" s="177">
        <f t="shared" si="66"/>
        <v>0.9975347921203197</v>
      </c>
      <c r="AG191" s="817">
        <f t="shared" si="74"/>
        <v>-1</v>
      </c>
      <c r="AH191" s="176">
        <f t="shared" si="67"/>
        <v>5</v>
      </c>
      <c r="AI191" s="225">
        <f t="shared" si="68"/>
        <v>-2.4652078796803256E-3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45104</v>
      </c>
      <c r="B192" s="411">
        <f>'2022'!Wh/'2022'!Env_an*'2023'!Env_an</f>
        <v>10.31851629127614</v>
      </c>
      <c r="C192" s="846"/>
      <c r="D192" s="393">
        <f t="shared" si="50"/>
        <v>10.755807028535237</v>
      </c>
      <c r="E192" s="385">
        <f t="shared" si="75"/>
        <v>11.06727751243362</v>
      </c>
      <c r="F192" s="385">
        <f t="shared" si="51"/>
        <v>11.06727751243362</v>
      </c>
      <c r="G192" s="110">
        <f t="shared" si="76"/>
        <v>0.25860024315056224</v>
      </c>
      <c r="H192" s="414" t="b">
        <f>Wh_hp&gt;='2022'!Maxi_hp</f>
        <v>0</v>
      </c>
      <c r="I192" s="390">
        <f>IF(H192,Wh_hp,'2022'!Maxi_hp)</f>
        <v>40.70663915680317</v>
      </c>
      <c r="J192" s="85">
        <f>IF(H192,An,'2022'!An_max)</f>
        <v>2019</v>
      </c>
      <c r="K192" s="197">
        <f t="shared" si="52"/>
        <v>45104</v>
      </c>
      <c r="L192" s="147">
        <f>IF(t&lt;Tvie,1-EXP((T0-t)*PertePVj)+'2022'!Pspv,1-EXP((T0-t)*PertePVj)+Pspv)</f>
        <v>4.0656246072373947E-2</v>
      </c>
      <c r="M192" s="850"/>
      <c r="N192" s="850"/>
      <c r="O192" s="48">
        <f>IF(t&lt;Tnet,'2022'!Resal+('2022'!Salim-'2022'!Resal)*(1-EXP(('2022'!Tnet-t)/('2022'!Tau_j))),Resal+(Salim-Resal)*(1-EXP((Tnet-t)/(Tau_j))))*Salcycl</f>
        <v>2.8143369816873154E-2</v>
      </c>
      <c r="P192" s="169">
        <f>(INDEX(Models!$BJ192:$BT192,,T192)*(1-R192)+INDEX(Models!$BJ192:$BT192,,T192+1)*R192-ERP_i)*Q192*Ramure*Pc/MaxiM</f>
        <v>0</v>
      </c>
      <c r="Q192" s="305">
        <f t="shared" si="53"/>
        <v>0.7</v>
      </c>
      <c r="R192" s="177">
        <f t="shared" si="54"/>
        <v>2.9285193962461098E-4</v>
      </c>
      <c r="S192" s="817">
        <f t="shared" si="55"/>
        <v>0</v>
      </c>
      <c r="T192" s="176">
        <f t="shared" si="56"/>
        <v>6</v>
      </c>
      <c r="U192" s="251">
        <f t="shared" si="57"/>
        <v>2.9285193962461098E-4</v>
      </c>
      <c r="V192" s="383">
        <f t="shared" si="58"/>
        <v>39.901417591740199</v>
      </c>
      <c r="W192" s="402">
        <f t="shared" si="59"/>
        <v>10.31851629127614</v>
      </c>
      <c r="X192" s="157">
        <f t="shared" si="60"/>
        <v>45104</v>
      </c>
      <c r="Y192" s="385">
        <f t="shared" si="61"/>
        <v>9.4492532396300284</v>
      </c>
      <c r="Z192" s="385">
        <f t="shared" si="62"/>
        <v>9.8497052812863686</v>
      </c>
      <c r="AA192" s="386">
        <f t="shared" si="63"/>
        <v>11.06727751243362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0.11001551463576839</v>
      </c>
      <c r="AD192" s="231">
        <f>(INDEX(Models!$BJ192:$BT192,,AH192)*(1-AF192)+INDEX(Models!$BJ192:$BT192,,AH192+1)*AF192-ERP_i)*AE192*Ramure*Pc/MaxiM</f>
        <v>0</v>
      </c>
      <c r="AE192" s="305">
        <f t="shared" si="65"/>
        <v>0.7</v>
      </c>
      <c r="AF192" s="177">
        <f t="shared" si="66"/>
        <v>2.9285193962461098E-4</v>
      </c>
      <c r="AG192" s="817">
        <f t="shared" si="74"/>
        <v>0</v>
      </c>
      <c r="AH192" s="176">
        <f t="shared" si="67"/>
        <v>6</v>
      </c>
      <c r="AI192" s="225">
        <f t="shared" si="68"/>
        <v>2.9285193962461098E-4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45105</v>
      </c>
      <c r="B193" s="411">
        <f>'2022'!Wh/'2022'!Env_an*'2023'!Env_an</f>
        <v>40.106917826918014</v>
      </c>
      <c r="C193" s="846"/>
      <c r="D193" s="393">
        <f t="shared" si="50"/>
        <v>41.807533667036829</v>
      </c>
      <c r="E193" s="385">
        <f t="shared" si="75"/>
        <v>43.026185543990664</v>
      </c>
      <c r="F193" s="385">
        <f t="shared" si="51"/>
        <v>43.026185543990664</v>
      </c>
      <c r="G193" s="110">
        <f t="shared" si="76"/>
        <v>1.0063396886575582</v>
      </c>
      <c r="H193" s="414" t="b">
        <f>Wh_hp&gt;='2022'!Maxi_hp</f>
        <v>1</v>
      </c>
      <c r="I193" s="390">
        <f>IF(H193,Wh_hp,'2022'!Maxi_hp)</f>
        <v>43.026185543990664</v>
      </c>
      <c r="J193" s="85">
        <f>IF(H193,An,'2022'!An_max)</f>
        <v>2023</v>
      </c>
      <c r="K193" s="197">
        <f t="shared" si="52"/>
        <v>45105</v>
      </c>
      <c r="L193" s="147">
        <f>IF(t&lt;Tvie,1-EXP((T0-t)*PertePVj)+'2022'!Pspv,1-EXP((T0-t)*PertePVj)+Pspv)</f>
        <v>4.0677258162675756E-2</v>
      </c>
      <c r="M193" s="850"/>
      <c r="N193" s="850"/>
      <c r="O193" s="48">
        <f>IF(t&lt;Tnet,'2022'!Resal+('2022'!Salim-'2022'!Resal)*(1-EXP(('2022'!Tnet-t)/('2022'!Tau_j))),Resal+(Salim-Resal)*(1-EXP((Tnet-t)/(Tau_j))))*Salcycl</f>
        <v>2.8323493276155326E-2</v>
      </c>
      <c r="P193" s="169">
        <f>(INDEX(Models!$BJ193:$BT193,,T193)*(1-R193)+INDEX(Models!$BJ193:$BT193,,T193+1)*R193-ERP_i)*Q193*Ramure*Pc/MaxiM</f>
        <v>0</v>
      </c>
      <c r="Q193" s="305">
        <f t="shared" si="53"/>
        <v>0.7</v>
      </c>
      <c r="R193" s="177">
        <f t="shared" si="54"/>
        <v>3.0131202190048501E-3</v>
      </c>
      <c r="S193" s="817">
        <f t="shared" si="55"/>
        <v>0</v>
      </c>
      <c r="T193" s="176">
        <f t="shared" si="56"/>
        <v>6</v>
      </c>
      <c r="U193" s="251">
        <f t="shared" si="57"/>
        <v>3.0131202190048501E-3</v>
      </c>
      <c r="V193" s="383">
        <f t="shared" si="58"/>
        <v>39.854254263210102</v>
      </c>
      <c r="W193" s="402">
        <f t="shared" si="59"/>
        <v>40.106917826918014</v>
      </c>
      <c r="X193" s="157">
        <f t="shared" si="60"/>
        <v>45105</v>
      </c>
      <c r="Y193" s="385">
        <f t="shared" si="61"/>
        <v>36.731161766748805</v>
      </c>
      <c r="Z193" s="385">
        <f t="shared" si="62"/>
        <v>38.288638603938608</v>
      </c>
      <c r="AA193" s="386">
        <f t="shared" si="63"/>
        <v>43.026185543990664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0.11010845791124822</v>
      </c>
      <c r="AD193" s="231">
        <f>(INDEX(Models!$BJ193:$BT193,,AH193)*(1-AF193)+INDEX(Models!$BJ193:$BT193,,AH193+1)*AF193-ERP_i)*AE193*Ramure*Pc/MaxiM</f>
        <v>0</v>
      </c>
      <c r="AE193" s="305">
        <f t="shared" si="65"/>
        <v>0.7</v>
      </c>
      <c r="AF193" s="177">
        <f t="shared" si="66"/>
        <v>3.0131202190048501E-3</v>
      </c>
      <c r="AG193" s="817">
        <f t="shared" si="74"/>
        <v>0</v>
      </c>
      <c r="AH193" s="176">
        <f t="shared" si="67"/>
        <v>6</v>
      </c>
      <c r="AI193" s="225">
        <f t="shared" si="68"/>
        <v>3.0131202190048501E-3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45106</v>
      </c>
      <c r="B194" s="411">
        <f>'2022'!Wh/'2022'!Env_an*'2023'!Env_an</f>
        <v>38.747025979681283</v>
      </c>
      <c r="C194" s="846"/>
      <c r="D194" s="393">
        <f t="shared" si="50"/>
        <v>40.390864270942821</v>
      </c>
      <c r="E194" s="385">
        <f t="shared" si="75"/>
        <v>41.575903340599012</v>
      </c>
      <c r="F194" s="385">
        <f t="shared" si="51"/>
        <v>41.575903340599012</v>
      </c>
      <c r="G194" s="110">
        <f t="shared" si="76"/>
        <v>0.97337952215864776</v>
      </c>
      <c r="H194" s="414" t="b">
        <f>Wh_hp&gt;='2022'!Maxi_hp</f>
        <v>1</v>
      </c>
      <c r="I194" s="390">
        <f>IF(H194,Wh_hp,'2022'!Maxi_hp)</f>
        <v>41.575903340599012</v>
      </c>
      <c r="J194" s="85">
        <f>IF(H194,An,'2022'!An_max)</f>
        <v>2023</v>
      </c>
      <c r="K194" s="197">
        <f t="shared" si="52"/>
        <v>45106</v>
      </c>
      <c r="L194" s="147">
        <f>IF(t&lt;Tvie,1-EXP((T0-t)*PertePVj)+'2022'!Pspv,1-EXP((T0-t)*PertePVj)+Pspv)</f>
        <v>4.0698269792758923E-2</v>
      </c>
      <c r="M194" s="850"/>
      <c r="N194" s="850"/>
      <c r="O194" s="48">
        <f>IF(t&lt;Tnet,'2022'!Resal+('2022'!Salim-'2022'!Resal)*(1-EXP(('2022'!Tnet-t)/('2022'!Tau_j))),Resal+(Salim-Resal)*(1-EXP((Tnet-t)/(Tau_j))))*Salcycl</f>
        <v>2.8503026379200741E-2</v>
      </c>
      <c r="P194" s="169">
        <f>(INDEX(Models!$BJ194:$BT194,,T194)*(1-R194)+INDEX(Models!$BJ194:$BT194,,T194+1)*R194-ERP_i)*Q194*Ramure*Pc/MaxiM</f>
        <v>0</v>
      </c>
      <c r="Q194" s="305">
        <f t="shared" si="53"/>
        <v>0.7</v>
      </c>
      <c r="R194" s="177">
        <f t="shared" si="54"/>
        <v>5.6941195708540837E-3</v>
      </c>
      <c r="S194" s="817">
        <f t="shared" si="55"/>
        <v>0</v>
      </c>
      <c r="T194" s="176">
        <f t="shared" si="56"/>
        <v>6</v>
      </c>
      <c r="U194" s="251">
        <f t="shared" si="57"/>
        <v>5.6941195708540837E-3</v>
      </c>
      <c r="V194" s="383">
        <f t="shared" si="58"/>
        <v>39.806699337327991</v>
      </c>
      <c r="W194" s="402">
        <f t="shared" si="59"/>
        <v>38.747025979681283</v>
      </c>
      <c r="X194" s="157">
        <f t="shared" si="60"/>
        <v>45106</v>
      </c>
      <c r="Y194" s="385">
        <f t="shared" si="61"/>
        <v>35.488654114612679</v>
      </c>
      <c r="Z194" s="385">
        <f t="shared" si="62"/>
        <v>36.994256339917108</v>
      </c>
      <c r="AA194" s="386">
        <f t="shared" si="63"/>
        <v>41.575903340599012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0.11019957794177175</v>
      </c>
      <c r="AD194" s="231">
        <f>(INDEX(Models!$BJ194:$BT194,,AH194)*(1-AF194)+INDEX(Models!$BJ194:$BT194,,AH194+1)*AF194-ERP_i)*AE194*Ramure*Pc/MaxiM</f>
        <v>0</v>
      </c>
      <c r="AE194" s="305">
        <f t="shared" si="65"/>
        <v>0.7</v>
      </c>
      <c r="AF194" s="177">
        <f t="shared" si="66"/>
        <v>5.6941195708540837E-3</v>
      </c>
      <c r="AG194" s="817">
        <f t="shared" si="74"/>
        <v>0</v>
      </c>
      <c r="AH194" s="176">
        <f t="shared" si="67"/>
        <v>6</v>
      </c>
      <c r="AI194" s="225">
        <f t="shared" si="68"/>
        <v>5.6941195708540837E-3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45107</v>
      </c>
      <c r="B195" s="411">
        <f>'2022'!Wh/'2022'!Env_an*'2023'!Env_an</f>
        <v>9.4222511213311542</v>
      </c>
      <c r="C195" s="846"/>
      <c r="D195" s="393">
        <f t="shared" si="50"/>
        <v>9.8222042144100801</v>
      </c>
      <c r="E195" s="385">
        <f t="shared" si="75"/>
        <v>10.112243249778214</v>
      </c>
      <c r="F195" s="385">
        <f t="shared" si="51"/>
        <v>10.112243249778214</v>
      </c>
      <c r="G195" s="110">
        <f t="shared" si="76"/>
        <v>0.23698736253264638</v>
      </c>
      <c r="H195" s="414" t="b">
        <f>Wh_hp&gt;='2022'!Maxi_hp</f>
        <v>0</v>
      </c>
      <c r="I195" s="390">
        <f>IF(H195,Wh_hp,'2022'!Maxi_hp)</f>
        <v>39.940934900012763</v>
      </c>
      <c r="J195" s="85">
        <f>IF(H195,An,'2022'!An_max)</f>
        <v>2018</v>
      </c>
      <c r="K195" s="197">
        <f t="shared" si="52"/>
        <v>45107</v>
      </c>
      <c r="L195" s="147">
        <f>IF(t&lt;Tvie,1-EXP((T0-t)*PertePVj)+'2022'!Pspv,1-EXP((T0-t)*PertePVj)+Pspv)</f>
        <v>4.0719280962633442E-2</v>
      </c>
      <c r="M195" s="850"/>
      <c r="N195" s="850"/>
      <c r="O195" s="48">
        <f>IF(t&lt;Tnet,'2022'!Resal+('2022'!Salim-'2022'!Resal)*(1-EXP(('2022'!Tnet-t)/('2022'!Tau_j))),Resal+(Salim-Resal)*(1-EXP((Tnet-t)/(Tau_j))))*Salcycl</f>
        <v>2.8681967809120395E-2</v>
      </c>
      <c r="P195" s="169">
        <f>(INDEX(Models!$BJ195:$BT195,,T195)*(1-R195)+INDEX(Models!$BJ195:$BT195,,T195+1)*R195-ERP_i)*Q195*Ramure*Pc/MaxiM</f>
        <v>0</v>
      </c>
      <c r="Q195" s="305">
        <f t="shared" si="53"/>
        <v>0.7</v>
      </c>
      <c r="R195" s="177">
        <f t="shared" si="54"/>
        <v>8.3344802625941183E-3</v>
      </c>
      <c r="S195" s="817">
        <f t="shared" si="55"/>
        <v>0</v>
      </c>
      <c r="T195" s="176">
        <f t="shared" si="56"/>
        <v>6</v>
      </c>
      <c r="U195" s="251">
        <f t="shared" si="57"/>
        <v>8.3344802625941183E-3</v>
      </c>
      <c r="V195" s="383">
        <f t="shared" si="58"/>
        <v>39.758453871282626</v>
      </c>
      <c r="W195" s="402">
        <f t="shared" si="59"/>
        <v>9.4222511213311542</v>
      </c>
      <c r="X195" s="157">
        <f t="shared" si="60"/>
        <v>45107</v>
      </c>
      <c r="Y195" s="385">
        <f t="shared" si="61"/>
        <v>8.6306247265095148</v>
      </c>
      <c r="Z195" s="385">
        <f t="shared" si="62"/>
        <v>8.9969750827164585</v>
      </c>
      <c r="AA195" s="386">
        <f t="shared" si="63"/>
        <v>10.112243249778214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0.11028889827054113</v>
      </c>
      <c r="AD195" s="231">
        <f>(INDEX(Models!$BJ195:$BT195,,AH195)*(1-AF195)+INDEX(Models!$BJ195:$BT195,,AH195+1)*AF195-ERP_i)*AE195*Ramure*Pc/MaxiM</f>
        <v>0</v>
      </c>
      <c r="AE195" s="305">
        <f t="shared" si="65"/>
        <v>0.7</v>
      </c>
      <c r="AF195" s="177">
        <f t="shared" si="66"/>
        <v>8.3344802625941183E-3</v>
      </c>
      <c r="AG195" s="817">
        <f t="shared" si="74"/>
        <v>0</v>
      </c>
      <c r="AH195" s="176">
        <f t="shared" si="67"/>
        <v>6</v>
      </c>
      <c r="AI195" s="225">
        <f t="shared" si="68"/>
        <v>8.3344802625941183E-3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45108</v>
      </c>
      <c r="B196" s="411">
        <f>'2022'!Wh/'2022'!Env_an*'2023'!Env_an</f>
        <v>36.501121860459953</v>
      </c>
      <c r="C196" s="846"/>
      <c r="D196" s="393">
        <f t="shared" si="50"/>
        <v>38.051344743847913</v>
      </c>
      <c r="E196" s="385">
        <f t="shared" si="75"/>
        <v>39.182154153910098</v>
      </c>
      <c r="F196" s="385">
        <f t="shared" si="51"/>
        <v>39.182154153910098</v>
      </c>
      <c r="G196" s="110">
        <f t="shared" si="76"/>
        <v>0.91921026590989596</v>
      </c>
      <c r="H196" s="414" t="b">
        <f>Wh_hp&gt;='2022'!Maxi_hp</f>
        <v>0</v>
      </c>
      <c r="I196" s="390">
        <f>IF(H196,Wh_hp,'2022'!Maxi_hp)</f>
        <v>41.378085246589393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4.0740291672309414E-2</v>
      </c>
      <c r="M196" s="850"/>
      <c r="N196" s="850"/>
      <c r="O196" s="48">
        <f>IF(t&lt;Tnet,'2022'!Resal+('2022'!Salim-'2022'!Resal)*(1-EXP(('2022'!Tnet-t)/('2022'!Tau_j))),Resal+(Salim-Resal)*(1-EXP((Tnet-t)/(Tau_j))))*Salcycl</f>
        <v>2.8860317521601585E-2</v>
      </c>
      <c r="P196" s="169">
        <f>(INDEX(Models!$BJ196:$BT196,,T196)*(1-R196)+INDEX(Models!$BJ196:$BT196,,T196+1)*R196-ERP_i)*Q196*Ramure*Pc/MaxiM</f>
        <v>0</v>
      </c>
      <c r="Q196" s="305">
        <f t="shared" si="53"/>
        <v>0.7</v>
      </c>
      <c r="R196" s="177">
        <f t="shared" si="54"/>
        <v>1.0932941310927397E-2</v>
      </c>
      <c r="S196" s="817">
        <f t="shared" si="55"/>
        <v>0</v>
      </c>
      <c r="T196" s="176">
        <f t="shared" si="56"/>
        <v>6</v>
      </c>
      <c r="U196" s="251">
        <f t="shared" si="57"/>
        <v>1.0932941310927397E-2</v>
      </c>
      <c r="V196" s="383">
        <f t="shared" si="58"/>
        <v>39.709219113571031</v>
      </c>
      <c r="W196" s="402">
        <f t="shared" si="59"/>
        <v>36.501121860459953</v>
      </c>
      <c r="X196" s="157">
        <f t="shared" si="60"/>
        <v>45108</v>
      </c>
      <c r="Y196" s="385">
        <f t="shared" si="61"/>
        <v>33.437267899009377</v>
      </c>
      <c r="Z196" s="385">
        <f t="shared" si="62"/>
        <v>34.857367205906812</v>
      </c>
      <c r="AA196" s="386">
        <f t="shared" si="63"/>
        <v>39.182154153910098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0.11037644666026362</v>
      </c>
      <c r="AD196" s="231">
        <f>(INDEX(Models!$BJ196:$BT196,,AH196)*(1-AF196)+INDEX(Models!$BJ196:$BT196,,AH196+1)*AF196-ERP_i)*AE196*Ramure*Pc/MaxiM</f>
        <v>0</v>
      </c>
      <c r="AE196" s="305">
        <f t="shared" si="65"/>
        <v>0.7</v>
      </c>
      <c r="AF196" s="177">
        <f t="shared" si="66"/>
        <v>1.0932941310927397E-2</v>
      </c>
      <c r="AG196" s="817">
        <f t="shared" si="74"/>
        <v>0</v>
      </c>
      <c r="AH196" s="176">
        <f t="shared" si="67"/>
        <v>6</v>
      </c>
      <c r="AI196" s="225">
        <f t="shared" si="68"/>
        <v>1.0932941310927397E-2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45109</v>
      </c>
      <c r="B197" s="411">
        <f>'2022'!Wh/'2022'!Env_an*'2023'!Env_an</f>
        <v>37.616272670634594</v>
      </c>
      <c r="C197" s="846"/>
      <c r="D197" s="393">
        <f t="shared" si="50"/>
        <v>39.214715530135841</v>
      </c>
      <c r="E197" s="385">
        <f t="shared" si="75"/>
        <v>40.387490579650745</v>
      </c>
      <c r="F197" s="385">
        <f t="shared" si="51"/>
        <v>40.387490579650745</v>
      </c>
      <c r="G197" s="110">
        <f t="shared" si="76"/>
        <v>0.94849997566787714</v>
      </c>
      <c r="H197" s="414" t="b">
        <f>Wh_hp&gt;='2022'!Maxi_hp</f>
        <v>1</v>
      </c>
      <c r="I197" s="390">
        <f>IF(H197,Wh_hp,'2022'!Maxi_hp)</f>
        <v>40.387490579650745</v>
      </c>
      <c r="J197" s="85">
        <f>IF(H197,An,'2022'!An_max)</f>
        <v>2023</v>
      </c>
      <c r="K197" s="197">
        <f t="shared" si="52"/>
        <v>45109</v>
      </c>
      <c r="L197" s="147">
        <f>IF(t&lt;Tvie,1-EXP((T0-t)*PertePVj)+'2022'!Pspv,1-EXP((T0-t)*PertePVj)+Pspv)</f>
        <v>4.0761301921796944E-2</v>
      </c>
      <c r="M197" s="850"/>
      <c r="N197" s="850"/>
      <c r="O197" s="48">
        <f>IF(t&lt;Tnet,'2022'!Resal+('2022'!Salim-'2022'!Resal)*(1-EXP(('2022'!Tnet-t)/('2022'!Tau_j))),Resal+(Salim-Resal)*(1-EXP((Tnet-t)/(Tau_j))))*Salcycl</f>
        <v>2.9038076708479819E-2</v>
      </c>
      <c r="P197" s="169">
        <f>(INDEX(Models!$BJ197:$BT197,,T197)*(1-R197)+INDEX(Models!$BJ197:$BT197,,T197+1)*R197-ERP_i)*Q197*Ramure*Pc/MaxiM</f>
        <v>0</v>
      </c>
      <c r="Q197" s="305">
        <f t="shared" si="53"/>
        <v>0.7</v>
      </c>
      <c r="R197" s="177">
        <f t="shared" si="54"/>
        <v>1.3488351022414719E-2</v>
      </c>
      <c r="S197" s="817">
        <f t="shared" si="55"/>
        <v>0</v>
      </c>
      <c r="T197" s="176">
        <f t="shared" si="56"/>
        <v>6</v>
      </c>
      <c r="U197" s="251">
        <f t="shared" si="57"/>
        <v>1.3488351022414719E-2</v>
      </c>
      <c r="V197" s="383">
        <f t="shared" si="58"/>
        <v>39.658696505656167</v>
      </c>
      <c r="W197" s="402">
        <f t="shared" si="59"/>
        <v>37.616272670634594</v>
      </c>
      <c r="X197" s="157">
        <f t="shared" si="60"/>
        <v>45109</v>
      </c>
      <c r="Y197" s="385">
        <f t="shared" si="61"/>
        <v>34.461798727512303</v>
      </c>
      <c r="Z197" s="385">
        <f t="shared" si="62"/>
        <v>35.92619730266842</v>
      </c>
      <c r="AA197" s="386">
        <f t="shared" si="63"/>
        <v>40.387490579650745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0.1104622548455671</v>
      </c>
      <c r="AD197" s="231">
        <f>(INDEX(Models!$BJ197:$BT197,,AH197)*(1-AF197)+INDEX(Models!$BJ197:$BT197,,AH197+1)*AF197-ERP_i)*AE197*Ramure*Pc/MaxiM</f>
        <v>0</v>
      </c>
      <c r="AE197" s="305">
        <f t="shared" si="65"/>
        <v>0.7</v>
      </c>
      <c r="AF197" s="177">
        <f t="shared" si="66"/>
        <v>1.3488351022414719E-2</v>
      </c>
      <c r="AG197" s="817">
        <f t="shared" si="74"/>
        <v>0</v>
      </c>
      <c r="AH197" s="176">
        <f t="shared" si="67"/>
        <v>6</v>
      </c>
      <c r="AI197" s="225">
        <f t="shared" si="68"/>
        <v>1.3488351022414719E-2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45110</v>
      </c>
      <c r="B198" s="411">
        <f>'2022'!Wh/'2022'!Env_an*'2023'!Env_an</f>
        <v>31.127095466270468</v>
      </c>
      <c r="C198" s="846"/>
      <c r="D198" s="393">
        <f t="shared" si="50"/>
        <v>32.450501952061288</v>
      </c>
      <c r="E198" s="385">
        <f t="shared" si="75"/>
        <v>33.427082447456456</v>
      </c>
      <c r="F198" s="385">
        <f t="shared" si="51"/>
        <v>33.427082447456456</v>
      </c>
      <c r="G198" s="110">
        <f t="shared" si="76"/>
        <v>0.78590702429233317</v>
      </c>
      <c r="H198" s="414" t="b">
        <f>Wh_hp&gt;='2022'!Maxi_hp</f>
        <v>0</v>
      </c>
      <c r="I198" s="390">
        <f>IF(H198,Wh_hp,'2022'!Maxi_hp)</f>
        <v>34.016353689339262</v>
      </c>
      <c r="J198" s="85">
        <f>IF(H198,An,'2022'!An_max)</f>
        <v>2019</v>
      </c>
      <c r="K198" s="197">
        <f t="shared" si="52"/>
        <v>45110</v>
      </c>
      <c r="L198" s="147">
        <f>IF(t&lt;Tvie,1-EXP((T0-t)*PertePVj)+'2022'!Pspv,1-EXP((T0-t)*PertePVj)+Pspv)</f>
        <v>4.0782311711106134E-2</v>
      </c>
      <c r="M198" s="850"/>
      <c r="N198" s="850"/>
      <c r="O198" s="48">
        <f>IF(t&lt;Tnet,'2022'!Resal+('2022'!Salim-'2022'!Resal)*(1-EXP(('2022'!Tnet-t)/('2022'!Tau_j))),Resal+(Salim-Resal)*(1-EXP((Tnet-t)/(Tau_j))))*Salcycl</f>
        <v>2.9215247753980347E-2</v>
      </c>
      <c r="P198" s="169">
        <f>(INDEX(Models!$BJ198:$BT198,,T198)*(1-R198)+INDEX(Models!$BJ198:$BT198,,T198+1)*R198-ERP_i)*Q198*Ramure*Pc/MaxiM</f>
        <v>0</v>
      </c>
      <c r="Q198" s="305">
        <f t="shared" si="53"/>
        <v>0.7</v>
      </c>
      <c r="R198" s="177">
        <f t="shared" si="54"/>
        <v>1.5999667000591994E-2</v>
      </c>
      <c r="S198" s="817">
        <f t="shared" si="55"/>
        <v>0</v>
      </c>
      <c r="T198" s="176">
        <f t="shared" si="56"/>
        <v>6</v>
      </c>
      <c r="U198" s="251">
        <f t="shared" si="57"/>
        <v>1.5999667000591994E-2</v>
      </c>
      <c r="V198" s="383">
        <f t="shared" si="58"/>
        <v>39.606587680392259</v>
      </c>
      <c r="W198" s="402">
        <f t="shared" si="59"/>
        <v>31.127095466270468</v>
      </c>
      <c r="X198" s="157">
        <f t="shared" si="60"/>
        <v>45110</v>
      </c>
      <c r="Y198" s="385">
        <f t="shared" si="61"/>
        <v>28.519307040010712</v>
      </c>
      <c r="Z198" s="385">
        <f t="shared" si="62"/>
        <v>29.731840215420803</v>
      </c>
      <c r="AA198" s="386">
        <f t="shared" si="63"/>
        <v>33.427082447456456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0.11054635826635939</v>
      </c>
      <c r="AD198" s="231">
        <f>(INDEX(Models!$BJ198:$BT198,,AH198)*(1-AF198)+INDEX(Models!$BJ198:$BT198,,AH198+1)*AF198-ERP_i)*AE198*Ramure*Pc/MaxiM</f>
        <v>0</v>
      </c>
      <c r="AE198" s="305">
        <f t="shared" si="65"/>
        <v>0.7</v>
      </c>
      <c r="AF198" s="177">
        <f t="shared" si="66"/>
        <v>1.5999667000591994E-2</v>
      </c>
      <c r="AG198" s="817">
        <f t="shared" si="74"/>
        <v>0</v>
      </c>
      <c r="AH198" s="176">
        <f t="shared" si="67"/>
        <v>6</v>
      </c>
      <c r="AI198" s="225">
        <f t="shared" si="68"/>
        <v>1.5999667000591994E-2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45111</v>
      </c>
      <c r="B199" s="411">
        <f>'2022'!Wh/'2022'!Env_an*'2023'!Env_an</f>
        <v>29.827520185335139</v>
      </c>
      <c r="C199" s="846"/>
      <c r="D199" s="393">
        <f t="shared" si="50"/>
        <v>31.096354730588754</v>
      </c>
      <c r="E199" s="385">
        <f t="shared" si="75"/>
        <v>32.038010626508658</v>
      </c>
      <c r="F199" s="385">
        <f t="shared" si="51"/>
        <v>32.038010626508658</v>
      </c>
      <c r="G199" s="110">
        <f t="shared" si="76"/>
        <v>0.75412297448543464</v>
      </c>
      <c r="H199" s="414" t="b">
        <f>Wh_hp&gt;='2022'!Maxi_hp</f>
        <v>0</v>
      </c>
      <c r="I199" s="390">
        <f>IF(H199,Wh_hp,'2022'!Maxi_hp)</f>
        <v>39.345572837234378</v>
      </c>
      <c r="J199" s="85">
        <f>IF(H199,An,'2022'!An_max)</f>
        <v>2019</v>
      </c>
      <c r="K199" s="197">
        <f t="shared" si="52"/>
        <v>45111</v>
      </c>
      <c r="L199" s="147">
        <f>IF(t&lt;Tvie,1-EXP((T0-t)*PertePVj)+'2022'!Pspv,1-EXP((T0-t)*PertePVj)+Pspv)</f>
        <v>4.0803321040246976E-2</v>
      </c>
      <c r="M199" s="850"/>
      <c r="N199" s="850"/>
      <c r="O199" s="48">
        <f>IF(t&lt;Tnet,'2022'!Resal+('2022'!Salim-'2022'!Resal)*(1-EXP(('2022'!Tnet-t)/('2022'!Tau_j))),Resal+(Salim-Resal)*(1-EXP((Tnet-t)/(Tau_j))))*Salcycl</f>
        <v>2.9391834184010347E-2</v>
      </c>
      <c r="P199" s="169">
        <f>(INDEX(Models!$BJ199:$BT199,,T199)*(1-R199)+INDEX(Models!$BJ199:$BT199,,T199+1)*R199-ERP_i)*Q199*Ramure*Pc/MaxiM</f>
        <v>0</v>
      </c>
      <c r="Q199" s="305">
        <f t="shared" si="53"/>
        <v>0.7</v>
      </c>
      <c r="R199" s="177">
        <f t="shared" si="54"/>
        <v>1.8465955643481635E-2</v>
      </c>
      <c r="S199" s="817">
        <f t="shared" si="55"/>
        <v>0</v>
      </c>
      <c r="T199" s="176">
        <f t="shared" si="56"/>
        <v>6</v>
      </c>
      <c r="U199" s="251">
        <f t="shared" si="57"/>
        <v>1.8465955643481635E-2</v>
      </c>
      <c r="V199" s="383">
        <f t="shared" si="58"/>
        <v>39.552594463373204</v>
      </c>
      <c r="W199" s="402">
        <f t="shared" si="59"/>
        <v>29.827520185335139</v>
      </c>
      <c r="X199" s="157">
        <f t="shared" si="60"/>
        <v>45111</v>
      </c>
      <c r="Y199" s="385">
        <f t="shared" si="61"/>
        <v>27.331047151968797</v>
      </c>
      <c r="Z199" s="385">
        <f t="shared" si="62"/>
        <v>28.493684091576782</v>
      </c>
      <c r="AA199" s="386">
        <f t="shared" si="63"/>
        <v>32.038010626508658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0.11062879578419439</v>
      </c>
      <c r="AD199" s="231">
        <f>(INDEX(Models!$BJ199:$BT199,,AH199)*(1-AF199)+INDEX(Models!$BJ199:$BT199,,AH199+1)*AF199-ERP_i)*AE199*Ramure*Pc/MaxiM</f>
        <v>0</v>
      </c>
      <c r="AE199" s="305">
        <f t="shared" si="65"/>
        <v>0.7</v>
      </c>
      <c r="AF199" s="177">
        <f t="shared" si="66"/>
        <v>1.8465955643481635E-2</v>
      </c>
      <c r="AG199" s="817">
        <f t="shared" si="74"/>
        <v>0</v>
      </c>
      <c r="AH199" s="176">
        <f t="shared" si="67"/>
        <v>6</v>
      </c>
      <c r="AI199" s="225">
        <f t="shared" si="68"/>
        <v>1.8465955643481635E-2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45112</v>
      </c>
      <c r="B200" s="411">
        <f>'2022'!Wh/'2022'!Env_an*'2023'!Env_an</f>
        <v>37.21993031477033</v>
      </c>
      <c r="C200" s="846"/>
      <c r="D200" s="393">
        <f t="shared" si="50"/>
        <v>38.804080915905708</v>
      </c>
      <c r="E200" s="385">
        <f t="shared" si="75"/>
        <v>39.986392186605812</v>
      </c>
      <c r="F200" s="385">
        <f t="shared" si="51"/>
        <v>39.986392186605812</v>
      </c>
      <c r="G200" s="110">
        <f t="shared" si="76"/>
        <v>0.94236215268924439</v>
      </c>
      <c r="H200" s="414" t="b">
        <f>Wh_hp&gt;='2022'!Maxi_hp</f>
        <v>0</v>
      </c>
      <c r="I200" s="390">
        <f>IF(H200,Wh_hp,'2022'!Maxi_hp)</f>
        <v>42.685652702898089</v>
      </c>
      <c r="J200" s="85">
        <f>IF(H200,An,'2022'!An_max)</f>
        <v>2020</v>
      </c>
      <c r="K200" s="197">
        <f t="shared" si="52"/>
        <v>45112</v>
      </c>
      <c r="L200" s="147">
        <f>IF(t&lt;Tvie,1-EXP((T0-t)*PertePVj)+'2022'!Pspv,1-EXP((T0-t)*PertePVj)+Pspv)</f>
        <v>4.0824329909229573E-2</v>
      </c>
      <c r="M200" s="850"/>
      <c r="N200" s="850"/>
      <c r="O200" s="48">
        <f>IF(t&lt;Tnet,'2022'!Resal+('2022'!Salim-'2022'!Resal)*(1-EXP(('2022'!Tnet-t)/('2022'!Tau_j))),Resal+(Salim-Resal)*(1-EXP((Tnet-t)/(Tau_j))))*Salcycl</f>
        <v>2.9567840608939626E-2</v>
      </c>
      <c r="P200" s="169">
        <f>(INDEX(Models!$BJ200:$BT200,,T200)*(1-R200)+INDEX(Models!$BJ200:$BT200,,T200+1)*R200-ERP_i)*Q200*Ramure*Pc/MaxiM</f>
        <v>0</v>
      </c>
      <c r="Q200" s="305">
        <f t="shared" si="53"/>
        <v>0.7</v>
      </c>
      <c r="R200" s="177">
        <f t="shared" si="54"/>
        <v>2.0886391158527029E-2</v>
      </c>
      <c r="S200" s="817">
        <f t="shared" si="55"/>
        <v>0</v>
      </c>
      <c r="T200" s="176">
        <f t="shared" si="56"/>
        <v>6</v>
      </c>
      <c r="U200" s="251">
        <f t="shared" si="57"/>
        <v>2.0886391158527029E-2</v>
      </c>
      <c r="V200" s="383">
        <f t="shared" si="58"/>
        <v>39.496418875222027</v>
      </c>
      <c r="W200" s="402">
        <f t="shared" si="59"/>
        <v>37.21993031477033</v>
      </c>
      <c r="X200" s="157">
        <f t="shared" si="60"/>
        <v>45112</v>
      </c>
      <c r="Y200" s="385">
        <f t="shared" si="61"/>
        <v>34.107820982662368</v>
      </c>
      <c r="Z200" s="385">
        <f t="shared" si="62"/>
        <v>35.55951432695808</v>
      </c>
      <c r="AA200" s="386">
        <f t="shared" si="63"/>
        <v>39.986392186605812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0.1107096093838294</v>
      </c>
      <c r="AD200" s="231">
        <f>(INDEX(Models!$BJ200:$BT200,,AH200)*(1-AF200)+INDEX(Models!$BJ200:$BT200,,AH200+1)*AF200-ERP_i)*AE200*Ramure*Pc/MaxiM</f>
        <v>0</v>
      </c>
      <c r="AE200" s="305">
        <f t="shared" si="65"/>
        <v>0.7</v>
      </c>
      <c r="AF200" s="177">
        <f t="shared" si="66"/>
        <v>2.0886391158527029E-2</v>
      </c>
      <c r="AG200" s="817">
        <f t="shared" si="74"/>
        <v>0</v>
      </c>
      <c r="AH200" s="176">
        <f t="shared" si="67"/>
        <v>6</v>
      </c>
      <c r="AI200" s="225">
        <f t="shared" si="68"/>
        <v>2.0886391158527029E-2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45113</v>
      </c>
      <c r="B201" s="411">
        <f>'2022'!Wh/'2022'!Env_an*'2023'!Env_an</f>
        <v>29.729169895240481</v>
      </c>
      <c r="C201" s="846"/>
      <c r="D201" s="393">
        <f t="shared" si="50"/>
        <v>30.995178445057626</v>
      </c>
      <c r="E201" s="385">
        <f t="shared" si="75"/>
        <v>31.945337323291511</v>
      </c>
      <c r="F201" s="385">
        <f t="shared" si="51"/>
        <v>31.945337323291511</v>
      </c>
      <c r="G201" s="110">
        <f t="shared" si="76"/>
        <v>0.75382495193533106</v>
      </c>
      <c r="H201" s="414" t="b">
        <f>Wh_hp&gt;='2022'!Maxi_hp</f>
        <v>0</v>
      </c>
      <c r="I201" s="390">
        <f>IF(H201,Wh_hp,'2022'!Maxi_hp)</f>
        <v>42.389212353371924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4.0845338318064028E-2</v>
      </c>
      <c r="M201" s="850"/>
      <c r="N201" s="850"/>
      <c r="O201" s="48">
        <f>IF(t&lt;Tnet,'2022'!Resal+('2022'!Salim-'2022'!Resal)*(1-EXP(('2022'!Tnet-t)/('2022'!Tau_j))),Resal+(Salim-Resal)*(1-EXP((Tnet-t)/(Tau_j))))*Salcycl</f>
        <v>2.9743272660361551E-2</v>
      </c>
      <c r="P201" s="169">
        <f>(INDEX(Models!$BJ201:$BT201,,T201)*(1-R201)+INDEX(Models!$BJ201:$BT201,,T201+1)*R201-ERP_i)*Q201*Ramure*Pc/MaxiM</f>
        <v>0</v>
      </c>
      <c r="Q201" s="305">
        <f t="shared" si="53"/>
        <v>0.7</v>
      </c>
      <c r="R201" s="177">
        <f t="shared" si="54"/>
        <v>2.326025412466115E-2</v>
      </c>
      <c r="S201" s="817">
        <f t="shared" si="55"/>
        <v>0</v>
      </c>
      <c r="T201" s="176">
        <f t="shared" si="56"/>
        <v>6</v>
      </c>
      <c r="U201" s="251">
        <f t="shared" si="57"/>
        <v>2.326025412466115E-2</v>
      </c>
      <c r="V201" s="383">
        <f t="shared" si="58"/>
        <v>39.437763129112867</v>
      </c>
      <c r="W201" s="402">
        <f t="shared" si="59"/>
        <v>29.729169895240481</v>
      </c>
      <c r="X201" s="157">
        <f t="shared" si="60"/>
        <v>45113</v>
      </c>
      <c r="Y201" s="385">
        <f t="shared" si="61"/>
        <v>27.245891513729479</v>
      </c>
      <c r="Z201" s="385">
        <f t="shared" si="62"/>
        <v>28.406150334454043</v>
      </c>
      <c r="AA201" s="386">
        <f t="shared" si="63"/>
        <v>31.945337323291511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0.11078884386226305</v>
      </c>
      <c r="AD201" s="231">
        <f>(INDEX(Models!$BJ201:$BT201,,AH201)*(1-AF201)+INDEX(Models!$BJ201:$BT201,,AH201+1)*AF201-ERP_i)*AE201*Ramure*Pc/MaxiM</f>
        <v>0</v>
      </c>
      <c r="AE201" s="305">
        <f t="shared" si="65"/>
        <v>0.7</v>
      </c>
      <c r="AF201" s="177">
        <f t="shared" si="66"/>
        <v>2.326025412466115E-2</v>
      </c>
      <c r="AG201" s="817">
        <f t="shared" si="74"/>
        <v>0</v>
      </c>
      <c r="AH201" s="176">
        <f t="shared" si="67"/>
        <v>6</v>
      </c>
      <c r="AI201" s="225">
        <f t="shared" si="68"/>
        <v>2.326025412466115E-2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45114</v>
      </c>
      <c r="B202" s="411">
        <f>'2022'!Wh/'2022'!Env_an*'2023'!Env_an</f>
        <v>38.304439139378594</v>
      </c>
      <c r="C202" s="846"/>
      <c r="D202" s="393">
        <f t="shared" si="50"/>
        <v>39.936497890868573</v>
      </c>
      <c r="E202" s="385">
        <f t="shared" si="75"/>
        <v>41.168172925291458</v>
      </c>
      <c r="F202" s="385">
        <f t="shared" si="51"/>
        <v>41.168172925291458</v>
      </c>
      <c r="G202" s="110">
        <f t="shared" si="76"/>
        <v>0.9727783034594627</v>
      </c>
      <c r="H202" s="414" t="b">
        <f>Wh_hp&gt;='2022'!Maxi_hp</f>
        <v>1</v>
      </c>
      <c r="I202" s="390">
        <f>IF(H202,Wh_hp,'2022'!Maxi_hp)</f>
        <v>41.168172925291458</v>
      </c>
      <c r="J202" s="85">
        <f>IF(H202,An,'2022'!An_max)</f>
        <v>2023</v>
      </c>
      <c r="K202" s="197">
        <f t="shared" si="52"/>
        <v>45114</v>
      </c>
      <c r="L202" s="147">
        <f>IF(t&lt;Tvie,1-EXP((T0-t)*PertePVj)+'2022'!Pspv,1-EXP((T0-t)*PertePVj)+Pspv)</f>
        <v>4.0866346266760334E-2</v>
      </c>
      <c r="M202" s="850"/>
      <c r="N202" s="850"/>
      <c r="O202" s="48">
        <f>IF(t&lt;Tnet,'2022'!Resal+('2022'!Salim-'2022'!Resal)*(1-EXP(('2022'!Tnet-t)/('2022'!Tau_j))),Resal+(Salim-Resal)*(1-EXP((Tnet-t)/(Tau_j))))*Salcycl</f>
        <v>2.9918136922375101E-2</v>
      </c>
      <c r="P202" s="169">
        <f>(INDEX(Models!$BJ202:$BT202,,T202)*(1-R202)+INDEX(Models!$BJ202:$BT202,,T202+1)*R202-ERP_i)*Q202*Ramure*Pc/MaxiM</f>
        <v>0</v>
      </c>
      <c r="Q202" s="305">
        <f t="shared" si="53"/>
        <v>0.7</v>
      </c>
      <c r="R202" s="177">
        <f t="shared" si="54"/>
        <v>2.5586929633413968E-2</v>
      </c>
      <c r="S202" s="817">
        <f t="shared" si="55"/>
        <v>0</v>
      </c>
      <c r="T202" s="176">
        <f t="shared" si="56"/>
        <v>6</v>
      </c>
      <c r="U202" s="251">
        <f t="shared" si="57"/>
        <v>2.5586929633413968E-2</v>
      </c>
      <c r="V202" s="383">
        <f t="shared" si="58"/>
        <v>39.376329635599042</v>
      </c>
      <c r="W202" s="402">
        <f t="shared" si="59"/>
        <v>38.304439139378594</v>
      </c>
      <c r="X202" s="157">
        <f t="shared" si="60"/>
        <v>45114</v>
      </c>
      <c r="Y202" s="385">
        <f t="shared" si="61"/>
        <v>35.108128037807603</v>
      </c>
      <c r="Z202" s="385">
        <f t="shared" si="62"/>
        <v>36.603999767035695</v>
      </c>
      <c r="AA202" s="386">
        <f t="shared" si="63"/>
        <v>41.168172925291458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0.11086654650762473</v>
      </c>
      <c r="AD202" s="231">
        <f>(INDEX(Models!$BJ202:$BT202,,AH202)*(1-AF202)+INDEX(Models!$BJ202:$BT202,,AH202+1)*AF202-ERP_i)*AE202*Ramure*Pc/MaxiM</f>
        <v>0</v>
      </c>
      <c r="AE202" s="305">
        <f t="shared" si="65"/>
        <v>0.7</v>
      </c>
      <c r="AF202" s="177">
        <f t="shared" si="66"/>
        <v>2.5586929633413968E-2</v>
      </c>
      <c r="AG202" s="817">
        <f t="shared" si="74"/>
        <v>0</v>
      </c>
      <c r="AH202" s="176">
        <f t="shared" si="67"/>
        <v>6</v>
      </c>
      <c r="AI202" s="225">
        <f t="shared" si="68"/>
        <v>2.5586929633413968E-2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45115</v>
      </c>
      <c r="B203" s="411">
        <f>'2022'!Wh/'2022'!Env_an*'2023'!Env_an</f>
        <v>39.510116001344471</v>
      </c>
      <c r="C203" s="846"/>
      <c r="D203" s="393">
        <f t="shared" si="50"/>
        <v>41.194447968174714</v>
      </c>
      <c r="E203" s="385">
        <f t="shared" si="75"/>
        <v>42.472550687835628</v>
      </c>
      <c r="F203" s="385">
        <f t="shared" si="51"/>
        <v>42.472550687835628</v>
      </c>
      <c r="G203" s="110">
        <f t="shared" si="76"/>
        <v>1.0050441570188646</v>
      </c>
      <c r="H203" s="414" t="b">
        <f>Wh_hp&gt;='2022'!Maxi_hp</f>
        <v>0</v>
      </c>
      <c r="I203" s="390">
        <f>IF(H203,Wh_hp,'2022'!Maxi_hp)</f>
        <v>44.11830918893618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4.0887353755328815E-2</v>
      </c>
      <c r="M203" s="850"/>
      <c r="N203" s="850"/>
      <c r="O203" s="48">
        <f>IF(t&lt;Tnet,'2022'!Resal+('2022'!Salim-'2022'!Resal)*(1-EXP(('2022'!Tnet-t)/('2022'!Tau_j))),Resal+(Salim-Resal)*(1-EXP((Tnet-t)/(Tau_j))))*Salcycl</f>
        <v>3.0092440857971973E-2</v>
      </c>
      <c r="P203" s="169">
        <f>(INDEX(Models!$BJ203:$BT203,,T203)*(1-R203)+INDEX(Models!$BJ203:$BT203,,T203+1)*R203-ERP_i)*Q203*Ramure*Pc/MaxiM</f>
        <v>0</v>
      </c>
      <c r="Q203" s="305">
        <f t="shared" si="53"/>
        <v>0.7</v>
      </c>
      <c r="R203" s="177">
        <f t="shared" si="54"/>
        <v>2.7865905042669337E-2</v>
      </c>
      <c r="S203" s="817">
        <f t="shared" si="55"/>
        <v>0</v>
      </c>
      <c r="T203" s="176">
        <f t="shared" si="56"/>
        <v>6</v>
      </c>
      <c r="U203" s="251">
        <f t="shared" si="57"/>
        <v>2.7865905042669337E-2</v>
      </c>
      <c r="V203" s="383">
        <f t="shared" si="58"/>
        <v>39.311821003505287</v>
      </c>
      <c r="W203" s="402">
        <f t="shared" si="59"/>
        <v>39.510116001344471</v>
      </c>
      <c r="X203" s="157">
        <f t="shared" si="60"/>
        <v>45115</v>
      </c>
      <c r="Y203" s="385">
        <f t="shared" si="61"/>
        <v>36.216600319942621</v>
      </c>
      <c r="Z203" s="385">
        <f t="shared" si="62"/>
        <v>37.760528402733321</v>
      </c>
      <c r="AA203" s="386">
        <f t="shared" si="63"/>
        <v>42.472550687835628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0.11094276677034742</v>
      </c>
      <c r="AD203" s="231">
        <f>(INDEX(Models!$BJ203:$BT203,,AH203)*(1-AF203)+INDEX(Models!$BJ203:$BT203,,AH203+1)*AF203-ERP_i)*AE203*Ramure*Pc/MaxiM</f>
        <v>0</v>
      </c>
      <c r="AE203" s="305">
        <f t="shared" si="65"/>
        <v>0.7</v>
      </c>
      <c r="AF203" s="177">
        <f t="shared" si="66"/>
        <v>2.7865905042669337E-2</v>
      </c>
      <c r="AG203" s="817">
        <f t="shared" si="74"/>
        <v>0</v>
      </c>
      <c r="AH203" s="176">
        <f t="shared" si="67"/>
        <v>6</v>
      </c>
      <c r="AI203" s="225">
        <f t="shared" si="68"/>
        <v>2.7865905042669337E-2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45116</v>
      </c>
      <c r="B204" s="411">
        <f>'2022'!Wh/'2022'!Env_an*'2023'!Env_an</f>
        <v>38.75495410565383</v>
      </c>
      <c r="C204" s="846"/>
      <c r="D204" s="393">
        <f t="shared" si="50"/>
        <v>40.407978258808264</v>
      </c>
      <c r="E204" s="385">
        <f t="shared" si="75"/>
        <v>41.669144620844989</v>
      </c>
      <c r="F204" s="385">
        <f t="shared" si="51"/>
        <v>41.669144620844989</v>
      </c>
      <c r="G204" s="110">
        <f t="shared" si="76"/>
        <v>0.98753983585729632</v>
      </c>
      <c r="H204" s="414" t="b">
        <f>Wh_hp&gt;='2022'!Maxi_hp</f>
        <v>0</v>
      </c>
      <c r="I204" s="390">
        <f>IF(H204,Wh_hp,'2022'!Maxi_hp)</f>
        <v>42.583630575998079</v>
      </c>
      <c r="J204" s="85">
        <f>IF(H204,An,'2022'!An_max)</f>
        <v>2021</v>
      </c>
      <c r="K204" s="197">
        <f t="shared" si="52"/>
        <v>45116</v>
      </c>
      <c r="L204" s="147">
        <f>IF(t&lt;Tvie,1-EXP((T0-t)*PertePVj)+'2022'!Pspv,1-EXP((T0-t)*PertePVj)+Pspv)</f>
        <v>4.0908360783779241E-2</v>
      </c>
      <c r="M204" s="850"/>
      <c r="N204" s="850"/>
      <c r="O204" s="48">
        <f>IF(t&lt;Tnet,'2022'!Resal+('2022'!Salim-'2022'!Resal)*(1-EXP(('2022'!Tnet-t)/('2022'!Tau_j))),Resal+(Salim-Resal)*(1-EXP((Tnet-t)/(Tau_j))))*Salcycl</f>
        <v>3.0266192731151571E-2</v>
      </c>
      <c r="P204" s="169">
        <f>(INDEX(Models!$BJ204:$BT204,,T204)*(1-R204)+INDEX(Models!$BJ204:$BT204,,T204+1)*R204-ERP_i)*Q204*Ramure*Pc/MaxiM</f>
        <v>0</v>
      </c>
      <c r="Q204" s="305">
        <f t="shared" si="53"/>
        <v>0.7</v>
      </c>
      <c r="R204" s="177">
        <f t="shared" si="54"/>
        <v>3.0096767377914224E-2</v>
      </c>
      <c r="S204" s="817">
        <f t="shared" si="55"/>
        <v>0</v>
      </c>
      <c r="T204" s="176">
        <f t="shared" si="56"/>
        <v>6</v>
      </c>
      <c r="U204" s="251">
        <f t="shared" si="57"/>
        <v>3.0096767377914224E-2</v>
      </c>
      <c r="V204" s="383">
        <f t="shared" si="58"/>
        <v>39.243940040160652</v>
      </c>
      <c r="W204" s="402">
        <f t="shared" si="59"/>
        <v>38.75495410565383</v>
      </c>
      <c r="X204" s="157">
        <f t="shared" si="60"/>
        <v>45116</v>
      </c>
      <c r="Y204" s="385">
        <f t="shared" si="61"/>
        <v>35.527763972395292</v>
      </c>
      <c r="Z204" s="385">
        <f t="shared" si="62"/>
        <v>37.043138027382803</v>
      </c>
      <c r="AA204" s="386">
        <f t="shared" si="63"/>
        <v>41.669144620844989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0.11101755592909442</v>
      </c>
      <c r="AD204" s="231">
        <f>(INDEX(Models!$BJ204:$BT204,,AH204)*(1-AF204)+INDEX(Models!$BJ204:$BT204,,AH204+1)*AF204-ERP_i)*AE204*Ramure*Pc/MaxiM</f>
        <v>0</v>
      </c>
      <c r="AE204" s="305">
        <f t="shared" si="65"/>
        <v>0.7</v>
      </c>
      <c r="AF204" s="177">
        <f t="shared" si="66"/>
        <v>3.0096767377914224E-2</v>
      </c>
      <c r="AG204" s="817">
        <f t="shared" si="74"/>
        <v>0</v>
      </c>
      <c r="AH204" s="176">
        <f t="shared" si="67"/>
        <v>6</v>
      </c>
      <c r="AI204" s="225">
        <f t="shared" si="68"/>
        <v>3.0096767377914224E-2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45117</v>
      </c>
      <c r="B205" s="411">
        <f>'2022'!Wh/'2022'!Env_an*'2023'!Env_an</f>
        <v>38.296239478106813</v>
      </c>
      <c r="C205" s="846"/>
      <c r="D205" s="393">
        <f t="shared" si="50"/>
        <v>39.930572550611338</v>
      </c>
      <c r="E205" s="385">
        <f t="shared" si="75"/>
        <v>41.184194792398188</v>
      </c>
      <c r="F205" s="385">
        <f t="shared" si="51"/>
        <v>41.184194792398188</v>
      </c>
      <c r="G205" s="110">
        <f t="shared" si="76"/>
        <v>0.97763637188711294</v>
      </c>
      <c r="H205" s="414" t="b">
        <f>Wh_hp&gt;='2022'!Maxi_hp</f>
        <v>1</v>
      </c>
      <c r="I205" s="390">
        <f>IF(H205,Wh_hp,'2022'!Maxi_hp)</f>
        <v>41.184194792398188</v>
      </c>
      <c r="J205" s="85">
        <f>IF(H205,An,'2022'!An_max)</f>
        <v>2023</v>
      </c>
      <c r="K205" s="197">
        <f t="shared" si="52"/>
        <v>45117</v>
      </c>
      <c r="L205" s="147">
        <f>IF(t&lt;Tvie,1-EXP((T0-t)*PertePVj)+'2022'!Pspv,1-EXP((T0-t)*PertePVj)+Pspv)</f>
        <v>4.0929367352121937E-2</v>
      </c>
      <c r="M205" s="850"/>
      <c r="N205" s="850"/>
      <c r="O205" s="48">
        <f>IF(t&lt;Tnet,'2022'!Resal+('2022'!Salim-'2022'!Resal)*(1-EXP(('2022'!Tnet-t)/('2022'!Tau_j))),Resal+(Salim-Resal)*(1-EXP((Tnet-t)/(Tau_j))))*Salcycl</f>
        <v>3.04394015254183E-2</v>
      </c>
      <c r="P205" s="169">
        <f>(INDEX(Models!$BJ205:$BT205,,T205)*(1-R205)+INDEX(Models!$BJ205:$BT205,,T205+1)*R205-ERP_i)*Q205*Ramure*Pc/MaxiM</f>
        <v>0</v>
      </c>
      <c r="Q205" s="305">
        <f t="shared" si="53"/>
        <v>0.7</v>
      </c>
      <c r="R205" s="177">
        <f t="shared" si="54"/>
        <v>3.2279200416599652E-2</v>
      </c>
      <c r="S205" s="817">
        <f t="shared" si="55"/>
        <v>0</v>
      </c>
      <c r="T205" s="176">
        <f t="shared" si="56"/>
        <v>6</v>
      </c>
      <c r="U205" s="251">
        <f t="shared" si="57"/>
        <v>3.2279200416599652E-2</v>
      </c>
      <c r="V205" s="383">
        <f t="shared" si="58"/>
        <v>39.172273638085194</v>
      </c>
      <c r="W205" s="402">
        <f t="shared" si="59"/>
        <v>38.296239478106813</v>
      </c>
      <c r="X205" s="157">
        <f t="shared" si="60"/>
        <v>45117</v>
      </c>
      <c r="Y205" s="385">
        <f t="shared" si="61"/>
        <v>35.110619454835962</v>
      </c>
      <c r="Z205" s="385">
        <f t="shared" si="62"/>
        <v>36.609002777928659</v>
      </c>
      <c r="AA205" s="386">
        <f t="shared" si="63"/>
        <v>41.184194792398188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0.1110909667539262</v>
      </c>
      <c r="AD205" s="231">
        <f>(INDEX(Models!$BJ205:$BT205,,AH205)*(1-AF205)+INDEX(Models!$BJ205:$BT205,,AH205+1)*AF205-ERP_i)*AE205*Ramure*Pc/MaxiM</f>
        <v>0</v>
      </c>
      <c r="AE205" s="305">
        <f t="shared" si="65"/>
        <v>0.7</v>
      </c>
      <c r="AF205" s="177">
        <f t="shared" si="66"/>
        <v>3.2279200416599652E-2</v>
      </c>
      <c r="AG205" s="817">
        <f t="shared" si="74"/>
        <v>0</v>
      </c>
      <c r="AH205" s="176">
        <f t="shared" si="67"/>
        <v>6</v>
      </c>
      <c r="AI205" s="225">
        <f t="shared" si="68"/>
        <v>3.2279200416599652E-2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45118</v>
      </c>
      <c r="B206" s="411">
        <f>'2022'!Wh/'2022'!Env_an*'2023'!Env_an</f>
        <v>36.942142965520176</v>
      </c>
      <c r="C206" s="846"/>
      <c r="D206" s="393">
        <f t="shared" si="50"/>
        <v>38.519532194399453</v>
      </c>
      <c r="E206" s="385">
        <f t="shared" si="75"/>
        <v>39.735931586193551</v>
      </c>
      <c r="F206" s="385">
        <f t="shared" si="51"/>
        <v>39.735931586193551</v>
      </c>
      <c r="G206" s="110">
        <f t="shared" si="76"/>
        <v>0.944887398699509</v>
      </c>
      <c r="H206" s="414" t="b">
        <f>Wh_hp&gt;='2022'!Maxi_hp</f>
        <v>0</v>
      </c>
      <c r="I206" s="390">
        <f>IF(H206,Wh_hp,'2022'!Maxi_hp)</f>
        <v>41.921892854152688</v>
      </c>
      <c r="J206" s="85">
        <f>IF(H206,An,'2022'!An_max)</f>
        <v>2019</v>
      </c>
      <c r="K206" s="197">
        <f t="shared" si="52"/>
        <v>45118</v>
      </c>
      <c r="L206" s="147">
        <f>IF(t&lt;Tvie,1-EXP((T0-t)*PertePVj)+'2022'!Pspv,1-EXP((T0-t)*PertePVj)+Pspv)</f>
        <v>4.0950373460366785E-2</v>
      </c>
      <c r="M206" s="850"/>
      <c r="N206" s="850"/>
      <c r="O206" s="48">
        <f>IF(t&lt;Tnet,'2022'!Resal+('2022'!Salim-'2022'!Resal)*(1-EXP(('2022'!Tnet-t)/('2022'!Tau_j))),Resal+(Salim-Resal)*(1-EXP((Tnet-t)/(Tau_j))))*Salcycl</f>
        <v>3.0612076859341617E-2</v>
      </c>
      <c r="P206" s="169">
        <f>(INDEX(Models!$BJ206:$BT206,,T206)*(1-R206)+INDEX(Models!$BJ206:$BT206,,T206+1)*R206-ERP_i)*Q206*Ramure*Pc/MaxiM</f>
        <v>0</v>
      </c>
      <c r="Q206" s="305">
        <f t="shared" si="53"/>
        <v>0.7</v>
      </c>
      <c r="R206" s="177">
        <f t="shared" si="54"/>
        <v>3.441298149157504E-2</v>
      </c>
      <c r="S206" s="817">
        <f t="shared" si="55"/>
        <v>0</v>
      </c>
      <c r="T206" s="176">
        <f t="shared" si="56"/>
        <v>6</v>
      </c>
      <c r="U206" s="251">
        <f t="shared" si="57"/>
        <v>3.441298149157504E-2</v>
      </c>
      <c r="V206" s="383">
        <f t="shared" si="58"/>
        <v>39.096873359053475</v>
      </c>
      <c r="W206" s="402">
        <f t="shared" si="59"/>
        <v>36.942142965520176</v>
      </c>
      <c r="X206" s="157">
        <f t="shared" si="60"/>
        <v>45118</v>
      </c>
      <c r="Y206" s="385">
        <f t="shared" si="61"/>
        <v>33.872447530064711</v>
      </c>
      <c r="Z206" s="385">
        <f t="shared" si="62"/>
        <v>35.318764110550347</v>
      </c>
      <c r="AA206" s="386">
        <f t="shared" si="63"/>
        <v>39.735931586193551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0.11116305316918686</v>
      </c>
      <c r="AD206" s="231">
        <f>(INDEX(Models!$BJ206:$BT206,,AH206)*(1-AF206)+INDEX(Models!$BJ206:$BT206,,AH206+1)*AF206-ERP_i)*AE206*Ramure*Pc/MaxiM</f>
        <v>0</v>
      </c>
      <c r="AE206" s="305">
        <f t="shared" si="65"/>
        <v>0.7</v>
      </c>
      <c r="AF206" s="177">
        <f t="shared" si="66"/>
        <v>3.441298149157504E-2</v>
      </c>
      <c r="AG206" s="817">
        <f t="shared" si="74"/>
        <v>0</v>
      </c>
      <c r="AH206" s="176">
        <f t="shared" si="67"/>
        <v>6</v>
      </c>
      <c r="AI206" s="225">
        <f t="shared" si="68"/>
        <v>3.441298149157504E-2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45119</v>
      </c>
      <c r="B207" s="411">
        <f>'2022'!Wh/'2022'!Env_an*'2023'!Env_an</f>
        <v>36.753711170994329</v>
      </c>
      <c r="C207" s="846"/>
      <c r="D207" s="393">
        <f t="shared" ref="D207:D270" si="77">Wh/(1-Ppv)</f>
        <v>38.323893959316351</v>
      </c>
      <c r="E207" s="385">
        <f t="shared" si="75"/>
        <v>39.541137383491282</v>
      </c>
      <c r="F207" s="385">
        <f t="shared" ref="F207:F270" si="78">Wh_sa/(1-Pvg*MEDIAN((-Sdif+Wh/Env_an)/Csdif,0,1))</f>
        <v>39.541137383491282</v>
      </c>
      <c r="G207" s="110">
        <f t="shared" si="76"/>
        <v>0.9419647426952259</v>
      </c>
      <c r="H207" s="414" t="b">
        <f>Wh_hp&gt;='2022'!Maxi_hp</f>
        <v>0</v>
      </c>
      <c r="I207" s="390">
        <f>IF(H207,Wh_hp,'2022'!Maxi_hp)</f>
        <v>42.496597456132768</v>
      </c>
      <c r="J207" s="85">
        <f>IF(H207,An,'2022'!An_max)</f>
        <v>2019</v>
      </c>
      <c r="K207" s="197">
        <f t="shared" ref="K207:K270" si="79">t</f>
        <v>45119</v>
      </c>
      <c r="L207" s="147">
        <f>IF(t&lt;Tvie,1-EXP((T0-t)*PertePVj)+'2022'!Pspv,1-EXP((T0-t)*PertePVj)+Pspv)</f>
        <v>4.0971379108523998E-2</v>
      </c>
      <c r="M207" s="850"/>
      <c r="N207" s="850"/>
      <c r="O207" s="48">
        <f>IF(t&lt;Tnet,'2022'!Resal+('2022'!Salim-'2022'!Resal)*(1-EXP(('2022'!Tnet-t)/('2022'!Tau_j))),Resal+(Salim-Resal)*(1-EXP((Tnet-t)/(Tau_j))))*Salcycl</f>
        <v>3.0784228899878266E-2</v>
      </c>
      <c r="P207" s="169">
        <f>(INDEX(Models!$BJ207:$BT207,,T207)*(1-R207)+INDEX(Models!$BJ207:$BT207,,T207+1)*R207-ERP_i)*Q207*Ramure*Pc/MaxiM</f>
        <v>0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3.6497978049504082E-2</v>
      </c>
      <c r="S207" s="817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3.6497978049504082E-2</v>
      </c>
      <c r="V207" s="383">
        <f t="shared" ref="V207:V270" si="85">MaxiM*(1-Ppv)*(1-Pvg)*(1-Psa)</f>
        <v>39.018138901708397</v>
      </c>
      <c r="W207" s="402">
        <f t="shared" ref="W207:W270" si="86">Wh*(A207&gt;Tmaj)</f>
        <v>36.753711170994329</v>
      </c>
      <c r="X207" s="157">
        <f t="shared" ref="X207:X270" si="87">t</f>
        <v>45119</v>
      </c>
      <c r="Y207" s="385">
        <f t="shared" ref="Y207:Y270" si="88">Wh_pvt_s*(1-Ppv)</f>
        <v>33.702973700580891</v>
      </c>
      <c r="Z207" s="385">
        <f t="shared" ref="Z207:Z270" si="89">Wh_sa_s*(1-Psa_s)</f>
        <v>35.142823651344116</v>
      </c>
      <c r="AA207" s="386">
        <f t="shared" ref="AA207:AA270" si="90">Wh_hp*(1-Pvg_s*MEDIAN((-Sdif+Wh/Env_an)/Csdif,0,1))</f>
        <v>39.541137383491282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0.1112338699185597</v>
      </c>
      <c r="AD207" s="231">
        <f>(INDEX(Models!$BJ207:$BT207,,AH207)*(1-AF207)+INDEX(Models!$BJ207:$BT207,,AH207+1)*AF207-ERP_i)*AE207*Ramure*Pc/MaxiM</f>
        <v>0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3.6497978049504082E-2</v>
      </c>
      <c r="AG207" s="817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3.6497978049504082E-2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45120</v>
      </c>
      <c r="B208" s="411">
        <f>'2022'!Wh/'2022'!Env_an*'2023'!Env_an</f>
        <v>36.604024721249388</v>
      </c>
      <c r="C208" s="846"/>
      <c r="D208" s="393">
        <f t="shared" si="77"/>
        <v>38.16864863414218</v>
      </c>
      <c r="E208" s="385">
        <f t="shared" si="75"/>
        <v>39.387936405089448</v>
      </c>
      <c r="F208" s="385">
        <f t="shared" si="78"/>
        <v>39.387936405089448</v>
      </c>
      <c r="G208" s="110">
        <f t="shared" si="76"/>
        <v>0.94009613811395021</v>
      </c>
      <c r="H208" s="414" t="b">
        <f>Wh_hp&gt;='2022'!Maxi_hp</f>
        <v>1</v>
      </c>
      <c r="I208" s="390">
        <f>IF(H208,Wh_hp,'2022'!Maxi_hp)</f>
        <v>39.387936405089448</v>
      </c>
      <c r="J208" s="85">
        <f>IF(H208,An,'2022'!An_max)</f>
        <v>2023</v>
      </c>
      <c r="K208" s="197">
        <f t="shared" si="79"/>
        <v>45120</v>
      </c>
      <c r="L208" s="147">
        <f>IF(t&lt;Tvie,1-EXP((T0-t)*PertePVj)+'2022'!Pspv,1-EXP((T0-t)*PertePVj)+Pspv)</f>
        <v>4.0992384296603568E-2</v>
      </c>
      <c r="M208" s="850"/>
      <c r="N208" s="850"/>
      <c r="O208" s="48">
        <f>IF(t&lt;Tnet,'2022'!Resal+('2022'!Salim-'2022'!Resal)*(1-EXP(('2022'!Tnet-t)/('2022'!Tau_j))),Resal+(Salim-Resal)*(1-EXP((Tnet-t)/(Tau_j))))*Salcycl</f>
        <v>3.0955868274168297E-2</v>
      </c>
      <c r="P208" s="169">
        <f>(INDEX(Models!$BJ208:$BT208,,T208)*(1-R208)+INDEX(Models!$BJ208:$BT208,,T208+1)*R208-ERP_i)*Q208*Ramure*Pc/MaxiM</f>
        <v>0</v>
      </c>
      <c r="Q208" s="305">
        <f t="shared" si="80"/>
        <v>0.7</v>
      </c>
      <c r="R208" s="177">
        <f t="shared" si="81"/>
        <v>3.8534143999741227E-2</v>
      </c>
      <c r="S208" s="817">
        <f t="shared" si="82"/>
        <v>0</v>
      </c>
      <c r="T208" s="176">
        <f t="shared" si="83"/>
        <v>6</v>
      </c>
      <c r="U208" s="251">
        <f t="shared" si="84"/>
        <v>3.8534143999741227E-2</v>
      </c>
      <c r="V208" s="383">
        <f t="shared" si="85"/>
        <v>38.936469619676892</v>
      </c>
      <c r="W208" s="402">
        <f t="shared" si="86"/>
        <v>36.604024721249388</v>
      </c>
      <c r="X208" s="157">
        <f t="shared" si="87"/>
        <v>45120</v>
      </c>
      <c r="Y208" s="385">
        <f t="shared" si="88"/>
        <v>33.569028083453126</v>
      </c>
      <c r="Z208" s="385">
        <f t="shared" si="89"/>
        <v>35.003922319043831</v>
      </c>
      <c r="AA208" s="386">
        <f t="shared" si="90"/>
        <v>39.387936405089448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0.11130347223469016</v>
      </c>
      <c r="AD208" s="231">
        <f>(INDEX(Models!$BJ208:$BT208,,AH208)*(1-AF208)+INDEX(Models!$BJ208:$BT208,,AH208+1)*AF208-ERP_i)*AE208*Ramure*Pc/MaxiM</f>
        <v>0</v>
      </c>
      <c r="AE208" s="305">
        <f t="shared" si="92"/>
        <v>0.7</v>
      </c>
      <c r="AF208" s="177">
        <f t="shared" si="93"/>
        <v>3.8534143999741227E-2</v>
      </c>
      <c r="AG208" s="817">
        <f t="shared" ref="AG208:AG271" si="99">INDEX(Echel_vg,AH208)</f>
        <v>0</v>
      </c>
      <c r="AH208" s="176">
        <f t="shared" si="94"/>
        <v>6</v>
      </c>
      <c r="AI208" s="225">
        <f t="shared" si="95"/>
        <v>3.8534143999741227E-2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45121</v>
      </c>
      <c r="B209" s="411">
        <f>'2022'!Wh/'2022'!Env_an*'2023'!Env_an</f>
        <v>35.956969962047083</v>
      </c>
      <c r="C209" s="846"/>
      <c r="D209" s="393">
        <f t="shared" si="77"/>
        <v>37.494757018010169</v>
      </c>
      <c r="E209" s="385">
        <f t="shared" si="75"/>
        <v>38.699351978486845</v>
      </c>
      <c r="F209" s="385">
        <f t="shared" si="78"/>
        <v>38.699351978486845</v>
      </c>
      <c r="G209" s="110">
        <f t="shared" si="76"/>
        <v>0.92547938709795585</v>
      </c>
      <c r="H209" s="414" t="b">
        <f>Wh_hp&gt;='2022'!Maxi_hp</f>
        <v>0</v>
      </c>
      <c r="I209" s="390">
        <f>IF(H209,Wh_hp,'2022'!Maxi_hp)</f>
        <v>42.613851519576691</v>
      </c>
      <c r="J209" s="85">
        <f>IF(H209,An,'2022'!An_max)</f>
        <v>2020</v>
      </c>
      <c r="K209" s="197">
        <f t="shared" si="79"/>
        <v>45121</v>
      </c>
      <c r="L209" s="147">
        <f>IF(t&lt;Tvie,1-EXP((T0-t)*PertePVj)+'2022'!Pspv,1-EXP((T0-t)*PertePVj)+Pspv)</f>
        <v>4.1013389024615599E-2</v>
      </c>
      <c r="M209" s="850"/>
      <c r="N209" s="850"/>
      <c r="O209" s="48">
        <f>IF(t&lt;Tnet,'2022'!Resal+('2022'!Salim-'2022'!Resal)*(1-EXP(('2022'!Tnet-t)/('2022'!Tau_j))),Resal+(Salim-Resal)*(1-EXP((Tnet-t)/(Tau_j))))*Salcycl</f>
        <v>3.1127005980521757E-2</v>
      </c>
      <c r="P209" s="169">
        <f>(INDEX(Models!$BJ209:$BT209,,T209)*(1-R209)+INDEX(Models!$BJ209:$BT209,,T209+1)*R209-ERP_i)*Q209*Ramure*Pc/MaxiM</f>
        <v>0</v>
      </c>
      <c r="Q209" s="305">
        <f t="shared" si="80"/>
        <v>0.7</v>
      </c>
      <c r="R209" s="177">
        <f t="shared" si="81"/>
        <v>4.0521515888390203E-2</v>
      </c>
      <c r="S209" s="817">
        <f t="shared" si="82"/>
        <v>0</v>
      </c>
      <c r="T209" s="176">
        <f t="shared" si="83"/>
        <v>6</v>
      </c>
      <c r="U209" s="251">
        <f t="shared" si="84"/>
        <v>4.0521515888390203E-2</v>
      </c>
      <c r="V209" s="383">
        <f t="shared" si="85"/>
        <v>38.852264527250107</v>
      </c>
      <c r="W209" s="402">
        <f t="shared" si="86"/>
        <v>35.956969962047083</v>
      </c>
      <c r="X209" s="157">
        <f t="shared" si="87"/>
        <v>45121</v>
      </c>
      <c r="Y209" s="385">
        <f t="shared" si="88"/>
        <v>32.978908008030452</v>
      </c>
      <c r="Z209" s="385">
        <f t="shared" si="89"/>
        <v>34.389331019426471</v>
      </c>
      <c r="AA209" s="386">
        <f t="shared" si="90"/>
        <v>38.699351978486845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0.11137191551569987</v>
      </c>
      <c r="AD209" s="231">
        <f>(INDEX(Models!$BJ209:$BT209,,AH209)*(1-AF209)+INDEX(Models!$BJ209:$BT209,,AH209+1)*AF209-ERP_i)*AE209*Ramure*Pc/MaxiM</f>
        <v>0</v>
      </c>
      <c r="AE209" s="305">
        <f t="shared" si="92"/>
        <v>0.7</v>
      </c>
      <c r="AF209" s="177">
        <f t="shared" si="93"/>
        <v>4.0521515888390203E-2</v>
      </c>
      <c r="AG209" s="817">
        <f t="shared" si="99"/>
        <v>0</v>
      </c>
      <c r="AH209" s="176">
        <f t="shared" si="94"/>
        <v>6</v>
      </c>
      <c r="AI209" s="225">
        <f t="shared" si="95"/>
        <v>4.0521515888390203E-2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45122</v>
      </c>
      <c r="B210" s="411">
        <f>'2022'!Wh/'2022'!Env_an*'2023'!Env_an</f>
        <v>34.812632475886723</v>
      </c>
      <c r="C210" s="846"/>
      <c r="D210" s="393">
        <f t="shared" si="77"/>
        <v>36.30227427594042</v>
      </c>
      <c r="E210" s="385">
        <f t="shared" si="75"/>
        <v>37.475158803509267</v>
      </c>
      <c r="F210" s="385">
        <f t="shared" si="78"/>
        <v>37.475158803509267</v>
      </c>
      <c r="G210" s="110">
        <f t="shared" si="76"/>
        <v>0.89802152000179791</v>
      </c>
      <c r="H210" s="414" t="b">
        <f>Wh_hp&gt;='2022'!Maxi_hp</f>
        <v>0</v>
      </c>
      <c r="I210" s="390">
        <f>IF(H210,Wh_hp,'2022'!Maxi_hp)</f>
        <v>43.03729894617058</v>
      </c>
      <c r="J210" s="85">
        <f>IF(H210,An,'2022'!An_max)</f>
        <v>2019</v>
      </c>
      <c r="K210" s="197">
        <f t="shared" si="79"/>
        <v>45122</v>
      </c>
      <c r="L210" s="147">
        <f>IF(t&lt;Tvie,1-EXP((T0-t)*PertePVj)+'2022'!Pspv,1-EXP((T0-t)*PertePVj)+Pspv)</f>
        <v>4.1034393292570304E-2</v>
      </c>
      <c r="M210" s="850"/>
      <c r="N210" s="850"/>
      <c r="O210" s="48">
        <f>IF(t&lt;Tnet,'2022'!Resal+('2022'!Salim-'2022'!Resal)*(1-EXP(('2022'!Tnet-t)/('2022'!Tau_j))),Resal+(Salim-Resal)*(1-EXP((Tnet-t)/(Tau_j))))*Salcycl</f>
        <v>3.1297653299310772E-2</v>
      </c>
      <c r="P210" s="169">
        <f>(INDEX(Models!$BJ210:$BT210,,T210)*(1-R210)+INDEX(Models!$BJ210:$BT210,,T210+1)*R210-ERP_i)*Q210*Ramure*Pc/MaxiM</f>
        <v>0</v>
      </c>
      <c r="Q210" s="305">
        <f t="shared" si="80"/>
        <v>0.7</v>
      </c>
      <c r="R210" s="177">
        <f t="shared" si="81"/>
        <v>4.2460208931213939E-2</v>
      </c>
      <c r="S210" s="817">
        <f t="shared" si="82"/>
        <v>0</v>
      </c>
      <c r="T210" s="176">
        <f t="shared" si="83"/>
        <v>6</v>
      </c>
      <c r="U210" s="251">
        <f t="shared" si="84"/>
        <v>4.2460208931213939E-2</v>
      </c>
      <c r="V210" s="383">
        <f t="shared" si="85"/>
        <v>38.765922308651376</v>
      </c>
      <c r="W210" s="402">
        <f t="shared" si="86"/>
        <v>34.812632475886723</v>
      </c>
      <c r="X210" s="157">
        <f t="shared" si="87"/>
        <v>45122</v>
      </c>
      <c r="Y210" s="385">
        <f t="shared" si="88"/>
        <v>31.93255260830513</v>
      </c>
      <c r="Z210" s="385">
        <f t="shared" si="89"/>
        <v>33.298955025033983</v>
      </c>
      <c r="AA210" s="386">
        <f t="shared" si="90"/>
        <v>37.475158803509267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0.11143925501082112</v>
      </c>
      <c r="AD210" s="231">
        <f>(INDEX(Models!$BJ210:$BT210,,AH210)*(1-AF210)+INDEX(Models!$BJ210:$BT210,,AH210+1)*AF210-ERP_i)*AE210*Ramure*Pc/MaxiM</f>
        <v>0</v>
      </c>
      <c r="AE210" s="305">
        <f t="shared" si="92"/>
        <v>0.7</v>
      </c>
      <c r="AF210" s="177">
        <f t="shared" si="93"/>
        <v>4.2460208931213939E-2</v>
      </c>
      <c r="AG210" s="817">
        <f t="shared" si="99"/>
        <v>0</v>
      </c>
      <c r="AH210" s="176">
        <f t="shared" si="94"/>
        <v>6</v>
      </c>
      <c r="AI210" s="225">
        <f t="shared" si="95"/>
        <v>4.2460208931213939E-2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45123</v>
      </c>
      <c r="B211" s="411">
        <f>'2022'!Wh/'2022'!Env_an*'2023'!Env_an</f>
        <v>36.079577284547312</v>
      </c>
      <c r="C211" s="846"/>
      <c r="D211" s="393">
        <f t="shared" si="77"/>
        <v>37.624256057602217</v>
      </c>
      <c r="E211" s="385">
        <f t="shared" si="75"/>
        <v>38.84667634256131</v>
      </c>
      <c r="F211" s="385">
        <f t="shared" si="78"/>
        <v>38.84667634256131</v>
      </c>
      <c r="G211" s="110">
        <f t="shared" si="76"/>
        <v>0.93282293048919607</v>
      </c>
      <c r="H211" s="414" t="b">
        <f>Wh_hp&gt;='2022'!Maxi_hp</f>
        <v>0</v>
      </c>
      <c r="I211" s="390">
        <f>IF(H211,Wh_hp,'2022'!Maxi_hp)</f>
        <v>41.785421826741953</v>
      </c>
      <c r="J211" s="85">
        <f>IF(H211,An,'2022'!An_max)</f>
        <v>2019</v>
      </c>
      <c r="K211" s="197">
        <f t="shared" si="79"/>
        <v>45123</v>
      </c>
      <c r="L211" s="147">
        <f>IF(t&lt;Tvie,1-EXP((T0-t)*PertePVj)+'2022'!Pspv,1-EXP((T0-t)*PertePVj)+Pspv)</f>
        <v>4.1055397100477453E-2</v>
      </c>
      <c r="M211" s="850"/>
      <c r="N211" s="850"/>
      <c r="O211" s="48">
        <f>IF(t&lt;Tnet,'2022'!Resal+('2022'!Salim-'2022'!Resal)*(1-EXP(('2022'!Tnet-t)/('2022'!Tau_j))),Resal+(Salim-Resal)*(1-EXP((Tnet-t)/(Tau_j))))*Salcycl</f>
        <v>3.1467821704473133E-2</v>
      </c>
      <c r="P211" s="169">
        <f>(INDEX(Models!$BJ211:$BT211,,T211)*(1-R211)+INDEX(Models!$BJ211:$BT211,,T211+1)*R211-ERP_i)*Q211*Ramure*Pc/MaxiM</f>
        <v>0</v>
      </c>
      <c r="Q211" s="305">
        <f t="shared" si="80"/>
        <v>0.7</v>
      </c>
      <c r="R211" s="177">
        <f t="shared" si="81"/>
        <v>4.4350412937753297E-2</v>
      </c>
      <c r="S211" s="817">
        <f t="shared" si="82"/>
        <v>0</v>
      </c>
      <c r="T211" s="176">
        <f t="shared" si="83"/>
        <v>6</v>
      </c>
      <c r="U211" s="251">
        <f t="shared" si="84"/>
        <v>4.4350412937753297E-2</v>
      </c>
      <c r="V211" s="383">
        <f t="shared" si="85"/>
        <v>38.67784131938766</v>
      </c>
      <c r="W211" s="402">
        <f t="shared" si="86"/>
        <v>36.079577284547312</v>
      </c>
      <c r="X211" s="157">
        <f t="shared" si="87"/>
        <v>45123</v>
      </c>
      <c r="Y211" s="385">
        <f t="shared" si="88"/>
        <v>33.098027154674611</v>
      </c>
      <c r="Z211" s="385">
        <f t="shared" si="89"/>
        <v>34.515056505451334</v>
      </c>
      <c r="AA211" s="386">
        <f t="shared" si="90"/>
        <v>38.84667634256131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0.1115055455172662</v>
      </c>
      <c r="AD211" s="231">
        <f>(INDEX(Models!$BJ211:$BT211,,AH211)*(1-AF211)+INDEX(Models!$BJ211:$BT211,,AH211+1)*AF211-ERP_i)*AE211*Ramure*Pc/MaxiM</f>
        <v>0</v>
      </c>
      <c r="AE211" s="305">
        <f t="shared" si="92"/>
        <v>0.7</v>
      </c>
      <c r="AF211" s="177">
        <f t="shared" si="93"/>
        <v>4.4350412937753297E-2</v>
      </c>
      <c r="AG211" s="817">
        <f t="shared" si="99"/>
        <v>0</v>
      </c>
      <c r="AH211" s="176">
        <f t="shared" si="94"/>
        <v>6</v>
      </c>
      <c r="AI211" s="225">
        <f t="shared" si="95"/>
        <v>4.4350412937753297E-2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45124</v>
      </c>
      <c r="B212" s="411">
        <f>'2022'!Wh/'2022'!Env_an*'2023'!Env_an</f>
        <v>35.369799300081304</v>
      </c>
      <c r="C212" s="846"/>
      <c r="D212" s="393">
        <f t="shared" si="77"/>
        <v>36.884898146858163</v>
      </c>
      <c r="E212" s="385">
        <f t="shared" si="75"/>
        <v>38.089970454666933</v>
      </c>
      <c r="F212" s="385">
        <f t="shared" si="78"/>
        <v>38.089970454666933</v>
      </c>
      <c r="G212" s="110">
        <f t="shared" si="76"/>
        <v>0.9165910309655797</v>
      </c>
      <c r="H212" s="414" t="b">
        <f>Wh_hp&gt;='2022'!Maxi_hp</f>
        <v>0</v>
      </c>
      <c r="I212" s="390">
        <f>IF(H212,Wh_hp,'2022'!Maxi_hp)</f>
        <v>41.903533821101661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4.1076400448347483E-2</v>
      </c>
      <c r="M212" s="850"/>
      <c r="N212" s="850"/>
      <c r="O212" s="48">
        <f>IF(t&lt;Tnet,'2022'!Resal+('2022'!Salim-'2022'!Resal)*(1-EXP(('2022'!Tnet-t)/('2022'!Tau_j))),Resal+(Salim-Resal)*(1-EXP((Tnet-t)/(Tau_j))))*Salcycl</f>
        <v>3.1637522776317192E-2</v>
      </c>
      <c r="P212" s="169">
        <f>(INDEX(Models!$BJ212:$BT212,,T212)*(1-R212)+INDEX(Models!$BJ212:$BT212,,T212+1)*R212-ERP_i)*Q212*Ramure*Pc/MaxiM</f>
        <v>0</v>
      </c>
      <c r="Q212" s="305">
        <f t="shared" si="80"/>
        <v>0.7</v>
      </c>
      <c r="R212" s="177">
        <f t="shared" si="81"/>
        <v>4.6192388157489467E-2</v>
      </c>
      <c r="S212" s="817">
        <f t="shared" si="82"/>
        <v>0</v>
      </c>
      <c r="T212" s="176">
        <f t="shared" si="83"/>
        <v>6</v>
      </c>
      <c r="U212" s="251">
        <f t="shared" si="84"/>
        <v>4.6192388157489467E-2</v>
      </c>
      <c r="V212" s="383">
        <f t="shared" si="85"/>
        <v>38.588419595183154</v>
      </c>
      <c r="W212" s="402">
        <f t="shared" si="86"/>
        <v>35.369799300081304</v>
      </c>
      <c r="X212" s="157">
        <f t="shared" si="87"/>
        <v>45124</v>
      </c>
      <c r="Y212" s="385">
        <f t="shared" si="88"/>
        <v>32.450205147423453</v>
      </c>
      <c r="Z212" s="385">
        <f t="shared" si="89"/>
        <v>33.84024041393458</v>
      </c>
      <c r="AA212" s="386">
        <f t="shared" si="90"/>
        <v>38.089970454666933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0.11157084109031266</v>
      </c>
      <c r="AD212" s="231">
        <f>(INDEX(Models!$BJ212:$BT212,,AH212)*(1-AF212)+INDEX(Models!$BJ212:$BT212,,AH212+1)*AF212-ERP_i)*AE212*Ramure*Pc/MaxiM</f>
        <v>0</v>
      </c>
      <c r="AE212" s="305">
        <f t="shared" si="92"/>
        <v>0.7</v>
      </c>
      <c r="AF212" s="177">
        <f t="shared" si="93"/>
        <v>4.6192388157489467E-2</v>
      </c>
      <c r="AG212" s="817">
        <f t="shared" si="99"/>
        <v>0</v>
      </c>
      <c r="AH212" s="176">
        <f t="shared" si="94"/>
        <v>6</v>
      </c>
      <c r="AI212" s="225">
        <f t="shared" si="95"/>
        <v>4.6192388157489467E-2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45125</v>
      </c>
      <c r="B213" s="411">
        <f>'2022'!Wh/'2022'!Env_an*'2023'!Env_an</f>
        <v>35.295525901791535</v>
      </c>
      <c r="C213" s="846"/>
      <c r="D213" s="393">
        <f t="shared" si="77"/>
        <v>36.808249372345905</v>
      </c>
      <c r="E213" s="385">
        <f t="shared" si="75"/>
        <v>38.017461969582477</v>
      </c>
      <c r="F213" s="385">
        <f t="shared" si="78"/>
        <v>38.017461969582477</v>
      </c>
      <c r="G213" s="110">
        <f t="shared" si="76"/>
        <v>0.91681322685587796</v>
      </c>
      <c r="H213" s="414" t="b">
        <f>Wh_hp&gt;='2022'!Maxi_hp</f>
        <v>1</v>
      </c>
      <c r="I213" s="390">
        <f>IF(H213,Wh_hp,'2022'!Maxi_hp)</f>
        <v>38.017461969582477</v>
      </c>
      <c r="J213" s="85">
        <f>IF(H213,An,'2022'!An_max)</f>
        <v>2023</v>
      </c>
      <c r="K213" s="197">
        <f t="shared" si="79"/>
        <v>45125</v>
      </c>
      <c r="L213" s="147">
        <f>IF(t&lt;Tvie,1-EXP((T0-t)*PertePVj)+'2022'!Pspv,1-EXP((T0-t)*PertePVj)+Pspv)</f>
        <v>4.1097403336190164E-2</v>
      </c>
      <c r="M213" s="850"/>
      <c r="N213" s="850"/>
      <c r="O213" s="48">
        <f>IF(t&lt;Tnet,'2022'!Resal+('2022'!Salim-'2022'!Resal)*(1-EXP(('2022'!Tnet-t)/('2022'!Tau_j))),Resal+(Salim-Resal)*(1-EXP((Tnet-t)/(Tau_j))))*Salcycl</f>
        <v>3.1806768116294924E-2</v>
      </c>
      <c r="P213" s="169">
        <f>(INDEX(Models!$BJ213:$BT213,,T213)*(1-R213)+INDEX(Models!$BJ213:$BT213,,T213+1)*R213-ERP_i)*Q213*Ramure*Pc/MaxiM</f>
        <v>0</v>
      </c>
      <c r="Q213" s="305">
        <f t="shared" si="80"/>
        <v>0.7</v>
      </c>
      <c r="R213" s="177">
        <f t="shared" si="81"/>
        <v>4.7986461077177328E-2</v>
      </c>
      <c r="S213" s="817">
        <f t="shared" si="82"/>
        <v>0</v>
      </c>
      <c r="T213" s="176">
        <f t="shared" si="83"/>
        <v>6</v>
      </c>
      <c r="U213" s="251">
        <f t="shared" si="84"/>
        <v>4.7986461077177328E-2</v>
      </c>
      <c r="V213" s="383">
        <f t="shared" si="85"/>
        <v>38.498054857731624</v>
      </c>
      <c r="W213" s="402">
        <f t="shared" si="86"/>
        <v>35.295525901791535</v>
      </c>
      <c r="X213" s="157">
        <f t="shared" si="87"/>
        <v>45125</v>
      </c>
      <c r="Y213" s="385">
        <f t="shared" si="88"/>
        <v>32.385377175469671</v>
      </c>
      <c r="Z213" s="385">
        <f t="shared" si="89"/>
        <v>33.773375198006633</v>
      </c>
      <c r="AA213" s="386">
        <f t="shared" si="90"/>
        <v>38.017461969582477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0.11163519476843334</v>
      </c>
      <c r="AD213" s="231">
        <f>(INDEX(Models!$BJ213:$BT213,,AH213)*(1-AF213)+INDEX(Models!$BJ213:$BT213,,AH213+1)*AF213-ERP_i)*AE213*Ramure*Pc/MaxiM</f>
        <v>0</v>
      </c>
      <c r="AE213" s="305">
        <f t="shared" si="92"/>
        <v>0.7</v>
      </c>
      <c r="AF213" s="177">
        <f t="shared" si="93"/>
        <v>4.7986461077177328E-2</v>
      </c>
      <c r="AG213" s="817">
        <f t="shared" si="99"/>
        <v>0</v>
      </c>
      <c r="AH213" s="176">
        <f t="shared" si="94"/>
        <v>6</v>
      </c>
      <c r="AI213" s="225">
        <f t="shared" si="95"/>
        <v>4.7986461077177328E-2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45126</v>
      </c>
      <c r="B214" s="411">
        <f>'2022'!Wh/'2022'!Env_an*'2023'!Env_an</f>
        <v>27.399654531231445</v>
      </c>
      <c r="C214" s="846"/>
      <c r="D214" s="393">
        <f t="shared" si="77"/>
        <v>28.574596379715562</v>
      </c>
      <c r="E214" s="385">
        <f t="shared" si="75"/>
        <v>29.518466138299033</v>
      </c>
      <c r="F214" s="385">
        <f t="shared" si="78"/>
        <v>29.518466138299033</v>
      </c>
      <c r="G214" s="110">
        <f t="shared" si="76"/>
        <v>0.71339993834079884</v>
      </c>
      <c r="H214" s="414" t="b">
        <f>Wh_hp&gt;='2022'!Maxi_hp</f>
        <v>0</v>
      </c>
      <c r="I214" s="390">
        <f>IF(H214,Wh_hp,'2022'!Maxi_hp)</f>
        <v>42.433234679233138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4.1118405764015709E-2</v>
      </c>
      <c r="M214" s="850"/>
      <c r="N214" s="850"/>
      <c r="O214" s="48">
        <f>IF(t&lt;Tnet,'2022'!Resal+('2022'!Salim-'2022'!Resal)*(1-EXP(('2022'!Tnet-t)/('2022'!Tau_j))),Resal+(Salim-Resal)*(1-EXP((Tnet-t)/(Tau_j))))*Salcycl</f>
        <v>3.197556926438113E-2</v>
      </c>
      <c r="P214" s="169">
        <f>(INDEX(Models!$BJ214:$BT214,,T214)*(1-R214)+INDEX(Models!$BJ214:$BT214,,T214+1)*R214-ERP_i)*Q214*Ramure*Pc/MaxiM</f>
        <v>0</v>
      </c>
      <c r="Q214" s="305">
        <f t="shared" si="80"/>
        <v>0.7</v>
      </c>
      <c r="R214" s="177">
        <f t="shared" si="81"/>
        <v>4.9733020196632449E-2</v>
      </c>
      <c r="S214" s="817">
        <f t="shared" si="82"/>
        <v>0</v>
      </c>
      <c r="T214" s="176">
        <f t="shared" si="83"/>
        <v>6</v>
      </c>
      <c r="U214" s="251">
        <f t="shared" si="84"/>
        <v>4.9733020196632449E-2</v>
      </c>
      <c r="V214" s="383">
        <f t="shared" si="85"/>
        <v>38.40714451834215</v>
      </c>
      <c r="W214" s="402">
        <f t="shared" si="86"/>
        <v>27.399654531231445</v>
      </c>
      <c r="X214" s="157">
        <f t="shared" si="87"/>
        <v>45126</v>
      </c>
      <c r="Y214" s="385">
        <f t="shared" si="88"/>
        <v>25.143115306809914</v>
      </c>
      <c r="Z214" s="385">
        <f t="shared" si="89"/>
        <v>26.221293075130298</v>
      </c>
      <c r="AA214" s="386">
        <f t="shared" si="90"/>
        <v>29.518466138299033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0.11169865831513455</v>
      </c>
      <c r="AD214" s="231">
        <f>(INDEX(Models!$BJ214:$BT214,,AH214)*(1-AF214)+INDEX(Models!$BJ214:$BT214,,AH214+1)*AF214-ERP_i)*AE214*Ramure*Pc/MaxiM</f>
        <v>0</v>
      </c>
      <c r="AE214" s="305">
        <f t="shared" si="92"/>
        <v>0.7</v>
      </c>
      <c r="AF214" s="177">
        <f t="shared" si="93"/>
        <v>4.9733020196632449E-2</v>
      </c>
      <c r="AG214" s="817">
        <f t="shared" si="99"/>
        <v>0</v>
      </c>
      <c r="AH214" s="176">
        <f t="shared" si="94"/>
        <v>6</v>
      </c>
      <c r="AI214" s="225">
        <f t="shared" si="95"/>
        <v>4.9733020196632449E-2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45127</v>
      </c>
      <c r="B215" s="411">
        <f>'2022'!Wh/'2022'!Env_an*'2023'!Env_an</f>
        <v>26.81607500403647</v>
      </c>
      <c r="C215" s="846"/>
      <c r="D215" s="393">
        <f t="shared" si="77"/>
        <v>27.966604551557985</v>
      </c>
      <c r="E215" s="385">
        <f t="shared" si="75"/>
        <v>28.895417034199355</v>
      </c>
      <c r="F215" s="385">
        <f t="shared" si="78"/>
        <v>28.895417034199355</v>
      </c>
      <c r="G215" s="110">
        <f t="shared" si="76"/>
        <v>0.69986467891079773</v>
      </c>
      <c r="H215" s="414" t="b">
        <f>Wh_hp&gt;='2022'!Maxi_hp</f>
        <v>0</v>
      </c>
      <c r="I215" s="390">
        <f>IF(H215,Wh_hp,'2022'!Maxi_hp)</f>
        <v>41.130665538224456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4.1139407731834221E-2</v>
      </c>
      <c r="M215" s="850"/>
      <c r="N215" s="850"/>
      <c r="O215" s="48">
        <f>IF(t&lt;Tnet,'2022'!Resal+('2022'!Salim-'2022'!Resal)*(1-EXP(('2022'!Tnet-t)/('2022'!Tau_j))),Resal+(Salim-Resal)*(1-EXP((Tnet-t)/(Tau_j))))*Salcycl</f>
        <v>3.2143937619660175E-2</v>
      </c>
      <c r="P215" s="169">
        <f>(INDEX(Models!$BJ215:$BT215,,T215)*(1-R215)+INDEX(Models!$BJ215:$BT215,,T215+1)*R215-ERP_i)*Q215*Ramure*Pc/MaxiM</f>
        <v>0</v>
      </c>
      <c r="Q215" s="305">
        <f t="shared" si="80"/>
        <v>0.7</v>
      </c>
      <c r="R215" s="177">
        <f t="shared" si="81"/>
        <v>5.1432511808305714E-2</v>
      </c>
      <c r="S215" s="817">
        <f t="shared" si="82"/>
        <v>0</v>
      </c>
      <c r="T215" s="176">
        <f t="shared" si="83"/>
        <v>6</v>
      </c>
      <c r="U215" s="251">
        <f t="shared" si="84"/>
        <v>5.1432511808305714E-2</v>
      </c>
      <c r="V215" s="383">
        <f t="shared" si="85"/>
        <v>38.316085683550199</v>
      </c>
      <c r="W215" s="402">
        <f t="shared" si="86"/>
        <v>26.81607500403647</v>
      </c>
      <c r="X215" s="157">
        <f t="shared" si="87"/>
        <v>45127</v>
      </c>
      <c r="Y215" s="385">
        <f t="shared" si="88"/>
        <v>24.61014298485695</v>
      </c>
      <c r="Z215" s="385">
        <f t="shared" si="89"/>
        <v>25.66602818313989</v>
      </c>
      <c r="AA215" s="386">
        <f t="shared" si="90"/>
        <v>28.895417034199355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0.11176128197898301</v>
      </c>
      <c r="AD215" s="231">
        <f>(INDEX(Models!$BJ215:$BT215,,AH215)*(1-AF215)+INDEX(Models!$BJ215:$BT215,,AH215+1)*AF215-ERP_i)*AE215*Ramure*Pc/MaxiM</f>
        <v>0</v>
      </c>
      <c r="AE215" s="305">
        <f t="shared" si="92"/>
        <v>0.7</v>
      </c>
      <c r="AF215" s="177">
        <f t="shared" si="93"/>
        <v>5.1432511808305714E-2</v>
      </c>
      <c r="AG215" s="817">
        <f t="shared" si="99"/>
        <v>0</v>
      </c>
      <c r="AH215" s="176">
        <f t="shared" si="94"/>
        <v>6</v>
      </c>
      <c r="AI215" s="225">
        <f t="shared" si="95"/>
        <v>5.1432511808305714E-2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45128</v>
      </c>
      <c r="B216" s="411">
        <f>'2022'!Wh/'2022'!Env_an*'2023'!Env_an</f>
        <v>35.009885134176706</v>
      </c>
      <c r="C216" s="846"/>
      <c r="D216" s="393">
        <f t="shared" si="77"/>
        <v>36.512765504826973</v>
      </c>
      <c r="E216" s="385">
        <f t="shared" si="75"/>
        <v>37.731956107423237</v>
      </c>
      <c r="F216" s="385">
        <f t="shared" si="78"/>
        <v>37.731956107423237</v>
      </c>
      <c r="G216" s="110">
        <f t="shared" si="76"/>
        <v>0.91588314241112123</v>
      </c>
      <c r="H216" s="414" t="b">
        <f>Wh_hp&gt;='2022'!Maxi_hp</f>
        <v>1</v>
      </c>
      <c r="I216" s="390">
        <f>IF(H216,Wh_hp,'2022'!Maxi_hp)</f>
        <v>37.731956107423237</v>
      </c>
      <c r="J216" s="85">
        <f>IF(H216,An,'2022'!An_max)</f>
        <v>2023</v>
      </c>
      <c r="K216" s="197">
        <f t="shared" si="79"/>
        <v>45128</v>
      </c>
      <c r="L216" s="147">
        <f>IF(t&lt;Tvie,1-EXP((T0-t)*PertePVj)+'2022'!Pspv,1-EXP((T0-t)*PertePVj)+Pspv)</f>
        <v>4.1160409239655804E-2</v>
      </c>
      <c r="M216" s="850"/>
      <c r="N216" s="850"/>
      <c r="O216" s="48">
        <f>IF(t&lt;Tnet,'2022'!Resal+('2022'!Salim-'2022'!Resal)*(1-EXP(('2022'!Tnet-t)/('2022'!Tau_j))),Resal+(Salim-Resal)*(1-EXP((Tnet-t)/(Tau_j))))*Salcycl</f>
        <v>3.2311884364680687E-2</v>
      </c>
      <c r="P216" s="169">
        <f>(INDEX(Models!$BJ216:$BT216,,T216)*(1-R216)+INDEX(Models!$BJ216:$BT216,,T216+1)*R216-ERP_i)*Q216*Ramure*Pc/MaxiM</f>
        <v>0</v>
      </c>
      <c r="Q216" s="305">
        <f t="shared" si="80"/>
        <v>0.7</v>
      </c>
      <c r="R216" s="177">
        <f t="shared" si="81"/>
        <v>5.3085435803952308E-2</v>
      </c>
      <c r="S216" s="817">
        <f t="shared" si="82"/>
        <v>0</v>
      </c>
      <c r="T216" s="176">
        <f t="shared" si="83"/>
        <v>6</v>
      </c>
      <c r="U216" s="251">
        <f t="shared" si="84"/>
        <v>5.3085435803952308E-2</v>
      </c>
      <c r="V216" s="383">
        <f t="shared" si="85"/>
        <v>38.225275161207719</v>
      </c>
      <c r="W216" s="402">
        <f t="shared" si="86"/>
        <v>35.009885134176706</v>
      </c>
      <c r="X216" s="157">
        <f t="shared" si="87"/>
        <v>45128</v>
      </c>
      <c r="Y216" s="385">
        <f t="shared" si="88"/>
        <v>32.133256826983292</v>
      </c>
      <c r="Z216" s="385">
        <f t="shared" si="89"/>
        <v>33.512651267874894</v>
      </c>
      <c r="AA216" s="386">
        <f t="shared" si="90"/>
        <v>37.731956107423237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0.11182311427310967</v>
      </c>
      <c r="AD216" s="231">
        <f>(INDEX(Models!$BJ216:$BT216,,AH216)*(1-AF216)+INDEX(Models!$BJ216:$BT216,,AH216+1)*AF216-ERP_i)*AE216*Ramure*Pc/MaxiM</f>
        <v>0</v>
      </c>
      <c r="AE216" s="305">
        <f t="shared" si="92"/>
        <v>0.7</v>
      </c>
      <c r="AF216" s="177">
        <f t="shared" si="93"/>
        <v>5.3085435803952308E-2</v>
      </c>
      <c r="AG216" s="817">
        <f t="shared" si="99"/>
        <v>0</v>
      </c>
      <c r="AH216" s="176">
        <f t="shared" si="94"/>
        <v>6</v>
      </c>
      <c r="AI216" s="225">
        <f t="shared" si="95"/>
        <v>5.3085435803952308E-2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45129</v>
      </c>
      <c r="B217" s="411">
        <f>'2022'!Wh/'2022'!Env_an*'2023'!Env_an</f>
        <v>27.785213917437833</v>
      </c>
      <c r="C217" s="846"/>
      <c r="D217" s="393">
        <f t="shared" si="77"/>
        <v>28.978593255861778</v>
      </c>
      <c r="E217" s="385">
        <f t="shared" si="75"/>
        <v>29.95139727949287</v>
      </c>
      <c r="F217" s="385">
        <f t="shared" si="78"/>
        <v>29.95139727949287</v>
      </c>
      <c r="G217" s="110">
        <f t="shared" si="76"/>
        <v>0.72859929625709585</v>
      </c>
      <c r="H217" s="414" t="b">
        <f>Wh_hp&gt;='2022'!Maxi_hp</f>
        <v>0</v>
      </c>
      <c r="I217" s="390">
        <f>IF(H217,Wh_hp,'2022'!Maxi_hp)</f>
        <v>39.921621323756099</v>
      </c>
      <c r="J217" s="85">
        <f>IF(H217,An,'2022'!An_max)</f>
        <v>2018</v>
      </c>
      <c r="K217" s="197">
        <f t="shared" si="79"/>
        <v>45129</v>
      </c>
      <c r="L217" s="147">
        <f>IF(t&lt;Tvie,1-EXP((T0-t)*PertePVj)+'2022'!Pspv,1-EXP((T0-t)*PertePVj)+Pspv)</f>
        <v>4.1181410287490339E-2</v>
      </c>
      <c r="M217" s="850"/>
      <c r="N217" s="850"/>
      <c r="O217" s="48">
        <f>IF(t&lt;Tnet,'2022'!Resal+('2022'!Salim-'2022'!Resal)*(1-EXP(('2022'!Tnet-t)/('2022'!Tau_j))),Resal+(Salim-Resal)*(1-EXP((Tnet-t)/(Tau_j))))*Salcycl</f>
        <v>3.2479420394091345E-2</v>
      </c>
      <c r="P217" s="169">
        <f>(INDEX(Models!$BJ217:$BT217,,T217)*(1-R217)+INDEX(Models!$BJ217:$BT217,,T217+1)*R217-ERP_i)*Q217*Ramure*Pc/MaxiM</f>
        <v>0</v>
      </c>
      <c r="Q217" s="305">
        <f t="shared" si="80"/>
        <v>0.7</v>
      </c>
      <c r="R217" s="177">
        <f t="shared" si="81"/>
        <v>5.4692341529641975E-2</v>
      </c>
      <c r="S217" s="817">
        <f t="shared" si="82"/>
        <v>0</v>
      </c>
      <c r="T217" s="176">
        <f t="shared" si="83"/>
        <v>6</v>
      </c>
      <c r="U217" s="251">
        <f t="shared" si="84"/>
        <v>5.4692341529641975E-2</v>
      </c>
      <c r="V217" s="383">
        <f t="shared" si="85"/>
        <v>38.135109463011965</v>
      </c>
      <c r="W217" s="402">
        <f t="shared" si="86"/>
        <v>27.785213917437833</v>
      </c>
      <c r="X217" s="157">
        <f t="shared" si="87"/>
        <v>45129</v>
      </c>
      <c r="Y217" s="385">
        <f t="shared" si="88"/>
        <v>25.504870859885273</v>
      </c>
      <c r="Z217" s="385">
        <f t="shared" si="89"/>
        <v>26.600309102822678</v>
      </c>
      <c r="AA217" s="386">
        <f t="shared" si="90"/>
        <v>29.95139727949287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0.11188420177527469</v>
      </c>
      <c r="AD217" s="231">
        <f>(INDEX(Models!$BJ217:$BT217,,AH217)*(1-AF217)+INDEX(Models!$BJ217:$BT217,,AH217+1)*AF217-ERP_i)*AE217*Ramure*Pc/MaxiM</f>
        <v>0</v>
      </c>
      <c r="AE217" s="305">
        <f t="shared" si="92"/>
        <v>0.7</v>
      </c>
      <c r="AF217" s="177">
        <f t="shared" si="93"/>
        <v>5.4692341529641975E-2</v>
      </c>
      <c r="AG217" s="817">
        <f t="shared" si="99"/>
        <v>0</v>
      </c>
      <c r="AH217" s="176">
        <f t="shared" si="94"/>
        <v>6</v>
      </c>
      <c r="AI217" s="225">
        <f t="shared" si="95"/>
        <v>5.4692341529641975E-2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45130</v>
      </c>
      <c r="B218" s="411">
        <f>'2022'!Wh/'2022'!Env_an*'2023'!Env_an</f>
        <v>32.523352145965056</v>
      </c>
      <c r="C218" s="846"/>
      <c r="D218" s="393">
        <f t="shared" si="77"/>
        <v>33.920978228217827</v>
      </c>
      <c r="E218" s="385">
        <f t="shared" si="75"/>
        <v>35.065754349983763</v>
      </c>
      <c r="F218" s="385">
        <f t="shared" si="78"/>
        <v>35.065754349983763</v>
      </c>
      <c r="G218" s="110">
        <f t="shared" si="76"/>
        <v>0.85484321954634568</v>
      </c>
      <c r="H218" s="414" t="b">
        <f>Wh_hp&gt;='2022'!Maxi_hp</f>
        <v>0</v>
      </c>
      <c r="I218" s="390">
        <f>IF(H218,Wh_hp,'2022'!Maxi_hp)</f>
        <v>40.234800142137267</v>
      </c>
      <c r="J218" s="85">
        <f>IF(H218,An,'2022'!An_max)</f>
        <v>2018</v>
      </c>
      <c r="K218" s="197">
        <f t="shared" si="79"/>
        <v>45130</v>
      </c>
      <c r="L218" s="147">
        <f>IF(t&lt;Tvie,1-EXP((T0-t)*PertePVj)+'2022'!Pspv,1-EXP((T0-t)*PertePVj)+Pspv)</f>
        <v>4.120241087534815E-2</v>
      </c>
      <c r="M218" s="850"/>
      <c r="N218" s="850"/>
      <c r="O218" s="48">
        <f>IF(t&lt;Tnet,'2022'!Resal+('2022'!Salim-'2022'!Resal)*(1-EXP(('2022'!Tnet-t)/('2022'!Tau_j))),Resal+(Salim-Resal)*(1-EXP((Tnet-t)/(Tau_j))))*Salcycl</f>
        <v>3.2646556248018245E-2</v>
      </c>
      <c r="P218" s="169">
        <f>(INDEX(Models!$BJ218:$BT218,,T218)*(1-R218)+INDEX(Models!$BJ218:$BT218,,T218+1)*R218-ERP_i)*Q218*Ramure*Pc/MaxiM</f>
        <v>0</v>
      </c>
      <c r="Q218" s="305">
        <f t="shared" si="80"/>
        <v>0.7</v>
      </c>
      <c r="R218" s="177">
        <f t="shared" si="81"/>
        <v>5.625382370827775E-2</v>
      </c>
      <c r="S218" s="817">
        <f t="shared" si="82"/>
        <v>0</v>
      </c>
      <c r="T218" s="176">
        <f t="shared" si="83"/>
        <v>6</v>
      </c>
      <c r="U218" s="251">
        <f t="shared" si="84"/>
        <v>5.625382370827775E-2</v>
      </c>
      <c r="V218" s="383">
        <f t="shared" si="85"/>
        <v>38.045984810202725</v>
      </c>
      <c r="W218" s="402">
        <f t="shared" si="86"/>
        <v>32.523352145965056</v>
      </c>
      <c r="X218" s="157">
        <f t="shared" si="87"/>
        <v>45130</v>
      </c>
      <c r="Y218" s="385">
        <f t="shared" si="88"/>
        <v>29.85727610241981</v>
      </c>
      <c r="Z218" s="385">
        <f t="shared" si="89"/>
        <v>31.140332893075424</v>
      </c>
      <c r="AA218" s="386">
        <f t="shared" si="90"/>
        <v>35.065754349983763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0.11194458894936499</v>
      </c>
      <c r="AD218" s="231">
        <f>(INDEX(Models!$BJ218:$BT218,,AH218)*(1-AF218)+INDEX(Models!$BJ218:$BT218,,AH218+1)*AF218-ERP_i)*AE218*Ramure*Pc/MaxiM</f>
        <v>0</v>
      </c>
      <c r="AE218" s="305">
        <f t="shared" si="92"/>
        <v>0.7</v>
      </c>
      <c r="AF218" s="177">
        <f t="shared" si="93"/>
        <v>5.625382370827775E-2</v>
      </c>
      <c r="AG218" s="817">
        <f t="shared" si="99"/>
        <v>0</v>
      </c>
      <c r="AH218" s="176">
        <f t="shared" si="94"/>
        <v>6</v>
      </c>
      <c r="AI218" s="225">
        <f t="shared" si="95"/>
        <v>5.625382370827775E-2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45131</v>
      </c>
      <c r="B219" s="411">
        <f>'2022'!Wh/'2022'!Env_an*'2023'!Env_an</f>
        <v>35.139708088718784</v>
      </c>
      <c r="C219" s="846"/>
      <c r="D219" s="393">
        <f t="shared" si="77"/>
        <v>36.650569582104701</v>
      </c>
      <c r="E219" s="385">
        <f t="shared" si="75"/>
        <v>37.893996743141429</v>
      </c>
      <c r="F219" s="385">
        <f t="shared" si="78"/>
        <v>37.893996743141429</v>
      </c>
      <c r="G219" s="110">
        <f t="shared" si="76"/>
        <v>0.92575883065534437</v>
      </c>
      <c r="H219" s="414" t="b">
        <f>Wh_hp&gt;='2022'!Maxi_hp</f>
        <v>1</v>
      </c>
      <c r="I219" s="390">
        <f>IF(H219,Wh_hp,'2022'!Maxi_hp)</f>
        <v>37.893996743141429</v>
      </c>
      <c r="J219" s="85">
        <f>IF(H219,An,'2022'!An_max)</f>
        <v>2023</v>
      </c>
      <c r="K219" s="197">
        <f t="shared" si="79"/>
        <v>45131</v>
      </c>
      <c r="L219" s="147">
        <f>IF(t&lt;Tvie,1-EXP((T0-t)*PertePVj)+'2022'!Pspv,1-EXP((T0-t)*PertePVj)+Pspv)</f>
        <v>4.1223411003239119E-2</v>
      </c>
      <c r="M219" s="850"/>
      <c r="N219" s="850"/>
      <c r="O219" s="48">
        <f>IF(t&lt;Tnet,'2022'!Resal+('2022'!Salim-'2022'!Resal)*(1-EXP(('2022'!Tnet-t)/('2022'!Tau_j))),Resal+(Salim-Resal)*(1-EXP((Tnet-t)/(Tau_j))))*Salcycl</f>
        <v>3.2813302050588807E-2</v>
      </c>
      <c r="P219" s="169">
        <f>(INDEX(Models!$BJ219:$BT219,,T219)*(1-R219)+INDEX(Models!$BJ219:$BT219,,T219+1)*R219-ERP_i)*Q219*Ramure*Pc/MaxiM</f>
        <v>0</v>
      </c>
      <c r="Q219" s="305">
        <f t="shared" si="80"/>
        <v>0.7</v>
      </c>
      <c r="R219" s="177">
        <f t="shared" si="81"/>
        <v>5.7770518446726093E-2</v>
      </c>
      <c r="S219" s="817">
        <f t="shared" si="82"/>
        <v>0</v>
      </c>
      <c r="T219" s="176">
        <f t="shared" si="83"/>
        <v>6</v>
      </c>
      <c r="U219" s="251">
        <f t="shared" si="84"/>
        <v>5.7770518446726093E-2</v>
      </c>
      <c r="V219" s="383">
        <f t="shared" si="85"/>
        <v>37.957734698402383</v>
      </c>
      <c r="W219" s="402">
        <f t="shared" si="86"/>
        <v>35.139708088718784</v>
      </c>
      <c r="X219" s="157">
        <f t="shared" si="87"/>
        <v>45131</v>
      </c>
      <c r="Y219" s="385">
        <f t="shared" si="88"/>
        <v>32.262549842824804</v>
      </c>
      <c r="Z219" s="385">
        <f t="shared" si="89"/>
        <v>33.649705482049271</v>
      </c>
      <c r="AA219" s="386">
        <f t="shared" si="90"/>
        <v>37.893996743141429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0.11200431798897921</v>
      </c>
      <c r="AD219" s="231">
        <f>(INDEX(Models!$BJ219:$BT219,,AH219)*(1-AF219)+INDEX(Models!$BJ219:$BT219,,AH219+1)*AF219-ERP_i)*AE219*Ramure*Pc/MaxiM</f>
        <v>0</v>
      </c>
      <c r="AE219" s="305">
        <f t="shared" si="92"/>
        <v>0.7</v>
      </c>
      <c r="AF219" s="177">
        <f t="shared" si="93"/>
        <v>5.7770518446726093E-2</v>
      </c>
      <c r="AG219" s="817">
        <f t="shared" si="99"/>
        <v>0</v>
      </c>
      <c r="AH219" s="176">
        <f t="shared" si="94"/>
        <v>6</v>
      </c>
      <c r="AI219" s="225">
        <f t="shared" si="95"/>
        <v>5.7770518446726093E-2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45132</v>
      </c>
      <c r="B220" s="411">
        <f>'2022'!Wh/'2022'!Env_an*'2023'!Env_an</f>
        <v>19.797149103125566</v>
      </c>
      <c r="C220" s="846"/>
      <c r="D220" s="393">
        <f t="shared" si="77"/>
        <v>20.648796547808903</v>
      </c>
      <c r="E220" s="385">
        <f t="shared" si="75"/>
        <v>21.353011775298437</v>
      </c>
      <c r="F220" s="385">
        <f t="shared" si="78"/>
        <v>21.353011775298437</v>
      </c>
      <c r="G220" s="110">
        <f t="shared" si="76"/>
        <v>0.52276883637109128</v>
      </c>
      <c r="H220" s="414" t="b">
        <f>Wh_hp&gt;='2022'!Maxi_hp</f>
        <v>0</v>
      </c>
      <c r="I220" s="390">
        <f>IF(H220,Wh_hp,'2022'!Maxi_hp)</f>
        <v>41.517040985591251</v>
      </c>
      <c r="J220" s="85">
        <f>IF(H220,An,'2022'!An_max)</f>
        <v>2020</v>
      </c>
      <c r="K220" s="197">
        <f t="shared" si="79"/>
        <v>45132</v>
      </c>
      <c r="L220" s="147">
        <f>IF(t&lt;Tvie,1-EXP((T0-t)*PertePVj)+'2022'!Pspv,1-EXP((T0-t)*PertePVj)+Pspv)</f>
        <v>4.1244410671173348E-2</v>
      </c>
      <c r="M220" s="850"/>
      <c r="N220" s="850"/>
      <c r="O220" s="48">
        <f>IF(t&lt;Tnet,'2022'!Resal+('2022'!Salim-'2022'!Resal)*(1-EXP(('2022'!Tnet-t)/('2022'!Tau_j))),Resal+(Salim-Resal)*(1-EXP((Tnet-t)/(Tau_j))))*Salcycl</f>
        <v>3.2979667453945913E-2</v>
      </c>
      <c r="P220" s="169">
        <f>(INDEX(Models!$BJ220:$BT220,,T220)*(1-R220)+INDEX(Models!$BJ220:$BT220,,T220+1)*R220-ERP_i)*Q220*Ramure*Pc/MaxiM</f>
        <v>0</v>
      </c>
      <c r="Q220" s="305">
        <f t="shared" si="80"/>
        <v>0.7</v>
      </c>
      <c r="R220" s="177">
        <f t="shared" si="81"/>
        <v>5.9243099342633387E-2</v>
      </c>
      <c r="S220" s="817">
        <f t="shared" si="82"/>
        <v>0</v>
      </c>
      <c r="T220" s="176">
        <f t="shared" si="83"/>
        <v>6</v>
      </c>
      <c r="U220" s="251">
        <f t="shared" si="84"/>
        <v>5.9243099342633387E-2</v>
      </c>
      <c r="V220" s="383">
        <f t="shared" si="85"/>
        <v>37.869795836629436</v>
      </c>
      <c r="W220" s="402">
        <f t="shared" si="86"/>
        <v>19.797149103125566</v>
      </c>
      <c r="X220" s="157">
        <f t="shared" si="87"/>
        <v>45132</v>
      </c>
      <c r="Y220" s="385">
        <f t="shared" si="88"/>
        <v>18.178121084783932</v>
      </c>
      <c r="Z220" s="385">
        <f t="shared" si="89"/>
        <v>18.960120063038651</v>
      </c>
      <c r="AA220" s="386">
        <f t="shared" si="90"/>
        <v>21.353011775298437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0.11206342868353253</v>
      </c>
      <c r="AD220" s="231">
        <f>(INDEX(Models!$BJ220:$BT220,,AH220)*(1-AF220)+INDEX(Models!$BJ220:$BT220,,AH220+1)*AF220-ERP_i)*AE220*Ramure*Pc/MaxiM</f>
        <v>0</v>
      </c>
      <c r="AE220" s="305">
        <f t="shared" si="92"/>
        <v>0.7</v>
      </c>
      <c r="AF220" s="177">
        <f t="shared" si="93"/>
        <v>5.9243099342633387E-2</v>
      </c>
      <c r="AG220" s="817">
        <f t="shared" si="99"/>
        <v>0</v>
      </c>
      <c r="AH220" s="176">
        <f t="shared" si="94"/>
        <v>6</v>
      </c>
      <c r="AI220" s="225">
        <f t="shared" si="95"/>
        <v>5.9243099342633387E-2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45133</v>
      </c>
      <c r="B221" s="411">
        <f>'2022'!Wh/'2022'!Env_an*'2023'!Env_an</f>
        <v>36.436125653946739</v>
      </c>
      <c r="C221" s="846"/>
      <c r="D221" s="393">
        <f t="shared" si="77"/>
        <v>38.004392487136954</v>
      </c>
      <c r="E221" s="385">
        <f t="shared" si="75"/>
        <v>39.307257543631849</v>
      </c>
      <c r="F221" s="385">
        <f t="shared" si="78"/>
        <v>39.307257543631849</v>
      </c>
      <c r="G221" s="110">
        <f t="shared" si="76"/>
        <v>0.96437868220477874</v>
      </c>
      <c r="H221" s="414" t="b">
        <f>Wh_hp&gt;='2022'!Maxi_hp</f>
        <v>0</v>
      </c>
      <c r="I221" s="390">
        <f>IF(H221,Wh_hp,'2022'!Maxi_hp)</f>
        <v>40.464552652725096</v>
      </c>
      <c r="J221" s="85">
        <f>IF(H221,An,'2022'!An_max)</f>
        <v>2020</v>
      </c>
      <c r="K221" s="197">
        <f t="shared" si="79"/>
        <v>45133</v>
      </c>
      <c r="L221" s="147">
        <f>IF(t&lt;Tvie,1-EXP((T0-t)*PertePVj)+'2022'!Pspv,1-EXP((T0-t)*PertePVj)+Pspv)</f>
        <v>4.1265409879161052E-2</v>
      </c>
      <c r="M221" s="850"/>
      <c r="N221" s="850"/>
      <c r="O221" s="48">
        <f>IF(t&lt;Tnet,'2022'!Resal+('2022'!Salim-'2022'!Resal)*(1-EXP(('2022'!Tnet-t)/('2022'!Tau_j))),Resal+(Salim-Resal)*(1-EXP((Tnet-t)/(Tau_j))))*Salcycl</f>
        <v>3.3145661588033344E-2</v>
      </c>
      <c r="P221" s="169">
        <f>(INDEX(Models!$BJ221:$BT221,,T221)*(1-R221)+INDEX(Models!$BJ221:$BT221,,T221+1)*R221-ERP_i)*Q221*Ramure*Pc/MaxiM</f>
        <v>0</v>
      </c>
      <c r="Q221" s="305">
        <f t="shared" si="80"/>
        <v>0.7</v>
      </c>
      <c r="R221" s="177">
        <f t="shared" si="81"/>
        <v>6.067227370402517E-2</v>
      </c>
      <c r="S221" s="817">
        <f t="shared" si="82"/>
        <v>0</v>
      </c>
      <c r="T221" s="176">
        <f t="shared" si="83"/>
        <v>6</v>
      </c>
      <c r="U221" s="251">
        <f t="shared" si="84"/>
        <v>6.067227370402517E-2</v>
      </c>
      <c r="V221" s="383">
        <f t="shared" si="85"/>
        <v>37.78196918522282</v>
      </c>
      <c r="W221" s="402">
        <f t="shared" si="86"/>
        <v>36.436125653946739</v>
      </c>
      <c r="X221" s="157">
        <f t="shared" si="87"/>
        <v>45133</v>
      </c>
      <c r="Y221" s="385">
        <f t="shared" si="88"/>
        <v>33.459885948940794</v>
      </c>
      <c r="Z221" s="385">
        <f t="shared" si="89"/>
        <v>34.900050852158685</v>
      </c>
      <c r="AA221" s="386">
        <f t="shared" si="90"/>
        <v>39.307257543631849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0.11212195830709065</v>
      </c>
      <c r="AD221" s="231">
        <f>(INDEX(Models!$BJ221:$BT221,,AH221)*(1-AF221)+INDEX(Models!$BJ221:$BT221,,AH221+1)*AF221-ERP_i)*AE221*Ramure*Pc/MaxiM</f>
        <v>0</v>
      </c>
      <c r="AE221" s="305">
        <f t="shared" si="92"/>
        <v>0.7</v>
      </c>
      <c r="AF221" s="177">
        <f t="shared" si="93"/>
        <v>6.067227370402517E-2</v>
      </c>
      <c r="AG221" s="817">
        <f t="shared" si="99"/>
        <v>0</v>
      </c>
      <c r="AH221" s="176">
        <f t="shared" si="94"/>
        <v>6</v>
      </c>
      <c r="AI221" s="225">
        <f t="shared" si="95"/>
        <v>6.067227370402517E-2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45134</v>
      </c>
      <c r="B222" s="411">
        <f>'2022'!Wh/'2022'!Env_an*'2023'!Env_an</f>
        <v>38.250299225161761</v>
      </c>
      <c r="C222" s="846"/>
      <c r="D222" s="393">
        <f t="shared" si="77"/>
        <v>39.897524734567412</v>
      </c>
      <c r="E222" s="385">
        <f t="shared" si="75"/>
        <v>41.272360426201736</v>
      </c>
      <c r="F222" s="385">
        <f t="shared" si="78"/>
        <v>41.272360426201736</v>
      </c>
      <c r="G222" s="110">
        <f t="shared" si="76"/>
        <v>1.01475679197081</v>
      </c>
      <c r="H222" s="414" t="b">
        <f>Wh_hp&gt;='2022'!Maxi_hp</f>
        <v>1</v>
      </c>
      <c r="I222" s="390">
        <f>IF(H222,Wh_hp,'2022'!Maxi_hp)</f>
        <v>41.272360426201736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4.1286408627212112E-2</v>
      </c>
      <c r="M222" s="850"/>
      <c r="N222" s="850"/>
      <c r="O222" s="48">
        <f>IF(t&lt;Tnet,'2022'!Resal+('2022'!Salim-'2022'!Resal)*(1-EXP(('2022'!Tnet-t)/('2022'!Tau_j))),Resal+(Salim-Resal)*(1-EXP((Tnet-t)/(Tau_j))))*Salcycl</f>
        <v>3.3311293016367122E-2</v>
      </c>
      <c r="P222" s="169">
        <f>(INDEX(Models!$BJ222:$BT222,,T222)*(1-R222)+INDEX(Models!$BJ222:$BT222,,T222+1)*R222-ERP_i)*Q222*Ramure*Pc/MaxiM</f>
        <v>0</v>
      </c>
      <c r="Q222" s="305">
        <f t="shared" si="80"/>
        <v>0.7</v>
      </c>
      <c r="R222" s="177">
        <f t="shared" si="81"/>
        <v>6.2058778892883304E-2</v>
      </c>
      <c r="S222" s="817">
        <f t="shared" si="82"/>
        <v>0</v>
      </c>
      <c r="T222" s="176">
        <f t="shared" si="83"/>
        <v>6</v>
      </c>
      <c r="U222" s="251">
        <f t="shared" si="84"/>
        <v>6.2058778892883304E-2</v>
      </c>
      <c r="V222" s="383">
        <f t="shared" si="85"/>
        <v>37.694055883946284</v>
      </c>
      <c r="W222" s="402">
        <f t="shared" si="86"/>
        <v>38.250299225161761</v>
      </c>
      <c r="X222" s="157">
        <f t="shared" si="87"/>
        <v>45134</v>
      </c>
      <c r="Y222" s="385">
        <f t="shared" si="88"/>
        <v>35.129595131554701</v>
      </c>
      <c r="Z222" s="385">
        <f t="shared" si="89"/>
        <v>36.642429446788604</v>
      </c>
      <c r="AA222" s="386">
        <f t="shared" si="90"/>
        <v>41.272360426201736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0.11217994152992081</v>
      </c>
      <c r="AD222" s="231">
        <f>(INDEX(Models!$BJ222:$BT222,,AH222)*(1-AF222)+INDEX(Models!$BJ222:$BT222,,AH222+1)*AF222-ERP_i)*AE222*Ramure*Pc/MaxiM</f>
        <v>0</v>
      </c>
      <c r="AE222" s="305">
        <f t="shared" si="92"/>
        <v>0.7</v>
      </c>
      <c r="AF222" s="177">
        <f t="shared" si="93"/>
        <v>6.2058778892883304E-2</v>
      </c>
      <c r="AG222" s="817">
        <f t="shared" si="99"/>
        <v>0</v>
      </c>
      <c r="AH222" s="176">
        <f t="shared" si="94"/>
        <v>6</v>
      </c>
      <c r="AI222" s="225">
        <f t="shared" si="95"/>
        <v>6.2058778892883304E-2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45135</v>
      </c>
      <c r="B223" s="411">
        <f>'2022'!Wh/'2022'!Env_an*'2023'!Env_an</f>
        <v>30.863721083956637</v>
      </c>
      <c r="C223" s="846"/>
      <c r="D223" s="393">
        <f t="shared" si="77"/>
        <v>32.193553289746788</v>
      </c>
      <c r="E223" s="385">
        <f t="shared" si="75"/>
        <v>33.308611338770767</v>
      </c>
      <c r="F223" s="385">
        <f t="shared" si="78"/>
        <v>33.308611338770767</v>
      </c>
      <c r="G223" s="110">
        <f t="shared" si="76"/>
        <v>0.82071579641018777</v>
      </c>
      <c r="H223" s="414" t="b">
        <f>Wh_hp&gt;='2022'!Maxi_hp</f>
        <v>0</v>
      </c>
      <c r="I223" s="390">
        <f>IF(H223,Wh_hp,'2022'!Maxi_hp)</f>
        <v>39.810455578458225</v>
      </c>
      <c r="J223" s="85">
        <f>IF(H223,An,'2022'!An_max)</f>
        <v>2019</v>
      </c>
      <c r="K223" s="197">
        <f t="shared" si="79"/>
        <v>45135</v>
      </c>
      <c r="L223" s="147">
        <f>IF(t&lt;Tvie,1-EXP((T0-t)*PertePVj)+'2022'!Pspv,1-EXP((T0-t)*PertePVj)+Pspv)</f>
        <v>4.1307406915336742E-2</v>
      </c>
      <c r="M223" s="850"/>
      <c r="N223" s="850"/>
      <c r="O223" s="48">
        <f>IF(t&lt;Tnet,'2022'!Resal+('2022'!Salim-'2022'!Resal)*(1-EXP(('2022'!Tnet-t)/('2022'!Tau_j))),Resal+(Salim-Resal)*(1-EXP((Tnet-t)/(Tau_j))))*Salcycl</f>
        <v>3.3476569697940654E-2</v>
      </c>
      <c r="P223" s="169">
        <f>(INDEX(Models!$BJ223:$BT223,,T223)*(1-R223)+INDEX(Models!$BJ223:$BT223,,T223+1)*R223-ERP_i)*Q223*Ramure*Pc/MaxiM</f>
        <v>0</v>
      </c>
      <c r="Q223" s="305">
        <f t="shared" si="80"/>
        <v>0.7</v>
      </c>
      <c r="R223" s="177">
        <f t="shared" si="81"/>
        <v>6.3403378802070531E-2</v>
      </c>
      <c r="S223" s="817">
        <f t="shared" si="82"/>
        <v>0</v>
      </c>
      <c r="T223" s="176">
        <f t="shared" si="83"/>
        <v>6</v>
      </c>
      <c r="U223" s="251">
        <f t="shared" si="84"/>
        <v>6.3403378802070531E-2</v>
      </c>
      <c r="V223" s="383">
        <f t="shared" si="85"/>
        <v>37.605857251626702</v>
      </c>
      <c r="W223" s="402">
        <f t="shared" si="86"/>
        <v>30.863721083956637</v>
      </c>
      <c r="X223" s="157">
        <f t="shared" si="87"/>
        <v>45135</v>
      </c>
      <c r="Y223" s="385">
        <f t="shared" si="88"/>
        <v>28.348673292987478</v>
      </c>
      <c r="Z223" s="385">
        <f t="shared" si="89"/>
        <v>29.570139059668289</v>
      </c>
      <c r="AA223" s="386">
        <f t="shared" si="90"/>
        <v>33.308611338770767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0.11223741035252793</v>
      </c>
      <c r="AD223" s="231">
        <f>(INDEX(Models!$BJ223:$BT223,,AH223)*(1-AF223)+INDEX(Models!$BJ223:$BT223,,AH223+1)*AF223-ERP_i)*AE223*Ramure*Pc/MaxiM</f>
        <v>0</v>
      </c>
      <c r="AE223" s="305">
        <f t="shared" si="92"/>
        <v>0.7</v>
      </c>
      <c r="AF223" s="177">
        <f t="shared" si="93"/>
        <v>6.3403378802070531E-2</v>
      </c>
      <c r="AG223" s="817">
        <f t="shared" si="99"/>
        <v>0</v>
      </c>
      <c r="AH223" s="176">
        <f t="shared" si="94"/>
        <v>6</v>
      </c>
      <c r="AI223" s="225">
        <f t="shared" si="95"/>
        <v>6.3403378802070531E-2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45136</v>
      </c>
      <c r="B224" s="411">
        <f>'2022'!Wh/'2022'!Env_an*'2023'!Env_an</f>
        <v>19.681496886323092</v>
      </c>
      <c r="C224" s="846"/>
      <c r="D224" s="393">
        <f t="shared" si="77"/>
        <v>20.529967700835112</v>
      </c>
      <c r="E224" s="385">
        <f t="shared" si="75"/>
        <v>21.244670252956535</v>
      </c>
      <c r="F224" s="385">
        <f t="shared" si="78"/>
        <v>21.244670252956535</v>
      </c>
      <c r="G224" s="110">
        <f t="shared" si="76"/>
        <v>0.52459965330494807</v>
      </c>
      <c r="H224" s="414" t="b">
        <f>Wh_hp&gt;='2022'!Maxi_hp</f>
        <v>0</v>
      </c>
      <c r="I224" s="390">
        <f>IF(H224,Wh_hp,'2022'!Maxi_hp)</f>
        <v>38.323446514546944</v>
      </c>
      <c r="J224" s="85">
        <f>IF(H224,An,'2022'!An_max)</f>
        <v>2021</v>
      </c>
      <c r="K224" s="197">
        <f t="shared" si="79"/>
        <v>45136</v>
      </c>
      <c r="L224" s="147">
        <f>IF(t&lt;Tvie,1-EXP((T0-t)*PertePVj)+'2022'!Pspv,1-EXP((T0-t)*PertePVj)+Pspv)</f>
        <v>4.1328404743545044E-2</v>
      </c>
      <c r="M224" s="850"/>
      <c r="N224" s="850"/>
      <c r="O224" s="48">
        <f>IF(t&lt;Tnet,'2022'!Resal+('2022'!Salim-'2022'!Resal)*(1-EXP(('2022'!Tnet-t)/('2022'!Tau_j))),Resal+(Salim-Resal)*(1-EXP((Tnet-t)/(Tau_j))))*Salcycl</f>
        <v>3.3641498955341964E-2</v>
      </c>
      <c r="P224" s="169">
        <f>(INDEX(Models!$BJ224:$BT224,,T224)*(1-R224)+INDEX(Models!$BJ224:$BT224,,T224+1)*R224-ERP_i)*Q224*Ramure*Pc/MaxiM</f>
        <v>0</v>
      </c>
      <c r="Q224" s="305">
        <f t="shared" si="80"/>
        <v>0.7</v>
      </c>
      <c r="R224" s="177">
        <f t="shared" si="81"/>
        <v>6.470686047325086E-2</v>
      </c>
      <c r="S224" s="817">
        <f t="shared" si="82"/>
        <v>0</v>
      </c>
      <c r="T224" s="176">
        <f t="shared" si="83"/>
        <v>6</v>
      </c>
      <c r="U224" s="251">
        <f t="shared" si="84"/>
        <v>6.470686047325086E-2</v>
      </c>
      <c r="V224" s="383">
        <f t="shared" si="85"/>
        <v>37.517174787155838</v>
      </c>
      <c r="W224" s="402">
        <f t="shared" si="86"/>
        <v>19.681496886323092</v>
      </c>
      <c r="X224" s="157">
        <f t="shared" si="87"/>
        <v>45136</v>
      </c>
      <c r="Y224" s="385">
        <f t="shared" si="88"/>
        <v>18.079599962496921</v>
      </c>
      <c r="Z224" s="385">
        <f t="shared" si="89"/>
        <v>18.859012879859485</v>
      </c>
      <c r="AA224" s="386">
        <f t="shared" si="90"/>
        <v>21.244670252956535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0.11229439406173171</v>
      </c>
      <c r="AD224" s="231">
        <f>(INDEX(Models!$BJ224:$BT224,,AH224)*(1-AF224)+INDEX(Models!$BJ224:$BT224,,AH224+1)*AF224-ERP_i)*AE224*Ramure*Pc/MaxiM</f>
        <v>0</v>
      </c>
      <c r="AE224" s="305">
        <f t="shared" si="92"/>
        <v>0.7</v>
      </c>
      <c r="AF224" s="177">
        <f t="shared" si="93"/>
        <v>6.470686047325086E-2</v>
      </c>
      <c r="AG224" s="817">
        <f t="shared" si="99"/>
        <v>0</v>
      </c>
      <c r="AH224" s="176">
        <f t="shared" si="94"/>
        <v>6</v>
      </c>
      <c r="AI224" s="225">
        <f t="shared" si="95"/>
        <v>6.470686047325086E-2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45137</v>
      </c>
      <c r="B225" s="411">
        <f>'2022'!Wh/'2022'!Env_an*'2023'!Env_an</f>
        <v>31.44999491075918</v>
      </c>
      <c r="C225" s="846"/>
      <c r="D225" s="393">
        <f t="shared" si="77"/>
        <v>32.80652510940017</v>
      </c>
      <c r="E225" s="385">
        <f t="shared" si="75"/>
        <v>33.954390193564478</v>
      </c>
      <c r="F225" s="385">
        <f t="shared" si="78"/>
        <v>33.954390193564478</v>
      </c>
      <c r="G225" s="110">
        <f t="shared" si="76"/>
        <v>0.84028413011667169</v>
      </c>
      <c r="H225" s="414" t="b">
        <f>Wh_hp&gt;='2022'!Maxi_hp</f>
        <v>0</v>
      </c>
      <c r="I225" s="390">
        <f>IF(H225,Wh_hp,'2022'!Maxi_hp)</f>
        <v>37.359921298844867</v>
      </c>
      <c r="J225" s="85">
        <f>IF(H225,An,'2022'!An_max)</f>
        <v>2018</v>
      </c>
      <c r="K225" s="197">
        <f t="shared" si="79"/>
        <v>45137</v>
      </c>
      <c r="L225" s="147">
        <f>IF(t&lt;Tvie,1-EXP((T0-t)*PertePVj)+'2022'!Pspv,1-EXP((T0-t)*PertePVj)+Pspv)</f>
        <v>4.13494021118469E-2</v>
      </c>
      <c r="M225" s="850"/>
      <c r="N225" s="850"/>
      <c r="O225" s="48">
        <f>IF(t&lt;Tnet,'2022'!Resal+('2022'!Salim-'2022'!Resal)*(1-EXP(('2022'!Tnet-t)/('2022'!Tau_j))),Resal+(Salim-Resal)*(1-EXP((Tnet-t)/(Tau_j))))*Salcycl</f>
        <v>3.3806087449094226E-2</v>
      </c>
      <c r="P225" s="169">
        <f>(INDEX(Models!$BJ225:$BT225,,T225)*(1-R225)+INDEX(Models!$BJ225:$BT225,,T225+1)*R225-ERP_i)*Q225*Ramure*Pc/MaxiM</f>
        <v>0</v>
      </c>
      <c r="Q225" s="305">
        <f t="shared" si="80"/>
        <v>0.7</v>
      </c>
      <c r="R225" s="177">
        <f t="shared" si="81"/>
        <v>6.5970030861828954E-2</v>
      </c>
      <c r="S225" s="817">
        <f t="shared" si="82"/>
        <v>0</v>
      </c>
      <c r="T225" s="176">
        <f t="shared" si="83"/>
        <v>6</v>
      </c>
      <c r="U225" s="251">
        <f t="shared" si="84"/>
        <v>6.5970030861828954E-2</v>
      </c>
      <c r="V225" s="383">
        <f t="shared" si="85"/>
        <v>37.427810169867676</v>
      </c>
      <c r="W225" s="402">
        <f t="shared" si="86"/>
        <v>31.44999491075918</v>
      </c>
      <c r="X225" s="157">
        <f t="shared" si="87"/>
        <v>45137</v>
      </c>
      <c r="Y225" s="385">
        <f t="shared" si="88"/>
        <v>28.893329497119385</v>
      </c>
      <c r="Z225" s="385">
        <f t="shared" si="89"/>
        <v>30.139583244165884</v>
      </c>
      <c r="AA225" s="386">
        <f t="shared" si="90"/>
        <v>33.954390193564478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0.11235091920813324</v>
      </c>
      <c r="AD225" s="231">
        <f>(INDEX(Models!$BJ225:$BT225,,AH225)*(1-AF225)+INDEX(Models!$BJ225:$BT225,,AH225+1)*AF225-ERP_i)*AE225*Ramure*Pc/MaxiM</f>
        <v>0</v>
      </c>
      <c r="AE225" s="305">
        <f t="shared" si="92"/>
        <v>0.7</v>
      </c>
      <c r="AF225" s="177">
        <f t="shared" si="93"/>
        <v>6.5970030861828954E-2</v>
      </c>
      <c r="AG225" s="817">
        <f t="shared" si="99"/>
        <v>0</v>
      </c>
      <c r="AH225" s="176">
        <f t="shared" si="94"/>
        <v>6</v>
      </c>
      <c r="AI225" s="225">
        <f t="shared" si="95"/>
        <v>6.5970030861828954E-2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45138</v>
      </c>
      <c r="B226" s="411">
        <f>'2022'!Wh/'2022'!Env_an*'2023'!Env_an</f>
        <v>36.647945772658375</v>
      </c>
      <c r="C226" s="846"/>
      <c r="D226" s="393">
        <f t="shared" si="77"/>
        <v>38.229516108414657</v>
      </c>
      <c r="E226" s="385">
        <f t="shared" si="75"/>
        <v>39.573853409684702</v>
      </c>
      <c r="F226" s="385">
        <f t="shared" si="78"/>
        <v>39.573853410350104</v>
      </c>
      <c r="G226" s="110">
        <f t="shared" si="76"/>
        <v>0.98153014317311149</v>
      </c>
      <c r="H226" s="414" t="b">
        <f>Wh_hp&gt;='2022'!Maxi_hp</f>
        <v>0</v>
      </c>
      <c r="I226" s="390">
        <f>IF(H226,Wh_hp,'2022'!Maxi_hp)</f>
        <v>39.57385341036813</v>
      </c>
      <c r="J226" s="85">
        <f>IF(H226,An,'2022'!An_max)</f>
        <v>2022</v>
      </c>
      <c r="K226" s="197">
        <f t="shared" si="79"/>
        <v>45138</v>
      </c>
      <c r="L226" s="147">
        <f>IF(t&lt;Tvie,1-EXP((T0-t)*PertePVj)+'2022'!Pspv,1-EXP((T0-t)*PertePVj)+Pspv)</f>
        <v>4.1370399020252524E-2</v>
      </c>
      <c r="M226" s="850"/>
      <c r="N226" s="850"/>
      <c r="O226" s="48">
        <f>IF(t&lt;Tnet,'2022'!Resal+('2022'!Salim-'2022'!Resal)*(1-EXP(('2022'!Tnet-t)/('2022'!Tau_j))),Resal+(Salim-Resal)*(1-EXP((Tnet-t)/(Tau_j))))*Salcycl</f>
        <v>3.3970341158161124E-2</v>
      </c>
      <c r="P226" s="169">
        <f>(INDEX(Models!$BJ226:$BT226,,T226)*(1-R226)+INDEX(Models!$BJ226:$BT226,,T226+1)*R226-ERP_i)*Q226*Ramure*Pc/MaxiM</f>
        <v>1.7269788383634758E-11</v>
      </c>
      <c r="Q226" s="305">
        <f t="shared" si="80"/>
        <v>0.7</v>
      </c>
      <c r="R226" s="177">
        <f t="shared" si="81"/>
        <v>6.7193713753419704E-2</v>
      </c>
      <c r="S226" s="817">
        <f t="shared" si="82"/>
        <v>0</v>
      </c>
      <c r="T226" s="176">
        <f t="shared" si="83"/>
        <v>6</v>
      </c>
      <c r="U226" s="251">
        <f t="shared" si="84"/>
        <v>6.7193713753419704E-2</v>
      </c>
      <c r="V226" s="383">
        <f t="shared" si="85"/>
        <v>37.337565257206897</v>
      </c>
      <c r="W226" s="402">
        <f t="shared" si="86"/>
        <v>36.647945772658375</v>
      </c>
      <c r="X226" s="157">
        <f t="shared" si="87"/>
        <v>45138</v>
      </c>
      <c r="Y226" s="385">
        <f t="shared" si="88"/>
        <v>33.672319977440111</v>
      </c>
      <c r="Z226" s="385">
        <f t="shared" si="89"/>
        <v>35.125474889390034</v>
      </c>
      <c r="AA226" s="386">
        <f t="shared" si="90"/>
        <v>39.573853409684702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0.11240700960412515</v>
      </c>
      <c r="AD226" s="231">
        <f>(INDEX(Models!$BJ226:$BT226,,AH226)*(1-AF226)+INDEX(Models!$BJ226:$BT226,,AH226+1)*AF226-ERP_i)*AE226*Ramure*Pc/MaxiM</f>
        <v>1.7269788383634758E-11</v>
      </c>
      <c r="AE226" s="305">
        <f t="shared" si="92"/>
        <v>0.7</v>
      </c>
      <c r="AF226" s="177">
        <f t="shared" si="93"/>
        <v>6.7193713753419704E-2</v>
      </c>
      <c r="AG226" s="817">
        <f t="shared" si="99"/>
        <v>0</v>
      </c>
      <c r="AH226" s="176">
        <f t="shared" si="94"/>
        <v>6</v>
      </c>
      <c r="AI226" s="225">
        <f t="shared" si="95"/>
        <v>6.7193713753419704E-2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45139</v>
      </c>
      <c r="B227" s="411">
        <f>'2022'!Wh/'2022'!Env_an*'2023'!Env_an</f>
        <v>36.541125134424107</v>
      </c>
      <c r="C227" s="846"/>
      <c r="D227" s="393">
        <f t="shared" si="77"/>
        <v>38.118920445423278</v>
      </c>
      <c r="E227" s="385">
        <f t="shared" si="75"/>
        <v>39.466065601641141</v>
      </c>
      <c r="F227" s="385">
        <f t="shared" si="78"/>
        <v>39.46606560366984</v>
      </c>
      <c r="G227" s="110">
        <f t="shared" si="76"/>
        <v>0.98106877598306985</v>
      </c>
      <c r="H227" s="414" t="b">
        <f>Wh_hp&gt;='2022'!Maxi_hp</f>
        <v>0</v>
      </c>
      <c r="I227" s="390">
        <f>IF(H227,Wh_hp,'2022'!Maxi_hp)</f>
        <v>39.466065603726243</v>
      </c>
      <c r="J227" s="85">
        <f>IF(H227,An,'2022'!An_max)</f>
        <v>2022</v>
      </c>
      <c r="K227" s="197">
        <f t="shared" si="79"/>
        <v>45139</v>
      </c>
      <c r="L227" s="147">
        <f>IF(t&lt;Tvie,1-EXP((T0-t)*PertePVj)+'2022'!Pspv,1-EXP((T0-t)*PertePVj)+Pspv)</f>
        <v>4.1391395468772019E-2</v>
      </c>
      <c r="M227" s="850"/>
      <c r="N227" s="850"/>
      <c r="O227" s="48">
        <f>IF(t&lt;Tnet,'2022'!Resal+('2022'!Salim-'2022'!Resal)*(1-EXP(('2022'!Tnet-t)/('2022'!Tau_j))),Resal+(Salim-Resal)*(1-EXP((Tnet-t)/(Tau_j))))*Salcycl</f>
        <v>3.4134265366493541E-2</v>
      </c>
      <c r="P227" s="169">
        <f>(INDEX(Models!$BJ227:$BT227,,T227)*(1-R227)+INDEX(Models!$BJ227:$BT227,,T227+1)*R227-ERP_i)*Q227*Ramure*Pc/MaxiM</f>
        <v>5.2832355944649219E-11</v>
      </c>
      <c r="Q227" s="305">
        <f t="shared" si="80"/>
        <v>0.7</v>
      </c>
      <c r="R227" s="177">
        <f t="shared" si="81"/>
        <v>6.8378746834959037E-2</v>
      </c>
      <c r="S227" s="817">
        <f t="shared" si="82"/>
        <v>0</v>
      </c>
      <c r="T227" s="176">
        <f t="shared" si="83"/>
        <v>6</v>
      </c>
      <c r="U227" s="251">
        <f t="shared" si="84"/>
        <v>6.8378746834959037E-2</v>
      </c>
      <c r="V227" s="383">
        <f t="shared" si="85"/>
        <v>37.246242087111817</v>
      </c>
      <c r="W227" s="402">
        <f t="shared" si="86"/>
        <v>36.541125134424107</v>
      </c>
      <c r="X227" s="157">
        <f t="shared" si="87"/>
        <v>45139</v>
      </c>
      <c r="Y227" s="385">
        <f t="shared" si="88"/>
        <v>33.57776435890959</v>
      </c>
      <c r="Z227" s="385">
        <f t="shared" si="89"/>
        <v>35.027605844754078</v>
      </c>
      <c r="AA227" s="386">
        <f t="shared" si="90"/>
        <v>39.466065601641141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0.11246268634141472</v>
      </c>
      <c r="AD227" s="231">
        <f>(INDEX(Models!$BJ227:$BT227,,AH227)*(1-AF227)+INDEX(Models!$BJ227:$BT227,,AH227+1)*AF227-ERP_i)*AE227*Ramure*Pc/MaxiM</f>
        <v>5.2832355944649219E-11</v>
      </c>
      <c r="AE227" s="305">
        <f t="shared" si="92"/>
        <v>0.7</v>
      </c>
      <c r="AF227" s="177">
        <f t="shared" si="93"/>
        <v>6.8378746834959037E-2</v>
      </c>
      <c r="AG227" s="817">
        <f t="shared" si="99"/>
        <v>0</v>
      </c>
      <c r="AH227" s="176">
        <f t="shared" si="94"/>
        <v>6</v>
      </c>
      <c r="AI227" s="225">
        <f t="shared" si="95"/>
        <v>6.8378746834959037E-2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45140</v>
      </c>
      <c r="B228" s="411">
        <f>'2022'!Wh/'2022'!Env_an*'2023'!Env_an</f>
        <v>36.430130349338171</v>
      </c>
      <c r="C228" s="846"/>
      <c r="D228" s="393">
        <f t="shared" si="77"/>
        <v>38.003965443206319</v>
      </c>
      <c r="E228" s="385">
        <f t="shared" si="75"/>
        <v>39.353713792551716</v>
      </c>
      <c r="F228" s="385">
        <f t="shared" si="78"/>
        <v>39.353713796670846</v>
      </c>
      <c r="G228" s="110">
        <f t="shared" si="76"/>
        <v>0.98052647141328875</v>
      </c>
      <c r="H228" s="414" t="b">
        <f>Wh_hp&gt;='2022'!Maxi_hp</f>
        <v>0</v>
      </c>
      <c r="I228" s="390">
        <f>IF(H228,Wh_hp,'2022'!Maxi_hp)</f>
        <v>39.353713796788718</v>
      </c>
      <c r="J228" s="85">
        <f>IF(H228,An,'2022'!An_max)</f>
        <v>2022</v>
      </c>
      <c r="K228" s="197">
        <f t="shared" si="79"/>
        <v>45140</v>
      </c>
      <c r="L228" s="147">
        <f>IF(t&lt;Tvie,1-EXP((T0-t)*PertePVj)+'2022'!Pspv,1-EXP((T0-t)*PertePVj)+Pspv)</f>
        <v>4.1412391457415376E-2</v>
      </c>
      <c r="M228" s="850"/>
      <c r="N228" s="850"/>
      <c r="O228" s="48">
        <f>IF(t&lt;Tnet,'2022'!Resal+('2022'!Salim-'2022'!Resal)*(1-EXP(('2022'!Tnet-t)/('2022'!Tau_j))),Resal+(Salim-Resal)*(1-EXP((Tnet-t)/(Tau_j))))*Salcycl</f>
        <v>3.4297864655428251E-2</v>
      </c>
      <c r="P228" s="169">
        <f>(INDEX(Models!$BJ228:$BT228,,T228)*(1-R228)+INDEX(Models!$BJ228:$BT228,,T228+1)*R228-ERP_i)*Q228*Ramure*Pc/MaxiM</f>
        <v>1.0766457431866241E-10</v>
      </c>
      <c r="Q228" s="305">
        <f t="shared" si="80"/>
        <v>0.7</v>
      </c>
      <c r="R228" s="177">
        <f t="shared" si="81"/>
        <v>6.9525978922284848E-2</v>
      </c>
      <c r="S228" s="817">
        <f t="shared" si="82"/>
        <v>0</v>
      </c>
      <c r="T228" s="176">
        <f t="shared" si="83"/>
        <v>6</v>
      </c>
      <c r="U228" s="251">
        <f t="shared" si="84"/>
        <v>6.9525978922284848E-2</v>
      </c>
      <c r="V228" s="383">
        <f t="shared" si="85"/>
        <v>37.153642875872826</v>
      </c>
      <c r="W228" s="402">
        <f t="shared" si="86"/>
        <v>36.430130349338171</v>
      </c>
      <c r="X228" s="157">
        <f t="shared" si="87"/>
        <v>45140</v>
      </c>
      <c r="Y228" s="385">
        <f t="shared" si="88"/>
        <v>33.479356554624417</v>
      </c>
      <c r="Z228" s="385">
        <f t="shared" si="89"/>
        <v>34.925713890173995</v>
      </c>
      <c r="AA228" s="386">
        <f t="shared" si="90"/>
        <v>39.353713792551716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0.11251796782685815</v>
      </c>
      <c r="AD228" s="231">
        <f>(INDEX(Models!$BJ228:$BT228,,AH228)*(1-AF228)+INDEX(Models!$BJ228:$BT228,,AH228+1)*AF228-ERP_i)*AE228*Ramure*Pc/MaxiM</f>
        <v>1.0766457431866241E-10</v>
      </c>
      <c r="AE228" s="305">
        <f t="shared" si="92"/>
        <v>0.7</v>
      </c>
      <c r="AF228" s="177">
        <f t="shared" si="93"/>
        <v>6.9525978922284848E-2</v>
      </c>
      <c r="AG228" s="817">
        <f t="shared" si="99"/>
        <v>0</v>
      </c>
      <c r="AH228" s="176">
        <f t="shared" si="94"/>
        <v>6</v>
      </c>
      <c r="AI228" s="225">
        <f t="shared" si="95"/>
        <v>6.9525978922284848E-2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45141</v>
      </c>
      <c r="B229" s="411">
        <f>'2022'!Wh/'2022'!Env_an*'2023'!Env_an</f>
        <v>33.990043538875746</v>
      </c>
      <c r="C229" s="846"/>
      <c r="D229" s="393">
        <f t="shared" si="77"/>
        <v>35.459239949958643</v>
      </c>
      <c r="E229" s="385">
        <f t="shared" si="75"/>
        <v>36.724819192179005</v>
      </c>
      <c r="F229" s="385">
        <f t="shared" si="78"/>
        <v>36.724819198094728</v>
      </c>
      <c r="G229" s="110">
        <f t="shared" si="76"/>
        <v>0.91717317610543991</v>
      </c>
      <c r="H229" s="414" t="b">
        <f>Wh_hp&gt;='2022'!Maxi_hp</f>
        <v>0</v>
      </c>
      <c r="I229" s="390">
        <f>IF(H229,Wh_hp,'2022'!Maxi_hp)</f>
        <v>38.935712166326411</v>
      </c>
      <c r="J229" s="85">
        <f>IF(H229,An,'2022'!An_max)</f>
        <v>2019</v>
      </c>
      <c r="K229" s="197">
        <f t="shared" si="79"/>
        <v>45141</v>
      </c>
      <c r="L229" s="147">
        <f>IF(t&lt;Tvie,1-EXP((T0-t)*PertePVj)+'2022'!Pspv,1-EXP((T0-t)*PertePVj)+Pspv)</f>
        <v>4.14333869861927E-2</v>
      </c>
      <c r="M229" s="850"/>
      <c r="N229" s="850"/>
      <c r="O229" s="48">
        <f>IF(t&lt;Tnet,'2022'!Resal+('2022'!Salim-'2022'!Resal)*(1-EXP(('2022'!Tnet-t)/('2022'!Tau_j))),Resal+(Salim-Resal)*(1-EXP((Tnet-t)/(Tau_j))))*Salcycl</f>
        <v>3.4461142901688696E-2</v>
      </c>
      <c r="P229" s="169">
        <f>(INDEX(Models!$BJ229:$BT229,,T229)*(1-R229)+INDEX(Models!$BJ229:$BT229,,T229+1)*R229-ERP_i)*Q229*Ramure*Pc/MaxiM</f>
        <v>1.8270032378783428E-10</v>
      </c>
      <c r="Q229" s="305">
        <f t="shared" si="80"/>
        <v>0.7</v>
      </c>
      <c r="R229" s="177">
        <f t="shared" si="81"/>
        <v>7.0636267344845127E-2</v>
      </c>
      <c r="S229" s="817">
        <f t="shared" si="82"/>
        <v>0</v>
      </c>
      <c r="T229" s="176">
        <f t="shared" si="83"/>
        <v>6</v>
      </c>
      <c r="U229" s="251">
        <f t="shared" si="84"/>
        <v>7.0636267344845127E-2</v>
      </c>
      <c r="V229" s="383">
        <f t="shared" si="85"/>
        <v>37.059570017596535</v>
      </c>
      <c r="W229" s="402">
        <f t="shared" si="86"/>
        <v>33.990043538875746</v>
      </c>
      <c r="X229" s="157">
        <f t="shared" si="87"/>
        <v>45141</v>
      </c>
      <c r="Y229" s="385">
        <f t="shared" si="88"/>
        <v>31.240261922268864</v>
      </c>
      <c r="Z229" s="385">
        <f t="shared" si="89"/>
        <v>32.590600901534714</v>
      </c>
      <c r="AA229" s="386">
        <f t="shared" si="90"/>
        <v>36.724819192179005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0.11257286983525085</v>
      </c>
      <c r="AD229" s="231">
        <f>(INDEX(Models!$BJ229:$BT229,,AH229)*(1-AF229)+INDEX(Models!$BJ229:$BT229,,AH229+1)*AF229-ERP_i)*AE229*Ramure*Pc/MaxiM</f>
        <v>1.8270032378783428E-10</v>
      </c>
      <c r="AE229" s="305">
        <f t="shared" si="92"/>
        <v>0.7</v>
      </c>
      <c r="AF229" s="177">
        <f t="shared" si="93"/>
        <v>7.0636267344845127E-2</v>
      </c>
      <c r="AG229" s="817">
        <f t="shared" si="99"/>
        <v>0</v>
      </c>
      <c r="AH229" s="176">
        <f t="shared" si="94"/>
        <v>6</v>
      </c>
      <c r="AI229" s="225">
        <f t="shared" si="95"/>
        <v>7.0636267344845127E-2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45142</v>
      </c>
      <c r="B230" s="411">
        <f>'2022'!Wh/'2022'!Env_an*'2023'!Env_an</f>
        <v>33.414883594544577</v>
      </c>
      <c r="C230" s="846"/>
      <c r="D230" s="393">
        <f t="shared" si="77"/>
        <v>34.859982633049661</v>
      </c>
      <c r="E230" s="385">
        <f t="shared" si="75"/>
        <v>36.110268291880772</v>
      </c>
      <c r="F230" s="385">
        <f t="shared" si="78"/>
        <v>36.110268300568514</v>
      </c>
      <c r="G230" s="110">
        <f t="shared" si="76"/>
        <v>0.90398876777530446</v>
      </c>
      <c r="H230" s="414" t="b">
        <f>Wh_hp&gt;='2022'!Maxi_hp</f>
        <v>0</v>
      </c>
      <c r="I230" s="390">
        <f>IF(H230,Wh_hp,'2022'!Maxi_hp)</f>
        <v>36.542089306289583</v>
      </c>
      <c r="J230" s="85">
        <f>IF(H230,An,'2022'!An_max)</f>
        <v>2019</v>
      </c>
      <c r="K230" s="197">
        <f t="shared" si="79"/>
        <v>45142</v>
      </c>
      <c r="L230" s="147">
        <f>IF(t&lt;Tvie,1-EXP((T0-t)*PertePVj)+'2022'!Pspv,1-EXP((T0-t)*PertePVj)+Pspv)</f>
        <v>4.1454382055114092E-2</v>
      </c>
      <c r="M230" s="850"/>
      <c r="N230" s="850"/>
      <c r="O230" s="48">
        <f>IF(t&lt;Tnet,'2022'!Resal+('2022'!Salim-'2022'!Resal)*(1-EXP(('2022'!Tnet-t)/('2022'!Tau_j))),Resal+(Salim-Resal)*(1-EXP((Tnet-t)/(Tau_j))))*Salcycl</f>
        <v>3.4624103280679025E-2</v>
      </c>
      <c r="P230" s="169">
        <f>(INDEX(Models!$BJ230:$BT230,,T230)*(1-R230)+INDEX(Models!$BJ230:$BT230,,T230+1)*R230-ERP_i)*Q230*Ramure*Pc/MaxiM</f>
        <v>2.7883374225865582E-10</v>
      </c>
      <c r="Q230" s="305">
        <f t="shared" si="80"/>
        <v>0.7</v>
      </c>
      <c r="R230" s="177">
        <f t="shared" si="81"/>
        <v>7.1710475487138381E-2</v>
      </c>
      <c r="S230" s="817">
        <f t="shared" si="82"/>
        <v>0</v>
      </c>
      <c r="T230" s="176">
        <f t="shared" si="83"/>
        <v>6</v>
      </c>
      <c r="U230" s="251">
        <f t="shared" si="84"/>
        <v>7.1710475487138381E-2</v>
      </c>
      <c r="V230" s="383">
        <f t="shared" si="85"/>
        <v>36.963826083259754</v>
      </c>
      <c r="W230" s="402">
        <f t="shared" si="86"/>
        <v>33.414883594544577</v>
      </c>
      <c r="X230" s="157">
        <f t="shared" si="87"/>
        <v>45142</v>
      </c>
      <c r="Y230" s="385">
        <f t="shared" si="88"/>
        <v>30.71492881516933</v>
      </c>
      <c r="Z230" s="385">
        <f t="shared" si="89"/>
        <v>32.04326245945591</v>
      </c>
      <c r="AA230" s="386">
        <f t="shared" si="90"/>
        <v>36.110268291880772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0.11262740557757943</v>
      </c>
      <c r="AD230" s="231">
        <f>(INDEX(Models!$BJ230:$BT230,,AH230)*(1-AF230)+INDEX(Models!$BJ230:$BT230,,AH230+1)*AF230-ERP_i)*AE230*Ramure*Pc/MaxiM</f>
        <v>2.7883374225865582E-10</v>
      </c>
      <c r="AE230" s="305">
        <f t="shared" si="92"/>
        <v>0.7</v>
      </c>
      <c r="AF230" s="177">
        <f t="shared" si="93"/>
        <v>7.1710475487138381E-2</v>
      </c>
      <c r="AG230" s="817">
        <f t="shared" si="99"/>
        <v>0</v>
      </c>
      <c r="AH230" s="176">
        <f t="shared" si="94"/>
        <v>6</v>
      </c>
      <c r="AI230" s="225">
        <f t="shared" si="95"/>
        <v>7.1710475487138381E-2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45143</v>
      </c>
      <c r="B231" s="411">
        <f>'2022'!Wh/'2022'!Env_an*'2023'!Env_an</f>
        <v>30.335291867851012</v>
      </c>
      <c r="C231" s="846"/>
      <c r="D231" s="393">
        <f t="shared" si="77"/>
        <v>31.6479004600629</v>
      </c>
      <c r="E231" s="385">
        <f t="shared" si="75"/>
        <v>32.788505963312467</v>
      </c>
      <c r="F231" s="385">
        <f t="shared" si="78"/>
        <v>32.788505973033331</v>
      </c>
      <c r="G231" s="110">
        <f t="shared" si="76"/>
        <v>0.82284804222045982</v>
      </c>
      <c r="H231" s="414" t="b">
        <f>Wh_hp&gt;='2022'!Maxi_hp</f>
        <v>0</v>
      </c>
      <c r="I231" s="390">
        <f>IF(H231,Wh_hp,'2022'!Maxi_hp)</f>
        <v>40.51327472097406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4.1475376664189545E-2</v>
      </c>
      <c r="M231" s="850"/>
      <c r="N231" s="850"/>
      <c r="O231" s="48">
        <f>IF(t&lt;Tnet,'2022'!Resal+('2022'!Salim-'2022'!Resal)*(1-EXP(('2022'!Tnet-t)/('2022'!Tau_j))),Resal+(Salim-Resal)*(1-EXP((Tnet-t)/(Tau_j))))*Salcycl</f>
        <v>3.4786748274709588E-2</v>
      </c>
      <c r="P231" s="169">
        <f>(INDEX(Models!$BJ231:$BT231,,T231)*(1-R231)+INDEX(Models!$BJ231:$BT231,,T231+1)*R231-ERP_i)*Q231*Ramure*Pc/MaxiM</f>
        <v>3.9692257768099644E-10</v>
      </c>
      <c r="Q231" s="305">
        <f t="shared" si="80"/>
        <v>0.7</v>
      </c>
      <c r="R231" s="177">
        <f t="shared" si="81"/>
        <v>7.2749470485550527E-2</v>
      </c>
      <c r="S231" s="817">
        <f t="shared" si="82"/>
        <v>0</v>
      </c>
      <c r="T231" s="176">
        <f t="shared" si="83"/>
        <v>6</v>
      </c>
      <c r="U231" s="251">
        <f t="shared" si="84"/>
        <v>7.2749470485550527E-2</v>
      </c>
      <c r="V231" s="383">
        <f t="shared" si="85"/>
        <v>36.866213818706868</v>
      </c>
      <c r="W231" s="402">
        <f t="shared" si="86"/>
        <v>30.335291867851012</v>
      </c>
      <c r="X231" s="157">
        <f t="shared" si="87"/>
        <v>45143</v>
      </c>
      <c r="Y231" s="385">
        <f t="shared" si="88"/>
        <v>27.887166931115225</v>
      </c>
      <c r="Z231" s="385">
        <f t="shared" si="89"/>
        <v>29.093845115907062</v>
      </c>
      <c r="AA231" s="386">
        <f t="shared" si="90"/>
        <v>32.788505963312467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0.11268158578312214</v>
      </c>
      <c r="AD231" s="231">
        <f>(INDEX(Models!$BJ231:$BT231,,AH231)*(1-AF231)+INDEX(Models!$BJ231:$BT231,,AH231+1)*AF231-ERP_i)*AE231*Ramure*Pc/MaxiM</f>
        <v>3.9692257768099644E-10</v>
      </c>
      <c r="AE231" s="305">
        <f t="shared" si="92"/>
        <v>0.7</v>
      </c>
      <c r="AF231" s="177">
        <f t="shared" si="93"/>
        <v>7.2749470485550527E-2</v>
      </c>
      <c r="AG231" s="817">
        <f t="shared" si="99"/>
        <v>0</v>
      </c>
      <c r="AH231" s="176">
        <f t="shared" si="94"/>
        <v>6</v>
      </c>
      <c r="AI231" s="225">
        <f t="shared" si="95"/>
        <v>7.2749470485550527E-2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45144</v>
      </c>
      <c r="B232" s="411">
        <f>'2022'!Wh/'2022'!Env_an*'2023'!Env_an</f>
        <v>32.918302028064815</v>
      </c>
      <c r="C232" s="846"/>
      <c r="D232" s="393">
        <f t="shared" si="77"/>
        <v>34.343429722849109</v>
      </c>
      <c r="E232" s="385">
        <f t="shared" si="75"/>
        <v>35.587168510927462</v>
      </c>
      <c r="F232" s="385">
        <f t="shared" si="78"/>
        <v>35.587168527204284</v>
      </c>
      <c r="G232" s="110">
        <f t="shared" si="76"/>
        <v>0.89533324260837976</v>
      </c>
      <c r="H232" s="414" t="b">
        <f>Wh_hp&gt;='2022'!Maxi_hp</f>
        <v>0</v>
      </c>
      <c r="I232" s="390">
        <f>IF(H232,Wh_hp,'2022'!Maxi_hp)</f>
        <v>40.005159812023336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4.1496370813429273E-2</v>
      </c>
      <c r="M232" s="850"/>
      <c r="N232" s="850"/>
      <c r="O232" s="48">
        <f>IF(t&lt;Tnet,'2022'!Resal+('2022'!Salim-'2022'!Resal)*(1-EXP(('2022'!Tnet-t)/('2022'!Tau_j))),Resal+(Salim-Resal)*(1-EXP((Tnet-t)/(Tau_j))))*Salcycl</f>
        <v>3.4949079685742616E-2</v>
      </c>
      <c r="P232" s="169">
        <f>(INDEX(Models!$BJ232:$BT232,,T232)*(1-R232)+INDEX(Models!$BJ232:$BT232,,T232+1)*R232-ERP_i)*Q232*Ramure*Pc/MaxiM</f>
        <v>5.3779162885522792E-10</v>
      </c>
      <c r="Q232" s="305">
        <f t="shared" si="80"/>
        <v>0.7</v>
      </c>
      <c r="R232" s="177">
        <f t="shared" si="81"/>
        <v>7.3754121078414836E-2</v>
      </c>
      <c r="S232" s="817">
        <f t="shared" si="82"/>
        <v>0</v>
      </c>
      <c r="T232" s="176">
        <f t="shared" si="83"/>
        <v>6</v>
      </c>
      <c r="U232" s="251">
        <f t="shared" si="84"/>
        <v>7.3754121078414836E-2</v>
      </c>
      <c r="V232" s="383">
        <f t="shared" si="85"/>
        <v>36.766536144147487</v>
      </c>
      <c r="W232" s="402">
        <f t="shared" si="86"/>
        <v>32.918302028064815</v>
      </c>
      <c r="X232" s="157">
        <f t="shared" si="87"/>
        <v>45144</v>
      </c>
      <c r="Y232" s="385">
        <f t="shared" si="88"/>
        <v>30.264976539728</v>
      </c>
      <c r="Z232" s="385">
        <f t="shared" si="89"/>
        <v>31.575234165166616</v>
      </c>
      <c r="AA232" s="386">
        <f t="shared" si="90"/>
        <v>35.587168510927462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0.11273541879368498</v>
      </c>
      <c r="AD232" s="231">
        <f>(INDEX(Models!$BJ232:$BT232,,AH232)*(1-AF232)+INDEX(Models!$BJ232:$BT232,,AH232+1)*AF232-ERP_i)*AE232*Ramure*Pc/MaxiM</f>
        <v>5.3779162885522792E-10</v>
      </c>
      <c r="AE232" s="305">
        <f t="shared" si="92"/>
        <v>0.7</v>
      </c>
      <c r="AF232" s="177">
        <f t="shared" si="93"/>
        <v>7.3754121078414836E-2</v>
      </c>
      <c r="AG232" s="817">
        <f t="shared" si="99"/>
        <v>0</v>
      </c>
      <c r="AH232" s="176">
        <f t="shared" si="94"/>
        <v>6</v>
      </c>
      <c r="AI232" s="225">
        <f t="shared" si="95"/>
        <v>7.3754121078414836E-2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45145</v>
      </c>
      <c r="B233" s="411">
        <f>'2022'!Wh/'2022'!Env_an*'2023'!Env_an</f>
        <v>35.268873025830608</v>
      </c>
      <c r="C233" s="846"/>
      <c r="D233" s="393">
        <f t="shared" si="77"/>
        <v>36.79656961916367</v>
      </c>
      <c r="E233" s="385">
        <f t="shared" ref="E233:E296" si="100">Wh_pvt/(1-Psa)</f>
        <v>38.135550702018342</v>
      </c>
      <c r="F233" s="385">
        <f t="shared" si="78"/>
        <v>38.135550727341311</v>
      </c>
      <c r="G233" s="110">
        <f t="shared" ref="G233:G296" si="101">+Wh_hp/MaxiM</f>
        <v>0.9619196891467644</v>
      </c>
      <c r="H233" s="414" t="b">
        <f>Wh_hp&gt;='2022'!Maxi_hp</f>
        <v>0</v>
      </c>
      <c r="I233" s="390">
        <f>IF(H233,Wh_hp,'2022'!Maxi_hp)</f>
        <v>38.644291488995613</v>
      </c>
      <c r="J233" s="85">
        <f>IF(H233,An,'2022'!An_max)</f>
        <v>2020</v>
      </c>
      <c r="K233" s="197">
        <f t="shared" si="79"/>
        <v>45145</v>
      </c>
      <c r="L233" s="147">
        <f>IF(t&lt;Tvie,1-EXP((T0-t)*PertePVj)+'2022'!Pspv,1-EXP((T0-t)*PertePVj)+Pspv)</f>
        <v>4.1517364502843157E-2</v>
      </c>
      <c r="M233" s="850"/>
      <c r="N233" s="850"/>
      <c r="O233" s="48">
        <f>IF(t&lt;Tnet,'2022'!Resal+('2022'!Salim-'2022'!Resal)*(1-EXP(('2022'!Tnet-t)/('2022'!Tau_j))),Resal+(Salim-Resal)*(1-EXP((Tnet-t)/(Tau_j))))*Salcycl</f>
        <v>3.511109865220341E-2</v>
      </c>
      <c r="P233" s="169">
        <f>(INDEX(Models!$BJ233:$BT233,,T233)*(1-R233)+INDEX(Models!$BJ233:$BT233,,T233+1)*R233-ERP_i)*Q233*Ramure*Pc/MaxiM</f>
        <v>7.0222678285843861E-10</v>
      </c>
      <c r="Q233" s="305">
        <f t="shared" si="80"/>
        <v>0.7</v>
      </c>
      <c r="R233" s="177">
        <f t="shared" si="81"/>
        <v>7.4725295606396014E-2</v>
      </c>
      <c r="S233" s="817">
        <f t="shared" si="82"/>
        <v>0</v>
      </c>
      <c r="T233" s="176">
        <f t="shared" si="83"/>
        <v>6</v>
      </c>
      <c r="U233" s="251">
        <f t="shared" si="84"/>
        <v>7.4725295606396014E-2</v>
      </c>
      <c r="V233" s="383">
        <f t="shared" si="85"/>
        <v>36.665091090678523</v>
      </c>
      <c r="W233" s="402">
        <f t="shared" si="86"/>
        <v>35.268873025830608</v>
      </c>
      <c r="X233" s="157">
        <f t="shared" si="87"/>
        <v>45145</v>
      </c>
      <c r="Y233" s="385">
        <f t="shared" si="88"/>
        <v>32.429573200649649</v>
      </c>
      <c r="Z233" s="385">
        <f t="shared" si="89"/>
        <v>33.834283480606516</v>
      </c>
      <c r="AA233" s="386">
        <f t="shared" si="90"/>
        <v>38.135550702018342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0.11278891066818086</v>
      </c>
      <c r="AD233" s="231">
        <f>(INDEX(Models!$BJ233:$BT233,,AH233)*(1-AF233)+INDEX(Models!$BJ233:$BT233,,AH233+1)*AF233-ERP_i)*AE233*Ramure*Pc/MaxiM</f>
        <v>7.0222678285843861E-10</v>
      </c>
      <c r="AE233" s="305">
        <f t="shared" si="92"/>
        <v>0.7</v>
      </c>
      <c r="AF233" s="177">
        <f t="shared" si="93"/>
        <v>7.4725295606396014E-2</v>
      </c>
      <c r="AG233" s="817">
        <f t="shared" si="99"/>
        <v>0</v>
      </c>
      <c r="AH233" s="176">
        <f t="shared" si="94"/>
        <v>6</v>
      </c>
      <c r="AI233" s="225">
        <f t="shared" si="95"/>
        <v>7.4725295606396014E-2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45146</v>
      </c>
      <c r="B234" s="411">
        <f>'2022'!Wh/'2022'!Env_an*'2023'!Env_an</f>
        <v>35.926444015825119</v>
      </c>
      <c r="C234" s="846"/>
      <c r="D234" s="393">
        <f t="shared" si="77"/>
        <v>37.483444753020272</v>
      </c>
      <c r="E234" s="385">
        <f t="shared" si="100"/>
        <v>38.853931943970707</v>
      </c>
      <c r="F234" s="385">
        <f t="shared" si="78"/>
        <v>38.853932003110209</v>
      </c>
      <c r="G234" s="110">
        <f t="shared" si="101"/>
        <v>0.98260874564517486</v>
      </c>
      <c r="H234" s="414" t="b">
        <f>Wh_hp&gt;='2022'!Maxi_hp</f>
        <v>0</v>
      </c>
      <c r="I234" s="390">
        <f>IF(H234,Wh_hp,'2022'!Maxi_hp)</f>
        <v>38.853932004616944</v>
      </c>
      <c r="J234" s="85">
        <f>IF(H234,An,'2022'!An_max)</f>
        <v>2022</v>
      </c>
      <c r="K234" s="197">
        <f t="shared" si="79"/>
        <v>45146</v>
      </c>
      <c r="L234" s="147">
        <f>IF(t&lt;Tvie,1-EXP((T0-t)*PertePVj)+'2022'!Pspv,1-EXP((T0-t)*PertePVj)+Pspv)</f>
        <v>4.15383577324413E-2</v>
      </c>
      <c r="M234" s="850"/>
      <c r="N234" s="850"/>
      <c r="O234" s="48">
        <f>IF(t&lt;Tnet,'2022'!Resal+('2022'!Salim-'2022'!Resal)*(1-EXP(('2022'!Tnet-t)/('2022'!Tau_j))),Resal+(Salim-Resal)*(1-EXP((Tnet-t)/(Tau_j))))*Salcycl</f>
        <v>3.5272805669365498E-2</v>
      </c>
      <c r="P234" s="169">
        <f>(INDEX(Models!$BJ234:$BT234,,T234)*(1-R234)+INDEX(Models!$BJ234:$BT234,,T234+1)*R234-ERP_i)*Q234*Ramure*Pc/MaxiM</f>
        <v>1.5608777754881623E-9</v>
      </c>
      <c r="Q234" s="305">
        <f t="shared" si="80"/>
        <v>0.7</v>
      </c>
      <c r="R234" s="177">
        <f t="shared" si="81"/>
        <v>7.566386015966825E-2</v>
      </c>
      <c r="S234" s="817">
        <f t="shared" si="82"/>
        <v>0</v>
      </c>
      <c r="T234" s="176">
        <f t="shared" si="83"/>
        <v>6</v>
      </c>
      <c r="U234" s="251">
        <f t="shared" si="84"/>
        <v>7.566386015966825E-2</v>
      </c>
      <c r="V234" s="383">
        <f t="shared" si="85"/>
        <v>36.562308419963053</v>
      </c>
      <c r="W234" s="402">
        <f t="shared" si="86"/>
        <v>35.926444015825119</v>
      </c>
      <c r="X234" s="157">
        <f t="shared" si="87"/>
        <v>45146</v>
      </c>
      <c r="Y234" s="385">
        <f t="shared" si="88"/>
        <v>33.037764522086796</v>
      </c>
      <c r="Z234" s="385">
        <f t="shared" si="89"/>
        <v>34.469574018554376</v>
      </c>
      <c r="AA234" s="386">
        <f t="shared" si="90"/>
        <v>38.853931943970707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0.11284206529570266</v>
      </c>
      <c r="AD234" s="231">
        <f>(INDEX(Models!$BJ234:$BT234,,AH234)*(1-AF234)+INDEX(Models!$BJ234:$BT234,,AH234+1)*AF234-ERP_i)*AE234*Ramure*Pc/MaxiM</f>
        <v>1.5608777754881623E-9</v>
      </c>
      <c r="AE234" s="305">
        <f t="shared" si="92"/>
        <v>0.7</v>
      </c>
      <c r="AF234" s="177">
        <f t="shared" si="93"/>
        <v>7.566386015966825E-2</v>
      </c>
      <c r="AG234" s="817">
        <f t="shared" si="99"/>
        <v>0</v>
      </c>
      <c r="AH234" s="176">
        <f t="shared" si="94"/>
        <v>6</v>
      </c>
      <c r="AI234" s="225">
        <f t="shared" si="95"/>
        <v>7.566386015966825E-2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45147</v>
      </c>
      <c r="B235" s="411">
        <f>'2022'!Wh/'2022'!Env_an*'2023'!Env_an</f>
        <v>33.805088170791663</v>
      </c>
      <c r="C235" s="846"/>
      <c r="D235" s="393">
        <f t="shared" si="77"/>
        <v>35.270924901302884</v>
      </c>
      <c r="E235" s="385">
        <f t="shared" si="100"/>
        <v>36.566634358910925</v>
      </c>
      <c r="F235" s="385">
        <f t="shared" si="78"/>
        <v>36.566634461911619</v>
      </c>
      <c r="G235" s="110">
        <f t="shared" si="101"/>
        <v>0.92722895040001452</v>
      </c>
      <c r="H235" s="414" t="b">
        <f>Wh_hp&gt;='2022'!Maxi_hp</f>
        <v>0</v>
      </c>
      <c r="I235" s="390">
        <f>IF(H235,Wh_hp,'2022'!Maxi_hp)</f>
        <v>38.382501503737309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4.1559350502234027E-2</v>
      </c>
      <c r="M235" s="850"/>
      <c r="N235" s="850"/>
      <c r="O235" s="48">
        <f>IF(t&lt;Tnet,'2022'!Resal+('2022'!Salim-'2022'!Resal)*(1-EXP(('2022'!Tnet-t)/('2022'!Tau_j))),Resal+(Salim-Resal)*(1-EXP((Tnet-t)/(Tau_j))))*Salcycl</f>
        <v>3.543420061278596E-2</v>
      </c>
      <c r="P235" s="169">
        <f>(INDEX(Models!$BJ235:$BT235,,T235)*(1-R235)+INDEX(Models!$BJ235:$BT235,,T235+1)*R235-ERP_i)*Q235*Ramure*Pc/MaxiM</f>
        <v>3.1435988000320568E-9</v>
      </c>
      <c r="Q235" s="305">
        <f t="shared" si="80"/>
        <v>0.7</v>
      </c>
      <c r="R235" s="177">
        <f t="shared" si="81"/>
        <v>7.6570676867818599E-2</v>
      </c>
      <c r="S235" s="817">
        <f t="shared" si="82"/>
        <v>0</v>
      </c>
      <c r="T235" s="176">
        <f t="shared" si="83"/>
        <v>6</v>
      </c>
      <c r="U235" s="251">
        <f t="shared" si="84"/>
        <v>7.6570676867818599E-2</v>
      </c>
      <c r="V235" s="383">
        <f t="shared" si="85"/>
        <v>36.458188827214911</v>
      </c>
      <c r="W235" s="402">
        <f t="shared" si="86"/>
        <v>33.805088170791663</v>
      </c>
      <c r="X235" s="157">
        <f t="shared" si="87"/>
        <v>45147</v>
      </c>
      <c r="Y235" s="385">
        <f t="shared" si="88"/>
        <v>31.090327549220163</v>
      </c>
      <c r="Z235" s="385">
        <f t="shared" si="89"/>
        <v>32.438448395852006</v>
      </c>
      <c r="AA235" s="386">
        <f t="shared" si="90"/>
        <v>36.566634358910925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0.11289488451520337</v>
      </c>
      <c r="AD235" s="231">
        <f>(INDEX(Models!$BJ235:$BT235,,AH235)*(1-AF235)+INDEX(Models!$BJ235:$BT235,,AH235+1)*AF235-ERP_i)*AE235*Ramure*Pc/MaxiM</f>
        <v>3.1435988000320568E-9</v>
      </c>
      <c r="AE235" s="305">
        <f t="shared" si="92"/>
        <v>0.7</v>
      </c>
      <c r="AF235" s="177">
        <f t="shared" si="93"/>
        <v>7.6570676867818599E-2</v>
      </c>
      <c r="AG235" s="817">
        <f t="shared" si="99"/>
        <v>0</v>
      </c>
      <c r="AH235" s="176">
        <f t="shared" si="94"/>
        <v>6</v>
      </c>
      <c r="AI235" s="225">
        <f t="shared" si="95"/>
        <v>7.6570676867818599E-2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45148</v>
      </c>
      <c r="B236" s="411">
        <f>'2022'!Wh/'2022'!Env_an*'2023'!Env_an</f>
        <v>32.525537302703562</v>
      </c>
      <c r="C236" s="846"/>
      <c r="D236" s="393">
        <f t="shared" si="77"/>
        <v>33.93663418605292</v>
      </c>
      <c r="E236" s="385">
        <f t="shared" si="100"/>
        <v>35.189203847244222</v>
      </c>
      <c r="F236" s="385">
        <f t="shared" si="78"/>
        <v>35.189204011049156</v>
      </c>
      <c r="G236" s="110">
        <f t="shared" si="101"/>
        <v>0.89472054965418724</v>
      </c>
      <c r="H236" s="414" t="b">
        <f>Wh_hp&gt;='2022'!Maxi_hp</f>
        <v>0</v>
      </c>
      <c r="I236" s="390">
        <f>IF(H236,Wh_hp,'2022'!Maxi_hp)</f>
        <v>35.976281897663725</v>
      </c>
      <c r="J236" s="85">
        <f>IF(H236,An,'2022'!An_max)</f>
        <v>2018</v>
      </c>
      <c r="K236" s="197">
        <f t="shared" si="79"/>
        <v>45148</v>
      </c>
      <c r="L236" s="147">
        <f>IF(t&lt;Tvie,1-EXP((T0-t)*PertePVj)+'2022'!Pspv,1-EXP((T0-t)*PertePVj)+Pspv)</f>
        <v>4.1580342812231108E-2</v>
      </c>
      <c r="M236" s="850"/>
      <c r="N236" s="850"/>
      <c r="O236" s="48">
        <f>IF(t&lt;Tnet,'2022'!Resal+('2022'!Salim-'2022'!Resal)*(1-EXP(('2022'!Tnet-t)/('2022'!Tau_j))),Resal+(Salim-Resal)*(1-EXP((Tnet-t)/(Tau_j))))*Salcycl</f>
        <v>3.5595282764244521E-2</v>
      </c>
      <c r="P236" s="169">
        <f>(INDEX(Models!$BJ236:$BT236,,T236)*(1-R236)+INDEX(Models!$BJ236:$BT236,,T236+1)*R236-ERP_i)*Q236*Ramure*Pc/MaxiM</f>
        <v>5.4790168002675741E-9</v>
      </c>
      <c r="Q236" s="305">
        <f t="shared" si="80"/>
        <v>0.7</v>
      </c>
      <c r="R236" s="177">
        <f t="shared" si="81"/>
        <v>7.7446602327960856E-2</v>
      </c>
      <c r="S236" s="817">
        <f t="shared" si="82"/>
        <v>0</v>
      </c>
      <c r="T236" s="176">
        <f t="shared" si="83"/>
        <v>6</v>
      </c>
      <c r="U236" s="251">
        <f t="shared" si="84"/>
        <v>7.7446602327960856E-2</v>
      </c>
      <c r="V236" s="383">
        <f t="shared" si="85"/>
        <v>36.3527330276168</v>
      </c>
      <c r="W236" s="402">
        <f t="shared" si="86"/>
        <v>32.525537302703562</v>
      </c>
      <c r="X236" s="157">
        <f t="shared" si="87"/>
        <v>45148</v>
      </c>
      <c r="Y236" s="385">
        <f t="shared" si="88"/>
        <v>29.916758958284856</v>
      </c>
      <c r="Z236" s="385">
        <f t="shared" si="89"/>
        <v>31.214675882241124</v>
      </c>
      <c r="AA236" s="386">
        <f t="shared" si="90"/>
        <v>35.189203847244222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0.1129473682398857</v>
      </c>
      <c r="AD236" s="231">
        <f>(INDEX(Models!$BJ236:$BT236,,AH236)*(1-AF236)+INDEX(Models!$BJ236:$BT236,,AH236+1)*AF236-ERP_i)*AE236*Ramure*Pc/MaxiM</f>
        <v>5.4790168002675741E-9</v>
      </c>
      <c r="AE236" s="305">
        <f t="shared" si="92"/>
        <v>0.7</v>
      </c>
      <c r="AF236" s="177">
        <f t="shared" si="93"/>
        <v>7.7446602327960856E-2</v>
      </c>
      <c r="AG236" s="817">
        <f t="shared" si="99"/>
        <v>0</v>
      </c>
      <c r="AH236" s="176">
        <f t="shared" si="94"/>
        <v>6</v>
      </c>
      <c r="AI236" s="225">
        <f t="shared" si="95"/>
        <v>7.7446602327960856E-2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45149</v>
      </c>
      <c r="B237" s="411">
        <f>'2022'!Wh/'2022'!Env_an*'2023'!Env_an</f>
        <v>30.368058987676495</v>
      </c>
      <c r="C237" s="846"/>
      <c r="D237" s="393">
        <f t="shared" si="77"/>
        <v>31.686249246789767</v>
      </c>
      <c r="E237" s="385">
        <f t="shared" si="100"/>
        <v>32.861237319021562</v>
      </c>
      <c r="F237" s="385">
        <f t="shared" si="78"/>
        <v>32.861237536021399</v>
      </c>
      <c r="G237" s="110">
        <f t="shared" si="101"/>
        <v>0.83783335338829701</v>
      </c>
      <c r="H237" s="414" t="b">
        <f>Wh_hp&gt;='2022'!Maxi_hp</f>
        <v>0</v>
      </c>
      <c r="I237" s="390">
        <f>IF(H237,Wh_hp,'2022'!Maxi_hp)</f>
        <v>36.771034850041509</v>
      </c>
      <c r="J237" s="85">
        <f>IF(H237,An,'2022'!An_max)</f>
        <v>2018</v>
      </c>
      <c r="K237" s="197">
        <f t="shared" si="79"/>
        <v>45149</v>
      </c>
      <c r="L237" s="147">
        <f>IF(t&lt;Tvie,1-EXP((T0-t)*PertePVj)+'2022'!Pspv,1-EXP((T0-t)*PertePVj)+Pspv)</f>
        <v>4.1601334662442646E-2</v>
      </c>
      <c r="M237" s="850"/>
      <c r="N237" s="850"/>
      <c r="O237" s="48">
        <f>IF(t&lt;Tnet,'2022'!Resal+('2022'!Salim-'2022'!Resal)*(1-EXP(('2022'!Tnet-t)/('2022'!Tau_j))),Resal+(Salim-Resal)*(1-EXP((Tnet-t)/(Tau_j))))*Salcycl</f>
        <v>3.5756050839621224E-2</v>
      </c>
      <c r="P237" s="169">
        <f>(INDEX(Models!$BJ237:$BT237,,T237)*(1-R237)+INDEX(Models!$BJ237:$BT237,,T237+1)*R237-ERP_i)*Q237*Ramure*Pc/MaxiM</f>
        <v>8.5946026852281665E-9</v>
      </c>
      <c r="Q237" s="305">
        <f t="shared" si="80"/>
        <v>0.7</v>
      </c>
      <c r="R237" s="177">
        <f t="shared" si="81"/>
        <v>7.8292486166176178E-2</v>
      </c>
      <c r="S237" s="817">
        <f t="shared" si="82"/>
        <v>0</v>
      </c>
      <c r="T237" s="176">
        <f t="shared" si="83"/>
        <v>6</v>
      </c>
      <c r="U237" s="251">
        <f t="shared" si="84"/>
        <v>7.8292486166176178E-2</v>
      </c>
      <c r="V237" s="383">
        <f t="shared" si="85"/>
        <v>36.245941754883788</v>
      </c>
      <c r="W237" s="402">
        <f t="shared" si="86"/>
        <v>30.368058987676495</v>
      </c>
      <c r="X237" s="157">
        <f t="shared" si="87"/>
        <v>45149</v>
      </c>
      <c r="Y237" s="385">
        <f t="shared" si="88"/>
        <v>27.935340519018506</v>
      </c>
      <c r="Z237" s="385">
        <f t="shared" si="89"/>
        <v>29.147933453329056</v>
      </c>
      <c r="AA237" s="386">
        <f t="shared" si="90"/>
        <v>32.861237319021562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0.11299951458440918</v>
      </c>
      <c r="AD237" s="231">
        <f>(INDEX(Models!$BJ237:$BT237,,AH237)*(1-AF237)+INDEX(Models!$BJ237:$BT237,,AH237+1)*AF237-ERP_i)*AE237*Ramure*Pc/MaxiM</f>
        <v>8.5946026852281665E-9</v>
      </c>
      <c r="AE237" s="305">
        <f t="shared" si="92"/>
        <v>0.7</v>
      </c>
      <c r="AF237" s="177">
        <f t="shared" si="93"/>
        <v>7.8292486166176178E-2</v>
      </c>
      <c r="AG237" s="817">
        <f t="shared" si="99"/>
        <v>0</v>
      </c>
      <c r="AH237" s="176">
        <f t="shared" si="94"/>
        <v>6</v>
      </c>
      <c r="AI237" s="225">
        <f t="shared" si="95"/>
        <v>7.8292486166176178E-2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45150</v>
      </c>
      <c r="B238" s="411">
        <f>'2022'!Wh/'2022'!Env_an*'2023'!Env_an</f>
        <v>31.666512488891922</v>
      </c>
      <c r="C238" s="846"/>
      <c r="D238" s="393">
        <f t="shared" si="77"/>
        <v>33.04178858682296</v>
      </c>
      <c r="E238" s="385">
        <f t="shared" si="100"/>
        <v>34.272745763476784</v>
      </c>
      <c r="F238" s="385">
        <f t="shared" si="78"/>
        <v>34.272746116634529</v>
      </c>
      <c r="G238" s="110">
        <f t="shared" si="101"/>
        <v>0.87627079150576714</v>
      </c>
      <c r="H238" s="414" t="b">
        <f>Wh_hp&gt;='2022'!Maxi_hp</f>
        <v>0</v>
      </c>
      <c r="I238" s="390">
        <f>IF(H238,Wh_hp,'2022'!Maxi_hp)</f>
        <v>34.27274619245987</v>
      </c>
      <c r="J238" s="85">
        <f>IF(H238,An,'2022'!An_max)</f>
        <v>2022</v>
      </c>
      <c r="K238" s="197">
        <f t="shared" si="79"/>
        <v>45150</v>
      </c>
      <c r="L238" s="147">
        <f>IF(t&lt;Tvie,1-EXP((T0-t)*PertePVj)+'2022'!Pspv,1-EXP((T0-t)*PertePVj)+Pspv)</f>
        <v>4.1622326052878855E-2</v>
      </c>
      <c r="M238" s="850"/>
      <c r="N238" s="850"/>
      <c r="O238" s="48">
        <f>IF(t&lt;Tnet,'2022'!Resal+('2022'!Salim-'2022'!Resal)*(1-EXP(('2022'!Tnet-t)/('2022'!Tau_j))),Resal+(Salim-Resal)*(1-EXP((Tnet-t)/(Tau_j))))*Salcycl</f>
        <v>3.591650301813893E-2</v>
      </c>
      <c r="P238" s="169">
        <f>(INDEX(Models!$BJ238:$BT238,,T238)*(1-R238)+INDEX(Models!$BJ238:$BT238,,T238+1)*R238-ERP_i)*Q238*Ramure*Pc/MaxiM</f>
        <v>1.2516740946719825E-8</v>
      </c>
      <c r="Q238" s="305">
        <f t="shared" si="80"/>
        <v>0.7</v>
      </c>
      <c r="R238" s="177">
        <f t="shared" si="81"/>
        <v>7.9109169727104911E-2</v>
      </c>
      <c r="S238" s="817">
        <f t="shared" si="82"/>
        <v>0</v>
      </c>
      <c r="T238" s="176">
        <f t="shared" si="83"/>
        <v>6</v>
      </c>
      <c r="U238" s="251">
        <f t="shared" si="84"/>
        <v>7.9109169727104911E-2</v>
      </c>
      <c r="V238" s="383">
        <f t="shared" si="85"/>
        <v>36.137815759461191</v>
      </c>
      <c r="W238" s="402">
        <f t="shared" si="86"/>
        <v>31.666512488891922</v>
      </c>
      <c r="X238" s="157">
        <f t="shared" si="87"/>
        <v>45150</v>
      </c>
      <c r="Y238" s="385">
        <f t="shared" si="88"/>
        <v>29.132924212864662</v>
      </c>
      <c r="Z238" s="385">
        <f t="shared" si="89"/>
        <v>30.398166615129309</v>
      </c>
      <c r="AA238" s="386">
        <f t="shared" si="90"/>
        <v>34.272745763476784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0.11305131999305616</v>
      </c>
      <c r="AD238" s="231">
        <f>(INDEX(Models!$BJ238:$BT238,,AH238)*(1-AF238)+INDEX(Models!$BJ238:$BT238,,AH238+1)*AF238-ERP_i)*AE238*Ramure*Pc/MaxiM</f>
        <v>1.2516740946719825E-8</v>
      </c>
      <c r="AE238" s="305">
        <f t="shared" si="92"/>
        <v>0.7</v>
      </c>
      <c r="AF238" s="177">
        <f t="shared" si="93"/>
        <v>7.9109169727104911E-2</v>
      </c>
      <c r="AG238" s="817">
        <f t="shared" si="99"/>
        <v>0</v>
      </c>
      <c r="AH238" s="176">
        <f t="shared" si="94"/>
        <v>6</v>
      </c>
      <c r="AI238" s="225">
        <f t="shared" si="95"/>
        <v>7.9109169727104911E-2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45151</v>
      </c>
      <c r="B239" s="411">
        <f>'2022'!Wh/'2022'!Env_an*'2023'!Env_an</f>
        <v>22.78866259400397</v>
      </c>
      <c r="C239" s="846"/>
      <c r="D239" s="393">
        <f t="shared" si="77"/>
        <v>23.77889464106007</v>
      </c>
      <c r="E239" s="385">
        <f t="shared" si="100"/>
        <v>24.668864303042174</v>
      </c>
      <c r="F239" s="385">
        <f t="shared" si="78"/>
        <v>24.668864505428672</v>
      </c>
      <c r="G239" s="110">
        <f t="shared" si="101"/>
        <v>0.63252018796834952</v>
      </c>
      <c r="H239" s="414" t="b">
        <f>Wh_hp&gt;='2022'!Maxi_hp</f>
        <v>0</v>
      </c>
      <c r="I239" s="390">
        <f>IF(H239,Wh_hp,'2022'!Maxi_hp)</f>
        <v>34.50916616392346</v>
      </c>
      <c r="J239" s="85">
        <f>IF(H239,An,'2022'!An_max)</f>
        <v>2019</v>
      </c>
      <c r="K239" s="197">
        <f t="shared" si="79"/>
        <v>45151</v>
      </c>
      <c r="L239" s="147">
        <f>IF(t&lt;Tvie,1-EXP((T0-t)*PertePVj)+'2022'!Pspv,1-EXP((T0-t)*PertePVj)+Pspv)</f>
        <v>4.1643316983549838E-2</v>
      </c>
      <c r="M239" s="850"/>
      <c r="N239" s="850"/>
      <c r="O239" s="48">
        <f>IF(t&lt;Tnet,'2022'!Resal+('2022'!Salim-'2022'!Resal)*(1-EXP(('2022'!Tnet-t)/('2022'!Tau_j))),Resal+(Salim-Resal)*(1-EXP((Tnet-t)/(Tau_j))))*Salcycl</f>
        <v>3.6076636972394001E-2</v>
      </c>
      <c r="P239" s="169">
        <f>(INDEX(Models!$BJ239:$BT239,,T239)*(1-R239)+INDEX(Models!$BJ239:$BT239,,T239+1)*R239-ERP_i)*Q239*Ramure*Pc/MaxiM</f>
        <v>1.7270797527348503E-8</v>
      </c>
      <c r="Q239" s="305">
        <f t="shared" si="80"/>
        <v>0.7</v>
      </c>
      <c r="R239" s="177">
        <f t="shared" si="81"/>
        <v>7.9897484886291004E-2</v>
      </c>
      <c r="S239" s="817">
        <f t="shared" si="82"/>
        <v>0</v>
      </c>
      <c r="T239" s="176">
        <f t="shared" si="83"/>
        <v>6</v>
      </c>
      <c r="U239" s="251">
        <f t="shared" si="84"/>
        <v>7.9897484886291004E-2</v>
      </c>
      <c r="V239" s="383">
        <f t="shared" si="85"/>
        <v>36.028355807241034</v>
      </c>
      <c r="W239" s="402">
        <f t="shared" si="86"/>
        <v>22.78866259400397</v>
      </c>
      <c r="X239" s="157">
        <f t="shared" si="87"/>
        <v>45151</v>
      </c>
      <c r="Y239" s="385">
        <f t="shared" si="88"/>
        <v>20.967643582247501</v>
      </c>
      <c r="Z239" s="385">
        <f t="shared" si="89"/>
        <v>21.878747186539513</v>
      </c>
      <c r="AA239" s="386">
        <f t="shared" si="90"/>
        <v>24.668864303042174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0.11310277936704953</v>
      </c>
      <c r="AD239" s="231">
        <f>(INDEX(Models!$BJ239:$BT239,,AH239)*(1-AF239)+INDEX(Models!$BJ239:$BT239,,AH239+1)*AF239-ERP_i)*AE239*Ramure*Pc/MaxiM</f>
        <v>1.7270797527348503E-8</v>
      </c>
      <c r="AE239" s="305">
        <f t="shared" si="92"/>
        <v>0.7</v>
      </c>
      <c r="AF239" s="177">
        <f t="shared" si="93"/>
        <v>7.9897484886291004E-2</v>
      </c>
      <c r="AG239" s="817">
        <f t="shared" si="99"/>
        <v>0</v>
      </c>
      <c r="AH239" s="176">
        <f t="shared" si="94"/>
        <v>6</v>
      </c>
      <c r="AI239" s="225">
        <f t="shared" si="95"/>
        <v>7.9897484886291004E-2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45152</v>
      </c>
      <c r="B240" s="411">
        <f>'2022'!Wh/'2022'!Env_an*'2023'!Env_an</f>
        <v>24.118772976826747</v>
      </c>
      <c r="C240" s="846"/>
      <c r="D240" s="393">
        <f t="shared" si="77"/>
        <v>25.167353323512746</v>
      </c>
      <c r="E240" s="385">
        <f t="shared" si="100"/>
        <v>26.113618138873299</v>
      </c>
      <c r="F240" s="385">
        <f t="shared" si="78"/>
        <v>26.113618458758694</v>
      </c>
      <c r="G240" s="110">
        <f t="shared" si="101"/>
        <v>0.67150360219949945</v>
      </c>
      <c r="H240" s="414" t="b">
        <f>Wh_hp&gt;='2022'!Maxi_hp</f>
        <v>0</v>
      </c>
      <c r="I240" s="390">
        <f>IF(H240,Wh_hp,'2022'!Maxi_hp)</f>
        <v>38.844476104478311</v>
      </c>
      <c r="J240" s="85">
        <f>IF(H240,An,'2022'!An_max)</f>
        <v>2019</v>
      </c>
      <c r="K240" s="197">
        <f t="shared" si="79"/>
        <v>45152</v>
      </c>
      <c r="L240" s="147">
        <f>IF(t&lt;Tvie,1-EXP((T0-t)*PertePVj)+'2022'!Pspv,1-EXP((T0-t)*PertePVj)+Pspv)</f>
        <v>4.1664307454465477E-2</v>
      </c>
      <c r="M240" s="850"/>
      <c r="N240" s="850"/>
      <c r="O240" s="48">
        <f>IF(t&lt;Tnet,'2022'!Resal+('2022'!Salim-'2022'!Resal)*(1-EXP(('2022'!Tnet-t)/('2022'!Tau_j))),Resal+(Salim-Resal)*(1-EXP((Tnet-t)/(Tau_j))))*Salcycl</f>
        <v>3.6236449898603786E-2</v>
      </c>
      <c r="P240" s="169">
        <f>(INDEX(Models!$BJ240:$BT240,,T240)*(1-R240)+INDEX(Models!$BJ240:$BT240,,T240+1)*R240-ERP_i)*Q240*Ramure*Pc/MaxiM</f>
        <v>2.3081411258831364E-8</v>
      </c>
      <c r="Q240" s="305">
        <f t="shared" si="80"/>
        <v>0.7</v>
      </c>
      <c r="R240" s="177">
        <f t="shared" si="81"/>
        <v>8.0658252979720457E-2</v>
      </c>
      <c r="S240" s="817">
        <f t="shared" si="82"/>
        <v>0</v>
      </c>
      <c r="T240" s="176">
        <f t="shared" si="83"/>
        <v>6</v>
      </c>
      <c r="U240" s="251">
        <f t="shared" si="84"/>
        <v>8.0658252979720457E-2</v>
      </c>
      <c r="V240" s="383">
        <f t="shared" si="85"/>
        <v>35.917562670668921</v>
      </c>
      <c r="W240" s="402">
        <f t="shared" si="86"/>
        <v>24.118772976826747</v>
      </c>
      <c r="X240" s="157">
        <f t="shared" si="87"/>
        <v>45152</v>
      </c>
      <c r="Y240" s="385">
        <f t="shared" si="88"/>
        <v>22.193867035261121</v>
      </c>
      <c r="Z240" s="385">
        <f t="shared" si="89"/>
        <v>23.158760763996693</v>
      </c>
      <c r="AA240" s="386">
        <f t="shared" si="90"/>
        <v>26.113618138873299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0.11315388618928841</v>
      </c>
      <c r="AD240" s="231">
        <f>(INDEX(Models!$BJ240:$BT240,,AH240)*(1-AF240)+INDEX(Models!$BJ240:$BT240,,AH240+1)*AF240-ERP_i)*AE240*Ramure*Pc/MaxiM</f>
        <v>2.3081411258831364E-8</v>
      </c>
      <c r="AE240" s="305">
        <f t="shared" si="92"/>
        <v>0.7</v>
      </c>
      <c r="AF240" s="177">
        <f t="shared" si="93"/>
        <v>8.0658252979720457E-2</v>
      </c>
      <c r="AG240" s="817">
        <f t="shared" si="99"/>
        <v>0</v>
      </c>
      <c r="AH240" s="176">
        <f t="shared" si="94"/>
        <v>6</v>
      </c>
      <c r="AI240" s="225">
        <f t="shared" si="95"/>
        <v>8.0658252979720457E-2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45153</v>
      </c>
      <c r="B241" s="411">
        <f>'2022'!Wh/'2022'!Env_an*'2023'!Env_an</f>
        <v>23.046081305005323</v>
      </c>
      <c r="C241" s="846"/>
      <c r="D241" s="393">
        <f t="shared" si="77"/>
        <v>24.048552363912954</v>
      </c>
      <c r="E241" s="385">
        <f t="shared" si="100"/>
        <v>24.956881488895384</v>
      </c>
      <c r="F241" s="385">
        <f t="shared" si="78"/>
        <v>24.956881855934036</v>
      </c>
      <c r="G241" s="110">
        <f t="shared" si="101"/>
        <v>0.64364752373683076</v>
      </c>
      <c r="H241" s="414" t="b">
        <f>Wh_hp&gt;='2022'!Maxi_hp</f>
        <v>0</v>
      </c>
      <c r="I241" s="390">
        <f>IF(H241,Wh_hp,'2022'!Maxi_hp)</f>
        <v>38.017729507891737</v>
      </c>
      <c r="J241" s="85">
        <f>IF(H241,An,'2022'!An_max)</f>
        <v>2018</v>
      </c>
      <c r="K241" s="197">
        <f t="shared" si="79"/>
        <v>45153</v>
      </c>
      <c r="L241" s="147">
        <f>IF(t&lt;Tvie,1-EXP((T0-t)*PertePVj)+'2022'!Pspv,1-EXP((T0-t)*PertePVj)+Pspv)</f>
        <v>4.1685297465635873E-2</v>
      </c>
      <c r="M241" s="850"/>
      <c r="N241" s="850"/>
      <c r="O241" s="48">
        <f>IF(t&lt;Tnet,'2022'!Resal+('2022'!Salim-'2022'!Resal)*(1-EXP(('2022'!Tnet-t)/('2022'!Tau_j))),Resal+(Salim-Resal)*(1-EXP((Tnet-t)/(Tau_j))))*Salcycl</f>
        <v>3.6395938546512498E-2</v>
      </c>
      <c r="P241" s="169">
        <f>(INDEX(Models!$BJ241:$BT241,,T241)*(1-R241)+INDEX(Models!$BJ241:$BT241,,T241+1)*R241-ERP_i)*Q241*Ramure*Pc/MaxiM</f>
        <v>2.9957549689320397E-8</v>
      </c>
      <c r="Q241" s="305">
        <f t="shared" si="80"/>
        <v>0.7</v>
      </c>
      <c r="R241" s="177">
        <f t="shared" si="81"/>
        <v>8.1392283844891833E-2</v>
      </c>
      <c r="S241" s="817">
        <f t="shared" si="82"/>
        <v>0</v>
      </c>
      <c r="T241" s="176">
        <f t="shared" si="83"/>
        <v>6</v>
      </c>
      <c r="U241" s="251">
        <f t="shared" si="84"/>
        <v>8.1392283844891833E-2</v>
      </c>
      <c r="V241" s="383">
        <f t="shared" si="85"/>
        <v>35.80543714320379</v>
      </c>
      <c r="W241" s="402">
        <f t="shared" si="86"/>
        <v>23.046081305005323</v>
      </c>
      <c r="X241" s="157">
        <f t="shared" si="87"/>
        <v>45153</v>
      </c>
      <c r="Y241" s="385">
        <f t="shared" si="88"/>
        <v>21.209082604053602</v>
      </c>
      <c r="Z241" s="385">
        <f t="shared" si="89"/>
        <v>22.131646887983614</v>
      </c>
      <c r="AA241" s="386">
        <f t="shared" si="90"/>
        <v>24.956881488895384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0.11320463264486243</v>
      </c>
      <c r="AD241" s="231">
        <f>(INDEX(Models!$BJ241:$BT241,,AH241)*(1-AF241)+INDEX(Models!$BJ241:$BT241,,AH241+1)*AF241-ERP_i)*AE241*Ramure*Pc/MaxiM</f>
        <v>2.9957549689320397E-8</v>
      </c>
      <c r="AE241" s="305">
        <f t="shared" si="92"/>
        <v>0.7</v>
      </c>
      <c r="AF241" s="177">
        <f t="shared" si="93"/>
        <v>8.1392283844891833E-2</v>
      </c>
      <c r="AG241" s="817">
        <f t="shared" si="99"/>
        <v>0</v>
      </c>
      <c r="AH241" s="176">
        <f t="shared" si="94"/>
        <v>6</v>
      </c>
      <c r="AI241" s="225">
        <f t="shared" si="95"/>
        <v>8.1392283844891833E-2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45154</v>
      </c>
      <c r="B242" s="411">
        <f>'2022'!Wh/'2022'!Env_an*'2023'!Env_an</f>
        <v>22.79490151383915</v>
      </c>
      <c r="C242" s="846"/>
      <c r="D242" s="393">
        <f t="shared" si="77"/>
        <v>23.786967612345407</v>
      </c>
      <c r="E242" s="385">
        <f t="shared" si="100"/>
        <v>24.689494535483238</v>
      </c>
      <c r="F242" s="385">
        <f t="shared" si="78"/>
        <v>24.68949498851995</v>
      </c>
      <c r="G242" s="110">
        <f t="shared" si="101"/>
        <v>0.6386561084441218</v>
      </c>
      <c r="H242" s="414" t="b">
        <f>Wh_hp&gt;='2022'!Maxi_hp</f>
        <v>0</v>
      </c>
      <c r="I242" s="390">
        <f>IF(H242,Wh_hp,'2022'!Maxi_hp)</f>
        <v>38.177761326018796</v>
      </c>
      <c r="J242" s="85">
        <f>IF(H242,An,'2022'!An_max)</f>
        <v>2019</v>
      </c>
      <c r="K242" s="197">
        <f t="shared" si="79"/>
        <v>45154</v>
      </c>
      <c r="L242" s="147">
        <f>IF(t&lt;Tvie,1-EXP((T0-t)*PertePVj)+'2022'!Pspv,1-EXP((T0-t)*PertePVj)+Pspv)</f>
        <v>4.1706287017071242E-2</v>
      </c>
      <c r="M242" s="850"/>
      <c r="N242" s="850"/>
      <c r="O242" s="48">
        <f>IF(t&lt;Tnet,'2022'!Resal+('2022'!Salim-'2022'!Resal)*(1-EXP(('2022'!Tnet-t)/('2022'!Tau_j))),Resal+(Salim-Resal)*(1-EXP((Tnet-t)/(Tau_j))))*Salcycl</f>
        <v>3.6555099248416718E-2</v>
      </c>
      <c r="P242" s="169">
        <f>(INDEX(Models!$BJ242:$BT242,,T242)*(1-R242)+INDEX(Models!$BJ242:$BT242,,T242+1)*R242-ERP_i)*Q242*Ramure*Pc/MaxiM</f>
        <v>3.7928031179859565E-8</v>
      </c>
      <c r="Q242" s="305">
        <f t="shared" si="80"/>
        <v>0.7</v>
      </c>
      <c r="R242" s="177">
        <f t="shared" si="81"/>
        <v>8.2100374967701895E-2</v>
      </c>
      <c r="S242" s="817">
        <f t="shared" si="82"/>
        <v>0</v>
      </c>
      <c r="T242" s="176">
        <f t="shared" si="83"/>
        <v>6</v>
      </c>
      <c r="U242" s="251">
        <f t="shared" si="84"/>
        <v>8.2100374967701895E-2</v>
      </c>
      <c r="V242" s="383">
        <f t="shared" si="85"/>
        <v>35.691980028309594</v>
      </c>
      <c r="W242" s="402">
        <f t="shared" si="86"/>
        <v>22.79490151383915</v>
      </c>
      <c r="X242" s="157">
        <f t="shared" si="87"/>
        <v>45154</v>
      </c>
      <c r="Y242" s="385">
        <f t="shared" si="88"/>
        <v>20.980197938869082</v>
      </c>
      <c r="Z242" s="385">
        <f t="shared" si="89"/>
        <v>21.893285591494671</v>
      </c>
      <c r="AA242" s="386">
        <f t="shared" si="90"/>
        <v>24.689494535483238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0.11325500973581744</v>
      </c>
      <c r="AD242" s="231">
        <f>(INDEX(Models!$BJ242:$BT242,,AH242)*(1-AF242)+INDEX(Models!$BJ242:$BT242,,AH242+1)*AF242-ERP_i)*AE242*Ramure*Pc/MaxiM</f>
        <v>3.7928031179859565E-8</v>
      </c>
      <c r="AE242" s="305">
        <f t="shared" si="92"/>
        <v>0.7</v>
      </c>
      <c r="AF242" s="177">
        <f t="shared" si="93"/>
        <v>8.2100374967701895E-2</v>
      </c>
      <c r="AG242" s="817">
        <f t="shared" si="99"/>
        <v>0</v>
      </c>
      <c r="AH242" s="176">
        <f t="shared" si="94"/>
        <v>6</v>
      </c>
      <c r="AI242" s="225">
        <f t="shared" si="95"/>
        <v>8.2100374967701895E-2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45155</v>
      </c>
      <c r="B243" s="411">
        <f>'2022'!Wh/'2022'!Env_an*'2023'!Env_an</f>
        <v>18.105848317319815</v>
      </c>
      <c r="C243" s="846"/>
      <c r="D243" s="393">
        <f t="shared" si="77"/>
        <v>18.894254073932256</v>
      </c>
      <c r="E243" s="385">
        <f t="shared" si="100"/>
        <v>19.614374817711226</v>
      </c>
      <c r="F243" s="385">
        <f t="shared" si="78"/>
        <v>19.61437509296913</v>
      </c>
      <c r="G243" s="110">
        <f t="shared" si="101"/>
        <v>0.50891727624430194</v>
      </c>
      <c r="H243" s="414" t="b">
        <f>Wh_hp&gt;='2022'!Maxi_hp</f>
        <v>0</v>
      </c>
      <c r="I243" s="390">
        <f>IF(H243,Wh_hp,'2022'!Maxi_hp)</f>
        <v>37.316431373615615</v>
      </c>
      <c r="J243" s="85">
        <f>IF(H243,An,'2022'!An_max)</f>
        <v>2019</v>
      </c>
      <c r="K243" s="197">
        <f t="shared" si="79"/>
        <v>45155</v>
      </c>
      <c r="L243" s="147">
        <f>IF(t&lt;Tvie,1-EXP((T0-t)*PertePVj)+'2022'!Pspv,1-EXP((T0-t)*PertePVj)+Pspv)</f>
        <v>4.1727276108781575E-2</v>
      </c>
      <c r="M243" s="850"/>
      <c r="N243" s="850"/>
      <c r="O243" s="48">
        <f>IF(t&lt;Tnet,'2022'!Resal+('2022'!Salim-'2022'!Resal)*(1-EXP(('2022'!Tnet-t)/('2022'!Tau_j))),Resal+(Salim-Resal)*(1-EXP((Tnet-t)/(Tau_j))))*Salcycl</f>
        <v>3.6713927946799674E-2</v>
      </c>
      <c r="P243" s="169">
        <f>(INDEX(Models!$BJ243:$BT243,,T243)*(1-R243)+INDEX(Models!$BJ243:$BT243,,T243+1)*R243-ERP_i)*Q243*Ramure*Pc/MaxiM</f>
        <v>4.7020687264699243E-8</v>
      </c>
      <c r="Q243" s="305">
        <f t="shared" si="80"/>
        <v>0.7</v>
      </c>
      <c r="R243" s="177">
        <f t="shared" si="81"/>
        <v>8.278331072942563E-2</v>
      </c>
      <c r="S243" s="817">
        <f t="shared" si="82"/>
        <v>0</v>
      </c>
      <c r="T243" s="176">
        <f t="shared" si="83"/>
        <v>6</v>
      </c>
      <c r="U243" s="251">
        <f t="shared" si="84"/>
        <v>8.278331072942563E-2</v>
      </c>
      <c r="V243" s="383">
        <f t="shared" si="85"/>
        <v>35.577192139507609</v>
      </c>
      <c r="W243" s="402">
        <f t="shared" si="86"/>
        <v>18.105848317319815</v>
      </c>
      <c r="X243" s="157">
        <f t="shared" si="87"/>
        <v>45155</v>
      </c>
      <c r="Y243" s="385">
        <f t="shared" si="88"/>
        <v>16.666248486004466</v>
      </c>
      <c r="Z243" s="385">
        <f t="shared" si="89"/>
        <v>17.39196793406424</v>
      </c>
      <c r="AA243" s="386">
        <f t="shared" si="90"/>
        <v>19.614374817711226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0.11330500738877566</v>
      </c>
      <c r="AD243" s="231">
        <f>(INDEX(Models!$BJ243:$BT243,,AH243)*(1-AF243)+INDEX(Models!$BJ243:$BT243,,AH243+1)*AF243-ERP_i)*AE243*Ramure*Pc/MaxiM</f>
        <v>4.7020687264699243E-8</v>
      </c>
      <c r="AE243" s="305">
        <f t="shared" si="92"/>
        <v>0.7</v>
      </c>
      <c r="AF243" s="177">
        <f t="shared" si="93"/>
        <v>8.278331072942563E-2</v>
      </c>
      <c r="AG243" s="817">
        <f t="shared" si="99"/>
        <v>0</v>
      </c>
      <c r="AH243" s="176">
        <f t="shared" si="94"/>
        <v>6</v>
      </c>
      <c r="AI243" s="225">
        <f t="shared" si="95"/>
        <v>8.278331072942563E-2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45156</v>
      </c>
      <c r="B244" s="411">
        <f>'2022'!Wh/'2022'!Env_an*'2023'!Env_an</f>
        <v>26.861913089653918</v>
      </c>
      <c r="C244" s="846"/>
      <c r="D244" s="393">
        <f t="shared" si="77"/>
        <v>28.032209179759349</v>
      </c>
      <c r="E244" s="385">
        <f t="shared" si="100"/>
        <v>29.105395555348291</v>
      </c>
      <c r="F244" s="385">
        <f t="shared" si="78"/>
        <v>29.105396644630453</v>
      </c>
      <c r="G244" s="110">
        <f t="shared" si="101"/>
        <v>0.75750419545199354</v>
      </c>
      <c r="H244" s="414" t="b">
        <f>Wh_hp&gt;='2022'!Maxi_hp</f>
        <v>0</v>
      </c>
      <c r="I244" s="390">
        <f>IF(H244,Wh_hp,'2022'!Maxi_hp)</f>
        <v>36.873994716439007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4.1748264740776975E-2</v>
      </c>
      <c r="M244" s="850"/>
      <c r="N244" s="850"/>
      <c r="O244" s="48">
        <f>IF(t&lt;Tnet,'2022'!Resal+('2022'!Salim-'2022'!Resal)*(1-EXP(('2022'!Tnet-t)/('2022'!Tau_j))),Resal+(Salim-Resal)*(1-EXP((Tnet-t)/(Tau_j))))*Salcycl</f>
        <v>3.6872420220096895E-2</v>
      </c>
      <c r="P244" s="169">
        <f>(INDEX(Models!$BJ244:$BT244,,T244)*(1-R244)+INDEX(Models!$BJ244:$BT244,,T244+1)*R244-ERP_i)*Q244*Ramure*Pc/MaxiM</f>
        <v>5.7262435361730863E-8</v>
      </c>
      <c r="Q244" s="305">
        <f t="shared" si="80"/>
        <v>0.7</v>
      </c>
      <c r="R244" s="177">
        <f t="shared" si="81"/>
        <v>8.344186174809809E-2</v>
      </c>
      <c r="S244" s="817">
        <f t="shared" si="82"/>
        <v>0</v>
      </c>
      <c r="T244" s="176">
        <f t="shared" si="83"/>
        <v>6</v>
      </c>
      <c r="U244" s="251">
        <f t="shared" si="84"/>
        <v>8.344186174809809E-2</v>
      </c>
      <c r="V244" s="383">
        <f t="shared" si="85"/>
        <v>35.461074299088168</v>
      </c>
      <c r="W244" s="402">
        <f t="shared" si="86"/>
        <v>26.861913089653918</v>
      </c>
      <c r="X244" s="157">
        <f t="shared" si="87"/>
        <v>45156</v>
      </c>
      <c r="Y244" s="385">
        <f t="shared" si="88"/>
        <v>24.728802066525358</v>
      </c>
      <c r="Z244" s="385">
        <f t="shared" si="89"/>
        <v>25.806164660725404</v>
      </c>
      <c r="AA244" s="386">
        <f t="shared" si="90"/>
        <v>29.105395555348291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0.1133546145541607</v>
      </c>
      <c r="AD244" s="231">
        <f>(INDEX(Models!$BJ244:$BT244,,AH244)*(1-AF244)+INDEX(Models!$BJ244:$BT244,,AH244+1)*AF244-ERP_i)*AE244*Ramure*Pc/MaxiM</f>
        <v>5.7262435361730863E-8</v>
      </c>
      <c r="AE244" s="305">
        <f t="shared" si="92"/>
        <v>0.7</v>
      </c>
      <c r="AF244" s="177">
        <f t="shared" si="93"/>
        <v>8.344186174809809E-2</v>
      </c>
      <c r="AG244" s="817">
        <f t="shared" si="99"/>
        <v>0</v>
      </c>
      <c r="AH244" s="176">
        <f t="shared" si="94"/>
        <v>6</v>
      </c>
      <c r="AI244" s="225">
        <f t="shared" si="95"/>
        <v>8.344186174809809E-2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45157</v>
      </c>
      <c r="B245" s="411">
        <f>'2022'!Wh/'2022'!Env_an*'2023'!Env_an</f>
        <v>27.077572539697833</v>
      </c>
      <c r="C245" s="846"/>
      <c r="D245" s="393">
        <f t="shared" si="77"/>
        <v>28.257883210296633</v>
      </c>
      <c r="E245" s="385">
        <f t="shared" si="100"/>
        <v>29.344527840956694</v>
      </c>
      <c r="F245" s="385">
        <f t="shared" si="78"/>
        <v>29.344529182967417</v>
      </c>
      <c r="G245" s="110">
        <f t="shared" si="101"/>
        <v>0.76612317293317345</v>
      </c>
      <c r="H245" s="414" t="b">
        <f>Wh_hp&gt;='2022'!Maxi_hp</f>
        <v>0</v>
      </c>
      <c r="I245" s="390">
        <f>IF(H245,Wh_hp,'2022'!Maxi_hp)</f>
        <v>35.384293693834039</v>
      </c>
      <c r="J245" s="85">
        <f>IF(H245,An,'2022'!An_max)</f>
        <v>2018</v>
      </c>
      <c r="K245" s="197">
        <f t="shared" si="79"/>
        <v>45157</v>
      </c>
      <c r="L245" s="147">
        <f>IF(t&lt;Tvie,1-EXP((T0-t)*PertePVj)+'2022'!Pspv,1-EXP((T0-t)*PertePVj)+Pspv)</f>
        <v>4.1769252913067323E-2</v>
      </c>
      <c r="M245" s="850"/>
      <c r="N245" s="850"/>
      <c r="O245" s="48">
        <f>IF(t&lt;Tnet,'2022'!Resal+('2022'!Salim-'2022'!Resal)*(1-EXP(('2022'!Tnet-t)/('2022'!Tau_j))),Resal+(Salim-Resal)*(1-EXP((Tnet-t)/(Tau_j))))*Salcycl</f>
        <v>3.7030571306157119E-2</v>
      </c>
      <c r="P245" s="169">
        <f>(INDEX(Models!$BJ245:$BT245,,T245)*(1-R245)+INDEX(Models!$BJ245:$BT245,,T245+1)*R245-ERP_i)*Q245*Ramure*Pc/MaxiM</f>
        <v>6.8679348882430342E-8</v>
      </c>
      <c r="Q245" s="305">
        <f t="shared" si="80"/>
        <v>0.7</v>
      </c>
      <c r="R245" s="177">
        <f t="shared" si="81"/>
        <v>8.4076784308674157E-2</v>
      </c>
      <c r="S245" s="817">
        <f t="shared" si="82"/>
        <v>0</v>
      </c>
      <c r="T245" s="176">
        <f t="shared" si="83"/>
        <v>6</v>
      </c>
      <c r="U245" s="251">
        <f t="shared" si="84"/>
        <v>8.4076784308674157E-2</v>
      </c>
      <c r="V245" s="383">
        <f t="shared" si="85"/>
        <v>35.343627336965888</v>
      </c>
      <c r="W245" s="402">
        <f t="shared" si="86"/>
        <v>27.077572539697833</v>
      </c>
      <c r="X245" s="157">
        <f t="shared" si="87"/>
        <v>45157</v>
      </c>
      <c r="Y245" s="385">
        <f t="shared" si="88"/>
        <v>24.930046251827399</v>
      </c>
      <c r="Z245" s="385">
        <f t="shared" si="89"/>
        <v>26.01674630835624</v>
      </c>
      <c r="AA245" s="386">
        <f t="shared" si="90"/>
        <v>29.344527840956694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0.11340381929593736</v>
      </c>
      <c r="AD245" s="231">
        <f>(INDEX(Models!$BJ245:$BT245,,AH245)*(1-AF245)+INDEX(Models!$BJ245:$BT245,,AH245+1)*AF245-ERP_i)*AE245*Ramure*Pc/MaxiM</f>
        <v>6.8679348882430342E-8</v>
      </c>
      <c r="AE245" s="305">
        <f t="shared" si="92"/>
        <v>0.7</v>
      </c>
      <c r="AF245" s="177">
        <f t="shared" si="93"/>
        <v>8.4076784308674157E-2</v>
      </c>
      <c r="AG245" s="817">
        <f t="shared" si="99"/>
        <v>0</v>
      </c>
      <c r="AH245" s="176">
        <f t="shared" si="94"/>
        <v>6</v>
      </c>
      <c r="AI245" s="225">
        <f t="shared" si="95"/>
        <v>8.4076784308674157E-2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45158</v>
      </c>
      <c r="B246" s="411">
        <f>'2022'!Wh/'2022'!Env_an*'2023'!Env_an</f>
        <v>33.605617689903504</v>
      </c>
      <c r="C246" s="846"/>
      <c r="D246" s="393">
        <f t="shared" si="77"/>
        <v>35.071253826350386</v>
      </c>
      <c r="E246" s="385">
        <f t="shared" si="100"/>
        <v>36.425872887915069</v>
      </c>
      <c r="F246" s="385">
        <f t="shared" si="78"/>
        <v>36.425875654752616</v>
      </c>
      <c r="G246" s="110">
        <f t="shared" si="101"/>
        <v>0.95403147258329701</v>
      </c>
      <c r="H246" s="414" t="b">
        <f>Wh_hp&gt;='2022'!Maxi_hp</f>
        <v>0</v>
      </c>
      <c r="I246" s="390">
        <f>IF(H246,Wh_hp,'2022'!Maxi_hp)</f>
        <v>36.556455204531737</v>
      </c>
      <c r="J246" s="85">
        <f>IF(H246,An,'2022'!An_max)</f>
        <v>2021</v>
      </c>
      <c r="K246" s="197">
        <f t="shared" si="79"/>
        <v>45158</v>
      </c>
      <c r="L246" s="147">
        <f>IF(t&lt;Tvie,1-EXP((T0-t)*PertePVj)+'2022'!Pspv,1-EXP((T0-t)*PertePVj)+Pspv)</f>
        <v>4.1790240625662944E-2</v>
      </c>
      <c r="M246" s="850"/>
      <c r="N246" s="850"/>
      <c r="O246" s="48">
        <f>IF(t&lt;Tnet,'2022'!Resal+('2022'!Salim-'2022'!Resal)*(1-EXP(('2022'!Tnet-t)/('2022'!Tau_j))),Resal+(Salim-Resal)*(1-EXP((Tnet-t)/(Tau_j))))*Salcycl</f>
        <v>3.7188376123008522E-2</v>
      </c>
      <c r="P246" s="169">
        <f>(INDEX(Models!$BJ246:$BT246,,T246)*(1-R246)+INDEX(Models!$BJ246:$BT246,,T246+1)*R246-ERP_i)*Q246*Ramure*Pc/MaxiM</f>
        <v>8.1296724729093821E-8</v>
      </c>
      <c r="Q246" s="305">
        <f t="shared" si="80"/>
        <v>0.7</v>
      </c>
      <c r="R246" s="177">
        <f t="shared" si="81"/>
        <v>8.4688819876438781E-2</v>
      </c>
      <c r="S246" s="817">
        <f t="shared" si="82"/>
        <v>0</v>
      </c>
      <c r="T246" s="176">
        <f t="shared" si="83"/>
        <v>6</v>
      </c>
      <c r="U246" s="251">
        <f t="shared" si="84"/>
        <v>8.4688819876438781E-2</v>
      </c>
      <c r="V246" s="383">
        <f t="shared" si="85"/>
        <v>35.224852089519551</v>
      </c>
      <c r="W246" s="402">
        <f t="shared" si="86"/>
        <v>33.605617689903504</v>
      </c>
      <c r="X246" s="157">
        <f t="shared" si="87"/>
        <v>45158</v>
      </c>
      <c r="Y246" s="385">
        <f t="shared" si="88"/>
        <v>30.943719364641268</v>
      </c>
      <c r="Z246" s="385">
        <f t="shared" si="89"/>
        <v>32.293262578379462</v>
      </c>
      <c r="AA246" s="386">
        <f t="shared" si="90"/>
        <v>36.425872887915069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0.11345260887095114</v>
      </c>
      <c r="AD246" s="231">
        <f>(INDEX(Models!$BJ246:$BT246,,AH246)*(1-AF246)+INDEX(Models!$BJ246:$BT246,,AH246+1)*AF246-ERP_i)*AE246*Ramure*Pc/MaxiM</f>
        <v>8.1296724729093821E-8</v>
      </c>
      <c r="AE246" s="305">
        <f t="shared" si="92"/>
        <v>0.7</v>
      </c>
      <c r="AF246" s="177">
        <f t="shared" si="93"/>
        <v>8.4688819876438781E-2</v>
      </c>
      <c r="AG246" s="817">
        <f t="shared" si="99"/>
        <v>0</v>
      </c>
      <c r="AH246" s="176">
        <f t="shared" si="94"/>
        <v>6</v>
      </c>
      <c r="AI246" s="225">
        <f t="shared" si="95"/>
        <v>8.4688819876438781E-2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45159</v>
      </c>
      <c r="B247" s="411">
        <f>'2022'!Wh/'2022'!Env_an*'2023'!Env_an</f>
        <v>21.064104476587769</v>
      </c>
      <c r="C247" s="846"/>
      <c r="D247" s="393">
        <f t="shared" si="77"/>
        <v>21.98325120211117</v>
      </c>
      <c r="E247" s="385">
        <f t="shared" si="100"/>
        <v>22.836083684984978</v>
      </c>
      <c r="F247" s="385">
        <f t="shared" si="78"/>
        <v>22.836084616093473</v>
      </c>
      <c r="G247" s="110">
        <f t="shared" si="101"/>
        <v>0.60001011973129847</v>
      </c>
      <c r="H247" s="414" t="b">
        <f>Wh_hp&gt;='2022'!Maxi_hp</f>
        <v>0</v>
      </c>
      <c r="I247" s="390">
        <f>IF(H247,Wh_hp,'2022'!Maxi_hp)</f>
        <v>36.591801967762351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4.181122787857372E-2</v>
      </c>
      <c r="M247" s="850"/>
      <c r="N247" s="850"/>
      <c r="O247" s="48">
        <f>IF(t&lt;Tnet,'2022'!Resal+('2022'!Salim-'2022'!Resal)*(1-EXP(('2022'!Tnet-t)/('2022'!Tau_j))),Resal+(Salim-Resal)*(1-EXP((Tnet-t)/(Tau_j))))*Salcycl</f>
        <v>3.734582928659326E-2</v>
      </c>
      <c r="P247" s="169">
        <f>(INDEX(Models!$BJ247:$BT247,,T247)*(1-R247)+INDEX(Models!$BJ247:$BT247,,T247+1)*R247-ERP_i)*Q247*Ramure*Pc/MaxiM</f>
        <v>9.5135090228150991E-8</v>
      </c>
      <c r="Q247" s="305">
        <f t="shared" si="80"/>
        <v>0.7</v>
      </c>
      <c r="R247" s="177">
        <f t="shared" si="81"/>
        <v>8.5278694688261547E-2</v>
      </c>
      <c r="S247" s="817">
        <f t="shared" si="82"/>
        <v>0</v>
      </c>
      <c r="T247" s="176">
        <f t="shared" si="83"/>
        <v>6</v>
      </c>
      <c r="U247" s="251">
        <f t="shared" si="84"/>
        <v>8.5278694688261547E-2</v>
      </c>
      <c r="V247" s="383">
        <f t="shared" si="85"/>
        <v>35.106246776210874</v>
      </c>
      <c r="W247" s="402">
        <f t="shared" si="86"/>
        <v>21.064104476587769</v>
      </c>
      <c r="X247" s="157">
        <f t="shared" si="87"/>
        <v>45159</v>
      </c>
      <c r="Y247" s="385">
        <f t="shared" si="88"/>
        <v>19.397732600845018</v>
      </c>
      <c r="Z247" s="385">
        <f t="shared" si="89"/>
        <v>20.244166040370636</v>
      </c>
      <c r="AA247" s="386">
        <f t="shared" si="90"/>
        <v>22.836083684984978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0.1135009697971356</v>
      </c>
      <c r="AD247" s="231">
        <f>(INDEX(Models!$BJ247:$BT247,,AH247)*(1-AF247)+INDEX(Models!$BJ247:$BT247,,AH247+1)*AF247-ERP_i)*AE247*Ramure*Pc/MaxiM</f>
        <v>9.5135090228150991E-8</v>
      </c>
      <c r="AE247" s="305">
        <f t="shared" si="92"/>
        <v>0.7</v>
      </c>
      <c r="AF247" s="177">
        <f t="shared" si="93"/>
        <v>8.5278694688261547E-2</v>
      </c>
      <c r="AG247" s="817">
        <f t="shared" si="99"/>
        <v>0</v>
      </c>
      <c r="AH247" s="176">
        <f t="shared" si="94"/>
        <v>6</v>
      </c>
      <c r="AI247" s="225">
        <f t="shared" si="95"/>
        <v>8.5278694688261547E-2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45160</v>
      </c>
      <c r="B248" s="411">
        <f>'2022'!Wh/'2022'!Env_an*'2023'!Env_an</f>
        <v>17.464057416215489</v>
      </c>
      <c r="C248" s="846"/>
      <c r="D248" s="393">
        <f t="shared" si="77"/>
        <v>18.226512812924227</v>
      </c>
      <c r="E248" s="385">
        <f t="shared" si="100"/>
        <v>18.936694239091484</v>
      </c>
      <c r="F248" s="385">
        <f t="shared" si="78"/>
        <v>18.936694835151584</v>
      </c>
      <c r="G248" s="110">
        <f t="shared" si="101"/>
        <v>0.49913206937721644</v>
      </c>
      <c r="H248" s="414" t="b">
        <f>Wh_hp&gt;='2022'!Maxi_hp</f>
        <v>0</v>
      </c>
      <c r="I248" s="390">
        <f>IF(H248,Wh_hp,'2022'!Maxi_hp)</f>
        <v>38.793135012494737</v>
      </c>
      <c r="J248" s="85">
        <f>IF(H248,An,'2022'!An_max)</f>
        <v>2019</v>
      </c>
      <c r="K248" s="197">
        <f t="shared" si="79"/>
        <v>45160</v>
      </c>
      <c r="L248" s="147">
        <f>IF(t&lt;Tvie,1-EXP((T0-t)*PertePVj)+'2022'!Pspv,1-EXP((T0-t)*PertePVj)+Pspv)</f>
        <v>4.1832214671809864E-2</v>
      </c>
      <c r="M248" s="850"/>
      <c r="N248" s="850"/>
      <c r="O248" s="48">
        <f>IF(t&lt;Tnet,'2022'!Resal+('2022'!Salim-'2022'!Resal)*(1-EXP(('2022'!Tnet-t)/('2022'!Tau_j))),Resal+(Salim-Resal)*(1-EXP((Tnet-t)/(Tau_j))))*Salcycl</f>
        <v>3.7502925125189594E-2</v>
      </c>
      <c r="P248" s="169">
        <f>(INDEX(Models!$BJ248:$BT248,,T248)*(1-R248)+INDEX(Models!$BJ248:$BT248,,T248+1)*R248-ERP_i)*Q248*Ramure*Pc/MaxiM</f>
        <v>1.106477579341119E-7</v>
      </c>
      <c r="Q248" s="305">
        <f t="shared" si="80"/>
        <v>0.7</v>
      </c>
      <c r="R248" s="177">
        <f t="shared" si="81"/>
        <v>8.5847119416434081E-2</v>
      </c>
      <c r="S248" s="817">
        <f t="shared" si="82"/>
        <v>0</v>
      </c>
      <c r="T248" s="176">
        <f t="shared" si="83"/>
        <v>6</v>
      </c>
      <c r="U248" s="251">
        <f t="shared" si="84"/>
        <v>8.5847119416434081E-2</v>
      </c>
      <c r="V248" s="383">
        <f t="shared" si="85"/>
        <v>34.988847852140239</v>
      </c>
      <c r="W248" s="402">
        <f t="shared" si="86"/>
        <v>17.464057416215489</v>
      </c>
      <c r="X248" s="157">
        <f t="shared" si="87"/>
        <v>45160</v>
      </c>
      <c r="Y248" s="385">
        <f t="shared" si="88"/>
        <v>16.084239134150693</v>
      </c>
      <c r="Z248" s="385">
        <f t="shared" si="89"/>
        <v>16.786453667550035</v>
      </c>
      <c r="AA248" s="386">
        <f t="shared" si="90"/>
        <v>18.936694239091484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0.11354888791004793</v>
      </c>
      <c r="AD248" s="231">
        <f>(INDEX(Models!$BJ248:$BT248,,AH248)*(1-AF248)+INDEX(Models!$BJ248:$BT248,,AH248+1)*AF248-ERP_i)*AE248*Ramure*Pc/MaxiM</f>
        <v>1.106477579341119E-7</v>
      </c>
      <c r="AE248" s="305">
        <f t="shared" si="92"/>
        <v>0.7</v>
      </c>
      <c r="AF248" s="177">
        <f t="shared" si="93"/>
        <v>8.5847119416434081E-2</v>
      </c>
      <c r="AG248" s="817">
        <f t="shared" si="99"/>
        <v>0</v>
      </c>
      <c r="AH248" s="176">
        <f t="shared" si="94"/>
        <v>6</v>
      </c>
      <c r="AI248" s="225">
        <f t="shared" si="95"/>
        <v>8.5847119416434081E-2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45161</v>
      </c>
      <c r="B249" s="411">
        <f>'2022'!Wh/'2022'!Env_an*'2023'!Env_an</f>
        <v>31.273108476058638</v>
      </c>
      <c r="C249" s="846"/>
      <c r="D249" s="393">
        <f t="shared" si="77"/>
        <v>32.639161878820076</v>
      </c>
      <c r="E249" s="385">
        <f t="shared" si="100"/>
        <v>33.91644353231974</v>
      </c>
      <c r="F249" s="385">
        <f t="shared" si="78"/>
        <v>33.916447206734247</v>
      </c>
      <c r="G249" s="110">
        <f t="shared" si="101"/>
        <v>0.89679801039936247</v>
      </c>
      <c r="H249" s="414" t="b">
        <f>Wh_hp&gt;='2022'!Maxi_hp</f>
        <v>0</v>
      </c>
      <c r="I249" s="390">
        <f>IF(H249,Wh_hp,'2022'!Maxi_hp)</f>
        <v>36.458624208406086</v>
      </c>
      <c r="J249" s="85">
        <f>IF(H249,An,'2022'!An_max)</f>
        <v>2019</v>
      </c>
      <c r="K249" s="197">
        <f t="shared" si="79"/>
        <v>45161</v>
      </c>
      <c r="L249" s="147">
        <f>IF(t&lt;Tvie,1-EXP((T0-t)*PertePVj)+'2022'!Pspv,1-EXP((T0-t)*PertePVj)+Pspv)</f>
        <v>4.1853201005381369E-2</v>
      </c>
      <c r="M249" s="850"/>
      <c r="N249" s="850"/>
      <c r="O249" s="48">
        <f>IF(t&lt;Tnet,'2022'!Resal+('2022'!Salim-'2022'!Resal)*(1-EXP(('2022'!Tnet-t)/('2022'!Tau_j))),Resal+(Salim-Resal)*(1-EXP((Tnet-t)/(Tau_j))))*Salcycl</f>
        <v>3.76596576903033E-2</v>
      </c>
      <c r="P249" s="169">
        <f>(INDEX(Models!$BJ249:$BT249,,T249)*(1-R249)+INDEX(Models!$BJ249:$BT249,,T249+1)*R249-ERP_i)*Q249*Ramure*Pc/MaxiM</f>
        <v>1.2707158749123419E-7</v>
      </c>
      <c r="Q249" s="305">
        <f t="shared" si="80"/>
        <v>0.7</v>
      </c>
      <c r="R249" s="177">
        <f t="shared" si="81"/>
        <v>8.6394788899987862E-2</v>
      </c>
      <c r="S249" s="817">
        <f t="shared" si="82"/>
        <v>0</v>
      </c>
      <c r="T249" s="176">
        <f t="shared" si="83"/>
        <v>6</v>
      </c>
      <c r="U249" s="251">
        <f t="shared" si="84"/>
        <v>8.6394788899987862E-2</v>
      </c>
      <c r="V249" s="383">
        <f t="shared" si="85"/>
        <v>34.871963951225702</v>
      </c>
      <c r="W249" s="402">
        <f t="shared" si="86"/>
        <v>31.273108476058638</v>
      </c>
      <c r="X249" s="157">
        <f t="shared" si="87"/>
        <v>45161</v>
      </c>
      <c r="Y249" s="385">
        <f t="shared" si="88"/>
        <v>28.805399016421113</v>
      </c>
      <c r="Z249" s="385">
        <f t="shared" si="89"/>
        <v>30.063659396082684</v>
      </c>
      <c r="AA249" s="386">
        <f t="shared" si="90"/>
        <v>33.91644353231974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0.11359634840739277</v>
      </c>
      <c r="AD249" s="231">
        <f>(INDEX(Models!$BJ249:$BT249,,AH249)*(1-AF249)+INDEX(Models!$BJ249:$BT249,,AH249+1)*AF249-ERP_i)*AE249*Ramure*Pc/MaxiM</f>
        <v>1.2707158749123419E-7</v>
      </c>
      <c r="AE249" s="305">
        <f t="shared" si="92"/>
        <v>0.7</v>
      </c>
      <c r="AF249" s="177">
        <f t="shared" si="93"/>
        <v>8.6394788899987862E-2</v>
      </c>
      <c r="AG249" s="817">
        <f t="shared" si="99"/>
        <v>0</v>
      </c>
      <c r="AH249" s="176">
        <f t="shared" si="94"/>
        <v>6</v>
      </c>
      <c r="AI249" s="225">
        <f t="shared" si="95"/>
        <v>8.6394788899987862E-2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45162</v>
      </c>
      <c r="B250" s="411">
        <f>'2022'!Wh/'2022'!Env_an*'2023'!Env_an</f>
        <v>30.730106916440839</v>
      </c>
      <c r="C250" s="846"/>
      <c r="D250" s="393">
        <f t="shared" si="77"/>
        <v>32.073143730832307</v>
      </c>
      <c r="E250" s="385">
        <f t="shared" si="100"/>
        <v>33.333691292901236</v>
      </c>
      <c r="F250" s="385">
        <f t="shared" si="78"/>
        <v>33.333695310509242</v>
      </c>
      <c r="G250" s="110">
        <f t="shared" si="101"/>
        <v>0.88419481766246655</v>
      </c>
      <c r="H250" s="414" t="b">
        <f>Wh_hp&gt;='2022'!Maxi_hp</f>
        <v>0</v>
      </c>
      <c r="I250" s="390">
        <f>IF(H250,Wh_hp,'2022'!Maxi_hp)</f>
        <v>36.227969880355467</v>
      </c>
      <c r="J250" s="85">
        <f>IF(H250,An,'2022'!An_max)</f>
        <v>2019</v>
      </c>
      <c r="K250" s="197">
        <f t="shared" si="79"/>
        <v>45162</v>
      </c>
      <c r="L250" s="147">
        <f>IF(t&lt;Tvie,1-EXP((T0-t)*PertePVj)+'2022'!Pspv,1-EXP((T0-t)*PertePVj)+Pspv)</f>
        <v>4.1874186879298336E-2</v>
      </c>
      <c r="M250" s="850"/>
      <c r="N250" s="850"/>
      <c r="O250" s="48">
        <f>IF(t&lt;Tnet,'2022'!Resal+('2022'!Salim-'2022'!Resal)*(1-EXP(('2022'!Tnet-t)/('2022'!Tau_j))),Resal+(Salim-Resal)*(1-EXP((Tnet-t)/(Tau_j))))*Salcycl</f>
        <v>3.7816020763874303E-2</v>
      </c>
      <c r="P250" s="169">
        <f>(INDEX(Models!$BJ250:$BT250,,T250)*(1-R250)+INDEX(Models!$BJ250:$BT250,,T250+1)*R250-ERP_i)*Q250*Ramure*Pc/MaxiM</f>
        <v>1.444190300282032E-7</v>
      </c>
      <c r="Q250" s="305">
        <f t="shared" si="80"/>
        <v>0.7</v>
      </c>
      <c r="R250" s="177">
        <f t="shared" si="81"/>
        <v>8.6922381938568993E-2</v>
      </c>
      <c r="S250" s="817">
        <f t="shared" si="82"/>
        <v>0</v>
      </c>
      <c r="T250" s="176">
        <f t="shared" si="83"/>
        <v>6</v>
      </c>
      <c r="U250" s="251">
        <f t="shared" si="84"/>
        <v>8.6922381938568993E-2</v>
      </c>
      <c r="V250" s="383">
        <f t="shared" si="85"/>
        <v>34.754904200269749</v>
      </c>
      <c r="W250" s="402">
        <f t="shared" si="86"/>
        <v>30.730106916440839</v>
      </c>
      <c r="X250" s="157">
        <f t="shared" si="87"/>
        <v>45162</v>
      </c>
      <c r="Y250" s="385">
        <f t="shared" si="88"/>
        <v>28.308343978132502</v>
      </c>
      <c r="Z250" s="385">
        <f t="shared" si="89"/>
        <v>29.545539417135302</v>
      </c>
      <c r="AA250" s="386">
        <f t="shared" si="90"/>
        <v>33.333691292901236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0.1136433358813958</v>
      </c>
      <c r="AD250" s="231">
        <f>(INDEX(Models!$BJ250:$BT250,,AH250)*(1-AF250)+INDEX(Models!$BJ250:$BT250,,AH250+1)*AF250-ERP_i)*AE250*Ramure*Pc/MaxiM</f>
        <v>1.444190300282032E-7</v>
      </c>
      <c r="AE250" s="305">
        <f t="shared" si="92"/>
        <v>0.7</v>
      </c>
      <c r="AF250" s="177">
        <f t="shared" si="93"/>
        <v>8.6922381938568993E-2</v>
      </c>
      <c r="AG250" s="817">
        <f t="shared" si="99"/>
        <v>0</v>
      </c>
      <c r="AH250" s="176">
        <f t="shared" si="94"/>
        <v>6</v>
      </c>
      <c r="AI250" s="225">
        <f t="shared" si="95"/>
        <v>8.6922381938568993E-2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45163</v>
      </c>
      <c r="B251" s="411">
        <f>'2022'!Wh/'2022'!Env_an*'2023'!Env_an</f>
        <v>22.659960030351126</v>
      </c>
      <c r="C251" s="846"/>
      <c r="D251" s="393">
        <f t="shared" si="77"/>
        <v>23.650814999644602</v>
      </c>
      <c r="E251" s="385">
        <f t="shared" si="100"/>
        <v>24.584331425820817</v>
      </c>
      <c r="F251" s="385">
        <f t="shared" si="78"/>
        <v>24.584333449874674</v>
      </c>
      <c r="G251" s="110">
        <f t="shared" si="101"/>
        <v>0.65421290653861974</v>
      </c>
      <c r="H251" s="414" t="b">
        <f>Wh_hp&gt;='2022'!Maxi_hp</f>
        <v>0</v>
      </c>
      <c r="I251" s="390">
        <f>IF(H251,Wh_hp,'2022'!Maxi_hp)</f>
        <v>34.955028036144711</v>
      </c>
      <c r="J251" s="85">
        <f>IF(H251,An,'2022'!An_max)</f>
        <v>2020</v>
      </c>
      <c r="K251" s="197">
        <f t="shared" si="79"/>
        <v>45163</v>
      </c>
      <c r="L251" s="147">
        <f>IF(t&lt;Tvie,1-EXP((T0-t)*PertePVj)+'2022'!Pspv,1-EXP((T0-t)*PertePVj)+Pspv)</f>
        <v>4.1895172293570648E-2</v>
      </c>
      <c r="M251" s="850"/>
      <c r="N251" s="850"/>
      <c r="O251" s="48">
        <f>IF(t&lt;Tnet,'2022'!Resal+('2022'!Salim-'2022'!Resal)*(1-EXP(('2022'!Tnet-t)/('2022'!Tau_j))),Resal+(Salim-Resal)*(1-EXP((Tnet-t)/(Tau_j))))*Salcycl</f>
        <v>3.7972007861712516E-2</v>
      </c>
      <c r="P251" s="169">
        <f>(INDEX(Models!$BJ251:$BT251,,T251)*(1-R251)+INDEX(Models!$BJ251:$BT251,,T251+1)*R251-ERP_i)*Q251*Ramure*Pc/MaxiM</f>
        <v>1.6270362167987767E-7</v>
      </c>
      <c r="Q251" s="305">
        <f t="shared" si="80"/>
        <v>0.7</v>
      </c>
      <c r="R251" s="177">
        <f t="shared" si="81"/>
        <v>8.743056114412745E-2</v>
      </c>
      <c r="S251" s="817">
        <f t="shared" si="82"/>
        <v>0</v>
      </c>
      <c r="T251" s="176">
        <f t="shared" si="83"/>
        <v>6</v>
      </c>
      <c r="U251" s="251">
        <f t="shared" si="84"/>
        <v>8.743056114412745E-2</v>
      </c>
      <c r="V251" s="383">
        <f t="shared" si="85"/>
        <v>34.636978241538138</v>
      </c>
      <c r="W251" s="402">
        <f t="shared" si="86"/>
        <v>22.659960030351126</v>
      </c>
      <c r="X251" s="157">
        <f t="shared" si="87"/>
        <v>45163</v>
      </c>
      <c r="Y251" s="385">
        <f t="shared" si="88"/>
        <v>20.876474585453725</v>
      </c>
      <c r="Z251" s="385">
        <f t="shared" si="89"/>
        <v>21.789342858681884</v>
      </c>
      <c r="AA251" s="386">
        <f t="shared" si="90"/>
        <v>24.584331425820817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0.11368983433909324</v>
      </c>
      <c r="AD251" s="231">
        <f>(INDEX(Models!$BJ251:$BT251,,AH251)*(1-AF251)+INDEX(Models!$BJ251:$BT251,,AH251+1)*AF251-ERP_i)*AE251*Ramure*Pc/MaxiM</f>
        <v>1.6270362167987767E-7</v>
      </c>
      <c r="AE251" s="305">
        <f t="shared" si="92"/>
        <v>0.7</v>
      </c>
      <c r="AF251" s="177">
        <f t="shared" si="93"/>
        <v>8.743056114412745E-2</v>
      </c>
      <c r="AG251" s="817">
        <f t="shared" si="99"/>
        <v>0</v>
      </c>
      <c r="AH251" s="176">
        <f t="shared" si="94"/>
        <v>6</v>
      </c>
      <c r="AI251" s="225">
        <f t="shared" si="95"/>
        <v>8.743056114412745E-2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45164</v>
      </c>
      <c r="B252" s="411">
        <f>'2022'!Wh/'2022'!Env_an*'2023'!Env_an</f>
        <v>27.577497568254028</v>
      </c>
      <c r="C252" s="846"/>
      <c r="D252" s="393">
        <f t="shared" si="77"/>
        <v>28.784012773920111</v>
      </c>
      <c r="E252" s="385">
        <f t="shared" si="100"/>
        <v>29.924980839451056</v>
      </c>
      <c r="F252" s="385">
        <f t="shared" si="78"/>
        <v>29.924984720193688</v>
      </c>
      <c r="G252" s="110">
        <f t="shared" si="101"/>
        <v>0.7989425403857886</v>
      </c>
      <c r="H252" s="414" t="b">
        <f>Wh_hp&gt;='2022'!Maxi_hp</f>
        <v>0</v>
      </c>
      <c r="I252" s="390">
        <f>IF(H252,Wh_hp,'2022'!Maxi_hp)</f>
        <v>36.589991055920372</v>
      </c>
      <c r="J252" s="85">
        <f>IF(H252,An,'2022'!An_max)</f>
        <v>2020</v>
      </c>
      <c r="K252" s="197">
        <f t="shared" si="79"/>
        <v>45164</v>
      </c>
      <c r="L252" s="147">
        <f>IF(t&lt;Tvie,1-EXP((T0-t)*PertePVj)+'2022'!Pspv,1-EXP((T0-t)*PertePVj)+Pspv)</f>
        <v>4.1916157248208741E-2</v>
      </c>
      <c r="M252" s="850"/>
      <c r="N252" s="850"/>
      <c r="O252" s="48">
        <f>IF(t&lt;Tnet,'2022'!Resal+('2022'!Salim-'2022'!Resal)*(1-EXP(('2022'!Tnet-t)/('2022'!Tau_j))),Resal+(Salim-Resal)*(1-EXP((Tnet-t)/(Tau_j))))*Salcycl</f>
        <v>3.8127612233147111E-2</v>
      </c>
      <c r="P252" s="169">
        <f>(INDEX(Models!$BJ252:$BT252,,T252)*(1-R252)+INDEX(Models!$BJ252:$BT252,,T252+1)*R252-ERP_i)*Q252*Ramure*Pc/MaxiM</f>
        <v>1.8194007687603598E-7</v>
      </c>
      <c r="Q252" s="305">
        <f t="shared" si="80"/>
        <v>0.7</v>
      </c>
      <c r="R252" s="177">
        <f t="shared" si="81"/>
        <v>8.7919972845879713E-2</v>
      </c>
      <c r="S252" s="817">
        <f t="shared" si="82"/>
        <v>0</v>
      </c>
      <c r="T252" s="176">
        <f t="shared" si="83"/>
        <v>6</v>
      </c>
      <c r="U252" s="251">
        <f t="shared" si="84"/>
        <v>8.7919972845879713E-2</v>
      </c>
      <c r="V252" s="383">
        <f t="shared" si="85"/>
        <v>34.517496231706872</v>
      </c>
      <c r="W252" s="402">
        <f t="shared" si="86"/>
        <v>27.577497568254028</v>
      </c>
      <c r="X252" s="157">
        <f t="shared" si="87"/>
        <v>45164</v>
      </c>
      <c r="Y252" s="385">
        <f t="shared" si="88"/>
        <v>25.409761607429431</v>
      </c>
      <c r="Z252" s="385">
        <f t="shared" si="89"/>
        <v>26.521438389408559</v>
      </c>
      <c r="AA252" s="386">
        <f t="shared" si="90"/>
        <v>29.924980839451056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0.11373582721080641</v>
      </c>
      <c r="AD252" s="231">
        <f>(INDEX(Models!$BJ252:$BT252,,AH252)*(1-AF252)+INDEX(Models!$BJ252:$BT252,,AH252+1)*AF252-ERP_i)*AE252*Ramure*Pc/MaxiM</f>
        <v>1.8194007687603598E-7</v>
      </c>
      <c r="AE252" s="305">
        <f t="shared" si="92"/>
        <v>0.7</v>
      </c>
      <c r="AF252" s="177">
        <f t="shared" si="93"/>
        <v>8.7919972845879713E-2</v>
      </c>
      <c r="AG252" s="817">
        <f t="shared" si="99"/>
        <v>0</v>
      </c>
      <c r="AH252" s="176">
        <f t="shared" si="94"/>
        <v>6</v>
      </c>
      <c r="AI252" s="225">
        <f t="shared" si="95"/>
        <v>8.7919972845879713E-2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45165</v>
      </c>
      <c r="B253" s="411">
        <f>'2022'!Wh/'2022'!Env_an*'2023'!Env_an</f>
        <v>33.361182155503514</v>
      </c>
      <c r="C253" s="846"/>
      <c r="D253" s="393">
        <f t="shared" si="77"/>
        <v>34.821496176362707</v>
      </c>
      <c r="E253" s="385">
        <f t="shared" si="100"/>
        <v>36.207626471470896</v>
      </c>
      <c r="F253" s="385">
        <f t="shared" si="78"/>
        <v>36.207633476144657</v>
      </c>
      <c r="G253" s="110">
        <f t="shared" si="101"/>
        <v>0.96992109771347046</v>
      </c>
      <c r="H253" s="414" t="b">
        <f>Wh_hp&gt;='2022'!Maxi_hp</f>
        <v>0</v>
      </c>
      <c r="I253" s="390">
        <f>IF(H253,Wh_hp,'2022'!Maxi_hp)</f>
        <v>36.207633790648693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4.1937141743222273E-2</v>
      </c>
      <c r="M253" s="850"/>
      <c r="N253" s="850"/>
      <c r="O253" s="48">
        <f>IF(t&lt;Tnet,'2022'!Resal+('2022'!Salim-'2022'!Resal)*(1-EXP(('2022'!Tnet-t)/('2022'!Tau_j))),Resal+(Salim-Resal)*(1-EXP((Tnet-t)/(Tau_j))))*Salcycl</f>
        <v>3.8282826856943078E-2</v>
      </c>
      <c r="P253" s="169">
        <f>(INDEX(Models!$BJ253:$BT253,,T253)*(1-R253)+INDEX(Models!$BJ253:$BT253,,T253+1)*R253-ERP_i)*Q253*Ramure*Pc/MaxiM</f>
        <v>2.0214460373521719E-7</v>
      </c>
      <c r="Q253" s="305">
        <f t="shared" si="80"/>
        <v>0.7</v>
      </c>
      <c r="R253" s="177">
        <f t="shared" si="81"/>
        <v>8.8391247044198373E-2</v>
      </c>
      <c r="S253" s="817">
        <f t="shared" si="82"/>
        <v>0</v>
      </c>
      <c r="T253" s="176">
        <f t="shared" si="83"/>
        <v>6</v>
      </c>
      <c r="U253" s="251">
        <f t="shared" si="84"/>
        <v>8.8391247044198373E-2</v>
      </c>
      <c r="V253" s="383">
        <f t="shared" si="85"/>
        <v>34.395768835600201</v>
      </c>
      <c r="W253" s="402">
        <f t="shared" si="86"/>
        <v>33.361182155503514</v>
      </c>
      <c r="X253" s="157">
        <f t="shared" si="87"/>
        <v>45165</v>
      </c>
      <c r="Y253" s="385">
        <f t="shared" si="88"/>
        <v>30.742201963792777</v>
      </c>
      <c r="Z253" s="385">
        <f t="shared" si="89"/>
        <v>32.087875757681573</v>
      </c>
      <c r="AA253" s="386">
        <f t="shared" si="90"/>
        <v>36.207626471470896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0.11378129734727017</v>
      </c>
      <c r="AD253" s="231">
        <f>(INDEX(Models!$BJ253:$BT253,,AH253)*(1-AF253)+INDEX(Models!$BJ253:$BT253,,AH253+1)*AF253-ERP_i)*AE253*Ramure*Pc/MaxiM</f>
        <v>2.0214460373521719E-7</v>
      </c>
      <c r="AE253" s="305">
        <f t="shared" si="92"/>
        <v>0.7</v>
      </c>
      <c r="AF253" s="177">
        <f t="shared" si="93"/>
        <v>8.8391247044198373E-2</v>
      </c>
      <c r="AG253" s="817">
        <f t="shared" si="99"/>
        <v>0</v>
      </c>
      <c r="AH253" s="176">
        <f t="shared" si="94"/>
        <v>6</v>
      </c>
      <c r="AI253" s="225">
        <f t="shared" si="95"/>
        <v>8.8391247044198373E-2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45166</v>
      </c>
      <c r="B254" s="411">
        <f>'2022'!Wh/'2022'!Env_an*'2023'!Env_an</f>
        <v>32.276210469085832</v>
      </c>
      <c r="C254" s="846"/>
      <c r="D254" s="393">
        <f t="shared" si="77"/>
        <v>33.68977007953584</v>
      </c>
      <c r="E254" s="385">
        <f t="shared" si="100"/>
        <v>35.036490233326134</v>
      </c>
      <c r="F254" s="385">
        <f t="shared" si="78"/>
        <v>35.036497714117232</v>
      </c>
      <c r="G254" s="110">
        <f t="shared" si="101"/>
        <v>0.94179070250619545</v>
      </c>
      <c r="H254" s="414" t="b">
        <f>Wh_hp&gt;='2022'!Maxi_hp</f>
        <v>0</v>
      </c>
      <c r="I254" s="390">
        <f>IF(H254,Wh_hp,'2022'!Maxi_hp)</f>
        <v>37.6474142668485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4.195812577862168E-2</v>
      </c>
      <c r="M254" s="850"/>
      <c r="N254" s="850"/>
      <c r="O254" s="48">
        <f>IF(t&lt;Tnet,'2022'!Resal+('2022'!Salim-'2022'!Resal)*(1-EXP(('2022'!Tnet-t)/('2022'!Tau_j))),Resal+(Salim-Resal)*(1-EXP((Tnet-t)/(Tau_j))))*Salcycl</f>
        <v>3.8437644433611695E-2</v>
      </c>
      <c r="P254" s="169">
        <f>(INDEX(Models!$BJ254:$BT254,,T254)*(1-R254)+INDEX(Models!$BJ254:$BT254,,T254+1)*R254-ERP_i)*Q254*Ramure*Pc/MaxiM</f>
        <v>2.3287960005965225E-7</v>
      </c>
      <c r="Q254" s="305">
        <f t="shared" si="80"/>
        <v>0.7</v>
      </c>
      <c r="R254" s="177">
        <f t="shared" si="81"/>
        <v>8.8844997409291471E-2</v>
      </c>
      <c r="S254" s="817">
        <f t="shared" si="82"/>
        <v>0</v>
      </c>
      <c r="T254" s="176">
        <f t="shared" si="83"/>
        <v>6</v>
      </c>
      <c r="U254" s="251">
        <f t="shared" si="84"/>
        <v>8.8844997409291471E-2</v>
      </c>
      <c r="V254" s="383">
        <f t="shared" si="85"/>
        <v>34.271106901092878</v>
      </c>
      <c r="W254" s="402">
        <f t="shared" si="86"/>
        <v>32.276210469085832</v>
      </c>
      <c r="X254" s="157">
        <f t="shared" si="87"/>
        <v>45166</v>
      </c>
      <c r="Y254" s="385">
        <f t="shared" si="88"/>
        <v>29.745685283704855</v>
      </c>
      <c r="Z254" s="385">
        <f t="shared" si="89"/>
        <v>31.048418742531297</v>
      </c>
      <c r="AA254" s="386">
        <f t="shared" si="90"/>
        <v>35.036490233326134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0.11382622700607864</v>
      </c>
      <c r="AD254" s="231">
        <f>(INDEX(Models!$BJ254:$BT254,,AH254)*(1-AF254)+INDEX(Models!$BJ254:$BT254,,AH254+1)*AF254-ERP_i)*AE254*Ramure*Pc/MaxiM</f>
        <v>2.3287960005965225E-7</v>
      </c>
      <c r="AE254" s="305">
        <f t="shared" si="92"/>
        <v>0.7</v>
      </c>
      <c r="AF254" s="177">
        <f t="shared" si="93"/>
        <v>8.8844997409291471E-2</v>
      </c>
      <c r="AG254" s="817">
        <f t="shared" si="99"/>
        <v>0</v>
      </c>
      <c r="AH254" s="176">
        <f t="shared" si="94"/>
        <v>6</v>
      </c>
      <c r="AI254" s="225">
        <f t="shared" si="95"/>
        <v>8.8844997409291471E-2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45167</v>
      </c>
      <c r="B255" s="411">
        <f>'2022'!Wh/'2022'!Env_an*'2023'!Env_an</f>
        <v>22.122775866004499</v>
      </c>
      <c r="C255" s="846"/>
      <c r="D255" s="393">
        <f t="shared" si="77"/>
        <v>23.09216435885504</v>
      </c>
      <c r="E255" s="385">
        <f t="shared" si="100"/>
        <v>24.019111279430788</v>
      </c>
      <c r="F255" s="385">
        <f t="shared" si="78"/>
        <v>24.019114552768094</v>
      </c>
      <c r="G255" s="110">
        <f t="shared" si="101"/>
        <v>0.64794798576612611</v>
      </c>
      <c r="H255" s="414" t="b">
        <f>Wh_hp&gt;='2022'!Maxi_hp</f>
        <v>0</v>
      </c>
      <c r="I255" s="390">
        <f>IF(H255,Wh_hp,'2022'!Maxi_hp)</f>
        <v>37.163900184673778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4.1979109354416733E-2</v>
      </c>
      <c r="M255" s="850"/>
      <c r="N255" s="850"/>
      <c r="O255" s="48">
        <f>IF(t&lt;Tnet,'2022'!Resal+('2022'!Salim-'2022'!Resal)*(1-EXP(('2022'!Tnet-t)/('2022'!Tau_j))),Resal+(Salim-Resal)*(1-EXP((Tnet-t)/(Tau_j))))*Salcycl</f>
        <v>3.8592057374310734E-2</v>
      </c>
      <c r="P255" s="169">
        <f>(INDEX(Models!$BJ255:$BT255,,T255)*(1-R255)+INDEX(Models!$BJ255:$BT255,,T255+1)*R255-ERP_i)*Q255*Ramure*Pc/MaxiM</f>
        <v>2.7416838173916677E-7</v>
      </c>
      <c r="Q255" s="305">
        <f t="shared" si="80"/>
        <v>0.7</v>
      </c>
      <c r="R255" s="177">
        <f t="shared" si="81"/>
        <v>8.9281821320735477E-2</v>
      </c>
      <c r="S255" s="817">
        <f t="shared" si="82"/>
        <v>0</v>
      </c>
      <c r="T255" s="176">
        <f t="shared" si="83"/>
        <v>6</v>
      </c>
      <c r="U255" s="251">
        <f t="shared" si="84"/>
        <v>8.9281821320735477E-2</v>
      </c>
      <c r="V255" s="383">
        <f t="shared" si="85"/>
        <v>34.142822111537257</v>
      </c>
      <c r="W255" s="402">
        <f t="shared" si="86"/>
        <v>22.122775866004499</v>
      </c>
      <c r="X255" s="157">
        <f t="shared" si="87"/>
        <v>45167</v>
      </c>
      <c r="Y255" s="385">
        <f t="shared" si="88"/>
        <v>20.390555645901852</v>
      </c>
      <c r="Z255" s="385">
        <f t="shared" si="89"/>
        <v>21.284040718737597</v>
      </c>
      <c r="AA255" s="386">
        <f t="shared" si="90"/>
        <v>24.019111279430788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0.11387059782829763</v>
      </c>
      <c r="AD255" s="231">
        <f>(INDEX(Models!$BJ255:$BT255,,AH255)*(1-AF255)+INDEX(Models!$BJ255:$BT255,,AH255+1)*AF255-ERP_i)*AE255*Ramure*Pc/MaxiM</f>
        <v>2.7416838173916677E-7</v>
      </c>
      <c r="AE255" s="305">
        <f t="shared" si="92"/>
        <v>0.7</v>
      </c>
      <c r="AF255" s="177">
        <f t="shared" si="93"/>
        <v>8.9281821320735477E-2</v>
      </c>
      <c r="AG255" s="817">
        <f t="shared" si="99"/>
        <v>0</v>
      </c>
      <c r="AH255" s="176">
        <f t="shared" si="94"/>
        <v>6</v>
      </c>
      <c r="AI255" s="225">
        <f t="shared" si="95"/>
        <v>8.9281821320735477E-2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45168</v>
      </c>
      <c r="B256" s="411">
        <f>'2022'!Wh/'2022'!Env_an*'2023'!Env_an</f>
        <v>31.891030811940581</v>
      </c>
      <c r="C256" s="846"/>
      <c r="D256" s="393">
        <f t="shared" si="77"/>
        <v>33.289179426108106</v>
      </c>
      <c r="E256" s="385">
        <f t="shared" si="100"/>
        <v>34.630993917648716</v>
      </c>
      <c r="F256" s="385">
        <f t="shared" si="78"/>
        <v>34.631004210669197</v>
      </c>
      <c r="G256" s="110">
        <f t="shared" si="101"/>
        <v>0.93768942564878222</v>
      </c>
      <c r="H256" s="414" t="b">
        <f>Wh_hp&gt;='2022'!Maxi_hp</f>
        <v>0</v>
      </c>
      <c r="I256" s="390">
        <f>IF(H256,Wh_hp,'2022'!Maxi_hp)</f>
        <v>35.748351799960105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4.2000092470617645E-2</v>
      </c>
      <c r="M256" s="850"/>
      <c r="N256" s="850"/>
      <c r="O256" s="48">
        <f>IF(t&lt;Tnet,'2022'!Resal+('2022'!Salim-'2022'!Resal)*(1-EXP(('2022'!Tnet-t)/('2022'!Tau_j))),Resal+(Salim-Resal)*(1-EXP((Tnet-t)/(Tau_j))))*Salcycl</f>
        <v>3.8746057786599966E-2</v>
      </c>
      <c r="P256" s="169">
        <f>(INDEX(Models!$BJ256:$BT256,,T256)*(1-R256)+INDEX(Models!$BJ256:$BT256,,T256+1)*R256-ERP_i)*Q256*Ramure*Pc/MaxiM</f>
        <v>3.2626204781519692E-7</v>
      </c>
      <c r="Q256" s="305">
        <f t="shared" si="80"/>
        <v>0.7</v>
      </c>
      <c r="R256" s="177">
        <f t="shared" si="81"/>
        <v>8.9702299944137254E-2</v>
      </c>
      <c r="S256" s="817">
        <f t="shared" si="82"/>
        <v>0</v>
      </c>
      <c r="T256" s="176">
        <f t="shared" si="83"/>
        <v>6</v>
      </c>
      <c r="U256" s="251">
        <f t="shared" si="84"/>
        <v>8.9702299944137254E-2</v>
      </c>
      <c r="V256" s="383">
        <f t="shared" si="85"/>
        <v>34.010226641607012</v>
      </c>
      <c r="W256" s="402">
        <f t="shared" si="86"/>
        <v>31.891030811940581</v>
      </c>
      <c r="X256" s="157">
        <f t="shared" si="87"/>
        <v>45168</v>
      </c>
      <c r="Y256" s="385">
        <f t="shared" si="88"/>
        <v>29.397209440563262</v>
      </c>
      <c r="Z256" s="385">
        <f t="shared" si="89"/>
        <v>30.686025342504152</v>
      </c>
      <c r="AA256" s="386">
        <f t="shared" si="90"/>
        <v>34.630993917648716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0.11391439080626908</v>
      </c>
      <c r="AD256" s="231">
        <f>(INDEX(Models!$BJ256:$BT256,,AH256)*(1-AF256)+INDEX(Models!$BJ256:$BT256,,AH256+1)*AF256-ERP_i)*AE256*Ramure*Pc/MaxiM</f>
        <v>3.2626204781519692E-7</v>
      </c>
      <c r="AE256" s="305">
        <f t="shared" si="92"/>
        <v>0.7</v>
      </c>
      <c r="AF256" s="177">
        <f t="shared" si="93"/>
        <v>8.9702299944137254E-2</v>
      </c>
      <c r="AG256" s="817">
        <f t="shared" si="99"/>
        <v>0</v>
      </c>
      <c r="AH256" s="176">
        <f t="shared" si="94"/>
        <v>6</v>
      </c>
      <c r="AI256" s="225">
        <f t="shared" si="95"/>
        <v>8.9702299944137254E-2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45169</v>
      </c>
      <c r="B257" s="411">
        <f>'2022'!Wh/'2022'!Env_an*'2023'!Env_an</f>
        <v>14.943273034264516</v>
      </c>
      <c r="C257" s="846"/>
      <c r="D257" s="393">
        <f t="shared" si="77"/>
        <v>15.598749248319022</v>
      </c>
      <c r="E257" s="385">
        <f t="shared" si="100"/>
        <v>16.230094021660886</v>
      </c>
      <c r="F257" s="385">
        <f t="shared" si="78"/>
        <v>16.230095296193955</v>
      </c>
      <c r="G257" s="110">
        <f t="shared" si="101"/>
        <v>0.44116051781993348</v>
      </c>
      <c r="H257" s="414" t="b">
        <f>Wh_hp&gt;='2022'!Maxi_hp</f>
        <v>0</v>
      </c>
      <c r="I257" s="390">
        <f>IF(H257,Wh_hp,'2022'!Maxi_hp)</f>
        <v>35.974532803787852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4.202107512723452E-2</v>
      </c>
      <c r="M257" s="850"/>
      <c r="N257" s="850"/>
      <c r="O257" s="48">
        <f>IF(t&lt;Tnet,'2022'!Resal+('2022'!Salim-'2022'!Resal)*(1-EXP(('2022'!Tnet-t)/('2022'!Tau_j))),Resal+(Salim-Resal)*(1-EXP((Tnet-t)/(Tau_j))))*Salcycl</f>
        <v>3.8899637457384041E-2</v>
      </c>
      <c r="P257" s="169">
        <f>(INDEX(Models!$BJ257:$BT257,,T257)*(1-R257)+INDEX(Models!$BJ257:$BT257,,T257+1)*R257-ERP_i)*Q257*Ramure*Pc/MaxiM</f>
        <v>3.8941655754005821E-7</v>
      </c>
      <c r="Q257" s="305">
        <f t="shared" si="80"/>
        <v>0.7</v>
      </c>
      <c r="R257" s="177">
        <f t="shared" si="81"/>
        <v>9.0106998341400735E-2</v>
      </c>
      <c r="S257" s="817">
        <f t="shared" si="82"/>
        <v>0</v>
      </c>
      <c r="T257" s="176">
        <f t="shared" si="83"/>
        <v>6</v>
      </c>
      <c r="U257" s="251">
        <f t="shared" si="84"/>
        <v>9.0106998341400735E-2</v>
      </c>
      <c r="V257" s="383">
        <f t="shared" si="85"/>
        <v>33.872633168604956</v>
      </c>
      <c r="W257" s="402">
        <f t="shared" si="86"/>
        <v>14.943273034264516</v>
      </c>
      <c r="X257" s="157">
        <f t="shared" si="87"/>
        <v>45169</v>
      </c>
      <c r="Y257" s="385">
        <f t="shared" si="88"/>
        <v>13.776265439823529</v>
      </c>
      <c r="Z257" s="385">
        <f t="shared" si="89"/>
        <v>14.380551682442524</v>
      </c>
      <c r="AA257" s="386">
        <f t="shared" si="90"/>
        <v>16.230094021660886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0.11395758624379745</v>
      </c>
      <c r="AD257" s="231">
        <f>(INDEX(Models!$BJ257:$BT257,,AH257)*(1-AF257)+INDEX(Models!$BJ257:$BT257,,AH257+1)*AF257-ERP_i)*AE257*Ramure*Pc/MaxiM</f>
        <v>3.8941655754005821E-7</v>
      </c>
      <c r="AE257" s="305">
        <f t="shared" si="92"/>
        <v>0.7</v>
      </c>
      <c r="AF257" s="177">
        <f t="shared" si="93"/>
        <v>9.0106998341400735E-2</v>
      </c>
      <c r="AG257" s="817">
        <f t="shared" si="99"/>
        <v>0</v>
      </c>
      <c r="AH257" s="176">
        <f t="shared" si="94"/>
        <v>6</v>
      </c>
      <c r="AI257" s="225">
        <f t="shared" si="95"/>
        <v>9.0106998341400735E-2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45170</v>
      </c>
      <c r="B258" s="411">
        <f>'2022'!Wh/'2022'!Env_an*'2023'!Env_an</f>
        <v>28.181929464075711</v>
      </c>
      <c r="C258" s="846"/>
      <c r="D258" s="393">
        <f t="shared" si="77"/>
        <v>29.418754423977408</v>
      </c>
      <c r="E258" s="385">
        <f t="shared" si="100"/>
        <v>30.614329332044761</v>
      </c>
      <c r="F258" s="385">
        <f t="shared" si="78"/>
        <v>30.614340197107833</v>
      </c>
      <c r="G258" s="110">
        <f t="shared" si="101"/>
        <v>0.83553114207473045</v>
      </c>
      <c r="H258" s="414" t="b">
        <f>Wh_hp&gt;='2022'!Maxi_hp</f>
        <v>0</v>
      </c>
      <c r="I258" s="390">
        <f>IF(H258,Wh_hp,'2022'!Maxi_hp)</f>
        <v>36.800779305473014</v>
      </c>
      <c r="J258" s="85">
        <f>IF(H258,An,'2022'!An_max)</f>
        <v>2018</v>
      </c>
      <c r="K258" s="197">
        <f t="shared" si="79"/>
        <v>45170</v>
      </c>
      <c r="L258" s="147">
        <f>IF(t&lt;Tvie,1-EXP((T0-t)*PertePVj)+'2022'!Pspv,1-EXP((T0-t)*PertePVj)+Pspv)</f>
        <v>4.2042057324277349E-2</v>
      </c>
      <c r="M258" s="850"/>
      <c r="N258" s="850"/>
      <c r="O258" s="48">
        <f>IF(t&lt;Tnet,'2022'!Resal+('2022'!Salim-'2022'!Resal)*(1-EXP(('2022'!Tnet-t)/('2022'!Tau_j))),Resal+(Salim-Resal)*(1-EXP((Tnet-t)/(Tau_j))))*Salcycl</f>
        <v>3.9052787833438303E-2</v>
      </c>
      <c r="P258" s="169">
        <f>(INDEX(Models!$BJ258:$BT258,,T258)*(1-R258)+INDEX(Models!$BJ258:$BT258,,T258+1)*R258-ERP_i)*Q258*Ramure*Pc/MaxiM</f>
        <v>4.638959522085735E-7</v>
      </c>
      <c r="Q258" s="305">
        <f t="shared" si="80"/>
        <v>0.7</v>
      </c>
      <c r="R258" s="177">
        <f t="shared" si="81"/>
        <v>9.04964656112765E-2</v>
      </c>
      <c r="S258" s="817">
        <f t="shared" si="82"/>
        <v>0</v>
      </c>
      <c r="T258" s="176">
        <f t="shared" si="83"/>
        <v>6</v>
      </c>
      <c r="U258" s="251">
        <f t="shared" si="84"/>
        <v>9.04964656112765E-2</v>
      </c>
      <c r="V258" s="383">
        <f t="shared" si="85"/>
        <v>33.729354865708679</v>
      </c>
      <c r="W258" s="402">
        <f t="shared" si="86"/>
        <v>28.181929464075711</v>
      </c>
      <c r="X258" s="157">
        <f t="shared" si="87"/>
        <v>45170</v>
      </c>
      <c r="Y258" s="385">
        <f t="shared" si="88"/>
        <v>25.983929788619751</v>
      </c>
      <c r="Z258" s="385">
        <f t="shared" si="89"/>
        <v>27.124290776318084</v>
      </c>
      <c r="AA258" s="386">
        <f t="shared" si="90"/>
        <v>30.614329332044761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0.11400016371005613</v>
      </c>
      <c r="AD258" s="231">
        <f>(INDEX(Models!$BJ258:$BT258,,AH258)*(1-AF258)+INDEX(Models!$BJ258:$BT258,,AH258+1)*AF258-ERP_i)*AE258*Ramure*Pc/MaxiM</f>
        <v>4.638959522085735E-7</v>
      </c>
      <c r="AE258" s="305">
        <f t="shared" si="92"/>
        <v>0.7</v>
      </c>
      <c r="AF258" s="177">
        <f t="shared" si="93"/>
        <v>9.04964656112765E-2</v>
      </c>
      <c r="AG258" s="817">
        <f t="shared" si="99"/>
        <v>0</v>
      </c>
      <c r="AH258" s="176">
        <f t="shared" si="94"/>
        <v>6</v>
      </c>
      <c r="AI258" s="225">
        <f t="shared" si="95"/>
        <v>9.04964656112765E-2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45171</v>
      </c>
      <c r="B259" s="411">
        <f>'2022'!Wh/'2022'!Env_an*'2023'!Env_an</f>
        <v>27.788665255970116</v>
      </c>
      <c r="C259" s="846"/>
      <c r="D259" s="393">
        <f t="shared" si="77"/>
        <v>29.008866333701885</v>
      </c>
      <c r="E259" s="385">
        <f t="shared" si="100"/>
        <v>30.192581591277897</v>
      </c>
      <c r="F259" s="385">
        <f t="shared" si="78"/>
        <v>30.192594105508679</v>
      </c>
      <c r="G259" s="110">
        <f t="shared" si="101"/>
        <v>0.82754333792726342</v>
      </c>
      <c r="H259" s="414" t="b">
        <f>Wh_hp&gt;='2022'!Maxi_hp</f>
        <v>0</v>
      </c>
      <c r="I259" s="390">
        <f>IF(H259,Wh_hp,'2022'!Maxi_hp)</f>
        <v>34.771079559810111</v>
      </c>
      <c r="J259" s="85">
        <f>IF(H259,An,'2022'!An_max)</f>
        <v>2018</v>
      </c>
      <c r="K259" s="197">
        <f t="shared" si="79"/>
        <v>45171</v>
      </c>
      <c r="L259" s="147">
        <f>IF(t&lt;Tvie,1-EXP((T0-t)*PertePVj)+'2022'!Pspv,1-EXP((T0-t)*PertePVj)+Pspv)</f>
        <v>4.2063039061756236E-2</v>
      </c>
      <c r="M259" s="850"/>
      <c r="N259" s="850"/>
      <c r="O259" s="48">
        <f>IF(t&lt;Tnet,'2022'!Resal+('2022'!Salim-'2022'!Resal)*(1-EXP(('2022'!Tnet-t)/('2022'!Tau_j))),Resal+(Salim-Resal)*(1-EXP((Tnet-t)/(Tau_j))))*Salcycl</f>
        <v>3.9205499999972325E-2</v>
      </c>
      <c r="P259" s="169">
        <f>(INDEX(Models!$BJ259:$BT259,,T259)*(1-R259)+INDEX(Models!$BJ259:$BT259,,T259+1)*R259-ERP_i)*Q259*Ramure*Pc/MaxiM</f>
        <v>5.4997574411200436E-7</v>
      </c>
      <c r="Q259" s="305">
        <f t="shared" si="80"/>
        <v>0.7</v>
      </c>
      <c r="R259" s="177">
        <f t="shared" si="81"/>
        <v>9.0871235057072841E-2</v>
      </c>
      <c r="S259" s="817">
        <f t="shared" si="82"/>
        <v>0</v>
      </c>
      <c r="T259" s="176">
        <f t="shared" si="83"/>
        <v>6</v>
      </c>
      <c r="U259" s="251">
        <f t="shared" si="84"/>
        <v>9.0871235057072841E-2</v>
      </c>
      <c r="V259" s="383">
        <f t="shared" si="85"/>
        <v>33.579705396854017</v>
      </c>
      <c r="W259" s="402">
        <f t="shared" si="86"/>
        <v>27.788665255970116</v>
      </c>
      <c r="X259" s="157">
        <f t="shared" si="87"/>
        <v>45171</v>
      </c>
      <c r="Y259" s="385">
        <f t="shared" si="88"/>
        <v>25.624196910701091</v>
      </c>
      <c r="Z259" s="385">
        <f t="shared" si="89"/>
        <v>26.749356122143649</v>
      </c>
      <c r="AA259" s="386">
        <f t="shared" si="90"/>
        <v>30.192581591277897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0.11404210198868638</v>
      </c>
      <c r="AD259" s="231">
        <f>(INDEX(Models!$BJ259:$BT259,,AH259)*(1-AF259)+INDEX(Models!$BJ259:$BT259,,AH259+1)*AF259-ERP_i)*AE259*Ramure*Pc/MaxiM</f>
        <v>5.4997574411200436E-7</v>
      </c>
      <c r="AE259" s="305">
        <f t="shared" si="92"/>
        <v>0.7</v>
      </c>
      <c r="AF259" s="177">
        <f t="shared" si="93"/>
        <v>9.0871235057072841E-2</v>
      </c>
      <c r="AG259" s="817">
        <f t="shared" si="99"/>
        <v>0</v>
      </c>
      <c r="AH259" s="176">
        <f t="shared" si="94"/>
        <v>6</v>
      </c>
      <c r="AI259" s="225">
        <f t="shared" si="95"/>
        <v>9.0871235057072841E-2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45172</v>
      </c>
      <c r="B260" s="411">
        <f>'2022'!Wh/'2022'!Env_an*'2023'!Env_an</f>
        <v>26.994612862427978</v>
      </c>
      <c r="C260" s="846"/>
      <c r="D260" s="393">
        <f t="shared" si="77"/>
        <v>28.180564303771597</v>
      </c>
      <c r="E260" s="385">
        <f t="shared" si="100"/>
        <v>29.335129423839433</v>
      </c>
      <c r="F260" s="385">
        <f t="shared" si="78"/>
        <v>29.335143208853626</v>
      </c>
      <c r="G260" s="110">
        <f t="shared" si="101"/>
        <v>0.80766564728140922</v>
      </c>
      <c r="H260" s="414" t="b">
        <f>Wh_hp&gt;='2022'!Maxi_hp</f>
        <v>0</v>
      </c>
      <c r="I260" s="390">
        <f>IF(H260,Wh_hp,'2022'!Maxi_hp)</f>
        <v>37.558631129408738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4.2084020339681172E-2</v>
      </c>
      <c r="M260" s="850"/>
      <c r="N260" s="850"/>
      <c r="O260" s="48">
        <f>IF(t&lt;Tnet,'2022'!Resal+('2022'!Salim-'2022'!Resal)*(1-EXP(('2022'!Tnet-t)/('2022'!Tau_j))),Resal+(Salim-Resal)*(1-EXP((Tnet-t)/(Tau_j))))*Salcycl</f>
        <v>3.9357764657740685E-2</v>
      </c>
      <c r="P260" s="169">
        <f>(INDEX(Models!$BJ260:$BT260,,T260)*(1-R260)+INDEX(Models!$BJ260:$BT260,,T260+1)*R260-ERP_i)*Q260*Ramure*Pc/MaxiM</f>
        <v>6.4794649570742674E-7</v>
      </c>
      <c r="Q260" s="305">
        <f t="shared" si="80"/>
        <v>0.7</v>
      </c>
      <c r="R260" s="177">
        <f t="shared" si="81"/>
        <v>9.1231824378596782E-2</v>
      </c>
      <c r="S260" s="817">
        <f t="shared" si="82"/>
        <v>0</v>
      </c>
      <c r="T260" s="176">
        <f t="shared" si="83"/>
        <v>6</v>
      </c>
      <c r="U260" s="251">
        <f t="shared" si="84"/>
        <v>9.1231824378596782E-2</v>
      </c>
      <c r="V260" s="383">
        <f t="shared" si="85"/>
        <v>33.422998919650745</v>
      </c>
      <c r="W260" s="402">
        <f t="shared" si="86"/>
        <v>26.994612862427978</v>
      </c>
      <c r="X260" s="157">
        <f t="shared" si="87"/>
        <v>45172</v>
      </c>
      <c r="Y260" s="385">
        <f t="shared" si="88"/>
        <v>24.894779067386867</v>
      </c>
      <c r="Z260" s="385">
        <f t="shared" si="89"/>
        <v>25.988478735070967</v>
      </c>
      <c r="AA260" s="386">
        <f t="shared" si="90"/>
        <v>29.335129423839433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0.11408337902367602</v>
      </c>
      <c r="AD260" s="231">
        <f>(INDEX(Models!$BJ260:$BT260,,AH260)*(1-AF260)+INDEX(Models!$BJ260:$BT260,,AH260+1)*AF260-ERP_i)*AE260*Ramure*Pc/MaxiM</f>
        <v>6.4794649570742674E-7</v>
      </c>
      <c r="AE260" s="305">
        <f t="shared" si="92"/>
        <v>0.7</v>
      </c>
      <c r="AF260" s="177">
        <f t="shared" si="93"/>
        <v>9.1231824378596782E-2</v>
      </c>
      <c r="AG260" s="817">
        <f t="shared" si="99"/>
        <v>0</v>
      </c>
      <c r="AH260" s="176">
        <f t="shared" si="94"/>
        <v>6</v>
      </c>
      <c r="AI260" s="225">
        <f t="shared" si="95"/>
        <v>9.1231824378596782E-2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45173</v>
      </c>
      <c r="B261" s="411">
        <f>'2022'!Wh/'2022'!Env_an*'2023'!Env_an</f>
        <v>29.908119224843379</v>
      </c>
      <c r="C261" s="846"/>
      <c r="D261" s="393">
        <f t="shared" si="77"/>
        <v>31.222753288200973</v>
      </c>
      <c r="E261" s="385">
        <f t="shared" si="100"/>
        <v>32.507094689576242</v>
      </c>
      <c r="F261" s="385">
        <f t="shared" si="78"/>
        <v>32.507115786473165</v>
      </c>
      <c r="G261" s="110">
        <f t="shared" si="101"/>
        <v>0.89924898711116985</v>
      </c>
      <c r="H261" s="414" t="b">
        <f>Wh_hp&gt;='2022'!Maxi_hp</f>
        <v>0</v>
      </c>
      <c r="I261" s="390">
        <f>IF(H261,Wh_hp,'2022'!Maxi_hp)</f>
        <v>36.263260924320456</v>
      </c>
      <c r="J261" s="85">
        <f>IF(H261,An,'2022'!An_max)</f>
        <v>2019</v>
      </c>
      <c r="K261" s="197">
        <f t="shared" si="79"/>
        <v>45173</v>
      </c>
      <c r="L261" s="147">
        <f>IF(t&lt;Tvie,1-EXP((T0-t)*PertePVj)+'2022'!Pspv,1-EXP((T0-t)*PertePVj)+Pspv)</f>
        <v>4.2105001158062261E-2</v>
      </c>
      <c r="M261" s="850"/>
      <c r="N261" s="850"/>
      <c r="O261" s="48">
        <f>IF(t&lt;Tnet,'2022'!Resal+('2022'!Salim-'2022'!Resal)*(1-EXP(('2022'!Tnet-t)/('2022'!Tau_j))),Resal+(Salim-Resal)*(1-EXP((Tnet-t)/(Tau_j))))*Salcycl</f>
        <v>3.9509572099259413E-2</v>
      </c>
      <c r="P261" s="169">
        <f>(INDEX(Models!$BJ261:$BT261,,T261)*(1-R261)+INDEX(Models!$BJ261:$BT261,,T261+1)*R261-ERP_i)*Q261*Ramure*Pc/MaxiM</f>
        <v>7.581075172203292E-7</v>
      </c>
      <c r="Q261" s="305">
        <f t="shared" si="80"/>
        <v>0.7</v>
      </c>
      <c r="R261" s="177">
        <f t="shared" si="81"/>
        <v>9.1578735885583795E-2</v>
      </c>
      <c r="S261" s="817">
        <f t="shared" si="82"/>
        <v>0</v>
      </c>
      <c r="T261" s="176">
        <f t="shared" si="83"/>
        <v>6</v>
      </c>
      <c r="U261" s="251">
        <f t="shared" si="84"/>
        <v>9.1578735885583795E-2</v>
      </c>
      <c r="V261" s="383">
        <f t="shared" si="85"/>
        <v>33.258993215568331</v>
      </c>
      <c r="W261" s="402">
        <f t="shared" si="86"/>
        <v>29.908119224843379</v>
      </c>
      <c r="X261" s="157">
        <f t="shared" si="87"/>
        <v>45173</v>
      </c>
      <c r="Y261" s="385">
        <f t="shared" si="88"/>
        <v>27.584747435576922</v>
      </c>
      <c r="Z261" s="385">
        <f t="shared" si="89"/>
        <v>28.797255929852373</v>
      </c>
      <c r="AA261" s="386">
        <f t="shared" si="90"/>
        <v>32.507094689576242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0.11412397186370116</v>
      </c>
      <c r="AD261" s="231">
        <f>(INDEX(Models!$BJ261:$BT261,,AH261)*(1-AF261)+INDEX(Models!$BJ261:$BT261,,AH261+1)*AF261-ERP_i)*AE261*Ramure*Pc/MaxiM</f>
        <v>7.581075172203292E-7</v>
      </c>
      <c r="AE261" s="305">
        <f t="shared" si="92"/>
        <v>0.7</v>
      </c>
      <c r="AF261" s="177">
        <f t="shared" si="93"/>
        <v>9.1578735885583795E-2</v>
      </c>
      <c r="AG261" s="817">
        <f t="shared" si="99"/>
        <v>0</v>
      </c>
      <c r="AH261" s="176">
        <f t="shared" si="94"/>
        <v>6</v>
      </c>
      <c r="AI261" s="225">
        <f t="shared" si="95"/>
        <v>9.1578735885583795E-2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45174</v>
      </c>
      <c r="B262" s="411">
        <f>'2022'!Wh/'2022'!Env_an*'2023'!Env_an</f>
        <v>26.509986816487654</v>
      </c>
      <c r="C262" s="846"/>
      <c r="D262" s="393">
        <f t="shared" si="77"/>
        <v>27.675859564986876</v>
      </c>
      <c r="E262" s="385">
        <f t="shared" si="100"/>
        <v>28.818841090752883</v>
      </c>
      <c r="F262" s="385">
        <f t="shared" si="78"/>
        <v>28.8188597051304</v>
      </c>
      <c r="G262" s="110">
        <f t="shared" si="101"/>
        <v>0.80118896877693091</v>
      </c>
      <c r="H262" s="414" t="b">
        <f>Wh_hp&gt;='2022'!Maxi_hp</f>
        <v>0</v>
      </c>
      <c r="I262" s="390">
        <f>IF(H262,Wh_hp,'2022'!Maxi_hp)</f>
        <v>35.661957440699879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4.2125981516909605E-2</v>
      </c>
      <c r="M262" s="850"/>
      <c r="N262" s="850"/>
      <c r="O262" s="48">
        <f>IF(t&lt;Tnet,'2022'!Resal+('2022'!Salim-'2022'!Resal)*(1-EXP(('2022'!Tnet-t)/('2022'!Tau_j))),Resal+(Salim-Resal)*(1-EXP((Tnet-t)/(Tau_j))))*Salcycl</f>
        <v>3.9660912184728933E-2</v>
      </c>
      <c r="P262" s="169">
        <f>(INDEX(Models!$BJ262:$BT262,,T262)*(1-R262)+INDEX(Models!$BJ262:$BT262,,T262+1)*R262-ERP_i)*Q262*Ramure*Pc/MaxiM</f>
        <v>9.0212783540362367E-7</v>
      </c>
      <c r="Q262" s="305">
        <f t="shared" si="80"/>
        <v>0.7</v>
      </c>
      <c r="R262" s="177">
        <f t="shared" si="81"/>
        <v>9.1912456730055658E-2</v>
      </c>
      <c r="S262" s="817">
        <f t="shared" si="82"/>
        <v>0</v>
      </c>
      <c r="T262" s="176">
        <f t="shared" si="83"/>
        <v>6</v>
      </c>
      <c r="U262" s="251">
        <f t="shared" si="84"/>
        <v>9.1912456730055658E-2</v>
      </c>
      <c r="V262" s="383">
        <f t="shared" si="85"/>
        <v>33.088298837426485</v>
      </c>
      <c r="W262" s="402">
        <f t="shared" si="86"/>
        <v>26.509986816487654</v>
      </c>
      <c r="X262" s="157">
        <f t="shared" si="87"/>
        <v>45174</v>
      </c>
      <c r="Y262" s="385">
        <f t="shared" si="88"/>
        <v>24.45334651154193</v>
      </c>
      <c r="Z262" s="385">
        <f t="shared" si="89"/>
        <v>25.528771048897191</v>
      </c>
      <c r="AA262" s="386">
        <f t="shared" si="90"/>
        <v>28.818841090752883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0.11416385660668982</v>
      </c>
      <c r="AD262" s="231">
        <f>(INDEX(Models!$BJ262:$BT262,,AH262)*(1-AF262)+INDEX(Models!$BJ262:$BT262,,AH262+1)*AF262-ERP_i)*AE262*Ramure*Pc/MaxiM</f>
        <v>9.0212783540362367E-7</v>
      </c>
      <c r="AE262" s="305">
        <f t="shared" si="92"/>
        <v>0.7</v>
      </c>
      <c r="AF262" s="177">
        <f t="shared" si="93"/>
        <v>9.1912456730055658E-2</v>
      </c>
      <c r="AG262" s="817">
        <f t="shared" si="99"/>
        <v>0</v>
      </c>
      <c r="AH262" s="176">
        <f t="shared" si="94"/>
        <v>6</v>
      </c>
      <c r="AI262" s="225">
        <f t="shared" si="95"/>
        <v>9.1912456730055658E-2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45175</v>
      </c>
      <c r="B263" s="411">
        <f>'2022'!Wh/'2022'!Env_an*'2023'!Env_an</f>
        <v>30.314395652350118</v>
      </c>
      <c r="C263" s="846"/>
      <c r="D263" s="393">
        <f t="shared" si="77"/>
        <v>31.648274245881662</v>
      </c>
      <c r="E263" s="385">
        <f t="shared" si="100"/>
        <v>32.9604898283485</v>
      </c>
      <c r="F263" s="385">
        <f t="shared" si="78"/>
        <v>32.960521422401001</v>
      </c>
      <c r="G263" s="110">
        <f t="shared" si="101"/>
        <v>0.92108784372848962</v>
      </c>
      <c r="H263" s="414" t="b">
        <f>Wh_hp&gt;='2022'!Maxi_hp</f>
        <v>0</v>
      </c>
      <c r="I263" s="390">
        <f>IF(H263,Wh_hp,'2022'!Maxi_hp)</f>
        <v>37.214641888290501</v>
      </c>
      <c r="J263" s="85">
        <f>IF(H263,An,'2022'!An_max)</f>
        <v>2019</v>
      </c>
      <c r="K263" s="197">
        <f t="shared" si="79"/>
        <v>45175</v>
      </c>
      <c r="L263" s="147">
        <f>IF(t&lt;Tvie,1-EXP((T0-t)*PertePVj)+'2022'!Pspv,1-EXP((T0-t)*PertePVj)+Pspv)</f>
        <v>4.2146961416233308E-2</v>
      </c>
      <c r="M263" s="850"/>
      <c r="N263" s="850"/>
      <c r="O263" s="48">
        <f>IF(t&lt;Tnet,'2022'!Resal+('2022'!Salim-'2022'!Resal)*(1-EXP(('2022'!Tnet-t)/('2022'!Tau_j))),Resal+(Salim-Resal)*(1-EXP((Tnet-t)/(Tau_j))))*Salcycl</f>
        <v>3.9811774318300172E-2</v>
      </c>
      <c r="P263" s="169">
        <f>(INDEX(Models!$BJ263:$BT263,,T263)*(1-R263)+INDEX(Models!$BJ263:$BT263,,T263+1)*R263-ERP_i)*Q263*Ramure*Pc/MaxiM</f>
        <v>1.0803293985728075E-6</v>
      </c>
      <c r="Q263" s="305">
        <f t="shared" si="80"/>
        <v>0.7</v>
      </c>
      <c r="R263" s="177">
        <f t="shared" si="81"/>
        <v>9.223345915522102E-2</v>
      </c>
      <c r="S263" s="817">
        <f t="shared" si="82"/>
        <v>0</v>
      </c>
      <c r="T263" s="176">
        <f t="shared" si="83"/>
        <v>6</v>
      </c>
      <c r="U263" s="251">
        <f t="shared" si="84"/>
        <v>9.223345915522102E-2</v>
      </c>
      <c r="V263" s="383">
        <f t="shared" si="85"/>
        <v>32.911510196174845</v>
      </c>
      <c r="W263" s="402">
        <f t="shared" si="86"/>
        <v>30.314395652350118</v>
      </c>
      <c r="X263" s="157">
        <f t="shared" si="87"/>
        <v>45175</v>
      </c>
      <c r="Y263" s="385">
        <f t="shared" si="88"/>
        <v>27.965767288579137</v>
      </c>
      <c r="Z263" s="385">
        <f t="shared" si="89"/>
        <v>29.196302733379554</v>
      </c>
      <c r="AA263" s="386">
        <f t="shared" si="90"/>
        <v>32.9604898283485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0.11420300834641921</v>
      </c>
      <c r="AD263" s="231">
        <f>(INDEX(Models!$BJ263:$BT263,,AH263)*(1-AF263)+INDEX(Models!$BJ263:$BT263,,AH263+1)*AF263-ERP_i)*AE263*Ramure*Pc/MaxiM</f>
        <v>1.0803293985728075E-6</v>
      </c>
      <c r="AE263" s="305">
        <f t="shared" si="92"/>
        <v>0.7</v>
      </c>
      <c r="AF263" s="177">
        <f t="shared" si="93"/>
        <v>9.223345915522102E-2</v>
      </c>
      <c r="AG263" s="817">
        <f t="shared" si="99"/>
        <v>0</v>
      </c>
      <c r="AH263" s="176">
        <f t="shared" si="94"/>
        <v>6</v>
      </c>
      <c r="AI263" s="225">
        <f t="shared" si="95"/>
        <v>9.223345915522102E-2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45176</v>
      </c>
      <c r="B264" s="411">
        <f>'2022'!Wh/'2022'!Env_an*'2023'!Env_an</f>
        <v>23.025209715841228</v>
      </c>
      <c r="C264" s="846"/>
      <c r="D264" s="393">
        <f t="shared" si="77"/>
        <v>24.038879776502313</v>
      </c>
      <c r="E264" s="385">
        <f t="shared" si="100"/>
        <v>25.039512465091136</v>
      </c>
      <c r="F264" s="385">
        <f t="shared" si="78"/>
        <v>25.039531135574034</v>
      </c>
      <c r="G264" s="110">
        <f t="shared" si="101"/>
        <v>0.70350580362393111</v>
      </c>
      <c r="H264" s="414" t="b">
        <f>Wh_hp&gt;='2022'!Maxi_hp</f>
        <v>0</v>
      </c>
      <c r="I264" s="390">
        <f>IF(H264,Wh_hp,'2022'!Maxi_hp)</f>
        <v>35.695847850032024</v>
      </c>
      <c r="J264" s="85">
        <f>IF(H264,An,'2022'!An_max)</f>
        <v>2019</v>
      </c>
      <c r="K264" s="197">
        <f t="shared" si="79"/>
        <v>45176</v>
      </c>
      <c r="L264" s="147">
        <f>IF(t&lt;Tvie,1-EXP((T0-t)*PertePVj)+'2022'!Pspv,1-EXP((T0-t)*PertePVj)+Pspv)</f>
        <v>4.2167940856043251E-2</v>
      </c>
      <c r="M264" s="850"/>
      <c r="N264" s="850"/>
      <c r="O264" s="48">
        <f>IF(t&lt;Tnet,'2022'!Resal+('2022'!Salim-'2022'!Resal)*(1-EXP(('2022'!Tnet-t)/('2022'!Tau_j))),Resal+(Salim-Resal)*(1-EXP((Tnet-t)/(Tau_j))))*Salcycl</f>
        <v>3.9962147425348551E-2</v>
      </c>
      <c r="P264" s="169">
        <f>(INDEX(Models!$BJ264:$BT264,,T264)*(1-R264)+INDEX(Models!$BJ264:$BT264,,T264+1)*R264-ERP_i)*Q264*Ramure*Pc/MaxiM</f>
        <v>1.2935320623316179E-6</v>
      </c>
      <c r="Q264" s="305">
        <f t="shared" si="80"/>
        <v>0.7</v>
      </c>
      <c r="R264" s="177">
        <f t="shared" si="81"/>
        <v>9.2542200758701898E-2</v>
      </c>
      <c r="S264" s="817">
        <f t="shared" si="82"/>
        <v>0</v>
      </c>
      <c r="T264" s="176">
        <f t="shared" si="83"/>
        <v>6</v>
      </c>
      <c r="U264" s="251">
        <f t="shared" si="84"/>
        <v>9.2542200758701898E-2</v>
      </c>
      <c r="V264" s="383">
        <f t="shared" si="85"/>
        <v>32.729221254323832</v>
      </c>
      <c r="W264" s="402">
        <f t="shared" si="86"/>
        <v>23.025209715841228</v>
      </c>
      <c r="X264" s="157">
        <f t="shared" si="87"/>
        <v>45176</v>
      </c>
      <c r="Y264" s="385">
        <f t="shared" si="88"/>
        <v>21.243722257468974</v>
      </c>
      <c r="Z264" s="385">
        <f t="shared" si="89"/>
        <v>22.178963477642547</v>
      </c>
      <c r="AA264" s="386">
        <f t="shared" si="90"/>
        <v>25.039512465091136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0.11424140112299007</v>
      </c>
      <c r="AD264" s="231">
        <f>(INDEX(Models!$BJ264:$BT264,,AH264)*(1-AF264)+INDEX(Models!$BJ264:$BT264,,AH264+1)*AF264-ERP_i)*AE264*Ramure*Pc/MaxiM</f>
        <v>1.2935320623316179E-6</v>
      </c>
      <c r="AE264" s="305">
        <f t="shared" si="92"/>
        <v>0.7</v>
      </c>
      <c r="AF264" s="177">
        <f t="shared" si="93"/>
        <v>9.2542200758701898E-2</v>
      </c>
      <c r="AG264" s="817">
        <f t="shared" si="99"/>
        <v>0</v>
      </c>
      <c r="AH264" s="176">
        <f t="shared" si="94"/>
        <v>6</v>
      </c>
      <c r="AI264" s="225">
        <f t="shared" si="95"/>
        <v>9.2542200758701898E-2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45177</v>
      </c>
      <c r="B265" s="411">
        <f>'2022'!Wh/'2022'!Env_an*'2023'!Env_an</f>
        <v>25.470702577818596</v>
      </c>
      <c r="C265" s="846"/>
      <c r="D265" s="393">
        <f t="shared" si="77"/>
        <v>26.592616336685836</v>
      </c>
      <c r="E265" s="385">
        <f t="shared" si="100"/>
        <v>27.70387471128296</v>
      </c>
      <c r="F265" s="385">
        <f t="shared" si="78"/>
        <v>27.703904180366585</v>
      </c>
      <c r="G265" s="110">
        <f t="shared" si="101"/>
        <v>0.78270144382253171</v>
      </c>
      <c r="H265" s="414" t="b">
        <f>Wh_hp&gt;='2022'!Maxi_hp</f>
        <v>0</v>
      </c>
      <c r="I265" s="390">
        <f>IF(H265,Wh_hp,'2022'!Maxi_hp)</f>
        <v>32.004308101052679</v>
      </c>
      <c r="J265" s="85">
        <f>IF(H265,An,'2022'!An_max)</f>
        <v>2018</v>
      </c>
      <c r="K265" s="197">
        <f t="shared" si="79"/>
        <v>45177</v>
      </c>
      <c r="L265" s="147">
        <f>IF(t&lt;Tvie,1-EXP((T0-t)*PertePVj)+'2022'!Pspv,1-EXP((T0-t)*PertePVj)+Pspv)</f>
        <v>4.2188919836349648E-2</v>
      </c>
      <c r="M265" s="850"/>
      <c r="N265" s="850"/>
      <c r="O265" s="48">
        <f>IF(t&lt;Tnet,'2022'!Resal+('2022'!Salim-'2022'!Resal)*(1-EXP(('2022'!Tnet-t)/('2022'!Tau_j))),Resal+(Salim-Resal)*(1-EXP((Tnet-t)/(Tau_j))))*Salcycl</f>
        <v>4.011201993144102E-2</v>
      </c>
      <c r="P265" s="169">
        <f>(INDEX(Models!$BJ265:$BT265,,T265)*(1-R265)+INDEX(Models!$BJ265:$BT265,,T265+1)*R265-ERP_i)*Q265*Ramure*Pc/MaxiM</f>
        <v>1.5425695692867949E-6</v>
      </c>
      <c r="Q265" s="305">
        <f t="shared" si="80"/>
        <v>0.7</v>
      </c>
      <c r="R265" s="177">
        <f t="shared" si="81"/>
        <v>9.2839124768031134E-2</v>
      </c>
      <c r="S265" s="817">
        <f t="shared" si="82"/>
        <v>0</v>
      </c>
      <c r="T265" s="176">
        <f t="shared" si="83"/>
        <v>6</v>
      </c>
      <c r="U265" s="251">
        <f t="shared" si="84"/>
        <v>9.2839124768031134E-2</v>
      </c>
      <c r="V265" s="383">
        <f t="shared" si="85"/>
        <v>32.542025547664181</v>
      </c>
      <c r="W265" s="402">
        <f t="shared" si="86"/>
        <v>25.470702577818596</v>
      </c>
      <c r="X265" s="157">
        <f t="shared" si="87"/>
        <v>45177</v>
      </c>
      <c r="Y265" s="385">
        <f t="shared" si="88"/>
        <v>23.502675755594261</v>
      </c>
      <c r="Z265" s="385">
        <f t="shared" si="89"/>
        <v>24.537903394872636</v>
      </c>
      <c r="AA265" s="386">
        <f t="shared" si="90"/>
        <v>27.70387471128296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0.1142790078790285</v>
      </c>
      <c r="AD265" s="231">
        <f>(INDEX(Models!$BJ265:$BT265,,AH265)*(1-AF265)+INDEX(Models!$BJ265:$BT265,,AH265+1)*AF265-ERP_i)*AE265*Ramure*Pc/MaxiM</f>
        <v>1.5425695692867949E-6</v>
      </c>
      <c r="AE265" s="305">
        <f t="shared" si="92"/>
        <v>0.7</v>
      </c>
      <c r="AF265" s="177">
        <f t="shared" si="93"/>
        <v>9.2839124768031134E-2</v>
      </c>
      <c r="AG265" s="817">
        <f t="shared" si="99"/>
        <v>0</v>
      </c>
      <c r="AH265" s="176">
        <f t="shared" si="94"/>
        <v>6</v>
      </c>
      <c r="AI265" s="225">
        <f t="shared" si="95"/>
        <v>9.2839124768031134E-2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45178</v>
      </c>
      <c r="B266" s="411">
        <f>'2022'!Wh/'2022'!Env_an*'2023'!Env_an</f>
        <v>14.202095640251699</v>
      </c>
      <c r="C266" s="846"/>
      <c r="D266" s="393">
        <f t="shared" si="77"/>
        <v>14.827983308547179</v>
      </c>
      <c r="E266" s="385">
        <f t="shared" si="100"/>
        <v>15.450022532788374</v>
      </c>
      <c r="F266" s="385">
        <f t="shared" si="78"/>
        <v>15.450028142122171</v>
      </c>
      <c r="G266" s="110">
        <f t="shared" si="101"/>
        <v>0.43900612748895917</v>
      </c>
      <c r="H266" s="414" t="b">
        <f>Wh_hp&gt;='2022'!Maxi_hp</f>
        <v>0</v>
      </c>
      <c r="I266" s="390">
        <f>IF(H266,Wh_hp,'2022'!Maxi_hp)</f>
        <v>33.483412316512208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4.2209898357162601E-2</v>
      </c>
      <c r="M266" s="850"/>
      <c r="N266" s="850"/>
      <c r="O266" s="48">
        <f>IF(t&lt;Tnet,'2022'!Resal+('2022'!Salim-'2022'!Resal)*(1-EXP(('2022'!Tnet-t)/('2022'!Tau_j))),Resal+(Salim-Resal)*(1-EXP((Tnet-t)/(Tau_j))))*Salcycl</f>
        <v>4.026137974369226E-2</v>
      </c>
      <c r="P266" s="169">
        <f>(INDEX(Models!$BJ266:$BT266,,T266)*(1-R266)+INDEX(Models!$BJ266:$BT266,,T266+1)*R266-ERP_i)*Q266*Ramure*Pc/MaxiM</f>
        <v>1.8282858387276574E-6</v>
      </c>
      <c r="Q266" s="305">
        <f t="shared" si="80"/>
        <v>0.7</v>
      </c>
      <c r="R266" s="177">
        <f t="shared" si="81"/>
        <v>9.3124660326517839E-2</v>
      </c>
      <c r="S266" s="817">
        <f t="shared" si="82"/>
        <v>0</v>
      </c>
      <c r="T266" s="176">
        <f t="shared" si="83"/>
        <v>6</v>
      </c>
      <c r="U266" s="251">
        <f t="shared" si="84"/>
        <v>9.3124660326517839E-2</v>
      </c>
      <c r="V266" s="383">
        <f t="shared" si="85"/>
        <v>32.350516181272759</v>
      </c>
      <c r="W266" s="402">
        <f t="shared" si="86"/>
        <v>14.202095640251699</v>
      </c>
      <c r="X266" s="157">
        <f t="shared" si="87"/>
        <v>45178</v>
      </c>
      <c r="Y266" s="385">
        <f t="shared" si="88"/>
        <v>13.106247309383777</v>
      </c>
      <c r="Z266" s="385">
        <f t="shared" si="89"/>
        <v>13.683840840392328</v>
      </c>
      <c r="AA266" s="386">
        <f t="shared" si="90"/>
        <v>15.450022532788374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0.11431580042345021</v>
      </c>
      <c r="AD266" s="231">
        <f>(INDEX(Models!$BJ266:$BT266,,AH266)*(1-AF266)+INDEX(Models!$BJ266:$BT266,,AH266+1)*AF266-ERP_i)*AE266*Ramure*Pc/MaxiM</f>
        <v>1.8282858387276574E-6</v>
      </c>
      <c r="AE266" s="305">
        <f t="shared" si="92"/>
        <v>0.7</v>
      </c>
      <c r="AF266" s="177">
        <f t="shared" si="93"/>
        <v>9.3124660326517839E-2</v>
      </c>
      <c r="AG266" s="817">
        <f t="shared" si="99"/>
        <v>0</v>
      </c>
      <c r="AH266" s="176">
        <f t="shared" si="94"/>
        <v>6</v>
      </c>
      <c r="AI266" s="225">
        <f t="shared" si="95"/>
        <v>9.3124660326517839E-2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45179</v>
      </c>
      <c r="B267" s="411">
        <f>'2022'!Wh/'2022'!Env_an*'2023'!Env_an</f>
        <v>30.441039279575687</v>
      </c>
      <c r="C267" s="846"/>
      <c r="D267" s="393">
        <f t="shared" si="77"/>
        <v>31.78327483114473</v>
      </c>
      <c r="E267" s="385">
        <f t="shared" si="100"/>
        <v>33.121731079925546</v>
      </c>
      <c r="F267" s="385">
        <f t="shared" si="78"/>
        <v>33.12179691518417</v>
      </c>
      <c r="G267" s="110">
        <f t="shared" si="101"/>
        <v>0.94668834373231436</v>
      </c>
      <c r="H267" s="414" t="b">
        <f>Wh_hp&gt;='2022'!Maxi_hp</f>
        <v>0</v>
      </c>
      <c r="I267" s="390">
        <f>IF(H267,Wh_hp,'2022'!Maxi_hp)</f>
        <v>33.121802280387051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4.2230876418492103E-2</v>
      </c>
      <c r="M267" s="850"/>
      <c r="N267" s="850"/>
      <c r="O267" s="48">
        <f>IF(t&lt;Tnet,'2022'!Resal+('2022'!Salim-'2022'!Resal)*(1-EXP(('2022'!Tnet-t)/('2022'!Tau_j))),Resal+(Salim-Resal)*(1-EXP((Tnet-t)/(Tau_j))))*Salcycl</f>
        <v>4.04102142352104E-2</v>
      </c>
      <c r="P267" s="169">
        <f>(INDEX(Models!$BJ267:$BT267,,T267)*(1-R267)+INDEX(Models!$BJ267:$BT267,,T267+1)*R267-ERP_i)*Q267*Ramure*Pc/MaxiM</f>
        <v>2.1515307563155924E-6</v>
      </c>
      <c r="Q267" s="305">
        <f t="shared" si="80"/>
        <v>0.7</v>
      </c>
      <c r="R267" s="177">
        <f t="shared" si="81"/>
        <v>9.3399222787727831E-2</v>
      </c>
      <c r="S267" s="817">
        <f t="shared" si="82"/>
        <v>0</v>
      </c>
      <c r="T267" s="176">
        <f t="shared" si="83"/>
        <v>6</v>
      </c>
      <c r="U267" s="251">
        <f t="shared" si="84"/>
        <v>9.3399222787727831E-2</v>
      </c>
      <c r="V267" s="383">
        <f t="shared" si="85"/>
        <v>32.15528583727184</v>
      </c>
      <c r="W267" s="402">
        <f t="shared" si="86"/>
        <v>30.441039279575687</v>
      </c>
      <c r="X267" s="157">
        <f t="shared" si="87"/>
        <v>45179</v>
      </c>
      <c r="Y267" s="385">
        <f t="shared" si="88"/>
        <v>28.095394077976284</v>
      </c>
      <c r="Z267" s="385">
        <f t="shared" si="89"/>
        <v>29.334203187627935</v>
      </c>
      <c r="AA267" s="386">
        <f t="shared" si="90"/>
        <v>33.121731079925546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0.11435174940458226</v>
      </c>
      <c r="AD267" s="231">
        <f>(INDEX(Models!$BJ267:$BT267,,AH267)*(1-AF267)+INDEX(Models!$BJ267:$BT267,,AH267+1)*AF267-ERP_i)*AE267*Ramure*Pc/MaxiM</f>
        <v>2.1515307563155924E-6</v>
      </c>
      <c r="AE267" s="305">
        <f t="shared" si="92"/>
        <v>0.7</v>
      </c>
      <c r="AF267" s="177">
        <f t="shared" si="93"/>
        <v>9.3399222787727831E-2</v>
      </c>
      <c r="AG267" s="817">
        <f t="shared" si="99"/>
        <v>0</v>
      </c>
      <c r="AH267" s="176">
        <f t="shared" si="94"/>
        <v>6</v>
      </c>
      <c r="AI267" s="225">
        <f t="shared" si="95"/>
        <v>9.3399222787727831E-2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45180</v>
      </c>
      <c r="B268" s="411">
        <f>'2022'!Wh/'2022'!Env_an*'2023'!Env_an</f>
        <v>30.326243934589701</v>
      </c>
      <c r="C268" s="846"/>
      <c r="D268" s="393">
        <f t="shared" si="77"/>
        <v>31.66411134481487</v>
      </c>
      <c r="E268" s="385">
        <f t="shared" si="100"/>
        <v>33.002649648302395</v>
      </c>
      <c r="F268" s="385">
        <f t="shared" si="78"/>
        <v>33.003022252088833</v>
      </c>
      <c r="G268" s="110">
        <f t="shared" si="101"/>
        <v>0.94898080524917217</v>
      </c>
      <c r="H268" s="414" t="b">
        <f>Wh_hp&gt;='2022'!Maxi_hp</f>
        <v>0</v>
      </c>
      <c r="I268" s="390">
        <f>IF(H268,Wh_hp,'2022'!Maxi_hp)</f>
        <v>33.003036179252092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4.2251854020348145E-2</v>
      </c>
      <c r="M268" s="850"/>
      <c r="N268" s="850"/>
      <c r="O268" s="48">
        <f>IF(t&lt;Tnet,'2022'!Resal+('2022'!Salim-'2022'!Resal)*(1-EXP(('2022'!Tnet-t)/('2022'!Tau_j))),Resal+(Salim-Resal)*(1-EXP((Tnet-t)/(Tau_j))))*Salcycl</f>
        <v>4.055851023332542E-2</v>
      </c>
      <c r="P268" s="169">
        <f>(INDEX(Models!$BJ268:$BT268,,T268)*(1-R268)+INDEX(Models!$BJ268:$BT268,,T268+1)*R268-ERP_i)*Q268*Ramure*Pc/MaxiM</f>
        <v>1.2177529101643553E-5</v>
      </c>
      <c r="Q268" s="305">
        <f t="shared" si="80"/>
        <v>0.7</v>
      </c>
      <c r="R268" s="177">
        <f t="shared" si="81"/>
        <v>9.366321401696126E-2</v>
      </c>
      <c r="S268" s="817">
        <f t="shared" si="82"/>
        <v>0</v>
      </c>
      <c r="T268" s="176">
        <f t="shared" si="83"/>
        <v>6</v>
      </c>
      <c r="U268" s="251">
        <f t="shared" si="84"/>
        <v>9.366321401696126E-2</v>
      </c>
      <c r="V268" s="383">
        <f t="shared" si="85"/>
        <v>31.956617932426404</v>
      </c>
      <c r="W268" s="402">
        <f t="shared" si="86"/>
        <v>30.326243934589701</v>
      </c>
      <c r="X268" s="157">
        <f t="shared" si="87"/>
        <v>45180</v>
      </c>
      <c r="Y268" s="385">
        <f t="shared" si="88"/>
        <v>27.992661860669429</v>
      </c>
      <c r="Z268" s="385">
        <f t="shared" si="89"/>
        <v>29.227581361733229</v>
      </c>
      <c r="AA268" s="386">
        <f t="shared" si="90"/>
        <v>33.002649648302395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0.1143868242943745</v>
      </c>
      <c r="AD268" s="231">
        <f>(INDEX(Models!$BJ268:$BT268,,AH268)*(1-AF268)+INDEX(Models!$BJ268:$BT268,,AH268+1)*AF268-ERP_i)*AE268*Ramure*Pc/MaxiM</f>
        <v>1.2177529101643553E-5</v>
      </c>
      <c r="AE268" s="305">
        <f t="shared" si="92"/>
        <v>0.7</v>
      </c>
      <c r="AF268" s="177">
        <f t="shared" si="93"/>
        <v>9.366321401696126E-2</v>
      </c>
      <c r="AG268" s="817">
        <f t="shared" si="99"/>
        <v>0</v>
      </c>
      <c r="AH268" s="176">
        <f t="shared" si="94"/>
        <v>6</v>
      </c>
      <c r="AI268" s="225">
        <f t="shared" si="95"/>
        <v>9.366321401696126E-2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45181</v>
      </c>
      <c r="B269" s="411">
        <f>'2022'!Wh/'2022'!Env_an*'2023'!Env_an</f>
        <v>21.290866529153252</v>
      </c>
      <c r="C269" s="846"/>
      <c r="D269" s="393">
        <f t="shared" si="77"/>
        <v>22.230617676850184</v>
      </c>
      <c r="E269" s="385">
        <f t="shared" si="100"/>
        <v>23.173942048335579</v>
      </c>
      <c r="F269" s="385">
        <f t="shared" si="78"/>
        <v>23.174335423187493</v>
      </c>
      <c r="G269" s="110">
        <f t="shared" si="101"/>
        <v>0.67046054981842385</v>
      </c>
      <c r="H269" s="414" t="b">
        <f>Wh_hp&gt;='2022'!Maxi_hp</f>
        <v>0</v>
      </c>
      <c r="I269" s="390">
        <f>IF(H269,Wh_hp,'2022'!Maxi_hp)</f>
        <v>34.361918081315721</v>
      </c>
      <c r="J269" s="85">
        <f>IF(H269,An,'2022'!An_max)</f>
        <v>2019</v>
      </c>
      <c r="K269" s="197">
        <f t="shared" si="79"/>
        <v>45181</v>
      </c>
      <c r="L269" s="147">
        <f>IF(t&lt;Tvie,1-EXP((T0-t)*PertePVj)+'2022'!Pspv,1-EXP((T0-t)*PertePVj)+Pspv)</f>
        <v>4.2272831162740943E-2</v>
      </c>
      <c r="M269" s="850"/>
      <c r="N269" s="850"/>
      <c r="O269" s="48">
        <f>IF(t&lt;Tnet,'2022'!Resal+('2022'!Salim-'2022'!Resal)*(1-EXP(('2022'!Tnet-t)/('2022'!Tau_j))),Resal+(Salim-Resal)*(1-EXP((Tnet-t)/(Tau_j))))*Salcycl</f>
        <v>4.0706254012279557E-2</v>
      </c>
      <c r="P269" s="169">
        <f>(INDEX(Models!$BJ269:$BT269,,T269)*(1-R269)+INDEX(Models!$BJ269:$BT269,,T269+1)*R269-ERP_i)*Q269*Ramure*Pc/MaxiM</f>
        <v>3.2073289866649681E-5</v>
      </c>
      <c r="Q269" s="305">
        <f t="shared" si="80"/>
        <v>0.7</v>
      </c>
      <c r="R269" s="177">
        <f t="shared" si="81"/>
        <v>9.3917022698245367E-2</v>
      </c>
      <c r="S269" s="817">
        <f t="shared" si="82"/>
        <v>0</v>
      </c>
      <c r="T269" s="176">
        <f t="shared" si="83"/>
        <v>6</v>
      </c>
      <c r="U269" s="251">
        <f t="shared" si="84"/>
        <v>9.3917022698245367E-2</v>
      </c>
      <c r="V269" s="383">
        <f t="shared" si="85"/>
        <v>31.755104853026154</v>
      </c>
      <c r="W269" s="402">
        <f t="shared" si="86"/>
        <v>21.290866529153252</v>
      </c>
      <c r="X269" s="157">
        <f t="shared" si="87"/>
        <v>45181</v>
      </c>
      <c r="Y269" s="385">
        <f t="shared" si="88"/>
        <v>19.654818463805626</v>
      </c>
      <c r="Z269" s="385">
        <f t="shared" si="89"/>
        <v>20.522356578510568</v>
      </c>
      <c r="AA269" s="386">
        <f t="shared" si="90"/>
        <v>23.173942048335579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0.11442099338534657</v>
      </c>
      <c r="AD269" s="231">
        <f>(INDEX(Models!$BJ269:$BT269,,AH269)*(1-AF269)+INDEX(Models!$BJ269:$BT269,,AH269+1)*AF269-ERP_i)*AE269*Ramure*Pc/MaxiM</f>
        <v>3.2073289866649681E-5</v>
      </c>
      <c r="AE269" s="305">
        <f t="shared" si="92"/>
        <v>0.7</v>
      </c>
      <c r="AF269" s="177">
        <f t="shared" si="93"/>
        <v>9.3917022698245367E-2</v>
      </c>
      <c r="AG269" s="817">
        <f t="shared" si="99"/>
        <v>0</v>
      </c>
      <c r="AH269" s="176">
        <f t="shared" si="94"/>
        <v>6</v>
      </c>
      <c r="AI269" s="225">
        <f t="shared" si="95"/>
        <v>9.3917022698245367E-2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45182</v>
      </c>
      <c r="B270" s="411">
        <f>'2022'!Wh/'2022'!Env_an*'2023'!Env_an</f>
        <v>8.009146100743207</v>
      </c>
      <c r="C270" s="846"/>
      <c r="D270" s="393">
        <f t="shared" si="77"/>
        <v>8.3628425568879035</v>
      </c>
      <c r="E270" s="385">
        <f t="shared" si="100"/>
        <v>8.7190454824276618</v>
      </c>
      <c r="F270" s="385">
        <f t="shared" si="78"/>
        <v>8.7190454824276618</v>
      </c>
      <c r="G270" s="110">
        <f t="shared" si="101"/>
        <v>0.25382914917049115</v>
      </c>
      <c r="H270" s="414" t="b">
        <f>Wh_hp&gt;='2022'!Maxi_hp</f>
        <v>0</v>
      </c>
      <c r="I270" s="390">
        <f>IF(H270,Wh_hp,'2022'!Maxi_hp)</f>
        <v>32.643598753916862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4.2293807845680487E-2</v>
      </c>
      <c r="M270" s="850"/>
      <c r="N270" s="850"/>
      <c r="O270" s="48">
        <f>IF(t&lt;Tnet,'2022'!Resal+('2022'!Salim-'2022'!Resal)*(1-EXP(('2022'!Tnet-t)/('2022'!Tau_j))),Resal+(Salim-Resal)*(1-EXP((Tnet-t)/(Tau_j))))*Salcycl</f>
        <v>4.0853431291034061E-2</v>
      </c>
      <c r="P270" s="169">
        <f>(INDEX(Models!$BJ270:$BT270,,T270)*(1-R270)+INDEX(Models!$BJ270:$BT270,,T270+1)*R270-ERP_i)*Q270*Ramure*Pc/MaxiM</f>
        <v>6.2022137624544055E-5</v>
      </c>
      <c r="Q270" s="305">
        <f t="shared" si="80"/>
        <v>0.7</v>
      </c>
      <c r="R270" s="177">
        <f t="shared" si="81"/>
        <v>9.4161024645481317E-2</v>
      </c>
      <c r="S270" s="817">
        <f t="shared" si="82"/>
        <v>0</v>
      </c>
      <c r="T270" s="176">
        <f t="shared" si="83"/>
        <v>6</v>
      </c>
      <c r="U270" s="251">
        <f t="shared" si="84"/>
        <v>9.4161024645481317E-2</v>
      </c>
      <c r="V270" s="383">
        <f t="shared" si="85"/>
        <v>31.55133830197834</v>
      </c>
      <c r="W270" s="402">
        <f t="shared" si="86"/>
        <v>8.009146100743207</v>
      </c>
      <c r="X270" s="157">
        <f t="shared" si="87"/>
        <v>45182</v>
      </c>
      <c r="Y270" s="385">
        <f t="shared" si="88"/>
        <v>7.3945585918260583</v>
      </c>
      <c r="Z270" s="385">
        <f t="shared" si="89"/>
        <v>7.7211138994437452</v>
      </c>
      <c r="AA270" s="386">
        <f t="shared" si="90"/>
        <v>8.7190454824276618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0.11445422380180786</v>
      </c>
      <c r="AD270" s="231">
        <f>(INDEX(Models!$BJ270:$BT270,,AH270)*(1-AF270)+INDEX(Models!$BJ270:$BT270,,AH270+1)*AF270-ERP_i)*AE270*Ramure*Pc/MaxiM</f>
        <v>6.2022137624544055E-5</v>
      </c>
      <c r="AE270" s="305">
        <f t="shared" si="92"/>
        <v>0.7</v>
      </c>
      <c r="AF270" s="177">
        <f t="shared" si="93"/>
        <v>9.4161024645481317E-2</v>
      </c>
      <c r="AG270" s="817">
        <f t="shared" si="99"/>
        <v>0</v>
      </c>
      <c r="AH270" s="176">
        <f t="shared" si="94"/>
        <v>6</v>
      </c>
      <c r="AI270" s="225">
        <f t="shared" si="95"/>
        <v>9.4161024645481317E-2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45183</v>
      </c>
      <c r="B271" s="411">
        <f>'2022'!Wh/'2022'!Env_an*'2023'!Env_an</f>
        <v>23.759515539771563</v>
      </c>
      <c r="C271" s="846"/>
      <c r="D271" s="393">
        <f t="shared" ref="D271:D334" si="102">Wh/(1-Ppv)</f>
        <v>24.809316406412805</v>
      </c>
      <c r="E271" s="385">
        <f t="shared" si="100"/>
        <v>25.869986559988348</v>
      </c>
      <c r="F271" s="385">
        <f t="shared" ref="F271:F334" si="103">Wh_sa/(1-Pvg*MEDIAN((-Sdif+Wh/Env_an)/Csdif,0,1))</f>
        <v>25.871716663591176</v>
      </c>
      <c r="G271" s="110">
        <f t="shared" si="101"/>
        <v>0.75795139182180293</v>
      </c>
      <c r="H271" s="414" t="b">
        <f>Wh_hp&gt;='2022'!Maxi_hp</f>
        <v>0</v>
      </c>
      <c r="I271" s="390">
        <f>IF(H271,Wh_hp,'2022'!Maxi_hp)</f>
        <v>31.813436700328825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4.231478406917677E-2</v>
      </c>
      <c r="M271" s="850"/>
      <c r="N271" s="850"/>
      <c r="O271" s="48">
        <f>IF(t&lt;Tnet,'2022'!Resal+('2022'!Salim-'2022'!Resal)*(1-EXP(('2022'!Tnet-t)/('2022'!Tau_j))),Resal+(Salim-Resal)*(1-EXP((Tnet-t)/(Tau_j))))*Salcycl</f>
        <v>4.100002723681434E-2</v>
      </c>
      <c r="P271" s="169">
        <f>(INDEX(Models!$BJ271:$BT271,,T271)*(1-R271)+INDEX(Models!$BJ271:$BT271,,T271+1)*R271-ERP_i)*Q271*Ramure*Pc/MaxiM</f>
        <v>1.022115836720745E-4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9.4395583116505477E-2</v>
      </c>
      <c r="S271" s="817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9.4395583116505477E-2</v>
      </c>
      <c r="V271" s="383">
        <f t="shared" ref="V271:V334" si="110">MaxiM*(1-Ppv)*(1-Pvg)*(1-Psa)</f>
        <v>31.345909642650785</v>
      </c>
      <c r="W271" s="402">
        <f t="shared" ref="W271:W334" si="111">Wh*(A271&gt;Tmaj)</f>
        <v>23.759515539771563</v>
      </c>
      <c r="X271" s="157">
        <f t="shared" ref="X271:X334" si="112">t</f>
        <v>45183</v>
      </c>
      <c r="Y271" s="385">
        <f t="shared" ref="Y271:Y334" si="113">Wh_pvt_s*(1-Ppv)</f>
        <v>21.938866319486564</v>
      </c>
      <c r="Z271" s="385">
        <f t="shared" ref="Z271:Z334" si="114">Wh_sa_s*(1-Psa_s)</f>
        <v>22.908222821590766</v>
      </c>
      <c r="AA271" s="386">
        <f t="shared" ref="AA271:AA334" si="115">Wh_hp*(1-Pvg_s*MEDIAN((-Sdif+Wh/Env_an)/Csdif,0,1))</f>
        <v>25.869986559988348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0.11448648152675792</v>
      </c>
      <c r="AD271" s="231">
        <f>(INDEX(Models!$BJ271:$BT271,,AH271)*(1-AF271)+INDEX(Models!$BJ271:$BT271,,AH271+1)*AF271-ERP_i)*AE271*Ramure*Pc/MaxiM</f>
        <v>1.022115836720745E-4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9.4395583116505477E-2</v>
      </c>
      <c r="AG271" s="817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9.4395583116505477E-2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45184</v>
      </c>
      <c r="B272" s="411">
        <f>'2022'!Wh/'2022'!Env_an*'2023'!Env_an</f>
        <v>28.822091939688253</v>
      </c>
      <c r="C272" s="846"/>
      <c r="D272" s="393">
        <f t="shared" si="102"/>
        <v>30.096239089672395</v>
      </c>
      <c r="E272" s="385">
        <f t="shared" si="100"/>
        <v>31.387719006920157</v>
      </c>
      <c r="F272" s="385">
        <f t="shared" si="103"/>
        <v>31.392006651114997</v>
      </c>
      <c r="G272" s="110">
        <f t="shared" si="101"/>
        <v>0.92556742973250683</v>
      </c>
      <c r="H272" s="414" t="b">
        <f>Wh_hp&gt;='2022'!Maxi_hp</f>
        <v>0</v>
      </c>
      <c r="I272" s="390">
        <f>IF(H272,Wh_hp,'2022'!Maxi_hp)</f>
        <v>32.156591580426863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4.2335759833240005E-2</v>
      </c>
      <c r="M272" s="850"/>
      <c r="N272" s="850"/>
      <c r="O272" s="48">
        <f>IF(t&lt;Tnet,'2022'!Resal+('2022'!Salim-'2022'!Resal)*(1-EXP(('2022'!Tnet-t)/('2022'!Tau_j))),Resal+(Salim-Resal)*(1-EXP((Tnet-t)/(Tau_j))))*Salcycl</f>
        <v>4.1146026474973403E-2</v>
      </c>
      <c r="P272" s="169">
        <f>(INDEX(Models!$BJ272:$BT272,,T272)*(1-R272)+INDEX(Models!$BJ272:$BT272,,T272+1)*R272-ERP_i)*Q272*Ramure*Pc/MaxiM</f>
        <v>1.528315896476199E-4</v>
      </c>
      <c r="Q272" s="305">
        <f t="shared" si="105"/>
        <v>0.7</v>
      </c>
      <c r="R272" s="177">
        <f t="shared" si="106"/>
        <v>9.4621049128932322E-2</v>
      </c>
      <c r="S272" s="817">
        <f t="shared" si="107"/>
        <v>0</v>
      </c>
      <c r="T272" s="176">
        <f t="shared" si="108"/>
        <v>6</v>
      </c>
      <c r="U272" s="251">
        <f t="shared" si="109"/>
        <v>9.4621049128932322E-2</v>
      </c>
      <c r="V272" s="383">
        <f t="shared" si="110"/>
        <v>31.139409900171433</v>
      </c>
      <c r="W272" s="402">
        <f t="shared" si="111"/>
        <v>28.822091939688253</v>
      </c>
      <c r="X272" s="157">
        <f t="shared" si="112"/>
        <v>45184</v>
      </c>
      <c r="Y272" s="385">
        <f t="shared" si="113"/>
        <v>26.616619485249434</v>
      </c>
      <c r="Z272" s="385">
        <f t="shared" si="114"/>
        <v>27.793268630991825</v>
      </c>
      <c r="AA272" s="386">
        <f t="shared" si="115"/>
        <v>31.387719006920157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0.11451773144572404</v>
      </c>
      <c r="AD272" s="231">
        <f>(INDEX(Models!$BJ272:$BT272,,AH272)*(1-AF272)+INDEX(Models!$BJ272:$BT272,,AH272+1)*AF272-ERP_i)*AE272*Ramure*Pc/MaxiM</f>
        <v>1.528315896476199E-4</v>
      </c>
      <c r="AE272" s="305">
        <f t="shared" si="117"/>
        <v>0.7</v>
      </c>
      <c r="AF272" s="177">
        <f t="shared" si="118"/>
        <v>9.4621049128932322E-2</v>
      </c>
      <c r="AG272" s="817">
        <f t="shared" ref="AG272:AG335" si="124">INDEX(Echel_vg,AH272)</f>
        <v>0</v>
      </c>
      <c r="AH272" s="176">
        <f t="shared" si="119"/>
        <v>6</v>
      </c>
      <c r="AI272" s="225">
        <f t="shared" si="120"/>
        <v>9.4621049128932322E-2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45185</v>
      </c>
      <c r="B273" s="411">
        <f>'2022'!Wh/'2022'!Env_an*'2023'!Env_an</f>
        <v>21.561198680757169</v>
      </c>
      <c r="C273" s="846"/>
      <c r="D273" s="393">
        <f t="shared" si="102"/>
        <v>22.514854405477934</v>
      </c>
      <c r="E273" s="385">
        <f t="shared" si="100"/>
        <v>23.484565292581781</v>
      </c>
      <c r="F273" s="385">
        <f t="shared" si="103"/>
        <v>23.487417195818768</v>
      </c>
      <c r="G273" s="110">
        <f t="shared" si="101"/>
        <v>0.69697728089596189</v>
      </c>
      <c r="H273" s="414" t="b">
        <f>Wh_hp&gt;='2022'!Maxi_hp</f>
        <v>0</v>
      </c>
      <c r="I273" s="390">
        <f>IF(H273,Wh_hp,'2022'!Maxi_hp)</f>
        <v>31.548663581663206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4.2356735137880186E-2</v>
      </c>
      <c r="M273" s="850"/>
      <c r="N273" s="850"/>
      <c r="O273" s="48">
        <f>IF(t&lt;Tnet,'2022'!Resal+('2022'!Salim-'2022'!Resal)*(1-EXP(('2022'!Tnet-t)/('2022'!Tau_j))),Resal+(Salim-Resal)*(1-EXP((Tnet-t)/(Tau_j))))*Salcycl</f>
        <v>4.129141310570289E-2</v>
      </c>
      <c r="P273" s="169">
        <f>(INDEX(Models!$BJ273:$BT273,,T273)*(1-R273)+INDEX(Models!$BJ273:$BT273,,T273+1)*R273-ERP_i)*Q273*Ramure*Pc/MaxiM</f>
        <v>2.1407268527359646E-4</v>
      </c>
      <c r="Q273" s="305">
        <f t="shared" si="105"/>
        <v>0.7</v>
      </c>
      <c r="R273" s="177">
        <f t="shared" si="106"/>
        <v>9.483776177675296E-2</v>
      </c>
      <c r="S273" s="817">
        <f t="shared" si="107"/>
        <v>0</v>
      </c>
      <c r="T273" s="176">
        <f t="shared" si="108"/>
        <v>6</v>
      </c>
      <c r="U273" s="251">
        <f t="shared" si="109"/>
        <v>9.483776177675296E-2</v>
      </c>
      <c r="V273" s="383">
        <f t="shared" si="110"/>
        <v>30.93242976806004</v>
      </c>
      <c r="W273" s="402">
        <f t="shared" si="111"/>
        <v>21.561198680757169</v>
      </c>
      <c r="X273" s="157">
        <f t="shared" si="112"/>
        <v>45185</v>
      </c>
      <c r="Y273" s="385">
        <f t="shared" si="113"/>
        <v>19.913671479322861</v>
      </c>
      <c r="Z273" s="385">
        <f t="shared" si="114"/>
        <v>20.794456777378375</v>
      </c>
      <c r="AA273" s="386">
        <f t="shared" si="115"/>
        <v>23.484565292581781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0.11454793740862422</v>
      </c>
      <c r="AD273" s="231">
        <f>(INDEX(Models!$BJ273:$BT273,,AH273)*(1-AF273)+INDEX(Models!$BJ273:$BT273,,AH273+1)*AF273-ERP_i)*AE273*Ramure*Pc/MaxiM</f>
        <v>2.1407268527359646E-4</v>
      </c>
      <c r="AE273" s="305">
        <f t="shared" si="117"/>
        <v>0.7</v>
      </c>
      <c r="AF273" s="177">
        <f t="shared" si="118"/>
        <v>9.483776177675296E-2</v>
      </c>
      <c r="AG273" s="817">
        <f t="shared" si="124"/>
        <v>0</v>
      </c>
      <c r="AH273" s="176">
        <f t="shared" si="119"/>
        <v>6</v>
      </c>
      <c r="AI273" s="225">
        <f t="shared" si="120"/>
        <v>9.483776177675296E-2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45186</v>
      </c>
      <c r="B274" s="411">
        <f>'2022'!Wh/'2022'!Env_an*'2023'!Env_an</f>
        <v>30.406332700149441</v>
      </c>
      <c r="C274" s="846"/>
      <c r="D274" s="393">
        <f t="shared" si="102"/>
        <v>31.751905753585859</v>
      </c>
      <c r="E274" s="385">
        <f t="shared" si="100"/>
        <v>33.124456383569736</v>
      </c>
      <c r="F274" s="385">
        <f t="shared" si="103"/>
        <v>33.133796044904187</v>
      </c>
      <c r="G274" s="110">
        <f t="shared" si="101"/>
        <v>0.9896061754417963</v>
      </c>
      <c r="H274" s="414" t="b">
        <f>Wh_hp&gt;='2022'!Maxi_hp</f>
        <v>0</v>
      </c>
      <c r="I274" s="390">
        <f>IF(H274,Wh_hp,'2022'!Maxi_hp)</f>
        <v>33.133845987379907</v>
      </c>
      <c r="J274" s="85">
        <f>IF(H274,An,'2022'!An_max)</f>
        <v>2022</v>
      </c>
      <c r="K274" s="197">
        <f t="shared" si="104"/>
        <v>45186</v>
      </c>
      <c r="L274" s="147">
        <f>IF(t&lt;Tvie,1-EXP((T0-t)*PertePVj)+'2022'!Pspv,1-EXP((T0-t)*PertePVj)+Pspv)</f>
        <v>4.2377709983107303E-2</v>
      </c>
      <c r="M274" s="850"/>
      <c r="N274" s="850"/>
      <c r="O274" s="48">
        <f>IF(t&lt;Tnet,'2022'!Resal+('2022'!Salim-'2022'!Resal)*(1-EXP(('2022'!Tnet-t)/('2022'!Tau_j))),Resal+(Salim-Resal)*(1-EXP((Tnet-t)/(Tau_j))))*Salcycl</f>
        <v>4.1436170728063201E-2</v>
      </c>
      <c r="P274" s="169">
        <f>(INDEX(Models!$BJ274:$BT274,,T274)*(1-R274)+INDEX(Models!$BJ274:$BT274,,T274+1)*R274-ERP_i)*Q274*Ramure*Pc/MaxiM</f>
        <v>2.8612393197149141E-4</v>
      </c>
      <c r="Q274" s="305">
        <f t="shared" si="105"/>
        <v>0.7</v>
      </c>
      <c r="R274" s="177">
        <f t="shared" si="106"/>
        <v>9.5046048546757855E-2</v>
      </c>
      <c r="S274" s="817">
        <f t="shared" si="107"/>
        <v>0</v>
      </c>
      <c r="T274" s="176">
        <f t="shared" si="108"/>
        <v>6</v>
      </c>
      <c r="U274" s="251">
        <f t="shared" si="109"/>
        <v>9.5046048546757855E-2</v>
      </c>
      <c r="V274" s="383">
        <f t="shared" si="110"/>
        <v>30.725559611961415</v>
      </c>
      <c r="W274" s="402">
        <f t="shared" si="111"/>
        <v>30.406332700149441</v>
      </c>
      <c r="X274" s="157">
        <f t="shared" si="112"/>
        <v>45186</v>
      </c>
      <c r="Y274" s="385">
        <f t="shared" si="113"/>
        <v>28.086251120259217</v>
      </c>
      <c r="Z274" s="385">
        <f t="shared" si="114"/>
        <v>29.329153480506147</v>
      </c>
      <c r="AA274" s="386">
        <f t="shared" si="115"/>
        <v>33.124456383569736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0.1145770623105568</v>
      </c>
      <c r="AD274" s="231">
        <f>(INDEX(Models!$BJ274:$BT274,,AH274)*(1-AF274)+INDEX(Models!$BJ274:$BT274,,AH274+1)*AF274-ERP_i)*AE274*Ramure*Pc/MaxiM</f>
        <v>2.8612393197149141E-4</v>
      </c>
      <c r="AE274" s="305">
        <f t="shared" si="117"/>
        <v>0.7</v>
      </c>
      <c r="AF274" s="177">
        <f t="shared" si="118"/>
        <v>9.5046048546757855E-2</v>
      </c>
      <c r="AG274" s="817">
        <f t="shared" si="124"/>
        <v>0</v>
      </c>
      <c r="AH274" s="176">
        <f t="shared" si="119"/>
        <v>6</v>
      </c>
      <c r="AI274" s="225">
        <f t="shared" si="120"/>
        <v>9.5046048546757855E-2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45187</v>
      </c>
      <c r="B275" s="411">
        <f>'2022'!Wh/'2022'!Env_an*'2023'!Env_an</f>
        <v>30.524010446883644</v>
      </c>
      <c r="C275" s="846"/>
      <c r="D275" s="393">
        <f t="shared" si="102"/>
        <v>31.875489254907745</v>
      </c>
      <c r="E275" s="385">
        <f t="shared" si="100"/>
        <v>33.25838218052705</v>
      </c>
      <c r="F275" s="385">
        <f t="shared" si="103"/>
        <v>33.270665157690054</v>
      </c>
      <c r="G275" s="110">
        <f t="shared" si="101"/>
        <v>1.0001857505520069</v>
      </c>
      <c r="H275" s="414" t="b">
        <f>Wh_hp&gt;='2022'!Maxi_hp</f>
        <v>1</v>
      </c>
      <c r="I275" s="390">
        <f>IF(H275,Wh_hp,'2022'!Maxi_hp)</f>
        <v>33.270665157690054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4.2398684368931461E-2</v>
      </c>
      <c r="M275" s="850"/>
      <c r="N275" s="850"/>
      <c r="O275" s="48">
        <f>IF(t&lt;Tnet,'2022'!Resal+('2022'!Salim-'2022'!Resal)*(1-EXP(('2022'!Tnet-t)/('2022'!Tau_j))),Resal+(Salim-Resal)*(1-EXP((Tnet-t)/(Tau_j))))*Salcycl</f>
        <v>4.1580282471737132E-2</v>
      </c>
      <c r="P275" s="169">
        <f>(INDEX(Models!$BJ275:$BT275,,T275)*(1-R275)+INDEX(Models!$BJ275:$BT275,,T275+1)*R275-ERP_i)*Q275*Ramure*Pc/MaxiM</f>
        <v>3.691833963879648E-4</v>
      </c>
      <c r="Q275" s="305">
        <f t="shared" si="105"/>
        <v>0.7</v>
      </c>
      <c r="R275" s="177">
        <f t="shared" si="106"/>
        <v>9.5246225633946358E-2</v>
      </c>
      <c r="S275" s="817">
        <f t="shared" si="107"/>
        <v>0</v>
      </c>
      <c r="T275" s="176">
        <f t="shared" si="108"/>
        <v>6</v>
      </c>
      <c r="U275" s="251">
        <f t="shared" si="109"/>
        <v>9.5246225633946358E-2</v>
      </c>
      <c r="V275" s="383">
        <f t="shared" si="110"/>
        <v>30.518341648076184</v>
      </c>
      <c r="W275" s="402">
        <f t="shared" si="111"/>
        <v>30.524010446883644</v>
      </c>
      <c r="X275" s="157">
        <f t="shared" si="112"/>
        <v>45187</v>
      </c>
      <c r="Y275" s="385">
        <f t="shared" si="113"/>
        <v>28.198297315728652</v>
      </c>
      <c r="Z275" s="385">
        <f t="shared" si="114"/>
        <v>29.446803022764961</v>
      </c>
      <c r="AA275" s="386">
        <f t="shared" si="115"/>
        <v>33.25838218052705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0.11460506819221616</v>
      </c>
      <c r="AD275" s="231">
        <f>(INDEX(Models!$BJ275:$BT275,,AH275)*(1-AF275)+INDEX(Models!$BJ275:$BT275,,AH275+1)*AF275-ERP_i)*AE275*Ramure*Pc/MaxiM</f>
        <v>3.691833963879648E-4</v>
      </c>
      <c r="AE275" s="305">
        <f t="shared" si="117"/>
        <v>0.7</v>
      </c>
      <c r="AF275" s="177">
        <f t="shared" si="118"/>
        <v>9.5246225633946358E-2</v>
      </c>
      <c r="AG275" s="817">
        <f t="shared" si="124"/>
        <v>0</v>
      </c>
      <c r="AH275" s="176">
        <f t="shared" si="119"/>
        <v>6</v>
      </c>
      <c r="AI275" s="225">
        <f t="shared" si="120"/>
        <v>9.5246225633946358E-2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45188</v>
      </c>
      <c r="B276" s="411">
        <f>'2022'!Wh/'2022'!Env_an*'2023'!Env_an</f>
        <v>29.911838211875803</v>
      </c>
      <c r="C276" s="846"/>
      <c r="D276" s="393">
        <f t="shared" si="102"/>
        <v>31.236896695924464</v>
      </c>
      <c r="E276" s="385">
        <f t="shared" si="100"/>
        <v>32.596963639433831</v>
      </c>
      <c r="F276" s="385">
        <f t="shared" si="103"/>
        <v>32.612728487215499</v>
      </c>
      <c r="G276" s="110">
        <f t="shared" si="101"/>
        <v>0.98689004662846425</v>
      </c>
      <c r="H276" s="414" t="b">
        <f>Wh_hp&gt;='2022'!Maxi_hp</f>
        <v>0</v>
      </c>
      <c r="I276" s="390">
        <f>IF(H276,Wh_hp,'2022'!Maxi_hp)</f>
        <v>32.612832561298127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4.2419658295362761E-2</v>
      </c>
      <c r="M276" s="850"/>
      <c r="N276" s="850"/>
      <c r="O276" s="48">
        <f>IF(t&lt;Tnet,'2022'!Resal+('2022'!Salim-'2022'!Resal)*(1-EXP(('2022'!Tnet-t)/('2022'!Tau_j))),Resal+(Salim-Resal)*(1-EXP((Tnet-t)/(Tau_j))))*Salcycl</f>
        <v>4.1723731036839344E-2</v>
      </c>
      <c r="P276" s="169">
        <f>(INDEX(Models!$BJ276:$BT276,,T276)*(1-R276)+INDEX(Models!$BJ276:$BT276,,T276+1)*R276-ERP_i)*Q276*Ramure*Pc/MaxiM</f>
        <v>4.9261508650376353E-4</v>
      </c>
      <c r="Q276" s="305">
        <f t="shared" si="105"/>
        <v>0.7</v>
      </c>
      <c r="R276" s="177">
        <f t="shared" si="106"/>
        <v>9.5438598255167983E-2</v>
      </c>
      <c r="S276" s="817">
        <f t="shared" si="107"/>
        <v>0</v>
      </c>
      <c r="T276" s="176">
        <f t="shared" si="108"/>
        <v>6</v>
      </c>
      <c r="U276" s="251">
        <f t="shared" si="109"/>
        <v>9.5438598255167983E-2</v>
      </c>
      <c r="V276" s="383">
        <f t="shared" si="110"/>
        <v>30.308910711348361</v>
      </c>
      <c r="W276" s="402">
        <f t="shared" si="111"/>
        <v>29.911838211875803</v>
      </c>
      <c r="X276" s="157">
        <f t="shared" si="112"/>
        <v>45188</v>
      </c>
      <c r="Y276" s="385">
        <f t="shared" si="113"/>
        <v>27.636066689243822</v>
      </c>
      <c r="Z276" s="385">
        <f t="shared" si="114"/>
        <v>28.860311229914622</v>
      </c>
      <c r="AA276" s="386">
        <f t="shared" si="115"/>
        <v>32.596963639433831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0.11463191636041939</v>
      </c>
      <c r="AD276" s="231">
        <f>(INDEX(Models!$BJ276:$BT276,,AH276)*(1-AF276)+INDEX(Models!$BJ276:$BT276,,AH276+1)*AF276-ERP_i)*AE276*Ramure*Pc/MaxiM</f>
        <v>4.9261508650376353E-4</v>
      </c>
      <c r="AE276" s="305">
        <f t="shared" si="117"/>
        <v>0.7</v>
      </c>
      <c r="AF276" s="177">
        <f t="shared" si="118"/>
        <v>9.5438598255167983E-2</v>
      </c>
      <c r="AG276" s="817">
        <f t="shared" si="124"/>
        <v>0</v>
      </c>
      <c r="AH276" s="176">
        <f t="shared" si="119"/>
        <v>6</v>
      </c>
      <c r="AI276" s="225">
        <f t="shared" si="120"/>
        <v>9.5438598255167983E-2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45189</v>
      </c>
      <c r="B277" s="411">
        <f>'2022'!Wh/'2022'!Env_an*'2023'!Env_an</f>
        <v>31.200838503152095</v>
      </c>
      <c r="C277" s="846"/>
      <c r="D277" s="393">
        <f t="shared" si="102"/>
        <v>32.583711817866707</v>
      </c>
      <c r="E277" s="385">
        <f t="shared" si="100"/>
        <v>34.007486195907376</v>
      </c>
      <c r="F277" s="385">
        <f t="shared" si="103"/>
        <v>34.029849011308073</v>
      </c>
      <c r="G277" s="110">
        <f t="shared" si="101"/>
        <v>1.0366734671014806</v>
      </c>
      <c r="H277" s="414" t="b">
        <f>Wh_hp&gt;='2022'!Maxi_hp</f>
        <v>1</v>
      </c>
      <c r="I277" s="390">
        <f>IF(H277,Wh_hp,'2022'!Maxi_hp)</f>
        <v>34.029849011308073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4.2440631762411307E-2</v>
      </c>
      <c r="M277" s="850"/>
      <c r="N277" s="850"/>
      <c r="O277" s="48">
        <f>IF(t&lt;Tnet,'2022'!Resal+('2022'!Salim-'2022'!Resal)*(1-EXP(('2022'!Tnet-t)/('2022'!Tau_j))),Resal+(Salim-Resal)*(1-EXP((Tnet-t)/(Tau_j))))*Salcycl</f>
        <v>4.1866498742033235E-2</v>
      </c>
      <c r="P277" s="169">
        <f>(INDEX(Models!$BJ277:$BT277,,T277)*(1-R277)+INDEX(Models!$BJ277:$BT277,,T277+1)*R277-ERP_i)*Q277*Ramure*Pc/MaxiM</f>
        <v>6.5715294220866324E-4</v>
      </c>
      <c r="Q277" s="305">
        <f t="shared" si="105"/>
        <v>0.7</v>
      </c>
      <c r="R277" s="177">
        <f t="shared" si="106"/>
        <v>9.5623460960319429E-2</v>
      </c>
      <c r="S277" s="817">
        <f t="shared" si="107"/>
        <v>0</v>
      </c>
      <c r="T277" s="176">
        <f t="shared" si="108"/>
        <v>6</v>
      </c>
      <c r="U277" s="251">
        <f t="shared" si="109"/>
        <v>9.5623460960319429E-2</v>
      </c>
      <c r="V277" s="383">
        <f t="shared" si="110"/>
        <v>30.097074434044359</v>
      </c>
      <c r="W277" s="402">
        <f t="shared" si="111"/>
        <v>31.200838503152095</v>
      </c>
      <c r="X277" s="157">
        <f t="shared" si="112"/>
        <v>45189</v>
      </c>
      <c r="Y277" s="385">
        <f t="shared" si="113"/>
        <v>28.830456527454384</v>
      </c>
      <c r="Z277" s="385">
        <f t="shared" si="114"/>
        <v>30.108270550908546</v>
      </c>
      <c r="AA277" s="386">
        <f t="shared" si="115"/>
        <v>34.007486195907376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0.11465756752900121</v>
      </c>
      <c r="AD277" s="231">
        <f>(INDEX(Models!$BJ277:$BT277,,AH277)*(1-AF277)+INDEX(Models!$BJ277:$BT277,,AH277+1)*AF277-ERP_i)*AE277*Ramure*Pc/MaxiM</f>
        <v>6.5715294220866324E-4</v>
      </c>
      <c r="AE277" s="305">
        <f t="shared" si="117"/>
        <v>0.7</v>
      </c>
      <c r="AF277" s="177">
        <f t="shared" si="118"/>
        <v>9.5623460960319429E-2</v>
      </c>
      <c r="AG277" s="817">
        <f t="shared" si="124"/>
        <v>0</v>
      </c>
      <c r="AH277" s="176">
        <f t="shared" si="119"/>
        <v>6</v>
      </c>
      <c r="AI277" s="225">
        <f t="shared" si="120"/>
        <v>9.5623460960319429E-2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45190</v>
      </c>
      <c r="B278" s="411">
        <f>'2022'!Wh/'2022'!Env_an*'2023'!Env_an</f>
        <v>30.104384002719684</v>
      </c>
      <c r="C278" s="846"/>
      <c r="D278" s="393">
        <f t="shared" si="102"/>
        <v>31.439349223684516</v>
      </c>
      <c r="E278" s="385">
        <f t="shared" si="100"/>
        <v>32.817985797954194</v>
      </c>
      <c r="F278" s="385">
        <f t="shared" si="103"/>
        <v>32.846351220278983</v>
      </c>
      <c r="G278" s="110">
        <f t="shared" si="101"/>
        <v>1.0074204906842539</v>
      </c>
      <c r="H278" s="414" t="b">
        <f>Wh_hp&gt;='2022'!Maxi_hp</f>
        <v>1</v>
      </c>
      <c r="I278" s="390">
        <f>IF(H278,Wh_hp,'2022'!Maxi_hp)</f>
        <v>32.846351220278983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4.246160477008698E-2</v>
      </c>
      <c r="M278" s="850"/>
      <c r="N278" s="850"/>
      <c r="O278" s="48">
        <f>IF(t&lt;Tnet,'2022'!Resal+('2022'!Salim-'2022'!Resal)*(1-EXP(('2022'!Tnet-t)/('2022'!Tau_j))),Resal+(Salim-Resal)*(1-EXP((Tnet-t)/(Tau_j))))*Salcycl</f>
        <v>4.2008567581122529E-2</v>
      </c>
      <c r="P278" s="169">
        <f>(INDEX(Models!$BJ278:$BT278,,T278)*(1-R278)+INDEX(Models!$BJ278:$BT278,,T278+1)*R278-ERP_i)*Q278*Ramure*Pc/MaxiM</f>
        <v>8.6357909694621967E-4</v>
      </c>
      <c r="Q278" s="305">
        <f t="shared" si="105"/>
        <v>0.7</v>
      </c>
      <c r="R278" s="177">
        <f t="shared" si="106"/>
        <v>9.5801097940498348E-2</v>
      </c>
      <c r="S278" s="817">
        <f t="shared" si="107"/>
        <v>0</v>
      </c>
      <c r="T278" s="176">
        <f t="shared" si="108"/>
        <v>6</v>
      </c>
      <c r="U278" s="251">
        <f t="shared" si="109"/>
        <v>9.5801097940498348E-2</v>
      </c>
      <c r="V278" s="383">
        <f t="shared" si="110"/>
        <v>29.882640149866688</v>
      </c>
      <c r="W278" s="402">
        <f t="shared" si="111"/>
        <v>30.104384002719684</v>
      </c>
      <c r="X278" s="157">
        <f t="shared" si="112"/>
        <v>45190</v>
      </c>
      <c r="Y278" s="385">
        <f t="shared" si="113"/>
        <v>27.820659639620164</v>
      </c>
      <c r="Z278" s="385">
        <f t="shared" si="114"/>
        <v>29.05435414205003</v>
      </c>
      <c r="AA278" s="386">
        <f t="shared" si="115"/>
        <v>32.817985797954194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0.11468198198010002</v>
      </c>
      <c r="AD278" s="231">
        <f>(INDEX(Models!$BJ278:$BT278,,AH278)*(1-AF278)+INDEX(Models!$BJ278:$BT278,,AH278+1)*AF278-ERP_i)*AE278*Ramure*Pc/MaxiM</f>
        <v>8.6357909694621967E-4</v>
      </c>
      <c r="AE278" s="305">
        <f t="shared" si="117"/>
        <v>0.7</v>
      </c>
      <c r="AF278" s="177">
        <f t="shared" si="118"/>
        <v>9.5801097940498348E-2</v>
      </c>
      <c r="AG278" s="817">
        <f t="shared" si="124"/>
        <v>0</v>
      </c>
      <c r="AH278" s="176">
        <f t="shared" si="119"/>
        <v>6</v>
      </c>
      <c r="AI278" s="225">
        <f t="shared" si="120"/>
        <v>9.5801097940498348E-2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45191</v>
      </c>
      <c r="B279" s="411">
        <f>'2022'!Wh/'2022'!Env_an*'2023'!Env_an</f>
        <v>28.974515564352064</v>
      </c>
      <c r="C279" s="846"/>
      <c r="D279" s="393">
        <f t="shared" si="102"/>
        <v>30.260040055675169</v>
      </c>
      <c r="E279" s="385">
        <f t="shared" si="100"/>
        <v>31.591624477588457</v>
      </c>
      <c r="F279" s="385">
        <f t="shared" si="103"/>
        <v>31.625643647559862</v>
      </c>
      <c r="G279" s="110">
        <f t="shared" si="101"/>
        <v>0.97667405425104137</v>
      </c>
      <c r="H279" s="414" t="b">
        <f>Wh_hp&gt;='2022'!Maxi_hp</f>
        <v>0</v>
      </c>
      <c r="I279" s="390">
        <f>IF(H279,Wh_hp,'2022'!Maxi_hp)</f>
        <v>31.626022229598281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4.2482577318400105E-2</v>
      </c>
      <c r="M279" s="850"/>
      <c r="N279" s="850"/>
      <c r="O279" s="48">
        <f>IF(t&lt;Tnet,'2022'!Resal+('2022'!Salim-'2022'!Resal)*(1-EXP(('2022'!Tnet-t)/('2022'!Tau_j))),Resal+(Salim-Resal)*(1-EXP((Tnet-t)/(Tau_j))))*Salcycl</f>
        <v>4.2149919288194018E-2</v>
      </c>
      <c r="P279" s="169">
        <f>(INDEX(Models!$BJ279:$BT279,,T279)*(1-R279)+INDEX(Models!$BJ279:$BT279,,T279+1)*R279-ERP_i)*Q279*Ramure*Pc/MaxiM</f>
        <v>1.1127039357148058E-3</v>
      </c>
      <c r="Q279" s="305">
        <f t="shared" si="105"/>
        <v>0.7</v>
      </c>
      <c r="R279" s="177">
        <f t="shared" si="106"/>
        <v>9.5971783332577443E-2</v>
      </c>
      <c r="S279" s="817">
        <f t="shared" si="107"/>
        <v>0</v>
      </c>
      <c r="T279" s="176">
        <f t="shared" si="108"/>
        <v>6</v>
      </c>
      <c r="U279" s="251">
        <f t="shared" si="109"/>
        <v>9.5971783332577443E-2</v>
      </c>
      <c r="V279" s="383">
        <f t="shared" si="110"/>
        <v>29.665415623549571</v>
      </c>
      <c r="W279" s="402">
        <f t="shared" si="111"/>
        <v>28.974515564352064</v>
      </c>
      <c r="X279" s="157">
        <f t="shared" si="112"/>
        <v>45191</v>
      </c>
      <c r="Y279" s="385">
        <f t="shared" si="113"/>
        <v>26.779754789924798</v>
      </c>
      <c r="Z279" s="385">
        <f t="shared" si="114"/>
        <v>27.967903408928134</v>
      </c>
      <c r="AA279" s="386">
        <f t="shared" si="115"/>
        <v>31.591624477588457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0.11470511974561609</v>
      </c>
      <c r="AD279" s="231">
        <f>(INDEX(Models!$BJ279:$BT279,,AH279)*(1-AF279)+INDEX(Models!$BJ279:$BT279,,AH279+1)*AF279-ERP_i)*AE279*Ramure*Pc/MaxiM</f>
        <v>1.1127039357148058E-3</v>
      </c>
      <c r="AE279" s="305">
        <f t="shared" si="117"/>
        <v>0.7</v>
      </c>
      <c r="AF279" s="177">
        <f t="shared" si="118"/>
        <v>9.5971783332577443E-2</v>
      </c>
      <c r="AG279" s="817">
        <f t="shared" si="124"/>
        <v>0</v>
      </c>
      <c r="AH279" s="176">
        <f t="shared" si="119"/>
        <v>6</v>
      </c>
      <c r="AI279" s="225">
        <f t="shared" si="120"/>
        <v>9.5971783332577443E-2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45192</v>
      </c>
      <c r="B280" s="411">
        <f>'2022'!Wh/'2022'!Env_an*'2023'!Env_an</f>
        <v>17.922964851453575</v>
      </c>
      <c r="C280" s="846"/>
      <c r="D280" s="393">
        <f t="shared" si="102"/>
        <v>18.718570539201696</v>
      </c>
      <c r="E280" s="385">
        <f t="shared" si="100"/>
        <v>19.545145194153957</v>
      </c>
      <c r="F280" s="385">
        <f t="shared" si="103"/>
        <v>19.557265784185848</v>
      </c>
      <c r="G280" s="110">
        <f t="shared" si="101"/>
        <v>0.60821016490301005</v>
      </c>
      <c r="H280" s="414" t="b">
        <f>Wh_hp&gt;='2022'!Maxi_hp</f>
        <v>0</v>
      </c>
      <c r="I280" s="390">
        <f>IF(H280,Wh_hp,'2022'!Maxi_hp)</f>
        <v>30.447289439965701</v>
      </c>
      <c r="J280" s="85">
        <f>IF(H280,An,'2022'!An_max)</f>
        <v>2018</v>
      </c>
      <c r="K280" s="197">
        <f t="shared" si="104"/>
        <v>45192</v>
      </c>
      <c r="L280" s="147">
        <f>IF(t&lt;Tvie,1-EXP((T0-t)*PertePVj)+'2022'!Pspv,1-EXP((T0-t)*PertePVj)+Pspv)</f>
        <v>4.2503549407360453E-2</v>
      </c>
      <c r="M280" s="850"/>
      <c r="N280" s="850"/>
      <c r="O280" s="48">
        <f>IF(t&lt;Tnet,'2022'!Resal+('2022'!Salim-'2022'!Resal)*(1-EXP(('2022'!Tnet-t)/('2022'!Tau_j))),Resal+(Salim-Resal)*(1-EXP((Tnet-t)/(Tau_j))))*Salcycl</f>
        <v>4.2290535411294627E-2</v>
      </c>
      <c r="P280" s="169">
        <f>(INDEX(Models!$BJ280:$BT280,,T280)*(1-R280)+INDEX(Models!$BJ280:$BT280,,T280+1)*R280-ERP_i)*Q280*Ramure*Pc/MaxiM</f>
        <v>1.4053774531803149E-3</v>
      </c>
      <c r="Q280" s="305">
        <f t="shared" si="105"/>
        <v>0.7</v>
      </c>
      <c r="R280" s="177">
        <f t="shared" si="106"/>
        <v>9.613578151973079E-2</v>
      </c>
      <c r="S280" s="817">
        <f t="shared" si="107"/>
        <v>0</v>
      </c>
      <c r="T280" s="176">
        <f t="shared" si="108"/>
        <v>6</v>
      </c>
      <c r="U280" s="251">
        <f t="shared" si="109"/>
        <v>9.613578151973079E-2</v>
      </c>
      <c r="V280" s="383">
        <f t="shared" si="110"/>
        <v>29.445208837969126</v>
      </c>
      <c r="W280" s="402">
        <f t="shared" si="111"/>
        <v>17.922964851453575</v>
      </c>
      <c r="X280" s="157">
        <f t="shared" si="112"/>
        <v>45192</v>
      </c>
      <c r="Y280" s="385">
        <f t="shared" si="113"/>
        <v>16.567360468390387</v>
      </c>
      <c r="Z280" s="385">
        <f t="shared" si="114"/>
        <v>17.302790478373126</v>
      </c>
      <c r="AA280" s="386">
        <f t="shared" si="115"/>
        <v>19.545145194153957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0.11472694080837674</v>
      </c>
      <c r="AD280" s="231">
        <f>(INDEX(Models!$BJ280:$BT280,,AH280)*(1-AF280)+INDEX(Models!$BJ280:$BT280,,AH280+1)*AF280-ERP_i)*AE280*Ramure*Pc/MaxiM</f>
        <v>1.4053774531803149E-3</v>
      </c>
      <c r="AE280" s="305">
        <f t="shared" si="117"/>
        <v>0.7</v>
      </c>
      <c r="AF280" s="177">
        <f t="shared" si="118"/>
        <v>9.613578151973079E-2</v>
      </c>
      <c r="AG280" s="817">
        <f t="shared" si="124"/>
        <v>0</v>
      </c>
      <c r="AH280" s="176">
        <f t="shared" si="119"/>
        <v>6</v>
      </c>
      <c r="AI280" s="225">
        <f t="shared" si="120"/>
        <v>9.613578151973079E-2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45193</v>
      </c>
      <c r="B281" s="411">
        <f>'2022'!Wh/'2022'!Env_an*'2023'!Env_an</f>
        <v>11.185751674918153</v>
      </c>
      <c r="C281" s="846"/>
      <c r="D281" s="393">
        <f t="shared" si="102"/>
        <v>11.682546363519096</v>
      </c>
      <c r="E281" s="385">
        <f t="shared" si="100"/>
        <v>12.200205950284763</v>
      </c>
      <c r="F281" s="385">
        <f t="shared" si="103"/>
        <v>12.202720692805533</v>
      </c>
      <c r="G281" s="110">
        <f t="shared" si="101"/>
        <v>0.3821992996721037</v>
      </c>
      <c r="H281" s="414" t="b">
        <f>Wh_hp&gt;='2022'!Maxi_hp</f>
        <v>0</v>
      </c>
      <c r="I281" s="390">
        <f>IF(H281,Wh_hp,'2022'!Maxi_hp)</f>
        <v>26.744687251171772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4.2524521036978347E-2</v>
      </c>
      <c r="M281" s="850"/>
      <c r="N281" s="850"/>
      <c r="O281" s="48">
        <f>IF(t&lt;Tnet,'2022'!Resal+('2022'!Salim-'2022'!Resal)*(1-EXP(('2022'!Tnet-t)/('2022'!Tau_j))),Resal+(Salim-Resal)*(1-EXP((Tnet-t)/(Tau_j))))*Salcycl</f>
        <v>4.2430397394527981E-2</v>
      </c>
      <c r="P281" s="169">
        <f>(INDEX(Models!$BJ281:$BT281,,T281)*(1-R281)+INDEX(Models!$BJ281:$BT281,,T281+1)*R281-ERP_i)*Q281*Ramure*Pc/MaxiM</f>
        <v>1.7424885099368973E-3</v>
      </c>
      <c r="Q281" s="305">
        <f t="shared" si="105"/>
        <v>0.7</v>
      </c>
      <c r="R281" s="177">
        <f t="shared" si="106"/>
        <v>9.6293347427500398E-2</v>
      </c>
      <c r="S281" s="817">
        <f t="shared" si="107"/>
        <v>0</v>
      </c>
      <c r="T281" s="176">
        <f t="shared" si="108"/>
        <v>6</v>
      </c>
      <c r="U281" s="251">
        <f t="shared" si="109"/>
        <v>9.6293347427500398E-2</v>
      </c>
      <c r="V281" s="383">
        <f t="shared" si="110"/>
        <v>29.221828149308564</v>
      </c>
      <c r="W281" s="402">
        <f t="shared" si="111"/>
        <v>11.185751674918153</v>
      </c>
      <c r="X281" s="157">
        <f t="shared" si="112"/>
        <v>45193</v>
      </c>
      <c r="Y281" s="385">
        <f t="shared" si="113"/>
        <v>10.340987920563272</v>
      </c>
      <c r="Z281" s="385">
        <f t="shared" si="114"/>
        <v>10.800263973091939</v>
      </c>
      <c r="AA281" s="386">
        <f t="shared" si="115"/>
        <v>12.200205950284763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0.11474740532229694</v>
      </c>
      <c r="AD281" s="231">
        <f>(INDEX(Models!$BJ281:$BT281,,AH281)*(1-AF281)+INDEX(Models!$BJ281:$BT281,,AH281+1)*AF281-ERP_i)*AE281*Ramure*Pc/MaxiM</f>
        <v>1.7424885099368973E-3</v>
      </c>
      <c r="AE281" s="305">
        <f t="shared" si="117"/>
        <v>0.7</v>
      </c>
      <c r="AF281" s="177">
        <f t="shared" si="118"/>
        <v>9.6293347427500398E-2</v>
      </c>
      <c r="AG281" s="817">
        <f t="shared" si="124"/>
        <v>0</v>
      </c>
      <c r="AH281" s="176">
        <f t="shared" si="119"/>
        <v>6</v>
      </c>
      <c r="AI281" s="225">
        <f t="shared" si="120"/>
        <v>9.6293347427500398E-2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45194</v>
      </c>
      <c r="B282" s="411">
        <f>'2022'!Wh/'2022'!Env_an*'2023'!Env_an</f>
        <v>20.895532234013189</v>
      </c>
      <c r="C282" s="846"/>
      <c r="D282" s="393">
        <f t="shared" si="102"/>
        <v>21.824047058052518</v>
      </c>
      <c r="E282" s="385">
        <f t="shared" si="100"/>
        <v>22.79439265217249</v>
      </c>
      <c r="F282" s="385">
        <f t="shared" si="103"/>
        <v>22.824056442629153</v>
      </c>
      <c r="G282" s="110">
        <f t="shared" si="101"/>
        <v>0.72006226969940534</v>
      </c>
      <c r="H282" s="414" t="b">
        <f>Wh_hp&gt;='2022'!Maxi_hp</f>
        <v>0</v>
      </c>
      <c r="I282" s="390">
        <f>IF(H282,Wh_hp,'2022'!Maxi_hp)</f>
        <v>31.944717903389673</v>
      </c>
      <c r="J282" s="85">
        <f>IF(H282,An,'2022'!An_max)</f>
        <v>2018</v>
      </c>
      <c r="K282" s="197">
        <f t="shared" si="104"/>
        <v>45194</v>
      </c>
      <c r="L282" s="147">
        <f>IF(t&lt;Tvie,1-EXP((T0-t)*PertePVj)+'2022'!Pspv,1-EXP((T0-t)*PertePVj)+Pspv)</f>
        <v>4.2545492207263669E-2</v>
      </c>
      <c r="M282" s="850"/>
      <c r="N282" s="850"/>
      <c r="O282" s="48">
        <f>IF(t&lt;Tnet,'2022'!Resal+('2022'!Salim-'2022'!Resal)*(1-EXP(('2022'!Tnet-t)/('2022'!Tau_j))),Resal+(Salim-Resal)*(1-EXP((Tnet-t)/(Tau_j))))*Salcycl</f>
        <v>4.2569486668357921E-2</v>
      </c>
      <c r="P282" s="169">
        <f>(INDEX(Models!$BJ282:$BT282,,T282)*(1-R282)+INDEX(Models!$BJ282:$BT282,,T282+1)*R282-ERP_i)*Q282*Ramure*Pc/MaxiM</f>
        <v>2.1625932969273759E-3</v>
      </c>
      <c r="Q282" s="305">
        <f t="shared" si="105"/>
        <v>0.7</v>
      </c>
      <c r="R282" s="177">
        <f t="shared" si="106"/>
        <v>9.6444726815043735E-2</v>
      </c>
      <c r="S282" s="817">
        <f t="shared" si="107"/>
        <v>0</v>
      </c>
      <c r="T282" s="176">
        <f t="shared" si="108"/>
        <v>6</v>
      </c>
      <c r="U282" s="251">
        <f t="shared" si="109"/>
        <v>9.6444726815043735E-2</v>
      </c>
      <c r="V282" s="383">
        <f t="shared" si="110"/>
        <v>28.993989062777874</v>
      </c>
      <c r="W282" s="402">
        <f t="shared" si="111"/>
        <v>20.895532234013189</v>
      </c>
      <c r="X282" s="157">
        <f t="shared" si="112"/>
        <v>45194</v>
      </c>
      <c r="Y282" s="385">
        <f t="shared" si="113"/>
        <v>19.319862300938727</v>
      </c>
      <c r="Z282" s="385">
        <f t="shared" si="114"/>
        <v>20.178360583917129</v>
      </c>
      <c r="AA282" s="386">
        <f t="shared" si="115"/>
        <v>22.79439265217249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0.11476647385057806</v>
      </c>
      <c r="AD282" s="231">
        <f>(INDEX(Models!$BJ282:$BT282,,AH282)*(1-AF282)+INDEX(Models!$BJ282:$BT282,,AH282+1)*AF282-ERP_i)*AE282*Ramure*Pc/MaxiM</f>
        <v>2.1625932969273759E-3</v>
      </c>
      <c r="AE282" s="305">
        <f t="shared" si="117"/>
        <v>0.7</v>
      </c>
      <c r="AF282" s="177">
        <f t="shared" si="118"/>
        <v>9.6444726815043735E-2</v>
      </c>
      <c r="AG282" s="817">
        <f t="shared" si="124"/>
        <v>0</v>
      </c>
      <c r="AH282" s="176">
        <f t="shared" si="119"/>
        <v>6</v>
      </c>
      <c r="AI282" s="225">
        <f t="shared" si="120"/>
        <v>9.6444726815043735E-2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45195</v>
      </c>
      <c r="B283" s="411">
        <f>'2022'!Wh/'2022'!Env_an*'2023'!Env_an</f>
        <v>19.912422268931262</v>
      </c>
      <c r="C283" s="846"/>
      <c r="D283" s="393">
        <f t="shared" si="102"/>
        <v>20.797707096853618</v>
      </c>
      <c r="E283" s="385">
        <f t="shared" si="100"/>
        <v>21.725557531432074</v>
      </c>
      <c r="F283" s="385">
        <f t="shared" si="103"/>
        <v>21.757955369968581</v>
      </c>
      <c r="G283" s="110">
        <f t="shared" si="101"/>
        <v>0.69151190576954424</v>
      </c>
      <c r="H283" s="414" t="b">
        <f>Wh_hp&gt;='2022'!Maxi_hp</f>
        <v>0</v>
      </c>
      <c r="I283" s="390">
        <f>IF(H283,Wh_hp,'2022'!Maxi_hp)</f>
        <v>30.905032154620368</v>
      </c>
      <c r="J283" s="85">
        <f>IF(H283,An,'2022'!An_max)</f>
        <v>2018</v>
      </c>
      <c r="K283" s="197">
        <f t="shared" si="104"/>
        <v>45195</v>
      </c>
      <c r="L283" s="147">
        <f>IF(t&lt;Tvie,1-EXP((T0-t)*PertePVj)+'2022'!Pspv,1-EXP((T0-t)*PertePVj)+Pspv)</f>
        <v>4.2566462918226522E-2</v>
      </c>
      <c r="M283" s="850"/>
      <c r="N283" s="850"/>
      <c r="O283" s="48">
        <f>IF(t&lt;Tnet,'2022'!Resal+('2022'!Salim-'2022'!Resal)*(1-EXP(('2022'!Tnet-t)/('2022'!Tau_j))),Resal+(Salim-Resal)*(1-EXP((Tnet-t)/(Tau_j))))*Salcycl</f>
        <v>4.270778474780506E-2</v>
      </c>
      <c r="P283" s="169">
        <f>(INDEX(Models!$BJ283:$BT283,,T283)*(1-R283)+INDEX(Models!$BJ283:$BT283,,T283+1)*R283-ERP_i)*Q283*Ramure*Pc/MaxiM</f>
        <v>2.6567690461513356E-3</v>
      </c>
      <c r="Q283" s="305">
        <f t="shared" si="105"/>
        <v>0.7</v>
      </c>
      <c r="R283" s="177">
        <f t="shared" si="106"/>
        <v>9.6590156561256135E-2</v>
      </c>
      <c r="S283" s="817">
        <f t="shared" si="107"/>
        <v>0</v>
      </c>
      <c r="T283" s="176">
        <f t="shared" si="108"/>
        <v>6</v>
      </c>
      <c r="U283" s="251">
        <f t="shared" si="109"/>
        <v>9.6590156561256135E-2</v>
      </c>
      <c r="V283" s="383">
        <f t="shared" si="110"/>
        <v>28.761810953024902</v>
      </c>
      <c r="W283" s="402">
        <f t="shared" si="111"/>
        <v>19.912422268931262</v>
      </c>
      <c r="X283" s="157">
        <f t="shared" si="112"/>
        <v>45195</v>
      </c>
      <c r="Y283" s="385">
        <f t="shared" si="113"/>
        <v>18.413178721589009</v>
      </c>
      <c r="Z283" s="385">
        <f t="shared" si="114"/>
        <v>19.231808797623472</v>
      </c>
      <c r="AA283" s="386">
        <f t="shared" si="115"/>
        <v>21.725557531432074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0.1147841076207458</v>
      </c>
      <c r="AD283" s="231">
        <f>(INDEX(Models!$BJ283:$BT283,,AH283)*(1-AF283)+INDEX(Models!$BJ283:$BT283,,AH283+1)*AF283-ERP_i)*AE283*Ramure*Pc/MaxiM</f>
        <v>2.6567690461513356E-3</v>
      </c>
      <c r="AE283" s="305">
        <f t="shared" si="117"/>
        <v>0.7</v>
      </c>
      <c r="AF283" s="177">
        <f t="shared" si="118"/>
        <v>9.6590156561256135E-2</v>
      </c>
      <c r="AG283" s="817">
        <f t="shared" si="124"/>
        <v>0</v>
      </c>
      <c r="AH283" s="176">
        <f t="shared" si="119"/>
        <v>6</v>
      </c>
      <c r="AI283" s="225">
        <f t="shared" si="120"/>
        <v>9.6590156561256135E-2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45196</v>
      </c>
      <c r="B284" s="411">
        <f>'2022'!Wh/'2022'!Env_an*'2023'!Env_an</f>
        <v>9.9910287328274059</v>
      </c>
      <c r="C284" s="846"/>
      <c r="D284" s="393">
        <f t="shared" si="102"/>
        <v>10.435447662763078</v>
      </c>
      <c r="E284" s="385">
        <f t="shared" si="100"/>
        <v>10.902571310656546</v>
      </c>
      <c r="F284" s="385">
        <f t="shared" si="103"/>
        <v>10.9050973746659</v>
      </c>
      <c r="G284" s="110">
        <f t="shared" si="101"/>
        <v>0.34920462630939175</v>
      </c>
      <c r="H284" s="414" t="b">
        <f>Wh_hp&gt;='2022'!Maxi_hp</f>
        <v>0</v>
      </c>
      <c r="I284" s="390">
        <f>IF(H284,Wh_hp,'2022'!Maxi_hp)</f>
        <v>30.281766812625989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4.2587433169877009E-2</v>
      </c>
      <c r="M284" s="850"/>
      <c r="N284" s="850"/>
      <c r="O284" s="48">
        <f>IF(t&lt;Tnet,'2022'!Resal+('2022'!Salim-'2022'!Resal)*(1-EXP(('2022'!Tnet-t)/('2022'!Tau_j))),Resal+(Salim-Resal)*(1-EXP((Tnet-t)/(Tau_j))))*Salcycl</f>
        <v>4.2845273338123976E-2</v>
      </c>
      <c r="P284" s="169">
        <f>(INDEX(Models!$BJ284:$BT284,,T284)*(1-R284)+INDEX(Models!$BJ284:$BT284,,T284+1)*R284-ERP_i)*Q284*Ramure*Pc/MaxiM</f>
        <v>3.2265872221174966E-3</v>
      </c>
      <c r="Q284" s="305">
        <f t="shared" si="105"/>
        <v>0.7</v>
      </c>
      <c r="R284" s="177">
        <f t="shared" si="106"/>
        <v>9.6729864945503674E-2</v>
      </c>
      <c r="S284" s="817">
        <f t="shared" si="107"/>
        <v>0</v>
      </c>
      <c r="T284" s="176">
        <f t="shared" si="108"/>
        <v>6</v>
      </c>
      <c r="U284" s="251">
        <f t="shared" si="109"/>
        <v>9.6729864945503674E-2</v>
      </c>
      <c r="V284" s="383">
        <f t="shared" si="110"/>
        <v>28.525106634760778</v>
      </c>
      <c r="W284" s="402">
        <f t="shared" si="111"/>
        <v>9.9910287328274059</v>
      </c>
      <c r="X284" s="157">
        <f t="shared" si="112"/>
        <v>45196</v>
      </c>
      <c r="Y284" s="385">
        <f t="shared" si="113"/>
        <v>9.2399438694759279</v>
      </c>
      <c r="Z284" s="385">
        <f t="shared" si="114"/>
        <v>9.6509531936354911</v>
      </c>
      <c r="AA284" s="386">
        <f t="shared" si="115"/>
        <v>10.902571310656546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0.11480026879509417</v>
      </c>
      <c r="AD284" s="231">
        <f>(INDEX(Models!$BJ284:$BT284,,AH284)*(1-AF284)+INDEX(Models!$BJ284:$BT284,,AH284+1)*AF284-ERP_i)*AE284*Ramure*Pc/MaxiM</f>
        <v>3.2265872221174966E-3</v>
      </c>
      <c r="AE284" s="305">
        <f t="shared" si="117"/>
        <v>0.7</v>
      </c>
      <c r="AF284" s="177">
        <f t="shared" si="118"/>
        <v>9.6729864945503674E-2</v>
      </c>
      <c r="AG284" s="817">
        <f t="shared" si="124"/>
        <v>0</v>
      </c>
      <c r="AH284" s="176">
        <f t="shared" si="119"/>
        <v>6</v>
      </c>
      <c r="AI284" s="225">
        <f t="shared" si="120"/>
        <v>9.6729864945503674E-2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45197</v>
      </c>
      <c r="B285" s="411">
        <f>'2022'!Wh/'2022'!Env_an*'2023'!Env_an</f>
        <v>11.308627212569082</v>
      </c>
      <c r="C285" s="846"/>
      <c r="D285" s="393">
        <f t="shared" si="102"/>
        <v>11.811914004215861</v>
      </c>
      <c r="E285" s="385">
        <f t="shared" si="100"/>
        <v>12.342414871129986</v>
      </c>
      <c r="F285" s="385">
        <f t="shared" si="103"/>
        <v>12.349237053661879</v>
      </c>
      <c r="G285" s="110">
        <f t="shared" si="101"/>
        <v>0.39849990069642005</v>
      </c>
      <c r="H285" s="414" t="b">
        <f>Wh_hp&gt;='2022'!Maxi_hp</f>
        <v>0</v>
      </c>
      <c r="I285" s="390">
        <f>IF(H285,Wh_hp,'2022'!Maxi_hp)</f>
        <v>29.367871929004963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4.2608402962225123E-2</v>
      </c>
      <c r="M285" s="850"/>
      <c r="N285" s="850"/>
      <c r="O285" s="48">
        <f>IF(t&lt;Tnet,'2022'!Resal+('2022'!Salim-'2022'!Resal)*(1-EXP(('2022'!Tnet-t)/('2022'!Tau_j))),Resal+(Salim-Resal)*(1-EXP((Tnet-t)/(Tau_j))))*Salcycl</f>
        <v>4.2981934447448737E-2</v>
      </c>
      <c r="P285" s="169">
        <f>(INDEX(Models!$BJ285:$BT285,,T285)*(1-R285)+INDEX(Models!$BJ285:$BT285,,T285+1)*R285-ERP_i)*Q285*Ramure*Pc/MaxiM</f>
        <v>3.8737036245111269E-3</v>
      </c>
      <c r="Q285" s="305">
        <f t="shared" si="105"/>
        <v>0.7</v>
      </c>
      <c r="R285" s="177">
        <f t="shared" si="106"/>
        <v>9.6864071922747319E-2</v>
      </c>
      <c r="S285" s="817">
        <f t="shared" si="107"/>
        <v>0</v>
      </c>
      <c r="T285" s="176">
        <f t="shared" si="108"/>
        <v>6</v>
      </c>
      <c r="U285" s="251">
        <f t="shared" si="109"/>
        <v>9.6864071922747319E-2</v>
      </c>
      <c r="V285" s="383">
        <f t="shared" si="110"/>
        <v>28.283689588777577</v>
      </c>
      <c r="W285" s="402">
        <f t="shared" si="111"/>
        <v>11.308627212569082</v>
      </c>
      <c r="X285" s="157">
        <f t="shared" si="112"/>
        <v>45197</v>
      </c>
      <c r="Y285" s="385">
        <f t="shared" si="113"/>
        <v>10.459810985419537</v>
      </c>
      <c r="Z285" s="385">
        <f t="shared" si="114"/>
        <v>10.925321485777397</v>
      </c>
      <c r="AA285" s="386">
        <f t="shared" si="115"/>
        <v>12.342414871129986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0.11481492075487561</v>
      </c>
      <c r="AD285" s="231">
        <f>(INDEX(Models!$BJ285:$BT285,,AH285)*(1-AF285)+INDEX(Models!$BJ285:$BT285,,AH285+1)*AF285-ERP_i)*AE285*Ramure*Pc/MaxiM</f>
        <v>3.8737036245111269E-3</v>
      </c>
      <c r="AE285" s="305">
        <f t="shared" si="117"/>
        <v>0.7</v>
      </c>
      <c r="AF285" s="177">
        <f t="shared" si="118"/>
        <v>9.6864071922747319E-2</v>
      </c>
      <c r="AG285" s="817">
        <f t="shared" si="124"/>
        <v>0</v>
      </c>
      <c r="AH285" s="176">
        <f t="shared" si="119"/>
        <v>6</v>
      </c>
      <c r="AI285" s="225">
        <f t="shared" si="120"/>
        <v>9.6864071922747319E-2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45198</v>
      </c>
      <c r="B286" s="411">
        <f>'2022'!Wh/'2022'!Env_an*'2023'!Env_an</f>
        <v>15.385292701899834</v>
      </c>
      <c r="C286" s="846"/>
      <c r="D286" s="393">
        <f t="shared" si="102"/>
        <v>16.070362153041849</v>
      </c>
      <c r="E286" s="385">
        <f t="shared" si="100"/>
        <v>16.794503358732484</v>
      </c>
      <c r="F286" s="385">
        <f t="shared" si="103"/>
        <v>16.821999672873865</v>
      </c>
      <c r="G286" s="110">
        <f t="shared" si="101"/>
        <v>0.54711242426606921</v>
      </c>
      <c r="H286" s="414" t="b">
        <f>Wh_hp&gt;='2022'!Maxi_hp</f>
        <v>0</v>
      </c>
      <c r="I286" s="390">
        <f>IF(H286,Wh_hp,'2022'!Maxi_hp)</f>
        <v>29.816399783631852</v>
      </c>
      <c r="J286" s="85">
        <f>IF(H286,An,'2022'!An_max)</f>
        <v>2018</v>
      </c>
      <c r="K286" s="197">
        <f t="shared" si="104"/>
        <v>45198</v>
      </c>
      <c r="L286" s="147">
        <f>IF(t&lt;Tvie,1-EXP((T0-t)*PertePVj)+'2022'!Pspv,1-EXP((T0-t)*PertePVj)+Pspv)</f>
        <v>4.2629372295281076E-2</v>
      </c>
      <c r="M286" s="850"/>
      <c r="N286" s="850"/>
      <c r="O286" s="48">
        <f>IF(t&lt;Tnet,'2022'!Resal+('2022'!Salim-'2022'!Resal)*(1-EXP(('2022'!Tnet-t)/('2022'!Tau_j))),Resal+(Salim-Resal)*(1-EXP((Tnet-t)/(Tau_j))))*Salcycl</f>
        <v>4.3117750505799371E-2</v>
      </c>
      <c r="P286" s="169">
        <f>(INDEX(Models!$BJ286:$BT286,,T286)*(1-R286)+INDEX(Models!$BJ286:$BT286,,T286+1)*R286-ERP_i)*Q286*Ramure*Pc/MaxiM</f>
        <v>4.5998670502021078E-3</v>
      </c>
      <c r="Q286" s="305">
        <f t="shared" si="105"/>
        <v>0.7</v>
      </c>
      <c r="R286" s="177">
        <f t="shared" si="106"/>
        <v>9.699298939287454E-2</v>
      </c>
      <c r="S286" s="817">
        <f t="shared" si="107"/>
        <v>0</v>
      </c>
      <c r="T286" s="176">
        <f t="shared" si="108"/>
        <v>6</v>
      </c>
      <c r="U286" s="251">
        <f t="shared" si="109"/>
        <v>9.699298939287454E-2</v>
      </c>
      <c r="V286" s="383">
        <f t="shared" si="110"/>
        <v>28.037373999884327</v>
      </c>
      <c r="W286" s="402">
        <f t="shared" si="111"/>
        <v>15.385292701899834</v>
      </c>
      <c r="X286" s="157">
        <f t="shared" si="112"/>
        <v>45198</v>
      </c>
      <c r="Y286" s="385">
        <f t="shared" si="113"/>
        <v>14.232294393420265</v>
      </c>
      <c r="Z286" s="385">
        <f t="shared" si="114"/>
        <v>14.866023650153094</v>
      </c>
      <c r="AA286" s="386">
        <f t="shared" si="115"/>
        <v>16.794503358732484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0.11482802839636551</v>
      </c>
      <c r="AD286" s="231">
        <f>(INDEX(Models!$BJ286:$BT286,,AH286)*(1-AF286)+INDEX(Models!$BJ286:$BT286,,AH286+1)*AF286-ERP_i)*AE286*Ramure*Pc/MaxiM</f>
        <v>4.5998670502021078E-3</v>
      </c>
      <c r="AE286" s="305">
        <f t="shared" si="117"/>
        <v>0.7</v>
      </c>
      <c r="AF286" s="177">
        <f t="shared" si="118"/>
        <v>9.699298939287454E-2</v>
      </c>
      <c r="AG286" s="817">
        <f t="shared" si="124"/>
        <v>0</v>
      </c>
      <c r="AH286" s="176">
        <f t="shared" si="119"/>
        <v>6</v>
      </c>
      <c r="AI286" s="225">
        <f t="shared" si="120"/>
        <v>9.699298939287454E-2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45199</v>
      </c>
      <c r="B287" s="411">
        <f>'2022'!Wh/'2022'!Env_an*'2023'!Env_an</f>
        <v>19.172512318737112</v>
      </c>
      <c r="C287" s="846"/>
      <c r="D287" s="393">
        <f t="shared" si="102"/>
        <v>20.026656030931655</v>
      </c>
      <c r="E287" s="385">
        <f t="shared" si="100"/>
        <v>20.932022619673088</v>
      </c>
      <c r="F287" s="385">
        <f t="shared" si="103"/>
        <v>20.995270547255387</v>
      </c>
      <c r="G287" s="110">
        <f t="shared" si="101"/>
        <v>0.68834965255901692</v>
      </c>
      <c r="H287" s="414" t="b">
        <f>Wh_hp&gt;='2022'!Maxi_hp</f>
        <v>0</v>
      </c>
      <c r="I287" s="390">
        <f>IF(H287,Wh_hp,'2022'!Maxi_hp)</f>
        <v>27.899503681565321</v>
      </c>
      <c r="J287" s="85">
        <f>IF(H287,An,'2022'!An_max)</f>
        <v>2018</v>
      </c>
      <c r="K287" s="197">
        <f t="shared" si="104"/>
        <v>45199</v>
      </c>
      <c r="L287" s="147">
        <f>IF(t&lt;Tvie,1-EXP((T0-t)*PertePVj)+'2022'!Pspv,1-EXP((T0-t)*PertePVj)+Pspv)</f>
        <v>4.2650341169054751E-2</v>
      </c>
      <c r="M287" s="850"/>
      <c r="N287" s="850"/>
      <c r="O287" s="48">
        <f>IF(t&lt;Tnet,'2022'!Resal+('2022'!Salim-'2022'!Resal)*(1-EXP(('2022'!Tnet-t)/('2022'!Tau_j))),Resal+(Salim-Resal)*(1-EXP((Tnet-t)/(Tau_j))))*Salcycl</f>
        <v>4.3252704489747669E-2</v>
      </c>
      <c r="P287" s="169">
        <f>(INDEX(Models!$BJ287:$BT287,,T287)*(1-R287)+INDEX(Models!$BJ287:$BT287,,T287+1)*R287-ERP_i)*Q287*Ramure*Pc/MaxiM</f>
        <v>5.4069288442958269E-3</v>
      </c>
      <c r="Q287" s="305">
        <f t="shared" si="105"/>
        <v>0.7</v>
      </c>
      <c r="R287" s="177">
        <f t="shared" si="106"/>
        <v>9.7116821464092395E-2</v>
      </c>
      <c r="S287" s="817">
        <f t="shared" si="107"/>
        <v>0</v>
      </c>
      <c r="T287" s="176">
        <f t="shared" si="108"/>
        <v>6</v>
      </c>
      <c r="U287" s="251">
        <f t="shared" si="109"/>
        <v>9.7116821464092395E-2</v>
      </c>
      <c r="V287" s="383">
        <f t="shared" si="110"/>
        <v>27.785974788891782</v>
      </c>
      <c r="W287" s="402">
        <f t="shared" si="111"/>
        <v>19.172512318737112</v>
      </c>
      <c r="X287" s="157">
        <f t="shared" si="112"/>
        <v>45199</v>
      </c>
      <c r="Y287" s="385">
        <f t="shared" si="113"/>
        <v>17.737964402480767</v>
      </c>
      <c r="Z287" s="385">
        <f t="shared" si="114"/>
        <v>18.528198384842216</v>
      </c>
      <c r="AA287" s="386">
        <f t="shared" si="115"/>
        <v>20.932022619673088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0.11483955843672849</v>
      </c>
      <c r="AD287" s="231">
        <f>(INDEX(Models!$BJ287:$BT287,,AH287)*(1-AF287)+INDEX(Models!$BJ287:$BT287,,AH287+1)*AF287-ERP_i)*AE287*Ramure*Pc/MaxiM</f>
        <v>5.4069288442958269E-3</v>
      </c>
      <c r="AE287" s="305">
        <f t="shared" si="117"/>
        <v>0.7</v>
      </c>
      <c r="AF287" s="177">
        <f t="shared" si="118"/>
        <v>9.7116821464092395E-2</v>
      </c>
      <c r="AG287" s="817">
        <f t="shared" si="124"/>
        <v>0</v>
      </c>
      <c r="AH287" s="176">
        <f t="shared" si="119"/>
        <v>6</v>
      </c>
      <c r="AI287" s="225">
        <f t="shared" si="120"/>
        <v>9.7116821464092395E-2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45200</v>
      </c>
      <c r="B288" s="411">
        <f>'2022'!Wh/'2022'!Env_an*'2023'!Env_an</f>
        <v>24.559173618650352</v>
      </c>
      <c r="C288" s="846"/>
      <c r="D288" s="393">
        <f t="shared" si="102"/>
        <v>25.65385730575667</v>
      </c>
      <c r="E288" s="385">
        <f t="shared" si="100"/>
        <v>26.817376940651013</v>
      </c>
      <c r="F288" s="385">
        <f t="shared" si="103"/>
        <v>26.960980001022634</v>
      </c>
      <c r="G288" s="110">
        <f t="shared" si="101"/>
        <v>0.89123965741291789</v>
      </c>
      <c r="H288" s="414" t="b">
        <f>Wh_hp&gt;='2022'!Maxi_hp</f>
        <v>0</v>
      </c>
      <c r="I288" s="390">
        <f>IF(H288,Wh_hp,'2022'!Maxi_hp)</f>
        <v>29.54290748735184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4.2671309583556249E-2</v>
      </c>
      <c r="M288" s="850"/>
      <c r="N288" s="850"/>
      <c r="O288" s="48">
        <f>IF(t&lt;Tnet,'2022'!Resal+('2022'!Salim-'2022'!Resal)*(1-EXP(('2022'!Tnet-t)/('2022'!Tau_j))),Resal+(Salim-Resal)*(1-EXP((Tnet-t)/(Tau_j))))*Salcycl</f>
        <v>4.3386780051953081E-2</v>
      </c>
      <c r="P288" s="169">
        <f>(INDEX(Models!$BJ288:$BT288,,T288)*(1-R288)+INDEX(Models!$BJ288:$BT288,,T288+1)*R288-ERP_i)*Q288*Ramure*Pc/MaxiM</f>
        <v>6.2968534531023046E-3</v>
      </c>
      <c r="Q288" s="305">
        <f t="shared" si="105"/>
        <v>0.7</v>
      </c>
      <c r="R288" s="177">
        <f t="shared" si="106"/>
        <v>9.7235764710265848E-2</v>
      </c>
      <c r="S288" s="817">
        <f t="shared" si="107"/>
        <v>0</v>
      </c>
      <c r="T288" s="176">
        <f t="shared" si="108"/>
        <v>6</v>
      </c>
      <c r="U288" s="251">
        <f t="shared" si="109"/>
        <v>9.7235764710265848E-2</v>
      </c>
      <c r="V288" s="383">
        <f t="shared" si="110"/>
        <v>27.529307646362245</v>
      </c>
      <c r="W288" s="402">
        <f t="shared" si="111"/>
        <v>24.559173618650352</v>
      </c>
      <c r="X288" s="157">
        <f t="shared" si="112"/>
        <v>45200</v>
      </c>
      <c r="Y288" s="385">
        <f t="shared" si="113"/>
        <v>22.72450856072561</v>
      </c>
      <c r="Z288" s="385">
        <f t="shared" si="114"/>
        <v>23.737415151362811</v>
      </c>
      <c r="AA288" s="386">
        <f t="shared" si="115"/>
        <v>26.817376940651013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0.11484947972743199</v>
      </c>
      <c r="AD288" s="231">
        <f>(INDEX(Models!$BJ288:$BT288,,AH288)*(1-AF288)+INDEX(Models!$BJ288:$BT288,,AH288+1)*AF288-ERP_i)*AE288*Ramure*Pc/MaxiM</f>
        <v>6.2968534531023046E-3</v>
      </c>
      <c r="AE288" s="305">
        <f t="shared" si="117"/>
        <v>0.7</v>
      </c>
      <c r="AF288" s="177">
        <f t="shared" si="118"/>
        <v>9.7235764710265848E-2</v>
      </c>
      <c r="AG288" s="817">
        <f t="shared" si="124"/>
        <v>0</v>
      </c>
      <c r="AH288" s="176">
        <f t="shared" si="119"/>
        <v>6</v>
      </c>
      <c r="AI288" s="225">
        <f t="shared" si="120"/>
        <v>9.7235764710265848E-2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45201</v>
      </c>
      <c r="B289" s="411">
        <f>'2022'!Wh/'2022'!Env_an*'2023'!Env_an</f>
        <v>25.772735638150831</v>
      </c>
      <c r="C289" s="846"/>
      <c r="D289" s="393">
        <f t="shared" si="102"/>
        <v>26.922101465858898</v>
      </c>
      <c r="E289" s="385">
        <f t="shared" si="100"/>
        <v>28.147060457669063</v>
      </c>
      <c r="F289" s="385">
        <f t="shared" si="103"/>
        <v>28.336977172331785</v>
      </c>
      <c r="G289" s="110">
        <f t="shared" si="101"/>
        <v>0.944633331329778</v>
      </c>
      <c r="H289" s="414" t="b">
        <f>Wh_hp&gt;='2022'!Maxi_hp</f>
        <v>0</v>
      </c>
      <c r="I289" s="390">
        <f>IF(H289,Wh_hp,'2022'!Maxi_hp)</f>
        <v>29.656559533352279</v>
      </c>
      <c r="J289" s="85">
        <f>IF(H289,An,'2022'!An_max)</f>
        <v>2018</v>
      </c>
      <c r="K289" s="197">
        <f t="shared" si="104"/>
        <v>45201</v>
      </c>
      <c r="L289" s="147">
        <f>IF(t&lt;Tvie,1-EXP((T0-t)*PertePVj)+'2022'!Pspv,1-EXP((T0-t)*PertePVj)+Pspv)</f>
        <v>4.2692277538795675E-2</v>
      </c>
      <c r="M289" s="850"/>
      <c r="N289" s="850"/>
      <c r="O289" s="48">
        <f>IF(t&lt;Tnet,'2022'!Resal+('2022'!Salim-'2022'!Resal)*(1-EXP(('2022'!Tnet-t)/('2022'!Tau_j))),Resal+(Salim-Resal)*(1-EXP((Tnet-t)/(Tau_j))))*Salcycl</f>
        <v>4.3519961654695981E-2</v>
      </c>
      <c r="P289" s="169">
        <f>(INDEX(Models!$BJ289:$BT289,,T289)*(1-R289)+INDEX(Models!$BJ289:$BT289,,T289+1)*R289-ERP_i)*Q289*Ramure*Pc/MaxiM</f>
        <v>7.2716003808253014E-3</v>
      </c>
      <c r="Q289" s="305">
        <f t="shared" si="105"/>
        <v>0.7</v>
      </c>
      <c r="R289" s="177">
        <f t="shared" si="106"/>
        <v>9.735000842211522E-2</v>
      </c>
      <c r="S289" s="817">
        <f t="shared" si="107"/>
        <v>0</v>
      </c>
      <c r="T289" s="176">
        <f t="shared" si="108"/>
        <v>6</v>
      </c>
      <c r="U289" s="251">
        <f t="shared" si="109"/>
        <v>9.735000842211522E-2</v>
      </c>
      <c r="V289" s="383">
        <f t="shared" si="110"/>
        <v>27.267679079838267</v>
      </c>
      <c r="W289" s="402">
        <f t="shared" si="111"/>
        <v>25.772735638150831</v>
      </c>
      <c r="X289" s="157">
        <f t="shared" si="112"/>
        <v>45201</v>
      </c>
      <c r="Y289" s="385">
        <f t="shared" si="113"/>
        <v>23.850510148717227</v>
      </c>
      <c r="Z289" s="385">
        <f t="shared" si="114"/>
        <v>24.91415204235312</v>
      </c>
      <c r="AA289" s="386">
        <f t="shared" si="115"/>
        <v>28.147060457669063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0.11485776357278871</v>
      </c>
      <c r="AD289" s="231">
        <f>(INDEX(Models!$BJ289:$BT289,,AH289)*(1-AF289)+INDEX(Models!$BJ289:$BT289,,AH289+1)*AF289-ERP_i)*AE289*Ramure*Pc/MaxiM</f>
        <v>7.2716003808253014E-3</v>
      </c>
      <c r="AE289" s="305">
        <f t="shared" si="117"/>
        <v>0.7</v>
      </c>
      <c r="AF289" s="177">
        <f t="shared" si="118"/>
        <v>9.735000842211522E-2</v>
      </c>
      <c r="AG289" s="817">
        <f t="shared" si="124"/>
        <v>0</v>
      </c>
      <c r="AH289" s="176">
        <f t="shared" si="119"/>
        <v>6</v>
      </c>
      <c r="AI289" s="225">
        <f t="shared" si="120"/>
        <v>9.735000842211522E-2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45202</v>
      </c>
      <c r="B290" s="411">
        <f>'2022'!Wh/'2022'!Env_an*'2023'!Env_an</f>
        <v>23.800197276658167</v>
      </c>
      <c r="C290" s="846"/>
      <c r="D290" s="393">
        <f t="shared" si="102"/>
        <v>24.862139952540083</v>
      </c>
      <c r="E290" s="385">
        <f t="shared" si="100"/>
        <v>25.99696559641033</v>
      </c>
      <c r="F290" s="385">
        <f t="shared" si="103"/>
        <v>26.178314537944303</v>
      </c>
      <c r="G290" s="110">
        <f t="shared" si="101"/>
        <v>0.88019126659878089</v>
      </c>
      <c r="H290" s="414" t="b">
        <f>Wh_hp&gt;='2022'!Maxi_hp</f>
        <v>0</v>
      </c>
      <c r="I290" s="390">
        <f>IF(H290,Wh_hp,'2022'!Maxi_hp)</f>
        <v>28.585247689548495</v>
      </c>
      <c r="J290" s="85">
        <f>IF(H290,An,'2022'!An_max)</f>
        <v>2018</v>
      </c>
      <c r="K290" s="197">
        <f t="shared" si="104"/>
        <v>45202</v>
      </c>
      <c r="L290" s="147">
        <f>IF(t&lt;Tvie,1-EXP((T0-t)*PertePVj)+'2022'!Pspv,1-EXP((T0-t)*PertePVj)+Pspv)</f>
        <v>4.2713245034783132E-2</v>
      </c>
      <c r="M290" s="850"/>
      <c r="N290" s="850"/>
      <c r="O290" s="48">
        <f>IF(t&lt;Tnet,'2022'!Resal+('2022'!Salim-'2022'!Resal)*(1-EXP(('2022'!Tnet-t)/('2022'!Tau_j))),Resal+(Salim-Resal)*(1-EXP((Tnet-t)/(Tau_j))))*Salcycl</f>
        <v>4.3652234706459042E-2</v>
      </c>
      <c r="P290" s="169">
        <f>(INDEX(Models!$BJ290:$BT290,,T290)*(1-R290)+INDEX(Models!$BJ290:$BT290,,T290+1)*R290-ERP_i)*Q290*Ramure*Pc/MaxiM</f>
        <v>8.3399367491725374E-3</v>
      </c>
      <c r="Q290" s="305">
        <f t="shared" si="105"/>
        <v>0.7</v>
      </c>
      <c r="R290" s="177">
        <f t="shared" si="106"/>
        <v>9.7459734852212154E-2</v>
      </c>
      <c r="S290" s="817">
        <f t="shared" si="107"/>
        <v>0</v>
      </c>
      <c r="T290" s="176">
        <f t="shared" si="108"/>
        <v>6</v>
      </c>
      <c r="U290" s="251">
        <f t="shared" si="109"/>
        <v>9.7459734852212154E-2</v>
      </c>
      <c r="V290" s="383">
        <f t="shared" si="110"/>
        <v>27.001341851394226</v>
      </c>
      <c r="W290" s="402">
        <f t="shared" si="111"/>
        <v>23.800197276658167</v>
      </c>
      <c r="X290" s="157">
        <f t="shared" si="112"/>
        <v>45202</v>
      </c>
      <c r="Y290" s="385">
        <f t="shared" si="113"/>
        <v>22.027972501943207</v>
      </c>
      <c r="Z290" s="385">
        <f t="shared" si="114"/>
        <v>23.010840155981889</v>
      </c>
      <c r="AA290" s="386">
        <f t="shared" si="115"/>
        <v>25.99696559641033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0.11486438405106657</v>
      </c>
      <c r="AD290" s="231">
        <f>(INDEX(Models!$BJ290:$BT290,,AH290)*(1-AF290)+INDEX(Models!$BJ290:$BT290,,AH290+1)*AF290-ERP_i)*AE290*Ramure*Pc/MaxiM</f>
        <v>8.3399367491725374E-3</v>
      </c>
      <c r="AE290" s="305">
        <f t="shared" si="117"/>
        <v>0.7</v>
      </c>
      <c r="AF290" s="177">
        <f t="shared" si="118"/>
        <v>9.7459734852212154E-2</v>
      </c>
      <c r="AG290" s="817">
        <f t="shared" si="124"/>
        <v>0</v>
      </c>
      <c r="AH290" s="176">
        <f t="shared" si="119"/>
        <v>6</v>
      </c>
      <c r="AI290" s="225">
        <f t="shared" si="120"/>
        <v>9.7459734852212154E-2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45203</v>
      </c>
      <c r="B291" s="411">
        <f>'2022'!Wh/'2022'!Env_an*'2023'!Env_an</f>
        <v>26.605767435314679</v>
      </c>
      <c r="C291" s="846"/>
      <c r="D291" s="393">
        <f t="shared" si="102"/>
        <v>27.793500792386727</v>
      </c>
      <c r="E291" s="385">
        <f t="shared" si="100"/>
        <v>29.066119736867986</v>
      </c>
      <c r="F291" s="385">
        <f t="shared" si="103"/>
        <v>29.34218230201186</v>
      </c>
      <c r="G291" s="110">
        <f t="shared" si="101"/>
        <v>0.99524451967685257</v>
      </c>
      <c r="H291" s="414" t="b">
        <f>Wh_hp&gt;='2022'!Maxi_hp</f>
        <v>0</v>
      </c>
      <c r="I291" s="390">
        <f>IF(H291,Wh_hp,'2022'!Maxi_hp)</f>
        <v>29.342644538407928</v>
      </c>
      <c r="J291" s="85">
        <f>IF(H291,An,'2022'!An_max)</f>
        <v>2022</v>
      </c>
      <c r="K291" s="197">
        <f t="shared" si="104"/>
        <v>45203</v>
      </c>
      <c r="L291" s="147">
        <f>IF(t&lt;Tvie,1-EXP((T0-t)*PertePVj)+'2022'!Pspv,1-EXP((T0-t)*PertePVj)+Pspv)</f>
        <v>4.2734212071528499E-2</v>
      </c>
      <c r="M291" s="850"/>
      <c r="N291" s="850"/>
      <c r="O291" s="48">
        <f>IF(t&lt;Tnet,'2022'!Resal+('2022'!Salim-'2022'!Resal)*(1-EXP(('2022'!Tnet-t)/('2022'!Tau_j))),Resal+(Salim-Resal)*(1-EXP((Tnet-t)/(Tau_j))))*Salcycl</f>
        <v>4.3783585700537961E-2</v>
      </c>
      <c r="P291" s="169">
        <f>(INDEX(Models!$BJ291:$BT291,,T291)*(1-R291)+INDEX(Models!$BJ291:$BT291,,T291+1)*R291-ERP_i)*Q291*Ramure*Pc/MaxiM</f>
        <v>9.4718700355205451E-3</v>
      </c>
      <c r="Q291" s="305">
        <f t="shared" si="105"/>
        <v>0.7</v>
      </c>
      <c r="R291" s="177">
        <f t="shared" si="106"/>
        <v>9.7565119453739302E-2</v>
      </c>
      <c r="S291" s="817">
        <f t="shared" si="107"/>
        <v>0</v>
      </c>
      <c r="T291" s="176">
        <f t="shared" si="108"/>
        <v>6</v>
      </c>
      <c r="U291" s="251">
        <f t="shared" si="109"/>
        <v>9.7565119453739302E-2</v>
      </c>
      <c r="V291" s="383">
        <f t="shared" si="110"/>
        <v>26.731181950509178</v>
      </c>
      <c r="W291" s="402">
        <f t="shared" si="111"/>
        <v>26.605767435314679</v>
      </c>
      <c r="X291" s="157">
        <f t="shared" si="112"/>
        <v>45203</v>
      </c>
      <c r="Y291" s="385">
        <f t="shared" si="113"/>
        <v>24.627877867459986</v>
      </c>
      <c r="Z291" s="385">
        <f t="shared" si="114"/>
        <v>25.727314376036411</v>
      </c>
      <c r="AA291" s="386">
        <f t="shared" si="115"/>
        <v>29.066119736867986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0.11486931833548375</v>
      </c>
      <c r="AD291" s="231">
        <f>(INDEX(Models!$BJ291:$BT291,,AH291)*(1-AF291)+INDEX(Models!$BJ291:$BT291,,AH291+1)*AF291-ERP_i)*AE291*Ramure*Pc/MaxiM</f>
        <v>9.4718700355205451E-3</v>
      </c>
      <c r="AE291" s="305">
        <f t="shared" si="117"/>
        <v>0.7</v>
      </c>
      <c r="AF291" s="177">
        <f t="shared" si="118"/>
        <v>9.7565119453739302E-2</v>
      </c>
      <c r="AG291" s="817">
        <f t="shared" si="124"/>
        <v>0</v>
      </c>
      <c r="AH291" s="176">
        <f t="shared" si="119"/>
        <v>6</v>
      </c>
      <c r="AI291" s="225">
        <f t="shared" si="120"/>
        <v>9.7565119453739302E-2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45204</v>
      </c>
      <c r="B292" s="411">
        <f>'2022'!Wh/'2022'!Env_an*'2023'!Env_an</f>
        <v>26.729186720838403</v>
      </c>
      <c r="C292" s="846"/>
      <c r="D292" s="393">
        <f t="shared" si="102"/>
        <v>27.923041341833063</v>
      </c>
      <c r="E292" s="385">
        <f t="shared" si="100"/>
        <v>29.205575032581368</v>
      </c>
      <c r="F292" s="385">
        <f t="shared" si="103"/>
        <v>29.520531135154275</v>
      </c>
      <c r="G292" s="110">
        <f t="shared" si="101"/>
        <v>1.0102798254760543</v>
      </c>
      <c r="H292" s="414" t="b">
        <f>Wh_hp&gt;='2022'!Maxi_hp</f>
        <v>1</v>
      </c>
      <c r="I292" s="390">
        <f>IF(H292,Wh_hp,'2022'!Maxi_hp)</f>
        <v>29.520531135154275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4.2755178649042103E-2</v>
      </c>
      <c r="M292" s="850"/>
      <c r="N292" s="850"/>
      <c r="O292" s="48">
        <f>IF(t&lt;Tnet,'2022'!Resal+('2022'!Salim-'2022'!Resal)*(1-EXP(('2022'!Tnet-t)/('2022'!Tau_j))),Resal+(Salim-Resal)*(1-EXP((Tnet-t)/(Tau_j))))*Salcycl</f>
        <v>4.3914002354602778E-2</v>
      </c>
      <c r="P292" s="169">
        <f>(INDEX(Models!$BJ292:$BT292,,T292)*(1-R292)+INDEX(Models!$BJ292:$BT292,,T292+1)*R292-ERP_i)*Q292*Ramure*Pc/MaxiM</f>
        <v>1.0669052705418357E-2</v>
      </c>
      <c r="Q292" s="305">
        <f t="shared" si="105"/>
        <v>0.7</v>
      </c>
      <c r="R292" s="177">
        <f t="shared" si="106"/>
        <v>9.7666331112996774E-2</v>
      </c>
      <c r="S292" s="817">
        <f t="shared" si="107"/>
        <v>0</v>
      </c>
      <c r="T292" s="176">
        <f t="shared" si="108"/>
        <v>6</v>
      </c>
      <c r="U292" s="251">
        <f t="shared" si="109"/>
        <v>9.7666331112996774E-2</v>
      </c>
      <c r="V292" s="383">
        <f t="shared" si="110"/>
        <v>26.457211207046857</v>
      </c>
      <c r="W292" s="402">
        <f t="shared" si="111"/>
        <v>26.729186720838403</v>
      </c>
      <c r="X292" s="157">
        <f t="shared" si="112"/>
        <v>45204</v>
      </c>
      <c r="Y292" s="385">
        <f t="shared" si="113"/>
        <v>24.745406815823713</v>
      </c>
      <c r="Z292" s="385">
        <f t="shared" si="114"/>
        <v>25.850656241629562</v>
      </c>
      <c r="AA292" s="386">
        <f t="shared" si="115"/>
        <v>29.205575032581368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0.11487254701231203</v>
      </c>
      <c r="AD292" s="231">
        <f>(INDEX(Models!$BJ292:$BT292,,AH292)*(1-AF292)+INDEX(Models!$BJ292:$BT292,,AH292+1)*AF292-ERP_i)*AE292*Ramure*Pc/MaxiM</f>
        <v>1.0669052705418357E-2</v>
      </c>
      <c r="AE292" s="305">
        <f t="shared" si="117"/>
        <v>0.7</v>
      </c>
      <c r="AF292" s="177">
        <f t="shared" si="118"/>
        <v>9.7666331112996774E-2</v>
      </c>
      <c r="AG292" s="817">
        <f t="shared" si="124"/>
        <v>0</v>
      </c>
      <c r="AH292" s="176">
        <f t="shared" si="119"/>
        <v>6</v>
      </c>
      <c r="AI292" s="225">
        <f t="shared" si="120"/>
        <v>9.7666331112996774E-2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45205</v>
      </c>
      <c r="B293" s="411">
        <f>'2022'!Wh/'2022'!Env_an*'2023'!Env_an</f>
        <v>8.7929270764548182</v>
      </c>
      <c r="C293" s="846"/>
      <c r="D293" s="393">
        <f t="shared" si="102"/>
        <v>9.1858628766805825</v>
      </c>
      <c r="E293" s="385">
        <f t="shared" si="100"/>
        <v>9.6090801458465691</v>
      </c>
      <c r="F293" s="385">
        <f t="shared" si="103"/>
        <v>9.6149598553257754</v>
      </c>
      <c r="G293" s="110">
        <f t="shared" si="101"/>
        <v>0.33206648589208315</v>
      </c>
      <c r="H293" s="414" t="b">
        <f>Wh_hp&gt;='2022'!Maxi_hp</f>
        <v>0</v>
      </c>
      <c r="I293" s="390">
        <f>IF(H293,Wh_hp,'2022'!Maxi_hp)</f>
        <v>25.825303664148674</v>
      </c>
      <c r="J293" s="85">
        <f>IF(H293,An,'2022'!An_max)</f>
        <v>2018</v>
      </c>
      <c r="K293" s="197">
        <f t="shared" si="104"/>
        <v>45205</v>
      </c>
      <c r="L293" s="147">
        <f>IF(t&lt;Tvie,1-EXP((T0-t)*PertePVj)+'2022'!Pspv,1-EXP((T0-t)*PertePVj)+Pspv)</f>
        <v>4.2776144767333713E-2</v>
      </c>
      <c r="M293" s="850"/>
      <c r="N293" s="850"/>
      <c r="O293" s="48">
        <f>IF(t&lt;Tnet,'2022'!Resal+('2022'!Salim-'2022'!Resal)*(1-EXP(('2022'!Tnet-t)/('2022'!Tau_j))),Resal+(Salim-Resal)*(1-EXP((Tnet-t)/(Tau_j))))*Salcycl</f>
        <v>4.4043473750077798E-2</v>
      </c>
      <c r="P293" s="169">
        <f>(INDEX(Models!$BJ293:$BT293,,T293)*(1-R293)+INDEX(Models!$BJ293:$BT293,,T293+1)*R293-ERP_i)*Q293*Ramure*Pc/MaxiM</f>
        <v>1.1933216505095523E-2</v>
      </c>
      <c r="Q293" s="305">
        <f t="shared" si="105"/>
        <v>0.7</v>
      </c>
      <c r="R293" s="177">
        <f t="shared" si="106"/>
        <v>9.7763532375661877E-2</v>
      </c>
      <c r="S293" s="817">
        <f t="shared" si="107"/>
        <v>0</v>
      </c>
      <c r="T293" s="176">
        <f t="shared" si="108"/>
        <v>6</v>
      </c>
      <c r="U293" s="251">
        <f t="shared" si="109"/>
        <v>9.7763532375661877E-2</v>
      </c>
      <c r="V293" s="383">
        <f t="shared" si="110"/>
        <v>26.179441923876279</v>
      </c>
      <c r="W293" s="402">
        <f t="shared" si="111"/>
        <v>8.7929270764548182</v>
      </c>
      <c r="X293" s="157">
        <f t="shared" si="112"/>
        <v>45205</v>
      </c>
      <c r="Y293" s="385">
        <f t="shared" si="113"/>
        <v>8.1414245098878499</v>
      </c>
      <c r="Z293" s="385">
        <f t="shared" si="114"/>
        <v>8.5052461505036003</v>
      </c>
      <c r="AA293" s="386">
        <f t="shared" si="115"/>
        <v>9.6090801458465691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0.11487405439323865</v>
      </c>
      <c r="AD293" s="231">
        <f>(INDEX(Models!$BJ293:$BT293,,AH293)*(1-AF293)+INDEX(Models!$BJ293:$BT293,,AH293+1)*AF293-ERP_i)*AE293*Ramure*Pc/MaxiM</f>
        <v>1.1933216505095523E-2</v>
      </c>
      <c r="AE293" s="305">
        <f t="shared" si="117"/>
        <v>0.7</v>
      </c>
      <c r="AF293" s="177">
        <f t="shared" si="118"/>
        <v>9.7763532375661877E-2</v>
      </c>
      <c r="AG293" s="817">
        <f t="shared" si="124"/>
        <v>0</v>
      </c>
      <c r="AH293" s="176">
        <f t="shared" si="119"/>
        <v>6</v>
      </c>
      <c r="AI293" s="225">
        <f t="shared" si="120"/>
        <v>9.7763532375661877E-2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45206</v>
      </c>
      <c r="B294" s="411">
        <f>'2022'!Wh/'2022'!Env_an*'2023'!Env_an</f>
        <v>18.295257529623917</v>
      </c>
      <c r="C294" s="846"/>
      <c r="D294" s="393">
        <f t="shared" si="102"/>
        <v>19.113249373676741</v>
      </c>
      <c r="E294" s="385">
        <f t="shared" si="100"/>
        <v>19.996536179221685</v>
      </c>
      <c r="F294" s="385">
        <f t="shared" si="103"/>
        <v>20.151758901696475</v>
      </c>
      <c r="G294" s="110">
        <f t="shared" si="101"/>
        <v>0.70247746638973874</v>
      </c>
      <c r="H294" s="414" t="b">
        <f>Wh_hp&gt;='2022'!Maxi_hp</f>
        <v>0</v>
      </c>
      <c r="I294" s="390">
        <f>IF(H294,Wh_hp,'2022'!Maxi_hp)</f>
        <v>28.972781254005142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4.2797110426413543E-2</v>
      </c>
      <c r="M294" s="850"/>
      <c r="N294" s="850"/>
      <c r="O294" s="48">
        <f>IF(t&lt;Tnet,'2022'!Resal+('2022'!Salim-'2022'!Resal)*(1-EXP(('2022'!Tnet-t)/('2022'!Tau_j))),Resal+(Salim-Resal)*(1-EXP((Tnet-t)/(Tau_j))))*Salcycl</f>
        <v>4.4171990470167705E-2</v>
      </c>
      <c r="P294" s="169">
        <f>(INDEX(Models!$BJ294:$BT294,,T294)*(1-R294)+INDEX(Models!$BJ294:$BT294,,T294+1)*R294-ERP_i)*Q294*Ramure*Pc/MaxiM</f>
        <v>1.3266177973173794E-2</v>
      </c>
      <c r="Q294" s="305">
        <f t="shared" si="105"/>
        <v>0.7</v>
      </c>
      <c r="R294" s="177">
        <f t="shared" si="106"/>
        <v>9.7856879666822549E-2</v>
      </c>
      <c r="S294" s="817">
        <f t="shared" si="107"/>
        <v>0</v>
      </c>
      <c r="T294" s="176">
        <f t="shared" si="108"/>
        <v>6</v>
      </c>
      <c r="U294" s="251">
        <f t="shared" si="109"/>
        <v>9.7856879666822549E-2</v>
      </c>
      <c r="V294" s="383">
        <f t="shared" si="110"/>
        <v>25.897886865393041</v>
      </c>
      <c r="W294" s="402">
        <f t="shared" si="111"/>
        <v>18.295257529623917</v>
      </c>
      <c r="X294" s="157">
        <f t="shared" si="112"/>
        <v>45206</v>
      </c>
      <c r="Y294" s="385">
        <f t="shared" si="113"/>
        <v>16.941971867857472</v>
      </c>
      <c r="Z294" s="385">
        <f t="shared" si="114"/>
        <v>17.699457505194914</v>
      </c>
      <c r="AA294" s="386">
        <f t="shared" si="115"/>
        <v>19.996536179221685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0.11487382881909605</v>
      </c>
      <c r="AD294" s="231">
        <f>(INDEX(Models!$BJ294:$BT294,,AH294)*(1-AF294)+INDEX(Models!$BJ294:$BT294,,AH294+1)*AF294-ERP_i)*AE294*Ramure*Pc/MaxiM</f>
        <v>1.3266177973173794E-2</v>
      </c>
      <c r="AE294" s="305">
        <f t="shared" si="117"/>
        <v>0.7</v>
      </c>
      <c r="AF294" s="177">
        <f t="shared" si="118"/>
        <v>9.7856879666822549E-2</v>
      </c>
      <c r="AG294" s="817">
        <f t="shared" si="124"/>
        <v>0</v>
      </c>
      <c r="AH294" s="176">
        <f t="shared" si="119"/>
        <v>6</v>
      </c>
      <c r="AI294" s="225">
        <f t="shared" si="120"/>
        <v>9.7856879666822549E-2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45207</v>
      </c>
      <c r="B295" s="411">
        <f>'2022'!Wh/'2022'!Env_an*'2023'!Env_an</f>
        <v>11.592132624657525</v>
      </c>
      <c r="C295" s="846"/>
      <c r="D295" s="393">
        <f t="shared" si="102"/>
        <v>12.110689023136693</v>
      </c>
      <c r="E295" s="385">
        <f t="shared" si="100"/>
        <v>12.672055303963111</v>
      </c>
      <c r="F295" s="385">
        <f t="shared" si="103"/>
        <v>12.712709719885027</v>
      </c>
      <c r="G295" s="110">
        <f t="shared" si="101"/>
        <v>0.44738684536698259</v>
      </c>
      <c r="H295" s="414" t="b">
        <f>Wh_hp&gt;='2022'!Maxi_hp</f>
        <v>0</v>
      </c>
      <c r="I295" s="390">
        <f>IF(H295,Wh_hp,'2022'!Maxi_hp)</f>
        <v>28.425909994617459</v>
      </c>
      <c r="J295" s="85">
        <f>IF(H295,An,'2022'!An_max)</f>
        <v>2021</v>
      </c>
      <c r="K295" s="197">
        <f t="shared" si="104"/>
        <v>45207</v>
      </c>
      <c r="L295" s="147">
        <f>IF(t&lt;Tvie,1-EXP((T0-t)*PertePVj)+'2022'!Pspv,1-EXP((T0-t)*PertePVj)+Pspv)</f>
        <v>4.2818075626291696E-2</v>
      </c>
      <c r="M295" s="850"/>
      <c r="N295" s="850"/>
      <c r="O295" s="48">
        <f>IF(t&lt;Tnet,'2022'!Resal+('2022'!Salim-'2022'!Resal)*(1-EXP(('2022'!Tnet-t)/('2022'!Tau_j))),Resal+(Salim-Resal)*(1-EXP((Tnet-t)/(Tau_j))))*Salcycl</f>
        <v>4.4299544735324423E-2</v>
      </c>
      <c r="P295" s="169">
        <f>(INDEX(Models!$BJ295:$BT295,,T295)*(1-R295)+INDEX(Models!$BJ295:$BT295,,T295+1)*R295-ERP_i)*Q295*Ramure*Pc/MaxiM</f>
        <v>1.4669844588276044E-2</v>
      </c>
      <c r="Q295" s="305">
        <f t="shared" si="105"/>
        <v>0.7</v>
      </c>
      <c r="R295" s="177">
        <f t="shared" si="106"/>
        <v>9.794652350482258E-2</v>
      </c>
      <c r="S295" s="817">
        <f t="shared" si="107"/>
        <v>0</v>
      </c>
      <c r="T295" s="176">
        <f t="shared" si="108"/>
        <v>6</v>
      </c>
      <c r="U295" s="251">
        <f t="shared" si="109"/>
        <v>9.794652350482258E-2</v>
      </c>
      <c r="V295" s="383">
        <f t="shared" si="110"/>
        <v>25.612559252886385</v>
      </c>
      <c r="W295" s="402">
        <f t="shared" si="111"/>
        <v>11.592132624657525</v>
      </c>
      <c r="X295" s="157">
        <f t="shared" si="112"/>
        <v>45207</v>
      </c>
      <c r="Y295" s="385">
        <f t="shared" si="113"/>
        <v>10.736128352721444</v>
      </c>
      <c r="Z295" s="385">
        <f t="shared" si="114"/>
        <v>11.216392703765459</v>
      </c>
      <c r="AA295" s="386">
        <f t="shared" si="115"/>
        <v>12.672055303963111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0.11487186295205017</v>
      </c>
      <c r="AD295" s="231">
        <f>(INDEX(Models!$BJ295:$BT295,,AH295)*(1-AF295)+INDEX(Models!$BJ295:$BT295,,AH295+1)*AF295-ERP_i)*AE295*Ramure*Pc/MaxiM</f>
        <v>1.4669844588276044E-2</v>
      </c>
      <c r="AE295" s="305">
        <f t="shared" si="117"/>
        <v>0.7</v>
      </c>
      <c r="AF295" s="177">
        <f t="shared" si="118"/>
        <v>9.794652350482258E-2</v>
      </c>
      <c r="AG295" s="817">
        <f t="shared" si="124"/>
        <v>0</v>
      </c>
      <c r="AH295" s="176">
        <f t="shared" si="119"/>
        <v>6</v>
      </c>
      <c r="AI295" s="225">
        <f t="shared" si="120"/>
        <v>9.794652350482258E-2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45208</v>
      </c>
      <c r="B296" s="411">
        <f>'2022'!Wh/'2022'!Env_an*'2023'!Env_an</f>
        <v>24.167048143292405</v>
      </c>
      <c r="C296" s="846"/>
      <c r="D296" s="393">
        <f t="shared" si="102"/>
        <v>25.248677247093443</v>
      </c>
      <c r="E296" s="385">
        <f t="shared" si="100"/>
        <v>26.422527921601347</v>
      </c>
      <c r="F296" s="385">
        <f t="shared" si="103"/>
        <v>26.826801045744798</v>
      </c>
      <c r="G296" s="110">
        <f t="shared" si="101"/>
        <v>0.95329085175012906</v>
      </c>
      <c r="H296" s="414" t="b">
        <f>Wh_hp&gt;='2022'!Maxi_hp</f>
        <v>0</v>
      </c>
      <c r="I296" s="390">
        <f>IF(H296,Wh_hp,'2022'!Maxi_hp)</f>
        <v>26.833200173835117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4.2839040366978165E-2</v>
      </c>
      <c r="M296" s="850"/>
      <c r="N296" s="850"/>
      <c r="O296" s="48">
        <f>IF(t&lt;Tnet,'2022'!Resal+('2022'!Salim-'2022'!Resal)*(1-EXP(('2022'!Tnet-t)/('2022'!Tau_j))),Resal+(Salim-Resal)*(1-EXP((Tnet-t)/(Tau_j))))*Salcycl</f>
        <v>4.4426130534930344E-2</v>
      </c>
      <c r="P296" s="169">
        <f>(INDEX(Models!$BJ296:$BT296,,T296)*(1-R296)+INDEX(Models!$BJ296:$BT296,,T296+1)*R296-ERP_i)*Q296*Ramure*Pc/MaxiM</f>
        <v>1.61220466948447E-2</v>
      </c>
      <c r="Q296" s="305">
        <f t="shared" si="105"/>
        <v>0.7</v>
      </c>
      <c r="R296" s="177">
        <f t="shared" si="106"/>
        <v>9.8032608708969737E-2</v>
      </c>
      <c r="S296" s="817">
        <f t="shared" si="107"/>
        <v>0</v>
      </c>
      <c r="T296" s="176">
        <f t="shared" si="108"/>
        <v>6</v>
      </c>
      <c r="U296" s="251">
        <f t="shared" si="109"/>
        <v>9.8032608708969737E-2</v>
      </c>
      <c r="V296" s="383">
        <f t="shared" si="110"/>
        <v>25.324094988844351</v>
      </c>
      <c r="W296" s="402">
        <f t="shared" si="111"/>
        <v>24.167048143292405</v>
      </c>
      <c r="X296" s="157">
        <f t="shared" si="112"/>
        <v>45208</v>
      </c>
      <c r="Y296" s="385">
        <f t="shared" si="113"/>
        <v>22.385526245217033</v>
      </c>
      <c r="Z296" s="385">
        <f t="shared" si="114"/>
        <v>23.387420913823842</v>
      </c>
      <c r="AA296" s="386">
        <f t="shared" si="115"/>
        <v>26.422527921601347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0.11486815405335231</v>
      </c>
      <c r="AD296" s="231">
        <f>(INDEX(Models!$BJ296:$BT296,,AH296)*(1-AF296)+INDEX(Models!$BJ296:$BT296,,AH296+1)*AF296-ERP_i)*AE296*Ramure*Pc/MaxiM</f>
        <v>1.61220466948447E-2</v>
      </c>
      <c r="AE296" s="305">
        <f t="shared" si="117"/>
        <v>0.7</v>
      </c>
      <c r="AF296" s="177">
        <f t="shared" si="118"/>
        <v>9.8032608708969737E-2</v>
      </c>
      <c r="AG296" s="817">
        <f t="shared" si="124"/>
        <v>0</v>
      </c>
      <c r="AH296" s="176">
        <f t="shared" si="119"/>
        <v>6</v>
      </c>
      <c r="AI296" s="225">
        <f t="shared" si="120"/>
        <v>9.8032608708969737E-2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45209</v>
      </c>
      <c r="B297" s="411">
        <f>'2022'!Wh/'2022'!Env_an*'2023'!Env_an</f>
        <v>19.318750644901055</v>
      </c>
      <c r="C297" s="846"/>
      <c r="D297" s="393">
        <f t="shared" si="102"/>
        <v>20.183829678756759</v>
      </c>
      <c r="E297" s="385">
        <f t="shared" ref="E297:E360" si="125">Wh_pvt/(1-Psa)</f>
        <v>21.124984578504719</v>
      </c>
      <c r="F297" s="385">
        <f t="shared" si="103"/>
        <v>21.378280440163081</v>
      </c>
      <c r="G297" s="110">
        <f t="shared" ref="G297:G360" si="126">+Wh_hp/MaxiM</f>
        <v>0.76723553981891413</v>
      </c>
      <c r="H297" s="414" t="b">
        <f>Wh_hp&gt;='2022'!Maxi_hp</f>
        <v>0</v>
      </c>
      <c r="I297" s="390">
        <f>IF(H297,Wh_hp,'2022'!Maxi_hp)</f>
        <v>21.405536530211585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4.2860004648482941E-2</v>
      </c>
      <c r="M297" s="850"/>
      <c r="N297" s="850"/>
      <c r="O297" s="48">
        <f>IF(t&lt;Tnet,'2022'!Resal+('2022'!Salim-'2022'!Resal)*(1-EXP(('2022'!Tnet-t)/('2022'!Tau_j))),Resal+(Salim-Resal)*(1-EXP((Tnet-t)/(Tau_j))))*Salcycl</f>
        <v>4.4551743753962932E-2</v>
      </c>
      <c r="P297" s="169">
        <f>(INDEX(Models!$BJ297:$BT297,,T297)*(1-R297)+INDEX(Models!$BJ297:$BT297,,T297+1)*R297-ERP_i)*Q297*Ramure*Pc/MaxiM</f>
        <v>1.7582271053343861E-2</v>
      </c>
      <c r="Q297" s="305">
        <f t="shared" si="105"/>
        <v>0.7</v>
      </c>
      <c r="R297" s="177">
        <f t="shared" si="106"/>
        <v>9.8115274601168978E-2</v>
      </c>
      <c r="S297" s="817">
        <f t="shared" si="107"/>
        <v>0</v>
      </c>
      <c r="T297" s="176">
        <f t="shared" si="108"/>
        <v>6</v>
      </c>
      <c r="U297" s="251">
        <f t="shared" si="109"/>
        <v>9.8115274601168978E-2</v>
      </c>
      <c r="V297" s="383">
        <f t="shared" si="110"/>
        <v>25.033575610087912</v>
      </c>
      <c r="W297" s="402">
        <f t="shared" si="111"/>
        <v>19.318750644901055</v>
      </c>
      <c r="X297" s="157">
        <f t="shared" si="112"/>
        <v>45209</v>
      </c>
      <c r="Y297" s="385">
        <f t="shared" si="113"/>
        <v>17.897093423354104</v>
      </c>
      <c r="Z297" s="385">
        <f t="shared" si="114"/>
        <v>18.698511722709132</v>
      </c>
      <c r="AA297" s="386">
        <f t="shared" si="115"/>
        <v>21.124984578504719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0.11486270424379827</v>
      </c>
      <c r="AD297" s="231">
        <f>(INDEX(Models!$BJ297:$BT297,,AH297)*(1-AF297)+INDEX(Models!$BJ297:$BT297,,AH297+1)*AF297-ERP_i)*AE297*Ramure*Pc/MaxiM</f>
        <v>1.7582271053343861E-2</v>
      </c>
      <c r="AE297" s="305">
        <f t="shared" si="117"/>
        <v>0.7</v>
      </c>
      <c r="AF297" s="177">
        <f t="shared" si="118"/>
        <v>9.8115274601168978E-2</v>
      </c>
      <c r="AG297" s="817">
        <f t="shared" si="124"/>
        <v>0</v>
      </c>
      <c r="AH297" s="176">
        <f t="shared" si="119"/>
        <v>6</v>
      </c>
      <c r="AI297" s="225">
        <f t="shared" si="120"/>
        <v>9.8115274601168978E-2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45210</v>
      </c>
      <c r="B298" s="411">
        <f>'2022'!Wh/'2022'!Env_an*'2023'!Env_an</f>
        <v>15.161149025952643</v>
      </c>
      <c r="C298" s="846"/>
      <c r="D298" s="393">
        <f t="shared" si="102"/>
        <v>15.840400751126806</v>
      </c>
      <c r="E298" s="385">
        <f t="shared" si="125"/>
        <v>16.581188256555684</v>
      </c>
      <c r="F298" s="385">
        <f t="shared" si="103"/>
        <v>16.723554885382576</v>
      </c>
      <c r="G298" s="110">
        <f t="shared" si="126"/>
        <v>0.6062812244014848</v>
      </c>
      <c r="H298" s="414" t="b">
        <f>Wh_hp&gt;='2022'!Maxi_hp</f>
        <v>0</v>
      </c>
      <c r="I298" s="390">
        <f>IF(H298,Wh_hp,'2022'!Maxi_hp)</f>
        <v>28.014827724061675</v>
      </c>
      <c r="J298" s="85">
        <f>IF(H298,An,'2022'!An_max)</f>
        <v>2021</v>
      </c>
      <c r="K298" s="197">
        <f t="shared" si="104"/>
        <v>45210</v>
      </c>
      <c r="L298" s="147">
        <f>IF(t&lt;Tvie,1-EXP((T0-t)*PertePVj)+'2022'!Pspv,1-EXP((T0-t)*PertePVj)+Pspv)</f>
        <v>4.2880968470816239E-2</v>
      </c>
      <c r="M298" s="850"/>
      <c r="N298" s="850"/>
      <c r="O298" s="48">
        <f>IF(t&lt;Tnet,'2022'!Resal+('2022'!Salim-'2022'!Resal)*(1-EXP(('2022'!Tnet-t)/('2022'!Tau_j))),Resal+(Salim-Resal)*(1-EXP((Tnet-t)/(Tau_j))))*Salcycl</f>
        <v>4.467638229340979E-2</v>
      </c>
      <c r="P298" s="169">
        <f>(INDEX(Models!$BJ298:$BT298,,T298)*(1-R298)+INDEX(Models!$BJ298:$BT298,,T298+1)*R298-ERP_i)*Q298*Ramure*Pc/MaxiM</f>
        <v>1.9051041748809366E-2</v>
      </c>
      <c r="Q298" s="305">
        <f t="shared" si="105"/>
        <v>0.7</v>
      </c>
      <c r="R298" s="177">
        <f t="shared" si="106"/>
        <v>9.8194655201555958E-2</v>
      </c>
      <c r="S298" s="817">
        <f t="shared" si="107"/>
        <v>0</v>
      </c>
      <c r="T298" s="176">
        <f t="shared" si="108"/>
        <v>6</v>
      </c>
      <c r="U298" s="251">
        <f t="shared" si="109"/>
        <v>9.8194655201555958E-2</v>
      </c>
      <c r="V298" s="383">
        <f t="shared" si="110"/>
        <v>24.741006172848348</v>
      </c>
      <c r="W298" s="402">
        <f t="shared" si="111"/>
        <v>15.161149025952643</v>
      </c>
      <c r="X298" s="157">
        <f t="shared" si="112"/>
        <v>45210</v>
      </c>
      <c r="Y298" s="385">
        <f t="shared" si="113"/>
        <v>14.047394108934764</v>
      </c>
      <c r="Z298" s="385">
        <f t="shared" si="114"/>
        <v>14.676747244792866</v>
      </c>
      <c r="AA298" s="386">
        <f t="shared" si="115"/>
        <v>16.581188256555684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0.11485552074410964</v>
      </c>
      <c r="AD298" s="231">
        <f>(INDEX(Models!$BJ298:$BT298,,AH298)*(1-AF298)+INDEX(Models!$BJ298:$BT298,,AH298+1)*AF298-ERP_i)*AE298*Ramure*Pc/MaxiM</f>
        <v>1.9051041748809366E-2</v>
      </c>
      <c r="AE298" s="305">
        <f t="shared" si="117"/>
        <v>0.7</v>
      </c>
      <c r="AF298" s="177">
        <f t="shared" si="118"/>
        <v>9.8194655201555958E-2</v>
      </c>
      <c r="AG298" s="817">
        <f t="shared" si="124"/>
        <v>0</v>
      </c>
      <c r="AH298" s="176">
        <f t="shared" si="119"/>
        <v>6</v>
      </c>
      <c r="AI298" s="225">
        <f t="shared" si="120"/>
        <v>9.8194655201555958E-2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45211</v>
      </c>
      <c r="B299" s="411">
        <f>'2022'!Wh/'2022'!Env_an*'2023'!Env_an</f>
        <v>18.361598863120129</v>
      </c>
      <c r="C299" s="846"/>
      <c r="D299" s="393">
        <f t="shared" si="102"/>
        <v>19.184657741817993</v>
      </c>
      <c r="E299" s="385">
        <f t="shared" si="125"/>
        <v>20.084441655550794</v>
      </c>
      <c r="F299" s="385">
        <f t="shared" si="103"/>
        <v>20.353707322730646</v>
      </c>
      <c r="G299" s="110">
        <f t="shared" si="126"/>
        <v>0.74554028308313891</v>
      </c>
      <c r="H299" s="414" t="b">
        <f>Wh_hp&gt;='2022'!Maxi_hp</f>
        <v>0</v>
      </c>
      <c r="I299" s="390">
        <f>IF(H299,Wh_hp,'2022'!Maxi_hp)</f>
        <v>26.927218477967962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4.2901931833987939E-2</v>
      </c>
      <c r="M299" s="850"/>
      <c r="N299" s="850"/>
      <c r="O299" s="48">
        <f>IF(t&lt;Tnet,'2022'!Resal+('2022'!Salim-'2022'!Resal)*(1-EXP(('2022'!Tnet-t)/('2022'!Tau_j))),Resal+(Salim-Resal)*(1-EXP((Tnet-t)/(Tau_j))))*Salcycl</f>
        <v>4.480004618321691E-2</v>
      </c>
      <c r="P299" s="169">
        <f>(INDEX(Models!$BJ299:$BT299,,T299)*(1-R299)+INDEX(Models!$BJ299:$BT299,,T299+1)*R299-ERP_i)*Q299*Ramure*Pc/MaxiM</f>
        <v>2.0528917414179084E-2</v>
      </c>
      <c r="Q299" s="305">
        <f t="shared" si="105"/>
        <v>0.7</v>
      </c>
      <c r="R299" s="177">
        <f t="shared" si="106"/>
        <v>9.8270879418213219E-2</v>
      </c>
      <c r="S299" s="817">
        <f t="shared" si="107"/>
        <v>0</v>
      </c>
      <c r="T299" s="176">
        <f t="shared" si="108"/>
        <v>6</v>
      </c>
      <c r="U299" s="251">
        <f t="shared" si="109"/>
        <v>9.8270879418213219E-2</v>
      </c>
      <c r="V299" s="383">
        <f t="shared" si="110"/>
        <v>24.446391472843441</v>
      </c>
      <c r="W299" s="402">
        <f t="shared" si="111"/>
        <v>18.361598863120129</v>
      </c>
      <c r="X299" s="157">
        <f t="shared" si="112"/>
        <v>45211</v>
      </c>
      <c r="Y299" s="385">
        <f t="shared" si="113"/>
        <v>17.015109038373616</v>
      </c>
      <c r="Z299" s="385">
        <f t="shared" si="114"/>
        <v>17.777811495302576</v>
      </c>
      <c r="AA299" s="386">
        <f t="shared" si="115"/>
        <v>20.084441655550794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0.11484661609254782</v>
      </c>
      <c r="AD299" s="231">
        <f>(INDEX(Models!$BJ299:$BT299,,AH299)*(1-AF299)+INDEX(Models!$BJ299:$BT299,,AH299+1)*AF299-ERP_i)*AE299*Ramure*Pc/MaxiM</f>
        <v>2.0528917414179084E-2</v>
      </c>
      <c r="AE299" s="305">
        <f t="shared" si="117"/>
        <v>0.7</v>
      </c>
      <c r="AF299" s="177">
        <f t="shared" si="118"/>
        <v>9.8270879418213219E-2</v>
      </c>
      <c r="AG299" s="817">
        <f t="shared" si="124"/>
        <v>0</v>
      </c>
      <c r="AH299" s="176">
        <f t="shared" si="119"/>
        <v>6</v>
      </c>
      <c r="AI299" s="225">
        <f t="shared" si="120"/>
        <v>9.8270879418213219E-2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45212</v>
      </c>
      <c r="B300" s="411">
        <f>'2022'!Wh/'2022'!Env_an*'2023'!Env_an</f>
        <v>14.195801358344825</v>
      </c>
      <c r="C300" s="846"/>
      <c r="D300" s="393">
        <f t="shared" si="102"/>
        <v>14.832453185115993</v>
      </c>
      <c r="E300" s="385">
        <f t="shared" si="125"/>
        <v>15.530108160242801</v>
      </c>
      <c r="F300" s="385">
        <f t="shared" si="103"/>
        <v>15.671981731715793</v>
      </c>
      <c r="G300" s="110">
        <f t="shared" si="126"/>
        <v>0.58013423136411957</v>
      </c>
      <c r="H300" s="414" t="b">
        <f>Wh_hp&gt;='2022'!Maxi_hp</f>
        <v>0</v>
      </c>
      <c r="I300" s="390">
        <f>IF(H300,Wh_hp,'2022'!Maxi_hp)</f>
        <v>25.635281069099932</v>
      </c>
      <c r="J300" s="85">
        <f>IF(H300,An,'2022'!An_max)</f>
        <v>2021</v>
      </c>
      <c r="K300" s="197">
        <f t="shared" si="104"/>
        <v>45212</v>
      </c>
      <c r="L300" s="147">
        <f>IF(t&lt;Tvie,1-EXP((T0-t)*PertePVj)+'2022'!Pspv,1-EXP((T0-t)*PertePVj)+Pspv)</f>
        <v>4.2922894738008144E-2</v>
      </c>
      <c r="M300" s="850"/>
      <c r="N300" s="850"/>
      <c r="O300" s="48">
        <f>IF(t&lt;Tnet,'2022'!Resal+('2022'!Salim-'2022'!Resal)*(1-EXP(('2022'!Tnet-t)/('2022'!Tau_j))),Resal+(Salim-Resal)*(1-EXP((Tnet-t)/(Tau_j))))*Salcycl</f>
        <v>4.4922737686580297E-2</v>
      </c>
      <c r="P300" s="169">
        <f>(INDEX(Models!$BJ300:$BT300,,T300)*(1-R300)+INDEX(Models!$BJ300:$BT300,,T300+1)*R300-ERP_i)*Q300*Ramure*Pc/MaxiM</f>
        <v>2.2016495293113145E-2</v>
      </c>
      <c r="Q300" s="305">
        <f t="shared" si="105"/>
        <v>0.7</v>
      </c>
      <c r="R300" s="177">
        <f t="shared" si="106"/>
        <v>9.834407123106087E-2</v>
      </c>
      <c r="S300" s="817">
        <f t="shared" si="107"/>
        <v>0</v>
      </c>
      <c r="T300" s="176">
        <f t="shared" si="108"/>
        <v>6</v>
      </c>
      <c r="U300" s="251">
        <f t="shared" si="109"/>
        <v>9.834407123106087E-2</v>
      </c>
      <c r="V300" s="383">
        <f t="shared" si="110"/>
        <v>24.149736003969885</v>
      </c>
      <c r="W300" s="402">
        <f t="shared" si="111"/>
        <v>14.195801358344825</v>
      </c>
      <c r="X300" s="157">
        <f t="shared" si="112"/>
        <v>45212</v>
      </c>
      <c r="Y300" s="385">
        <f t="shared" si="113"/>
        <v>13.156644693611376</v>
      </c>
      <c r="Z300" s="385">
        <f t="shared" si="114"/>
        <v>13.746692530075572</v>
      </c>
      <c r="AA300" s="386">
        <f t="shared" si="115"/>
        <v>15.530108160242801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0.11483600833719797</v>
      </c>
      <c r="AD300" s="231">
        <f>(INDEX(Models!$BJ300:$BT300,,AH300)*(1-AF300)+INDEX(Models!$BJ300:$BT300,,AH300+1)*AF300-ERP_i)*AE300*Ramure*Pc/MaxiM</f>
        <v>2.2016495293113145E-2</v>
      </c>
      <c r="AE300" s="305">
        <f t="shared" si="117"/>
        <v>0.7</v>
      </c>
      <c r="AF300" s="177">
        <f t="shared" si="118"/>
        <v>9.834407123106087E-2</v>
      </c>
      <c r="AG300" s="817">
        <f t="shared" si="124"/>
        <v>0</v>
      </c>
      <c r="AH300" s="176">
        <f t="shared" si="119"/>
        <v>6</v>
      </c>
      <c r="AI300" s="225">
        <f t="shared" si="120"/>
        <v>9.834407123106087E-2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45213</v>
      </c>
      <c r="B301" s="411">
        <f>'2022'!Wh/'2022'!Env_an*'2023'!Env_an</f>
        <v>11.211424389531757</v>
      </c>
      <c r="C301" s="846"/>
      <c r="D301" s="393">
        <f t="shared" si="102"/>
        <v>11.714489764968977</v>
      </c>
      <c r="E301" s="385">
        <f t="shared" si="125"/>
        <v>12.267052539508297</v>
      </c>
      <c r="F301" s="385">
        <f t="shared" si="103"/>
        <v>12.337532707246435</v>
      </c>
      <c r="G301" s="110">
        <f t="shared" si="126"/>
        <v>0.46164414112516644</v>
      </c>
      <c r="H301" s="414" t="b">
        <f>Wh_hp&gt;='2022'!Maxi_hp</f>
        <v>0</v>
      </c>
      <c r="I301" s="390">
        <f>IF(H301,Wh_hp,'2022'!Maxi_hp)</f>
        <v>27.876049215110069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4.2943857182887069E-2</v>
      </c>
      <c r="M301" s="850"/>
      <c r="N301" s="850"/>
      <c r="O301" s="48">
        <f>IF(t&lt;Tnet,'2022'!Resal+('2022'!Salim-'2022'!Resal)*(1-EXP(('2022'!Tnet-t)/('2022'!Tau_j))),Resal+(Salim-Resal)*(1-EXP((Tnet-t)/(Tau_j))))*Salcycl</f>
        <v>4.5044461394429476E-2</v>
      </c>
      <c r="P301" s="169">
        <f>(INDEX(Models!$BJ301:$BT301,,T301)*(1-R301)+INDEX(Models!$BJ301:$BT301,,T301+1)*R301-ERP_i)*Q301*Ramure*Pc/MaxiM</f>
        <v>2.3514415607214997E-2</v>
      </c>
      <c r="Q301" s="305">
        <f t="shared" si="105"/>
        <v>0.7</v>
      </c>
      <c r="R301" s="177">
        <f t="shared" si="106"/>
        <v>9.8414349870019902E-2</v>
      </c>
      <c r="S301" s="817">
        <f t="shared" si="107"/>
        <v>0</v>
      </c>
      <c r="T301" s="176">
        <f t="shared" si="108"/>
        <v>6</v>
      </c>
      <c r="U301" s="251">
        <f t="shared" si="109"/>
        <v>9.8414349870019902E-2</v>
      </c>
      <c r="V301" s="383">
        <f t="shared" si="110"/>
        <v>23.851043921399853</v>
      </c>
      <c r="W301" s="402">
        <f t="shared" si="111"/>
        <v>11.211424389531757</v>
      </c>
      <c r="X301" s="157">
        <f t="shared" si="112"/>
        <v>45213</v>
      </c>
      <c r="Y301" s="385">
        <f t="shared" si="113"/>
        <v>10.39219787725273</v>
      </c>
      <c r="Z301" s="385">
        <f t="shared" si="114"/>
        <v>10.858503918759769</v>
      </c>
      <c r="AA301" s="386">
        <f t="shared" si="115"/>
        <v>12.267052539508297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0.11482372120051153</v>
      </c>
      <c r="AD301" s="231">
        <f>(INDEX(Models!$BJ301:$BT301,,AH301)*(1-AF301)+INDEX(Models!$BJ301:$BT301,,AH301+1)*AF301-ERP_i)*AE301*Ramure*Pc/MaxiM</f>
        <v>2.3514415607214997E-2</v>
      </c>
      <c r="AE301" s="305">
        <f t="shared" si="117"/>
        <v>0.7</v>
      </c>
      <c r="AF301" s="177">
        <f t="shared" si="118"/>
        <v>9.8414349870019902E-2</v>
      </c>
      <c r="AG301" s="817">
        <f t="shared" si="124"/>
        <v>0</v>
      </c>
      <c r="AH301" s="176">
        <f t="shared" si="119"/>
        <v>6</v>
      </c>
      <c r="AI301" s="225">
        <f t="shared" si="120"/>
        <v>9.8414349870019902E-2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45214</v>
      </c>
      <c r="B302" s="411">
        <f>'2022'!Wh/'2022'!Env_an*'2023'!Env_an</f>
        <v>23.139248256966479</v>
      </c>
      <c r="C302" s="846"/>
      <c r="D302" s="393">
        <f t="shared" si="102"/>
        <v>24.178053973800296</v>
      </c>
      <c r="E302" s="385">
        <f t="shared" si="125"/>
        <v>25.321714907485486</v>
      </c>
      <c r="F302" s="385">
        <f t="shared" si="103"/>
        <v>25.955001124527897</v>
      </c>
      <c r="G302" s="110">
        <f t="shared" si="126"/>
        <v>0.98191658624967593</v>
      </c>
      <c r="H302" s="414" t="b">
        <f>Wh_hp&gt;='2022'!Maxi_hp</f>
        <v>0</v>
      </c>
      <c r="I302" s="390">
        <f>IF(H302,Wh_hp,'2022'!Maxi_hp)</f>
        <v>25.958386813134396</v>
      </c>
      <c r="J302" s="85">
        <f>IF(H302,An,'2022'!An_max)</f>
        <v>2022</v>
      </c>
      <c r="K302" s="197">
        <f t="shared" si="104"/>
        <v>45214</v>
      </c>
      <c r="L302" s="147">
        <f>IF(t&lt;Tvie,1-EXP((T0-t)*PertePVj)+'2022'!Pspv,1-EXP((T0-t)*PertePVj)+Pspv)</f>
        <v>4.2964819168634594E-2</v>
      </c>
      <c r="M302" s="850"/>
      <c r="N302" s="850"/>
      <c r="O302" s="48">
        <f>IF(t&lt;Tnet,'2022'!Resal+('2022'!Salim-'2022'!Resal)*(1-EXP(('2022'!Tnet-t)/('2022'!Tau_j))),Resal+(Salim-Resal)*(1-EXP((Tnet-t)/(Tau_j))))*Salcycl</f>
        <v>4.5165224309002397E-2</v>
      </c>
      <c r="P302" s="169">
        <f>(INDEX(Models!$BJ302:$BT302,,T302)*(1-R302)+INDEX(Models!$BJ302:$BT302,,T302+1)*R302-ERP_i)*Q302*Ramure*Pc/MaxiM</f>
        <v>2.5023366252330471E-2</v>
      </c>
      <c r="Q302" s="305">
        <f t="shared" si="105"/>
        <v>0.7</v>
      </c>
      <c r="R302" s="177">
        <f t="shared" si="106"/>
        <v>9.8481829987552949E-2</v>
      </c>
      <c r="S302" s="817">
        <f t="shared" si="107"/>
        <v>0</v>
      </c>
      <c r="T302" s="176">
        <f t="shared" si="108"/>
        <v>6</v>
      </c>
      <c r="U302" s="251">
        <f t="shared" si="109"/>
        <v>9.8481829987552949E-2</v>
      </c>
      <c r="V302" s="383">
        <f t="shared" si="110"/>
        <v>23.550319000959732</v>
      </c>
      <c r="W302" s="402">
        <f t="shared" si="111"/>
        <v>23.139248256966479</v>
      </c>
      <c r="X302" s="157">
        <f t="shared" si="112"/>
        <v>45214</v>
      </c>
      <c r="Y302" s="385">
        <f t="shared" si="113"/>
        <v>21.451497870812211</v>
      </c>
      <c r="Z302" s="385">
        <f t="shared" si="114"/>
        <v>22.414534283031834</v>
      </c>
      <c r="AA302" s="386">
        <f t="shared" si="115"/>
        <v>25.321714907485486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0.11480978421387429</v>
      </c>
      <c r="AD302" s="231">
        <f>(INDEX(Models!$BJ302:$BT302,,AH302)*(1-AF302)+INDEX(Models!$BJ302:$BT302,,AH302+1)*AF302-ERP_i)*AE302*Ramure*Pc/MaxiM</f>
        <v>2.5023366252330471E-2</v>
      </c>
      <c r="AE302" s="305">
        <f t="shared" si="117"/>
        <v>0.7</v>
      </c>
      <c r="AF302" s="177">
        <f t="shared" si="118"/>
        <v>9.8481829987552949E-2</v>
      </c>
      <c r="AG302" s="817">
        <f t="shared" si="124"/>
        <v>0</v>
      </c>
      <c r="AH302" s="176">
        <f t="shared" si="119"/>
        <v>6</v>
      </c>
      <c r="AI302" s="225">
        <f t="shared" si="120"/>
        <v>9.8481829987552949E-2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45215</v>
      </c>
      <c r="B303" s="411">
        <f>'2022'!Wh/'2022'!Env_an*'2023'!Env_an</f>
        <v>20.566975407694429</v>
      </c>
      <c r="C303" s="846"/>
      <c r="D303" s="393">
        <f t="shared" si="102"/>
        <v>21.490773065666801</v>
      </c>
      <c r="E303" s="385">
        <f t="shared" si="125"/>
        <v>22.510145827947959</v>
      </c>
      <c r="F303" s="385">
        <f t="shared" si="103"/>
        <v>23.020585138042208</v>
      </c>
      <c r="G303" s="110">
        <f t="shared" si="126"/>
        <v>0.88076259485005448</v>
      </c>
      <c r="H303" s="414" t="b">
        <f>Wh_hp&gt;='2022'!Maxi_hp</f>
        <v>0</v>
      </c>
      <c r="I303" s="390">
        <f>IF(H303,Wh_hp,'2022'!Maxi_hp)</f>
        <v>25.248209273651742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4.2985780695260822E-2</v>
      </c>
      <c r="M303" s="850"/>
      <c r="N303" s="850"/>
      <c r="O303" s="48">
        <f>IF(t&lt;Tnet,'2022'!Resal+('2022'!Salim-'2022'!Resal)*(1-EXP(('2022'!Tnet-t)/('2022'!Tau_j))),Resal+(Salim-Resal)*(1-EXP((Tnet-t)/(Tau_j))))*Salcycl</f>
        <v>4.5285035915473074E-2</v>
      </c>
      <c r="P303" s="169">
        <f>(INDEX(Models!$BJ303:$BT303,,T303)*(1-R303)+INDEX(Models!$BJ303:$BT303,,T303+1)*R303-ERP_i)*Q303*Ramure*Pc/MaxiM</f>
        <v>2.6544794384837263E-2</v>
      </c>
      <c r="Q303" s="305">
        <f t="shared" si="105"/>
        <v>0.7</v>
      </c>
      <c r="R303" s="177">
        <f t="shared" si="106"/>
        <v>9.854662182569196E-2</v>
      </c>
      <c r="S303" s="817">
        <f t="shared" si="107"/>
        <v>0</v>
      </c>
      <c r="T303" s="176">
        <f t="shared" si="108"/>
        <v>6</v>
      </c>
      <c r="U303" s="251">
        <f t="shared" si="109"/>
        <v>9.854662182569196E-2</v>
      </c>
      <c r="V303" s="383">
        <f t="shared" si="110"/>
        <v>23.246928946459779</v>
      </c>
      <c r="W303" s="402">
        <f t="shared" si="111"/>
        <v>20.566975407694429</v>
      </c>
      <c r="X303" s="157">
        <f t="shared" si="112"/>
        <v>45215</v>
      </c>
      <c r="Y303" s="385">
        <f t="shared" si="113"/>
        <v>19.069571473402576</v>
      </c>
      <c r="Z303" s="385">
        <f t="shared" si="114"/>
        <v>19.926110906958542</v>
      </c>
      <c r="AA303" s="386">
        <f t="shared" si="115"/>
        <v>22.510145827947959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0.1147942328201691</v>
      </c>
      <c r="AD303" s="231">
        <f>(INDEX(Models!$BJ303:$BT303,,AH303)*(1-AF303)+INDEX(Models!$BJ303:$BT303,,AH303+1)*AF303-ERP_i)*AE303*Ramure*Pc/MaxiM</f>
        <v>2.6544794384837263E-2</v>
      </c>
      <c r="AE303" s="305">
        <f t="shared" si="117"/>
        <v>0.7</v>
      </c>
      <c r="AF303" s="177">
        <f t="shared" si="118"/>
        <v>9.854662182569196E-2</v>
      </c>
      <c r="AG303" s="817">
        <f t="shared" si="124"/>
        <v>0</v>
      </c>
      <c r="AH303" s="176">
        <f t="shared" si="119"/>
        <v>6</v>
      </c>
      <c r="AI303" s="225">
        <f t="shared" si="120"/>
        <v>9.854662182569196E-2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45216</v>
      </c>
      <c r="B304" s="411">
        <f>'2022'!Wh/'2022'!Env_an*'2023'!Env_an</f>
        <v>12.099776737697159</v>
      </c>
      <c r="C304" s="846"/>
      <c r="D304" s="393">
        <f t="shared" si="102"/>
        <v>12.643533936680887</v>
      </c>
      <c r="E304" s="385">
        <f t="shared" si="125"/>
        <v>13.244904358846362</v>
      </c>
      <c r="F304" s="385">
        <f t="shared" si="103"/>
        <v>13.366789192282713</v>
      </c>
      <c r="G304" s="110">
        <f t="shared" si="126"/>
        <v>0.51734992010086922</v>
      </c>
      <c r="H304" s="414" t="b">
        <f>Wh_hp&gt;='2022'!Maxi_hp</f>
        <v>0</v>
      </c>
      <c r="I304" s="390">
        <f>IF(H304,Wh_hp,'2022'!Maxi_hp)</f>
        <v>23.457499941196161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4.3006741762775857E-2</v>
      </c>
      <c r="M304" s="850"/>
      <c r="N304" s="850"/>
      <c r="O304" s="48">
        <f>IF(t&lt;Tnet,'2022'!Resal+('2022'!Salim-'2022'!Resal)*(1-EXP(('2022'!Tnet-t)/('2022'!Tau_j))),Resal+(Salim-Resal)*(1-EXP((Tnet-t)/(Tau_j))))*Salcycl</f>
        <v>4.5403908240667354E-2</v>
      </c>
      <c r="P304" s="169">
        <f>(INDEX(Models!$BJ304:$BT304,,T304)*(1-R304)+INDEX(Models!$BJ304:$BT304,,T304+1)*R304-ERP_i)*Q304*Ramure*Pc/MaxiM</f>
        <v>2.8064902311725936E-2</v>
      </c>
      <c r="Q304" s="305">
        <f t="shared" si="105"/>
        <v>0.7</v>
      </c>
      <c r="R304" s="177">
        <f t="shared" si="106"/>
        <v>9.8608831377665629E-2</v>
      </c>
      <c r="S304" s="817">
        <f t="shared" si="107"/>
        <v>0</v>
      </c>
      <c r="T304" s="176">
        <f t="shared" si="108"/>
        <v>6</v>
      </c>
      <c r="U304" s="251">
        <f t="shared" si="109"/>
        <v>9.8608831377665629E-2</v>
      </c>
      <c r="V304" s="383">
        <f t="shared" si="110"/>
        <v>22.940797324054923</v>
      </c>
      <c r="W304" s="402">
        <f t="shared" si="111"/>
        <v>12.099776737697159</v>
      </c>
      <c r="X304" s="157">
        <f t="shared" si="112"/>
        <v>45216</v>
      </c>
      <c r="Y304" s="385">
        <f t="shared" si="113"/>
        <v>11.220451710842024</v>
      </c>
      <c r="Z304" s="385">
        <f t="shared" si="114"/>
        <v>11.724692534940141</v>
      </c>
      <c r="AA304" s="386">
        <f t="shared" si="115"/>
        <v>13.244904358846362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0.11477710844252807</v>
      </c>
      <c r="AD304" s="231">
        <f>(INDEX(Models!$BJ304:$BT304,,AH304)*(1-AF304)+INDEX(Models!$BJ304:$BT304,,AH304+1)*AF304-ERP_i)*AE304*Ramure*Pc/MaxiM</f>
        <v>2.8064902311725936E-2</v>
      </c>
      <c r="AE304" s="305">
        <f t="shared" si="117"/>
        <v>0.7</v>
      </c>
      <c r="AF304" s="177">
        <f t="shared" si="118"/>
        <v>9.8608831377665629E-2</v>
      </c>
      <c r="AG304" s="817">
        <f t="shared" si="124"/>
        <v>0</v>
      </c>
      <c r="AH304" s="176">
        <f t="shared" si="119"/>
        <v>6</v>
      </c>
      <c r="AI304" s="225">
        <f t="shared" si="120"/>
        <v>9.8608831377665629E-2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45217</v>
      </c>
      <c r="B305" s="411">
        <f>'2022'!Wh/'2022'!Env_an*'2023'!Env_an</f>
        <v>20.757970145589983</v>
      </c>
      <c r="C305" s="846"/>
      <c r="D305" s="393">
        <f t="shared" si="102"/>
        <v>21.691296808720757</v>
      </c>
      <c r="E305" s="385">
        <f t="shared" si="125"/>
        <v>22.725818231415044</v>
      </c>
      <c r="F305" s="385">
        <f t="shared" si="103"/>
        <v>23.334307062720331</v>
      </c>
      <c r="G305" s="110">
        <f t="shared" si="126"/>
        <v>0.91388404821510671</v>
      </c>
      <c r="H305" s="414" t="b">
        <f>Wh_hp&gt;='2022'!Maxi_hp</f>
        <v>0</v>
      </c>
      <c r="I305" s="390">
        <f>IF(H305,Wh_hp,'2022'!Maxi_hp)</f>
        <v>25.579002164286386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4.3027702371189691E-2</v>
      </c>
      <c r="M305" s="850"/>
      <c r="N305" s="850"/>
      <c r="O305" s="48">
        <f>IF(t&lt;Tnet,'2022'!Resal+('2022'!Salim-'2022'!Resal)*(1-EXP(('2022'!Tnet-t)/('2022'!Tau_j))),Resal+(Salim-Resal)*(1-EXP((Tnet-t)/(Tau_j))))*Salcycl</f>
        <v>4.5521855897985533E-2</v>
      </c>
      <c r="P305" s="169">
        <f>(INDEX(Models!$BJ305:$BT305,,T305)*(1-R305)+INDEX(Models!$BJ305:$BT305,,T305+1)*R305-ERP_i)*Q305*Ramure*Pc/MaxiM</f>
        <v>2.9576328176817893E-2</v>
      </c>
      <c r="Q305" s="305">
        <f t="shared" si="105"/>
        <v>0.7</v>
      </c>
      <c r="R305" s="177">
        <f t="shared" si="106"/>
        <v>9.8668560544245276E-2</v>
      </c>
      <c r="S305" s="817">
        <f t="shared" si="107"/>
        <v>0</v>
      </c>
      <c r="T305" s="176">
        <f t="shared" si="108"/>
        <v>6</v>
      </c>
      <c r="U305" s="251">
        <f t="shared" si="109"/>
        <v>9.8668560544245276E-2</v>
      </c>
      <c r="V305" s="383">
        <f t="shared" si="110"/>
        <v>22.632396756453694</v>
      </c>
      <c r="W305" s="402">
        <f t="shared" si="111"/>
        <v>20.757970145589983</v>
      </c>
      <c r="X305" s="157">
        <f t="shared" si="112"/>
        <v>45217</v>
      </c>
      <c r="Y305" s="385">
        <f t="shared" si="113"/>
        <v>19.252214001205385</v>
      </c>
      <c r="Z305" s="385">
        <f t="shared" si="114"/>
        <v>20.117838362624077</v>
      </c>
      <c r="AA305" s="386">
        <f t="shared" si="115"/>
        <v>22.725818231415044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0.11475845851771455</v>
      </c>
      <c r="AD305" s="231">
        <f>(INDEX(Models!$BJ305:$BT305,,AH305)*(1-AF305)+INDEX(Models!$BJ305:$BT305,,AH305+1)*AF305-ERP_i)*AE305*Ramure*Pc/MaxiM</f>
        <v>2.9576328176817893E-2</v>
      </c>
      <c r="AE305" s="305">
        <f t="shared" si="117"/>
        <v>0.7</v>
      </c>
      <c r="AF305" s="177">
        <f t="shared" si="118"/>
        <v>9.8668560544245276E-2</v>
      </c>
      <c r="AG305" s="817">
        <f t="shared" si="124"/>
        <v>0</v>
      </c>
      <c r="AH305" s="176">
        <f t="shared" si="119"/>
        <v>6</v>
      </c>
      <c r="AI305" s="225">
        <f t="shared" si="120"/>
        <v>9.8668560544245276E-2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45218</v>
      </c>
      <c r="B306" s="411">
        <f>'2022'!Wh/'2022'!Env_an*'2023'!Env_an</f>
        <v>9.6861437138602096</v>
      </c>
      <c r="C306" s="846"/>
      <c r="D306" s="393">
        <f t="shared" si="102"/>
        <v>10.121876980048459</v>
      </c>
      <c r="E306" s="385">
        <f t="shared" si="125"/>
        <v>10.605919435393563</v>
      </c>
      <c r="F306" s="385">
        <f t="shared" si="103"/>
        <v>10.669361850880906</v>
      </c>
      <c r="G306" s="110">
        <f t="shared" si="126"/>
        <v>0.42295666738297638</v>
      </c>
      <c r="H306" s="414" t="b">
        <f>Wh_hp&gt;='2022'!Maxi_hp</f>
        <v>0</v>
      </c>
      <c r="I306" s="390">
        <f>IF(H306,Wh_hp,'2022'!Maxi_hp)</f>
        <v>24.959587812927008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4.3048662520512426E-2</v>
      </c>
      <c r="M306" s="850"/>
      <c r="N306" s="850"/>
      <c r="O306" s="48">
        <f>IF(t&lt;Tnet,'2022'!Resal+('2022'!Salim-'2022'!Resal)*(1-EXP(('2022'!Tnet-t)/('2022'!Tau_j))),Resal+(Salim-Resal)*(1-EXP((Tnet-t)/(Tau_j))))*Salcycl</f>
        <v>4.563889611774552E-2</v>
      </c>
      <c r="P306" s="169">
        <f>(INDEX(Models!$BJ306:$BT306,,T306)*(1-R306)+INDEX(Models!$BJ306:$BT306,,T306+1)*R306-ERP_i)*Q306*Ramure*Pc/MaxiM</f>
        <v>3.1079118019295787E-2</v>
      </c>
      <c r="Q306" s="305">
        <f t="shared" si="105"/>
        <v>0.7</v>
      </c>
      <c r="R306" s="177">
        <f t="shared" si="106"/>
        <v>9.8725907284927472E-2</v>
      </c>
      <c r="S306" s="817">
        <f t="shared" si="107"/>
        <v>0</v>
      </c>
      <c r="T306" s="176">
        <f t="shared" si="108"/>
        <v>6</v>
      </c>
      <c r="U306" s="251">
        <f t="shared" si="109"/>
        <v>9.8725907284927472E-2</v>
      </c>
      <c r="V306" s="383">
        <f t="shared" si="110"/>
        <v>22.32201879264526</v>
      </c>
      <c r="W306" s="402">
        <f t="shared" si="111"/>
        <v>9.6861437138602096</v>
      </c>
      <c r="X306" s="157">
        <f t="shared" si="112"/>
        <v>45218</v>
      </c>
      <c r="Y306" s="385">
        <f t="shared" si="113"/>
        <v>8.9848293923755964</v>
      </c>
      <c r="Z306" s="385">
        <f t="shared" si="114"/>
        <v>9.3890138823994143</v>
      </c>
      <c r="AA306" s="386">
        <f t="shared" si="115"/>
        <v>10.605919435393563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0.11473833649284101</v>
      </c>
      <c r="AD306" s="231">
        <f>(INDEX(Models!$BJ306:$BT306,,AH306)*(1-AF306)+INDEX(Models!$BJ306:$BT306,,AH306+1)*AF306-ERP_i)*AE306*Ramure*Pc/MaxiM</f>
        <v>3.1079118019295787E-2</v>
      </c>
      <c r="AE306" s="305">
        <f t="shared" si="117"/>
        <v>0.7</v>
      </c>
      <c r="AF306" s="177">
        <f t="shared" si="118"/>
        <v>9.8725907284927472E-2</v>
      </c>
      <c r="AG306" s="817">
        <f t="shared" si="124"/>
        <v>0</v>
      </c>
      <c r="AH306" s="176">
        <f t="shared" si="119"/>
        <v>6</v>
      </c>
      <c r="AI306" s="225">
        <f t="shared" si="120"/>
        <v>9.8725907284927472E-2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45219</v>
      </c>
      <c r="B307" s="411">
        <f>'2022'!Wh/'2022'!Env_an*'2023'!Env_an</f>
        <v>4.6933077910178866</v>
      </c>
      <c r="C307" s="846"/>
      <c r="D307" s="393">
        <f t="shared" si="102"/>
        <v>4.9045446773887873</v>
      </c>
      <c r="E307" s="385">
        <f t="shared" si="125"/>
        <v>5.13971247217727</v>
      </c>
      <c r="F307" s="385">
        <f t="shared" si="103"/>
        <v>5.13971247217727</v>
      </c>
      <c r="G307" s="110">
        <f t="shared" si="126"/>
        <v>0.20628990938576527</v>
      </c>
      <c r="H307" s="414" t="b">
        <f>Wh_hp&gt;='2022'!Maxi_hp</f>
        <v>0</v>
      </c>
      <c r="I307" s="390">
        <f>IF(H307,Wh_hp,'2022'!Maxi_hp)</f>
        <v>20.300420803339481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4.3069622210754166E-2</v>
      </c>
      <c r="M307" s="850"/>
      <c r="N307" s="850"/>
      <c r="O307" s="48">
        <f>IF(t&lt;Tnet,'2022'!Resal+('2022'!Salim-'2022'!Resal)*(1-EXP(('2022'!Tnet-t)/('2022'!Tau_j))),Resal+(Salim-Resal)*(1-EXP((Tnet-t)/(Tau_j))))*Salcycl</f>
        <v>4.5755048762263086E-2</v>
      </c>
      <c r="P307" s="169">
        <f>(INDEX(Models!$BJ307:$BT307,,T307)*(1-R307)+INDEX(Models!$BJ307:$BT307,,T307+1)*R307-ERP_i)*Q307*Ramure*Pc/MaxiM</f>
        <v>3.2573264557341428E-2</v>
      </c>
      <c r="Q307" s="305">
        <f t="shared" si="105"/>
        <v>0.7</v>
      </c>
      <c r="R307" s="177">
        <f t="shared" si="106"/>
        <v>9.8780965764075801E-2</v>
      </c>
      <c r="S307" s="817">
        <f t="shared" si="107"/>
        <v>0</v>
      </c>
      <c r="T307" s="176">
        <f t="shared" si="108"/>
        <v>6</v>
      </c>
      <c r="U307" s="251">
        <f t="shared" si="109"/>
        <v>9.8780965764075801E-2</v>
      </c>
      <c r="V307" s="383">
        <f t="shared" si="110"/>
        <v>22.009954089423509</v>
      </c>
      <c r="W307" s="402">
        <f t="shared" si="111"/>
        <v>4.6933077910178866</v>
      </c>
      <c r="X307" s="157">
        <f t="shared" si="112"/>
        <v>45219</v>
      </c>
      <c r="Y307" s="385">
        <f t="shared" si="113"/>
        <v>4.3541299600833039</v>
      </c>
      <c r="Z307" s="385">
        <f t="shared" si="114"/>
        <v>4.5501010952776513</v>
      </c>
      <c r="AA307" s="386">
        <f t="shared" si="115"/>
        <v>5.13971247217727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0.11471680178440974</v>
      </c>
      <c r="AD307" s="231">
        <f>(INDEX(Models!$BJ307:$BT307,,AH307)*(1-AF307)+INDEX(Models!$BJ307:$BT307,,AH307+1)*AF307-ERP_i)*AE307*Ramure*Pc/MaxiM</f>
        <v>3.2573264557341428E-2</v>
      </c>
      <c r="AE307" s="305">
        <f t="shared" si="117"/>
        <v>0.7</v>
      </c>
      <c r="AF307" s="177">
        <f t="shared" si="118"/>
        <v>9.8780965764075801E-2</v>
      </c>
      <c r="AG307" s="817">
        <f t="shared" si="124"/>
        <v>0</v>
      </c>
      <c r="AH307" s="176">
        <f t="shared" si="119"/>
        <v>6</v>
      </c>
      <c r="AI307" s="225">
        <f t="shared" si="120"/>
        <v>9.8780965764075801E-2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45220</v>
      </c>
      <c r="B308" s="411">
        <f>'2022'!Wh/'2022'!Env_an*'2023'!Env_an</f>
        <v>10.06706459462486</v>
      </c>
      <c r="C308" s="846"/>
      <c r="D308" s="393">
        <f t="shared" si="102"/>
        <v>10.52039451110689</v>
      </c>
      <c r="E308" s="385">
        <f t="shared" si="125"/>
        <v>11.026168571876072</v>
      </c>
      <c r="F308" s="385">
        <f t="shared" si="103"/>
        <v>11.114856527345692</v>
      </c>
      <c r="G308" s="110">
        <f t="shared" si="126"/>
        <v>0.45179694765378775</v>
      </c>
      <c r="H308" s="414" t="b">
        <f>Wh_hp&gt;='2022'!Maxi_hp</f>
        <v>0</v>
      </c>
      <c r="I308" s="390">
        <f>IF(H308,Wh_hp,'2022'!Maxi_hp)</f>
        <v>15.02935928669431</v>
      </c>
      <c r="J308" s="85">
        <f>IF(H308,An,'2022'!An_max)</f>
        <v>2019</v>
      </c>
      <c r="K308" s="197">
        <f t="shared" si="104"/>
        <v>45220</v>
      </c>
      <c r="L308" s="147">
        <f>IF(t&lt;Tvie,1-EXP((T0-t)*PertePVj)+'2022'!Pspv,1-EXP((T0-t)*PertePVj)+Pspv)</f>
        <v>4.3090581441924791E-2</v>
      </c>
      <c r="M308" s="850"/>
      <c r="N308" s="850"/>
      <c r="O308" s="48">
        <f>IF(t&lt;Tnet,'2022'!Resal+('2022'!Salim-'2022'!Resal)*(1-EXP(('2022'!Tnet-t)/('2022'!Tau_j))),Resal+(Salim-Resal)*(1-EXP((Tnet-t)/(Tau_j))))*Salcycl</f>
        <v>4.5870336325098057E-2</v>
      </c>
      <c r="P308" s="169">
        <f>(INDEX(Models!$BJ308:$BT308,,T308)*(1-R308)+INDEX(Models!$BJ308:$BT308,,T308+1)*R308-ERP_i)*Q308*Ramure*Pc/MaxiM</f>
        <v>3.4058705828494691E-2</v>
      </c>
      <c r="Q308" s="305">
        <f t="shared" si="105"/>
        <v>0.7</v>
      </c>
      <c r="R308" s="177">
        <f t="shared" si="106"/>
        <v>9.8833826492146171E-2</v>
      </c>
      <c r="S308" s="817">
        <f t="shared" si="107"/>
        <v>0</v>
      </c>
      <c r="T308" s="176">
        <f t="shared" si="108"/>
        <v>6</v>
      </c>
      <c r="U308" s="251">
        <f t="shared" si="109"/>
        <v>9.8833826492146171E-2</v>
      </c>
      <c r="V308" s="383">
        <f t="shared" si="110"/>
        <v>21.696492404245884</v>
      </c>
      <c r="W308" s="402">
        <f t="shared" si="111"/>
        <v>10.06706459462486</v>
      </c>
      <c r="X308" s="157">
        <f t="shared" si="112"/>
        <v>45220</v>
      </c>
      <c r="Y308" s="385">
        <f t="shared" si="113"/>
        <v>9.340903899872286</v>
      </c>
      <c r="Z308" s="385">
        <f t="shared" si="114"/>
        <v>9.7615340791061325</v>
      </c>
      <c r="AA308" s="386">
        <f t="shared" si="115"/>
        <v>11.026168571876072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0.11469391969895906</v>
      </c>
      <c r="AD308" s="231">
        <f>(INDEX(Models!$BJ308:$BT308,,AH308)*(1-AF308)+INDEX(Models!$BJ308:$BT308,,AH308+1)*AF308-ERP_i)*AE308*Ramure*Pc/MaxiM</f>
        <v>3.4058705828494691E-2</v>
      </c>
      <c r="AE308" s="305">
        <f t="shared" si="117"/>
        <v>0.7</v>
      </c>
      <c r="AF308" s="177">
        <f t="shared" si="118"/>
        <v>9.8833826492146171E-2</v>
      </c>
      <c r="AG308" s="817">
        <f t="shared" si="124"/>
        <v>0</v>
      </c>
      <c r="AH308" s="176">
        <f t="shared" si="119"/>
        <v>6</v>
      </c>
      <c r="AI308" s="225">
        <f t="shared" si="120"/>
        <v>9.8833826492146171E-2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45221</v>
      </c>
      <c r="B309" s="411">
        <f>'2022'!Wh/'2022'!Env_an*'2023'!Env_an</f>
        <v>19.61298818185946</v>
      </c>
      <c r="C309" s="846"/>
      <c r="D309" s="393">
        <f t="shared" si="102"/>
        <v>20.496629446494158</v>
      </c>
      <c r="E309" s="385">
        <f t="shared" si="125"/>
        <v>21.484593852271214</v>
      </c>
      <c r="F309" s="385">
        <f t="shared" si="103"/>
        <v>22.17960364172588</v>
      </c>
      <c r="G309" s="110">
        <f t="shared" si="126"/>
        <v>0.91329267158971228</v>
      </c>
      <c r="H309" s="414" t="b">
        <f>Wh_hp&gt;='2022'!Maxi_hp</f>
        <v>0</v>
      </c>
      <c r="I309" s="390">
        <f>IF(H309,Wh_hp,'2022'!Maxi_hp)</f>
        <v>22.197470097705743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4.3111540214034516E-2</v>
      </c>
      <c r="M309" s="850"/>
      <c r="N309" s="850"/>
      <c r="O309" s="48">
        <f>IF(t&lt;Tnet,'2022'!Resal+('2022'!Salim-'2022'!Resal)*(1-EXP(('2022'!Tnet-t)/('2022'!Tau_j))),Resal+(Salim-Resal)*(1-EXP((Tnet-t)/(Tau_j))))*Salcycl</f>
        <v>4.5984783914014504E-2</v>
      </c>
      <c r="P309" s="169">
        <f>(INDEX(Models!$BJ309:$BT309,,T309)*(1-R309)+INDEX(Models!$BJ309:$BT309,,T309+1)*R309-ERP_i)*Q309*Ramure*Pc/MaxiM</f>
        <v>3.5535323402187201E-2</v>
      </c>
      <c r="Q309" s="305">
        <f t="shared" si="105"/>
        <v>0.7</v>
      </c>
      <c r="R309" s="177">
        <f t="shared" si="106"/>
        <v>9.8884576462117679E-2</v>
      </c>
      <c r="S309" s="817">
        <f t="shared" si="107"/>
        <v>0</v>
      </c>
      <c r="T309" s="176">
        <f t="shared" si="108"/>
        <v>6</v>
      </c>
      <c r="U309" s="251">
        <f t="shared" si="109"/>
        <v>9.8884576462117679E-2</v>
      </c>
      <c r="V309" s="383">
        <f t="shared" si="110"/>
        <v>21.381922586873102</v>
      </c>
      <c r="W309" s="402">
        <f t="shared" si="111"/>
        <v>19.61298818185946</v>
      </c>
      <c r="X309" s="157">
        <f t="shared" si="112"/>
        <v>45221</v>
      </c>
      <c r="Y309" s="385">
        <f t="shared" si="113"/>
        <v>18.20093769532556</v>
      </c>
      <c r="Z309" s="385">
        <f t="shared" si="114"/>
        <v>19.020960603283587</v>
      </c>
      <c r="AA309" s="386">
        <f t="shared" si="115"/>
        <v>21.484593852271214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0.11466976131490551</v>
      </c>
      <c r="AD309" s="231">
        <f>(INDEX(Models!$BJ309:$BT309,,AH309)*(1-AF309)+INDEX(Models!$BJ309:$BT309,,AH309+1)*AF309-ERP_i)*AE309*Ramure*Pc/MaxiM</f>
        <v>3.5535323402187201E-2</v>
      </c>
      <c r="AE309" s="305">
        <f t="shared" si="117"/>
        <v>0.7</v>
      </c>
      <c r="AF309" s="177">
        <f t="shared" si="118"/>
        <v>9.8884576462117679E-2</v>
      </c>
      <c r="AG309" s="817">
        <f t="shared" si="124"/>
        <v>0</v>
      </c>
      <c r="AH309" s="176">
        <f t="shared" si="119"/>
        <v>6</v>
      </c>
      <c r="AI309" s="225">
        <f t="shared" si="120"/>
        <v>9.8884576462117679E-2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45222</v>
      </c>
      <c r="B310" s="411">
        <f>'2022'!Wh/'2022'!Env_an*'2023'!Env_an</f>
        <v>12.698672847557779</v>
      </c>
      <c r="C310" s="846"/>
      <c r="D310" s="393">
        <f t="shared" si="102"/>
        <v>13.271088032575779</v>
      </c>
      <c r="E310" s="385">
        <f t="shared" si="125"/>
        <v>13.91242901776819</v>
      </c>
      <c r="F310" s="385">
        <f t="shared" si="103"/>
        <v>14.138460902895917</v>
      </c>
      <c r="G310" s="110">
        <f t="shared" si="126"/>
        <v>0.58991496058410142</v>
      </c>
      <c r="H310" s="414" t="b">
        <f>Wh_hp&gt;='2022'!Maxi_hp</f>
        <v>0</v>
      </c>
      <c r="I310" s="390">
        <f>IF(H310,Wh_hp,'2022'!Maxi_hp)</f>
        <v>23.868421011205619</v>
      </c>
      <c r="J310" s="85">
        <f>IF(H310,An,'2022'!An_max)</f>
        <v>2018</v>
      </c>
      <c r="K310" s="197">
        <f t="shared" si="104"/>
        <v>45222</v>
      </c>
      <c r="L310" s="147">
        <f>IF(t&lt;Tvie,1-EXP((T0-t)*PertePVj)+'2022'!Pspv,1-EXP((T0-t)*PertePVj)+Pspv)</f>
        <v>4.3132498527093333E-2</v>
      </c>
      <c r="M310" s="850"/>
      <c r="N310" s="850"/>
      <c r="O310" s="48">
        <f>IF(t&lt;Tnet,'2022'!Resal+('2022'!Salim-'2022'!Resal)*(1-EXP(('2022'!Tnet-t)/('2022'!Tau_j))),Resal+(Salim-Resal)*(1-EXP((Tnet-t)/(Tau_j))))*Salcycl</f>
        <v>4.6098419217329031E-2</v>
      </c>
      <c r="P310" s="169">
        <f>(INDEX(Models!$BJ310:$BT310,,T310)*(1-R310)+INDEX(Models!$BJ310:$BT310,,T310+1)*R310-ERP_i)*Q310*Ramure*Pc/MaxiM</f>
        <v>3.69625453862482E-2</v>
      </c>
      <c r="Q310" s="305">
        <f t="shared" si="105"/>
        <v>0.7</v>
      </c>
      <c r="R310" s="177">
        <f t="shared" si="106"/>
        <v>9.8933299281256715E-2</v>
      </c>
      <c r="S310" s="817">
        <f t="shared" si="107"/>
        <v>0</v>
      </c>
      <c r="T310" s="176">
        <f t="shared" si="108"/>
        <v>6</v>
      </c>
      <c r="U310" s="251">
        <f t="shared" si="109"/>
        <v>9.8933299281256715E-2</v>
      </c>
      <c r="V310" s="383">
        <f t="shared" si="110"/>
        <v>21.067416255306359</v>
      </c>
      <c r="W310" s="402">
        <f t="shared" si="111"/>
        <v>12.698672847557779</v>
      </c>
      <c r="X310" s="157">
        <f t="shared" si="112"/>
        <v>45222</v>
      </c>
      <c r="Y310" s="385">
        <f t="shared" si="113"/>
        <v>11.786164634195568</v>
      </c>
      <c r="Z310" s="385">
        <f t="shared" si="114"/>
        <v>12.317446894217975</v>
      </c>
      <c r="AA310" s="386">
        <f t="shared" si="115"/>
        <v>13.91242901776819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0.11464440332548637</v>
      </c>
      <c r="AD310" s="231">
        <f>(INDEX(Models!$BJ310:$BT310,,AH310)*(1-AF310)+INDEX(Models!$BJ310:$BT310,,AH310+1)*AF310-ERP_i)*AE310*Ramure*Pc/MaxiM</f>
        <v>3.69625453862482E-2</v>
      </c>
      <c r="AE310" s="305">
        <f t="shared" si="117"/>
        <v>0.7</v>
      </c>
      <c r="AF310" s="177">
        <f t="shared" si="118"/>
        <v>9.8933299281256715E-2</v>
      </c>
      <c r="AG310" s="817">
        <f t="shared" si="124"/>
        <v>0</v>
      </c>
      <c r="AH310" s="176">
        <f t="shared" si="119"/>
        <v>6</v>
      </c>
      <c r="AI310" s="225">
        <f t="shared" si="120"/>
        <v>9.8933299281256715E-2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45223</v>
      </c>
      <c r="B311" s="411">
        <f>'2022'!Wh/'2022'!Env_an*'2023'!Env_an</f>
        <v>15.473294557072727</v>
      </c>
      <c r="C311" s="846"/>
      <c r="D311" s="393">
        <f t="shared" si="102"/>
        <v>16.171134922587679</v>
      </c>
      <c r="E311" s="385">
        <f t="shared" si="125"/>
        <v>16.954629946387669</v>
      </c>
      <c r="F311" s="385">
        <f t="shared" si="103"/>
        <v>17.379092824011259</v>
      </c>
      <c r="G311" s="110">
        <f t="shared" si="126"/>
        <v>0.73494947705993063</v>
      </c>
      <c r="H311" s="414" t="b">
        <f>Wh_hp&gt;='2022'!Maxi_hp</f>
        <v>0</v>
      </c>
      <c r="I311" s="390">
        <f>IF(H311,Wh_hp,'2022'!Maxi_hp)</f>
        <v>24.436721996898605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4.3153456381111233E-2</v>
      </c>
      <c r="M311" s="850"/>
      <c r="N311" s="850"/>
      <c r="O311" s="48">
        <f>IF(t&lt;Tnet,'2022'!Resal+('2022'!Salim-'2022'!Resal)*(1-EXP(('2022'!Tnet-t)/('2022'!Tau_j))),Resal+(Salim-Resal)*(1-EXP((Tnet-t)/(Tau_j))))*Salcycl</f>
        <v>4.6211272453452724E-2</v>
      </c>
      <c r="P311" s="169">
        <f>(INDEX(Models!$BJ311:$BT311,,T311)*(1-R311)+INDEX(Models!$BJ311:$BT311,,T311+1)*R311-ERP_i)*Q311*Ramure*Pc/MaxiM</f>
        <v>3.836715496468851E-2</v>
      </c>
      <c r="Q311" s="305">
        <f t="shared" si="105"/>
        <v>0.7</v>
      </c>
      <c r="R311" s="177">
        <f t="shared" si="106"/>
        <v>9.8980075298336911E-2</v>
      </c>
      <c r="S311" s="817">
        <f t="shared" si="107"/>
        <v>0</v>
      </c>
      <c r="T311" s="176">
        <f t="shared" si="108"/>
        <v>6</v>
      </c>
      <c r="U311" s="251">
        <f t="shared" si="109"/>
        <v>9.8980075298336911E-2</v>
      </c>
      <c r="V311" s="383">
        <f t="shared" si="110"/>
        <v>20.752641506303917</v>
      </c>
      <c r="W311" s="402">
        <f t="shared" si="111"/>
        <v>15.473294557072727</v>
      </c>
      <c r="X311" s="157">
        <f t="shared" si="112"/>
        <v>45223</v>
      </c>
      <c r="Y311" s="385">
        <f t="shared" si="113"/>
        <v>14.36353481894934</v>
      </c>
      <c r="Z311" s="385">
        <f t="shared" si="114"/>
        <v>15.011325394587331</v>
      </c>
      <c r="AA311" s="386">
        <f t="shared" si="115"/>
        <v>16.954629946387669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0.11461792784303008</v>
      </c>
      <c r="AD311" s="231">
        <f>(INDEX(Models!$BJ311:$BT311,,AH311)*(1-AF311)+INDEX(Models!$BJ311:$BT311,,AH311+1)*AF311-ERP_i)*AE311*Ramure*Pc/MaxiM</f>
        <v>3.836715496468851E-2</v>
      </c>
      <c r="AE311" s="305">
        <f t="shared" si="117"/>
        <v>0.7</v>
      </c>
      <c r="AF311" s="177">
        <f t="shared" si="118"/>
        <v>9.8980075298336911E-2</v>
      </c>
      <c r="AG311" s="817">
        <f t="shared" si="124"/>
        <v>0</v>
      </c>
      <c r="AH311" s="176">
        <f t="shared" si="119"/>
        <v>6</v>
      </c>
      <c r="AI311" s="225">
        <f t="shared" si="120"/>
        <v>9.8980075298336911E-2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45224</v>
      </c>
      <c r="B312" s="411">
        <f>'2022'!Wh/'2022'!Env_an*'2023'!Env_an</f>
        <v>13.439807521922535</v>
      </c>
      <c r="C312" s="846"/>
      <c r="D312" s="393">
        <f t="shared" si="102"/>
        <v>14.046245956865079</v>
      </c>
      <c r="E312" s="385">
        <f t="shared" si="125"/>
        <v>14.728520766737573</v>
      </c>
      <c r="F312" s="385">
        <f t="shared" si="103"/>
        <v>15.033790173623942</v>
      </c>
      <c r="G312" s="110">
        <f t="shared" si="126"/>
        <v>0.6445424933759728</v>
      </c>
      <c r="H312" s="414" t="b">
        <f>Wh_hp&gt;='2022'!Maxi_hp</f>
        <v>0</v>
      </c>
      <c r="I312" s="390">
        <f>IF(H312,Wh_hp,'2022'!Maxi_hp)</f>
        <v>22.975160579894975</v>
      </c>
      <c r="J312" s="85">
        <f>IF(H312,An,'2022'!An_max)</f>
        <v>2018</v>
      </c>
      <c r="K312" s="197">
        <f t="shared" si="104"/>
        <v>45224</v>
      </c>
      <c r="L312" s="147">
        <f>IF(t&lt;Tvie,1-EXP((T0-t)*PertePVj)+'2022'!Pspv,1-EXP((T0-t)*PertePVj)+Pspv)</f>
        <v>4.317441377609843E-2</v>
      </c>
      <c r="M312" s="850"/>
      <c r="N312" s="850"/>
      <c r="O312" s="48">
        <f>IF(t&lt;Tnet,'2022'!Resal+('2022'!Salim-'2022'!Resal)*(1-EXP(('2022'!Tnet-t)/('2022'!Tau_j))),Resal+(Salim-Resal)*(1-EXP((Tnet-t)/(Tau_j))))*Salcycl</f>
        <v>4.632337630356749E-2</v>
      </c>
      <c r="P312" s="169">
        <f>(INDEX(Models!$BJ312:$BT312,,T312)*(1-R312)+INDEX(Models!$BJ312:$BT312,,T312+1)*R312-ERP_i)*Q312*Ramure*Pc/MaxiM</f>
        <v>3.9748758364681648E-2</v>
      </c>
      <c r="Q312" s="305">
        <f t="shared" si="105"/>
        <v>0.7</v>
      </c>
      <c r="R312" s="177">
        <f t="shared" si="106"/>
        <v>9.9024981726440975E-2</v>
      </c>
      <c r="S312" s="817">
        <f t="shared" si="107"/>
        <v>0</v>
      </c>
      <c r="T312" s="176">
        <f t="shared" si="108"/>
        <v>6</v>
      </c>
      <c r="U312" s="251">
        <f t="shared" si="109"/>
        <v>9.9024981726440975E-2</v>
      </c>
      <c r="V312" s="383">
        <f t="shared" si="110"/>
        <v>20.437874344712334</v>
      </c>
      <c r="W312" s="402">
        <f t="shared" si="111"/>
        <v>13.439807521922535</v>
      </c>
      <c r="X312" s="157">
        <f t="shared" si="112"/>
        <v>45224</v>
      </c>
      <c r="Y312" s="385">
        <f t="shared" si="113"/>
        <v>12.477745609454631</v>
      </c>
      <c r="Z312" s="385">
        <f t="shared" si="114"/>
        <v>13.040773354209595</v>
      </c>
      <c r="AA312" s="386">
        <f t="shared" si="115"/>
        <v>14.728520766737573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0.11459042216510515</v>
      </c>
      <c r="AD312" s="231">
        <f>(INDEX(Models!$BJ312:$BT312,,AH312)*(1-AF312)+INDEX(Models!$BJ312:$BT312,,AH312+1)*AF312-ERP_i)*AE312*Ramure*Pc/MaxiM</f>
        <v>3.9748758364681648E-2</v>
      </c>
      <c r="AE312" s="305">
        <f t="shared" si="117"/>
        <v>0.7</v>
      </c>
      <c r="AF312" s="177">
        <f t="shared" si="118"/>
        <v>9.9024981726440975E-2</v>
      </c>
      <c r="AG312" s="817">
        <f t="shared" si="124"/>
        <v>0</v>
      </c>
      <c r="AH312" s="176">
        <f t="shared" si="119"/>
        <v>6</v>
      </c>
      <c r="AI312" s="225">
        <f t="shared" si="120"/>
        <v>9.9024981726440975E-2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45225</v>
      </c>
      <c r="B313" s="411">
        <f>'2022'!Wh/'2022'!Env_an*'2023'!Env_an</f>
        <v>9.0055867275780468</v>
      </c>
      <c r="C313" s="846"/>
      <c r="D313" s="393">
        <f t="shared" si="102"/>
        <v>9.4121479473611114</v>
      </c>
      <c r="E313" s="385">
        <f t="shared" si="125"/>
        <v>9.8704814417118474</v>
      </c>
      <c r="F313" s="385">
        <f t="shared" si="103"/>
        <v>9.9567347655182754</v>
      </c>
      <c r="G313" s="110">
        <f t="shared" si="126"/>
        <v>0.43287217751211493</v>
      </c>
      <c r="H313" s="414" t="b">
        <f>Wh_hp&gt;='2022'!Maxi_hp</f>
        <v>0</v>
      </c>
      <c r="I313" s="390">
        <f>IF(H313,Wh_hp,'2022'!Maxi_hp)</f>
        <v>22.259943902038003</v>
      </c>
      <c r="J313" s="85">
        <f>IF(H313,An,'2022'!An_max)</f>
        <v>2019</v>
      </c>
      <c r="K313" s="197">
        <f t="shared" si="104"/>
        <v>45225</v>
      </c>
      <c r="L313" s="147">
        <f>IF(t&lt;Tvie,1-EXP((T0-t)*PertePVj)+'2022'!Pspv,1-EXP((T0-t)*PertePVj)+Pspv)</f>
        <v>4.3195370712064918E-2</v>
      </c>
      <c r="M313" s="850"/>
      <c r="N313" s="850"/>
      <c r="O313" s="48">
        <f>IF(t&lt;Tnet,'2022'!Resal+('2022'!Salim-'2022'!Resal)*(1-EXP(('2022'!Tnet-t)/('2022'!Tau_j))),Resal+(Salim-Resal)*(1-EXP((Tnet-t)/(Tau_j))))*Salcycl</f>
        <v>4.6434765827516336E-2</v>
      </c>
      <c r="P313" s="169">
        <f>(INDEX(Models!$BJ313:$BT313,,T313)*(1-R313)+INDEX(Models!$BJ313:$BT313,,T313+1)*R313-ERP_i)*Q313*Ramure*Pc/MaxiM</f>
        <v>4.1106571609285901E-2</v>
      </c>
      <c r="Q313" s="305">
        <f t="shared" si="105"/>
        <v>0.7</v>
      </c>
      <c r="R313" s="177">
        <f t="shared" si="106"/>
        <v>9.9068092761467552E-2</v>
      </c>
      <c r="S313" s="817">
        <f t="shared" si="107"/>
        <v>0</v>
      </c>
      <c r="T313" s="176">
        <f t="shared" si="108"/>
        <v>6</v>
      </c>
      <c r="U313" s="251">
        <f t="shared" si="109"/>
        <v>9.9068092761467552E-2</v>
      </c>
      <c r="V313" s="383">
        <f t="shared" si="110"/>
        <v>20.123396503018409</v>
      </c>
      <c r="W313" s="402">
        <f t="shared" si="111"/>
        <v>9.0055867275780468</v>
      </c>
      <c r="X313" s="157">
        <f t="shared" si="112"/>
        <v>45225</v>
      </c>
      <c r="Y313" s="385">
        <f t="shared" si="113"/>
        <v>8.3621849966063362</v>
      </c>
      <c r="Z313" s="385">
        <f t="shared" si="114"/>
        <v>8.7396995589680309</v>
      </c>
      <c r="AA313" s="386">
        <f t="shared" si="115"/>
        <v>9.8704814417118474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0.11456197850342185</v>
      </c>
      <c r="AD313" s="231">
        <f>(INDEX(Models!$BJ313:$BT313,,AH313)*(1-AF313)+INDEX(Models!$BJ313:$BT313,,AH313+1)*AF313-ERP_i)*AE313*Ramure*Pc/MaxiM</f>
        <v>4.1106571609285901E-2</v>
      </c>
      <c r="AE313" s="305">
        <f t="shared" si="117"/>
        <v>0.7</v>
      </c>
      <c r="AF313" s="177">
        <f t="shared" si="118"/>
        <v>9.9068092761467552E-2</v>
      </c>
      <c r="AG313" s="817">
        <f t="shared" si="124"/>
        <v>0</v>
      </c>
      <c r="AH313" s="176">
        <f t="shared" si="119"/>
        <v>6</v>
      </c>
      <c r="AI313" s="225">
        <f t="shared" si="120"/>
        <v>9.9068092761467552E-2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45226</v>
      </c>
      <c r="B314" s="411">
        <f>'2022'!Wh/'2022'!Env_an*'2023'!Env_an</f>
        <v>8.3410591228811555</v>
      </c>
      <c r="C314" s="846"/>
      <c r="D314" s="393">
        <f t="shared" si="102"/>
        <v>8.7178108907059091</v>
      </c>
      <c r="E314" s="385">
        <f t="shared" si="125"/>
        <v>9.1433945645769636</v>
      </c>
      <c r="F314" s="385">
        <f t="shared" si="103"/>
        <v>9.2110021812068048</v>
      </c>
      <c r="G314" s="110">
        <f t="shared" si="126"/>
        <v>0.40617527151702271</v>
      </c>
      <c r="H314" s="414" t="b">
        <f>Wh_hp&gt;='2022'!Maxi_hp</f>
        <v>0</v>
      </c>
      <c r="I314" s="390">
        <f>IF(H314,Wh_hp,'2022'!Maxi_hp)</f>
        <v>20.509460885058797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4.3216327189020687E-2</v>
      </c>
      <c r="M314" s="850"/>
      <c r="N314" s="850"/>
      <c r="O314" s="48">
        <f>IF(t&lt;Tnet,'2022'!Resal+('2022'!Salim-'2022'!Resal)*(1-EXP(('2022'!Tnet-t)/('2022'!Tau_j))),Resal+(Salim-Resal)*(1-EXP((Tnet-t)/(Tau_j))))*Salcycl</f>
        <v>4.6545478363127481E-2</v>
      </c>
      <c r="P314" s="169">
        <f>(INDEX(Models!$BJ314:$BT314,,T314)*(1-R314)+INDEX(Models!$BJ314:$BT314,,T314+1)*R314-ERP_i)*Q314*Ramure*Pc/MaxiM</f>
        <v>4.2439709462197585E-2</v>
      </c>
      <c r="Q314" s="305">
        <f t="shared" si="105"/>
        <v>0.7</v>
      </c>
      <c r="R314" s="177">
        <f t="shared" si="106"/>
        <v>9.9109479696467384E-2</v>
      </c>
      <c r="S314" s="817">
        <f t="shared" si="107"/>
        <v>0</v>
      </c>
      <c r="T314" s="176">
        <f t="shared" si="108"/>
        <v>6</v>
      </c>
      <c r="U314" s="251">
        <f t="shared" si="109"/>
        <v>9.9109479696467384E-2</v>
      </c>
      <c r="V314" s="383">
        <f t="shared" si="110"/>
        <v>19.809488957812651</v>
      </c>
      <c r="W314" s="402">
        <f t="shared" si="111"/>
        <v>8.3410591228811555</v>
      </c>
      <c r="X314" s="157">
        <f t="shared" si="112"/>
        <v>45226</v>
      </c>
      <c r="Y314" s="385">
        <f t="shared" si="113"/>
        <v>7.7462899234474438</v>
      </c>
      <c r="Z314" s="385">
        <f t="shared" si="114"/>
        <v>8.0961769557472252</v>
      </c>
      <c r="AA314" s="386">
        <f t="shared" si="115"/>
        <v>9.1433945645769636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0.11453269367668267</v>
      </c>
      <c r="AD314" s="231">
        <f>(INDEX(Models!$BJ314:$BT314,,AH314)*(1-AF314)+INDEX(Models!$BJ314:$BT314,,AH314+1)*AF314-ERP_i)*AE314*Ramure*Pc/MaxiM</f>
        <v>4.2439709462197585E-2</v>
      </c>
      <c r="AE314" s="305">
        <f t="shared" si="117"/>
        <v>0.7</v>
      </c>
      <c r="AF314" s="177">
        <f t="shared" si="118"/>
        <v>9.9109479696467384E-2</v>
      </c>
      <c r="AG314" s="817">
        <f t="shared" si="124"/>
        <v>0</v>
      </c>
      <c r="AH314" s="176">
        <f t="shared" si="119"/>
        <v>6</v>
      </c>
      <c r="AI314" s="225">
        <f t="shared" si="120"/>
        <v>9.9109479696467384E-2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45227</v>
      </c>
      <c r="B315" s="411">
        <f>'2022'!Wh/'2022'!Env_an*'2023'!Env_an</f>
        <v>10.937094524723133</v>
      </c>
      <c r="C315" s="846"/>
      <c r="D315" s="393">
        <f t="shared" si="102"/>
        <v>11.431355269970398</v>
      </c>
      <c r="E315" s="385">
        <f t="shared" si="125"/>
        <v>11.990792321548621</v>
      </c>
      <c r="F315" s="385">
        <f t="shared" si="103"/>
        <v>12.189606684177773</v>
      </c>
      <c r="G315" s="110">
        <f t="shared" si="126"/>
        <v>0.54533248319137584</v>
      </c>
      <c r="H315" s="414" t="b">
        <f>Wh_hp&gt;='2022'!Maxi_hp</f>
        <v>0</v>
      </c>
      <c r="I315" s="390">
        <f>IF(H315,Wh_hp,'2022'!Maxi_hp)</f>
        <v>22.111247290077316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4.323728320697573E-2</v>
      </c>
      <c r="M315" s="850"/>
      <c r="N315" s="850"/>
      <c r="O315" s="48">
        <f>IF(t&lt;Tnet,'2022'!Resal+('2022'!Salim-'2022'!Resal)*(1-EXP(('2022'!Tnet-t)/('2022'!Tau_j))),Resal+(Salim-Resal)*(1-EXP((Tnet-t)/(Tau_j))))*Salcycl</f>
        <v>4.6655553409332313E-2</v>
      </c>
      <c r="P315" s="169">
        <f>(INDEX(Models!$BJ315:$BT315,,T315)*(1-R315)+INDEX(Models!$BJ315:$BT315,,T315+1)*R315-ERP_i)*Q315*Ramure*Pc/MaxiM</f>
        <v>4.3747179729286712E-2</v>
      </c>
      <c r="Q315" s="305">
        <f t="shared" si="105"/>
        <v>0.7</v>
      </c>
      <c r="R315" s="177">
        <f t="shared" si="106"/>
        <v>9.9149211031928697E-2</v>
      </c>
      <c r="S315" s="817">
        <f t="shared" si="107"/>
        <v>0</v>
      </c>
      <c r="T315" s="176">
        <f t="shared" si="108"/>
        <v>6</v>
      </c>
      <c r="U315" s="251">
        <f t="shared" si="109"/>
        <v>9.9149211031928697E-2</v>
      </c>
      <c r="V315" s="383">
        <f t="shared" si="110"/>
        <v>19.496431964746371</v>
      </c>
      <c r="W315" s="402">
        <f t="shared" si="111"/>
        <v>10.937094524723133</v>
      </c>
      <c r="X315" s="157">
        <f t="shared" si="112"/>
        <v>45227</v>
      </c>
      <c r="Y315" s="385">
        <f t="shared" si="113"/>
        <v>10.158729143175059</v>
      </c>
      <c r="Z315" s="385">
        <f t="shared" si="114"/>
        <v>10.617814600077784</v>
      </c>
      <c r="AA315" s="386">
        <f t="shared" si="115"/>
        <v>11.990792321548621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0.11450266876889045</v>
      </c>
      <c r="AD315" s="231">
        <f>(INDEX(Models!$BJ315:$BT315,,AH315)*(1-AF315)+INDEX(Models!$BJ315:$BT315,,AH315+1)*AF315-ERP_i)*AE315*Ramure*Pc/MaxiM</f>
        <v>4.3747179729286712E-2</v>
      </c>
      <c r="AE315" s="305">
        <f t="shared" si="117"/>
        <v>0.7</v>
      </c>
      <c r="AF315" s="177">
        <f t="shared" si="118"/>
        <v>9.9149211031928697E-2</v>
      </c>
      <c r="AG315" s="817">
        <f t="shared" si="124"/>
        <v>0</v>
      </c>
      <c r="AH315" s="176">
        <f t="shared" si="119"/>
        <v>6</v>
      </c>
      <c r="AI315" s="225">
        <f t="shared" si="120"/>
        <v>9.9149211031928697E-2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45228</v>
      </c>
      <c r="B316" s="411">
        <f>'2022'!Wh/'2022'!Env_an*'2023'!Env_an</f>
        <v>15.88396277460601</v>
      </c>
      <c r="C316" s="846"/>
      <c r="D316" s="393">
        <f t="shared" si="102"/>
        <v>16.602142206187356</v>
      </c>
      <c r="E316" s="385">
        <f t="shared" si="125"/>
        <v>17.416631546382607</v>
      </c>
      <c r="F316" s="385">
        <f t="shared" si="103"/>
        <v>18.028914709243328</v>
      </c>
      <c r="G316" s="110">
        <f t="shared" si="126"/>
        <v>0.81847303185621778</v>
      </c>
      <c r="H316" s="414" t="b">
        <f>Wh_hp&gt;='2022'!Maxi_hp</f>
        <v>0</v>
      </c>
      <c r="I316" s="390">
        <f>IF(H316,Wh_hp,'2022'!Maxi_hp)</f>
        <v>18.063917561707093</v>
      </c>
      <c r="J316" s="85">
        <f>IF(H316,An,'2022'!An_max)</f>
        <v>2022</v>
      </c>
      <c r="K316" s="197">
        <f t="shared" si="104"/>
        <v>45228</v>
      </c>
      <c r="L316" s="147">
        <f>IF(t&lt;Tvie,1-EXP((T0-t)*PertePVj)+'2022'!Pspv,1-EXP((T0-t)*PertePVj)+Pspv)</f>
        <v>4.325823876594026E-2</v>
      </c>
      <c r="M316" s="850"/>
      <c r="N316" s="850"/>
      <c r="O316" s="48">
        <f>IF(t&lt;Tnet,'2022'!Resal+('2022'!Salim-'2022'!Resal)*(1-EXP(('2022'!Tnet-t)/('2022'!Tau_j))),Resal+(Salim-Resal)*(1-EXP((Tnet-t)/(Tau_j))))*Salcycl</f>
        <v>4.6765032493577607E-2</v>
      </c>
      <c r="P316" s="169">
        <f>(INDEX(Models!$BJ316:$BT316,,T316)*(1-R316)+INDEX(Models!$BJ316:$BT316,,T316+1)*R316-ERP_i)*Q316*Ramure*Pc/MaxiM</f>
        <v>4.5027876961553963E-2</v>
      </c>
      <c r="Q316" s="305">
        <f t="shared" si="105"/>
        <v>0.7</v>
      </c>
      <c r="R316" s="177">
        <f t="shared" si="106"/>
        <v>9.918735258213468E-2</v>
      </c>
      <c r="S316" s="817">
        <f t="shared" si="107"/>
        <v>0</v>
      </c>
      <c r="T316" s="176">
        <f t="shared" si="108"/>
        <v>6</v>
      </c>
      <c r="U316" s="251">
        <f t="shared" si="109"/>
        <v>9.918735258213468E-2</v>
      </c>
      <c r="V316" s="383">
        <f t="shared" si="110"/>
        <v>19.184505102208771</v>
      </c>
      <c r="W316" s="402">
        <f t="shared" si="111"/>
        <v>15.88396277460601</v>
      </c>
      <c r="X316" s="157">
        <f t="shared" si="112"/>
        <v>45228</v>
      </c>
      <c r="Y316" s="385">
        <f t="shared" si="113"/>
        <v>14.755746618908601</v>
      </c>
      <c r="Z316" s="385">
        <f t="shared" si="114"/>
        <v>15.422914747523723</v>
      </c>
      <c r="AA316" s="386">
        <f t="shared" si="115"/>
        <v>17.416631546382607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0.11447200875492909</v>
      </c>
      <c r="AD316" s="231">
        <f>(INDEX(Models!$BJ316:$BT316,,AH316)*(1-AF316)+INDEX(Models!$BJ316:$BT316,,AH316+1)*AF316-ERP_i)*AE316*Ramure*Pc/MaxiM</f>
        <v>4.5027876961553963E-2</v>
      </c>
      <c r="AE316" s="305">
        <f t="shared" si="117"/>
        <v>0.7</v>
      </c>
      <c r="AF316" s="177">
        <f t="shared" si="118"/>
        <v>9.918735258213468E-2</v>
      </c>
      <c r="AG316" s="817">
        <f t="shared" si="124"/>
        <v>0</v>
      </c>
      <c r="AH316" s="176">
        <f t="shared" si="119"/>
        <v>6</v>
      </c>
      <c r="AI316" s="225">
        <f t="shared" si="120"/>
        <v>9.918735258213468E-2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45229</v>
      </c>
      <c r="B317" s="411">
        <f>'2022'!Wh/'2022'!Env_an*'2023'!Env_an</f>
        <v>13.330482936344641</v>
      </c>
      <c r="C317" s="846"/>
      <c r="D317" s="393">
        <f t="shared" si="102"/>
        <v>13.93351419857853</v>
      </c>
      <c r="E317" s="385">
        <f t="shared" si="125"/>
        <v>14.618753029046509</v>
      </c>
      <c r="F317" s="385">
        <f t="shared" si="103"/>
        <v>15.02253476382338</v>
      </c>
      <c r="G317" s="110">
        <f t="shared" si="126"/>
        <v>0.69235798975820007</v>
      </c>
      <c r="H317" s="414" t="b">
        <f>Wh_hp&gt;='2022'!Maxi_hp</f>
        <v>0</v>
      </c>
      <c r="I317" s="390">
        <f>IF(H317,Wh_hp,'2022'!Maxi_hp)</f>
        <v>19.915918764671726</v>
      </c>
      <c r="J317" s="85">
        <f>IF(H317,An,'2022'!An_max)</f>
        <v>2018</v>
      </c>
      <c r="K317" s="197">
        <f t="shared" si="104"/>
        <v>45229</v>
      </c>
      <c r="L317" s="147">
        <f>IF(t&lt;Tvie,1-EXP((T0-t)*PertePVj)+'2022'!Pspv,1-EXP((T0-t)*PertePVj)+Pspv)</f>
        <v>4.3279193865924381E-2</v>
      </c>
      <c r="M317" s="850"/>
      <c r="N317" s="850"/>
      <c r="O317" s="48">
        <f>IF(t&lt;Tnet,'2022'!Resal+('2022'!Salim-'2022'!Resal)*(1-EXP(('2022'!Tnet-t)/('2022'!Tau_j))),Resal+(Salim-Resal)*(1-EXP((Tnet-t)/(Tau_j))))*Salcycl</f>
        <v>4.6873959024169493E-2</v>
      </c>
      <c r="P317" s="169">
        <f>(INDEX(Models!$BJ317:$BT317,,T317)*(1-R317)+INDEX(Models!$BJ317:$BT317,,T317+1)*R317-ERP_i)*Q317*Ramure*Pc/MaxiM</f>
        <v>4.6290696869941923E-2</v>
      </c>
      <c r="Q317" s="305">
        <f t="shared" si="105"/>
        <v>0.7</v>
      </c>
      <c r="R317" s="177">
        <f t="shared" si="106"/>
        <v>9.9223967577709793E-2</v>
      </c>
      <c r="S317" s="817">
        <f t="shared" si="107"/>
        <v>0</v>
      </c>
      <c r="T317" s="176">
        <f t="shared" si="108"/>
        <v>6</v>
      </c>
      <c r="U317" s="251">
        <f t="shared" si="109"/>
        <v>9.9223967577709793E-2</v>
      </c>
      <c r="V317" s="383">
        <f t="shared" si="110"/>
        <v>18.869660332620867</v>
      </c>
      <c r="W317" s="402">
        <f t="shared" si="111"/>
        <v>13.330482936344641</v>
      </c>
      <c r="X317" s="157">
        <f t="shared" si="112"/>
        <v>45229</v>
      </c>
      <c r="Y317" s="385">
        <f t="shared" si="113"/>
        <v>12.385488385243221</v>
      </c>
      <c r="Z317" s="385">
        <f t="shared" si="114"/>
        <v>12.945770914390994</v>
      </c>
      <c r="AA317" s="386">
        <f t="shared" si="115"/>
        <v>14.618753029046509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0.11444082209552399</v>
      </c>
      <c r="AD317" s="231">
        <f>(INDEX(Models!$BJ317:$BT317,,AH317)*(1-AF317)+INDEX(Models!$BJ317:$BT317,,AH317+1)*AF317-ERP_i)*AE317*Ramure*Pc/MaxiM</f>
        <v>4.6290696869941923E-2</v>
      </c>
      <c r="AE317" s="305">
        <f t="shared" si="117"/>
        <v>0.7</v>
      </c>
      <c r="AF317" s="177">
        <f t="shared" si="118"/>
        <v>9.9223967577709793E-2</v>
      </c>
      <c r="AG317" s="817">
        <f t="shared" si="124"/>
        <v>0</v>
      </c>
      <c r="AH317" s="176">
        <f t="shared" si="119"/>
        <v>6</v>
      </c>
      <c r="AI317" s="225">
        <f t="shared" si="120"/>
        <v>9.9223967577709793E-2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45230</v>
      </c>
      <c r="B318" s="411">
        <f>'2022'!Wh/'2022'!Env_an*'2023'!Env_an</f>
        <v>12.633103822910444</v>
      </c>
      <c r="C318" s="846"/>
      <c r="D318" s="393">
        <f t="shared" si="102"/>
        <v>13.204876956126565</v>
      </c>
      <c r="E318" s="385">
        <f t="shared" si="125"/>
        <v>13.855858121692275</v>
      </c>
      <c r="F318" s="385">
        <f t="shared" si="103"/>
        <v>14.223545783561004</v>
      </c>
      <c r="G318" s="110">
        <f t="shared" si="126"/>
        <v>0.6659084720800903</v>
      </c>
      <c r="H318" s="414" t="b">
        <f>Wh_hp&gt;='2022'!Maxi_hp</f>
        <v>0</v>
      </c>
      <c r="I318" s="390">
        <f>IF(H318,Wh_hp,'2022'!Maxi_hp)</f>
        <v>21.044547034866937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4.3300148506937863E-2</v>
      </c>
      <c r="M318" s="850"/>
      <c r="N318" s="850"/>
      <c r="O318" s="48">
        <f>IF(t&lt;Tnet,'2022'!Resal+('2022'!Salim-'2022'!Resal)*(1-EXP(('2022'!Tnet-t)/('2022'!Tau_j))),Resal+(Salim-Resal)*(1-EXP((Tnet-t)/(Tau_j))))*Salcycl</f>
        <v>4.6982378128320776E-2</v>
      </c>
      <c r="P318" s="169">
        <f>(INDEX(Models!$BJ318:$BT318,,T318)*(1-R318)+INDEX(Models!$BJ318:$BT318,,T318+1)*R318-ERP_i)*Q318*Ramure*Pc/MaxiM</f>
        <v>4.7490018662509473E-2</v>
      </c>
      <c r="Q318" s="305">
        <f t="shared" si="105"/>
        <v>0.7</v>
      </c>
      <c r="R318" s="177">
        <f t="shared" si="106"/>
        <v>9.9259116764473576E-2</v>
      </c>
      <c r="S318" s="817">
        <f t="shared" si="107"/>
        <v>0</v>
      </c>
      <c r="T318" s="176">
        <f t="shared" si="108"/>
        <v>6</v>
      </c>
      <c r="U318" s="251">
        <f t="shared" si="109"/>
        <v>9.9259116764473576E-2</v>
      </c>
      <c r="V318" s="383">
        <f t="shared" si="110"/>
        <v>18.549811797865338</v>
      </c>
      <c r="W318" s="402">
        <f t="shared" si="111"/>
        <v>12.633103822910444</v>
      </c>
      <c r="X318" s="157">
        <f t="shared" si="112"/>
        <v>45230</v>
      </c>
      <c r="Y318" s="385">
        <f t="shared" si="113"/>
        <v>11.739300520529714</v>
      </c>
      <c r="Z318" s="385">
        <f t="shared" si="114"/>
        <v>12.270620197347073</v>
      </c>
      <c r="AA318" s="386">
        <f t="shared" si="115"/>
        <v>13.855858121692275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0.11440922030396707</v>
      </c>
      <c r="AD318" s="231">
        <f>(INDEX(Models!$BJ318:$BT318,,AH318)*(1-AF318)+INDEX(Models!$BJ318:$BT318,,AH318+1)*AF318-ERP_i)*AE318*Ramure*Pc/MaxiM</f>
        <v>4.7490018662509473E-2</v>
      </c>
      <c r="AE318" s="305">
        <f t="shared" si="117"/>
        <v>0.7</v>
      </c>
      <c r="AF318" s="177">
        <f t="shared" si="118"/>
        <v>9.9259116764473576E-2</v>
      </c>
      <c r="AG318" s="817">
        <f t="shared" si="124"/>
        <v>0</v>
      </c>
      <c r="AH318" s="176">
        <f t="shared" si="119"/>
        <v>6</v>
      </c>
      <c r="AI318" s="225">
        <f t="shared" si="120"/>
        <v>9.9259116764473576E-2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45231</v>
      </c>
      <c r="B319" s="411">
        <f>'2022'!Wh/'2022'!Env_an*'2023'!Env_an</f>
        <v>13.478329062720551</v>
      </c>
      <c r="C319" s="846"/>
      <c r="D319" s="393">
        <f t="shared" si="102"/>
        <v>14.088665591563529</v>
      </c>
      <c r="E319" s="385">
        <f t="shared" si="125"/>
        <v>14.784891087654032</v>
      </c>
      <c r="F319" s="385">
        <f t="shared" si="103"/>
        <v>15.250622488918342</v>
      </c>
      <c r="G319" s="110">
        <f t="shared" si="126"/>
        <v>0.72569380348994006</v>
      </c>
      <c r="H319" s="414" t="b">
        <f>Wh_hp&gt;='2022'!Maxi_hp</f>
        <v>0</v>
      </c>
      <c r="I319" s="390">
        <f>IF(H319,Wh_hp,'2022'!Maxi_hp)</f>
        <v>19.702358339343263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4.3321102688991031E-2</v>
      </c>
      <c r="M319" s="850"/>
      <c r="N319" s="850"/>
      <c r="O319" s="48">
        <f>IF(t&lt;Tnet,'2022'!Resal+('2022'!Salim-'2022'!Resal)*(1-EXP(('2022'!Tnet-t)/('2022'!Tau_j))),Resal+(Salim-Resal)*(1-EXP((Tnet-t)/(Tau_j))))*Salcycl</f>
        <v>4.7090336476802178E-2</v>
      </c>
      <c r="P319" s="169">
        <f>(INDEX(Models!$BJ319:$BT319,,T319)*(1-R319)+INDEX(Models!$BJ319:$BT319,,T319+1)*R319-ERP_i)*Q319*Ramure*Pc/MaxiM</f>
        <v>4.8639176718592754E-2</v>
      </c>
      <c r="Q319" s="305">
        <f t="shared" si="105"/>
        <v>0.7</v>
      </c>
      <c r="R319" s="177">
        <f t="shared" si="106"/>
        <v>9.9292858498715719E-2</v>
      </c>
      <c r="S319" s="817">
        <f t="shared" si="107"/>
        <v>0</v>
      </c>
      <c r="T319" s="176">
        <f t="shared" si="108"/>
        <v>6</v>
      </c>
      <c r="U319" s="251">
        <f t="shared" si="109"/>
        <v>9.9292858498715719E-2</v>
      </c>
      <c r="V319" s="383">
        <f t="shared" si="110"/>
        <v>18.226250916395617</v>
      </c>
      <c r="W319" s="402">
        <f t="shared" si="111"/>
        <v>13.478329062720551</v>
      </c>
      <c r="X319" s="157">
        <f t="shared" si="112"/>
        <v>45231</v>
      </c>
      <c r="Y319" s="385">
        <f t="shared" si="113"/>
        <v>12.526595539164161</v>
      </c>
      <c r="Z319" s="385">
        <f t="shared" si="114"/>
        <v>13.093834905706988</v>
      </c>
      <c r="AA319" s="386">
        <f t="shared" si="115"/>
        <v>14.784891087654032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0.11437731748725177</v>
      </c>
      <c r="AD319" s="231">
        <f>(INDEX(Models!$BJ319:$BT319,,AH319)*(1-AF319)+INDEX(Models!$BJ319:$BT319,,AH319+1)*AF319-ERP_i)*AE319*Ramure*Pc/MaxiM</f>
        <v>4.8639176718592754E-2</v>
      </c>
      <c r="AE319" s="305">
        <f t="shared" si="117"/>
        <v>0.7</v>
      </c>
      <c r="AF319" s="177">
        <f t="shared" si="118"/>
        <v>9.9292858498715719E-2</v>
      </c>
      <c r="AG319" s="817">
        <f t="shared" si="124"/>
        <v>0</v>
      </c>
      <c r="AH319" s="176">
        <f t="shared" si="119"/>
        <v>6</v>
      </c>
      <c r="AI319" s="225">
        <f t="shared" si="120"/>
        <v>9.9292858498715719E-2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45232</v>
      </c>
      <c r="B320" s="411">
        <f>'2022'!Wh/'2022'!Env_an*'2023'!Env_an</f>
        <v>15.611822349008321</v>
      </c>
      <c r="C320" s="846"/>
      <c r="D320" s="393">
        <f t="shared" si="102"/>
        <v>16.319126866241056</v>
      </c>
      <c r="E320" s="385">
        <f t="shared" si="125"/>
        <v>17.127509017448563</v>
      </c>
      <c r="F320" s="385">
        <f t="shared" si="103"/>
        <v>17.853226868066812</v>
      </c>
      <c r="G320" s="110">
        <f t="shared" si="126"/>
        <v>0.86388035096128124</v>
      </c>
      <c r="H320" s="414" t="b">
        <f>Wh_hp&gt;='2022'!Maxi_hp</f>
        <v>0</v>
      </c>
      <c r="I320" s="390">
        <f>IF(H320,Wh_hp,'2022'!Maxi_hp)</f>
        <v>18.470798370056769</v>
      </c>
      <c r="J320" s="85">
        <f>IF(H320,An,'2022'!An_max)</f>
        <v>2020</v>
      </c>
      <c r="K320" s="197">
        <f t="shared" si="104"/>
        <v>45232</v>
      </c>
      <c r="L320" s="147">
        <f>IF(t&lt;Tvie,1-EXP((T0-t)*PertePVj)+'2022'!Pspv,1-EXP((T0-t)*PertePVj)+Pspv)</f>
        <v>4.3342056412093766E-2</v>
      </c>
      <c r="M320" s="850"/>
      <c r="N320" s="850"/>
      <c r="O320" s="48">
        <f>IF(t&lt;Tnet,'2022'!Resal+('2022'!Salim-'2022'!Resal)*(1-EXP(('2022'!Tnet-t)/('2022'!Tau_j))),Resal+(Salim-Resal)*(1-EXP((Tnet-t)/(Tau_j))))*Salcycl</f>
        <v>4.7197882096221416E-2</v>
      </c>
      <c r="P320" s="169">
        <f>(INDEX(Models!$BJ320:$BT320,,T320)*(1-R320)+INDEX(Models!$BJ320:$BT320,,T320+1)*R320-ERP_i)*Q320*Ramure*Pc/MaxiM</f>
        <v>4.9733353771080881E-2</v>
      </c>
      <c r="Q320" s="305">
        <f t="shared" si="105"/>
        <v>0.7</v>
      </c>
      <c r="R320" s="177">
        <f t="shared" si="106"/>
        <v>9.9325248839006619E-2</v>
      </c>
      <c r="S320" s="817">
        <f t="shared" si="107"/>
        <v>0</v>
      </c>
      <c r="T320" s="176">
        <f t="shared" si="108"/>
        <v>6</v>
      </c>
      <c r="U320" s="251">
        <f t="shared" si="109"/>
        <v>9.9325248839006619E-2</v>
      </c>
      <c r="V320" s="383">
        <f t="shared" si="110"/>
        <v>17.900617374902033</v>
      </c>
      <c r="W320" s="402">
        <f t="shared" si="111"/>
        <v>15.611822349008321</v>
      </c>
      <c r="X320" s="157">
        <f t="shared" si="112"/>
        <v>45232</v>
      </c>
      <c r="Y320" s="385">
        <f t="shared" si="113"/>
        <v>14.511601804923279</v>
      </c>
      <c r="Z320" s="385">
        <f t="shared" si="114"/>
        <v>15.169060061842076</v>
      </c>
      <c r="AA320" s="386">
        <f t="shared" si="115"/>
        <v>17.127509017448563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0.11434522986450206</v>
      </c>
      <c r="AD320" s="231">
        <f>(INDEX(Models!$BJ320:$BT320,,AH320)*(1-AF320)+INDEX(Models!$BJ320:$BT320,,AH320+1)*AF320-ERP_i)*AE320*Ramure*Pc/MaxiM</f>
        <v>4.9733353771080881E-2</v>
      </c>
      <c r="AE320" s="305">
        <f t="shared" si="117"/>
        <v>0.7</v>
      </c>
      <c r="AF320" s="177">
        <f t="shared" si="118"/>
        <v>9.9325248839006619E-2</v>
      </c>
      <c r="AG320" s="817">
        <f t="shared" si="124"/>
        <v>0</v>
      </c>
      <c r="AH320" s="176">
        <f t="shared" si="119"/>
        <v>6</v>
      </c>
      <c r="AI320" s="225">
        <f t="shared" si="120"/>
        <v>9.9325248839006619E-2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45233</v>
      </c>
      <c r="B321" s="411">
        <f>'2022'!Wh/'2022'!Env_an*'2023'!Env_an</f>
        <v>5.8723267534796761</v>
      </c>
      <c r="C321" s="846"/>
      <c r="D321" s="393">
        <f t="shared" si="102"/>
        <v>6.1385110683336341</v>
      </c>
      <c r="E321" s="385">
        <f t="shared" si="125"/>
        <v>6.4433123736362985</v>
      </c>
      <c r="F321" s="385">
        <f t="shared" si="103"/>
        <v>6.4593045716155029</v>
      </c>
      <c r="G321" s="110">
        <f t="shared" si="126"/>
        <v>0.3179621580407796</v>
      </c>
      <c r="H321" s="414" t="b">
        <f>Wh_hp&gt;='2022'!Maxi_hp</f>
        <v>0</v>
      </c>
      <c r="I321" s="390">
        <f>IF(H321,Wh_hp,'2022'!Maxi_hp)</f>
        <v>19.194337554419008</v>
      </c>
      <c r="J321" s="85">
        <f>IF(H321,An,'2022'!An_max)</f>
        <v>2020</v>
      </c>
      <c r="K321" s="197">
        <f t="shared" si="104"/>
        <v>45233</v>
      </c>
      <c r="L321" s="147">
        <f>IF(t&lt;Tvie,1-EXP((T0-t)*PertePVj)+'2022'!Pspv,1-EXP((T0-t)*PertePVj)+Pspv)</f>
        <v>4.3363009676256281E-2</v>
      </c>
      <c r="M321" s="850"/>
      <c r="N321" s="850"/>
      <c r="O321" s="48">
        <f>IF(t&lt;Tnet,'2022'!Resal+('2022'!Salim-'2022'!Resal)*(1-EXP(('2022'!Tnet-t)/('2022'!Tau_j))),Resal+(Salim-Resal)*(1-EXP((Tnet-t)/(Tau_j))))*Salcycl</f>
        <v>4.7305064170069001E-2</v>
      </c>
      <c r="P321" s="169">
        <f>(INDEX(Models!$BJ321:$BT321,,T321)*(1-R321)+INDEX(Models!$BJ321:$BT321,,T321+1)*R321-ERP_i)*Q321*Ramure*Pc/MaxiM</f>
        <v>5.0766943861481291E-2</v>
      </c>
      <c r="Q321" s="305">
        <f t="shared" si="105"/>
        <v>0.7</v>
      </c>
      <c r="R321" s="177">
        <f t="shared" si="106"/>
        <v>9.9356341634653456E-2</v>
      </c>
      <c r="S321" s="817">
        <f t="shared" si="107"/>
        <v>0</v>
      </c>
      <c r="T321" s="176">
        <f t="shared" si="108"/>
        <v>6</v>
      </c>
      <c r="U321" s="251">
        <f t="shared" si="109"/>
        <v>9.9356341634653456E-2</v>
      </c>
      <c r="V321" s="383">
        <f t="shared" si="110"/>
        <v>17.57454974153136</v>
      </c>
      <c r="W321" s="402">
        <f t="shared" si="111"/>
        <v>5.8723267534796761</v>
      </c>
      <c r="X321" s="157">
        <f t="shared" si="112"/>
        <v>45233</v>
      </c>
      <c r="Y321" s="385">
        <f t="shared" si="113"/>
        <v>5.4592953396912502</v>
      </c>
      <c r="Z321" s="385">
        <f t="shared" si="114"/>
        <v>5.7067575213077673</v>
      </c>
      <c r="AA321" s="386">
        <f t="shared" si="115"/>
        <v>6.4433123736362985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0.11431307526579755</v>
      </c>
      <c r="AD321" s="231">
        <f>(INDEX(Models!$BJ321:$BT321,,AH321)*(1-AF321)+INDEX(Models!$BJ321:$BT321,,AH321+1)*AF321-ERP_i)*AE321*Ramure*Pc/MaxiM</f>
        <v>5.0766943861481291E-2</v>
      </c>
      <c r="AE321" s="305">
        <f t="shared" si="117"/>
        <v>0.7</v>
      </c>
      <c r="AF321" s="177">
        <f t="shared" si="118"/>
        <v>9.9356341634653456E-2</v>
      </c>
      <c r="AG321" s="817">
        <f t="shared" si="124"/>
        <v>0</v>
      </c>
      <c r="AH321" s="176">
        <f t="shared" si="119"/>
        <v>6</v>
      </c>
      <c r="AI321" s="225">
        <f t="shared" si="120"/>
        <v>9.9356341634653456E-2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45234</v>
      </c>
      <c r="B322" s="411">
        <f>'2022'!Wh/'2022'!Env_an*'2023'!Env_an</f>
        <v>8.4012110070330888</v>
      </c>
      <c r="C322" s="846"/>
      <c r="D322" s="393">
        <f t="shared" si="102"/>
        <v>8.7822184424443304</v>
      </c>
      <c r="E322" s="385">
        <f t="shared" si="125"/>
        <v>9.2193244332074933</v>
      </c>
      <c r="F322" s="385">
        <f t="shared" si="103"/>
        <v>9.3485482178905155</v>
      </c>
      <c r="G322" s="110">
        <f t="shared" si="126"/>
        <v>0.4683129661292782</v>
      </c>
      <c r="H322" s="414" t="b">
        <f>Wh_hp&gt;='2022'!Maxi_hp</f>
        <v>0</v>
      </c>
      <c r="I322" s="390">
        <f>IF(H322,Wh_hp,'2022'!Maxi_hp)</f>
        <v>14.185805406628766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4.3383962481488458E-2</v>
      </c>
      <c r="M322" s="850"/>
      <c r="N322" s="850"/>
      <c r="O322" s="48">
        <f>IF(t&lt;Tnet,'2022'!Resal+('2022'!Salim-'2022'!Resal)*(1-EXP(('2022'!Tnet-t)/('2022'!Tau_j))),Resal+(Salim-Resal)*(1-EXP((Tnet-t)/(Tau_j))))*Salcycl</f>
        <v>4.7411932829777695E-2</v>
      </c>
      <c r="P322" s="169">
        <f>(INDEX(Models!$BJ322:$BT322,,T322)*(1-R322)+INDEX(Models!$BJ322:$BT322,,T322+1)*R322-ERP_i)*Q322*Ramure*Pc/MaxiM</f>
        <v>5.1733521345836038E-2</v>
      </c>
      <c r="Q322" s="305">
        <f t="shared" si="105"/>
        <v>0.7</v>
      </c>
      <c r="R322" s="177">
        <f t="shared" si="106"/>
        <v>9.9386188610910919E-2</v>
      </c>
      <c r="S322" s="817">
        <f t="shared" si="107"/>
        <v>0</v>
      </c>
      <c r="T322" s="176">
        <f t="shared" si="108"/>
        <v>6</v>
      </c>
      <c r="U322" s="251">
        <f t="shared" si="109"/>
        <v>9.9386188610910919E-2</v>
      </c>
      <c r="V322" s="383">
        <f t="shared" si="110"/>
        <v>17.249685567066987</v>
      </c>
      <c r="W322" s="402">
        <f t="shared" si="111"/>
        <v>8.4012110070330888</v>
      </c>
      <c r="X322" s="157">
        <f t="shared" si="112"/>
        <v>45234</v>
      </c>
      <c r="Y322" s="385">
        <f t="shared" si="113"/>
        <v>7.8114692997497244</v>
      </c>
      <c r="Z322" s="385">
        <f t="shared" si="114"/>
        <v>8.1657310701301764</v>
      </c>
      <c r="AA322" s="386">
        <f t="shared" si="115"/>
        <v>9.2193244332074933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0.11428097261468885</v>
      </c>
      <c r="AD322" s="231">
        <f>(INDEX(Models!$BJ322:$BT322,,AH322)*(1-AF322)+INDEX(Models!$BJ322:$BT322,,AH322+1)*AF322-ERP_i)*AE322*Ramure*Pc/MaxiM</f>
        <v>5.1733521345836038E-2</v>
      </c>
      <c r="AE322" s="305">
        <f t="shared" si="117"/>
        <v>0.7</v>
      </c>
      <c r="AF322" s="177">
        <f t="shared" si="118"/>
        <v>9.9386188610910919E-2</v>
      </c>
      <c r="AG322" s="817">
        <f t="shared" si="124"/>
        <v>0</v>
      </c>
      <c r="AH322" s="176">
        <f t="shared" si="119"/>
        <v>6</v>
      </c>
      <c r="AI322" s="225">
        <f t="shared" si="120"/>
        <v>9.9386188610910919E-2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45235</v>
      </c>
      <c r="B323" s="411">
        <f>'2022'!Wh/'2022'!Env_an*'2023'!Env_an</f>
        <v>17.242172069032065</v>
      </c>
      <c r="C323" s="846"/>
      <c r="D323" s="393">
        <f t="shared" si="102"/>
        <v>18.024525043350241</v>
      </c>
      <c r="E323" s="385">
        <f t="shared" si="125"/>
        <v>18.923754193847426</v>
      </c>
      <c r="F323" s="385">
        <f t="shared" si="103"/>
        <v>19.974952359032532</v>
      </c>
      <c r="G323" s="110">
        <f t="shared" si="126"/>
        <v>1.0185796826480089</v>
      </c>
      <c r="H323" s="414" t="b">
        <f>Wh_hp&gt;='2022'!Maxi_hp</f>
        <v>1</v>
      </c>
      <c r="I323" s="390">
        <f>IF(H323,Wh_hp,'2022'!Maxi_hp)</f>
        <v>19.974952359032532</v>
      </c>
      <c r="J323" s="85">
        <f>IF(H323,An,'2022'!An_max)</f>
        <v>2023</v>
      </c>
      <c r="K323" s="197">
        <f t="shared" si="104"/>
        <v>45235</v>
      </c>
      <c r="L323" s="147">
        <f>IF(t&lt;Tvie,1-EXP((T0-t)*PertePVj)+'2022'!Pspv,1-EXP((T0-t)*PertePVj)+Pspv)</f>
        <v>4.3404914827800511E-2</v>
      </c>
      <c r="M323" s="850"/>
      <c r="N323" s="850"/>
      <c r="O323" s="48">
        <f>IF(t&lt;Tnet,'2022'!Resal+('2022'!Salim-'2022'!Resal)*(1-EXP(('2022'!Tnet-t)/('2022'!Tau_j))),Resal+(Salim-Resal)*(1-EXP((Tnet-t)/(Tau_j))))*Salcycl</f>
        <v>4.7518538937138997E-2</v>
      </c>
      <c r="P323" s="169">
        <f>(INDEX(Models!$BJ323:$BT323,,T323)*(1-R323)+INDEX(Models!$BJ323:$BT323,,T323+1)*R323-ERP_i)*Q323*Ramure*Pc/MaxiM</f>
        <v>5.2625815886352387E-2</v>
      </c>
      <c r="Q323" s="305">
        <f t="shared" si="105"/>
        <v>0.7</v>
      </c>
      <c r="R323" s="177">
        <f t="shared" si="106"/>
        <v>9.9414839451052006E-2</v>
      </c>
      <c r="S323" s="817">
        <f t="shared" si="107"/>
        <v>0</v>
      </c>
      <c r="T323" s="176">
        <f t="shared" si="108"/>
        <v>6</v>
      </c>
      <c r="U323" s="251">
        <f t="shared" si="109"/>
        <v>9.9414839451052006E-2</v>
      </c>
      <c r="V323" s="383">
        <f t="shared" si="110"/>
        <v>16.927661490564454</v>
      </c>
      <c r="W323" s="402">
        <f t="shared" si="111"/>
        <v>17.242172069032065</v>
      </c>
      <c r="X323" s="157">
        <f t="shared" si="112"/>
        <v>45235</v>
      </c>
      <c r="Y323" s="385">
        <f t="shared" si="113"/>
        <v>16.034191806196468</v>
      </c>
      <c r="Z323" s="385">
        <f t="shared" si="114"/>
        <v>16.761733417551593</v>
      </c>
      <c r="AA323" s="386">
        <f t="shared" si="115"/>
        <v>18.923754193847426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0.1142490413978617</v>
      </c>
      <c r="AD323" s="231">
        <f>(INDEX(Models!$BJ323:$BT323,,AH323)*(1-AF323)+INDEX(Models!$BJ323:$BT323,,AH323+1)*AF323-ERP_i)*AE323*Ramure*Pc/MaxiM</f>
        <v>5.2625815886352387E-2</v>
      </c>
      <c r="AE323" s="305">
        <f t="shared" si="117"/>
        <v>0.7</v>
      </c>
      <c r="AF323" s="177">
        <f t="shared" si="118"/>
        <v>9.9414839451052006E-2</v>
      </c>
      <c r="AG323" s="817">
        <f t="shared" si="124"/>
        <v>0</v>
      </c>
      <c r="AH323" s="176">
        <f t="shared" si="119"/>
        <v>6</v>
      </c>
      <c r="AI323" s="225">
        <f t="shared" si="120"/>
        <v>9.9414839451052006E-2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45236</v>
      </c>
      <c r="B324" s="411">
        <f>'2022'!Wh/'2022'!Env_an*'2023'!Env_an</f>
        <v>16.416926311634104</v>
      </c>
      <c r="C324" s="846"/>
      <c r="D324" s="393">
        <f t="shared" si="102"/>
        <v>17.162210162697704</v>
      </c>
      <c r="E324" s="385">
        <f t="shared" si="125"/>
        <v>18.020432047058641</v>
      </c>
      <c r="F324" s="385">
        <f t="shared" si="103"/>
        <v>19.019889705188831</v>
      </c>
      <c r="G324" s="110">
        <f t="shared" si="126"/>
        <v>0.98744330634702404</v>
      </c>
      <c r="H324" s="414" t="b">
        <f>Wh_hp&gt;='2022'!Maxi_hp</f>
        <v>0</v>
      </c>
      <c r="I324" s="390">
        <f>IF(H324,Wh_hp,'2022'!Maxi_hp)</f>
        <v>19.022619955261106</v>
      </c>
      <c r="J324" s="85">
        <f>IF(H324,An,'2022'!An_max)</f>
        <v>2022</v>
      </c>
      <c r="K324" s="197">
        <f t="shared" si="104"/>
        <v>45236</v>
      </c>
      <c r="L324" s="147">
        <f>IF(t&lt;Tvie,1-EXP((T0-t)*PertePVj)+'2022'!Pspv,1-EXP((T0-t)*PertePVj)+Pspv)</f>
        <v>4.3425866715202321E-2</v>
      </c>
      <c r="M324" s="850"/>
      <c r="N324" s="850"/>
      <c r="O324" s="48">
        <f>IF(t&lt;Tnet,'2022'!Resal+('2022'!Salim-'2022'!Resal)*(1-EXP(('2022'!Tnet-t)/('2022'!Tau_j))),Resal+(Salim-Resal)*(1-EXP((Tnet-t)/(Tau_j))))*Salcycl</f>
        <v>4.7624933859508493E-2</v>
      </c>
      <c r="P324" s="169">
        <f>(INDEX(Models!$BJ324:$BT324,,T324)*(1-R324)+INDEX(Models!$BJ324:$BT324,,T324+1)*R324-ERP_i)*Q324*Ramure*Pc/MaxiM</f>
        <v>5.3435863824636734E-2</v>
      </c>
      <c r="Q324" s="305">
        <f t="shared" si="105"/>
        <v>0.7</v>
      </c>
      <c r="R324" s="177">
        <f t="shared" si="106"/>
        <v>9.9442341875404128E-2</v>
      </c>
      <c r="S324" s="817">
        <f t="shared" si="107"/>
        <v>0</v>
      </c>
      <c r="T324" s="176">
        <f t="shared" si="108"/>
        <v>6</v>
      </c>
      <c r="U324" s="251">
        <f t="shared" si="109"/>
        <v>9.9442341875404128E-2</v>
      </c>
      <c r="V324" s="383">
        <f t="shared" si="110"/>
        <v>16.610110413939999</v>
      </c>
      <c r="W324" s="402">
        <f t="shared" si="111"/>
        <v>16.416926311634104</v>
      </c>
      <c r="X324" s="157">
        <f t="shared" si="112"/>
        <v>45236</v>
      </c>
      <c r="Y324" s="385">
        <f t="shared" si="113"/>
        <v>15.269013407480861</v>
      </c>
      <c r="Z324" s="385">
        <f t="shared" si="114"/>
        <v>15.962185131484073</v>
      </c>
      <c r="AA324" s="386">
        <f t="shared" si="115"/>
        <v>18.020432047058641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0.1142174011255475</v>
      </c>
      <c r="AD324" s="231">
        <f>(INDEX(Models!$BJ324:$BT324,,AH324)*(1-AF324)+INDEX(Models!$BJ324:$BT324,,AH324+1)*AF324-ERP_i)*AE324*Ramure*Pc/MaxiM</f>
        <v>5.3435863824636734E-2</v>
      </c>
      <c r="AE324" s="305">
        <f t="shared" si="117"/>
        <v>0.7</v>
      </c>
      <c r="AF324" s="177">
        <f t="shared" si="118"/>
        <v>9.9442341875404128E-2</v>
      </c>
      <c r="AG324" s="817">
        <f t="shared" si="124"/>
        <v>0</v>
      </c>
      <c r="AH324" s="176">
        <f t="shared" si="119"/>
        <v>6</v>
      </c>
      <c r="AI324" s="225">
        <f t="shared" si="120"/>
        <v>9.9442341875404128E-2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45237</v>
      </c>
      <c r="B325" s="411">
        <f>'2022'!Wh/'2022'!Env_an*'2023'!Env_an</f>
        <v>15.756741677838951</v>
      </c>
      <c r="C325" s="846"/>
      <c r="D325" s="393">
        <f t="shared" si="102"/>
        <v>16.47241572837725</v>
      </c>
      <c r="E325" s="385">
        <f t="shared" si="125"/>
        <v>17.298072977164125</v>
      </c>
      <c r="F325" s="385">
        <f t="shared" si="103"/>
        <v>18.239852691325741</v>
      </c>
      <c r="G325" s="110">
        <f t="shared" si="126"/>
        <v>0.96417981670776765</v>
      </c>
      <c r="H325" s="414" t="b">
        <f>Wh_hp&gt;='2022'!Maxi_hp</f>
        <v>0</v>
      </c>
      <c r="I325" s="390">
        <f>IF(H325,Wh_hp,'2022'!Maxi_hp)</f>
        <v>18.24735206974805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4.3446818143704102E-2</v>
      </c>
      <c r="M325" s="850"/>
      <c r="N325" s="850"/>
      <c r="O325" s="48">
        <f>IF(t&lt;Tnet,'2022'!Resal+('2022'!Salim-'2022'!Resal)*(1-EXP(('2022'!Tnet-t)/('2022'!Tau_j))),Resal+(Salim-Resal)*(1-EXP((Tnet-t)/(Tau_j))))*Salcycl</f>
        <v>4.7731169239305461E-2</v>
      </c>
      <c r="P325" s="169">
        <f>(INDEX(Models!$BJ325:$BT325,,T325)*(1-R325)+INDEX(Models!$BJ325:$BT325,,T325+1)*R325-ERP_i)*Q325*Ramure*Pc/MaxiM</f>
        <v>5.4203844837537443E-2</v>
      </c>
      <c r="Q325" s="305">
        <f t="shared" si="105"/>
        <v>0.7</v>
      </c>
      <c r="R325" s="177">
        <f t="shared" si="106"/>
        <v>9.9468741717450071E-2</v>
      </c>
      <c r="S325" s="817">
        <f t="shared" si="107"/>
        <v>0</v>
      </c>
      <c r="T325" s="176">
        <f t="shared" si="108"/>
        <v>6</v>
      </c>
      <c r="U325" s="251">
        <f t="shared" si="109"/>
        <v>9.9468741717450071E-2</v>
      </c>
      <c r="V325" s="383">
        <f t="shared" si="110"/>
        <v>16.297820292268959</v>
      </c>
      <c r="W325" s="402">
        <f t="shared" si="111"/>
        <v>15.756741677838951</v>
      </c>
      <c r="X325" s="157">
        <f t="shared" si="112"/>
        <v>45237</v>
      </c>
      <c r="Y325" s="385">
        <f t="shared" si="113"/>
        <v>14.657142217315576</v>
      </c>
      <c r="Z325" s="385">
        <f t="shared" si="114"/>
        <v>15.32287226191835</v>
      </c>
      <c r="AA325" s="386">
        <f t="shared" si="115"/>
        <v>17.298072977164125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0.11418617078638274</v>
      </c>
      <c r="AD325" s="231">
        <f>(INDEX(Models!$BJ325:$BT325,,AH325)*(1-AF325)+INDEX(Models!$BJ325:$BT325,,AH325+1)*AF325-ERP_i)*AE325*Ramure*Pc/MaxiM</f>
        <v>5.4203844837537443E-2</v>
      </c>
      <c r="AE325" s="305">
        <f t="shared" si="117"/>
        <v>0.7</v>
      </c>
      <c r="AF325" s="177">
        <f t="shared" si="118"/>
        <v>9.9468741717450071E-2</v>
      </c>
      <c r="AG325" s="817">
        <f t="shared" si="124"/>
        <v>0</v>
      </c>
      <c r="AH325" s="176">
        <f t="shared" si="119"/>
        <v>6</v>
      </c>
      <c r="AI325" s="225">
        <f t="shared" si="120"/>
        <v>9.9468741717450071E-2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45238</v>
      </c>
      <c r="B326" s="411">
        <f>'2022'!Wh/'2022'!Env_an*'2023'!Env_an</f>
        <v>11.476559230618813</v>
      </c>
      <c r="C326" s="846"/>
      <c r="D326" s="393">
        <f t="shared" si="102"/>
        <v>11.99808941093422</v>
      </c>
      <c r="E326" s="385">
        <f t="shared" si="125"/>
        <v>12.600881519617939</v>
      </c>
      <c r="F326" s="385">
        <f t="shared" si="103"/>
        <v>13.027761193682135</v>
      </c>
      <c r="G326" s="110">
        <f t="shared" si="126"/>
        <v>0.70118656456413231</v>
      </c>
      <c r="H326" s="414" t="b">
        <f>Wh_hp&gt;='2022'!Maxi_hp</f>
        <v>0</v>
      </c>
      <c r="I326" s="390">
        <f>IF(H326,Wh_hp,'2022'!Maxi_hp)</f>
        <v>16.798255579370284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4.3467769113315735E-2</v>
      </c>
      <c r="M326" s="850"/>
      <c r="N326" s="850"/>
      <c r="O326" s="48">
        <f>IF(t&lt;Tnet,'2022'!Resal+('2022'!Salim-'2022'!Resal)*(1-EXP(('2022'!Tnet-t)/('2022'!Tau_j))),Resal+(Salim-Resal)*(1-EXP((Tnet-t)/(Tau_j))))*Salcycl</f>
        <v>4.7837296759377382E-2</v>
      </c>
      <c r="P326" s="169">
        <f>(INDEX(Models!$BJ326:$BT326,,T326)*(1-R326)+INDEX(Models!$BJ326:$BT326,,T326+1)*R326-ERP_i)*Q326*Ramure*Pc/MaxiM</f>
        <v>5.4922199384948744E-2</v>
      </c>
      <c r="Q326" s="305">
        <f t="shared" si="105"/>
        <v>0.7</v>
      </c>
      <c r="R326" s="177">
        <f t="shared" si="106"/>
        <v>9.9494082997094724E-2</v>
      </c>
      <c r="S326" s="817">
        <f t="shared" si="107"/>
        <v>0</v>
      </c>
      <c r="T326" s="176">
        <f t="shared" si="108"/>
        <v>6</v>
      </c>
      <c r="U326" s="251">
        <f t="shared" si="109"/>
        <v>9.9494082997094724E-2</v>
      </c>
      <c r="V326" s="383">
        <f t="shared" si="110"/>
        <v>15.992432979253453</v>
      </c>
      <c r="W326" s="402">
        <f t="shared" si="111"/>
        <v>11.476559230618813</v>
      </c>
      <c r="X326" s="157">
        <f t="shared" si="112"/>
        <v>45238</v>
      </c>
      <c r="Y326" s="385">
        <f t="shared" si="113"/>
        <v>10.677216406994619</v>
      </c>
      <c r="Z326" s="385">
        <f t="shared" si="114"/>
        <v>11.162421988746866</v>
      </c>
      <c r="AA326" s="386">
        <f t="shared" si="115"/>
        <v>12.600881519617939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0.11415546830049771</v>
      </c>
      <c r="AD326" s="231">
        <f>(INDEX(Models!$BJ326:$BT326,,AH326)*(1-AF326)+INDEX(Models!$BJ326:$BT326,,AH326+1)*AF326-ERP_i)*AE326*Ramure*Pc/MaxiM</f>
        <v>5.4922199384948744E-2</v>
      </c>
      <c r="AE326" s="305">
        <f t="shared" si="117"/>
        <v>0.7</v>
      </c>
      <c r="AF326" s="177">
        <f t="shared" si="118"/>
        <v>9.9494082997094724E-2</v>
      </c>
      <c r="AG326" s="817">
        <f t="shared" si="124"/>
        <v>0</v>
      </c>
      <c r="AH326" s="176">
        <f t="shared" si="119"/>
        <v>6</v>
      </c>
      <c r="AI326" s="225">
        <f t="shared" si="120"/>
        <v>9.9494082997094724E-2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45239</v>
      </c>
      <c r="B327" s="411">
        <f>'2022'!Wh/'2022'!Env_an*'2023'!Env_an</f>
        <v>6.3570783329995395</v>
      </c>
      <c r="C327" s="846"/>
      <c r="D327" s="393">
        <f t="shared" si="102"/>
        <v>6.6461091086149215</v>
      </c>
      <c r="E327" s="385">
        <f t="shared" si="125"/>
        <v>6.9807917770564609</v>
      </c>
      <c r="F327" s="385">
        <f t="shared" si="103"/>
        <v>7.0394957805354563</v>
      </c>
      <c r="G327" s="110">
        <f t="shared" si="126"/>
        <v>0.38572765209997328</v>
      </c>
      <c r="H327" s="414" t="b">
        <f>Wh_hp&gt;='2022'!Maxi_hp</f>
        <v>0</v>
      </c>
      <c r="I327" s="390">
        <f>IF(H327,Wh_hp,'2022'!Maxi_hp)</f>
        <v>13.987292778156712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4.3488719624047434E-2</v>
      </c>
      <c r="M327" s="850"/>
      <c r="N327" s="850"/>
      <c r="O327" s="48">
        <f>IF(t&lt;Tnet,'2022'!Resal+('2022'!Salim-'2022'!Resal)*(1-EXP(('2022'!Tnet-t)/('2022'!Tau_j))),Resal+(Salim-Resal)*(1-EXP((Tnet-t)/(Tau_j))))*Salcycl</f>
        <v>4.7943367905848452E-2</v>
      </c>
      <c r="P327" s="169">
        <f>(INDEX(Models!$BJ327:$BT327,,T327)*(1-R327)+INDEX(Models!$BJ327:$BT327,,T327+1)*R327-ERP_i)*Q327*Ramure*Pc/MaxiM</f>
        <v>5.5582600893535949E-2</v>
      </c>
      <c r="Q327" s="305">
        <f t="shared" si="105"/>
        <v>0.7</v>
      </c>
      <c r="R327" s="177">
        <f t="shared" si="106"/>
        <v>9.9518407991191937E-2</v>
      </c>
      <c r="S327" s="817">
        <f t="shared" si="107"/>
        <v>0</v>
      </c>
      <c r="T327" s="176">
        <f t="shared" si="108"/>
        <v>6</v>
      </c>
      <c r="U327" s="251">
        <f t="shared" si="109"/>
        <v>9.9518407991191937E-2</v>
      </c>
      <c r="V327" s="383">
        <f t="shared" si="110"/>
        <v>15.695589712117386</v>
      </c>
      <c r="W327" s="402">
        <f t="shared" si="111"/>
        <v>6.3570783329995395</v>
      </c>
      <c r="X327" s="157">
        <f t="shared" si="112"/>
        <v>45239</v>
      </c>
      <c r="Y327" s="385">
        <f t="shared" si="113"/>
        <v>5.9151671992638644</v>
      </c>
      <c r="Z327" s="385">
        <f t="shared" si="114"/>
        <v>6.1841060535521688</v>
      </c>
      <c r="AA327" s="386">
        <f t="shared" si="115"/>
        <v>6.9807917770564609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0.11412540997465827</v>
      </c>
      <c r="AD327" s="231">
        <f>(INDEX(Models!$BJ327:$BT327,,AH327)*(1-AF327)+INDEX(Models!$BJ327:$BT327,,AH327+1)*AF327-ERP_i)*AE327*Ramure*Pc/MaxiM</f>
        <v>5.5582600893535949E-2</v>
      </c>
      <c r="AE327" s="305">
        <f t="shared" si="117"/>
        <v>0.7</v>
      </c>
      <c r="AF327" s="177">
        <f t="shared" si="118"/>
        <v>9.9518407991191937E-2</v>
      </c>
      <c r="AG327" s="817">
        <f t="shared" si="124"/>
        <v>0</v>
      </c>
      <c r="AH327" s="176">
        <f t="shared" si="119"/>
        <v>6</v>
      </c>
      <c r="AI327" s="225">
        <f t="shared" si="120"/>
        <v>9.9518407991191937E-2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45240</v>
      </c>
      <c r="B328" s="411">
        <f>'2022'!Wh/'2022'!Env_an*'2023'!Env_an</f>
        <v>12.19796945747659</v>
      </c>
      <c r="C328" s="846"/>
      <c r="D328" s="393">
        <f t="shared" si="102"/>
        <v>12.75284137304714</v>
      </c>
      <c r="E328" s="385">
        <f t="shared" si="125"/>
        <v>13.39653740951873</v>
      </c>
      <c r="F328" s="385">
        <f t="shared" si="103"/>
        <v>13.946778722162268</v>
      </c>
      <c r="G328" s="110">
        <f t="shared" si="126"/>
        <v>0.77783486671457869</v>
      </c>
      <c r="H328" s="414" t="b">
        <f>Wh_hp&gt;='2022'!Maxi_hp</f>
        <v>0</v>
      </c>
      <c r="I328" s="390">
        <f>IF(H328,Wh_hp,'2022'!Maxi_hp)</f>
        <v>13.982713546036214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4.3509669675909191E-2</v>
      </c>
      <c r="M328" s="850"/>
      <c r="N328" s="850"/>
      <c r="O328" s="48">
        <f>IF(t&lt;Tnet,'2022'!Resal+('2022'!Salim-'2022'!Resal)*(1-EXP(('2022'!Tnet-t)/('2022'!Tau_j))),Resal+(Salim-Resal)*(1-EXP((Tnet-t)/(Tau_j))))*Salcycl</f>
        <v>4.8049433730108629E-2</v>
      </c>
      <c r="P328" s="169">
        <f>(INDEX(Models!$BJ328:$BT328,,T328)*(1-R328)+INDEX(Models!$BJ328:$BT328,,T328+1)*R328-ERP_i)*Q328*Ramure*Pc/MaxiM</f>
        <v>5.6175968671213404E-2</v>
      </c>
      <c r="Q328" s="305">
        <f t="shared" si="105"/>
        <v>0.7</v>
      </c>
      <c r="R328" s="177">
        <f t="shared" si="106"/>
        <v>9.9541757301427336E-2</v>
      </c>
      <c r="S328" s="817">
        <f t="shared" si="107"/>
        <v>0</v>
      </c>
      <c r="T328" s="176">
        <f t="shared" si="108"/>
        <v>6</v>
      </c>
      <c r="U328" s="251">
        <f t="shared" si="109"/>
        <v>9.9541757301427336E-2</v>
      </c>
      <c r="V328" s="383">
        <f t="shared" si="110"/>
        <v>15.408931171581195</v>
      </c>
      <c r="W328" s="402">
        <f t="shared" si="111"/>
        <v>12.19796945747659</v>
      </c>
      <c r="X328" s="157">
        <f t="shared" si="112"/>
        <v>45240</v>
      </c>
      <c r="Y328" s="385">
        <f t="shared" si="113"/>
        <v>11.351669903690881</v>
      </c>
      <c r="Z328" s="385">
        <f t="shared" si="114"/>
        <v>11.868044604114877</v>
      </c>
      <c r="AA328" s="386">
        <f t="shared" si="115"/>
        <v>13.39653740951873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0.11409610996329581</v>
      </c>
      <c r="AD328" s="231">
        <f>(INDEX(Models!$BJ328:$BT328,,AH328)*(1-AF328)+INDEX(Models!$BJ328:$BT328,,AH328+1)*AF328-ERP_i)*AE328*Ramure*Pc/MaxiM</f>
        <v>5.6175968671213404E-2</v>
      </c>
      <c r="AE328" s="305">
        <f t="shared" si="117"/>
        <v>0.7</v>
      </c>
      <c r="AF328" s="177">
        <f t="shared" si="118"/>
        <v>9.9541757301427336E-2</v>
      </c>
      <c r="AG328" s="817">
        <f t="shared" si="124"/>
        <v>0</v>
      </c>
      <c r="AH328" s="176">
        <f t="shared" si="119"/>
        <v>6</v>
      </c>
      <c r="AI328" s="225">
        <f t="shared" si="120"/>
        <v>9.9541757301427336E-2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45241</v>
      </c>
      <c r="B329" s="411">
        <f>'2022'!Wh/'2022'!Env_an*'2023'!Env_an</f>
        <v>14.209678945080777</v>
      </c>
      <c r="C329" s="846"/>
      <c r="D329" s="393">
        <f t="shared" si="102"/>
        <v>14.856386656329171</v>
      </c>
      <c r="E329" s="385">
        <f t="shared" si="125"/>
        <v>15.607998315509834</v>
      </c>
      <c r="F329" s="385">
        <f t="shared" si="103"/>
        <v>16.459714994339933</v>
      </c>
      <c r="G329" s="110">
        <f t="shared" si="126"/>
        <v>0.93401988681550574</v>
      </c>
      <c r="H329" s="414" t="b">
        <f>Wh_hp&gt;='2022'!Maxi_hp</f>
        <v>0</v>
      </c>
      <c r="I329" s="390">
        <f>IF(H329,Wh_hp,'2022'!Maxi_hp)</f>
        <v>16.472302935797078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4.3530619268910997E-2</v>
      </c>
      <c r="M329" s="850"/>
      <c r="N329" s="850"/>
      <c r="O329" s="48">
        <f>IF(t&lt;Tnet,'2022'!Resal+('2022'!Salim-'2022'!Resal)*(1-EXP(('2022'!Tnet-t)/('2022'!Tau_j))),Resal+(Salim-Resal)*(1-EXP((Tnet-t)/(Tau_j))))*Salcycl</f>
        <v>4.8155544611622511E-2</v>
      </c>
      <c r="P329" s="169">
        <f>(INDEX(Models!$BJ329:$BT329,,T329)*(1-R329)+INDEX(Models!$BJ329:$BT329,,T329+1)*R329-ERP_i)*Q329*Ramure*Pc/MaxiM</f>
        <v>5.6692505626081247E-2</v>
      </c>
      <c r="Q329" s="305">
        <f t="shared" si="105"/>
        <v>0.7</v>
      </c>
      <c r="R329" s="177">
        <f t="shared" si="106"/>
        <v>9.9564169919646783E-2</v>
      </c>
      <c r="S329" s="817">
        <f t="shared" si="107"/>
        <v>0</v>
      </c>
      <c r="T329" s="176">
        <f t="shared" si="108"/>
        <v>6</v>
      </c>
      <c r="U329" s="251">
        <f t="shared" si="109"/>
        <v>9.9564169919646783E-2</v>
      </c>
      <c r="V329" s="383">
        <f t="shared" si="110"/>
        <v>15.134097539292577</v>
      </c>
      <c r="W329" s="402">
        <f t="shared" si="111"/>
        <v>14.209678945080777</v>
      </c>
      <c r="X329" s="157">
        <f t="shared" si="112"/>
        <v>45241</v>
      </c>
      <c r="Y329" s="385">
        <f t="shared" si="113"/>
        <v>13.225704858299878</v>
      </c>
      <c r="Z329" s="385">
        <f t="shared" si="114"/>
        <v>13.827630162285644</v>
      </c>
      <c r="AA329" s="386">
        <f t="shared" si="115"/>
        <v>15.607998315509834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0.11406767973924102</v>
      </c>
      <c r="AD329" s="231">
        <f>(INDEX(Models!$BJ329:$BT329,,AH329)*(1-AF329)+INDEX(Models!$BJ329:$BT329,,AH329+1)*AF329-ERP_i)*AE329*Ramure*Pc/MaxiM</f>
        <v>5.6692505626081247E-2</v>
      </c>
      <c r="AE329" s="305">
        <f t="shared" si="117"/>
        <v>0.7</v>
      </c>
      <c r="AF329" s="177">
        <f t="shared" si="118"/>
        <v>9.9564169919646783E-2</v>
      </c>
      <c r="AG329" s="817">
        <f t="shared" si="124"/>
        <v>0</v>
      </c>
      <c r="AH329" s="176">
        <f t="shared" si="119"/>
        <v>6</v>
      </c>
      <c r="AI329" s="225">
        <f t="shared" si="120"/>
        <v>9.9564169919646783E-2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45242</v>
      </c>
      <c r="B330" s="411">
        <f>'2022'!Wh/'2022'!Env_an*'2023'!Env_an</f>
        <v>13.997378804335789</v>
      </c>
      <c r="C330" s="846"/>
      <c r="D330" s="393">
        <f t="shared" si="102"/>
        <v>14.634744897814326</v>
      </c>
      <c r="E330" s="385">
        <f t="shared" si="125"/>
        <v>15.376859024182076</v>
      </c>
      <c r="F330" s="385">
        <f t="shared" si="103"/>
        <v>16.225774781589354</v>
      </c>
      <c r="G330" s="110">
        <f t="shared" si="126"/>
        <v>0.93637429985692711</v>
      </c>
      <c r="H330" s="414" t="b">
        <f>Wh_hp&gt;='2022'!Maxi_hp</f>
        <v>0</v>
      </c>
      <c r="I330" s="390">
        <f>IF(H330,Wh_hp,'2022'!Maxi_hp)</f>
        <v>16.237743820350616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4.3551568403062957E-2</v>
      </c>
      <c r="M330" s="850"/>
      <c r="N330" s="850"/>
      <c r="O330" s="48">
        <f>IF(t&lt;Tnet,'2022'!Resal+('2022'!Salim-'2022'!Resal)*(1-EXP(('2022'!Tnet-t)/('2022'!Tau_j))),Resal+(Salim-Resal)*(1-EXP((Tnet-t)/(Tau_j))))*Salcycl</f>
        <v>4.8261750023244676E-2</v>
      </c>
      <c r="P330" s="169">
        <f>(INDEX(Models!$BJ330:$BT330,,T330)*(1-R330)+INDEX(Models!$BJ330:$BT330,,T330+1)*R330-ERP_i)*Q330*Ramure*Pc/MaxiM</f>
        <v>5.7121766391945314E-2</v>
      </c>
      <c r="Q330" s="305">
        <f t="shared" si="105"/>
        <v>0.7</v>
      </c>
      <c r="R330" s="177">
        <f t="shared" si="106"/>
        <v>9.9585683290720484E-2</v>
      </c>
      <c r="S330" s="817">
        <f t="shared" si="107"/>
        <v>0</v>
      </c>
      <c r="T330" s="176">
        <f t="shared" si="108"/>
        <v>6</v>
      </c>
      <c r="U330" s="251">
        <f t="shared" si="109"/>
        <v>9.9585683290720484E-2</v>
      </c>
      <c r="V330" s="383">
        <f t="shared" si="110"/>
        <v>14.872728549504492</v>
      </c>
      <c r="W330" s="402">
        <f t="shared" si="111"/>
        <v>13.997378804335789</v>
      </c>
      <c r="X330" s="157">
        <f t="shared" si="112"/>
        <v>45242</v>
      </c>
      <c r="Y330" s="385">
        <f t="shared" si="113"/>
        <v>13.029963375221959</v>
      </c>
      <c r="Z330" s="385">
        <f t="shared" si="114"/>
        <v>13.623278521630738</v>
      </c>
      <c r="AA330" s="386">
        <f t="shared" si="115"/>
        <v>15.376859024182075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0.11404022757792133</v>
      </c>
      <c r="AD330" s="231">
        <f>(INDEX(Models!$BJ330:$BT330,,AH330)*(1-AF330)+INDEX(Models!$BJ330:$BT330,,AH330+1)*AF330-ERP_i)*AE330*Ramure*Pc/MaxiM</f>
        <v>5.7121766391945314E-2</v>
      </c>
      <c r="AE330" s="305">
        <f t="shared" si="117"/>
        <v>0.7</v>
      </c>
      <c r="AF330" s="177">
        <f t="shared" si="118"/>
        <v>9.9585683290720484E-2</v>
      </c>
      <c r="AG330" s="817">
        <f t="shared" si="124"/>
        <v>0</v>
      </c>
      <c r="AH330" s="176">
        <f t="shared" si="119"/>
        <v>6</v>
      </c>
      <c r="AI330" s="225">
        <f t="shared" si="120"/>
        <v>9.9585683290720484E-2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45243</v>
      </c>
      <c r="B331" s="411">
        <f>'2022'!Wh/'2022'!Env_an*'2023'!Env_an</f>
        <v>14.017881643282752</v>
      </c>
      <c r="C331" s="846"/>
      <c r="D331" s="393">
        <f t="shared" si="102"/>
        <v>14.656502341883725</v>
      </c>
      <c r="E331" s="385">
        <f t="shared" si="125"/>
        <v>15.401440741648534</v>
      </c>
      <c r="F331" s="385">
        <f t="shared" si="103"/>
        <v>16.281874073924993</v>
      </c>
      <c r="G331" s="110">
        <f t="shared" si="126"/>
        <v>0.95522374799742582</v>
      </c>
      <c r="H331" s="414" t="b">
        <f>Wh_hp&gt;='2022'!Maxi_hp</f>
        <v>0</v>
      </c>
      <c r="I331" s="390">
        <f>IF(H331,Wh_hp,'2022'!Maxi_hp)</f>
        <v>17.166565954887307</v>
      </c>
      <c r="J331" s="85">
        <f>IF(H331,An,'2022'!An_max)</f>
        <v>2020</v>
      </c>
      <c r="K331" s="197">
        <f t="shared" si="104"/>
        <v>45243</v>
      </c>
      <c r="L331" s="147">
        <f>IF(t&lt;Tvie,1-EXP((T0-t)*PertePVj)+'2022'!Pspv,1-EXP((T0-t)*PertePVj)+Pspv)</f>
        <v>4.3572517078375061E-2</v>
      </c>
      <c r="M331" s="850"/>
      <c r="N331" s="850"/>
      <c r="O331" s="48">
        <f>IF(t&lt;Tnet,'2022'!Resal+('2022'!Salim-'2022'!Resal)*(1-EXP(('2022'!Tnet-t)/('2022'!Tau_j))),Resal+(Salim-Resal)*(1-EXP((Tnet-t)/(Tau_j))))*Salcycl</f>
        <v>4.8368098300722501E-2</v>
      </c>
      <c r="P331" s="169">
        <f>(INDEX(Models!$BJ331:$BT331,,T331)*(1-R331)+INDEX(Models!$BJ331:$BT331,,T331+1)*R331-ERP_i)*Q331*Ramure*Pc/MaxiM</f>
        <v>5.746809422912931E-2</v>
      </c>
      <c r="Q331" s="305">
        <f t="shared" si="105"/>
        <v>0.7</v>
      </c>
      <c r="R331" s="177">
        <f t="shared" si="106"/>
        <v>9.9606333373028655E-2</v>
      </c>
      <c r="S331" s="817">
        <f t="shared" si="107"/>
        <v>0</v>
      </c>
      <c r="T331" s="176">
        <f t="shared" si="108"/>
        <v>6</v>
      </c>
      <c r="U331" s="251">
        <f t="shared" si="109"/>
        <v>9.9606333373028655E-2</v>
      </c>
      <c r="V331" s="383">
        <f t="shared" si="110"/>
        <v>14.622323255417115</v>
      </c>
      <c r="W331" s="402">
        <f t="shared" si="111"/>
        <v>14.017881643282752</v>
      </c>
      <c r="X331" s="157">
        <f t="shared" si="112"/>
        <v>45243</v>
      </c>
      <c r="Y331" s="385">
        <f t="shared" si="113"/>
        <v>13.050895890674536</v>
      </c>
      <c r="Z331" s="385">
        <f t="shared" si="114"/>
        <v>13.64546306303078</v>
      </c>
      <c r="AA331" s="386">
        <f t="shared" si="115"/>
        <v>15.401440741648535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0.11401385805869745</v>
      </c>
      <c r="AD331" s="231">
        <f>(INDEX(Models!$BJ331:$BT331,,AH331)*(1-AF331)+INDEX(Models!$BJ331:$BT331,,AH331+1)*AF331-ERP_i)*AE331*Ramure*Pc/MaxiM</f>
        <v>5.746809422912931E-2</v>
      </c>
      <c r="AE331" s="305">
        <f t="shared" si="117"/>
        <v>0.7</v>
      </c>
      <c r="AF331" s="177">
        <f t="shared" si="118"/>
        <v>9.9606333373028655E-2</v>
      </c>
      <c r="AG331" s="817">
        <f t="shared" si="124"/>
        <v>0</v>
      </c>
      <c r="AH331" s="176">
        <f t="shared" si="119"/>
        <v>6</v>
      </c>
      <c r="AI331" s="225">
        <f t="shared" si="120"/>
        <v>9.9606333373028655E-2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45244</v>
      </c>
      <c r="B332" s="411">
        <f>'2022'!Wh/'2022'!Env_an*'2023'!Env_an</f>
        <v>6.3007324338347166</v>
      </c>
      <c r="C332" s="846"/>
      <c r="D332" s="393">
        <f t="shared" si="102"/>
        <v>6.5879228185922161</v>
      </c>
      <c r="E332" s="385">
        <f t="shared" si="125"/>
        <v>6.9235388469230337</v>
      </c>
      <c r="F332" s="385">
        <f t="shared" si="103"/>
        <v>7.0033689134289272</v>
      </c>
      <c r="G332" s="110">
        <f t="shared" si="126"/>
        <v>0.41764104057806001</v>
      </c>
      <c r="H332" s="414" t="b">
        <f>Wh_hp&gt;='2022'!Maxi_hp</f>
        <v>0</v>
      </c>
      <c r="I332" s="390">
        <f>IF(H332,Wh_hp,'2022'!Maxi_hp)</f>
        <v>12.052084330395068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4.3593465294857525E-2</v>
      </c>
      <c r="M332" s="850"/>
      <c r="N332" s="850"/>
      <c r="O332" s="48">
        <f>IF(t&lt;Tnet,'2022'!Resal+('2022'!Salim-'2022'!Resal)*(1-EXP(('2022'!Tnet-t)/('2022'!Tau_j))),Resal+(Salim-Resal)*(1-EXP((Tnet-t)/(Tau_j))))*Salcycl</f>
        <v>4.84746364180468E-2</v>
      </c>
      <c r="P332" s="169">
        <f>(INDEX(Models!$BJ332:$BT332,,T332)*(1-R332)+INDEX(Models!$BJ332:$BT332,,T332+1)*R332-ERP_i)*Q332*Ramure*Pc/MaxiM</f>
        <v>5.7743608305296595E-2</v>
      </c>
      <c r="Q332" s="305">
        <f t="shared" si="105"/>
        <v>0.7</v>
      </c>
      <c r="R332" s="177">
        <f t="shared" si="106"/>
        <v>9.9626154696652591E-2</v>
      </c>
      <c r="S332" s="817">
        <f t="shared" si="107"/>
        <v>0</v>
      </c>
      <c r="T332" s="176">
        <f t="shared" si="108"/>
        <v>6</v>
      </c>
      <c r="U332" s="251">
        <f t="shared" si="109"/>
        <v>9.9626154696652591E-2</v>
      </c>
      <c r="V332" s="383">
        <f t="shared" si="110"/>
        <v>14.379236642341011</v>
      </c>
      <c r="W332" s="402">
        <f t="shared" si="111"/>
        <v>6.3007324338347166</v>
      </c>
      <c r="X332" s="157">
        <f t="shared" si="112"/>
        <v>45244</v>
      </c>
      <c r="Y332" s="385">
        <f t="shared" si="113"/>
        <v>5.8669169812377939</v>
      </c>
      <c r="Z332" s="385">
        <f t="shared" si="114"/>
        <v>6.1343338510820073</v>
      </c>
      <c r="AA332" s="386">
        <f t="shared" si="115"/>
        <v>6.9235388469230337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0.11398867158689598</v>
      </c>
      <c r="AD332" s="231">
        <f>(INDEX(Models!$BJ332:$BT332,,AH332)*(1-AF332)+INDEX(Models!$BJ332:$BT332,,AH332+1)*AF332-ERP_i)*AE332*Ramure*Pc/MaxiM</f>
        <v>5.7743608305296595E-2</v>
      </c>
      <c r="AE332" s="305">
        <f t="shared" si="117"/>
        <v>0.7</v>
      </c>
      <c r="AF332" s="177">
        <f t="shared" si="118"/>
        <v>9.9626154696652591E-2</v>
      </c>
      <c r="AG332" s="817">
        <f t="shared" si="124"/>
        <v>0</v>
      </c>
      <c r="AH332" s="176">
        <f t="shared" si="119"/>
        <v>6</v>
      </c>
      <c r="AI332" s="225">
        <f t="shared" si="120"/>
        <v>9.9626154696652591E-2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45245</v>
      </c>
      <c r="B333" s="411">
        <f>'2022'!Wh/'2022'!Env_an*'2023'!Env_an</f>
        <v>7.7947817159136141</v>
      </c>
      <c r="C333" s="846"/>
      <c r="D333" s="393">
        <f t="shared" si="102"/>
        <v>8.1502500898120154</v>
      </c>
      <c r="E333" s="385">
        <f t="shared" si="125"/>
        <v>8.5664187913798138</v>
      </c>
      <c r="F333" s="385">
        <f t="shared" si="103"/>
        <v>8.748518092669304</v>
      </c>
      <c r="G333" s="110">
        <f t="shared" si="126"/>
        <v>0.5302245796559818</v>
      </c>
      <c r="H333" s="414" t="b">
        <f>Wh_hp&gt;='2022'!Maxi_hp</f>
        <v>0</v>
      </c>
      <c r="I333" s="390">
        <f>IF(H333,Wh_hp,'2022'!Maxi_hp)</f>
        <v>15.011200511504091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4.3614413052520229E-2</v>
      </c>
      <c r="M333" s="850"/>
      <c r="N333" s="850"/>
      <c r="O333" s="48">
        <f>IF(t&lt;Tnet,'2022'!Resal+('2022'!Salim-'2022'!Resal)*(1-EXP(('2022'!Tnet-t)/('2022'!Tau_j))),Resal+(Salim-Resal)*(1-EXP((Tnet-t)/(Tau_j))))*Salcycl</f>
        <v>4.858140977027401E-2</v>
      </c>
      <c r="P333" s="169">
        <f>(INDEX(Models!$BJ333:$BT333,,T333)*(1-R333)+INDEX(Models!$BJ333:$BT333,,T333+1)*R333-ERP_i)*Q333*Ramure*Pc/MaxiM</f>
        <v>5.8011999498856097E-2</v>
      </c>
      <c r="Q333" s="305">
        <f t="shared" si="105"/>
        <v>0.7</v>
      </c>
      <c r="R333" s="177">
        <f t="shared" si="106"/>
        <v>9.9645180419352497E-2</v>
      </c>
      <c r="S333" s="817">
        <f t="shared" si="107"/>
        <v>0</v>
      </c>
      <c r="T333" s="176">
        <f t="shared" si="108"/>
        <v>6</v>
      </c>
      <c r="U333" s="251">
        <f t="shared" si="109"/>
        <v>9.9645180419352497E-2</v>
      </c>
      <c r="V333" s="383">
        <f t="shared" si="110"/>
        <v>14.142450391067953</v>
      </c>
      <c r="W333" s="402">
        <f t="shared" si="111"/>
        <v>7.7947817159136141</v>
      </c>
      <c r="X333" s="157">
        <f t="shared" si="112"/>
        <v>45245</v>
      </c>
      <c r="Y333" s="385">
        <f t="shared" si="113"/>
        <v>7.2591090069288038</v>
      </c>
      <c r="Z333" s="385">
        <f t="shared" si="114"/>
        <v>7.5901488960094925</v>
      </c>
      <c r="AA333" s="386">
        <f t="shared" si="115"/>
        <v>8.5664187913798138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0.11396476393994642</v>
      </c>
      <c r="AD333" s="231">
        <f>(INDEX(Models!$BJ333:$BT333,,AH333)*(1-AF333)+INDEX(Models!$BJ333:$BT333,,AH333+1)*AF333-ERP_i)*AE333*Ramure*Pc/MaxiM</f>
        <v>5.8011999498856097E-2</v>
      </c>
      <c r="AE333" s="305">
        <f t="shared" si="117"/>
        <v>0.7</v>
      </c>
      <c r="AF333" s="177">
        <f t="shared" si="118"/>
        <v>9.9645180419352497E-2</v>
      </c>
      <c r="AG333" s="817">
        <f t="shared" si="124"/>
        <v>0</v>
      </c>
      <c r="AH333" s="176">
        <f t="shared" si="119"/>
        <v>6</v>
      </c>
      <c r="AI333" s="225">
        <f t="shared" si="120"/>
        <v>9.9645180419352497E-2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45246</v>
      </c>
      <c r="B334" s="411">
        <f>'2022'!Wh/'2022'!Env_an*'2023'!Env_an</f>
        <v>12.534718912612698</v>
      </c>
      <c r="C334" s="846"/>
      <c r="D334" s="393">
        <f t="shared" si="102"/>
        <v>13.106631501158406</v>
      </c>
      <c r="E334" s="385">
        <f t="shared" si="125"/>
        <v>13.777433550565899</v>
      </c>
      <c r="F334" s="385">
        <f t="shared" si="103"/>
        <v>14.503042340346324</v>
      </c>
      <c r="G334" s="110">
        <f t="shared" si="126"/>
        <v>0.89318669119137206</v>
      </c>
      <c r="H334" s="414" t="b">
        <f>Wh_hp&gt;='2022'!Maxi_hp</f>
        <v>0</v>
      </c>
      <c r="I334" s="390">
        <f>IF(H334,Wh_hp,'2022'!Maxi_hp)</f>
        <v>14.52095020445914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4.3635360351373276E-2</v>
      </c>
      <c r="M334" s="850"/>
      <c r="N334" s="850"/>
      <c r="O334" s="48">
        <f>IF(t&lt;Tnet,'2022'!Resal+('2022'!Salim-'2022'!Resal)*(1-EXP(('2022'!Tnet-t)/('2022'!Tau_j))),Resal+(Salim-Resal)*(1-EXP((Tnet-t)/(Tau_j))))*Salcycl</f>
        <v>4.8688461965395682E-2</v>
      </c>
      <c r="P334" s="169">
        <f>(INDEX(Models!$BJ334:$BT334,,T334)*(1-R334)+INDEX(Models!$BJ334:$BT334,,T334+1)*R334-ERP_i)*Q334*Ramure*Pc/MaxiM</f>
        <v>5.8272650297026343E-2</v>
      </c>
      <c r="Q334" s="305">
        <f t="shared" si="105"/>
        <v>0.7</v>
      </c>
      <c r="R334" s="177">
        <f t="shared" si="106"/>
        <v>9.9663442380411582E-2</v>
      </c>
      <c r="S334" s="817">
        <f t="shared" si="107"/>
        <v>0</v>
      </c>
      <c r="T334" s="176">
        <f t="shared" si="108"/>
        <v>6</v>
      </c>
      <c r="U334" s="251">
        <f t="shared" si="109"/>
        <v>9.9663442380411582E-2</v>
      </c>
      <c r="V334" s="383">
        <f t="shared" si="110"/>
        <v>13.91196029049742</v>
      </c>
      <c r="W334" s="402">
        <f t="shared" si="111"/>
        <v>12.534718912612698</v>
      </c>
      <c r="X334" s="157">
        <f t="shared" si="112"/>
        <v>45246</v>
      </c>
      <c r="Y334" s="385">
        <f t="shared" si="113"/>
        <v>11.674918988542913</v>
      </c>
      <c r="Z334" s="385">
        <f t="shared" si="114"/>
        <v>12.207602105439969</v>
      </c>
      <c r="AA334" s="386">
        <f t="shared" si="115"/>
        <v>13.777433550565899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0.11394222584085337</v>
      </c>
      <c r="AD334" s="231">
        <f>(INDEX(Models!$BJ334:$BT334,,AH334)*(1-AF334)+INDEX(Models!$BJ334:$BT334,,AH334+1)*AF334-ERP_i)*AE334*Ramure*Pc/MaxiM</f>
        <v>5.8272650297026343E-2</v>
      </c>
      <c r="AE334" s="305">
        <f t="shared" si="117"/>
        <v>0.7</v>
      </c>
      <c r="AF334" s="177">
        <f t="shared" si="118"/>
        <v>9.9663442380411582E-2</v>
      </c>
      <c r="AG334" s="817">
        <f t="shared" si="124"/>
        <v>0</v>
      </c>
      <c r="AH334" s="176">
        <f t="shared" si="119"/>
        <v>6</v>
      </c>
      <c r="AI334" s="225">
        <f t="shared" si="120"/>
        <v>9.9663442380411582E-2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45247</v>
      </c>
      <c r="B335" s="411">
        <f>'2022'!Wh/'2022'!Env_an*'2023'!Env_an</f>
        <v>9.4597479696406808</v>
      </c>
      <c r="C335" s="846"/>
      <c r="D335" s="393">
        <f t="shared" ref="D335:D379" si="127">Wh/(1-Ppv)</f>
        <v>9.891577725429924</v>
      </c>
      <c r="E335" s="385">
        <f t="shared" si="125"/>
        <v>10.399005897486438</v>
      </c>
      <c r="F335" s="385">
        <f t="shared" ref="F335:F379" si="128">Wh_sa/(1-Pvg*MEDIAN((-Sdif+Wh/Env_an)/Csdif,0,1))</f>
        <v>10.750543580896347</v>
      </c>
      <c r="G335" s="110">
        <f t="shared" si="126"/>
        <v>0.672658357205135</v>
      </c>
      <c r="H335" s="414" t="b">
        <f>Wh_hp&gt;='2022'!Maxi_hp</f>
        <v>0</v>
      </c>
      <c r="I335" s="390">
        <f>IF(H335,Wh_hp,'2022'!Maxi_hp)</f>
        <v>16.318890198291346</v>
      </c>
      <c r="J335" s="85">
        <f>IF(H335,An,'2022'!An_max)</f>
        <v>2018</v>
      </c>
      <c r="K335" s="197">
        <f t="shared" ref="K335:K379" si="129">t</f>
        <v>45247</v>
      </c>
      <c r="L335" s="147">
        <f>IF(t&lt;Tvie,1-EXP((T0-t)*PertePVj)+'2022'!Pspv,1-EXP((T0-t)*PertePVj)+Pspv)</f>
        <v>4.3656307191426769E-2</v>
      </c>
      <c r="M335" s="850"/>
      <c r="N335" s="850"/>
      <c r="O335" s="48">
        <f>IF(t&lt;Tnet,'2022'!Resal+('2022'!Salim-'2022'!Resal)*(1-EXP(('2022'!Tnet-t)/('2022'!Tau_j))),Resal+(Salim-Resal)*(1-EXP((Tnet-t)/(Tau_j))))*Salcycl</f>
        <v>4.8795834626766045E-2</v>
      </c>
      <c r="P335" s="169">
        <f>(INDEX(Models!$BJ335:$BT335,,T335)*(1-R335)+INDEX(Models!$BJ335:$BT335,,T335+1)*R335-ERP_i)*Q335*Ramure*Pc/MaxiM</f>
        <v>5.8524903669149426E-2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9.968097115242236E-2</v>
      </c>
      <c r="S335" s="817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9.968097115242236E-2</v>
      </c>
      <c r="V335" s="383">
        <f t="shared" ref="V335:V379" si="135">MaxiM*(1-Ppv)*(1-Pvg)*(1-Psa)</f>
        <v>13.687762462302402</v>
      </c>
      <c r="W335" s="402">
        <f t="shared" ref="W335:W379" si="136">Wh*(A335&gt;Tmaj)</f>
        <v>9.4597479696406808</v>
      </c>
      <c r="X335" s="157">
        <f t="shared" ref="X335:X379" si="137">t</f>
        <v>45247</v>
      </c>
      <c r="Y335" s="385">
        <f t="shared" ref="Y335:Y379" si="138">Wh_pvt_s*(1-Ppv)</f>
        <v>8.8120752386543888</v>
      </c>
      <c r="Z335" s="385">
        <f t="shared" ref="Z335:Z379" si="139">Wh_sa_s*(1-Psa_s)</f>
        <v>9.2143392641355142</v>
      </c>
      <c r="AA335" s="386">
        <f t="shared" ref="AA335:AA379" si="140">Wh_hp*(1-Pvg_s*MEDIAN((-Sdif+Wh/Env_an)/Csdif,0,1))</f>
        <v>10.399005897486438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0.11392114256202807</v>
      </c>
      <c r="AD335" s="231">
        <f>(INDEX(Models!$BJ335:$BT335,,AH335)*(1-AF335)+INDEX(Models!$BJ335:$BT335,,AH335+1)*AF335-ERP_i)*AE335*Ramure*Pc/MaxiM</f>
        <v>5.8524903669149426E-2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9.968097115242236E-2</v>
      </c>
      <c r="AG335" s="817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9.968097115242236E-2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45248</v>
      </c>
      <c r="B336" s="411">
        <f>'2022'!Wh/'2022'!Env_an*'2023'!Env_an</f>
        <v>7.888683784051671</v>
      </c>
      <c r="C336" s="846"/>
      <c r="D336" s="393">
        <f t="shared" si="127"/>
        <v>8.2489764188112336</v>
      </c>
      <c r="E336" s="385">
        <f t="shared" si="125"/>
        <v>8.6731230760604703</v>
      </c>
      <c r="F336" s="385">
        <f t="shared" si="128"/>
        <v>8.8862324093333225</v>
      </c>
      <c r="G336" s="110">
        <f t="shared" si="126"/>
        <v>0.56478153998286618</v>
      </c>
      <c r="H336" s="414" t="b">
        <f>Wh_hp&gt;='2022'!Maxi_hp</f>
        <v>0</v>
      </c>
      <c r="I336" s="390">
        <f>IF(H336,Wh_hp,'2022'!Maxi_hp)</f>
        <v>14.520944266694507</v>
      </c>
      <c r="J336" s="85">
        <f>IF(H336,An,'2022'!An_max)</f>
        <v>2018</v>
      </c>
      <c r="K336" s="197">
        <f t="shared" si="129"/>
        <v>45248</v>
      </c>
      <c r="L336" s="147">
        <f>IF(t&lt;Tvie,1-EXP((T0-t)*PertePVj)+'2022'!Pspv,1-EXP((T0-t)*PertePVj)+Pspv)</f>
        <v>4.3677253572690589E-2</v>
      </c>
      <c r="M336" s="850"/>
      <c r="N336" s="850"/>
      <c r="O336" s="48">
        <f>IF(t&lt;Tnet,'2022'!Resal+('2022'!Salim-'2022'!Resal)*(1-EXP(('2022'!Tnet-t)/('2022'!Tau_j))),Resal+(Salim-Resal)*(1-EXP((Tnet-t)/(Tau_j))))*Salcycl</f>
        <v>4.890356720752248E-2</v>
      </c>
      <c r="P336" s="169">
        <f>(INDEX(Models!$BJ336:$BT336,,T336)*(1-R336)+INDEX(Models!$BJ336:$BT336,,T336+1)*R336-ERP_i)*Q336*Ramure*Pc/MaxiM</f>
        <v>5.876806243637072E-2</v>
      </c>
      <c r="Q336" s="305">
        <f t="shared" si="130"/>
        <v>0.7</v>
      </c>
      <c r="R336" s="177">
        <f t="shared" si="131"/>
        <v>9.9697796091089419E-2</v>
      </c>
      <c r="S336" s="817">
        <f t="shared" si="132"/>
        <v>0</v>
      </c>
      <c r="T336" s="176">
        <f t="shared" si="133"/>
        <v>6</v>
      </c>
      <c r="U336" s="251">
        <f t="shared" si="134"/>
        <v>9.9697796091089419E-2</v>
      </c>
      <c r="V336" s="383">
        <f t="shared" si="135"/>
        <v>13.46985336312656</v>
      </c>
      <c r="W336" s="402">
        <f t="shared" si="136"/>
        <v>7.888683784051671</v>
      </c>
      <c r="X336" s="157">
        <f t="shared" si="137"/>
        <v>45248</v>
      </c>
      <c r="Y336" s="385">
        <f t="shared" si="138"/>
        <v>7.3495703368540886</v>
      </c>
      <c r="Z336" s="385">
        <f t="shared" si="139"/>
        <v>7.6852405365354688</v>
      </c>
      <c r="AA336" s="386">
        <f t="shared" si="140"/>
        <v>8.6731230760604703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0.11390159356227195</v>
      </c>
      <c r="AD336" s="231">
        <f>(INDEX(Models!$BJ336:$BT336,,AH336)*(1-AF336)+INDEX(Models!$BJ336:$BT336,,AH336+1)*AF336-ERP_i)*AE336*Ramure*Pc/MaxiM</f>
        <v>5.876806243637072E-2</v>
      </c>
      <c r="AE336" s="305">
        <f t="shared" si="142"/>
        <v>0.7</v>
      </c>
      <c r="AF336" s="177">
        <f t="shared" si="143"/>
        <v>9.9697796091089419E-2</v>
      </c>
      <c r="AG336" s="817">
        <f t="shared" ref="AG336:AG379" si="149">INDEX(Echel_vg,AH336)</f>
        <v>0</v>
      </c>
      <c r="AH336" s="176">
        <f t="shared" si="144"/>
        <v>6</v>
      </c>
      <c r="AI336" s="225">
        <f t="shared" si="145"/>
        <v>9.9697796091089419E-2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45249</v>
      </c>
      <c r="B337" s="411">
        <f>'2022'!Wh/'2022'!Env_an*'2023'!Env_an</f>
        <v>5.3619477623476088</v>
      </c>
      <c r="C337" s="846"/>
      <c r="D337" s="393">
        <f t="shared" si="127"/>
        <v>5.6069619021077601</v>
      </c>
      <c r="E337" s="385">
        <f t="shared" si="125"/>
        <v>5.8959315097240763</v>
      </c>
      <c r="F337" s="385">
        <f t="shared" si="128"/>
        <v>5.9482863501261436</v>
      </c>
      <c r="G337" s="110">
        <f t="shared" si="126"/>
        <v>0.38394185317283186</v>
      </c>
      <c r="H337" s="414" t="b">
        <f>Wh_hp&gt;='2022'!Maxi_hp</f>
        <v>0</v>
      </c>
      <c r="I337" s="390">
        <f>IF(H337,Wh_hp,'2022'!Maxi_hp)</f>
        <v>15.038910963249226</v>
      </c>
      <c r="J337" s="85">
        <f>IF(H337,An,'2022'!An_max)</f>
        <v>2020</v>
      </c>
      <c r="K337" s="197">
        <f t="shared" si="129"/>
        <v>45249</v>
      </c>
      <c r="L337" s="147">
        <f>IF(t&lt;Tvie,1-EXP((T0-t)*PertePVj)+'2022'!Pspv,1-EXP((T0-t)*PertePVj)+Pspv)</f>
        <v>4.3698199495175061E-2</v>
      </c>
      <c r="M337" s="850"/>
      <c r="N337" s="850"/>
      <c r="O337" s="48">
        <f>IF(t&lt;Tnet,'2022'!Resal+('2022'!Salim-'2022'!Resal)*(1-EXP(('2022'!Tnet-t)/('2022'!Tau_j))),Resal+(Salim-Resal)*(1-EXP((Tnet-t)/(Tau_j))))*Salcycl</f>
        <v>4.9011696818343671E-2</v>
      </c>
      <c r="P337" s="169">
        <f>(INDEX(Models!$BJ337:$BT337,,T337)*(1-R337)+INDEX(Models!$BJ337:$BT337,,T337+1)*R337-ERP_i)*Q337*Ramure*Pc/MaxiM</f>
        <v>5.9001388990546862E-2</v>
      </c>
      <c r="Q337" s="305">
        <f t="shared" si="130"/>
        <v>0.7</v>
      </c>
      <c r="R337" s="177">
        <f t="shared" si="131"/>
        <v>9.9713945383121505E-2</v>
      </c>
      <c r="S337" s="817">
        <f t="shared" si="132"/>
        <v>0</v>
      </c>
      <c r="T337" s="176">
        <f t="shared" si="133"/>
        <v>6</v>
      </c>
      <c r="U337" s="251">
        <f t="shared" si="134"/>
        <v>9.9713945383121505E-2</v>
      </c>
      <c r="V337" s="383">
        <f t="shared" si="135"/>
        <v>13.258229782144413</v>
      </c>
      <c r="W337" s="402">
        <f t="shared" si="136"/>
        <v>5.3619477623476088</v>
      </c>
      <c r="X337" s="157">
        <f t="shared" si="137"/>
        <v>45249</v>
      </c>
      <c r="Y337" s="385">
        <f t="shared" si="138"/>
        <v>4.9961808705608197</v>
      </c>
      <c r="Z337" s="385">
        <f t="shared" si="139"/>
        <v>5.2244812965147309</v>
      </c>
      <c r="AA337" s="386">
        <f t="shared" si="140"/>
        <v>5.8959315097240763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0.11388365215944796</v>
      </c>
      <c r="AD337" s="231">
        <f>(INDEX(Models!$BJ337:$BT337,,AH337)*(1-AF337)+INDEX(Models!$BJ337:$BT337,,AH337+1)*AF337-ERP_i)*AE337*Ramure*Pc/MaxiM</f>
        <v>5.9001388990546862E-2</v>
      </c>
      <c r="AE337" s="305">
        <f t="shared" si="142"/>
        <v>0.7</v>
      </c>
      <c r="AF337" s="177">
        <f t="shared" si="143"/>
        <v>9.9713945383121505E-2</v>
      </c>
      <c r="AG337" s="817">
        <f t="shared" si="149"/>
        <v>0</v>
      </c>
      <c r="AH337" s="176">
        <f t="shared" si="144"/>
        <v>6</v>
      </c>
      <c r="AI337" s="225">
        <f t="shared" si="145"/>
        <v>9.9713945383121505E-2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45250</v>
      </c>
      <c r="B338" s="411">
        <f>'2022'!Wh/'2022'!Env_an*'2023'!Env_an</f>
        <v>10.22307345604349</v>
      </c>
      <c r="C338" s="846"/>
      <c r="D338" s="393">
        <f t="shared" si="127"/>
        <v>10.690450825352983</v>
      </c>
      <c r="E338" s="385">
        <f t="shared" si="125"/>
        <v>11.242694900253319</v>
      </c>
      <c r="F338" s="385">
        <f t="shared" si="128"/>
        <v>11.72153462304375</v>
      </c>
      <c r="G338" s="110">
        <f t="shared" si="126"/>
        <v>0.76820136112292614</v>
      </c>
      <c r="H338" s="414" t="b">
        <f>Wh_hp&gt;='2022'!Maxi_hp</f>
        <v>0</v>
      </c>
      <c r="I338" s="390">
        <f>IF(H338,Wh_hp,'2022'!Maxi_hp)</f>
        <v>14.953005209630511</v>
      </c>
      <c r="J338" s="85">
        <f>IF(H338,An,'2022'!An_max)</f>
        <v>2019</v>
      </c>
      <c r="K338" s="197">
        <f t="shared" si="129"/>
        <v>45250</v>
      </c>
      <c r="L338" s="147">
        <f>IF(t&lt;Tvie,1-EXP((T0-t)*PertePVj)+'2022'!Pspv,1-EXP((T0-t)*PertePVj)+Pspv)</f>
        <v>4.3719144958889955E-2</v>
      </c>
      <c r="M338" s="850"/>
      <c r="N338" s="850"/>
      <c r="O338" s="48">
        <f>IF(t&lt;Tnet,'2022'!Resal+('2022'!Salim-'2022'!Resal)*(1-EXP(('2022'!Tnet-t)/('2022'!Tau_j))),Resal+(Salim-Resal)*(1-EXP((Tnet-t)/(Tau_j))))*Salcycl</f>
        <v>4.9120258069788404E-2</v>
      </c>
      <c r="P338" s="169">
        <f>(INDEX(Models!$BJ338:$BT338,,T338)*(1-R338)+INDEX(Models!$BJ338:$BT338,,T338+1)*R338-ERP_i)*Q338*Ramure*Pc/MaxiM</f>
        <v>5.9183876202646826E-2</v>
      </c>
      <c r="Q338" s="305">
        <f t="shared" si="130"/>
        <v>0.7</v>
      </c>
      <c r="R338" s="177">
        <f t="shared" si="131"/>
        <v>9.972944609228096E-2</v>
      </c>
      <c r="S338" s="817">
        <f t="shared" si="132"/>
        <v>0</v>
      </c>
      <c r="T338" s="176">
        <f t="shared" si="133"/>
        <v>6</v>
      </c>
      <c r="U338" s="251">
        <f t="shared" si="134"/>
        <v>9.972944609228096E-2</v>
      </c>
      <c r="V338" s="383">
        <f t="shared" si="135"/>
        <v>13.053447006713629</v>
      </c>
      <c r="W338" s="402">
        <f t="shared" si="136"/>
        <v>10.22307345604349</v>
      </c>
      <c r="X338" s="157">
        <f t="shared" si="137"/>
        <v>45250</v>
      </c>
      <c r="Y338" s="385">
        <f t="shared" si="138"/>
        <v>9.5269658328056188</v>
      </c>
      <c r="Z338" s="385">
        <f t="shared" si="139"/>
        <v>9.9625186288980547</v>
      </c>
      <c r="AA338" s="386">
        <f t="shared" si="140"/>
        <v>11.242694900253319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0.11386738524109732</v>
      </c>
      <c r="AD338" s="231">
        <f>(INDEX(Models!$BJ338:$BT338,,AH338)*(1-AF338)+INDEX(Models!$BJ338:$BT338,,AH338+1)*AF338-ERP_i)*AE338*Ramure*Pc/MaxiM</f>
        <v>5.9183876202646826E-2</v>
      </c>
      <c r="AE338" s="305">
        <f t="shared" si="142"/>
        <v>0.7</v>
      </c>
      <c r="AF338" s="177">
        <f t="shared" si="143"/>
        <v>9.972944609228096E-2</v>
      </c>
      <c r="AG338" s="817">
        <f t="shared" si="149"/>
        <v>0</v>
      </c>
      <c r="AH338" s="176">
        <f t="shared" si="144"/>
        <v>6</v>
      </c>
      <c r="AI338" s="225">
        <f t="shared" si="145"/>
        <v>9.972944609228096E-2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45251</v>
      </c>
      <c r="B339" s="411">
        <f>'2022'!Wh/'2022'!Env_an*'2023'!Env_an</f>
        <v>2.0103290881782367</v>
      </c>
      <c r="C339" s="846"/>
      <c r="D339" s="393">
        <f t="shared" si="127"/>
        <v>2.1022831419359926</v>
      </c>
      <c r="E339" s="385">
        <f t="shared" si="125"/>
        <v>2.2111357703730983</v>
      </c>
      <c r="F339" s="385">
        <f t="shared" si="128"/>
        <v>2.2111357703730983</v>
      </c>
      <c r="G339" s="110">
        <f t="shared" si="126"/>
        <v>0.14710360123344093</v>
      </c>
      <c r="H339" s="414" t="b">
        <f>Wh_hp&gt;='2022'!Maxi_hp</f>
        <v>0</v>
      </c>
      <c r="I339" s="390">
        <f>IF(H339,Wh_hp,'2022'!Maxi_hp)</f>
        <v>14.614708080024094</v>
      </c>
      <c r="J339" s="85">
        <f>IF(H339,An,'2022'!An_max)</f>
        <v>2018</v>
      </c>
      <c r="K339" s="197">
        <f t="shared" si="129"/>
        <v>45251</v>
      </c>
      <c r="L339" s="147">
        <f>IF(t&lt;Tvie,1-EXP((T0-t)*PertePVj)+'2022'!Pspv,1-EXP((T0-t)*PertePVj)+Pspv)</f>
        <v>4.3740089963845485E-2</v>
      </c>
      <c r="M339" s="850"/>
      <c r="N339" s="850"/>
      <c r="O339" s="48">
        <f>IF(t&lt;Tnet,'2022'!Resal+('2022'!Salim-'2022'!Resal)*(1-EXP(('2022'!Tnet-t)/('2022'!Tau_j))),Resal+(Salim-Resal)*(1-EXP((Tnet-t)/(Tau_j))))*Salcycl</f>
        <v>4.9229282930345883E-2</v>
      </c>
      <c r="P339" s="169">
        <f>(INDEX(Models!$BJ339:$BT339,,T339)*(1-R339)+INDEX(Models!$BJ339:$BT339,,T339+1)*R339-ERP_i)*Q339*Ramure*Pc/MaxiM</f>
        <v>5.9312955386831755E-2</v>
      </c>
      <c r="Q339" s="305">
        <f t="shared" si="130"/>
        <v>0.7</v>
      </c>
      <c r="R339" s="177">
        <f t="shared" si="131"/>
        <v>9.9744324203659696E-2</v>
      </c>
      <c r="S339" s="817">
        <f t="shared" si="132"/>
        <v>0</v>
      </c>
      <c r="T339" s="176">
        <f t="shared" si="133"/>
        <v>6</v>
      </c>
      <c r="U339" s="251">
        <f t="shared" si="134"/>
        <v>9.9744324203659696E-2</v>
      </c>
      <c r="V339" s="383">
        <f t="shared" si="135"/>
        <v>12.855501244033247</v>
      </c>
      <c r="W339" s="402">
        <f t="shared" si="136"/>
        <v>2.0103290881782367</v>
      </c>
      <c r="X339" s="157">
        <f t="shared" si="137"/>
        <v>45251</v>
      </c>
      <c r="Y339" s="385">
        <f t="shared" si="138"/>
        <v>1.8736876872698922</v>
      </c>
      <c r="Z339" s="385">
        <f t="shared" si="139"/>
        <v>1.959391654512685</v>
      </c>
      <c r="AA339" s="386">
        <f t="shared" si="140"/>
        <v>2.2111357703730983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0.11385285301496208</v>
      </c>
      <c r="AD339" s="231">
        <f>(INDEX(Models!$BJ339:$BT339,,AH339)*(1-AF339)+INDEX(Models!$BJ339:$BT339,,AH339+1)*AF339-ERP_i)*AE339*Ramure*Pc/MaxiM</f>
        <v>5.9312955386831755E-2</v>
      </c>
      <c r="AE339" s="305">
        <f t="shared" si="142"/>
        <v>0.7</v>
      </c>
      <c r="AF339" s="177">
        <f t="shared" si="143"/>
        <v>9.9744324203659696E-2</v>
      </c>
      <c r="AG339" s="817">
        <f t="shared" si="149"/>
        <v>0</v>
      </c>
      <c r="AH339" s="176">
        <f t="shared" si="144"/>
        <v>6</v>
      </c>
      <c r="AI339" s="225">
        <f t="shared" si="145"/>
        <v>9.9744324203659696E-2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45252</v>
      </c>
      <c r="B340" s="411">
        <f>'2022'!Wh/'2022'!Env_an*'2023'!Env_an</f>
        <v>5.8238867686199383</v>
      </c>
      <c r="C340" s="846"/>
      <c r="D340" s="393">
        <f t="shared" si="127"/>
        <v>6.0904093838468008</v>
      </c>
      <c r="E340" s="385">
        <f t="shared" si="125"/>
        <v>6.4064983273730096</v>
      </c>
      <c r="F340" s="385">
        <f t="shared" si="128"/>
        <v>6.4945804139766139</v>
      </c>
      <c r="G340" s="110">
        <f t="shared" si="126"/>
        <v>0.43850089746700216</v>
      </c>
      <c r="H340" s="414" t="b">
        <f>Wh_hp&gt;='2022'!Maxi_hp</f>
        <v>0</v>
      </c>
      <c r="I340" s="390">
        <f>IF(H340,Wh_hp,'2022'!Maxi_hp)</f>
        <v>15.138714921882022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4.3761034510051644E-2</v>
      </c>
      <c r="M340" s="850"/>
      <c r="N340" s="850"/>
      <c r="O340" s="48">
        <f>IF(t&lt;Tnet,'2022'!Resal+('2022'!Salim-'2022'!Resal)*(1-EXP(('2022'!Tnet-t)/('2022'!Tau_j))),Resal+(Salim-Resal)*(1-EXP((Tnet-t)/(Tau_j))))*Salcycl</f>
        <v>4.9338800601204824E-2</v>
      </c>
      <c r="P340" s="169">
        <f>(INDEX(Models!$BJ340:$BT340,,T340)*(1-R340)+INDEX(Models!$BJ340:$BT340,,T340+1)*R340-ERP_i)*Q340*Ramure*Pc/MaxiM</f>
        <v>5.9386223577400907E-2</v>
      </c>
      <c r="Q340" s="305">
        <f t="shared" si="130"/>
        <v>0.7</v>
      </c>
      <c r="R340" s="177">
        <f t="shared" si="131"/>
        <v>9.975860466624531E-2</v>
      </c>
      <c r="S340" s="817">
        <f t="shared" si="132"/>
        <v>0</v>
      </c>
      <c r="T340" s="176">
        <f t="shared" si="133"/>
        <v>6</v>
      </c>
      <c r="U340" s="251">
        <f t="shared" si="134"/>
        <v>9.975860466624531E-2</v>
      </c>
      <c r="V340" s="383">
        <f t="shared" si="135"/>
        <v>12.664386397524741</v>
      </c>
      <c r="W340" s="402">
        <f t="shared" si="136"/>
        <v>5.8238867686199383</v>
      </c>
      <c r="X340" s="157">
        <f t="shared" si="137"/>
        <v>45252</v>
      </c>
      <c r="Y340" s="385">
        <f t="shared" si="138"/>
        <v>5.4287425094228974</v>
      </c>
      <c r="Z340" s="385">
        <f t="shared" si="139"/>
        <v>5.6771818607510642</v>
      </c>
      <c r="AA340" s="386">
        <f t="shared" si="140"/>
        <v>6.4064983273730096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0.11384010880105891</v>
      </c>
      <c r="AD340" s="231">
        <f>(INDEX(Models!$BJ340:$BT340,,AH340)*(1-AF340)+INDEX(Models!$BJ340:$BT340,,AH340+1)*AF340-ERP_i)*AE340*Ramure*Pc/MaxiM</f>
        <v>5.9386223577400907E-2</v>
      </c>
      <c r="AE340" s="305">
        <f t="shared" si="142"/>
        <v>0.7</v>
      </c>
      <c r="AF340" s="177">
        <f t="shared" si="143"/>
        <v>9.975860466624531E-2</v>
      </c>
      <c r="AG340" s="817">
        <f t="shared" si="149"/>
        <v>0</v>
      </c>
      <c r="AH340" s="176">
        <f t="shared" si="144"/>
        <v>6</v>
      </c>
      <c r="AI340" s="225">
        <f t="shared" si="145"/>
        <v>9.975860466624531E-2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45253</v>
      </c>
      <c r="B341" s="411">
        <f>'2022'!Wh/'2022'!Env_an*'2023'!Env_an</f>
        <v>7.7247369849168308</v>
      </c>
      <c r="C341" s="846"/>
      <c r="D341" s="393">
        <f t="shared" si="127"/>
        <v>8.0784264801734089</v>
      </c>
      <c r="E341" s="385">
        <f t="shared" si="125"/>
        <v>8.498676134538707</v>
      </c>
      <c r="F341" s="385">
        <f t="shared" si="128"/>
        <v>8.7351075391821151</v>
      </c>
      <c r="G341" s="110">
        <f t="shared" si="126"/>
        <v>0.59839384217094926</v>
      </c>
      <c r="H341" s="414" t="b">
        <f>Wh_hp&gt;='2022'!Maxi_hp</f>
        <v>0</v>
      </c>
      <c r="I341" s="390">
        <f>IF(H341,Wh_hp,'2022'!Maxi_hp)</f>
        <v>14.559641419504979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4.3781978597518423E-2</v>
      </c>
      <c r="M341" s="850"/>
      <c r="N341" s="850"/>
      <c r="O341" s="48">
        <f>IF(t&lt;Tnet,'2022'!Resal+('2022'!Salim-'2022'!Resal)*(1-EXP(('2022'!Tnet-t)/('2022'!Tau_j))),Resal+(Salim-Resal)*(1-EXP((Tnet-t)/(Tau_j))))*Salcycl</f>
        <v>4.9448837408616934E-2</v>
      </c>
      <c r="P341" s="169">
        <f>(INDEX(Models!$BJ341:$BT341,,T341)*(1-R341)+INDEX(Models!$BJ341:$BT341,,T341+1)*R341-ERP_i)*Q341*Ramure*Pc/MaxiM</f>
        <v>5.9400885814660284E-2</v>
      </c>
      <c r="Q341" s="305">
        <f t="shared" si="130"/>
        <v>0.7</v>
      </c>
      <c r="R341" s="177">
        <f t="shared" si="131"/>
        <v>9.9772311433841299E-2</v>
      </c>
      <c r="S341" s="817">
        <f t="shared" si="132"/>
        <v>0</v>
      </c>
      <c r="T341" s="176">
        <f t="shared" si="133"/>
        <v>6</v>
      </c>
      <c r="U341" s="251">
        <f t="shared" si="134"/>
        <v>9.9772311433841299E-2</v>
      </c>
      <c r="V341" s="383">
        <f t="shared" si="135"/>
        <v>12.480101786797874</v>
      </c>
      <c r="W341" s="402">
        <f t="shared" si="136"/>
        <v>7.7247369849168308</v>
      </c>
      <c r="X341" s="157">
        <f t="shared" si="137"/>
        <v>45253</v>
      </c>
      <c r="Y341" s="385">
        <f t="shared" si="138"/>
        <v>7.2015443585450223</v>
      </c>
      <c r="Z341" s="385">
        <f t="shared" si="139"/>
        <v>7.5312786387172901</v>
      </c>
      <c r="AA341" s="386">
        <f t="shared" si="140"/>
        <v>8.498676134538707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0.11382919886662163</v>
      </c>
      <c r="AD341" s="231">
        <f>(INDEX(Models!$BJ341:$BT341,,AH341)*(1-AF341)+INDEX(Models!$BJ341:$BT341,,AH341+1)*AF341-ERP_i)*AE341*Ramure*Pc/MaxiM</f>
        <v>5.9400885814660284E-2</v>
      </c>
      <c r="AE341" s="305">
        <f t="shared" si="142"/>
        <v>0.7</v>
      </c>
      <c r="AF341" s="177">
        <f t="shared" si="143"/>
        <v>9.9772311433841299E-2</v>
      </c>
      <c r="AG341" s="817">
        <f t="shared" si="149"/>
        <v>0</v>
      </c>
      <c r="AH341" s="176">
        <f t="shared" si="144"/>
        <v>6</v>
      </c>
      <c r="AI341" s="225">
        <f t="shared" si="145"/>
        <v>9.9772311433841299E-2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45254</v>
      </c>
      <c r="B342" s="411">
        <f>'2022'!Wh/'2022'!Env_an*'2023'!Env_an</f>
        <v>7.4848128092296831</v>
      </c>
      <c r="C342" s="846"/>
      <c r="D342" s="393">
        <f t="shared" si="127"/>
        <v>7.8276884370491091</v>
      </c>
      <c r="E342" s="385">
        <f t="shared" si="125"/>
        <v>8.2358524822151047</v>
      </c>
      <c r="F342" s="385">
        <f t="shared" si="128"/>
        <v>8.4569948466111189</v>
      </c>
      <c r="G342" s="110">
        <f t="shared" si="126"/>
        <v>0.58764634511138392</v>
      </c>
      <c r="H342" s="414" t="b">
        <f>Wh_hp&gt;='2022'!Maxi_hp</f>
        <v>0</v>
      </c>
      <c r="I342" s="390">
        <f>IF(H342,Wh_hp,'2022'!Maxi_hp)</f>
        <v>14.017853674238541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4.3802922226256036E-2</v>
      </c>
      <c r="M342" s="850"/>
      <c r="N342" s="850"/>
      <c r="O342" s="48">
        <f>IF(t&lt;Tnet,'2022'!Resal+('2022'!Salim-'2022'!Resal)*(1-EXP(('2022'!Tnet-t)/('2022'!Tau_j))),Resal+(Salim-Resal)*(1-EXP((Tnet-t)/(Tau_j))))*Salcycl</f>
        <v>4.9559416714590868E-2</v>
      </c>
      <c r="P342" s="169">
        <f>(INDEX(Models!$BJ342:$BT342,,T342)*(1-R342)+INDEX(Models!$BJ342:$BT342,,T342+1)*R342-ERP_i)*Q342*Ramure*Pc/MaxiM</f>
        <v>5.9354382279244146E-2</v>
      </c>
      <c r="Q342" s="305">
        <f t="shared" si="130"/>
        <v>0.7</v>
      </c>
      <c r="R342" s="177">
        <f t="shared" si="131"/>
        <v>9.9785467504402647E-2</v>
      </c>
      <c r="S342" s="817">
        <f t="shared" si="132"/>
        <v>0</v>
      </c>
      <c r="T342" s="176">
        <f t="shared" si="133"/>
        <v>6</v>
      </c>
      <c r="U342" s="251">
        <f t="shared" si="134"/>
        <v>9.9785467504402647E-2</v>
      </c>
      <c r="V342" s="383">
        <f t="shared" si="135"/>
        <v>12.302643725924122</v>
      </c>
      <c r="W342" s="402">
        <f t="shared" si="136"/>
        <v>7.4848128092296831</v>
      </c>
      <c r="X342" s="157">
        <f t="shared" si="137"/>
        <v>45254</v>
      </c>
      <c r="Y342" s="385">
        <f t="shared" si="138"/>
        <v>6.9787531352390051</v>
      </c>
      <c r="Z342" s="385">
        <f t="shared" si="139"/>
        <v>7.2984464159702469</v>
      </c>
      <c r="AA342" s="386">
        <f t="shared" si="140"/>
        <v>8.2358524822151047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0.1138201623048905</v>
      </c>
      <c r="AD342" s="231">
        <f>(INDEX(Models!$BJ342:$BT342,,AH342)*(1-AF342)+INDEX(Models!$BJ342:$BT342,,AH342+1)*AF342-ERP_i)*AE342*Ramure*Pc/MaxiM</f>
        <v>5.9354382279244146E-2</v>
      </c>
      <c r="AE342" s="305">
        <f t="shared" si="142"/>
        <v>0.7</v>
      </c>
      <c r="AF342" s="177">
        <f t="shared" si="143"/>
        <v>9.9785467504402647E-2</v>
      </c>
      <c r="AG342" s="817">
        <f t="shared" si="149"/>
        <v>0</v>
      </c>
      <c r="AH342" s="176">
        <f t="shared" si="144"/>
        <v>6</v>
      </c>
      <c r="AI342" s="225">
        <f t="shared" si="145"/>
        <v>9.9785467504402647E-2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45255</v>
      </c>
      <c r="B343" s="411">
        <f>'2022'!Wh/'2022'!Env_an*'2023'!Env_an</f>
        <v>3.1559872128591935</v>
      </c>
      <c r="C343" s="846"/>
      <c r="D343" s="393">
        <f t="shared" si="127"/>
        <v>3.3006337416768408</v>
      </c>
      <c r="E343" s="385">
        <f t="shared" si="125"/>
        <v>3.4731468885890631</v>
      </c>
      <c r="F343" s="385">
        <f t="shared" si="128"/>
        <v>3.4731468885890631</v>
      </c>
      <c r="G343" s="110">
        <f t="shared" si="126"/>
        <v>0.24472562109558732</v>
      </c>
      <c r="H343" s="414" t="b">
        <f>Wh_hp&gt;='2022'!Maxi_hp</f>
        <v>0</v>
      </c>
      <c r="I343" s="390">
        <f>IF(H343,Wh_hp,'2022'!Maxi_hp)</f>
        <v>14.256922771094214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4.3823865396274364E-2</v>
      </c>
      <c r="M343" s="850"/>
      <c r="N343" s="850"/>
      <c r="O343" s="48">
        <f>IF(t&lt;Tnet,'2022'!Resal+('2022'!Salim-'2022'!Resal)*(1-EXP(('2022'!Tnet-t)/('2022'!Tau_j))),Resal+(Salim-Resal)*(1-EXP((Tnet-t)/(Tau_j))))*Salcycl</f>
        <v>4.9670558846505987E-2</v>
      </c>
      <c r="P343" s="169">
        <f>(INDEX(Models!$BJ343:$BT343,,T343)*(1-R343)+INDEX(Models!$BJ343:$BT343,,T343+1)*R343-ERP_i)*Q343*Ramure*Pc/MaxiM</f>
        <v>5.9244459610115714E-2</v>
      </c>
      <c r="Q343" s="305">
        <f t="shared" si="130"/>
        <v>0.7</v>
      </c>
      <c r="R343" s="177">
        <f t="shared" si="131"/>
        <v>9.9798094957844696E-2</v>
      </c>
      <c r="S343" s="817">
        <f t="shared" si="132"/>
        <v>0</v>
      </c>
      <c r="T343" s="176">
        <f t="shared" si="133"/>
        <v>6</v>
      </c>
      <c r="U343" s="251">
        <f t="shared" si="134"/>
        <v>9.9798094957844696E-2</v>
      </c>
      <c r="V343" s="383">
        <f t="shared" si="135"/>
        <v>12.132004988301775</v>
      </c>
      <c r="W343" s="402">
        <f t="shared" si="136"/>
        <v>3.1559872128591935</v>
      </c>
      <c r="X343" s="157">
        <f t="shared" si="137"/>
        <v>45255</v>
      </c>
      <c r="Y343" s="385">
        <f t="shared" si="138"/>
        <v>2.9429739008223286</v>
      </c>
      <c r="Z343" s="385">
        <f t="shared" si="139"/>
        <v>3.0778575142350784</v>
      </c>
      <c r="AA343" s="386">
        <f t="shared" si="140"/>
        <v>3.4731468885890631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0.11381303095837902</v>
      </c>
      <c r="AD343" s="231">
        <f>(INDEX(Models!$BJ343:$BT343,,AH343)*(1-AF343)+INDEX(Models!$BJ343:$BT343,,AH343+1)*AF343-ERP_i)*AE343*Ramure*Pc/MaxiM</f>
        <v>5.9244459610115714E-2</v>
      </c>
      <c r="AE343" s="305">
        <f t="shared" si="142"/>
        <v>0.7</v>
      </c>
      <c r="AF343" s="177">
        <f t="shared" si="143"/>
        <v>9.9798094957844696E-2</v>
      </c>
      <c r="AG343" s="817">
        <f t="shared" si="149"/>
        <v>0</v>
      </c>
      <c r="AH343" s="176">
        <f t="shared" si="144"/>
        <v>6</v>
      </c>
      <c r="AI343" s="225">
        <f t="shared" si="145"/>
        <v>9.9798094957844696E-2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45256</v>
      </c>
      <c r="B344" s="411">
        <f>'2022'!Wh/'2022'!Env_an*'2023'!Env_an</f>
        <v>6.2388913253130287</v>
      </c>
      <c r="C344" s="846"/>
      <c r="D344" s="393">
        <f t="shared" si="127"/>
        <v>6.5249777214147153</v>
      </c>
      <c r="E344" s="385">
        <f t="shared" si="125"/>
        <v>6.8668238775824832</v>
      </c>
      <c r="F344" s="385">
        <f t="shared" si="128"/>
        <v>6.9974905028139265</v>
      </c>
      <c r="G344" s="110">
        <f t="shared" si="126"/>
        <v>0.49983146087026181</v>
      </c>
      <c r="H344" s="414" t="b">
        <f>Wh_hp&gt;='2022'!Maxi_hp</f>
        <v>0</v>
      </c>
      <c r="I344" s="390">
        <f>IF(H344,Wh_hp,'2022'!Maxi_hp)</f>
        <v>13.332457203646875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4.3844808107583622E-2</v>
      </c>
      <c r="M344" s="850"/>
      <c r="N344" s="850"/>
      <c r="O344" s="48">
        <f>IF(t&lt;Tnet,'2022'!Resal+('2022'!Salim-'2022'!Resal)*(1-EXP(('2022'!Tnet-t)/('2022'!Tau_j))),Resal+(Salim-Resal)*(1-EXP((Tnet-t)/(Tau_j))))*Salcycl</f>
        <v>4.9782281046083461E-2</v>
      </c>
      <c r="P344" s="169">
        <f>(INDEX(Models!$BJ344:$BT344,,T344)*(1-R344)+INDEX(Models!$BJ344:$BT344,,T344+1)*R344-ERP_i)*Q344*Ramure*Pc/MaxiM</f>
        <v>5.9068877919930707E-2</v>
      </c>
      <c r="Q344" s="305">
        <f t="shared" si="130"/>
        <v>0.7</v>
      </c>
      <c r="R344" s="177">
        <f t="shared" si="131"/>
        <v>9.9810214992382684E-2</v>
      </c>
      <c r="S344" s="817">
        <f t="shared" si="132"/>
        <v>0</v>
      </c>
      <c r="T344" s="176">
        <f t="shared" si="133"/>
        <v>6</v>
      </c>
      <c r="U344" s="251">
        <f t="shared" si="134"/>
        <v>9.9810214992382684E-2</v>
      </c>
      <c r="V344" s="383">
        <f t="shared" si="135"/>
        <v>11.968178967378302</v>
      </c>
      <c r="W344" s="402">
        <f t="shared" si="136"/>
        <v>6.2388913253130287</v>
      </c>
      <c r="X344" s="157">
        <f t="shared" si="137"/>
        <v>45256</v>
      </c>
      <c r="Y344" s="385">
        <f t="shared" si="138"/>
        <v>5.8185156259610338</v>
      </c>
      <c r="Z344" s="385">
        <f t="shared" si="139"/>
        <v>6.0853255572927072</v>
      </c>
      <c r="AA344" s="386">
        <f t="shared" si="140"/>
        <v>6.8668238775824832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0.11380782938689686</v>
      </c>
      <c r="AD344" s="231">
        <f>(INDEX(Models!$BJ344:$BT344,,AH344)*(1-AF344)+INDEX(Models!$BJ344:$BT344,,AH344+1)*AF344-ERP_i)*AE344*Ramure*Pc/MaxiM</f>
        <v>5.9068877919930707E-2</v>
      </c>
      <c r="AE344" s="305">
        <f t="shared" si="142"/>
        <v>0.7</v>
      </c>
      <c r="AF344" s="177">
        <f t="shared" si="143"/>
        <v>9.9810214992382684E-2</v>
      </c>
      <c r="AG344" s="817">
        <f t="shared" si="149"/>
        <v>0</v>
      </c>
      <c r="AH344" s="176">
        <f t="shared" si="144"/>
        <v>6</v>
      </c>
      <c r="AI344" s="225">
        <f t="shared" si="145"/>
        <v>9.9810214992382684E-2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45257</v>
      </c>
      <c r="B345" s="411">
        <f>'2022'!Wh/'2022'!Env_an*'2023'!Env_an</f>
        <v>8.5894308856051609</v>
      </c>
      <c r="C345" s="846"/>
      <c r="D345" s="393">
        <f t="shared" si="127"/>
        <v>8.9834988013879418</v>
      </c>
      <c r="E345" s="385">
        <f t="shared" si="125"/>
        <v>9.4552654654562804</v>
      </c>
      <c r="F345" s="385">
        <f t="shared" si="128"/>
        <v>9.8075677322035499</v>
      </c>
      <c r="G345" s="110">
        <f t="shared" si="126"/>
        <v>0.71008416871336055</v>
      </c>
      <c r="H345" s="414" t="b">
        <f>Wh_hp&gt;='2022'!Maxi_hp</f>
        <v>0</v>
      </c>
      <c r="I345" s="390">
        <f>IF(H345,Wh_hp,'2022'!Maxi_hp)</f>
        <v>14.406333862137721</v>
      </c>
      <c r="J345" s="85">
        <f>IF(H345,An,'2022'!An_max)</f>
        <v>2018</v>
      </c>
      <c r="K345" s="197">
        <f t="shared" si="129"/>
        <v>45257</v>
      </c>
      <c r="L345" s="147">
        <f>IF(t&lt;Tvie,1-EXP((T0-t)*PertePVj)+'2022'!Pspv,1-EXP((T0-t)*PertePVj)+Pspv)</f>
        <v>4.3865750360193578E-2</v>
      </c>
      <c r="M345" s="850"/>
      <c r="N345" s="850"/>
      <c r="O345" s="48">
        <f>IF(t&lt;Tnet,'2022'!Resal+('2022'!Salim-'2022'!Resal)*(1-EXP(('2022'!Tnet-t)/('2022'!Tau_j))),Resal+(Salim-Resal)*(1-EXP((Tnet-t)/(Tau_j))))*Salcycl</f>
        <v>4.9894597437997311E-2</v>
      </c>
      <c r="P345" s="169">
        <f>(INDEX(Models!$BJ345:$BT345,,T345)*(1-R345)+INDEX(Models!$BJ345:$BT345,,T345+1)*R345-ERP_i)*Q345*Ramure*Pc/MaxiM</f>
        <v>5.8836288112912277E-2</v>
      </c>
      <c r="Q345" s="305">
        <f t="shared" si="130"/>
        <v>0.7</v>
      </c>
      <c r="R345" s="177">
        <f t="shared" si="131"/>
        <v>9.9821847959457588E-2</v>
      </c>
      <c r="S345" s="817">
        <f t="shared" si="132"/>
        <v>0</v>
      </c>
      <c r="T345" s="176">
        <f t="shared" si="133"/>
        <v>6</v>
      </c>
      <c r="U345" s="251">
        <f t="shared" si="134"/>
        <v>9.9821847959457588E-2</v>
      </c>
      <c r="V345" s="383">
        <f t="shared" si="135"/>
        <v>11.808842295524846</v>
      </c>
      <c r="W345" s="402">
        <f t="shared" si="136"/>
        <v>8.5894308856051609</v>
      </c>
      <c r="X345" s="157">
        <f t="shared" si="137"/>
        <v>45257</v>
      </c>
      <c r="Y345" s="385">
        <f t="shared" si="138"/>
        <v>8.0116525331607047</v>
      </c>
      <c r="Z345" s="385">
        <f t="shared" si="139"/>
        <v>8.3792129987800816</v>
      </c>
      <c r="AA345" s="386">
        <f t="shared" si="140"/>
        <v>9.4552654654562804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0.11380457488025396</v>
      </c>
      <c r="AD345" s="231">
        <f>(INDEX(Models!$BJ345:$BT345,,AH345)*(1-AF345)+INDEX(Models!$BJ345:$BT345,,AH345+1)*AF345-ERP_i)*AE345*Ramure*Pc/MaxiM</f>
        <v>5.8836288112912277E-2</v>
      </c>
      <c r="AE345" s="305">
        <f t="shared" si="142"/>
        <v>0.7</v>
      </c>
      <c r="AF345" s="177">
        <f t="shared" si="143"/>
        <v>9.9821847959457588E-2</v>
      </c>
      <c r="AG345" s="817">
        <f t="shared" si="149"/>
        <v>0</v>
      </c>
      <c r="AH345" s="176">
        <f t="shared" si="144"/>
        <v>6</v>
      </c>
      <c r="AI345" s="225">
        <f t="shared" si="145"/>
        <v>9.9821847959457588E-2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45258</v>
      </c>
      <c r="B346" s="411">
        <f>'2022'!Wh/'2022'!Env_an*'2023'!Env_an</f>
        <v>5.7297750176507707</v>
      </c>
      <c r="C346" s="846"/>
      <c r="D346" s="393">
        <f t="shared" si="127"/>
        <v>5.992778231023582</v>
      </c>
      <c r="E346" s="385">
        <f t="shared" si="125"/>
        <v>6.3082375397650123</v>
      </c>
      <c r="F346" s="385">
        <f t="shared" si="128"/>
        <v>6.41106560281745</v>
      </c>
      <c r="G346" s="110">
        <f t="shared" si="126"/>
        <v>0.47047986387101587</v>
      </c>
      <c r="H346" s="414" t="b">
        <f>Wh_hp&gt;='2022'!Maxi_hp</f>
        <v>0</v>
      </c>
      <c r="I346" s="390">
        <f>IF(H346,Wh_hp,'2022'!Maxi_hp)</f>
        <v>11.673950035161885</v>
      </c>
      <c r="J346" s="85">
        <f>IF(H346,An,'2022'!An_max)</f>
        <v>2018</v>
      </c>
      <c r="K346" s="197">
        <f t="shared" si="129"/>
        <v>45258</v>
      </c>
      <c r="L346" s="147">
        <f>IF(t&lt;Tvie,1-EXP((T0-t)*PertePVj)+'2022'!Pspv,1-EXP((T0-t)*PertePVj)+Pspv)</f>
        <v>4.3886692154114559E-2</v>
      </c>
      <c r="M346" s="850"/>
      <c r="N346" s="850"/>
      <c r="O346" s="48">
        <f>IF(t&lt;Tnet,'2022'!Resal+('2022'!Salim-'2022'!Resal)*(1-EXP(('2022'!Tnet-t)/('2022'!Tau_j))),Resal+(Salim-Resal)*(1-EXP((Tnet-t)/(Tau_j))))*Salcycl</f>
        <v>5.0007519018248806E-2</v>
      </c>
      <c r="P346" s="169">
        <f>(INDEX(Models!$BJ346:$BT346,,T346)*(1-R346)+INDEX(Models!$BJ346:$BT346,,T346+1)*R346-ERP_i)*Q346*Ramure*Pc/MaxiM</f>
        <v>5.8558790538797194E-2</v>
      </c>
      <c r="Q346" s="305">
        <f t="shared" si="130"/>
        <v>0.7</v>
      </c>
      <c r="R346" s="177">
        <f t="shared" si="131"/>
        <v>9.9833013397300607E-2</v>
      </c>
      <c r="S346" s="817">
        <f t="shared" si="132"/>
        <v>0</v>
      </c>
      <c r="T346" s="176">
        <f t="shared" si="133"/>
        <v>6</v>
      </c>
      <c r="U346" s="251">
        <f t="shared" si="134"/>
        <v>9.9833013397300607E-2</v>
      </c>
      <c r="V346" s="383">
        <f t="shared" si="135"/>
        <v>11.652306932689276</v>
      </c>
      <c r="W346" s="402">
        <f t="shared" si="136"/>
        <v>5.7297750176507707</v>
      </c>
      <c r="X346" s="157">
        <f t="shared" si="137"/>
        <v>45258</v>
      </c>
      <c r="Y346" s="385">
        <f t="shared" si="138"/>
        <v>5.3449979266886807</v>
      </c>
      <c r="Z346" s="385">
        <f t="shared" si="139"/>
        <v>5.5903394323952167</v>
      </c>
      <c r="AA346" s="386">
        <f t="shared" si="140"/>
        <v>6.3082375397650123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0.11380327751521836</v>
      </c>
      <c r="AD346" s="231">
        <f>(INDEX(Models!$BJ346:$BT346,,AH346)*(1-AF346)+INDEX(Models!$BJ346:$BT346,,AH346+1)*AF346-ERP_i)*AE346*Ramure*Pc/MaxiM</f>
        <v>5.8558790538797194E-2</v>
      </c>
      <c r="AE346" s="305">
        <f t="shared" si="142"/>
        <v>0.7</v>
      </c>
      <c r="AF346" s="177">
        <f t="shared" si="143"/>
        <v>9.9833013397300607E-2</v>
      </c>
      <c r="AG346" s="817">
        <f t="shared" si="149"/>
        <v>0</v>
      </c>
      <c r="AH346" s="176">
        <f t="shared" si="144"/>
        <v>6</v>
      </c>
      <c r="AI346" s="225">
        <f t="shared" si="145"/>
        <v>9.9833013397300607E-2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45259</v>
      </c>
      <c r="B347" s="411">
        <f>'2022'!Wh/'2022'!Env_an*'2023'!Env_an</f>
        <v>6.406776755534537</v>
      </c>
      <c r="C347" s="846"/>
      <c r="D347" s="393">
        <f t="shared" si="127"/>
        <v>6.7010018905565802</v>
      </c>
      <c r="E347" s="385">
        <f t="shared" si="125"/>
        <v>7.0545851304446447</v>
      </c>
      <c r="F347" s="385">
        <f t="shared" si="128"/>
        <v>7.2087657573510233</v>
      </c>
      <c r="G347" s="110">
        <f t="shared" si="126"/>
        <v>0.53615427831494489</v>
      </c>
      <c r="H347" s="414" t="b">
        <f>Wh_hp&gt;='2022'!Maxi_hp</f>
        <v>0</v>
      </c>
      <c r="I347" s="390">
        <f>IF(H347,Wh_hp,'2022'!Maxi_hp)</f>
        <v>13.75945482004663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4.3907633489356557E-2</v>
      </c>
      <c r="M347" s="850"/>
      <c r="N347" s="850"/>
      <c r="O347" s="48">
        <f>IF(t&lt;Tnet,'2022'!Resal+('2022'!Salim-'2022'!Resal)*(1-EXP(('2022'!Tnet-t)/('2022'!Tau_j))),Resal+(Salim-Resal)*(1-EXP((Tnet-t)/(Tau_j))))*Salcycl</f>
        <v>5.0121053662269453E-2</v>
      </c>
      <c r="P347" s="169">
        <f>(INDEX(Models!$BJ347:$BT347,,T347)*(1-R347)+INDEX(Models!$BJ347:$BT347,,T347+1)*R347-ERP_i)*Q347*Ramure*Pc/MaxiM</f>
        <v>5.8226415248625221E-2</v>
      </c>
      <c r="Q347" s="305">
        <f t="shared" si="130"/>
        <v>0.7</v>
      </c>
      <c r="R347" s="177">
        <f t="shared" si="131"/>
        <v>9.9843730063187752E-2</v>
      </c>
      <c r="S347" s="817">
        <f t="shared" si="132"/>
        <v>0</v>
      </c>
      <c r="T347" s="176">
        <f t="shared" si="133"/>
        <v>6</v>
      </c>
      <c r="U347" s="251">
        <f t="shared" si="134"/>
        <v>9.9843730063187752E-2</v>
      </c>
      <c r="V347" s="383">
        <f t="shared" si="135"/>
        <v>11.499680000633266</v>
      </c>
      <c r="W347" s="402">
        <f t="shared" si="136"/>
        <v>6.406776755534537</v>
      </c>
      <c r="X347" s="157">
        <f t="shared" si="137"/>
        <v>45259</v>
      </c>
      <c r="Y347" s="385">
        <f t="shared" si="138"/>
        <v>5.977246193638404</v>
      </c>
      <c r="Z347" s="385">
        <f t="shared" si="139"/>
        <v>6.2517455457289897</v>
      </c>
      <c r="AA347" s="386">
        <f t="shared" si="140"/>
        <v>7.0545851304446447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0.11380394025595278</v>
      </c>
      <c r="AD347" s="231">
        <f>(INDEX(Models!$BJ347:$BT347,,AH347)*(1-AF347)+INDEX(Models!$BJ347:$BT347,,AH347+1)*AF347-ERP_i)*AE347*Ramure*Pc/MaxiM</f>
        <v>5.8226415248625221E-2</v>
      </c>
      <c r="AE347" s="305">
        <f t="shared" si="142"/>
        <v>0.7</v>
      </c>
      <c r="AF347" s="177">
        <f t="shared" si="143"/>
        <v>9.9843730063187752E-2</v>
      </c>
      <c r="AG347" s="817">
        <f t="shared" si="149"/>
        <v>0</v>
      </c>
      <c r="AH347" s="176">
        <f t="shared" si="144"/>
        <v>6</v>
      </c>
      <c r="AI347" s="225">
        <f t="shared" si="145"/>
        <v>9.9843730063187752E-2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45260</v>
      </c>
      <c r="B348" s="411">
        <f>'2022'!Wh/'2022'!Env_an*'2023'!Env_an</f>
        <v>2.3815251254507763</v>
      </c>
      <c r="C348" s="846"/>
      <c r="D348" s="393">
        <f t="shared" si="127"/>
        <v>2.4909489621775265</v>
      </c>
      <c r="E348" s="385">
        <f t="shared" si="125"/>
        <v>2.6227008816433783</v>
      </c>
      <c r="F348" s="385">
        <f t="shared" si="128"/>
        <v>2.6227008816433783</v>
      </c>
      <c r="G348" s="110">
        <f t="shared" si="126"/>
        <v>0.1976559926577435</v>
      </c>
      <c r="H348" s="414" t="b">
        <f>Wh_hp&gt;='2022'!Maxi_hp</f>
        <v>0</v>
      </c>
      <c r="I348" s="390">
        <f>IF(H348,Wh_hp,'2022'!Maxi_hp)</f>
        <v>12.01500433375004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4.3928574365929451E-2</v>
      </c>
      <c r="M348" s="850"/>
      <c r="N348" s="850"/>
      <c r="O348" s="48">
        <f>IF(t&lt;Tnet,'2022'!Resal+('2022'!Salim-'2022'!Resal)*(1-EXP(('2022'!Tnet-t)/('2022'!Tau_j))),Resal+(Salim-Resal)*(1-EXP((Tnet-t)/(Tau_j))))*Salcycl</f>
        <v>5.0235206152558401E-2</v>
      </c>
      <c r="P348" s="169">
        <f>(INDEX(Models!$BJ348:$BT348,,T348)*(1-R348)+INDEX(Models!$BJ348:$BT348,,T348+1)*R348-ERP_i)*Q348*Ramure*Pc/MaxiM</f>
        <v>5.7832186435611485E-2</v>
      </c>
      <c r="Q348" s="305">
        <f t="shared" si="130"/>
        <v>0.7</v>
      </c>
      <c r="R348" s="177">
        <f t="shared" si="131"/>
        <v>9.9854015964433995E-2</v>
      </c>
      <c r="S348" s="817">
        <f t="shared" si="132"/>
        <v>0</v>
      </c>
      <c r="T348" s="176">
        <f t="shared" si="133"/>
        <v>6</v>
      </c>
      <c r="U348" s="251">
        <f t="shared" si="134"/>
        <v>9.9854015964433995E-2</v>
      </c>
      <c r="V348" s="383">
        <f t="shared" si="135"/>
        <v>11.352027784353188</v>
      </c>
      <c r="W348" s="402">
        <f t="shared" si="136"/>
        <v>2.3815251254507763</v>
      </c>
      <c r="X348" s="157">
        <f t="shared" si="137"/>
        <v>45260</v>
      </c>
      <c r="Y348" s="385">
        <f t="shared" si="138"/>
        <v>2.2221206336477599</v>
      </c>
      <c r="Z348" s="385">
        <f t="shared" si="139"/>
        <v>2.3242203187633605</v>
      </c>
      <c r="AA348" s="386">
        <f t="shared" si="140"/>
        <v>2.6227008816433783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0.11380655909681565</v>
      </c>
      <c r="AD348" s="231">
        <f>(INDEX(Models!$BJ348:$BT348,,AH348)*(1-AF348)+INDEX(Models!$BJ348:$BT348,,AH348+1)*AF348-ERP_i)*AE348*Ramure*Pc/MaxiM</f>
        <v>5.7832186435611485E-2</v>
      </c>
      <c r="AE348" s="305">
        <f t="shared" si="142"/>
        <v>0.7</v>
      </c>
      <c r="AF348" s="177">
        <f t="shared" si="143"/>
        <v>9.9854015964433995E-2</v>
      </c>
      <c r="AG348" s="817">
        <f t="shared" si="149"/>
        <v>0</v>
      </c>
      <c r="AH348" s="176">
        <f t="shared" si="144"/>
        <v>6</v>
      </c>
      <c r="AI348" s="225">
        <f t="shared" si="145"/>
        <v>9.9854015964433995E-2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45261</v>
      </c>
      <c r="B349" s="411">
        <f>'2022'!Wh/'2022'!Env_an*'2023'!Env_an</f>
        <v>2.2046746954776606</v>
      </c>
      <c r="C349" s="846"/>
      <c r="D349" s="393">
        <f t="shared" si="127"/>
        <v>2.3060233006201538</v>
      </c>
      <c r="E349" s="385">
        <f t="shared" si="125"/>
        <v>2.4282875246095035</v>
      </c>
      <c r="F349" s="385">
        <f t="shared" si="128"/>
        <v>2.4282875246095035</v>
      </c>
      <c r="G349" s="110">
        <f t="shared" si="126"/>
        <v>0.18538069125830961</v>
      </c>
      <c r="H349" s="414" t="b">
        <f>Wh_hp&gt;='2022'!Maxi_hp</f>
        <v>0</v>
      </c>
      <c r="I349" s="390">
        <f>IF(H349,Wh_hp,'2022'!Maxi_hp)</f>
        <v>12.606497833534238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4.3949514783843568E-2</v>
      </c>
      <c r="M349" s="850"/>
      <c r="N349" s="850"/>
      <c r="O349" s="48">
        <f>IF(t&lt;Tnet,'2022'!Resal+('2022'!Salim-'2022'!Resal)*(1-EXP(('2022'!Tnet-t)/('2022'!Tau_j))),Resal+(Salim-Resal)*(1-EXP((Tnet-t)/(Tau_j))))*Salcycl</f>
        <v>5.0349978225503217E-2</v>
      </c>
      <c r="P349" s="169">
        <f>(INDEX(Models!$BJ349:$BT349,,T349)*(1-R349)+INDEX(Models!$BJ349:$BT349,,T349+1)*R349-ERP_i)*Q349*Ramure*Pc/MaxiM</f>
        <v>5.7368978586925204E-2</v>
      </c>
      <c r="Q349" s="305">
        <f t="shared" si="130"/>
        <v>0.7</v>
      </c>
      <c r="R349" s="177">
        <f t="shared" si="131"/>
        <v>9.9863888388174837E-2</v>
      </c>
      <c r="S349" s="817">
        <f t="shared" si="132"/>
        <v>0</v>
      </c>
      <c r="T349" s="176">
        <f t="shared" si="133"/>
        <v>6</v>
      </c>
      <c r="U349" s="251">
        <f t="shared" si="134"/>
        <v>9.9863888388174837E-2</v>
      </c>
      <c r="V349" s="383">
        <f t="shared" si="135"/>
        <v>11.210416500097674</v>
      </c>
      <c r="W349" s="402">
        <f t="shared" si="136"/>
        <v>2.2046746954776606</v>
      </c>
      <c r="X349" s="157">
        <f t="shared" si="137"/>
        <v>45261</v>
      </c>
      <c r="Y349" s="385">
        <f t="shared" si="138"/>
        <v>2.0573454927557209</v>
      </c>
      <c r="Z349" s="385">
        <f t="shared" si="139"/>
        <v>2.1519213938692467</v>
      </c>
      <c r="AA349" s="386">
        <f t="shared" si="140"/>
        <v>2.4282875246095035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0.11381112324608257</v>
      </c>
      <c r="AD349" s="231">
        <f>(INDEX(Models!$BJ349:$BT349,,AH349)*(1-AF349)+INDEX(Models!$BJ349:$BT349,,AH349+1)*AF349-ERP_i)*AE349*Ramure*Pc/MaxiM</f>
        <v>5.7368978586925204E-2</v>
      </c>
      <c r="AE349" s="305">
        <f t="shared" si="142"/>
        <v>0.7</v>
      </c>
      <c r="AF349" s="177">
        <f t="shared" si="143"/>
        <v>9.9863888388174837E-2</v>
      </c>
      <c r="AG349" s="817">
        <f t="shared" si="149"/>
        <v>0</v>
      </c>
      <c r="AH349" s="176">
        <f t="shared" si="144"/>
        <v>6</v>
      </c>
      <c r="AI349" s="225">
        <f t="shared" si="145"/>
        <v>9.9863888388174837E-2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45262</v>
      </c>
      <c r="B350" s="411">
        <f>'2022'!Wh/'2022'!Env_an*'2023'!Env_an</f>
        <v>3.4075029892960225</v>
      </c>
      <c r="C350" s="846"/>
      <c r="D350" s="393">
        <f t="shared" si="127"/>
        <v>3.5642235181972377</v>
      </c>
      <c r="E350" s="385">
        <f t="shared" si="125"/>
        <v>3.7536530006078408</v>
      </c>
      <c r="F350" s="385">
        <f t="shared" si="128"/>
        <v>3.7559856778344374</v>
      </c>
      <c r="G350" s="110">
        <f t="shared" si="126"/>
        <v>0.29034657479591119</v>
      </c>
      <c r="H350" s="414" t="b">
        <f>Wh_hp&gt;='2022'!Maxi_hp</f>
        <v>0</v>
      </c>
      <c r="I350" s="390">
        <f>IF(H350,Wh_hp,'2022'!Maxi_hp)</f>
        <v>5.9138462610467215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4.3970454743108678E-2</v>
      </c>
      <c r="M350" s="850"/>
      <c r="N350" s="850"/>
      <c r="O350" s="48">
        <f>IF(t&lt;Tnet,'2022'!Resal+('2022'!Salim-'2022'!Resal)*(1-EXP(('2022'!Tnet-t)/('2022'!Tau_j))),Resal+(Salim-Resal)*(1-EXP((Tnet-t)/(Tau_j))))*Salcycl</f>
        <v>5.0465368636879386E-2</v>
      </c>
      <c r="P350" s="169">
        <f>(INDEX(Models!$BJ350:$BT350,,T350)*(1-R350)+INDEX(Models!$BJ350:$BT350,,T350+1)*R350-ERP_i)*Q350*Ramure*Pc/MaxiM</f>
        <v>5.6829598637601668E-2</v>
      </c>
      <c r="Q350" s="305">
        <f t="shared" si="130"/>
        <v>0.7</v>
      </c>
      <c r="R350" s="177">
        <f t="shared" si="131"/>
        <v>9.9873363929981751E-2</v>
      </c>
      <c r="S350" s="817">
        <f t="shared" si="132"/>
        <v>0</v>
      </c>
      <c r="T350" s="176">
        <f t="shared" si="133"/>
        <v>6</v>
      </c>
      <c r="U350" s="251">
        <f t="shared" si="134"/>
        <v>9.9873363929981751E-2</v>
      </c>
      <c r="V350" s="383">
        <f t="shared" si="135"/>
        <v>11.075912257795574</v>
      </c>
      <c r="W350" s="402">
        <f t="shared" si="136"/>
        <v>3.4075029892960225</v>
      </c>
      <c r="X350" s="157">
        <f t="shared" si="137"/>
        <v>45262</v>
      </c>
      <c r="Y350" s="385">
        <f t="shared" si="138"/>
        <v>3.1801569158413989</v>
      </c>
      <c r="Z350" s="385">
        <f t="shared" si="139"/>
        <v>3.3264211672316781</v>
      </c>
      <c r="AA350" s="386">
        <f t="shared" si="140"/>
        <v>3.7536530006078408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0.11381761534882938</v>
      </c>
      <c r="AD350" s="231">
        <f>(INDEX(Models!$BJ350:$BT350,,AH350)*(1-AF350)+INDEX(Models!$BJ350:$BT350,,AH350+1)*AF350-ERP_i)*AE350*Ramure*Pc/MaxiM</f>
        <v>5.6829598637601668E-2</v>
      </c>
      <c r="AE350" s="305">
        <f t="shared" si="142"/>
        <v>0.7</v>
      </c>
      <c r="AF350" s="177">
        <f t="shared" si="143"/>
        <v>9.9873363929981751E-2</v>
      </c>
      <c r="AG350" s="817">
        <f t="shared" si="149"/>
        <v>0</v>
      </c>
      <c r="AH350" s="176">
        <f t="shared" si="144"/>
        <v>6</v>
      </c>
      <c r="AI350" s="225">
        <f t="shared" si="145"/>
        <v>9.9873363929981751E-2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45263</v>
      </c>
      <c r="B351" s="411">
        <f>'2022'!Wh/'2022'!Env_an*'2023'!Env_an</f>
        <v>5.9419263623652485</v>
      </c>
      <c r="C351" s="846"/>
      <c r="D351" s="393">
        <f t="shared" si="127"/>
        <v>6.2153481951815666</v>
      </c>
      <c r="E351" s="385">
        <f t="shared" si="125"/>
        <v>6.5464780445980333</v>
      </c>
      <c r="F351" s="385">
        <f t="shared" si="128"/>
        <v>6.6765690927531889</v>
      </c>
      <c r="G351" s="110">
        <f t="shared" si="126"/>
        <v>0.52233869361844887</v>
      </c>
      <c r="H351" s="414" t="b">
        <f>Wh_hp&gt;='2022'!Maxi_hp</f>
        <v>0</v>
      </c>
      <c r="I351" s="390">
        <f>IF(H351,Wh_hp,'2022'!Maxi_hp)</f>
        <v>10.154627758831777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4.3991394243734883E-2</v>
      </c>
      <c r="M351" s="850"/>
      <c r="N351" s="850"/>
      <c r="O351" s="48">
        <f>IF(t&lt;Tnet,'2022'!Resal+('2022'!Salim-'2022'!Resal)*(1-EXP(('2022'!Tnet-t)/('2022'!Tau_j))),Resal+(Salim-Resal)*(1-EXP((Tnet-t)/(Tau_j))))*Salcycl</f>
        <v>5.0581373245375129E-2</v>
      </c>
      <c r="P351" s="169">
        <f>(INDEX(Models!$BJ351:$BT351,,T351)*(1-R351)+INDEX(Models!$BJ351:$BT351,,T351+1)*R351-ERP_i)*Q351*Ramure*Pc/MaxiM</f>
        <v>5.6206888556343315E-2</v>
      </c>
      <c r="Q351" s="305">
        <f t="shared" si="130"/>
        <v>0.7</v>
      </c>
      <c r="R351" s="177">
        <f t="shared" si="131"/>
        <v>9.9882458521354467E-2</v>
      </c>
      <c r="S351" s="817">
        <f t="shared" si="132"/>
        <v>0</v>
      </c>
      <c r="T351" s="176">
        <f t="shared" si="133"/>
        <v>6</v>
      </c>
      <c r="U351" s="251">
        <f t="shared" si="134"/>
        <v>9.9882458521354467E-2</v>
      </c>
      <c r="V351" s="383">
        <f t="shared" si="135"/>
        <v>10.949581033384565</v>
      </c>
      <c r="W351" s="402">
        <f t="shared" si="136"/>
        <v>5.9419263623652485</v>
      </c>
      <c r="X351" s="157">
        <f t="shared" si="137"/>
        <v>45263</v>
      </c>
      <c r="Y351" s="385">
        <f t="shared" si="138"/>
        <v>5.546110465983312</v>
      </c>
      <c r="Z351" s="385">
        <f t="shared" si="139"/>
        <v>5.8013185577926647</v>
      </c>
      <c r="AA351" s="386">
        <f t="shared" si="140"/>
        <v>6.5464780445980333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0.11382601174691988</v>
      </c>
      <c r="AD351" s="231">
        <f>(INDEX(Models!$BJ351:$BT351,,AH351)*(1-AF351)+INDEX(Models!$BJ351:$BT351,,AH351+1)*AF351-ERP_i)*AE351*Ramure*Pc/MaxiM</f>
        <v>5.6206888556343315E-2</v>
      </c>
      <c r="AE351" s="305">
        <f t="shared" si="142"/>
        <v>0.7</v>
      </c>
      <c r="AF351" s="177">
        <f t="shared" si="143"/>
        <v>9.9882458521354467E-2</v>
      </c>
      <c r="AG351" s="817">
        <f t="shared" si="149"/>
        <v>0</v>
      </c>
      <c r="AH351" s="176">
        <f t="shared" si="144"/>
        <v>6</v>
      </c>
      <c r="AI351" s="225">
        <f t="shared" si="145"/>
        <v>9.9882458521354467E-2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45264</v>
      </c>
      <c r="B352" s="411">
        <f>'2022'!Wh/'2022'!Env_an*'2023'!Env_an</f>
        <v>8.5507854839685074</v>
      </c>
      <c r="C352" s="846"/>
      <c r="D352" s="393">
        <f t="shared" si="127"/>
        <v>8.9444516720153739</v>
      </c>
      <c r="E352" s="385">
        <f t="shared" si="125"/>
        <v>9.4221349283487186</v>
      </c>
      <c r="F352" s="385">
        <f t="shared" si="128"/>
        <v>9.8029722462954485</v>
      </c>
      <c r="G352" s="110">
        <f t="shared" si="126"/>
        <v>0.77569503891026326</v>
      </c>
      <c r="H352" s="414" t="b">
        <f>Wh_hp&gt;='2022'!Maxi_hp</f>
        <v>0</v>
      </c>
      <c r="I352" s="390">
        <f>IF(H352,Wh_hp,'2022'!Maxi_hp)</f>
        <v>9.825135926325423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4.4012333285732397E-2</v>
      </c>
      <c r="M352" s="850"/>
      <c r="N352" s="850"/>
      <c r="O352" s="48">
        <f>IF(t&lt;Tnet,'2022'!Resal+('2022'!Salim-'2022'!Resal)*(1-EXP(('2022'!Tnet-t)/('2022'!Tau_j))),Resal+(Salim-Resal)*(1-EXP((Tnet-t)/(Tau_j))))*Salcycl</f>
        <v>5.0697985113344335E-2</v>
      </c>
      <c r="P352" s="169">
        <f>(INDEX(Models!$BJ352:$BT352,,T352)*(1-R352)+INDEX(Models!$BJ352:$BT352,,T352+1)*R352-ERP_i)*Q352*Ramure*Pc/MaxiM</f>
        <v>5.5564173190054023E-2</v>
      </c>
      <c r="Q352" s="305">
        <f t="shared" si="130"/>
        <v>0.7</v>
      </c>
      <c r="R352" s="177">
        <f t="shared" si="131"/>
        <v>9.9891187456135233E-2</v>
      </c>
      <c r="S352" s="817">
        <f t="shared" si="132"/>
        <v>0</v>
      </c>
      <c r="T352" s="176">
        <f t="shared" si="133"/>
        <v>6</v>
      </c>
      <c r="U352" s="251">
        <f t="shared" si="134"/>
        <v>9.9891187456135233E-2</v>
      </c>
      <c r="V352" s="383">
        <f t="shared" si="135"/>
        <v>10.831682086779022</v>
      </c>
      <c r="W352" s="402">
        <f t="shared" si="136"/>
        <v>8.5507854839685074</v>
      </c>
      <c r="X352" s="157">
        <f t="shared" si="137"/>
        <v>45264</v>
      </c>
      <c r="Y352" s="385">
        <f t="shared" si="138"/>
        <v>7.982070753934325</v>
      </c>
      <c r="Z352" s="385">
        <f t="shared" si="139"/>
        <v>8.3495541123126884</v>
      </c>
      <c r="AA352" s="386">
        <f t="shared" si="140"/>
        <v>9.4221349283487186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0.1138362827737604</v>
      </c>
      <c r="AD352" s="231">
        <f>(INDEX(Models!$BJ352:$BT352,,AH352)*(1-AF352)+INDEX(Models!$BJ352:$BT352,,AH352+1)*AF352-ERP_i)*AE352*Ramure*Pc/MaxiM</f>
        <v>5.5564173190054023E-2</v>
      </c>
      <c r="AE352" s="305">
        <f t="shared" si="142"/>
        <v>0.7</v>
      </c>
      <c r="AF352" s="177">
        <f t="shared" si="143"/>
        <v>9.9891187456135233E-2</v>
      </c>
      <c r="AG352" s="817">
        <f t="shared" si="149"/>
        <v>0</v>
      </c>
      <c r="AH352" s="176">
        <f t="shared" si="144"/>
        <v>6</v>
      </c>
      <c r="AI352" s="225">
        <f t="shared" si="145"/>
        <v>9.9891187456135233E-2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45265</v>
      </c>
      <c r="B353" s="411">
        <f>'2022'!Wh/'2022'!Env_an*'2023'!Env_an</f>
        <v>9.9641810916372151</v>
      </c>
      <c r="C353" s="846"/>
      <c r="D353" s="393">
        <f t="shared" si="127"/>
        <v>10.423146327612503</v>
      </c>
      <c r="E353" s="385">
        <f t="shared" si="125"/>
        <v>10.981155901965801</v>
      </c>
      <c r="F353" s="385">
        <f t="shared" si="128"/>
        <v>11.551713873510289</v>
      </c>
      <c r="G353" s="110">
        <f t="shared" si="126"/>
        <v>0.92382862250419773</v>
      </c>
      <c r="H353" s="414" t="b">
        <f>Wh_hp&gt;='2022'!Maxi_hp</f>
        <v>0</v>
      </c>
      <c r="I353" s="390">
        <f>IF(H353,Wh_hp,'2022'!Maxi_hp)</f>
        <v>11.560418979019833</v>
      </c>
      <c r="J353" s="85">
        <f>IF(H353,An,'2022'!An_max)</f>
        <v>2022</v>
      </c>
      <c r="K353" s="197">
        <f t="shared" si="129"/>
        <v>45265</v>
      </c>
      <c r="L353" s="147">
        <f>IF(t&lt;Tvie,1-EXP((T0-t)*PertePVj)+'2022'!Pspv,1-EXP((T0-t)*PertePVj)+Pspv)</f>
        <v>4.4033271869111101E-2</v>
      </c>
      <c r="M353" s="850"/>
      <c r="N353" s="850"/>
      <c r="O353" s="48">
        <f>IF(t&lt;Tnet,'2022'!Resal+('2022'!Salim-'2022'!Resal)*(1-EXP(('2022'!Tnet-t)/('2022'!Tau_j))),Resal+(Salim-Resal)*(1-EXP((Tnet-t)/(Tau_j))))*Salcycl</f>
        <v>5.0815194623856072E-2</v>
      </c>
      <c r="P353" s="169">
        <f>(INDEX(Models!$BJ353:$BT353,,T353)*(1-R353)+INDEX(Models!$BJ353:$BT353,,T353+1)*R353-ERP_i)*Q353*Ramure*Pc/MaxiM</f>
        <v>5.4944415167112279E-2</v>
      </c>
      <c r="Q353" s="305">
        <f t="shared" si="130"/>
        <v>0.7</v>
      </c>
      <c r="R353" s="177">
        <f t="shared" si="131"/>
        <v>9.9899565415884017E-2</v>
      </c>
      <c r="S353" s="817">
        <f t="shared" si="132"/>
        <v>0</v>
      </c>
      <c r="T353" s="176">
        <f t="shared" si="133"/>
        <v>6</v>
      </c>
      <c r="U353" s="251">
        <f t="shared" si="134"/>
        <v>9.9899565415884017E-2</v>
      </c>
      <c r="V353" s="383">
        <f t="shared" si="135"/>
        <v>10.722743494492766</v>
      </c>
      <c r="W353" s="402">
        <f t="shared" si="136"/>
        <v>9.9641810916372151</v>
      </c>
      <c r="X353" s="157">
        <f t="shared" si="137"/>
        <v>45265</v>
      </c>
      <c r="Y353" s="385">
        <f t="shared" si="138"/>
        <v>9.302482547099876</v>
      </c>
      <c r="Z353" s="385">
        <f t="shared" si="139"/>
        <v>9.7309689483525617</v>
      </c>
      <c r="AA353" s="386">
        <f t="shared" si="140"/>
        <v>10.981155901965801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0.11384839308122705</v>
      </c>
      <c r="AD353" s="231">
        <f>(INDEX(Models!$BJ353:$BT353,,AH353)*(1-AF353)+INDEX(Models!$BJ353:$BT353,,AH353+1)*AF353-ERP_i)*AE353*Ramure*Pc/MaxiM</f>
        <v>5.4944415167112279E-2</v>
      </c>
      <c r="AE353" s="305">
        <f t="shared" si="142"/>
        <v>0.7</v>
      </c>
      <c r="AF353" s="177">
        <f t="shared" si="143"/>
        <v>9.9899565415884017E-2</v>
      </c>
      <c r="AG353" s="817">
        <f t="shared" si="149"/>
        <v>0</v>
      </c>
      <c r="AH353" s="176">
        <f t="shared" si="144"/>
        <v>6</v>
      </c>
      <c r="AI353" s="225">
        <f t="shared" si="145"/>
        <v>9.9899565415884017E-2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45266</v>
      </c>
      <c r="B354" s="411">
        <f>'2022'!Wh/'2022'!Env_an*'2023'!Env_an</f>
        <v>7.2273340093466683</v>
      </c>
      <c r="C354" s="846"/>
      <c r="D354" s="393">
        <f t="shared" si="127"/>
        <v>7.5604015258024271</v>
      </c>
      <c r="E354" s="385">
        <f t="shared" si="125"/>
        <v>7.9661408973844505</v>
      </c>
      <c r="F354" s="385">
        <f t="shared" si="128"/>
        <v>8.2084882862463182</v>
      </c>
      <c r="G354" s="110">
        <f t="shared" si="126"/>
        <v>0.6628954217648978</v>
      </c>
      <c r="H354" s="414" t="b">
        <f>Wh_hp&gt;='2022'!Maxi_hp</f>
        <v>0</v>
      </c>
      <c r="I354" s="390">
        <f>IF(H354,Wh_hp,'2022'!Maxi_hp)</f>
        <v>11.896832592856089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4.4054209993881099E-2</v>
      </c>
      <c r="M354" s="850"/>
      <c r="N354" s="850"/>
      <c r="O354" s="48">
        <f>IF(t&lt;Tnet,'2022'!Resal+('2022'!Salim-'2022'!Resal)*(1-EXP(('2022'!Tnet-t)/('2022'!Tau_j))),Resal+(Salim-Resal)*(1-EXP((Tnet-t)/(Tau_j))))*Salcycl</f>
        <v>5.0932989612980775E-2</v>
      </c>
      <c r="P354" s="169">
        <f>(INDEX(Models!$BJ354:$BT354,,T354)*(1-R354)+INDEX(Models!$BJ354:$BT354,,T354+1)*R354-ERP_i)*Q354*Ramure*Pc/MaxiM</f>
        <v>5.4344241890981727E-2</v>
      </c>
      <c r="Q354" s="305">
        <f t="shared" si="130"/>
        <v>0.7</v>
      </c>
      <c r="R354" s="177">
        <f t="shared" si="131"/>
        <v>9.9907606494255785E-2</v>
      </c>
      <c r="S354" s="817">
        <f t="shared" si="132"/>
        <v>0</v>
      </c>
      <c r="T354" s="176">
        <f t="shared" si="133"/>
        <v>6</v>
      </c>
      <c r="U354" s="251">
        <f t="shared" si="134"/>
        <v>9.9907606494255785E-2</v>
      </c>
      <c r="V354" s="383">
        <f t="shared" si="135"/>
        <v>10.623836466709525</v>
      </c>
      <c r="W354" s="402">
        <f t="shared" si="136"/>
        <v>7.2273340093466683</v>
      </c>
      <c r="X354" s="157">
        <f t="shared" si="137"/>
        <v>45266</v>
      </c>
      <c r="Y354" s="385">
        <f t="shared" si="138"/>
        <v>6.7481147818395737</v>
      </c>
      <c r="Z354" s="385">
        <f t="shared" si="139"/>
        <v>7.0590977567842836</v>
      </c>
      <c r="AA354" s="386">
        <f t="shared" si="140"/>
        <v>7.9661408973844496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0.11386230199593617</v>
      </c>
      <c r="AD354" s="231">
        <f>(INDEX(Models!$BJ354:$BT354,,AH354)*(1-AF354)+INDEX(Models!$BJ354:$BT354,,AH354+1)*AF354-ERP_i)*AE354*Ramure*Pc/MaxiM</f>
        <v>5.4344241890981727E-2</v>
      </c>
      <c r="AE354" s="305">
        <f t="shared" si="142"/>
        <v>0.7</v>
      </c>
      <c r="AF354" s="177">
        <f t="shared" si="143"/>
        <v>9.9907606494255785E-2</v>
      </c>
      <c r="AG354" s="817">
        <f t="shared" si="149"/>
        <v>0</v>
      </c>
      <c r="AH354" s="176">
        <f t="shared" si="144"/>
        <v>6</v>
      </c>
      <c r="AI354" s="225">
        <f t="shared" si="145"/>
        <v>9.9907606494255785E-2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45267</v>
      </c>
      <c r="B355" s="411">
        <f>'2022'!Wh/'2022'!Env_an*'2023'!Env_an</f>
        <v>8.4338404228071848</v>
      </c>
      <c r="C355" s="846"/>
      <c r="D355" s="393">
        <f t="shared" si="127"/>
        <v>8.8227023307977852</v>
      </c>
      <c r="E355" s="385">
        <f t="shared" si="125"/>
        <v>9.2973443632415833</v>
      </c>
      <c r="F355" s="385">
        <f t="shared" si="128"/>
        <v>9.6689889805472262</v>
      </c>
      <c r="G355" s="110">
        <f t="shared" si="126"/>
        <v>0.78771959336222652</v>
      </c>
      <c r="H355" s="414" t="b">
        <f>Wh_hp&gt;='2022'!Maxi_hp</f>
        <v>0</v>
      </c>
      <c r="I355" s="390">
        <f>IF(H355,Wh_hp,'2022'!Maxi_hp)</f>
        <v>11.718067390953806</v>
      </c>
      <c r="J355" s="85">
        <f>IF(H355,An,'2022'!An_max)</f>
        <v>2018</v>
      </c>
      <c r="K355" s="197">
        <f t="shared" si="129"/>
        <v>45267</v>
      </c>
      <c r="L355" s="147">
        <f>IF(t&lt;Tvie,1-EXP((T0-t)*PertePVj)+'2022'!Pspv,1-EXP((T0-t)*PertePVj)+Pspv)</f>
        <v>4.4075147660052383E-2</v>
      </c>
      <c r="M355" s="850"/>
      <c r="N355" s="850"/>
      <c r="O355" s="48">
        <f>IF(t&lt;Tnet,'2022'!Resal+('2022'!Salim-'2022'!Resal)*(1-EXP(('2022'!Tnet-t)/('2022'!Tau_j))),Resal+(Salim-Resal)*(1-EXP((Tnet-t)/(Tau_j))))*Salcycl</f>
        <v>5.105135551613698E-2</v>
      </c>
      <c r="P355" s="169">
        <f>(INDEX(Models!$BJ355:$BT355,,T355)*(1-R355)+INDEX(Models!$BJ355:$BT355,,T355+1)*R355-ERP_i)*Q355*Ramure*Pc/MaxiM</f>
        <v>5.3760283142185124E-2</v>
      </c>
      <c r="Q355" s="305">
        <f t="shared" si="130"/>
        <v>0.7</v>
      </c>
      <c r="R355" s="177">
        <f t="shared" si="131"/>
        <v>9.99153242204181E-2</v>
      </c>
      <c r="S355" s="817">
        <f t="shared" si="132"/>
        <v>0</v>
      </c>
      <c r="T355" s="176">
        <f t="shared" si="133"/>
        <v>6</v>
      </c>
      <c r="U355" s="251">
        <f t="shared" si="134"/>
        <v>9.99153242204181E-2</v>
      </c>
      <c r="V355" s="383">
        <f t="shared" si="135"/>
        <v>10.536031309737769</v>
      </c>
      <c r="W355" s="402">
        <f t="shared" si="136"/>
        <v>8.4338404228071848</v>
      </c>
      <c r="X355" s="157">
        <f t="shared" si="137"/>
        <v>45267</v>
      </c>
      <c r="Y355" s="385">
        <f t="shared" si="138"/>
        <v>7.8754650117550327</v>
      </c>
      <c r="Z355" s="385">
        <f t="shared" si="139"/>
        <v>8.2385817174615585</v>
      </c>
      <c r="AA355" s="386">
        <f t="shared" si="140"/>
        <v>9.2973443632415833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0.11387796390182114</v>
      </c>
      <c r="AD355" s="231">
        <f>(INDEX(Models!$BJ355:$BT355,,AH355)*(1-AF355)+INDEX(Models!$BJ355:$BT355,,AH355+1)*AF355-ERP_i)*AE355*Ramure*Pc/MaxiM</f>
        <v>5.3760283142185124E-2</v>
      </c>
      <c r="AE355" s="305">
        <f t="shared" si="142"/>
        <v>0.7</v>
      </c>
      <c r="AF355" s="177">
        <f t="shared" si="143"/>
        <v>9.99153242204181E-2</v>
      </c>
      <c r="AG355" s="817">
        <f t="shared" si="149"/>
        <v>0</v>
      </c>
      <c r="AH355" s="176">
        <f t="shared" si="144"/>
        <v>6</v>
      </c>
      <c r="AI355" s="225">
        <f t="shared" si="145"/>
        <v>9.99153242204181E-2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45268</v>
      </c>
      <c r="B356" s="411">
        <f>'2022'!Wh/'2022'!Env_an*'2023'!Env_an</f>
        <v>2.7767489687100424</v>
      </c>
      <c r="C356" s="846"/>
      <c r="D356" s="393">
        <f t="shared" si="127"/>
        <v>2.9048410878467252</v>
      </c>
      <c r="E356" s="385">
        <f t="shared" si="125"/>
        <v>3.061498826315538</v>
      </c>
      <c r="F356" s="385">
        <f t="shared" si="128"/>
        <v>3.061498826315538</v>
      </c>
      <c r="G356" s="110">
        <f t="shared" si="126"/>
        <v>0.2513342312166032</v>
      </c>
      <c r="H356" s="414" t="b">
        <f>Wh_hp&gt;='2022'!Maxi_hp</f>
        <v>0</v>
      </c>
      <c r="I356" s="390">
        <f>IF(H356,Wh_hp,'2022'!Maxi_hp)</f>
        <v>10.360105711351219</v>
      </c>
      <c r="J356" s="85">
        <f>IF(H356,An,'2022'!An_max)</f>
        <v>2018</v>
      </c>
      <c r="K356" s="197">
        <f t="shared" si="129"/>
        <v>45268</v>
      </c>
      <c r="L356" s="147">
        <f>IF(t&lt;Tvie,1-EXP((T0-t)*PertePVj)+'2022'!Pspv,1-EXP((T0-t)*PertePVj)+Pspv)</f>
        <v>4.4096084867635166E-2</v>
      </c>
      <c r="M356" s="850"/>
      <c r="N356" s="850"/>
      <c r="O356" s="48">
        <f>IF(t&lt;Tnet,'2022'!Resal+('2022'!Salim-'2022'!Resal)*(1-EXP(('2022'!Tnet-t)/('2022'!Tau_j))),Resal+(Salim-Resal)*(1-EXP((Tnet-t)/(Tau_j))))*Salcycl</f>
        <v>5.1170275527215439E-2</v>
      </c>
      <c r="P356" s="169">
        <f>(INDEX(Models!$BJ356:$BT356,,T356)*(1-R356)+INDEX(Models!$BJ356:$BT356,,T356+1)*R356-ERP_i)*Q356*Ramure*Pc/MaxiM</f>
        <v>5.3189191279003602E-2</v>
      </c>
      <c r="Q356" s="305">
        <f t="shared" si="130"/>
        <v>0.7</v>
      </c>
      <c r="R356" s="177">
        <f t="shared" si="131"/>
        <v>9.9922731581545798E-2</v>
      </c>
      <c r="S356" s="817">
        <f t="shared" si="132"/>
        <v>0</v>
      </c>
      <c r="T356" s="176">
        <f t="shared" si="133"/>
        <v>6</v>
      </c>
      <c r="U356" s="251">
        <f t="shared" si="134"/>
        <v>9.9922731581545798E-2</v>
      </c>
      <c r="V356" s="383">
        <f t="shared" si="135"/>
        <v>10.460397391765518</v>
      </c>
      <c r="W356" s="402">
        <f t="shared" si="136"/>
        <v>2.7767489687100424</v>
      </c>
      <c r="X356" s="157">
        <f t="shared" si="137"/>
        <v>45268</v>
      </c>
      <c r="Y356" s="385">
        <f t="shared" si="138"/>
        <v>2.5931841814073642</v>
      </c>
      <c r="Z356" s="385">
        <f t="shared" si="139"/>
        <v>2.7128084113436062</v>
      </c>
      <c r="AA356" s="386">
        <f t="shared" si="140"/>
        <v>3.061498826315538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0.1138953286457976</v>
      </c>
      <c r="AD356" s="231">
        <f>(INDEX(Models!$BJ356:$BT356,,AH356)*(1-AF356)+INDEX(Models!$BJ356:$BT356,,AH356+1)*AF356-ERP_i)*AE356*Ramure*Pc/MaxiM</f>
        <v>5.3189191279003602E-2</v>
      </c>
      <c r="AE356" s="305">
        <f t="shared" si="142"/>
        <v>0.7</v>
      </c>
      <c r="AF356" s="177">
        <f t="shared" si="143"/>
        <v>9.9922731581545798E-2</v>
      </c>
      <c r="AG356" s="817">
        <f t="shared" si="149"/>
        <v>0</v>
      </c>
      <c r="AH356" s="176">
        <f t="shared" si="144"/>
        <v>6</v>
      </c>
      <c r="AI356" s="225">
        <f t="shared" si="145"/>
        <v>9.9922731581545798E-2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45269</v>
      </c>
      <c r="B357" s="411">
        <f>'2022'!Wh/'2022'!Env_an*'2023'!Env_an</f>
        <v>3.9553116047452619</v>
      </c>
      <c r="C357" s="846"/>
      <c r="D357" s="393">
        <f t="shared" si="127"/>
        <v>4.1378617406020677</v>
      </c>
      <c r="E357" s="385">
        <f t="shared" si="125"/>
        <v>4.3615652478986657</v>
      </c>
      <c r="F357" s="385">
        <f t="shared" si="128"/>
        <v>4.3880869405916245</v>
      </c>
      <c r="G357" s="110">
        <f t="shared" si="126"/>
        <v>0.36256368885258361</v>
      </c>
      <c r="H357" s="414" t="b">
        <f>Wh_hp&gt;='2022'!Maxi_hp</f>
        <v>0</v>
      </c>
      <c r="I357" s="390">
        <f>IF(H357,Wh_hp,'2022'!Maxi_hp)</f>
        <v>6.3586080107423522</v>
      </c>
      <c r="J357" s="85">
        <f>IF(H357,An,'2022'!An_max)</f>
        <v>2019</v>
      </c>
      <c r="K357" s="197">
        <f t="shared" si="129"/>
        <v>45269</v>
      </c>
      <c r="L357" s="147">
        <f>IF(t&lt;Tvie,1-EXP((T0-t)*PertePVj)+'2022'!Pspv,1-EXP((T0-t)*PertePVj)+Pspv)</f>
        <v>4.4117021616639218E-2</v>
      </c>
      <c r="M357" s="850"/>
      <c r="N357" s="850"/>
      <c r="O357" s="48">
        <f>IF(t&lt;Tnet,'2022'!Resal+('2022'!Salim-'2022'!Resal)*(1-EXP(('2022'!Tnet-t)/('2022'!Tau_j))),Resal+(Salim-Resal)*(1-EXP((Tnet-t)/(Tau_j))))*Salcycl</f>
        <v>5.1289730769102773E-2</v>
      </c>
      <c r="P357" s="169">
        <f>(INDEX(Models!$BJ357:$BT357,,T357)*(1-R357)+INDEX(Models!$BJ357:$BT357,,T357+1)*R357-ERP_i)*Q357*Ramure*Pc/MaxiM</f>
        <v>5.2627668386719832E-2</v>
      </c>
      <c r="Q357" s="305">
        <f t="shared" si="130"/>
        <v>0.7</v>
      </c>
      <c r="R357" s="177">
        <f t="shared" si="131"/>
        <v>9.9929841044427759E-2</v>
      </c>
      <c r="S357" s="817">
        <f t="shared" si="132"/>
        <v>0</v>
      </c>
      <c r="T357" s="176">
        <f t="shared" si="133"/>
        <v>6</v>
      </c>
      <c r="U357" s="251">
        <f t="shared" si="134"/>
        <v>9.9929841044427759E-2</v>
      </c>
      <c r="V357" s="383">
        <f t="shared" si="135"/>
        <v>10.398003116287356</v>
      </c>
      <c r="W357" s="402">
        <f t="shared" si="136"/>
        <v>3.9553116047452619</v>
      </c>
      <c r="X357" s="157">
        <f t="shared" si="137"/>
        <v>45269</v>
      </c>
      <c r="Y357" s="385">
        <f t="shared" si="138"/>
        <v>3.6942204587631791</v>
      </c>
      <c r="Z357" s="385">
        <f t="shared" si="139"/>
        <v>3.8647204127549561</v>
      </c>
      <c r="AA357" s="386">
        <f t="shared" si="140"/>
        <v>4.3615652478986657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0.11391434196314769</v>
      </c>
      <c r="AD357" s="231">
        <f>(INDEX(Models!$BJ357:$BT357,,AH357)*(1-AF357)+INDEX(Models!$BJ357:$BT357,,AH357+1)*AF357-ERP_i)*AE357*Ramure*Pc/MaxiM</f>
        <v>5.2627668386719832E-2</v>
      </c>
      <c r="AE357" s="305">
        <f t="shared" si="142"/>
        <v>0.7</v>
      </c>
      <c r="AF357" s="177">
        <f t="shared" si="143"/>
        <v>9.9929841044427759E-2</v>
      </c>
      <c r="AG357" s="817">
        <f t="shared" si="149"/>
        <v>0</v>
      </c>
      <c r="AH357" s="176">
        <f t="shared" si="144"/>
        <v>6</v>
      </c>
      <c r="AI357" s="225">
        <f t="shared" si="145"/>
        <v>9.9929841044427759E-2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45270</v>
      </c>
      <c r="B358" s="411">
        <f>'2022'!Wh/'2022'!Env_an*'2023'!Env_an</f>
        <v>6.8126463744892014</v>
      </c>
      <c r="C358" s="846"/>
      <c r="D358" s="393">
        <f t="shared" si="127"/>
        <v>7.1272276484297334</v>
      </c>
      <c r="E358" s="385">
        <f t="shared" si="125"/>
        <v>7.5134941312305425</v>
      </c>
      <c r="F358" s="385">
        <f t="shared" si="128"/>
        <v>7.7192002144227398</v>
      </c>
      <c r="G358" s="110">
        <f t="shared" si="126"/>
        <v>0.64103907385610559</v>
      </c>
      <c r="H358" s="414" t="b">
        <f>Wh_hp&gt;='2022'!Maxi_hp</f>
        <v>0</v>
      </c>
      <c r="I358" s="390">
        <f>IF(H358,Wh_hp,'2022'!Maxi_hp)</f>
        <v>11.203024909325297</v>
      </c>
      <c r="J358" s="85">
        <f>IF(H358,An,'2022'!An_max)</f>
        <v>2019</v>
      </c>
      <c r="K358" s="197">
        <f t="shared" si="129"/>
        <v>45270</v>
      </c>
      <c r="L358" s="147">
        <f>IF(t&lt;Tvie,1-EXP((T0-t)*PertePVj)+'2022'!Pspv,1-EXP((T0-t)*PertePVj)+Pspv)</f>
        <v>4.4137957907074865E-2</v>
      </c>
      <c r="M358" s="850"/>
      <c r="N358" s="850"/>
      <c r="O358" s="48">
        <f>IF(t&lt;Tnet,'2022'!Resal+('2022'!Salim-'2022'!Resal)*(1-EXP(('2022'!Tnet-t)/('2022'!Tau_j))),Resal+(Salim-Resal)*(1-EXP((Tnet-t)/(Tau_j))))*Salcycl</f>
        <v>5.1409700474145011E-2</v>
      </c>
      <c r="P358" s="169">
        <f>(INDEX(Models!$BJ358:$BT358,,T358)*(1-R358)+INDEX(Models!$BJ358:$BT358,,T358+1)*R358-ERP_i)*Q358*Ramure*Pc/MaxiM</f>
        <v>5.2072500072980164E-2</v>
      </c>
      <c r="Q358" s="305">
        <f t="shared" si="130"/>
        <v>0.7</v>
      </c>
      <c r="R358" s="177">
        <f t="shared" si="131"/>
        <v>9.9936664576221412E-2</v>
      </c>
      <c r="S358" s="817">
        <f t="shared" si="132"/>
        <v>0</v>
      </c>
      <c r="T358" s="176">
        <f t="shared" si="133"/>
        <v>6</v>
      </c>
      <c r="U358" s="251">
        <f t="shared" si="134"/>
        <v>9.9936664576221412E-2</v>
      </c>
      <c r="V358" s="383">
        <f t="shared" si="135"/>
        <v>10.349915896961047</v>
      </c>
      <c r="W358" s="402">
        <f t="shared" si="136"/>
        <v>6.8126463744892014</v>
      </c>
      <c r="X358" s="157">
        <f t="shared" si="137"/>
        <v>45270</v>
      </c>
      <c r="Y358" s="385">
        <f t="shared" si="138"/>
        <v>6.3635985749199264</v>
      </c>
      <c r="Z358" s="385">
        <f t="shared" si="139"/>
        <v>6.6574445837250673</v>
      </c>
      <c r="AA358" s="386">
        <f t="shared" si="140"/>
        <v>7.5134941312305425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0.11393494591913306</v>
      </c>
      <c r="AD358" s="231">
        <f>(INDEX(Models!$BJ358:$BT358,,AH358)*(1-AF358)+INDEX(Models!$BJ358:$BT358,,AH358+1)*AF358-ERP_i)*AE358*Ramure*Pc/MaxiM</f>
        <v>5.2072500072980164E-2</v>
      </c>
      <c r="AE358" s="305">
        <f t="shared" si="142"/>
        <v>0.7</v>
      </c>
      <c r="AF358" s="177">
        <f t="shared" si="143"/>
        <v>9.9936664576221412E-2</v>
      </c>
      <c r="AG358" s="817">
        <f t="shared" si="149"/>
        <v>0</v>
      </c>
      <c r="AH358" s="176">
        <f t="shared" si="144"/>
        <v>6</v>
      </c>
      <c r="AI358" s="225">
        <f t="shared" si="145"/>
        <v>9.9936664576221412E-2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45271</v>
      </c>
      <c r="B359" s="411">
        <f>'2022'!Wh/'2022'!Env_an*'2023'!Env_an</f>
        <v>7.943993844529766</v>
      </c>
      <c r="C359" s="846"/>
      <c r="D359" s="393">
        <f t="shared" si="127"/>
        <v>8.310998336956013</v>
      </c>
      <c r="E359" s="385">
        <f t="shared" si="125"/>
        <v>8.762533088028599</v>
      </c>
      <c r="F359" s="385">
        <f t="shared" si="128"/>
        <v>9.0765251772139077</v>
      </c>
      <c r="G359" s="110">
        <f t="shared" si="126"/>
        <v>0.75650155727428736</v>
      </c>
      <c r="H359" s="414" t="b">
        <f>Wh_hp&gt;='2022'!Maxi_hp</f>
        <v>0</v>
      </c>
      <c r="I359" s="390">
        <f>IF(H359,Wh_hp,'2022'!Maxi_hp)</f>
        <v>10.504365744752464</v>
      </c>
      <c r="J359" s="85">
        <f>IF(H359,An,'2022'!An_max)</f>
        <v>2021</v>
      </c>
      <c r="K359" s="197">
        <f t="shared" si="129"/>
        <v>45271</v>
      </c>
      <c r="L359" s="147">
        <f>IF(t&lt;Tvie,1-EXP((T0-t)*PertePVj)+'2022'!Pspv,1-EXP((T0-t)*PertePVj)+Pspv)</f>
        <v>4.4158893738951988E-2</v>
      </c>
      <c r="M359" s="850"/>
      <c r="N359" s="850"/>
      <c r="O359" s="48">
        <f>IF(t&lt;Tnet,'2022'!Resal+('2022'!Salim-'2022'!Resal)*(1-EXP(('2022'!Tnet-t)/('2022'!Tau_j))),Resal+(Salim-Resal)*(1-EXP((Tnet-t)/(Tau_j))))*Salcycl</f>
        <v>5.1530162173022191E-2</v>
      </c>
      <c r="P359" s="169">
        <f>(INDEX(Models!$BJ359:$BT359,,T359)*(1-R359)+INDEX(Models!$BJ359:$BT359,,T359+1)*R359-ERP_i)*Q359*Ramure*Pc/MaxiM</f>
        <v>5.1522376532860667E-2</v>
      </c>
      <c r="Q359" s="305">
        <f t="shared" si="130"/>
        <v>0.7</v>
      </c>
      <c r="R359" s="177">
        <f t="shared" si="131"/>
        <v>9.9943213664386521E-2</v>
      </c>
      <c r="S359" s="817">
        <f t="shared" si="132"/>
        <v>0</v>
      </c>
      <c r="T359" s="176">
        <f t="shared" si="133"/>
        <v>6</v>
      </c>
      <c r="U359" s="251">
        <f t="shared" si="134"/>
        <v>9.9943213664386521E-2</v>
      </c>
      <c r="V359" s="383">
        <f t="shared" si="135"/>
        <v>10.316826044502655</v>
      </c>
      <c r="W359" s="402">
        <f t="shared" si="136"/>
        <v>7.943993844529766</v>
      </c>
      <c r="X359" s="157">
        <f t="shared" si="137"/>
        <v>45271</v>
      </c>
      <c r="Y359" s="385">
        <f t="shared" si="138"/>
        <v>7.4211316235988649</v>
      </c>
      <c r="Z359" s="385">
        <f t="shared" si="139"/>
        <v>7.7639804094929703</v>
      </c>
      <c r="AA359" s="386">
        <f t="shared" si="140"/>
        <v>8.762533088028599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0.11395707936325555</v>
      </c>
      <c r="AD359" s="231">
        <f>(INDEX(Models!$BJ359:$BT359,,AH359)*(1-AF359)+INDEX(Models!$BJ359:$BT359,,AH359+1)*AF359-ERP_i)*AE359*Ramure*Pc/MaxiM</f>
        <v>5.1522376532860667E-2</v>
      </c>
      <c r="AE359" s="305">
        <f t="shared" si="142"/>
        <v>0.7</v>
      </c>
      <c r="AF359" s="177">
        <f t="shared" si="143"/>
        <v>9.9943213664386521E-2</v>
      </c>
      <c r="AG359" s="817">
        <f t="shared" si="149"/>
        <v>0</v>
      </c>
      <c r="AH359" s="176">
        <f t="shared" si="144"/>
        <v>6</v>
      </c>
      <c r="AI359" s="225">
        <f t="shared" si="145"/>
        <v>9.9943213664386521E-2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45272</v>
      </c>
      <c r="B360" s="411">
        <f>'2022'!Wh/'2022'!Env_an*'2023'!Env_an</f>
        <v>3.2011227362532813</v>
      </c>
      <c r="C360" s="846"/>
      <c r="D360" s="393">
        <f t="shared" si="127"/>
        <v>3.3490847271827646</v>
      </c>
      <c r="E360" s="385">
        <f t="shared" si="125"/>
        <v>3.5314900439532018</v>
      </c>
      <c r="F360" s="385">
        <f t="shared" si="128"/>
        <v>3.5342826360389377</v>
      </c>
      <c r="G360" s="110">
        <f t="shared" si="126"/>
        <v>0.29523413456591252</v>
      </c>
      <c r="H360" s="414" t="b">
        <f>Wh_hp&gt;='2022'!Maxi_hp</f>
        <v>0</v>
      </c>
      <c r="I360" s="390">
        <f>IF(H360,Wh_hp,'2022'!Maxi_hp)</f>
        <v>10.718459481317785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4.4179829112280578E-2</v>
      </c>
      <c r="M360" s="850"/>
      <c r="N360" s="850"/>
      <c r="O360" s="48">
        <f>IF(t&lt;Tnet,'2022'!Resal+('2022'!Salim-'2022'!Resal)*(1-EXP(('2022'!Tnet-t)/('2022'!Tau_j))),Resal+(Salim-Resal)*(1-EXP((Tnet-t)/(Tau_j))))*Salcycl</f>
        <v>5.16510918904503E-2</v>
      </c>
      <c r="P360" s="169">
        <f>(INDEX(Models!$BJ360:$BT360,,T360)*(1-R360)+INDEX(Models!$BJ360:$BT360,,T360+1)*R360-ERP_i)*Q360*Ramure*Pc/MaxiM</f>
        <v>5.0982749566832651E-2</v>
      </c>
      <c r="Q360" s="305">
        <f t="shared" si="130"/>
        <v>0.7</v>
      </c>
      <c r="R360" s="177">
        <f t="shared" si="131"/>
        <v>9.994949933583136E-2</v>
      </c>
      <c r="S360" s="817">
        <f t="shared" si="132"/>
        <v>0</v>
      </c>
      <c r="T360" s="176">
        <f t="shared" si="133"/>
        <v>6</v>
      </c>
      <c r="U360" s="251">
        <f t="shared" si="134"/>
        <v>9.994949933583136E-2</v>
      </c>
      <c r="V360" s="383">
        <f t="shared" si="135"/>
        <v>10.298006342601589</v>
      </c>
      <c r="W360" s="402">
        <f t="shared" si="136"/>
        <v>3.2011227362532813</v>
      </c>
      <c r="X360" s="157">
        <f t="shared" si="137"/>
        <v>45272</v>
      </c>
      <c r="Y360" s="385">
        <f t="shared" si="138"/>
        <v>2.9907311232225893</v>
      </c>
      <c r="Z360" s="385">
        <f t="shared" si="139"/>
        <v>3.1289684130069606</v>
      </c>
      <c r="AA360" s="386">
        <f t="shared" si="140"/>
        <v>3.5314900439532018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0.1139806783925271</v>
      </c>
      <c r="AD360" s="231">
        <f>(INDEX(Models!$BJ360:$BT360,,AH360)*(1-AF360)+INDEX(Models!$BJ360:$BT360,,AH360+1)*AF360-ERP_i)*AE360*Ramure*Pc/MaxiM</f>
        <v>5.0982749566832651E-2</v>
      </c>
      <c r="AE360" s="305">
        <f t="shared" si="142"/>
        <v>0.7</v>
      </c>
      <c r="AF360" s="177">
        <f t="shared" si="143"/>
        <v>9.994949933583136E-2</v>
      </c>
      <c r="AG360" s="817">
        <f t="shared" si="149"/>
        <v>0</v>
      </c>
      <c r="AH360" s="176">
        <f t="shared" si="144"/>
        <v>6</v>
      </c>
      <c r="AI360" s="225">
        <f t="shared" si="145"/>
        <v>9.994949933583136E-2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45273</v>
      </c>
      <c r="B361" s="411">
        <f>'2022'!Wh/'2022'!Env_an*'2023'!Env_an</f>
        <v>3.1764607513165477</v>
      </c>
      <c r="C361" s="846"/>
      <c r="D361" s="393">
        <f t="shared" si="127"/>
        <v>3.3233556083387721</v>
      </c>
      <c r="E361" s="385">
        <f t="shared" ref="E361:E379" si="150">Wh_pvt/(1-Psa)</f>
        <v>3.5048081640520299</v>
      </c>
      <c r="F361" s="385">
        <f t="shared" si="128"/>
        <v>3.5069883746957164</v>
      </c>
      <c r="G361" s="110">
        <f t="shared" ref="G361:G379" si="151">+Wh_hp/MaxiM</f>
        <v>0.2932311261067394</v>
      </c>
      <c r="H361" s="414" t="b">
        <f>Wh_hp&gt;='2022'!Maxi_hp</f>
        <v>0</v>
      </c>
      <c r="I361" s="390">
        <f>IF(H361,Wh_hp,'2022'!Maxi_hp)</f>
        <v>11.207179441431046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4.4200764027070849E-2</v>
      </c>
      <c r="M361" s="850"/>
      <c r="N361" s="850"/>
      <c r="O361" s="48">
        <f>IF(t&lt;Tnet,'2022'!Resal+('2022'!Salim-'2022'!Resal)*(1-EXP(('2022'!Tnet-t)/('2022'!Tau_j))),Resal+(Salim-Resal)*(1-EXP((Tnet-t)/(Tau_j))))*Salcycl</f>
        <v>5.1772464346086816E-2</v>
      </c>
      <c r="P361" s="169">
        <f>(INDEX(Models!$BJ361:$BT361,,T361)*(1-R361)+INDEX(Models!$BJ361:$BT361,,T361+1)*R361-ERP_i)*Q361*Ramure*Pc/MaxiM</f>
        <v>5.0464497940237725E-2</v>
      </c>
      <c r="Q361" s="305">
        <f t="shared" si="130"/>
        <v>0.7</v>
      </c>
      <c r="R361" s="177">
        <f t="shared" si="131"/>
        <v>9.9955532175300787E-2</v>
      </c>
      <c r="S361" s="817">
        <f t="shared" si="132"/>
        <v>0</v>
      </c>
      <c r="T361" s="176">
        <f t="shared" si="133"/>
        <v>6</v>
      </c>
      <c r="U361" s="251">
        <f t="shared" si="134"/>
        <v>9.9955532175300787E-2</v>
      </c>
      <c r="V361" s="383">
        <f t="shared" si="135"/>
        <v>10.292353804881317</v>
      </c>
      <c r="W361" s="402">
        <f t="shared" si="136"/>
        <v>3.1764607513165477</v>
      </c>
      <c r="X361" s="157">
        <f t="shared" si="137"/>
        <v>45273</v>
      </c>
      <c r="Y361" s="385">
        <f t="shared" si="138"/>
        <v>2.9679861506336325</v>
      </c>
      <c r="Z361" s="385">
        <f t="shared" si="139"/>
        <v>3.1052401371847234</v>
      </c>
      <c r="AA361" s="386">
        <f t="shared" si="140"/>
        <v>3.5048081640520299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0.11400567682008363</v>
      </c>
      <c r="AD361" s="231">
        <f>(INDEX(Models!$BJ361:$BT361,,AH361)*(1-AF361)+INDEX(Models!$BJ361:$BT361,,AH361+1)*AF361-ERP_i)*AE361*Ramure*Pc/MaxiM</f>
        <v>5.0464497940237725E-2</v>
      </c>
      <c r="AE361" s="305">
        <f t="shared" si="142"/>
        <v>0.7</v>
      </c>
      <c r="AF361" s="177">
        <f t="shared" si="143"/>
        <v>9.9955532175300787E-2</v>
      </c>
      <c r="AG361" s="817">
        <f t="shared" si="149"/>
        <v>0</v>
      </c>
      <c r="AH361" s="176">
        <f t="shared" si="144"/>
        <v>6</v>
      </c>
      <c r="AI361" s="225">
        <f t="shared" si="145"/>
        <v>9.9955532175300787E-2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45274</v>
      </c>
      <c r="B362" s="411">
        <f>'2022'!Wh/'2022'!Env_an*'2023'!Env_an</f>
        <v>7.4841896588519781</v>
      </c>
      <c r="C362" s="846"/>
      <c r="D362" s="393">
        <f t="shared" si="127"/>
        <v>7.8304661729354663</v>
      </c>
      <c r="E362" s="385">
        <f t="shared" si="150"/>
        <v>8.2590641381784291</v>
      </c>
      <c r="F362" s="385">
        <f t="shared" si="128"/>
        <v>8.5185666068932786</v>
      </c>
      <c r="G362" s="110">
        <f t="shared" si="151"/>
        <v>0.71208009678366424</v>
      </c>
      <c r="H362" s="414" t="b">
        <f>Wh_hp&gt;='2022'!Maxi_hp</f>
        <v>0</v>
      </c>
      <c r="I362" s="390">
        <f>IF(H362,Wh_hp,'2022'!Maxi_hp)</f>
        <v>10.863458902037726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4.4221698483332683E-2</v>
      </c>
      <c r="M362" s="850"/>
      <c r="N362" s="850"/>
      <c r="O362" s="48">
        <f>IF(t&lt;Tnet,'2022'!Resal+('2022'!Salim-'2022'!Resal)*(1-EXP(('2022'!Tnet-t)/('2022'!Tau_j))),Resal+(Salim-Resal)*(1-EXP((Tnet-t)/(Tau_j))))*Salcycl</f>
        <v>5.1894253158989594E-2</v>
      </c>
      <c r="P362" s="169">
        <f>(INDEX(Models!$BJ362:$BT362,,T362)*(1-R362)+INDEX(Models!$BJ362:$BT362,,T362+1)*R362-ERP_i)*Q362*Ramure*Pc/MaxiM</f>
        <v>4.9974208943553283E-2</v>
      </c>
      <c r="Q362" s="305">
        <f t="shared" si="130"/>
        <v>0.7</v>
      </c>
      <c r="R362" s="177">
        <f t="shared" si="131"/>
        <v>9.9961322343036285E-2</v>
      </c>
      <c r="S362" s="817">
        <f t="shared" si="132"/>
        <v>0</v>
      </c>
      <c r="T362" s="176">
        <f t="shared" si="133"/>
        <v>6</v>
      </c>
      <c r="U362" s="251">
        <f t="shared" si="134"/>
        <v>9.9961322343036285E-2</v>
      </c>
      <c r="V362" s="383">
        <f t="shared" si="135"/>
        <v>10.298809330245035</v>
      </c>
      <c r="W362" s="402">
        <f t="shared" si="136"/>
        <v>7.4841896588519781</v>
      </c>
      <c r="X362" s="157">
        <f t="shared" si="137"/>
        <v>45274</v>
      </c>
      <c r="Y362" s="385">
        <f t="shared" si="138"/>
        <v>6.9936845294216168</v>
      </c>
      <c r="Z362" s="385">
        <f t="shared" si="139"/>
        <v>7.3172664814881836</v>
      </c>
      <c r="AA362" s="386">
        <f t="shared" si="140"/>
        <v>8.2590641381784291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0.11403200664548453</v>
      </c>
      <c r="AD362" s="231">
        <f>(INDEX(Models!$BJ362:$BT362,,AH362)*(1-AF362)+INDEX(Models!$BJ362:$BT362,,AH362+1)*AF362-ERP_i)*AE362*Ramure*Pc/MaxiM</f>
        <v>4.9974208943553283E-2</v>
      </c>
      <c r="AE362" s="305">
        <f t="shared" si="142"/>
        <v>0.7</v>
      </c>
      <c r="AF362" s="177">
        <f t="shared" si="143"/>
        <v>9.9961322343036285E-2</v>
      </c>
      <c r="AG362" s="817">
        <f t="shared" si="149"/>
        <v>0</v>
      </c>
      <c r="AH362" s="176">
        <f t="shared" si="144"/>
        <v>6</v>
      </c>
      <c r="AI362" s="225">
        <f t="shared" si="145"/>
        <v>9.9961322343036285E-2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45275</v>
      </c>
      <c r="B363" s="411">
        <f>'2022'!Wh/'2022'!Env_an*'2023'!Env_an</f>
        <v>3.7261415757858876</v>
      </c>
      <c r="C363" s="846"/>
      <c r="D363" s="393">
        <f t="shared" si="127"/>
        <v>3.8986271018330507</v>
      </c>
      <c r="E363" s="385">
        <f t="shared" si="150"/>
        <v>4.112547125861628</v>
      </c>
      <c r="F363" s="385">
        <f t="shared" si="128"/>
        <v>4.1304258260826474</v>
      </c>
      <c r="G363" s="110">
        <f t="shared" si="151"/>
        <v>0.34479628753700925</v>
      </c>
      <c r="H363" s="414" t="b">
        <f>Wh_hp&gt;='2022'!Maxi_hp</f>
        <v>0</v>
      </c>
      <c r="I363" s="390">
        <f>IF(H363,Wh_hp,'2022'!Maxi_hp)</f>
        <v>11.20513204000641</v>
      </c>
      <c r="J363" s="85">
        <f>IF(H363,An,'2022'!An_max)</f>
        <v>2021</v>
      </c>
      <c r="K363" s="197">
        <f t="shared" si="129"/>
        <v>45275</v>
      </c>
      <c r="L363" s="147">
        <f>IF(t&lt;Tvie,1-EXP((T0-t)*PertePVj)+'2022'!Pspv,1-EXP((T0-t)*PertePVj)+Pspv)</f>
        <v>4.4242632481076294E-2</v>
      </c>
      <c r="M363" s="850"/>
      <c r="N363" s="850"/>
      <c r="O363" s="48">
        <f>IF(t&lt;Tnet,'2022'!Resal+('2022'!Salim-'2022'!Resal)*(1-EXP(('2022'!Tnet-t)/('2022'!Tau_j))),Resal+(Salim-Resal)*(1-EXP((Tnet-t)/(Tau_j))))*Salcycl</f>
        <v>5.2016431053968311E-2</v>
      </c>
      <c r="P363" s="169">
        <f>(INDEX(Models!$BJ363:$BT363,,T363)*(1-R363)+INDEX(Models!$BJ363:$BT363,,T363+1)*R363-ERP_i)*Q363*Ramure*Pc/MaxiM</f>
        <v>4.9518117903426466E-2</v>
      </c>
      <c r="Q363" s="305">
        <f t="shared" si="130"/>
        <v>0.7</v>
      </c>
      <c r="R363" s="177">
        <f t="shared" si="131"/>
        <v>9.9966879591736002E-2</v>
      </c>
      <c r="S363" s="817">
        <f t="shared" si="132"/>
        <v>0</v>
      </c>
      <c r="T363" s="176">
        <f t="shared" si="133"/>
        <v>6</v>
      </c>
      <c r="U363" s="251">
        <f t="shared" si="134"/>
        <v>9.9966879591736002E-2</v>
      </c>
      <c r="V363" s="383">
        <f t="shared" si="135"/>
        <v>10.316314031863211</v>
      </c>
      <c r="W363" s="402">
        <f t="shared" si="136"/>
        <v>3.7261415757858876</v>
      </c>
      <c r="X363" s="157">
        <f t="shared" si="137"/>
        <v>45275</v>
      </c>
      <c r="Y363" s="385">
        <f t="shared" si="138"/>
        <v>3.4822748745337573</v>
      </c>
      <c r="Z363" s="385">
        <f t="shared" si="139"/>
        <v>3.6434716517786185</v>
      </c>
      <c r="AA363" s="386">
        <f t="shared" si="140"/>
        <v>4.112547125861628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0.1140595985230765</v>
      </c>
      <c r="AD363" s="231">
        <f>(INDEX(Models!$BJ363:$BT363,,AH363)*(1-AF363)+INDEX(Models!$BJ363:$BT363,,AH363+1)*AF363-ERP_i)*AE363*Ramure*Pc/MaxiM</f>
        <v>4.9518117903426466E-2</v>
      </c>
      <c r="AE363" s="305">
        <f t="shared" si="142"/>
        <v>0.7</v>
      </c>
      <c r="AF363" s="177">
        <f t="shared" si="143"/>
        <v>9.9966879591736002E-2</v>
      </c>
      <c r="AG363" s="817">
        <f t="shared" si="149"/>
        <v>0</v>
      </c>
      <c r="AH363" s="176">
        <f t="shared" si="144"/>
        <v>6</v>
      </c>
      <c r="AI363" s="225">
        <f t="shared" si="145"/>
        <v>9.9966879591736002E-2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45276</v>
      </c>
      <c r="B364" s="411">
        <f>'2022'!Wh/'2022'!Env_an*'2023'!Env_an</f>
        <v>3.1136733238177872</v>
      </c>
      <c r="C364" s="846"/>
      <c r="D364" s="393">
        <f t="shared" si="127"/>
        <v>3.2578786505526898</v>
      </c>
      <c r="E364" s="385">
        <f t="shared" si="150"/>
        <v>3.4370847072244346</v>
      </c>
      <c r="F364" s="385">
        <f t="shared" si="128"/>
        <v>3.437330174483145</v>
      </c>
      <c r="G364" s="110">
        <f t="shared" si="151"/>
        <v>0.28625788712774819</v>
      </c>
      <c r="H364" s="414" t="b">
        <f>Wh_hp&gt;='2022'!Maxi_hp</f>
        <v>0</v>
      </c>
      <c r="I364" s="390">
        <f>IF(H364,Wh_hp,'2022'!Maxi_hp)</f>
        <v>11.238528761899044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4.4263566020311562E-2</v>
      </c>
      <c r="M364" s="850"/>
      <c r="N364" s="850"/>
      <c r="O364" s="48">
        <f>IF(t&lt;Tnet,'2022'!Resal+('2022'!Salim-'2022'!Resal)*(1-EXP(('2022'!Tnet-t)/('2022'!Tau_j))),Resal+(Salim-Resal)*(1-EXP((Tnet-t)/(Tau_j))))*Salcycl</f>
        <v>5.2138970068171454E-2</v>
      </c>
      <c r="P364" s="169">
        <f>(INDEX(Models!$BJ364:$BT364,,T364)*(1-R364)+INDEX(Models!$BJ364:$BT364,,T364+1)*R364-ERP_i)*Q364*Ramure*Pc/MaxiM</f>
        <v>4.9102067036013067E-2</v>
      </c>
      <c r="Q364" s="305">
        <f t="shared" si="130"/>
        <v>0.7</v>
      </c>
      <c r="R364" s="177">
        <f t="shared" si="131"/>
        <v>9.9972213282842837E-2</v>
      </c>
      <c r="S364" s="817">
        <f t="shared" si="132"/>
        <v>0</v>
      </c>
      <c r="T364" s="176">
        <f t="shared" si="133"/>
        <v>6</v>
      </c>
      <c r="U364" s="251">
        <f t="shared" si="134"/>
        <v>9.9972213282842837E-2</v>
      </c>
      <c r="V364" s="383">
        <f t="shared" si="135"/>
        <v>10.343809243189183</v>
      </c>
      <c r="W364" s="402">
        <f t="shared" si="136"/>
        <v>3.1136733238177872</v>
      </c>
      <c r="X364" s="157">
        <f t="shared" si="137"/>
        <v>45276</v>
      </c>
      <c r="Y364" s="385">
        <f t="shared" si="138"/>
        <v>2.9101727831611268</v>
      </c>
      <c r="Z364" s="385">
        <f t="shared" si="139"/>
        <v>3.0449532734073572</v>
      </c>
      <c r="AA364" s="386">
        <f t="shared" si="140"/>
        <v>3.4370847072244346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0.11408838222487021</v>
      </c>
      <c r="AD364" s="231">
        <f>(INDEX(Models!$BJ364:$BT364,,AH364)*(1-AF364)+INDEX(Models!$BJ364:$BT364,,AH364+1)*AF364-ERP_i)*AE364*Ramure*Pc/MaxiM</f>
        <v>4.9102067036013067E-2</v>
      </c>
      <c r="AE364" s="305">
        <f t="shared" si="142"/>
        <v>0.7</v>
      </c>
      <c r="AF364" s="177">
        <f t="shared" si="143"/>
        <v>9.9972213282842837E-2</v>
      </c>
      <c r="AG364" s="817">
        <f t="shared" si="149"/>
        <v>0</v>
      </c>
      <c r="AH364" s="176">
        <f t="shared" si="144"/>
        <v>6</v>
      </c>
      <c r="AI364" s="225">
        <f t="shared" si="145"/>
        <v>9.9972213282842837E-2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45277</v>
      </c>
      <c r="B365" s="411">
        <f>'2022'!Wh/'2022'!Env_an*'2023'!Env_an</f>
        <v>1.8197983088087095</v>
      </c>
      <c r="C365" s="846"/>
      <c r="D365" s="393">
        <f t="shared" si="127"/>
        <v>1.9041213699024415</v>
      </c>
      <c r="E365" s="385">
        <f t="shared" si="150"/>
        <v>2.0091217741311622</v>
      </c>
      <c r="F365" s="385">
        <f t="shared" si="128"/>
        <v>2.0091217741311622</v>
      </c>
      <c r="G365" s="110">
        <f t="shared" si="151"/>
        <v>0.16677046193648987</v>
      </c>
      <c r="H365" s="414" t="b">
        <f>Wh_hp&gt;='2022'!Maxi_hp</f>
        <v>0</v>
      </c>
      <c r="I365" s="390">
        <f>IF(H365,Wh_hp,'2022'!Maxi_hp)</f>
        <v>12.021783785395716</v>
      </c>
      <c r="J365" s="85">
        <f>IF(H365,An,'2022'!An_max)</f>
        <v>2018</v>
      </c>
      <c r="K365" s="197">
        <f t="shared" si="129"/>
        <v>45277</v>
      </c>
      <c r="L365" s="147">
        <f>IF(t&lt;Tvie,1-EXP((T0-t)*PertePVj)+'2022'!Pspv,1-EXP((T0-t)*PertePVj)+Pspv)</f>
        <v>4.4284499101048591E-2</v>
      </c>
      <c r="M365" s="850"/>
      <c r="N365" s="850"/>
      <c r="O365" s="48">
        <f>IF(t&lt;Tnet,'2022'!Resal+('2022'!Salim-'2022'!Resal)*(1-EXP(('2022'!Tnet-t)/('2022'!Tau_j))),Resal+(Salim-Resal)*(1-EXP((Tnet-t)/(Tau_j))))*Salcycl</f>
        <v>5.2261841756270681E-2</v>
      </c>
      <c r="P365" s="169">
        <f>(INDEX(Models!$BJ365:$BT365,,T365)*(1-R365)+INDEX(Models!$BJ365:$BT365,,T365+1)*R365-ERP_i)*Q365*Ramure*Pc/MaxiM</f>
        <v>4.8731482567380975E-2</v>
      </c>
      <c r="Q365" s="305">
        <f t="shared" si="130"/>
        <v>0.7</v>
      </c>
      <c r="R365" s="177">
        <f t="shared" si="131"/>
        <v>9.9977332402185815E-2</v>
      </c>
      <c r="S365" s="817">
        <f t="shared" si="132"/>
        <v>0</v>
      </c>
      <c r="T365" s="176">
        <f t="shared" si="133"/>
        <v>6</v>
      </c>
      <c r="U365" s="251">
        <f t="shared" si="134"/>
        <v>9.9977332402185815E-2</v>
      </c>
      <c r="V365" s="383">
        <f t="shared" si="135"/>
        <v>10.38023651877932</v>
      </c>
      <c r="W365" s="402">
        <f t="shared" si="136"/>
        <v>1.8197983088087095</v>
      </c>
      <c r="X365" s="157">
        <f t="shared" si="137"/>
        <v>45277</v>
      </c>
      <c r="Y365" s="385">
        <f t="shared" si="138"/>
        <v>1.7010247281142412</v>
      </c>
      <c r="Z365" s="385">
        <f t="shared" si="139"/>
        <v>1.7798442387030948</v>
      </c>
      <c r="AA365" s="386">
        <f t="shared" si="140"/>
        <v>2.0091217741311622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0.11411828709447826</v>
      </c>
      <c r="AD365" s="231">
        <f>(INDEX(Models!$BJ365:$BT365,,AH365)*(1-AF365)+INDEX(Models!$BJ365:$BT365,,AH365+1)*AF365-ERP_i)*AE365*Ramure*Pc/MaxiM</f>
        <v>4.8731482567380975E-2</v>
      </c>
      <c r="AE365" s="305">
        <f t="shared" si="142"/>
        <v>0.7</v>
      </c>
      <c r="AF365" s="177">
        <f t="shared" si="143"/>
        <v>9.9977332402185815E-2</v>
      </c>
      <c r="AG365" s="817">
        <f t="shared" si="149"/>
        <v>0</v>
      </c>
      <c r="AH365" s="176">
        <f t="shared" si="144"/>
        <v>6</v>
      </c>
      <c r="AI365" s="225">
        <f t="shared" si="145"/>
        <v>9.9977332402185815E-2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45278</v>
      </c>
      <c r="B366" s="411">
        <f>'2022'!Wh/'2022'!Env_an*'2023'!Env_an</f>
        <v>9.7070703310436297</v>
      </c>
      <c r="C366" s="846"/>
      <c r="D366" s="393">
        <f t="shared" si="127"/>
        <v>10.157084337674229</v>
      </c>
      <c r="E366" s="385">
        <f t="shared" si="150"/>
        <v>10.718577190207581</v>
      </c>
      <c r="F366" s="385">
        <f t="shared" si="128"/>
        <v>11.207940486748948</v>
      </c>
      <c r="G366" s="110">
        <f t="shared" si="151"/>
        <v>0.92655092832102792</v>
      </c>
      <c r="H366" s="414" t="b">
        <f>Wh_hp&gt;='2022'!Maxi_hp</f>
        <v>0</v>
      </c>
      <c r="I366" s="390">
        <f>IF(H366,Wh_hp,'2022'!Maxi_hp)</f>
        <v>11.681754622743613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4.4305431723297484E-2</v>
      </c>
      <c r="M366" s="850"/>
      <c r="N366" s="850"/>
      <c r="O366" s="48">
        <f>IF(t&lt;Tnet,'2022'!Resal+('2022'!Salim-'2022'!Resal)*(1-EXP(('2022'!Tnet-t)/('2022'!Tau_j))),Resal+(Salim-Resal)*(1-EXP((Tnet-t)/(Tau_j))))*Salcycl</f>
        <v>5.2385017392637449E-2</v>
      </c>
      <c r="P366" s="169">
        <f>(INDEX(Models!$BJ366:$BT366,,T366)*(1-R366)+INDEX(Models!$BJ366:$BT366,,T366+1)*R366-ERP_i)*Q366*Ramure*Pc/MaxiM</f>
        <v>4.8422399091419516E-2</v>
      </c>
      <c r="Q366" s="305">
        <f t="shared" si="130"/>
        <v>0.7</v>
      </c>
      <c r="R366" s="177">
        <f t="shared" si="131"/>
        <v>9.9982245575000406E-2</v>
      </c>
      <c r="S366" s="817">
        <f t="shared" si="132"/>
        <v>0</v>
      </c>
      <c r="T366" s="176">
        <f t="shared" si="133"/>
        <v>6</v>
      </c>
      <c r="U366" s="251">
        <f t="shared" si="134"/>
        <v>9.9982245575000406E-2</v>
      </c>
      <c r="V366" s="383">
        <f t="shared" si="135"/>
        <v>10.424416806234422</v>
      </c>
      <c r="W366" s="402">
        <f t="shared" si="136"/>
        <v>9.7070703310436297</v>
      </c>
      <c r="X366" s="157">
        <f t="shared" si="137"/>
        <v>45278</v>
      </c>
      <c r="Y366" s="385">
        <f t="shared" si="138"/>
        <v>9.0743770031045656</v>
      </c>
      <c r="Z366" s="385">
        <f t="shared" si="139"/>
        <v>9.4950597233877527</v>
      </c>
      <c r="AA366" s="386">
        <f t="shared" si="140"/>
        <v>10.718577190207581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0.11414924248879095</v>
      </c>
      <c r="AD366" s="231">
        <f>(INDEX(Models!$BJ366:$BT366,,AH366)*(1-AF366)+INDEX(Models!$BJ366:$BT366,,AH366+1)*AF366-ERP_i)*AE366*Ramure*Pc/MaxiM</f>
        <v>4.8422399091419516E-2</v>
      </c>
      <c r="AE366" s="305">
        <f t="shared" si="142"/>
        <v>0.7</v>
      </c>
      <c r="AF366" s="177">
        <f t="shared" si="143"/>
        <v>9.9982245575000406E-2</v>
      </c>
      <c r="AG366" s="817">
        <f t="shared" si="149"/>
        <v>0</v>
      </c>
      <c r="AH366" s="176">
        <f t="shared" si="144"/>
        <v>6</v>
      </c>
      <c r="AI366" s="225">
        <f t="shared" si="145"/>
        <v>9.9982245575000406E-2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45279</v>
      </c>
      <c r="B367" s="411">
        <f>'2022'!Wh/'2022'!Env_an*'2023'!Env_an</f>
        <v>9.6945219496240647</v>
      </c>
      <c r="C367" s="846"/>
      <c r="D367" s="393">
        <f t="shared" si="127"/>
        <v>10.144176404253622</v>
      </c>
      <c r="E367" s="385">
        <f t="shared" si="150"/>
        <v>10.706350466953312</v>
      </c>
      <c r="F367" s="385">
        <f t="shared" si="128"/>
        <v>11.18717460668519</v>
      </c>
      <c r="G367" s="110">
        <f t="shared" si="151"/>
        <v>0.92043766364149471</v>
      </c>
      <c r="H367" s="414" t="b">
        <f>Wh_hp&gt;='2022'!Maxi_hp</f>
        <v>0</v>
      </c>
      <c r="I367" s="390">
        <f>IF(H367,Wh_hp,'2022'!Maxi_hp)</f>
        <v>11.859161695286367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4.4326363887068232E-2</v>
      </c>
      <c r="M367" s="850"/>
      <c r="N367" s="850"/>
      <c r="O367" s="48">
        <f>IF(t&lt;Tnet,'2022'!Resal+('2022'!Salim-'2022'!Resal)*(1-EXP(('2022'!Tnet-t)/('2022'!Tau_j))),Resal+(Salim-Resal)*(1-EXP((Tnet-t)/(Tau_j))))*Salcycl</f>
        <v>5.2508468168954457E-2</v>
      </c>
      <c r="P367" s="169">
        <f>(INDEX(Models!$BJ367:$BT367,,T367)*(1-R367)+INDEX(Models!$BJ367:$BT367,,T367+1)*R367-ERP_i)*Q367*Ramure*Pc/MaxiM</f>
        <v>4.8107103260628579E-2</v>
      </c>
      <c r="Q367" s="305">
        <f t="shared" si="130"/>
        <v>0.7</v>
      </c>
      <c r="R367" s="177">
        <f t="shared" si="131"/>
        <v>9.9986961080352432E-2</v>
      </c>
      <c r="S367" s="817">
        <f t="shared" si="132"/>
        <v>0</v>
      </c>
      <c r="T367" s="176">
        <f t="shared" si="133"/>
        <v>6</v>
      </c>
      <c r="U367" s="251">
        <f t="shared" si="134"/>
        <v>9.9986961080352432E-2</v>
      </c>
      <c r="V367" s="383">
        <f t="shared" si="135"/>
        <v>10.476086211329287</v>
      </c>
      <c r="W367" s="402">
        <f t="shared" si="136"/>
        <v>9.6945219496240647</v>
      </c>
      <c r="X367" s="157">
        <f t="shared" si="137"/>
        <v>45279</v>
      </c>
      <c r="Y367" s="385">
        <f t="shared" si="138"/>
        <v>9.0635005409426697</v>
      </c>
      <c r="Z367" s="385">
        <f t="shared" si="139"/>
        <v>9.4838867563692393</v>
      </c>
      <c r="AA367" s="386">
        <f t="shared" si="140"/>
        <v>10.706350466953312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0.11418117820422399</v>
      </c>
      <c r="AD367" s="231">
        <f>(INDEX(Models!$BJ367:$BT367,,AH367)*(1-AF367)+INDEX(Models!$BJ367:$BT367,,AH367+1)*AF367-ERP_i)*AE367*Ramure*Pc/MaxiM</f>
        <v>4.8107103260628579E-2</v>
      </c>
      <c r="AE367" s="305">
        <f t="shared" si="142"/>
        <v>0.7</v>
      </c>
      <c r="AF367" s="177">
        <f t="shared" si="143"/>
        <v>9.9986961080352432E-2</v>
      </c>
      <c r="AG367" s="817">
        <f t="shared" si="149"/>
        <v>0</v>
      </c>
      <c r="AH367" s="176">
        <f t="shared" si="144"/>
        <v>6</v>
      </c>
      <c r="AI367" s="225">
        <f t="shared" si="145"/>
        <v>9.9986961080352432E-2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45280</v>
      </c>
      <c r="B368" s="411">
        <f>'2022'!Wh/'2022'!Env_an*'2023'!Env_an</f>
        <v>2.5010389350529239</v>
      </c>
      <c r="C368" s="846"/>
      <c r="D368" s="393">
        <f t="shared" si="127"/>
        <v>2.6171002535939221</v>
      </c>
      <c r="E368" s="385">
        <f t="shared" si="150"/>
        <v>2.7624964221627781</v>
      </c>
      <c r="F368" s="385">
        <f t="shared" si="128"/>
        <v>2.7624964221627781</v>
      </c>
      <c r="G368" s="110">
        <f t="shared" si="151"/>
        <v>0.22607463241997788</v>
      </c>
      <c r="H368" s="414" t="b">
        <f>Wh_hp&gt;='2022'!Maxi_hp</f>
        <v>0</v>
      </c>
      <c r="I368" s="390">
        <f>IF(H368,Wh_hp,'2022'!Maxi_hp)</f>
        <v>10.857367407751404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4.4347295592370828E-2</v>
      </c>
      <c r="M368" s="850"/>
      <c r="N368" s="850"/>
      <c r="O368" s="48">
        <f>IF(t&lt;Tnet,'2022'!Resal+('2022'!Salim-'2022'!Resal)*(1-EXP(('2022'!Tnet-t)/('2022'!Tau_j))),Resal+(Salim-Resal)*(1-EXP((Tnet-t)/(Tau_j))))*Salcycl</f>
        <v>5.2632165385765164E-2</v>
      </c>
      <c r="P368" s="169">
        <f>(INDEX(Models!$BJ368:$BT368,,T368)*(1-R368)+INDEX(Models!$BJ368:$BT368,,T368+1)*R368-ERP_i)*Q368*Ramure*Pc/MaxiM</f>
        <v>4.7790824669151355E-2</v>
      </c>
      <c r="Q368" s="305">
        <f t="shared" si="130"/>
        <v>0.7</v>
      </c>
      <c r="R368" s="177">
        <f t="shared" si="131"/>
        <v>9.9991486864988599E-2</v>
      </c>
      <c r="S368" s="817">
        <f t="shared" si="132"/>
        <v>0</v>
      </c>
      <c r="T368" s="176">
        <f t="shared" si="133"/>
        <v>6</v>
      </c>
      <c r="U368" s="251">
        <f t="shared" si="134"/>
        <v>9.9991486864988599E-2</v>
      </c>
      <c r="V368" s="383">
        <f t="shared" si="135"/>
        <v>10.534185973563646</v>
      </c>
      <c r="W368" s="402">
        <f t="shared" si="136"/>
        <v>2.5010389350529239</v>
      </c>
      <c r="X368" s="157">
        <f t="shared" si="137"/>
        <v>45280</v>
      </c>
      <c r="Y368" s="385">
        <f t="shared" si="138"/>
        <v>2.3384636156553147</v>
      </c>
      <c r="Z368" s="385">
        <f t="shared" si="139"/>
        <v>2.4469805870583858</v>
      </c>
      <c r="AA368" s="386">
        <f t="shared" si="140"/>
        <v>2.7624964221627781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0.11421402488455447</v>
      </c>
      <c r="AD368" s="231">
        <f>(INDEX(Models!$BJ368:$BT368,,AH368)*(1-AF368)+INDEX(Models!$BJ368:$BT368,,AH368+1)*AF368-ERP_i)*AE368*Ramure*Pc/MaxiM</f>
        <v>4.7790824669151355E-2</v>
      </c>
      <c r="AE368" s="305">
        <f t="shared" si="142"/>
        <v>0.7</v>
      </c>
      <c r="AF368" s="177">
        <f t="shared" si="143"/>
        <v>9.9991486864988599E-2</v>
      </c>
      <c r="AG368" s="817">
        <f t="shared" si="149"/>
        <v>0</v>
      </c>
      <c r="AH368" s="176">
        <f t="shared" si="144"/>
        <v>6</v>
      </c>
      <c r="AI368" s="225">
        <f t="shared" si="145"/>
        <v>9.9991486864988599E-2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45281</v>
      </c>
      <c r="B369" s="411">
        <f>'2022'!Wh/'2022'!Env_an*'2023'!Env_an</f>
        <v>8.8420214611448191</v>
      </c>
      <c r="C369" s="846"/>
      <c r="D369" s="393">
        <f t="shared" si="127"/>
        <v>9.2525402665291594</v>
      </c>
      <c r="E369" s="385">
        <f t="shared" si="150"/>
        <v>9.767853957560142</v>
      </c>
      <c r="F369" s="385">
        <f t="shared" si="128"/>
        <v>10.135175594262254</v>
      </c>
      <c r="G369" s="110">
        <f t="shared" si="151"/>
        <v>0.82460989039931465</v>
      </c>
      <c r="H369" s="414" t="b">
        <f>Wh_hp&gt;='2022'!Maxi_hp</f>
        <v>0</v>
      </c>
      <c r="I369" s="390">
        <f>IF(H369,Wh_hp,'2022'!Maxi_hp)</f>
        <v>10.896065094329265</v>
      </c>
      <c r="J369" s="85">
        <f>IF(H369,An,'2022'!An_max)</f>
        <v>2021</v>
      </c>
      <c r="K369" s="197">
        <f t="shared" si="129"/>
        <v>45281</v>
      </c>
      <c r="L369" s="147">
        <f>IF(t&lt;Tvie,1-EXP((T0-t)*PertePVj)+'2022'!Pspv,1-EXP((T0-t)*PertePVj)+Pspv)</f>
        <v>4.4368226839215374E-2</v>
      </c>
      <c r="M369" s="850"/>
      <c r="N369" s="850"/>
      <c r="O369" s="48">
        <f>IF(t&lt;Tnet,'2022'!Resal+('2022'!Salim-'2022'!Resal)*(1-EXP(('2022'!Tnet-t)/('2022'!Tau_j))),Resal+(Salim-Resal)*(1-EXP((Tnet-t)/(Tau_j))))*Salcycl</f>
        <v>5.2756080636539263E-2</v>
      </c>
      <c r="P369" s="169">
        <f>(INDEX(Models!$BJ369:$BT369,,T369)*(1-R369)+INDEX(Models!$BJ369:$BT369,,T369+1)*R369-ERP_i)*Q369*Ramure*Pc/MaxiM</f>
        <v>4.7478584624286967E-2</v>
      </c>
      <c r="Q369" s="305">
        <f t="shared" si="130"/>
        <v>0.7</v>
      </c>
      <c r="R369" s="177">
        <f t="shared" si="131"/>
        <v>9.9995830556636356E-2</v>
      </c>
      <c r="S369" s="817">
        <f t="shared" si="132"/>
        <v>0</v>
      </c>
      <c r="T369" s="176">
        <f t="shared" si="133"/>
        <v>6</v>
      </c>
      <c r="U369" s="251">
        <f t="shared" si="134"/>
        <v>9.9995830556636356E-2</v>
      </c>
      <c r="V369" s="383">
        <f t="shared" si="135"/>
        <v>10.597657837588331</v>
      </c>
      <c r="W369" s="402">
        <f t="shared" si="136"/>
        <v>8.8420214611448191</v>
      </c>
      <c r="X369" s="157">
        <f t="shared" si="137"/>
        <v>45281</v>
      </c>
      <c r="Y369" s="385">
        <f t="shared" si="138"/>
        <v>8.2680295522290326</v>
      </c>
      <c r="Z369" s="385">
        <f t="shared" si="139"/>
        <v>8.6518989682419658</v>
      </c>
      <c r="AA369" s="386">
        <f t="shared" si="140"/>
        <v>9.767853957560142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0.11424771440756933</v>
      </c>
      <c r="AD369" s="231">
        <f>(INDEX(Models!$BJ369:$BT369,,AH369)*(1-AF369)+INDEX(Models!$BJ369:$BT369,,AH369+1)*AF369-ERP_i)*AE369*Ramure*Pc/MaxiM</f>
        <v>4.7478584624286967E-2</v>
      </c>
      <c r="AE369" s="305">
        <f t="shared" si="142"/>
        <v>0.7</v>
      </c>
      <c r="AF369" s="177">
        <f t="shared" si="143"/>
        <v>9.9995830556636356E-2</v>
      </c>
      <c r="AG369" s="817">
        <f t="shared" si="149"/>
        <v>0</v>
      </c>
      <c r="AH369" s="176">
        <f t="shared" si="144"/>
        <v>6</v>
      </c>
      <c r="AI369" s="225">
        <f t="shared" si="145"/>
        <v>9.9995830556636356E-2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45282</v>
      </c>
      <c r="B370" s="411">
        <f>'2022'!Wh/'2022'!Env_an*'2023'!Env_an</f>
        <v>9.966830531377413</v>
      </c>
      <c r="C370" s="846"/>
      <c r="D370" s="393">
        <f t="shared" si="127"/>
        <v>10.429800593967601</v>
      </c>
      <c r="E370" s="385">
        <f t="shared" si="150"/>
        <v>11.012123745707516</v>
      </c>
      <c r="F370" s="385">
        <f t="shared" si="128"/>
        <v>11.504045436272282</v>
      </c>
      <c r="G370" s="110">
        <f t="shared" si="151"/>
        <v>0.93018793211459616</v>
      </c>
      <c r="H370" s="414" t="b">
        <f>Wh_hp&gt;='2022'!Maxi_hp</f>
        <v>0</v>
      </c>
      <c r="I370" s="390">
        <f>IF(H370,Wh_hp,'2022'!Maxi_hp)</f>
        <v>12.677093484896854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4.4389157627611864E-2</v>
      </c>
      <c r="M370" s="850"/>
      <c r="N370" s="850"/>
      <c r="O370" s="48">
        <f>IF(t&lt;Tnet,'2022'!Resal+('2022'!Salim-'2022'!Resal)*(1-EXP(('2022'!Tnet-t)/('2022'!Tau_j))),Resal+(Salim-Resal)*(1-EXP((Tnet-t)/(Tau_j))))*Salcycl</f>
        <v>5.288018598291748E-2</v>
      </c>
      <c r="P370" s="169">
        <f>(INDEX(Models!$BJ370:$BT370,,T370)*(1-R370)+INDEX(Models!$BJ370:$BT370,,T370+1)*R370-ERP_i)*Q370*Ramure*Pc/MaxiM</f>
        <v>4.7175175703211919E-2</v>
      </c>
      <c r="Q370" s="305">
        <f t="shared" si="130"/>
        <v>0.7</v>
      </c>
      <c r="R370" s="177">
        <f t="shared" si="131"/>
        <v>9.9999999476774293E-2</v>
      </c>
      <c r="S370" s="817">
        <f t="shared" si="132"/>
        <v>0</v>
      </c>
      <c r="T370" s="176">
        <f t="shared" si="133"/>
        <v>6</v>
      </c>
      <c r="U370" s="251">
        <f t="shared" si="134"/>
        <v>9.9999999476774293E-2</v>
      </c>
      <c r="V370" s="383">
        <f t="shared" si="135"/>
        <v>10.665444051096546</v>
      </c>
      <c r="W370" s="402">
        <f t="shared" si="136"/>
        <v>9.966830531377413</v>
      </c>
      <c r="X370" s="157">
        <f t="shared" si="137"/>
        <v>45282</v>
      </c>
      <c r="Y370" s="385">
        <f t="shared" si="138"/>
        <v>9.3206786273930309</v>
      </c>
      <c r="Z370" s="385">
        <f t="shared" si="139"/>
        <v>9.7536342348875245</v>
      </c>
      <c r="AA370" s="386">
        <f t="shared" si="140"/>
        <v>11.012123745707516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0.11428218024797863</v>
      </c>
      <c r="AD370" s="231">
        <f>(INDEX(Models!$BJ370:$BT370,,AH370)*(1-AF370)+INDEX(Models!$BJ370:$BT370,,AH370+1)*AF370-ERP_i)*AE370*Ramure*Pc/MaxiM</f>
        <v>4.7175175703211919E-2</v>
      </c>
      <c r="AE370" s="305">
        <f t="shared" si="142"/>
        <v>0.7</v>
      </c>
      <c r="AF370" s="177">
        <f t="shared" si="143"/>
        <v>9.9999999476774293E-2</v>
      </c>
      <c r="AG370" s="817">
        <f t="shared" si="149"/>
        <v>0</v>
      </c>
      <c r="AH370" s="176">
        <f t="shared" si="144"/>
        <v>6</v>
      </c>
      <c r="AI370" s="225">
        <f t="shared" si="145"/>
        <v>9.9999999476774293E-2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45283</v>
      </c>
      <c r="B371" s="411">
        <f>'2022'!Wh/'2022'!Env_an*'2023'!Env_an</f>
        <v>9.8205685055389704</v>
      </c>
      <c r="C371" s="846"/>
      <c r="D371" s="393">
        <f t="shared" si="127"/>
        <v>10.276969630779153</v>
      </c>
      <c r="E371" s="385">
        <f t="shared" si="150"/>
        <v>10.852183704019549</v>
      </c>
      <c r="F371" s="385">
        <f t="shared" si="128"/>
        <v>11.318166538832291</v>
      </c>
      <c r="G371" s="110">
        <f t="shared" si="151"/>
        <v>0.90924011944715033</v>
      </c>
      <c r="H371" s="414" t="b">
        <f>Wh_hp&gt;='2022'!Maxi_hp</f>
        <v>0</v>
      </c>
      <c r="I371" s="390">
        <f>IF(H371,Wh_hp,'2022'!Maxi_hp)</f>
        <v>11.766325638958318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4.4410087957570399E-2</v>
      </c>
      <c r="M371" s="850"/>
      <c r="N371" s="850"/>
      <c r="O371" s="48">
        <f>IF(t&lt;Tnet,'2022'!Resal+('2022'!Salim-'2022'!Resal)*(1-EXP(('2022'!Tnet-t)/('2022'!Tau_j))),Resal+(Salim-Resal)*(1-EXP((Tnet-t)/(Tau_j))))*Salcycl</f>
        <v>5.3004454119896897E-2</v>
      </c>
      <c r="P371" s="169">
        <f>(INDEX(Models!$BJ371:$BT371,,T371)*(1-R371)+INDEX(Models!$BJ371:$BT371,,T371+1)*R371-ERP_i)*Q371*Ramure*Pc/MaxiM</f>
        <v>4.688512054841603E-2</v>
      </c>
      <c r="Q371" s="305">
        <f t="shared" si="130"/>
        <v>0.7</v>
      </c>
      <c r="R371" s="177">
        <f t="shared" si="131"/>
        <v>9.9999999476774293E-2</v>
      </c>
      <c r="S371" s="817">
        <f t="shared" si="132"/>
        <v>0</v>
      </c>
      <c r="T371" s="176">
        <f t="shared" si="133"/>
        <v>6</v>
      </c>
      <c r="U371" s="251">
        <f t="shared" si="134"/>
        <v>9.9999999476774293E-2</v>
      </c>
      <c r="V371" s="383">
        <f t="shared" si="135"/>
        <v>10.736487723763288</v>
      </c>
      <c r="W371" s="402">
        <f t="shared" si="136"/>
        <v>9.8205685055389704</v>
      </c>
      <c r="X371" s="157">
        <f t="shared" si="137"/>
        <v>45283</v>
      </c>
      <c r="Y371" s="385">
        <f t="shared" si="138"/>
        <v>9.1847391464422845</v>
      </c>
      <c r="Z371" s="385">
        <f t="shared" si="139"/>
        <v>9.6115907364606716</v>
      </c>
      <c r="AA371" s="386">
        <f t="shared" si="140"/>
        <v>10.852183704019549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0.11431735781429615</v>
      </c>
      <c r="AD371" s="231">
        <f>(INDEX(Models!$BJ371:$BT371,,AH371)*(1-AF371)+INDEX(Models!$BJ371:$BT371,,AH371+1)*AF371-ERP_i)*AE371*Ramure*Pc/MaxiM</f>
        <v>4.688512054841603E-2</v>
      </c>
      <c r="AE371" s="305">
        <f t="shared" si="142"/>
        <v>0.7</v>
      </c>
      <c r="AF371" s="177">
        <f t="shared" si="143"/>
        <v>9.9999999476774293E-2</v>
      </c>
      <c r="AG371" s="817">
        <f t="shared" si="149"/>
        <v>0</v>
      </c>
      <c r="AH371" s="176">
        <f t="shared" si="144"/>
        <v>6</v>
      </c>
      <c r="AI371" s="225">
        <f t="shared" si="145"/>
        <v>9.9999999476774293E-2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45284</v>
      </c>
      <c r="B372" s="411">
        <f>'2022'!Wh/'2022'!Env_an*'2023'!Env_an</f>
        <v>10.037615941975639</v>
      </c>
      <c r="C372" s="846"/>
      <c r="D372" s="393">
        <f t="shared" si="127"/>
        <v>10.504334202196256</v>
      </c>
      <c r="E372" s="385">
        <f t="shared" si="150"/>
        <v>11.093731493270079</v>
      </c>
      <c r="F372" s="385">
        <f t="shared" si="128"/>
        <v>11.578359324770796</v>
      </c>
      <c r="G372" s="110">
        <f t="shared" si="151"/>
        <v>0.92396253550054419</v>
      </c>
      <c r="H372" s="414" t="b">
        <f>Wh_hp&gt;='2022'!Maxi_hp</f>
        <v>0</v>
      </c>
      <c r="I372" s="390">
        <f>IF(H372,Wh_hp,'2022'!Maxi_hp)</f>
        <v>11.585601604209947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4.4431017829100972E-2</v>
      </c>
      <c r="M372" s="850"/>
      <c r="N372" s="850"/>
      <c r="O372" s="48">
        <f>IF(t&lt;Tnet,'2022'!Resal+('2022'!Salim-'2022'!Resal)*(1-EXP(('2022'!Tnet-t)/('2022'!Tau_j))),Resal+(Salim-Resal)*(1-EXP((Tnet-t)/(Tau_j))))*Salcycl</f>
        <v>5.3128858529826191E-2</v>
      </c>
      <c r="P372" s="169">
        <f>(INDEX(Models!$BJ372:$BT372,,T372)*(1-R372)+INDEX(Models!$BJ372:$BT372,,T372+1)*R372-ERP_i)*Q372*Ramure*Pc/MaxiM</f>
        <v>4.6612701423521176E-2</v>
      </c>
      <c r="Q372" s="305">
        <f t="shared" si="130"/>
        <v>0.7</v>
      </c>
      <c r="R372" s="177">
        <f t="shared" si="131"/>
        <v>9.9999999476774293E-2</v>
      </c>
      <c r="S372" s="817">
        <f t="shared" si="132"/>
        <v>0</v>
      </c>
      <c r="T372" s="176">
        <f t="shared" si="133"/>
        <v>6</v>
      </c>
      <c r="U372" s="251">
        <f t="shared" si="134"/>
        <v>9.9999999476774293E-2</v>
      </c>
      <c r="V372" s="383">
        <f t="shared" si="135"/>
        <v>10.809732519594682</v>
      </c>
      <c r="W372" s="402">
        <f t="shared" si="136"/>
        <v>10.037615941975639</v>
      </c>
      <c r="X372" s="157">
        <f t="shared" si="137"/>
        <v>45284</v>
      </c>
      <c r="Y372" s="385">
        <f t="shared" si="138"/>
        <v>9.3885875303303248</v>
      </c>
      <c r="Z372" s="385">
        <f t="shared" si="139"/>
        <v>9.825127966168349</v>
      </c>
      <c r="AA372" s="386">
        <f t="shared" si="140"/>
        <v>11.093731493270079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0.11435318475765495</v>
      </c>
      <c r="AD372" s="231">
        <f>(INDEX(Models!$BJ372:$BT372,,AH372)*(1-AF372)+INDEX(Models!$BJ372:$BT372,,AH372+1)*AF372-ERP_i)*AE372*Ramure*Pc/MaxiM</f>
        <v>4.6612701423521176E-2</v>
      </c>
      <c r="AE372" s="305">
        <f t="shared" si="142"/>
        <v>0.7</v>
      </c>
      <c r="AF372" s="177">
        <f t="shared" si="143"/>
        <v>9.9999999476774293E-2</v>
      </c>
      <c r="AG372" s="817">
        <f t="shared" si="149"/>
        <v>0</v>
      </c>
      <c r="AH372" s="176">
        <f t="shared" si="144"/>
        <v>6</v>
      </c>
      <c r="AI372" s="225">
        <f t="shared" si="145"/>
        <v>9.9999999476774293E-2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45285</v>
      </c>
      <c r="B373" s="411">
        <f>'2022'!Wh/'2022'!Env_an*'2023'!Env_an</f>
        <v>5.9846391553604388</v>
      </c>
      <c r="C373" s="846"/>
      <c r="D373" s="393">
        <f t="shared" si="127"/>
        <v>6.2630436408596122</v>
      </c>
      <c r="E373" s="385">
        <f t="shared" si="150"/>
        <v>6.6153324093003398</v>
      </c>
      <c r="F373" s="385">
        <f t="shared" si="128"/>
        <v>6.7265294732077852</v>
      </c>
      <c r="G373" s="110">
        <f t="shared" si="151"/>
        <v>0.53300898291546528</v>
      </c>
      <c r="H373" s="414" t="b">
        <f>Wh_hp&gt;='2022'!Maxi_hp</f>
        <v>0</v>
      </c>
      <c r="I373" s="390">
        <f>IF(H373,Wh_hp,'2022'!Maxi_hp)</f>
        <v>7.2647215358617787</v>
      </c>
      <c r="J373" s="85">
        <f>IF(H373,An,'2022'!An_max)</f>
        <v>2018</v>
      </c>
      <c r="K373" s="197">
        <f t="shared" si="129"/>
        <v>45285</v>
      </c>
      <c r="L373" s="147">
        <f>IF(t&lt;Tvie,1-EXP((T0-t)*PertePVj)+'2022'!Pspv,1-EXP((T0-t)*PertePVj)+Pspv)</f>
        <v>4.4451947242213685E-2</v>
      </c>
      <c r="M373" s="850"/>
      <c r="N373" s="850"/>
      <c r="O373" s="48">
        <f>IF(t&lt;Tnet,'2022'!Resal+('2022'!Salim-'2022'!Resal)*(1-EXP(('2022'!Tnet-t)/('2022'!Tau_j))),Resal+(Salim-Resal)*(1-EXP((Tnet-t)/(Tau_j))))*Salcycl</f>
        <v>5.3253373624196534E-2</v>
      </c>
      <c r="P373" s="169">
        <f>(INDEX(Models!$BJ373:$BT373,,T373)*(1-R373)+INDEX(Models!$BJ373:$BT373,,T373+1)*R373-ERP_i)*Q373*Ramure*Pc/MaxiM</f>
        <v>4.6347607020635923E-2</v>
      </c>
      <c r="Q373" s="305">
        <f t="shared" si="130"/>
        <v>0.7</v>
      </c>
      <c r="R373" s="177">
        <f t="shared" si="131"/>
        <v>9.9999999476774293E-2</v>
      </c>
      <c r="S373" s="817">
        <f t="shared" si="132"/>
        <v>0</v>
      </c>
      <c r="T373" s="176">
        <f t="shared" si="133"/>
        <v>6</v>
      </c>
      <c r="U373" s="251">
        <f t="shared" si="134"/>
        <v>9.9999999476774293E-2</v>
      </c>
      <c r="V373" s="383">
        <f t="shared" si="135"/>
        <v>10.887619181086503</v>
      </c>
      <c r="W373" s="402">
        <f t="shared" si="136"/>
        <v>5.9846391553604388</v>
      </c>
      <c r="X373" s="157">
        <f t="shared" si="137"/>
        <v>45285</v>
      </c>
      <c r="Y373" s="385">
        <f t="shared" si="138"/>
        <v>5.5981806758981518</v>
      </c>
      <c r="Z373" s="385">
        <f t="shared" si="139"/>
        <v>5.8586071728589317</v>
      </c>
      <c r="AA373" s="386">
        <f t="shared" si="140"/>
        <v>6.6153324093003398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0.1143896012508073</v>
      </c>
      <c r="AD373" s="231">
        <f>(INDEX(Models!$BJ373:$BT373,,AH373)*(1-AF373)+INDEX(Models!$BJ373:$BT373,,AH373+1)*AF373-ERP_i)*AE373*Ramure*Pc/MaxiM</f>
        <v>4.6347607020635923E-2</v>
      </c>
      <c r="AE373" s="305">
        <f t="shared" si="142"/>
        <v>0.7</v>
      </c>
      <c r="AF373" s="177">
        <f t="shared" si="143"/>
        <v>9.9999999476774293E-2</v>
      </c>
      <c r="AG373" s="817">
        <f t="shared" si="149"/>
        <v>0</v>
      </c>
      <c r="AH373" s="176">
        <f t="shared" si="144"/>
        <v>6</v>
      </c>
      <c r="AI373" s="225">
        <f t="shared" si="145"/>
        <v>9.9999999476774293E-2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45286</v>
      </c>
      <c r="B374" s="411">
        <f>'2022'!Wh/'2022'!Env_an*'2023'!Env_an</f>
        <v>10.352383571579312</v>
      </c>
      <c r="C374" s="846"/>
      <c r="D374" s="393">
        <f t="shared" si="127"/>
        <v>10.834212147087904</v>
      </c>
      <c r="E374" s="385">
        <f t="shared" si="150"/>
        <v>11.445130009125673</v>
      </c>
      <c r="F374" s="385">
        <f t="shared" si="128"/>
        <v>11.951327393460392</v>
      </c>
      <c r="G374" s="110">
        <f t="shared" si="151"/>
        <v>0.93976947889027551</v>
      </c>
      <c r="H374" s="414" t="b">
        <f>Wh_hp&gt;='2022'!Maxi_hp</f>
        <v>0</v>
      </c>
      <c r="I374" s="390">
        <f>IF(H374,Wh_hp,'2022'!Maxi_hp)</f>
        <v>12.958648457601393</v>
      </c>
      <c r="J374" s="85">
        <f>IF(H374,An,'2022'!An_max)</f>
        <v>2018</v>
      </c>
      <c r="K374" s="197">
        <f t="shared" si="129"/>
        <v>45286</v>
      </c>
      <c r="L374" s="147">
        <f>IF(t&lt;Tvie,1-EXP((T0-t)*PertePVj)+'2022'!Pspv,1-EXP((T0-t)*PertePVj)+Pspv)</f>
        <v>4.4472876196918532E-2</v>
      </c>
      <c r="M374" s="850"/>
      <c r="N374" s="850"/>
      <c r="O374" s="48">
        <f>IF(t&lt;Tnet,'2022'!Resal+('2022'!Salim-'2022'!Resal)*(1-EXP(('2022'!Tnet-t)/('2022'!Tau_j))),Resal+(Salim-Resal)*(1-EXP((Tnet-t)/(Tau_j))))*Salcycl</f>
        <v>5.3377974872339549E-2</v>
      </c>
      <c r="P374" s="169">
        <f>(INDEX(Models!$BJ374:$BT374,,T374)*(1-R374)+INDEX(Models!$BJ374:$BT374,,T374+1)*R374-ERP_i)*Q374*Ramure*Pc/MaxiM</f>
        <v>4.6078189914233812E-2</v>
      </c>
      <c r="Q374" s="305">
        <f t="shared" si="130"/>
        <v>0.7</v>
      </c>
      <c r="R374" s="177">
        <f t="shared" si="131"/>
        <v>9.9999999476774293E-2</v>
      </c>
      <c r="S374" s="817">
        <f t="shared" si="132"/>
        <v>0</v>
      </c>
      <c r="T374" s="176">
        <f t="shared" si="133"/>
        <v>6</v>
      </c>
      <c r="U374" s="251">
        <f t="shared" si="134"/>
        <v>9.9999999476774293E-2</v>
      </c>
      <c r="V374" s="383">
        <f t="shared" si="135"/>
        <v>10.97304626616349</v>
      </c>
      <c r="W374" s="402">
        <f t="shared" si="136"/>
        <v>10.352383571579312</v>
      </c>
      <c r="X374" s="157">
        <f t="shared" si="137"/>
        <v>45286</v>
      </c>
      <c r="Y374" s="385">
        <f t="shared" si="138"/>
        <v>9.6847482832747769</v>
      </c>
      <c r="Z374" s="385">
        <f t="shared" si="139"/>
        <v>10.135503265180619</v>
      </c>
      <c r="AA374" s="386">
        <f t="shared" si="140"/>
        <v>11.445130009125673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0.11442655023585008</v>
      </c>
      <c r="AD374" s="231">
        <f>(INDEX(Models!$BJ374:$BT374,,AH374)*(1-AF374)+INDEX(Models!$BJ374:$BT374,,AH374+1)*AF374-ERP_i)*AE374*Ramure*Pc/MaxiM</f>
        <v>4.6078189914233812E-2</v>
      </c>
      <c r="AE374" s="305">
        <f t="shared" si="142"/>
        <v>0.7</v>
      </c>
      <c r="AF374" s="177">
        <f t="shared" si="143"/>
        <v>9.9999999476774293E-2</v>
      </c>
      <c r="AG374" s="817">
        <f t="shared" si="149"/>
        <v>0</v>
      </c>
      <c r="AH374" s="176">
        <f t="shared" si="144"/>
        <v>6</v>
      </c>
      <c r="AI374" s="225">
        <f t="shared" si="145"/>
        <v>9.9999999476774293E-2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45287</v>
      </c>
      <c r="B375" s="411">
        <f>'2022'!Wh/'2022'!Env_an*'2023'!Env_an</f>
        <v>4.011625509957395</v>
      </c>
      <c r="C375" s="846"/>
      <c r="D375" s="393">
        <f t="shared" si="127"/>
        <v>4.1984296173709517</v>
      </c>
      <c r="E375" s="385">
        <f t="shared" si="150"/>
        <v>4.4357541711091661</v>
      </c>
      <c r="F375" s="385">
        <f t="shared" si="128"/>
        <v>4.4540138345728533</v>
      </c>
      <c r="G375" s="110">
        <f t="shared" si="151"/>
        <v>0.34734752640710403</v>
      </c>
      <c r="H375" s="414" t="b">
        <f>Wh_hp&gt;='2022'!Maxi_hp</f>
        <v>0</v>
      </c>
      <c r="I375" s="390">
        <f>IF(H375,Wh_hp,'2022'!Maxi_hp)</f>
        <v>13.195050919032267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4.4493804693225503E-2</v>
      </c>
      <c r="M375" s="850"/>
      <c r="N375" s="850"/>
      <c r="O375" s="48">
        <f>IF(t&lt;Tnet,'2022'!Resal+('2022'!Salim-'2022'!Resal)*(1-EXP(('2022'!Tnet-t)/('2022'!Tau_j))),Resal+(Salim-Resal)*(1-EXP((Tnet-t)/(Tau_j))))*Salcycl</f>
        <v>5.3502638916275089E-2</v>
      </c>
      <c r="P375" s="169">
        <f>(INDEX(Models!$BJ375:$BT375,,T375)*(1-R375)+INDEX(Models!$BJ375:$BT375,,T375+1)*R375-ERP_i)*Q375*Ramure*Pc/MaxiM</f>
        <v>4.5874642268782094E-2</v>
      </c>
      <c r="Q375" s="305">
        <f t="shared" si="130"/>
        <v>0.7</v>
      </c>
      <c r="R375" s="177">
        <f t="shared" si="131"/>
        <v>9.9999999476774293E-2</v>
      </c>
      <c r="S375" s="817">
        <f t="shared" si="132"/>
        <v>0</v>
      </c>
      <c r="T375" s="176">
        <f t="shared" si="133"/>
        <v>6</v>
      </c>
      <c r="U375" s="251">
        <f t="shared" si="134"/>
        <v>9.9999999476774293E-2</v>
      </c>
      <c r="V375" s="383">
        <f t="shared" si="135"/>
        <v>11.064854416438159</v>
      </c>
      <c r="W375" s="402">
        <f t="shared" si="136"/>
        <v>4.011625509957395</v>
      </c>
      <c r="X375" s="157">
        <f t="shared" si="137"/>
        <v>45287</v>
      </c>
      <c r="Y375" s="385">
        <f t="shared" si="138"/>
        <v>3.7532475454765319</v>
      </c>
      <c r="Z375" s="385">
        <f t="shared" si="139"/>
        <v>3.9280201048529211</v>
      </c>
      <c r="AA375" s="386">
        <f t="shared" si="140"/>
        <v>4.4357541711091661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0.1144639776395196</v>
      </c>
      <c r="AD375" s="231">
        <f>(INDEX(Models!$BJ375:$BT375,,AH375)*(1-AF375)+INDEX(Models!$BJ375:$BT375,,AH375+1)*AF375-ERP_i)*AE375*Ramure*Pc/MaxiM</f>
        <v>4.5874642268782094E-2</v>
      </c>
      <c r="AE375" s="305">
        <f t="shared" si="142"/>
        <v>0.7</v>
      </c>
      <c r="AF375" s="177">
        <f t="shared" si="143"/>
        <v>9.9999999476774293E-2</v>
      </c>
      <c r="AG375" s="817">
        <f t="shared" si="149"/>
        <v>0</v>
      </c>
      <c r="AH375" s="176">
        <f t="shared" si="144"/>
        <v>6</v>
      </c>
      <c r="AI375" s="225">
        <f t="shared" si="145"/>
        <v>9.9999999476774293E-2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45288</v>
      </c>
      <c r="B376" s="411">
        <f>'2022'!Wh/'2022'!Env_an*'2023'!Env_an</f>
        <v>10.904588291862659</v>
      </c>
      <c r="C376" s="846"/>
      <c r="D376" s="393">
        <f t="shared" si="127"/>
        <v>11.412617928722407</v>
      </c>
      <c r="E376" s="385">
        <f t="shared" si="150"/>
        <v>12.059327636317473</v>
      </c>
      <c r="F376" s="385">
        <f t="shared" si="128"/>
        <v>12.617205961053797</v>
      </c>
      <c r="G376" s="110">
        <f t="shared" si="151"/>
        <v>0.97532445214416397</v>
      </c>
      <c r="H376" s="414" t="b">
        <f>Wh_hp&gt;='2022'!Maxi_hp</f>
        <v>0</v>
      </c>
      <c r="I376" s="390">
        <f>IF(H376,Wh_hp,'2022'!Maxi_hp)</f>
        <v>12.61970257797199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4.4514732731144702E-2</v>
      </c>
      <c r="M376" s="850"/>
      <c r="N376" s="850"/>
      <c r="O376" s="48">
        <f>IF(t&lt;Tnet,'2022'!Resal+('2022'!Salim-'2022'!Resal)*(1-EXP(('2022'!Tnet-t)/('2022'!Tau_j))),Resal+(Salim-Resal)*(1-EXP((Tnet-t)/(Tau_j))))*Salcycl</f>
        <v>5.3627343671089643E-2</v>
      </c>
      <c r="P376" s="169">
        <f>(INDEX(Models!$BJ376:$BT376,,T376)*(1-R376)+INDEX(Models!$BJ376:$BT376,,T376+1)*R376-ERP_i)*Q376*Ramure*Pc/MaxiM</f>
        <v>4.5726697558632914E-2</v>
      </c>
      <c r="Q376" s="305">
        <f t="shared" si="130"/>
        <v>0.7</v>
      </c>
      <c r="R376" s="177">
        <f t="shared" si="131"/>
        <v>9.9999999476774293E-2</v>
      </c>
      <c r="S376" s="817">
        <f t="shared" si="132"/>
        <v>0</v>
      </c>
      <c r="T376" s="176">
        <f t="shared" si="133"/>
        <v>6</v>
      </c>
      <c r="U376" s="251">
        <f t="shared" si="134"/>
        <v>9.9999999476774293E-2</v>
      </c>
      <c r="V376" s="383">
        <f t="shared" si="135"/>
        <v>11.162797141565189</v>
      </c>
      <c r="W376" s="402">
        <f t="shared" si="136"/>
        <v>10.904588291862659</v>
      </c>
      <c r="X376" s="157">
        <f t="shared" si="137"/>
        <v>45288</v>
      </c>
      <c r="Y376" s="385">
        <f t="shared" si="138"/>
        <v>10.203161391666843</v>
      </c>
      <c r="Z376" s="385">
        <f t="shared" si="139"/>
        <v>10.678512522575472</v>
      </c>
      <c r="AA376" s="386">
        <f t="shared" si="140"/>
        <v>12.059327636317473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0.11450183255520674</v>
      </c>
      <c r="AD376" s="231">
        <f>(INDEX(Models!$BJ376:$BT376,,AH376)*(1-AF376)+INDEX(Models!$BJ376:$BT376,,AH376+1)*AF376-ERP_i)*AE376*Ramure*Pc/MaxiM</f>
        <v>4.5726697558632914E-2</v>
      </c>
      <c r="AE376" s="305">
        <f t="shared" si="142"/>
        <v>0.7</v>
      </c>
      <c r="AF376" s="177">
        <f t="shared" si="143"/>
        <v>9.9999999476774293E-2</v>
      </c>
      <c r="AG376" s="817">
        <f t="shared" si="149"/>
        <v>0</v>
      </c>
      <c r="AH376" s="176">
        <f t="shared" si="144"/>
        <v>6</v>
      </c>
      <c r="AI376" s="225">
        <f t="shared" si="145"/>
        <v>9.9999999476774293E-2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45289</v>
      </c>
      <c r="B377" s="411">
        <f>'2022'!Wh/'2022'!Env_an*'2023'!Env_an</f>
        <v>6.2239152100144723</v>
      </c>
      <c r="C377" s="846"/>
      <c r="D377" s="393">
        <f t="shared" si="127"/>
        <v>6.5140214568743495</v>
      </c>
      <c r="E377" s="385">
        <f t="shared" si="150"/>
        <v>6.8840535756112331</v>
      </c>
      <c r="F377" s="385">
        <f t="shared" si="128"/>
        <v>6.9992343060580628</v>
      </c>
      <c r="G377" s="110">
        <f t="shared" si="151"/>
        <v>0.53603779617670499</v>
      </c>
      <c r="H377" s="414" t="b">
        <f>Wh_hp&gt;='2022'!Maxi_hp</f>
        <v>0</v>
      </c>
      <c r="I377" s="390">
        <f>IF(H377,Wh_hp,'2022'!Maxi_hp)</f>
        <v>12.09881611457118</v>
      </c>
      <c r="J377" s="85">
        <f>IF(H377,An,'2022'!An_max)</f>
        <v>2019</v>
      </c>
      <c r="K377" s="197">
        <f t="shared" si="129"/>
        <v>45289</v>
      </c>
      <c r="L377" s="147">
        <f>IF(t&lt;Tvie,1-EXP((T0-t)*PertePVj)+'2022'!Pspv,1-EXP((T0-t)*PertePVj)+Pspv)</f>
        <v>4.4535660310686231E-2</v>
      </c>
      <c r="M377" s="850"/>
      <c r="N377" s="850"/>
      <c r="O377" s="48">
        <f>IF(t&lt;Tnet,'2022'!Resal+('2022'!Salim-'2022'!Resal)*(1-EXP(('2022'!Tnet-t)/('2022'!Tau_j))),Resal+(Salim-Resal)*(1-EXP((Tnet-t)/(Tau_j))))*Salcycl</f>
        <v>5.375206841036663E-2</v>
      </c>
      <c r="P377" s="169">
        <f>(INDEX(Models!$BJ377:$BT377,,T377)*(1-R377)+INDEX(Models!$BJ377:$BT377,,T377+1)*R377-ERP_i)*Q377*Ramure*Pc/MaxiM</f>
        <v>4.563443724916131E-2</v>
      </c>
      <c r="Q377" s="305">
        <f t="shared" si="130"/>
        <v>0.7</v>
      </c>
      <c r="R377" s="177">
        <f t="shared" si="131"/>
        <v>9.9999999476774293E-2</v>
      </c>
      <c r="S377" s="817">
        <f t="shared" si="132"/>
        <v>0</v>
      </c>
      <c r="T377" s="176">
        <f t="shared" si="133"/>
        <v>6</v>
      </c>
      <c r="U377" s="251">
        <f t="shared" si="134"/>
        <v>9.9999999476774293E-2</v>
      </c>
      <c r="V377" s="383">
        <f t="shared" si="135"/>
        <v>11.266507366654855</v>
      </c>
      <c r="W377" s="402">
        <f t="shared" si="136"/>
        <v>6.2239152100144723</v>
      </c>
      <c r="X377" s="157">
        <f t="shared" si="137"/>
        <v>45289</v>
      </c>
      <c r="Y377" s="385">
        <f t="shared" si="138"/>
        <v>5.8240841099271172</v>
      </c>
      <c r="Z377" s="385">
        <f t="shared" si="139"/>
        <v>6.0955536151364074</v>
      </c>
      <c r="AA377" s="386">
        <f t="shared" si="140"/>
        <v>6.8840535756112331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0.11454006739115406</v>
      </c>
      <c r="AD377" s="231">
        <f>(INDEX(Models!$BJ377:$BT377,,AH377)*(1-AF377)+INDEX(Models!$BJ377:$BT377,,AH377+1)*AF377-ERP_i)*AE377*Ramure*Pc/MaxiM</f>
        <v>4.563443724916131E-2</v>
      </c>
      <c r="AE377" s="305">
        <f t="shared" si="142"/>
        <v>0.7</v>
      </c>
      <c r="AF377" s="177">
        <f t="shared" si="143"/>
        <v>9.9999999476774293E-2</v>
      </c>
      <c r="AG377" s="817">
        <f t="shared" si="149"/>
        <v>0</v>
      </c>
      <c r="AH377" s="176">
        <f t="shared" si="144"/>
        <v>6</v>
      </c>
      <c r="AI377" s="225">
        <f t="shared" si="145"/>
        <v>9.9999999476774293E-2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45290</v>
      </c>
      <c r="B378" s="411">
        <f>'2022'!Wh/'2022'!Env_an*'2023'!Env_an</f>
        <v>7.9349275526303593</v>
      </c>
      <c r="C378" s="846"/>
      <c r="D378" s="393">
        <f t="shared" si="127"/>
        <v>8.3049686127428899</v>
      </c>
      <c r="E378" s="385">
        <f t="shared" si="150"/>
        <v>8.7778933638229137</v>
      </c>
      <c r="F378" s="385">
        <f t="shared" si="128"/>
        <v>9.0112440006590546</v>
      </c>
      <c r="G378" s="110">
        <f t="shared" si="151"/>
        <v>0.6834297292566881</v>
      </c>
      <c r="H378" s="414" t="b">
        <f>Wh_hp&gt;='2022'!Maxi_hp</f>
        <v>0</v>
      </c>
      <c r="I378" s="390">
        <f>IF(H378,Wh_hp,'2022'!Maxi_hp)</f>
        <v>12.623938379603631</v>
      </c>
      <c r="J378" s="85">
        <f>IF(H378,An,'2022'!An_max)</f>
        <v>2019</v>
      </c>
      <c r="K378" s="197">
        <f t="shared" si="129"/>
        <v>45290</v>
      </c>
      <c r="L378" s="147">
        <f>IF(t&lt;Tvie,1-EXP((T0-t)*PertePVj)+'2022'!Pspv,1-EXP((T0-t)*PertePVj)+Pspv)</f>
        <v>4.4556587431859973E-2</v>
      </c>
      <c r="M378" s="850"/>
      <c r="N378" s="850"/>
      <c r="O378" s="48">
        <f>IF(t&lt;Tnet,'2022'!Resal+('2022'!Salim-'2022'!Resal)*(1-EXP(('2022'!Tnet-t)/('2022'!Tau_j))),Resal+(Salim-Resal)*(1-EXP((Tnet-t)/(Tau_j))))*Salcycl</f>
        <v>5.38767938363355E-2</v>
      </c>
      <c r="P378" s="169">
        <f>(INDEX(Models!$BJ378:$BT378,,T378)*(1-R378)+INDEX(Models!$BJ378:$BT378,,T378+1)*R378-ERP_i)*Q378*Ramure*Pc/MaxiM</f>
        <v>4.5597755683362891E-2</v>
      </c>
      <c r="Q378" s="305">
        <f t="shared" si="130"/>
        <v>0.7</v>
      </c>
      <c r="R378" s="177">
        <f t="shared" si="131"/>
        <v>9.9999999476774293E-2</v>
      </c>
      <c r="S378" s="817">
        <f t="shared" si="132"/>
        <v>0</v>
      </c>
      <c r="T378" s="176">
        <f t="shared" si="133"/>
        <v>6</v>
      </c>
      <c r="U378" s="251">
        <f t="shared" si="134"/>
        <v>9.9999999476774293E-2</v>
      </c>
      <c r="V378" s="383">
        <f t="shared" si="135"/>
        <v>11.37561800353107</v>
      </c>
      <c r="W378" s="402">
        <f t="shared" si="136"/>
        <v>7.9349275526303593</v>
      </c>
      <c r="X378" s="157">
        <f t="shared" si="137"/>
        <v>45290</v>
      </c>
      <c r="Y378" s="385">
        <f t="shared" si="138"/>
        <v>7.4258345164488819</v>
      </c>
      <c r="Z378" s="385">
        <f t="shared" si="139"/>
        <v>7.7721342978219425</v>
      </c>
      <c r="AA378" s="386">
        <f t="shared" si="140"/>
        <v>8.7778933638229137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0.11457863798460943</v>
      </c>
      <c r="AD378" s="231">
        <f>(INDEX(Models!$BJ378:$BT378,,AH378)*(1-AF378)+INDEX(Models!$BJ378:$BT378,,AH378+1)*AF378-ERP_i)*AE378*Ramure*Pc/MaxiM</f>
        <v>4.5597755683362891E-2</v>
      </c>
      <c r="AE378" s="305">
        <f t="shared" si="142"/>
        <v>0.7</v>
      </c>
      <c r="AF378" s="177">
        <f t="shared" si="143"/>
        <v>9.9999999476774293E-2</v>
      </c>
      <c r="AG378" s="817">
        <f t="shared" si="149"/>
        <v>0</v>
      </c>
      <c r="AH378" s="176">
        <f t="shared" si="144"/>
        <v>6</v>
      </c>
      <c r="AI378" s="225">
        <f t="shared" si="145"/>
        <v>9.9999999476774293E-2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45291</v>
      </c>
      <c r="B379" s="411">
        <f>'2022'!Wh/'2022'!Env_an*'2023'!Env_an</f>
        <v>7.4601318525758913</v>
      </c>
      <c r="C379" s="846"/>
      <c r="D379" s="393">
        <f t="shared" si="127"/>
        <v>7.8082020913574581</v>
      </c>
      <c r="E379" s="385">
        <f t="shared" si="150"/>
        <v>8.2539265220567266</v>
      </c>
      <c r="F379" s="385">
        <f t="shared" si="128"/>
        <v>8.4461750433621336</v>
      </c>
      <c r="G379" s="110">
        <f t="shared" si="151"/>
        <v>0.6341002525484436</v>
      </c>
      <c r="H379" s="414" t="b">
        <f>Wh_hp&gt;='2022'!Maxi_hp</f>
        <v>0</v>
      </c>
      <c r="I379" s="390">
        <f>IF(H379,Wh_hp,'2022'!Maxi_hp)</f>
        <v>12.634141180813497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4.4577514094676141E-2</v>
      </c>
      <c r="M379" s="850"/>
      <c r="N379" s="850"/>
      <c r="O379" s="48">
        <f>IF(t&lt;Tnet,'2022'!Resal+('2022'!Salim-'2022'!Resal)*(1-EXP(('2022'!Tnet-t)/('2022'!Tau_j))),Resal+(Salim-Resal)*(1-EXP((Tnet-t)/(Tau_j))))*Salcycl</f>
        <v>5.400150213455035E-2</v>
      </c>
      <c r="P379" s="169">
        <f>(INDEX(Models!$BJ379:$BT379,,T379)*(1-R379)+INDEX(Models!$BJ379:$BT379,,T379+1)*R379-ERP_i)*Q379*Ramure*Pc/MaxiM</f>
        <v>4.5616383012226536E-2</v>
      </c>
      <c r="Q379" s="306">
        <f t="shared" si="130"/>
        <v>0.7</v>
      </c>
      <c r="R379" s="177">
        <f t="shared" si="131"/>
        <v>9.9999999476774293E-2</v>
      </c>
      <c r="S379" s="817">
        <f t="shared" si="132"/>
        <v>0</v>
      </c>
      <c r="T379" s="176">
        <f t="shared" si="133"/>
        <v>6</v>
      </c>
      <c r="U379" s="307">
        <f t="shared" si="134"/>
        <v>9.9999999476774293E-2</v>
      </c>
      <c r="V379" s="383">
        <f t="shared" si="135"/>
        <v>11.489761984773477</v>
      </c>
      <c r="W379" s="402">
        <f t="shared" si="136"/>
        <v>7.4601318525758913</v>
      </c>
      <c r="X379" s="157">
        <f t="shared" si="137"/>
        <v>45291</v>
      </c>
      <c r="Y379" s="385">
        <f t="shared" si="138"/>
        <v>6.9821148526119483</v>
      </c>
      <c r="Z379" s="385">
        <f t="shared" si="139"/>
        <v>7.3078820685237993</v>
      </c>
      <c r="AA379" s="386">
        <f t="shared" si="140"/>
        <v>8.2539265220567266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0.11461750368201612</v>
      </c>
      <c r="AD379" s="231">
        <f>(INDEX(Models!$BJ379:$BT379,,AH379)*(1-AF379)+INDEX(Models!$BJ379:$BT379,,AH379+1)*AF379-ERP_i)*AE379*Ramure*Pc/MaxiM</f>
        <v>4.5616383012226536E-2</v>
      </c>
      <c r="AE379" s="306">
        <f t="shared" si="142"/>
        <v>0.7</v>
      </c>
      <c r="AF379" s="177">
        <f t="shared" si="143"/>
        <v>9.9999999476774293E-2</v>
      </c>
      <c r="AG379" s="817">
        <f t="shared" si="149"/>
        <v>0</v>
      </c>
      <c r="AH379" s="176">
        <f t="shared" si="144"/>
        <v>6</v>
      </c>
      <c r="AI379" s="222">
        <f t="shared" si="145"/>
        <v>9.9999999476774293E-2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54"/>
      <c r="D380" s="401"/>
      <c r="E380" s="387"/>
      <c r="F380" s="387"/>
      <c r="G380" s="122"/>
      <c r="H380" s="414" t="b">
        <f>Wh_hp&gt;='2022'!Maxi_hp</f>
        <v>0</v>
      </c>
      <c r="I380" s="390">
        <f>IF(H380,Wh_hp,'2022'!Maxi_hp)</f>
        <v>9.8304510021791351</v>
      </c>
      <c r="J380" s="85">
        <f>IF(H380,An,'2022'!An_max)</f>
        <v>2020</v>
      </c>
      <c r="K380" s="234"/>
      <c r="L380" s="214"/>
      <c r="M380" s="855"/>
      <c r="N380" s="855"/>
      <c r="O380" s="153"/>
      <c r="P380" s="322"/>
      <c r="Q380" s="229"/>
      <c r="R380" s="229"/>
      <c r="S380" s="229"/>
      <c r="T380" s="229"/>
      <c r="U380" s="323"/>
      <c r="V380" s="383">
        <f>(V379+V15)/2</f>
        <v>11.38603780810141</v>
      </c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0.8704981431532467</v>
      </c>
      <c r="C381" s="375"/>
      <c r="D381" s="373">
        <f>MIN(D15:D380)</f>
        <v>0.90405642239683159</v>
      </c>
      <c r="E381" s="373">
        <f>MIN(E15:E380)</f>
        <v>0.99776097808000797</v>
      </c>
      <c r="F381" s="374">
        <f>MIN(F15:F380)</f>
        <v>0.99776097808000797</v>
      </c>
      <c r="G381" s="125">
        <f>+MIN(G15:G380)</f>
        <v>6.6759228086049838E-2</v>
      </c>
      <c r="H381" s="94"/>
      <c r="I381" s="374">
        <f>MIN(I15:I380)</f>
        <v>5.9138462610467215</v>
      </c>
      <c r="J381" s="57">
        <f>MIN(J15:J380)</f>
        <v>2018</v>
      </c>
      <c r="K381" s="200" t="s">
        <v>7</v>
      </c>
      <c r="L381" s="146">
        <f t="shared" ref="L381:T381" si="152">MIN(L15:L380)</f>
        <v>3.6929846779903297E-2</v>
      </c>
      <c r="M381" s="852"/>
      <c r="N381" s="852"/>
      <c r="O381" s="47">
        <f t="shared" si="152"/>
        <v>1.7188084241429463E-2</v>
      </c>
      <c r="P381" s="168">
        <f t="shared" si="152"/>
        <v>0</v>
      </c>
      <c r="Q381" s="310">
        <f t="shared" si="152"/>
        <v>0.7</v>
      </c>
      <c r="R381" s="311">
        <f t="shared" si="152"/>
        <v>2.9285193962461098E-4</v>
      </c>
      <c r="S381" s="817">
        <f t="shared" si="152"/>
        <v>-1</v>
      </c>
      <c r="T381" s="176">
        <f t="shared" si="152"/>
        <v>5</v>
      </c>
      <c r="U381" s="252">
        <f>+MIN(U15:U380)</f>
        <v>-0.19999929855732312</v>
      </c>
      <c r="V381" s="57">
        <f>MIN(V15:V380)</f>
        <v>10.292353804881317</v>
      </c>
      <c r="W381" s="58"/>
      <c r="X381" s="112" t="s">
        <v>7</v>
      </c>
      <c r="Y381" s="373">
        <f>MIN(Y15:Y380)</f>
        <v>0.83326040668905133</v>
      </c>
      <c r="Z381" s="373">
        <f>MIN(Z15:Z380)</f>
        <v>0.86538314655958493</v>
      </c>
      <c r="AA381" s="373">
        <f>MIN(AA15:AA380)</f>
        <v>0.99776097808000797</v>
      </c>
      <c r="AB381" s="200" t="s">
        <v>7</v>
      </c>
      <c r="AC381" s="47">
        <f t="shared" ref="AC381:AH381" si="153">MIN(AC15:AC380)</f>
        <v>0.10286331412979939</v>
      </c>
      <c r="AD381" s="168">
        <f t="shared" si="153"/>
        <v>0</v>
      </c>
      <c r="AE381" s="310">
        <f t="shared" si="153"/>
        <v>0.7</v>
      </c>
      <c r="AF381" s="311">
        <f t="shared" si="153"/>
        <v>2.9285193962461098E-4</v>
      </c>
      <c r="AG381" s="817">
        <f t="shared" si="153"/>
        <v>-1</v>
      </c>
      <c r="AH381" s="176">
        <f t="shared" si="153"/>
        <v>5</v>
      </c>
      <c r="AI381" s="226">
        <f>MIN(AI15:AI380)</f>
        <v>-0.19999929855732312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19.811160953084848</v>
      </c>
      <c r="C382" s="375"/>
      <c r="D382" s="375">
        <f>AVERAGE(D15:D380)</f>
        <v>20.650959491973968</v>
      </c>
      <c r="E382" s="375">
        <f>AVERAGE(E15:E380)</f>
        <v>21.751012445083397</v>
      </c>
      <c r="F382" s="376">
        <f>AVERAGE(F15:F380)</f>
        <v>21.878522265566989</v>
      </c>
      <c r="G382" s="126">
        <f>AVERAGE(G15:G380)</f>
        <v>0.68947763442567078</v>
      </c>
      <c r="H382" s="94"/>
      <c r="I382" s="376">
        <f>AVERAGE(I15:I380)</f>
        <v>29.001531808227984</v>
      </c>
      <c r="J382" s="59">
        <f>AVERAGE(J15:J380)</f>
        <v>2020.3005464480875</v>
      </c>
      <c r="K382" s="200" t="s">
        <v>8</v>
      </c>
      <c r="L382" s="147">
        <f t="shared" ref="L382:V382" si="154">AVERAGE(L15:L380)</f>
        <v>4.07587474695403E-2</v>
      </c>
      <c r="M382" s="850"/>
      <c r="N382" s="850"/>
      <c r="O382" s="48">
        <f t="shared" si="154"/>
        <v>5.71897729430519E-2</v>
      </c>
      <c r="P382" s="169">
        <f t="shared" si="154"/>
        <v>1.740931152352572E-2</v>
      </c>
      <c r="Q382" s="312">
        <f t="shared" si="154"/>
        <v>0.69999999999999529</v>
      </c>
      <c r="R382" s="177">
        <f t="shared" si="154"/>
        <v>0.45286240111641379</v>
      </c>
      <c r="S382" s="817">
        <f t="shared" si="154"/>
        <v>-0.48493150684931507</v>
      </c>
      <c r="T382" s="176">
        <f t="shared" si="154"/>
        <v>5.515068493150685</v>
      </c>
      <c r="U382" s="251">
        <f t="shared" si="154"/>
        <v>-3.2069105732901095E-2</v>
      </c>
      <c r="V382" s="59">
        <f t="shared" si="154"/>
        <v>27.711114897051321</v>
      </c>
      <c r="X382" s="112" t="s">
        <v>8</v>
      </c>
      <c r="Y382" s="375">
        <f>AVERAGE(Y15:Y380)</f>
        <v>18.422217059947535</v>
      </c>
      <c r="Z382" s="375">
        <f>AVERAGE(Z15:Z380)</f>
        <v>19.202769262505885</v>
      </c>
      <c r="AA382" s="375">
        <f>AVERAGE(AA15:AA380)</f>
        <v>21.751012445083397</v>
      </c>
      <c r="AB382" s="200" t="s">
        <v>8</v>
      </c>
      <c r="AC382" s="48">
        <f t="shared" ref="AC382:AH382" si="155">AVERAGE(AC15:AC380)</f>
        <v>0.1191142219073205</v>
      </c>
      <c r="AD382" s="169">
        <f t="shared" si="155"/>
        <v>1.740931152352572E-2</v>
      </c>
      <c r="AE382" s="312">
        <f t="shared" si="155"/>
        <v>0.69999999999999529</v>
      </c>
      <c r="AF382" s="177">
        <f t="shared" si="155"/>
        <v>0.45286240111641379</v>
      </c>
      <c r="AG382" s="817">
        <f t="shared" si="155"/>
        <v>-0.48493150684931507</v>
      </c>
      <c r="AH382" s="176">
        <f t="shared" si="155"/>
        <v>5.515068493150685</v>
      </c>
      <c r="AI382" s="225">
        <f>AVERAGE(AI15:AI380)</f>
        <v>-3.2069105732901095E-2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41.064314612780514</v>
      </c>
      <c r="C383" s="377"/>
      <c r="D383" s="377">
        <f>MAX(D15:D380)</f>
        <v>42.777408451027966</v>
      </c>
      <c r="E383" s="377">
        <f>MAX(E15:E380)</f>
        <v>43.771585370686964</v>
      </c>
      <c r="F383" s="378">
        <f>MAX(F15:F380)</f>
        <v>43.771585370686964</v>
      </c>
      <c r="G383" s="127">
        <f>+MAX(G15:G380)</f>
        <v>1.0412989230211518</v>
      </c>
      <c r="H383" s="94"/>
      <c r="I383" s="378">
        <f>MAX(I15:I380)</f>
        <v>45.292153927540518</v>
      </c>
      <c r="J383" s="60">
        <f>MAX(J15:J380)</f>
        <v>2023</v>
      </c>
      <c r="K383" s="200" t="s">
        <v>9</v>
      </c>
      <c r="L383" s="148">
        <f t="shared" ref="L383:T383" si="156">MAX(L15:L380)</f>
        <v>4.4577514094676141E-2</v>
      </c>
      <c r="M383" s="853"/>
      <c r="N383" s="853"/>
      <c r="O383" s="49">
        <f t="shared" si="156"/>
        <v>0.10274501027396959</v>
      </c>
      <c r="P383" s="170">
        <f t="shared" si="156"/>
        <v>5.9400885814660284E-2</v>
      </c>
      <c r="Q383" s="313">
        <f t="shared" si="156"/>
        <v>0.7</v>
      </c>
      <c r="R383" s="314">
        <f t="shared" si="156"/>
        <v>0.9975347921203197</v>
      </c>
      <c r="S383" s="818">
        <f t="shared" si="156"/>
        <v>0</v>
      </c>
      <c r="T383" s="233">
        <f t="shared" si="156"/>
        <v>6</v>
      </c>
      <c r="U383" s="253">
        <f>+MAX(U15:U380)</f>
        <v>9.9999999476774293E-2</v>
      </c>
      <c r="V383" s="60">
        <f>MAX(V15:V380)</f>
        <v>40.925006641971166</v>
      </c>
      <c r="X383" s="112" t="s">
        <v>9</v>
      </c>
      <c r="Y383" s="377">
        <f>MAX(Y15:Y380)</f>
        <v>37.539584610870584</v>
      </c>
      <c r="Z383" s="377">
        <f>MAX(Z15:Z380)</f>
        <v>39.105636100921181</v>
      </c>
      <c r="AA383" s="377">
        <f>MAX(AA15:AA380)</f>
        <v>43.771585370686964</v>
      </c>
      <c r="AB383" s="200" t="s">
        <v>9</v>
      </c>
      <c r="AC383" s="49">
        <f t="shared" ref="AC383:AH383" si="157">MAX(AC15:AC380)</f>
        <v>0.13647208067732697</v>
      </c>
      <c r="AD383" s="170">
        <f t="shared" si="157"/>
        <v>5.9400885814660284E-2</v>
      </c>
      <c r="AE383" s="313">
        <f t="shared" si="157"/>
        <v>0.7</v>
      </c>
      <c r="AF383" s="314">
        <f t="shared" si="157"/>
        <v>0.9975347921203197</v>
      </c>
      <c r="AG383" s="818">
        <f t="shared" si="157"/>
        <v>0</v>
      </c>
      <c r="AH383" s="233">
        <f t="shared" si="157"/>
        <v>6</v>
      </c>
      <c r="AI383" s="227">
        <f>MAX(AI15:AI380)</f>
        <v>9.9999999476774293E-2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65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67</v>
      </c>
      <c r="H384" s="404"/>
      <c r="I384" s="405" t="s">
        <v>6</v>
      </c>
      <c r="J384" s="405" t="s">
        <v>113</v>
      </c>
      <c r="K384" s="406"/>
      <c r="L384" s="405" t="s">
        <v>66</v>
      </c>
      <c r="M384" s="407"/>
      <c r="N384" s="407"/>
      <c r="O384" s="407" t="s">
        <v>66</v>
      </c>
      <c r="P384" s="407" t="s">
        <v>66</v>
      </c>
      <c r="Q384" s="405" t="s">
        <v>66</v>
      </c>
      <c r="R384" s="405" t="s">
        <v>67</v>
      </c>
      <c r="S384" s="405" t="s">
        <v>81</v>
      </c>
      <c r="T384" s="405" t="s">
        <v>67</v>
      </c>
      <c r="U384" s="408" t="s">
        <v>81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66</v>
      </c>
      <c r="AD384" s="405" t="s">
        <v>66</v>
      </c>
      <c r="AE384" s="405" t="s">
        <v>66</v>
      </c>
      <c r="AF384" s="405" t="s">
        <v>67</v>
      </c>
      <c r="AG384" s="405" t="s">
        <v>81</v>
      </c>
      <c r="AH384" s="405" t="s">
        <v>67</v>
      </c>
      <c r="AI384" s="408" t="s">
        <v>81</v>
      </c>
      <c r="AJ384" s="835"/>
      <c r="AK384" s="835"/>
      <c r="AL384" s="835"/>
      <c r="AM384" s="835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0" priority="3" stopIfTrue="1" operator="lessThan">
      <formula>0.01</formula>
    </cfRule>
    <cfRule type="cellIs" dxfId="9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373" sqref="B373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39">
        <f>'2023'!An+1</f>
        <v>2024</v>
      </c>
      <c r="K1" s="1240"/>
      <c r="L1" s="113" t="str">
        <f>"Calcul pertes et enveloppes en "&amp;TEXT(An,0)</f>
        <v>Calcul pertes et enveloppes en 2024</v>
      </c>
      <c r="M1" s="243"/>
      <c r="N1" s="243"/>
      <c r="V1" s="458"/>
      <c r="W1" s="456"/>
      <c r="X1" s="486" t="str">
        <f>"Prévision sans nettoyage ni taille végétation en "&amp;TEXT(An,0)</f>
        <v>Prévision sans nettoyage ni taille végétation en 2024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4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3" t="s">
        <v>24</v>
      </c>
      <c r="P2" s="18"/>
      <c r="Q2" s="791"/>
      <c r="R2" s="18"/>
      <c r="S2" s="494"/>
      <c r="T2" s="494"/>
      <c r="U2" s="294" t="s">
        <v>75</v>
      </c>
      <c r="V2" s="495">
        <f>PertePVan</f>
        <v>8.0000000000000002E-3</v>
      </c>
      <c r="W2" s="451" t="s">
        <v>14</v>
      </c>
      <c r="X2" s="496"/>
      <c r="Y2" s="497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40" t="s">
        <v>272</v>
      </c>
      <c r="AK2" s="840" t="s">
        <v>274</v>
      </c>
      <c r="AL2" s="840" t="s">
        <v>273</v>
      </c>
      <c r="AM2" s="840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49">
        <f>Tmaj</f>
        <v>44926</v>
      </c>
      <c r="F3" s="1249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51"/>
      <c r="U3" s="209" t="s">
        <v>164</v>
      </c>
      <c r="V3" s="634">
        <f>Salim_i</f>
        <v>0.14000000000000001</v>
      </c>
      <c r="W3" s="451"/>
      <c r="X3" s="501" t="s">
        <v>92</v>
      </c>
      <c r="Y3" s="502"/>
      <c r="Z3" s="503"/>
      <c r="AA3" s="497"/>
      <c r="AB3" s="497"/>
      <c r="AC3" s="429"/>
      <c r="AD3" s="429"/>
      <c r="AE3" s="429"/>
      <c r="AF3" s="429"/>
      <c r="AG3" s="429"/>
      <c r="AH3" s="429"/>
      <c r="AI3" s="429"/>
      <c r="AJ3" s="838">
        <f>AL11-AJ11</f>
        <v>0</v>
      </c>
      <c r="AK3" s="839">
        <f>AM11-AK11</f>
        <v>0</v>
      </c>
      <c r="AL3" s="838"/>
      <c r="AM3" s="839"/>
      <c r="AN3" s="837" t="s">
        <v>281</v>
      </c>
    </row>
    <row r="4" spans="1:40" s="19" customFormat="1" ht="16.5" customHeight="1" x14ac:dyDescent="0.3">
      <c r="A4" s="35"/>
      <c r="B4" s="28"/>
      <c r="C4" s="28"/>
      <c r="D4" s="83" t="s">
        <v>128</v>
      </c>
      <c r="E4" s="1188" t="str">
        <f>Station</f>
        <v>Donneville</v>
      </c>
      <c r="F4" s="1189"/>
      <c r="G4" s="1189"/>
      <c r="H4" s="1189"/>
      <c r="I4" s="1190"/>
      <c r="J4" s="158"/>
      <c r="K4" s="191"/>
      <c r="L4" s="505"/>
      <c r="M4" s="504"/>
      <c r="N4" s="504"/>
      <c r="O4" s="429"/>
      <c r="P4" s="34"/>
      <c r="Q4" s="504"/>
      <c r="R4" s="34"/>
      <c r="S4" s="494"/>
      <c r="T4" s="409"/>
      <c r="U4" s="295" t="s">
        <v>78</v>
      </c>
      <c r="V4" s="633">
        <f>Persistant</f>
        <v>0.8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9"/>
      <c r="AD4" s="429"/>
      <c r="AE4" s="429"/>
      <c r="AF4" s="429"/>
      <c r="AG4" s="429"/>
      <c r="AH4" s="429"/>
      <c r="AI4" s="429"/>
      <c r="AJ4" s="838">
        <f>AL12-AJ12</f>
        <v>370.7723840124138</v>
      </c>
      <c r="AK4" s="839">
        <f>AM12-AK12</f>
        <v>-2.678525521337022</v>
      </c>
      <c r="AL4" s="838"/>
      <c r="AM4" s="839"/>
      <c r="AN4" s="837" t="s">
        <v>282</v>
      </c>
    </row>
    <row r="5" spans="1:40" s="35" customFormat="1" ht="16.5" customHeight="1" x14ac:dyDescent="0.25">
      <c r="D5" s="161" t="s">
        <v>20</v>
      </c>
      <c r="E5" s="1250">
        <f>T0</f>
        <v>43209</v>
      </c>
      <c r="F5" s="1250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370.7723840124138</v>
      </c>
      <c r="AA5" s="237">
        <f>Wh_Pvg_s-Wh_Pvg</f>
        <v>-2.678525521337022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7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51">
        <f>Tservice</f>
        <v>43249</v>
      </c>
      <c r="F6" s="1251"/>
      <c r="G6" s="95"/>
      <c r="H6" s="35"/>
      <c r="I6" s="35"/>
      <c r="J6" s="8"/>
      <c r="K6" s="193"/>
      <c r="L6" s="154" t="s">
        <v>79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2"/>
      <c r="X6" s="496"/>
      <c r="Y6" s="497"/>
      <c r="Z6" s="462"/>
      <c r="AA6" s="462"/>
      <c r="AB6" s="515"/>
      <c r="AC6" s="462"/>
      <c r="AD6" s="462"/>
      <c r="AE6" s="462"/>
      <c r="AF6" s="462"/>
      <c r="AG6" s="462"/>
      <c r="AH6" s="462"/>
      <c r="AI6" s="462"/>
      <c r="AJ6" s="515">
        <f>SUMIF(AJ15:AJ380,"FAUX",Wh)</f>
        <v>6977.5709326180931</v>
      </c>
      <c r="AK6" s="515">
        <f>SUMIF(AK15:AK380,"FAUX",Wh)</f>
        <v>6977.5709326180931</v>
      </c>
      <c r="AL6" s="515">
        <f>SUMIF(AJ15:AJ380,"FAUX",Wh_s)</f>
        <v>6606.7276694317934</v>
      </c>
      <c r="AM6" s="515">
        <f>SUMIF(AK15:AK380,"FAUX",Wh_s)</f>
        <v>6606.7276694317934</v>
      </c>
      <c r="AN6" s="837" t="s">
        <v>279</v>
      </c>
    </row>
    <row r="7" spans="1:40" s="40" customFormat="1" ht="15" customHeight="1" x14ac:dyDescent="0.25">
      <c r="A7" s="183"/>
      <c r="B7" s="178"/>
      <c r="C7" s="178"/>
      <c r="D7" s="22" t="s">
        <v>108</v>
      </c>
      <c r="E7" s="320" t="b">
        <f>AND(YEAR(Tnet)=An,Resal_2024="I")</f>
        <v>0</v>
      </c>
      <c r="F7" s="320" t="b">
        <f>YEAR(Tnet)=An</f>
        <v>0</v>
      </c>
      <c r="J7" s="178"/>
      <c r="K7" s="191"/>
      <c r="L7" s="189" t="s">
        <v>77</v>
      </c>
      <c r="M7" s="848"/>
      <c r="N7" s="848"/>
      <c r="O7" s="18"/>
      <c r="P7" s="118"/>
      <c r="Q7" s="118"/>
      <c r="R7" s="141"/>
      <c r="S7" s="141"/>
      <c r="T7" s="141"/>
      <c r="U7" s="141"/>
      <c r="V7" s="429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7" t="s">
        <v>270</v>
      </c>
    </row>
    <row r="8" spans="1:40" s="6" customFormat="1" ht="15" customHeight="1" x14ac:dyDescent="0.25">
      <c r="A8" s="34"/>
      <c r="B8" s="210"/>
      <c r="C8" s="210"/>
      <c r="D8" s="22" t="s">
        <v>80</v>
      </c>
      <c r="E8" s="320" t="b">
        <f>AND(YEAR(Tnet)=An,Resal_2024&lt;&gt;"I")</f>
        <v>0</v>
      </c>
      <c r="F8" s="321" t="b">
        <f>YEAR(Ttai)=An</f>
        <v>0</v>
      </c>
      <c r="H8" s="179" t="s">
        <v>72</v>
      </c>
      <c r="I8" s="98"/>
      <c r="J8" s="158"/>
      <c r="K8" s="191"/>
      <c r="L8" s="114"/>
      <c r="M8" s="114"/>
      <c r="N8" s="114"/>
      <c r="O8" s="115" t="s">
        <v>59</v>
      </c>
      <c r="P8" s="18"/>
      <c r="Q8" s="18"/>
      <c r="R8" s="18"/>
      <c r="S8" s="18"/>
      <c r="T8" s="18"/>
      <c r="U8" s="18"/>
      <c r="V8" s="517"/>
      <c r="W8" s="404"/>
      <c r="X8" s="1237" t="s">
        <v>98</v>
      </c>
      <c r="Y8" s="1238"/>
      <c r="Z8" s="497"/>
      <c r="AA8" s="497"/>
      <c r="AB8" s="462"/>
      <c r="AC8" s="519" t="s">
        <v>59</v>
      </c>
      <c r="AD8" s="462"/>
      <c r="AE8" s="462"/>
      <c r="AF8" s="462"/>
      <c r="AG8" s="462"/>
      <c r="AH8" s="462"/>
      <c r="AI8" s="462"/>
      <c r="AJ8" s="515">
        <f>SUMIF(AJ15:AJ380,"FAUX",Wh_pvt)</f>
        <v>7331.3843130674004</v>
      </c>
      <c r="AK8" s="515">
        <f>SUMIF(AK15:AK380,"FAUX",Wh_sa)</f>
        <v>7931.424972414683</v>
      </c>
      <c r="AL8" s="515">
        <f>SUMIF(AJ15:AJ380,"FAUX",Wh_pvt_s)</f>
        <v>6941.8017917040461</v>
      </c>
      <c r="AM8" s="515">
        <f>SUMIF(AK15:AK380,"FAUX",Wh_sa_s)</f>
        <v>7931.424972414683</v>
      </c>
      <c r="AN8" s="837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7331.3843130674004</v>
      </c>
      <c r="E9" s="184">
        <f>SUM(E$15:E$380)</f>
        <v>7931.424972414683</v>
      </c>
      <c r="F9" s="184">
        <f>SUM(F$15:F$380)</f>
        <v>7988.7120430402856</v>
      </c>
      <c r="H9" s="1241">
        <f>+SUM(Wh)</f>
        <v>6977.5709326180931</v>
      </c>
      <c r="I9" s="1242"/>
      <c r="J9" s="1243"/>
      <c r="K9" s="191"/>
      <c r="L9" s="232"/>
      <c r="M9" s="232"/>
      <c r="N9" s="232"/>
      <c r="O9" s="223">
        <f>Tnet_2024</f>
        <v>45046</v>
      </c>
      <c r="P9" s="244" t="s">
        <v>87</v>
      </c>
      <c r="Q9" s="245"/>
      <c r="R9" s="245"/>
      <c r="S9" s="245"/>
      <c r="T9" s="245"/>
      <c r="U9" s="246"/>
      <c r="V9" s="462"/>
      <c r="W9" s="520"/>
      <c r="X9" s="1235">
        <f>+SUM(Wh_s)</f>
        <v>6606.7276694317934</v>
      </c>
      <c r="Y9" s="1236"/>
      <c r="Z9" s="515">
        <f>SUM(Z$15:Z$380)</f>
        <v>6941.8017917040461</v>
      </c>
      <c r="AA9" s="515">
        <f>SUM(AA$15:AA$380)</f>
        <v>7931.424972414683</v>
      </c>
      <c r="AB9" s="515">
        <f>F9</f>
        <v>7988.7120430402856</v>
      </c>
      <c r="AC9" s="325">
        <f>IF(An_Tnet,Tnet,'2023'!Tnet_s)</f>
        <v>45046</v>
      </c>
      <c r="AD9" s="316" t="s">
        <v>87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7" t="s">
        <v>276</v>
      </c>
    </row>
    <row r="10" spans="1:40" s="19" customFormat="1" ht="15" customHeight="1" x14ac:dyDescent="0.25">
      <c r="A10" s="206"/>
      <c r="B10" s="207"/>
      <c r="C10" s="844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IF(Inflex,'2023'!Resal+('2023'!Salim-'2023'!Resal)*(1-EXP(-(Tnet-'2023'!Tnet)/('2023'!Tau_j))),IF(An_Tnet,Resal_2024,'2023'!Resal))</f>
        <v>1.7000000000000001E-2</v>
      </c>
      <c r="P10" s="422" t="b">
        <f>NOT(Acti_tai)</f>
        <v>1</v>
      </c>
      <c r="Q10" s="257">
        <f>IF(Acti_tai,'2023'!PousD,Dens-Dd)</f>
        <v>0</v>
      </c>
      <c r="R10" s="274"/>
      <c r="S10" s="275"/>
      <c r="T10" s="276"/>
      <c r="U10" s="266">
        <f>IF(Acti_tai,'2023'!PousH,Hdtf-Hdd)</f>
        <v>0.5</v>
      </c>
      <c r="V10" s="429"/>
      <c r="W10" s="504"/>
      <c r="X10" s="505"/>
      <c r="Y10" s="521" t="s">
        <v>26</v>
      </c>
      <c r="Z10" s="511" t="s">
        <v>27</v>
      </c>
      <c r="AA10" s="511" t="s">
        <v>28</v>
      </c>
      <c r="AB10" s="429"/>
      <c r="AC10" s="318">
        <f>IF(OR(Inflex,GainD),'2023'!Resal_s+('2023'!Salim-'2023'!Resal_s)*(1-EXP(('2023'!Tnet_s-Tnet)/('2023'!Tau_j))),IF(Acti_net,'2023'!Resal+('2023'!Salim-'2023'!Resal)*(1-EXP(('2023'!Tnet-Tnet)/'2023'!Tau_j)),'2023'!Resal_s))</f>
        <v>0.10173771059322895</v>
      </c>
      <c r="AD10" s="429"/>
      <c r="AE10" s="429"/>
      <c r="AF10" s="260"/>
      <c r="AG10" s="261"/>
      <c r="AH10" s="262"/>
      <c r="AI10" s="472"/>
      <c r="AJ10" s="515">
        <f>SUMIF(AJ15:AJ380,"FAUX",Wh_sa)</f>
        <v>7931.424972414683</v>
      </c>
      <c r="AK10" s="515">
        <f>SUMIF(AK15:AK380,"FAUX",Wh_hp)</f>
        <v>7988.7120430402856</v>
      </c>
      <c r="AL10" s="515">
        <f>SUMIF(AJ15:AJ380,"FAUX",Wh_sa_s)</f>
        <v>7931.424972414683</v>
      </c>
      <c r="AM10" s="515">
        <f>SUMIF(AK15:AK380,"FAUX",Wh_hp)</f>
        <v>7988.7120430402856</v>
      </c>
      <c r="AN10" s="837" t="s">
        <v>277</v>
      </c>
    </row>
    <row r="11" spans="1:40" s="40" customFormat="1" ht="15" customHeight="1" x14ac:dyDescent="0.25">
      <c r="A11" s="216"/>
      <c r="B11" s="217" t="s">
        <v>43</v>
      </c>
      <c r="C11" s="845"/>
      <c r="D11" s="50">
        <f>D$9-Prod_an</f>
        <v>353.81338044930726</v>
      </c>
      <c r="E11" s="51">
        <f>(E$9-D$9)*Prod_an/D$9</f>
        <v>571.08263381964969</v>
      </c>
      <c r="F11" s="186">
        <f>(F$9-E$9)*Prod_an/E$9</f>
        <v>50.397576753518784</v>
      </c>
      <c r="G11" s="185" t="s">
        <v>6</v>
      </c>
      <c r="K11" s="194"/>
      <c r="L11" s="211">
        <f>Tvie_2024</f>
        <v>43209</v>
      </c>
      <c r="M11" s="849"/>
      <c r="N11" s="849"/>
      <c r="O11" s="202">
        <f>IF(An_Tnet,Salim_2024,'2023'!Salim)</f>
        <v>0.14666666666666667</v>
      </c>
      <c r="P11" s="256">
        <f>Ttai_2024</f>
        <v>43101</v>
      </c>
      <c r="Q11" s="272">
        <f>Dens_2024</f>
        <v>0.7</v>
      </c>
      <c r="R11" s="277"/>
      <c r="S11" s="230"/>
      <c r="T11" s="230"/>
      <c r="U11" s="266">
        <f>Htf_2024</f>
        <v>0.59999999947677429</v>
      </c>
      <c r="V11" s="429"/>
      <c r="W11" s="518"/>
      <c r="X11" s="525" t="s">
        <v>43</v>
      </c>
      <c r="Y11" s="50">
        <f>Z$9-Prod_an_s</f>
        <v>335.07412227225268</v>
      </c>
      <c r="Z11" s="51">
        <f>(AA$9-Z$9)*Prod_an_s/Z$9</f>
        <v>941.85501783206348</v>
      </c>
      <c r="AA11" s="186">
        <f>(AB$9-AA$9)*Prod_an_s/AA$9</f>
        <v>47.719051232181762</v>
      </c>
      <c r="AB11" s="526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8">
        <f>IF($AJ7=0,0,($AJ9-$AJ7)*$AJ5/$AJ7)</f>
        <v>0</v>
      </c>
      <c r="AK11" s="839">
        <f>IF($AK7=0,0,($AK9-$AK7)*$AK5/$AK7)</f>
        <v>0</v>
      </c>
      <c r="AL11" s="838">
        <f>IF($AL7=0,0,($AL9-$AL7)*$AL5/$AL7)</f>
        <v>0</v>
      </c>
      <c r="AM11" s="839">
        <f>IF($AM7=0,0,($AM9-$AM7)*$AM5/$AM7)</f>
        <v>0</v>
      </c>
      <c r="AN11" s="837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4.129892302115179E-2</v>
      </c>
      <c r="K12" s="191"/>
      <c r="L12" s="212">
        <f>Pspv_2024</f>
        <v>0</v>
      </c>
      <c r="M12" s="212"/>
      <c r="N12" s="212"/>
      <c r="O12" s="205">
        <f>IF(An_Tnet,Tau_2024*365,'2023'!Tau_j)</f>
        <v>730</v>
      </c>
      <c r="P12" s="281">
        <f>INDEX(Croivg,MIN(MAX(Ttai-$A$15,0)+1,366))</f>
        <v>2.3909964587625958E-6</v>
      </c>
      <c r="Q12" s="280">
        <f>'2023'!Df</f>
        <v>0.7</v>
      </c>
      <c r="R12" s="278"/>
      <c r="S12" s="279"/>
      <c r="T12" s="279"/>
      <c r="U12" s="267">
        <f>'2023'!Hdf</f>
        <v>9.9999999476774293E-2</v>
      </c>
      <c r="V12" s="40"/>
      <c r="W12" s="34"/>
      <c r="X12" s="54"/>
      <c r="Y12" s="34"/>
      <c r="AB12" s="319" t="s">
        <v>102</v>
      </c>
      <c r="AC12" s="318" t="b">
        <f>NOT(An_Tnet)</f>
        <v>1</v>
      </c>
      <c r="AE12" s="296">
        <f>'2023'!Df_s</f>
        <v>0.7</v>
      </c>
      <c r="AF12" s="203"/>
      <c r="AG12" s="203"/>
      <c r="AH12" s="203"/>
      <c r="AI12" s="297">
        <f>'2023'!Hdf_s</f>
        <v>9.9999999476774293E-2</v>
      </c>
      <c r="AJ12" s="838">
        <f>IF($AJ8=0,0,($AJ10-$AJ8)*$AJ6/$AJ8)</f>
        <v>571.08263381964969</v>
      </c>
      <c r="AK12" s="839">
        <f>IF($AK8=0,0,($AK10-$AK8)*$AK6/$AK8)</f>
        <v>50.397576753518784</v>
      </c>
      <c r="AL12" s="838">
        <f>IF($AL8=0,0,($AL10-$AL8)*$AL6/$AL8)</f>
        <v>941.85501783206348</v>
      </c>
      <c r="AM12" s="839">
        <f>IF($AM8=0,0,($AM10-$AM8)*$AM6/$AM8)</f>
        <v>47.719051232181762</v>
      </c>
      <c r="AN12" s="837" t="s">
        <v>284</v>
      </c>
    </row>
    <row r="13" spans="1:40" s="37" customFormat="1" ht="11.25" x14ac:dyDescent="0.2">
      <c r="A13" s="130" t="s">
        <v>64</v>
      </c>
      <c r="B13" s="124" t="s">
        <v>34</v>
      </c>
      <c r="C13" s="124"/>
      <c r="D13" s="124" t="s">
        <v>68</v>
      </c>
      <c r="E13" s="124" t="s">
        <v>69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42" t="s">
        <v>46</v>
      </c>
      <c r="X13" s="259"/>
      <c r="Y13" s="124" t="s">
        <v>96</v>
      </c>
      <c r="Z13" s="124" t="s">
        <v>97</v>
      </c>
      <c r="AA13" s="124" t="s">
        <v>70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571.08263381964969</v>
      </c>
      <c r="AK13" s="73">
        <f>+AK11+AK12</f>
        <v>50.397576753518784</v>
      </c>
      <c r="AL13" s="73">
        <f>+AL11+AL12</f>
        <v>941.85501783206348</v>
      </c>
      <c r="AM13" s="73">
        <f>+AM11+AM12</f>
        <v>47.719051232181762</v>
      </c>
      <c r="AN13" s="836" t="s">
        <v>285</v>
      </c>
    </row>
    <row r="14" spans="1:40" s="46" customFormat="1" ht="40.5" customHeight="1" thickBot="1" x14ac:dyDescent="0.25">
      <c r="A14" s="45" t="s">
        <v>2</v>
      </c>
      <c r="B14" s="416" t="s">
        <v>187</v>
      </c>
      <c r="C14" s="416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3" t="s">
        <v>112</v>
      </c>
      <c r="I14" s="415" t="s">
        <v>3</v>
      </c>
      <c r="J14" s="79" t="s">
        <v>31</v>
      </c>
      <c r="K14" s="196"/>
      <c r="L14" s="23" t="s">
        <v>63</v>
      </c>
      <c r="M14" s="23"/>
      <c r="N14" s="23"/>
      <c r="O14" s="23" t="s">
        <v>61</v>
      </c>
      <c r="P14" s="23" t="s">
        <v>83</v>
      </c>
      <c r="Q14" s="23" t="s">
        <v>84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2024</v>
      </c>
      <c r="W14" s="843" t="s">
        <v>111</v>
      </c>
      <c r="X14" s="258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131</v>
      </c>
      <c r="AD14" s="23" t="s">
        <v>132</v>
      </c>
      <c r="AE14" s="23" t="s">
        <v>95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7" t="s">
        <v>268</v>
      </c>
      <c r="AK14" s="697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45292</v>
      </c>
      <c r="B15" s="410">
        <f>'2023'!Wh/'2023'!Env_an*'2024'!Env_an</f>
        <v>11.322877589982793</v>
      </c>
      <c r="C15" s="846"/>
      <c r="D15" s="393">
        <f t="shared" ref="D15:D78" si="0">Wh/(1-Ppv)</f>
        <v>11.851433017890495</v>
      </c>
      <c r="E15" s="400">
        <f t="shared" ref="E15:E79" si="1">Wh_pvt/(1-Psa)</f>
        <v>12.529613072983924</v>
      </c>
      <c r="F15" s="400">
        <f t="shared" ref="F15:F78" si="2">Wh_sa/(1-Pvg*MEDIAN((-Sdif+Wh/Env_an)/Csdif,0,1))</f>
        <v>13.107435462164574</v>
      </c>
      <c r="G15" s="123">
        <f>+Wh_hp/MaxiM</f>
        <v>0.97375025931604298</v>
      </c>
      <c r="H15" s="414" t="b">
        <f>Wh_hp&gt;='2023'!Maxi_hp</f>
        <v>0</v>
      </c>
      <c r="I15" s="396">
        <f>IF(H15,Wh_hp,'2023'!Maxi_hp)</f>
        <v>13.113081184620425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4.4598440299144615E-2</v>
      </c>
      <c r="M15" s="850"/>
      <c r="N15" s="850"/>
      <c r="O15" s="48">
        <f>IF(t&lt;Tnet,'2023'!Resal+('2023'!Salim-'2023'!Resal)*(1-EXP(('2023'!Tnet-t)/('2023'!Tau_j))),Resal+(Salim-Resal)*(1-EXP((Tnet-t)/(Tau_j))))*Salcycl</f>
        <v>5.4126177013056095E-2</v>
      </c>
      <c r="P15" s="302">
        <f>(INDEX(Models!$BJ15:$BT15,,T15)*(1-R15)+INDEX(Models!$BJ15:$BT15,,T15+1)*R15-ERP_i)*Q15*Ramure*Pc/MaxiM</f>
        <v>4.5689927419716482E-2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0.10000119497500368</v>
      </c>
      <c r="S15" s="816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0.10000119497500368</v>
      </c>
      <c r="V15" s="382">
        <f t="shared" ref="V15:V78" si="9">MaxiM*(1-Ppv)*(1-Pvg)*(1-Psa)</f>
        <v>11.60857206916244</v>
      </c>
      <c r="W15" s="402">
        <f t="shared" ref="W15:W78" si="10">Wh*(A15&gt;Tmaj)</f>
        <v>11.322877589982793</v>
      </c>
      <c r="X15" s="156">
        <f t="shared" ref="X15:X78" si="11">t</f>
        <v>45292</v>
      </c>
      <c r="Y15" s="385">
        <f t="shared" ref="Y15:Y78" si="12">Wh_pvt_s*(1-Ppv)</f>
        <v>10.598278956022508</v>
      </c>
      <c r="Z15" s="385">
        <f>Wh_sa_s*(1-Psa_s)</f>
        <v>11.093009895588743</v>
      </c>
      <c r="AA15" s="386">
        <f t="shared" ref="AA15:AA78" si="13">Wh_hp*(1-Pvg_s*MEDIAN((-Sdif+Wh/Env_an)/Csdif,0,1))</f>
        <v>12.529613072983924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0.11465662738562565</v>
      </c>
      <c r="AD15" s="231">
        <f>(INDEX(Models!$BJ15:$BT15,,AH15)*(1-AF15)+INDEX(Models!$BJ15:$BT15,,AH15+1)*AF15-ERP_i)*AE15*Ramure*Pc/MaxiM</f>
        <v>4.5689927419716482E-2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0.10000119497500368</v>
      </c>
      <c r="AG15" s="816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0.10000119497500368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45293</v>
      </c>
      <c r="B16" s="411">
        <f>'2023'!Wh/'2023'!Env_an*'2024'!Env_an</f>
        <v>8.8392456325914655</v>
      </c>
      <c r="C16" s="846"/>
      <c r="D16" s="393">
        <f t="shared" si="0"/>
        <v>9.2520669965876206</v>
      </c>
      <c r="E16" s="385">
        <f t="shared" si="1"/>
        <v>9.7827912865691022</v>
      </c>
      <c r="F16" s="385">
        <f t="shared" si="2"/>
        <v>10.082005603074418</v>
      </c>
      <c r="G16" s="110">
        <f t="shared" ref="G16:G79" si="21">+Wh_hp/MaxiM</f>
        <v>0.74091839109919666</v>
      </c>
      <c r="H16" s="414" t="b">
        <f>Wh_hp&gt;='2023'!Maxi_hp</f>
        <v>0</v>
      </c>
      <c r="I16" s="390">
        <f>IF(H16,Wh_hp,'2023'!Maxi_hp)</f>
        <v>13.53519224964062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4.4619366045275499E-2</v>
      </c>
      <c r="M16" s="850"/>
      <c r="N16" s="850"/>
      <c r="O16" s="48">
        <f>IF(t&lt;Tnet,'2023'!Resal+('2023'!Salim-'2023'!Resal)*(1-EXP(('2023'!Tnet-t)/('2023'!Tau_j))),Resal+(Salim-Resal)*(1-EXP((Tnet-t)/(Tau_j))))*Salcycl</f>
        <v>5.4250803726142834E-2</v>
      </c>
      <c r="P16" s="169">
        <f>(INDEX(Models!$BJ16:$BT16,,T16)*(1-R16)+INDEX(Models!$BJ16:$BT16,,T16+1)*R16-ERP_i)*Q16*Ramure*Pc/MaxiM</f>
        <v>4.5814774962234017E-2</v>
      </c>
      <c r="Q16" s="305">
        <f t="shared" si="4"/>
        <v>0.7</v>
      </c>
      <c r="R16" s="177">
        <f t="shared" si="5"/>
        <v>0.10003040958899791</v>
      </c>
      <c r="S16" s="817">
        <f t="shared" si="6"/>
        <v>0</v>
      </c>
      <c r="T16" s="176">
        <f t="shared" si="7"/>
        <v>6</v>
      </c>
      <c r="U16" s="251">
        <f t="shared" si="8"/>
        <v>0.10003040958899791</v>
      </c>
      <c r="V16" s="383">
        <f t="shared" si="9"/>
        <v>11.731719253530738</v>
      </c>
      <c r="W16" s="402">
        <f t="shared" si="10"/>
        <v>8.8392456325914655</v>
      </c>
      <c r="X16" s="157">
        <f t="shared" si="11"/>
        <v>45293</v>
      </c>
      <c r="Y16" s="385">
        <f t="shared" si="12"/>
        <v>8.2743075672857334</v>
      </c>
      <c r="Z16" s="385">
        <f t="shared" ref="Z16:Z78" si="22">Wh_sa_s*(1-Psa_s)</f>
        <v>8.6607444961856466</v>
      </c>
      <c r="AA16" s="386">
        <f t="shared" si="13"/>
        <v>9.7827912865691022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0.11469597556721116</v>
      </c>
      <c r="AD16" s="231">
        <f>(INDEX(Models!$BJ16:$BT16,,AH16)*(1-AF16)+INDEX(Models!$BJ16:$BT16,,AH16+1)*AF16-ERP_i)*AE16*Ramure*Pc/MaxiM</f>
        <v>4.5814774962234017E-2</v>
      </c>
      <c r="AE16" s="305">
        <f t="shared" si="15"/>
        <v>0.7</v>
      </c>
      <c r="AF16" s="177">
        <f t="shared" ref="AF16:AF78" si="23">(Hp_vg_s-AG16)/(INDEX(Echel_vg,AH16+1)-AG16)</f>
        <v>0.10003040958899791</v>
      </c>
      <c r="AG16" s="817">
        <f t="shared" ref="AG16:AG79" si="24">INDEX(Echel_vg,AH16)</f>
        <v>0</v>
      </c>
      <c r="AH16" s="176">
        <f t="shared" si="16"/>
        <v>6</v>
      </c>
      <c r="AI16" s="225">
        <f t="shared" si="17"/>
        <v>0.10003040958899791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45294</v>
      </c>
      <c r="B17" s="411">
        <f>'2023'!Wh/'2023'!Env_an*'2024'!Env_an</f>
        <v>10.139890670931152</v>
      </c>
      <c r="C17" s="846"/>
      <c r="D17" s="393">
        <f t="shared" si="0"/>
        <v>10.613688832534121</v>
      </c>
      <c r="E17" s="385">
        <f t="shared" si="1"/>
        <v>11.223997858686213</v>
      </c>
      <c r="F17" s="385">
        <f t="shared" si="2"/>
        <v>11.648790864681498</v>
      </c>
      <c r="G17" s="110">
        <f t="shared" si="21"/>
        <v>0.84659792682788304</v>
      </c>
      <c r="H17" s="414" t="b">
        <f>Wh_hp&gt;='2023'!Maxi_hp</f>
        <v>0</v>
      </c>
      <c r="I17" s="390">
        <f>IF(H17,Wh_hp,'2023'!Maxi_hp)</f>
        <v>14.124165439868252</v>
      </c>
      <c r="J17" s="85">
        <f>IF(H17,An,'2023'!An_max)</f>
        <v>2019</v>
      </c>
      <c r="K17" s="197">
        <f t="shared" si="3"/>
        <v>45294</v>
      </c>
      <c r="L17" s="147">
        <f>IF(t&lt;Tvie,1-EXP((T0-t)*PertePVj)+'2023'!Pspv,1-EXP((T0-t)*PertePVj)+Pspv)</f>
        <v>4.4640291333078896E-2</v>
      </c>
      <c r="M17" s="850"/>
      <c r="N17" s="850"/>
      <c r="O17" s="48">
        <f>IF(t&lt;Tnet,'2023'!Resal+('2023'!Salim-'2023'!Resal)*(1-EXP(('2023'!Tnet-t)/('2023'!Tau_j))),Resal+(Salim-Resal)*(1-EXP((Tnet-t)/(Tau_j))))*Salcycl</f>
        <v>5.4375369082931044E-2</v>
      </c>
      <c r="P17" s="169">
        <f>(INDEX(Models!$BJ17:$BT17,,T17)*(1-R17)+INDEX(Models!$BJ17:$BT17,,T17+1)*R17-ERP_i)*Q17*Ramure*Pc/MaxiM</f>
        <v>4.598998223779828E-2</v>
      </c>
      <c r="Q17" s="305">
        <f t="shared" si="4"/>
        <v>0.7</v>
      </c>
      <c r="R17" s="177">
        <f t="shared" si="5"/>
        <v>0.10006084618448749</v>
      </c>
      <c r="S17" s="817">
        <f t="shared" si="6"/>
        <v>0</v>
      </c>
      <c r="T17" s="176">
        <f t="shared" si="7"/>
        <v>6</v>
      </c>
      <c r="U17" s="251">
        <f t="shared" si="8"/>
        <v>0.10006084618448749</v>
      </c>
      <c r="V17" s="383">
        <f t="shared" si="9"/>
        <v>11.858841923644652</v>
      </c>
      <c r="W17" s="402">
        <f t="shared" si="10"/>
        <v>10.139890670931152</v>
      </c>
      <c r="X17" s="157">
        <f t="shared" si="11"/>
        <v>45294</v>
      </c>
      <c r="Y17" s="385">
        <f t="shared" si="12"/>
        <v>9.4926514880430801</v>
      </c>
      <c r="Z17" s="385">
        <f t="shared" si="22"/>
        <v>9.9362066475347053</v>
      </c>
      <c r="AA17" s="386">
        <f t="shared" si="13"/>
        <v>11.223997858686213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0.11473551824984446</v>
      </c>
      <c r="AD17" s="231">
        <f>(INDEX(Models!$BJ17:$BT17,,AH17)*(1-AF17)+INDEX(Models!$BJ17:$BT17,,AH17+1)*AF17-ERP_i)*AE17*Ramure*Pc/MaxiM</f>
        <v>4.598998223779828E-2</v>
      </c>
      <c r="AE17" s="305">
        <f t="shared" si="15"/>
        <v>0.7</v>
      </c>
      <c r="AF17" s="177">
        <f>(Hp_vg_s-AG17)/(INDEX(Echel_vg,AH17+1)-AG17)</f>
        <v>0.10006084618448749</v>
      </c>
      <c r="AG17" s="817">
        <f>INDEX(Echel_vg,AH17)</f>
        <v>0</v>
      </c>
      <c r="AH17" s="176">
        <f t="shared" si="16"/>
        <v>6</v>
      </c>
      <c r="AI17" s="225">
        <f t="shared" si="17"/>
        <v>0.10006084618448749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45295</v>
      </c>
      <c r="B18" s="411">
        <f>'2023'!Wh/'2023'!Env_an*'2024'!Env_an</f>
        <v>10.631998133639826</v>
      </c>
      <c r="C18" s="846"/>
      <c r="D18" s="393">
        <f t="shared" si="0"/>
        <v>11.129034342071696</v>
      </c>
      <c r="E18" s="385">
        <f t="shared" si="1"/>
        <v>11.770526399959065</v>
      </c>
      <c r="F18" s="385">
        <f t="shared" si="2"/>
        <v>12.244885761085104</v>
      </c>
      <c r="G18" s="110">
        <f t="shared" si="21"/>
        <v>0.87987406434594351</v>
      </c>
      <c r="H18" s="414" t="b">
        <f>Wh_hp&gt;='2023'!Maxi_hp</f>
        <v>0</v>
      </c>
      <c r="I18" s="390">
        <f>IF(H18,Wh_hp,'2023'!Maxi_hp)</f>
        <v>14.134069142951605</v>
      </c>
      <c r="J18" s="85">
        <f>IF(H18,An,'2023'!An_max)</f>
        <v>2019</v>
      </c>
      <c r="K18" s="197">
        <f t="shared" si="3"/>
        <v>45295</v>
      </c>
      <c r="L18" s="147">
        <f>IF(t&lt;Tvie,1-EXP((T0-t)*PertePVj)+'2023'!Pspv,1-EXP((T0-t)*PertePVj)+Pspv)</f>
        <v>4.4661216162564799E-2</v>
      </c>
      <c r="M18" s="850"/>
      <c r="N18" s="850"/>
      <c r="O18" s="48">
        <f>IF(t&lt;Tnet,'2023'!Resal+('2023'!Salim-'2023'!Resal)*(1-EXP(('2023'!Tnet-t)/('2023'!Tau_j))),Resal+(Salim-Resal)*(1-EXP((Tnet-t)/(Tau_j))))*Salcycl</f>
        <v>5.4499861441167141E-2</v>
      </c>
      <c r="P18" s="169">
        <f>(INDEX(Models!$BJ18:$BT18,,T18)*(1-R18)+INDEX(Models!$BJ18:$BT18,,T18+1)*R18-ERP_i)*Q18*Ramure*Pc/MaxiM</f>
        <v>4.6214964381748963E-2</v>
      </c>
      <c r="Q18" s="305">
        <f t="shared" si="4"/>
        <v>0.7</v>
      </c>
      <c r="R18" s="177">
        <f t="shared" si="5"/>
        <v>0.10009255571578261</v>
      </c>
      <c r="S18" s="817">
        <f t="shared" si="6"/>
        <v>0</v>
      </c>
      <c r="T18" s="176">
        <f t="shared" si="7"/>
        <v>6</v>
      </c>
      <c r="U18" s="251">
        <f t="shared" si="8"/>
        <v>0.10009255571578261</v>
      </c>
      <c r="V18" s="383">
        <f t="shared" si="9"/>
        <v>11.989573422543033</v>
      </c>
      <c r="W18" s="402">
        <f t="shared" si="10"/>
        <v>10.631998133639826</v>
      </c>
      <c r="X18" s="157">
        <f t="shared" si="11"/>
        <v>45295</v>
      </c>
      <c r="Y18" s="385">
        <f t="shared" si="12"/>
        <v>9.9542112472935926</v>
      </c>
      <c r="Z18" s="385">
        <f>Wh_sa_s*(1-Psa_s)</f>
        <v>10.419561537436175</v>
      </c>
      <c r="AA18" s="386">
        <f t="shared" si="13"/>
        <v>11.770526399959065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0.11477522895896887</v>
      </c>
      <c r="AD18" s="231">
        <f>(INDEX(Models!$BJ18:$BT18,,AH18)*(1-AF18)+INDEX(Models!$BJ18:$BT18,,AH18+1)*AF18-ERP_i)*AE18*Ramure*Pc/MaxiM</f>
        <v>4.6214964381748963E-2</v>
      </c>
      <c r="AE18" s="305">
        <f t="shared" si="15"/>
        <v>0.7</v>
      </c>
      <c r="AF18" s="177">
        <f t="shared" si="23"/>
        <v>0.10009255571578261</v>
      </c>
      <c r="AG18" s="817">
        <f t="shared" si="24"/>
        <v>0</v>
      </c>
      <c r="AH18" s="176">
        <f t="shared" si="16"/>
        <v>6</v>
      </c>
      <c r="AI18" s="225">
        <f t="shared" si="17"/>
        <v>0.10009255571578261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45296</v>
      </c>
      <c r="B19" s="411">
        <f>'2023'!Wh/'2023'!Env_an*'2024'!Env_an</f>
        <v>8.7935215266055042</v>
      </c>
      <c r="C19" s="846"/>
      <c r="D19" s="393">
        <f t="shared" si="0"/>
        <v>9.2048122407326396</v>
      </c>
      <c r="E19" s="385">
        <f t="shared" si="1"/>
        <v>9.7366707810652215</v>
      </c>
      <c r="F19" s="385">
        <f t="shared" si="2"/>
        <v>10.019698718251691</v>
      </c>
      <c r="G19" s="110">
        <f t="shared" si="21"/>
        <v>0.71170983700825574</v>
      </c>
      <c r="H19" s="414" t="b">
        <f>Wh_hp&gt;='2023'!Maxi_hp</f>
        <v>0</v>
      </c>
      <c r="I19" s="390">
        <f>IF(H19,Wh_hp,'2023'!Maxi_hp)</f>
        <v>14.283254951142144</v>
      </c>
      <c r="J19" s="85">
        <f>IF(H19,An,'2023'!An_max)</f>
        <v>2019</v>
      </c>
      <c r="K19" s="197">
        <f t="shared" si="3"/>
        <v>45296</v>
      </c>
      <c r="L19" s="147">
        <f>IF(t&lt;Tvie,1-EXP((T0-t)*PertePVj)+'2023'!Pspv,1-EXP((T0-t)*PertePVj)+Pspv)</f>
        <v>4.4682140533743198E-2</v>
      </c>
      <c r="M19" s="850"/>
      <c r="N19" s="850"/>
      <c r="O19" s="48">
        <f>IF(t&lt;Tnet,'2023'!Resal+('2023'!Salim-'2023'!Resal)*(1-EXP(('2023'!Tnet-t)/('2023'!Tau_j))),Resal+(Salim-Resal)*(1-EXP((Tnet-t)/(Tau_j))))*Salcycl</f>
        <v>5.4624270686740237E-2</v>
      </c>
      <c r="P19" s="169">
        <f>(INDEX(Models!$BJ19:$BT19,,T19)*(1-R19)+INDEX(Models!$BJ19:$BT19,,T19+1)*R19-ERP_i)*Q19*Ramure*Pc/MaxiM</f>
        <v>4.6489081299374541E-2</v>
      </c>
      <c r="Q19" s="305">
        <f t="shared" si="4"/>
        <v>0.7</v>
      </c>
      <c r="R19" s="177">
        <f t="shared" si="5"/>
        <v>0.10012559124834428</v>
      </c>
      <c r="S19" s="817">
        <f t="shared" si="6"/>
        <v>0</v>
      </c>
      <c r="T19" s="176">
        <f t="shared" si="7"/>
        <v>6</v>
      </c>
      <c r="U19" s="251">
        <f t="shared" si="8"/>
        <v>0.10012559124834428</v>
      </c>
      <c r="V19" s="383">
        <f t="shared" si="9"/>
        <v>12.123547273743869</v>
      </c>
      <c r="W19" s="402">
        <f t="shared" si="10"/>
        <v>8.7935215266055042</v>
      </c>
      <c r="X19" s="157">
        <f t="shared" si="11"/>
        <v>45296</v>
      </c>
      <c r="Y19" s="385">
        <f t="shared" si="12"/>
        <v>8.2336497192091063</v>
      </c>
      <c r="Z19" s="385">
        <f t="shared" si="22"/>
        <v>8.6187541011839848</v>
      </c>
      <c r="AA19" s="386">
        <f t="shared" si="13"/>
        <v>9.7366707810652215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0.11481508464425388</v>
      </c>
      <c r="AD19" s="231">
        <f>(INDEX(Models!$BJ19:$BT19,,AH19)*(1-AF19)+INDEX(Models!$BJ19:$BT19,,AH19+1)*AF19-ERP_i)*AE19*Ramure*Pc/MaxiM</f>
        <v>4.6489081299374541E-2</v>
      </c>
      <c r="AE19" s="305">
        <f t="shared" si="15"/>
        <v>0.7</v>
      </c>
      <c r="AF19" s="177">
        <f t="shared" si="23"/>
        <v>0.10012559124834428</v>
      </c>
      <c r="AG19" s="817">
        <f t="shared" si="24"/>
        <v>0</v>
      </c>
      <c r="AH19" s="176">
        <f t="shared" si="16"/>
        <v>6</v>
      </c>
      <c r="AI19" s="225">
        <f t="shared" si="17"/>
        <v>0.10012559124834428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45297</v>
      </c>
      <c r="B20" s="411">
        <f>'2023'!Wh/'2023'!Env_an*'2024'!Env_an</f>
        <v>12.596820248076609</v>
      </c>
      <c r="C20" s="846"/>
      <c r="D20" s="393">
        <f t="shared" si="0"/>
        <v>13.18628771773421</v>
      </c>
      <c r="E20" s="385">
        <f t="shared" si="1"/>
        <v>13.950032291004954</v>
      </c>
      <c r="F20" s="385">
        <f t="shared" si="2"/>
        <v>14.635126795331708</v>
      </c>
      <c r="G20" s="110">
        <f t="shared" si="21"/>
        <v>1.0274398158824207</v>
      </c>
      <c r="H20" s="414" t="b">
        <f>Wh_hp&gt;='2023'!Maxi_hp</f>
        <v>1</v>
      </c>
      <c r="I20" s="390">
        <f>IF(H20,Wh_hp,'2023'!Maxi_hp)</f>
        <v>14.635126795331708</v>
      </c>
      <c r="J20" s="85">
        <f>IF(H20,An,'2023'!An_max)</f>
        <v>2024</v>
      </c>
      <c r="K20" s="197">
        <f t="shared" si="3"/>
        <v>45297</v>
      </c>
      <c r="L20" s="147">
        <f>IF(t&lt;Tvie,1-EXP((T0-t)*PertePVj)+'2023'!Pspv,1-EXP((T0-t)*PertePVj)+Pspv)</f>
        <v>4.4703064446624086E-2</v>
      </c>
      <c r="M20" s="850"/>
      <c r="N20" s="850"/>
      <c r="O20" s="48">
        <f>IF(t&lt;Tnet,'2023'!Resal+('2023'!Salim-'2023'!Resal)*(1-EXP(('2023'!Tnet-t)/('2023'!Tau_j))),Resal+(Salim-Resal)*(1-EXP((Tnet-t)/(Tau_j))))*Salcycl</f>
        <v>5.4748588199556261E-2</v>
      </c>
      <c r="P20" s="169">
        <f>(INDEX(Models!$BJ20:$BT20,,T20)*(1-R20)+INDEX(Models!$BJ20:$BT20,,T20+1)*R20-ERP_i)*Q20*Ramure*Pc/MaxiM</f>
        <v>4.6811654856675669E-2</v>
      </c>
      <c r="Q20" s="305">
        <f t="shared" si="4"/>
        <v>0.7</v>
      </c>
      <c r="R20" s="177">
        <f t="shared" si="5"/>
        <v>0.10016000804509499</v>
      </c>
      <c r="S20" s="817">
        <f t="shared" si="6"/>
        <v>0</v>
      </c>
      <c r="T20" s="176">
        <f t="shared" si="7"/>
        <v>6</v>
      </c>
      <c r="U20" s="251">
        <f t="shared" si="8"/>
        <v>0.10016000804509499</v>
      </c>
      <c r="V20" s="383">
        <f t="shared" si="9"/>
        <v>12.260397206095989</v>
      </c>
      <c r="W20" s="402">
        <f t="shared" si="10"/>
        <v>12.596820248076609</v>
      </c>
      <c r="X20" s="157">
        <f t="shared" si="11"/>
        <v>45297</v>
      </c>
      <c r="Y20" s="385">
        <f t="shared" si="12"/>
        <v>11.795815899626916</v>
      </c>
      <c r="Z20" s="385">
        <f t="shared" si="22"/>
        <v>12.347800417462809</v>
      </c>
      <c r="AA20" s="386">
        <f t="shared" si="13"/>
        <v>13.950032291004954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0.11485506557395364</v>
      </c>
      <c r="AD20" s="231">
        <f>(INDEX(Models!$BJ20:$BT20,,AH20)*(1-AF20)+INDEX(Models!$BJ20:$BT20,,AH20+1)*AF20-ERP_i)*AE20*Ramure*Pc/MaxiM</f>
        <v>4.6811654856675669E-2</v>
      </c>
      <c r="AE20" s="305">
        <f t="shared" si="15"/>
        <v>0.7</v>
      </c>
      <c r="AF20" s="177">
        <f t="shared" si="23"/>
        <v>0.10016000804509499</v>
      </c>
      <c r="AG20" s="817">
        <f t="shared" si="24"/>
        <v>0</v>
      </c>
      <c r="AH20" s="176">
        <f t="shared" si="16"/>
        <v>6</v>
      </c>
      <c r="AI20" s="225">
        <f t="shared" si="17"/>
        <v>0.10016000804509499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45298</v>
      </c>
      <c r="B21" s="411">
        <f>'2023'!Wh/'2023'!Env_an*'2024'!Env_an</f>
        <v>5.609642018906615</v>
      </c>
      <c r="C21" s="846"/>
      <c r="D21" s="393">
        <f t="shared" si="0"/>
        <v>5.8722735082418653</v>
      </c>
      <c r="E21" s="385">
        <f t="shared" si="1"/>
        <v>6.2132097674600999</v>
      </c>
      <c r="F21" s="385">
        <f t="shared" si="2"/>
        <v>6.277695180965801</v>
      </c>
      <c r="G21" s="110">
        <f t="shared" si="21"/>
        <v>0.43552805387829813</v>
      </c>
      <c r="H21" s="414" t="b">
        <f>Wh_hp&gt;='2023'!Maxi_hp</f>
        <v>0</v>
      </c>
      <c r="I21" s="390">
        <f>IF(H21,Wh_hp,'2023'!Maxi_hp)</f>
        <v>8.971852492930589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4.4723987901217677E-2</v>
      </c>
      <c r="M21" s="850"/>
      <c r="N21" s="850"/>
      <c r="O21" s="48">
        <f>IF(t&lt;Tnet,'2023'!Resal+('2023'!Salim-'2023'!Resal)*(1-EXP(('2023'!Tnet-t)/('2023'!Tau_j))),Resal+(Salim-Resal)*(1-EXP((Tnet-t)/(Tau_j))))*Salcycl</f>
        <v>5.4872806806522165E-2</v>
      </c>
      <c r="P21" s="169">
        <f>(INDEX(Models!$BJ21:$BT21,,T21)*(1-R21)+INDEX(Models!$BJ21:$BT21,,T21+1)*R21-ERP_i)*Q21*Ramure*Pc/MaxiM</f>
        <v>4.7181984801534495E-2</v>
      </c>
      <c r="Q21" s="305">
        <f t="shared" si="4"/>
        <v>0.7</v>
      </c>
      <c r="R21" s="177">
        <f t="shared" si="5"/>
        <v>0.10019586365615818</v>
      </c>
      <c r="S21" s="817">
        <f t="shared" si="6"/>
        <v>0</v>
      </c>
      <c r="T21" s="176">
        <f t="shared" si="7"/>
        <v>6</v>
      </c>
      <c r="U21" s="251">
        <f t="shared" si="8"/>
        <v>0.10019586365615818</v>
      </c>
      <c r="V21" s="383">
        <f t="shared" si="9"/>
        <v>12.399757183452602</v>
      </c>
      <c r="W21" s="402">
        <f t="shared" si="10"/>
        <v>5.609642018906615</v>
      </c>
      <c r="X21" s="157">
        <f t="shared" si="11"/>
        <v>45298</v>
      </c>
      <c r="Y21" s="385">
        <f t="shared" si="12"/>
        <v>5.2533895588492427</v>
      </c>
      <c r="Z21" s="385">
        <f t="shared" si="22"/>
        <v>5.499342066914588</v>
      </c>
      <c r="AA21" s="386">
        <f t="shared" si="13"/>
        <v>6.2132097674600999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0.11489515520370633</v>
      </c>
      <c r="AD21" s="231">
        <f>(INDEX(Models!$BJ21:$BT21,,AH21)*(1-AF21)+INDEX(Models!$BJ21:$BT21,,AH21+1)*AF21-ERP_i)*AE21*Ramure*Pc/MaxiM</f>
        <v>4.7181984801534495E-2</v>
      </c>
      <c r="AE21" s="305">
        <f t="shared" si="15"/>
        <v>0.7</v>
      </c>
      <c r="AF21" s="177">
        <f t="shared" si="23"/>
        <v>0.10019586365615818</v>
      </c>
      <c r="AG21" s="817">
        <f t="shared" si="24"/>
        <v>0</v>
      </c>
      <c r="AH21" s="176">
        <f t="shared" si="16"/>
        <v>6</v>
      </c>
      <c r="AI21" s="225">
        <f t="shared" si="17"/>
        <v>0.10019586365615818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45299</v>
      </c>
      <c r="B22" s="411">
        <f>'2023'!Wh/'2023'!Env_an*'2024'!Env_an</f>
        <v>4.5204855474647214</v>
      </c>
      <c r="C22" s="846"/>
      <c r="D22" s="393">
        <f t="shared" si="0"/>
        <v>4.7322286989458044</v>
      </c>
      <c r="E22" s="385">
        <f t="shared" si="1"/>
        <v>5.0076330995279177</v>
      </c>
      <c r="F22" s="385">
        <f t="shared" si="2"/>
        <v>5.0283018298057671</v>
      </c>
      <c r="G22" s="110">
        <f t="shared" si="21"/>
        <v>0.34470880641698459</v>
      </c>
      <c r="H22" s="414" t="b">
        <f>Wh_hp&gt;='2023'!Maxi_hp</f>
        <v>0</v>
      </c>
      <c r="I22" s="390">
        <f>IF(H22,Wh_hp,'2023'!Maxi_hp)</f>
        <v>12.341431159322497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4.4744910897533963E-2</v>
      </c>
      <c r="M22" s="850"/>
      <c r="N22" s="850"/>
      <c r="O22" s="48">
        <f>IF(t&lt;Tnet,'2023'!Resal+('2023'!Salim-'2023'!Resal)*(1-EXP(('2023'!Tnet-t)/('2023'!Tau_j))),Resal+(Salim-Resal)*(1-EXP((Tnet-t)/(Tau_j))))*Salcycl</f>
        <v>5.499692072250191E-2</v>
      </c>
      <c r="P22" s="169">
        <f>(INDEX(Models!$BJ22:$BT22,,T22)*(1-R22)+INDEX(Models!$BJ22:$BT22,,T22+1)*R22-ERP_i)*Q22*Ramure*Pc/MaxiM</f>
        <v>4.7599363419372993E-2</v>
      </c>
      <c r="Q22" s="305">
        <f t="shared" si="4"/>
        <v>0.7</v>
      </c>
      <c r="R22" s="177">
        <f t="shared" si="5"/>
        <v>0.10023321801215533</v>
      </c>
      <c r="S22" s="817">
        <f t="shared" si="6"/>
        <v>0</v>
      </c>
      <c r="T22" s="176">
        <f t="shared" si="7"/>
        <v>6</v>
      </c>
      <c r="U22" s="251">
        <f t="shared" si="8"/>
        <v>0.10023321801215533</v>
      </c>
      <c r="V22" s="383">
        <f t="shared" si="9"/>
        <v>12.54126142575269</v>
      </c>
      <c r="W22" s="402">
        <f t="shared" si="10"/>
        <v>4.5204855474647214</v>
      </c>
      <c r="X22" s="157">
        <f t="shared" si="11"/>
        <v>45299</v>
      </c>
      <c r="Y22" s="385">
        <f t="shared" si="12"/>
        <v>4.2337661027111766</v>
      </c>
      <c r="Z22" s="385">
        <f t="shared" si="22"/>
        <v>4.4320790865287281</v>
      </c>
      <c r="AA22" s="386">
        <f t="shared" si="13"/>
        <v>5.0076330995279177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0.11493534002190553</v>
      </c>
      <c r="AD22" s="231">
        <f>(INDEX(Models!$BJ22:$BT22,,AH22)*(1-AF22)+INDEX(Models!$BJ22:$BT22,,AH22+1)*AF22-ERP_i)*AE22*Ramure*Pc/MaxiM</f>
        <v>4.7599363419372993E-2</v>
      </c>
      <c r="AE22" s="305">
        <f t="shared" si="15"/>
        <v>0.7</v>
      </c>
      <c r="AF22" s="177">
        <f t="shared" si="23"/>
        <v>0.10023321801215533</v>
      </c>
      <c r="AG22" s="817">
        <f t="shared" si="24"/>
        <v>0</v>
      </c>
      <c r="AH22" s="176">
        <f t="shared" si="16"/>
        <v>6</v>
      </c>
      <c r="AI22" s="225">
        <f t="shared" si="17"/>
        <v>0.10023321801215533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45300</v>
      </c>
      <c r="B23" s="411">
        <f>'2023'!Wh/'2023'!Env_an*'2024'!Env_an</f>
        <v>1.2464753037620682</v>
      </c>
      <c r="C23" s="846"/>
      <c r="D23" s="393">
        <f t="shared" si="0"/>
        <v>1.3048897824133794</v>
      </c>
      <c r="E23" s="385">
        <f t="shared" si="1"/>
        <v>1.3810124677346107</v>
      </c>
      <c r="F23" s="385">
        <f t="shared" si="2"/>
        <v>1.3810124677346107</v>
      </c>
      <c r="G23" s="110">
        <f t="shared" si="21"/>
        <v>9.3538786749554598E-2</v>
      </c>
      <c r="H23" s="414" t="b">
        <f>Wh_hp&gt;='2023'!Maxi_hp</f>
        <v>0</v>
      </c>
      <c r="I23" s="390">
        <f>IF(H23,Wh_hp,'2023'!Maxi_hp)</f>
        <v>13.592706813048993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4.4765833435582825E-2</v>
      </c>
      <c r="M23" s="850"/>
      <c r="N23" s="850"/>
      <c r="O23" s="48">
        <f>IF(t&lt;Tnet,'2023'!Resal+('2023'!Salim-'2023'!Resal)*(1-EXP(('2023'!Tnet-t)/('2023'!Tau_j))),Resal+(Salim-Resal)*(1-EXP((Tnet-t)/(Tau_j))))*Salcycl</f>
        <v>5.5120925480203399E-2</v>
      </c>
      <c r="P23" s="169">
        <f>(INDEX(Models!$BJ23:$BT23,,T23)*(1-R23)+INDEX(Models!$BJ23:$BT23,,T23+1)*R23-ERP_i)*Q23*Ramure*Pc/MaxiM</f>
        <v>4.8060295833723239E-2</v>
      </c>
      <c r="Q23" s="305">
        <f t="shared" si="4"/>
        <v>0.7</v>
      </c>
      <c r="R23" s="177">
        <f t="shared" si="5"/>
        <v>0.10027213352119045</v>
      </c>
      <c r="S23" s="817">
        <f t="shared" si="6"/>
        <v>0</v>
      </c>
      <c r="T23" s="176">
        <f t="shared" si="7"/>
        <v>6</v>
      </c>
      <c r="U23" s="251">
        <f t="shared" si="8"/>
        <v>0.10027213352119045</v>
      </c>
      <c r="V23" s="383">
        <f t="shared" si="9"/>
        <v>12.685318819569606</v>
      </c>
      <c r="W23" s="402">
        <f t="shared" si="10"/>
        <v>1.2464753037620682</v>
      </c>
      <c r="X23" s="157">
        <f t="shared" si="11"/>
        <v>45300</v>
      </c>
      <c r="Y23" s="385">
        <f t="shared" si="12"/>
        <v>1.1675155857410615</v>
      </c>
      <c r="Z23" s="385">
        <f t="shared" si="22"/>
        <v>1.2222297177038097</v>
      </c>
      <c r="AA23" s="386">
        <f t="shared" si="13"/>
        <v>1.3810124677346107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0.1149756093739439</v>
      </c>
      <c r="AD23" s="231">
        <f>(INDEX(Models!$BJ23:$BT23,,AH23)*(1-AF23)+INDEX(Models!$BJ23:$BT23,,AH23+1)*AF23-ERP_i)*AE23*Ramure*Pc/MaxiM</f>
        <v>4.8060295833723239E-2</v>
      </c>
      <c r="AE23" s="305">
        <f t="shared" si="15"/>
        <v>0.7</v>
      </c>
      <c r="AF23" s="177">
        <f t="shared" si="23"/>
        <v>0.10027213352119045</v>
      </c>
      <c r="AG23" s="817">
        <f t="shared" si="24"/>
        <v>0</v>
      </c>
      <c r="AH23" s="176">
        <f t="shared" si="16"/>
        <v>6</v>
      </c>
      <c r="AI23" s="225">
        <f t="shared" si="17"/>
        <v>0.10027213352119045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45301</v>
      </c>
      <c r="B24" s="411">
        <f>'2023'!Wh/'2023'!Env_an*'2024'!Env_an</f>
        <v>0.89472168849454625</v>
      </c>
      <c r="C24" s="846"/>
      <c r="D24" s="393">
        <f t="shared" si="0"/>
        <v>0.93667219718805639</v>
      </c>
      <c r="E24" s="385">
        <f t="shared" si="1"/>
        <v>0.99144436028018856</v>
      </c>
      <c r="F24" s="385">
        <f t="shared" si="2"/>
        <v>0.99144436028018856</v>
      </c>
      <c r="G24" s="110">
        <f t="shared" si="21"/>
        <v>6.6336589260023573E-2</v>
      </c>
      <c r="H24" s="414" t="b">
        <f>Wh_hp&gt;='2023'!Maxi_hp</f>
        <v>0</v>
      </c>
      <c r="I24" s="390">
        <f>IF(H24,Wh_hp,'2023'!Maxi_hp)</f>
        <v>10.238443369739281</v>
      </c>
      <c r="J24" s="85">
        <f>IF(H24,An,'2023'!An_max)</f>
        <v>2019</v>
      </c>
      <c r="K24" s="197">
        <f t="shared" si="3"/>
        <v>45301</v>
      </c>
      <c r="L24" s="147">
        <f>IF(t&lt;Tvie,1-EXP((T0-t)*PertePVj)+'2023'!Pspv,1-EXP((T0-t)*PertePVj)+Pspv)</f>
        <v>4.4786755515374477E-2</v>
      </c>
      <c r="M24" s="850"/>
      <c r="N24" s="850"/>
      <c r="O24" s="48">
        <f>IF(t&lt;Tnet,'2023'!Resal+('2023'!Salim-'2023'!Resal)*(1-EXP(('2023'!Tnet-t)/('2023'!Tau_j))),Resal+(Salim-Resal)*(1-EXP((Tnet-t)/(Tau_j))))*Salcycl</f>
        <v>5.5244817850043731E-2</v>
      </c>
      <c r="P24" s="169">
        <f>(INDEX(Models!$BJ24:$BT24,,T24)*(1-R24)+INDEX(Models!$BJ24:$BT24,,T24+1)*R24-ERP_i)*Q24*Ramure*Pc/MaxiM</f>
        <v>4.8520681527234641E-2</v>
      </c>
      <c r="Q24" s="305">
        <f t="shared" si="4"/>
        <v>0.7</v>
      </c>
      <c r="R24" s="177">
        <f t="shared" si="5"/>
        <v>0.10031267516966</v>
      </c>
      <c r="S24" s="817">
        <f t="shared" si="6"/>
        <v>0</v>
      </c>
      <c r="T24" s="176">
        <f t="shared" si="7"/>
        <v>6</v>
      </c>
      <c r="U24" s="251">
        <f t="shared" si="8"/>
        <v>0.10031267516966</v>
      </c>
      <c r="V24" s="383">
        <f t="shared" si="9"/>
        <v>12.833176861937599</v>
      </c>
      <c r="W24" s="402">
        <f t="shared" si="10"/>
        <v>0.89472168849454625</v>
      </c>
      <c r="X24" s="157">
        <f t="shared" si="11"/>
        <v>45301</v>
      </c>
      <c r="Y24" s="385">
        <f t="shared" si="12"/>
        <v>0.83811598364735762</v>
      </c>
      <c r="Z24" s="385">
        <f t="shared" si="22"/>
        <v>0.87741244008771424</v>
      </c>
      <c r="AA24" s="386">
        <f t="shared" si="13"/>
        <v>0.99144436028018856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0.11501595526777532</v>
      </c>
      <c r="AD24" s="231">
        <f>(INDEX(Models!$BJ24:$BT24,,AH24)*(1-AF24)+INDEX(Models!$BJ24:$BT24,,AH24+1)*AF24-ERP_i)*AE24*Ramure*Pc/MaxiM</f>
        <v>4.8520681527234641E-2</v>
      </c>
      <c r="AE24" s="305">
        <f t="shared" si="15"/>
        <v>0.7</v>
      </c>
      <c r="AF24" s="177">
        <f t="shared" si="23"/>
        <v>0.10031267516966</v>
      </c>
      <c r="AG24" s="817">
        <f t="shared" si="24"/>
        <v>0</v>
      </c>
      <c r="AH24" s="176">
        <f t="shared" si="16"/>
        <v>6</v>
      </c>
      <c r="AI24" s="225">
        <f t="shared" si="17"/>
        <v>0.10031267516966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45302</v>
      </c>
      <c r="B25" s="411">
        <f>'2023'!Wh/'2023'!Env_an*'2024'!Env_an</f>
        <v>12.93326468155357</v>
      </c>
      <c r="C25" s="846"/>
      <c r="D25" s="393">
        <f t="shared" si="0"/>
        <v>13.539958783156433</v>
      </c>
      <c r="E25" s="385">
        <f t="shared" si="1"/>
        <v>14.333589506186943</v>
      </c>
      <c r="F25" s="385">
        <f t="shared" si="2"/>
        <v>15.066407758100375</v>
      </c>
      <c r="G25" s="110">
        <f t="shared" si="21"/>
        <v>0.99566484732807259</v>
      </c>
      <c r="H25" s="414" t="b">
        <f>Wh_hp&gt;='2023'!Maxi_hp</f>
        <v>0</v>
      </c>
      <c r="I25" s="390">
        <f>IF(H25,Wh_hp,'2023'!Maxi_hp)</f>
        <v>15.067623483252582</v>
      </c>
      <c r="J25" s="85">
        <f>IF(H25,An,'2023'!An_max)</f>
        <v>2022</v>
      </c>
      <c r="K25" s="197">
        <f t="shared" si="3"/>
        <v>45302</v>
      </c>
      <c r="L25" s="147">
        <f>IF(t&lt;Tvie,1-EXP((T0-t)*PertePVj)+'2023'!Pspv,1-EXP((T0-t)*PertePVj)+Pspv)</f>
        <v>4.48076771369188E-2</v>
      </c>
      <c r="M25" s="850"/>
      <c r="N25" s="850"/>
      <c r="O25" s="48">
        <f>IF(t&lt;Tnet,'2023'!Resal+('2023'!Salim-'2023'!Resal)*(1-EXP(('2023'!Tnet-t)/('2023'!Tau_j))),Resal+(Salim-Resal)*(1-EXP((Tnet-t)/(Tau_j))))*Salcycl</f>
        <v>5.5368595751116564E-2</v>
      </c>
      <c r="P25" s="169">
        <f>(INDEX(Models!$BJ25:$BT25,,T25)*(1-R25)+INDEX(Models!$BJ25:$BT25,,T25+1)*R25-ERP_i)*Q25*Ramure*Pc/MaxiM</f>
        <v>4.8921534460948525E-2</v>
      </c>
      <c r="Q25" s="305">
        <f t="shared" si="4"/>
        <v>0.7</v>
      </c>
      <c r="R25" s="177">
        <f t="shared" si="5"/>
        <v>0.10035491062702602</v>
      </c>
      <c r="S25" s="817">
        <f t="shared" si="6"/>
        <v>0</v>
      </c>
      <c r="T25" s="176">
        <f t="shared" si="7"/>
        <v>6</v>
      </c>
      <c r="U25" s="251">
        <f t="shared" si="8"/>
        <v>0.10035491062702602</v>
      </c>
      <c r="V25" s="383">
        <f t="shared" si="9"/>
        <v>12.985721784085209</v>
      </c>
      <c r="W25" s="402">
        <f t="shared" si="10"/>
        <v>12.93326468155357</v>
      </c>
      <c r="X25" s="157">
        <f t="shared" si="11"/>
        <v>45302</v>
      </c>
      <c r="Y25" s="385">
        <f t="shared" si="12"/>
        <v>12.116059359858003</v>
      </c>
      <c r="Z25" s="385">
        <f t="shared" si="22"/>
        <v>12.684418697526255</v>
      </c>
      <c r="AA25" s="386">
        <f t="shared" si="13"/>
        <v>14.333589506186943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0.1150563721633608</v>
      </c>
      <c r="AD25" s="231">
        <f>(INDEX(Models!$BJ25:$BT25,,AH25)*(1-AF25)+INDEX(Models!$BJ25:$BT25,,AH25+1)*AF25-ERP_i)*AE25*Ramure*Pc/MaxiM</f>
        <v>4.8921534460948525E-2</v>
      </c>
      <c r="AE25" s="305">
        <f t="shared" si="15"/>
        <v>0.7</v>
      </c>
      <c r="AF25" s="177">
        <f t="shared" si="23"/>
        <v>0.10035491062702602</v>
      </c>
      <c r="AG25" s="817">
        <f t="shared" si="24"/>
        <v>0</v>
      </c>
      <c r="AH25" s="176">
        <f t="shared" si="16"/>
        <v>6</v>
      </c>
      <c r="AI25" s="225">
        <f t="shared" si="17"/>
        <v>0.10035491062702602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45303</v>
      </c>
      <c r="B26" s="411">
        <f>'2023'!Wh/'2023'!Env_an*'2024'!Env_an</f>
        <v>10.5435940517416</v>
      </c>
      <c r="C26" s="846"/>
      <c r="D26" s="393">
        <f t="shared" si="0"/>
        <v>11.03843146159816</v>
      </c>
      <c r="E26" s="385">
        <f t="shared" si="1"/>
        <v>11.686967689676385</v>
      </c>
      <c r="F26" s="385">
        <f t="shared" si="2"/>
        <v>12.11517615671233</v>
      </c>
      <c r="G26" s="110">
        <f t="shared" si="21"/>
        <v>0.79064293286564391</v>
      </c>
      <c r="H26" s="414" t="b">
        <f>Wh_hp&gt;='2023'!Maxi_hp</f>
        <v>0</v>
      </c>
      <c r="I26" s="390">
        <f>IF(H26,Wh_hp,'2023'!Maxi_hp)</f>
        <v>15.033013193258533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4.4828598300226008E-2</v>
      </c>
      <c r="M26" s="850"/>
      <c r="N26" s="850"/>
      <c r="O26" s="48">
        <f>IF(t&lt;Tnet,'2023'!Resal+('2023'!Salim-'2023'!Resal)*(1-EXP(('2023'!Tnet-t)/('2023'!Tau_j))),Resal+(Salim-Resal)*(1-EXP((Tnet-t)/(Tau_j))))*Salcycl</f>
        <v>5.5492258154448776E-2</v>
      </c>
      <c r="P26" s="169">
        <f>(INDEX(Models!$BJ26:$BT26,,T26)*(1-R26)+INDEX(Models!$BJ26:$BT26,,T26+1)*R26-ERP_i)*Q26*Ramure*Pc/MaxiM</f>
        <v>4.9264141679532039E-2</v>
      </c>
      <c r="Q26" s="305">
        <f t="shared" si="4"/>
        <v>0.7</v>
      </c>
      <c r="R26" s="177">
        <f t="shared" si="5"/>
        <v>0.10039891035469713</v>
      </c>
      <c r="S26" s="817">
        <f t="shared" si="6"/>
        <v>0</v>
      </c>
      <c r="T26" s="176">
        <f t="shared" si="7"/>
        <v>6</v>
      </c>
      <c r="U26" s="251">
        <f t="shared" si="8"/>
        <v>0.10039891035469713</v>
      </c>
      <c r="V26" s="383">
        <f t="shared" si="9"/>
        <v>13.143046582390825</v>
      </c>
      <c r="W26" s="402">
        <f t="shared" si="10"/>
        <v>10.5435940517416</v>
      </c>
      <c r="X26" s="157">
        <f t="shared" si="11"/>
        <v>45303</v>
      </c>
      <c r="Y26" s="385">
        <f t="shared" si="12"/>
        <v>9.8782245017087469</v>
      </c>
      <c r="Z26" s="385">
        <f t="shared" si="22"/>
        <v>10.341834443671539</v>
      </c>
      <c r="AA26" s="386">
        <f t="shared" si="13"/>
        <v>11.686967689676385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0.11509685674865536</v>
      </c>
      <c r="AD26" s="231">
        <f>(INDEX(Models!$BJ26:$BT26,,AH26)*(1-AF26)+INDEX(Models!$BJ26:$BT26,,AH26+1)*AF26-ERP_i)*AE26*Ramure*Pc/MaxiM</f>
        <v>4.9264141679532039E-2</v>
      </c>
      <c r="AE26" s="305">
        <f t="shared" si="15"/>
        <v>0.7</v>
      </c>
      <c r="AF26" s="177">
        <f t="shared" si="23"/>
        <v>0.10039891035469713</v>
      </c>
      <c r="AG26" s="817">
        <f t="shared" si="24"/>
        <v>0</v>
      </c>
      <c r="AH26" s="176">
        <f t="shared" si="16"/>
        <v>6</v>
      </c>
      <c r="AI26" s="225">
        <f t="shared" si="17"/>
        <v>0.10039891035469713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45304</v>
      </c>
      <c r="B27" s="411">
        <f>'2023'!Wh/'2023'!Env_an*'2024'!Env_an</f>
        <v>3.21393188388498</v>
      </c>
      <c r="C27" s="846"/>
      <c r="D27" s="393">
        <f t="shared" si="0"/>
        <v>3.3648434962185125</v>
      </c>
      <c r="E27" s="385">
        <f t="shared" si="1"/>
        <v>3.5630027630296066</v>
      </c>
      <c r="F27" s="385">
        <f t="shared" si="2"/>
        <v>3.5630027630296066</v>
      </c>
      <c r="G27" s="110">
        <f t="shared" si="21"/>
        <v>0.22958482181357387</v>
      </c>
      <c r="H27" s="414" t="b">
        <f>Wh_hp&gt;='2023'!Maxi_hp</f>
        <v>0</v>
      </c>
      <c r="I27" s="390">
        <f>IF(H27,Wh_hp,'2023'!Maxi_hp)</f>
        <v>10.493774411231749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4.4849519005305982E-2</v>
      </c>
      <c r="M27" s="850"/>
      <c r="N27" s="850"/>
      <c r="O27" s="48">
        <f>IF(t&lt;Tnet,'2023'!Resal+('2023'!Salim-'2023'!Resal)*(1-EXP(('2023'!Tnet-t)/('2023'!Tau_j))),Resal+(Salim-Resal)*(1-EXP((Tnet-t)/(Tau_j))))*Salcycl</f>
        <v>5.5615804979786257E-2</v>
      </c>
      <c r="P27" s="169">
        <f>(INDEX(Models!$BJ27:$BT27,,T27)*(1-R27)+INDEX(Models!$BJ27:$BT27,,T27+1)*R27-ERP_i)*Q27*Ramure*Pc/MaxiM</f>
        <v>4.954982357109515E-2</v>
      </c>
      <c r="Q27" s="305">
        <f t="shared" si="4"/>
        <v>0.7</v>
      </c>
      <c r="R27" s="177">
        <f t="shared" si="5"/>
        <v>0.10044474771916626</v>
      </c>
      <c r="S27" s="817">
        <f t="shared" si="6"/>
        <v>0</v>
      </c>
      <c r="T27" s="176">
        <f t="shared" si="7"/>
        <v>6</v>
      </c>
      <c r="U27" s="251">
        <f t="shared" si="8"/>
        <v>0.10044474771916626</v>
      </c>
      <c r="V27" s="383">
        <f t="shared" si="9"/>
        <v>13.30524423147366</v>
      </c>
      <c r="W27" s="402">
        <f t="shared" si="10"/>
        <v>3.21393188388498</v>
      </c>
      <c r="X27" s="157">
        <f t="shared" si="11"/>
        <v>45304</v>
      </c>
      <c r="Y27" s="385">
        <f t="shared" si="12"/>
        <v>3.0113677391367144</v>
      </c>
      <c r="Z27" s="385">
        <f t="shared" si="22"/>
        <v>3.1527678612491248</v>
      </c>
      <c r="AA27" s="386">
        <f t="shared" si="13"/>
        <v>3.5630027630296066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0.11513740770485976</v>
      </c>
      <c r="AD27" s="231">
        <f>(INDEX(Models!$BJ27:$BT27,,AH27)*(1-AF27)+INDEX(Models!$BJ27:$BT27,,AH27+1)*AF27-ERP_i)*AE27*Ramure*Pc/MaxiM</f>
        <v>4.954982357109515E-2</v>
      </c>
      <c r="AE27" s="305">
        <f t="shared" si="15"/>
        <v>0.7</v>
      </c>
      <c r="AF27" s="177">
        <f t="shared" si="23"/>
        <v>0.10044474771916626</v>
      </c>
      <c r="AG27" s="817">
        <f t="shared" si="24"/>
        <v>0</v>
      </c>
      <c r="AH27" s="176">
        <f t="shared" si="16"/>
        <v>6</v>
      </c>
      <c r="AI27" s="225">
        <f t="shared" si="17"/>
        <v>0.10044474771916626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45305</v>
      </c>
      <c r="B28" s="411">
        <f>'2023'!Wh/'2023'!Env_an*'2024'!Env_an</f>
        <v>13.425944683875787</v>
      </c>
      <c r="C28" s="846"/>
      <c r="D28" s="393">
        <f t="shared" si="0"/>
        <v>14.056673812256182</v>
      </c>
      <c r="E28" s="385">
        <f t="shared" si="1"/>
        <v>14.886432183633403</v>
      </c>
      <c r="F28" s="385">
        <f t="shared" si="2"/>
        <v>15.662257026513883</v>
      </c>
      <c r="G28" s="110">
        <f t="shared" si="21"/>
        <v>0.99629410095520698</v>
      </c>
      <c r="H28" s="414" t="b">
        <f>Wh_hp&gt;='2023'!Maxi_hp</f>
        <v>0</v>
      </c>
      <c r="I28" s="390">
        <f>IF(H28,Wh_hp,'2023'!Maxi_hp)</f>
        <v>15.66337716078853</v>
      </c>
      <c r="J28" s="85">
        <f>IF(H28,An,'2023'!An_max)</f>
        <v>2022</v>
      </c>
      <c r="K28" s="197">
        <f t="shared" si="3"/>
        <v>45305</v>
      </c>
      <c r="L28" s="147">
        <f>IF(t&lt;Tvie,1-EXP((T0-t)*PertePVj)+'2023'!Pspv,1-EXP((T0-t)*PertePVj)+Pspv)</f>
        <v>4.4870439252168937E-2</v>
      </c>
      <c r="M28" s="850"/>
      <c r="N28" s="850"/>
      <c r="O28" s="48">
        <f>IF(t&lt;Tnet,'2023'!Resal+('2023'!Salim-'2023'!Resal)*(1-EXP(('2023'!Tnet-t)/('2023'!Tau_j))),Resal+(Salim-Resal)*(1-EXP((Tnet-t)/(Tau_j))))*Salcycl</f>
        <v>5.5739236987186441E-2</v>
      </c>
      <c r="P28" s="169">
        <f>(INDEX(Models!$BJ28:$BT28,,T28)*(1-R28)+INDEX(Models!$BJ28:$BT28,,T28+1)*R28-ERP_i)*Q28*Ramure*Pc/MaxiM</f>
        <v>4.9779932197906315E-2</v>
      </c>
      <c r="Q28" s="305">
        <f t="shared" si="4"/>
        <v>0.7</v>
      </c>
      <c r="R28" s="177">
        <f t="shared" si="5"/>
        <v>0.10049249910955574</v>
      </c>
      <c r="S28" s="817">
        <f t="shared" si="6"/>
        <v>0</v>
      </c>
      <c r="T28" s="176">
        <f t="shared" si="7"/>
        <v>6</v>
      </c>
      <c r="U28" s="251">
        <f t="shared" si="8"/>
        <v>0.10049249910955574</v>
      </c>
      <c r="V28" s="383">
        <f t="shared" si="9"/>
        <v>13.472407676429395</v>
      </c>
      <c r="W28" s="402">
        <f t="shared" si="10"/>
        <v>13.425944683875787</v>
      </c>
      <c r="X28" s="157">
        <f t="shared" si="11"/>
        <v>45305</v>
      </c>
      <c r="Y28" s="385">
        <f t="shared" si="12"/>
        <v>12.580815967930814</v>
      </c>
      <c r="Z28" s="385">
        <f t="shared" si="22"/>
        <v>13.171842318523261</v>
      </c>
      <c r="AA28" s="386">
        <f t="shared" si="13"/>
        <v>14.886432183633403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0.11517802546369799</v>
      </c>
      <c r="AD28" s="231">
        <f>(INDEX(Models!$BJ28:$BT28,,AH28)*(1-AF28)+INDEX(Models!$BJ28:$BT28,,AH28+1)*AF28-ERP_i)*AE28*Ramure*Pc/MaxiM</f>
        <v>4.9779932197906315E-2</v>
      </c>
      <c r="AE28" s="305">
        <f t="shared" si="15"/>
        <v>0.7</v>
      </c>
      <c r="AF28" s="177">
        <f t="shared" si="23"/>
        <v>0.10049249910955574</v>
      </c>
      <c r="AG28" s="817">
        <f t="shared" si="24"/>
        <v>0</v>
      </c>
      <c r="AH28" s="176">
        <f t="shared" si="16"/>
        <v>6</v>
      </c>
      <c r="AI28" s="225">
        <f t="shared" si="17"/>
        <v>0.10049249910955574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45306</v>
      </c>
      <c r="B29" s="411">
        <f>'2023'!Wh/'2023'!Env_an*'2024'!Env_an</f>
        <v>13.719053522065398</v>
      </c>
      <c r="C29" s="846"/>
      <c r="D29" s="393">
        <f t="shared" si="0"/>
        <v>14.363867034317614</v>
      </c>
      <c r="E29" s="385">
        <f t="shared" si="1"/>
        <v>15.213745753332043</v>
      </c>
      <c r="F29" s="385">
        <f t="shared" si="2"/>
        <v>16.01372498587039</v>
      </c>
      <c r="G29" s="110">
        <f t="shared" si="21"/>
        <v>1.0054544313032809</v>
      </c>
      <c r="H29" s="414" t="b">
        <f>Wh_hp&gt;='2023'!Maxi_hp</f>
        <v>1</v>
      </c>
      <c r="I29" s="390">
        <f>IF(H29,Wh_hp,'2023'!Maxi_hp)</f>
        <v>16.01372498587039</v>
      </c>
      <c r="J29" s="85">
        <f>IF(H29,An,'2023'!An_max)</f>
        <v>2024</v>
      </c>
      <c r="K29" s="197">
        <f t="shared" si="3"/>
        <v>45306</v>
      </c>
      <c r="L29" s="147">
        <f>IF(t&lt;Tvie,1-EXP((T0-t)*PertePVj)+'2023'!Pspv,1-EXP((T0-t)*PertePVj)+Pspv)</f>
        <v>4.4891359040824641E-2</v>
      </c>
      <c r="M29" s="850"/>
      <c r="N29" s="850"/>
      <c r="O29" s="48">
        <f>IF(t&lt;Tnet,'2023'!Resal+('2023'!Salim-'2023'!Resal)*(1-EXP(('2023'!Tnet-t)/('2023'!Tau_j))),Resal+(Salim-Resal)*(1-EXP((Tnet-t)/(Tau_j))))*Salcycl</f>
        <v>5.5862555664721356E-2</v>
      </c>
      <c r="P29" s="169">
        <f>(INDEX(Models!$BJ29:$BT29,,T29)*(1-R29)+INDEX(Models!$BJ29:$BT29,,T29+1)*R29-ERP_i)*Q29*Ramure*Pc/MaxiM</f>
        <v>4.9955849325762886E-2</v>
      </c>
      <c r="Q29" s="305">
        <f t="shared" si="4"/>
        <v>0.7</v>
      </c>
      <c r="R29" s="177">
        <f t="shared" si="5"/>
        <v>0.10054224405972803</v>
      </c>
      <c r="S29" s="817">
        <f t="shared" si="6"/>
        <v>0</v>
      </c>
      <c r="T29" s="176">
        <f t="shared" si="7"/>
        <v>6</v>
      </c>
      <c r="U29" s="251">
        <f t="shared" si="8"/>
        <v>0.10054224405972803</v>
      </c>
      <c r="V29" s="383">
        <f t="shared" si="9"/>
        <v>13.644629826020671</v>
      </c>
      <c r="W29" s="402">
        <f t="shared" si="10"/>
        <v>13.719053522065398</v>
      </c>
      <c r="X29" s="157">
        <f t="shared" si="11"/>
        <v>45306</v>
      </c>
      <c r="Y29" s="385">
        <f t="shared" si="12"/>
        <v>12.856562271498211</v>
      </c>
      <c r="Z29" s="385">
        <f t="shared" si="22"/>
        <v>13.460837563553929</v>
      </c>
      <c r="AA29" s="386">
        <f t="shared" si="13"/>
        <v>15.213745753332043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0.1152187119594924</v>
      </c>
      <c r="AD29" s="231">
        <f>(INDEX(Models!$BJ29:$BT29,,AH29)*(1-AF29)+INDEX(Models!$BJ29:$BT29,,AH29+1)*AF29-ERP_i)*AE29*Ramure*Pc/MaxiM</f>
        <v>4.9955849325762886E-2</v>
      </c>
      <c r="AE29" s="305">
        <f t="shared" si="15"/>
        <v>0.7</v>
      </c>
      <c r="AF29" s="177">
        <f t="shared" si="23"/>
        <v>0.10054224405972803</v>
      </c>
      <c r="AG29" s="817">
        <f t="shared" si="24"/>
        <v>0</v>
      </c>
      <c r="AH29" s="176">
        <f t="shared" si="16"/>
        <v>6</v>
      </c>
      <c r="AI29" s="225">
        <f t="shared" si="17"/>
        <v>0.10054224405972803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45307</v>
      </c>
      <c r="B30" s="411">
        <f>'2023'!Wh/'2023'!Env_an*'2024'!Env_an</f>
        <v>13.792529189529983</v>
      </c>
      <c r="C30" s="846"/>
      <c r="D30" s="393">
        <f t="shared" si="0"/>
        <v>14.441112451963578</v>
      </c>
      <c r="E30" s="385">
        <f t="shared" si="1"/>
        <v>15.297557905052539</v>
      </c>
      <c r="F30" s="385">
        <f t="shared" si="2"/>
        <v>16.101495029644962</v>
      </c>
      <c r="G30" s="110">
        <f t="shared" si="21"/>
        <v>0.9977104115822989</v>
      </c>
      <c r="H30" s="414" t="b">
        <f>Wh_hp&gt;='2023'!Maxi_hp</f>
        <v>0</v>
      </c>
      <c r="I30" s="390">
        <f>IF(H30,Wh_hp,'2023'!Maxi_hp)</f>
        <v>16.102218040848967</v>
      </c>
      <c r="J30" s="85">
        <f>IF(H30,An,'2023'!An_max)</f>
        <v>2022</v>
      </c>
      <c r="K30" s="197">
        <f t="shared" si="3"/>
        <v>45307</v>
      </c>
      <c r="L30" s="147">
        <f>IF(t&lt;Tvie,1-EXP((T0-t)*PertePVj)+'2023'!Pspv,1-EXP((T0-t)*PertePVj)+Pspv)</f>
        <v>4.4912278371283421E-2</v>
      </c>
      <c r="M30" s="850"/>
      <c r="N30" s="850"/>
      <c r="O30" s="48">
        <f>IF(t&lt;Tnet,'2023'!Resal+('2023'!Salim-'2023'!Resal)*(1-EXP(('2023'!Tnet-t)/('2023'!Tau_j))),Resal+(Salim-Resal)*(1-EXP((Tnet-t)/(Tau_j))))*Salcycl</f>
        <v>5.5985763113607249E-2</v>
      </c>
      <c r="P30" s="169">
        <f>(INDEX(Models!$BJ30:$BT30,,T30)*(1-R30)+INDEX(Models!$BJ30:$BT30,,T30+1)*R30-ERP_i)*Q30*Ramure*Pc/MaxiM</f>
        <v>5.0081706698199328E-2</v>
      </c>
      <c r="Q30" s="305">
        <f t="shared" si="4"/>
        <v>0.7</v>
      </c>
      <c r="R30" s="177">
        <f t="shared" si="5"/>
        <v>0.10059406537512132</v>
      </c>
      <c r="S30" s="817">
        <f t="shared" si="6"/>
        <v>0</v>
      </c>
      <c r="T30" s="176">
        <f t="shared" si="7"/>
        <v>6</v>
      </c>
      <c r="U30" s="251">
        <f t="shared" si="8"/>
        <v>0.10059406537512132</v>
      </c>
      <c r="V30" s="383">
        <f t="shared" si="9"/>
        <v>13.821963928441775</v>
      </c>
      <c r="W30" s="402">
        <f t="shared" si="10"/>
        <v>13.792529189529983</v>
      </c>
      <c r="X30" s="157">
        <f t="shared" si="11"/>
        <v>45307</v>
      </c>
      <c r="Y30" s="385">
        <f t="shared" si="12"/>
        <v>12.926510113034723</v>
      </c>
      <c r="Z30" s="385">
        <f t="shared" si="22"/>
        <v>13.534369482827264</v>
      </c>
      <c r="AA30" s="386">
        <f t="shared" si="13"/>
        <v>15.297557905052539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0.11525947037879297</v>
      </c>
      <c r="AD30" s="231">
        <f>(INDEX(Models!$BJ30:$BT30,,AH30)*(1-AF30)+INDEX(Models!$BJ30:$BT30,,AH30+1)*AF30-ERP_i)*AE30*Ramure*Pc/MaxiM</f>
        <v>5.0081706698199328E-2</v>
      </c>
      <c r="AE30" s="305">
        <f t="shared" si="15"/>
        <v>0.7</v>
      </c>
      <c r="AF30" s="177">
        <f t="shared" si="23"/>
        <v>0.10059406537512132</v>
      </c>
      <c r="AG30" s="817">
        <f t="shared" si="24"/>
        <v>0</v>
      </c>
      <c r="AH30" s="176">
        <f t="shared" si="16"/>
        <v>6</v>
      </c>
      <c r="AI30" s="225">
        <f t="shared" si="17"/>
        <v>0.10059406537512132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45308</v>
      </c>
      <c r="B31" s="411">
        <f>'2023'!Wh/'2023'!Env_an*'2024'!Env_an</f>
        <v>9.9953654855510834</v>
      </c>
      <c r="C31" s="846"/>
      <c r="D31" s="393">
        <f t="shared" si="0"/>
        <v>10.465619218156448</v>
      </c>
      <c r="E31" s="385">
        <f t="shared" si="1"/>
        <v>11.087739672584277</v>
      </c>
      <c r="F31" s="385">
        <f t="shared" si="2"/>
        <v>11.426445577624541</v>
      </c>
      <c r="G31" s="110">
        <f t="shared" si="21"/>
        <v>0.69863462883754279</v>
      </c>
      <c r="H31" s="414" t="b">
        <f>Wh_hp&gt;='2023'!Maxi_hp</f>
        <v>0</v>
      </c>
      <c r="I31" s="390">
        <f>IF(H31,Wh_hp,'2023'!Maxi_hp)</f>
        <v>11.494776439311693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4.4933197243555045E-2</v>
      </c>
      <c r="M31" s="850"/>
      <c r="N31" s="850"/>
      <c r="O31" s="48">
        <f>IF(t&lt;Tnet,'2023'!Resal+('2023'!Salim-'2023'!Resal)*(1-EXP(('2023'!Tnet-t)/('2023'!Tau_j))),Resal+(Salim-Resal)*(1-EXP((Tnet-t)/(Tau_j))))*Salcycl</f>
        <v>5.6108861932075614E-2</v>
      </c>
      <c r="P31" s="169">
        <f>(INDEX(Models!$BJ31:$BT31,,T31)*(1-R31)+INDEX(Models!$BJ31:$BT31,,T31+1)*R31-ERP_i)*Q31*Ramure*Pc/MaxiM</f>
        <v>5.0153575990810231E-2</v>
      </c>
      <c r="Q31" s="305">
        <f t="shared" si="4"/>
        <v>0.7</v>
      </c>
      <c r="R31" s="177">
        <f t="shared" si="5"/>
        <v>0.10064804926447544</v>
      </c>
      <c r="S31" s="817">
        <f t="shared" si="6"/>
        <v>0</v>
      </c>
      <c r="T31" s="176">
        <f t="shared" si="7"/>
        <v>6</v>
      </c>
      <c r="U31" s="251">
        <f t="shared" si="8"/>
        <v>0.10064804926447544</v>
      </c>
      <c r="V31" s="383">
        <f t="shared" si="9"/>
        <v>14.004580282569167</v>
      </c>
      <c r="W31" s="402">
        <f t="shared" si="10"/>
        <v>9.9953654855510834</v>
      </c>
      <c r="X31" s="157">
        <f t="shared" si="11"/>
        <v>45308</v>
      </c>
      <c r="Y31" s="385">
        <f t="shared" si="12"/>
        <v>9.368555801337628</v>
      </c>
      <c r="Z31" s="385">
        <f t="shared" si="22"/>
        <v>9.8093199075695825</v>
      </c>
      <c r="AA31" s="386">
        <f t="shared" si="13"/>
        <v>11.087739672584277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0.11530030491027263</v>
      </c>
      <c r="AD31" s="231">
        <f>(INDEX(Models!$BJ31:$BT31,,AH31)*(1-AF31)+INDEX(Models!$BJ31:$BT31,,AH31+1)*AF31-ERP_i)*AE31*Ramure*Pc/MaxiM</f>
        <v>5.0153575990810231E-2</v>
      </c>
      <c r="AE31" s="305">
        <f t="shared" si="15"/>
        <v>0.7</v>
      </c>
      <c r="AF31" s="177">
        <f t="shared" si="23"/>
        <v>0.10064804926447544</v>
      </c>
      <c r="AG31" s="817">
        <f t="shared" si="24"/>
        <v>0</v>
      </c>
      <c r="AH31" s="176">
        <f t="shared" si="16"/>
        <v>6</v>
      </c>
      <c r="AI31" s="225">
        <f t="shared" si="17"/>
        <v>0.10064804926447544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45309</v>
      </c>
      <c r="B32" s="411">
        <f>'2023'!Wh/'2023'!Env_an*'2024'!Env_an</f>
        <v>2.4206455083658551</v>
      </c>
      <c r="C32" s="846"/>
      <c r="D32" s="393">
        <f t="shared" si="0"/>
        <v>2.5345855608107506</v>
      </c>
      <c r="E32" s="385">
        <f t="shared" si="1"/>
        <v>2.6856019399525248</v>
      </c>
      <c r="F32" s="385">
        <f t="shared" si="2"/>
        <v>2.6856019399525248</v>
      </c>
      <c r="G32" s="110">
        <f t="shared" si="21"/>
        <v>0.16199984602154019</v>
      </c>
      <c r="H32" s="414" t="b">
        <f>Wh_hp&gt;='2023'!Maxi_hp</f>
        <v>0</v>
      </c>
      <c r="I32" s="390">
        <f>IF(H32,Wh_hp,'2023'!Maxi_hp)</f>
        <v>16.33584148224859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4.4954115657649729E-2</v>
      </c>
      <c r="M32" s="850"/>
      <c r="N32" s="850"/>
      <c r="O32" s="48">
        <f>IF(t&lt;Tnet,'2023'!Resal+('2023'!Salim-'2023'!Resal)*(1-EXP(('2023'!Tnet-t)/('2023'!Tau_j))),Resal+(Salim-Resal)*(1-EXP((Tnet-t)/(Tau_j))))*Salcycl</f>
        <v>5.6231855099287006E-2</v>
      </c>
      <c r="P32" s="169">
        <f>(INDEX(Models!$BJ32:$BT32,,T32)*(1-R32)+INDEX(Models!$BJ32:$BT32,,T32+1)*R32-ERP_i)*Q32*Ramure*Pc/MaxiM</f>
        <v>5.0173015810400019E-2</v>
      </c>
      <c r="Q32" s="305">
        <f t="shared" si="4"/>
        <v>0.7</v>
      </c>
      <c r="R32" s="177">
        <f t="shared" si="5"/>
        <v>0.10070428547661713</v>
      </c>
      <c r="S32" s="817">
        <f t="shared" si="6"/>
        <v>0</v>
      </c>
      <c r="T32" s="176">
        <f t="shared" si="7"/>
        <v>6</v>
      </c>
      <c r="U32" s="251">
        <f t="shared" si="8"/>
        <v>0.10070428547661713</v>
      </c>
      <c r="V32" s="383">
        <f t="shared" si="9"/>
        <v>14.192571656503493</v>
      </c>
      <c r="W32" s="402">
        <f t="shared" si="10"/>
        <v>2.4206455083658551</v>
      </c>
      <c r="X32" s="157">
        <f t="shared" si="11"/>
        <v>45309</v>
      </c>
      <c r="Y32" s="385">
        <f t="shared" si="12"/>
        <v>2.2690374882957611</v>
      </c>
      <c r="Z32" s="385">
        <f t="shared" si="22"/>
        <v>2.3758413344278559</v>
      </c>
      <c r="AA32" s="386">
        <f t="shared" si="13"/>
        <v>2.6856019399525248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0.11534122049753397</v>
      </c>
      <c r="AD32" s="231">
        <f>(INDEX(Models!$BJ32:$BT32,,AH32)*(1-AF32)+INDEX(Models!$BJ32:$BT32,,AH32+1)*AF32-ERP_i)*AE32*Ramure*Pc/MaxiM</f>
        <v>5.0173015810400019E-2</v>
      </c>
      <c r="AE32" s="305">
        <f t="shared" si="15"/>
        <v>0.7</v>
      </c>
      <c r="AF32" s="177">
        <f t="shared" si="23"/>
        <v>0.10070428547661713</v>
      </c>
      <c r="AG32" s="817">
        <f t="shared" si="24"/>
        <v>0</v>
      </c>
      <c r="AH32" s="176">
        <f t="shared" si="16"/>
        <v>6</v>
      </c>
      <c r="AI32" s="225">
        <f t="shared" si="17"/>
        <v>0.10070428547661713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45310</v>
      </c>
      <c r="B33" s="411">
        <f>'2023'!Wh/'2023'!Env_an*'2024'!Env_an</f>
        <v>7.2548452824076923</v>
      </c>
      <c r="C33" s="846"/>
      <c r="D33" s="393">
        <f t="shared" si="0"/>
        <v>7.5964980369657011</v>
      </c>
      <c r="E33" s="385">
        <f t="shared" si="1"/>
        <v>8.0501629226052405</v>
      </c>
      <c r="F33" s="385">
        <f t="shared" si="2"/>
        <v>8.1697188820955535</v>
      </c>
      <c r="G33" s="110">
        <f t="shared" si="21"/>
        <v>0.48612558556389229</v>
      </c>
      <c r="H33" s="414" t="b">
        <f>Wh_hp&gt;='2023'!Maxi_hp</f>
        <v>0</v>
      </c>
      <c r="I33" s="390">
        <f>IF(H33,Wh_hp,'2023'!Maxi_hp)</f>
        <v>16.836051106728092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4.4975033613577575E-2</v>
      </c>
      <c r="M33" s="850"/>
      <c r="N33" s="850"/>
      <c r="O33" s="48">
        <f>IF(t&lt;Tnet,'2023'!Resal+('2023'!Salim-'2023'!Resal)*(1-EXP(('2023'!Tnet-t)/('2023'!Tau_j))),Resal+(Salim-Resal)*(1-EXP((Tnet-t)/(Tau_j))))*Salcycl</f>
        <v>5.6354745860562251E-2</v>
      </c>
      <c r="P33" s="169">
        <f>(INDEX(Models!$BJ33:$BT33,,T33)*(1-R33)+INDEX(Models!$BJ33:$BT33,,T33+1)*R33-ERP_i)*Q33*Ramure*Pc/MaxiM</f>
        <v>5.0141604472872553E-2</v>
      </c>
      <c r="Q33" s="305">
        <f t="shared" si="4"/>
        <v>0.7</v>
      </c>
      <c r="R33" s="177">
        <f t="shared" si="5"/>
        <v>0.10076286744247802</v>
      </c>
      <c r="S33" s="817">
        <f t="shared" si="6"/>
        <v>0</v>
      </c>
      <c r="T33" s="176">
        <f t="shared" si="7"/>
        <v>6</v>
      </c>
      <c r="U33" s="251">
        <f t="shared" si="8"/>
        <v>0.10076286744247802</v>
      </c>
      <c r="V33" s="383">
        <f t="shared" si="9"/>
        <v>14.386030754332596</v>
      </c>
      <c r="W33" s="402">
        <f t="shared" si="10"/>
        <v>7.2548452824076923</v>
      </c>
      <c r="X33" s="157">
        <f t="shared" si="11"/>
        <v>45310</v>
      </c>
      <c r="Y33" s="385">
        <f t="shared" si="12"/>
        <v>6.8010357504273138</v>
      </c>
      <c r="Z33" s="385">
        <f t="shared" si="22"/>
        <v>7.1213172323240368</v>
      </c>
      <c r="AA33" s="386">
        <f t="shared" si="13"/>
        <v>8.0501629226052405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0.11538222259737886</v>
      </c>
      <c r="AD33" s="231">
        <f>(INDEX(Models!$BJ33:$BT33,,AH33)*(1-AF33)+INDEX(Models!$BJ33:$BT33,,AH33+1)*AF33-ERP_i)*AE33*Ramure*Pc/MaxiM</f>
        <v>5.0141604472872553E-2</v>
      </c>
      <c r="AE33" s="305">
        <f t="shared" si="15"/>
        <v>0.7</v>
      </c>
      <c r="AF33" s="177">
        <f t="shared" si="23"/>
        <v>0.10076286744247802</v>
      </c>
      <c r="AG33" s="817">
        <f t="shared" si="24"/>
        <v>0</v>
      </c>
      <c r="AH33" s="176">
        <f t="shared" si="16"/>
        <v>6</v>
      </c>
      <c r="AI33" s="225">
        <f t="shared" si="17"/>
        <v>0.10076286744247802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45311</v>
      </c>
      <c r="B34" s="411">
        <f>'2023'!Wh/'2023'!Env_an*'2024'!Env_an</f>
        <v>3.8675566660703766</v>
      </c>
      <c r="C34" s="846"/>
      <c r="D34" s="393">
        <f t="shared" si="0"/>
        <v>4.0497803863461037</v>
      </c>
      <c r="E34" s="385">
        <f t="shared" si="1"/>
        <v>4.2921928706497763</v>
      </c>
      <c r="F34" s="385">
        <f t="shared" si="2"/>
        <v>4.2921928706497763</v>
      </c>
      <c r="G34" s="110">
        <f t="shared" si="21"/>
        <v>0.25189787494224408</v>
      </c>
      <c r="H34" s="414" t="b">
        <f>Wh_hp&gt;='2023'!Maxi_hp</f>
        <v>0</v>
      </c>
      <c r="I34" s="390">
        <f>IF(H34,Wh_hp,'2023'!Maxi_hp)</f>
        <v>7.5521238527845549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4.4995951111348353E-2</v>
      </c>
      <c r="M34" s="850"/>
      <c r="N34" s="850"/>
      <c r="O34" s="48">
        <f>IF(t&lt;Tnet,'2023'!Resal+('2023'!Salim-'2023'!Resal)*(1-EXP(('2023'!Tnet-t)/('2023'!Tau_j))),Resal+(Salim-Resal)*(1-EXP((Tnet-t)/(Tau_j))))*Salcycl</f>
        <v>5.6477537615166613E-2</v>
      </c>
      <c r="P34" s="169">
        <f>(INDEX(Models!$BJ34:$BT34,,T34)*(1-R34)+INDEX(Models!$BJ34:$BT34,,T34+1)*R34-ERP_i)*Q34*Ramure*Pc/MaxiM</f>
        <v>5.0061216254178677E-2</v>
      </c>
      <c r="Q34" s="305">
        <f t="shared" si="4"/>
        <v>0.7</v>
      </c>
      <c r="R34" s="177">
        <f t="shared" si="5"/>
        <v>0.10082389242252066</v>
      </c>
      <c r="S34" s="817">
        <f t="shared" si="6"/>
        <v>0</v>
      </c>
      <c r="T34" s="176">
        <f t="shared" si="7"/>
        <v>6</v>
      </c>
      <c r="U34" s="251">
        <f t="shared" si="8"/>
        <v>0.10082389242252066</v>
      </c>
      <c r="V34" s="383">
        <f t="shared" si="9"/>
        <v>14.585045928939694</v>
      </c>
      <c r="W34" s="402">
        <f t="shared" si="10"/>
        <v>3.8675566660703766</v>
      </c>
      <c r="X34" s="157">
        <f t="shared" si="11"/>
        <v>45311</v>
      </c>
      <c r="Y34" s="385">
        <f t="shared" si="12"/>
        <v>3.625934287296948</v>
      </c>
      <c r="Z34" s="385">
        <f t="shared" si="22"/>
        <v>3.7967737325475071</v>
      </c>
      <c r="AA34" s="386">
        <f t="shared" si="13"/>
        <v>4.2921928706497763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0.11542331694597643</v>
      </c>
      <c r="AD34" s="231">
        <f>(INDEX(Models!$BJ34:$BT34,,AH34)*(1-AF34)+INDEX(Models!$BJ34:$BT34,,AH34+1)*AF34-ERP_i)*AE34*Ramure*Pc/MaxiM</f>
        <v>5.0061216254178677E-2</v>
      </c>
      <c r="AE34" s="305">
        <f t="shared" si="15"/>
        <v>0.7</v>
      </c>
      <c r="AF34" s="177">
        <f t="shared" si="23"/>
        <v>0.10082389242252066</v>
      </c>
      <c r="AG34" s="817">
        <f t="shared" si="24"/>
        <v>0</v>
      </c>
      <c r="AH34" s="176">
        <f t="shared" si="16"/>
        <v>6</v>
      </c>
      <c r="AI34" s="225">
        <f t="shared" si="17"/>
        <v>0.10082389242252066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45312</v>
      </c>
      <c r="B35" s="411">
        <f>'2023'!Wh/'2023'!Env_an*'2024'!Env_an</f>
        <v>10.601018635915084</v>
      </c>
      <c r="C35" s="846"/>
      <c r="D35" s="393">
        <f t="shared" si="0"/>
        <v>11.10073914644912</v>
      </c>
      <c r="E35" s="385">
        <f t="shared" si="1"/>
        <v>11.766739344503856</v>
      </c>
      <c r="F35" s="385">
        <f t="shared" si="2"/>
        <v>12.127294571867195</v>
      </c>
      <c r="G35" s="110">
        <f t="shared" si="21"/>
        <v>0.70185883137735849</v>
      </c>
      <c r="H35" s="414" t="b">
        <f>Wh_hp&gt;='2023'!Maxi_hp</f>
        <v>0</v>
      </c>
      <c r="I35" s="390">
        <f>IF(H35,Wh_hp,'2023'!Maxi_hp)</f>
        <v>12.199672633065241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4.5016868150972278E-2</v>
      </c>
      <c r="M35" s="850"/>
      <c r="N35" s="850"/>
      <c r="O35" s="48">
        <f>IF(t&lt;Tnet,'2023'!Resal+('2023'!Salim-'2023'!Resal)*(1-EXP(('2023'!Tnet-t)/('2023'!Tau_j))),Resal+(Salim-Resal)*(1-EXP((Tnet-t)/(Tau_j))))*Salcycl</f>
        <v>5.660023380783219E-2</v>
      </c>
      <c r="P35" s="169">
        <f>(INDEX(Models!$BJ35:$BT35,,T35)*(1-R35)+INDEX(Models!$BJ35:$BT35,,T35+1)*R35-ERP_i)*Q35*Ramure*Pc/MaxiM</f>
        <v>4.9933862097023093E-2</v>
      </c>
      <c r="Q35" s="305">
        <f t="shared" si="4"/>
        <v>0.7</v>
      </c>
      <c r="R35" s="177">
        <f t="shared" si="5"/>
        <v>0.10088746165975686</v>
      </c>
      <c r="S35" s="817">
        <f t="shared" si="6"/>
        <v>0</v>
      </c>
      <c r="T35" s="176">
        <f t="shared" si="7"/>
        <v>6</v>
      </c>
      <c r="U35" s="251">
        <f t="shared" si="8"/>
        <v>0.10088746165975686</v>
      </c>
      <c r="V35" s="383">
        <f t="shared" si="9"/>
        <v>14.789703311793621</v>
      </c>
      <c r="W35" s="402">
        <f t="shared" si="10"/>
        <v>10.601018635915084</v>
      </c>
      <c r="X35" s="157">
        <f t="shared" si="11"/>
        <v>45312</v>
      </c>
      <c r="Y35" s="385">
        <f t="shared" si="12"/>
        <v>9.9395585590546851</v>
      </c>
      <c r="Z35" s="385">
        <f t="shared" si="22"/>
        <v>10.408098559615206</v>
      </c>
      <c r="AA35" s="386">
        <f t="shared" si="13"/>
        <v>11.766739344503856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0.11546450933522716</v>
      </c>
      <c r="AD35" s="231">
        <f>(INDEX(Models!$BJ35:$BT35,,AH35)*(1-AF35)+INDEX(Models!$BJ35:$BT35,,AH35+1)*AF35-ERP_i)*AE35*Ramure*Pc/MaxiM</f>
        <v>4.9933862097023093E-2</v>
      </c>
      <c r="AE35" s="305">
        <f t="shared" si="15"/>
        <v>0.7</v>
      </c>
      <c r="AF35" s="177">
        <f t="shared" si="23"/>
        <v>0.10088746165975686</v>
      </c>
      <c r="AG35" s="817">
        <f t="shared" si="24"/>
        <v>0</v>
      </c>
      <c r="AH35" s="176">
        <f t="shared" si="16"/>
        <v>6</v>
      </c>
      <c r="AI35" s="225">
        <f t="shared" si="17"/>
        <v>0.10088746165975686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45313</v>
      </c>
      <c r="B36" s="411">
        <f>'2023'!Wh/'2023'!Env_an*'2024'!Env_an</f>
        <v>15.243933782558875</v>
      </c>
      <c r="C36" s="846"/>
      <c r="D36" s="393">
        <f t="shared" si="0"/>
        <v>15.962865900708081</v>
      </c>
      <c r="E36" s="385">
        <f t="shared" si="1"/>
        <v>16.922773645768597</v>
      </c>
      <c r="F36" s="385">
        <f t="shared" si="2"/>
        <v>17.808971984336939</v>
      </c>
      <c r="G36" s="110">
        <f t="shared" si="21"/>
        <v>1.0162560121867492</v>
      </c>
      <c r="H36" s="414" t="b">
        <f>Wh_hp&gt;='2023'!Maxi_hp</f>
        <v>1</v>
      </c>
      <c r="I36" s="390">
        <f>IF(H36,Wh_hp,'2023'!Maxi_hp)</f>
        <v>17.808971984336939</v>
      </c>
      <c r="J36" s="85">
        <f>IF(H36,An,'2023'!An_max)</f>
        <v>2024</v>
      </c>
      <c r="K36" s="197">
        <f t="shared" si="3"/>
        <v>45313</v>
      </c>
      <c r="L36" s="147">
        <f>IF(t&lt;Tvie,1-EXP((T0-t)*PertePVj)+'2023'!Pspv,1-EXP((T0-t)*PertePVj)+Pspv)</f>
        <v>4.5037784732459341E-2</v>
      </c>
      <c r="M36" s="850"/>
      <c r="N36" s="850"/>
      <c r="O36" s="48">
        <f>IF(t&lt;Tnet,'2023'!Resal+('2023'!Salim-'2023'!Resal)*(1-EXP(('2023'!Tnet-t)/('2023'!Tau_j))),Resal+(Salim-Resal)*(1-EXP((Tnet-t)/(Tau_j))))*Salcycl</f>
        <v>5.6722837825141828E-2</v>
      </c>
      <c r="P36" s="169">
        <f>(INDEX(Models!$BJ36:$BT36,,T36)*(1-R36)+INDEX(Models!$BJ36:$BT36,,T36+1)*R36-ERP_i)*Q36*Ramure*Pc/MaxiM</f>
        <v>4.9761341606228325E-2</v>
      </c>
      <c r="Q36" s="305">
        <f t="shared" si="4"/>
        <v>0.7</v>
      </c>
      <c r="R36" s="177">
        <f t="shared" si="5"/>
        <v>0.10095368053853895</v>
      </c>
      <c r="S36" s="817">
        <f t="shared" si="6"/>
        <v>0</v>
      </c>
      <c r="T36" s="176">
        <f t="shared" si="7"/>
        <v>6</v>
      </c>
      <c r="U36" s="251">
        <f t="shared" si="8"/>
        <v>0.10095368053853895</v>
      </c>
      <c r="V36" s="383">
        <f t="shared" si="9"/>
        <v>15.000092102537662</v>
      </c>
      <c r="W36" s="402">
        <f t="shared" si="10"/>
        <v>15.243933782558875</v>
      </c>
      <c r="X36" s="157">
        <f t="shared" si="11"/>
        <v>45313</v>
      </c>
      <c r="Y36" s="385">
        <f t="shared" si="12"/>
        <v>14.29396520364226</v>
      </c>
      <c r="Z36" s="385">
        <f t="shared" si="22"/>
        <v>14.968095046187441</v>
      </c>
      <c r="AA36" s="386">
        <f t="shared" si="13"/>
        <v>16.922773645768597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0.11550580540146303</v>
      </c>
      <c r="AD36" s="231">
        <f>(INDEX(Models!$BJ36:$BT36,,AH36)*(1-AF36)+INDEX(Models!$BJ36:$BT36,,AH36+1)*AF36-ERP_i)*AE36*Ramure*Pc/MaxiM</f>
        <v>4.9761341606228325E-2</v>
      </c>
      <c r="AE36" s="305">
        <f t="shared" si="15"/>
        <v>0.7</v>
      </c>
      <c r="AF36" s="177">
        <f t="shared" si="23"/>
        <v>0.10095368053853895</v>
      </c>
      <c r="AG36" s="817">
        <f t="shared" si="24"/>
        <v>0</v>
      </c>
      <c r="AH36" s="176">
        <f t="shared" si="16"/>
        <v>6</v>
      </c>
      <c r="AI36" s="225">
        <f t="shared" si="17"/>
        <v>0.10095368053853895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45314</v>
      </c>
      <c r="B37" s="411">
        <f>'2023'!Wh/'2023'!Env_an*'2024'!Env_an</f>
        <v>15.298972347547318</v>
      </c>
      <c r="C37" s="846"/>
      <c r="D37" s="393">
        <f t="shared" si="0"/>
        <v>16.020851083996764</v>
      </c>
      <c r="E37" s="385">
        <f t="shared" si="1"/>
        <v>16.986451938948235</v>
      </c>
      <c r="F37" s="385">
        <f t="shared" si="2"/>
        <v>17.871865098354345</v>
      </c>
      <c r="G37" s="110">
        <f t="shared" si="21"/>
        <v>1.0053655173674534</v>
      </c>
      <c r="H37" s="414" t="b">
        <f>Wh_hp&gt;='2023'!Maxi_hp</f>
        <v>1</v>
      </c>
      <c r="I37" s="390">
        <f>IF(H37,Wh_hp,'2023'!Maxi_hp)</f>
        <v>17.871865098354345</v>
      </c>
      <c r="J37" s="85">
        <f>IF(H37,An,'2023'!An_max)</f>
        <v>2024</v>
      </c>
      <c r="K37" s="197">
        <f t="shared" si="3"/>
        <v>45314</v>
      </c>
      <c r="L37" s="147">
        <f>IF(t&lt;Tvie,1-EXP((T0-t)*PertePVj)+'2023'!Pspv,1-EXP((T0-t)*PertePVj)+Pspv)</f>
        <v>4.5058700855819644E-2</v>
      </c>
      <c r="M37" s="850"/>
      <c r="N37" s="850"/>
      <c r="O37" s="48">
        <f>IF(t&lt;Tnet,'2023'!Resal+('2023'!Salim-'2023'!Resal)*(1-EXP(('2023'!Tnet-t)/('2023'!Tau_j))),Resal+(Salim-Resal)*(1-EXP((Tnet-t)/(Tau_j))))*Salcycl</f>
        <v>5.6845352897825864E-2</v>
      </c>
      <c r="P37" s="169">
        <f>(INDEX(Models!$BJ37:$BT37,,T37)*(1-R37)+INDEX(Models!$BJ37:$BT37,,T37+1)*R37-ERP_i)*Q37*Ramure*Pc/MaxiM</f>
        <v>4.9542292006648975E-2</v>
      </c>
      <c r="Q37" s="305">
        <f t="shared" si="4"/>
        <v>0.7</v>
      </c>
      <c r="R37" s="177">
        <f t="shared" si="5"/>
        <v>0.10102265874931624</v>
      </c>
      <c r="S37" s="817">
        <f t="shared" si="6"/>
        <v>0</v>
      </c>
      <c r="T37" s="176">
        <f t="shared" si="7"/>
        <v>6</v>
      </c>
      <c r="U37" s="251">
        <f t="shared" si="8"/>
        <v>0.10102265874931624</v>
      </c>
      <c r="V37" s="383">
        <f t="shared" si="9"/>
        <v>15.217323533840347</v>
      </c>
      <c r="W37" s="402">
        <f t="shared" si="10"/>
        <v>15.298972347547318</v>
      </c>
      <c r="X37" s="157">
        <f t="shared" si="11"/>
        <v>45314</v>
      </c>
      <c r="Y37" s="385">
        <f t="shared" si="12"/>
        <v>14.346765731304725</v>
      </c>
      <c r="Z37" s="385">
        <f t="shared" si="22"/>
        <v>15.023714802325875</v>
      </c>
      <c r="AA37" s="386">
        <f t="shared" si="13"/>
        <v>16.986451938948235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0.11554721042844739</v>
      </c>
      <c r="AD37" s="231">
        <f>(INDEX(Models!$BJ37:$BT37,,AH37)*(1-AF37)+INDEX(Models!$BJ37:$BT37,,AH37+1)*AF37-ERP_i)*AE37*Ramure*Pc/MaxiM</f>
        <v>4.9542292006648975E-2</v>
      </c>
      <c r="AE37" s="305">
        <f t="shared" si="15"/>
        <v>0.7</v>
      </c>
      <c r="AF37" s="177">
        <f t="shared" si="23"/>
        <v>0.10102265874931624</v>
      </c>
      <c r="AG37" s="817">
        <f t="shared" si="24"/>
        <v>0</v>
      </c>
      <c r="AH37" s="176">
        <f t="shared" si="16"/>
        <v>6</v>
      </c>
      <c r="AI37" s="225">
        <f t="shared" si="17"/>
        <v>0.10102265874931624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45315</v>
      </c>
      <c r="B38" s="411">
        <f>'2023'!Wh/'2023'!Env_an*'2024'!Env_an</f>
        <v>15.573043431141226</v>
      </c>
      <c r="C38" s="846"/>
      <c r="D38" s="393">
        <f t="shared" si="0"/>
        <v>16.308211344704979</v>
      </c>
      <c r="E38" s="385">
        <f t="shared" si="1"/>
        <v>17.293376656275498</v>
      </c>
      <c r="F38" s="385">
        <f t="shared" si="2"/>
        <v>18.189713580371087</v>
      </c>
      <c r="G38" s="110">
        <f t="shared" si="21"/>
        <v>1.0084823817632185</v>
      </c>
      <c r="H38" s="414" t="b">
        <f>Wh_hp&gt;='2023'!Maxi_hp</f>
        <v>1</v>
      </c>
      <c r="I38" s="390">
        <f>IF(H38,Wh_hp,'2023'!Maxi_hp)</f>
        <v>18.189713580371087</v>
      </c>
      <c r="J38" s="85">
        <f>IF(H38,An,'2023'!An_max)</f>
        <v>2024</v>
      </c>
      <c r="K38" s="197">
        <f t="shared" si="3"/>
        <v>45315</v>
      </c>
      <c r="L38" s="147">
        <f>IF(t&lt;Tvie,1-EXP((T0-t)*PertePVj)+'2023'!Pspv,1-EXP((T0-t)*PertePVj)+Pspv)</f>
        <v>4.5079616521063182E-2</v>
      </c>
      <c r="M38" s="850"/>
      <c r="N38" s="850"/>
      <c r="O38" s="48">
        <f>IF(t&lt;Tnet,'2023'!Resal+('2023'!Salim-'2023'!Resal)*(1-EXP(('2023'!Tnet-t)/('2023'!Tau_j))),Resal+(Salim-Resal)*(1-EXP((Tnet-t)/(Tau_j))))*Salcycl</f>
        <v>5.6967782009941959E-2</v>
      </c>
      <c r="P38" s="169">
        <f>(INDEX(Models!$BJ38:$BT38,,T38)*(1-R38)+INDEX(Models!$BJ38:$BT38,,T38+1)*R38-ERP_i)*Q38*Ramure*Pc/MaxiM</f>
        <v>4.9277132382273735E-2</v>
      </c>
      <c r="Q38" s="305">
        <f t="shared" si="4"/>
        <v>0.7</v>
      </c>
      <c r="R38" s="177">
        <f t="shared" si="5"/>
        <v>0.10109451045954572</v>
      </c>
      <c r="S38" s="817">
        <f t="shared" si="6"/>
        <v>0</v>
      </c>
      <c r="T38" s="176">
        <f t="shared" si="7"/>
        <v>6</v>
      </c>
      <c r="U38" s="251">
        <f t="shared" si="8"/>
        <v>0.10109451045954572</v>
      </c>
      <c r="V38" s="383">
        <f t="shared" si="9"/>
        <v>15.44205799997567</v>
      </c>
      <c r="W38" s="402">
        <f t="shared" si="10"/>
        <v>15.573043431141226</v>
      </c>
      <c r="X38" s="157">
        <f t="shared" si="11"/>
        <v>45315</v>
      </c>
      <c r="Y38" s="385">
        <f t="shared" si="12"/>
        <v>14.604988958952962</v>
      </c>
      <c r="Z38" s="385">
        <f t="shared" si="22"/>
        <v>15.294457225579908</v>
      </c>
      <c r="AA38" s="386">
        <f t="shared" si="13"/>
        <v>17.293376656275498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0.1155887291664473</v>
      </c>
      <c r="AD38" s="231">
        <f>(INDEX(Models!$BJ38:$BT38,,AH38)*(1-AF38)+INDEX(Models!$BJ38:$BT38,,AH38+1)*AF38-ERP_i)*AE38*Ramure*Pc/MaxiM</f>
        <v>4.9277132382273735E-2</v>
      </c>
      <c r="AE38" s="305">
        <f t="shared" si="15"/>
        <v>0.7</v>
      </c>
      <c r="AF38" s="177">
        <f t="shared" si="23"/>
        <v>0.10109451045954572</v>
      </c>
      <c r="AG38" s="817">
        <f t="shared" si="24"/>
        <v>0</v>
      </c>
      <c r="AH38" s="176">
        <f t="shared" si="16"/>
        <v>6</v>
      </c>
      <c r="AI38" s="225">
        <f t="shared" si="17"/>
        <v>0.10109451045954572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45316</v>
      </c>
      <c r="B39" s="411">
        <f>'2023'!Wh/'2023'!Env_an*'2024'!Env_an</f>
        <v>14.773311616141777</v>
      </c>
      <c r="C39" s="846"/>
      <c r="D39" s="393">
        <f t="shared" si="0"/>
        <v>15.471064868094304</v>
      </c>
      <c r="E39" s="385">
        <f t="shared" si="1"/>
        <v>16.407787556892053</v>
      </c>
      <c r="F39" s="385">
        <f t="shared" si="2"/>
        <v>17.180625418033216</v>
      </c>
      <c r="G39" s="110">
        <f t="shared" si="21"/>
        <v>0.93861860304651312</v>
      </c>
      <c r="H39" s="414" t="b">
        <f>Wh_hp&gt;='2023'!Maxi_hp</f>
        <v>0</v>
      </c>
      <c r="I39" s="390">
        <f>IF(H39,Wh_hp,'2023'!Maxi_hp)</f>
        <v>17.201428770631761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4.5100531728199944E-2</v>
      </c>
      <c r="M39" s="850"/>
      <c r="N39" s="850"/>
      <c r="O39" s="48">
        <f>IF(t&lt;Tnet,'2023'!Resal+('2023'!Salim-'2023'!Resal)*(1-EXP(('2023'!Tnet-t)/('2023'!Tau_j))),Resal+(Salim-Resal)*(1-EXP((Tnet-t)/(Tau_j))))*Salcycl</f>
        <v>5.7090127815817578E-2</v>
      </c>
      <c r="P39" s="169">
        <f>(INDEX(Models!$BJ39:$BT39,,T39)*(1-R39)+INDEX(Models!$BJ39:$BT39,,T39+1)*R39-ERP_i)*Q39*Ramure*Pc/MaxiM</f>
        <v>4.9002309142541459E-2</v>
      </c>
      <c r="Q39" s="305">
        <f t="shared" si="4"/>
        <v>0.7</v>
      </c>
      <c r="R39" s="177">
        <f t="shared" si="5"/>
        <v>0.10116935449095395</v>
      </c>
      <c r="S39" s="817">
        <f t="shared" si="6"/>
        <v>0</v>
      </c>
      <c r="T39" s="176">
        <f t="shared" si="7"/>
        <v>6</v>
      </c>
      <c r="U39" s="251">
        <f t="shared" si="8"/>
        <v>0.10116935449095395</v>
      </c>
      <c r="V39" s="383">
        <f t="shared" si="9"/>
        <v>15.673179533963982</v>
      </c>
      <c r="W39" s="402">
        <f t="shared" si="10"/>
        <v>14.773311616141777</v>
      </c>
      <c r="X39" s="157">
        <f t="shared" si="11"/>
        <v>45316</v>
      </c>
      <c r="Y39" s="385">
        <f t="shared" si="12"/>
        <v>13.856115602609787</v>
      </c>
      <c r="Z39" s="385">
        <f t="shared" si="22"/>
        <v>14.51054908187028</v>
      </c>
      <c r="AA39" s="386">
        <f t="shared" si="13"/>
        <v>16.407787556892053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0.11563036566894373</v>
      </c>
      <c r="AD39" s="231">
        <f>(INDEX(Models!$BJ39:$BT39,,AH39)*(1-AF39)+INDEX(Models!$BJ39:$BT39,,AH39+1)*AF39-ERP_i)*AE39*Ramure*Pc/MaxiM</f>
        <v>4.9002309142541459E-2</v>
      </c>
      <c r="AE39" s="305">
        <f t="shared" si="15"/>
        <v>0.7</v>
      </c>
      <c r="AF39" s="177">
        <f t="shared" si="23"/>
        <v>0.10116935449095395</v>
      </c>
      <c r="AG39" s="817">
        <f t="shared" si="24"/>
        <v>0</v>
      </c>
      <c r="AH39" s="176">
        <f t="shared" si="16"/>
        <v>6</v>
      </c>
      <c r="AI39" s="225">
        <f t="shared" si="17"/>
        <v>0.10116935449095395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45317</v>
      </c>
      <c r="B40" s="411">
        <f>'2023'!Wh/'2023'!Env_an*'2024'!Env_an</f>
        <v>16.060819347597302</v>
      </c>
      <c r="C40" s="846"/>
      <c r="D40" s="393">
        <f t="shared" si="0"/>
        <v>16.819750834643166</v>
      </c>
      <c r="E40" s="385">
        <f t="shared" si="1"/>
        <v>17.840445400437023</v>
      </c>
      <c r="F40" s="385">
        <f t="shared" si="2"/>
        <v>18.754153438721257</v>
      </c>
      <c r="G40" s="110">
        <f t="shared" si="21"/>
        <v>1.0094728002838944</v>
      </c>
      <c r="H40" s="414" t="b">
        <f>Wh_hp&gt;='2023'!Maxi_hp</f>
        <v>1</v>
      </c>
      <c r="I40" s="390">
        <f>IF(H40,Wh_hp,'2023'!Maxi_hp)</f>
        <v>18.754153438721257</v>
      </c>
      <c r="J40" s="85">
        <f>IF(H40,An,'2023'!An_max)</f>
        <v>2024</v>
      </c>
      <c r="K40" s="197">
        <f t="shared" si="3"/>
        <v>45317</v>
      </c>
      <c r="L40" s="147">
        <f>IF(t&lt;Tvie,1-EXP((T0-t)*PertePVj)+'2023'!Pspv,1-EXP((T0-t)*PertePVj)+Pspv)</f>
        <v>4.5121446477239924E-2</v>
      </c>
      <c r="M40" s="850"/>
      <c r="N40" s="850"/>
      <c r="O40" s="48">
        <f>IF(t&lt;Tnet,'2023'!Resal+('2023'!Salim-'2023'!Resal)*(1-EXP(('2023'!Tnet-t)/('2023'!Tau_j))),Resal+(Salim-Resal)*(1-EXP((Tnet-t)/(Tau_j))))*Salcycl</f>
        <v>5.7212392565538332E-2</v>
      </c>
      <c r="P40" s="169">
        <f>(INDEX(Models!$BJ40:$BT40,,T40)*(1-R40)+INDEX(Models!$BJ40:$BT40,,T40+1)*R40-ERP_i)*Q40*Ramure*Pc/MaxiM</f>
        <v>4.8720303012863411E-2</v>
      </c>
      <c r="Q40" s="305">
        <f t="shared" si="4"/>
        <v>0.7</v>
      </c>
      <c r="R40" s="177">
        <f t="shared" si="5"/>
        <v>0.10124731450334662</v>
      </c>
      <c r="S40" s="817">
        <f t="shared" si="6"/>
        <v>0</v>
      </c>
      <c r="T40" s="176">
        <f t="shared" si="7"/>
        <v>6</v>
      </c>
      <c r="U40" s="251">
        <f t="shared" si="8"/>
        <v>0.10124731450334662</v>
      </c>
      <c r="V40" s="383">
        <f t="shared" si="9"/>
        <v>15.910106090110121</v>
      </c>
      <c r="W40" s="402">
        <f t="shared" si="10"/>
        <v>16.060819347597302</v>
      </c>
      <c r="X40" s="157">
        <f t="shared" si="11"/>
        <v>45317</v>
      </c>
      <c r="Y40" s="385">
        <f t="shared" si="12"/>
        <v>15.06493102174796</v>
      </c>
      <c r="Z40" s="385">
        <f t="shared" si="22"/>
        <v>15.776803203056627</v>
      </c>
      <c r="AA40" s="386">
        <f t="shared" si="13"/>
        <v>17.840445400437023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0.11567212314832925</v>
      </c>
      <c r="AD40" s="231">
        <f>(INDEX(Models!$BJ40:$BT40,,AH40)*(1-AF40)+INDEX(Models!$BJ40:$BT40,,AH40+1)*AF40-ERP_i)*AE40*Ramure*Pc/MaxiM</f>
        <v>4.8720303012863411E-2</v>
      </c>
      <c r="AE40" s="305">
        <f t="shared" si="15"/>
        <v>0.7</v>
      </c>
      <c r="AF40" s="177">
        <f t="shared" si="23"/>
        <v>0.10124731450334662</v>
      </c>
      <c r="AG40" s="817">
        <f t="shared" si="24"/>
        <v>0</v>
      </c>
      <c r="AH40" s="176">
        <f t="shared" si="16"/>
        <v>6</v>
      </c>
      <c r="AI40" s="225">
        <f t="shared" si="17"/>
        <v>0.10124731450334662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45318</v>
      </c>
      <c r="B41" s="411">
        <f>'2023'!Wh/'2023'!Env_an*'2024'!Env_an</f>
        <v>13.721122192835118</v>
      </c>
      <c r="C41" s="846"/>
      <c r="D41" s="393">
        <f t="shared" si="0"/>
        <v>14.369809308824204</v>
      </c>
      <c r="E41" s="385">
        <f t="shared" si="1"/>
        <v>15.243806523571399</v>
      </c>
      <c r="F41" s="385">
        <f t="shared" si="2"/>
        <v>15.846270698116509</v>
      </c>
      <c r="G41" s="110">
        <f t="shared" si="21"/>
        <v>0.84029012947792148</v>
      </c>
      <c r="H41" s="414" t="b">
        <f>Wh_hp&gt;='2023'!Maxi_hp</f>
        <v>0</v>
      </c>
      <c r="I41" s="390">
        <f>IF(H41,Wh_hp,'2023'!Maxi_hp)</f>
        <v>15.896017389858935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4.5142360768193335E-2</v>
      </c>
      <c r="M41" s="850"/>
      <c r="N41" s="850"/>
      <c r="O41" s="48">
        <f>IF(t&lt;Tnet,'2023'!Resal+('2023'!Salim-'2023'!Resal)*(1-EXP(('2023'!Tnet-t)/('2023'!Tau_j))),Resal+(Salim-Resal)*(1-EXP((Tnet-t)/(Tau_j))))*Salcycl</f>
        <v>5.7334578039660786E-2</v>
      </c>
      <c r="P41" s="169">
        <f>(INDEX(Models!$BJ41:$BT41,,T41)*(1-R41)+INDEX(Models!$BJ41:$BT41,,T41+1)*R41-ERP_i)*Q41*Ramure*Pc/MaxiM</f>
        <v>4.843343018657275E-2</v>
      </c>
      <c r="Q41" s="305">
        <f t="shared" si="4"/>
        <v>0.7</v>
      </c>
      <c r="R41" s="177">
        <f t="shared" si="5"/>
        <v>0.10132851918516836</v>
      </c>
      <c r="S41" s="817">
        <f t="shared" si="6"/>
        <v>0</v>
      </c>
      <c r="T41" s="176">
        <f t="shared" si="7"/>
        <v>6</v>
      </c>
      <c r="U41" s="251">
        <f t="shared" si="8"/>
        <v>0.10132851918516836</v>
      </c>
      <c r="V41" s="383">
        <f t="shared" si="9"/>
        <v>16.152255975505195</v>
      </c>
      <c r="W41" s="402">
        <f t="shared" si="10"/>
        <v>13.721122192835118</v>
      </c>
      <c r="X41" s="157">
        <f t="shared" si="11"/>
        <v>45318</v>
      </c>
      <c r="Y41" s="385">
        <f t="shared" si="12"/>
        <v>12.871370821400536</v>
      </c>
      <c r="Z41" s="385">
        <f t="shared" si="22"/>
        <v>13.479884636788048</v>
      </c>
      <c r="AA41" s="386">
        <f t="shared" si="13"/>
        <v>15.243806523571399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0.11571400385171569</v>
      </c>
      <c r="AD41" s="231">
        <f>(INDEX(Models!$BJ41:$BT41,,AH41)*(1-AF41)+INDEX(Models!$BJ41:$BT41,,AH41+1)*AF41-ERP_i)*AE41*Ramure*Pc/MaxiM</f>
        <v>4.843343018657275E-2</v>
      </c>
      <c r="AE41" s="305">
        <f t="shared" si="15"/>
        <v>0.7</v>
      </c>
      <c r="AF41" s="177">
        <f t="shared" si="23"/>
        <v>0.10132851918516836</v>
      </c>
      <c r="AG41" s="817">
        <f t="shared" si="24"/>
        <v>0</v>
      </c>
      <c r="AH41" s="176">
        <f t="shared" si="16"/>
        <v>6</v>
      </c>
      <c r="AI41" s="225">
        <f t="shared" si="17"/>
        <v>0.10132851918516836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45319</v>
      </c>
      <c r="B42" s="411">
        <f>'2023'!Wh/'2023'!Env_an*'2024'!Env_an</f>
        <v>2.5661173110366557</v>
      </c>
      <c r="C42" s="846"/>
      <c r="D42" s="393">
        <f t="shared" si="0"/>
        <v>2.6874933093556224</v>
      </c>
      <c r="E42" s="385">
        <f t="shared" si="1"/>
        <v>2.85132074886487</v>
      </c>
      <c r="F42" s="385">
        <f t="shared" si="2"/>
        <v>2.85132074886487</v>
      </c>
      <c r="G42" s="110">
        <f t="shared" si="21"/>
        <v>0.14894612063276158</v>
      </c>
      <c r="H42" s="414" t="b">
        <f>Wh_hp&gt;='2023'!Maxi_hp</f>
        <v>0</v>
      </c>
      <c r="I42" s="390">
        <f>IF(H42,Wh_hp,'2023'!Maxi_hp)</f>
        <v>11.238202055607671</v>
      </c>
      <c r="J42" s="85">
        <f>IF(H42,An,'2023'!An_max)</f>
        <v>2020</v>
      </c>
      <c r="K42" s="197">
        <f t="shared" si="3"/>
        <v>45319</v>
      </c>
      <c r="L42" s="147">
        <f>IF(t&lt;Tvie,1-EXP((T0-t)*PertePVj)+'2023'!Pspv,1-EXP((T0-t)*PertePVj)+Pspv)</f>
        <v>4.5163274601070058E-2</v>
      </c>
      <c r="M42" s="850"/>
      <c r="N42" s="850"/>
      <c r="O42" s="48">
        <f>IF(t&lt;Tnet,'2023'!Resal+('2023'!Salim-'2023'!Resal)*(1-EXP(('2023'!Tnet-t)/('2023'!Tau_j))),Resal+(Salim-Resal)*(1-EXP((Tnet-t)/(Tau_j))))*Salcycl</f>
        <v>5.7456685493720148E-2</v>
      </c>
      <c r="P42" s="169">
        <f>(INDEX(Models!$BJ42:$BT42,,T42)*(1-R42)+INDEX(Models!$BJ42:$BT42,,T42+1)*R42-ERP_i)*Q42*Ramure*Pc/MaxiM</f>
        <v>4.8143844287484028E-2</v>
      </c>
      <c r="Q42" s="305">
        <f t="shared" si="4"/>
        <v>0.7</v>
      </c>
      <c r="R42" s="177">
        <f t="shared" si="5"/>
        <v>0.10141310245101431</v>
      </c>
      <c r="S42" s="817">
        <f t="shared" si="6"/>
        <v>0</v>
      </c>
      <c r="T42" s="176">
        <f t="shared" si="7"/>
        <v>6</v>
      </c>
      <c r="U42" s="251">
        <f t="shared" si="8"/>
        <v>0.10141310245101431</v>
      </c>
      <c r="V42" s="383">
        <f t="shared" si="9"/>
        <v>16.399047846389031</v>
      </c>
      <c r="W42" s="402">
        <f t="shared" si="10"/>
        <v>2.5661173110366557</v>
      </c>
      <c r="X42" s="157">
        <f t="shared" si="11"/>
        <v>45319</v>
      </c>
      <c r="Y42" s="385">
        <f t="shared" si="12"/>
        <v>2.4073947347260769</v>
      </c>
      <c r="Z42" s="385">
        <f t="shared" si="22"/>
        <v>2.5212632387178755</v>
      </c>
      <c r="AA42" s="386">
        <f t="shared" si="13"/>
        <v>2.85132074886487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0.11575600895774091</v>
      </c>
      <c r="AD42" s="231">
        <f>(INDEX(Models!$BJ42:$BT42,,AH42)*(1-AF42)+INDEX(Models!$BJ42:$BT42,,AH42+1)*AF42-ERP_i)*AE42*Ramure*Pc/MaxiM</f>
        <v>4.8143844287484028E-2</v>
      </c>
      <c r="AE42" s="305">
        <f t="shared" si="15"/>
        <v>0.7</v>
      </c>
      <c r="AF42" s="177">
        <f t="shared" si="23"/>
        <v>0.10141310245101431</v>
      </c>
      <c r="AG42" s="817">
        <f t="shared" si="24"/>
        <v>0</v>
      </c>
      <c r="AH42" s="176">
        <f t="shared" si="16"/>
        <v>6</v>
      </c>
      <c r="AI42" s="225">
        <f t="shared" si="17"/>
        <v>0.10141310245101431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45320</v>
      </c>
      <c r="B43" s="411">
        <f>'2023'!Wh/'2023'!Env_an*'2024'!Env_an</f>
        <v>4.3862763386565362</v>
      </c>
      <c r="C43" s="846"/>
      <c r="D43" s="393">
        <f t="shared" si="0"/>
        <v>4.5938455180775044</v>
      </c>
      <c r="E43" s="385">
        <f t="shared" si="1"/>
        <v>4.8745137595926984</v>
      </c>
      <c r="F43" s="385">
        <f t="shared" si="2"/>
        <v>4.8745137595926984</v>
      </c>
      <c r="G43" s="110">
        <f t="shared" si="21"/>
        <v>0.25083497835441104</v>
      </c>
      <c r="H43" s="414" t="b">
        <f>Wh_hp&gt;='2023'!Maxi_hp</f>
        <v>0</v>
      </c>
      <c r="I43" s="390">
        <f>IF(H43,Wh_hp,'2023'!Maxi_hp)</f>
        <v>14.430567184560136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4.5184187975880086E-2</v>
      </c>
      <c r="M43" s="850"/>
      <c r="N43" s="850"/>
      <c r="O43" s="48">
        <f>IF(t&lt;Tnet,'2023'!Resal+('2023'!Salim-'2023'!Resal)*(1-EXP(('2023'!Tnet-t)/('2023'!Tau_j))),Resal+(Salim-Resal)*(1-EXP((Tnet-t)/(Tau_j))))*Salcycl</f>
        <v>5.7578715612989745E-2</v>
      </c>
      <c r="P43" s="169">
        <f>(INDEX(Models!$BJ43:$BT43,,T43)*(1-R43)+INDEX(Models!$BJ43:$BT43,,T43+1)*R43-ERP_i)*Q43*Ramure*Pc/MaxiM</f>
        <v>4.7853540375472611E-2</v>
      </c>
      <c r="Q43" s="305">
        <f t="shared" si="4"/>
        <v>0.7</v>
      </c>
      <c r="R43" s="177">
        <f t="shared" si="5"/>
        <v>0.10150120364629958</v>
      </c>
      <c r="S43" s="817">
        <f t="shared" si="6"/>
        <v>0</v>
      </c>
      <c r="T43" s="176">
        <f t="shared" si="7"/>
        <v>6</v>
      </c>
      <c r="U43" s="251">
        <f t="shared" si="8"/>
        <v>0.10150120364629958</v>
      </c>
      <c r="V43" s="383">
        <f t="shared" si="9"/>
        <v>16.649900720328354</v>
      </c>
      <c r="W43" s="402">
        <f t="shared" si="10"/>
        <v>4.3862763386565362</v>
      </c>
      <c r="X43" s="157">
        <f t="shared" si="11"/>
        <v>45320</v>
      </c>
      <c r="Y43" s="385">
        <f t="shared" si="12"/>
        <v>4.1153078437081021</v>
      </c>
      <c r="Z43" s="385">
        <f t="shared" si="22"/>
        <v>4.3100541401634684</v>
      </c>
      <c r="AA43" s="386">
        <f t="shared" si="13"/>
        <v>4.8745137595926984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0.11579813849502701</v>
      </c>
      <c r="AD43" s="231">
        <f>(INDEX(Models!$BJ43:$BT43,,AH43)*(1-AF43)+INDEX(Models!$BJ43:$BT43,,AH43+1)*AF43-ERP_i)*AE43*Ramure*Pc/MaxiM</f>
        <v>4.7853540375472611E-2</v>
      </c>
      <c r="AE43" s="305">
        <f t="shared" si="15"/>
        <v>0.7</v>
      </c>
      <c r="AF43" s="177">
        <f t="shared" si="23"/>
        <v>0.10150120364629958</v>
      </c>
      <c r="AG43" s="817">
        <f t="shared" si="24"/>
        <v>0</v>
      </c>
      <c r="AH43" s="176">
        <f t="shared" si="16"/>
        <v>6</v>
      </c>
      <c r="AI43" s="225">
        <f t="shared" si="17"/>
        <v>0.10150120364629958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45321</v>
      </c>
      <c r="B44" s="411">
        <f>'2023'!Wh/'2023'!Env_an*'2024'!Env_an</f>
        <v>2.8454996388753182</v>
      </c>
      <c r="C44" s="846"/>
      <c r="D44" s="393">
        <f t="shared" si="0"/>
        <v>2.9802208218074515</v>
      </c>
      <c r="E44" s="385">
        <f t="shared" si="1"/>
        <v>3.1627113827973119</v>
      </c>
      <c r="F44" s="385">
        <f t="shared" si="2"/>
        <v>3.1627113827973119</v>
      </c>
      <c r="G44" s="110">
        <f t="shared" si="21"/>
        <v>0.1603240508608105</v>
      </c>
      <c r="H44" s="414" t="b">
        <f>Wh_hp&gt;='2023'!Maxi_hp</f>
        <v>0</v>
      </c>
      <c r="I44" s="390">
        <f>IF(H44,Wh_hp,'2023'!Maxi_hp)</f>
        <v>7.5125643185257411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4.5205100892633632E-2</v>
      </c>
      <c r="M44" s="850"/>
      <c r="N44" s="850"/>
      <c r="O44" s="48">
        <f>IF(t&lt;Tnet,'2023'!Resal+('2023'!Salim-'2023'!Resal)*(1-EXP(('2023'!Tnet-t)/('2023'!Tau_j))),Resal+(Salim-Resal)*(1-EXP((Tnet-t)/(Tau_j))))*Salcycl</f>
        <v>5.7700668477834213E-2</v>
      </c>
      <c r="P44" s="169">
        <f>(INDEX(Models!$BJ44:$BT44,,T44)*(1-R44)+INDEX(Models!$BJ44:$BT44,,T44+1)*R44-ERP_i)*Q44*Ramure*Pc/MaxiM</f>
        <v>4.7510939198660028E-2</v>
      </c>
      <c r="Q44" s="305">
        <f t="shared" si="4"/>
        <v>0.7</v>
      </c>
      <c r="R44" s="177">
        <f t="shared" si="5"/>
        <v>0.10159296775929307</v>
      </c>
      <c r="S44" s="817">
        <f t="shared" si="6"/>
        <v>0</v>
      </c>
      <c r="T44" s="176">
        <f t="shared" si="7"/>
        <v>6</v>
      </c>
      <c r="U44" s="251">
        <f t="shared" si="8"/>
        <v>0.10159296775929307</v>
      </c>
      <c r="V44" s="383">
        <f t="shared" si="9"/>
        <v>16.905182123273121</v>
      </c>
      <c r="W44" s="402">
        <f t="shared" si="10"/>
        <v>2.8454996388753182</v>
      </c>
      <c r="X44" s="157">
        <f t="shared" si="11"/>
        <v>45321</v>
      </c>
      <c r="Y44" s="385">
        <f t="shared" si="12"/>
        <v>2.6699327518880134</v>
      </c>
      <c r="Z44" s="385">
        <f t="shared" si="22"/>
        <v>2.7963416586998129</v>
      </c>
      <c r="AA44" s="386">
        <f t="shared" si="13"/>
        <v>3.1627113827973119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0.11584039128270286</v>
      </c>
      <c r="AD44" s="231">
        <f>(INDEX(Models!$BJ44:$BT44,,AH44)*(1-AF44)+INDEX(Models!$BJ44:$BT44,,AH44+1)*AF44-ERP_i)*AE44*Ramure*Pc/MaxiM</f>
        <v>4.7510939198660028E-2</v>
      </c>
      <c r="AE44" s="305">
        <f t="shared" si="15"/>
        <v>0.7</v>
      </c>
      <c r="AF44" s="177">
        <f t="shared" si="23"/>
        <v>0.10159296775929307</v>
      </c>
      <c r="AG44" s="817">
        <f t="shared" si="24"/>
        <v>0</v>
      </c>
      <c r="AH44" s="176">
        <f t="shared" si="16"/>
        <v>6</v>
      </c>
      <c r="AI44" s="225">
        <f t="shared" si="17"/>
        <v>0.10159296775929307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45322</v>
      </c>
      <c r="B45" s="411">
        <f>'2023'!Wh/'2023'!Env_an*'2024'!Env_an</f>
        <v>6.6787209145605795</v>
      </c>
      <c r="C45" s="846"/>
      <c r="D45" s="393">
        <f t="shared" si="0"/>
        <v>6.9950805195305712</v>
      </c>
      <c r="E45" s="385">
        <f t="shared" si="1"/>
        <v>7.424376874619754</v>
      </c>
      <c r="F45" s="385">
        <f t="shared" si="2"/>
        <v>7.4691748918024858</v>
      </c>
      <c r="G45" s="110">
        <f t="shared" si="21"/>
        <v>0.37300760793691246</v>
      </c>
      <c r="H45" s="414" t="b">
        <f>Wh_hp&gt;='2023'!Maxi_hp</f>
        <v>0</v>
      </c>
      <c r="I45" s="390">
        <f>IF(H45,Wh_hp,'2023'!Maxi_hp)</f>
        <v>13.77882589725804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4.5226013351340577E-2</v>
      </c>
      <c r="M45" s="850"/>
      <c r="N45" s="850"/>
      <c r="O45" s="48">
        <f>IF(t&lt;Tnet,'2023'!Resal+('2023'!Salim-'2023'!Resal)*(1-EXP(('2023'!Tnet-t)/('2023'!Tau_j))),Resal+(Salim-Resal)*(1-EXP((Tnet-t)/(Tau_j))))*Salcycl</f>
        <v>5.7822543539880492E-2</v>
      </c>
      <c r="P45" s="169">
        <f>(INDEX(Models!$BJ45:$BT45,,T45)*(1-R45)+INDEX(Models!$BJ45:$BT45,,T45+1)*R45-ERP_i)*Q45*Ramure*Pc/MaxiM</f>
        <v>4.7117915641247253E-2</v>
      </c>
      <c r="Q45" s="305">
        <f t="shared" si="4"/>
        <v>0.7</v>
      </c>
      <c r="R45" s="177">
        <f t="shared" si="5"/>
        <v>0.10168854564072312</v>
      </c>
      <c r="S45" s="817">
        <f t="shared" si="6"/>
        <v>0</v>
      </c>
      <c r="T45" s="176">
        <f t="shared" si="7"/>
        <v>6</v>
      </c>
      <c r="U45" s="251">
        <f t="shared" si="8"/>
        <v>0.10168854564072312</v>
      </c>
      <c r="V45" s="383">
        <f t="shared" si="9"/>
        <v>17.16435099735472</v>
      </c>
      <c r="W45" s="402">
        <f t="shared" si="10"/>
        <v>6.6787209145605795</v>
      </c>
      <c r="X45" s="157">
        <f t="shared" si="11"/>
        <v>45322</v>
      </c>
      <c r="Y45" s="385">
        <f t="shared" si="12"/>
        <v>6.2671551187570005</v>
      </c>
      <c r="Z45" s="385">
        <f t="shared" si="22"/>
        <v>6.5640195547799385</v>
      </c>
      <c r="AA45" s="386">
        <f t="shared" si="13"/>
        <v>7.424376874619754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0.11588276489316555</v>
      </c>
      <c r="AD45" s="231">
        <f>(INDEX(Models!$BJ45:$BT45,,AH45)*(1-AF45)+INDEX(Models!$BJ45:$BT45,,AH45+1)*AF45-ERP_i)*AE45*Ramure*Pc/MaxiM</f>
        <v>4.7117915641247253E-2</v>
      </c>
      <c r="AE45" s="305">
        <f t="shared" si="15"/>
        <v>0.7</v>
      </c>
      <c r="AF45" s="177">
        <f t="shared" si="23"/>
        <v>0.10168854564072312</v>
      </c>
      <c r="AG45" s="817">
        <f t="shared" si="24"/>
        <v>0</v>
      </c>
      <c r="AH45" s="176">
        <f t="shared" si="16"/>
        <v>6</v>
      </c>
      <c r="AI45" s="225">
        <f t="shared" si="17"/>
        <v>0.10168854564072312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45323</v>
      </c>
      <c r="B46" s="411">
        <f>'2023'!Wh/'2023'!Env_an*'2024'!Env_an</f>
        <v>8.3203836497756853</v>
      </c>
      <c r="C46" s="846"/>
      <c r="D46" s="393">
        <f t="shared" si="0"/>
        <v>8.7146968893955687</v>
      </c>
      <c r="E46" s="385">
        <f t="shared" si="1"/>
        <v>9.2507239814042261</v>
      </c>
      <c r="F46" s="385">
        <f t="shared" si="2"/>
        <v>9.361496380695133</v>
      </c>
      <c r="G46" s="110">
        <f t="shared" si="21"/>
        <v>0.46061068994195337</v>
      </c>
      <c r="H46" s="414" t="b">
        <f>Wh_hp&gt;='2023'!Maxi_hp</f>
        <v>0</v>
      </c>
      <c r="I46" s="390">
        <f>IF(H46,Wh_hp,'2023'!Maxi_hp)</f>
        <v>16.408521217221892</v>
      </c>
      <c r="J46" s="85">
        <f>IF(H46,An,'2023'!An_max)</f>
        <v>2019</v>
      </c>
      <c r="K46" s="197">
        <f t="shared" si="3"/>
        <v>45323</v>
      </c>
      <c r="L46" s="147">
        <f>IF(t&lt;Tvie,1-EXP((T0-t)*PertePVj)+'2023'!Pspv,1-EXP((T0-t)*PertePVj)+Pspv)</f>
        <v>4.5246925352011025E-2</v>
      </c>
      <c r="M46" s="850"/>
      <c r="N46" s="850"/>
      <c r="O46" s="48">
        <f>IF(t&lt;Tnet,'2023'!Resal+('2023'!Salim-'2023'!Resal)*(1-EXP(('2023'!Tnet-t)/('2023'!Tau_j))),Resal+(Salim-Resal)*(1-EXP((Tnet-t)/(Tau_j))))*Salcycl</f>
        <v>5.7944339609113438E-2</v>
      </c>
      <c r="P46" s="169">
        <f>(INDEX(Models!$BJ46:$BT46,,T46)*(1-R46)+INDEX(Models!$BJ46:$BT46,,T46+1)*R46-ERP_i)*Q46*Ramure*Pc/MaxiM</f>
        <v>4.6678407853839088E-2</v>
      </c>
      <c r="Q46" s="305">
        <f t="shared" si="4"/>
        <v>0.7</v>
      </c>
      <c r="R46" s="177">
        <f t="shared" si="5"/>
        <v>0.1017880942311636</v>
      </c>
      <c r="S46" s="817">
        <f t="shared" si="6"/>
        <v>0</v>
      </c>
      <c r="T46" s="176">
        <f t="shared" si="7"/>
        <v>6</v>
      </c>
      <c r="U46" s="251">
        <f t="shared" si="8"/>
        <v>0.1017880942311636</v>
      </c>
      <c r="V46" s="383">
        <f t="shared" si="9"/>
        <v>17.426826983095282</v>
      </c>
      <c r="W46" s="402">
        <f t="shared" si="10"/>
        <v>8.3203836497756853</v>
      </c>
      <c r="X46" s="157">
        <f t="shared" si="11"/>
        <v>45323</v>
      </c>
      <c r="Y46" s="385">
        <f t="shared" si="12"/>
        <v>7.8082870869065264</v>
      </c>
      <c r="Z46" s="385">
        <f t="shared" si="22"/>
        <v>8.1783314390324318</v>
      </c>
      <c r="AA46" s="386">
        <f t="shared" si="13"/>
        <v>9.2507239814042261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0.11592525563701975</v>
      </c>
      <c r="AD46" s="231">
        <f>(INDEX(Models!$BJ46:$BT46,,AH46)*(1-AF46)+INDEX(Models!$BJ46:$BT46,,AH46+1)*AF46-ERP_i)*AE46*Ramure*Pc/MaxiM</f>
        <v>4.6678407853839088E-2</v>
      </c>
      <c r="AE46" s="305">
        <f t="shared" si="15"/>
        <v>0.7</v>
      </c>
      <c r="AF46" s="177">
        <f t="shared" si="23"/>
        <v>0.1017880942311636</v>
      </c>
      <c r="AG46" s="817">
        <f t="shared" si="24"/>
        <v>0</v>
      </c>
      <c r="AH46" s="176">
        <f t="shared" si="16"/>
        <v>6</v>
      </c>
      <c r="AI46" s="225">
        <f t="shared" si="17"/>
        <v>0.1017880942311636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45324</v>
      </c>
      <c r="B47" s="411">
        <f>'2023'!Wh/'2023'!Env_an*'2024'!Env_an</f>
        <v>3.6651913925533735</v>
      </c>
      <c r="C47" s="846"/>
      <c r="D47" s="393">
        <f t="shared" si="0"/>
        <v>3.838973414943974</v>
      </c>
      <c r="E47" s="385">
        <f t="shared" si="1"/>
        <v>4.0756291189190748</v>
      </c>
      <c r="F47" s="385">
        <f t="shared" si="2"/>
        <v>4.0756291189190748</v>
      </c>
      <c r="G47" s="110">
        <f t="shared" si="21"/>
        <v>0.19759596765387202</v>
      </c>
      <c r="H47" s="414" t="b">
        <f>Wh_hp&gt;='2023'!Maxi_hp</f>
        <v>0</v>
      </c>
      <c r="I47" s="390">
        <f>IF(H47,Wh_hp,'2023'!Maxi_hp)</f>
        <v>18.666071177776274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4.5267836894654967E-2</v>
      </c>
      <c r="M47" s="850"/>
      <c r="N47" s="850"/>
      <c r="O47" s="48">
        <f>IF(t&lt;Tnet,'2023'!Resal+('2023'!Salim-'2023'!Resal)*(1-EXP(('2023'!Tnet-t)/('2023'!Tau_j))),Resal+(Salim-Resal)*(1-EXP((Tnet-t)/(Tau_j))))*Salcycl</f>
        <v>5.8066054851886505E-2</v>
      </c>
      <c r="P47" s="169">
        <f>(INDEX(Models!$BJ47:$BT47,,T47)*(1-R47)+INDEX(Models!$BJ47:$BT47,,T47+1)*R47-ERP_i)*Q47*Ramure*Pc/MaxiM</f>
        <v>4.6196111656276913E-2</v>
      </c>
      <c r="Q47" s="305">
        <f t="shared" si="4"/>
        <v>0.7</v>
      </c>
      <c r="R47" s="177">
        <f t="shared" si="5"/>
        <v>0.10189177679640847</v>
      </c>
      <c r="S47" s="817">
        <f t="shared" si="6"/>
        <v>0</v>
      </c>
      <c r="T47" s="176">
        <f t="shared" si="7"/>
        <v>6</v>
      </c>
      <c r="U47" s="251">
        <f t="shared" si="8"/>
        <v>0.10189177679640847</v>
      </c>
      <c r="V47" s="383">
        <f t="shared" si="9"/>
        <v>17.692030071509652</v>
      </c>
      <c r="W47" s="402">
        <f t="shared" si="10"/>
        <v>3.6651913925533735</v>
      </c>
      <c r="X47" s="157">
        <f t="shared" si="11"/>
        <v>45324</v>
      </c>
      <c r="Y47" s="385">
        <f t="shared" si="12"/>
        <v>3.4398877035911646</v>
      </c>
      <c r="Z47" s="385">
        <f t="shared" si="22"/>
        <v>3.6029871376728804</v>
      </c>
      <c r="AA47" s="386">
        <f t="shared" si="13"/>
        <v>4.0756291189190748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0.11596785856990507</v>
      </c>
      <c r="AD47" s="231">
        <f>(INDEX(Models!$BJ47:$BT47,,AH47)*(1-AF47)+INDEX(Models!$BJ47:$BT47,,AH47+1)*AF47-ERP_i)*AE47*Ramure*Pc/MaxiM</f>
        <v>4.6196111656276913E-2</v>
      </c>
      <c r="AE47" s="305">
        <f t="shared" si="15"/>
        <v>0.7</v>
      </c>
      <c r="AF47" s="177">
        <f t="shared" si="23"/>
        <v>0.10189177679640847</v>
      </c>
      <c r="AG47" s="817">
        <f t="shared" si="24"/>
        <v>0</v>
      </c>
      <c r="AH47" s="176">
        <f t="shared" si="16"/>
        <v>6</v>
      </c>
      <c r="AI47" s="225">
        <f t="shared" si="17"/>
        <v>0.10189177679640847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45325</v>
      </c>
      <c r="B48" s="411">
        <f>'2023'!Wh/'2023'!Env_an*'2024'!Env_an</f>
        <v>7.8183381031001629</v>
      </c>
      <c r="C48" s="846"/>
      <c r="D48" s="393">
        <f t="shared" si="0"/>
        <v>8.1892175111082732</v>
      </c>
      <c r="E48" s="385">
        <f t="shared" si="1"/>
        <v>8.6951692989459026</v>
      </c>
      <c r="F48" s="385">
        <f t="shared" si="2"/>
        <v>8.7726358485707738</v>
      </c>
      <c r="G48" s="110">
        <f t="shared" si="21"/>
        <v>0.41915214264735456</v>
      </c>
      <c r="H48" s="414" t="b">
        <f>Wh_hp&gt;='2023'!Maxi_hp</f>
        <v>0</v>
      </c>
      <c r="I48" s="390">
        <f>IF(H48,Wh_hp,'2023'!Maxi_hp)</f>
        <v>16.889504299779531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4.5288747979282507E-2</v>
      </c>
      <c r="M48" s="850"/>
      <c r="N48" s="850"/>
      <c r="O48" s="48">
        <f>IF(t&lt;Tnet,'2023'!Resal+('2023'!Salim-'2023'!Resal)*(1-EXP(('2023'!Tnet-t)/('2023'!Tau_j))),Resal+(Salim-Resal)*(1-EXP((Tnet-t)/(Tau_j))))*Salcycl</f>
        <v>5.8187686799722887E-2</v>
      </c>
      <c r="P48" s="169">
        <f>(INDEX(Models!$BJ48:$BT48,,T48)*(1-R48)+INDEX(Models!$BJ48:$BT48,,T48+1)*R48-ERP_i)*Q48*Ramure*Pc/MaxiM</f>
        <v>4.5674479439798646E-2</v>
      </c>
      <c r="Q48" s="305">
        <f t="shared" si="4"/>
        <v>0.7</v>
      </c>
      <c r="R48" s="177">
        <f t="shared" si="5"/>
        <v>0.10199976317104145</v>
      </c>
      <c r="S48" s="817">
        <f t="shared" si="6"/>
        <v>0</v>
      </c>
      <c r="T48" s="176">
        <f t="shared" si="7"/>
        <v>6</v>
      </c>
      <c r="U48" s="251">
        <f t="shared" si="8"/>
        <v>0.10199976317104145</v>
      </c>
      <c r="V48" s="383">
        <f t="shared" si="9"/>
        <v>17.959380619714171</v>
      </c>
      <c r="W48" s="402">
        <f t="shared" si="10"/>
        <v>7.8183381031001629</v>
      </c>
      <c r="X48" s="157">
        <f t="shared" si="11"/>
        <v>45325</v>
      </c>
      <c r="Y48" s="385">
        <f t="shared" si="12"/>
        <v>7.3383286306866458</v>
      </c>
      <c r="Z48" s="385">
        <f t="shared" si="22"/>
        <v>7.6864377738866345</v>
      </c>
      <c r="AA48" s="386">
        <f t="shared" si="13"/>
        <v>8.6951692989459026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0.11601056752069847</v>
      </c>
      <c r="AD48" s="231">
        <f>(INDEX(Models!$BJ48:$BT48,,AH48)*(1-AF48)+INDEX(Models!$BJ48:$BT48,,AH48+1)*AF48-ERP_i)*AE48*Ramure*Pc/MaxiM</f>
        <v>4.5674479439798646E-2</v>
      </c>
      <c r="AE48" s="305">
        <f t="shared" si="15"/>
        <v>0.7</v>
      </c>
      <c r="AF48" s="177">
        <f t="shared" si="23"/>
        <v>0.10199976317104145</v>
      </c>
      <c r="AG48" s="817">
        <f t="shared" si="24"/>
        <v>0</v>
      </c>
      <c r="AH48" s="176">
        <f t="shared" si="16"/>
        <v>6</v>
      </c>
      <c r="AI48" s="225">
        <f t="shared" si="17"/>
        <v>0.10199976317104145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45326</v>
      </c>
      <c r="B49" s="411">
        <f>'2023'!Wh/'2023'!Env_an*'2024'!Env_an</f>
        <v>7.586295834160186</v>
      </c>
      <c r="C49" s="846"/>
      <c r="D49" s="393">
        <f t="shared" si="0"/>
        <v>7.9463418715247709</v>
      </c>
      <c r="E49" s="385">
        <f t="shared" si="1"/>
        <v>8.4383771665432352</v>
      </c>
      <c r="F49" s="385">
        <f t="shared" si="2"/>
        <v>8.5020424670772705</v>
      </c>
      <c r="G49" s="110">
        <f t="shared" si="21"/>
        <v>0.40040385231387821</v>
      </c>
      <c r="H49" s="414" t="b">
        <f>Wh_hp&gt;='2023'!Maxi_hp</f>
        <v>0</v>
      </c>
      <c r="I49" s="390">
        <f>IF(H49,Wh_hp,'2023'!Maxi_hp)</f>
        <v>17.966121132529384</v>
      </c>
      <c r="J49" s="85">
        <f>IF(H49,An,'2023'!An_max)</f>
        <v>2019</v>
      </c>
      <c r="K49" s="197">
        <f t="shared" si="3"/>
        <v>45326</v>
      </c>
      <c r="L49" s="147">
        <f>IF(t&lt;Tvie,1-EXP((T0-t)*PertePVj)+'2023'!Pspv,1-EXP((T0-t)*PertePVj)+Pspv)</f>
        <v>4.5309658605903635E-2</v>
      </c>
      <c r="M49" s="850"/>
      <c r="N49" s="850"/>
      <c r="O49" s="48">
        <f>IF(t&lt;Tnet,'2023'!Resal+('2023'!Salim-'2023'!Resal)*(1-EXP(('2023'!Tnet-t)/('2023'!Tau_j))),Resal+(Salim-Resal)*(1-EXP((Tnet-t)/(Tau_j))))*Salcycl</f>
        <v>5.8309232368671776E-2</v>
      </c>
      <c r="P49" s="169">
        <f>(INDEX(Models!$BJ49:$BT49,,T49)*(1-R49)+INDEX(Models!$BJ49:$BT49,,T49+1)*R49-ERP_i)*Q49*Ramure*Pc/MaxiM</f>
        <v>4.5116721782052477E-2</v>
      </c>
      <c r="Q49" s="305">
        <f t="shared" si="4"/>
        <v>0.7</v>
      </c>
      <c r="R49" s="177">
        <f t="shared" si="5"/>
        <v>0.10211223001040742</v>
      </c>
      <c r="S49" s="817">
        <f t="shared" si="6"/>
        <v>0</v>
      </c>
      <c r="T49" s="176">
        <f t="shared" si="7"/>
        <v>6</v>
      </c>
      <c r="U49" s="251">
        <f t="shared" si="8"/>
        <v>0.10211223001040742</v>
      </c>
      <c r="V49" s="383">
        <f t="shared" si="9"/>
        <v>18.228299356929117</v>
      </c>
      <c r="W49" s="402">
        <f t="shared" si="10"/>
        <v>7.586295834160186</v>
      </c>
      <c r="X49" s="157">
        <f t="shared" si="11"/>
        <v>45326</v>
      </c>
      <c r="Y49" s="385">
        <f t="shared" si="12"/>
        <v>7.1211068731831739</v>
      </c>
      <c r="Z49" s="385">
        <f t="shared" si="22"/>
        <v>7.4590750156584855</v>
      </c>
      <c r="AA49" s="386">
        <f t="shared" si="13"/>
        <v>8.4383771665432352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0.11605337514036705</v>
      </c>
      <c r="AD49" s="231">
        <f>(INDEX(Models!$BJ49:$BT49,,AH49)*(1-AF49)+INDEX(Models!$BJ49:$BT49,,AH49+1)*AF49-ERP_i)*AE49*Ramure*Pc/MaxiM</f>
        <v>4.5116721782052477E-2</v>
      </c>
      <c r="AE49" s="305">
        <f t="shared" si="15"/>
        <v>0.7</v>
      </c>
      <c r="AF49" s="177">
        <f t="shared" si="23"/>
        <v>0.10211223001040742</v>
      </c>
      <c r="AG49" s="817">
        <f t="shared" si="24"/>
        <v>0</v>
      </c>
      <c r="AH49" s="176">
        <f t="shared" si="16"/>
        <v>6</v>
      </c>
      <c r="AI49" s="225">
        <f t="shared" si="17"/>
        <v>0.10211223001040742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45327</v>
      </c>
      <c r="B50" s="411">
        <f>'2023'!Wh/'2023'!Env_an*'2024'!Env_an</f>
        <v>7.0408878052570412</v>
      </c>
      <c r="C50" s="846"/>
      <c r="D50" s="393">
        <f t="shared" si="0"/>
        <v>7.375210282180011</v>
      </c>
      <c r="E50" s="385">
        <f t="shared" si="1"/>
        <v>7.8328915219675297</v>
      </c>
      <c r="F50" s="385">
        <f t="shared" si="2"/>
        <v>7.8732691539490043</v>
      </c>
      <c r="G50" s="110">
        <f t="shared" si="21"/>
        <v>0.36555247256585166</v>
      </c>
      <c r="H50" s="414" t="b">
        <f>Wh_hp&gt;='2023'!Maxi_hp</f>
        <v>0</v>
      </c>
      <c r="I50" s="390">
        <f>IF(H50,Wh_hp,'2023'!Maxi_hp)</f>
        <v>21.61065608350567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4.5330568774528346E-2</v>
      </c>
      <c r="M50" s="850"/>
      <c r="N50" s="850"/>
      <c r="O50" s="48">
        <f>IF(t&lt;Tnet,'2023'!Resal+('2023'!Salim-'2023'!Resal)*(1-EXP(('2023'!Tnet-t)/('2023'!Tau_j))),Resal+(Salim-Resal)*(1-EXP((Tnet-t)/(Tau_j))))*Salcycl</f>
        <v>5.8430687888877349E-2</v>
      </c>
      <c r="P50" s="169">
        <f>(INDEX(Models!$BJ50:$BT50,,T50)*(1-R50)+INDEX(Models!$BJ50:$BT50,,T50+1)*R50-ERP_i)*Q50*Ramure*Pc/MaxiM</f>
        <v>4.4525811236004381E-2</v>
      </c>
      <c r="Q50" s="305">
        <f t="shared" si="4"/>
        <v>0.7</v>
      </c>
      <c r="R50" s="177">
        <f t="shared" si="5"/>
        <v>0.10222936105118828</v>
      </c>
      <c r="S50" s="817">
        <f t="shared" si="6"/>
        <v>0</v>
      </c>
      <c r="T50" s="176">
        <f t="shared" si="7"/>
        <v>6</v>
      </c>
      <c r="U50" s="251">
        <f t="shared" si="8"/>
        <v>0.10222936105118828</v>
      </c>
      <c r="V50" s="383">
        <f t="shared" si="9"/>
        <v>18.498207386613959</v>
      </c>
      <c r="W50" s="402">
        <f t="shared" si="10"/>
        <v>7.0408878052570412</v>
      </c>
      <c r="X50" s="157">
        <f t="shared" si="11"/>
        <v>45327</v>
      </c>
      <c r="Y50" s="385">
        <f t="shared" si="12"/>
        <v>6.6096748190625423</v>
      </c>
      <c r="Z50" s="385">
        <f t="shared" si="22"/>
        <v>6.9235220096845067</v>
      </c>
      <c r="AA50" s="386">
        <f t="shared" si="13"/>
        <v>7.8328915219675297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0.11609627297054671</v>
      </c>
      <c r="AD50" s="231">
        <f>(INDEX(Models!$BJ50:$BT50,,AH50)*(1-AF50)+INDEX(Models!$BJ50:$BT50,,AH50+1)*AF50-ERP_i)*AE50*Ramure*Pc/MaxiM</f>
        <v>4.4525811236004381E-2</v>
      </c>
      <c r="AE50" s="305">
        <f t="shared" si="15"/>
        <v>0.7</v>
      </c>
      <c r="AF50" s="177">
        <f t="shared" si="23"/>
        <v>0.10222936105118828</v>
      </c>
      <c r="AG50" s="817">
        <f t="shared" si="24"/>
        <v>0</v>
      </c>
      <c r="AH50" s="176">
        <f t="shared" si="16"/>
        <v>6</v>
      </c>
      <c r="AI50" s="225">
        <f t="shared" si="17"/>
        <v>0.10222936105118828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45328</v>
      </c>
      <c r="B51" s="411">
        <f>'2023'!Wh/'2023'!Env_an*'2024'!Env_an</f>
        <v>14.432245509564856</v>
      </c>
      <c r="C51" s="846"/>
      <c r="D51" s="393">
        <f t="shared" si="0"/>
        <v>15.11786294568792</v>
      </c>
      <c r="E51" s="385">
        <f t="shared" si="1"/>
        <v>16.058097457157185</v>
      </c>
      <c r="F51" s="385">
        <f t="shared" si="2"/>
        <v>16.544534812000357</v>
      </c>
      <c r="G51" s="110">
        <f t="shared" si="21"/>
        <v>0.75735812984460593</v>
      </c>
      <c r="H51" s="414" t="b">
        <f>Wh_hp&gt;='2023'!Maxi_hp</f>
        <v>0</v>
      </c>
      <c r="I51" s="390">
        <f>IF(H51,Wh_hp,'2023'!Maxi_hp)</f>
        <v>22.282786270723793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4.535147848516663E-2</v>
      </c>
      <c r="M51" s="850"/>
      <c r="N51" s="850"/>
      <c r="O51" s="48">
        <f>IF(t&lt;Tnet,'2023'!Resal+('2023'!Salim-'2023'!Resal)*(1-EXP(('2023'!Tnet-t)/('2023'!Tau_j))),Resal+(Salim-Resal)*(1-EXP((Tnet-t)/(Tau_j))))*Salcycl</f>
        <v>5.8552049143916436E-2</v>
      </c>
      <c r="P51" s="169">
        <f>(INDEX(Models!$BJ51:$BT51,,T51)*(1-R51)+INDEX(Models!$BJ51:$BT51,,T51+1)*R51-ERP_i)*Q51*Ramure*Pc/MaxiM</f>
        <v>4.3897998424710573E-2</v>
      </c>
      <c r="Q51" s="305">
        <f t="shared" si="4"/>
        <v>0.7</v>
      </c>
      <c r="R51" s="177">
        <f t="shared" si="5"/>
        <v>0.10235134738078243</v>
      </c>
      <c r="S51" s="817">
        <f t="shared" si="6"/>
        <v>0</v>
      </c>
      <c r="T51" s="176">
        <f t="shared" si="7"/>
        <v>6</v>
      </c>
      <c r="U51" s="251">
        <f t="shared" si="8"/>
        <v>0.10235134738078243</v>
      </c>
      <c r="V51" s="383">
        <f t="shared" si="9"/>
        <v>18.771428127354678</v>
      </c>
      <c r="W51" s="402">
        <f t="shared" si="10"/>
        <v>14.432245509564856</v>
      </c>
      <c r="X51" s="157">
        <f t="shared" si="11"/>
        <v>45328</v>
      </c>
      <c r="Y51" s="385">
        <f t="shared" si="12"/>
        <v>13.549442968755443</v>
      </c>
      <c r="Z51" s="385">
        <f t="shared" si="22"/>
        <v>14.193122037475352</v>
      </c>
      <c r="AA51" s="386">
        <f t="shared" si="13"/>
        <v>16.058097457157185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0.11613925153073489</v>
      </c>
      <c r="AD51" s="231">
        <f>(INDEX(Models!$BJ51:$BT51,,AH51)*(1-AF51)+INDEX(Models!$BJ51:$BT51,,AH51+1)*AF51-ERP_i)*AE51*Ramure*Pc/MaxiM</f>
        <v>4.3897998424710573E-2</v>
      </c>
      <c r="AE51" s="305">
        <f t="shared" si="15"/>
        <v>0.7</v>
      </c>
      <c r="AF51" s="177">
        <f t="shared" si="23"/>
        <v>0.10235134738078243</v>
      </c>
      <c r="AG51" s="817">
        <f t="shared" si="24"/>
        <v>0</v>
      </c>
      <c r="AH51" s="176">
        <f t="shared" si="16"/>
        <v>6</v>
      </c>
      <c r="AI51" s="225">
        <f t="shared" si="17"/>
        <v>0.10235134738078243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45329</v>
      </c>
      <c r="B52" s="411">
        <f>'2023'!Wh/'2023'!Env_an*'2024'!Env_an</f>
        <v>8.4680276193777448</v>
      </c>
      <c r="C52" s="846"/>
      <c r="D52" s="393">
        <f t="shared" si="0"/>
        <v>8.8705035456822223</v>
      </c>
      <c r="E52" s="385">
        <f t="shared" si="1"/>
        <v>9.4234059793391065</v>
      </c>
      <c r="F52" s="385">
        <f t="shared" si="2"/>
        <v>9.5081749832687343</v>
      </c>
      <c r="G52" s="110">
        <f t="shared" si="21"/>
        <v>0.4291202485674574</v>
      </c>
      <c r="H52" s="414" t="b">
        <f>Wh_hp&gt;='2023'!Maxi_hp</f>
        <v>0</v>
      </c>
      <c r="I52" s="390">
        <f>IF(H52,Wh_hp,'2023'!Maxi_hp)</f>
        <v>15.348596284444294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4.5372387737828701E-2</v>
      </c>
      <c r="M52" s="850"/>
      <c r="N52" s="850"/>
      <c r="O52" s="48">
        <f>IF(t&lt;Tnet,'2023'!Resal+('2023'!Salim-'2023'!Resal)*(1-EXP(('2023'!Tnet-t)/('2023'!Tau_j))),Resal+(Salim-Resal)*(1-EXP((Tnet-t)/(Tau_j))))*Salcycl</f>
        <v>5.8673311419366582E-2</v>
      </c>
      <c r="P52" s="169">
        <f>(INDEX(Models!$BJ52:$BT52,,T52)*(1-R52)+INDEX(Models!$BJ52:$BT52,,T52+1)*R52-ERP_i)*Q52*Ramure*Pc/MaxiM</f>
        <v>4.3190932018687303E-2</v>
      </c>
      <c r="Q52" s="305">
        <f t="shared" si="4"/>
        <v>0.7</v>
      </c>
      <c r="R52" s="177">
        <f t="shared" si="5"/>
        <v>0.10247838771568389</v>
      </c>
      <c r="S52" s="817">
        <f t="shared" si="6"/>
        <v>0</v>
      </c>
      <c r="T52" s="176">
        <f t="shared" si="7"/>
        <v>6</v>
      </c>
      <c r="U52" s="251">
        <f t="shared" si="8"/>
        <v>0.10247838771568389</v>
      </c>
      <c r="V52" s="383">
        <f t="shared" si="9"/>
        <v>19.051001208176306</v>
      </c>
      <c r="W52" s="402">
        <f t="shared" si="10"/>
        <v>8.4680276193777448</v>
      </c>
      <c r="X52" s="157">
        <f t="shared" si="11"/>
        <v>45329</v>
      </c>
      <c r="Y52" s="385">
        <f t="shared" si="12"/>
        <v>7.9506857516166276</v>
      </c>
      <c r="Z52" s="385">
        <f t="shared" si="22"/>
        <v>8.3285729948413803</v>
      </c>
      <c r="AA52" s="386">
        <f t="shared" si="13"/>
        <v>9.4234059793391065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0.11618230042281494</v>
      </c>
      <c r="AD52" s="231">
        <f>(INDEX(Models!$BJ52:$BT52,,AH52)*(1-AF52)+INDEX(Models!$BJ52:$BT52,,AH52+1)*AF52-ERP_i)*AE52*Ramure*Pc/MaxiM</f>
        <v>4.3190932018687303E-2</v>
      </c>
      <c r="AE52" s="305">
        <f t="shared" si="15"/>
        <v>0.7</v>
      </c>
      <c r="AF52" s="177">
        <f t="shared" si="23"/>
        <v>0.10247838771568389</v>
      </c>
      <c r="AG52" s="817">
        <f t="shared" si="24"/>
        <v>0</v>
      </c>
      <c r="AH52" s="176">
        <f t="shared" si="16"/>
        <v>6</v>
      </c>
      <c r="AI52" s="225">
        <f t="shared" si="17"/>
        <v>0.10247838771568389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45330</v>
      </c>
      <c r="B53" s="411">
        <f>'2023'!Wh/'2023'!Env_an*'2024'!Env_an</f>
        <v>20.134819552504343</v>
      </c>
      <c r="C53" s="846"/>
      <c r="D53" s="393">
        <f t="shared" si="0"/>
        <v>21.092267086924302</v>
      </c>
      <c r="E53" s="385">
        <f t="shared" si="1"/>
        <v>22.409841851506613</v>
      </c>
      <c r="F53" s="385">
        <f t="shared" si="2"/>
        <v>23.402327715383759</v>
      </c>
      <c r="G53" s="110">
        <f t="shared" si="21"/>
        <v>1.0412989230211518</v>
      </c>
      <c r="H53" s="414" t="b">
        <f>Wh_hp&gt;='2023'!Maxi_hp</f>
        <v>1</v>
      </c>
      <c r="I53" s="390">
        <f>IF(H53,Wh_hp,'2023'!Maxi_hp)</f>
        <v>23.402327715383759</v>
      </c>
      <c r="J53" s="85">
        <f>IF(H53,An,'2023'!An_max)</f>
        <v>2024</v>
      </c>
      <c r="K53" s="197">
        <f t="shared" si="3"/>
        <v>45330</v>
      </c>
      <c r="L53" s="147">
        <f>IF(t&lt;Tvie,1-EXP((T0-t)*PertePVj)+'2023'!Pspv,1-EXP((T0-t)*PertePVj)+Pspv)</f>
        <v>4.5393296532524441E-2</v>
      </c>
      <c r="M53" s="850"/>
      <c r="N53" s="850"/>
      <c r="O53" s="48">
        <f>IF(t&lt;Tnet,'2023'!Resal+('2023'!Salim-'2023'!Resal)*(1-EXP(('2023'!Tnet-t)/('2023'!Tau_j))),Resal+(Salim-Resal)*(1-EXP((Tnet-t)/(Tau_j))))*Salcycl</f>
        <v>5.8794469559977289E-2</v>
      </c>
      <c r="P53" s="169">
        <f>(INDEX(Models!$BJ53:$BT53,,T53)*(1-R53)+INDEX(Models!$BJ53:$BT53,,T53+1)*R53-ERP_i)*Q53*Ramure*Pc/MaxiM</f>
        <v>4.2409707100406216E-2</v>
      </c>
      <c r="Q53" s="305">
        <f t="shared" si="4"/>
        <v>0.7</v>
      </c>
      <c r="R53" s="177">
        <f t="shared" si="5"/>
        <v>0.10261068868905016</v>
      </c>
      <c r="S53" s="817">
        <f t="shared" si="6"/>
        <v>0</v>
      </c>
      <c r="T53" s="176">
        <f t="shared" si="7"/>
        <v>6</v>
      </c>
      <c r="U53" s="251">
        <f t="shared" si="8"/>
        <v>0.10261068868905016</v>
      </c>
      <c r="V53" s="383">
        <f t="shared" si="9"/>
        <v>19.336253123249747</v>
      </c>
      <c r="W53" s="402">
        <f t="shared" si="10"/>
        <v>20.134819552504343</v>
      </c>
      <c r="X53" s="157">
        <f t="shared" si="11"/>
        <v>45330</v>
      </c>
      <c r="Y53" s="385">
        <f t="shared" si="12"/>
        <v>18.906223295987861</v>
      </c>
      <c r="Z53" s="385">
        <f t="shared" si="22"/>
        <v>19.805248828982286</v>
      </c>
      <c r="AA53" s="386">
        <f t="shared" si="13"/>
        <v>22.409841851506613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0.11622540845147551</v>
      </c>
      <c r="AD53" s="231">
        <f>(INDEX(Models!$BJ53:$BT53,,AH53)*(1-AF53)+INDEX(Models!$BJ53:$BT53,,AH53+1)*AF53-ERP_i)*AE53*Ramure*Pc/MaxiM</f>
        <v>4.2409707100406216E-2</v>
      </c>
      <c r="AE53" s="305">
        <f t="shared" si="15"/>
        <v>0.7</v>
      </c>
      <c r="AF53" s="177">
        <f t="shared" si="23"/>
        <v>0.10261068868905016</v>
      </c>
      <c r="AG53" s="817">
        <f t="shared" si="24"/>
        <v>0</v>
      </c>
      <c r="AH53" s="176">
        <f t="shared" si="16"/>
        <v>6</v>
      </c>
      <c r="AI53" s="225">
        <f t="shared" si="17"/>
        <v>0.10261068868905016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45331</v>
      </c>
      <c r="B54" s="411">
        <f>'2023'!Wh/'2023'!Env_an*'2024'!Env_an</f>
        <v>20.176488173596113</v>
      </c>
      <c r="C54" s="846"/>
      <c r="D54" s="393">
        <f t="shared" si="0"/>
        <v>21.13638006820835</v>
      </c>
      <c r="E54" s="385">
        <f t="shared" si="1"/>
        <v>22.459598976777695</v>
      </c>
      <c r="F54" s="385">
        <f t="shared" si="2"/>
        <v>23.433477340738428</v>
      </c>
      <c r="G54" s="110">
        <f t="shared" si="21"/>
        <v>1.0280223278458309</v>
      </c>
      <c r="H54" s="414" t="b">
        <f>Wh_hp&gt;='2023'!Maxi_hp</f>
        <v>1</v>
      </c>
      <c r="I54" s="390">
        <f>IF(H54,Wh_hp,'2023'!Maxi_hp)</f>
        <v>23.433477340738428</v>
      </c>
      <c r="J54" s="85">
        <f>IF(H54,An,'2023'!An_max)</f>
        <v>2024</v>
      </c>
      <c r="K54" s="197">
        <f t="shared" si="3"/>
        <v>45331</v>
      </c>
      <c r="L54" s="147">
        <f>IF(t&lt;Tvie,1-EXP((T0-t)*PertePVj)+'2023'!Pspv,1-EXP((T0-t)*PertePVj)+Pspv)</f>
        <v>4.5414204869263841E-2</v>
      </c>
      <c r="M54" s="850"/>
      <c r="N54" s="850"/>
      <c r="O54" s="48">
        <f>IF(t&lt;Tnet,'2023'!Resal+('2023'!Salim-'2023'!Resal)*(1-EXP(('2023'!Tnet-t)/('2023'!Tau_j))),Resal+(Salim-Resal)*(1-EXP((Tnet-t)/(Tau_j))))*Salcycl</f>
        <v>5.8915518034738754E-2</v>
      </c>
      <c r="P54" s="169">
        <f>(INDEX(Models!$BJ54:$BT54,,T54)*(1-R54)+INDEX(Models!$BJ54:$BT54,,T54+1)*R54-ERP_i)*Q54*Ramure*Pc/MaxiM</f>
        <v>4.1559276491486483E-2</v>
      </c>
      <c r="Q54" s="305">
        <f t="shared" si="4"/>
        <v>0.7</v>
      </c>
      <c r="R54" s="177">
        <f t="shared" si="5"/>
        <v>0.10274846514764129</v>
      </c>
      <c r="S54" s="817">
        <f t="shared" si="6"/>
        <v>0</v>
      </c>
      <c r="T54" s="176">
        <f t="shared" si="7"/>
        <v>6</v>
      </c>
      <c r="U54" s="251">
        <f t="shared" si="8"/>
        <v>0.10274846514764129</v>
      </c>
      <c r="V54" s="383">
        <f t="shared" si="9"/>
        <v>19.626507739257889</v>
      </c>
      <c r="W54" s="402">
        <f t="shared" si="10"/>
        <v>20.176488173596113</v>
      </c>
      <c r="X54" s="157">
        <f t="shared" si="11"/>
        <v>45331</v>
      </c>
      <c r="Y54" s="385">
        <f t="shared" si="12"/>
        <v>18.946861003081342</v>
      </c>
      <c r="Z54" s="385">
        <f t="shared" si="22"/>
        <v>19.84825366114573</v>
      </c>
      <c r="AA54" s="386">
        <f t="shared" si="13"/>
        <v>22.459598976777695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0.11626856375895177</v>
      </c>
      <c r="AD54" s="231">
        <f>(INDEX(Models!$BJ54:$BT54,,AH54)*(1-AF54)+INDEX(Models!$BJ54:$BT54,,AH54+1)*AF54-ERP_i)*AE54*Ramure*Pc/MaxiM</f>
        <v>4.1559276491486483E-2</v>
      </c>
      <c r="AE54" s="305">
        <f t="shared" si="15"/>
        <v>0.7</v>
      </c>
      <c r="AF54" s="177">
        <f t="shared" si="23"/>
        <v>0.10274846514764129</v>
      </c>
      <c r="AG54" s="817">
        <f t="shared" si="24"/>
        <v>0</v>
      </c>
      <c r="AH54" s="176">
        <f t="shared" si="16"/>
        <v>6</v>
      </c>
      <c r="AI54" s="225">
        <f t="shared" si="17"/>
        <v>0.10274846514764129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45332</v>
      </c>
      <c r="B55" s="411">
        <f>'2023'!Wh/'2023'!Env_an*'2024'!Env_an</f>
        <v>19.141592706362442</v>
      </c>
      <c r="C55" s="846"/>
      <c r="D55" s="393">
        <f t="shared" si="0"/>
        <v>20.052688886837622</v>
      </c>
      <c r="E55" s="385">
        <f t="shared" si="1"/>
        <v>21.310803068133453</v>
      </c>
      <c r="F55" s="385">
        <f t="shared" si="2"/>
        <v>22.16117865429592</v>
      </c>
      <c r="G55" s="110">
        <f t="shared" si="21"/>
        <v>0.95860059743185855</v>
      </c>
      <c r="H55" s="414" t="b">
        <f>Wh_hp&gt;='2023'!Maxi_hp</f>
        <v>0</v>
      </c>
      <c r="I55" s="390">
        <f>IF(H55,Wh_hp,'2023'!Maxi_hp)</f>
        <v>22.177935187448366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4.5435112748057116E-2</v>
      </c>
      <c r="M55" s="850"/>
      <c r="N55" s="850"/>
      <c r="O55" s="48">
        <f>IF(t&lt;Tnet,'2023'!Resal+('2023'!Salim-'2023'!Resal)*(1-EXP(('2023'!Tnet-t)/('2023'!Tau_j))),Resal+(Salim-Resal)*(1-EXP((Tnet-t)/(Tau_j))))*Salcycl</f>
        <v>5.903645100907149E-2</v>
      </c>
      <c r="P55" s="169">
        <f>(INDEX(Models!$BJ55:$BT55,,T55)*(1-R55)+INDEX(Models!$BJ55:$BT55,,T55+1)*R55-ERP_i)*Q55*Ramure*Pc/MaxiM</f>
        <v>4.064427853038681E-2</v>
      </c>
      <c r="Q55" s="305">
        <f t="shared" si="4"/>
        <v>0.7</v>
      </c>
      <c r="R55" s="177">
        <f t="shared" si="5"/>
        <v>0.1028919404583038</v>
      </c>
      <c r="S55" s="817">
        <f t="shared" si="6"/>
        <v>0</v>
      </c>
      <c r="T55" s="176">
        <f t="shared" si="7"/>
        <v>6</v>
      </c>
      <c r="U55" s="251">
        <f t="shared" si="8"/>
        <v>0.1028919404583038</v>
      </c>
      <c r="V55" s="383">
        <f t="shared" si="9"/>
        <v>19.921089415396438</v>
      </c>
      <c r="W55" s="402">
        <f t="shared" si="10"/>
        <v>19.141592706362442</v>
      </c>
      <c r="X55" s="157">
        <f t="shared" si="11"/>
        <v>45332</v>
      </c>
      <c r="Y55" s="385">
        <f t="shared" si="12"/>
        <v>17.976467316932393</v>
      </c>
      <c r="Z55" s="385">
        <f t="shared" si="22"/>
        <v>18.832106184718459</v>
      </c>
      <c r="AA55" s="386">
        <f t="shared" si="13"/>
        <v>21.310803068133453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0.11631175397239951</v>
      </c>
      <c r="AD55" s="231">
        <f>(INDEX(Models!$BJ55:$BT55,,AH55)*(1-AF55)+INDEX(Models!$BJ55:$BT55,,AH55+1)*AF55-ERP_i)*AE55*Ramure*Pc/MaxiM</f>
        <v>4.064427853038681E-2</v>
      </c>
      <c r="AE55" s="305">
        <f t="shared" si="15"/>
        <v>0.7</v>
      </c>
      <c r="AF55" s="177">
        <f t="shared" si="23"/>
        <v>0.1028919404583038</v>
      </c>
      <c r="AG55" s="817">
        <f t="shared" si="24"/>
        <v>0</v>
      </c>
      <c r="AH55" s="176">
        <f t="shared" si="16"/>
        <v>6</v>
      </c>
      <c r="AI55" s="225">
        <f t="shared" si="17"/>
        <v>0.1028919404583038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45333</v>
      </c>
      <c r="B56" s="411">
        <f>'2023'!Wh/'2023'!Env_an*'2024'!Env_an</f>
        <v>10.377842704583573</v>
      </c>
      <c r="C56" s="846"/>
      <c r="D56" s="393">
        <f t="shared" si="0"/>
        <v>10.872042487157076</v>
      </c>
      <c r="E56" s="385">
        <f t="shared" si="1"/>
        <v>11.555642673248284</v>
      </c>
      <c r="F56" s="385">
        <f t="shared" si="2"/>
        <v>11.6970087193579</v>
      </c>
      <c r="G56" s="110">
        <f t="shared" si="21"/>
        <v>0.49893287174919176</v>
      </c>
      <c r="H56" s="414" t="b">
        <f>Wh_hp&gt;='2023'!Maxi_hp</f>
        <v>0</v>
      </c>
      <c r="I56" s="390">
        <f>IF(H56,Wh_hp,'2023'!Maxi_hp)</f>
        <v>19.987799360241688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4.5456020168914146E-2</v>
      </c>
      <c r="M56" s="850"/>
      <c r="N56" s="850"/>
      <c r="O56" s="48">
        <f>IF(t&lt;Tnet,'2023'!Resal+('2023'!Salim-'2023'!Resal)*(1-EXP(('2023'!Tnet-t)/('2023'!Tau_j))),Resal+(Salim-Resal)*(1-EXP((Tnet-t)/(Tau_j))))*Salcycl</f>
        <v>5.9157262423297843E-2</v>
      </c>
      <c r="P56" s="169">
        <f>(INDEX(Models!$BJ56:$BT56,,T56)*(1-R56)+INDEX(Models!$BJ56:$BT56,,T56+1)*R56-ERP_i)*Q56*Ramure*Pc/MaxiM</f>
        <v>3.9669030141826142E-2</v>
      </c>
      <c r="Q56" s="305">
        <f t="shared" si="4"/>
        <v>0.7</v>
      </c>
      <c r="R56" s="177">
        <f t="shared" si="5"/>
        <v>0.10304134682416501</v>
      </c>
      <c r="S56" s="817">
        <f t="shared" si="6"/>
        <v>0</v>
      </c>
      <c r="T56" s="176">
        <f t="shared" si="7"/>
        <v>6</v>
      </c>
      <c r="U56" s="251">
        <f t="shared" si="8"/>
        <v>0.10304134682416501</v>
      </c>
      <c r="V56" s="383">
        <f t="shared" si="9"/>
        <v>20.219323006872493</v>
      </c>
      <c r="W56" s="402">
        <f t="shared" si="10"/>
        <v>10.377842704583573</v>
      </c>
      <c r="X56" s="157">
        <f t="shared" si="11"/>
        <v>45333</v>
      </c>
      <c r="Y56" s="385">
        <f t="shared" si="12"/>
        <v>9.74693091578742</v>
      </c>
      <c r="Z56" s="385">
        <f t="shared" si="22"/>
        <v>10.211086258709857</v>
      </c>
      <c r="AA56" s="386">
        <f t="shared" si="13"/>
        <v>11.555642673248284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0.11635496636211513</v>
      </c>
      <c r="AD56" s="231">
        <f>(INDEX(Models!$BJ56:$BT56,,AH56)*(1-AF56)+INDEX(Models!$BJ56:$BT56,,AH56+1)*AF56-ERP_i)*AE56*Ramure*Pc/MaxiM</f>
        <v>3.9669030141826142E-2</v>
      </c>
      <c r="AE56" s="305">
        <f t="shared" si="15"/>
        <v>0.7</v>
      </c>
      <c r="AF56" s="177">
        <f t="shared" si="23"/>
        <v>0.10304134682416501</v>
      </c>
      <c r="AG56" s="817">
        <f t="shared" si="24"/>
        <v>0</v>
      </c>
      <c r="AH56" s="176">
        <f t="shared" si="16"/>
        <v>6</v>
      </c>
      <c r="AI56" s="225">
        <f t="shared" si="17"/>
        <v>0.10304134682416501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45334</v>
      </c>
      <c r="B57" s="411">
        <f>'2023'!Wh/'2023'!Env_an*'2024'!Env_an</f>
        <v>16.500885433500098</v>
      </c>
      <c r="C57" s="846"/>
      <c r="D57" s="393">
        <f t="shared" si="0"/>
        <v>17.287047220260654</v>
      </c>
      <c r="E57" s="385">
        <f t="shared" si="1"/>
        <v>18.376360103562074</v>
      </c>
      <c r="F57" s="385">
        <f t="shared" si="2"/>
        <v>18.902325024140264</v>
      </c>
      <c r="G57" s="110">
        <f t="shared" si="21"/>
        <v>0.79517276024119787</v>
      </c>
      <c r="H57" s="414" t="b">
        <f>Wh_hp&gt;='2023'!Maxi_hp</f>
        <v>0</v>
      </c>
      <c r="I57" s="390">
        <f>IF(H57,Wh_hp,'2023'!Maxi_hp)</f>
        <v>24.323485541278668</v>
      </c>
      <c r="J57" s="85">
        <f>IF(H57,An,'2023'!An_max)</f>
        <v>2019</v>
      </c>
      <c r="K57" s="197">
        <f t="shared" si="3"/>
        <v>45334</v>
      </c>
      <c r="L57" s="147">
        <f>IF(t&lt;Tvie,1-EXP((T0-t)*PertePVj)+'2023'!Pspv,1-EXP((T0-t)*PertePVj)+Pspv)</f>
        <v>4.5476927131844924E-2</v>
      </c>
      <c r="M57" s="850"/>
      <c r="N57" s="850"/>
      <c r="O57" s="48">
        <f>IF(t&lt;Tnet,'2023'!Resal+('2023'!Salim-'2023'!Resal)*(1-EXP(('2023'!Tnet-t)/('2023'!Tau_j))),Resal+(Salim-Resal)*(1-EXP((Tnet-t)/(Tau_j))))*Salcycl</f>
        <v>5.9277946076506591E-2</v>
      </c>
      <c r="P57" s="169">
        <f>(INDEX(Models!$BJ57:$BT57,,T57)*(1-R57)+INDEX(Models!$BJ57:$BT57,,T57+1)*R57-ERP_i)*Q57*Ramure*Pc/MaxiM</f>
        <v>3.8637523915626922E-2</v>
      </c>
      <c r="Q57" s="305">
        <f t="shared" si="4"/>
        <v>0.7</v>
      </c>
      <c r="R57" s="177">
        <f t="shared" si="5"/>
        <v>0.10319692561068784</v>
      </c>
      <c r="S57" s="817">
        <f t="shared" si="6"/>
        <v>0</v>
      </c>
      <c r="T57" s="176">
        <f t="shared" si="7"/>
        <v>6</v>
      </c>
      <c r="U57" s="251">
        <f t="shared" si="8"/>
        <v>0.10319692561068784</v>
      </c>
      <c r="V57" s="383">
        <f t="shared" si="9"/>
        <v>20.520533866121742</v>
      </c>
      <c r="W57" s="402">
        <f t="shared" si="10"/>
        <v>16.500885433500098</v>
      </c>
      <c r="X57" s="157">
        <f t="shared" si="11"/>
        <v>45334</v>
      </c>
      <c r="Y57" s="385">
        <f t="shared" si="12"/>
        <v>15.498958706974946</v>
      </c>
      <c r="Z57" s="385">
        <f t="shared" si="22"/>
        <v>16.237385085311356</v>
      </c>
      <c r="AA57" s="386">
        <f t="shared" si="13"/>
        <v>18.376360103562074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0.11639818800873948</v>
      </c>
      <c r="AD57" s="231">
        <f>(INDEX(Models!$BJ57:$BT57,,AH57)*(1-AF57)+INDEX(Models!$BJ57:$BT57,,AH57+1)*AF57-ERP_i)*AE57*Ramure*Pc/MaxiM</f>
        <v>3.8637523915626922E-2</v>
      </c>
      <c r="AE57" s="305">
        <f t="shared" si="15"/>
        <v>0.7</v>
      </c>
      <c r="AF57" s="177">
        <f t="shared" si="23"/>
        <v>0.10319692561068784</v>
      </c>
      <c r="AG57" s="817">
        <f t="shared" si="24"/>
        <v>0</v>
      </c>
      <c r="AH57" s="176">
        <f t="shared" si="16"/>
        <v>6</v>
      </c>
      <c r="AI57" s="225">
        <f t="shared" si="17"/>
        <v>0.10319692561068784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45335</v>
      </c>
      <c r="B58" s="411">
        <f>'2023'!Wh/'2023'!Env_an*'2024'!Env_an</f>
        <v>18.943043015180429</v>
      </c>
      <c r="C58" s="846"/>
      <c r="D58" s="393">
        <f t="shared" si="0"/>
        <v>19.845992688898257</v>
      </c>
      <c r="E58" s="385">
        <f t="shared" si="1"/>
        <v>21.099256803742499</v>
      </c>
      <c r="F58" s="385">
        <f t="shared" si="2"/>
        <v>21.81239346366015</v>
      </c>
      <c r="G58" s="110">
        <f t="shared" si="21"/>
        <v>0.90510171376303727</v>
      </c>
      <c r="H58" s="414" t="b">
        <f>Wh_hp&gt;='2023'!Maxi_hp</f>
        <v>0</v>
      </c>
      <c r="I58" s="390">
        <f>IF(H58,Wh_hp,'2023'!Maxi_hp)</f>
        <v>24.939074122850123</v>
      </c>
      <c r="J58" s="85">
        <f>IF(H58,An,'2023'!An_max)</f>
        <v>2019</v>
      </c>
      <c r="K58" s="197">
        <f t="shared" si="3"/>
        <v>45335</v>
      </c>
      <c r="L58" s="147">
        <f>IF(t&lt;Tvie,1-EXP((T0-t)*PertePVj)+'2023'!Pspv,1-EXP((T0-t)*PertePVj)+Pspv)</f>
        <v>4.5497833636859664E-2</v>
      </c>
      <c r="M58" s="850"/>
      <c r="N58" s="850"/>
      <c r="O58" s="48">
        <f>IF(t&lt;Tnet,'2023'!Resal+('2023'!Salim-'2023'!Resal)*(1-EXP(('2023'!Tnet-t)/('2023'!Tau_j))),Resal+(Salim-Resal)*(1-EXP((Tnet-t)/(Tau_j))))*Salcycl</f>
        <v>5.939849571487954E-2</v>
      </c>
      <c r="P58" s="169">
        <f>(INDEX(Models!$BJ58:$BT58,,T58)*(1-R58)+INDEX(Models!$BJ58:$BT58,,T58+1)*R58-ERP_i)*Q58*Ramure*Pc/MaxiM</f>
        <v>3.7538885239539237E-2</v>
      </c>
      <c r="Q58" s="305">
        <f t="shared" si="4"/>
        <v>0.7</v>
      </c>
      <c r="R58" s="177">
        <f t="shared" si="5"/>
        <v>0.10335892768172703</v>
      </c>
      <c r="S58" s="817">
        <f t="shared" si="6"/>
        <v>0</v>
      </c>
      <c r="T58" s="176">
        <f t="shared" si="7"/>
        <v>6</v>
      </c>
      <c r="U58" s="251">
        <f t="shared" si="8"/>
        <v>0.10335892768172703</v>
      </c>
      <c r="V58" s="383">
        <f t="shared" si="9"/>
        <v>20.824362517915056</v>
      </c>
      <c r="W58" s="402">
        <f t="shared" si="10"/>
        <v>18.943043015180429</v>
      </c>
      <c r="X58" s="157">
        <f t="shared" si="11"/>
        <v>45335</v>
      </c>
      <c r="Y58" s="385">
        <f t="shared" si="12"/>
        <v>17.794239512428543</v>
      </c>
      <c r="Z58" s="385">
        <f t="shared" si="22"/>
        <v>18.642429676433782</v>
      </c>
      <c r="AA58" s="386">
        <f t="shared" si="13"/>
        <v>21.099256803742499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0.11644140597752876</v>
      </c>
      <c r="AD58" s="231">
        <f>(INDEX(Models!$BJ58:$BT58,,AH58)*(1-AF58)+INDEX(Models!$BJ58:$BT58,,AH58+1)*AF58-ERP_i)*AE58*Ramure*Pc/MaxiM</f>
        <v>3.7538885239539237E-2</v>
      </c>
      <c r="AE58" s="305">
        <f t="shared" si="15"/>
        <v>0.7</v>
      </c>
      <c r="AF58" s="177">
        <f t="shared" si="23"/>
        <v>0.10335892768172703</v>
      </c>
      <c r="AG58" s="817">
        <f t="shared" si="24"/>
        <v>0</v>
      </c>
      <c r="AH58" s="176">
        <f t="shared" si="16"/>
        <v>6</v>
      </c>
      <c r="AI58" s="225">
        <f t="shared" si="17"/>
        <v>0.10335892768172703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45336</v>
      </c>
      <c r="B59" s="411">
        <f>'2023'!Wh/'2023'!Env_an*'2024'!Env_an</f>
        <v>10.484749183983768</v>
      </c>
      <c r="C59" s="846"/>
      <c r="D59" s="393">
        <f t="shared" si="0"/>
        <v>10.984761691929116</v>
      </c>
      <c r="E59" s="385">
        <f t="shared" si="1"/>
        <v>11.67993886508884</v>
      </c>
      <c r="F59" s="385">
        <f t="shared" si="2"/>
        <v>11.800411047607781</v>
      </c>
      <c r="G59" s="110">
        <f t="shared" si="21"/>
        <v>0.48308046081064554</v>
      </c>
      <c r="H59" s="414" t="b">
        <f>Wh_hp&gt;='2023'!Maxi_hp</f>
        <v>0</v>
      </c>
      <c r="I59" s="390">
        <f>IF(H59,Wh_hp,'2023'!Maxi_hp)</f>
        <v>25.04355830581331</v>
      </c>
      <c r="J59" s="85">
        <f>IF(H59,An,'2023'!An_max)</f>
        <v>2019</v>
      </c>
      <c r="K59" s="197">
        <f t="shared" si="3"/>
        <v>45336</v>
      </c>
      <c r="L59" s="147">
        <f>IF(t&lt;Tvie,1-EXP((T0-t)*PertePVj)+'2023'!Pspv,1-EXP((T0-t)*PertePVj)+Pspv)</f>
        <v>4.5518739683968246E-2</v>
      </c>
      <c r="M59" s="850"/>
      <c r="N59" s="850"/>
      <c r="O59" s="48">
        <f>IF(t&lt;Tnet,'2023'!Resal+('2023'!Salim-'2023'!Resal)*(1-EXP(('2023'!Tnet-t)/('2023'!Tau_j))),Resal+(Salim-Resal)*(1-EXP((Tnet-t)/(Tau_j))))*Salcycl</f>
        <v>5.9518905123518866E-2</v>
      </c>
      <c r="P59" s="169">
        <f>(INDEX(Models!$BJ59:$BT59,,T59)*(1-R59)+INDEX(Models!$BJ59:$BT59,,T59+1)*R59-ERP_i)*Q59*Ramure*Pc/MaxiM</f>
        <v>3.6420174827026627E-2</v>
      </c>
      <c r="Q59" s="305">
        <f t="shared" si="4"/>
        <v>0.7</v>
      </c>
      <c r="R59" s="177">
        <f t="shared" si="5"/>
        <v>0.10352761374570872</v>
      </c>
      <c r="S59" s="817">
        <f t="shared" si="6"/>
        <v>0</v>
      </c>
      <c r="T59" s="176">
        <f t="shared" si="7"/>
        <v>6</v>
      </c>
      <c r="U59" s="251">
        <f t="shared" si="8"/>
        <v>0.10352761374570872</v>
      </c>
      <c r="V59" s="383">
        <f t="shared" si="9"/>
        <v>21.129189500097549</v>
      </c>
      <c r="W59" s="402">
        <f t="shared" si="10"/>
        <v>10.484749183983768</v>
      </c>
      <c r="X59" s="157">
        <f t="shared" si="11"/>
        <v>45336</v>
      </c>
      <c r="Y59" s="385">
        <f t="shared" si="12"/>
        <v>9.8496794258174667</v>
      </c>
      <c r="Z59" s="385">
        <f t="shared" si="22"/>
        <v>10.319405770791358</v>
      </c>
      <c r="AA59" s="386">
        <f t="shared" si="13"/>
        <v>11.67993886508884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0.11648460749774082</v>
      </c>
      <c r="AD59" s="231">
        <f>(INDEX(Models!$BJ59:$BT59,,AH59)*(1-AF59)+INDEX(Models!$BJ59:$BT59,,AH59+1)*AF59-ERP_i)*AE59*Ramure*Pc/MaxiM</f>
        <v>3.6420174827026627E-2</v>
      </c>
      <c r="AE59" s="305">
        <f t="shared" si="15"/>
        <v>0.7</v>
      </c>
      <c r="AF59" s="177">
        <f t="shared" si="23"/>
        <v>0.10352761374570872</v>
      </c>
      <c r="AG59" s="817">
        <f t="shared" si="24"/>
        <v>0</v>
      </c>
      <c r="AH59" s="176">
        <f t="shared" si="16"/>
        <v>6</v>
      </c>
      <c r="AI59" s="225">
        <f t="shared" si="17"/>
        <v>0.10352761374570872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45337</v>
      </c>
      <c r="B60" s="411">
        <f>'2023'!Wh/'2023'!Env_an*'2024'!Env_an</f>
        <v>13.251699683621466</v>
      </c>
      <c r="C60" s="846"/>
      <c r="D60" s="393">
        <f t="shared" si="0"/>
        <v>13.883970788304035</v>
      </c>
      <c r="E60" s="385">
        <f t="shared" si="1"/>
        <v>14.76451413021417</v>
      </c>
      <c r="F60" s="385">
        <f t="shared" si="2"/>
        <v>15.005214087303958</v>
      </c>
      <c r="G60" s="110">
        <f t="shared" si="21"/>
        <v>0.60615581800884355</v>
      </c>
      <c r="H60" s="414" t="b">
        <f>Wh_hp&gt;='2023'!Maxi_hp</f>
        <v>0</v>
      </c>
      <c r="I60" s="390">
        <f>IF(H60,Wh_hp,'2023'!Maxi_hp)</f>
        <v>25.359879246140192</v>
      </c>
      <c r="J60" s="85">
        <f>IF(H60,An,'2023'!An_max)</f>
        <v>2019</v>
      </c>
      <c r="K60" s="197">
        <f t="shared" si="3"/>
        <v>45337</v>
      </c>
      <c r="L60" s="147">
        <f>IF(t&lt;Tvie,1-EXP((T0-t)*PertePVj)+'2023'!Pspv,1-EXP((T0-t)*PertePVj)+Pspv)</f>
        <v>4.5539645273180773E-2</v>
      </c>
      <c r="M60" s="850"/>
      <c r="N60" s="850"/>
      <c r="O60" s="48">
        <f>IF(t&lt;Tnet,'2023'!Resal+('2023'!Salim-'2023'!Resal)*(1-EXP(('2023'!Tnet-t)/('2023'!Tau_j))),Resal+(Salim-Resal)*(1-EXP((Tnet-t)/(Tau_j))))*Salcycl</f>
        <v>5.9639168220794188E-2</v>
      </c>
      <c r="P60" s="169">
        <f>(INDEX(Models!$BJ60:$BT60,,T60)*(1-R60)+INDEX(Models!$BJ60:$BT60,,T60+1)*R60-ERP_i)*Q60*Ramure*Pc/MaxiM</f>
        <v>3.5283258532077241E-2</v>
      </c>
      <c r="Q60" s="305">
        <f t="shared" si="4"/>
        <v>0.7</v>
      </c>
      <c r="R60" s="177">
        <f t="shared" si="5"/>
        <v>0.10370325471203917</v>
      </c>
      <c r="S60" s="817">
        <f t="shared" si="6"/>
        <v>0</v>
      </c>
      <c r="T60" s="176">
        <f t="shared" si="7"/>
        <v>6</v>
      </c>
      <c r="U60" s="251">
        <f t="shared" si="8"/>
        <v>0.10370325471203917</v>
      </c>
      <c r="V60" s="383">
        <f t="shared" si="9"/>
        <v>21.434342138619169</v>
      </c>
      <c r="W60" s="402">
        <f t="shared" si="10"/>
        <v>13.251699683621466</v>
      </c>
      <c r="X60" s="157">
        <f t="shared" si="11"/>
        <v>45337</v>
      </c>
      <c r="Y60" s="385">
        <f t="shared" si="12"/>
        <v>12.45001720689217</v>
      </c>
      <c r="Z60" s="385">
        <f t="shared" si="22"/>
        <v>13.044038073698253</v>
      </c>
      <c r="AA60" s="386">
        <f t="shared" si="13"/>
        <v>14.76451413021417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0.1165277801451744</v>
      </c>
      <c r="AD60" s="231">
        <f>(INDEX(Models!$BJ60:$BT60,,AH60)*(1-AF60)+INDEX(Models!$BJ60:$BT60,,AH60+1)*AF60-ERP_i)*AE60*Ramure*Pc/MaxiM</f>
        <v>3.5283258532077241E-2</v>
      </c>
      <c r="AE60" s="305">
        <f t="shared" si="15"/>
        <v>0.7</v>
      </c>
      <c r="AF60" s="177">
        <f t="shared" si="23"/>
        <v>0.10370325471203917</v>
      </c>
      <c r="AG60" s="817">
        <f t="shared" si="24"/>
        <v>0</v>
      </c>
      <c r="AH60" s="176">
        <f t="shared" si="16"/>
        <v>6</v>
      </c>
      <c r="AI60" s="225">
        <f t="shared" si="17"/>
        <v>0.10370325471203917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45338</v>
      </c>
      <c r="B61" s="411">
        <f>'2023'!Wh/'2023'!Env_an*'2024'!Env_an</f>
        <v>5.7963766226018398</v>
      </c>
      <c r="C61" s="846"/>
      <c r="D61" s="393">
        <f t="shared" si="0"/>
        <v>6.0730689883558773</v>
      </c>
      <c r="E61" s="385">
        <f t="shared" si="1"/>
        <v>6.4590576154720569</v>
      </c>
      <c r="F61" s="385">
        <f t="shared" si="2"/>
        <v>6.4590576154720569</v>
      </c>
      <c r="G61" s="110">
        <f t="shared" si="21"/>
        <v>0.25753298140696779</v>
      </c>
      <c r="H61" s="414" t="b">
        <f>Wh_hp&gt;='2023'!Maxi_hp</f>
        <v>0</v>
      </c>
      <c r="I61" s="390">
        <f>IF(H61,Wh_hp,'2023'!Maxi_hp)</f>
        <v>25.832581952942551</v>
      </c>
      <c r="J61" s="85">
        <f>IF(H61,An,'2023'!An_max)</f>
        <v>2019</v>
      </c>
      <c r="K61" s="197">
        <f t="shared" si="3"/>
        <v>45338</v>
      </c>
      <c r="L61" s="147">
        <f>IF(t&lt;Tvie,1-EXP((T0-t)*PertePVj)+'2023'!Pspv,1-EXP((T0-t)*PertePVj)+Pspv)</f>
        <v>4.5560550404507238E-2</v>
      </c>
      <c r="M61" s="850"/>
      <c r="N61" s="850"/>
      <c r="O61" s="48">
        <f>IF(t&lt;Tnet,'2023'!Resal+('2023'!Salim-'2023'!Resal)*(1-EXP(('2023'!Tnet-t)/('2023'!Tau_j))),Resal+(Salim-Resal)*(1-EXP((Tnet-t)/(Tau_j))))*Salcycl</f>
        <v>5.975927915421924E-2</v>
      </c>
      <c r="P61" s="169">
        <f>(INDEX(Models!$BJ61:$BT61,,T61)*(1-R61)+INDEX(Models!$BJ61:$BT61,,T61+1)*R61-ERP_i)*Q61*Ramure*Pc/MaxiM</f>
        <v>3.4129762392434392E-2</v>
      </c>
      <c r="Q61" s="305">
        <f t="shared" si="4"/>
        <v>0.7</v>
      </c>
      <c r="R61" s="177">
        <f t="shared" si="5"/>
        <v>0.10388613205782725</v>
      </c>
      <c r="S61" s="817">
        <f t="shared" si="6"/>
        <v>0</v>
      </c>
      <c r="T61" s="176">
        <f t="shared" si="7"/>
        <v>6</v>
      </c>
      <c r="U61" s="251">
        <f t="shared" si="8"/>
        <v>0.10388613205782725</v>
      </c>
      <c r="V61" s="383">
        <f t="shared" si="9"/>
        <v>21.739148264230451</v>
      </c>
      <c r="W61" s="402">
        <f t="shared" si="10"/>
        <v>5.7963766226018398</v>
      </c>
      <c r="X61" s="157">
        <f t="shared" si="11"/>
        <v>45338</v>
      </c>
      <c r="Y61" s="385">
        <f t="shared" si="12"/>
        <v>5.4461454388544857</v>
      </c>
      <c r="Z61" s="385">
        <f t="shared" si="22"/>
        <v>5.7061193784086068</v>
      </c>
      <c r="AA61" s="386">
        <f t="shared" si="13"/>
        <v>6.4590576154720569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0.11657091202590586</v>
      </c>
      <c r="AD61" s="231">
        <f>(INDEX(Models!$BJ61:$BT61,,AH61)*(1-AF61)+INDEX(Models!$BJ61:$BT61,,AH61+1)*AF61-ERP_i)*AE61*Ramure*Pc/MaxiM</f>
        <v>3.4129762392434392E-2</v>
      </c>
      <c r="AE61" s="305">
        <f t="shared" si="15"/>
        <v>0.7</v>
      </c>
      <c r="AF61" s="177">
        <f t="shared" si="23"/>
        <v>0.10388613205782725</v>
      </c>
      <c r="AG61" s="817">
        <f t="shared" si="24"/>
        <v>0</v>
      </c>
      <c r="AH61" s="176">
        <f t="shared" si="16"/>
        <v>6</v>
      </c>
      <c r="AI61" s="225">
        <f t="shared" si="17"/>
        <v>0.10388613205782725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45339</v>
      </c>
      <c r="B62" s="411">
        <f>'2023'!Wh/'2023'!Env_an*'2024'!Env_an</f>
        <v>9.9067462882129895</v>
      </c>
      <c r="C62" s="846"/>
      <c r="D62" s="393">
        <f t="shared" si="0"/>
        <v>10.379876146499416</v>
      </c>
      <c r="E62" s="385">
        <f t="shared" si="1"/>
        <v>11.041002926638093</v>
      </c>
      <c r="F62" s="385">
        <f t="shared" si="2"/>
        <v>11.119240426849917</v>
      </c>
      <c r="G62" s="110">
        <f t="shared" si="21"/>
        <v>0.43769556351299316</v>
      </c>
      <c r="H62" s="414" t="b">
        <f>Wh_hp&gt;='2023'!Maxi_hp</f>
        <v>0</v>
      </c>
      <c r="I62" s="390">
        <f>IF(H62,Wh_hp,'2023'!Maxi_hp)</f>
        <v>26.057323912775445</v>
      </c>
      <c r="J62" s="85">
        <f>IF(H62,An,'2023'!An_max)</f>
        <v>2019</v>
      </c>
      <c r="K62" s="197">
        <f t="shared" si="3"/>
        <v>45339</v>
      </c>
      <c r="L62" s="147">
        <f>IF(t&lt;Tvie,1-EXP((T0-t)*PertePVj)+'2023'!Pspv,1-EXP((T0-t)*PertePVj)+Pspv)</f>
        <v>4.5581455077957633E-2</v>
      </c>
      <c r="M62" s="850"/>
      <c r="N62" s="850"/>
      <c r="O62" s="48">
        <f>IF(t&lt;Tnet,'2023'!Resal+('2023'!Salim-'2023'!Resal)*(1-EXP(('2023'!Tnet-t)/('2023'!Tau_j))),Resal+(Salim-Resal)*(1-EXP((Tnet-t)/(Tau_j))))*Salcycl</f>
        <v>5.9879232396869306E-2</v>
      </c>
      <c r="P62" s="169">
        <f>(INDEX(Models!$BJ62:$BT62,,T62)*(1-R62)+INDEX(Models!$BJ62:$BT62,,T62+1)*R62-ERP_i)*Q62*Ramure*Pc/MaxiM</f>
        <v>3.2961083343980853E-2</v>
      </c>
      <c r="Q62" s="305">
        <f t="shared" si="4"/>
        <v>0.7</v>
      </c>
      <c r="R62" s="177">
        <f t="shared" si="5"/>
        <v>0.10407653820498358</v>
      </c>
      <c r="S62" s="817">
        <f t="shared" si="6"/>
        <v>0</v>
      </c>
      <c r="T62" s="176">
        <f t="shared" si="7"/>
        <v>6</v>
      </c>
      <c r="U62" s="251">
        <f t="shared" si="8"/>
        <v>0.10407653820498358</v>
      </c>
      <c r="V62" s="383">
        <f t="shared" si="9"/>
        <v>22.042936214395223</v>
      </c>
      <c r="W62" s="402">
        <f t="shared" si="10"/>
        <v>9.9067462882129895</v>
      </c>
      <c r="X62" s="157">
        <f t="shared" si="11"/>
        <v>45339</v>
      </c>
      <c r="Y62" s="385">
        <f t="shared" si="12"/>
        <v>9.3088902594171117</v>
      </c>
      <c r="Z62" s="385">
        <f t="shared" si="22"/>
        <v>9.75346750012854</v>
      </c>
      <c r="AA62" s="386">
        <f t="shared" si="13"/>
        <v>11.041002926638093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0.11661399195929734</v>
      </c>
      <c r="AD62" s="231">
        <f>(INDEX(Models!$BJ62:$BT62,,AH62)*(1-AF62)+INDEX(Models!$BJ62:$BT62,,AH62+1)*AF62-ERP_i)*AE62*Ramure*Pc/MaxiM</f>
        <v>3.2961083343980853E-2</v>
      </c>
      <c r="AE62" s="305">
        <f t="shared" si="15"/>
        <v>0.7</v>
      </c>
      <c r="AF62" s="177">
        <f t="shared" si="23"/>
        <v>0.10407653820498358</v>
      </c>
      <c r="AG62" s="817">
        <f t="shared" si="24"/>
        <v>0</v>
      </c>
      <c r="AH62" s="176">
        <f t="shared" si="16"/>
        <v>6</v>
      </c>
      <c r="AI62" s="225">
        <f t="shared" si="17"/>
        <v>0.10407653820498358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45340</v>
      </c>
      <c r="B63" s="411">
        <f>'2023'!Wh/'2023'!Env_an*'2024'!Env_an</f>
        <v>18.701154201110565</v>
      </c>
      <c r="C63" s="846"/>
      <c r="D63" s="393">
        <f t="shared" si="0"/>
        <v>19.594719646695395</v>
      </c>
      <c r="E63" s="385">
        <f t="shared" si="1"/>
        <v>20.845424763244928</v>
      </c>
      <c r="F63" s="385">
        <f t="shared" si="2"/>
        <v>21.366231802203799</v>
      </c>
      <c r="G63" s="110">
        <f t="shared" si="21"/>
        <v>0.83057590661811886</v>
      </c>
      <c r="H63" s="414" t="b">
        <f>Wh_hp&gt;='2023'!Maxi_hp</f>
        <v>0</v>
      </c>
      <c r="I63" s="390">
        <f>IF(H63,Wh_hp,'2023'!Maxi_hp)</f>
        <v>25.702210502087123</v>
      </c>
      <c r="J63" s="85">
        <f>IF(H63,An,'2023'!An_max)</f>
        <v>2019</v>
      </c>
      <c r="K63" s="197">
        <f t="shared" si="3"/>
        <v>45340</v>
      </c>
      <c r="L63" s="147">
        <f>IF(t&lt;Tvie,1-EXP((T0-t)*PertePVj)+'2023'!Pspv,1-EXP((T0-t)*PertePVj)+Pspv)</f>
        <v>4.5602359293542061E-2</v>
      </c>
      <c r="M63" s="850"/>
      <c r="N63" s="850"/>
      <c r="O63" s="48">
        <f>IF(t&lt;Tnet,'2023'!Resal+('2023'!Salim-'2023'!Resal)*(1-EXP(('2023'!Tnet-t)/('2023'!Tau_j))),Resal+(Salim-Resal)*(1-EXP((Tnet-t)/(Tau_j))))*Salcycl</f>
        <v>5.9999022843362788E-2</v>
      </c>
      <c r="P63" s="169">
        <f>(INDEX(Models!$BJ63:$BT63,,T63)*(1-R63)+INDEX(Models!$BJ63:$BT63,,T63+1)*R63-ERP_i)*Q63*Ramure*Pc/MaxiM</f>
        <v>3.1778399731274012E-2</v>
      </c>
      <c r="Q63" s="305">
        <f t="shared" si="4"/>
        <v>0.7</v>
      </c>
      <c r="R63" s="177">
        <f t="shared" si="5"/>
        <v>0.10427477690773185</v>
      </c>
      <c r="S63" s="817">
        <f t="shared" si="6"/>
        <v>0</v>
      </c>
      <c r="T63" s="176">
        <f t="shared" si="7"/>
        <v>6</v>
      </c>
      <c r="U63" s="251">
        <f t="shared" si="8"/>
        <v>0.10427477690773185</v>
      </c>
      <c r="V63" s="383">
        <f t="shared" si="9"/>
        <v>22.345034840041368</v>
      </c>
      <c r="W63" s="402">
        <f t="shared" si="10"/>
        <v>18.701154201110565</v>
      </c>
      <c r="X63" s="157">
        <f t="shared" si="11"/>
        <v>45340</v>
      </c>
      <c r="Y63" s="385">
        <f t="shared" si="12"/>
        <v>17.573953513130945</v>
      </c>
      <c r="Z63" s="385">
        <f t="shared" si="22"/>
        <v>18.413659845305641</v>
      </c>
      <c r="AA63" s="386">
        <f t="shared" si="13"/>
        <v>20.845424763244928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0.11665700965839876</v>
      </c>
      <c r="AD63" s="231">
        <f>(INDEX(Models!$BJ63:$BT63,,AH63)*(1-AF63)+INDEX(Models!$BJ63:$BT63,,AH63+1)*AF63-ERP_i)*AE63*Ramure*Pc/MaxiM</f>
        <v>3.1778399731274012E-2</v>
      </c>
      <c r="AE63" s="305">
        <f t="shared" si="15"/>
        <v>0.7</v>
      </c>
      <c r="AF63" s="177">
        <f t="shared" si="23"/>
        <v>0.10427477690773185</v>
      </c>
      <c r="AG63" s="817">
        <f t="shared" si="24"/>
        <v>0</v>
      </c>
      <c r="AH63" s="176">
        <f t="shared" si="16"/>
        <v>6</v>
      </c>
      <c r="AI63" s="225">
        <f t="shared" si="17"/>
        <v>0.10427477690773185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45341</v>
      </c>
      <c r="B64" s="411">
        <f>'2023'!Wh/'2023'!Env_an*'2024'!Env_an</f>
        <v>12.063228416554427</v>
      </c>
      <c r="C64" s="846"/>
      <c r="D64" s="393">
        <f t="shared" si="0"/>
        <v>12.639901989985828</v>
      </c>
      <c r="E64" s="385">
        <f t="shared" si="1"/>
        <v>13.448401689114544</v>
      </c>
      <c r="F64" s="385">
        <f t="shared" si="2"/>
        <v>13.586539390572757</v>
      </c>
      <c r="G64" s="110">
        <f t="shared" si="21"/>
        <v>0.52172845509576193</v>
      </c>
      <c r="H64" s="414" t="b">
        <f>Wh_hp&gt;='2023'!Maxi_hp</f>
        <v>0</v>
      </c>
      <c r="I64" s="390">
        <f>IF(H64,Wh_hp,'2023'!Maxi_hp)</f>
        <v>25.212086475297145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4.5623263051270513E-2</v>
      </c>
      <c r="M64" s="850"/>
      <c r="N64" s="850"/>
      <c r="O64" s="48">
        <f>IF(t&lt;Tnet,'2023'!Resal+('2023'!Salim-'2023'!Resal)*(1-EXP(('2023'!Tnet-t)/('2023'!Tau_j))),Resal+(Salim-Resal)*(1-EXP((Tnet-t)/(Tau_j))))*Salcycl</f>
        <v>6.0118645904452303E-2</v>
      </c>
      <c r="P64" s="169">
        <f>(INDEX(Models!$BJ64:$BT64,,T64)*(1-R64)+INDEX(Models!$BJ64:$BT64,,T64+1)*R64-ERP_i)*Q64*Ramure*Pc/MaxiM</f>
        <v>3.058268142730669E-2</v>
      </c>
      <c r="Q64" s="305">
        <f t="shared" si="4"/>
        <v>0.7</v>
      </c>
      <c r="R64" s="177">
        <f t="shared" si="5"/>
        <v>0.10448116365054082</v>
      </c>
      <c r="S64" s="817">
        <f t="shared" si="6"/>
        <v>0</v>
      </c>
      <c r="T64" s="176">
        <f t="shared" si="7"/>
        <v>6</v>
      </c>
      <c r="U64" s="251">
        <f t="shared" si="8"/>
        <v>0.10448116365054082</v>
      </c>
      <c r="V64" s="383">
        <f t="shared" si="9"/>
        <v>22.644773507944638</v>
      </c>
      <c r="W64" s="402">
        <f t="shared" si="10"/>
        <v>12.063228416554427</v>
      </c>
      <c r="X64" s="157">
        <f t="shared" si="11"/>
        <v>45341</v>
      </c>
      <c r="Y64" s="385">
        <f t="shared" si="12"/>
        <v>11.337016258305413</v>
      </c>
      <c r="Z64" s="385">
        <f t="shared" si="22"/>
        <v>11.878973804989606</v>
      </c>
      <c r="AA64" s="386">
        <f t="shared" si="13"/>
        <v>13.448401689114544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0.11669995590593274</v>
      </c>
      <c r="AD64" s="231">
        <f>(INDEX(Models!$BJ64:$BT64,,AH64)*(1-AF64)+INDEX(Models!$BJ64:$BT64,,AH64+1)*AF64-ERP_i)*AE64*Ramure*Pc/MaxiM</f>
        <v>3.058268142730669E-2</v>
      </c>
      <c r="AE64" s="305">
        <f t="shared" si="15"/>
        <v>0.7</v>
      </c>
      <c r="AF64" s="177">
        <f t="shared" si="23"/>
        <v>0.10448116365054082</v>
      </c>
      <c r="AG64" s="817">
        <f t="shared" si="24"/>
        <v>0</v>
      </c>
      <c r="AH64" s="176">
        <f t="shared" si="16"/>
        <v>6</v>
      </c>
      <c r="AI64" s="225">
        <f t="shared" si="17"/>
        <v>0.10448116365054082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45342</v>
      </c>
      <c r="B65" s="411">
        <f>'2023'!Wh/'2023'!Env_an*'2024'!Env_an</f>
        <v>13.557493353773298</v>
      </c>
      <c r="C65" s="846"/>
      <c r="D65" s="393">
        <f t="shared" si="0"/>
        <v>14.205910286038808</v>
      </c>
      <c r="E65" s="385">
        <f t="shared" si="1"/>
        <v>15.116499455605362</v>
      </c>
      <c r="F65" s="385">
        <f t="shared" si="2"/>
        <v>15.30330864622116</v>
      </c>
      <c r="G65" s="110">
        <f t="shared" si="21"/>
        <v>0.58064778614279222</v>
      </c>
      <c r="H65" s="414" t="b">
        <f>Wh_hp&gt;='2023'!Maxi_hp</f>
        <v>0</v>
      </c>
      <c r="I65" s="390">
        <f>IF(H65,Wh_hp,'2023'!Maxi_hp)</f>
        <v>26.392814303463727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4.5644166351152982E-2</v>
      </c>
      <c r="M65" s="850"/>
      <c r="N65" s="850"/>
      <c r="O65" s="48">
        <f>IF(t&lt;Tnet,'2023'!Resal+('2023'!Salim-'2023'!Resal)*(1-EXP(('2023'!Tnet-t)/('2023'!Tau_j))),Resal+(Salim-Resal)*(1-EXP((Tnet-t)/(Tau_j))))*Salcycl</f>
        <v>6.0238097599302175E-2</v>
      </c>
      <c r="P65" s="169">
        <f>(INDEX(Models!$BJ65:$BT65,,T65)*(1-R65)+INDEX(Models!$BJ65:$BT65,,T65+1)*R65-ERP_i)*Q65*Ramure*Pc/MaxiM</f>
        <v>2.9372611723818606E-2</v>
      </c>
      <c r="Q65" s="305">
        <f t="shared" si="4"/>
        <v>0.7</v>
      </c>
      <c r="R65" s="177">
        <f t="shared" si="5"/>
        <v>0.10469602605645111</v>
      </c>
      <c r="S65" s="817">
        <f t="shared" si="6"/>
        <v>0</v>
      </c>
      <c r="T65" s="176">
        <f t="shared" si="7"/>
        <v>6</v>
      </c>
      <c r="U65" s="251">
        <f t="shared" si="8"/>
        <v>0.10469602605645111</v>
      </c>
      <c r="V65" s="383">
        <f t="shared" si="9"/>
        <v>22.943162020787796</v>
      </c>
      <c r="W65" s="402">
        <f t="shared" si="10"/>
        <v>13.557493353773298</v>
      </c>
      <c r="X65" s="157">
        <f t="shared" si="11"/>
        <v>45342</v>
      </c>
      <c r="Y65" s="385">
        <f t="shared" si="12"/>
        <v>12.742326838318959</v>
      </c>
      <c r="Z65" s="385">
        <f t="shared" si="22"/>
        <v>13.351756639450132</v>
      </c>
      <c r="AA65" s="386">
        <f t="shared" si="13"/>
        <v>15.116499455605362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0.11674282272413576</v>
      </c>
      <c r="AD65" s="231">
        <f>(INDEX(Models!$BJ65:$BT65,,AH65)*(1-AF65)+INDEX(Models!$BJ65:$BT65,,AH65+1)*AF65-ERP_i)*AE65*Ramure*Pc/MaxiM</f>
        <v>2.9372611723818606E-2</v>
      </c>
      <c r="AE65" s="305">
        <f t="shared" si="15"/>
        <v>0.7</v>
      </c>
      <c r="AF65" s="177">
        <f t="shared" si="23"/>
        <v>0.10469602605645111</v>
      </c>
      <c r="AG65" s="817">
        <f t="shared" si="24"/>
        <v>0</v>
      </c>
      <c r="AH65" s="176">
        <f t="shared" si="16"/>
        <v>6</v>
      </c>
      <c r="AI65" s="225">
        <f t="shared" si="17"/>
        <v>0.10469602605645111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45343</v>
      </c>
      <c r="B66" s="411">
        <f>'2023'!Wh/'2023'!Env_an*'2024'!Env_an</f>
        <v>14.045346229643929</v>
      </c>
      <c r="C66" s="846"/>
      <c r="D66" s="393">
        <f t="shared" si="0"/>
        <v>14.717418147704088</v>
      </c>
      <c r="E66" s="385">
        <f t="shared" si="1"/>
        <v>15.662782584109646</v>
      </c>
      <c r="F66" s="385">
        <f t="shared" si="2"/>
        <v>15.856649251213151</v>
      </c>
      <c r="G66" s="110">
        <f t="shared" si="21"/>
        <v>0.5945776907709307</v>
      </c>
      <c r="H66" s="414" t="b">
        <f>Wh_hp&gt;='2023'!Maxi_hp</f>
        <v>0</v>
      </c>
      <c r="I66" s="390">
        <f>IF(H66,Wh_hp,'2023'!Maxi_hp)</f>
        <v>25.140056728294933</v>
      </c>
      <c r="J66" s="85">
        <f>IF(H66,An,'2023'!An_max)</f>
        <v>2019</v>
      </c>
      <c r="K66" s="197">
        <f t="shared" si="3"/>
        <v>45343</v>
      </c>
      <c r="L66" s="147">
        <f>IF(t&lt;Tvie,1-EXP((T0-t)*PertePVj)+'2023'!Pspv,1-EXP((T0-t)*PertePVj)+Pspv)</f>
        <v>4.566506919319957E-2</v>
      </c>
      <c r="M66" s="850"/>
      <c r="N66" s="850"/>
      <c r="O66" s="48">
        <f>IF(t&lt;Tnet,'2023'!Resal+('2023'!Salim-'2023'!Resal)*(1-EXP(('2023'!Tnet-t)/('2023'!Tau_j))),Resal+(Salim-Resal)*(1-EXP((Tnet-t)/(Tau_j))))*Salcycl</f>
        <v>6.0357374644570347E-2</v>
      </c>
      <c r="P66" s="169">
        <f>(INDEX(Models!$BJ66:$BT66,,T66)*(1-R66)+INDEX(Models!$BJ66:$BT66,,T66+1)*R66-ERP_i)*Q66*Ramure*Pc/MaxiM</f>
        <v>2.8124333416260701E-2</v>
      </c>
      <c r="Q66" s="305">
        <f t="shared" si="4"/>
        <v>0.7</v>
      </c>
      <c r="R66" s="177">
        <f t="shared" si="5"/>
        <v>0.10491970430573773</v>
      </c>
      <c r="S66" s="817">
        <f t="shared" si="6"/>
        <v>0</v>
      </c>
      <c r="T66" s="176">
        <f t="shared" si="7"/>
        <v>6</v>
      </c>
      <c r="U66" s="251">
        <f t="shared" si="8"/>
        <v>0.10491970430573773</v>
      </c>
      <c r="V66" s="383">
        <f t="shared" si="9"/>
        <v>23.242190058515728</v>
      </c>
      <c r="W66" s="402">
        <f t="shared" si="10"/>
        <v>14.045346229643929</v>
      </c>
      <c r="X66" s="157">
        <f t="shared" si="11"/>
        <v>45343</v>
      </c>
      <c r="Y66" s="385">
        <f t="shared" si="12"/>
        <v>13.201882991034884</v>
      </c>
      <c r="Z66" s="385">
        <f t="shared" si="22"/>
        <v>13.833595066958235</v>
      </c>
      <c r="AA66" s="386">
        <f t="shared" si="13"/>
        <v>15.662782584109646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0.11678560353683094</v>
      </c>
      <c r="AD66" s="231">
        <f>(INDEX(Models!$BJ66:$BT66,,AH66)*(1-AF66)+INDEX(Models!$BJ66:$BT66,,AH66+1)*AF66-ERP_i)*AE66*Ramure*Pc/MaxiM</f>
        <v>2.8124333416260701E-2</v>
      </c>
      <c r="AE66" s="305">
        <f t="shared" si="15"/>
        <v>0.7</v>
      </c>
      <c r="AF66" s="177">
        <f t="shared" si="23"/>
        <v>0.10491970430573773</v>
      </c>
      <c r="AG66" s="817">
        <f t="shared" si="24"/>
        <v>0</v>
      </c>
      <c r="AH66" s="176">
        <f t="shared" si="16"/>
        <v>6</v>
      </c>
      <c r="AI66" s="225">
        <f t="shared" si="17"/>
        <v>0.10491970430573773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45344</v>
      </c>
      <c r="B67" s="411">
        <f>'2023'!Wh/'2023'!Env_an*'2024'!Env_an</f>
        <v>21.900720817549594</v>
      </c>
      <c r="C67" s="846"/>
      <c r="D67" s="393">
        <f t="shared" si="0"/>
        <v>22.949176230543408</v>
      </c>
      <c r="E67" s="385">
        <f t="shared" si="1"/>
        <v>24.426398710233592</v>
      </c>
      <c r="F67" s="385">
        <f t="shared" si="2"/>
        <v>25.03208245725909</v>
      </c>
      <c r="G67" s="110">
        <f t="shared" si="21"/>
        <v>0.92776909081839209</v>
      </c>
      <c r="H67" s="414" t="b">
        <f>Wh_hp&gt;='2023'!Maxi_hp</f>
        <v>0</v>
      </c>
      <c r="I67" s="390">
        <f>IF(H67,Wh_hp,'2023'!Maxi_hp)</f>
        <v>26.553607822777124</v>
      </c>
      <c r="J67" s="85">
        <f>IF(H67,An,'2023'!An_max)</f>
        <v>2019</v>
      </c>
      <c r="K67" s="197">
        <f t="shared" si="3"/>
        <v>45344</v>
      </c>
      <c r="L67" s="147">
        <f>IF(t&lt;Tvie,1-EXP((T0-t)*PertePVj)+'2023'!Pspv,1-EXP((T0-t)*PertePVj)+Pspv)</f>
        <v>4.568597157742027E-2</v>
      </c>
      <c r="M67" s="850"/>
      <c r="N67" s="850"/>
      <c r="O67" s="48">
        <f>IF(t&lt;Tnet,'2023'!Resal+('2023'!Salim-'2023'!Resal)*(1-EXP(('2023'!Tnet-t)/('2023'!Tau_j))),Resal+(Salim-Resal)*(1-EXP((Tnet-t)/(Tau_j))))*Salcycl</f>
        <v>6.047647453946179E-2</v>
      </c>
      <c r="P67" s="169">
        <f>(INDEX(Models!$BJ67:$BT67,,T67)*(1-R67)+INDEX(Models!$BJ67:$BT67,,T67+1)*R67-ERP_i)*Q67*Ramure*Pc/MaxiM</f>
        <v>2.6871158774426265E-2</v>
      </c>
      <c r="Q67" s="305">
        <f t="shared" si="4"/>
        <v>0.7</v>
      </c>
      <c r="R67" s="177">
        <f t="shared" si="5"/>
        <v>0.10515255156480702</v>
      </c>
      <c r="S67" s="817">
        <f t="shared" si="6"/>
        <v>0</v>
      </c>
      <c r="T67" s="176">
        <f t="shared" si="7"/>
        <v>6</v>
      </c>
      <c r="U67" s="251">
        <f t="shared" si="8"/>
        <v>0.10515255156480702</v>
      </c>
      <c r="V67" s="383">
        <f t="shared" si="9"/>
        <v>23.54108050459628</v>
      </c>
      <c r="W67" s="402">
        <f t="shared" si="10"/>
        <v>21.900720817549594</v>
      </c>
      <c r="X67" s="157">
        <f t="shared" si="11"/>
        <v>45344</v>
      </c>
      <c r="Y67" s="385">
        <f t="shared" si="12"/>
        <v>20.587134284293374</v>
      </c>
      <c r="Z67" s="385">
        <f t="shared" si="22"/>
        <v>21.572704236908887</v>
      </c>
      <c r="AA67" s="386">
        <f t="shared" si="13"/>
        <v>24.426398710233592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0.11682829332222153</v>
      </c>
      <c r="AD67" s="231">
        <f>(INDEX(Models!$BJ67:$BT67,,AH67)*(1-AF67)+INDEX(Models!$BJ67:$BT67,,AH67+1)*AF67-ERP_i)*AE67*Ramure*Pc/MaxiM</f>
        <v>2.6871158774426265E-2</v>
      </c>
      <c r="AE67" s="305">
        <f t="shared" si="15"/>
        <v>0.7</v>
      </c>
      <c r="AF67" s="177">
        <f t="shared" si="23"/>
        <v>0.10515255156480702</v>
      </c>
      <c r="AG67" s="817">
        <f t="shared" si="24"/>
        <v>0</v>
      </c>
      <c r="AH67" s="176">
        <f t="shared" si="16"/>
        <v>6</v>
      </c>
      <c r="AI67" s="225">
        <f t="shared" si="17"/>
        <v>0.10515255156480702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45345</v>
      </c>
      <c r="B68" s="411">
        <f>'2023'!Wh/'2023'!Env_an*'2024'!Env_an</f>
        <v>22.410880918084018</v>
      </c>
      <c r="C68" s="846"/>
      <c r="D68" s="393">
        <f t="shared" si="0"/>
        <v>23.484273642804915</v>
      </c>
      <c r="E68" s="385">
        <f t="shared" si="1"/>
        <v>24.999104255991796</v>
      </c>
      <c r="F68" s="385">
        <f t="shared" si="2"/>
        <v>25.598617236424008</v>
      </c>
      <c r="G68" s="110">
        <f t="shared" si="21"/>
        <v>0.93794893688289049</v>
      </c>
      <c r="H68" s="414" t="b">
        <f>Wh_hp&gt;='2023'!Maxi_hp</f>
        <v>0</v>
      </c>
      <c r="I68" s="390">
        <f>IF(H68,Wh_hp,'2023'!Maxi_hp)</f>
        <v>27.261868971635646</v>
      </c>
      <c r="J68" s="85">
        <f>IF(H68,An,'2023'!An_max)</f>
        <v>2019</v>
      </c>
      <c r="K68" s="197">
        <f t="shared" si="3"/>
        <v>45345</v>
      </c>
      <c r="L68" s="147">
        <f>IF(t&lt;Tvie,1-EXP((T0-t)*PertePVj)+'2023'!Pspv,1-EXP((T0-t)*PertePVj)+Pspv)</f>
        <v>4.5706873503825074E-2</v>
      </c>
      <c r="M68" s="850"/>
      <c r="N68" s="850"/>
      <c r="O68" s="48">
        <f>IF(t&lt;Tnet,'2023'!Resal+('2023'!Salim-'2023'!Resal)*(1-EXP(('2023'!Tnet-t)/('2023'!Tau_j))),Resal+(Salim-Resal)*(1-EXP((Tnet-t)/(Tau_j))))*Salcycl</f>
        <v>6.0595395645978115E-2</v>
      </c>
      <c r="P68" s="169">
        <f>(INDEX(Models!$BJ68:$BT68,,T68)*(1-R68)+INDEX(Models!$BJ68:$BT68,,T68+1)*R68-ERP_i)*Q68*Ramure*Pc/MaxiM</f>
        <v>2.5612935674967013E-2</v>
      </c>
      <c r="Q68" s="305">
        <f t="shared" si="4"/>
        <v>0.7</v>
      </c>
      <c r="R68" s="177">
        <f t="shared" si="5"/>
        <v>0.10539493442518488</v>
      </c>
      <c r="S68" s="817">
        <f t="shared" si="6"/>
        <v>0</v>
      </c>
      <c r="T68" s="176">
        <f t="shared" si="7"/>
        <v>6</v>
      </c>
      <c r="U68" s="251">
        <f t="shared" si="8"/>
        <v>0.10539493442518488</v>
      </c>
      <c r="V68" s="383">
        <f t="shared" si="9"/>
        <v>23.839838066369236</v>
      </c>
      <c r="W68" s="402">
        <f t="shared" si="10"/>
        <v>22.410880918084018</v>
      </c>
      <c r="X68" s="157">
        <f t="shared" si="11"/>
        <v>45345</v>
      </c>
      <c r="Y68" s="385">
        <f t="shared" si="12"/>
        <v>21.068346115904138</v>
      </c>
      <c r="Z68" s="385">
        <f t="shared" si="22"/>
        <v>22.07743672351452</v>
      </c>
      <c r="AA68" s="386">
        <f t="shared" si="13"/>
        <v>24.999104255991796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0.11687088875502454</v>
      </c>
      <c r="AD68" s="231">
        <f>(INDEX(Models!$BJ68:$BT68,,AH68)*(1-AF68)+INDEX(Models!$BJ68:$BT68,,AH68+1)*AF68-ERP_i)*AE68*Ramure*Pc/MaxiM</f>
        <v>2.5612935674967013E-2</v>
      </c>
      <c r="AE68" s="305">
        <f t="shared" si="15"/>
        <v>0.7</v>
      </c>
      <c r="AF68" s="177">
        <f t="shared" si="23"/>
        <v>0.10539493442518488</v>
      </c>
      <c r="AG68" s="817">
        <f t="shared" si="24"/>
        <v>0</v>
      </c>
      <c r="AH68" s="176">
        <f t="shared" si="16"/>
        <v>6</v>
      </c>
      <c r="AI68" s="225">
        <f t="shared" si="17"/>
        <v>0.10539493442518488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45346</v>
      </c>
      <c r="B69" s="411">
        <f>'2023'!Wh/'2023'!Env_an*'2024'!Env_an</f>
        <v>14.492616939987164</v>
      </c>
      <c r="C69" s="846"/>
      <c r="D69" s="393">
        <f t="shared" si="0"/>
        <v>15.187088715244087</v>
      </c>
      <c r="E69" s="385">
        <f t="shared" si="1"/>
        <v>16.168761095797525</v>
      </c>
      <c r="F69" s="385">
        <f t="shared" si="2"/>
        <v>16.339497634238082</v>
      </c>
      <c r="G69" s="110">
        <f t="shared" si="21"/>
        <v>0.59196133336674317</v>
      </c>
      <c r="H69" s="414" t="b">
        <f>Wh_hp&gt;='2023'!Maxi_hp</f>
        <v>0</v>
      </c>
      <c r="I69" s="390">
        <f>IF(H69,Wh_hp,'2023'!Maxi_hp)</f>
        <v>27.125715294135134</v>
      </c>
      <c r="J69" s="85">
        <f>IF(H69,An,'2023'!An_max)</f>
        <v>2019</v>
      </c>
      <c r="K69" s="197">
        <f t="shared" si="3"/>
        <v>45346</v>
      </c>
      <c r="L69" s="147">
        <f>IF(t&lt;Tvie,1-EXP((T0-t)*PertePVj)+'2023'!Pspv,1-EXP((T0-t)*PertePVj)+Pspv)</f>
        <v>4.5727774972424085E-2</v>
      </c>
      <c r="M69" s="850"/>
      <c r="N69" s="850"/>
      <c r="O69" s="48">
        <f>IF(t&lt;Tnet,'2023'!Resal+('2023'!Salim-'2023'!Resal)*(1-EXP(('2023'!Tnet-t)/('2023'!Tau_j))),Resal+(Salim-Resal)*(1-EXP((Tnet-t)/(Tau_j))))*Salcycl</f>
        <v>6.071413726365138E-2</v>
      </c>
      <c r="P69" s="169">
        <f>(INDEX(Models!$BJ69:$BT69,,T69)*(1-R69)+INDEX(Models!$BJ69:$BT69,,T69+1)*R69-ERP_i)*Q69*Ramure*Pc/MaxiM</f>
        <v>2.4349658799773851E-2</v>
      </c>
      <c r="Q69" s="305">
        <f t="shared" si="4"/>
        <v>0.7</v>
      </c>
      <c r="R69" s="177">
        <f t="shared" si="5"/>
        <v>0.10564723335240317</v>
      </c>
      <c r="S69" s="817">
        <f t="shared" si="6"/>
        <v>0</v>
      </c>
      <c r="T69" s="176">
        <f t="shared" si="7"/>
        <v>6</v>
      </c>
      <c r="U69" s="251">
        <f t="shared" si="8"/>
        <v>0.10564723335240317</v>
      </c>
      <c r="V69" s="383">
        <f t="shared" si="9"/>
        <v>24.138463936519354</v>
      </c>
      <c r="W69" s="402">
        <f t="shared" si="10"/>
        <v>14.492616939987164</v>
      </c>
      <c r="X69" s="157">
        <f t="shared" si="11"/>
        <v>45346</v>
      </c>
      <c r="Y69" s="385">
        <f t="shared" si="12"/>
        <v>13.625496236452717</v>
      </c>
      <c r="Z69" s="385">
        <f t="shared" si="22"/>
        <v>14.278416450881169</v>
      </c>
      <c r="AA69" s="386">
        <f t="shared" si="13"/>
        <v>16.168761095797525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0.11691338833670323</v>
      </c>
      <c r="AD69" s="231">
        <f>(INDEX(Models!$BJ69:$BT69,,AH69)*(1-AF69)+INDEX(Models!$BJ69:$BT69,,AH69+1)*AF69-ERP_i)*AE69*Ramure*Pc/MaxiM</f>
        <v>2.4349658799773851E-2</v>
      </c>
      <c r="AE69" s="305">
        <f t="shared" si="15"/>
        <v>0.7</v>
      </c>
      <c r="AF69" s="177">
        <f t="shared" si="23"/>
        <v>0.10564723335240317</v>
      </c>
      <c r="AG69" s="817">
        <f t="shared" si="24"/>
        <v>0</v>
      </c>
      <c r="AH69" s="176">
        <f t="shared" si="16"/>
        <v>6</v>
      </c>
      <c r="AI69" s="225">
        <f t="shared" si="17"/>
        <v>0.10564723335240317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45347</v>
      </c>
      <c r="B70" s="411">
        <f>'2023'!Wh/'2023'!Env_an*'2024'!Env_an</f>
        <v>20.231618439166212</v>
      </c>
      <c r="C70" s="846"/>
      <c r="D70" s="393">
        <f t="shared" si="0"/>
        <v>21.201561821265656</v>
      </c>
      <c r="E70" s="385">
        <f t="shared" si="1"/>
        <v>22.574850949826288</v>
      </c>
      <c r="F70" s="385">
        <f t="shared" si="2"/>
        <v>22.974772028437673</v>
      </c>
      <c r="G70" s="110">
        <f t="shared" si="21"/>
        <v>0.82312954974849184</v>
      </c>
      <c r="H70" s="414" t="b">
        <f>Wh_hp&gt;='2023'!Maxi_hp</f>
        <v>0</v>
      </c>
      <c r="I70" s="390">
        <f>IF(H70,Wh_hp,'2023'!Maxi_hp)</f>
        <v>27.521029362463523</v>
      </c>
      <c r="J70" s="85">
        <f>IF(H70,An,'2023'!An_max)</f>
        <v>2019</v>
      </c>
      <c r="K70" s="197">
        <f t="shared" si="3"/>
        <v>45347</v>
      </c>
      <c r="L70" s="147">
        <f>IF(t&lt;Tvie,1-EXP((T0-t)*PertePVj)+'2023'!Pspv,1-EXP((T0-t)*PertePVj)+Pspv)</f>
        <v>4.5748675983227294E-2</v>
      </c>
      <c r="M70" s="850"/>
      <c r="N70" s="850"/>
      <c r="O70" s="48">
        <f>IF(t&lt;Tnet,'2023'!Resal+('2023'!Salim-'2023'!Resal)*(1-EXP(('2023'!Tnet-t)/('2023'!Tau_j))),Resal+(Salim-Resal)*(1-EXP((Tnet-t)/(Tau_j))))*Salcycl</f>
        <v>6.0832699698121356E-2</v>
      </c>
      <c r="P70" s="169">
        <f>(INDEX(Models!$BJ70:$BT70,,T70)*(1-R70)+INDEX(Models!$BJ70:$BT70,,T70+1)*R70-ERP_i)*Q70*Ramure*Pc/MaxiM</f>
        <v>2.3081323780352919E-2</v>
      </c>
      <c r="Q70" s="305">
        <f t="shared" si="4"/>
        <v>0.7</v>
      </c>
      <c r="R70" s="177">
        <f t="shared" si="5"/>
        <v>0.10590984314453922</v>
      </c>
      <c r="S70" s="817">
        <f t="shared" si="6"/>
        <v>0</v>
      </c>
      <c r="T70" s="176">
        <f t="shared" si="7"/>
        <v>6</v>
      </c>
      <c r="U70" s="251">
        <f t="shared" si="8"/>
        <v>0.10590984314453922</v>
      </c>
      <c r="V70" s="383">
        <f t="shared" si="9"/>
        <v>24.436959237334896</v>
      </c>
      <c r="W70" s="402">
        <f t="shared" si="10"/>
        <v>20.231618439166212</v>
      </c>
      <c r="X70" s="157">
        <f t="shared" si="11"/>
        <v>45347</v>
      </c>
      <c r="Y70" s="385">
        <f t="shared" si="12"/>
        <v>19.022610204865853</v>
      </c>
      <c r="Z70" s="385">
        <f t="shared" si="22"/>
        <v>19.934591366133116</v>
      </c>
      <c r="AA70" s="386">
        <f t="shared" si="13"/>
        <v>22.574850949826288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0.11695579251270713</v>
      </c>
      <c r="AD70" s="231">
        <f>(INDEX(Models!$BJ70:$BT70,,AH70)*(1-AF70)+INDEX(Models!$BJ70:$BT70,,AH70+1)*AF70-ERP_i)*AE70*Ramure*Pc/MaxiM</f>
        <v>2.3081323780352919E-2</v>
      </c>
      <c r="AE70" s="305">
        <f t="shared" si="15"/>
        <v>0.7</v>
      </c>
      <c r="AF70" s="177">
        <f t="shared" si="23"/>
        <v>0.10590984314453922</v>
      </c>
      <c r="AG70" s="817">
        <f t="shared" si="24"/>
        <v>0</v>
      </c>
      <c r="AH70" s="176">
        <f t="shared" si="16"/>
        <v>6</v>
      </c>
      <c r="AI70" s="225">
        <f t="shared" si="17"/>
        <v>0.10590984314453922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45348</v>
      </c>
      <c r="B71" s="411">
        <f>'2023'!Wh/'2023'!Env_an*'2024'!Env_an</f>
        <v>25.368075849620087</v>
      </c>
      <c r="C71" s="846"/>
      <c r="D71" s="393">
        <f t="shared" si="0"/>
        <v>26.584853328755401</v>
      </c>
      <c r="E71" s="385">
        <f t="shared" si="1"/>
        <v>28.310403095017669</v>
      </c>
      <c r="F71" s="385">
        <f t="shared" si="2"/>
        <v>28.941558485562073</v>
      </c>
      <c r="G71" s="110">
        <f t="shared" si="21"/>
        <v>1.02558085752066</v>
      </c>
      <c r="H71" s="414" t="b">
        <f>Wh_hp&gt;='2023'!Maxi_hp</f>
        <v>1</v>
      </c>
      <c r="I71" s="390">
        <f>IF(H71,Wh_hp,'2023'!Maxi_hp)</f>
        <v>28.941558485562073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4.5769576536244805E-2</v>
      </c>
      <c r="M71" s="850"/>
      <c r="N71" s="850"/>
      <c r="O71" s="48">
        <f>IF(t&lt;Tnet,'2023'!Resal+('2023'!Salim-'2023'!Resal)*(1-EXP(('2023'!Tnet-t)/('2023'!Tau_j))),Resal+(Salim-Resal)*(1-EXP((Tnet-t)/(Tau_j))))*Salcycl</f>
        <v>6.0951084322990387E-2</v>
      </c>
      <c r="P71" s="169">
        <f>(INDEX(Models!$BJ71:$BT71,,T71)*(1-R71)+INDEX(Models!$BJ71:$BT71,,T71+1)*R71-ERP_i)*Q71*Ramure*Pc/MaxiM</f>
        <v>2.1807926855744914E-2</v>
      </c>
      <c r="Q71" s="305">
        <f t="shared" si="4"/>
        <v>0.7</v>
      </c>
      <c r="R71" s="177">
        <f t="shared" si="5"/>
        <v>0.10618317340010452</v>
      </c>
      <c r="S71" s="817">
        <f t="shared" si="6"/>
        <v>0</v>
      </c>
      <c r="T71" s="176">
        <f t="shared" si="7"/>
        <v>6</v>
      </c>
      <c r="U71" s="251">
        <f t="shared" si="8"/>
        <v>0.10618317340010452</v>
      </c>
      <c r="V71" s="383">
        <f t="shared" si="9"/>
        <v>24.735325024442606</v>
      </c>
      <c r="W71" s="402">
        <f t="shared" si="10"/>
        <v>25.368075849620087</v>
      </c>
      <c r="X71" s="157">
        <f t="shared" si="11"/>
        <v>45348</v>
      </c>
      <c r="Y71" s="385">
        <f t="shared" si="12"/>
        <v>23.853985351364624</v>
      </c>
      <c r="Z71" s="385">
        <f t="shared" si="22"/>
        <v>24.998139615772455</v>
      </c>
      <c r="AA71" s="386">
        <f t="shared" si="13"/>
        <v>28.310403095017669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0.11699810377578608</v>
      </c>
      <c r="AD71" s="231">
        <f>(INDEX(Models!$BJ71:$BT71,,AH71)*(1-AF71)+INDEX(Models!$BJ71:$BT71,,AH71+1)*AF71-ERP_i)*AE71*Ramure*Pc/MaxiM</f>
        <v>2.1807926855744914E-2</v>
      </c>
      <c r="AE71" s="305">
        <f t="shared" si="15"/>
        <v>0.7</v>
      </c>
      <c r="AF71" s="177">
        <f t="shared" si="23"/>
        <v>0.10618317340010452</v>
      </c>
      <c r="AG71" s="817">
        <f t="shared" si="24"/>
        <v>0</v>
      </c>
      <c r="AH71" s="176">
        <f t="shared" si="16"/>
        <v>6</v>
      </c>
      <c r="AI71" s="225">
        <f t="shared" si="17"/>
        <v>0.10618317340010452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45349</v>
      </c>
      <c r="B72" s="411">
        <f>'2023'!Wh/'2023'!Env_an*'2024'!Env_an</f>
        <v>17.168159366825421</v>
      </c>
      <c r="C72" s="846"/>
      <c r="D72" s="393">
        <f t="shared" si="0"/>
        <v>17.992022659990909</v>
      </c>
      <c r="E72" s="385">
        <f t="shared" si="1"/>
        <v>19.162247584420278</v>
      </c>
      <c r="F72" s="385">
        <f t="shared" si="2"/>
        <v>19.381612282778381</v>
      </c>
      <c r="G72" s="110">
        <f t="shared" si="21"/>
        <v>0.67941622214385233</v>
      </c>
      <c r="H72" s="414" t="b">
        <f>Wh_hp&gt;='2023'!Maxi_hp</f>
        <v>0</v>
      </c>
      <c r="I72" s="390">
        <f>IF(H72,Wh_hp,'2023'!Maxi_hp)</f>
        <v>28.603433631443369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4.5790476631486499E-2</v>
      </c>
      <c r="M72" s="850"/>
      <c r="N72" s="850"/>
      <c r="O72" s="48">
        <f>IF(t&lt;Tnet,'2023'!Resal+('2023'!Salim-'2023'!Resal)*(1-EXP(('2023'!Tnet-t)/('2023'!Tau_j))),Resal+(Salim-Resal)*(1-EXP((Tnet-t)/(Tau_j))))*Salcycl</f>
        <v>6.1069293634469744E-2</v>
      </c>
      <c r="P72" s="169">
        <f>(INDEX(Models!$BJ72:$BT72,,T72)*(1-R72)+INDEX(Models!$BJ72:$BT72,,T72+1)*R72-ERP_i)*Q72*Ramure*Pc/MaxiM</f>
        <v>2.053532745211236E-2</v>
      </c>
      <c r="Q72" s="305">
        <f t="shared" si="4"/>
        <v>0.7</v>
      </c>
      <c r="R72" s="177">
        <f t="shared" si="5"/>
        <v>0.10646764899491465</v>
      </c>
      <c r="S72" s="817">
        <f t="shared" si="6"/>
        <v>0</v>
      </c>
      <c r="T72" s="176">
        <f t="shared" si="7"/>
        <v>6</v>
      </c>
      <c r="U72" s="251">
        <f t="shared" si="8"/>
        <v>0.10646764899491465</v>
      </c>
      <c r="V72" s="383">
        <f t="shared" si="9"/>
        <v>25.033412444410374</v>
      </c>
      <c r="W72" s="402">
        <f t="shared" si="10"/>
        <v>17.168159366825421</v>
      </c>
      <c r="X72" s="157">
        <f t="shared" si="11"/>
        <v>45349</v>
      </c>
      <c r="Y72" s="385">
        <f t="shared" si="12"/>
        <v>16.144740268890082</v>
      </c>
      <c r="Z72" s="385">
        <f t="shared" si="22"/>
        <v>16.91949186578703</v>
      </c>
      <c r="AA72" s="386">
        <f t="shared" si="13"/>
        <v>19.162247584420278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0.11704032675460799</v>
      </c>
      <c r="AD72" s="231">
        <f>(INDEX(Models!$BJ72:$BT72,,AH72)*(1-AF72)+INDEX(Models!$BJ72:$BT72,,AH72+1)*AF72-ERP_i)*AE72*Ramure*Pc/MaxiM</f>
        <v>2.053532745211236E-2</v>
      </c>
      <c r="AE72" s="305">
        <f t="shared" si="15"/>
        <v>0.7</v>
      </c>
      <c r="AF72" s="177">
        <f t="shared" si="23"/>
        <v>0.10646764899491465</v>
      </c>
      <c r="AG72" s="817">
        <f t="shared" si="24"/>
        <v>0</v>
      </c>
      <c r="AH72" s="176">
        <f t="shared" si="16"/>
        <v>6</v>
      </c>
      <c r="AI72" s="225">
        <f t="shared" si="17"/>
        <v>0.10646764899491465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45350</v>
      </c>
      <c r="B73" s="411">
        <f>'2023'!Wh/'2023'!Env_an*'2024'!Env_an</f>
        <v>22.464401411601873</v>
      </c>
      <c r="C73" s="846"/>
      <c r="D73" s="393">
        <f t="shared" si="0"/>
        <v>23.5429356973072</v>
      </c>
      <c r="E73" s="385">
        <f t="shared" si="1"/>
        <v>25.077351938452225</v>
      </c>
      <c r="F73" s="385">
        <f t="shared" si="2"/>
        <v>25.489243671074465</v>
      </c>
      <c r="G73" s="110">
        <f t="shared" si="21"/>
        <v>0.88402874562405631</v>
      </c>
      <c r="H73" s="414" t="b">
        <f>Wh_hp&gt;='2023'!Maxi_hp</f>
        <v>0</v>
      </c>
      <c r="I73" s="390">
        <f>IF(H73,Wh_hp,'2023'!Maxi_hp)</f>
        <v>25.521075885672495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4.5811376268962367E-2</v>
      </c>
      <c r="M73" s="850"/>
      <c r="N73" s="850"/>
      <c r="O73" s="48">
        <f>IF(t&lt;Tnet,'2023'!Resal+('2023'!Salim-'2023'!Resal)*(1-EXP(('2023'!Tnet-t)/('2023'!Tau_j))),Resal+(Salim-Resal)*(1-EXP((Tnet-t)/(Tau_j))))*Salcycl</f>
        <v>6.1187331298414957E-2</v>
      </c>
      <c r="P73" s="169">
        <f>(INDEX(Models!$BJ73:$BT73,,T73)*(1-R73)+INDEX(Models!$BJ73:$BT73,,T73+1)*R73-ERP_i)*Q73*Ramure*Pc/MaxiM</f>
        <v>1.9275525700395462E-2</v>
      </c>
      <c r="Q73" s="305">
        <f t="shared" si="4"/>
        <v>0.7</v>
      </c>
      <c r="R73" s="177">
        <f t="shared" si="5"/>
        <v>0.10676371056750231</v>
      </c>
      <c r="S73" s="817">
        <f t="shared" si="6"/>
        <v>0</v>
      </c>
      <c r="T73" s="176">
        <f t="shared" si="7"/>
        <v>6</v>
      </c>
      <c r="U73" s="251">
        <f t="shared" si="8"/>
        <v>0.10676371056750231</v>
      </c>
      <c r="V73" s="383">
        <f t="shared" si="9"/>
        <v>25.330907635360649</v>
      </c>
      <c r="W73" s="402">
        <f t="shared" si="10"/>
        <v>22.464401411601873</v>
      </c>
      <c r="X73" s="157">
        <f t="shared" si="11"/>
        <v>45350</v>
      </c>
      <c r="Y73" s="385">
        <f t="shared" si="12"/>
        <v>21.126913288431993</v>
      </c>
      <c r="Z73" s="385">
        <f t="shared" si="22"/>
        <v>22.141233675394513</v>
      </c>
      <c r="AA73" s="386">
        <f t="shared" si="13"/>
        <v>25.077351938452225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0.11708246828707737</v>
      </c>
      <c r="AD73" s="231">
        <f>(INDEX(Models!$BJ73:$BT73,,AH73)*(1-AF73)+INDEX(Models!$BJ73:$BT73,,AH73+1)*AF73-ERP_i)*AE73*Ramure*Pc/MaxiM</f>
        <v>1.9275525700395462E-2</v>
      </c>
      <c r="AE73" s="305">
        <f t="shared" si="15"/>
        <v>0.7</v>
      </c>
      <c r="AF73" s="177">
        <f t="shared" si="23"/>
        <v>0.10676371056750231</v>
      </c>
      <c r="AG73" s="817">
        <f t="shared" si="24"/>
        <v>0</v>
      </c>
      <c r="AH73" s="176">
        <f t="shared" si="16"/>
        <v>6</v>
      </c>
      <c r="AI73" s="225">
        <f t="shared" si="17"/>
        <v>0.10676371056750231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45351</v>
      </c>
      <c r="B74" s="411">
        <f>'2023'!Wh/'2023'!Env_an*'2024'!Env_an</f>
        <v>25.230176614596978</v>
      </c>
      <c r="C74" s="846"/>
      <c r="D74" s="393">
        <f t="shared" si="0"/>
        <v>26.442077179314651</v>
      </c>
      <c r="E74" s="385">
        <f t="shared" si="1"/>
        <v>28.16898233695203</v>
      </c>
      <c r="F74" s="385">
        <f t="shared" si="2"/>
        <v>28.674465880790084</v>
      </c>
      <c r="G74" s="110">
        <f t="shared" si="21"/>
        <v>0.98408377081532628</v>
      </c>
      <c r="H74" s="414" t="b">
        <f>Wh_hp&gt;='2023'!Maxi_hp</f>
        <v>0</v>
      </c>
      <c r="I74" s="390">
        <f>IF(H74,Wh_hp,'2023'!Maxi_hp)</f>
        <v>28.679109175623339</v>
      </c>
      <c r="J74" s="85">
        <f>IF(H74,An,'2023'!An_max)</f>
        <v>2022</v>
      </c>
      <c r="K74" s="197">
        <f t="shared" si="3"/>
        <v>45351</v>
      </c>
      <c r="L74" s="147">
        <f>IF(t&lt;Tvie,1-EXP((T0-t)*PertePVj)+'2023'!Pspv,1-EXP((T0-t)*PertePVj)+Pspv)</f>
        <v>4.5832275448682624E-2</v>
      </c>
      <c r="M74" s="850"/>
      <c r="N74" s="850"/>
      <c r="O74" s="48">
        <f>IF(t&lt;Tnet,'2023'!Resal+('2023'!Salim-'2023'!Resal)*(1-EXP(('2023'!Tnet-t)/('2023'!Tau_j))),Resal+(Salim-Resal)*(1-EXP((Tnet-t)/(Tau_j))))*Salcycl</f>
        <v>6.1305202189431925E-2</v>
      </c>
      <c r="P74" s="169">
        <f>(INDEX(Models!$BJ74:$BT74,,T74)*(1-R74)+INDEX(Models!$BJ74:$BT74,,T74+1)*R74-ERP_i)*Q74*Ramure*Pc/MaxiM</f>
        <v>1.802794730233882E-2</v>
      </c>
      <c r="Q74" s="305">
        <f t="shared" si="4"/>
        <v>0.7</v>
      </c>
      <c r="R74" s="177">
        <f t="shared" si="5"/>
        <v>0.10707181501256109</v>
      </c>
      <c r="S74" s="817">
        <f t="shared" si="6"/>
        <v>0</v>
      </c>
      <c r="T74" s="176">
        <f t="shared" si="7"/>
        <v>6</v>
      </c>
      <c r="U74" s="251">
        <f t="shared" si="8"/>
        <v>0.10707181501256109</v>
      </c>
      <c r="V74" s="383">
        <f t="shared" si="9"/>
        <v>25.627811936452868</v>
      </c>
      <c r="W74" s="402">
        <f t="shared" si="10"/>
        <v>25.230176614596978</v>
      </c>
      <c r="X74" s="157">
        <f t="shared" si="11"/>
        <v>45351</v>
      </c>
      <c r="Y74" s="385">
        <f t="shared" si="12"/>
        <v>23.729868217104208</v>
      </c>
      <c r="Z74" s="385">
        <f t="shared" si="22"/>
        <v>24.869703309512815</v>
      </c>
      <c r="AA74" s="386">
        <f t="shared" si="13"/>
        <v>28.16898233695203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0.11712453747792034</v>
      </c>
      <c r="AD74" s="231">
        <f>(INDEX(Models!$BJ74:$BT74,,AH74)*(1-AF74)+INDEX(Models!$BJ74:$BT74,,AH74+1)*AF74-ERP_i)*AE74*Ramure*Pc/MaxiM</f>
        <v>1.802794730233882E-2</v>
      </c>
      <c r="AE74" s="305">
        <f t="shared" si="15"/>
        <v>0.7</v>
      </c>
      <c r="AF74" s="177">
        <f t="shared" si="23"/>
        <v>0.10707181501256109</v>
      </c>
      <c r="AG74" s="817">
        <f t="shared" si="24"/>
        <v>0</v>
      </c>
      <c r="AH74" s="176">
        <f t="shared" si="16"/>
        <v>6</v>
      </c>
      <c r="AI74" s="225">
        <f t="shared" si="17"/>
        <v>0.10707181501256109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45352</v>
      </c>
      <c r="B75" s="411">
        <f>'2023'!Wh/'2023'!Env_an*'2024'!Env_an</f>
        <v>9.2867294458367109</v>
      </c>
      <c r="C75" s="846"/>
      <c r="D75" s="393">
        <f t="shared" si="0"/>
        <v>9.7330192738048495</v>
      </c>
      <c r="E75" s="385">
        <f t="shared" si="1"/>
        <v>10.369973231414686</v>
      </c>
      <c r="F75" s="385">
        <f t="shared" si="2"/>
        <v>10.384478196646146</v>
      </c>
      <c r="G75" s="110">
        <f t="shared" si="21"/>
        <v>0.35270456957227181</v>
      </c>
      <c r="H75" s="414" t="b">
        <f>Wh_hp&gt;='2023'!Maxi_hp</f>
        <v>0</v>
      </c>
      <c r="I75" s="390">
        <f>IF(H75,Wh_hp,'2023'!Maxi_hp)</f>
        <v>19.932639932535867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4.5853174170657263E-2</v>
      </c>
      <c r="M75" s="850"/>
      <c r="N75" s="850"/>
      <c r="O75" s="48">
        <f>IF(t&lt;Tnet,'2023'!Resal+('2023'!Salim-'2023'!Resal)*(1-EXP(('2023'!Tnet-t)/('2023'!Tau_j))),Resal+(Salim-Resal)*(1-EXP((Tnet-t)/(Tau_j))))*Salcycl</f>
        <v>6.1422912421823427E-2</v>
      </c>
      <c r="P75" s="169">
        <f>(INDEX(Models!$BJ75:$BT75,,T75)*(1-R75)+INDEX(Models!$BJ75:$BT75,,T75+1)*R75-ERP_i)*Q75*Ramure*Pc/MaxiM</f>
        <v>1.6792042844576086E-2</v>
      </c>
      <c r="Q75" s="305">
        <f t="shared" si="4"/>
        <v>0.7</v>
      </c>
      <c r="R75" s="177">
        <f t="shared" si="5"/>
        <v>0.10739243598182265</v>
      </c>
      <c r="S75" s="817">
        <f t="shared" si="6"/>
        <v>0</v>
      </c>
      <c r="T75" s="176">
        <f t="shared" si="7"/>
        <v>6</v>
      </c>
      <c r="U75" s="251">
        <f t="shared" si="8"/>
        <v>0.10739243598182265</v>
      </c>
      <c r="V75" s="383">
        <f t="shared" si="9"/>
        <v>25.924126684379026</v>
      </c>
      <c r="W75" s="402">
        <f t="shared" si="10"/>
        <v>9.2867294458367109</v>
      </c>
      <c r="X75" s="157">
        <f t="shared" si="11"/>
        <v>45352</v>
      </c>
      <c r="Y75" s="385">
        <f t="shared" si="12"/>
        <v>8.735175345691216</v>
      </c>
      <c r="Z75" s="385">
        <f t="shared" si="22"/>
        <v>9.1549592884707423</v>
      </c>
      <c r="AA75" s="386">
        <f t="shared" si="13"/>
        <v>10.369973231414686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0.11716654574027195</v>
      </c>
      <c r="AD75" s="231">
        <f>(INDEX(Models!$BJ75:$BT75,,AH75)*(1-AF75)+INDEX(Models!$BJ75:$BT75,,AH75+1)*AF75-ERP_i)*AE75*Ramure*Pc/MaxiM</f>
        <v>1.6792042844576086E-2</v>
      </c>
      <c r="AE75" s="305">
        <f t="shared" si="15"/>
        <v>0.7</v>
      </c>
      <c r="AF75" s="177">
        <f t="shared" si="23"/>
        <v>0.10739243598182265</v>
      </c>
      <c r="AG75" s="817">
        <f t="shared" si="24"/>
        <v>0</v>
      </c>
      <c r="AH75" s="176">
        <f t="shared" si="16"/>
        <v>6</v>
      </c>
      <c r="AI75" s="225">
        <f t="shared" si="17"/>
        <v>0.10739243598182265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45353</v>
      </c>
      <c r="B76" s="411">
        <f>'2023'!Wh/'2023'!Env_an*'2024'!Env_an</f>
        <v>23.842863217582519</v>
      </c>
      <c r="C76" s="846"/>
      <c r="D76" s="393">
        <f t="shared" si="0"/>
        <v>24.989220530280186</v>
      </c>
      <c r="E76" s="385">
        <f t="shared" si="1"/>
        <v>26.627914912392651</v>
      </c>
      <c r="F76" s="385">
        <f t="shared" si="2"/>
        <v>26.993711725608922</v>
      </c>
      <c r="G76" s="110">
        <f t="shared" si="21"/>
        <v>0.90748537294245524</v>
      </c>
      <c r="H76" s="414" t="b">
        <f>Wh_hp&gt;='2023'!Maxi_hp</f>
        <v>0</v>
      </c>
      <c r="I76" s="390">
        <f>IF(H76,Wh_hp,'2023'!Maxi_hp)</f>
        <v>27.01618388081711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4.5874072434896163E-2</v>
      </c>
      <c r="M76" s="850"/>
      <c r="N76" s="850"/>
      <c r="O76" s="48">
        <f>IF(t&lt;Tnet,'2023'!Resal+('2023'!Salim-'2023'!Resal)*(1-EXP(('2023'!Tnet-t)/('2023'!Tau_j))),Resal+(Salim-Resal)*(1-EXP((Tnet-t)/(Tau_j))))*Salcycl</f>
        <v>6.1540469372230684E-2</v>
      </c>
      <c r="P76" s="169">
        <f>(INDEX(Models!$BJ76:$BT76,,T76)*(1-R76)+INDEX(Models!$BJ76:$BT76,,T76+1)*R76-ERP_i)*Q76*Ramure*Pc/MaxiM</f>
        <v>1.5567285643798591E-2</v>
      </c>
      <c r="Q76" s="305">
        <f t="shared" si="4"/>
        <v>0.7</v>
      </c>
      <c r="R76" s="177">
        <f t="shared" si="5"/>
        <v>0.10772606439168053</v>
      </c>
      <c r="S76" s="817">
        <f t="shared" si="6"/>
        <v>0</v>
      </c>
      <c r="T76" s="176">
        <f t="shared" si="7"/>
        <v>6</v>
      </c>
      <c r="U76" s="251">
        <f t="shared" si="8"/>
        <v>0.10772606439168053</v>
      </c>
      <c r="V76" s="383">
        <f t="shared" si="9"/>
        <v>26.219853228312569</v>
      </c>
      <c r="W76" s="402">
        <f t="shared" si="10"/>
        <v>23.842863217582519</v>
      </c>
      <c r="X76" s="157">
        <f t="shared" si="11"/>
        <v>45353</v>
      </c>
      <c r="Y76" s="385">
        <f t="shared" si="12"/>
        <v>22.428539680798384</v>
      </c>
      <c r="Z76" s="385">
        <f t="shared" si="22"/>
        <v>23.506896765750028</v>
      </c>
      <c r="AA76" s="386">
        <f t="shared" si="13"/>
        <v>26.627914912392651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0.11720850682116675</v>
      </c>
      <c r="AD76" s="231">
        <f>(INDEX(Models!$BJ76:$BT76,,AH76)*(1-AF76)+INDEX(Models!$BJ76:$BT76,,AH76+1)*AF76-ERP_i)*AE76*Ramure*Pc/MaxiM</f>
        <v>1.5567285643798591E-2</v>
      </c>
      <c r="AE76" s="305">
        <f t="shared" si="15"/>
        <v>0.7</v>
      </c>
      <c r="AF76" s="177">
        <f t="shared" si="23"/>
        <v>0.10772606439168053</v>
      </c>
      <c r="AG76" s="817">
        <f t="shared" si="24"/>
        <v>0</v>
      </c>
      <c r="AH76" s="176">
        <f t="shared" si="16"/>
        <v>6</v>
      </c>
      <c r="AI76" s="225">
        <f t="shared" si="17"/>
        <v>0.10772606439168053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45354</v>
      </c>
      <c r="B77" s="411">
        <f>'2023'!Wh/'2023'!Env_an*'2024'!Env_an</f>
        <v>3.6425475860274608</v>
      </c>
      <c r="C77" s="846"/>
      <c r="D77" s="393">
        <f t="shared" si="0"/>
        <v>3.8177637392280652</v>
      </c>
      <c r="E77" s="385">
        <f t="shared" si="1"/>
        <v>4.068626639204858</v>
      </c>
      <c r="F77" s="385">
        <f t="shared" si="2"/>
        <v>4.068626639204858</v>
      </c>
      <c r="G77" s="110">
        <f t="shared" si="21"/>
        <v>0.13540510796013636</v>
      </c>
      <c r="H77" s="414" t="b">
        <f>Wh_hp&gt;='2023'!Maxi_hp</f>
        <v>0</v>
      </c>
      <c r="I77" s="390">
        <f>IF(H77,Wh_hp,'2023'!Maxi_hp)</f>
        <v>21.87797527558812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4.5894970241409538E-2</v>
      </c>
      <c r="M77" s="850"/>
      <c r="N77" s="850"/>
      <c r="O77" s="48">
        <f>IF(t&lt;Tnet,'2023'!Resal+('2023'!Salim-'2023'!Resal)*(1-EXP(('2023'!Tnet-t)/('2023'!Tau_j))),Resal+(Salim-Resal)*(1-EXP((Tnet-t)/(Tau_j))))*Salcycl</f>
        <v>6.1657881693912231E-2</v>
      </c>
      <c r="P77" s="169">
        <f>(INDEX(Models!$BJ77:$BT77,,T77)*(1-R77)+INDEX(Models!$BJ77:$BT77,,T77+1)*R77-ERP_i)*Q77*Ramure*Pc/MaxiM</f>
        <v>1.435316968718791E-2</v>
      </c>
      <c r="Q77" s="305">
        <f t="shared" si="4"/>
        <v>0.7</v>
      </c>
      <c r="R77" s="177">
        <f t="shared" si="5"/>
        <v>0.10807320893677881</v>
      </c>
      <c r="S77" s="817">
        <f t="shared" si="6"/>
        <v>0</v>
      </c>
      <c r="T77" s="176">
        <f t="shared" si="7"/>
        <v>6</v>
      </c>
      <c r="U77" s="251">
        <f t="shared" si="8"/>
        <v>0.10807320893677881</v>
      </c>
      <c r="V77" s="383">
        <f t="shared" si="9"/>
        <v>26.514992946119406</v>
      </c>
      <c r="W77" s="402">
        <f t="shared" si="10"/>
        <v>3.6425475860274608</v>
      </c>
      <c r="X77" s="157">
        <f t="shared" si="11"/>
        <v>45354</v>
      </c>
      <c r="Y77" s="385">
        <f t="shared" si="12"/>
        <v>3.4267430052756178</v>
      </c>
      <c r="Z77" s="385">
        <f t="shared" si="22"/>
        <v>3.5915783885372234</v>
      </c>
      <c r="AA77" s="386">
        <f t="shared" si="13"/>
        <v>4.068626639204858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0.1172504368109985</v>
      </c>
      <c r="AD77" s="231">
        <f>(INDEX(Models!$BJ77:$BT77,,AH77)*(1-AF77)+INDEX(Models!$BJ77:$BT77,,AH77+1)*AF77-ERP_i)*AE77*Ramure*Pc/MaxiM</f>
        <v>1.435316968718791E-2</v>
      </c>
      <c r="AE77" s="305">
        <f t="shared" si="15"/>
        <v>0.7</v>
      </c>
      <c r="AF77" s="177">
        <f t="shared" si="23"/>
        <v>0.10807320893677881</v>
      </c>
      <c r="AG77" s="817">
        <f t="shared" si="24"/>
        <v>0</v>
      </c>
      <c r="AH77" s="176">
        <f t="shared" si="16"/>
        <v>6</v>
      </c>
      <c r="AI77" s="225">
        <f t="shared" si="17"/>
        <v>0.10807320893677881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45355</v>
      </c>
      <c r="B78" s="411">
        <f>'2023'!Wh/'2023'!Env_an*'2024'!Env_an</f>
        <v>9.3438260792855274</v>
      </c>
      <c r="C78" s="846"/>
      <c r="D78" s="393">
        <f t="shared" si="0"/>
        <v>9.7935032790926044</v>
      </c>
      <c r="E78" s="385">
        <f t="shared" si="1"/>
        <v>10.438332960809865</v>
      </c>
      <c r="F78" s="385">
        <f t="shared" si="2"/>
        <v>10.447856620007</v>
      </c>
      <c r="G78" s="110">
        <f t="shared" si="21"/>
        <v>0.34425703054675372</v>
      </c>
      <c r="H78" s="414" t="b">
        <f>Wh_hp&gt;='2023'!Maxi_hp</f>
        <v>0</v>
      </c>
      <c r="I78" s="390">
        <f>IF(H78,Wh_hp,'2023'!Maxi_hp)</f>
        <v>29.771929629009751</v>
      </c>
      <c r="J78" s="85">
        <f>IF(H78,An,'2023'!An_max)</f>
        <v>2019</v>
      </c>
      <c r="K78" s="197">
        <f t="shared" si="3"/>
        <v>45355</v>
      </c>
      <c r="L78" s="147">
        <f>IF(t&lt;Tvie,1-EXP((T0-t)*PertePVj)+'2023'!Pspv,1-EXP((T0-t)*PertePVj)+Pspv)</f>
        <v>4.5915867590207271E-2</v>
      </c>
      <c r="M78" s="850"/>
      <c r="N78" s="850"/>
      <c r="O78" s="48">
        <f>IF(t&lt;Tnet,'2023'!Resal+('2023'!Salim-'2023'!Resal)*(1-EXP(('2023'!Tnet-t)/('2023'!Tau_j))),Resal+(Salim-Resal)*(1-EXP((Tnet-t)/(Tau_j))))*Salcycl</f>
        <v>6.1775159322684695E-2</v>
      </c>
      <c r="P78" s="169">
        <f>(INDEX(Models!$BJ78:$BT78,,T78)*(1-R78)+INDEX(Models!$BJ78:$BT78,,T78+1)*R78-ERP_i)*Q78*Ramure*Pc/MaxiM</f>
        <v>1.3149207662395683E-2</v>
      </c>
      <c r="Q78" s="305">
        <f t="shared" si="4"/>
        <v>0.7</v>
      </c>
      <c r="R78" s="177">
        <f t="shared" si="5"/>
        <v>0.10843439660867446</v>
      </c>
      <c r="S78" s="817">
        <f t="shared" si="6"/>
        <v>0</v>
      </c>
      <c r="T78" s="176">
        <f t="shared" si="7"/>
        <v>6</v>
      </c>
      <c r="U78" s="251">
        <f t="shared" si="8"/>
        <v>0.10843439660867446</v>
      </c>
      <c r="V78" s="383">
        <f t="shared" si="9"/>
        <v>26.809547265895048</v>
      </c>
      <c r="W78" s="402">
        <f t="shared" si="10"/>
        <v>9.3438260792855274</v>
      </c>
      <c r="X78" s="157">
        <f t="shared" si="11"/>
        <v>45355</v>
      </c>
      <c r="Y78" s="385">
        <f t="shared" si="12"/>
        <v>8.7909276798124498</v>
      </c>
      <c r="Z78" s="385">
        <f t="shared" si="22"/>
        <v>9.2139963145688508</v>
      </c>
      <c r="AA78" s="386">
        <f t="shared" si="13"/>
        <v>10.438332960809865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0.11729235413717073</v>
      </c>
      <c r="AD78" s="231">
        <f>(INDEX(Models!$BJ78:$BT78,,AH78)*(1-AF78)+INDEX(Models!$BJ78:$BT78,,AH78+1)*AF78-ERP_i)*AE78*Ramure*Pc/MaxiM</f>
        <v>1.3149207662395683E-2</v>
      </c>
      <c r="AE78" s="305">
        <f t="shared" si="15"/>
        <v>0.7</v>
      </c>
      <c r="AF78" s="177">
        <f t="shared" si="23"/>
        <v>0.10843439660867446</v>
      </c>
      <c r="AG78" s="817">
        <f t="shared" si="24"/>
        <v>0</v>
      </c>
      <c r="AH78" s="176">
        <f t="shared" si="16"/>
        <v>6</v>
      </c>
      <c r="AI78" s="225">
        <f t="shared" si="17"/>
        <v>0.10843439660867446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45356</v>
      </c>
      <c r="B79" s="411">
        <f>'2023'!Wh/'2023'!Env_an*'2024'!Env_an</f>
        <v>12.716785072513968</v>
      </c>
      <c r="C79" s="846"/>
      <c r="D79" s="393">
        <f t="shared" ref="D79:D142" si="25">Wh/(1-Ppv)</f>
        <v>13.329079875507587</v>
      </c>
      <c r="E79" s="385">
        <f t="shared" si="1"/>
        <v>14.208475281635122</v>
      </c>
      <c r="F79" s="385">
        <f t="shared" ref="F79:F142" si="26">Wh_sa/(1-Pvg*MEDIAN((-Sdif+Wh/Env_an)/Csdif,0,1))</f>
        <v>14.249645748691021</v>
      </c>
      <c r="G79" s="110">
        <f t="shared" si="21"/>
        <v>0.46491319733269759</v>
      </c>
      <c r="H79" s="414" t="b">
        <f>Wh_hp&gt;='2023'!Maxi_hp</f>
        <v>0</v>
      </c>
      <c r="I79" s="390">
        <f>IF(H79,Wh_hp,'2023'!Maxi_hp)</f>
        <v>15.983360810169867</v>
      </c>
      <c r="J79" s="85">
        <f>IF(H79,An,'2023'!An_max)</f>
        <v>2019</v>
      </c>
      <c r="K79" s="197">
        <f t="shared" ref="K79:K142" si="27">t</f>
        <v>45356</v>
      </c>
      <c r="L79" s="147">
        <f>IF(t&lt;Tvie,1-EXP((T0-t)*PertePVj)+'2023'!Pspv,1-EXP((T0-t)*PertePVj)+Pspv)</f>
        <v>4.5936764481299353E-2</v>
      </c>
      <c r="M79" s="850"/>
      <c r="N79" s="850"/>
      <c r="O79" s="48">
        <f>IF(t&lt;Tnet,'2023'!Resal+('2023'!Salim-'2023'!Resal)*(1-EXP(('2023'!Tnet-t)/('2023'!Tau_j))),Resal+(Salim-Resal)*(1-EXP((Tnet-t)/(Tau_j))))*Salcycl</f>
        <v>6.1892313474632928E-2</v>
      </c>
      <c r="P79" s="169">
        <f>(INDEX(Models!$BJ79:$BT79,,T79)*(1-R79)+INDEX(Models!$BJ79:$BT79,,T79+1)*R79-ERP_i)*Q79*Ramure*Pc/MaxiM</f>
        <v>1.1954567264171463E-2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0.10881017321857257</v>
      </c>
      <c r="S79" s="817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0.10881017321857257</v>
      </c>
      <c r="V79" s="383">
        <f t="shared" ref="V79:V142" si="33">MaxiM*(1-Ppv)*(1-Pvg)*(1-Psa)</f>
        <v>27.104347919742395</v>
      </c>
      <c r="W79" s="402">
        <f t="shared" ref="W79:W142" si="34">Wh*(A79&gt;Tmaj)</f>
        <v>12.716785072513968</v>
      </c>
      <c r="X79" s="157">
        <f t="shared" ref="X79:X142" si="35">t</f>
        <v>45356</v>
      </c>
      <c r="Y79" s="385">
        <f t="shared" ref="Y79:Y142" si="36">Wh_pvt_s*(1-Ppv)</f>
        <v>11.96522576156571</v>
      </c>
      <c r="Z79" s="385">
        <f t="shared" ref="Z79:Z142" si="37">Wh_sa_s*(1-Psa_s)</f>
        <v>12.541334071069736</v>
      </c>
      <c r="AA79" s="386">
        <f t="shared" ref="AA79:AA142" si="38">Wh_hp*(1-Pvg_s*MEDIAN((-Sdif+Wh/Env_an)/Csdif,0,1))</f>
        <v>14.208475281635122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0.11733427954231065</v>
      </c>
      <c r="AD79" s="231">
        <f>(INDEX(Models!$BJ79:$BT79,,AH79)*(1-AF79)+INDEX(Models!$BJ79:$BT79,,AH79+1)*AF79-ERP_i)*AE79*Ramure*Pc/MaxiM</f>
        <v>1.1954567264171463E-2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0.10881017321857257</v>
      </c>
      <c r="AG79" s="817">
        <f t="shared" si="24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0.10881017321857257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45357</v>
      </c>
      <c r="B80" s="411">
        <f>'2023'!Wh/'2023'!Env_an*'2024'!Env_an</f>
        <v>24.117768604856725</v>
      </c>
      <c r="C80" s="846"/>
      <c r="D80" s="393">
        <f t="shared" si="25"/>
        <v>25.279557957542885</v>
      </c>
      <c r="E80" s="385">
        <f t="shared" ref="E80:E143" si="47">Wh_pvt/(1-Psa)</f>
        <v>26.950757063923817</v>
      </c>
      <c r="F80" s="385">
        <f t="shared" si="26"/>
        <v>27.194245989397078</v>
      </c>
      <c r="G80" s="110">
        <f t="shared" ref="G80:G143" si="48">+Wh_hp/MaxiM</f>
        <v>0.87859945846978704</v>
      </c>
      <c r="H80" s="414" t="b">
        <f>Wh_hp&gt;='2023'!Maxi_hp</f>
        <v>0</v>
      </c>
      <c r="I80" s="390">
        <f>IF(H80,Wh_hp,'2023'!Maxi_hp)</f>
        <v>29.519413340694289</v>
      </c>
      <c r="J80" s="85">
        <f>IF(H80,An,'2023'!An_max)</f>
        <v>2019</v>
      </c>
      <c r="K80" s="197">
        <f t="shared" si="27"/>
        <v>45357</v>
      </c>
      <c r="L80" s="147">
        <f>IF(t&lt;Tvie,1-EXP((T0-t)*PertePVj)+'2023'!Pspv,1-EXP((T0-t)*PertePVj)+Pspv)</f>
        <v>4.5957660914695997E-2</v>
      </c>
      <c r="M80" s="850"/>
      <c r="N80" s="850"/>
      <c r="O80" s="48">
        <f>IF(t&lt;Tnet,'2023'!Resal+('2023'!Salim-'2023'!Resal)*(1-EXP(('2023'!Tnet-t)/('2023'!Tau_j))),Resal+(Salim-Resal)*(1-EXP((Tnet-t)/(Tau_j))))*Salcycl</f>
        <v>6.2009356635773089E-2</v>
      </c>
      <c r="P80" s="169">
        <f>(INDEX(Models!$BJ80:$BT80,,T80)*(1-R80)+INDEX(Models!$BJ80:$BT80,,T80+1)*R80-ERP_i)*Q80*Ramure*Pc/MaxiM</f>
        <v>1.0801695650905784E-2</v>
      </c>
      <c r="Q80" s="305">
        <f t="shared" si="28"/>
        <v>0.7</v>
      </c>
      <c r="R80" s="177">
        <f t="shared" si="29"/>
        <v>0.10920110392300815</v>
      </c>
      <c r="S80" s="817">
        <f t="shared" si="30"/>
        <v>0</v>
      </c>
      <c r="T80" s="176">
        <f t="shared" si="31"/>
        <v>6</v>
      </c>
      <c r="U80" s="251">
        <f t="shared" si="32"/>
        <v>0.10920110392300815</v>
      </c>
      <c r="V80" s="383">
        <f t="shared" si="33"/>
        <v>27.39905653217377</v>
      </c>
      <c r="W80" s="402">
        <f t="shared" si="34"/>
        <v>24.117768604856725</v>
      </c>
      <c r="X80" s="157">
        <f t="shared" si="35"/>
        <v>45357</v>
      </c>
      <c r="Y80" s="385">
        <f t="shared" si="36"/>
        <v>22.694166359489813</v>
      </c>
      <c r="Z80" s="385">
        <f t="shared" si="37"/>
        <v>23.787378641128267</v>
      </c>
      <c r="AA80" s="386">
        <f t="shared" si="38"/>
        <v>26.950757063923817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0.11737623604755928</v>
      </c>
      <c r="AD80" s="231">
        <f>(INDEX(Models!$BJ80:$BT80,,AH80)*(1-AF80)+INDEX(Models!$BJ80:$BT80,,AH80+1)*AF80-ERP_i)*AE80*Ramure*Pc/MaxiM</f>
        <v>1.0801695650905784E-2</v>
      </c>
      <c r="AE80" s="305">
        <f t="shared" si="40"/>
        <v>0.7</v>
      </c>
      <c r="AF80" s="177">
        <f t="shared" si="41"/>
        <v>0.10920110392300815</v>
      </c>
      <c r="AG80" s="817">
        <f t="shared" ref="AG80:AG143" si="49">INDEX(Echel_vg,AH80)</f>
        <v>0</v>
      </c>
      <c r="AH80" s="176">
        <f t="shared" si="42"/>
        <v>6</v>
      </c>
      <c r="AI80" s="225">
        <f t="shared" si="43"/>
        <v>0.10920110392300815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45358</v>
      </c>
      <c r="B81" s="411">
        <f>'2023'!Wh/'2023'!Env_an*'2024'!Env_an</f>
        <v>20.030968453925531</v>
      </c>
      <c r="C81" s="846"/>
      <c r="D81" s="393">
        <f t="shared" si="25"/>
        <v>20.99635034264579</v>
      </c>
      <c r="E81" s="385">
        <f t="shared" si="47"/>
        <v>22.387183263159141</v>
      </c>
      <c r="F81" s="385">
        <f t="shared" si="26"/>
        <v>22.519401720852663</v>
      </c>
      <c r="G81" s="110">
        <f t="shared" si="48"/>
        <v>0.72053675686787177</v>
      </c>
      <c r="H81" s="414" t="b">
        <f>Wh_hp&gt;='2023'!Maxi_hp</f>
        <v>0</v>
      </c>
      <c r="I81" s="390">
        <f>IF(H81,Wh_hp,'2023'!Maxi_hp)</f>
        <v>22.557219179099164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4.5978556890407085E-2</v>
      </c>
      <c r="M81" s="850"/>
      <c r="N81" s="850"/>
      <c r="O81" s="48">
        <f>IF(t&lt;Tnet,'2023'!Resal+('2023'!Salim-'2023'!Resal)*(1-EXP(('2023'!Tnet-t)/('2023'!Tau_j))),Resal+(Salim-Resal)*(1-EXP((Tnet-t)/(Tau_j))))*Salcycl</f>
        <v>6.2126302543926364E-2</v>
      </c>
      <c r="P81" s="169">
        <f>(INDEX(Models!$BJ81:$BT81,,T81)*(1-R81)+INDEX(Models!$BJ81:$BT81,,T81+1)*R81-ERP_i)*Q81*Ramure*Pc/MaxiM</f>
        <v>9.7085755052113559E-3</v>
      </c>
      <c r="Q81" s="305">
        <f t="shared" si="28"/>
        <v>0.7</v>
      </c>
      <c r="R81" s="177">
        <f t="shared" si="29"/>
        <v>0.10960777375121823</v>
      </c>
      <c r="S81" s="817">
        <f t="shared" si="30"/>
        <v>0</v>
      </c>
      <c r="T81" s="176">
        <f t="shared" si="31"/>
        <v>6</v>
      </c>
      <c r="U81" s="251">
        <f t="shared" si="32"/>
        <v>0.10960777375121823</v>
      </c>
      <c r="V81" s="383">
        <f t="shared" si="33"/>
        <v>27.692758520029606</v>
      </c>
      <c r="W81" s="402">
        <f t="shared" si="34"/>
        <v>20.030968453925531</v>
      </c>
      <c r="X81" s="157">
        <f t="shared" si="35"/>
        <v>45358</v>
      </c>
      <c r="Y81" s="385">
        <f t="shared" si="36"/>
        <v>18.850051197955459</v>
      </c>
      <c r="Z81" s="385">
        <f t="shared" si="37"/>
        <v>19.7585194065602</v>
      </c>
      <c r="AA81" s="386">
        <f t="shared" si="38"/>
        <v>22.387183263159141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0.11741824890158145</v>
      </c>
      <c r="AD81" s="231">
        <f>(INDEX(Models!$BJ81:$BT81,,AH81)*(1-AF81)+INDEX(Models!$BJ81:$BT81,,AH81+1)*AF81-ERP_i)*AE81*Ramure*Pc/MaxiM</f>
        <v>9.7085755052113559E-3</v>
      </c>
      <c r="AE81" s="305">
        <f t="shared" si="40"/>
        <v>0.7</v>
      </c>
      <c r="AF81" s="177">
        <f t="shared" si="41"/>
        <v>0.10960777375121823</v>
      </c>
      <c r="AG81" s="817">
        <f t="shared" si="49"/>
        <v>0</v>
      </c>
      <c r="AH81" s="176">
        <f t="shared" si="42"/>
        <v>6</v>
      </c>
      <c r="AI81" s="225">
        <f t="shared" si="43"/>
        <v>0.10960777375121823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45359</v>
      </c>
      <c r="B82" s="411">
        <f>'2023'!Wh/'2023'!Env_an*'2024'!Env_an</f>
        <v>22.521573934983106</v>
      </c>
      <c r="C82" s="846"/>
      <c r="D82" s="393">
        <f t="shared" si="25"/>
        <v>23.607506297392</v>
      </c>
      <c r="E82" s="385">
        <f t="shared" si="47"/>
        <v>25.174443358414027</v>
      </c>
      <c r="F82" s="385">
        <f t="shared" si="26"/>
        <v>25.332888637409791</v>
      </c>
      <c r="G82" s="110">
        <f t="shared" si="48"/>
        <v>0.80281194369903119</v>
      </c>
      <c r="H82" s="414" t="b">
        <f>Wh_hp&gt;='2023'!Maxi_hp</f>
        <v>0</v>
      </c>
      <c r="I82" s="390">
        <f>IF(H82,Wh_hp,'2023'!Maxi_hp)</f>
        <v>30.249266737760252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4.599945240844272E-2</v>
      </c>
      <c r="M82" s="850"/>
      <c r="N82" s="850"/>
      <c r="O82" s="48">
        <f>IF(t&lt;Tnet,'2023'!Resal+('2023'!Salim-'2023'!Resal)*(1-EXP(('2023'!Tnet-t)/('2023'!Tau_j))),Resal+(Salim-Resal)*(1-EXP((Tnet-t)/(Tau_j))))*Salcycl</f>
        <v>6.2243166163128409E-2</v>
      </c>
      <c r="P82" s="169">
        <f>(INDEX(Models!$BJ82:$BT82,,T82)*(1-R82)+INDEX(Models!$BJ82:$BT82,,T82+1)*R82-ERP_i)*Q82*Ramure*Pc/MaxiM</f>
        <v>8.6735773083128215E-3</v>
      </c>
      <c r="Q82" s="305">
        <f t="shared" si="28"/>
        <v>0.7</v>
      </c>
      <c r="R82" s="177">
        <f t="shared" si="29"/>
        <v>0.11003078813280515</v>
      </c>
      <c r="S82" s="817">
        <f t="shared" si="30"/>
        <v>0</v>
      </c>
      <c r="T82" s="176">
        <f t="shared" si="31"/>
        <v>6</v>
      </c>
      <c r="U82" s="251">
        <f t="shared" si="32"/>
        <v>0.11003078813280515</v>
      </c>
      <c r="V82" s="383">
        <f t="shared" si="33"/>
        <v>27.98507226122581</v>
      </c>
      <c r="W82" s="402">
        <f t="shared" si="34"/>
        <v>22.521573934983106</v>
      </c>
      <c r="X82" s="157">
        <f t="shared" si="35"/>
        <v>45359</v>
      </c>
      <c r="Y82" s="385">
        <f t="shared" si="36"/>
        <v>21.195454260450767</v>
      </c>
      <c r="Z82" s="385">
        <f t="shared" si="37"/>
        <v>22.217444543360283</v>
      </c>
      <c r="AA82" s="386">
        <f t="shared" si="38"/>
        <v>25.174443358414027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0.11746034551605804</v>
      </c>
      <c r="AD82" s="231">
        <f>(INDEX(Models!$BJ82:$BT82,,AH82)*(1-AF82)+INDEX(Models!$BJ82:$BT82,,AH82+1)*AF82-ERP_i)*AE82*Ramure*Pc/MaxiM</f>
        <v>8.6735773083128215E-3</v>
      </c>
      <c r="AE82" s="305">
        <f t="shared" si="40"/>
        <v>0.7</v>
      </c>
      <c r="AF82" s="177">
        <f t="shared" si="41"/>
        <v>0.11003078813280515</v>
      </c>
      <c r="AG82" s="817">
        <f t="shared" si="49"/>
        <v>0</v>
      </c>
      <c r="AH82" s="176">
        <f t="shared" si="42"/>
        <v>6</v>
      </c>
      <c r="AI82" s="225">
        <f t="shared" si="43"/>
        <v>0.11003078813280515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45360</v>
      </c>
      <c r="B83" s="411">
        <f>'2023'!Wh/'2023'!Env_an*'2024'!Env_an</f>
        <v>15.588757173868066</v>
      </c>
      <c r="C83" s="846"/>
      <c r="D83" s="393">
        <f t="shared" si="25"/>
        <v>16.34076485017949</v>
      </c>
      <c r="E83" s="385">
        <f t="shared" si="47"/>
        <v>17.427545984284947</v>
      </c>
      <c r="F83" s="385">
        <f t="shared" si="26"/>
        <v>17.475826289766569</v>
      </c>
      <c r="G83" s="110">
        <f t="shared" si="48"/>
        <v>0.54858766626709698</v>
      </c>
      <c r="H83" s="414" t="b">
        <f>Wh_hp&gt;='2023'!Maxi_hp</f>
        <v>0</v>
      </c>
      <c r="I83" s="390">
        <f>IF(H83,Wh_hp,'2023'!Maxi_hp)</f>
        <v>30.500189061416798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4.6020347468812783E-2</v>
      </c>
      <c r="M83" s="850"/>
      <c r="N83" s="850"/>
      <c r="O83" s="48">
        <f>IF(t&lt;Tnet,'2023'!Resal+('2023'!Salim-'2023'!Resal)*(1-EXP(('2023'!Tnet-t)/('2023'!Tau_j))),Resal+(Salim-Resal)*(1-EXP((Tnet-t)/(Tau_j))))*Salcycl</f>
        <v>6.2359963650960901E-2</v>
      </c>
      <c r="P83" s="169">
        <f>(INDEX(Models!$BJ83:$BT83,,T83)*(1-R83)+INDEX(Models!$BJ83:$BT83,,T83+1)*R83-ERP_i)*Q83*Ramure*Pc/MaxiM</f>
        <v>7.6950738843797137E-3</v>
      </c>
      <c r="Q83" s="305">
        <f t="shared" si="28"/>
        <v>0.7</v>
      </c>
      <c r="R83" s="177">
        <f t="shared" si="29"/>
        <v>0.11047077342414191</v>
      </c>
      <c r="S83" s="817">
        <f t="shared" si="30"/>
        <v>0</v>
      </c>
      <c r="T83" s="176">
        <f t="shared" si="31"/>
        <v>6</v>
      </c>
      <c r="U83" s="251">
        <f t="shared" si="32"/>
        <v>0.11047077342414191</v>
      </c>
      <c r="V83" s="383">
        <f t="shared" si="33"/>
        <v>28.275616451747183</v>
      </c>
      <c r="W83" s="402">
        <f t="shared" si="34"/>
        <v>15.588757173868066</v>
      </c>
      <c r="X83" s="157">
        <f t="shared" si="35"/>
        <v>45360</v>
      </c>
      <c r="Y83" s="385">
        <f t="shared" si="36"/>
        <v>14.67198267703473</v>
      </c>
      <c r="Z83" s="385">
        <f t="shared" si="37"/>
        <v>15.379764796980382</v>
      </c>
      <c r="AA83" s="386">
        <f t="shared" si="38"/>
        <v>17.427545984284947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0.11750255538852833</v>
      </c>
      <c r="AD83" s="231">
        <f>(INDEX(Models!$BJ83:$BT83,,AH83)*(1-AF83)+INDEX(Models!$BJ83:$BT83,,AH83+1)*AF83-ERP_i)*AE83*Ramure*Pc/MaxiM</f>
        <v>7.6950738843797137E-3</v>
      </c>
      <c r="AE83" s="305">
        <f t="shared" si="40"/>
        <v>0.7</v>
      </c>
      <c r="AF83" s="177">
        <f t="shared" si="41"/>
        <v>0.11047077342414191</v>
      </c>
      <c r="AG83" s="817">
        <f t="shared" si="49"/>
        <v>0</v>
      </c>
      <c r="AH83" s="176">
        <f t="shared" si="42"/>
        <v>6</v>
      </c>
      <c r="AI83" s="225">
        <f t="shared" si="43"/>
        <v>0.11047077342414191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45361</v>
      </c>
      <c r="B84" s="411">
        <f>'2023'!Wh/'2023'!Env_an*'2024'!Env_an</f>
        <v>10.100282391221656</v>
      </c>
      <c r="C84" s="846"/>
      <c r="D84" s="393">
        <f t="shared" si="25"/>
        <v>10.587755819920856</v>
      </c>
      <c r="E84" s="385">
        <f t="shared" si="47"/>
        <v>11.293325679528321</v>
      </c>
      <c r="F84" s="385">
        <f t="shared" si="26"/>
        <v>11.299184485121193</v>
      </c>
      <c r="G84" s="110">
        <f t="shared" si="48"/>
        <v>0.35138950068975111</v>
      </c>
      <c r="H84" s="414" t="b">
        <f>Wh_hp&gt;='2023'!Maxi_hp</f>
        <v>0</v>
      </c>
      <c r="I84" s="390">
        <f>IF(H84,Wh_hp,'2023'!Maxi_hp)</f>
        <v>23.683748695587767</v>
      </c>
      <c r="J84" s="85">
        <f>IF(H84,An,'2023'!An_max)</f>
        <v>2020</v>
      </c>
      <c r="K84" s="197">
        <f t="shared" si="27"/>
        <v>45361</v>
      </c>
      <c r="L84" s="147">
        <f>IF(t&lt;Tvie,1-EXP((T0-t)*PertePVj)+'2023'!Pspv,1-EXP((T0-t)*PertePVj)+Pspv)</f>
        <v>4.6041242071527488E-2</v>
      </c>
      <c r="M84" s="850"/>
      <c r="N84" s="850"/>
      <c r="O84" s="48">
        <f>IF(t&lt;Tnet,'2023'!Resal+('2023'!Salim-'2023'!Resal)*(1-EXP(('2023'!Tnet-t)/('2023'!Tau_j))),Resal+(Salim-Resal)*(1-EXP((Tnet-t)/(Tau_j))))*Salcycl</f>
        <v>6.2476712319247729E-2</v>
      </c>
      <c r="P84" s="169">
        <f>(INDEX(Models!$BJ84:$BT84,,T84)*(1-R84)+INDEX(Models!$BJ84:$BT84,,T84+1)*R84-ERP_i)*Q84*Ramure*Pc/MaxiM</f>
        <v>6.7714473366019554E-3</v>
      </c>
      <c r="Q84" s="305">
        <f t="shared" si="28"/>
        <v>0.7</v>
      </c>
      <c r="R84" s="177">
        <f t="shared" si="29"/>
        <v>0.11092837743180675</v>
      </c>
      <c r="S84" s="817">
        <f t="shared" si="30"/>
        <v>0</v>
      </c>
      <c r="T84" s="176">
        <f t="shared" si="31"/>
        <v>6</v>
      </c>
      <c r="U84" s="251">
        <f t="shared" si="32"/>
        <v>0.11092837743180675</v>
      </c>
      <c r="V84" s="383">
        <f t="shared" si="33"/>
        <v>28.564010115783955</v>
      </c>
      <c r="W84" s="402">
        <f t="shared" si="34"/>
        <v>10.100282391221656</v>
      </c>
      <c r="X84" s="157">
        <f t="shared" si="35"/>
        <v>45361</v>
      </c>
      <c r="Y84" s="385">
        <f t="shared" si="36"/>
        <v>9.507012490839827</v>
      </c>
      <c r="Z84" s="385">
        <f t="shared" si="37"/>
        <v>9.9658527287745287</v>
      </c>
      <c r="AA84" s="386">
        <f t="shared" si="38"/>
        <v>11.293325679528321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0.11754491001354303</v>
      </c>
      <c r="AD84" s="231">
        <f>(INDEX(Models!$BJ84:$BT84,,AH84)*(1-AF84)+INDEX(Models!$BJ84:$BT84,,AH84+1)*AF84-ERP_i)*AE84*Ramure*Pc/MaxiM</f>
        <v>6.7714473366019554E-3</v>
      </c>
      <c r="AE84" s="305">
        <f t="shared" si="40"/>
        <v>0.7</v>
      </c>
      <c r="AF84" s="177">
        <f t="shared" si="41"/>
        <v>0.11092837743180675</v>
      </c>
      <c r="AG84" s="817">
        <f t="shared" si="49"/>
        <v>0</v>
      </c>
      <c r="AH84" s="176">
        <f t="shared" si="42"/>
        <v>6</v>
      </c>
      <c r="AI84" s="225">
        <f t="shared" si="43"/>
        <v>0.11092837743180675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45362</v>
      </c>
      <c r="B85" s="411">
        <f>'2023'!Wh/'2023'!Env_an*'2024'!Env_an</f>
        <v>10.18061253298341</v>
      </c>
      <c r="C85" s="846"/>
      <c r="D85" s="393">
        <f t="shared" si="25"/>
        <v>10.672196711645542</v>
      </c>
      <c r="E85" s="385">
        <f t="shared" si="47"/>
        <v>11.38481109466376</v>
      </c>
      <c r="F85" s="385">
        <f t="shared" si="26"/>
        <v>11.38988877425775</v>
      </c>
      <c r="G85" s="110">
        <f t="shared" si="48"/>
        <v>0.35095647432074567</v>
      </c>
      <c r="H85" s="414" t="b">
        <f>Wh_hp&gt;='2023'!Maxi_hp</f>
        <v>0</v>
      </c>
      <c r="I85" s="390">
        <f>IF(H85,Wh_hp,'2023'!Maxi_hp)</f>
        <v>29.411637891813143</v>
      </c>
      <c r="J85" s="85">
        <f>IF(H85,An,'2023'!An_max)</f>
        <v>2020</v>
      </c>
      <c r="K85" s="197">
        <f t="shared" si="27"/>
        <v>45362</v>
      </c>
      <c r="L85" s="147">
        <f>IF(t&lt;Tvie,1-EXP((T0-t)*PertePVj)+'2023'!Pspv,1-EXP((T0-t)*PertePVj)+Pspv)</f>
        <v>4.6062136216596716E-2</v>
      </c>
      <c r="M85" s="850"/>
      <c r="N85" s="850"/>
      <c r="O85" s="48">
        <f>IF(t&lt;Tnet,'2023'!Resal+('2023'!Salim-'2023'!Resal)*(1-EXP(('2023'!Tnet-t)/('2023'!Tau_j))),Resal+(Salim-Resal)*(1-EXP((Tnet-t)/(Tau_j))))*Salcycl</f>
        <v>6.2593430588605253E-2</v>
      </c>
      <c r="P85" s="169">
        <f>(INDEX(Models!$BJ85:$BT85,,T85)*(1-R85)+INDEX(Models!$BJ85:$BT85,,T85+1)*R85-ERP_i)*Q85*Ramure*Pc/MaxiM</f>
        <v>5.9010952262444618E-3</v>
      </c>
      <c r="Q85" s="305">
        <f t="shared" si="28"/>
        <v>0.7</v>
      </c>
      <c r="R85" s="177">
        <f t="shared" si="29"/>
        <v>0.11140426993116201</v>
      </c>
      <c r="S85" s="817">
        <f t="shared" si="30"/>
        <v>0</v>
      </c>
      <c r="T85" s="176">
        <f t="shared" si="31"/>
        <v>6</v>
      </c>
      <c r="U85" s="251">
        <f t="shared" si="32"/>
        <v>0.11140426993116201</v>
      </c>
      <c r="V85" s="383">
        <f t="shared" si="33"/>
        <v>28.84987260993082</v>
      </c>
      <c r="W85" s="402">
        <f t="shared" si="34"/>
        <v>10.18061253298341</v>
      </c>
      <c r="X85" s="157">
        <f t="shared" si="35"/>
        <v>45362</v>
      </c>
      <c r="Y85" s="385">
        <f t="shared" si="36"/>
        <v>9.5833554323226675</v>
      </c>
      <c r="Z85" s="385">
        <f t="shared" si="37"/>
        <v>10.046100271472838</v>
      </c>
      <c r="AA85" s="386">
        <f t="shared" si="38"/>
        <v>11.38481109466376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0.11758744278316549</v>
      </c>
      <c r="AD85" s="231">
        <f>(INDEX(Models!$BJ85:$BT85,,AH85)*(1-AF85)+INDEX(Models!$BJ85:$BT85,,AH85+1)*AF85-ERP_i)*AE85*Ramure*Pc/MaxiM</f>
        <v>5.9010952262444618E-3</v>
      </c>
      <c r="AE85" s="305">
        <f t="shared" si="40"/>
        <v>0.7</v>
      </c>
      <c r="AF85" s="177">
        <f t="shared" si="41"/>
        <v>0.11140426993116201</v>
      </c>
      <c r="AG85" s="817">
        <f t="shared" si="49"/>
        <v>0</v>
      </c>
      <c r="AH85" s="176">
        <f t="shared" si="42"/>
        <v>6</v>
      </c>
      <c r="AI85" s="225">
        <f t="shared" si="43"/>
        <v>0.11140426993116201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45363</v>
      </c>
      <c r="B86" s="411">
        <f>'2023'!Wh/'2023'!Env_an*'2024'!Env_an</f>
        <v>5.5629473959404381</v>
      </c>
      <c r="C86" s="846"/>
      <c r="D86" s="393">
        <f t="shared" si="25"/>
        <v>5.8316893087464141</v>
      </c>
      <c r="E86" s="385">
        <f t="shared" si="47"/>
        <v>6.2218632087976005</v>
      </c>
      <c r="F86" s="385">
        <f t="shared" si="26"/>
        <v>6.2218632087976005</v>
      </c>
      <c r="G86" s="110">
        <f t="shared" si="48"/>
        <v>0.18998069467171685</v>
      </c>
      <c r="H86" s="414" t="b">
        <f>Wh_hp&gt;='2023'!Maxi_hp</f>
        <v>0</v>
      </c>
      <c r="I86" s="390">
        <f>IF(H86,Wh_hp,'2023'!Maxi_hp)</f>
        <v>29.39742528369991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4.608302990403057E-2</v>
      </c>
      <c r="M86" s="850"/>
      <c r="N86" s="850"/>
      <c r="O86" s="48">
        <f>IF(t&lt;Tnet,'2023'!Resal+('2023'!Salim-'2023'!Resal)*(1-EXP(('2023'!Tnet-t)/('2023'!Tau_j))),Resal+(Salim-Resal)*(1-EXP((Tnet-t)/(Tau_j))))*Salcycl</f>
        <v>6.2710137937376731E-2</v>
      </c>
      <c r="P86" s="169">
        <f>(INDEX(Models!$BJ86:$BT86,,T86)*(1-R86)+INDEX(Models!$BJ86:$BT86,,T86+1)*R86-ERP_i)*Q86*Ramure*Pc/MaxiM</f>
        <v>5.1080398293925989E-3</v>
      </c>
      <c r="Q86" s="305">
        <f t="shared" si="28"/>
        <v>0.7</v>
      </c>
      <c r="R86" s="177">
        <f t="shared" si="29"/>
        <v>0.11189914317800778</v>
      </c>
      <c r="S86" s="817">
        <f t="shared" si="30"/>
        <v>0</v>
      </c>
      <c r="T86" s="176">
        <f t="shared" si="31"/>
        <v>6</v>
      </c>
      <c r="U86" s="251">
        <f t="shared" si="32"/>
        <v>0.11189914317800778</v>
      </c>
      <c r="V86" s="383">
        <f t="shared" si="33"/>
        <v>29.132073912229487</v>
      </c>
      <c r="W86" s="402">
        <f t="shared" si="34"/>
        <v>5.5629473959404381</v>
      </c>
      <c r="X86" s="157">
        <f t="shared" si="35"/>
        <v>45363</v>
      </c>
      <c r="Y86" s="385">
        <f t="shared" si="36"/>
        <v>5.2369891553463397</v>
      </c>
      <c r="Z86" s="385">
        <f t="shared" si="37"/>
        <v>5.4899842643741508</v>
      </c>
      <c r="AA86" s="386">
        <f t="shared" si="38"/>
        <v>6.2218632087976005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0.117630188877921</v>
      </c>
      <c r="AD86" s="231">
        <f>(INDEX(Models!$BJ86:$BT86,,AH86)*(1-AF86)+INDEX(Models!$BJ86:$BT86,,AH86+1)*AF86-ERP_i)*AE86*Ramure*Pc/MaxiM</f>
        <v>5.1080398293925989E-3</v>
      </c>
      <c r="AE86" s="305">
        <f t="shared" si="40"/>
        <v>0.7</v>
      </c>
      <c r="AF86" s="177">
        <f t="shared" si="41"/>
        <v>0.11189914317800778</v>
      </c>
      <c r="AG86" s="817">
        <f t="shared" si="49"/>
        <v>0</v>
      </c>
      <c r="AH86" s="176">
        <f t="shared" si="42"/>
        <v>6</v>
      </c>
      <c r="AI86" s="225">
        <f t="shared" si="43"/>
        <v>0.11189914317800778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45364</v>
      </c>
      <c r="B87" s="411">
        <f>'2023'!Wh/'2023'!Env_an*'2024'!Env_an</f>
        <v>7.9649607856336422</v>
      </c>
      <c r="C87" s="846"/>
      <c r="D87" s="393">
        <f t="shared" si="25"/>
        <v>8.3499250901638717</v>
      </c>
      <c r="E87" s="385">
        <f t="shared" si="47"/>
        <v>8.909693084288552</v>
      </c>
      <c r="F87" s="385">
        <f t="shared" si="26"/>
        <v>8.909693084288552</v>
      </c>
      <c r="G87" s="110">
        <f t="shared" si="48"/>
        <v>0.26963383429238474</v>
      </c>
      <c r="H87" s="414" t="b">
        <f>Wh_hp&gt;='2023'!Maxi_hp</f>
        <v>0</v>
      </c>
      <c r="I87" s="390">
        <f>IF(H87,Wh_hp,'2023'!Maxi_hp)</f>
        <v>27.041870864735497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4.6103923133839042E-2</v>
      </c>
      <c r="M87" s="850"/>
      <c r="N87" s="850"/>
      <c r="O87" s="48">
        <f>IF(t&lt;Tnet,'2023'!Resal+('2023'!Salim-'2023'!Resal)*(1-EXP(('2023'!Tnet-t)/('2023'!Tau_j))),Resal+(Salim-Resal)*(1-EXP((Tnet-t)/(Tau_j))))*Salcycl</f>
        <v>6.2826854845514285E-2</v>
      </c>
      <c r="P87" s="169">
        <f>(INDEX(Models!$BJ87:$BT87,,T87)*(1-R87)+INDEX(Models!$BJ87:$BT87,,T87+1)*R87-ERP_i)*Q87*Ramure*Pc/MaxiM</f>
        <v>4.3851740469021691E-3</v>
      </c>
      <c r="Q87" s="305">
        <f t="shared" si="28"/>
        <v>0.7</v>
      </c>
      <c r="R87" s="177">
        <f t="shared" si="29"/>
        <v>0.11241371241104542</v>
      </c>
      <c r="S87" s="817">
        <f t="shared" si="30"/>
        <v>0</v>
      </c>
      <c r="T87" s="176">
        <f t="shared" si="31"/>
        <v>6</v>
      </c>
      <c r="U87" s="251">
        <f t="shared" si="32"/>
        <v>0.11241371241104542</v>
      </c>
      <c r="V87" s="383">
        <f t="shared" si="33"/>
        <v>29.410378215787055</v>
      </c>
      <c r="W87" s="402">
        <f t="shared" si="34"/>
        <v>7.9649607856336422</v>
      </c>
      <c r="X87" s="157">
        <f t="shared" si="35"/>
        <v>45364</v>
      </c>
      <c r="Y87" s="385">
        <f t="shared" si="36"/>
        <v>7.4988261419292721</v>
      </c>
      <c r="Z87" s="385">
        <f t="shared" si="37"/>
        <v>7.8612611203572609</v>
      </c>
      <c r="AA87" s="386">
        <f t="shared" si="38"/>
        <v>8.909693084288552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0.11767318514934105</v>
      </c>
      <c r="AD87" s="231">
        <f>(INDEX(Models!$BJ87:$BT87,,AH87)*(1-AF87)+INDEX(Models!$BJ87:$BT87,,AH87+1)*AF87-ERP_i)*AE87*Ramure*Pc/MaxiM</f>
        <v>4.3851740469021691E-3</v>
      </c>
      <c r="AE87" s="305">
        <f t="shared" si="40"/>
        <v>0.7</v>
      </c>
      <c r="AF87" s="177">
        <f t="shared" si="41"/>
        <v>0.11241371241104542</v>
      </c>
      <c r="AG87" s="817">
        <f t="shared" si="49"/>
        <v>0</v>
      </c>
      <c r="AH87" s="176">
        <f t="shared" si="42"/>
        <v>6</v>
      </c>
      <c r="AI87" s="225">
        <f t="shared" si="43"/>
        <v>0.11241371241104542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45365</v>
      </c>
      <c r="B88" s="411">
        <f>'2023'!Wh/'2023'!Env_an*'2024'!Env_an</f>
        <v>8.1552927012936305</v>
      </c>
      <c r="C88" s="846"/>
      <c r="D88" s="393">
        <f t="shared" si="25"/>
        <v>8.5496434305918996</v>
      </c>
      <c r="E88" s="385">
        <f t="shared" si="47"/>
        <v>9.1239368895369459</v>
      </c>
      <c r="F88" s="385">
        <f t="shared" si="26"/>
        <v>9.1239368895369459</v>
      </c>
      <c r="G88" s="110">
        <f t="shared" si="48"/>
        <v>0.27370834734715055</v>
      </c>
      <c r="H88" s="414" t="b">
        <f>Wh_hp&gt;='2023'!Maxi_hp</f>
        <v>0</v>
      </c>
      <c r="I88" s="390">
        <f>IF(H88,Wh_hp,'2023'!Maxi_hp)</f>
        <v>29.113438237494268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4.6124815906032124E-2</v>
      </c>
      <c r="M88" s="850"/>
      <c r="N88" s="850"/>
      <c r="O88" s="48">
        <f>IF(t&lt;Tnet,'2023'!Resal+('2023'!Salim-'2023'!Resal)*(1-EXP(('2023'!Tnet-t)/('2023'!Tau_j))),Resal+(Salim-Resal)*(1-EXP((Tnet-t)/(Tau_j))))*Salcycl</f>
        <v>6.2943602733994047E-2</v>
      </c>
      <c r="P88" s="169">
        <f>(INDEX(Models!$BJ88:$BT88,,T88)*(1-R88)+INDEX(Models!$BJ88:$BT88,,T88+1)*R88-ERP_i)*Q88*Ramure*Pc/MaxiM</f>
        <v>3.7305515350760411E-3</v>
      </c>
      <c r="Q88" s="305">
        <f t="shared" si="28"/>
        <v>0.7</v>
      </c>
      <c r="R88" s="177">
        <f t="shared" si="29"/>
        <v>0.11294871634267702</v>
      </c>
      <c r="S88" s="817">
        <f t="shared" si="30"/>
        <v>0</v>
      </c>
      <c r="T88" s="176">
        <f t="shared" si="31"/>
        <v>6</v>
      </c>
      <c r="U88" s="251">
        <f t="shared" si="32"/>
        <v>0.11294871634267702</v>
      </c>
      <c r="V88" s="383">
        <f t="shared" si="33"/>
        <v>29.684403272081681</v>
      </c>
      <c r="W88" s="402">
        <f t="shared" si="34"/>
        <v>8.1552927012936305</v>
      </c>
      <c r="X88" s="157">
        <f t="shared" si="35"/>
        <v>45365</v>
      </c>
      <c r="Y88" s="385">
        <f t="shared" si="36"/>
        <v>7.6785991256367474</v>
      </c>
      <c r="Z88" s="385">
        <f t="shared" si="37"/>
        <v>8.0498992464409422</v>
      </c>
      <c r="AA88" s="386">
        <f t="shared" si="38"/>
        <v>9.1239368895369459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0.11771646999528002</v>
      </c>
      <c r="AD88" s="231">
        <f>(INDEX(Models!$BJ88:$BT88,,AH88)*(1-AF88)+INDEX(Models!$BJ88:$BT88,,AH88+1)*AF88-ERP_i)*AE88*Ramure*Pc/MaxiM</f>
        <v>3.7305515350760411E-3</v>
      </c>
      <c r="AE88" s="305">
        <f t="shared" si="40"/>
        <v>0.7</v>
      </c>
      <c r="AF88" s="177">
        <f t="shared" si="41"/>
        <v>0.11294871634267702</v>
      </c>
      <c r="AG88" s="817">
        <f t="shared" si="49"/>
        <v>0</v>
      </c>
      <c r="AH88" s="176">
        <f t="shared" si="42"/>
        <v>6</v>
      </c>
      <c r="AI88" s="225">
        <f t="shared" si="43"/>
        <v>0.11294871634267702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45366</v>
      </c>
      <c r="B89" s="411">
        <f>'2023'!Wh/'2023'!Env_an*'2024'!Env_an</f>
        <v>6.2680146059367967</v>
      </c>
      <c r="C89" s="846"/>
      <c r="D89" s="393">
        <f t="shared" si="25"/>
        <v>6.5712495712988259</v>
      </c>
      <c r="E89" s="385">
        <f t="shared" si="47"/>
        <v>7.0135253101204835</v>
      </c>
      <c r="F89" s="385">
        <f t="shared" si="26"/>
        <v>7.0135253101204835</v>
      </c>
      <c r="G89" s="110">
        <f t="shared" si="48"/>
        <v>0.20859876037626887</v>
      </c>
      <c r="H89" s="414" t="b">
        <f>Wh_hp&gt;='2023'!Maxi_hp</f>
        <v>0</v>
      </c>
      <c r="I89" s="390">
        <f>IF(H89,Wh_hp,'2023'!Maxi_hp)</f>
        <v>33.759513299417414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4.6145708220619919E-2</v>
      </c>
      <c r="M89" s="850"/>
      <c r="N89" s="850"/>
      <c r="O89" s="48">
        <f>IF(t&lt;Tnet,'2023'!Resal+('2023'!Salim-'2023'!Resal)*(1-EXP(('2023'!Tnet-t)/('2023'!Tau_j))),Resal+(Salim-Resal)*(1-EXP((Tnet-t)/(Tau_j))))*Salcycl</f>
        <v>6.3060403900368781E-2</v>
      </c>
      <c r="P89" s="169">
        <f>(INDEX(Models!$BJ89:$BT89,,T89)*(1-R89)+INDEX(Models!$BJ89:$BT89,,T89+1)*R89-ERP_i)*Q89*Ramure*Pc/MaxiM</f>
        <v>3.1422956164919896E-3</v>
      </c>
      <c r="Q89" s="305">
        <f t="shared" si="28"/>
        <v>0.7</v>
      </c>
      <c r="R89" s="177">
        <f t="shared" si="29"/>
        <v>0.11350491763544895</v>
      </c>
      <c r="S89" s="817">
        <f t="shared" si="30"/>
        <v>0</v>
      </c>
      <c r="T89" s="176">
        <f t="shared" si="31"/>
        <v>6</v>
      </c>
      <c r="U89" s="251">
        <f t="shared" si="32"/>
        <v>0.11350491763544895</v>
      </c>
      <c r="V89" s="383">
        <f t="shared" si="33"/>
        <v>29.953766934404513</v>
      </c>
      <c r="W89" s="402">
        <f t="shared" si="34"/>
        <v>6.2680146059367967</v>
      </c>
      <c r="X89" s="157">
        <f t="shared" si="35"/>
        <v>45366</v>
      </c>
      <c r="Y89" s="385">
        <f t="shared" si="36"/>
        <v>5.9020802485882182</v>
      </c>
      <c r="Z89" s="385">
        <f t="shared" si="37"/>
        <v>6.187611985870614</v>
      </c>
      <c r="AA89" s="386">
        <f t="shared" si="38"/>
        <v>7.0135253101204835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0.11776008322919714</v>
      </c>
      <c r="AD89" s="231">
        <f>(INDEX(Models!$BJ89:$BT89,,AH89)*(1-AF89)+INDEX(Models!$BJ89:$BT89,,AH89+1)*AF89-ERP_i)*AE89*Ramure*Pc/MaxiM</f>
        <v>3.1422956164919896E-3</v>
      </c>
      <c r="AE89" s="305">
        <f t="shared" si="40"/>
        <v>0.7</v>
      </c>
      <c r="AF89" s="177">
        <f t="shared" si="41"/>
        <v>0.11350491763544895</v>
      </c>
      <c r="AG89" s="817">
        <f t="shared" si="49"/>
        <v>0</v>
      </c>
      <c r="AH89" s="176">
        <f t="shared" si="42"/>
        <v>6</v>
      </c>
      <c r="AI89" s="225">
        <f t="shared" si="43"/>
        <v>0.11350491763544895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45367</v>
      </c>
      <c r="B90" s="411">
        <f>'2023'!Wh/'2023'!Env_an*'2024'!Env_an</f>
        <v>7.3533088024686144</v>
      </c>
      <c r="C90" s="846"/>
      <c r="D90" s="393">
        <f t="shared" si="25"/>
        <v>7.7092171474252691</v>
      </c>
      <c r="E90" s="385">
        <f t="shared" si="47"/>
        <v>8.2291099423445448</v>
      </c>
      <c r="F90" s="385">
        <f t="shared" si="26"/>
        <v>8.2291099423445448</v>
      </c>
      <c r="G90" s="110">
        <f t="shared" si="48"/>
        <v>0.24270409199373616</v>
      </c>
      <c r="H90" s="414" t="b">
        <f>Wh_hp&gt;='2023'!Maxi_hp</f>
        <v>0</v>
      </c>
      <c r="I90" s="390">
        <f>IF(H90,Wh_hp,'2023'!Maxi_hp)</f>
        <v>18.204761461001336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4.6166600077612419E-2</v>
      </c>
      <c r="M90" s="850"/>
      <c r="N90" s="850"/>
      <c r="O90" s="48">
        <f>IF(t&lt;Tnet,'2023'!Resal+('2023'!Salim-'2023'!Resal)*(1-EXP(('2023'!Tnet-t)/('2023'!Tau_j))),Resal+(Salim-Resal)*(1-EXP((Tnet-t)/(Tau_j))))*Salcycl</f>
        <v>6.3177281451067116E-2</v>
      </c>
      <c r="P90" s="169">
        <f>(INDEX(Models!$BJ90:$BT90,,T90)*(1-R90)+INDEX(Models!$BJ90:$BT90,,T90+1)*R90-ERP_i)*Q90*Ramure*Pc/MaxiM</f>
        <v>2.6186037727036573E-3</v>
      </c>
      <c r="Q90" s="305">
        <f t="shared" si="28"/>
        <v>0.7</v>
      </c>
      <c r="R90" s="177">
        <f t="shared" si="29"/>
        <v>0.11408310336121319</v>
      </c>
      <c r="S90" s="817">
        <f t="shared" si="30"/>
        <v>0</v>
      </c>
      <c r="T90" s="176">
        <f t="shared" si="31"/>
        <v>6</v>
      </c>
      <c r="U90" s="251">
        <f t="shared" si="32"/>
        <v>0.11408310336121319</v>
      </c>
      <c r="V90" s="383">
        <f t="shared" si="33"/>
        <v>30.21808713668452</v>
      </c>
      <c r="W90" s="402">
        <f t="shared" si="34"/>
        <v>7.3533088024686144</v>
      </c>
      <c r="X90" s="157">
        <f t="shared" si="35"/>
        <v>45367</v>
      </c>
      <c r="Y90" s="385">
        <f t="shared" si="36"/>
        <v>6.9245322502848614</v>
      </c>
      <c r="Z90" s="385">
        <f t="shared" si="37"/>
        <v>7.2596873320312572</v>
      </c>
      <c r="AA90" s="386">
        <f t="shared" si="38"/>
        <v>8.2291099423445448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0.11780406594459607</v>
      </c>
      <c r="AD90" s="231">
        <f>(INDEX(Models!$BJ90:$BT90,,AH90)*(1-AF90)+INDEX(Models!$BJ90:$BT90,,AH90+1)*AF90-ERP_i)*AE90*Ramure*Pc/MaxiM</f>
        <v>2.6186037727036573E-3</v>
      </c>
      <c r="AE90" s="305">
        <f t="shared" si="40"/>
        <v>0.7</v>
      </c>
      <c r="AF90" s="177">
        <f t="shared" si="41"/>
        <v>0.11408310336121319</v>
      </c>
      <c r="AG90" s="817">
        <f t="shared" si="49"/>
        <v>0</v>
      </c>
      <c r="AH90" s="176">
        <f t="shared" si="42"/>
        <v>6</v>
      </c>
      <c r="AI90" s="225">
        <f t="shared" si="43"/>
        <v>0.11408310336121319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45368</v>
      </c>
      <c r="B91" s="411">
        <f>'2023'!Wh/'2023'!Env_an*'2024'!Env_an</f>
        <v>9.1790379057159424</v>
      </c>
      <c r="C91" s="846"/>
      <c r="D91" s="393">
        <f t="shared" si="25"/>
        <v>9.6235243548337159</v>
      </c>
      <c r="E91" s="385">
        <f t="shared" si="47"/>
        <v>10.2737967068865</v>
      </c>
      <c r="F91" s="385">
        <f t="shared" si="26"/>
        <v>10.273834056186825</v>
      </c>
      <c r="G91" s="110">
        <f t="shared" si="48"/>
        <v>0.30053058260715543</v>
      </c>
      <c r="H91" s="414" t="b">
        <f>Wh_hp&gt;='2023'!Maxi_hp</f>
        <v>0</v>
      </c>
      <c r="I91" s="390">
        <f>IF(H91,Wh_hp,'2023'!Maxi_hp)</f>
        <v>22.615966613904025</v>
      </c>
      <c r="J91" s="85">
        <f>IF(H91,An,'2023'!An_max)</f>
        <v>2019</v>
      </c>
      <c r="K91" s="197">
        <f t="shared" si="27"/>
        <v>45368</v>
      </c>
      <c r="L91" s="147">
        <f>IF(t&lt;Tvie,1-EXP((T0-t)*PertePVj)+'2023'!Pspv,1-EXP((T0-t)*PertePVj)+Pspv)</f>
        <v>4.6187491477019615E-2</v>
      </c>
      <c r="M91" s="850"/>
      <c r="N91" s="850"/>
      <c r="O91" s="48">
        <f>IF(t&lt;Tnet,'2023'!Resal+('2023'!Salim-'2023'!Resal)*(1-EXP(('2023'!Tnet-t)/('2023'!Tau_j))),Resal+(Salim-Resal)*(1-EXP((Tnet-t)/(Tau_j))))*Salcycl</f>
        <v>6.3294259231050254E-2</v>
      </c>
      <c r="P91" s="169">
        <f>(INDEX(Models!$BJ91:$BT91,,T91)*(1-R91)+INDEX(Models!$BJ91:$BT91,,T91+1)*R91-ERP_i)*Q91*Ramure*Pc/MaxiM</f>
        <v>2.1577516263860275E-3</v>
      </c>
      <c r="Q91" s="305">
        <f t="shared" si="28"/>
        <v>0.7</v>
      </c>
      <c r="R91" s="177">
        <f t="shared" si="29"/>
        <v>0.11468408543983863</v>
      </c>
      <c r="S91" s="817">
        <f t="shared" si="30"/>
        <v>0</v>
      </c>
      <c r="T91" s="176">
        <f t="shared" si="31"/>
        <v>6</v>
      </c>
      <c r="U91" s="251">
        <f t="shared" si="32"/>
        <v>0.11468408543983863</v>
      </c>
      <c r="V91" s="383">
        <f t="shared" si="33"/>
        <v>30.476981875540488</v>
      </c>
      <c r="W91" s="402">
        <f t="shared" si="34"/>
        <v>9.1790379057159424</v>
      </c>
      <c r="X91" s="157">
        <f t="shared" si="35"/>
        <v>45368</v>
      </c>
      <c r="Y91" s="385">
        <f t="shared" si="36"/>
        <v>8.6444462421561266</v>
      </c>
      <c r="Z91" s="385">
        <f t="shared" si="37"/>
        <v>9.0630455827659695</v>
      </c>
      <c r="AA91" s="386">
        <f t="shared" si="38"/>
        <v>10.2737967068865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0.11784846037579919</v>
      </c>
      <c r="AD91" s="231">
        <f>(INDEX(Models!$BJ91:$BT91,,AH91)*(1-AF91)+INDEX(Models!$BJ91:$BT91,,AH91+1)*AF91-ERP_i)*AE91*Ramure*Pc/MaxiM</f>
        <v>2.1577516263860275E-3</v>
      </c>
      <c r="AE91" s="305">
        <f t="shared" si="40"/>
        <v>0.7</v>
      </c>
      <c r="AF91" s="177">
        <f t="shared" si="41"/>
        <v>0.11468408543983863</v>
      </c>
      <c r="AG91" s="817">
        <f t="shared" si="49"/>
        <v>0</v>
      </c>
      <c r="AH91" s="176">
        <f t="shared" si="42"/>
        <v>6</v>
      </c>
      <c r="AI91" s="225">
        <f t="shared" si="43"/>
        <v>0.11468408543983863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45369</v>
      </c>
      <c r="B92" s="411">
        <f>'2023'!Wh/'2023'!Env_an*'2024'!Env_an</f>
        <v>18.439418023732461</v>
      </c>
      <c r="C92" s="846"/>
      <c r="D92" s="393">
        <f t="shared" si="25"/>
        <v>19.332753280528426</v>
      </c>
      <c r="E92" s="385">
        <f t="shared" si="47"/>
        <v>20.641669662660878</v>
      </c>
      <c r="F92" s="385">
        <f t="shared" si="26"/>
        <v>20.657236593042125</v>
      </c>
      <c r="G92" s="110">
        <f t="shared" si="48"/>
        <v>0.59944158559505856</v>
      </c>
      <c r="H92" s="414" t="b">
        <f>Wh_hp&gt;='2023'!Maxi_hp</f>
        <v>0</v>
      </c>
      <c r="I92" s="390">
        <f>IF(H92,Wh_hp,'2023'!Maxi_hp)</f>
        <v>31.49075258123468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4.6208382418851501E-2</v>
      </c>
      <c r="M92" s="850"/>
      <c r="N92" s="850"/>
      <c r="O92" s="48">
        <f>IF(t&lt;Tnet,'2023'!Resal+('2023'!Salim-'2023'!Resal)*(1-EXP(('2023'!Tnet-t)/('2023'!Tau_j))),Resal+(Salim-Resal)*(1-EXP((Tnet-t)/(Tau_j))))*Salcycl</f>
        <v>6.3411361751427239E-2</v>
      </c>
      <c r="P92" s="169">
        <f>(INDEX(Models!$BJ92:$BT92,,T92)*(1-R92)+INDEX(Models!$BJ92:$BT92,,T92+1)*R92-ERP_i)*Q92*Ramure*Pc/MaxiM</f>
        <v>1.7580964795425845E-3</v>
      </c>
      <c r="Q92" s="305">
        <f t="shared" si="28"/>
        <v>0.7</v>
      </c>
      <c r="R92" s="177">
        <f t="shared" si="29"/>
        <v>0.11530870105404521</v>
      </c>
      <c r="S92" s="817">
        <f t="shared" si="30"/>
        <v>0</v>
      </c>
      <c r="T92" s="176">
        <f t="shared" si="31"/>
        <v>6</v>
      </c>
      <c r="U92" s="251">
        <f t="shared" si="32"/>
        <v>0.11530870105404521</v>
      </c>
      <c r="V92" s="383">
        <f t="shared" si="33"/>
        <v>30.730069189231831</v>
      </c>
      <c r="W92" s="402">
        <f t="shared" si="34"/>
        <v>18.439418023732461</v>
      </c>
      <c r="X92" s="157">
        <f t="shared" si="35"/>
        <v>45369</v>
      </c>
      <c r="Y92" s="385">
        <f t="shared" si="36"/>
        <v>17.366785522140347</v>
      </c>
      <c r="Z92" s="385">
        <f t="shared" si="37"/>
        <v>18.208154907235578</v>
      </c>
      <c r="AA92" s="386">
        <f t="shared" si="38"/>
        <v>20.641669662660878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0.11789330975620312</v>
      </c>
      <c r="AD92" s="231">
        <f>(INDEX(Models!$BJ92:$BT92,,AH92)*(1-AF92)+INDEX(Models!$BJ92:$BT92,,AH92+1)*AF92-ERP_i)*AE92*Ramure*Pc/MaxiM</f>
        <v>1.7580964795425845E-3</v>
      </c>
      <c r="AE92" s="305">
        <f t="shared" si="40"/>
        <v>0.7</v>
      </c>
      <c r="AF92" s="177">
        <f t="shared" si="41"/>
        <v>0.11530870105404521</v>
      </c>
      <c r="AG92" s="817">
        <f t="shared" si="49"/>
        <v>0</v>
      </c>
      <c r="AH92" s="176">
        <f t="shared" si="42"/>
        <v>6</v>
      </c>
      <c r="AI92" s="225">
        <f t="shared" si="43"/>
        <v>0.11530870105404521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45370</v>
      </c>
      <c r="B93" s="411">
        <f>'2023'!Wh/'2023'!Env_an*'2024'!Env_an</f>
        <v>20.562120436572169</v>
      </c>
      <c r="C93" s="846"/>
      <c r="D93" s="393">
        <f t="shared" si="25"/>
        <v>21.558766538327106</v>
      </c>
      <c r="E93" s="385">
        <f t="shared" si="47"/>
        <v>23.02127631798103</v>
      </c>
      <c r="F93" s="385">
        <f t="shared" si="26"/>
        <v>23.03825176382912</v>
      </c>
      <c r="G93" s="110">
        <f t="shared" si="48"/>
        <v>0.66329227880927577</v>
      </c>
      <c r="H93" s="414" t="b">
        <f>Wh_hp&gt;='2023'!Maxi_hp</f>
        <v>0</v>
      </c>
      <c r="I93" s="390">
        <f>IF(H93,Wh_hp,'2023'!Maxi_hp)</f>
        <v>35.290557656198175</v>
      </c>
      <c r="J93" s="85">
        <f>IF(H93,An,'2023'!An_max)</f>
        <v>2019</v>
      </c>
      <c r="K93" s="197">
        <f t="shared" si="27"/>
        <v>45370</v>
      </c>
      <c r="L93" s="147">
        <f>IF(t&lt;Tvie,1-EXP((T0-t)*PertePVj)+'2023'!Pspv,1-EXP((T0-t)*PertePVj)+Pspv)</f>
        <v>4.6229272903118179E-2</v>
      </c>
      <c r="M93" s="850"/>
      <c r="N93" s="850"/>
      <c r="O93" s="48">
        <f>IF(t&lt;Tnet,'2023'!Resal+('2023'!Salim-'2023'!Resal)*(1-EXP(('2023'!Tnet-t)/('2023'!Tau_j))),Resal+(Salim-Resal)*(1-EXP((Tnet-t)/(Tau_j))))*Salcycl</f>
        <v>6.3528614115613391E-2</v>
      </c>
      <c r="P93" s="169">
        <f>(INDEX(Models!$BJ93:$BT93,,T93)*(1-R93)+INDEX(Models!$BJ93:$BT93,,T93+1)*R93-ERP_i)*Q93*Ramure*Pc/MaxiM</f>
        <v>1.417989476288236E-3</v>
      </c>
      <c r="Q93" s="305">
        <f t="shared" si="28"/>
        <v>0.7</v>
      </c>
      <c r="R93" s="177">
        <f t="shared" si="29"/>
        <v>0.11595781303666669</v>
      </c>
      <c r="S93" s="817">
        <f t="shared" si="30"/>
        <v>0</v>
      </c>
      <c r="T93" s="176">
        <f t="shared" si="31"/>
        <v>6</v>
      </c>
      <c r="U93" s="251">
        <f t="shared" si="32"/>
        <v>0.11595781303666669</v>
      </c>
      <c r="V93" s="383">
        <f t="shared" si="33"/>
        <v>30.978958800804065</v>
      </c>
      <c r="W93" s="402">
        <f t="shared" si="34"/>
        <v>20.562120436572169</v>
      </c>
      <c r="X93" s="157">
        <f t="shared" si="35"/>
        <v>45370</v>
      </c>
      <c r="Y93" s="385">
        <f t="shared" si="36"/>
        <v>19.36743804074629</v>
      </c>
      <c r="Z93" s="385">
        <f t="shared" si="37"/>
        <v>20.306177879559719</v>
      </c>
      <c r="AA93" s="386">
        <f t="shared" si="38"/>
        <v>23.02127631798103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0.11793865817511828</v>
      </c>
      <c r="AD93" s="231">
        <f>(INDEX(Models!$BJ93:$BT93,,AH93)*(1-AF93)+INDEX(Models!$BJ93:$BT93,,AH93+1)*AF93-ERP_i)*AE93*Ramure*Pc/MaxiM</f>
        <v>1.417989476288236E-3</v>
      </c>
      <c r="AE93" s="305">
        <f t="shared" si="40"/>
        <v>0.7</v>
      </c>
      <c r="AF93" s="177">
        <f t="shared" si="41"/>
        <v>0.11595781303666669</v>
      </c>
      <c r="AG93" s="817">
        <f t="shared" si="49"/>
        <v>0</v>
      </c>
      <c r="AH93" s="176">
        <f t="shared" si="42"/>
        <v>6</v>
      </c>
      <c r="AI93" s="225">
        <f t="shared" si="43"/>
        <v>0.11595781303666669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45371</v>
      </c>
      <c r="B94" s="411">
        <f>'2023'!Wh/'2023'!Env_an*'2024'!Env_an</f>
        <v>29.453863519539873</v>
      </c>
      <c r="C94" s="846"/>
      <c r="D94" s="393">
        <f t="shared" si="25"/>
        <v>30.882168860987033</v>
      </c>
      <c r="E94" s="385">
        <f t="shared" si="47"/>
        <v>32.981297932591929</v>
      </c>
      <c r="F94" s="385">
        <f t="shared" si="26"/>
        <v>33.016021671917144</v>
      </c>
      <c r="G94" s="110">
        <f t="shared" si="48"/>
        <v>0.94319282015480155</v>
      </c>
      <c r="H94" s="414" t="b">
        <f>Wh_hp&gt;='2023'!Maxi_hp</f>
        <v>0</v>
      </c>
      <c r="I94" s="390">
        <f>IF(H94,Wh_hp,'2023'!Maxi_hp)</f>
        <v>35.232626438185896</v>
      </c>
      <c r="J94" s="85">
        <f>IF(H94,An,'2023'!An_max)</f>
        <v>2019</v>
      </c>
      <c r="K94" s="197">
        <f t="shared" si="27"/>
        <v>45371</v>
      </c>
      <c r="L94" s="147">
        <f>IF(t&lt;Tvie,1-EXP((T0-t)*PertePVj)+'2023'!Pspv,1-EXP((T0-t)*PertePVj)+Pspv)</f>
        <v>4.6250162929829641E-2</v>
      </c>
      <c r="M94" s="850"/>
      <c r="N94" s="850"/>
      <c r="O94" s="48">
        <f>IF(t&lt;Tnet,'2023'!Resal+('2023'!Salim-'2023'!Resal)*(1-EXP(('2023'!Tnet-t)/('2023'!Tau_j))),Resal+(Salim-Resal)*(1-EXP((Tnet-t)/(Tau_j))))*Salcycl</f>
        <v>6.3646041944593959E-2</v>
      </c>
      <c r="P94" s="169">
        <f>(INDEX(Models!$BJ94:$BT94,,T94)*(1-R94)+INDEX(Models!$BJ94:$BT94,,T94+1)*R94-ERP_i)*Q94*Ramure*Pc/MaxiM</f>
        <v>1.1444569923742434E-3</v>
      </c>
      <c r="Q94" s="305">
        <f t="shared" si="28"/>
        <v>0.7</v>
      </c>
      <c r="R94" s="177">
        <f t="shared" si="29"/>
        <v>0.11663231022636689</v>
      </c>
      <c r="S94" s="817">
        <f t="shared" si="30"/>
        <v>0</v>
      </c>
      <c r="T94" s="176">
        <f t="shared" si="31"/>
        <v>6</v>
      </c>
      <c r="U94" s="251">
        <f t="shared" si="32"/>
        <v>0.11663231022636689</v>
      </c>
      <c r="V94" s="383">
        <f t="shared" si="33"/>
        <v>31.22492948094607</v>
      </c>
      <c r="W94" s="402">
        <f t="shared" si="34"/>
        <v>29.453863519539873</v>
      </c>
      <c r="X94" s="157">
        <f t="shared" si="35"/>
        <v>45371</v>
      </c>
      <c r="Y94" s="385">
        <f t="shared" si="36"/>
        <v>27.744596421194732</v>
      </c>
      <c r="Z94" s="385">
        <f t="shared" si="37"/>
        <v>29.090014323277391</v>
      </c>
      <c r="AA94" s="386">
        <f t="shared" si="38"/>
        <v>32.981297932591929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0.11798455043423846</v>
      </c>
      <c r="AD94" s="231">
        <f>(INDEX(Models!$BJ94:$BT94,,AH94)*(1-AF94)+INDEX(Models!$BJ94:$BT94,,AH94+1)*AF94-ERP_i)*AE94*Ramure*Pc/MaxiM</f>
        <v>1.1444569923742434E-3</v>
      </c>
      <c r="AE94" s="305">
        <f t="shared" si="40"/>
        <v>0.7</v>
      </c>
      <c r="AF94" s="177">
        <f t="shared" si="41"/>
        <v>0.11663231022636689</v>
      </c>
      <c r="AG94" s="817">
        <f t="shared" si="49"/>
        <v>0</v>
      </c>
      <c r="AH94" s="176">
        <f t="shared" si="42"/>
        <v>6</v>
      </c>
      <c r="AI94" s="225">
        <f t="shared" si="43"/>
        <v>0.11663231022636689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45372</v>
      </c>
      <c r="B95" s="411">
        <f>'2023'!Wh/'2023'!Env_an*'2024'!Env_an</f>
        <v>27.195373416670204</v>
      </c>
      <c r="C95" s="846"/>
      <c r="D95" s="393">
        <f t="shared" si="25"/>
        <v>28.514782410587966</v>
      </c>
      <c r="E95" s="385">
        <f t="shared" si="47"/>
        <v>30.456821142838319</v>
      </c>
      <c r="F95" s="385">
        <f t="shared" si="26"/>
        <v>30.479103518649726</v>
      </c>
      <c r="G95" s="110">
        <f t="shared" si="48"/>
        <v>0.86405956525654637</v>
      </c>
      <c r="H95" s="414" t="b">
        <f>Wh_hp&gt;='2023'!Maxi_hp</f>
        <v>0</v>
      </c>
      <c r="I95" s="390">
        <f>IF(H95,Wh_hp,'2023'!Maxi_hp)</f>
        <v>34.33751568572859</v>
      </c>
      <c r="J95" s="85">
        <f>IF(H95,An,'2023'!An_max)</f>
        <v>2019</v>
      </c>
      <c r="K95" s="197">
        <f t="shared" si="27"/>
        <v>45372</v>
      </c>
      <c r="L95" s="147">
        <f>IF(t&lt;Tvie,1-EXP((T0-t)*PertePVj)+'2023'!Pspv,1-EXP((T0-t)*PertePVj)+Pspv)</f>
        <v>4.627105249899599E-2</v>
      </c>
      <c r="M95" s="850"/>
      <c r="N95" s="850"/>
      <c r="O95" s="48">
        <f>IF(t&lt;Tnet,'2023'!Resal+('2023'!Salim-'2023'!Resal)*(1-EXP(('2023'!Tnet-t)/('2023'!Tau_j))),Resal+(Salim-Resal)*(1-EXP((Tnet-t)/(Tau_j))))*Salcycl</f>
        <v>6.376367130182295E-2</v>
      </c>
      <c r="P95" s="169">
        <f>(INDEX(Models!$BJ95:$BT95,,T95)*(1-R95)+INDEX(Models!$BJ95:$BT95,,T95+1)*R95-ERP_i)*Q95*Ramure*Pc/MaxiM</f>
        <v>9.0701659684930388E-4</v>
      </c>
      <c r="Q95" s="305">
        <f t="shared" si="28"/>
        <v>0.7</v>
      </c>
      <c r="R95" s="177">
        <f t="shared" si="29"/>
        <v>0.11733310778754161</v>
      </c>
      <c r="S95" s="817">
        <f t="shared" si="30"/>
        <v>0</v>
      </c>
      <c r="T95" s="176">
        <f t="shared" si="31"/>
        <v>6</v>
      </c>
      <c r="U95" s="251">
        <f t="shared" si="32"/>
        <v>0.11733310778754161</v>
      </c>
      <c r="V95" s="383">
        <f t="shared" si="33"/>
        <v>31.468415016305315</v>
      </c>
      <c r="W95" s="402">
        <f t="shared" si="34"/>
        <v>27.195373416670204</v>
      </c>
      <c r="X95" s="157">
        <f t="shared" si="35"/>
        <v>45372</v>
      </c>
      <c r="Y95" s="385">
        <f t="shared" si="36"/>
        <v>25.619039439131736</v>
      </c>
      <c r="Z95" s="385">
        <f t="shared" si="37"/>
        <v>26.861971114811702</v>
      </c>
      <c r="AA95" s="386">
        <f t="shared" si="38"/>
        <v>30.456821142838319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0.11803103190471721</v>
      </c>
      <c r="AD95" s="231">
        <f>(INDEX(Models!$BJ95:$BT95,,AH95)*(1-AF95)+INDEX(Models!$BJ95:$BT95,,AH95+1)*AF95-ERP_i)*AE95*Ramure*Pc/MaxiM</f>
        <v>9.0701659684930388E-4</v>
      </c>
      <c r="AE95" s="305">
        <f t="shared" si="40"/>
        <v>0.7</v>
      </c>
      <c r="AF95" s="177">
        <f t="shared" si="41"/>
        <v>0.11733310778754161</v>
      </c>
      <c r="AG95" s="817">
        <f t="shared" si="49"/>
        <v>0</v>
      </c>
      <c r="AH95" s="176">
        <f t="shared" si="42"/>
        <v>6</v>
      </c>
      <c r="AI95" s="225">
        <f t="shared" si="43"/>
        <v>0.11733310778754161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45373</v>
      </c>
      <c r="B96" s="411">
        <f>'2023'!Wh/'2023'!Env_an*'2024'!Env_an</f>
        <v>30.546563876020539</v>
      </c>
      <c r="C96" s="846"/>
      <c r="D96" s="393">
        <f t="shared" si="25"/>
        <v>32.029260534515906</v>
      </c>
      <c r="E96" s="385">
        <f t="shared" si="47"/>
        <v>34.214964786710638</v>
      </c>
      <c r="F96" s="385">
        <f t="shared" si="26"/>
        <v>34.237835103757213</v>
      </c>
      <c r="G96" s="110">
        <f t="shared" si="48"/>
        <v>0.96330687854888541</v>
      </c>
      <c r="H96" s="414" t="b">
        <f>Wh_hp&gt;='2023'!Maxi_hp</f>
        <v>0</v>
      </c>
      <c r="I96" s="390">
        <f>IF(H96,Wh_hp,'2023'!Maxi_hp)</f>
        <v>36.330998993590491</v>
      </c>
      <c r="J96" s="85">
        <f>IF(H96,An,'2023'!An_max)</f>
        <v>2021</v>
      </c>
      <c r="K96" s="197">
        <f t="shared" si="27"/>
        <v>45373</v>
      </c>
      <c r="L96" s="147">
        <f>IF(t&lt;Tvie,1-EXP((T0-t)*PertePVj)+'2023'!Pspv,1-EXP((T0-t)*PertePVj)+Pspv)</f>
        <v>4.6291941610626997E-2</v>
      </c>
      <c r="M96" s="850"/>
      <c r="N96" s="850"/>
      <c r="O96" s="48">
        <f>IF(t&lt;Tnet,'2023'!Resal+('2023'!Salim-'2023'!Resal)*(1-EXP(('2023'!Tnet-t)/('2023'!Tau_j))),Resal+(Salim-Resal)*(1-EXP((Tnet-t)/(Tau_j))))*Salcycl</f>
        <v>6.3881528618251665E-2</v>
      </c>
      <c r="P96" s="169">
        <f>(INDEX(Models!$BJ96:$BT96,,T96)*(1-R96)+INDEX(Models!$BJ96:$BT96,,T96+1)*R96-ERP_i)*Q96*Ramure*Pc/MaxiM</f>
        <v>7.0489775947165723E-4</v>
      </c>
      <c r="Q96" s="305">
        <f t="shared" si="28"/>
        <v>0.7</v>
      </c>
      <c r="R96" s="177">
        <f t="shared" si="29"/>
        <v>0.11806114748983625</v>
      </c>
      <c r="S96" s="817">
        <f t="shared" si="30"/>
        <v>0</v>
      </c>
      <c r="T96" s="176">
        <f t="shared" si="31"/>
        <v>6</v>
      </c>
      <c r="U96" s="251">
        <f t="shared" si="32"/>
        <v>0.11806114748983625</v>
      </c>
      <c r="V96" s="383">
        <f t="shared" si="33"/>
        <v>31.708935341326807</v>
      </c>
      <c r="W96" s="402">
        <f t="shared" si="34"/>
        <v>30.546563876020539</v>
      </c>
      <c r="X96" s="157">
        <f t="shared" si="35"/>
        <v>45373</v>
      </c>
      <c r="Y96" s="385">
        <f t="shared" si="36"/>
        <v>28.77806922688853</v>
      </c>
      <c r="Z96" s="385">
        <f t="shared" si="37"/>
        <v>30.174925097612238</v>
      </c>
      <c r="AA96" s="386">
        <f t="shared" si="38"/>
        <v>34.214964786710638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0.11807814838574918</v>
      </c>
      <c r="AD96" s="231">
        <f>(INDEX(Models!$BJ96:$BT96,,AH96)*(1-AF96)+INDEX(Models!$BJ96:$BT96,,AH96+1)*AF96-ERP_i)*AE96*Ramure*Pc/MaxiM</f>
        <v>7.0489775947165723E-4</v>
      </c>
      <c r="AE96" s="305">
        <f t="shared" si="40"/>
        <v>0.7</v>
      </c>
      <c r="AF96" s="177">
        <f t="shared" si="41"/>
        <v>0.11806114748983625</v>
      </c>
      <c r="AG96" s="817">
        <f t="shared" si="49"/>
        <v>0</v>
      </c>
      <c r="AH96" s="176">
        <f t="shared" si="42"/>
        <v>6</v>
      </c>
      <c r="AI96" s="225">
        <f t="shared" si="43"/>
        <v>0.11806114748983625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45374</v>
      </c>
      <c r="B97" s="411">
        <f>'2023'!Wh/'2023'!Env_an*'2024'!Env_an</f>
        <v>30.242598495227046</v>
      </c>
      <c r="C97" s="846"/>
      <c r="D97" s="393">
        <f t="shared" si="25"/>
        <v>31.711235565454924</v>
      </c>
      <c r="E97" s="385">
        <f t="shared" si="47"/>
        <v>33.879512168553397</v>
      </c>
      <c r="F97" s="385">
        <f t="shared" si="26"/>
        <v>33.896339311855471</v>
      </c>
      <c r="G97" s="110">
        <f t="shared" si="48"/>
        <v>0.94663964797252131</v>
      </c>
      <c r="H97" s="414" t="b">
        <f>Wh_hp&gt;='2023'!Maxi_hp</f>
        <v>0</v>
      </c>
      <c r="I97" s="390">
        <f>IF(H97,Wh_hp,'2023'!Maxi_hp)</f>
        <v>35.972058370872873</v>
      </c>
      <c r="J97" s="85">
        <f>IF(H97,An,'2023'!An_max)</f>
        <v>2021</v>
      </c>
      <c r="K97" s="197">
        <f t="shared" si="27"/>
        <v>45374</v>
      </c>
      <c r="L97" s="147">
        <f>IF(t&lt;Tvie,1-EXP((T0-t)*PertePVj)+'2023'!Pspv,1-EXP((T0-t)*PertePVj)+Pspv)</f>
        <v>4.6312830264732985E-2</v>
      </c>
      <c r="M97" s="850"/>
      <c r="N97" s="850"/>
      <c r="O97" s="48">
        <f>IF(t&lt;Tnet,'2023'!Resal+('2023'!Salim-'2023'!Resal)*(1-EXP(('2023'!Tnet-t)/('2023'!Tau_j))),Resal+(Salim-Resal)*(1-EXP((Tnet-t)/(Tau_j))))*Salcycl</f>
        <v>6.3999640617937989E-2</v>
      </c>
      <c r="P97" s="169">
        <f>(INDEX(Models!$BJ97:$BT97,,T97)*(1-R97)+INDEX(Models!$BJ97:$BT97,,T97+1)*R97-ERP_i)*Q97*Ramure*Pc/MaxiM</f>
        <v>5.3736239134865237E-4</v>
      </c>
      <c r="Q97" s="305">
        <f t="shared" si="28"/>
        <v>0.7</v>
      </c>
      <c r="R97" s="177">
        <f t="shared" si="29"/>
        <v>0.11881739794239607</v>
      </c>
      <c r="S97" s="817">
        <f t="shared" si="30"/>
        <v>0</v>
      </c>
      <c r="T97" s="176">
        <f t="shared" si="31"/>
        <v>6</v>
      </c>
      <c r="U97" s="251">
        <f t="shared" si="32"/>
        <v>0.11881739794239607</v>
      </c>
      <c r="V97" s="383">
        <f t="shared" si="33"/>
        <v>31.946010320425586</v>
      </c>
      <c r="W97" s="402">
        <f t="shared" si="34"/>
        <v>30.242598495227046</v>
      </c>
      <c r="X97" s="157">
        <f t="shared" si="35"/>
        <v>45374</v>
      </c>
      <c r="Y97" s="385">
        <f t="shared" si="36"/>
        <v>28.493752883954002</v>
      </c>
      <c r="Z97" s="385">
        <f t="shared" si="37"/>
        <v>29.877462744794556</v>
      </c>
      <c r="AA97" s="386">
        <f t="shared" si="38"/>
        <v>33.879512168553397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0.11812594596546468</v>
      </c>
      <c r="AD97" s="231">
        <f>(INDEX(Models!$BJ97:$BT97,,AH97)*(1-AF97)+INDEX(Models!$BJ97:$BT97,,AH97+1)*AF97-ERP_i)*AE97*Ramure*Pc/MaxiM</f>
        <v>5.3736239134865237E-4</v>
      </c>
      <c r="AE97" s="305">
        <f t="shared" si="40"/>
        <v>0.7</v>
      </c>
      <c r="AF97" s="177">
        <f t="shared" si="41"/>
        <v>0.11881739794239607</v>
      </c>
      <c r="AG97" s="817">
        <f t="shared" si="49"/>
        <v>0</v>
      </c>
      <c r="AH97" s="176">
        <f t="shared" si="42"/>
        <v>6</v>
      </c>
      <c r="AI97" s="225">
        <f t="shared" si="43"/>
        <v>0.11881739794239607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45375</v>
      </c>
      <c r="B98" s="411">
        <f>'2023'!Wh/'2023'!Env_an*'2024'!Env_an</f>
        <v>27.009476749975011</v>
      </c>
      <c r="C98" s="846"/>
      <c r="D98" s="393">
        <f t="shared" si="25"/>
        <v>28.321727707932634</v>
      </c>
      <c r="E98" s="385">
        <f t="shared" si="47"/>
        <v>30.262072295702254</v>
      </c>
      <c r="F98" s="385">
        <f t="shared" si="26"/>
        <v>30.271488428520936</v>
      </c>
      <c r="G98" s="110">
        <f t="shared" si="48"/>
        <v>0.83926907010632712</v>
      </c>
      <c r="H98" s="414" t="b">
        <f>Wh_hp&gt;='2023'!Maxi_hp</f>
        <v>0</v>
      </c>
      <c r="I98" s="390">
        <f>IF(H98,Wh_hp,'2023'!Maxi_hp)</f>
        <v>33.539793588319633</v>
      </c>
      <c r="J98" s="85">
        <f>IF(H98,An,'2023'!An_max)</f>
        <v>2020</v>
      </c>
      <c r="K98" s="197">
        <f t="shared" si="27"/>
        <v>45375</v>
      </c>
      <c r="L98" s="147">
        <f>IF(t&lt;Tvie,1-EXP((T0-t)*PertePVj)+'2023'!Pspv,1-EXP((T0-t)*PertePVj)+Pspv)</f>
        <v>4.6333718461323725E-2</v>
      </c>
      <c r="M98" s="850"/>
      <c r="N98" s="850"/>
      <c r="O98" s="48">
        <f>IF(t&lt;Tnet,'2023'!Resal+('2023'!Salim-'2023'!Resal)*(1-EXP(('2023'!Tnet-t)/('2023'!Tau_j))),Resal+(Salim-Resal)*(1-EXP((Tnet-t)/(Tau_j))))*Salcycl</f>
        <v>6.4118034244640312E-2</v>
      </c>
      <c r="P98" s="169">
        <f>(INDEX(Models!$BJ98:$BT98,,T98)*(1-R98)+INDEX(Models!$BJ98:$BT98,,T98+1)*R98-ERP_i)*Q98*Ramure*Pc/MaxiM</f>
        <v>4.0370923462768364E-4</v>
      </c>
      <c r="Q98" s="305">
        <f t="shared" si="28"/>
        <v>0.7</v>
      </c>
      <c r="R98" s="177">
        <f t="shared" si="29"/>
        <v>0.11960285477764331</v>
      </c>
      <c r="S98" s="817">
        <f t="shared" si="30"/>
        <v>0</v>
      </c>
      <c r="T98" s="176">
        <f t="shared" si="31"/>
        <v>6</v>
      </c>
      <c r="U98" s="251">
        <f t="shared" si="32"/>
        <v>0.11960285477764331</v>
      </c>
      <c r="V98" s="383">
        <f t="shared" si="33"/>
        <v>32.179159726104736</v>
      </c>
      <c r="W98" s="402">
        <f t="shared" si="34"/>
        <v>27.009476749975011</v>
      </c>
      <c r="X98" s="157">
        <f t="shared" si="35"/>
        <v>45375</v>
      </c>
      <c r="Y98" s="385">
        <f t="shared" si="36"/>
        <v>25.44941242344229</v>
      </c>
      <c r="Z98" s="385">
        <f t="shared" si="37"/>
        <v>26.685867914278543</v>
      </c>
      <c r="AA98" s="386">
        <f t="shared" si="38"/>
        <v>30.262072295702254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0.11817447088485067</v>
      </c>
      <c r="AD98" s="231">
        <f>(INDEX(Models!$BJ98:$BT98,,AH98)*(1-AF98)+INDEX(Models!$BJ98:$BT98,,AH98+1)*AF98-ERP_i)*AE98*Ramure*Pc/MaxiM</f>
        <v>4.0370923462768364E-4</v>
      </c>
      <c r="AE98" s="305">
        <f t="shared" si="40"/>
        <v>0.7</v>
      </c>
      <c r="AF98" s="177">
        <f t="shared" si="41"/>
        <v>0.11960285477764331</v>
      </c>
      <c r="AG98" s="817">
        <f t="shared" si="49"/>
        <v>0</v>
      </c>
      <c r="AH98" s="176">
        <f t="shared" si="42"/>
        <v>6</v>
      </c>
      <c r="AI98" s="225">
        <f t="shared" si="43"/>
        <v>0.11960285477764331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45376</v>
      </c>
      <c r="B99" s="411">
        <f>'2023'!Wh/'2023'!Env_an*'2024'!Env_an</f>
        <v>28.741292760780631</v>
      </c>
      <c r="C99" s="846"/>
      <c r="D99" s="393">
        <f t="shared" si="25"/>
        <v>30.138343820093613</v>
      </c>
      <c r="E99" s="385">
        <f t="shared" si="47"/>
        <v>32.20723125019768</v>
      </c>
      <c r="F99" s="385">
        <f t="shared" si="26"/>
        <v>32.215422337202803</v>
      </c>
      <c r="G99" s="110">
        <f t="shared" si="48"/>
        <v>0.8868171252459468</v>
      </c>
      <c r="H99" s="414" t="b">
        <f>Wh_hp&gt;='2023'!Maxi_hp</f>
        <v>0</v>
      </c>
      <c r="I99" s="390">
        <f>IF(H99,Wh_hp,'2023'!Maxi_hp)</f>
        <v>37.971121713669092</v>
      </c>
      <c r="J99" s="85">
        <f>IF(H99,An,'2023'!An_max)</f>
        <v>2019</v>
      </c>
      <c r="K99" s="197">
        <f t="shared" si="27"/>
        <v>45376</v>
      </c>
      <c r="L99" s="147">
        <f>IF(t&lt;Tvie,1-EXP((T0-t)*PertePVj)+'2023'!Pspv,1-EXP((T0-t)*PertePVj)+Pspv)</f>
        <v>4.6354606200409432E-2</v>
      </c>
      <c r="M99" s="850"/>
      <c r="N99" s="850"/>
      <c r="O99" s="48">
        <f>IF(t&lt;Tnet,'2023'!Resal+('2023'!Salim-'2023'!Resal)*(1-EXP(('2023'!Tnet-t)/('2023'!Tau_j))),Resal+(Salim-Resal)*(1-EXP((Tnet-t)/(Tau_j))))*Salcycl</f>
        <v>6.4236736589748433E-2</v>
      </c>
      <c r="P99" s="169">
        <f>(INDEX(Models!$BJ99:$BT99,,T99)*(1-R99)+INDEX(Models!$BJ99:$BT99,,T99+1)*R99-ERP_i)*Q99*Ramure*Pc/MaxiM</f>
        <v>3.032779181140645E-4</v>
      </c>
      <c r="Q99" s="305">
        <f t="shared" si="28"/>
        <v>0.7</v>
      </c>
      <c r="R99" s="177">
        <f t="shared" si="29"/>
        <v>0.12041854077904691</v>
      </c>
      <c r="S99" s="817">
        <f t="shared" si="30"/>
        <v>0</v>
      </c>
      <c r="T99" s="176">
        <f t="shared" si="31"/>
        <v>6</v>
      </c>
      <c r="U99" s="251">
        <f t="shared" si="32"/>
        <v>0.12041854077904691</v>
      </c>
      <c r="V99" s="383">
        <f t="shared" si="33"/>
        <v>32.407903208421025</v>
      </c>
      <c r="W99" s="402">
        <f t="shared" si="34"/>
        <v>28.741292760780631</v>
      </c>
      <c r="X99" s="157">
        <f t="shared" si="35"/>
        <v>45376</v>
      </c>
      <c r="Y99" s="385">
        <f t="shared" si="36"/>
        <v>27.083120041130325</v>
      </c>
      <c r="Z99" s="385">
        <f t="shared" si="37"/>
        <v>28.399570969690927</v>
      </c>
      <c r="AA99" s="386">
        <f t="shared" si="38"/>
        <v>32.20723125019768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0.11822376940530659</v>
      </c>
      <c r="AD99" s="231">
        <f>(INDEX(Models!$BJ99:$BT99,,AH99)*(1-AF99)+INDEX(Models!$BJ99:$BT99,,AH99+1)*AF99-ERP_i)*AE99*Ramure*Pc/MaxiM</f>
        <v>3.032779181140645E-4</v>
      </c>
      <c r="AE99" s="305">
        <f t="shared" si="40"/>
        <v>0.7</v>
      </c>
      <c r="AF99" s="177">
        <f t="shared" si="41"/>
        <v>0.12041854077904691</v>
      </c>
      <c r="AG99" s="817">
        <f t="shared" si="49"/>
        <v>0</v>
      </c>
      <c r="AH99" s="176">
        <f t="shared" si="42"/>
        <v>6</v>
      </c>
      <c r="AI99" s="225">
        <f t="shared" si="43"/>
        <v>0.12041854077904691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45377</v>
      </c>
      <c r="B100" s="411">
        <f>'2023'!Wh/'2023'!Env_an*'2024'!Env_an</f>
        <v>28.668527837152631</v>
      </c>
      <c r="C100" s="846"/>
      <c r="D100" s="393">
        <f t="shared" si="25"/>
        <v>30.062700403779424</v>
      </c>
      <c r="E100" s="385">
        <f t="shared" si="47"/>
        <v>32.130482500498879</v>
      </c>
      <c r="F100" s="385">
        <f t="shared" si="26"/>
        <v>32.136736944448486</v>
      </c>
      <c r="G100" s="110">
        <f t="shared" si="48"/>
        <v>0.87851089699378526</v>
      </c>
      <c r="H100" s="414" t="b">
        <f>Wh_hp&gt;='2023'!Maxi_hp</f>
        <v>0</v>
      </c>
      <c r="I100" s="390">
        <f>IF(H100,Wh_hp,'2023'!Maxi_hp)</f>
        <v>37.339002876856433</v>
      </c>
      <c r="J100" s="85">
        <f>IF(H100,An,'2023'!An_max)</f>
        <v>2019</v>
      </c>
      <c r="K100" s="197">
        <f t="shared" si="27"/>
        <v>45377</v>
      </c>
      <c r="L100" s="147">
        <f>IF(t&lt;Tvie,1-EXP((T0-t)*PertePVj)+'2023'!Pspv,1-EXP((T0-t)*PertePVj)+Pspv)</f>
        <v>4.6375493482000096E-2</v>
      </c>
      <c r="M100" s="850"/>
      <c r="N100" s="850"/>
      <c r="O100" s="48">
        <f>IF(t&lt;Tnet,'2023'!Resal+('2023'!Salim-'2023'!Resal)*(1-EXP(('2023'!Tnet-t)/('2023'!Tau_j))),Resal+(Salim-Resal)*(1-EXP((Tnet-t)/(Tau_j))))*Salcycl</f>
        <v>6.4355774821848608E-2</v>
      </c>
      <c r="P100" s="169">
        <f>(INDEX(Models!$BJ100:$BT100,,T100)*(1-R100)+INDEX(Models!$BJ100:$BT100,,T100+1)*R100-ERP_i)*Q100*Ramure*Pc/MaxiM</f>
        <v>2.3547590391508722E-4</v>
      </c>
      <c r="Q100" s="305">
        <f t="shared" si="28"/>
        <v>0.7</v>
      </c>
      <c r="R100" s="177">
        <f t="shared" si="29"/>
        <v>0.12126550594701149</v>
      </c>
      <c r="S100" s="817">
        <f t="shared" si="30"/>
        <v>0</v>
      </c>
      <c r="T100" s="176">
        <f t="shared" si="31"/>
        <v>6</v>
      </c>
      <c r="U100" s="251">
        <f t="shared" si="32"/>
        <v>0.12126550594701149</v>
      </c>
      <c r="V100" s="383">
        <f t="shared" si="33"/>
        <v>32.631759516790275</v>
      </c>
      <c r="W100" s="402">
        <f t="shared" si="34"/>
        <v>28.668527837152631</v>
      </c>
      <c r="X100" s="157">
        <f t="shared" si="35"/>
        <v>45377</v>
      </c>
      <c r="Y100" s="385">
        <f t="shared" si="36"/>
        <v>27.016454455183116</v>
      </c>
      <c r="Z100" s="385">
        <f t="shared" si="37"/>
        <v>28.330285422119836</v>
      </c>
      <c r="AA100" s="386">
        <f t="shared" si="38"/>
        <v>32.130482500498879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0.11827388768033717</v>
      </c>
      <c r="AD100" s="231">
        <f>(INDEX(Models!$BJ100:$BT100,,AH100)*(1-AF100)+INDEX(Models!$BJ100:$BT100,,AH100+1)*AF100-ERP_i)*AE100*Ramure*Pc/MaxiM</f>
        <v>2.3547590391508722E-4</v>
      </c>
      <c r="AE100" s="305">
        <f t="shared" si="40"/>
        <v>0.7</v>
      </c>
      <c r="AF100" s="177">
        <f t="shared" si="41"/>
        <v>0.12126550594701149</v>
      </c>
      <c r="AG100" s="817">
        <f t="shared" si="49"/>
        <v>0</v>
      </c>
      <c r="AH100" s="176">
        <f t="shared" si="42"/>
        <v>6</v>
      </c>
      <c r="AI100" s="225">
        <f t="shared" si="43"/>
        <v>0.12126550594701149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45378</v>
      </c>
      <c r="B101" s="411">
        <f>'2023'!Wh/'2023'!Env_an*'2024'!Env_an</f>
        <v>22.150594405115317</v>
      </c>
      <c r="C101" s="846"/>
      <c r="D101" s="393">
        <f t="shared" si="25"/>
        <v>23.228303613429688</v>
      </c>
      <c r="E101" s="385">
        <f t="shared" si="47"/>
        <v>24.829168633972625</v>
      </c>
      <c r="F101" s="385">
        <f t="shared" si="26"/>
        <v>24.831513320609247</v>
      </c>
      <c r="G101" s="110">
        <f t="shared" si="48"/>
        <v>0.67421900385357481</v>
      </c>
      <c r="H101" s="414" t="b">
        <f>Wh_hp&gt;='2023'!Maxi_hp</f>
        <v>0</v>
      </c>
      <c r="I101" s="390">
        <f>IF(H101,Wh_hp,'2023'!Maxi_hp)</f>
        <v>36.534422327632868</v>
      </c>
      <c r="J101" s="85">
        <f>IF(H101,An,'2023'!An_max)</f>
        <v>2019</v>
      </c>
      <c r="K101" s="197">
        <f t="shared" si="27"/>
        <v>45378</v>
      </c>
      <c r="L101" s="147">
        <f>IF(t&lt;Tvie,1-EXP((T0-t)*PertePVj)+'2023'!Pspv,1-EXP((T0-t)*PertePVj)+Pspv)</f>
        <v>4.63963803061056E-2</v>
      </c>
      <c r="M101" s="850"/>
      <c r="N101" s="850"/>
      <c r="O101" s="48">
        <f>IF(t&lt;Tnet,'2023'!Resal+('2023'!Salim-'2023'!Resal)*(1-EXP(('2023'!Tnet-t)/('2023'!Tau_j))),Resal+(Salim-Resal)*(1-EXP((Tnet-t)/(Tau_j))))*Salcycl</f>
        <v>6.4475176118162295E-2</v>
      </c>
      <c r="P101" s="169">
        <f>(INDEX(Models!$BJ101:$BT101,,T101)*(1-R101)+INDEX(Models!$BJ101:$BT101,,T101+1)*R101-ERP_i)*Q101*Ramure*Pc/MaxiM</f>
        <v>1.7659951911822876E-4</v>
      </c>
      <c r="Q101" s="305">
        <f t="shared" si="28"/>
        <v>0.7</v>
      </c>
      <c r="R101" s="177">
        <f t="shared" si="29"/>
        <v>0.12214482749667574</v>
      </c>
      <c r="S101" s="817">
        <f t="shared" si="30"/>
        <v>0</v>
      </c>
      <c r="T101" s="176">
        <f t="shared" si="31"/>
        <v>6</v>
      </c>
      <c r="U101" s="251">
        <f t="shared" si="32"/>
        <v>0.12214482749667574</v>
      </c>
      <c r="V101" s="383">
        <f t="shared" si="33"/>
        <v>32.851008153598471</v>
      </c>
      <c r="W101" s="402">
        <f t="shared" si="34"/>
        <v>22.150594405115317</v>
      </c>
      <c r="X101" s="157">
        <f t="shared" si="35"/>
        <v>45378</v>
      </c>
      <c r="Y101" s="385">
        <f t="shared" si="36"/>
        <v>20.875585197757715</v>
      </c>
      <c r="Z101" s="385">
        <f t="shared" si="37"/>
        <v>21.891260442634177</v>
      </c>
      <c r="AA101" s="386">
        <f t="shared" si="38"/>
        <v>24.829168633972625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0.11832487163177278</v>
      </c>
      <c r="AD101" s="231">
        <f>(INDEX(Models!$BJ101:$BT101,,AH101)*(1-AF101)+INDEX(Models!$BJ101:$BT101,,AH101+1)*AF101-ERP_i)*AE101*Ramure*Pc/MaxiM</f>
        <v>1.7659951911822876E-4</v>
      </c>
      <c r="AE101" s="305">
        <f t="shared" si="40"/>
        <v>0.7</v>
      </c>
      <c r="AF101" s="177">
        <f t="shared" si="41"/>
        <v>0.12214482749667574</v>
      </c>
      <c r="AG101" s="817">
        <f t="shared" si="49"/>
        <v>0</v>
      </c>
      <c r="AH101" s="176">
        <f t="shared" si="42"/>
        <v>6</v>
      </c>
      <c r="AI101" s="225">
        <f t="shared" si="43"/>
        <v>0.12214482749667574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45379</v>
      </c>
      <c r="B102" s="411">
        <f>'2023'!Wh/'2023'!Env_an*'2024'!Env_an</f>
        <v>17.818318534836472</v>
      </c>
      <c r="C102" s="846"/>
      <c r="D102" s="393">
        <f t="shared" si="25"/>
        <v>18.685655593473641</v>
      </c>
      <c r="E102" s="385">
        <f t="shared" si="47"/>
        <v>19.976004988440206</v>
      </c>
      <c r="F102" s="385">
        <f t="shared" si="26"/>
        <v>19.976867255228129</v>
      </c>
      <c r="G102" s="110">
        <f t="shared" si="48"/>
        <v>0.53883990596247056</v>
      </c>
      <c r="H102" s="414" t="b">
        <f>Wh_hp&gt;='2023'!Maxi_hp</f>
        <v>0</v>
      </c>
      <c r="I102" s="390">
        <f>IF(H102,Wh_hp,'2023'!Maxi_hp)</f>
        <v>36.692193713560719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4.6417266672736046E-2</v>
      </c>
      <c r="M102" s="850"/>
      <c r="N102" s="850"/>
      <c r="O102" s="48">
        <f>IF(t&lt;Tnet,'2023'!Resal+('2023'!Salim-'2023'!Resal)*(1-EXP(('2023'!Tnet-t)/('2023'!Tau_j))),Resal+(Salim-Resal)*(1-EXP((Tnet-t)/(Tau_j))))*Salcycl</f>
        <v>6.4594967598039288E-2</v>
      </c>
      <c r="P102" s="169">
        <f>(INDEX(Models!$BJ102:$BT102,,T102)*(1-R102)+INDEX(Models!$BJ102:$BT102,,T102+1)*R102-ERP_i)*Q102*Ramure*Pc/MaxiM</f>
        <v>1.2648056194340633E-4</v>
      </c>
      <c r="Q102" s="305">
        <f t="shared" si="28"/>
        <v>0.7</v>
      </c>
      <c r="R102" s="177">
        <f t="shared" si="29"/>
        <v>0.12305760978106212</v>
      </c>
      <c r="S102" s="817">
        <f t="shared" si="30"/>
        <v>0</v>
      </c>
      <c r="T102" s="176">
        <f t="shared" si="31"/>
        <v>6</v>
      </c>
      <c r="U102" s="251">
        <f t="shared" si="32"/>
        <v>0.12305760978106212</v>
      </c>
      <c r="V102" s="383">
        <f t="shared" si="33"/>
        <v>33.065171490536976</v>
      </c>
      <c r="W102" s="402">
        <f t="shared" si="34"/>
        <v>17.818318534836472</v>
      </c>
      <c r="X102" s="157">
        <f t="shared" si="35"/>
        <v>45379</v>
      </c>
      <c r="Y102" s="385">
        <f t="shared" si="36"/>
        <v>16.793841226172528</v>
      </c>
      <c r="Z102" s="385">
        <f t="shared" si="37"/>
        <v>17.611310103712817</v>
      </c>
      <c r="AA102" s="386">
        <f t="shared" si="38"/>
        <v>19.976004988440206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0.11837676683079526</v>
      </c>
      <c r="AD102" s="231">
        <f>(INDEX(Models!$BJ102:$BT102,,AH102)*(1-AF102)+INDEX(Models!$BJ102:$BT102,,AH102+1)*AF102-ERP_i)*AE102*Ramure*Pc/MaxiM</f>
        <v>1.2648056194340633E-4</v>
      </c>
      <c r="AE102" s="305">
        <f t="shared" si="40"/>
        <v>0.7</v>
      </c>
      <c r="AF102" s="177">
        <f t="shared" si="41"/>
        <v>0.12305760978106212</v>
      </c>
      <c r="AG102" s="817">
        <f t="shared" si="49"/>
        <v>0</v>
      </c>
      <c r="AH102" s="176">
        <f t="shared" si="42"/>
        <v>6</v>
      </c>
      <c r="AI102" s="225">
        <f t="shared" si="43"/>
        <v>0.12305760978106212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45380</v>
      </c>
      <c r="B103" s="411">
        <f>'2023'!Wh/'2023'!Env_an*'2024'!Env_an</f>
        <v>4.4061101247019483</v>
      </c>
      <c r="C103" s="846"/>
      <c r="D103" s="393">
        <f t="shared" si="25"/>
        <v>4.620686258193011</v>
      </c>
      <c r="E103" s="385">
        <f t="shared" si="47"/>
        <v>4.9404054689020898</v>
      </c>
      <c r="F103" s="385">
        <f t="shared" si="26"/>
        <v>4.9404054689020898</v>
      </c>
      <c r="G103" s="110">
        <f t="shared" si="48"/>
        <v>0.13240866587600136</v>
      </c>
      <c r="H103" s="414" t="b">
        <f>Wh_hp&gt;='2023'!Maxi_hp</f>
        <v>0</v>
      </c>
      <c r="I103" s="390">
        <f>IF(H103,Wh_hp,'2023'!Maxi_hp)</f>
        <v>36.462755841463355</v>
      </c>
      <c r="J103" s="85">
        <f>IF(H103,An,'2023'!An_max)</f>
        <v>2019</v>
      </c>
      <c r="K103" s="197">
        <f t="shared" si="27"/>
        <v>45380</v>
      </c>
      <c r="L103" s="147">
        <f>IF(t&lt;Tvie,1-EXP((T0-t)*PertePVj)+'2023'!Pspv,1-EXP((T0-t)*PertePVj)+Pspv)</f>
        <v>4.6438152581901537E-2</v>
      </c>
      <c r="M103" s="850"/>
      <c r="N103" s="850"/>
      <c r="O103" s="48">
        <f>IF(t&lt;Tnet,'2023'!Resal+('2023'!Salim-'2023'!Resal)*(1-EXP(('2023'!Tnet-t)/('2023'!Tau_j))),Resal+(Salim-Resal)*(1-EXP((Tnet-t)/(Tau_j))))*Salcycl</f>
        <v>6.4715176258625981E-2</v>
      </c>
      <c r="P103" s="169">
        <f>(INDEX(Models!$BJ103:$BT103,,T103)*(1-R103)+INDEX(Models!$BJ103:$BT103,,T103+1)*R103-ERP_i)*Q103*Ramure*Pc/MaxiM</f>
        <v>8.4963601558809621E-5</v>
      </c>
      <c r="Q103" s="305">
        <f t="shared" si="28"/>
        <v>0.7</v>
      </c>
      <c r="R103" s="177">
        <f t="shared" si="29"/>
        <v>0.12400498413268046</v>
      </c>
      <c r="S103" s="817">
        <f t="shared" si="30"/>
        <v>0</v>
      </c>
      <c r="T103" s="176">
        <f t="shared" si="31"/>
        <v>6</v>
      </c>
      <c r="U103" s="251">
        <f t="shared" si="32"/>
        <v>0.12400498413268046</v>
      </c>
      <c r="V103" s="383">
        <f t="shared" si="33"/>
        <v>33.27377204935204</v>
      </c>
      <c r="W103" s="402">
        <f t="shared" si="34"/>
        <v>4.4061101247019483</v>
      </c>
      <c r="X103" s="157">
        <f t="shared" si="35"/>
        <v>45380</v>
      </c>
      <c r="Y103" s="385">
        <f t="shared" si="36"/>
        <v>4.153062345797232</v>
      </c>
      <c r="Z103" s="385">
        <f t="shared" si="37"/>
        <v>4.355315134558106</v>
      </c>
      <c r="AA103" s="386">
        <f t="shared" si="38"/>
        <v>4.9404054689020898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0.1184296183839357</v>
      </c>
      <c r="AD103" s="231">
        <f>(INDEX(Models!$BJ103:$BT103,,AH103)*(1-AF103)+INDEX(Models!$BJ103:$BT103,,AH103+1)*AF103-ERP_i)*AE103*Ramure*Pc/MaxiM</f>
        <v>8.4963601558809621E-5</v>
      </c>
      <c r="AE103" s="305">
        <f t="shared" si="40"/>
        <v>0.7</v>
      </c>
      <c r="AF103" s="177">
        <f t="shared" si="41"/>
        <v>0.12400498413268046</v>
      </c>
      <c r="AG103" s="817">
        <f t="shared" si="49"/>
        <v>0</v>
      </c>
      <c r="AH103" s="176">
        <f t="shared" si="42"/>
        <v>6</v>
      </c>
      <c r="AI103" s="225">
        <f t="shared" si="43"/>
        <v>0.12400498413268046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45381</v>
      </c>
      <c r="B104" s="411">
        <f>'2023'!Wh/'2023'!Env_an*'2024'!Env_an</f>
        <v>19.014962551213262</v>
      </c>
      <c r="C104" s="846"/>
      <c r="D104" s="393">
        <f t="shared" si="25"/>
        <v>19.941421826284934</v>
      </c>
      <c r="E104" s="385">
        <f t="shared" si="47"/>
        <v>21.323979727645948</v>
      </c>
      <c r="F104" s="385">
        <f t="shared" si="26"/>
        <v>21.324403524823243</v>
      </c>
      <c r="G104" s="110">
        <f t="shared" si="48"/>
        <v>0.56799392344189026</v>
      </c>
      <c r="H104" s="414" t="b">
        <f>Wh_hp&gt;='2023'!Maxi_hp</f>
        <v>0</v>
      </c>
      <c r="I104" s="390">
        <f>IF(H104,Wh_hp,'2023'!Maxi_hp)</f>
        <v>33.190656549107899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4.6459038033611955E-2</v>
      </c>
      <c r="M104" s="850"/>
      <c r="N104" s="850"/>
      <c r="O104" s="48">
        <f>IF(t&lt;Tnet,'2023'!Resal+('2023'!Salim-'2023'!Resal)*(1-EXP(('2023'!Tnet-t)/('2023'!Tau_j))),Resal+(Salim-Resal)*(1-EXP((Tnet-t)/(Tau_j))))*Salcycl</f>
        <v>6.4835828912769428E-2</v>
      </c>
      <c r="P104" s="169">
        <f>(INDEX(Models!$BJ104:$BT104,,T104)*(1-R104)+INDEX(Models!$BJ104:$BT104,,T104+1)*R104-ERP_i)*Q104*Ramure*Pc/MaxiM</f>
        <v>5.1906862070689594E-5</v>
      </c>
      <c r="Q104" s="305">
        <f t="shared" si="28"/>
        <v>0.7</v>
      </c>
      <c r="R104" s="177">
        <f t="shared" si="29"/>
        <v>0.12498810861634471</v>
      </c>
      <c r="S104" s="817">
        <f t="shared" si="30"/>
        <v>0</v>
      </c>
      <c r="T104" s="176">
        <f t="shared" si="31"/>
        <v>6</v>
      </c>
      <c r="U104" s="251">
        <f t="shared" si="32"/>
        <v>0.12498810861634471</v>
      </c>
      <c r="V104" s="383">
        <f t="shared" si="33"/>
        <v>33.476332487203429</v>
      </c>
      <c r="W104" s="402">
        <f t="shared" si="34"/>
        <v>19.014962551213262</v>
      </c>
      <c r="X104" s="157">
        <f t="shared" si="35"/>
        <v>45381</v>
      </c>
      <c r="Y104" s="385">
        <f t="shared" si="36"/>
        <v>17.92412959006715</v>
      </c>
      <c r="Z104" s="385">
        <f t="shared" si="37"/>
        <v>18.797440597731729</v>
      </c>
      <c r="AA104" s="386">
        <f t="shared" si="38"/>
        <v>21.323979727645948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0.11848347082409921</v>
      </c>
      <c r="AD104" s="231">
        <f>(INDEX(Models!$BJ104:$BT104,,AH104)*(1-AF104)+INDEX(Models!$BJ104:$BT104,,AH104+1)*AF104-ERP_i)*AE104*Ramure*Pc/MaxiM</f>
        <v>5.1906862070689594E-5</v>
      </c>
      <c r="AE104" s="305">
        <f t="shared" si="40"/>
        <v>0.7</v>
      </c>
      <c r="AF104" s="177">
        <f t="shared" si="41"/>
        <v>0.12498810861634471</v>
      </c>
      <c r="AG104" s="817">
        <f t="shared" si="49"/>
        <v>0</v>
      </c>
      <c r="AH104" s="176">
        <f t="shared" si="42"/>
        <v>6</v>
      </c>
      <c r="AI104" s="225">
        <f t="shared" si="43"/>
        <v>0.12498810861634471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45382</v>
      </c>
      <c r="B105" s="411">
        <f>'2023'!Wh/'2023'!Env_an*'2024'!Env_an</f>
        <v>20.93526405318546</v>
      </c>
      <c r="C105" s="846"/>
      <c r="D105" s="393">
        <f t="shared" si="25"/>
        <v>21.955766384767511</v>
      </c>
      <c r="E105" s="385">
        <f t="shared" si="47"/>
        <v>23.481022007235254</v>
      </c>
      <c r="F105" s="385">
        <f t="shared" si="26"/>
        <v>23.481315380110576</v>
      </c>
      <c r="G105" s="110">
        <f t="shared" si="48"/>
        <v>0.62172496446814229</v>
      </c>
      <c r="H105" s="414" t="b">
        <f>Wh_hp&gt;='2023'!Maxi_hp</f>
        <v>0</v>
      </c>
      <c r="I105" s="390">
        <f>IF(H105,Wh_hp,'2023'!Maxi_hp)</f>
        <v>33.527563379735113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4.6479923027877401E-2</v>
      </c>
      <c r="M105" s="850"/>
      <c r="N105" s="850"/>
      <c r="O105" s="48">
        <f>IF(t&lt;Tnet,'2023'!Resal+('2023'!Salim-'2023'!Resal)*(1-EXP(('2023'!Tnet-t)/('2023'!Tau_j))),Resal+(Salim-Resal)*(1-EXP((Tnet-t)/(Tau_j))))*Salcycl</f>
        <v>6.4956952129160361E-2</v>
      </c>
      <c r="P105" s="169">
        <f>(INDEX(Models!$BJ105:$BT105,,T105)*(1-R105)+INDEX(Models!$BJ105:$BT105,,T105+1)*R105-ERP_i)*Q105*Ramure*Pc/MaxiM</f>
        <v>2.718306889921738E-5</v>
      </c>
      <c r="Q105" s="305">
        <f t="shared" si="28"/>
        <v>0.7</v>
      </c>
      <c r="R105" s="177">
        <f t="shared" si="29"/>
        <v>0.12600816768562995</v>
      </c>
      <c r="S105" s="817">
        <f t="shared" si="30"/>
        <v>0</v>
      </c>
      <c r="T105" s="176">
        <f t="shared" si="31"/>
        <v>6</v>
      </c>
      <c r="U105" s="251">
        <f t="shared" si="32"/>
        <v>0.12600816768562995</v>
      </c>
      <c r="V105" s="383">
        <f t="shared" si="33"/>
        <v>33.672375606354365</v>
      </c>
      <c r="W105" s="402">
        <f t="shared" si="34"/>
        <v>20.93526405318546</v>
      </c>
      <c r="X105" s="157">
        <f t="shared" si="35"/>
        <v>45382</v>
      </c>
      <c r="Y105" s="385">
        <f t="shared" si="36"/>
        <v>19.735596195869896</v>
      </c>
      <c r="Z105" s="385">
        <f t="shared" si="37"/>
        <v>20.697619979371332</v>
      </c>
      <c r="AA105" s="386">
        <f t="shared" si="38"/>
        <v>23.481022007235254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0.11853836800656573</v>
      </c>
      <c r="AD105" s="231">
        <f>(INDEX(Models!$BJ105:$BT105,,AH105)*(1-AF105)+INDEX(Models!$BJ105:$BT105,,AH105+1)*AF105-ERP_i)*AE105*Ramure*Pc/MaxiM</f>
        <v>2.718306889921738E-5</v>
      </c>
      <c r="AE105" s="305">
        <f t="shared" si="40"/>
        <v>0.7</v>
      </c>
      <c r="AF105" s="177">
        <f t="shared" si="41"/>
        <v>0.12600816768562995</v>
      </c>
      <c r="AG105" s="817">
        <f t="shared" si="49"/>
        <v>0</v>
      </c>
      <c r="AH105" s="176">
        <f t="shared" si="42"/>
        <v>6</v>
      </c>
      <c r="AI105" s="225">
        <f t="shared" si="43"/>
        <v>0.12600816768562995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45383</v>
      </c>
      <c r="B106" s="411">
        <f>'2023'!Wh/'2023'!Env_an*'2024'!Env_an</f>
        <v>12.921039497481559</v>
      </c>
      <c r="C106" s="846"/>
      <c r="D106" s="393">
        <f t="shared" si="25"/>
        <v>13.551180326100198</v>
      </c>
      <c r="E106" s="385">
        <f t="shared" si="47"/>
        <v>14.494459023814148</v>
      </c>
      <c r="F106" s="385">
        <f t="shared" si="26"/>
        <v>14.494477066508274</v>
      </c>
      <c r="G106" s="110">
        <f t="shared" si="48"/>
        <v>0.38158222325709373</v>
      </c>
      <c r="H106" s="414" t="b">
        <f>Wh_hp&gt;='2023'!Maxi_hp</f>
        <v>0</v>
      </c>
      <c r="I106" s="390">
        <f>IF(H106,Wh_hp,'2023'!Maxi_hp)</f>
        <v>29.015475964814325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4.6500807564707758E-2</v>
      </c>
      <c r="M106" s="850"/>
      <c r="N106" s="850"/>
      <c r="O106" s="48">
        <f>IF(t&lt;Tnet,'2023'!Resal+('2023'!Salim-'2023'!Resal)*(1-EXP(('2023'!Tnet-t)/('2023'!Tau_j))),Resal+(Salim-Resal)*(1-EXP((Tnet-t)/(Tau_j))))*Salcycl</f>
        <v>6.5078572174660648E-2</v>
      </c>
      <c r="P106" s="169">
        <f>(INDEX(Models!$BJ106:$BT106,,T106)*(1-R106)+INDEX(Models!$BJ106:$BT106,,T106+1)*R106-ERP_i)*Q106*Ramure*Pc/MaxiM</f>
        <v>1.0680268543152826E-5</v>
      </c>
      <c r="Q106" s="305">
        <f t="shared" si="28"/>
        <v>0.7</v>
      </c>
      <c r="R106" s="177">
        <f t="shared" si="29"/>
        <v>0.12706637173506932</v>
      </c>
      <c r="S106" s="817">
        <f t="shared" si="30"/>
        <v>0</v>
      </c>
      <c r="T106" s="176">
        <f t="shared" si="31"/>
        <v>6</v>
      </c>
      <c r="U106" s="251">
        <f t="shared" si="32"/>
        <v>0.12706637173506932</v>
      </c>
      <c r="V106" s="383">
        <f t="shared" si="33"/>
        <v>33.861424337199651</v>
      </c>
      <c r="W106" s="402">
        <f t="shared" si="34"/>
        <v>12.921039497481559</v>
      </c>
      <c r="X106" s="157">
        <f t="shared" si="35"/>
        <v>45383</v>
      </c>
      <c r="Y106" s="385">
        <f t="shared" si="36"/>
        <v>12.181427058051243</v>
      </c>
      <c r="Z106" s="385">
        <f t="shared" si="37"/>
        <v>12.77549803365766</v>
      </c>
      <c r="AA106" s="386">
        <f t="shared" si="38"/>
        <v>14.494459023814148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0.11859435300981321</v>
      </c>
      <c r="AD106" s="231">
        <f>(INDEX(Models!$BJ106:$BT106,,AH106)*(1-AF106)+INDEX(Models!$BJ106:$BT106,,AH106+1)*AF106-ERP_i)*AE106*Ramure*Pc/MaxiM</f>
        <v>1.0680268543152826E-5</v>
      </c>
      <c r="AE106" s="305">
        <f t="shared" si="40"/>
        <v>0.7</v>
      </c>
      <c r="AF106" s="177">
        <f t="shared" si="41"/>
        <v>0.12706637173506932</v>
      </c>
      <c r="AG106" s="817">
        <f t="shared" si="49"/>
        <v>0</v>
      </c>
      <c r="AH106" s="176">
        <f t="shared" si="42"/>
        <v>6</v>
      </c>
      <c r="AI106" s="225">
        <f t="shared" si="43"/>
        <v>0.12706637173506932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45384</v>
      </c>
      <c r="B107" s="411">
        <f>'2023'!Wh/'2023'!Env_an*'2024'!Env_an</f>
        <v>15.356179173407023</v>
      </c>
      <c r="C107" s="846"/>
      <c r="D107" s="393">
        <f t="shared" si="25"/>
        <v>16.105431071511397</v>
      </c>
      <c r="E107" s="385">
        <f t="shared" si="47"/>
        <v>17.228758439625878</v>
      </c>
      <c r="F107" s="385">
        <f t="shared" si="26"/>
        <v>17.228767001816731</v>
      </c>
      <c r="G107" s="110">
        <f t="shared" si="48"/>
        <v>0.45107889832306808</v>
      </c>
      <c r="H107" s="414" t="b">
        <f>Wh_hp&gt;='2023'!Maxi_hp</f>
        <v>0</v>
      </c>
      <c r="I107" s="390">
        <f>IF(H107,Wh_hp,'2023'!Maxi_hp)</f>
        <v>37.337963589482051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4.652169164411335E-2</v>
      </c>
      <c r="M107" s="850"/>
      <c r="N107" s="850"/>
      <c r="O107" s="48">
        <f>IF(t&lt;Tnet,'2023'!Resal+('2023'!Salim-'2023'!Resal)*(1-EXP(('2023'!Tnet-t)/('2023'!Tau_j))),Resal+(Salim-Resal)*(1-EXP((Tnet-t)/(Tau_j))))*Salcycl</f>
        <v>6.5200714958707884E-2</v>
      </c>
      <c r="P107" s="169">
        <f>(INDEX(Models!$BJ107:$BT107,,T107)*(1-R107)+INDEX(Models!$BJ107:$BT107,,T107+1)*R107-ERP_i)*Q107*Ramure*Pc/MaxiM</f>
        <v>2.3026217144276487E-6</v>
      </c>
      <c r="Q107" s="305">
        <f t="shared" si="28"/>
        <v>0.7</v>
      </c>
      <c r="R107" s="177">
        <f t="shared" si="29"/>
        <v>0.12816395653988288</v>
      </c>
      <c r="S107" s="817">
        <f t="shared" si="30"/>
        <v>0</v>
      </c>
      <c r="T107" s="176">
        <f t="shared" si="31"/>
        <v>6</v>
      </c>
      <c r="U107" s="251">
        <f t="shared" si="32"/>
        <v>0.12816395653988288</v>
      </c>
      <c r="V107" s="383">
        <f t="shared" si="33"/>
        <v>34.043160747663933</v>
      </c>
      <c r="W107" s="402">
        <f t="shared" si="34"/>
        <v>15.356179173407023</v>
      </c>
      <c r="X107" s="157">
        <f t="shared" si="35"/>
        <v>45384</v>
      </c>
      <c r="Y107" s="385">
        <f t="shared" si="36"/>
        <v>14.478130426025229</v>
      </c>
      <c r="Z107" s="385">
        <f t="shared" si="37"/>
        <v>15.184540958241971</v>
      </c>
      <c r="AA107" s="386">
        <f t="shared" si="38"/>
        <v>17.228758439625878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0.11865146804091452</v>
      </c>
      <c r="AD107" s="231">
        <f>(INDEX(Models!$BJ107:$BT107,,AH107)*(1-AF107)+INDEX(Models!$BJ107:$BT107,,AH107+1)*AF107-ERP_i)*AE107*Ramure*Pc/MaxiM</f>
        <v>2.3026217144276487E-6</v>
      </c>
      <c r="AE107" s="305">
        <f t="shared" si="40"/>
        <v>0.7</v>
      </c>
      <c r="AF107" s="177">
        <f t="shared" si="41"/>
        <v>0.12816395653988288</v>
      </c>
      <c r="AG107" s="817">
        <f t="shared" si="49"/>
        <v>0</v>
      </c>
      <c r="AH107" s="176">
        <f t="shared" si="42"/>
        <v>6</v>
      </c>
      <c r="AI107" s="225">
        <f t="shared" si="43"/>
        <v>0.12816395653988288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45385</v>
      </c>
      <c r="B108" s="411">
        <f>'2023'!Wh/'2023'!Env_an*'2024'!Env_an</f>
        <v>27.964614921391096</v>
      </c>
      <c r="C108" s="846"/>
      <c r="D108" s="393">
        <f t="shared" si="25"/>
        <v>29.32969443202547</v>
      </c>
      <c r="E108" s="385">
        <f t="shared" si="47"/>
        <v>31.379510966320996</v>
      </c>
      <c r="F108" s="385">
        <f t="shared" si="26"/>
        <v>31.379556938313215</v>
      </c>
      <c r="G108" s="110">
        <f t="shared" si="48"/>
        <v>0.81725057500610787</v>
      </c>
      <c r="H108" s="414" t="b">
        <f>Wh_hp&gt;='2023'!Maxi_hp</f>
        <v>0</v>
      </c>
      <c r="I108" s="390">
        <f>IF(H108,Wh_hp,'2023'!Maxi_hp)</f>
        <v>39.674347557533999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4.6542575266103836E-2</v>
      </c>
      <c r="M108" s="850"/>
      <c r="N108" s="850"/>
      <c r="O108" s="48">
        <f>IF(t&lt;Tnet,'2023'!Resal+('2023'!Salim-'2023'!Resal)*(1-EXP(('2023'!Tnet-t)/('2023'!Tau_j))),Resal+(Salim-Resal)*(1-EXP((Tnet-t)/(Tau_j))))*Salcycl</f>
        <v>6.5323405979639163E-2</v>
      </c>
      <c r="P108" s="169">
        <f>(INDEX(Models!$BJ108:$BT108,,T108)*(1-R108)+INDEX(Models!$BJ108:$BT108,,T108+1)*R108-ERP_i)*Q108*Ramure*Pc/MaxiM</f>
        <v>1.9826370602870447E-6</v>
      </c>
      <c r="Q108" s="305">
        <f t="shared" si="28"/>
        <v>0.7</v>
      </c>
      <c r="R108" s="177">
        <f t="shared" si="29"/>
        <v>0.12930218257473555</v>
      </c>
      <c r="S108" s="817">
        <f t="shared" si="30"/>
        <v>0</v>
      </c>
      <c r="T108" s="176">
        <f t="shared" si="31"/>
        <v>6</v>
      </c>
      <c r="U108" s="251">
        <f t="shared" si="32"/>
        <v>0.12930218257473555</v>
      </c>
      <c r="V108" s="383">
        <f t="shared" si="33"/>
        <v>34.217902442563222</v>
      </c>
      <c r="W108" s="402">
        <f t="shared" si="34"/>
        <v>27.964614921391096</v>
      </c>
      <c r="X108" s="157">
        <f t="shared" si="35"/>
        <v>45385</v>
      </c>
      <c r="Y108" s="385">
        <f t="shared" si="36"/>
        <v>26.367347285021015</v>
      </c>
      <c r="Z108" s="385">
        <f t="shared" si="37"/>
        <v>27.654456928037423</v>
      </c>
      <c r="AA108" s="386">
        <f t="shared" si="38"/>
        <v>31.379510966320996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0.11870975434517127</v>
      </c>
      <c r="AD108" s="231">
        <f>(INDEX(Models!$BJ108:$BT108,,AH108)*(1-AF108)+INDEX(Models!$BJ108:$BT108,,AH108+1)*AF108-ERP_i)*AE108*Ramure*Pc/MaxiM</f>
        <v>1.9826370602870447E-6</v>
      </c>
      <c r="AE108" s="305">
        <f t="shared" si="40"/>
        <v>0.7</v>
      </c>
      <c r="AF108" s="177">
        <f t="shared" si="41"/>
        <v>0.12930218257473555</v>
      </c>
      <c r="AG108" s="817">
        <f t="shared" si="49"/>
        <v>0</v>
      </c>
      <c r="AH108" s="176">
        <f t="shared" si="42"/>
        <v>6</v>
      </c>
      <c r="AI108" s="225">
        <f t="shared" si="43"/>
        <v>0.12930218257473555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45386</v>
      </c>
      <c r="B109" s="411">
        <f>'2023'!Wh/'2023'!Env_an*'2024'!Env_an</f>
        <v>34.473628959686849</v>
      </c>
      <c r="C109" s="846"/>
      <c r="D109" s="393">
        <f t="shared" si="25"/>
        <v>36.157234862159697</v>
      </c>
      <c r="E109" s="385">
        <f t="shared" si="47"/>
        <v>38.689322173525916</v>
      </c>
      <c r="F109" s="385">
        <f t="shared" si="26"/>
        <v>38.689387790565412</v>
      </c>
      <c r="G109" s="110">
        <f t="shared" si="48"/>
        <v>1.0025367346454539</v>
      </c>
      <c r="H109" s="414" t="b">
        <f>Wh_hp&gt;='2023'!Maxi_hp</f>
        <v>0</v>
      </c>
      <c r="I109" s="390">
        <f>IF(H109,Wh_hp,'2023'!Maxi_hp)</f>
        <v>39.549856186864908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4.6563458430689542E-2</v>
      </c>
      <c r="M109" s="850"/>
      <c r="N109" s="850"/>
      <c r="O109" s="48">
        <f>IF(t&lt;Tnet,'2023'!Resal+('2023'!Salim-'2023'!Resal)*(1-EXP(('2023'!Tnet-t)/('2023'!Tau_j))),Resal+(Salim-Resal)*(1-EXP((Tnet-t)/(Tau_j))))*Salcycl</f>
        <v>6.5446670272731225E-2</v>
      </c>
      <c r="P109" s="169">
        <f>(INDEX(Models!$BJ109:$BT109,,T109)*(1-R109)+INDEX(Models!$BJ109:$BT109,,T109+1)*R109-ERP_i)*Q109*Ramure*Pc/MaxiM</f>
        <v>1.6959958076591514E-6</v>
      </c>
      <c r="Q109" s="305">
        <f t="shared" si="28"/>
        <v>0.7</v>
      </c>
      <c r="R109" s="177">
        <f t="shared" si="29"/>
        <v>0.13048233420275429</v>
      </c>
      <c r="S109" s="817">
        <f t="shared" si="30"/>
        <v>0</v>
      </c>
      <c r="T109" s="176">
        <f t="shared" si="31"/>
        <v>6</v>
      </c>
      <c r="U109" s="251">
        <f t="shared" si="32"/>
        <v>0.13048233420275429</v>
      </c>
      <c r="V109" s="383">
        <f t="shared" si="33"/>
        <v>34.386399788012163</v>
      </c>
      <c r="W109" s="402">
        <f t="shared" si="34"/>
        <v>34.473628959686849</v>
      </c>
      <c r="X109" s="157">
        <f t="shared" si="35"/>
        <v>45386</v>
      </c>
      <c r="Y109" s="385">
        <f t="shared" si="36"/>
        <v>32.506675503647159</v>
      </c>
      <c r="Z109" s="385">
        <f t="shared" si="37"/>
        <v>34.094220313963156</v>
      </c>
      <c r="AA109" s="386">
        <f t="shared" si="38"/>
        <v>38.689322173525916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0.11876925211956969</v>
      </c>
      <c r="AD109" s="231">
        <f>(INDEX(Models!$BJ109:$BT109,,AH109)*(1-AF109)+INDEX(Models!$BJ109:$BT109,,AH109+1)*AF109-ERP_i)*AE109*Ramure*Pc/MaxiM</f>
        <v>1.6959958076591514E-6</v>
      </c>
      <c r="AE109" s="305">
        <f t="shared" si="40"/>
        <v>0.7</v>
      </c>
      <c r="AF109" s="177">
        <f t="shared" si="41"/>
        <v>0.13048233420275429</v>
      </c>
      <c r="AG109" s="817">
        <f t="shared" si="49"/>
        <v>0</v>
      </c>
      <c r="AH109" s="176">
        <f t="shared" si="42"/>
        <v>6</v>
      </c>
      <c r="AI109" s="225">
        <f t="shared" si="43"/>
        <v>0.13048233420275429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45387</v>
      </c>
      <c r="B110" s="411">
        <f>'2023'!Wh/'2023'!Env_an*'2024'!Env_an</f>
        <v>7.9287569366034214</v>
      </c>
      <c r="C110" s="846"/>
      <c r="D110" s="393">
        <f t="shared" si="25"/>
        <v>8.3161597598115975</v>
      </c>
      <c r="E110" s="385">
        <f t="shared" si="47"/>
        <v>8.8997190775804427</v>
      </c>
      <c r="F110" s="385">
        <f t="shared" si="26"/>
        <v>8.8997190775804427</v>
      </c>
      <c r="G110" s="110">
        <f t="shared" si="48"/>
        <v>0.22949189254987473</v>
      </c>
      <c r="H110" s="414" t="b">
        <f>Wh_hp&gt;='2023'!Maxi_hp</f>
        <v>0</v>
      </c>
      <c r="I110" s="390">
        <f>IF(H110,Wh_hp,'2023'!Maxi_hp)</f>
        <v>39.474372462150207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4.6584341137880236E-2</v>
      </c>
      <c r="M110" s="850"/>
      <c r="N110" s="850"/>
      <c r="O110" s="48">
        <f>IF(t&lt;Tnet,'2023'!Resal+('2023'!Salim-'2023'!Resal)*(1-EXP(('2023'!Tnet-t)/('2023'!Tau_j))),Resal+(Salim-Resal)*(1-EXP((Tnet-t)/(Tau_j))))*Salcycl</f>
        <v>6.5570532359713246E-2</v>
      </c>
      <c r="P110" s="169">
        <f>(INDEX(Models!$BJ110:$BT110,,T110)*(1-R110)+INDEX(Models!$BJ110:$BT110,,T110+1)*R110-ERP_i)*Q110*Ramure*Pc/MaxiM</f>
        <v>1.4427105895270831E-6</v>
      </c>
      <c r="Q110" s="305">
        <f t="shared" si="28"/>
        <v>0.7</v>
      </c>
      <c r="R110" s="177">
        <f t="shared" si="29"/>
        <v>0.13170571872579448</v>
      </c>
      <c r="S110" s="817">
        <f t="shared" si="30"/>
        <v>0</v>
      </c>
      <c r="T110" s="176">
        <f t="shared" si="31"/>
        <v>6</v>
      </c>
      <c r="U110" s="251">
        <f t="shared" si="32"/>
        <v>0.13170571872579448</v>
      </c>
      <c r="V110" s="383">
        <f t="shared" si="33"/>
        <v>34.549131168015869</v>
      </c>
      <c r="W110" s="402">
        <f t="shared" si="34"/>
        <v>7.9287569366034214</v>
      </c>
      <c r="X110" s="157">
        <f t="shared" si="35"/>
        <v>45387</v>
      </c>
      <c r="Y110" s="385">
        <f t="shared" si="36"/>
        <v>7.476843344917242</v>
      </c>
      <c r="Z110" s="385">
        <f t="shared" si="37"/>
        <v>7.8421654557684599</v>
      </c>
      <c r="AA110" s="386">
        <f t="shared" si="38"/>
        <v>8.8997190775804427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0.11883000042957523</v>
      </c>
      <c r="AD110" s="231">
        <f>(INDEX(Models!$BJ110:$BT110,,AH110)*(1-AF110)+INDEX(Models!$BJ110:$BT110,,AH110+1)*AF110-ERP_i)*AE110*Ramure*Pc/MaxiM</f>
        <v>1.4427105895270831E-6</v>
      </c>
      <c r="AE110" s="305">
        <f t="shared" si="40"/>
        <v>0.7</v>
      </c>
      <c r="AF110" s="177">
        <f t="shared" si="41"/>
        <v>0.13170571872579448</v>
      </c>
      <c r="AG110" s="817">
        <f t="shared" si="49"/>
        <v>0</v>
      </c>
      <c r="AH110" s="176">
        <f t="shared" si="42"/>
        <v>6</v>
      </c>
      <c r="AI110" s="225">
        <f t="shared" si="43"/>
        <v>0.13170571872579448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45388</v>
      </c>
      <c r="B111" s="411">
        <f>'2023'!Wh/'2023'!Env_an*'2024'!Env_an</f>
        <v>25.629405024527006</v>
      </c>
      <c r="C111" s="846"/>
      <c r="D111" s="393">
        <f t="shared" si="25"/>
        <v>26.882258696230391</v>
      </c>
      <c r="E111" s="385">
        <f t="shared" si="47"/>
        <v>28.772466338432537</v>
      </c>
      <c r="F111" s="385">
        <f t="shared" si="26"/>
        <v>28.772488377979975</v>
      </c>
      <c r="G111" s="110">
        <f t="shared" si="48"/>
        <v>0.73845931334859571</v>
      </c>
      <c r="H111" s="414" t="b">
        <f>Wh_hp&gt;='2023'!Maxi_hp</f>
        <v>0</v>
      </c>
      <c r="I111" s="390">
        <f>IF(H111,Wh_hp,'2023'!Maxi_hp)</f>
        <v>39.698812303963905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4.6605223387686134E-2</v>
      </c>
      <c r="M111" s="850"/>
      <c r="N111" s="850"/>
      <c r="O111" s="48">
        <f>IF(t&lt;Tnet,'2023'!Resal+('2023'!Salim-'2023'!Resal)*(1-EXP(('2023'!Tnet-t)/('2023'!Tau_j))),Resal+(Salim-Resal)*(1-EXP((Tnet-t)/(Tau_j))))*Salcycl</f>
        <v>6.5695016199474085E-2</v>
      </c>
      <c r="P111" s="169">
        <f>(INDEX(Models!$BJ111:$BT111,,T111)*(1-R111)+INDEX(Models!$BJ111:$BT111,,T111+1)*R111-ERP_i)*Q111*Ramure*Pc/MaxiM</f>
        <v>1.2229076323787632E-6</v>
      </c>
      <c r="Q111" s="305">
        <f t="shared" si="28"/>
        <v>0.7</v>
      </c>
      <c r="R111" s="177">
        <f t="shared" si="29"/>
        <v>0.13297366528674348</v>
      </c>
      <c r="S111" s="817">
        <f t="shared" si="30"/>
        <v>0</v>
      </c>
      <c r="T111" s="176">
        <f t="shared" si="31"/>
        <v>6</v>
      </c>
      <c r="U111" s="251">
        <f t="shared" si="32"/>
        <v>0.13297366528674348</v>
      </c>
      <c r="V111" s="383">
        <f t="shared" si="33"/>
        <v>34.706574689768395</v>
      </c>
      <c r="W111" s="402">
        <f t="shared" si="34"/>
        <v>25.629405024527006</v>
      </c>
      <c r="X111" s="157">
        <f t="shared" si="35"/>
        <v>45388</v>
      </c>
      <c r="Y111" s="385">
        <f t="shared" si="36"/>
        <v>24.170129927922019</v>
      </c>
      <c r="Z111" s="385">
        <f t="shared" si="37"/>
        <v>25.351649202238605</v>
      </c>
      <c r="AA111" s="386">
        <f t="shared" si="38"/>
        <v>28.772466338432537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0.11889203712872572</v>
      </c>
      <c r="AD111" s="231">
        <f>(INDEX(Models!$BJ111:$BT111,,AH111)*(1-AF111)+INDEX(Models!$BJ111:$BT111,,AH111+1)*AF111-ERP_i)*AE111*Ramure*Pc/MaxiM</f>
        <v>1.2229076323787632E-6</v>
      </c>
      <c r="AE111" s="305">
        <f t="shared" si="40"/>
        <v>0.7</v>
      </c>
      <c r="AF111" s="177">
        <f t="shared" si="41"/>
        <v>0.13297366528674348</v>
      </c>
      <c r="AG111" s="817">
        <f t="shared" si="49"/>
        <v>0</v>
      </c>
      <c r="AH111" s="176">
        <f t="shared" si="42"/>
        <v>6</v>
      </c>
      <c r="AI111" s="225">
        <f t="shared" si="43"/>
        <v>0.13297366528674348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45389</v>
      </c>
      <c r="B112" s="411">
        <f>'2023'!Wh/'2023'!Env_an*'2024'!Env_an</f>
        <v>20.20777406387052</v>
      </c>
      <c r="C112" s="846"/>
      <c r="D112" s="393">
        <f t="shared" si="25"/>
        <v>21.19606397203512</v>
      </c>
      <c r="E112" s="385">
        <f t="shared" si="47"/>
        <v>22.689489461538304</v>
      </c>
      <c r="F112" s="385">
        <f t="shared" si="26"/>
        <v>22.689498861356611</v>
      </c>
      <c r="G112" s="110">
        <f t="shared" si="48"/>
        <v>0.57969651436493697</v>
      </c>
      <c r="H112" s="414" t="b">
        <f>Wh_hp&gt;='2023'!Maxi_hp</f>
        <v>0</v>
      </c>
      <c r="I112" s="390">
        <f>IF(H112,Wh_hp,'2023'!Maxi_hp)</f>
        <v>36.829222658134903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4.6626105180117117E-2</v>
      </c>
      <c r="M112" s="850"/>
      <c r="N112" s="850"/>
      <c r="O112" s="48">
        <f>IF(t&lt;Tnet,'2023'!Resal+('2023'!Salim-'2023'!Resal)*(1-EXP(('2023'!Tnet-t)/('2023'!Tau_j))),Resal+(Salim-Resal)*(1-EXP((Tnet-t)/(Tau_j))))*Salcycl</f>
        <v>6.5820145139657685E-2</v>
      </c>
      <c r="P112" s="169">
        <f>(INDEX(Models!$BJ112:$BT112,,T112)*(1-R112)+INDEX(Models!$BJ112:$BT112,,T112+1)*R112-ERP_i)*Q112*Ramure*Pc/MaxiM</f>
        <v>1.0368238547529076E-6</v>
      </c>
      <c r="Q112" s="305">
        <f t="shared" si="28"/>
        <v>0.7</v>
      </c>
      <c r="R112" s="177">
        <f t="shared" si="29"/>
        <v>0.13428752361448709</v>
      </c>
      <c r="S112" s="817">
        <f t="shared" si="30"/>
        <v>0</v>
      </c>
      <c r="T112" s="176">
        <f t="shared" si="31"/>
        <v>6</v>
      </c>
      <c r="U112" s="251">
        <f t="shared" si="32"/>
        <v>0.13428752361448709</v>
      </c>
      <c r="V112" s="383">
        <f t="shared" si="33"/>
        <v>34.859208194116647</v>
      </c>
      <c r="W112" s="402">
        <f t="shared" si="34"/>
        <v>20.20777406387052</v>
      </c>
      <c r="X112" s="157">
        <f t="shared" si="35"/>
        <v>45389</v>
      </c>
      <c r="Y112" s="385">
        <f t="shared" si="36"/>
        <v>19.058375267896846</v>
      </c>
      <c r="Z112" s="385">
        <f t="shared" si="37"/>
        <v>19.990452194516475</v>
      </c>
      <c r="AA112" s="386">
        <f t="shared" si="38"/>
        <v>22.689489461538304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0.11895539878043779</v>
      </c>
      <c r="AD112" s="231">
        <f>(INDEX(Models!$BJ112:$BT112,,AH112)*(1-AF112)+INDEX(Models!$BJ112:$BT112,,AH112+1)*AF112-ERP_i)*AE112*Ramure*Pc/MaxiM</f>
        <v>1.0368238547529076E-6</v>
      </c>
      <c r="AE112" s="305">
        <f t="shared" si="40"/>
        <v>0.7</v>
      </c>
      <c r="AF112" s="177">
        <f t="shared" si="41"/>
        <v>0.13428752361448709</v>
      </c>
      <c r="AG112" s="817">
        <f t="shared" si="49"/>
        <v>0</v>
      </c>
      <c r="AH112" s="176">
        <f t="shared" si="42"/>
        <v>6</v>
      </c>
      <c r="AI112" s="225">
        <f t="shared" si="43"/>
        <v>0.13428752361448709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45390</v>
      </c>
      <c r="B113" s="411">
        <f>'2023'!Wh/'2023'!Env_an*'2024'!Env_an</f>
        <v>24.391270627765856</v>
      </c>
      <c r="C113" s="846"/>
      <c r="D113" s="393">
        <f t="shared" si="25"/>
        <v>25.584720751663429</v>
      </c>
      <c r="E113" s="385">
        <f t="shared" si="47"/>
        <v>27.391049296281999</v>
      </c>
      <c r="F113" s="385">
        <f t="shared" si="26"/>
        <v>27.391063032540078</v>
      </c>
      <c r="G113" s="110">
        <f t="shared" si="48"/>
        <v>0.69674369308096451</v>
      </c>
      <c r="H113" s="414" t="b">
        <f>Wh_hp&gt;='2023'!Maxi_hp</f>
        <v>0</v>
      </c>
      <c r="I113" s="390">
        <f>IF(H113,Wh_hp,'2023'!Maxi_hp)</f>
        <v>33.294727279888392</v>
      </c>
      <c r="J113" s="85">
        <f>IF(H113,An,'2023'!An_max)</f>
        <v>2020</v>
      </c>
      <c r="K113" s="197">
        <f t="shared" si="27"/>
        <v>45390</v>
      </c>
      <c r="L113" s="147">
        <f>IF(t&lt;Tvie,1-EXP((T0-t)*PertePVj)+'2023'!Pspv,1-EXP((T0-t)*PertePVj)+Pspv)</f>
        <v>4.6646986515183286E-2</v>
      </c>
      <c r="M113" s="850"/>
      <c r="N113" s="850"/>
      <c r="O113" s="48">
        <f>IF(t&lt;Tnet,'2023'!Resal+('2023'!Salim-'2023'!Resal)*(1-EXP(('2023'!Tnet-t)/('2023'!Tau_j))),Resal+(Salim-Resal)*(1-EXP((Tnet-t)/(Tau_j))))*Salcycl</f>
        <v>6.5945941868819122E-2</v>
      </c>
      <c r="P113" s="169">
        <f>(INDEX(Models!$BJ113:$BT113,,T113)*(1-R113)+INDEX(Models!$BJ113:$BT113,,T113+1)*R113-ERP_i)*Q113*Ramure*Pc/MaxiM</f>
        <v>8.8480439351374352E-7</v>
      </c>
      <c r="Q113" s="305">
        <f t="shared" si="28"/>
        <v>0.7</v>
      </c>
      <c r="R113" s="177">
        <f t="shared" si="29"/>
        <v>0.1356486626020531</v>
      </c>
      <c r="S113" s="817">
        <f t="shared" si="30"/>
        <v>0</v>
      </c>
      <c r="T113" s="176">
        <f t="shared" si="31"/>
        <v>6</v>
      </c>
      <c r="U113" s="251">
        <f t="shared" si="32"/>
        <v>0.1356486626020531</v>
      </c>
      <c r="V113" s="383">
        <f t="shared" si="33"/>
        <v>35.007509246768315</v>
      </c>
      <c r="W113" s="402">
        <f t="shared" si="34"/>
        <v>24.391270627765856</v>
      </c>
      <c r="X113" s="157">
        <f t="shared" si="35"/>
        <v>45390</v>
      </c>
      <c r="Y113" s="385">
        <f t="shared" si="36"/>
        <v>23.005326586245069</v>
      </c>
      <c r="Z113" s="385">
        <f t="shared" si="37"/>
        <v>24.130963306187166</v>
      </c>
      <c r="AA113" s="386">
        <f t="shared" si="38"/>
        <v>27.391049296281999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0.11902012058141008</v>
      </c>
      <c r="AD113" s="231">
        <f>(INDEX(Models!$BJ113:$BT113,,AH113)*(1-AF113)+INDEX(Models!$BJ113:$BT113,,AH113+1)*AF113-ERP_i)*AE113*Ramure*Pc/MaxiM</f>
        <v>8.8480439351374352E-7</v>
      </c>
      <c r="AE113" s="305">
        <f t="shared" si="40"/>
        <v>0.7</v>
      </c>
      <c r="AF113" s="177">
        <f t="shared" si="41"/>
        <v>0.1356486626020531</v>
      </c>
      <c r="AG113" s="817">
        <f t="shared" si="49"/>
        <v>0</v>
      </c>
      <c r="AH113" s="176">
        <f t="shared" si="42"/>
        <v>6</v>
      </c>
      <c r="AI113" s="225">
        <f t="shared" si="43"/>
        <v>0.1356486626020531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45391</v>
      </c>
      <c r="B114" s="411">
        <f>'2023'!Wh/'2023'!Env_an*'2024'!Env_an</f>
        <v>34.528320741220512</v>
      </c>
      <c r="C114" s="846"/>
      <c r="D114" s="393">
        <f t="shared" si="25"/>
        <v>36.218563877412691</v>
      </c>
      <c r="E114" s="385">
        <f t="shared" si="47"/>
        <v>38.780912971819888</v>
      </c>
      <c r="F114" s="385">
        <f t="shared" si="26"/>
        <v>38.780941995828073</v>
      </c>
      <c r="G114" s="110">
        <f t="shared" si="48"/>
        <v>0.98225887992012018</v>
      </c>
      <c r="H114" s="414" t="b">
        <f>Wh_hp&gt;='2023'!Maxi_hp</f>
        <v>0</v>
      </c>
      <c r="I114" s="390">
        <f>IF(H114,Wh_hp,'2023'!Maxi_hp)</f>
        <v>38.780942750477344</v>
      </c>
      <c r="J114" s="85">
        <f>IF(H114,An,'2023'!An_max)</f>
        <v>2022</v>
      </c>
      <c r="K114" s="197">
        <f t="shared" si="27"/>
        <v>45391</v>
      </c>
      <c r="L114" s="147">
        <f>IF(t&lt;Tvie,1-EXP((T0-t)*PertePVj)+'2023'!Pspv,1-EXP((T0-t)*PertePVj)+Pspv)</f>
        <v>4.6667867392894635E-2</v>
      </c>
      <c r="M114" s="850"/>
      <c r="N114" s="850"/>
      <c r="O114" s="48">
        <f>IF(t&lt;Tnet,'2023'!Resal+('2023'!Salim-'2023'!Resal)*(1-EXP(('2023'!Tnet-t)/('2023'!Tau_j))),Resal+(Salim-Resal)*(1-EXP((Tnet-t)/(Tau_j))))*Salcycl</f>
        <v>6.6072428368799035E-2</v>
      </c>
      <c r="P114" s="169">
        <f>(INDEX(Models!$BJ114:$BT114,,T114)*(1-R114)+INDEX(Models!$BJ114:$BT114,,T114+1)*R114-ERP_i)*Q114*Ramure*Pc/MaxiM</f>
        <v>7.6787029063466093E-7</v>
      </c>
      <c r="Q114" s="305">
        <f t="shared" si="28"/>
        <v>0.7</v>
      </c>
      <c r="R114" s="177">
        <f t="shared" si="29"/>
        <v>0.13705846870839564</v>
      </c>
      <c r="S114" s="817">
        <f t="shared" si="30"/>
        <v>0</v>
      </c>
      <c r="T114" s="176">
        <f t="shared" si="31"/>
        <v>6</v>
      </c>
      <c r="U114" s="251">
        <f t="shared" si="32"/>
        <v>0.13705846870839564</v>
      </c>
      <c r="V114" s="383">
        <f t="shared" si="33"/>
        <v>35.151955126192583</v>
      </c>
      <c r="W114" s="402">
        <f t="shared" si="34"/>
        <v>34.528320741220512</v>
      </c>
      <c r="X114" s="157">
        <f t="shared" si="35"/>
        <v>45391</v>
      </c>
      <c r="Y114" s="385">
        <f t="shared" si="36"/>
        <v>32.568342452667565</v>
      </c>
      <c r="Z114" s="385">
        <f t="shared" si="37"/>
        <v>34.162640006271438</v>
      </c>
      <c r="AA114" s="386">
        <f t="shared" si="38"/>
        <v>38.780912971819888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0.11908623628598716</v>
      </c>
      <c r="AD114" s="231">
        <f>(INDEX(Models!$BJ114:$BT114,,AH114)*(1-AF114)+INDEX(Models!$BJ114:$BT114,,AH114+1)*AF114-ERP_i)*AE114*Ramure*Pc/MaxiM</f>
        <v>7.6787029063466093E-7</v>
      </c>
      <c r="AE114" s="305">
        <f t="shared" si="40"/>
        <v>0.7</v>
      </c>
      <c r="AF114" s="177">
        <f t="shared" si="41"/>
        <v>0.13705846870839564</v>
      </c>
      <c r="AG114" s="817">
        <f t="shared" si="49"/>
        <v>0</v>
      </c>
      <c r="AH114" s="176">
        <f t="shared" si="42"/>
        <v>6</v>
      </c>
      <c r="AI114" s="225">
        <f t="shared" si="43"/>
        <v>0.13705846870839564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45392</v>
      </c>
      <c r="B115" s="411">
        <f>'2023'!Wh/'2023'!Env_an*'2024'!Env_an</f>
        <v>27.673045207839646</v>
      </c>
      <c r="C115" s="846"/>
      <c r="D115" s="393">
        <f t="shared" si="25"/>
        <v>29.028342154109943</v>
      </c>
      <c r="E115" s="385">
        <f t="shared" si="47"/>
        <v>31.086239584194555</v>
      </c>
      <c r="F115" s="385">
        <f t="shared" si="26"/>
        <v>31.086253816673604</v>
      </c>
      <c r="G115" s="110">
        <f t="shared" si="48"/>
        <v>0.78409375673359105</v>
      </c>
      <c r="H115" s="414" t="b">
        <f>Wh_hp&gt;='2023'!Maxi_hp</f>
        <v>0</v>
      </c>
      <c r="I115" s="390">
        <f>IF(H115,Wh_hp,'2023'!Maxi_hp)</f>
        <v>39.310121110453636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4.6688747813261156E-2</v>
      </c>
      <c r="M115" s="850"/>
      <c r="N115" s="850"/>
      <c r="O115" s="48">
        <f>IF(t&lt;Tnet,'2023'!Resal+('2023'!Salim-'2023'!Resal)*(1-EXP(('2023'!Tnet-t)/('2023'!Tau_j))),Resal+(Salim-Resal)*(1-EXP((Tnet-t)/(Tau_j))))*Salcycl</f>
        <v>6.6199625866968065E-2</v>
      </c>
      <c r="P115" s="169">
        <f>(INDEX(Models!$BJ115:$BT115,,T115)*(1-R115)+INDEX(Models!$BJ115:$BT115,,T115+1)*R115-ERP_i)*Q115*Ramure*Pc/MaxiM</f>
        <v>6.6203443468430505E-7</v>
      </c>
      <c r="Q115" s="305">
        <f t="shared" si="28"/>
        <v>0.7</v>
      </c>
      <c r="R115" s="177">
        <f t="shared" si="29"/>
        <v>0.13851834417429273</v>
      </c>
      <c r="S115" s="817">
        <f t="shared" si="30"/>
        <v>0</v>
      </c>
      <c r="T115" s="176">
        <f t="shared" si="31"/>
        <v>6</v>
      </c>
      <c r="U115" s="251">
        <f t="shared" si="32"/>
        <v>0.13851834417429273</v>
      </c>
      <c r="V115" s="383">
        <f t="shared" si="33"/>
        <v>35.293023722559568</v>
      </c>
      <c r="W115" s="402">
        <f t="shared" si="34"/>
        <v>27.673045207839646</v>
      </c>
      <c r="X115" s="157">
        <f t="shared" si="35"/>
        <v>45392</v>
      </c>
      <c r="Y115" s="385">
        <f t="shared" si="36"/>
        <v>26.103756214031328</v>
      </c>
      <c r="Z115" s="385">
        <f t="shared" si="37"/>
        <v>27.382196689857185</v>
      </c>
      <c r="AA115" s="386">
        <f t="shared" si="38"/>
        <v>31.086239584194555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0.1191537781308437</v>
      </c>
      <c r="AD115" s="231">
        <f>(INDEX(Models!$BJ115:$BT115,,AH115)*(1-AF115)+INDEX(Models!$BJ115:$BT115,,AH115+1)*AF115-ERP_i)*AE115*Ramure*Pc/MaxiM</f>
        <v>6.6203443468430505E-7</v>
      </c>
      <c r="AE115" s="305">
        <f t="shared" si="40"/>
        <v>0.7</v>
      </c>
      <c r="AF115" s="177">
        <f t="shared" si="41"/>
        <v>0.13851834417429273</v>
      </c>
      <c r="AG115" s="817">
        <f t="shared" si="49"/>
        <v>0</v>
      </c>
      <c r="AH115" s="176">
        <f t="shared" si="42"/>
        <v>6</v>
      </c>
      <c r="AI115" s="225">
        <f t="shared" si="43"/>
        <v>0.13851834417429273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45393</v>
      </c>
      <c r="B116" s="411">
        <f>'2023'!Wh/'2023'!Env_an*'2024'!Env_an</f>
        <v>23.477796587943988</v>
      </c>
      <c r="C116" s="846"/>
      <c r="D116" s="393">
        <f t="shared" si="25"/>
        <v>24.628169204287833</v>
      </c>
      <c r="E116" s="385">
        <f t="shared" si="47"/>
        <v>26.377740213480962</v>
      </c>
      <c r="F116" s="385">
        <f t="shared" si="26"/>
        <v>26.377747967166808</v>
      </c>
      <c r="G116" s="110">
        <f t="shared" si="48"/>
        <v>0.66263055126329073</v>
      </c>
      <c r="H116" s="414" t="b">
        <f>Wh_hp&gt;='2023'!Maxi_hp</f>
        <v>0</v>
      </c>
      <c r="I116" s="390">
        <f>IF(H116,Wh_hp,'2023'!Maxi_hp)</f>
        <v>40.636382536630947</v>
      </c>
      <c r="J116" s="85">
        <f>IF(H116,An,'2023'!An_max)</f>
        <v>2019</v>
      </c>
      <c r="K116" s="197">
        <f t="shared" si="27"/>
        <v>45393</v>
      </c>
      <c r="L116" s="147">
        <f>IF(t&lt;Tvie,1-EXP((T0-t)*PertePVj)+'2023'!Pspv,1-EXP((T0-t)*PertePVj)+Pspv)</f>
        <v>4.6709627776292839E-2</v>
      </c>
      <c r="M116" s="850"/>
      <c r="N116" s="850"/>
      <c r="O116" s="48">
        <f>IF(t&lt;Tnet,'2023'!Resal+('2023'!Salim-'2023'!Resal)*(1-EXP(('2023'!Tnet-t)/('2023'!Tau_j))),Resal+(Salim-Resal)*(1-EXP((Tnet-t)/(Tau_j))))*Salcycl</f>
        <v>6.6327554787993945E-2</v>
      </c>
      <c r="P116" s="169">
        <f>(INDEX(Models!$BJ116:$BT116,,T116)*(1-R116)+INDEX(Models!$BJ116:$BT116,,T116+1)*R116-ERP_i)*Q116*Ramure*Pc/MaxiM</f>
        <v>5.6741905921663986E-7</v>
      </c>
      <c r="Q116" s="305">
        <f t="shared" si="28"/>
        <v>0.7</v>
      </c>
      <c r="R116" s="177">
        <f t="shared" si="29"/>
        <v>0.14002970504292106</v>
      </c>
      <c r="S116" s="817">
        <f t="shared" si="30"/>
        <v>0</v>
      </c>
      <c r="T116" s="176">
        <f t="shared" si="31"/>
        <v>6</v>
      </c>
      <c r="U116" s="251">
        <f t="shared" si="32"/>
        <v>0.14002970504292106</v>
      </c>
      <c r="V116" s="383">
        <f t="shared" si="33"/>
        <v>35.43119181976131</v>
      </c>
      <c r="W116" s="402">
        <f t="shared" si="34"/>
        <v>23.477796587943988</v>
      </c>
      <c r="X116" s="157">
        <f t="shared" si="35"/>
        <v>45393</v>
      </c>
      <c r="Y116" s="385">
        <f t="shared" si="36"/>
        <v>22.147712072452226</v>
      </c>
      <c r="Z116" s="385">
        <f t="shared" si="37"/>
        <v>23.232912780592791</v>
      </c>
      <c r="AA116" s="386">
        <f t="shared" si="38"/>
        <v>26.377740213480962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0.11922277675935759</v>
      </c>
      <c r="AD116" s="231">
        <f>(INDEX(Models!$BJ116:$BT116,,AH116)*(1-AF116)+INDEX(Models!$BJ116:$BT116,,AH116+1)*AF116-ERP_i)*AE116*Ramure*Pc/MaxiM</f>
        <v>5.6741905921663986E-7</v>
      </c>
      <c r="AE116" s="305">
        <f t="shared" si="40"/>
        <v>0.7</v>
      </c>
      <c r="AF116" s="177">
        <f t="shared" si="41"/>
        <v>0.14002970504292106</v>
      </c>
      <c r="AG116" s="817">
        <f t="shared" si="49"/>
        <v>0</v>
      </c>
      <c r="AH116" s="176">
        <f t="shared" si="42"/>
        <v>6</v>
      </c>
      <c r="AI116" s="225">
        <f t="shared" si="43"/>
        <v>0.14002970504292106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45394</v>
      </c>
      <c r="B117" s="411">
        <f>'2023'!Wh/'2023'!Env_an*'2024'!Env_an</f>
        <v>4.5603971532385348</v>
      </c>
      <c r="C117" s="846"/>
      <c r="D117" s="393">
        <f t="shared" si="25"/>
        <v>4.7839537382401147</v>
      </c>
      <c r="E117" s="385">
        <f t="shared" si="47"/>
        <v>5.124509333236583</v>
      </c>
      <c r="F117" s="385">
        <f t="shared" si="26"/>
        <v>5.124509333236583</v>
      </c>
      <c r="G117" s="110">
        <f t="shared" si="48"/>
        <v>0.12822006804963673</v>
      </c>
      <c r="H117" s="414" t="b">
        <f>Wh_hp&gt;='2023'!Maxi_hp</f>
        <v>0</v>
      </c>
      <c r="I117" s="390">
        <f>IF(H117,Wh_hp,'2023'!Maxi_hp)</f>
        <v>40.953213285754423</v>
      </c>
      <c r="J117" s="85">
        <f>IF(H117,An,'2023'!An_max)</f>
        <v>2019</v>
      </c>
      <c r="K117" s="197">
        <f t="shared" si="27"/>
        <v>45394</v>
      </c>
      <c r="L117" s="147">
        <f>IF(t&lt;Tvie,1-EXP((T0-t)*PertePVj)+'2023'!Pspv,1-EXP((T0-t)*PertePVj)+Pspv)</f>
        <v>4.6730507281999789E-2</v>
      </c>
      <c r="M117" s="850"/>
      <c r="N117" s="850"/>
      <c r="O117" s="48">
        <f>IF(t&lt;Tnet,'2023'!Resal+('2023'!Salim-'2023'!Resal)*(1-EXP(('2023'!Tnet-t)/('2023'!Tau_j))),Resal+(Salim-Resal)*(1-EXP((Tnet-t)/(Tau_j))))*Salcycl</f>
        <v>6.6456234704792144E-2</v>
      </c>
      <c r="P117" s="169">
        <f>(INDEX(Models!$BJ117:$BT117,,T117)*(1-R117)+INDEX(Models!$BJ117:$BT117,,T117+1)*R117-ERP_i)*Q117*Ramure*Pc/MaxiM</f>
        <v>4.8418294945421807E-7</v>
      </c>
      <c r="Q117" s="305">
        <f t="shared" si="28"/>
        <v>0.7</v>
      </c>
      <c r="R117" s="177">
        <f t="shared" si="29"/>
        <v>0.14159397897584261</v>
      </c>
      <c r="S117" s="817">
        <f t="shared" si="30"/>
        <v>0</v>
      </c>
      <c r="T117" s="176">
        <f t="shared" si="31"/>
        <v>6</v>
      </c>
      <c r="U117" s="251">
        <f t="shared" si="32"/>
        <v>0.14159397897584261</v>
      </c>
      <c r="V117" s="383">
        <f t="shared" si="33"/>
        <v>35.566935929300584</v>
      </c>
      <c r="W117" s="402">
        <f t="shared" si="34"/>
        <v>4.5603971532385348</v>
      </c>
      <c r="X117" s="157">
        <f t="shared" si="35"/>
        <v>45394</v>
      </c>
      <c r="Y117" s="385">
        <f t="shared" si="36"/>
        <v>4.3022862494743146</v>
      </c>
      <c r="Z117" s="385">
        <f t="shared" si="37"/>
        <v>4.5131899031064799</v>
      </c>
      <c r="AA117" s="386">
        <f t="shared" si="38"/>
        <v>5.124509333236583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0.11929326114506267</v>
      </c>
      <c r="AD117" s="231">
        <f>(INDEX(Models!$BJ117:$BT117,,AH117)*(1-AF117)+INDEX(Models!$BJ117:$BT117,,AH117+1)*AF117-ERP_i)*AE117*Ramure*Pc/MaxiM</f>
        <v>4.8418294945421807E-7</v>
      </c>
      <c r="AE117" s="305">
        <f t="shared" si="40"/>
        <v>0.7</v>
      </c>
      <c r="AF117" s="177">
        <f t="shared" si="41"/>
        <v>0.14159397897584261</v>
      </c>
      <c r="AG117" s="817">
        <f t="shared" si="49"/>
        <v>0</v>
      </c>
      <c r="AH117" s="176">
        <f t="shared" si="42"/>
        <v>6</v>
      </c>
      <c r="AI117" s="225">
        <f t="shared" si="43"/>
        <v>0.14159397897584261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45395</v>
      </c>
      <c r="B118" s="411">
        <f>'2023'!Wh/'2023'!Env_an*'2024'!Env_an</f>
        <v>25.852841021630944</v>
      </c>
      <c r="C118" s="846"/>
      <c r="D118" s="393">
        <f t="shared" si="25"/>
        <v>27.12077484393954</v>
      </c>
      <c r="E118" s="385">
        <f t="shared" si="47"/>
        <v>29.055451997500043</v>
      </c>
      <c r="F118" s="385">
        <f t="shared" si="26"/>
        <v>29.055459260226023</v>
      </c>
      <c r="G118" s="110">
        <f t="shared" si="48"/>
        <v>0.72415424438877352</v>
      </c>
      <c r="H118" s="414" t="b">
        <f>Wh_hp&gt;='2023'!Maxi_hp</f>
        <v>0</v>
      </c>
      <c r="I118" s="390">
        <f>IF(H118,Wh_hp,'2023'!Maxi_hp)</f>
        <v>29.055463983298168</v>
      </c>
      <c r="J118" s="85">
        <f>IF(H118,An,'2023'!An_max)</f>
        <v>2022</v>
      </c>
      <c r="K118" s="197">
        <f t="shared" si="27"/>
        <v>45395</v>
      </c>
      <c r="L118" s="147">
        <f>IF(t&lt;Tvie,1-EXP((T0-t)*PertePVj)+'2023'!Pspv,1-EXP((T0-t)*PertePVj)+Pspv)</f>
        <v>4.6751386330391997E-2</v>
      </c>
      <c r="M118" s="850"/>
      <c r="N118" s="850"/>
      <c r="O118" s="48">
        <f>IF(t&lt;Tnet,'2023'!Resal+('2023'!Salim-'2023'!Resal)*(1-EXP(('2023'!Tnet-t)/('2023'!Tau_j))),Resal+(Salim-Resal)*(1-EXP((Tnet-t)/(Tau_j))))*Salcycl</f>
        <v>6.6585684288338234E-2</v>
      </c>
      <c r="P118" s="169">
        <f>(INDEX(Models!$BJ118:$BT118,,T118)*(1-R118)+INDEX(Models!$BJ118:$BT118,,T118+1)*R118-ERP_i)*Q118*Ramure*Pc/MaxiM</f>
        <v>4.1252095684071023E-7</v>
      </c>
      <c r="Q118" s="305">
        <f t="shared" si="28"/>
        <v>0.7</v>
      </c>
      <c r="R118" s="177">
        <f t="shared" si="29"/>
        <v>0.14321260285540618</v>
      </c>
      <c r="S118" s="817">
        <f t="shared" si="30"/>
        <v>0</v>
      </c>
      <c r="T118" s="176">
        <f t="shared" si="31"/>
        <v>6</v>
      </c>
      <c r="U118" s="251">
        <f t="shared" si="32"/>
        <v>0.14321260285540618</v>
      </c>
      <c r="V118" s="383">
        <f t="shared" si="33"/>
        <v>35.700732294691392</v>
      </c>
      <c r="W118" s="402">
        <f t="shared" si="34"/>
        <v>25.852841021630944</v>
      </c>
      <c r="X118" s="157">
        <f t="shared" si="35"/>
        <v>45395</v>
      </c>
      <c r="Y118" s="385">
        <f t="shared" si="36"/>
        <v>24.3910014947806</v>
      </c>
      <c r="Z118" s="385">
        <f t="shared" si="37"/>
        <v>25.587240458588717</v>
      </c>
      <c r="AA118" s="386">
        <f t="shared" si="38"/>
        <v>29.055451997500043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0.11936525851360823</v>
      </c>
      <c r="AD118" s="231">
        <f>(INDEX(Models!$BJ118:$BT118,,AH118)*(1-AF118)+INDEX(Models!$BJ118:$BT118,,AH118+1)*AF118-ERP_i)*AE118*Ramure*Pc/MaxiM</f>
        <v>4.1252095684071023E-7</v>
      </c>
      <c r="AE118" s="305">
        <f t="shared" si="40"/>
        <v>0.7</v>
      </c>
      <c r="AF118" s="177">
        <f t="shared" si="41"/>
        <v>0.14321260285540618</v>
      </c>
      <c r="AG118" s="817">
        <f t="shared" si="49"/>
        <v>0</v>
      </c>
      <c r="AH118" s="176">
        <f t="shared" si="42"/>
        <v>6</v>
      </c>
      <c r="AI118" s="225">
        <f t="shared" si="43"/>
        <v>0.14321260285540618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45396</v>
      </c>
      <c r="B119" s="411">
        <f>'2023'!Wh/'2023'!Env_an*'2024'!Env_an</f>
        <v>28.671843473247886</v>
      </c>
      <c r="C119" s="846"/>
      <c r="D119" s="393">
        <f t="shared" si="25"/>
        <v>30.078692025139294</v>
      </c>
      <c r="E119" s="385">
        <f t="shared" si="47"/>
        <v>32.22887083386248</v>
      </c>
      <c r="F119" s="385">
        <f t="shared" si="26"/>
        <v>32.22887895484498</v>
      </c>
      <c r="G119" s="110">
        <f t="shared" si="48"/>
        <v>0.80015056145777919</v>
      </c>
      <c r="H119" s="414" t="b">
        <f>Wh_hp&gt;='2023'!Maxi_hp</f>
        <v>0</v>
      </c>
      <c r="I119" s="390">
        <f>IF(H119,Wh_hp,'2023'!Maxi_hp)</f>
        <v>39.087125925166902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4.6772264921479456E-2</v>
      </c>
      <c r="M119" s="850"/>
      <c r="N119" s="850"/>
      <c r="O119" s="48">
        <f>IF(t&lt;Tnet,'2023'!Resal+('2023'!Salim-'2023'!Resal)*(1-EXP(('2023'!Tnet-t)/('2023'!Tau_j))),Resal+(Salim-Resal)*(1-EXP((Tnet-t)/(Tau_j))))*Salcycl</f>
        <v>6.6715921256044142E-2</v>
      </c>
      <c r="P119" s="169">
        <f>(INDEX(Models!$BJ119:$BT119,,T119)*(1-R119)+INDEX(Models!$BJ119:$BT119,,T119+1)*R119-ERP_i)*Q119*Ramure*Pc/MaxiM</f>
        <v>3.5266355782347206E-7</v>
      </c>
      <c r="Q119" s="305">
        <f t="shared" si="28"/>
        <v>0.7</v>
      </c>
      <c r="R119" s="177">
        <f t="shared" si="29"/>
        <v>0.14488702016493771</v>
      </c>
      <c r="S119" s="817">
        <f t="shared" si="30"/>
        <v>0</v>
      </c>
      <c r="T119" s="176">
        <f t="shared" si="31"/>
        <v>6</v>
      </c>
      <c r="U119" s="251">
        <f t="shared" si="32"/>
        <v>0.14488702016493771</v>
      </c>
      <c r="V119" s="383">
        <f t="shared" si="33"/>
        <v>35.833056886421979</v>
      </c>
      <c r="W119" s="402">
        <f t="shared" si="34"/>
        <v>28.671843473247886</v>
      </c>
      <c r="X119" s="157">
        <f t="shared" si="35"/>
        <v>45396</v>
      </c>
      <c r="Y119" s="385">
        <f t="shared" si="36"/>
        <v>27.052120179198688</v>
      </c>
      <c r="Z119" s="385">
        <f t="shared" si="37"/>
        <v>28.37949336101757</v>
      </c>
      <c r="AA119" s="386">
        <f t="shared" si="38"/>
        <v>32.22887083386248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0.11943879426270246</v>
      </c>
      <c r="AD119" s="231">
        <f>(INDEX(Models!$BJ119:$BT119,,AH119)*(1-AF119)+INDEX(Models!$BJ119:$BT119,,AH119+1)*AF119-ERP_i)*AE119*Ramure*Pc/MaxiM</f>
        <v>3.5266355782347206E-7</v>
      </c>
      <c r="AE119" s="305">
        <f t="shared" si="40"/>
        <v>0.7</v>
      </c>
      <c r="AF119" s="177">
        <f t="shared" si="41"/>
        <v>0.14488702016493771</v>
      </c>
      <c r="AG119" s="817">
        <f t="shared" si="49"/>
        <v>0</v>
      </c>
      <c r="AH119" s="176">
        <f t="shared" si="42"/>
        <v>6</v>
      </c>
      <c r="AI119" s="225">
        <f t="shared" si="43"/>
        <v>0.14488702016493771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45397</v>
      </c>
      <c r="B120" s="411">
        <f>'2023'!Wh/'2023'!Env_an*'2024'!Env_an</f>
        <v>28.86333384522769</v>
      </c>
      <c r="C120" s="846"/>
      <c r="D120" s="393">
        <f t="shared" si="25"/>
        <v>30.28024151834374</v>
      </c>
      <c r="E120" s="385">
        <f t="shared" si="47"/>
        <v>32.4493842870355</v>
      </c>
      <c r="F120" s="385">
        <f t="shared" si="26"/>
        <v>32.449391389587888</v>
      </c>
      <c r="G120" s="110">
        <f t="shared" si="48"/>
        <v>0.80255316586874914</v>
      </c>
      <c r="H120" s="414" t="b">
        <f>Wh_hp&gt;='2023'!Maxi_hp</f>
        <v>0</v>
      </c>
      <c r="I120" s="390">
        <f>IF(H120,Wh_hp,'2023'!Maxi_hp)</f>
        <v>34.469326384256924</v>
      </c>
      <c r="J120" s="85">
        <f>IF(H120,An,'2023'!An_max)</f>
        <v>2020</v>
      </c>
      <c r="K120" s="197">
        <f t="shared" si="27"/>
        <v>45397</v>
      </c>
      <c r="L120" s="147">
        <f>IF(t&lt;Tvie,1-EXP((T0-t)*PertePVj)+'2023'!Pspv,1-EXP((T0-t)*PertePVj)+Pspv)</f>
        <v>4.6793143055272157E-2</v>
      </c>
      <c r="M120" s="850"/>
      <c r="N120" s="850"/>
      <c r="O120" s="48">
        <f>IF(t&lt;Tnet,'2023'!Resal+('2023'!Salim-'2023'!Resal)*(1-EXP(('2023'!Tnet-t)/('2023'!Tau_j))),Resal+(Salim-Resal)*(1-EXP((Tnet-t)/(Tau_j))))*Salcycl</f>
        <v>6.6846962318431347E-2</v>
      </c>
      <c r="P120" s="169">
        <f>(INDEX(Models!$BJ120:$BT120,,T120)*(1-R120)+INDEX(Models!$BJ120:$BT120,,T120+1)*R120-ERP_i)*Q120*Ramure*Pc/MaxiM</f>
        <v>3.0487643483417191E-7</v>
      </c>
      <c r="Q120" s="305">
        <f t="shared" si="28"/>
        <v>0.7</v>
      </c>
      <c r="R120" s="177">
        <f t="shared" si="29"/>
        <v>0.14661867813858009</v>
      </c>
      <c r="S120" s="817">
        <f t="shared" si="30"/>
        <v>0</v>
      </c>
      <c r="T120" s="176">
        <f t="shared" si="31"/>
        <v>6</v>
      </c>
      <c r="U120" s="251">
        <f t="shared" si="32"/>
        <v>0.14661867813858009</v>
      </c>
      <c r="V120" s="383">
        <f t="shared" si="33"/>
        <v>35.964385402262586</v>
      </c>
      <c r="W120" s="402">
        <f t="shared" si="34"/>
        <v>28.86333384522769</v>
      </c>
      <c r="X120" s="157">
        <f t="shared" si="35"/>
        <v>45397</v>
      </c>
      <c r="Y120" s="385">
        <f t="shared" si="36"/>
        <v>27.234294331727014</v>
      </c>
      <c r="Z120" s="385">
        <f t="shared" si="37"/>
        <v>28.57123208179587</v>
      </c>
      <c r="AA120" s="386">
        <f t="shared" si="38"/>
        <v>32.4493842870355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0.11951389187957778</v>
      </c>
      <c r="AD120" s="231">
        <f>(INDEX(Models!$BJ120:$BT120,,AH120)*(1-AF120)+INDEX(Models!$BJ120:$BT120,,AH120+1)*AF120-ERP_i)*AE120*Ramure*Pc/MaxiM</f>
        <v>3.0487643483417191E-7</v>
      </c>
      <c r="AE120" s="305">
        <f t="shared" si="40"/>
        <v>0.7</v>
      </c>
      <c r="AF120" s="177">
        <f t="shared" si="41"/>
        <v>0.14661867813858009</v>
      </c>
      <c r="AG120" s="817">
        <f t="shared" si="49"/>
        <v>0</v>
      </c>
      <c r="AH120" s="176">
        <f t="shared" si="42"/>
        <v>6</v>
      </c>
      <c r="AI120" s="225">
        <f t="shared" si="43"/>
        <v>0.14661867813858009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45398</v>
      </c>
      <c r="B121" s="411">
        <f>'2023'!Wh/'2023'!Env_an*'2024'!Env_an</f>
        <v>35.785970774029167</v>
      </c>
      <c r="C121" s="846"/>
      <c r="D121" s="393">
        <f t="shared" si="25"/>
        <v>37.543534580211492</v>
      </c>
      <c r="E121" s="385">
        <f t="shared" si="47"/>
        <v>40.238673580713396</v>
      </c>
      <c r="F121" s="385">
        <f t="shared" si="26"/>
        <v>40.238684291295804</v>
      </c>
      <c r="G121" s="110">
        <f t="shared" si="48"/>
        <v>0.99145448895883281</v>
      </c>
      <c r="H121" s="414" t="b">
        <f>Wh_hp&gt;='2023'!Maxi_hp</f>
        <v>0</v>
      </c>
      <c r="I121" s="390">
        <f>IF(H121,Wh_hp,'2023'!Maxi_hp)</f>
        <v>40.23868442366517</v>
      </c>
      <c r="J121" s="85">
        <f>IF(H121,An,'2023'!An_max)</f>
        <v>2023</v>
      </c>
      <c r="K121" s="197">
        <f t="shared" si="27"/>
        <v>45398</v>
      </c>
      <c r="L121" s="147">
        <f>IF(t&lt;Tvie,1-EXP((T0-t)*PertePVj)+'2023'!Pspv,1-EXP((T0-t)*PertePVj)+Pspv)</f>
        <v>4.6814020731780204E-2</v>
      </c>
      <c r="M121" s="850"/>
      <c r="N121" s="850"/>
      <c r="O121" s="48">
        <f>IF(t&lt;Tnet,'2023'!Resal+('2023'!Salim-'2023'!Resal)*(1-EXP(('2023'!Tnet-t)/('2023'!Tau_j))),Resal+(Salim-Resal)*(1-EXP((Tnet-t)/(Tau_j))))*Salcycl</f>
        <v>6.6978823123873904E-2</v>
      </c>
      <c r="P121" s="169">
        <f>(INDEX(Models!$BJ121:$BT121,,T121)*(1-R121)+INDEX(Models!$BJ121:$BT121,,T121+1)*R121-ERP_i)*Q121*Ramure*Pc/MaxiM</f>
        <v>2.694658616211956E-7</v>
      </c>
      <c r="Q121" s="305">
        <f t="shared" si="28"/>
        <v>0.7</v>
      </c>
      <c r="R121" s="177">
        <f t="shared" si="29"/>
        <v>0.14840902467325687</v>
      </c>
      <c r="S121" s="817">
        <f t="shared" si="30"/>
        <v>0</v>
      </c>
      <c r="T121" s="176">
        <f t="shared" si="31"/>
        <v>6</v>
      </c>
      <c r="U121" s="251">
        <f t="shared" si="32"/>
        <v>0.14840902467325687</v>
      </c>
      <c r="V121" s="383">
        <f t="shared" si="33"/>
        <v>36.094415885783917</v>
      </c>
      <c r="W121" s="402">
        <f t="shared" si="34"/>
        <v>35.785970774029167</v>
      </c>
      <c r="X121" s="157">
        <f t="shared" si="35"/>
        <v>45398</v>
      </c>
      <c r="Y121" s="385">
        <f t="shared" si="36"/>
        <v>33.768050297054046</v>
      </c>
      <c r="Z121" s="385">
        <f t="shared" si="37"/>
        <v>35.426507556246747</v>
      </c>
      <c r="AA121" s="386">
        <f t="shared" si="38"/>
        <v>40.238673580713396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0.11959057285559094</v>
      </c>
      <c r="AD121" s="231">
        <f>(INDEX(Models!$BJ121:$BT121,,AH121)*(1-AF121)+INDEX(Models!$BJ121:$BT121,,AH121+1)*AF121-ERP_i)*AE121*Ramure*Pc/MaxiM</f>
        <v>2.694658616211956E-7</v>
      </c>
      <c r="AE121" s="305">
        <f t="shared" si="40"/>
        <v>0.7</v>
      </c>
      <c r="AF121" s="177">
        <f t="shared" si="41"/>
        <v>0.14840902467325687</v>
      </c>
      <c r="AG121" s="817">
        <f t="shared" si="49"/>
        <v>0</v>
      </c>
      <c r="AH121" s="176">
        <f t="shared" si="42"/>
        <v>6</v>
      </c>
      <c r="AI121" s="225">
        <f t="shared" si="43"/>
        <v>0.14840902467325687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45399</v>
      </c>
      <c r="B122" s="411">
        <f>'2023'!Wh/'2023'!Env_an*'2024'!Env_an</f>
        <v>25.626173733525597</v>
      </c>
      <c r="C122" s="846"/>
      <c r="D122" s="393">
        <f t="shared" si="25"/>
        <v>26.885346178157263</v>
      </c>
      <c r="E122" s="385">
        <f t="shared" si="47"/>
        <v>28.819464172521055</v>
      </c>
      <c r="F122" s="385">
        <f t="shared" si="26"/>
        <v>28.819468317469777</v>
      </c>
      <c r="G122" s="110">
        <f t="shared" si="48"/>
        <v>0.70746746065021537</v>
      </c>
      <c r="H122" s="414" t="b">
        <f>Wh_hp&gt;='2023'!Maxi_hp</f>
        <v>0</v>
      </c>
      <c r="I122" s="390">
        <f>IF(H122,Wh_hp,'2023'!Maxi_hp)</f>
        <v>28.819471293246423</v>
      </c>
      <c r="J122" s="85">
        <f>IF(H122,An,'2023'!An_max)</f>
        <v>2023</v>
      </c>
      <c r="K122" s="197">
        <f t="shared" si="27"/>
        <v>45399</v>
      </c>
      <c r="L122" s="147">
        <f>IF(t&lt;Tvie,1-EXP((T0-t)*PertePVj)+'2023'!Pspv,1-EXP((T0-t)*PertePVj)+Pspv)</f>
        <v>4.6834897951013477E-2</v>
      </c>
      <c r="M122" s="850"/>
      <c r="N122" s="850"/>
      <c r="O122" s="48">
        <f>IF(t&lt;Tnet,'2023'!Resal+('2023'!Salim-'2023'!Resal)*(1-EXP(('2023'!Tnet-t)/('2023'!Tau_j))),Resal+(Salim-Resal)*(1-EXP((Tnet-t)/(Tau_j))))*Salcycl</f>
        <v>6.7111518201228348E-2</v>
      </c>
      <c r="P122" s="169">
        <f>(INDEX(Models!$BJ122:$BT122,,T122)*(1-R122)+INDEX(Models!$BJ122:$BT122,,T122+1)*R122-ERP_i)*Q122*Ramure*Pc/MaxiM</f>
        <v>2.4708036088730211E-7</v>
      </c>
      <c r="Q122" s="305">
        <f t="shared" si="28"/>
        <v>0.7</v>
      </c>
      <c r="R122" s="177">
        <f t="shared" si="29"/>
        <v>0.15025950499597979</v>
      </c>
      <c r="S122" s="817">
        <f t="shared" si="30"/>
        <v>0</v>
      </c>
      <c r="T122" s="176">
        <f t="shared" si="31"/>
        <v>6</v>
      </c>
      <c r="U122" s="251">
        <f t="shared" si="32"/>
        <v>0.15025950499597979</v>
      </c>
      <c r="V122" s="383">
        <f t="shared" si="33"/>
        <v>36.222402460634697</v>
      </c>
      <c r="W122" s="402">
        <f t="shared" si="34"/>
        <v>25.626173733525597</v>
      </c>
      <c r="X122" s="157">
        <f t="shared" si="35"/>
        <v>45399</v>
      </c>
      <c r="Y122" s="385">
        <f t="shared" si="36"/>
        <v>24.182439020324342</v>
      </c>
      <c r="Z122" s="385">
        <f t="shared" si="37"/>
        <v>25.370671847238402</v>
      </c>
      <c r="AA122" s="386">
        <f t="shared" si="38"/>
        <v>28.819464172521055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0.11966885659765418</v>
      </c>
      <c r="AD122" s="231">
        <f>(INDEX(Models!$BJ122:$BT122,,AH122)*(1-AF122)+INDEX(Models!$BJ122:$BT122,,AH122+1)*AF122-ERP_i)*AE122*Ramure*Pc/MaxiM</f>
        <v>2.4708036088730211E-7</v>
      </c>
      <c r="AE122" s="305">
        <f t="shared" si="40"/>
        <v>0.7</v>
      </c>
      <c r="AF122" s="177">
        <f t="shared" si="41"/>
        <v>0.15025950499597979</v>
      </c>
      <c r="AG122" s="817">
        <f t="shared" si="49"/>
        <v>0</v>
      </c>
      <c r="AH122" s="176">
        <f t="shared" si="42"/>
        <v>6</v>
      </c>
      <c r="AI122" s="225">
        <f t="shared" si="43"/>
        <v>0.15025950499597979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45400</v>
      </c>
      <c r="B123" s="411">
        <f>'2023'!Wh/'2023'!Env_an*'2024'!Env_an</f>
        <v>6.2782912946205398</v>
      </c>
      <c r="C123" s="846"/>
      <c r="D123" s="393">
        <f t="shared" si="25"/>
        <v>6.5869268554084499</v>
      </c>
      <c r="E123" s="385">
        <f t="shared" si="47"/>
        <v>7.0617978841962685</v>
      </c>
      <c r="F123" s="385">
        <f t="shared" si="26"/>
        <v>7.0617978841962685</v>
      </c>
      <c r="G123" s="110">
        <f t="shared" si="48"/>
        <v>0.17272650618414359</v>
      </c>
      <c r="H123" s="414" t="b">
        <f>Wh_hp&gt;='2023'!Maxi_hp</f>
        <v>0</v>
      </c>
      <c r="I123" s="390">
        <f>IF(H123,Wh_hp,'2023'!Maxi_hp)</f>
        <v>38.947990013439039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4.6855774712982079E-2</v>
      </c>
      <c r="M123" s="850"/>
      <c r="N123" s="850"/>
      <c r="O123" s="48">
        <f>IF(t&lt;Tnet,'2023'!Resal+('2023'!Salim-'2023'!Resal)*(1-EXP(('2023'!Tnet-t)/('2023'!Tau_j))),Resal+(Salim-Resal)*(1-EXP((Tnet-t)/(Tau_j))))*Salcycl</f>
        <v>6.7245060900219408E-2</v>
      </c>
      <c r="P123" s="169">
        <f>(INDEX(Models!$BJ123:$BT123,,T123)*(1-R123)+INDEX(Models!$BJ123:$BT123,,T123+1)*R123-ERP_i)*Q123*Ramure*Pc/MaxiM</f>
        <v>2.2522359114728948E-7</v>
      </c>
      <c r="Q123" s="305">
        <f t="shared" si="28"/>
        <v>0.7</v>
      </c>
      <c r="R123" s="177">
        <f t="shared" si="29"/>
        <v>0.15217155808061664</v>
      </c>
      <c r="S123" s="817">
        <f t="shared" si="30"/>
        <v>0</v>
      </c>
      <c r="T123" s="176">
        <f t="shared" si="31"/>
        <v>6</v>
      </c>
      <c r="U123" s="251">
        <f t="shared" si="32"/>
        <v>0.15217155808061664</v>
      </c>
      <c r="V123" s="383">
        <f t="shared" si="33"/>
        <v>36.348155354384055</v>
      </c>
      <c r="W123" s="402">
        <f t="shared" si="34"/>
        <v>6.2782912946205398</v>
      </c>
      <c r="X123" s="157">
        <f t="shared" si="35"/>
        <v>45400</v>
      </c>
      <c r="Y123" s="385">
        <f t="shared" si="36"/>
        <v>5.9248935206854192</v>
      </c>
      <c r="Z123" s="385">
        <f t="shared" si="37"/>
        <v>6.2161563418183334</v>
      </c>
      <c r="AA123" s="386">
        <f t="shared" si="38"/>
        <v>7.0617978841962685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0.11974876033628951</v>
      </c>
      <c r="AD123" s="231">
        <f>(INDEX(Models!$BJ123:$BT123,,AH123)*(1-AF123)+INDEX(Models!$BJ123:$BT123,,AH123+1)*AF123-ERP_i)*AE123*Ramure*Pc/MaxiM</f>
        <v>2.2522359114728948E-7</v>
      </c>
      <c r="AE123" s="305">
        <f t="shared" si="40"/>
        <v>0.7</v>
      </c>
      <c r="AF123" s="177">
        <f t="shared" si="41"/>
        <v>0.15217155808061664</v>
      </c>
      <c r="AG123" s="817">
        <f t="shared" si="49"/>
        <v>0</v>
      </c>
      <c r="AH123" s="176">
        <f t="shared" si="42"/>
        <v>6</v>
      </c>
      <c r="AI123" s="225">
        <f t="shared" si="43"/>
        <v>0.15217155808061664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45401</v>
      </c>
      <c r="B124" s="411">
        <f>'2023'!Wh/'2023'!Env_an*'2024'!Env_an</f>
        <v>6.4203917550609901</v>
      </c>
      <c r="C124" s="846"/>
      <c r="D124" s="393">
        <f t="shared" si="25"/>
        <v>6.7361603951013826</v>
      </c>
      <c r="E124" s="385">
        <f t="shared" si="47"/>
        <v>7.2228308623246154</v>
      </c>
      <c r="F124" s="385">
        <f t="shared" si="26"/>
        <v>7.2228308623246154</v>
      </c>
      <c r="G124" s="110">
        <f t="shared" si="48"/>
        <v>0.17603863758593205</v>
      </c>
      <c r="H124" s="414" t="b">
        <f>Wh_hp&gt;='2023'!Maxi_hp</f>
        <v>0</v>
      </c>
      <c r="I124" s="390">
        <f>IF(H124,Wh_hp,'2023'!Maxi_hp)</f>
        <v>34.517360529046911</v>
      </c>
      <c r="J124" s="85">
        <f>IF(H124,An,'2023'!An_max)</f>
        <v>2019</v>
      </c>
      <c r="K124" s="197">
        <f t="shared" si="27"/>
        <v>45401</v>
      </c>
      <c r="L124" s="147">
        <f>IF(t&lt;Tvie,1-EXP((T0-t)*PertePVj)+'2023'!Pspv,1-EXP((T0-t)*PertePVj)+Pspv)</f>
        <v>4.6876651017696003E-2</v>
      </c>
      <c r="M124" s="850"/>
      <c r="N124" s="850"/>
      <c r="O124" s="48">
        <f>IF(t&lt;Tnet,'2023'!Resal+('2023'!Salim-'2023'!Resal)*(1-EXP(('2023'!Tnet-t)/('2023'!Tau_j))),Resal+(Salim-Resal)*(1-EXP((Tnet-t)/(Tau_j))))*Salcycl</f>
        <v>6.7379463329506978E-2</v>
      </c>
      <c r="P124" s="169">
        <f>(INDEX(Models!$BJ124:$BT124,,T124)*(1-R124)+INDEX(Models!$BJ124:$BT124,,T124+1)*R124-ERP_i)*Q124*Ramure*Pc/MaxiM</f>
        <v>2.0389236272894443E-7</v>
      </c>
      <c r="Q124" s="305">
        <f t="shared" si="28"/>
        <v>0.7</v>
      </c>
      <c r="R124" s="177">
        <f t="shared" si="29"/>
        <v>0.15414661280928585</v>
      </c>
      <c r="S124" s="817">
        <f t="shared" si="30"/>
        <v>0</v>
      </c>
      <c r="T124" s="176">
        <f t="shared" si="31"/>
        <v>6</v>
      </c>
      <c r="U124" s="251">
        <f t="shared" si="32"/>
        <v>0.15414661280928585</v>
      </c>
      <c r="V124" s="383">
        <f t="shared" si="33"/>
        <v>36.471484522016226</v>
      </c>
      <c r="W124" s="402">
        <f t="shared" si="34"/>
        <v>6.4203917550609901</v>
      </c>
      <c r="X124" s="157">
        <f t="shared" si="35"/>
        <v>45401</v>
      </c>
      <c r="Y124" s="385">
        <f t="shared" si="36"/>
        <v>6.0593071554434248</v>
      </c>
      <c r="Z124" s="385">
        <f t="shared" si="37"/>
        <v>6.357316880247704</v>
      </c>
      <c r="AA124" s="386">
        <f t="shared" si="38"/>
        <v>7.2228308623246154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0.11983029903019939</v>
      </c>
      <c r="AD124" s="231">
        <f>(INDEX(Models!$BJ124:$BT124,,AH124)*(1-AF124)+INDEX(Models!$BJ124:$BT124,,AH124+1)*AF124-ERP_i)*AE124*Ramure*Pc/MaxiM</f>
        <v>2.0389236272894443E-7</v>
      </c>
      <c r="AE124" s="305">
        <f t="shared" si="40"/>
        <v>0.7</v>
      </c>
      <c r="AF124" s="177">
        <f t="shared" si="41"/>
        <v>0.15414661280928585</v>
      </c>
      <c r="AG124" s="817">
        <f t="shared" si="49"/>
        <v>0</v>
      </c>
      <c r="AH124" s="176">
        <f t="shared" si="42"/>
        <v>6</v>
      </c>
      <c r="AI124" s="225">
        <f t="shared" si="43"/>
        <v>0.15414661280928585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45402</v>
      </c>
      <c r="B125" s="411">
        <f>'2023'!Wh/'2023'!Env_an*'2024'!Env_an</f>
        <v>6.8585010530352513</v>
      </c>
      <c r="C125" s="846"/>
      <c r="D125" s="393">
        <f t="shared" si="25"/>
        <v>7.1959744585249696</v>
      </c>
      <c r="E125" s="385">
        <f t="shared" si="47"/>
        <v>7.7169846415734673</v>
      </c>
      <c r="F125" s="385">
        <f t="shared" si="26"/>
        <v>7.7169846415734673</v>
      </c>
      <c r="G125" s="110">
        <f t="shared" si="48"/>
        <v>0.18743064856185815</v>
      </c>
      <c r="H125" s="414" t="b">
        <f>Wh_hp&gt;='2023'!Maxi_hp</f>
        <v>0</v>
      </c>
      <c r="I125" s="390">
        <f>IF(H125,Wh_hp,'2023'!Maxi_hp)</f>
        <v>37.760094952186769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4.6897526865165351E-2</v>
      </c>
      <c r="M125" s="850"/>
      <c r="N125" s="850"/>
      <c r="O125" s="48">
        <f>IF(t&lt;Tnet,'2023'!Resal+('2023'!Salim-'2023'!Resal)*(1-EXP(('2023'!Tnet-t)/('2023'!Tau_j))),Resal+(Salim-Resal)*(1-EXP((Tnet-t)/(Tau_j))))*Salcycl</f>
        <v>6.7514736292421176E-2</v>
      </c>
      <c r="P125" s="169">
        <f>(INDEX(Models!$BJ125:$BT125,,T125)*(1-R125)+INDEX(Models!$BJ125:$BT125,,T125+1)*R125-ERP_i)*Q125*Ramure*Pc/MaxiM</f>
        <v>1.8308534197998434E-7</v>
      </c>
      <c r="Q125" s="305">
        <f t="shared" si="28"/>
        <v>0.7</v>
      </c>
      <c r="R125" s="177">
        <f t="shared" si="29"/>
        <v>0.15618608387475891</v>
      </c>
      <c r="S125" s="817">
        <f t="shared" si="30"/>
        <v>0</v>
      </c>
      <c r="T125" s="176">
        <f t="shared" si="31"/>
        <v>6</v>
      </c>
      <c r="U125" s="251">
        <f t="shared" si="32"/>
        <v>0.15618608387475891</v>
      </c>
      <c r="V125" s="383">
        <f t="shared" si="33"/>
        <v>36.592200101578982</v>
      </c>
      <c r="W125" s="402">
        <f t="shared" si="34"/>
        <v>6.8585010530352513</v>
      </c>
      <c r="X125" s="157">
        <f t="shared" si="35"/>
        <v>45402</v>
      </c>
      <c r="Y125" s="385">
        <f t="shared" si="36"/>
        <v>6.4731042119168727</v>
      </c>
      <c r="Z125" s="385">
        <f t="shared" si="37"/>
        <v>6.7916141174477129</v>
      </c>
      <c r="AA125" s="386">
        <f t="shared" si="38"/>
        <v>7.7169846415734673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0.11991348526735879</v>
      </c>
      <c r="AD125" s="231">
        <f>(INDEX(Models!$BJ125:$BT125,,AH125)*(1-AF125)+INDEX(Models!$BJ125:$BT125,,AH125+1)*AF125-ERP_i)*AE125*Ramure*Pc/MaxiM</f>
        <v>1.8308534197998434E-7</v>
      </c>
      <c r="AE125" s="305">
        <f t="shared" si="40"/>
        <v>0.7</v>
      </c>
      <c r="AF125" s="177">
        <f t="shared" si="41"/>
        <v>0.15618608387475891</v>
      </c>
      <c r="AG125" s="817">
        <f t="shared" si="49"/>
        <v>0</v>
      </c>
      <c r="AH125" s="176">
        <f t="shared" si="42"/>
        <v>6</v>
      </c>
      <c r="AI125" s="225">
        <f t="shared" si="43"/>
        <v>0.15618608387475891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45403</v>
      </c>
      <c r="B126" s="411">
        <f>'2023'!Wh/'2023'!Env_an*'2024'!Env_an</f>
        <v>18.082181306522372</v>
      </c>
      <c r="C126" s="846"/>
      <c r="D126" s="393">
        <f t="shared" si="25"/>
        <v>18.972332850946415</v>
      </c>
      <c r="E126" s="385">
        <f t="shared" si="47"/>
        <v>20.348957951043406</v>
      </c>
      <c r="F126" s="385">
        <f t="shared" si="26"/>
        <v>20.348958862395872</v>
      </c>
      <c r="G126" s="110">
        <f t="shared" si="48"/>
        <v>0.49256670654397322</v>
      </c>
      <c r="H126" s="414" t="b">
        <f>Wh_hp&gt;='2023'!Maxi_hp</f>
        <v>0</v>
      </c>
      <c r="I126" s="390">
        <f>IF(H126,Wh_hp,'2023'!Maxi_hp)</f>
        <v>41.180654227850937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4.6918402255400005E-2</v>
      </c>
      <c r="M126" s="850"/>
      <c r="N126" s="850"/>
      <c r="O126" s="48">
        <f>IF(t&lt;Tnet,'2023'!Resal+('2023'!Salim-'2023'!Resal)*(1-EXP(('2023'!Tnet-t)/('2023'!Tau_j))),Resal+(Salim-Resal)*(1-EXP((Tnet-t)/(Tau_j))))*Salcycl</f>
        <v>6.7650889220418384E-2</v>
      </c>
      <c r="P126" s="169">
        <f>(INDEX(Models!$BJ126:$BT126,,T126)*(1-R126)+INDEX(Models!$BJ126:$BT126,,T126+1)*R126-ERP_i)*Q126*Ramure*Pc/MaxiM</f>
        <v>1.6280243094425401E-7</v>
      </c>
      <c r="Q126" s="305">
        <f t="shared" si="28"/>
        <v>0.7</v>
      </c>
      <c r="R126" s="177">
        <f t="shared" si="29"/>
        <v>0.15829136742164138</v>
      </c>
      <c r="S126" s="817">
        <f t="shared" si="30"/>
        <v>0</v>
      </c>
      <c r="T126" s="176">
        <f t="shared" si="31"/>
        <v>6</v>
      </c>
      <c r="U126" s="251">
        <f t="shared" si="32"/>
        <v>0.15829136742164138</v>
      </c>
      <c r="V126" s="383">
        <f t="shared" si="33"/>
        <v>36.710112421934589</v>
      </c>
      <c r="W126" s="402">
        <f t="shared" si="34"/>
        <v>18.082181306522372</v>
      </c>
      <c r="X126" s="157">
        <f t="shared" si="35"/>
        <v>45403</v>
      </c>
      <c r="Y126" s="385">
        <f t="shared" si="36"/>
        <v>17.066943678228785</v>
      </c>
      <c r="Z126" s="385">
        <f t="shared" si="37"/>
        <v>17.907116996715178</v>
      </c>
      <c r="AA126" s="386">
        <f t="shared" si="38"/>
        <v>20.348957951043406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0.1199983291627482</v>
      </c>
      <c r="AD126" s="231">
        <f>(INDEX(Models!$BJ126:$BT126,,AH126)*(1-AF126)+INDEX(Models!$BJ126:$BT126,,AH126+1)*AF126-ERP_i)*AE126*Ramure*Pc/MaxiM</f>
        <v>1.6280243094425401E-7</v>
      </c>
      <c r="AE126" s="305">
        <f t="shared" si="40"/>
        <v>0.7</v>
      </c>
      <c r="AF126" s="177">
        <f t="shared" si="41"/>
        <v>0.15829136742164138</v>
      </c>
      <c r="AG126" s="817">
        <f t="shared" si="49"/>
        <v>0</v>
      </c>
      <c r="AH126" s="176">
        <f t="shared" si="42"/>
        <v>6</v>
      </c>
      <c r="AI126" s="225">
        <f t="shared" si="43"/>
        <v>0.15829136742164138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45404</v>
      </c>
      <c r="B127" s="411">
        <f>'2023'!Wh/'2023'!Env_an*'2024'!Env_an</f>
        <v>5.641940752192399</v>
      </c>
      <c r="C127" s="846"/>
      <c r="D127" s="393">
        <f t="shared" si="25"/>
        <v>5.9198124706559243</v>
      </c>
      <c r="E127" s="385">
        <f t="shared" si="47"/>
        <v>6.3502851570230776</v>
      </c>
      <c r="F127" s="385">
        <f t="shared" si="26"/>
        <v>6.3502851570230776</v>
      </c>
      <c r="G127" s="110">
        <f t="shared" si="48"/>
        <v>0.15320936976645916</v>
      </c>
      <c r="H127" s="414" t="b">
        <f>Wh_hp&gt;='2023'!Maxi_hp</f>
        <v>0</v>
      </c>
      <c r="I127" s="390">
        <f>IF(H127,Wh_hp,'2023'!Maxi_hp)</f>
        <v>41.263564610244281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4.6939277188410067E-2</v>
      </c>
      <c r="M127" s="850"/>
      <c r="N127" s="850"/>
      <c r="O127" s="48">
        <f>IF(t&lt;Tnet,'2023'!Resal+('2023'!Salim-'2023'!Resal)*(1-EXP(('2023'!Tnet-t)/('2023'!Tau_j))),Resal+(Salim-Resal)*(1-EXP((Tnet-t)/(Tau_j))))*Salcycl</f>
        <v>6.778793010437853E-2</v>
      </c>
      <c r="P127" s="169">
        <f>(INDEX(Models!$BJ127:$BT127,,T127)*(1-R127)+INDEX(Models!$BJ127:$BT127,,T127+1)*R127-ERP_i)*Q127*Ramure*Pc/MaxiM</f>
        <v>1.4304448641963959E-7</v>
      </c>
      <c r="Q127" s="305">
        <f t="shared" si="28"/>
        <v>0.7</v>
      </c>
      <c r="R127" s="177">
        <f t="shared" si="29"/>
        <v>0.16046383642567477</v>
      </c>
      <c r="S127" s="817">
        <f t="shared" si="30"/>
        <v>0</v>
      </c>
      <c r="T127" s="176">
        <f t="shared" si="31"/>
        <v>6</v>
      </c>
      <c r="U127" s="251">
        <f t="shared" si="32"/>
        <v>0.16046383642567477</v>
      </c>
      <c r="V127" s="383">
        <f t="shared" si="33"/>
        <v>36.825032005183701</v>
      </c>
      <c r="W127" s="402">
        <f t="shared" si="34"/>
        <v>5.641940752192399</v>
      </c>
      <c r="X127" s="157">
        <f t="shared" si="35"/>
        <v>45404</v>
      </c>
      <c r="Y127" s="385">
        <f t="shared" si="36"/>
        <v>5.3254290196954948</v>
      </c>
      <c r="Z127" s="385">
        <f t="shared" si="37"/>
        <v>5.5877121910817387</v>
      </c>
      <c r="AA127" s="386">
        <f t="shared" si="38"/>
        <v>6.3502851570230776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0.12008483825296794</v>
      </c>
      <c r="AD127" s="231">
        <f>(INDEX(Models!$BJ127:$BT127,,AH127)*(1-AF127)+INDEX(Models!$BJ127:$BT127,,AH127+1)*AF127-ERP_i)*AE127*Ramure*Pc/MaxiM</f>
        <v>1.4304448641963959E-7</v>
      </c>
      <c r="AE127" s="305">
        <f t="shared" si="40"/>
        <v>0.7</v>
      </c>
      <c r="AF127" s="177">
        <f t="shared" si="41"/>
        <v>0.16046383642567477</v>
      </c>
      <c r="AG127" s="817">
        <f t="shared" si="49"/>
        <v>0</v>
      </c>
      <c r="AH127" s="176">
        <f t="shared" si="42"/>
        <v>6</v>
      </c>
      <c r="AI127" s="225">
        <f t="shared" si="43"/>
        <v>0.16046383642567477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45405</v>
      </c>
      <c r="B128" s="411">
        <f>'2023'!Wh/'2023'!Env_an*'2024'!Env_an</f>
        <v>22.177094278330923</v>
      </c>
      <c r="C128" s="846"/>
      <c r="D128" s="393">
        <f t="shared" si="25"/>
        <v>23.269849961737421</v>
      </c>
      <c r="E128" s="385">
        <f t="shared" si="47"/>
        <v>24.965664316305983</v>
      </c>
      <c r="F128" s="385">
        <f t="shared" si="26"/>
        <v>24.965665655623859</v>
      </c>
      <c r="G128" s="110">
        <f t="shared" si="48"/>
        <v>0.600406938089727</v>
      </c>
      <c r="H128" s="414" t="b">
        <f>Wh_hp&gt;='2023'!Maxi_hp</f>
        <v>0</v>
      </c>
      <c r="I128" s="390">
        <f>IF(H128,Wh_hp,'2023'!Maxi_hp)</f>
        <v>38.769139149526289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4.6960151664205529E-2</v>
      </c>
      <c r="M128" s="850"/>
      <c r="N128" s="850"/>
      <c r="O128" s="48">
        <f>IF(t&lt;Tnet,'2023'!Resal+('2023'!Salim-'2023'!Resal)*(1-EXP(('2023'!Tnet-t)/('2023'!Tau_j))),Resal+(Salim-Resal)*(1-EXP((Tnet-t)/(Tau_j))))*Salcycl</f>
        <v>6.792586542393593E-2</v>
      </c>
      <c r="P128" s="169">
        <f>(INDEX(Models!$BJ128:$BT128,,T128)*(1-R128)+INDEX(Models!$BJ128:$BT128,,T128+1)*R128-ERP_i)*Q128*Ramure*Pc/MaxiM</f>
        <v>1.2500533134776162E-7</v>
      </c>
      <c r="Q128" s="305">
        <f t="shared" si="28"/>
        <v>0.7</v>
      </c>
      <c r="R128" s="177">
        <f t="shared" si="29"/>
        <v>0.16270483581225625</v>
      </c>
      <c r="S128" s="817">
        <f t="shared" si="30"/>
        <v>0</v>
      </c>
      <c r="T128" s="176">
        <f t="shared" si="31"/>
        <v>6</v>
      </c>
      <c r="U128" s="251">
        <f t="shared" si="32"/>
        <v>0.16270483581225625</v>
      </c>
      <c r="V128" s="383">
        <f t="shared" si="33"/>
        <v>36.936769528940189</v>
      </c>
      <c r="W128" s="402">
        <f t="shared" si="34"/>
        <v>22.177094278330923</v>
      </c>
      <c r="X128" s="157">
        <f t="shared" si="35"/>
        <v>45405</v>
      </c>
      <c r="Y128" s="385">
        <f t="shared" si="36"/>
        <v>20.933963531643631</v>
      </c>
      <c r="Z128" s="385">
        <f t="shared" si="37"/>
        <v>21.965465104317179</v>
      </c>
      <c r="AA128" s="386">
        <f t="shared" si="38"/>
        <v>24.965664316305983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0.12017301738809594</v>
      </c>
      <c r="AD128" s="231">
        <f>(INDEX(Models!$BJ128:$BT128,,AH128)*(1-AF128)+INDEX(Models!$BJ128:$BT128,,AH128+1)*AF128-ERP_i)*AE128*Ramure*Pc/MaxiM</f>
        <v>1.2500533134776162E-7</v>
      </c>
      <c r="AE128" s="305">
        <f t="shared" si="40"/>
        <v>0.7</v>
      </c>
      <c r="AF128" s="177">
        <f t="shared" si="41"/>
        <v>0.16270483581225625</v>
      </c>
      <c r="AG128" s="817">
        <f t="shared" si="49"/>
        <v>0</v>
      </c>
      <c r="AH128" s="176">
        <f t="shared" si="42"/>
        <v>6</v>
      </c>
      <c r="AI128" s="225">
        <f t="shared" si="43"/>
        <v>0.16270483581225625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45406</v>
      </c>
      <c r="B129" s="411">
        <f>'2023'!Wh/'2023'!Env_an*'2024'!Env_an</f>
        <v>30.738789448094916</v>
      </c>
      <c r="C129" s="846"/>
      <c r="D129" s="393">
        <f t="shared" si="25"/>
        <v>32.254121141835519</v>
      </c>
      <c r="E129" s="385">
        <f t="shared" si="47"/>
        <v>34.6098287557462</v>
      </c>
      <c r="F129" s="385">
        <f t="shared" si="26"/>
        <v>34.609831586472495</v>
      </c>
      <c r="G129" s="110">
        <f t="shared" si="48"/>
        <v>0.82976584794353236</v>
      </c>
      <c r="H129" s="414" t="b">
        <f>Wh_hp&gt;='2023'!Maxi_hp</f>
        <v>0</v>
      </c>
      <c r="I129" s="390">
        <f>IF(H129,Wh_hp,'2023'!Maxi_hp)</f>
        <v>37.502516618915408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4.6981025682796385E-2</v>
      </c>
      <c r="M129" s="850"/>
      <c r="N129" s="850"/>
      <c r="O129" s="48">
        <f>IF(t&lt;Tnet,'2023'!Resal+('2023'!Salim-'2023'!Resal)*(1-EXP(('2023'!Tnet-t)/('2023'!Tau_j))),Resal+(Salim-Resal)*(1-EXP((Tnet-t)/(Tau_j))))*Salcycl</f>
        <v>6.8064700075106968E-2</v>
      </c>
      <c r="P129" s="169">
        <f>(INDEX(Models!$BJ129:$BT129,,T129)*(1-R129)+INDEX(Models!$BJ129:$BT129,,T129+1)*R129-ERP_i)*Q129*Ramure*Pc/MaxiM</f>
        <v>1.0807181811864877E-7</v>
      </c>
      <c r="Q129" s="305">
        <f t="shared" si="28"/>
        <v>0.7</v>
      </c>
      <c r="R129" s="177">
        <f t="shared" si="29"/>
        <v>0.16501567731722211</v>
      </c>
      <c r="S129" s="817">
        <f t="shared" si="30"/>
        <v>0</v>
      </c>
      <c r="T129" s="176">
        <f t="shared" si="31"/>
        <v>6</v>
      </c>
      <c r="U129" s="251">
        <f t="shared" si="32"/>
        <v>0.16501567731722211</v>
      </c>
      <c r="V129" s="383">
        <f t="shared" si="33"/>
        <v>37.045135945755291</v>
      </c>
      <c r="W129" s="402">
        <f t="shared" si="34"/>
        <v>30.738789448094916</v>
      </c>
      <c r="X129" s="157">
        <f t="shared" si="35"/>
        <v>45406</v>
      </c>
      <c r="Y129" s="385">
        <f t="shared" si="36"/>
        <v>29.0170942696355</v>
      </c>
      <c r="Z129" s="385">
        <f t="shared" si="37"/>
        <v>30.447551467089077</v>
      </c>
      <c r="AA129" s="386">
        <f t="shared" si="38"/>
        <v>34.6098287557462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0.12026286862127479</v>
      </c>
      <c r="AD129" s="231">
        <f>(INDEX(Models!$BJ129:$BT129,,AH129)*(1-AF129)+INDEX(Models!$BJ129:$BT129,,AH129+1)*AF129-ERP_i)*AE129*Ramure*Pc/MaxiM</f>
        <v>1.0807181811864877E-7</v>
      </c>
      <c r="AE129" s="305">
        <f t="shared" si="40"/>
        <v>0.7</v>
      </c>
      <c r="AF129" s="177">
        <f t="shared" si="41"/>
        <v>0.16501567731722211</v>
      </c>
      <c r="AG129" s="817">
        <f t="shared" si="49"/>
        <v>0</v>
      </c>
      <c r="AH129" s="176">
        <f t="shared" si="42"/>
        <v>6</v>
      </c>
      <c r="AI129" s="225">
        <f t="shared" si="43"/>
        <v>0.16501567731722211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45407</v>
      </c>
      <c r="B130" s="411">
        <f>'2023'!Wh/'2023'!Env_an*'2024'!Env_an</f>
        <v>35.5017144419717</v>
      </c>
      <c r="C130" s="846"/>
      <c r="D130" s="393">
        <f t="shared" si="25"/>
        <v>37.252660224417937</v>
      </c>
      <c r="E130" s="385">
        <f t="shared" si="47"/>
        <v>39.979435098763041</v>
      </c>
      <c r="F130" s="385">
        <f t="shared" si="26"/>
        <v>39.979438554012965</v>
      </c>
      <c r="G130" s="110">
        <f t="shared" si="48"/>
        <v>0.95563308972641114</v>
      </c>
      <c r="H130" s="414" t="b">
        <f>Wh_hp&gt;='2023'!Maxi_hp</f>
        <v>0</v>
      </c>
      <c r="I130" s="390">
        <f>IF(H130,Wh_hp,'2023'!Maxi_hp)</f>
        <v>39.979438787830873</v>
      </c>
      <c r="J130" s="85">
        <f>IF(H130,An,'2023'!An_max)</f>
        <v>2023</v>
      </c>
      <c r="K130" s="197">
        <f t="shared" si="27"/>
        <v>45407</v>
      </c>
      <c r="L130" s="147">
        <f>IF(t&lt;Tvie,1-EXP((T0-t)*PertePVj)+'2023'!Pspv,1-EXP((T0-t)*PertePVj)+Pspv)</f>
        <v>4.7001899244192624E-2</v>
      </c>
      <c r="M130" s="850"/>
      <c r="N130" s="850"/>
      <c r="O130" s="48">
        <f>IF(t&lt;Tnet,'2023'!Resal+('2023'!Salim-'2023'!Resal)*(1-EXP(('2023'!Tnet-t)/('2023'!Tau_j))),Resal+(Salim-Resal)*(1-EXP((Tnet-t)/(Tau_j))))*Salcycl</f>
        <v>6.8204437296550804E-2</v>
      </c>
      <c r="P130" s="169">
        <f>(INDEX(Models!$BJ130:$BT130,,T130)*(1-R130)+INDEX(Models!$BJ130:$BT130,,T130+1)*R130-ERP_i)*Q130*Ramure*Pc/MaxiM</f>
        <v>9.2274127422970753E-8</v>
      </c>
      <c r="Q130" s="305">
        <f t="shared" si="28"/>
        <v>0.7</v>
      </c>
      <c r="R130" s="177">
        <f t="shared" si="29"/>
        <v>0.16739763409508107</v>
      </c>
      <c r="S130" s="817">
        <f t="shared" si="30"/>
        <v>0</v>
      </c>
      <c r="T130" s="176">
        <f t="shared" si="31"/>
        <v>6</v>
      </c>
      <c r="U130" s="251">
        <f t="shared" si="32"/>
        <v>0.16739763409508107</v>
      </c>
      <c r="V130" s="383">
        <f t="shared" si="33"/>
        <v>37.1499423952611</v>
      </c>
      <c r="W130" s="402">
        <f t="shared" si="34"/>
        <v>35.5017144419717</v>
      </c>
      <c r="X130" s="157">
        <f t="shared" si="35"/>
        <v>45407</v>
      </c>
      <c r="Y130" s="385">
        <f t="shared" si="36"/>
        <v>33.514784215988342</v>
      </c>
      <c r="Z130" s="385">
        <f t="shared" si="37"/>
        <v>35.167734531063921</v>
      </c>
      <c r="AA130" s="386">
        <f t="shared" si="38"/>
        <v>39.979435098763041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0.12035439109663633</v>
      </c>
      <c r="AD130" s="231">
        <f>(INDEX(Models!$BJ130:$BT130,,AH130)*(1-AF130)+INDEX(Models!$BJ130:$BT130,,AH130+1)*AF130-ERP_i)*AE130*Ramure*Pc/MaxiM</f>
        <v>9.2274127422970753E-8</v>
      </c>
      <c r="AE130" s="305">
        <f t="shared" si="40"/>
        <v>0.7</v>
      </c>
      <c r="AF130" s="177">
        <f t="shared" si="41"/>
        <v>0.16739763409508107</v>
      </c>
      <c r="AG130" s="817">
        <f t="shared" si="49"/>
        <v>0</v>
      </c>
      <c r="AH130" s="176">
        <f t="shared" si="42"/>
        <v>6</v>
      </c>
      <c r="AI130" s="225">
        <f t="shared" si="43"/>
        <v>0.16739763409508107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45408</v>
      </c>
      <c r="B131" s="411">
        <f>'2023'!Wh/'2023'!Env_an*'2024'!Env_an</f>
        <v>25.755100664957947</v>
      </c>
      <c r="C131" s="846"/>
      <c r="D131" s="393">
        <f t="shared" si="25"/>
        <v>27.025935056628551</v>
      </c>
      <c r="E131" s="385">
        <f t="shared" si="47"/>
        <v>29.008524976037073</v>
      </c>
      <c r="F131" s="385">
        <f t="shared" si="26"/>
        <v>29.00852623543577</v>
      </c>
      <c r="G131" s="110">
        <f t="shared" si="48"/>
        <v>0.6913935094476219</v>
      </c>
      <c r="H131" s="414" t="b">
        <f>Wh_hp&gt;='2023'!Maxi_hp</f>
        <v>0</v>
      </c>
      <c r="I131" s="390">
        <f>IF(H131,Wh_hp,'2023'!Maxi_hp)</f>
        <v>29.008527228448123</v>
      </c>
      <c r="J131" s="85">
        <f>IF(H131,An,'2023'!An_max)</f>
        <v>2023</v>
      </c>
      <c r="K131" s="197">
        <f t="shared" si="27"/>
        <v>45408</v>
      </c>
      <c r="L131" s="147">
        <f>IF(t&lt;Tvie,1-EXP((T0-t)*PertePVj)+'2023'!Pspv,1-EXP((T0-t)*PertePVj)+Pspv)</f>
        <v>4.7022772348404351E-2</v>
      </c>
      <c r="M131" s="850"/>
      <c r="N131" s="850"/>
      <c r="O131" s="48">
        <f>IF(t&lt;Tnet,'2023'!Resal+('2023'!Salim-'2023'!Resal)*(1-EXP(('2023'!Tnet-t)/('2023'!Tau_j))),Resal+(Salim-Resal)*(1-EXP((Tnet-t)/(Tau_j))))*Salcycl</f>
        <v>6.8345078594870587E-2</v>
      </c>
      <c r="P131" s="169">
        <f>(INDEX(Models!$BJ131:$BT131,,T131)*(1-R131)+INDEX(Models!$BJ131:$BT131,,T131+1)*R131-ERP_i)*Q131*Ramure*Pc/MaxiM</f>
        <v>7.7646515102499822E-8</v>
      </c>
      <c r="Q131" s="305">
        <f t="shared" si="28"/>
        <v>0.7</v>
      </c>
      <c r="R131" s="177">
        <f t="shared" si="29"/>
        <v>0.16985193508221602</v>
      </c>
      <c r="S131" s="817">
        <f t="shared" si="30"/>
        <v>0</v>
      </c>
      <c r="T131" s="176">
        <f t="shared" si="31"/>
        <v>6</v>
      </c>
      <c r="U131" s="251">
        <f t="shared" si="32"/>
        <v>0.16985193508221602</v>
      </c>
      <c r="V131" s="383">
        <f t="shared" si="33"/>
        <v>37.251000235586076</v>
      </c>
      <c r="W131" s="402">
        <f t="shared" si="34"/>
        <v>25.755100664957947</v>
      </c>
      <c r="X131" s="157">
        <f t="shared" si="35"/>
        <v>45408</v>
      </c>
      <c r="Y131" s="385">
        <f t="shared" si="36"/>
        <v>24.314754929784211</v>
      </c>
      <c r="Z131" s="385">
        <f t="shared" si="37"/>
        <v>25.514518316143416</v>
      </c>
      <c r="AA131" s="386">
        <f t="shared" si="38"/>
        <v>29.008524976037073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0.12044758093629133</v>
      </c>
      <c r="AD131" s="231">
        <f>(INDEX(Models!$BJ131:$BT131,,AH131)*(1-AF131)+INDEX(Models!$BJ131:$BT131,,AH131+1)*AF131-ERP_i)*AE131*Ramure*Pc/MaxiM</f>
        <v>7.7646515102499822E-8</v>
      </c>
      <c r="AE131" s="305">
        <f t="shared" si="40"/>
        <v>0.7</v>
      </c>
      <c r="AF131" s="177">
        <f t="shared" si="41"/>
        <v>0.16985193508221602</v>
      </c>
      <c r="AG131" s="817">
        <f t="shared" si="49"/>
        <v>0</v>
      </c>
      <c r="AH131" s="176">
        <f t="shared" si="42"/>
        <v>6</v>
      </c>
      <c r="AI131" s="225">
        <f t="shared" si="43"/>
        <v>0.16985193508221602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45409</v>
      </c>
      <c r="B132" s="411">
        <f>'2023'!Wh/'2023'!Env_an*'2024'!Env_an</f>
        <v>16.482051359585203</v>
      </c>
      <c r="C132" s="846"/>
      <c r="D132" s="393">
        <f t="shared" si="25"/>
        <v>17.295704334230876</v>
      </c>
      <c r="E132" s="385">
        <f t="shared" si="47"/>
        <v>18.567317199847835</v>
      </c>
      <c r="F132" s="385">
        <f t="shared" si="26"/>
        <v>18.567317440584024</v>
      </c>
      <c r="G132" s="110">
        <f t="shared" si="48"/>
        <v>0.44130869377862703</v>
      </c>
      <c r="H132" s="414" t="b">
        <f>Wh_hp&gt;='2023'!Maxi_hp</f>
        <v>0</v>
      </c>
      <c r="I132" s="390">
        <f>IF(H132,Wh_hp,'2023'!Maxi_hp)</f>
        <v>31.162451823892468</v>
      </c>
      <c r="J132" s="85">
        <f>IF(H132,An,'2023'!An_max)</f>
        <v>2019</v>
      </c>
      <c r="K132" s="197">
        <f t="shared" si="27"/>
        <v>45409</v>
      </c>
      <c r="L132" s="147">
        <f>IF(t&lt;Tvie,1-EXP((T0-t)*PertePVj)+'2023'!Pspv,1-EXP((T0-t)*PertePVj)+Pspv)</f>
        <v>4.7043644995441447E-2</v>
      </c>
      <c r="M132" s="850"/>
      <c r="N132" s="850"/>
      <c r="O132" s="48">
        <f>IF(t&lt;Tnet,'2023'!Resal+('2023'!Salim-'2023'!Resal)*(1-EXP(('2023'!Tnet-t)/('2023'!Tau_j))),Resal+(Salim-Resal)*(1-EXP((Tnet-t)/(Tau_j))))*Salcycl</f>
        <v>6.8486623669432506E-2</v>
      </c>
      <c r="P132" s="169">
        <f>(INDEX(Models!$BJ132:$BT132,,T132)*(1-R132)+INDEX(Models!$BJ132:$BT132,,T132+1)*R132-ERP_i)*Q132*Ramure*Pc/MaxiM</f>
        <v>6.4227542153548641E-8</v>
      </c>
      <c r="Q132" s="305">
        <f t="shared" si="28"/>
        <v>0.7</v>
      </c>
      <c r="R132" s="177">
        <f t="shared" si="29"/>
        <v>0.17237975912509335</v>
      </c>
      <c r="S132" s="817">
        <f t="shared" si="30"/>
        <v>0</v>
      </c>
      <c r="T132" s="176">
        <f t="shared" si="31"/>
        <v>6</v>
      </c>
      <c r="U132" s="251">
        <f t="shared" si="32"/>
        <v>0.17237975912509335</v>
      </c>
      <c r="V132" s="383">
        <f t="shared" si="33"/>
        <v>37.348121047782698</v>
      </c>
      <c r="W132" s="402">
        <f t="shared" si="34"/>
        <v>16.482051359585203</v>
      </c>
      <c r="X132" s="157">
        <f t="shared" si="35"/>
        <v>45409</v>
      </c>
      <c r="Y132" s="385">
        <f t="shared" si="36"/>
        <v>15.560984079302173</v>
      </c>
      <c r="Z132" s="385">
        <f t="shared" si="37"/>
        <v>16.329167645067791</v>
      </c>
      <c r="AA132" s="386">
        <f t="shared" si="38"/>
        <v>18.567317199847835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0.12054243112722751</v>
      </c>
      <c r="AD132" s="231">
        <f>(INDEX(Models!$BJ132:$BT132,,AH132)*(1-AF132)+INDEX(Models!$BJ132:$BT132,,AH132+1)*AF132-ERP_i)*AE132*Ramure*Pc/MaxiM</f>
        <v>6.4227542153548641E-8</v>
      </c>
      <c r="AE132" s="305">
        <f t="shared" si="40"/>
        <v>0.7</v>
      </c>
      <c r="AF132" s="177">
        <f t="shared" si="41"/>
        <v>0.17237975912509335</v>
      </c>
      <c r="AG132" s="817">
        <f t="shared" si="49"/>
        <v>0</v>
      </c>
      <c r="AH132" s="176">
        <f t="shared" si="42"/>
        <v>6</v>
      </c>
      <c r="AI132" s="225">
        <f t="shared" si="43"/>
        <v>0.17237975912509335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45410</v>
      </c>
      <c r="B133" s="411">
        <f>'2023'!Wh/'2023'!Env_an*'2024'!Env_an</f>
        <v>28.05726578542545</v>
      </c>
      <c r="C133" s="846"/>
      <c r="D133" s="393">
        <f t="shared" si="25"/>
        <v>29.442985691489515</v>
      </c>
      <c r="E133" s="385">
        <f t="shared" si="47"/>
        <v>31.612523811700598</v>
      </c>
      <c r="F133" s="385">
        <f t="shared" si="26"/>
        <v>31.612524868207611</v>
      </c>
      <c r="G133" s="110">
        <f t="shared" si="48"/>
        <v>0.74937041885822409</v>
      </c>
      <c r="H133" s="414" t="b">
        <f>Wh_hp&gt;='2023'!Maxi_hp</f>
        <v>0</v>
      </c>
      <c r="I133" s="390">
        <f>IF(H133,Wh_hp,'2023'!Maxi_hp)</f>
        <v>39.72311913554482</v>
      </c>
      <c r="J133" s="85">
        <f>IF(H133,An,'2023'!An_max)</f>
        <v>2019</v>
      </c>
      <c r="K133" s="197">
        <f t="shared" si="27"/>
        <v>45410</v>
      </c>
      <c r="L133" s="147">
        <f>IF(t&lt;Tvie,1-EXP((T0-t)*PertePVj)+'2023'!Pspv,1-EXP((T0-t)*PertePVj)+Pspv)</f>
        <v>4.7064517185314125E-2</v>
      </c>
      <c r="M133" s="850"/>
      <c r="N133" s="850"/>
      <c r="O133" s="48">
        <f>IF(t&lt;Tnet,'2023'!Resal+('2023'!Salim-'2023'!Resal)*(1-EXP(('2023'!Tnet-t)/('2023'!Tau_j))),Resal+(Salim-Resal)*(1-EXP((Tnet-t)/(Tau_j))))*Salcycl</f>
        <v>6.862907033724662E-2</v>
      </c>
      <c r="P133" s="169">
        <f>(INDEX(Models!$BJ133:$BT133,,T133)*(1-R133)+INDEX(Models!$BJ133:$BT133,,T133+1)*R133-ERP_i)*Q133*Ramure*Pc/MaxiM</f>
        <v>5.2060309626045188E-8</v>
      </c>
      <c r="Q133" s="305">
        <f t="shared" si="28"/>
        <v>0.7</v>
      </c>
      <c r="R133" s="177">
        <f t="shared" si="29"/>
        <v>0.17498222888622542</v>
      </c>
      <c r="S133" s="817">
        <f t="shared" si="30"/>
        <v>0</v>
      </c>
      <c r="T133" s="176">
        <f t="shared" si="31"/>
        <v>6</v>
      </c>
      <c r="U133" s="251">
        <f t="shared" si="32"/>
        <v>0.17498222888622542</v>
      </c>
      <c r="V133" s="383">
        <f t="shared" si="33"/>
        <v>37.441116644547108</v>
      </c>
      <c r="W133" s="402">
        <f t="shared" si="34"/>
        <v>28.05726578542545</v>
      </c>
      <c r="X133" s="157">
        <f t="shared" si="35"/>
        <v>45410</v>
      </c>
      <c r="Y133" s="385">
        <f t="shared" si="36"/>
        <v>26.49048455028047</v>
      </c>
      <c r="Z133" s="385">
        <f t="shared" si="37"/>
        <v>27.798822719913332</v>
      </c>
      <c r="AA133" s="386">
        <f t="shared" si="38"/>
        <v>31.612523811700598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0.12063893140906765</v>
      </c>
      <c r="AD133" s="231">
        <f>(INDEX(Models!$BJ133:$BT133,,AH133)*(1-AF133)+INDEX(Models!$BJ133:$BT133,,AH133+1)*AF133-ERP_i)*AE133*Ramure*Pc/MaxiM</f>
        <v>5.2060309626045188E-8</v>
      </c>
      <c r="AE133" s="305">
        <f t="shared" si="40"/>
        <v>0.7</v>
      </c>
      <c r="AF133" s="177">
        <f t="shared" si="41"/>
        <v>0.17498222888622542</v>
      </c>
      <c r="AG133" s="817">
        <f t="shared" si="49"/>
        <v>0</v>
      </c>
      <c r="AH133" s="176">
        <f t="shared" si="42"/>
        <v>6</v>
      </c>
      <c r="AI133" s="225">
        <f t="shared" si="43"/>
        <v>0.17498222888622542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45411</v>
      </c>
      <c r="B134" s="411">
        <f>'2023'!Wh/'2023'!Env_an*'2024'!Env_an</f>
        <v>29.527564092445616</v>
      </c>
      <c r="C134" s="846"/>
      <c r="D134" s="393">
        <f t="shared" si="25"/>
        <v>30.986579226567986</v>
      </c>
      <c r="E134" s="385">
        <f t="shared" si="47"/>
        <v>33.274979937960254</v>
      </c>
      <c r="F134" s="385">
        <f t="shared" si="26"/>
        <v>33.274980891128628</v>
      </c>
      <c r="G134" s="110">
        <f t="shared" si="48"/>
        <v>0.78677649364191016</v>
      </c>
      <c r="H134" s="414" t="b">
        <f>Wh_hp&gt;='2023'!Maxi_hp</f>
        <v>0</v>
      </c>
      <c r="I134" s="390">
        <f>IF(H134,Wh_hp,'2023'!Maxi_hp)</f>
        <v>43.204941551644787</v>
      </c>
      <c r="J134" s="85">
        <f>IF(H134,An,'2023'!An_max)</f>
        <v>2019</v>
      </c>
      <c r="K134" s="197">
        <f t="shared" si="27"/>
        <v>45411</v>
      </c>
      <c r="L134" s="147">
        <f>IF(t&lt;Tvie,1-EXP((T0-t)*PertePVj)+'2023'!Pspv,1-EXP((T0-t)*PertePVj)+Pspv)</f>
        <v>4.7085388918032156E-2</v>
      </c>
      <c r="M134" s="850"/>
      <c r="N134" s="850"/>
      <c r="O134" s="48">
        <f>IF(t&lt;Tnet,'2023'!Resal+('2023'!Salim-'2023'!Resal)*(1-EXP(('2023'!Tnet-t)/('2023'!Tau_j))),Resal+(Salim-Resal)*(1-EXP((Tnet-t)/(Tau_j))))*Salcycl</f>
        <v>6.8772414458517769E-2</v>
      </c>
      <c r="P134" s="169">
        <f>(INDEX(Models!$BJ134:$BT134,,T134)*(1-R134)+INDEX(Models!$BJ134:$BT134,,T134+1)*R134-ERP_i)*Q134*Ramure*Pc/MaxiM</f>
        <v>4.1192698287946925E-8</v>
      </c>
      <c r="Q134" s="305">
        <f t="shared" si="28"/>
        <v>0.7</v>
      </c>
      <c r="R134" s="177">
        <f t="shared" si="29"/>
        <v>0.17766040454350454</v>
      </c>
      <c r="S134" s="817">
        <f t="shared" si="30"/>
        <v>0</v>
      </c>
      <c r="T134" s="176">
        <f t="shared" si="31"/>
        <v>6</v>
      </c>
      <c r="U134" s="251">
        <f t="shared" si="32"/>
        <v>0.17766040454350454</v>
      </c>
      <c r="V134" s="383">
        <f t="shared" si="33"/>
        <v>37.529799073264492</v>
      </c>
      <c r="W134" s="402">
        <f t="shared" si="34"/>
        <v>29.527564092445616</v>
      </c>
      <c r="X134" s="157">
        <f t="shared" si="35"/>
        <v>45411</v>
      </c>
      <c r="Y134" s="385">
        <f t="shared" si="36"/>
        <v>27.879857702894714</v>
      </c>
      <c r="Z134" s="385">
        <f t="shared" si="37"/>
        <v>29.257456417043588</v>
      </c>
      <c r="AA134" s="386">
        <f t="shared" si="38"/>
        <v>33.274979937960254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0.12073706816374233</v>
      </c>
      <c r="AD134" s="231">
        <f>(INDEX(Models!$BJ134:$BT134,,AH134)*(1-AF134)+INDEX(Models!$BJ134:$BT134,,AH134+1)*AF134-ERP_i)*AE134*Ramure*Pc/MaxiM</f>
        <v>4.1192698287946925E-8</v>
      </c>
      <c r="AE134" s="305">
        <f t="shared" si="40"/>
        <v>0.7</v>
      </c>
      <c r="AF134" s="177">
        <f t="shared" si="41"/>
        <v>0.17766040454350454</v>
      </c>
      <c r="AG134" s="817">
        <f t="shared" si="49"/>
        <v>0</v>
      </c>
      <c r="AH134" s="176">
        <f t="shared" si="42"/>
        <v>6</v>
      </c>
      <c r="AI134" s="225">
        <f t="shared" si="43"/>
        <v>0.17766040454350454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45412</v>
      </c>
      <c r="B135" s="411">
        <f>'2023'!Wh/'2023'!Env_an*'2024'!Env_an</f>
        <v>30.434454396542616</v>
      </c>
      <c r="C135" s="846"/>
      <c r="D135" s="393">
        <f t="shared" si="25"/>
        <v>31.938980313509234</v>
      </c>
      <c r="E135" s="385">
        <f t="shared" si="47"/>
        <v>34.303030237655911</v>
      </c>
      <c r="F135" s="385">
        <f t="shared" si="26"/>
        <v>34.303031027955832</v>
      </c>
      <c r="G135" s="110">
        <f t="shared" si="48"/>
        <v>0.80911147871705991</v>
      </c>
      <c r="H135" s="414" t="b">
        <f>Wh_hp&gt;='2023'!Maxi_hp</f>
        <v>0</v>
      </c>
      <c r="I135" s="390">
        <f>IF(H135,Wh_hp,'2023'!Maxi_hp)</f>
        <v>40.273883228930465</v>
      </c>
      <c r="J135" s="85">
        <f>IF(H135,An,'2023'!An_max)</f>
        <v>2019</v>
      </c>
      <c r="K135" s="197">
        <f t="shared" si="27"/>
        <v>45412</v>
      </c>
      <c r="L135" s="147">
        <f>IF(t&lt;Tvie,1-EXP((T0-t)*PertePVj)+'2023'!Pspv,1-EXP((T0-t)*PertePVj)+Pspv)</f>
        <v>4.7106260193605753E-2</v>
      </c>
      <c r="M135" s="850"/>
      <c r="N135" s="850"/>
      <c r="O135" s="48">
        <f>IF(t&lt;Tnet,'2023'!Resal+('2023'!Salim-'2023'!Resal)*(1-EXP(('2023'!Tnet-t)/('2023'!Tau_j))),Resal+(Salim-Resal)*(1-EXP((Tnet-t)/(Tau_j))))*Salcycl</f>
        <v>6.8916649863531756E-2</v>
      </c>
      <c r="P135" s="169">
        <f>(INDEX(Models!$BJ135:$BT135,,T135)*(1-R135)+INDEX(Models!$BJ135:$BT135,,T135+1)*R135-ERP_i)*Q135*Ramure*Pc/MaxiM</f>
        <v>3.1677039681073414E-8</v>
      </c>
      <c r="Q135" s="305">
        <f t="shared" si="28"/>
        <v>0.7</v>
      </c>
      <c r="R135" s="177">
        <f t="shared" si="29"/>
        <v>0.18041527730156454</v>
      </c>
      <c r="S135" s="817">
        <f t="shared" si="30"/>
        <v>0</v>
      </c>
      <c r="T135" s="176">
        <f t="shared" si="31"/>
        <v>6</v>
      </c>
      <c r="U135" s="251">
        <f t="shared" si="32"/>
        <v>0.18041527730156454</v>
      </c>
      <c r="V135" s="383">
        <f t="shared" si="33"/>
        <v>37.614661185995274</v>
      </c>
      <c r="W135" s="402">
        <f t="shared" si="34"/>
        <v>30.434454396542616</v>
      </c>
      <c r="X135" s="157">
        <f t="shared" si="35"/>
        <v>45412</v>
      </c>
      <c r="Y135" s="385">
        <f t="shared" si="36"/>
        <v>28.737332241833425</v>
      </c>
      <c r="Z135" s="385">
        <f t="shared" si="37"/>
        <v>30.157960999588663</v>
      </c>
      <c r="AA135" s="386">
        <f t="shared" si="38"/>
        <v>34.303030237655911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0.12083682430822187</v>
      </c>
      <c r="AD135" s="231">
        <f>(INDEX(Models!$BJ135:$BT135,,AH135)*(1-AF135)+INDEX(Models!$BJ135:$BT135,,AH135+1)*AF135-ERP_i)*AE135*Ramure*Pc/MaxiM</f>
        <v>3.1677039681073414E-8</v>
      </c>
      <c r="AE135" s="305">
        <f t="shared" si="40"/>
        <v>0.7</v>
      </c>
      <c r="AF135" s="177">
        <f t="shared" si="41"/>
        <v>0.18041527730156454</v>
      </c>
      <c r="AG135" s="817">
        <f t="shared" si="49"/>
        <v>0</v>
      </c>
      <c r="AH135" s="176">
        <f t="shared" si="42"/>
        <v>6</v>
      </c>
      <c r="AI135" s="225">
        <f t="shared" si="43"/>
        <v>0.18041527730156454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45413</v>
      </c>
      <c r="B136" s="411">
        <f>'2023'!Wh/'2023'!Env_an*'2024'!Env_an</f>
        <v>17.730464562697144</v>
      </c>
      <c r="C136" s="846"/>
      <c r="D136" s="393">
        <f t="shared" si="25"/>
        <v>18.607376849262842</v>
      </c>
      <c r="E136" s="385">
        <f t="shared" si="47"/>
        <v>19.987767410643119</v>
      </c>
      <c r="F136" s="385">
        <f t="shared" si="26"/>
        <v>19.987767525491162</v>
      </c>
      <c r="G136" s="110">
        <f t="shared" si="48"/>
        <v>0.47035076594757241</v>
      </c>
      <c r="H136" s="414" t="b">
        <f>Wh_hp&gt;='2023'!Maxi_hp</f>
        <v>0</v>
      </c>
      <c r="I136" s="390">
        <f>IF(H136,Wh_hp,'2023'!Maxi_hp)</f>
        <v>28.08893330221149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4.7127131012044798E-2</v>
      </c>
      <c r="M136" s="850"/>
      <c r="N136" s="850"/>
      <c r="O136" s="48">
        <f>IF(t&lt;Tnet,'2023'!Resal+('2023'!Salim-'2023'!Resal)*(1-EXP(('2023'!Tnet-t)/('2023'!Tau_j))),Resal+(Salim-Resal)*(1-EXP((Tnet-t)/(Tau_j))))*Salcycl</f>
        <v>6.9061768281596367E-2</v>
      </c>
      <c r="P136" s="169">
        <f>(INDEX(Models!$BJ136:$BT136,,T136)*(1-R136)+INDEX(Models!$BJ136:$BT136,,T136+1)*R136-ERP_i)*Q136*Ramure*Pc/MaxiM</f>
        <v>2.361093775971039E-8</v>
      </c>
      <c r="Q136" s="305">
        <f t="shared" si="28"/>
        <v>0.7</v>
      </c>
      <c r="R136" s="177">
        <f t="shared" si="29"/>
        <v>0.18324776273699961</v>
      </c>
      <c r="S136" s="817">
        <f t="shared" si="30"/>
        <v>0</v>
      </c>
      <c r="T136" s="176">
        <f t="shared" si="31"/>
        <v>6</v>
      </c>
      <c r="U136" s="251">
        <f t="shared" si="32"/>
        <v>0.18324776273699961</v>
      </c>
      <c r="V136" s="383">
        <f t="shared" si="33"/>
        <v>37.696258897808065</v>
      </c>
      <c r="W136" s="402">
        <f t="shared" si="34"/>
        <v>17.730464562697144</v>
      </c>
      <c r="X136" s="157">
        <f t="shared" si="35"/>
        <v>45413</v>
      </c>
      <c r="Y136" s="385">
        <f t="shared" si="36"/>
        <v>16.74243674952983</v>
      </c>
      <c r="Z136" s="385">
        <f t="shared" si="37"/>
        <v>17.570483213896043</v>
      </c>
      <c r="AA136" s="386">
        <f t="shared" si="38"/>
        <v>19.987767410643119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0.12093817919153484</v>
      </c>
      <c r="AD136" s="231">
        <f>(INDEX(Models!$BJ136:$BT136,,AH136)*(1-AF136)+INDEX(Models!$BJ136:$BT136,,AH136+1)*AF136-ERP_i)*AE136*Ramure*Pc/MaxiM</f>
        <v>2.361093775971039E-8</v>
      </c>
      <c r="AE136" s="305">
        <f t="shared" si="40"/>
        <v>0.7</v>
      </c>
      <c r="AF136" s="177">
        <f t="shared" si="41"/>
        <v>0.18324776273699961</v>
      </c>
      <c r="AG136" s="817">
        <f t="shared" si="49"/>
        <v>0</v>
      </c>
      <c r="AH136" s="176">
        <f t="shared" si="42"/>
        <v>6</v>
      </c>
      <c r="AI136" s="225">
        <f t="shared" si="43"/>
        <v>0.18324776273699961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45414</v>
      </c>
      <c r="B137" s="411">
        <f>'2023'!Wh/'2023'!Env_an*'2024'!Env_an</f>
        <v>19.702991506455891</v>
      </c>
      <c r="C137" s="846"/>
      <c r="D137" s="393">
        <f t="shared" si="25"/>
        <v>20.677913815423693</v>
      </c>
      <c r="E137" s="385">
        <f t="shared" si="47"/>
        <v>22.215391266335342</v>
      </c>
      <c r="F137" s="385">
        <f t="shared" si="26"/>
        <v>22.215391383683276</v>
      </c>
      <c r="G137" s="110">
        <f t="shared" si="48"/>
        <v>0.52159503669930174</v>
      </c>
      <c r="H137" s="414" t="b">
        <f>Wh_hp&gt;='2023'!Maxi_hp</f>
        <v>0</v>
      </c>
      <c r="I137" s="390">
        <f>IF(H137,Wh_hp,'2023'!Maxi_hp)</f>
        <v>42.400180832539675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4.7148001373359394E-2</v>
      </c>
      <c r="M137" s="850"/>
      <c r="N137" s="850"/>
      <c r="O137" s="48">
        <f>IF(t&lt;Tnet,'2023'!Resal+('2023'!Salim-'2023'!Resal)*(1-EXP(('2023'!Tnet-t)/('2023'!Tau_j))),Resal+(Salim-Resal)*(1-EXP((Tnet-t)/(Tau_j))))*Salcycl</f>
        <v>6.9207759272802247E-2</v>
      </c>
      <c r="P137" s="169">
        <f>(INDEX(Models!$BJ137:$BT137,,T137)*(1-R137)+INDEX(Models!$BJ137:$BT137,,T137+1)*R137-ERP_i)*Q137*Ramure*Pc/MaxiM</f>
        <v>1.6686277982685228E-8</v>
      </c>
      <c r="Q137" s="305">
        <f t="shared" si="28"/>
        <v>0.7</v>
      </c>
      <c r="R137" s="177">
        <f t="shared" si="29"/>
        <v>0.18615869400256341</v>
      </c>
      <c r="S137" s="817">
        <f t="shared" si="30"/>
        <v>0</v>
      </c>
      <c r="T137" s="176">
        <f t="shared" si="31"/>
        <v>6</v>
      </c>
      <c r="U137" s="251">
        <f t="shared" si="32"/>
        <v>0.18615869400256341</v>
      </c>
      <c r="V137" s="383">
        <f t="shared" si="33"/>
        <v>37.774499171704647</v>
      </c>
      <c r="W137" s="402">
        <f t="shared" si="34"/>
        <v>19.702991506455891</v>
      </c>
      <c r="X137" s="157">
        <f t="shared" si="35"/>
        <v>45414</v>
      </c>
      <c r="Y137" s="385">
        <f t="shared" si="36"/>
        <v>18.605784208375169</v>
      </c>
      <c r="Z137" s="385">
        <f t="shared" si="37"/>
        <v>19.526415681755356</v>
      </c>
      <c r="AA137" s="386">
        <f t="shared" si="38"/>
        <v>22.215391266335342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0.12104110849736836</v>
      </c>
      <c r="AD137" s="231">
        <f>(INDEX(Models!$BJ137:$BT137,,AH137)*(1-AF137)+INDEX(Models!$BJ137:$BT137,,AH137+1)*AF137-ERP_i)*AE137*Ramure*Pc/MaxiM</f>
        <v>1.6686277982685228E-8</v>
      </c>
      <c r="AE137" s="305">
        <f t="shared" si="40"/>
        <v>0.7</v>
      </c>
      <c r="AF137" s="177">
        <f t="shared" si="41"/>
        <v>0.18615869400256341</v>
      </c>
      <c r="AG137" s="817">
        <f t="shared" si="49"/>
        <v>0</v>
      </c>
      <c r="AH137" s="176">
        <f t="shared" si="42"/>
        <v>6</v>
      </c>
      <c r="AI137" s="225">
        <f t="shared" si="43"/>
        <v>0.18615869400256341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45415</v>
      </c>
      <c r="B138" s="411">
        <f>'2023'!Wh/'2023'!Env_an*'2024'!Env_an</f>
        <v>13.734316410369882</v>
      </c>
      <c r="C138" s="846"/>
      <c r="D138" s="393">
        <f t="shared" si="25"/>
        <v>14.414218843568749</v>
      </c>
      <c r="E138" s="385">
        <f t="shared" si="47"/>
        <v>15.488411591551181</v>
      </c>
      <c r="F138" s="385">
        <f t="shared" si="26"/>
        <v>15.488411606792376</v>
      </c>
      <c r="G138" s="110">
        <f t="shared" si="48"/>
        <v>0.3628685395763277</v>
      </c>
      <c r="H138" s="414" t="b">
        <f>Wh_hp&gt;='2023'!Maxi_hp</f>
        <v>0</v>
      </c>
      <c r="I138" s="390">
        <f>IF(H138,Wh_hp,'2023'!Maxi_hp)</f>
        <v>39.79073296578693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4.7168871277559532E-2</v>
      </c>
      <c r="M138" s="850"/>
      <c r="N138" s="850"/>
      <c r="O138" s="48">
        <f>IF(t&lt;Tnet,'2023'!Resal+('2023'!Salim-'2023'!Resal)*(1-EXP(('2023'!Tnet-t)/('2023'!Tau_j))),Resal+(Salim-Resal)*(1-EXP((Tnet-t)/(Tau_j))))*Salcycl</f>
        <v>6.9354610163407368E-2</v>
      </c>
      <c r="P138" s="169">
        <f>(INDEX(Models!$BJ138:$BT138,,T138)*(1-R138)+INDEX(Models!$BJ138:$BT138,,T138+1)*R138-ERP_i)*Q138*Ramure*Pc/MaxiM</f>
        <v>1.0956624818019161E-8</v>
      </c>
      <c r="Q138" s="305">
        <f t="shared" si="28"/>
        <v>0.7</v>
      </c>
      <c r="R138" s="177">
        <f t="shared" si="29"/>
        <v>0.1891488149188538</v>
      </c>
      <c r="S138" s="817">
        <f t="shared" si="30"/>
        <v>0</v>
      </c>
      <c r="T138" s="176">
        <f t="shared" si="31"/>
        <v>6</v>
      </c>
      <c r="U138" s="251">
        <f t="shared" si="32"/>
        <v>0.1891488149188538</v>
      </c>
      <c r="V138" s="383">
        <f t="shared" si="33"/>
        <v>37.849289137710649</v>
      </c>
      <c r="W138" s="402">
        <f t="shared" si="34"/>
        <v>13.734316410369882</v>
      </c>
      <c r="X138" s="157">
        <f t="shared" si="35"/>
        <v>45415</v>
      </c>
      <c r="Y138" s="385">
        <f t="shared" si="36"/>
        <v>12.969993466581961</v>
      </c>
      <c r="Z138" s="385">
        <f t="shared" si="37"/>
        <v>13.612058921681303</v>
      </c>
      <c r="AA138" s="386">
        <f t="shared" si="38"/>
        <v>15.488411591551181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0.12114558415360133</v>
      </c>
      <c r="AD138" s="231">
        <f>(INDEX(Models!$BJ138:$BT138,,AH138)*(1-AF138)+INDEX(Models!$BJ138:$BT138,,AH138+1)*AF138-ERP_i)*AE138*Ramure*Pc/MaxiM</f>
        <v>1.0956624818019161E-8</v>
      </c>
      <c r="AE138" s="305">
        <f t="shared" si="40"/>
        <v>0.7</v>
      </c>
      <c r="AF138" s="177">
        <f t="shared" si="41"/>
        <v>0.1891488149188538</v>
      </c>
      <c r="AG138" s="817">
        <f t="shared" si="49"/>
        <v>0</v>
      </c>
      <c r="AH138" s="176">
        <f t="shared" si="42"/>
        <v>6</v>
      </c>
      <c r="AI138" s="225">
        <f t="shared" si="43"/>
        <v>0.1891488149188538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45416</v>
      </c>
      <c r="B139" s="411">
        <f>'2023'!Wh/'2023'!Env_an*'2024'!Env_an</f>
        <v>26.858920955669607</v>
      </c>
      <c r="C139" s="846"/>
      <c r="D139" s="393">
        <f t="shared" si="25"/>
        <v>28.189160112630429</v>
      </c>
      <c r="E139" s="385">
        <f t="shared" si="47"/>
        <v>30.29471248984807</v>
      </c>
      <c r="F139" s="385">
        <f t="shared" si="26"/>
        <v>30.294712604352057</v>
      </c>
      <c r="G139" s="110">
        <f t="shared" si="48"/>
        <v>0.7082948617166176</v>
      </c>
      <c r="H139" s="414" t="b">
        <f>Wh_hp&gt;='2023'!Maxi_hp</f>
        <v>0</v>
      </c>
      <c r="I139" s="390">
        <f>IF(H139,Wh_hp,'2023'!Maxi_hp)</f>
        <v>40.603023029597871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4.7189740724655205E-2</v>
      </c>
      <c r="M139" s="850"/>
      <c r="N139" s="850"/>
      <c r="O139" s="48">
        <f>IF(t&lt;Tnet,'2023'!Resal+('2023'!Salim-'2023'!Resal)*(1-EXP(('2023'!Tnet-t)/('2023'!Tau_j))),Resal+(Salim-Resal)*(1-EXP((Tnet-t)/(Tau_j))))*Salcycl</f>
        <v>6.9502305985680649E-2</v>
      </c>
      <c r="P139" s="169">
        <f>(INDEX(Models!$BJ139:$BT139,,T139)*(1-R139)+INDEX(Models!$BJ139:$BT139,,T139+1)*R139-ERP_i)*Q139*Ramure*Pc/MaxiM</f>
        <v>6.4800431806798357E-9</v>
      </c>
      <c r="Q139" s="305">
        <f t="shared" si="28"/>
        <v>0.7</v>
      </c>
      <c r="R139" s="177">
        <f t="shared" si="29"/>
        <v>0.19221877298543019</v>
      </c>
      <c r="S139" s="817">
        <f t="shared" si="30"/>
        <v>0</v>
      </c>
      <c r="T139" s="176">
        <f t="shared" si="31"/>
        <v>6</v>
      </c>
      <c r="U139" s="251">
        <f t="shared" si="32"/>
        <v>0.19221877298543019</v>
      </c>
      <c r="V139" s="383">
        <f t="shared" si="33"/>
        <v>37.920536114077422</v>
      </c>
      <c r="W139" s="402">
        <f t="shared" si="34"/>
        <v>26.858920955669607</v>
      </c>
      <c r="X139" s="157">
        <f t="shared" si="35"/>
        <v>45416</v>
      </c>
      <c r="Y139" s="385">
        <f t="shared" si="36"/>
        <v>25.365172486683029</v>
      </c>
      <c r="Z139" s="385">
        <f t="shared" si="37"/>
        <v>26.621430908997965</v>
      </c>
      <c r="AA139" s="386">
        <f t="shared" si="38"/>
        <v>30.29471248984807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0.12125157425016145</v>
      </c>
      <c r="AD139" s="231">
        <f>(INDEX(Models!$BJ139:$BT139,,AH139)*(1-AF139)+INDEX(Models!$BJ139:$BT139,,AH139+1)*AF139-ERP_i)*AE139*Ramure*Pc/MaxiM</f>
        <v>6.4800431806798357E-9</v>
      </c>
      <c r="AE139" s="305">
        <f t="shared" si="40"/>
        <v>0.7</v>
      </c>
      <c r="AF139" s="177">
        <f t="shared" si="41"/>
        <v>0.19221877298543019</v>
      </c>
      <c r="AG139" s="817">
        <f t="shared" si="49"/>
        <v>0</v>
      </c>
      <c r="AH139" s="176">
        <f t="shared" si="42"/>
        <v>6</v>
      </c>
      <c r="AI139" s="225">
        <f t="shared" si="43"/>
        <v>0.19221877298543019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45417</v>
      </c>
      <c r="B140" s="411">
        <f>'2023'!Wh/'2023'!Env_an*'2024'!Env_an</f>
        <v>24.924016760597947</v>
      </c>
      <c r="C140" s="846"/>
      <c r="D140" s="393">
        <f t="shared" si="25"/>
        <v>26.158999055534871</v>
      </c>
      <c r="E140" s="385">
        <f t="shared" si="47"/>
        <v>28.117399233357556</v>
      </c>
      <c r="F140" s="385">
        <f t="shared" si="26"/>
        <v>28.117399280835205</v>
      </c>
      <c r="G140" s="110">
        <f t="shared" si="48"/>
        <v>0.65609981777162307</v>
      </c>
      <c r="H140" s="414" t="b">
        <f>Wh_hp&gt;='2023'!Maxi_hp</f>
        <v>0</v>
      </c>
      <c r="I140" s="390">
        <f>IF(H140,Wh_hp,'2023'!Maxi_hp)</f>
        <v>44.619992536921345</v>
      </c>
      <c r="J140" s="85">
        <f>IF(H140,An,'2023'!An_max)</f>
        <v>2019</v>
      </c>
      <c r="K140" s="197">
        <f t="shared" si="27"/>
        <v>45417</v>
      </c>
      <c r="L140" s="147">
        <f>IF(t&lt;Tvie,1-EXP((T0-t)*PertePVj)+'2023'!Pspv,1-EXP((T0-t)*PertePVj)+Pspv)</f>
        <v>4.7210609714656404E-2</v>
      </c>
      <c r="M140" s="850"/>
      <c r="N140" s="850"/>
      <c r="O140" s="48">
        <f>IF(t&lt;Tnet,'2023'!Resal+('2023'!Salim-'2023'!Resal)*(1-EXP(('2023'!Tnet-t)/('2023'!Tau_j))),Resal+(Salim-Resal)*(1-EXP((Tnet-t)/(Tau_j))))*Salcycl</f>
        <v>6.9650829423060764E-2</v>
      </c>
      <c r="P140" s="169">
        <f>(INDEX(Models!$BJ140:$BT140,,T140)*(1-R140)+INDEX(Models!$BJ140:$BT140,,T140+1)*R140-ERP_i)*Q140*Ramure*Pc/MaxiM</f>
        <v>3.3192528716888888E-9</v>
      </c>
      <c r="Q140" s="305">
        <f t="shared" si="28"/>
        <v>0.7</v>
      </c>
      <c r="R140" s="177">
        <f t="shared" si="29"/>
        <v>0.19536911234677157</v>
      </c>
      <c r="S140" s="817">
        <f t="shared" si="30"/>
        <v>0</v>
      </c>
      <c r="T140" s="176">
        <f t="shared" si="31"/>
        <v>6</v>
      </c>
      <c r="U140" s="251">
        <f t="shared" si="32"/>
        <v>0.19536911234677157</v>
      </c>
      <c r="V140" s="383">
        <f t="shared" si="33"/>
        <v>37.988147603220206</v>
      </c>
      <c r="W140" s="402">
        <f t="shared" si="34"/>
        <v>24.924016760597947</v>
      </c>
      <c r="X140" s="157">
        <f t="shared" si="35"/>
        <v>45417</v>
      </c>
      <c r="Y140" s="385">
        <f t="shared" si="36"/>
        <v>23.538755805056802</v>
      </c>
      <c r="Z140" s="385">
        <f t="shared" si="37"/>
        <v>24.705098571686825</v>
      </c>
      <c r="AA140" s="386">
        <f t="shared" si="38"/>
        <v>28.117399233357556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0.12135904296662289</v>
      </c>
      <c r="AD140" s="231">
        <f>(INDEX(Models!$BJ140:$BT140,,AH140)*(1-AF140)+INDEX(Models!$BJ140:$BT140,,AH140+1)*AF140-ERP_i)*AE140*Ramure*Pc/MaxiM</f>
        <v>3.3192528716888888E-9</v>
      </c>
      <c r="AE140" s="305">
        <f t="shared" si="40"/>
        <v>0.7</v>
      </c>
      <c r="AF140" s="177">
        <f t="shared" si="41"/>
        <v>0.19536911234677157</v>
      </c>
      <c r="AG140" s="817">
        <f t="shared" si="49"/>
        <v>0</v>
      </c>
      <c r="AH140" s="176">
        <f t="shared" si="42"/>
        <v>6</v>
      </c>
      <c r="AI140" s="225">
        <f t="shared" si="43"/>
        <v>0.19536911234677157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45418</v>
      </c>
      <c r="B141" s="411">
        <f>'2023'!Wh/'2023'!Env_an*'2024'!Env_an</f>
        <v>30.979732114089582</v>
      </c>
      <c r="C141" s="846"/>
      <c r="D141" s="393">
        <f t="shared" si="25"/>
        <v>32.515486612748887</v>
      </c>
      <c r="E141" s="385">
        <f t="shared" si="47"/>
        <v>34.955377587860497</v>
      </c>
      <c r="F141" s="385">
        <f t="shared" si="26"/>
        <v>34.955377627444577</v>
      </c>
      <c r="G141" s="110">
        <f t="shared" si="48"/>
        <v>0.81414134917013459</v>
      </c>
      <c r="H141" s="414" t="b">
        <f>Wh_hp&gt;='2023'!Maxi_hp</f>
        <v>0</v>
      </c>
      <c r="I141" s="390">
        <f>IF(H141,Wh_hp,'2023'!Maxi_hp)</f>
        <v>41.484775655026766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4.7231478247573122E-2</v>
      </c>
      <c r="M141" s="850"/>
      <c r="N141" s="850"/>
      <c r="O141" s="48">
        <f>IF(t&lt;Tnet,'2023'!Resal+('2023'!Salim-'2023'!Resal)*(1-EXP(('2023'!Tnet-t)/('2023'!Tau_j))),Resal+(Salim-Resal)*(1-EXP((Tnet-t)/(Tau_j))))*Salcycl</f>
        <v>6.9800160761500266E-2</v>
      </c>
      <c r="P141" s="169">
        <f>(INDEX(Models!$BJ141:$BT141,,T141)*(1-R141)+INDEX(Models!$BJ141:$BT141,,T141+1)*R141-ERP_i)*Q141*Ramure*Pc/MaxiM</f>
        <v>1.5417786739408804E-9</v>
      </c>
      <c r="Q141" s="305">
        <f t="shared" si="28"/>
        <v>0.7</v>
      </c>
      <c r="R141" s="177">
        <f t="shared" si="29"/>
        <v>0.19860026675192388</v>
      </c>
      <c r="S141" s="817">
        <f t="shared" si="30"/>
        <v>0</v>
      </c>
      <c r="T141" s="176">
        <f t="shared" si="31"/>
        <v>6</v>
      </c>
      <c r="U141" s="251">
        <f t="shared" si="32"/>
        <v>0.19860026675192388</v>
      </c>
      <c r="V141" s="383">
        <f t="shared" si="33"/>
        <v>38.052031300198358</v>
      </c>
      <c r="W141" s="402">
        <f t="shared" si="34"/>
        <v>30.979732114089582</v>
      </c>
      <c r="X141" s="157">
        <f t="shared" si="35"/>
        <v>45418</v>
      </c>
      <c r="Y141" s="385">
        <f t="shared" si="36"/>
        <v>29.25896823320566</v>
      </c>
      <c r="Z141" s="385">
        <f t="shared" si="37"/>
        <v>30.709419512926022</v>
      </c>
      <c r="AA141" s="386">
        <f t="shared" si="38"/>
        <v>34.955377587860497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0.12146795051096904</v>
      </c>
      <c r="AD141" s="231">
        <f>(INDEX(Models!$BJ141:$BT141,,AH141)*(1-AF141)+INDEX(Models!$BJ141:$BT141,,AH141+1)*AF141-ERP_i)*AE141*Ramure*Pc/MaxiM</f>
        <v>1.5417786739408804E-9</v>
      </c>
      <c r="AE141" s="305">
        <f t="shared" si="40"/>
        <v>0.7</v>
      </c>
      <c r="AF141" s="177">
        <f t="shared" si="41"/>
        <v>0.19860026675192388</v>
      </c>
      <c r="AG141" s="817">
        <f t="shared" si="49"/>
        <v>0</v>
      </c>
      <c r="AH141" s="176">
        <f t="shared" si="42"/>
        <v>6</v>
      </c>
      <c r="AI141" s="225">
        <f t="shared" si="43"/>
        <v>0.19860026675192388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45419</v>
      </c>
      <c r="B142" s="411">
        <f>'2023'!Wh/'2023'!Env_an*'2024'!Env_an</f>
        <v>31.95868771862121</v>
      </c>
      <c r="C142" s="846"/>
      <c r="D142" s="393">
        <f t="shared" si="25"/>
        <v>33.543706557864446</v>
      </c>
      <c r="E142" s="385">
        <f t="shared" si="47"/>
        <v>36.066573387328567</v>
      </c>
      <c r="F142" s="385">
        <f t="shared" si="26"/>
        <v>36.066573421183513</v>
      </c>
      <c r="G142" s="110">
        <f t="shared" si="48"/>
        <v>0.83854449962803579</v>
      </c>
      <c r="H142" s="414" t="b">
        <f>Wh_hp&gt;='2023'!Maxi_hp</f>
        <v>0</v>
      </c>
      <c r="I142" s="390">
        <f>IF(H142,Wh_hp,'2023'!Maxi_hp)</f>
        <v>40.780889517262061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4.7252346323415462E-2</v>
      </c>
      <c r="M142" s="850"/>
      <c r="N142" s="850"/>
      <c r="O142" s="48">
        <f>IF(t&lt;Tnet,'2023'!Resal+('2023'!Salim-'2023'!Resal)*(1-EXP(('2023'!Tnet-t)/('2023'!Tau_j))),Resal+(Salim-Resal)*(1-EXP((Tnet-t)/(Tau_j))))*Salcycl</f>
        <v>6.9950277847866976E-2</v>
      </c>
      <c r="P142" s="169">
        <f>(INDEX(Models!$BJ142:$BT142,,T142)*(1-R142)+INDEX(Models!$BJ142:$BT142,,T142+1)*R142-ERP_i)*Q142*Ramure*Pc/MaxiM</f>
        <v>1.220095019080765E-9</v>
      </c>
      <c r="Q142" s="305">
        <f t="shared" si="28"/>
        <v>0.7</v>
      </c>
      <c r="R142" s="177">
        <f t="shared" si="29"/>
        <v>0.20191255255005686</v>
      </c>
      <c r="S142" s="817">
        <f t="shared" si="30"/>
        <v>0</v>
      </c>
      <c r="T142" s="176">
        <f t="shared" si="31"/>
        <v>6</v>
      </c>
      <c r="U142" s="251">
        <f t="shared" si="32"/>
        <v>0.20191255255005686</v>
      </c>
      <c r="V142" s="383">
        <f t="shared" si="33"/>
        <v>38.112095093109403</v>
      </c>
      <c r="W142" s="402">
        <f t="shared" si="34"/>
        <v>31.95868771862121</v>
      </c>
      <c r="X142" s="157">
        <f t="shared" si="35"/>
        <v>45419</v>
      </c>
      <c r="Y142" s="385">
        <f t="shared" si="36"/>
        <v>30.184629516785741</v>
      </c>
      <c r="Z142" s="385">
        <f t="shared" si="37"/>
        <v>31.681662400642427</v>
      </c>
      <c r="AA142" s="386">
        <f t="shared" si="38"/>
        <v>36.066573387328567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0.12157825307093657</v>
      </c>
      <c r="AD142" s="231">
        <f>(INDEX(Models!$BJ142:$BT142,,AH142)*(1-AF142)+INDEX(Models!$BJ142:$BT142,,AH142+1)*AF142-ERP_i)*AE142*Ramure*Pc/MaxiM</f>
        <v>1.220095019080765E-9</v>
      </c>
      <c r="AE142" s="305">
        <f t="shared" si="40"/>
        <v>0.7</v>
      </c>
      <c r="AF142" s="177">
        <f t="shared" si="41"/>
        <v>0.20191255255005686</v>
      </c>
      <c r="AG142" s="817">
        <f t="shared" si="49"/>
        <v>0</v>
      </c>
      <c r="AH142" s="176">
        <f t="shared" si="42"/>
        <v>6</v>
      </c>
      <c r="AI142" s="225">
        <f t="shared" si="43"/>
        <v>0.20191255255005686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45420</v>
      </c>
      <c r="B143" s="411">
        <f>'2023'!Wh/'2023'!Env_an*'2024'!Env_an</f>
        <v>36.011371299415835</v>
      </c>
      <c r="C143" s="846"/>
      <c r="D143" s="393">
        <f t="shared" ref="D143:D206" si="50">Wh/(1-Ppv)</f>
        <v>37.798214374158313</v>
      </c>
      <c r="E143" s="385">
        <f t="shared" si="47"/>
        <v>40.647662506875257</v>
      </c>
      <c r="F143" s="385">
        <f t="shared" ref="F143:F206" si="51">Wh_sa/(1-Pvg*MEDIAN((-Sdif+Wh/Env_an)/Csdif,0,1))</f>
        <v>40.647662541674251</v>
      </c>
      <c r="G143" s="110">
        <f t="shared" si="48"/>
        <v>0.94349030958619873</v>
      </c>
      <c r="H143" s="414" t="b">
        <f>Wh_hp&gt;='2023'!Maxi_hp</f>
        <v>0</v>
      </c>
      <c r="I143" s="390">
        <f>IF(H143,Wh_hp,'2023'!Maxi_hp)</f>
        <v>40.647662544730203</v>
      </c>
      <c r="J143" s="85">
        <f>IF(H143,An,'2023'!An_max)</f>
        <v>2023</v>
      </c>
      <c r="K143" s="197">
        <f t="shared" ref="K143:K206" si="52">t</f>
        <v>45420</v>
      </c>
      <c r="L143" s="147">
        <f>IF(t&lt;Tvie,1-EXP((T0-t)*PertePVj)+'2023'!Pspv,1-EXP((T0-t)*PertePVj)+Pspv)</f>
        <v>4.7273213942193415E-2</v>
      </c>
      <c r="M143" s="850"/>
      <c r="N143" s="850"/>
      <c r="O143" s="48">
        <f>IF(t&lt;Tnet,'2023'!Resal+('2023'!Salim-'2023'!Resal)*(1-EXP(('2023'!Tnet-t)/('2023'!Tau_j))),Resal+(Salim-Resal)*(1-EXP((Tnet-t)/(Tau_j))))*Salcycl</f>
        <v>7.0101156056267225E-2</v>
      </c>
      <c r="P143" s="169">
        <f>(INDEX(Models!$BJ143:$BT143,,T143)*(1-R143)+INDEX(Models!$BJ143:$BT143,,T143+1)*R143-ERP_i)*Q143*Ramure*Pc/MaxiM</f>
        <v>9.3129471138318359E-10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0.20530616176740224</v>
      </c>
      <c r="S143" s="817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0.20530616176740224</v>
      </c>
      <c r="V143" s="383">
        <f t="shared" ref="V143:V206" si="58">MaxiM*(1-Ppv)*(1-Pvg)*(1-Psa)</f>
        <v>38.168247125402388</v>
      </c>
      <c r="W143" s="402">
        <f t="shared" ref="W143:W206" si="59">Wh*(A143&gt;Tmaj)</f>
        <v>36.011371299415835</v>
      </c>
      <c r="X143" s="157">
        <f t="shared" ref="X143:X206" si="60">t</f>
        <v>45420</v>
      </c>
      <c r="Y143" s="385">
        <f t="shared" ref="Y143:Y206" si="61">Wh_pvt_s*(1-Ppv)</f>
        <v>34.013539465109162</v>
      </c>
      <c r="Z143" s="385">
        <f t="shared" ref="Z143:Z206" si="62">Wh_sa_s*(1-Psa_s)</f>
        <v>35.701252408206557</v>
      </c>
      <c r="AA143" s="386">
        <f t="shared" ref="AA143:AA206" si="63">Wh_hp*(1-Pvg_s*MEDIAN((-Sdif+Wh/Env_an)/Csdif,0,1))</f>
        <v>40.647662506875257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0.12168990277933078</v>
      </c>
      <c r="AD143" s="231">
        <f>(INDEX(Models!$BJ143:$BT143,,AH143)*(1-AF143)+INDEX(Models!$BJ143:$BT143,,AH143+1)*AF143-ERP_i)*AE143*Ramure*Pc/MaxiM</f>
        <v>9.3129471138318359E-10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0.20530616176740224</v>
      </c>
      <c r="AG143" s="817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0.20530616176740224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45421</v>
      </c>
      <c r="B144" s="411">
        <f>'2023'!Wh/'2023'!Env_an*'2024'!Env_an</f>
        <v>33.287074626027682</v>
      </c>
      <c r="C144" s="846"/>
      <c r="D144" s="393">
        <f t="shared" si="50"/>
        <v>34.939506479185091</v>
      </c>
      <c r="E144" s="385">
        <f t="shared" ref="E144:E169" si="72">Wh_pvt/(1-Psa)</f>
        <v>37.579575702435356</v>
      </c>
      <c r="F144" s="385">
        <f t="shared" si="51"/>
        <v>37.579575723190942</v>
      </c>
      <c r="G144" s="110">
        <f t="shared" ref="G144:G169" si="73">+Wh_hp/MaxiM</f>
        <v>0.87092438544054229</v>
      </c>
      <c r="H144" s="414" t="b">
        <f>Wh_hp&gt;='2023'!Maxi_hp</f>
        <v>0</v>
      </c>
      <c r="I144" s="390">
        <f>IF(H144,Wh_hp,'2023'!Maxi_hp)</f>
        <v>37.579575727883402</v>
      </c>
      <c r="J144" s="85">
        <f>IF(H144,An,'2023'!An_max)</f>
        <v>2023</v>
      </c>
      <c r="K144" s="197">
        <f t="shared" si="52"/>
        <v>45421</v>
      </c>
      <c r="L144" s="147">
        <f>IF(t&lt;Tvie,1-EXP((T0-t)*PertePVj)+'2023'!Pspv,1-EXP((T0-t)*PertePVj)+Pspv)</f>
        <v>4.7294081103916863E-2</v>
      </c>
      <c r="M144" s="850"/>
      <c r="N144" s="850"/>
      <c r="O144" s="48">
        <f>IF(t&lt;Tnet,'2023'!Resal+('2023'!Salim-'2023'!Resal)*(1-EXP(('2023'!Tnet-t)/('2023'!Tau_j))),Resal+(Salim-Resal)*(1-EXP((Tnet-t)/(Tau_j))))*Salcycl</f>
        <v>7.0252768263138546E-2</v>
      </c>
      <c r="P144" s="169">
        <f>(INDEX(Models!$BJ144:$BT144,,T144)*(1-R144)+INDEX(Models!$BJ144:$BT144,,T144+1)*R144-ERP_i)*Q144*Ramure*Pc/MaxiM</f>
        <v>6.7717765151787064E-10</v>
      </c>
      <c r="Q144" s="305">
        <f t="shared" si="53"/>
        <v>0.7</v>
      </c>
      <c r="R144" s="177">
        <f t="shared" si="54"/>
        <v>0.20878115531412048</v>
      </c>
      <c r="S144" s="817">
        <f t="shared" si="55"/>
        <v>0</v>
      </c>
      <c r="T144" s="176">
        <f t="shared" si="56"/>
        <v>6</v>
      </c>
      <c r="U144" s="251">
        <f t="shared" si="57"/>
        <v>0.20878115531412048</v>
      </c>
      <c r="V144" s="383">
        <f t="shared" si="58"/>
        <v>38.220395683413443</v>
      </c>
      <c r="W144" s="402">
        <f t="shared" si="59"/>
        <v>33.287074626027682</v>
      </c>
      <c r="X144" s="157">
        <f t="shared" si="60"/>
        <v>45421</v>
      </c>
      <c r="Y144" s="385">
        <f t="shared" si="61"/>
        <v>31.4414640316201</v>
      </c>
      <c r="Z144" s="385">
        <f t="shared" si="62"/>
        <v>33.002276366721716</v>
      </c>
      <c r="AA144" s="386">
        <f t="shared" si="63"/>
        <v>37.579575702435356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0.12180284769465885</v>
      </c>
      <c r="AD144" s="231">
        <f>(INDEX(Models!$BJ144:$BT144,,AH144)*(1-AF144)+INDEX(Models!$BJ144:$BT144,,AH144+1)*AF144-ERP_i)*AE144*Ramure*Pc/MaxiM</f>
        <v>6.7717765151787064E-10</v>
      </c>
      <c r="AE144" s="305">
        <f t="shared" si="65"/>
        <v>0.7</v>
      </c>
      <c r="AF144" s="177">
        <f t="shared" si="66"/>
        <v>0.20878115531412048</v>
      </c>
      <c r="AG144" s="817">
        <f t="shared" ref="AG144:AG207" si="74">INDEX(Echel_vg,AH144)</f>
        <v>0</v>
      </c>
      <c r="AH144" s="176">
        <f t="shared" si="67"/>
        <v>6</v>
      </c>
      <c r="AI144" s="225">
        <f t="shared" si="68"/>
        <v>0.20878115531412048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45422</v>
      </c>
      <c r="B145" s="411">
        <f>'2023'!Wh/'2023'!Env_an*'2024'!Env_an</f>
        <v>35.895183660810453</v>
      </c>
      <c r="C145" s="846"/>
      <c r="D145" s="393">
        <f t="shared" si="50"/>
        <v>37.677912105624969</v>
      </c>
      <c r="E145" s="385">
        <f t="shared" si="72"/>
        <v>40.531538513001443</v>
      </c>
      <c r="F145" s="385">
        <f t="shared" si="51"/>
        <v>40.531538529982548</v>
      </c>
      <c r="G145" s="110">
        <f t="shared" si="73"/>
        <v>0.93798375325045258</v>
      </c>
      <c r="H145" s="414" t="b">
        <f>Wh_hp&gt;='2023'!Maxi_hp</f>
        <v>0</v>
      </c>
      <c r="I145" s="390">
        <f>IF(H145,Wh_hp,'2023'!Maxi_hp)</f>
        <v>40.531538531633217</v>
      </c>
      <c r="J145" s="85">
        <f>IF(H145,An,'2023'!An_max)</f>
        <v>2023</v>
      </c>
      <c r="K145" s="197">
        <f t="shared" si="52"/>
        <v>45422</v>
      </c>
      <c r="L145" s="147">
        <f>IF(t&lt;Tvie,1-EXP((T0-t)*PertePVj)+'2023'!Pspv,1-EXP((T0-t)*PertePVj)+Pspv)</f>
        <v>4.731494780859602E-2</v>
      </c>
      <c r="M145" s="850"/>
      <c r="N145" s="850"/>
      <c r="O145" s="48">
        <f>IF(t&lt;Tnet,'2023'!Resal+('2023'!Salim-'2023'!Resal)*(1-EXP(('2023'!Tnet-t)/('2023'!Tau_j))),Resal+(Salim-Resal)*(1-EXP((Tnet-t)/(Tau_j))))*Salcycl</f>
        <v>7.0405084831929296E-2</v>
      </c>
      <c r="P145" s="169">
        <f>(INDEX(Models!$BJ145:$BT145,,T145)*(1-R145)+INDEX(Models!$BJ145:$BT145,,T145+1)*R145-ERP_i)*Q145*Ramure*Pc/MaxiM</f>
        <v>4.5968588318814541E-10</v>
      </c>
      <c r="Q145" s="305">
        <f t="shared" si="53"/>
        <v>0.7</v>
      </c>
      <c r="R145" s="177">
        <f t="shared" si="54"/>
        <v>0.21233745637248475</v>
      </c>
      <c r="S145" s="817">
        <f t="shared" si="55"/>
        <v>0</v>
      </c>
      <c r="T145" s="176">
        <f t="shared" si="56"/>
        <v>6</v>
      </c>
      <c r="U145" s="251">
        <f t="shared" si="57"/>
        <v>0.21233745637248475</v>
      </c>
      <c r="V145" s="383">
        <f t="shared" si="58"/>
        <v>38.268449250809326</v>
      </c>
      <c r="W145" s="402">
        <f t="shared" si="59"/>
        <v>35.895183660810453</v>
      </c>
      <c r="X145" s="157">
        <f t="shared" si="60"/>
        <v>45422</v>
      </c>
      <c r="Y145" s="385">
        <f t="shared" si="61"/>
        <v>33.906112112638496</v>
      </c>
      <c r="Z145" s="385">
        <f t="shared" si="62"/>
        <v>35.590053643275198</v>
      </c>
      <c r="AA145" s="386">
        <f t="shared" si="63"/>
        <v>40.531538513001443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0.12191703179836479</v>
      </c>
      <c r="AD145" s="231">
        <f>(INDEX(Models!$BJ145:$BT145,,AH145)*(1-AF145)+INDEX(Models!$BJ145:$BT145,,AH145+1)*AF145-ERP_i)*AE145*Ramure*Pc/MaxiM</f>
        <v>4.5968588318814541E-10</v>
      </c>
      <c r="AE145" s="305">
        <f t="shared" si="65"/>
        <v>0.7</v>
      </c>
      <c r="AF145" s="177">
        <f t="shared" si="66"/>
        <v>0.21233745637248475</v>
      </c>
      <c r="AG145" s="817">
        <f t="shared" si="74"/>
        <v>0</v>
      </c>
      <c r="AH145" s="176">
        <f t="shared" si="67"/>
        <v>6</v>
      </c>
      <c r="AI145" s="225">
        <f t="shared" si="68"/>
        <v>0.21233745637248475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45423</v>
      </c>
      <c r="B146" s="411">
        <f>'2023'!Wh/'2023'!Env_an*'2024'!Env_an</f>
        <v>27.623314058794072</v>
      </c>
      <c r="C146" s="846"/>
      <c r="D146" s="393">
        <f t="shared" si="50"/>
        <v>28.995856531993972</v>
      </c>
      <c r="E146" s="385">
        <f t="shared" si="72"/>
        <v>31.19706106282241</v>
      </c>
      <c r="F146" s="385">
        <f t="shared" si="51"/>
        <v>31.197061068093067</v>
      </c>
      <c r="G146" s="110">
        <f t="shared" si="73"/>
        <v>0.7210034936396843</v>
      </c>
      <c r="H146" s="414" t="b">
        <f>Wh_hp&gt;='2023'!Maxi_hp</f>
        <v>0</v>
      </c>
      <c r="I146" s="390">
        <f>IF(H146,Wh_hp,'2023'!Maxi_hp)</f>
        <v>40.951725833965142</v>
      </c>
      <c r="J146" s="85">
        <f>IF(H146,An,'2023'!An_max)</f>
        <v>2019</v>
      </c>
      <c r="K146" s="197">
        <f t="shared" si="52"/>
        <v>45423</v>
      </c>
      <c r="L146" s="147">
        <f>IF(t&lt;Tvie,1-EXP((T0-t)*PertePVj)+'2023'!Pspv,1-EXP((T0-t)*PertePVj)+Pspv)</f>
        <v>4.7335814056240766E-2</v>
      </c>
      <c r="M146" s="850"/>
      <c r="N146" s="850"/>
      <c r="O146" s="48">
        <f>IF(t&lt;Tnet,'2023'!Resal+('2023'!Salim-'2023'!Resal)*(1-EXP(('2023'!Tnet-t)/('2023'!Tau_j))),Resal+(Salim-Resal)*(1-EXP((Tnet-t)/(Tau_j))))*Salcycl</f>
        <v>7.0558073608145547E-2</v>
      </c>
      <c r="P146" s="169">
        <f>(INDEX(Models!$BJ146:$BT146,,T146)*(1-R146)+INDEX(Models!$BJ146:$BT146,,T146+1)*R146-ERP_i)*Q146*Ramure*Pc/MaxiM</f>
        <v>2.8090751522894142E-10</v>
      </c>
      <c r="Q146" s="305">
        <f t="shared" si="53"/>
        <v>0.7</v>
      </c>
      <c r="R146" s="177">
        <f t="shared" si="54"/>
        <v>0.21597484402031347</v>
      </c>
      <c r="S146" s="817">
        <f t="shared" si="55"/>
        <v>0</v>
      </c>
      <c r="T146" s="176">
        <f t="shared" si="56"/>
        <v>6</v>
      </c>
      <c r="U146" s="251">
        <f t="shared" si="57"/>
        <v>0.21597484402031347</v>
      </c>
      <c r="V146" s="383">
        <f t="shared" si="58"/>
        <v>38.312316513553377</v>
      </c>
      <c r="W146" s="402">
        <f t="shared" si="59"/>
        <v>27.623314058794072</v>
      </c>
      <c r="X146" s="157">
        <f t="shared" si="60"/>
        <v>45423</v>
      </c>
      <c r="Y146" s="385">
        <f t="shared" si="61"/>
        <v>26.093480611788866</v>
      </c>
      <c r="Z146" s="385">
        <f t="shared" si="62"/>
        <v>27.390008984056951</v>
      </c>
      <c r="AA146" s="386">
        <f t="shared" si="63"/>
        <v>31.19706106282241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0.12203239500987256</v>
      </c>
      <c r="AD146" s="231">
        <f>(INDEX(Models!$BJ146:$BT146,,AH146)*(1-AF146)+INDEX(Models!$BJ146:$BT146,,AH146+1)*AF146-ERP_i)*AE146*Ramure*Pc/MaxiM</f>
        <v>2.8090751522894142E-10</v>
      </c>
      <c r="AE146" s="305">
        <f t="shared" si="65"/>
        <v>0.7</v>
      </c>
      <c r="AF146" s="177">
        <f t="shared" si="66"/>
        <v>0.21597484402031347</v>
      </c>
      <c r="AG146" s="817">
        <f t="shared" si="74"/>
        <v>0</v>
      </c>
      <c r="AH146" s="176">
        <f t="shared" si="67"/>
        <v>6</v>
      </c>
      <c r="AI146" s="225">
        <f t="shared" si="68"/>
        <v>0.21597484402031347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45424</v>
      </c>
      <c r="B147" s="411">
        <f>'2023'!Wh/'2023'!Env_an*'2024'!Env_an</f>
        <v>30.155442638493383</v>
      </c>
      <c r="C147" s="846"/>
      <c r="D147" s="393">
        <f t="shared" si="50"/>
        <v>31.654494395285163</v>
      </c>
      <c r="E147" s="385">
        <f t="shared" si="72"/>
        <v>34.063158217689022</v>
      </c>
      <c r="F147" s="385">
        <f t="shared" si="51"/>
        <v>34.063158221074779</v>
      </c>
      <c r="G147" s="110">
        <f t="shared" si="73"/>
        <v>0.78628275629641364</v>
      </c>
      <c r="H147" s="414" t="b">
        <f>Wh_hp&gt;='2023'!Maxi_hp</f>
        <v>0</v>
      </c>
      <c r="I147" s="390">
        <f>IF(H147,Wh_hp,'2023'!Maxi_hp)</f>
        <v>45.292153927540518</v>
      </c>
      <c r="J147" s="85">
        <f>IF(H147,An,'2023'!An_max)</f>
        <v>2019</v>
      </c>
      <c r="K147" s="197">
        <f t="shared" si="52"/>
        <v>45424</v>
      </c>
      <c r="L147" s="147">
        <f>IF(t&lt;Tvie,1-EXP((T0-t)*PertePVj)+'2023'!Pspv,1-EXP((T0-t)*PertePVj)+Pspv)</f>
        <v>4.7356679846861094E-2</v>
      </c>
      <c r="M147" s="850"/>
      <c r="N147" s="850"/>
      <c r="O147" s="48">
        <f>IF(t&lt;Tnet,'2023'!Resal+('2023'!Salim-'2023'!Resal)*(1-EXP(('2023'!Tnet-t)/('2023'!Tau_j))),Resal+(Salim-Resal)*(1-EXP((Tnet-t)/(Tau_j))))*Salcycl</f>
        <v>7.071169992549417E-2</v>
      </c>
      <c r="P147" s="169">
        <f>(INDEX(Models!$BJ147:$BT147,,T147)*(1-R147)+INDEX(Models!$BJ147:$BT147,,T147+1)*R147-ERP_i)*Q147*Ramure*Pc/MaxiM</f>
        <v>1.4308039494974194E-10</v>
      </c>
      <c r="Q147" s="305">
        <f t="shared" si="53"/>
        <v>0.7</v>
      </c>
      <c r="R147" s="177">
        <f t="shared" si="54"/>
        <v>0.21969294714576559</v>
      </c>
      <c r="S147" s="817">
        <f t="shared" si="55"/>
        <v>0</v>
      </c>
      <c r="T147" s="176">
        <f t="shared" si="56"/>
        <v>6</v>
      </c>
      <c r="U147" s="251">
        <f t="shared" si="57"/>
        <v>0.21969294714576559</v>
      </c>
      <c r="V147" s="383">
        <f t="shared" si="58"/>
        <v>38.351906353912263</v>
      </c>
      <c r="W147" s="402">
        <f t="shared" si="59"/>
        <v>30.155442638493383</v>
      </c>
      <c r="X147" s="157">
        <f t="shared" si="60"/>
        <v>45424</v>
      </c>
      <c r="Y147" s="385">
        <f t="shared" si="61"/>
        <v>28.486304300411636</v>
      </c>
      <c r="Z147" s="385">
        <f t="shared" si="62"/>
        <v>29.902381823065131</v>
      </c>
      <c r="AA147" s="386">
        <f t="shared" si="63"/>
        <v>34.063158217689022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0.12214887322054588</v>
      </c>
      <c r="AD147" s="231">
        <f>(INDEX(Models!$BJ147:$BT147,,AH147)*(1-AF147)+INDEX(Models!$BJ147:$BT147,,AH147+1)*AF147-ERP_i)*AE147*Ramure*Pc/MaxiM</f>
        <v>1.4308039494974194E-10</v>
      </c>
      <c r="AE147" s="305">
        <f t="shared" si="65"/>
        <v>0.7</v>
      </c>
      <c r="AF147" s="177">
        <f t="shared" si="66"/>
        <v>0.21969294714576559</v>
      </c>
      <c r="AG147" s="817">
        <f t="shared" si="74"/>
        <v>0</v>
      </c>
      <c r="AH147" s="176">
        <f t="shared" si="67"/>
        <v>6</v>
      </c>
      <c r="AI147" s="225">
        <f t="shared" si="68"/>
        <v>0.21969294714576559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45425</v>
      </c>
      <c r="B148" s="411">
        <f>'2023'!Wh/'2023'!Env_an*'2024'!Env_an</f>
        <v>31.405781728369114</v>
      </c>
      <c r="C148" s="846"/>
      <c r="D148" s="393">
        <f t="shared" si="50"/>
        <v>32.96771094307104</v>
      </c>
      <c r="E148" s="385">
        <f t="shared" si="72"/>
        <v>35.48218915627087</v>
      </c>
      <c r="F148" s="385">
        <f t="shared" si="51"/>
        <v>35.482189157547161</v>
      </c>
      <c r="G148" s="110">
        <f t="shared" si="73"/>
        <v>0.81813314728487252</v>
      </c>
      <c r="H148" s="414" t="b">
        <f>Wh_hp&gt;='2023'!Maxi_hp</f>
        <v>0</v>
      </c>
      <c r="I148" s="390">
        <f>IF(H148,Wh_hp,'2023'!Maxi_hp)</f>
        <v>43.95743971785987</v>
      </c>
      <c r="J148" s="85">
        <f>IF(H148,An,'2023'!An_max)</f>
        <v>2019</v>
      </c>
      <c r="K148" s="197">
        <f t="shared" si="52"/>
        <v>45425</v>
      </c>
      <c r="L148" s="147">
        <f>IF(t&lt;Tvie,1-EXP((T0-t)*PertePVj)+'2023'!Pspv,1-EXP((T0-t)*PertePVj)+Pspv)</f>
        <v>4.7377545180467107E-2</v>
      </c>
      <c r="M148" s="850"/>
      <c r="N148" s="850"/>
      <c r="O148" s="48">
        <f>IF(t&lt;Tnet,'2023'!Resal+('2023'!Salim-'2023'!Resal)*(1-EXP(('2023'!Tnet-t)/('2023'!Tau_j))),Resal+(Salim-Resal)*(1-EXP((Tnet-t)/(Tau_j))))*Salcycl</f>
        <v>7.0865926623792805E-2</v>
      </c>
      <c r="P148" s="169">
        <f>(INDEX(Models!$BJ148:$BT148,,T148)*(1-R148)+INDEX(Models!$BJ148:$BT148,,T148+1)*R148-ERP_i)*Q148*Ramure*Pc/MaxiM</f>
        <v>4.859549785496056E-11</v>
      </c>
      <c r="Q148" s="305">
        <f t="shared" si="53"/>
        <v>0.7</v>
      </c>
      <c r="R148" s="177">
        <f t="shared" si="54"/>
        <v>0.22349123871136795</v>
      </c>
      <c r="S148" s="817">
        <f t="shared" si="55"/>
        <v>0</v>
      </c>
      <c r="T148" s="176">
        <f t="shared" si="56"/>
        <v>6</v>
      </c>
      <c r="U148" s="251">
        <f t="shared" si="57"/>
        <v>0.22349123871136795</v>
      </c>
      <c r="V148" s="383">
        <f t="shared" si="58"/>
        <v>38.387127855897965</v>
      </c>
      <c r="W148" s="402">
        <f t="shared" si="59"/>
        <v>31.405781728369114</v>
      </c>
      <c r="X148" s="157">
        <f t="shared" si="60"/>
        <v>45425</v>
      </c>
      <c r="Y148" s="385">
        <f t="shared" si="61"/>
        <v>29.668387694560749</v>
      </c>
      <c r="Z148" s="385">
        <f t="shared" si="62"/>
        <v>31.143909682646733</v>
      </c>
      <c r="AA148" s="386">
        <f t="shared" si="63"/>
        <v>35.48218915627087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0.12226639834756142</v>
      </c>
      <c r="AD148" s="231">
        <f>(INDEX(Models!$BJ148:$BT148,,AH148)*(1-AF148)+INDEX(Models!$BJ148:$BT148,,AH148+1)*AF148-ERP_i)*AE148*Ramure*Pc/MaxiM</f>
        <v>4.859549785496056E-11</v>
      </c>
      <c r="AE148" s="305">
        <f t="shared" si="65"/>
        <v>0.7</v>
      </c>
      <c r="AF148" s="177">
        <f t="shared" si="66"/>
        <v>0.22349123871136795</v>
      </c>
      <c r="AG148" s="817">
        <f t="shared" si="74"/>
        <v>0</v>
      </c>
      <c r="AH148" s="176">
        <f t="shared" si="67"/>
        <v>6</v>
      </c>
      <c r="AI148" s="225">
        <f t="shared" si="68"/>
        <v>0.22349123871136795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45426</v>
      </c>
      <c r="B149" s="411">
        <f>'2023'!Wh/'2023'!Env_an*'2024'!Env_an</f>
        <v>33.448505944452243</v>
      </c>
      <c r="C149" s="846"/>
      <c r="D149" s="393">
        <f t="shared" si="50"/>
        <v>35.112796679728497</v>
      </c>
      <c r="E149" s="385">
        <f t="shared" si="72"/>
        <v>37.797179347143995</v>
      </c>
      <c r="F149" s="385">
        <f t="shared" si="51"/>
        <v>37.797179347143995</v>
      </c>
      <c r="G149" s="110">
        <f t="shared" si="73"/>
        <v>0.87066710132476532</v>
      </c>
      <c r="H149" s="414" t="b">
        <f>Wh_hp&gt;='2023'!Maxi_hp</f>
        <v>0</v>
      </c>
      <c r="I149" s="390">
        <f>IF(H149,Wh_hp,'2023'!Maxi_hp)</f>
        <v>44.25827136765831</v>
      </c>
      <c r="J149" s="85">
        <f>IF(H149,An,'2023'!An_max)</f>
        <v>2019</v>
      </c>
      <c r="K149" s="197">
        <f t="shared" si="52"/>
        <v>45426</v>
      </c>
      <c r="L149" s="147">
        <f>IF(t&lt;Tvie,1-EXP((T0-t)*PertePVj)+'2023'!Pspv,1-EXP((T0-t)*PertePVj)+Pspv)</f>
        <v>4.7398410057068685E-2</v>
      </c>
      <c r="M149" s="850"/>
      <c r="N149" s="850"/>
      <c r="O149" s="48">
        <f>IF(t&lt;Tnet,'2023'!Resal+('2023'!Salim-'2023'!Resal)*(1-EXP(('2023'!Tnet-t)/('2023'!Tau_j))),Resal+(Salim-Resal)*(1-EXP((Tnet-t)/(Tau_j))))*Salcycl</f>
        <v>7.1020714079246094E-2</v>
      </c>
      <c r="P149" s="169">
        <f>(INDEX(Models!$BJ149:$BT149,,T149)*(1-R149)+INDEX(Models!$BJ149:$BT149,,T149+1)*R149-ERP_i)*Q149*Ramure*Pc/MaxiM</f>
        <v>0</v>
      </c>
      <c r="Q149" s="305">
        <f t="shared" si="53"/>
        <v>0.7</v>
      </c>
      <c r="R149" s="177">
        <f t="shared" si="54"/>
        <v>0.22736903042640758</v>
      </c>
      <c r="S149" s="817">
        <f t="shared" si="55"/>
        <v>0</v>
      </c>
      <c r="T149" s="176">
        <f t="shared" si="56"/>
        <v>6</v>
      </c>
      <c r="U149" s="251">
        <f t="shared" si="57"/>
        <v>0.22736903042640758</v>
      </c>
      <c r="V149" s="383">
        <f t="shared" si="58"/>
        <v>38.417100971839417</v>
      </c>
      <c r="W149" s="402">
        <f t="shared" si="59"/>
        <v>33.448505944452243</v>
      </c>
      <c r="X149" s="157">
        <f t="shared" si="60"/>
        <v>45426</v>
      </c>
      <c r="Y149" s="385">
        <f t="shared" si="61"/>
        <v>31.599104939597488</v>
      </c>
      <c r="Z149" s="385">
        <f t="shared" si="62"/>
        <v>33.171375392613541</v>
      </c>
      <c r="AA149" s="386">
        <f t="shared" si="63"/>
        <v>37.797179347143995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0.12238489840856299</v>
      </c>
      <c r="AD149" s="231">
        <f>(INDEX(Models!$BJ149:$BT149,,AH149)*(1-AF149)+INDEX(Models!$BJ149:$BT149,,AH149+1)*AF149-ERP_i)*AE149*Ramure*Pc/MaxiM</f>
        <v>0</v>
      </c>
      <c r="AE149" s="305">
        <f t="shared" si="65"/>
        <v>0.7</v>
      </c>
      <c r="AF149" s="177">
        <f t="shared" si="66"/>
        <v>0.22736903042640758</v>
      </c>
      <c r="AG149" s="817">
        <f t="shared" si="74"/>
        <v>0</v>
      </c>
      <c r="AH149" s="176">
        <f t="shared" si="67"/>
        <v>6</v>
      </c>
      <c r="AI149" s="225">
        <f t="shared" si="68"/>
        <v>0.22736903042640758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45427</v>
      </c>
      <c r="B150" s="411">
        <f>'2023'!Wh/'2023'!Env_an*'2024'!Env_an</f>
        <v>32.39376679554033</v>
      </c>
      <c r="C150" s="846"/>
      <c r="D150" s="393">
        <f t="shared" si="50"/>
        <v>34.006321908039872</v>
      </c>
      <c r="E150" s="385">
        <f t="shared" si="72"/>
        <v>36.612235094431377</v>
      </c>
      <c r="F150" s="385">
        <f t="shared" si="51"/>
        <v>36.612235094431377</v>
      </c>
      <c r="G150" s="110">
        <f t="shared" si="73"/>
        <v>0.84268080210566376</v>
      </c>
      <c r="H150" s="414" t="b">
        <f>Wh_hp&gt;='2023'!Maxi_hp</f>
        <v>1</v>
      </c>
      <c r="I150" s="390">
        <f>IF(H150,Wh_hp,'2023'!Maxi_hp)</f>
        <v>36.612235094431377</v>
      </c>
      <c r="J150" s="85">
        <f>IF(H150,An,'2023'!An_max)</f>
        <v>2024</v>
      </c>
      <c r="K150" s="197">
        <f t="shared" si="52"/>
        <v>45427</v>
      </c>
      <c r="L150" s="147">
        <f>IF(t&lt;Tvie,1-EXP((T0-t)*PertePVj)+'2023'!Pspv,1-EXP((T0-t)*PertePVj)+Pspv)</f>
        <v>4.7419274476675932E-2</v>
      </c>
      <c r="M150" s="850"/>
      <c r="N150" s="850"/>
      <c r="O150" s="48">
        <f>IF(t&lt;Tnet,'2023'!Resal+('2023'!Salim-'2023'!Resal)*(1-EXP(('2023'!Tnet-t)/('2023'!Tau_j))),Resal+(Salim-Resal)*(1-EXP((Tnet-t)/(Tau_j))))*Salcycl</f>
        <v>7.1176020247609925E-2</v>
      </c>
      <c r="P150" s="169">
        <f>(INDEX(Models!$BJ150:$BT150,,T150)*(1-R150)+INDEX(Models!$BJ150:$BT150,,T150+1)*R150-ERP_i)*Q150*Ramure*Pc/MaxiM</f>
        <v>0</v>
      </c>
      <c r="Q150" s="305">
        <f t="shared" si="53"/>
        <v>0.7</v>
      </c>
      <c r="R150" s="177">
        <f t="shared" si="54"/>
        <v>0.23132546788753369</v>
      </c>
      <c r="S150" s="817">
        <f t="shared" si="55"/>
        <v>0</v>
      </c>
      <c r="T150" s="176">
        <f t="shared" si="56"/>
        <v>6</v>
      </c>
      <c r="U150" s="251">
        <f t="shared" si="57"/>
        <v>0.23132546788753369</v>
      </c>
      <c r="V150" s="383">
        <f t="shared" si="58"/>
        <v>38.441325249840546</v>
      </c>
      <c r="W150" s="402">
        <f t="shared" si="59"/>
        <v>32.39376679554033</v>
      </c>
      <c r="X150" s="157">
        <f t="shared" si="60"/>
        <v>45427</v>
      </c>
      <c r="Y150" s="385">
        <f t="shared" si="61"/>
        <v>30.603636175107074</v>
      </c>
      <c r="Z150" s="385">
        <f t="shared" si="62"/>
        <v>32.127078949969516</v>
      </c>
      <c r="AA150" s="386">
        <f t="shared" si="63"/>
        <v>36.612235094431377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0.12250429761782131</v>
      </c>
      <c r="AD150" s="231">
        <f>(INDEX(Models!$BJ150:$BT150,,AH150)*(1-AF150)+INDEX(Models!$BJ150:$BT150,,AH150+1)*AF150-ERP_i)*AE150*Ramure*Pc/MaxiM</f>
        <v>0</v>
      </c>
      <c r="AE150" s="305">
        <f t="shared" si="65"/>
        <v>0.7</v>
      </c>
      <c r="AF150" s="177">
        <f t="shared" si="66"/>
        <v>0.23132546788753369</v>
      </c>
      <c r="AG150" s="817">
        <f t="shared" si="74"/>
        <v>0</v>
      </c>
      <c r="AH150" s="176">
        <f t="shared" si="67"/>
        <v>6</v>
      </c>
      <c r="AI150" s="225">
        <f t="shared" si="68"/>
        <v>0.23132546788753369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45428</v>
      </c>
      <c r="B151" s="411">
        <f>'2023'!Wh/'2023'!Env_an*'2024'!Env_an</f>
        <v>34.816419493122233</v>
      </c>
      <c r="C151" s="846"/>
      <c r="D151" s="393">
        <f t="shared" si="50"/>
        <v>36.550374310416593</v>
      </c>
      <c r="E151" s="385">
        <f t="shared" si="72"/>
        <v>39.357839903187006</v>
      </c>
      <c r="F151" s="385">
        <f t="shared" si="51"/>
        <v>39.357839903187006</v>
      </c>
      <c r="G151" s="110">
        <f t="shared" si="73"/>
        <v>0.90525654706792136</v>
      </c>
      <c r="H151" s="414" t="b">
        <f>Wh_hp&gt;='2023'!Maxi_hp</f>
        <v>0</v>
      </c>
      <c r="I151" s="390">
        <f>IF(H151,Wh_hp,'2023'!Maxi_hp)</f>
        <v>40.085945831650221</v>
      </c>
      <c r="J151" s="85">
        <f>IF(H151,An,'2023'!An_max)</f>
        <v>2021</v>
      </c>
      <c r="K151" s="197">
        <f t="shared" si="52"/>
        <v>45428</v>
      </c>
      <c r="L151" s="147">
        <f>IF(t&lt;Tvie,1-EXP((T0-t)*PertePVj)+'2023'!Pspv,1-EXP((T0-t)*PertePVj)+Pspv)</f>
        <v>4.7440138439298951E-2</v>
      </c>
      <c r="M151" s="850"/>
      <c r="N151" s="850"/>
      <c r="O151" s="48">
        <f>IF(t&lt;Tnet,'2023'!Resal+('2023'!Salim-'2023'!Resal)*(1-EXP(('2023'!Tnet-t)/('2023'!Tau_j))),Resal+(Salim-Resal)*(1-EXP((Tnet-t)/(Tau_j))))*Salcycl</f>
        <v>7.1331800720676103E-2</v>
      </c>
      <c r="P151" s="169">
        <f>(INDEX(Models!$BJ151:$BT151,,T151)*(1-R151)+INDEX(Models!$BJ151:$BT151,,T151+1)*R151-ERP_i)*Q151*Ramure*Pc/MaxiM</f>
        <v>0</v>
      </c>
      <c r="Q151" s="305">
        <f t="shared" si="53"/>
        <v>0.7</v>
      </c>
      <c r="R151" s="177">
        <f t="shared" si="54"/>
        <v>0.2353595262475075</v>
      </c>
      <c r="S151" s="817">
        <f t="shared" si="55"/>
        <v>0</v>
      </c>
      <c r="T151" s="176">
        <f t="shared" si="56"/>
        <v>6</v>
      </c>
      <c r="U151" s="251">
        <f t="shared" si="57"/>
        <v>0.2353595262475075</v>
      </c>
      <c r="V151" s="383">
        <f t="shared" si="58"/>
        <v>38.460279139533206</v>
      </c>
      <c r="W151" s="402">
        <f t="shared" si="59"/>
        <v>34.816419493122233</v>
      </c>
      <c r="X151" s="157">
        <f t="shared" si="60"/>
        <v>45428</v>
      </c>
      <c r="Y151" s="385">
        <f t="shared" si="61"/>
        <v>32.893419748912407</v>
      </c>
      <c r="Z151" s="385">
        <f t="shared" si="62"/>
        <v>34.531603814398494</v>
      </c>
      <c r="AA151" s="386">
        <f t="shared" si="63"/>
        <v>39.357839903187006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0.12262451650446661</v>
      </c>
      <c r="AD151" s="231">
        <f>(INDEX(Models!$BJ151:$BT151,,AH151)*(1-AF151)+INDEX(Models!$BJ151:$BT151,,AH151+1)*AF151-ERP_i)*AE151*Ramure*Pc/MaxiM</f>
        <v>0</v>
      </c>
      <c r="AE151" s="305">
        <f t="shared" si="65"/>
        <v>0.7</v>
      </c>
      <c r="AF151" s="177">
        <f t="shared" si="66"/>
        <v>0.2353595262475075</v>
      </c>
      <c r="AG151" s="817">
        <f t="shared" si="74"/>
        <v>0</v>
      </c>
      <c r="AH151" s="176">
        <f t="shared" si="67"/>
        <v>6</v>
      </c>
      <c r="AI151" s="225">
        <f t="shared" si="68"/>
        <v>0.2353595262475075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45429</v>
      </c>
      <c r="B152" s="411">
        <f>'2023'!Wh/'2023'!Env_an*'2024'!Env_an</f>
        <v>33.482420324843581</v>
      </c>
      <c r="C152" s="846"/>
      <c r="D152" s="393">
        <f t="shared" si="50"/>
        <v>35.150708152852388</v>
      </c>
      <c r="E152" s="385">
        <f t="shared" si="72"/>
        <v>37.857031988664168</v>
      </c>
      <c r="F152" s="385">
        <f t="shared" si="51"/>
        <v>37.857031988664168</v>
      </c>
      <c r="G152" s="110">
        <f t="shared" si="73"/>
        <v>0.87025099238758552</v>
      </c>
      <c r="H152" s="414" t="b">
        <f>Wh_hp&gt;='2023'!Maxi_hp</f>
        <v>0</v>
      </c>
      <c r="I152" s="390">
        <f>IF(H152,Wh_hp,'2023'!Maxi_hp)</f>
        <v>44.898392288883365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4.7461001944947512E-2</v>
      </c>
      <c r="M152" s="850"/>
      <c r="N152" s="850"/>
      <c r="O152" s="48">
        <f>IF(t&lt;Tnet,'2023'!Resal+('2023'!Salim-'2023'!Resal)*(1-EXP(('2023'!Tnet-t)/('2023'!Tau_j))),Resal+(Salim-Resal)*(1-EXP((Tnet-t)/(Tau_j))))*Salcycl</f>
        <v>7.1488008796414843E-2</v>
      </c>
      <c r="P152" s="169">
        <f>(INDEX(Models!$BJ152:$BT152,,T152)*(1-R152)+INDEX(Models!$BJ152:$BT152,,T152+1)*R152-ERP_i)*Q152*Ramure*Pc/MaxiM</f>
        <v>0</v>
      </c>
      <c r="Q152" s="305">
        <f t="shared" si="53"/>
        <v>0.7</v>
      </c>
      <c r="R152" s="177">
        <f t="shared" si="54"/>
        <v>0.2394700064714646</v>
      </c>
      <c r="S152" s="817">
        <f t="shared" si="55"/>
        <v>0</v>
      </c>
      <c r="T152" s="176">
        <f t="shared" si="56"/>
        <v>6</v>
      </c>
      <c r="U152" s="251">
        <f t="shared" si="57"/>
        <v>0.2394700064714646</v>
      </c>
      <c r="V152" s="383">
        <f t="shared" si="58"/>
        <v>38.474440842615486</v>
      </c>
      <c r="W152" s="402">
        <f t="shared" si="59"/>
        <v>33.482420324843581</v>
      </c>
      <c r="X152" s="157">
        <f t="shared" si="60"/>
        <v>45429</v>
      </c>
      <c r="Y152" s="385">
        <f t="shared" si="61"/>
        <v>31.634060857429464</v>
      </c>
      <c r="Z152" s="385">
        <f t="shared" si="62"/>
        <v>33.210252726682754</v>
      </c>
      <c r="AA152" s="386">
        <f t="shared" si="63"/>
        <v>37.857031988664168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0.12274547205319308</v>
      </c>
      <c r="AD152" s="231">
        <f>(INDEX(Models!$BJ152:$BT152,,AH152)*(1-AF152)+INDEX(Models!$BJ152:$BT152,,AH152+1)*AF152-ERP_i)*AE152*Ramure*Pc/MaxiM</f>
        <v>0</v>
      </c>
      <c r="AE152" s="305">
        <f t="shared" si="65"/>
        <v>0.7</v>
      </c>
      <c r="AF152" s="177">
        <f t="shared" si="66"/>
        <v>0.2394700064714646</v>
      </c>
      <c r="AG152" s="817">
        <f t="shared" si="74"/>
        <v>0</v>
      </c>
      <c r="AH152" s="176">
        <f t="shared" si="67"/>
        <v>6</v>
      </c>
      <c r="AI152" s="225">
        <f t="shared" si="68"/>
        <v>0.2394700064714646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45430</v>
      </c>
      <c r="B153" s="411">
        <f>'2023'!Wh/'2023'!Env_an*'2024'!Env_an</f>
        <v>34.551229210728891</v>
      </c>
      <c r="C153" s="846"/>
      <c r="D153" s="393">
        <f t="shared" si="50"/>
        <v>36.273565763131529</v>
      </c>
      <c r="E153" s="385">
        <f t="shared" si="72"/>
        <v>39.072930032792669</v>
      </c>
      <c r="F153" s="385">
        <f t="shared" si="51"/>
        <v>39.072930032792669</v>
      </c>
      <c r="G153" s="110">
        <f t="shared" si="73"/>
        <v>0.89780091371923676</v>
      </c>
      <c r="H153" s="414" t="b">
        <f>Wh_hp&gt;='2023'!Maxi_hp</f>
        <v>0</v>
      </c>
      <c r="I153" s="390">
        <f>IF(H153,Wh_hp,'2023'!Maxi_hp)</f>
        <v>44.234710656745264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4.7481864993631828E-2</v>
      </c>
      <c r="M153" s="850"/>
      <c r="N153" s="850"/>
      <c r="O153" s="48">
        <f>IF(t&lt;Tnet,'2023'!Resal+('2023'!Salim-'2023'!Resal)*(1-EXP(('2023'!Tnet-t)/('2023'!Tau_j))),Resal+(Salim-Resal)*(1-EXP((Tnet-t)/(Tau_j))))*Salcycl</f>
        <v>7.1644595563007993E-2</v>
      </c>
      <c r="P153" s="169">
        <f>(INDEX(Models!$BJ153:$BT153,,T153)*(1-R153)+INDEX(Models!$BJ153:$BT153,,T153+1)*R153-ERP_i)*Q153*Ramure*Pc/MaxiM</f>
        <v>0</v>
      </c>
      <c r="Q153" s="305">
        <f t="shared" si="53"/>
        <v>0.7</v>
      </c>
      <c r="R153" s="177">
        <f t="shared" si="54"/>
        <v>0.24365553223876107</v>
      </c>
      <c r="S153" s="817">
        <f t="shared" si="55"/>
        <v>0</v>
      </c>
      <c r="T153" s="176">
        <f t="shared" si="56"/>
        <v>6</v>
      </c>
      <c r="U153" s="251">
        <f t="shared" si="57"/>
        <v>0.24365553223876107</v>
      </c>
      <c r="V153" s="383">
        <f t="shared" si="58"/>
        <v>38.484288312424091</v>
      </c>
      <c r="W153" s="402">
        <f t="shared" si="59"/>
        <v>34.551229210728891</v>
      </c>
      <c r="X153" s="157">
        <f t="shared" si="60"/>
        <v>45430</v>
      </c>
      <c r="Y153" s="385">
        <f t="shared" si="61"/>
        <v>32.644847540097473</v>
      </c>
      <c r="Z153" s="385">
        <f t="shared" si="62"/>
        <v>34.272153295936171</v>
      </c>
      <c r="AA153" s="386">
        <f t="shared" si="63"/>
        <v>39.072930032792669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0.12286707786765305</v>
      </c>
      <c r="AD153" s="231">
        <f>(INDEX(Models!$BJ153:$BT153,,AH153)*(1-AF153)+INDEX(Models!$BJ153:$BT153,,AH153+1)*AF153-ERP_i)*AE153*Ramure*Pc/MaxiM</f>
        <v>0</v>
      </c>
      <c r="AE153" s="305">
        <f t="shared" si="65"/>
        <v>0.7</v>
      </c>
      <c r="AF153" s="177">
        <f t="shared" si="66"/>
        <v>0.24365553223876107</v>
      </c>
      <c r="AG153" s="817">
        <f t="shared" si="74"/>
        <v>0</v>
      </c>
      <c r="AH153" s="176">
        <f t="shared" si="67"/>
        <v>6</v>
      </c>
      <c r="AI153" s="225">
        <f t="shared" si="68"/>
        <v>0.24365553223876107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45431</v>
      </c>
      <c r="B154" s="411">
        <f>'2023'!Wh/'2023'!Env_an*'2024'!Env_an</f>
        <v>30.818341423135923</v>
      </c>
      <c r="C154" s="846"/>
      <c r="D154" s="393">
        <f t="shared" si="50"/>
        <v>32.355306745403652</v>
      </c>
      <c r="E154" s="385">
        <f t="shared" si="72"/>
        <v>34.858176450271415</v>
      </c>
      <c r="F154" s="385">
        <f t="shared" si="51"/>
        <v>34.858176450271415</v>
      </c>
      <c r="G154" s="110">
        <f t="shared" si="73"/>
        <v>0.80067814561120898</v>
      </c>
      <c r="H154" s="414" t="b">
        <f>Wh_hp&gt;='2023'!Maxi_hp</f>
        <v>0</v>
      </c>
      <c r="I154" s="390">
        <f>IF(H154,Wh_hp,'2023'!Maxi_hp)</f>
        <v>43.678078338959317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4.7502727585361781E-2</v>
      </c>
      <c r="M154" s="850"/>
      <c r="N154" s="850"/>
      <c r="O154" s="48">
        <f>IF(t&lt;Tnet,'2023'!Resal+('2023'!Salim-'2023'!Resal)*(1-EXP(('2023'!Tnet-t)/('2023'!Tau_j))),Resal+(Salim-Resal)*(1-EXP((Tnet-t)/(Tau_j))))*Salcycl</f>
        <v>7.1801509996897037E-2</v>
      </c>
      <c r="P154" s="169">
        <f>(INDEX(Models!$BJ154:$BT154,,T154)*(1-R154)+INDEX(Models!$BJ154:$BT154,,T154+1)*R154-ERP_i)*Q154*Ramure*Pc/MaxiM</f>
        <v>0</v>
      </c>
      <c r="Q154" s="305">
        <f t="shared" si="53"/>
        <v>0.7</v>
      </c>
      <c r="R154" s="177">
        <f t="shared" si="54"/>
        <v>0.24791454754642175</v>
      </c>
      <c r="S154" s="817">
        <f t="shared" si="55"/>
        <v>0</v>
      </c>
      <c r="T154" s="176">
        <f t="shared" si="56"/>
        <v>6</v>
      </c>
      <c r="U154" s="251">
        <f t="shared" si="57"/>
        <v>0.24791454754642175</v>
      </c>
      <c r="V154" s="383">
        <f t="shared" si="58"/>
        <v>38.490299244536395</v>
      </c>
      <c r="W154" s="402">
        <f t="shared" si="59"/>
        <v>30.818341423135923</v>
      </c>
      <c r="X154" s="157">
        <f t="shared" si="60"/>
        <v>45431</v>
      </c>
      <c r="Y154" s="385">
        <f t="shared" si="61"/>
        <v>29.118789989726508</v>
      </c>
      <c r="Z154" s="385">
        <f t="shared" si="62"/>
        <v>30.570995669004503</v>
      </c>
      <c r="AA154" s="386">
        <f t="shared" si="63"/>
        <v>34.858176450271415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0.12298924435657137</v>
      </c>
      <c r="AD154" s="231">
        <f>(INDEX(Models!$BJ154:$BT154,,AH154)*(1-AF154)+INDEX(Models!$BJ154:$BT154,,AH154+1)*AF154-ERP_i)*AE154*Ramure*Pc/MaxiM</f>
        <v>0</v>
      </c>
      <c r="AE154" s="305">
        <f t="shared" si="65"/>
        <v>0.7</v>
      </c>
      <c r="AF154" s="177">
        <f t="shared" si="66"/>
        <v>0.24791454754642175</v>
      </c>
      <c r="AG154" s="817">
        <f t="shared" si="74"/>
        <v>0</v>
      </c>
      <c r="AH154" s="176">
        <f t="shared" si="67"/>
        <v>6</v>
      </c>
      <c r="AI154" s="225">
        <f t="shared" si="68"/>
        <v>0.24791454754642175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45432</v>
      </c>
      <c r="B155" s="411">
        <f>'2023'!Wh/'2023'!Env_an*'2024'!Env_an</f>
        <v>30.719776050354344</v>
      </c>
      <c r="C155" s="846"/>
      <c r="D155" s="393">
        <f t="shared" si="50"/>
        <v>32.252532155970549</v>
      </c>
      <c r="E155" s="385">
        <f t="shared" si="72"/>
        <v>34.753337080815953</v>
      </c>
      <c r="F155" s="385">
        <f t="shared" si="51"/>
        <v>34.753337080815953</v>
      </c>
      <c r="G155" s="110">
        <f t="shared" si="73"/>
        <v>0.79806237764452526</v>
      </c>
      <c r="H155" s="414" t="b">
        <f>Wh_hp&gt;='2023'!Maxi_hp</f>
        <v>0</v>
      </c>
      <c r="I155" s="390">
        <f>IF(H155,Wh_hp,'2023'!Maxi_hp)</f>
        <v>42.630970800856602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4.7523589720147474E-2</v>
      </c>
      <c r="M155" s="850"/>
      <c r="N155" s="850"/>
      <c r="O155" s="48">
        <f>IF(t&lt;Tnet,'2023'!Resal+('2023'!Salim-'2023'!Resal)*(1-EXP(('2023'!Tnet-t)/('2023'!Tau_j))),Resal+(Salim-Resal)*(1-EXP((Tnet-t)/(Tau_j))))*Salcycl</f>
        <v>7.195869907485411E-2</v>
      </c>
      <c r="P155" s="169">
        <f>(INDEX(Models!$BJ155:$BT155,,T155)*(1-R155)+INDEX(Models!$BJ155:$BT155,,T155+1)*R155-ERP_i)*Q155*Ramure*Pc/MaxiM</f>
        <v>0</v>
      </c>
      <c r="Q155" s="305">
        <f t="shared" si="53"/>
        <v>0.7</v>
      </c>
      <c r="R155" s="177">
        <f t="shared" si="54"/>
        <v>0.25224531506736458</v>
      </c>
      <c r="S155" s="817">
        <f t="shared" si="55"/>
        <v>0</v>
      </c>
      <c r="T155" s="176">
        <f t="shared" si="56"/>
        <v>6</v>
      </c>
      <c r="U155" s="251">
        <f t="shared" si="57"/>
        <v>0.25224531506736458</v>
      </c>
      <c r="V155" s="383">
        <f t="shared" si="58"/>
        <v>38.492951066085233</v>
      </c>
      <c r="W155" s="402">
        <f t="shared" si="59"/>
        <v>30.719776050354344</v>
      </c>
      <c r="X155" s="157">
        <f t="shared" si="60"/>
        <v>45432</v>
      </c>
      <c r="Y155" s="385">
        <f t="shared" si="61"/>
        <v>29.026517110015789</v>
      </c>
      <c r="Z155" s="385">
        <f t="shared" si="62"/>
        <v>30.474788453277643</v>
      </c>
      <c r="AA155" s="386">
        <f t="shared" si="63"/>
        <v>34.753337080815953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0.12311187894241366</v>
      </c>
      <c r="AD155" s="231">
        <f>(INDEX(Models!$BJ155:$BT155,,AH155)*(1-AF155)+INDEX(Models!$BJ155:$BT155,,AH155+1)*AF155-ERP_i)*AE155*Ramure*Pc/MaxiM</f>
        <v>0</v>
      </c>
      <c r="AE155" s="305">
        <f t="shared" si="65"/>
        <v>0.7</v>
      </c>
      <c r="AF155" s="177">
        <f t="shared" si="66"/>
        <v>0.25224531506736458</v>
      </c>
      <c r="AG155" s="817">
        <f t="shared" si="74"/>
        <v>0</v>
      </c>
      <c r="AH155" s="176">
        <f t="shared" si="67"/>
        <v>6</v>
      </c>
      <c r="AI155" s="225">
        <f t="shared" si="68"/>
        <v>0.25224531506736458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45433</v>
      </c>
      <c r="B156" s="411">
        <f>'2023'!Wh/'2023'!Env_an*'2024'!Env_an</f>
        <v>22.959740230274473</v>
      </c>
      <c r="C156" s="846"/>
      <c r="D156" s="393">
        <f t="shared" si="50"/>
        <v>24.105839127058907</v>
      </c>
      <c r="E156" s="385">
        <f t="shared" si="72"/>
        <v>25.979370190920456</v>
      </c>
      <c r="F156" s="385">
        <f t="shared" si="51"/>
        <v>25.979370190920456</v>
      </c>
      <c r="G156" s="110">
        <f t="shared" si="73"/>
        <v>0.59646966170846194</v>
      </c>
      <c r="H156" s="414" t="b">
        <f>Wh_hp&gt;='2023'!Maxi_hp</f>
        <v>0</v>
      </c>
      <c r="I156" s="390">
        <f>IF(H156,Wh_hp,'2023'!Maxi_hp)</f>
        <v>42.922836576302252</v>
      </c>
      <c r="J156" s="85">
        <f>IF(H156,An,'2023'!An_max)</f>
        <v>2019</v>
      </c>
      <c r="K156" s="197">
        <f t="shared" si="52"/>
        <v>45433</v>
      </c>
      <c r="L156" s="147">
        <f>IF(t&lt;Tvie,1-EXP((T0-t)*PertePVj)+'2023'!Pspv,1-EXP((T0-t)*PertePVj)+Pspv)</f>
        <v>4.7544451397998899E-2</v>
      </c>
      <c r="M156" s="850"/>
      <c r="N156" s="850"/>
      <c r="O156" s="48">
        <f>IF(t&lt;Tnet,'2023'!Resal+('2023'!Salim-'2023'!Resal)*(1-EXP(('2023'!Tnet-t)/('2023'!Tau_j))),Resal+(Salim-Resal)*(1-EXP((Tnet-t)/(Tau_j))))*Salcycl</f>
        <v>7.2116107899964768E-2</v>
      </c>
      <c r="P156" s="169">
        <f>(INDEX(Models!$BJ156:$BT156,,T156)*(1-R156)+INDEX(Models!$BJ156:$BT156,,T156+1)*R156-ERP_i)*Q156*Ramure*Pc/MaxiM</f>
        <v>0</v>
      </c>
      <c r="Q156" s="305">
        <f t="shared" si="53"/>
        <v>0.7</v>
      </c>
      <c r="R156" s="177">
        <f t="shared" si="54"/>
        <v>0.25664591531292019</v>
      </c>
      <c r="S156" s="817">
        <f t="shared" si="55"/>
        <v>0</v>
      </c>
      <c r="T156" s="176">
        <f t="shared" si="56"/>
        <v>6</v>
      </c>
      <c r="U156" s="251">
        <f t="shared" si="57"/>
        <v>0.25664591531292019</v>
      </c>
      <c r="V156" s="383">
        <f t="shared" si="58"/>
        <v>38.492720928187907</v>
      </c>
      <c r="W156" s="402">
        <f t="shared" si="59"/>
        <v>22.959740230274473</v>
      </c>
      <c r="X156" s="157">
        <f t="shared" si="60"/>
        <v>45433</v>
      </c>
      <c r="Y156" s="385">
        <f t="shared" si="61"/>
        <v>21.694847194876136</v>
      </c>
      <c r="Z156" s="385">
        <f t="shared" si="62"/>
        <v>22.777805459498328</v>
      </c>
      <c r="AA156" s="386">
        <f t="shared" si="63"/>
        <v>25.979370190920456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0.12323488629224147</v>
      </c>
      <c r="AD156" s="231">
        <f>(INDEX(Models!$BJ156:$BT156,,AH156)*(1-AF156)+INDEX(Models!$BJ156:$BT156,,AH156+1)*AF156-ERP_i)*AE156*Ramure*Pc/MaxiM</f>
        <v>0</v>
      </c>
      <c r="AE156" s="305">
        <f t="shared" si="65"/>
        <v>0.7</v>
      </c>
      <c r="AF156" s="177">
        <f t="shared" si="66"/>
        <v>0.25664591531292019</v>
      </c>
      <c r="AG156" s="817">
        <f t="shared" si="74"/>
        <v>0</v>
      </c>
      <c r="AH156" s="176">
        <f t="shared" si="67"/>
        <v>6</v>
      </c>
      <c r="AI156" s="225">
        <f t="shared" si="68"/>
        <v>0.25664591531292019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45434</v>
      </c>
      <c r="B157" s="411">
        <f>'2023'!Wh/'2023'!Env_an*'2024'!Env_an</f>
        <v>11.952095432445278</v>
      </c>
      <c r="C157" s="846"/>
      <c r="D157" s="393">
        <f t="shared" si="50"/>
        <v>12.548992167967087</v>
      </c>
      <c r="E157" s="385">
        <f t="shared" si="72"/>
        <v>13.526610052219134</v>
      </c>
      <c r="F157" s="385">
        <f t="shared" si="51"/>
        <v>13.526610052219134</v>
      </c>
      <c r="G157" s="110">
        <f t="shared" si="73"/>
        <v>0.31052400158052901</v>
      </c>
      <c r="H157" s="414" t="b">
        <f>Wh_hp&gt;='2023'!Maxi_hp</f>
        <v>0</v>
      </c>
      <c r="I157" s="390">
        <f>IF(H157,Wh_hp,'2023'!Maxi_hp)</f>
        <v>39.13669865982753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4.7565312618926048E-2</v>
      </c>
      <c r="M157" s="850"/>
      <c r="N157" s="850"/>
      <c r="O157" s="48">
        <f>IF(t&lt;Tnet,'2023'!Resal+('2023'!Salim-'2023'!Resal)*(1-EXP(('2023'!Tnet-t)/('2023'!Tau_j))),Resal+(Salim-Resal)*(1-EXP((Tnet-t)/(Tau_j))))*Salcycl</f>
        <v>7.2273679841288962E-2</v>
      </c>
      <c r="P157" s="169">
        <f>(INDEX(Models!$BJ157:$BT157,,T157)*(1-R157)+INDEX(Models!$BJ157:$BT157,,T157+1)*R157-ERP_i)*Q157*Ramure*Pc/MaxiM</f>
        <v>0</v>
      </c>
      <c r="Q157" s="305">
        <f t="shared" si="53"/>
        <v>0.7</v>
      </c>
      <c r="R157" s="177">
        <f t="shared" si="54"/>
        <v>0.26111424664469252</v>
      </c>
      <c r="S157" s="817">
        <f t="shared" si="55"/>
        <v>0</v>
      </c>
      <c r="T157" s="176">
        <f t="shared" si="56"/>
        <v>6</v>
      </c>
      <c r="U157" s="251">
        <f t="shared" si="57"/>
        <v>0.26111424664469252</v>
      </c>
      <c r="V157" s="383">
        <f t="shared" si="58"/>
        <v>38.490085699046062</v>
      </c>
      <c r="W157" s="402">
        <f t="shared" si="59"/>
        <v>11.952095432445278</v>
      </c>
      <c r="X157" s="157">
        <f t="shared" si="60"/>
        <v>45434</v>
      </c>
      <c r="Y157" s="385">
        <f t="shared" si="61"/>
        <v>11.293963102750299</v>
      </c>
      <c r="Z157" s="385">
        <f t="shared" si="62"/>
        <v>11.85799220921437</v>
      </c>
      <c r="AA157" s="386">
        <f t="shared" si="63"/>
        <v>13.526610052219134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0.12335816857018178</v>
      </c>
      <c r="AD157" s="231">
        <f>(INDEX(Models!$BJ157:$BT157,,AH157)*(1-AF157)+INDEX(Models!$BJ157:$BT157,,AH157+1)*AF157-ERP_i)*AE157*Ramure*Pc/MaxiM</f>
        <v>0</v>
      </c>
      <c r="AE157" s="305">
        <f t="shared" si="65"/>
        <v>0.7</v>
      </c>
      <c r="AF157" s="177">
        <f t="shared" si="66"/>
        <v>0.26111424664469252</v>
      </c>
      <c r="AG157" s="817">
        <f t="shared" si="74"/>
        <v>0</v>
      </c>
      <c r="AH157" s="176">
        <f t="shared" si="67"/>
        <v>6</v>
      </c>
      <c r="AI157" s="225">
        <f t="shared" si="68"/>
        <v>0.26111424664469252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45435</v>
      </c>
      <c r="B158" s="411">
        <f>'2023'!Wh/'2023'!Env_an*'2024'!Env_an</f>
        <v>10.697915089011662</v>
      </c>
      <c r="C158" s="846"/>
      <c r="D158" s="393">
        <f t="shared" si="50"/>
        <v>11.232423123265926</v>
      </c>
      <c r="E158" s="385">
        <f t="shared" si="72"/>
        <v>12.109533029431789</v>
      </c>
      <c r="F158" s="385">
        <f t="shared" si="51"/>
        <v>12.109533029431789</v>
      </c>
      <c r="G158" s="110">
        <f t="shared" si="73"/>
        <v>0.27797245681638083</v>
      </c>
      <c r="H158" s="414" t="b">
        <f>Wh_hp&gt;='2023'!Maxi_hp</f>
        <v>0</v>
      </c>
      <c r="I158" s="390">
        <f>IF(H158,Wh_hp,'2023'!Maxi_hp)</f>
        <v>19.559062636800455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4.7586173382938912E-2</v>
      </c>
      <c r="M158" s="850"/>
      <c r="N158" s="850"/>
      <c r="O158" s="48">
        <f>IF(t&lt;Tnet,'2023'!Resal+('2023'!Salim-'2023'!Resal)*(1-EXP(('2023'!Tnet-t)/('2023'!Tau_j))),Resal+(Salim-Resal)*(1-EXP((Tnet-t)/(Tau_j))))*Salcycl</f>
        <v>7.2431356686841628E-2</v>
      </c>
      <c r="P158" s="169">
        <f>(INDEX(Models!$BJ158:$BT158,,T158)*(1-R158)+INDEX(Models!$BJ158:$BT158,,T158+1)*R158-ERP_i)*Q158*Ramure*Pc/MaxiM</f>
        <v>0</v>
      </c>
      <c r="Q158" s="305">
        <f t="shared" si="53"/>
        <v>0.7</v>
      </c>
      <c r="R158" s="177">
        <f t="shared" si="54"/>
        <v>0.26564802617552208</v>
      </c>
      <c r="S158" s="817">
        <f t="shared" si="55"/>
        <v>0</v>
      </c>
      <c r="T158" s="176">
        <f t="shared" si="56"/>
        <v>6</v>
      </c>
      <c r="U158" s="251">
        <f t="shared" si="57"/>
        <v>0.26564802617552208</v>
      </c>
      <c r="V158" s="383">
        <f t="shared" si="58"/>
        <v>38.485521952552084</v>
      </c>
      <c r="W158" s="402">
        <f t="shared" si="59"/>
        <v>10.697915089011662</v>
      </c>
      <c r="X158" s="157">
        <f t="shared" si="60"/>
        <v>45435</v>
      </c>
      <c r="Y158" s="385">
        <f t="shared" si="61"/>
        <v>10.109137700700979</v>
      </c>
      <c r="Z158" s="385">
        <f t="shared" si="62"/>
        <v>10.614228204359721</v>
      </c>
      <c r="AA158" s="386">
        <f t="shared" si="63"/>
        <v>12.109533029431789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0.12348162571073419</v>
      </c>
      <c r="AD158" s="231">
        <f>(INDEX(Models!$BJ158:$BT158,,AH158)*(1-AF158)+INDEX(Models!$BJ158:$BT158,,AH158+1)*AF158-ERP_i)*AE158*Ramure*Pc/MaxiM</f>
        <v>0</v>
      </c>
      <c r="AE158" s="305">
        <f t="shared" si="65"/>
        <v>0.7</v>
      </c>
      <c r="AF158" s="177">
        <f t="shared" si="66"/>
        <v>0.26564802617552208</v>
      </c>
      <c r="AG158" s="817">
        <f t="shared" si="74"/>
        <v>0</v>
      </c>
      <c r="AH158" s="176">
        <f t="shared" si="67"/>
        <v>6</v>
      </c>
      <c r="AI158" s="225">
        <f t="shared" si="68"/>
        <v>0.26564802617552208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45436</v>
      </c>
      <c r="B159" s="411">
        <f>'2023'!Wh/'2023'!Env_an*'2024'!Env_an</f>
        <v>26.352632025758645</v>
      </c>
      <c r="C159" s="846"/>
      <c r="D159" s="393">
        <f t="shared" si="50"/>
        <v>27.669914581437894</v>
      </c>
      <c r="E159" s="385">
        <f t="shared" si="72"/>
        <v>29.835657473081977</v>
      </c>
      <c r="F159" s="385">
        <f t="shared" si="51"/>
        <v>29.835657473081977</v>
      </c>
      <c r="G159" s="110">
        <f t="shared" si="73"/>
        <v>0.68484850226974292</v>
      </c>
      <c r="H159" s="414" t="b">
        <f>Wh_hp&gt;='2023'!Maxi_hp</f>
        <v>0</v>
      </c>
      <c r="I159" s="390">
        <f>IF(H159,Wh_hp,'2023'!Maxi_hp)</f>
        <v>41.574102486699203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4.7607033690047484E-2</v>
      </c>
      <c r="M159" s="850"/>
      <c r="N159" s="850"/>
      <c r="O159" s="48">
        <f>IF(t&lt;Tnet,'2023'!Resal+('2023'!Salim-'2023'!Resal)*(1-EXP(('2023'!Tnet-t)/('2023'!Tau_j))),Resal+(Salim-Resal)*(1-EXP((Tnet-t)/(Tau_j))))*Salcycl</f>
        <v>7.2589078809409124E-2</v>
      </c>
      <c r="P159" s="169">
        <f>(INDEX(Models!$BJ159:$BT159,,T159)*(1-R159)+INDEX(Models!$BJ159:$BT159,,T159+1)*R159-ERP_i)*Q159*Ramure*Pc/MaxiM</f>
        <v>0</v>
      </c>
      <c r="Q159" s="305">
        <f t="shared" si="53"/>
        <v>0.7</v>
      </c>
      <c r="R159" s="177">
        <f t="shared" si="54"/>
        <v>0.27024479159323911</v>
      </c>
      <c r="S159" s="817">
        <f t="shared" si="55"/>
        <v>0</v>
      </c>
      <c r="T159" s="176">
        <f t="shared" si="56"/>
        <v>6</v>
      </c>
      <c r="U159" s="251">
        <f t="shared" si="57"/>
        <v>0.27024479159323911</v>
      </c>
      <c r="V159" s="383">
        <f t="shared" si="58"/>
        <v>38.479505961420749</v>
      </c>
      <c r="W159" s="402">
        <f t="shared" si="59"/>
        <v>26.352632025758645</v>
      </c>
      <c r="X159" s="157">
        <f t="shared" si="60"/>
        <v>45436</v>
      </c>
      <c r="Y159" s="385">
        <f t="shared" si="61"/>
        <v>24.902996409775067</v>
      </c>
      <c r="Z159" s="385">
        <f t="shared" si="62"/>
        <v>26.147816385353781</v>
      </c>
      <c r="AA159" s="386">
        <f t="shared" si="63"/>
        <v>29.835657473081977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0.12360515571193301</v>
      </c>
      <c r="AD159" s="231">
        <f>(INDEX(Models!$BJ159:$BT159,,AH159)*(1-AF159)+INDEX(Models!$BJ159:$BT159,,AH159+1)*AF159-ERP_i)*AE159*Ramure*Pc/MaxiM</f>
        <v>0</v>
      </c>
      <c r="AE159" s="305">
        <f t="shared" si="65"/>
        <v>0.7</v>
      </c>
      <c r="AF159" s="177">
        <f t="shared" si="66"/>
        <v>0.27024479159323911</v>
      </c>
      <c r="AG159" s="817">
        <f t="shared" si="74"/>
        <v>0</v>
      </c>
      <c r="AH159" s="176">
        <f t="shared" si="67"/>
        <v>6</v>
      </c>
      <c r="AI159" s="225">
        <f t="shared" si="68"/>
        <v>0.27024479159323911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45437</v>
      </c>
      <c r="B160" s="411">
        <f>'2023'!Wh/'2023'!Env_an*'2024'!Env_an</f>
        <v>14.110379533294104</v>
      </c>
      <c r="C160" s="846"/>
      <c r="D160" s="393">
        <f t="shared" si="50"/>
        <v>14.816036124521485</v>
      </c>
      <c r="E160" s="385">
        <f t="shared" si="72"/>
        <v>15.978414407576402</v>
      </c>
      <c r="F160" s="385">
        <f t="shared" si="51"/>
        <v>15.978414407576402</v>
      </c>
      <c r="G160" s="110">
        <f t="shared" si="73"/>
        <v>0.36676520926742368</v>
      </c>
      <c r="H160" s="414" t="b">
        <f>Wh_hp&gt;='2023'!Maxi_hp</f>
        <v>0</v>
      </c>
      <c r="I160" s="390">
        <f>IF(H160,Wh_hp,'2023'!Maxi_hp)</f>
        <v>43.15188461541296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4.7627893540261756E-2</v>
      </c>
      <c r="M160" s="850"/>
      <c r="N160" s="850"/>
      <c r="O160" s="48">
        <f>IF(t&lt;Tnet,'2023'!Resal+('2023'!Salim-'2023'!Resal)*(1-EXP(('2023'!Tnet-t)/('2023'!Tau_j))),Resal+(Salim-Resal)*(1-EXP((Tnet-t)/(Tau_j))))*Salcycl</f>
        <v>7.2746785344593209E-2</v>
      </c>
      <c r="P160" s="169">
        <f>(INDEX(Models!$BJ160:$BT160,,T160)*(1-R160)+INDEX(Models!$BJ160:$BT160,,T160+1)*R160-ERP_i)*Q160*Ramure*Pc/MaxiM</f>
        <v>0</v>
      </c>
      <c r="Q160" s="305">
        <f t="shared" si="53"/>
        <v>0.7</v>
      </c>
      <c r="R160" s="177">
        <f t="shared" si="54"/>
        <v>0.27490190393407143</v>
      </c>
      <c r="S160" s="817">
        <f t="shared" si="55"/>
        <v>0</v>
      </c>
      <c r="T160" s="176">
        <f t="shared" si="56"/>
        <v>6</v>
      </c>
      <c r="U160" s="251">
        <f t="shared" si="57"/>
        <v>0.27490190393407143</v>
      </c>
      <c r="V160" s="383">
        <f t="shared" si="58"/>
        <v>38.472513686557555</v>
      </c>
      <c r="W160" s="402">
        <f t="shared" si="59"/>
        <v>14.110379533294104</v>
      </c>
      <c r="X160" s="157">
        <f t="shared" si="60"/>
        <v>45437</v>
      </c>
      <c r="Y160" s="385">
        <f t="shared" si="61"/>
        <v>13.33456822518583</v>
      </c>
      <c r="Z160" s="385">
        <f t="shared" si="62"/>
        <v>14.001426684738327</v>
      </c>
      <c r="AA160" s="386">
        <f t="shared" si="63"/>
        <v>15.978414407576402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0.12372865494718038</v>
      </c>
      <c r="AD160" s="231">
        <f>(INDEX(Models!$BJ160:$BT160,,AH160)*(1-AF160)+INDEX(Models!$BJ160:$BT160,,AH160+1)*AF160-ERP_i)*AE160*Ramure*Pc/MaxiM</f>
        <v>0</v>
      </c>
      <c r="AE160" s="305">
        <f t="shared" si="65"/>
        <v>0.7</v>
      </c>
      <c r="AF160" s="177">
        <f t="shared" si="66"/>
        <v>0.27490190393407143</v>
      </c>
      <c r="AG160" s="817">
        <f t="shared" si="74"/>
        <v>0</v>
      </c>
      <c r="AH160" s="176">
        <f t="shared" si="67"/>
        <v>6</v>
      </c>
      <c r="AI160" s="225">
        <f t="shared" si="68"/>
        <v>0.27490190393407143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45438</v>
      </c>
      <c r="B161" s="411">
        <f>'2023'!Wh/'2023'!Env_an*'2024'!Env_an</f>
        <v>27.988962932374204</v>
      </c>
      <c r="C161" s="846"/>
      <c r="D161" s="393">
        <f t="shared" si="50"/>
        <v>29.389327749179198</v>
      </c>
      <c r="E161" s="385">
        <f t="shared" si="72"/>
        <v>31.700428957965602</v>
      </c>
      <c r="F161" s="385">
        <f t="shared" si="51"/>
        <v>31.700428957965602</v>
      </c>
      <c r="G161" s="110">
        <f t="shared" si="73"/>
        <v>0.72764715506818856</v>
      </c>
      <c r="H161" s="414" t="b">
        <f>Wh_hp&gt;='2023'!Maxi_hp</f>
        <v>0</v>
      </c>
      <c r="I161" s="390">
        <f>IF(H161,Wh_hp,'2023'!Maxi_hp)</f>
        <v>43.072441964376736</v>
      </c>
      <c r="J161" s="85">
        <f>IF(H161,An,'2023'!An_max)</f>
        <v>2021</v>
      </c>
      <c r="K161" s="197">
        <f t="shared" si="52"/>
        <v>45438</v>
      </c>
      <c r="L161" s="147">
        <f>IF(t&lt;Tvie,1-EXP((T0-t)*PertePVj)+'2023'!Pspv,1-EXP((T0-t)*PertePVj)+Pspv)</f>
        <v>4.7648752933591831E-2</v>
      </c>
      <c r="M161" s="850"/>
      <c r="N161" s="850"/>
      <c r="O161" s="48">
        <f>IF(t&lt;Tnet,'2023'!Resal+('2023'!Salim-'2023'!Resal)*(1-EXP(('2023'!Tnet-t)/('2023'!Tau_j))),Resal+(Salim-Resal)*(1-EXP((Tnet-t)/(Tau_j))))*Salcycl</f>
        <v>7.2904414380350946E-2</v>
      </c>
      <c r="P161" s="169">
        <f>(INDEX(Models!$BJ161:$BT161,,T161)*(1-R161)+INDEX(Models!$BJ161:$BT161,,T161+1)*R161-ERP_i)*Q161*Ramure*Pc/MaxiM</f>
        <v>0</v>
      </c>
      <c r="Q161" s="305">
        <f t="shared" si="53"/>
        <v>0.7</v>
      </c>
      <c r="R161" s="177">
        <f t="shared" si="54"/>
        <v>0.27961655132504731</v>
      </c>
      <c r="S161" s="817">
        <f t="shared" si="55"/>
        <v>0</v>
      </c>
      <c r="T161" s="176">
        <f t="shared" si="56"/>
        <v>6</v>
      </c>
      <c r="U161" s="251">
        <f t="shared" si="57"/>
        <v>0.27961655132504731</v>
      </c>
      <c r="V161" s="383">
        <f t="shared" si="58"/>
        <v>38.465020769237164</v>
      </c>
      <c r="W161" s="402">
        <f t="shared" si="59"/>
        <v>27.988962932374204</v>
      </c>
      <c r="X161" s="157">
        <f t="shared" si="60"/>
        <v>45438</v>
      </c>
      <c r="Y161" s="385">
        <f t="shared" si="61"/>
        <v>26.45085766560447</v>
      </c>
      <c r="Z161" s="385">
        <f t="shared" si="62"/>
        <v>27.774266844384183</v>
      </c>
      <c r="AA161" s="386">
        <f t="shared" si="63"/>
        <v>31.700428957965602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0.12385201849437003</v>
      </c>
      <c r="AD161" s="231">
        <f>(INDEX(Models!$BJ161:$BT161,,AH161)*(1-AF161)+INDEX(Models!$BJ161:$BT161,,AH161+1)*AF161-ERP_i)*AE161*Ramure*Pc/MaxiM</f>
        <v>0</v>
      </c>
      <c r="AE161" s="305">
        <f t="shared" si="65"/>
        <v>0.7</v>
      </c>
      <c r="AF161" s="177">
        <f t="shared" si="66"/>
        <v>0.27961655132504731</v>
      </c>
      <c r="AG161" s="817">
        <f t="shared" si="74"/>
        <v>0</v>
      </c>
      <c r="AH161" s="176">
        <f t="shared" si="67"/>
        <v>6</v>
      </c>
      <c r="AI161" s="225">
        <f t="shared" si="68"/>
        <v>0.27961655132504731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45439</v>
      </c>
      <c r="B162" s="411">
        <f>'2023'!Wh/'2023'!Env_an*'2024'!Env_an</f>
        <v>35.597419345917459</v>
      </c>
      <c r="C162" s="846"/>
      <c r="D162" s="393">
        <f t="shared" si="50"/>
        <v>37.379274871001947</v>
      </c>
      <c r="E162" s="385">
        <f t="shared" si="72"/>
        <v>40.325535220007595</v>
      </c>
      <c r="F162" s="385">
        <f t="shared" si="51"/>
        <v>40.325535220007595</v>
      </c>
      <c r="G162" s="110">
        <f t="shared" si="73"/>
        <v>0.92563003339562844</v>
      </c>
      <c r="H162" s="414" t="b">
        <f>Wh_hp&gt;='2023'!Maxi_hp</f>
        <v>0</v>
      </c>
      <c r="I162" s="390">
        <f>IF(H162,Wh_hp,'2023'!Maxi_hp)</f>
        <v>41.82650557784492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4.766961187004759E-2</v>
      </c>
      <c r="M162" s="850"/>
      <c r="N162" s="850"/>
      <c r="O162" s="48">
        <f>IF(t&lt;Tnet,'2023'!Resal+('2023'!Salim-'2023'!Resal)*(1-EXP(('2023'!Tnet-t)/('2023'!Tau_j))),Resal+(Salim-Resal)*(1-EXP((Tnet-t)/(Tau_j))))*Salcycl</f>
        <v>7.3061903157179933E-2</v>
      </c>
      <c r="P162" s="169">
        <f>(INDEX(Models!$BJ162:$BT162,,T162)*(1-R162)+INDEX(Models!$BJ162:$BT162,,T162+1)*R162-ERP_i)*Q162*Ramure*Pc/MaxiM</f>
        <v>0</v>
      </c>
      <c r="Q162" s="305">
        <f t="shared" si="53"/>
        <v>0.7</v>
      </c>
      <c r="R162" s="177">
        <f t="shared" si="54"/>
        <v>0.28438575370658969</v>
      </c>
      <c r="S162" s="817">
        <f t="shared" si="55"/>
        <v>0</v>
      </c>
      <c r="T162" s="176">
        <f t="shared" si="56"/>
        <v>6</v>
      </c>
      <c r="U162" s="251">
        <f t="shared" si="57"/>
        <v>0.28438575370658969</v>
      </c>
      <c r="V162" s="383">
        <f t="shared" si="58"/>
        <v>38.457502524340178</v>
      </c>
      <c r="W162" s="402">
        <f t="shared" si="59"/>
        <v>35.597419345917459</v>
      </c>
      <c r="X162" s="157">
        <f t="shared" si="60"/>
        <v>45439</v>
      </c>
      <c r="Y162" s="385">
        <f t="shared" si="61"/>
        <v>33.642186450174222</v>
      </c>
      <c r="Z162" s="385">
        <f t="shared" si="62"/>
        <v>35.326171326146429</v>
      </c>
      <c r="AA162" s="386">
        <f t="shared" si="63"/>
        <v>40.325535220007595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0.12397514048073248</v>
      </c>
      <c r="AD162" s="231">
        <f>(INDEX(Models!$BJ162:$BT162,,AH162)*(1-AF162)+INDEX(Models!$BJ162:$BT162,,AH162+1)*AF162-ERP_i)*AE162*Ramure*Pc/MaxiM</f>
        <v>0</v>
      </c>
      <c r="AE162" s="305">
        <f t="shared" si="65"/>
        <v>0.7</v>
      </c>
      <c r="AF162" s="177">
        <f t="shared" si="66"/>
        <v>0.28438575370658969</v>
      </c>
      <c r="AG162" s="817">
        <f t="shared" si="74"/>
        <v>0</v>
      </c>
      <c r="AH162" s="176">
        <f t="shared" si="67"/>
        <v>6</v>
      </c>
      <c r="AI162" s="225">
        <f t="shared" si="68"/>
        <v>0.28438575370658969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45440</v>
      </c>
      <c r="B163" s="411">
        <f>'2023'!Wh/'2023'!Env_an*'2024'!Env_an</f>
        <v>38.63202206579885</v>
      </c>
      <c r="C163" s="846"/>
      <c r="D163" s="393">
        <f t="shared" si="50"/>
        <v>40.566665420204863</v>
      </c>
      <c r="E163" s="385">
        <f t="shared" si="72"/>
        <v>43.771585370686985</v>
      </c>
      <c r="F163" s="385">
        <f t="shared" si="51"/>
        <v>43.771585370686985</v>
      </c>
      <c r="G163" s="110">
        <f t="shared" si="73"/>
        <v>1.0047588599605877</v>
      </c>
      <c r="H163" s="414" t="b">
        <f>Wh_hp&gt;='2023'!Maxi_hp</f>
        <v>1</v>
      </c>
      <c r="I163" s="390">
        <f>IF(H163,Wh_hp,'2023'!Maxi_hp)</f>
        <v>43.771585370686985</v>
      </c>
      <c r="J163" s="85">
        <f>IF(H163,An,'2023'!An_max)</f>
        <v>2024</v>
      </c>
      <c r="K163" s="197">
        <f t="shared" si="52"/>
        <v>45440</v>
      </c>
      <c r="L163" s="147">
        <f>IF(t&lt;Tvie,1-EXP((T0-t)*PertePVj)+'2023'!Pspv,1-EXP((T0-t)*PertePVj)+Pspv)</f>
        <v>4.7690470349639136E-2</v>
      </c>
      <c r="M163" s="850"/>
      <c r="N163" s="850"/>
      <c r="O163" s="48">
        <f>IF(t&lt;Tnet,'2023'!Resal+('2023'!Salim-'2023'!Resal)*(1-EXP(('2023'!Tnet-t)/('2023'!Tau_j))),Resal+(Salim-Resal)*(1-EXP((Tnet-t)/(Tau_j))))*Salcycl</f>
        <v>7.3219188277982725E-2</v>
      </c>
      <c r="P163" s="169">
        <f>(INDEX(Models!$BJ163:$BT163,,T163)*(1-R163)+INDEX(Models!$BJ163:$BT163,,T163+1)*R163-ERP_i)*Q163*Ramure*Pc/MaxiM</f>
        <v>0</v>
      </c>
      <c r="Q163" s="305">
        <f t="shared" si="53"/>
        <v>0.7</v>
      </c>
      <c r="R163" s="177">
        <f t="shared" si="54"/>
        <v>0.28920636853781168</v>
      </c>
      <c r="S163" s="817">
        <f t="shared" si="55"/>
        <v>0</v>
      </c>
      <c r="T163" s="176">
        <f t="shared" si="56"/>
        <v>6</v>
      </c>
      <c r="U163" s="251">
        <f t="shared" si="57"/>
        <v>0.28920636853781168</v>
      </c>
      <c r="V163" s="383">
        <f t="shared" si="58"/>
        <v>38.449048428708778</v>
      </c>
      <c r="W163" s="402">
        <f t="shared" si="59"/>
        <v>38.63202206579885</v>
      </c>
      <c r="X163" s="157">
        <f t="shared" si="60"/>
        <v>45440</v>
      </c>
      <c r="Y163" s="385">
        <f t="shared" si="61"/>
        <v>36.511188264565405</v>
      </c>
      <c r="Z163" s="385">
        <f t="shared" si="62"/>
        <v>38.339622914379987</v>
      </c>
      <c r="AA163" s="386">
        <f t="shared" si="63"/>
        <v>43.771585370686985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0.12409791444165244</v>
      </c>
      <c r="AD163" s="231">
        <f>(INDEX(Models!$BJ163:$BT163,,AH163)*(1-AF163)+INDEX(Models!$BJ163:$BT163,,AH163+1)*AF163-ERP_i)*AE163*Ramure*Pc/MaxiM</f>
        <v>0</v>
      </c>
      <c r="AE163" s="305">
        <f t="shared" si="65"/>
        <v>0.7</v>
      </c>
      <c r="AF163" s="177">
        <f t="shared" si="66"/>
        <v>0.28920636853781168</v>
      </c>
      <c r="AG163" s="817">
        <f t="shared" si="74"/>
        <v>0</v>
      </c>
      <c r="AH163" s="176">
        <f t="shared" si="67"/>
        <v>6</v>
      </c>
      <c r="AI163" s="225">
        <f t="shared" si="68"/>
        <v>0.28920636853781168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45441</v>
      </c>
      <c r="B164" s="411">
        <f>'2023'!Wh/'2023'!Env_an*'2024'!Env_an</f>
        <v>31.993803325989134</v>
      </c>
      <c r="C164" s="846"/>
      <c r="D164" s="393">
        <f t="shared" si="50"/>
        <v>33.596748842245781</v>
      </c>
      <c r="E164" s="385">
        <f t="shared" si="72"/>
        <v>36.2571618138074</v>
      </c>
      <c r="F164" s="385">
        <f t="shared" si="51"/>
        <v>36.2571618138074</v>
      </c>
      <c r="G164" s="110">
        <f t="shared" si="73"/>
        <v>0.83233752558391039</v>
      </c>
      <c r="H164" s="414" t="b">
        <f>Wh_hp&gt;='2023'!Maxi_hp</f>
        <v>0</v>
      </c>
      <c r="I164" s="390">
        <f>IF(H164,Wh_hp,'2023'!Maxi_hp)</f>
        <v>42.658493741310721</v>
      </c>
      <c r="J164" s="85">
        <f>IF(H164,An,'2023'!An_max)</f>
        <v>2019</v>
      </c>
      <c r="K164" s="197">
        <f t="shared" si="52"/>
        <v>45441</v>
      </c>
      <c r="L164" s="147">
        <f>IF(t&lt;Tvie,1-EXP((T0-t)*PertePVj)+'2023'!Pspv,1-EXP((T0-t)*PertePVj)+Pspv)</f>
        <v>4.771132837237646E-2</v>
      </c>
      <c r="M164" s="850"/>
      <c r="N164" s="850"/>
      <c r="O164" s="48">
        <f>IF(t&lt;Tnet,'2023'!Resal+('2023'!Salim-'2023'!Resal)*(1-EXP(('2023'!Tnet-t)/('2023'!Tau_j))),Resal+(Salim-Resal)*(1-EXP((Tnet-t)/(Tau_j))))*Salcycl</f>
        <v>7.3376205926534738E-2</v>
      </c>
      <c r="P164" s="169">
        <f>(INDEX(Models!$BJ164:$BT164,,T164)*(1-R164)+INDEX(Models!$BJ164:$BT164,,T164+1)*R164-ERP_i)*Q164*Ramure*Pc/MaxiM</f>
        <v>0</v>
      </c>
      <c r="Q164" s="305">
        <f t="shared" si="53"/>
        <v>0.7</v>
      </c>
      <c r="R164" s="177">
        <f t="shared" si="54"/>
        <v>0.29407509747789923</v>
      </c>
      <c r="S164" s="817">
        <f t="shared" si="55"/>
        <v>0</v>
      </c>
      <c r="T164" s="176">
        <f t="shared" si="56"/>
        <v>6</v>
      </c>
      <c r="U164" s="251">
        <f t="shared" si="57"/>
        <v>0.29407509747789923</v>
      </c>
      <c r="V164" s="383">
        <f t="shared" si="58"/>
        <v>38.438496814792167</v>
      </c>
      <c r="W164" s="402">
        <f t="shared" si="59"/>
        <v>31.993803325989134</v>
      </c>
      <c r="X164" s="157">
        <f t="shared" si="60"/>
        <v>45441</v>
      </c>
      <c r="Y164" s="385">
        <f t="shared" si="61"/>
        <v>30.238297116221126</v>
      </c>
      <c r="Z164" s="385">
        <f t="shared" si="62"/>
        <v>31.753288700304211</v>
      </c>
      <c r="AA164" s="386">
        <f t="shared" si="63"/>
        <v>36.2571618138074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0.12422023369154139</v>
      </c>
      <c r="AD164" s="231">
        <f>(INDEX(Models!$BJ164:$BT164,,AH164)*(1-AF164)+INDEX(Models!$BJ164:$BT164,,AH164+1)*AF164-ERP_i)*AE164*Ramure*Pc/MaxiM</f>
        <v>0</v>
      </c>
      <c r="AE164" s="305">
        <f t="shared" si="65"/>
        <v>0.7</v>
      </c>
      <c r="AF164" s="177">
        <f t="shared" si="66"/>
        <v>0.29407509747789923</v>
      </c>
      <c r="AG164" s="817">
        <f t="shared" si="74"/>
        <v>0</v>
      </c>
      <c r="AH164" s="176">
        <f t="shared" si="67"/>
        <v>6</v>
      </c>
      <c r="AI164" s="225">
        <f t="shared" si="68"/>
        <v>0.29407509747789923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45442</v>
      </c>
      <c r="B165" s="411">
        <f>'2023'!Wh/'2023'!Env_an*'2024'!Env_an</f>
        <v>35.009664675260815</v>
      </c>
      <c r="C165" s="846"/>
      <c r="D165" s="393">
        <f t="shared" si="50"/>
        <v>36.764515358272234</v>
      </c>
      <c r="E165" s="385">
        <f t="shared" si="72"/>
        <v>39.682483106542968</v>
      </c>
      <c r="F165" s="385">
        <f t="shared" si="51"/>
        <v>39.682483106542968</v>
      </c>
      <c r="G165" s="110">
        <f t="shared" si="73"/>
        <v>0.91109441255163237</v>
      </c>
      <c r="H165" s="414" t="b">
        <f>Wh_hp&gt;='2023'!Maxi_hp</f>
        <v>0</v>
      </c>
      <c r="I165" s="390">
        <f>IF(H165,Wh_hp,'2023'!Maxi_hp)</f>
        <v>43.393408345276015</v>
      </c>
      <c r="J165" s="85">
        <f>IF(H165,An,'2023'!An_max)</f>
        <v>2019</v>
      </c>
      <c r="K165" s="197">
        <f t="shared" si="52"/>
        <v>45442</v>
      </c>
      <c r="L165" s="147">
        <f>IF(t&lt;Tvie,1-EXP((T0-t)*PertePVj)+'2023'!Pspv,1-EXP((T0-t)*PertePVj)+Pspv)</f>
        <v>4.7732185938269556E-2</v>
      </c>
      <c r="M165" s="850"/>
      <c r="N165" s="850"/>
      <c r="O165" s="48">
        <f>IF(t&lt;Tnet,'2023'!Resal+('2023'!Salim-'2023'!Resal)*(1-EXP(('2023'!Tnet-t)/('2023'!Tau_j))),Resal+(Salim-Resal)*(1-EXP((Tnet-t)/(Tau_j))))*Salcycl</f>
        <v>7.3532892093378335E-2</v>
      </c>
      <c r="P165" s="169">
        <f>(INDEX(Models!$BJ165:$BT165,,T165)*(1-R165)+INDEX(Models!$BJ165:$BT165,,T165+1)*R165-ERP_i)*Q165*Ramure*Pc/MaxiM</f>
        <v>0</v>
      </c>
      <c r="Q165" s="305">
        <f t="shared" si="53"/>
        <v>0.7</v>
      </c>
      <c r="R165" s="177">
        <f t="shared" si="54"/>
        <v>0.29898849402752592</v>
      </c>
      <c r="S165" s="817">
        <f t="shared" si="55"/>
        <v>0</v>
      </c>
      <c r="T165" s="176">
        <f t="shared" si="56"/>
        <v>6</v>
      </c>
      <c r="U165" s="251">
        <f t="shared" si="57"/>
        <v>0.29898849402752592</v>
      </c>
      <c r="V165" s="383">
        <f t="shared" si="58"/>
        <v>38.425945975469141</v>
      </c>
      <c r="W165" s="402">
        <f t="shared" si="59"/>
        <v>35.009664675260815</v>
      </c>
      <c r="X165" s="157">
        <f t="shared" si="60"/>
        <v>45442</v>
      </c>
      <c r="Y165" s="385">
        <f t="shared" si="61"/>
        <v>33.089672562574414</v>
      </c>
      <c r="Z165" s="385">
        <f t="shared" si="62"/>
        <v>34.748284121287533</v>
      </c>
      <c r="AA165" s="386">
        <f t="shared" si="63"/>
        <v>39.682483106542968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0.12434199170469416</v>
      </c>
      <c r="AD165" s="231">
        <f>(INDEX(Models!$BJ165:$BT165,,AH165)*(1-AF165)+INDEX(Models!$BJ165:$BT165,,AH165+1)*AF165-ERP_i)*AE165*Ramure*Pc/MaxiM</f>
        <v>0</v>
      </c>
      <c r="AE165" s="305">
        <f t="shared" si="65"/>
        <v>0.7</v>
      </c>
      <c r="AF165" s="177">
        <f t="shared" si="66"/>
        <v>0.29898849402752592</v>
      </c>
      <c r="AG165" s="817">
        <f t="shared" si="74"/>
        <v>0</v>
      </c>
      <c r="AH165" s="176">
        <f t="shared" si="67"/>
        <v>6</v>
      </c>
      <c r="AI165" s="225">
        <f t="shared" si="68"/>
        <v>0.29898849402752592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45443</v>
      </c>
      <c r="B166" s="411">
        <f>'2023'!Wh/'2023'!Env_an*'2024'!Env_an</f>
        <v>35.805178578142772</v>
      </c>
      <c r="C166" s="846"/>
      <c r="D166" s="393">
        <f t="shared" si="50"/>
        <v>37.600727748949218</v>
      </c>
      <c r="E166" s="385">
        <f t="shared" si="72"/>
        <v>40.591912618408223</v>
      </c>
      <c r="F166" s="385">
        <f t="shared" si="51"/>
        <v>40.591912618408223</v>
      </c>
      <c r="G166" s="110">
        <f t="shared" si="73"/>
        <v>0.93214750939598001</v>
      </c>
      <c r="H166" s="414" t="b">
        <f>Wh_hp&gt;='2023'!Maxi_hp</f>
        <v>0</v>
      </c>
      <c r="I166" s="390">
        <f>IF(H166,Wh_hp,'2023'!Maxi_hp)</f>
        <v>43.566085731494503</v>
      </c>
      <c r="J166" s="85">
        <f>IF(H166,An,'2023'!An_max)</f>
        <v>2019</v>
      </c>
      <c r="K166" s="197">
        <f t="shared" si="52"/>
        <v>45443</v>
      </c>
      <c r="L166" s="147">
        <f>IF(t&lt;Tvie,1-EXP((T0-t)*PertePVj)+'2023'!Pspv,1-EXP((T0-t)*PertePVj)+Pspv)</f>
        <v>4.7753043047328414E-2</v>
      </c>
      <c r="M166" s="850"/>
      <c r="N166" s="850"/>
      <c r="O166" s="48">
        <f>IF(t&lt;Tnet,'2023'!Resal+('2023'!Salim-'2023'!Resal)*(1-EXP(('2023'!Tnet-t)/('2023'!Tau_j))),Resal+(Salim-Resal)*(1-EXP((Tnet-t)/(Tau_j))))*Salcycl</f>
        <v>7.368918280787097E-2</v>
      </c>
      <c r="P166" s="169">
        <f>(INDEX(Models!$BJ166:$BT166,,T166)*(1-R166)+INDEX(Models!$BJ166:$BT166,,T166+1)*R166-ERP_i)*Q166*Ramure*Pc/MaxiM</f>
        <v>0</v>
      </c>
      <c r="Q166" s="305">
        <f t="shared" si="53"/>
        <v>0.7</v>
      </c>
      <c r="R166" s="177">
        <f t="shared" si="54"/>
        <v>0.30394297210460824</v>
      </c>
      <c r="S166" s="817">
        <f t="shared" si="55"/>
        <v>0</v>
      </c>
      <c r="T166" s="176">
        <f t="shared" si="56"/>
        <v>6</v>
      </c>
      <c r="U166" s="251">
        <f t="shared" si="57"/>
        <v>0.30394297210460824</v>
      </c>
      <c r="V166" s="383">
        <f t="shared" si="58"/>
        <v>38.41149412215249</v>
      </c>
      <c r="W166" s="402">
        <f t="shared" si="59"/>
        <v>35.805178578142772</v>
      </c>
      <c r="X166" s="157">
        <f t="shared" si="60"/>
        <v>45443</v>
      </c>
      <c r="Y166" s="385">
        <f t="shared" si="61"/>
        <v>33.842588363298503</v>
      </c>
      <c r="Z166" s="385">
        <f t="shared" si="62"/>
        <v>35.539718049191457</v>
      </c>
      <c r="AA166" s="386">
        <f t="shared" si="63"/>
        <v>40.591912618408223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0.12446308250391791</v>
      </c>
      <c r="AD166" s="231">
        <f>(INDEX(Models!$BJ166:$BT166,,AH166)*(1-AF166)+INDEX(Models!$BJ166:$BT166,,AH166+1)*AF166-ERP_i)*AE166*Ramure*Pc/MaxiM</f>
        <v>0</v>
      </c>
      <c r="AE166" s="305">
        <f t="shared" si="65"/>
        <v>0.7</v>
      </c>
      <c r="AF166" s="177">
        <f t="shared" si="66"/>
        <v>0.30394297210460824</v>
      </c>
      <c r="AG166" s="817">
        <f t="shared" si="74"/>
        <v>0</v>
      </c>
      <c r="AH166" s="176">
        <f t="shared" si="67"/>
        <v>6</v>
      </c>
      <c r="AI166" s="225">
        <f t="shared" si="68"/>
        <v>0.30394297210460824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45444</v>
      </c>
      <c r="B167" s="411">
        <f>'2023'!Wh/'2023'!Env_an*'2024'!Env_an</f>
        <v>28.59056360132163</v>
      </c>
      <c r="C167" s="846"/>
      <c r="D167" s="393">
        <f t="shared" si="50"/>
        <v>30.02497368251198</v>
      </c>
      <c r="E167" s="385">
        <f t="shared" si="72"/>
        <v>32.418951631784523</v>
      </c>
      <c r="F167" s="385">
        <f t="shared" si="51"/>
        <v>32.418951631784523</v>
      </c>
      <c r="G167" s="110">
        <f t="shared" si="73"/>
        <v>0.74463824331868678</v>
      </c>
      <c r="H167" s="414" t="b">
        <f>Wh_hp&gt;='2023'!Maxi_hp</f>
        <v>0</v>
      </c>
      <c r="I167" s="390">
        <f>IF(H167,Wh_hp,'2023'!Maxi_hp)</f>
        <v>42.879308484292096</v>
      </c>
      <c r="J167" s="85">
        <f>IF(H167,An,'2023'!An_max)</f>
        <v>2019</v>
      </c>
      <c r="K167" s="197">
        <f t="shared" si="52"/>
        <v>45444</v>
      </c>
      <c r="L167" s="147">
        <f>IF(t&lt;Tvie,1-EXP((T0-t)*PertePVj)+'2023'!Pspv,1-EXP((T0-t)*PertePVj)+Pspv)</f>
        <v>4.7773899699563138E-2</v>
      </c>
      <c r="M167" s="850"/>
      <c r="N167" s="850"/>
      <c r="O167" s="48">
        <f>IF(t&lt;Tnet,'2023'!Resal+('2023'!Salim-'2023'!Resal)*(1-EXP(('2023'!Tnet-t)/('2023'!Tau_j))),Resal+(Salim-Resal)*(1-EXP((Tnet-t)/(Tau_j))))*Salcycl</f>
        <v>7.3845014375030341E-2</v>
      </c>
      <c r="P167" s="169">
        <f>(INDEX(Models!$BJ167:$BT167,,T167)*(1-R167)+INDEX(Models!$BJ167:$BT167,,T167+1)*R167-ERP_i)*Q167*Ramure*Pc/MaxiM</f>
        <v>0</v>
      </c>
      <c r="Q167" s="305">
        <f t="shared" si="53"/>
        <v>0.7</v>
      </c>
      <c r="R167" s="177">
        <f t="shared" si="54"/>
        <v>0.3089348155190208</v>
      </c>
      <c r="S167" s="817">
        <f t="shared" si="55"/>
        <v>0</v>
      </c>
      <c r="T167" s="176">
        <f t="shared" si="56"/>
        <v>6</v>
      </c>
      <c r="U167" s="251">
        <f t="shared" si="57"/>
        <v>0.3089348155190208</v>
      </c>
      <c r="V167" s="383">
        <f t="shared" si="58"/>
        <v>38.395239376774228</v>
      </c>
      <c r="W167" s="402">
        <f t="shared" si="59"/>
        <v>28.59056360132163</v>
      </c>
      <c r="X167" s="157">
        <f t="shared" si="60"/>
        <v>45444</v>
      </c>
      <c r="Y167" s="385">
        <f t="shared" si="61"/>
        <v>27.024260883195232</v>
      </c>
      <c r="Z167" s="385">
        <f t="shared" si="62"/>
        <v>28.380088378872212</v>
      </c>
      <c r="AA167" s="386">
        <f t="shared" si="63"/>
        <v>32.418951631784523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0.12458340105460061</v>
      </c>
      <c r="AD167" s="231">
        <f>(INDEX(Models!$BJ167:$BT167,,AH167)*(1-AF167)+INDEX(Models!$BJ167:$BT167,,AH167+1)*AF167-ERP_i)*AE167*Ramure*Pc/MaxiM</f>
        <v>0</v>
      </c>
      <c r="AE167" s="305">
        <f t="shared" si="65"/>
        <v>0.7</v>
      </c>
      <c r="AF167" s="177">
        <f t="shared" si="66"/>
        <v>0.3089348155190208</v>
      </c>
      <c r="AG167" s="817">
        <f t="shared" si="74"/>
        <v>0</v>
      </c>
      <c r="AH167" s="176">
        <f t="shared" si="67"/>
        <v>6</v>
      </c>
      <c r="AI167" s="225">
        <f t="shared" si="68"/>
        <v>0.3089348155190208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45445</v>
      </c>
      <c r="B168" s="411">
        <f>'2023'!Wh/'2023'!Env_an*'2024'!Env_an</f>
        <v>34.625181072832042</v>
      </c>
      <c r="C168" s="846"/>
      <c r="D168" s="393">
        <f t="shared" si="50"/>
        <v>36.363148897984132</v>
      </c>
      <c r="E168" s="385">
        <f t="shared" si="72"/>
        <v>39.269073008719751</v>
      </c>
      <c r="F168" s="385">
        <f t="shared" si="51"/>
        <v>39.269073008719751</v>
      </c>
      <c r="G168" s="110">
        <f t="shared" si="73"/>
        <v>0.90223124954895328</v>
      </c>
      <c r="H168" s="414" t="b">
        <f>Wh_hp&gt;='2023'!Maxi_hp</f>
        <v>0</v>
      </c>
      <c r="I168" s="390">
        <f>IF(H168,Wh_hp,'2023'!Maxi_hp)</f>
        <v>40.900365987061008</v>
      </c>
      <c r="J168" s="85">
        <f>IF(H168,An,'2023'!An_max)</f>
        <v>2020</v>
      </c>
      <c r="K168" s="197">
        <f t="shared" si="52"/>
        <v>45445</v>
      </c>
      <c r="L168" s="147">
        <f>IF(t&lt;Tvie,1-EXP((T0-t)*PertePVj)+'2023'!Pspv,1-EXP((T0-t)*PertePVj)+Pspv)</f>
        <v>4.7794755894983498E-2</v>
      </c>
      <c r="M168" s="850"/>
      <c r="N168" s="850"/>
      <c r="O168" s="48">
        <f>IF(t&lt;Tnet,'2023'!Resal+('2023'!Salim-'2023'!Resal)*(1-EXP(('2023'!Tnet-t)/('2023'!Tau_j))),Resal+(Salim-Resal)*(1-EXP((Tnet-t)/(Tau_j))))*Salcycl</f>
        <v>7.4000323615745947E-2</v>
      </c>
      <c r="P168" s="169">
        <f>(INDEX(Models!$BJ168:$BT168,,T168)*(1-R168)+INDEX(Models!$BJ168:$BT168,,T168+1)*R168-ERP_i)*Q168*Ramure*Pc/MaxiM</f>
        <v>0</v>
      </c>
      <c r="Q168" s="305">
        <f t="shared" si="53"/>
        <v>0.7</v>
      </c>
      <c r="R168" s="177">
        <f t="shared" si="54"/>
        <v>0.31396018830129269</v>
      </c>
      <c r="S168" s="817">
        <f t="shared" si="55"/>
        <v>0</v>
      </c>
      <c r="T168" s="176">
        <f t="shared" si="56"/>
        <v>6</v>
      </c>
      <c r="U168" s="251">
        <f t="shared" si="57"/>
        <v>0.31396018830129269</v>
      </c>
      <c r="V168" s="383">
        <f t="shared" si="58"/>
        <v>38.377279760750909</v>
      </c>
      <c r="W168" s="402">
        <f t="shared" si="59"/>
        <v>34.625181072832042</v>
      </c>
      <c r="X168" s="157">
        <f t="shared" si="60"/>
        <v>45445</v>
      </c>
      <c r="Y168" s="385">
        <f t="shared" si="61"/>
        <v>32.729301428145888</v>
      </c>
      <c r="Z168" s="385">
        <f t="shared" si="62"/>
        <v>34.372107936570288</v>
      </c>
      <c r="AA168" s="386">
        <f t="shared" si="63"/>
        <v>39.269073008719751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0.12470284366178154</v>
      </c>
      <c r="AD168" s="231">
        <f>(INDEX(Models!$BJ168:$BT168,,AH168)*(1-AF168)+INDEX(Models!$BJ168:$BT168,,AH168+1)*AF168-ERP_i)*AE168*Ramure*Pc/MaxiM</f>
        <v>0</v>
      </c>
      <c r="AE168" s="305">
        <f t="shared" si="65"/>
        <v>0.7</v>
      </c>
      <c r="AF168" s="177">
        <f t="shared" si="66"/>
        <v>0.31396018830129269</v>
      </c>
      <c r="AG168" s="817">
        <f t="shared" si="74"/>
        <v>0</v>
      </c>
      <c r="AH168" s="176">
        <f t="shared" si="67"/>
        <v>6</v>
      </c>
      <c r="AI168" s="225">
        <f t="shared" si="68"/>
        <v>0.31396018830129269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45446</v>
      </c>
      <c r="B169" s="411">
        <f>'2023'!Wh/'2023'!Env_an*'2024'!Env_an</f>
        <v>17.200646486146386</v>
      </c>
      <c r="C169" s="846"/>
      <c r="D169" s="393">
        <f t="shared" si="50"/>
        <v>18.064407163465887</v>
      </c>
      <c r="E169" s="385">
        <f t="shared" si="72"/>
        <v>19.511266034952595</v>
      </c>
      <c r="F169" s="385">
        <f t="shared" si="51"/>
        <v>19.511266034952595</v>
      </c>
      <c r="G169" s="110">
        <f t="shared" si="73"/>
        <v>0.44842731902256799</v>
      </c>
      <c r="H169" s="414" t="b">
        <f>Wh_hp&gt;='2023'!Maxi_hp</f>
        <v>0</v>
      </c>
      <c r="I169" s="390">
        <f>IF(H169,Wh_hp,'2023'!Maxi_hp)</f>
        <v>39.208479410281221</v>
      </c>
      <c r="J169" s="85">
        <f>IF(H169,An,'2023'!An_max)</f>
        <v>2019</v>
      </c>
      <c r="K169" s="197">
        <f t="shared" si="52"/>
        <v>45446</v>
      </c>
      <c r="L169" s="147">
        <f>IF(t&lt;Tvie,1-EXP((T0-t)*PertePVj)+'2023'!Pspv,1-EXP((T0-t)*PertePVj)+Pspv)</f>
        <v>4.7815611633599708E-2</v>
      </c>
      <c r="M169" s="850"/>
      <c r="N169" s="850"/>
      <c r="O169" s="48">
        <f>IF(t&lt;Tnet,'2023'!Resal+('2023'!Salim-'2023'!Resal)*(1-EXP(('2023'!Tnet-t)/('2023'!Tau_j))),Resal+(Salim-Resal)*(1-EXP((Tnet-t)/(Tau_j))))*Salcycl</f>
        <v>7.4155048108861671E-2</v>
      </c>
      <c r="P169" s="169">
        <f>(INDEX(Models!$BJ169:$BT169,,T169)*(1-R169)+INDEX(Models!$BJ169:$BT169,,T169+1)*R169-ERP_i)*Q169*Ramure*Pc/MaxiM</f>
        <v>0</v>
      </c>
      <c r="Q169" s="305">
        <f t="shared" si="53"/>
        <v>0.7</v>
      </c>
      <c r="R169" s="177">
        <f t="shared" si="54"/>
        <v>0.31901514583095247</v>
      </c>
      <c r="S169" s="817">
        <f t="shared" si="55"/>
        <v>0</v>
      </c>
      <c r="T169" s="176">
        <f t="shared" si="56"/>
        <v>6</v>
      </c>
      <c r="U169" s="251">
        <f t="shared" si="57"/>
        <v>0.31901514583095247</v>
      </c>
      <c r="V169" s="383">
        <f t="shared" si="58"/>
        <v>38.357713182235287</v>
      </c>
      <c r="W169" s="402">
        <f t="shared" si="59"/>
        <v>17.200646486146386</v>
      </c>
      <c r="X169" s="157">
        <f t="shared" si="60"/>
        <v>45446</v>
      </c>
      <c r="Y169" s="385">
        <f t="shared" si="61"/>
        <v>16.259352342124437</v>
      </c>
      <c r="Z169" s="385">
        <f t="shared" si="62"/>
        <v>17.075844280559494</v>
      </c>
      <c r="AA169" s="386">
        <f t="shared" si="63"/>
        <v>19.511266034952595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0.12482130836770261</v>
      </c>
      <c r="AD169" s="231">
        <f>(INDEX(Models!$BJ169:$BT169,,AH169)*(1-AF169)+INDEX(Models!$BJ169:$BT169,,AH169+1)*AF169-ERP_i)*AE169*Ramure*Pc/MaxiM</f>
        <v>0</v>
      </c>
      <c r="AE169" s="305">
        <f t="shared" si="65"/>
        <v>0.7</v>
      </c>
      <c r="AF169" s="177">
        <f t="shared" si="66"/>
        <v>0.31901514583095247</v>
      </c>
      <c r="AG169" s="817">
        <f t="shared" si="74"/>
        <v>0</v>
      </c>
      <c r="AH169" s="176">
        <f t="shared" si="67"/>
        <v>6</v>
      </c>
      <c r="AI169" s="225">
        <f t="shared" si="68"/>
        <v>0.31901514583095247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45447</v>
      </c>
      <c r="B170" s="411">
        <f>'2023'!Wh/'2023'!Env_an*'2024'!Env_an</f>
        <v>21.102693192874568</v>
      </c>
      <c r="C170" s="846"/>
      <c r="D170" s="393">
        <f t="shared" si="50"/>
        <v>22.162887423877081</v>
      </c>
      <c r="E170" s="385">
        <f t="shared" ref="E170:E232" si="75">Wh_pvt/(1-Psa)</f>
        <v>23.94199625031407</v>
      </c>
      <c r="F170" s="385">
        <f t="shared" si="51"/>
        <v>23.94199625031407</v>
      </c>
      <c r="G170" s="110">
        <f t="shared" ref="G170:G232" si="76">+Wh_hp/MaxiM</f>
        <v>0.55045759380578752</v>
      </c>
      <c r="H170" s="414" t="b">
        <f>Wh_hp&gt;='2023'!Maxi_hp</f>
        <v>0</v>
      </c>
      <c r="I170" s="390">
        <f>IF(H170,Wh_hp,'2023'!Maxi_hp)</f>
        <v>31.965848154895578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4.783646691542176E-2</v>
      </c>
      <c r="M170" s="850"/>
      <c r="N170" s="850"/>
      <c r="O170" s="48">
        <f>IF(t&lt;Tnet,'2023'!Resal+('2023'!Salim-'2023'!Resal)*(1-EXP(('2023'!Tnet-t)/('2023'!Tau_j))),Resal+(Salim-Resal)*(1-EXP((Tnet-t)/(Tau_j))))*Salcycl</f>
        <v>7.4309126433584199E-2</v>
      </c>
      <c r="P170" s="169">
        <f>(INDEX(Models!$BJ170:$BT170,,T170)*(1-R170)+INDEX(Models!$BJ170:$BT170,,T170+1)*R170-ERP_i)*Q170*Ramure*Pc/MaxiM</f>
        <v>0</v>
      </c>
      <c r="Q170" s="305">
        <f t="shared" si="53"/>
        <v>0.7</v>
      </c>
      <c r="R170" s="177">
        <f t="shared" si="54"/>
        <v>0.32409564670122448</v>
      </c>
      <c r="S170" s="817">
        <f t="shared" si="55"/>
        <v>0</v>
      </c>
      <c r="T170" s="176">
        <f t="shared" si="56"/>
        <v>6</v>
      </c>
      <c r="U170" s="251">
        <f t="shared" si="57"/>
        <v>0.32409564670122448</v>
      </c>
      <c r="V170" s="383">
        <f t="shared" si="58"/>
        <v>38.33663742736924</v>
      </c>
      <c r="W170" s="402">
        <f t="shared" si="59"/>
        <v>21.102693192874568</v>
      </c>
      <c r="X170" s="157">
        <f t="shared" si="60"/>
        <v>45447</v>
      </c>
      <c r="Y170" s="385">
        <f t="shared" si="61"/>
        <v>19.948506314963154</v>
      </c>
      <c r="Z170" s="385">
        <f t="shared" si="62"/>
        <v>20.950714474790939</v>
      </c>
      <c r="AA170" s="386">
        <f t="shared" si="63"/>
        <v>23.94199625031407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0.12493869534725592</v>
      </c>
      <c r="AD170" s="231">
        <f>(INDEX(Models!$BJ170:$BT170,,AH170)*(1-AF170)+INDEX(Models!$BJ170:$BT170,,AH170+1)*AF170-ERP_i)*AE170*Ramure*Pc/MaxiM</f>
        <v>0</v>
      </c>
      <c r="AE170" s="305">
        <f t="shared" si="65"/>
        <v>0.7</v>
      </c>
      <c r="AF170" s="177">
        <f t="shared" si="66"/>
        <v>0.32409564670122448</v>
      </c>
      <c r="AG170" s="817">
        <f t="shared" si="74"/>
        <v>0</v>
      </c>
      <c r="AH170" s="176">
        <f t="shared" si="67"/>
        <v>6</v>
      </c>
      <c r="AI170" s="225">
        <f t="shared" si="68"/>
        <v>0.32409564670122448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45448</v>
      </c>
      <c r="B171" s="411">
        <f>'2023'!Wh/'2023'!Env_an*'2024'!Env_an</f>
        <v>29.283742269379673</v>
      </c>
      <c r="C171" s="846"/>
      <c r="D171" s="393">
        <f t="shared" si="50"/>
        <v>30.755624065616505</v>
      </c>
      <c r="E171" s="385">
        <f t="shared" si="75"/>
        <v>33.230013924667368</v>
      </c>
      <c r="F171" s="385">
        <f t="shared" si="51"/>
        <v>33.230013924667368</v>
      </c>
      <c r="G171" s="110">
        <f t="shared" si="76"/>
        <v>0.7643061937850214</v>
      </c>
      <c r="H171" s="414" t="b">
        <f>Wh_hp&gt;='2023'!Maxi_hp</f>
        <v>0</v>
      </c>
      <c r="I171" s="390">
        <f>IF(H171,Wh_hp,'2023'!Maxi_hp)</f>
        <v>41.05414814635413</v>
      </c>
      <c r="J171" s="85">
        <f>IF(H171,An,'2023'!An_max)</f>
        <v>2019</v>
      </c>
      <c r="K171" s="197">
        <f t="shared" si="52"/>
        <v>45448</v>
      </c>
      <c r="L171" s="147">
        <f>IF(t&lt;Tvie,1-EXP((T0-t)*PertePVj)+'2023'!Pspv,1-EXP((T0-t)*PertePVj)+Pspv)</f>
        <v>4.7857321740459646E-2</v>
      </c>
      <c r="M171" s="850"/>
      <c r="N171" s="850"/>
      <c r="O171" s="48">
        <f>IF(t&lt;Tnet,'2023'!Resal+('2023'!Salim-'2023'!Resal)*(1-EXP(('2023'!Tnet-t)/('2023'!Tau_j))),Resal+(Salim-Resal)*(1-EXP((Tnet-t)/(Tau_j))))*Salcycl</f>
        <v>7.4462498410633279E-2</v>
      </c>
      <c r="P171" s="169">
        <f>(INDEX(Models!$BJ171:$BT171,,T171)*(1-R171)+INDEX(Models!$BJ171:$BT171,,T171+1)*R171-ERP_i)*Q171*Ramure*Pc/MaxiM</f>
        <v>0</v>
      </c>
      <c r="Q171" s="305">
        <f t="shared" si="53"/>
        <v>0.7</v>
      </c>
      <c r="R171" s="177">
        <f t="shared" si="54"/>
        <v>0.32919756524836441</v>
      </c>
      <c r="S171" s="817">
        <f t="shared" si="55"/>
        <v>0</v>
      </c>
      <c r="T171" s="176">
        <f t="shared" si="56"/>
        <v>6</v>
      </c>
      <c r="U171" s="251">
        <f t="shared" si="57"/>
        <v>0.32919756524836441</v>
      </c>
      <c r="V171" s="383">
        <f t="shared" si="58"/>
        <v>38.314150150164025</v>
      </c>
      <c r="W171" s="402">
        <f t="shared" si="59"/>
        <v>29.283742269379673</v>
      </c>
      <c r="X171" s="157">
        <f t="shared" si="60"/>
        <v>45448</v>
      </c>
      <c r="Y171" s="385">
        <f t="shared" si="61"/>
        <v>27.683012898477735</v>
      </c>
      <c r="Z171" s="385">
        <f t="shared" si="62"/>
        <v>29.074437613783495</v>
      </c>
      <c r="AA171" s="386">
        <f t="shared" si="63"/>
        <v>33.230013924667368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0.12505490729870267</v>
      </c>
      <c r="AD171" s="231">
        <f>(INDEX(Models!$BJ171:$BT171,,AH171)*(1-AF171)+INDEX(Models!$BJ171:$BT171,,AH171+1)*AF171-ERP_i)*AE171*Ramure*Pc/MaxiM</f>
        <v>0</v>
      </c>
      <c r="AE171" s="305">
        <f t="shared" si="65"/>
        <v>0.7</v>
      </c>
      <c r="AF171" s="177">
        <f t="shared" si="66"/>
        <v>0.32919756524836441</v>
      </c>
      <c r="AG171" s="817">
        <f t="shared" si="74"/>
        <v>0</v>
      </c>
      <c r="AH171" s="176">
        <f t="shared" si="67"/>
        <v>6</v>
      </c>
      <c r="AI171" s="225">
        <f t="shared" si="68"/>
        <v>0.32919756524836441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45449</v>
      </c>
      <c r="B172" s="411">
        <f>'2023'!Wh/'2023'!Env_an*'2024'!Env_an</f>
        <v>16.968919738520317</v>
      </c>
      <c r="C172" s="846"/>
      <c r="D172" s="393">
        <f t="shared" si="50"/>
        <v>17.822214881252428</v>
      </c>
      <c r="E172" s="385">
        <f t="shared" si="75"/>
        <v>19.259245514063288</v>
      </c>
      <c r="F172" s="385">
        <f t="shared" si="51"/>
        <v>19.259245514063288</v>
      </c>
      <c r="G172" s="110">
        <f t="shared" si="76"/>
        <v>0.44316440678776714</v>
      </c>
      <c r="H172" s="414" t="b">
        <f>Wh_hp&gt;='2023'!Maxi_hp</f>
        <v>0</v>
      </c>
      <c r="I172" s="390">
        <f>IF(H172,Wh_hp,'2023'!Maxi_hp)</f>
        <v>38.856191383459525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4.7878176108723247E-2</v>
      </c>
      <c r="M172" s="850"/>
      <c r="N172" s="850"/>
      <c r="O172" s="48">
        <f>IF(t&lt;Tnet,'2023'!Resal+('2023'!Salim-'2023'!Resal)*(1-EXP(('2023'!Tnet-t)/('2023'!Tau_j))),Resal+(Salim-Resal)*(1-EXP((Tnet-t)/(Tau_j))))*Salcycl</f>
        <v>7.4615105340524748E-2</v>
      </c>
      <c r="P172" s="169">
        <f>(INDEX(Models!$BJ172:$BT172,,T172)*(1-R172)+INDEX(Models!$BJ172:$BT172,,T172+1)*R172-ERP_i)*Q172*Ramure*Pc/MaxiM</f>
        <v>0</v>
      </c>
      <c r="Q172" s="305">
        <f t="shared" si="53"/>
        <v>0.7</v>
      </c>
      <c r="R172" s="177">
        <f t="shared" si="54"/>
        <v>0.3343167046661904</v>
      </c>
      <c r="S172" s="817">
        <f t="shared" si="55"/>
        <v>0</v>
      </c>
      <c r="T172" s="176">
        <f t="shared" si="56"/>
        <v>6</v>
      </c>
      <c r="U172" s="251">
        <f t="shared" si="57"/>
        <v>0.3343167046661904</v>
      </c>
      <c r="V172" s="383">
        <f t="shared" si="58"/>
        <v>38.290348860635795</v>
      </c>
      <c r="W172" s="402">
        <f t="shared" si="59"/>
        <v>16.968919738520317</v>
      </c>
      <c r="X172" s="157">
        <f t="shared" si="60"/>
        <v>45449</v>
      </c>
      <c r="Y172" s="385">
        <f t="shared" si="61"/>
        <v>16.041889908507361</v>
      </c>
      <c r="Z172" s="385">
        <f t="shared" si="62"/>
        <v>16.848568645286292</v>
      </c>
      <c r="AA172" s="386">
        <f t="shared" si="63"/>
        <v>19.259245514063288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0.12516984982701926</v>
      </c>
      <c r="AD172" s="231">
        <f>(INDEX(Models!$BJ172:$BT172,,AH172)*(1-AF172)+INDEX(Models!$BJ172:$BT172,,AH172+1)*AF172-ERP_i)*AE172*Ramure*Pc/MaxiM</f>
        <v>0</v>
      </c>
      <c r="AE172" s="305">
        <f t="shared" si="65"/>
        <v>0.7</v>
      </c>
      <c r="AF172" s="177">
        <f t="shared" si="66"/>
        <v>0.3343167046661904</v>
      </c>
      <c r="AG172" s="817">
        <f t="shared" si="74"/>
        <v>0</v>
      </c>
      <c r="AH172" s="176">
        <f t="shared" si="67"/>
        <v>6</v>
      </c>
      <c r="AI172" s="225">
        <f t="shared" si="68"/>
        <v>0.3343167046661904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45450</v>
      </c>
      <c r="B173" s="411">
        <f>'2023'!Wh/'2023'!Env_an*'2024'!Env_an</f>
        <v>14.977504806941846</v>
      </c>
      <c r="C173" s="846"/>
      <c r="D173" s="393">
        <f t="shared" si="50"/>
        <v>15.731004671972943</v>
      </c>
      <c r="E173" s="385">
        <f t="shared" si="75"/>
        <v>17.002206801709356</v>
      </c>
      <c r="F173" s="385">
        <f t="shared" si="51"/>
        <v>17.002206801709356</v>
      </c>
      <c r="G173" s="110">
        <f t="shared" si="76"/>
        <v>0.39141187199738936</v>
      </c>
      <c r="H173" s="414" t="b">
        <f>Wh_hp&gt;='2023'!Maxi_hp</f>
        <v>0</v>
      </c>
      <c r="I173" s="390">
        <f>IF(H173,Wh_hp,'2023'!Maxi_hp)</f>
        <v>43.845518262110815</v>
      </c>
      <c r="J173" s="85">
        <f>IF(H173,An,'2023'!An_max)</f>
        <v>2019</v>
      </c>
      <c r="K173" s="197">
        <f t="shared" si="52"/>
        <v>45450</v>
      </c>
      <c r="L173" s="147">
        <f>IF(t&lt;Tvie,1-EXP((T0-t)*PertePVj)+'2023'!Pspv,1-EXP((T0-t)*PertePVj)+Pspv)</f>
        <v>4.7899030020222777E-2</v>
      </c>
      <c r="M173" s="850"/>
      <c r="N173" s="850"/>
      <c r="O173" s="48">
        <f>IF(t&lt;Tnet,'2023'!Resal+('2023'!Salim-'2023'!Resal)*(1-EXP(('2023'!Tnet-t)/('2023'!Tau_j))),Resal+(Salim-Resal)*(1-EXP((Tnet-t)/(Tau_j))))*Salcycl</f>
        <v>7.4766890237366698E-2</v>
      </c>
      <c r="P173" s="169">
        <f>(INDEX(Models!$BJ173:$BT173,,T173)*(1-R173)+INDEX(Models!$BJ173:$BT173,,T173+1)*R173-ERP_i)*Q173*Ramure*Pc/MaxiM</f>
        <v>0</v>
      </c>
      <c r="Q173" s="305">
        <f t="shared" si="53"/>
        <v>0.7</v>
      </c>
      <c r="R173" s="177">
        <f t="shared" si="54"/>
        <v>0.33944881061945686</v>
      </c>
      <c r="S173" s="817">
        <f t="shared" si="55"/>
        <v>0</v>
      </c>
      <c r="T173" s="176">
        <f t="shared" si="56"/>
        <v>6</v>
      </c>
      <c r="U173" s="251">
        <f t="shared" si="57"/>
        <v>0.33944881061945686</v>
      </c>
      <c r="V173" s="383">
        <f t="shared" si="58"/>
        <v>38.26533091730478</v>
      </c>
      <c r="W173" s="402">
        <f t="shared" si="59"/>
        <v>14.977504806941846</v>
      </c>
      <c r="X173" s="157">
        <f t="shared" si="60"/>
        <v>45450</v>
      </c>
      <c r="Y173" s="385">
        <f t="shared" si="61"/>
        <v>14.159752246685297</v>
      </c>
      <c r="Z173" s="385">
        <f t="shared" si="62"/>
        <v>14.87211198512491</v>
      </c>
      <c r="AA173" s="386">
        <f t="shared" si="63"/>
        <v>17.002206801709356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0.12528343181723275</v>
      </c>
      <c r="AD173" s="231">
        <f>(INDEX(Models!$BJ173:$BT173,,AH173)*(1-AF173)+INDEX(Models!$BJ173:$BT173,,AH173+1)*AF173-ERP_i)*AE173*Ramure*Pc/MaxiM</f>
        <v>0</v>
      </c>
      <c r="AE173" s="305">
        <f t="shared" si="65"/>
        <v>0.7</v>
      </c>
      <c r="AF173" s="177">
        <f t="shared" si="66"/>
        <v>0.33944881061945686</v>
      </c>
      <c r="AG173" s="817">
        <f t="shared" si="74"/>
        <v>0</v>
      </c>
      <c r="AH173" s="176">
        <f t="shared" si="67"/>
        <v>6</v>
      </c>
      <c r="AI173" s="225">
        <f t="shared" si="68"/>
        <v>0.33944881061945686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45451</v>
      </c>
      <c r="B174" s="411">
        <f>'2023'!Wh/'2023'!Env_an*'2024'!Env_an</f>
        <v>29.315628796074972</v>
      </c>
      <c r="C174" s="846"/>
      <c r="D174" s="393">
        <f t="shared" si="50"/>
        <v>30.791136467667432</v>
      </c>
      <c r="E174" s="385">
        <f t="shared" si="75"/>
        <v>33.284757184799638</v>
      </c>
      <c r="F174" s="385">
        <f t="shared" si="51"/>
        <v>33.284757184799638</v>
      </c>
      <c r="G174" s="110">
        <f t="shared" si="76"/>
        <v>0.76663826039376759</v>
      </c>
      <c r="H174" s="414" t="b">
        <f>Wh_hp&gt;='2023'!Maxi_hp</f>
        <v>0</v>
      </c>
      <c r="I174" s="390">
        <f>IF(H174,Wh_hp,'2023'!Maxi_hp)</f>
        <v>42.32398609821027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4.7919883474968006E-2</v>
      </c>
      <c r="M174" s="850"/>
      <c r="N174" s="850"/>
      <c r="O174" s="48">
        <f>IF(t&lt;Tnet,'2023'!Resal+('2023'!Salim-'2023'!Resal)*(1-EXP(('2023'!Tnet-t)/('2023'!Tau_j))),Resal+(Salim-Resal)*(1-EXP((Tnet-t)/(Tau_j))))*Salcycl</f>
        <v>7.4917798056552548E-2</v>
      </c>
      <c r="P174" s="169">
        <f>(INDEX(Models!$BJ174:$BT174,,T174)*(1-R174)+INDEX(Models!$BJ174:$BT174,,T174+1)*R174-ERP_i)*Q174*Ramure*Pc/MaxiM</f>
        <v>0</v>
      </c>
      <c r="Q174" s="305">
        <f t="shared" si="53"/>
        <v>0.7</v>
      </c>
      <c r="R174" s="177">
        <f t="shared" si="54"/>
        <v>0.34458958526376277</v>
      </c>
      <c r="S174" s="817">
        <f t="shared" si="55"/>
        <v>0</v>
      </c>
      <c r="T174" s="176">
        <f t="shared" si="56"/>
        <v>6</v>
      </c>
      <c r="U174" s="251">
        <f t="shared" si="57"/>
        <v>0.34458958526376277</v>
      </c>
      <c r="V174" s="383">
        <f t="shared" si="58"/>
        <v>38.239193516140993</v>
      </c>
      <c r="W174" s="402">
        <f t="shared" si="59"/>
        <v>29.315628796074972</v>
      </c>
      <c r="X174" s="157">
        <f t="shared" si="60"/>
        <v>45451</v>
      </c>
      <c r="Y174" s="385">
        <f t="shared" si="61"/>
        <v>27.716000678303402</v>
      </c>
      <c r="Z174" s="385">
        <f t="shared" si="62"/>
        <v>29.110996225257999</v>
      </c>
      <c r="AA174" s="386">
        <f t="shared" si="63"/>
        <v>33.284757184799638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0.12539556579513506</v>
      </c>
      <c r="AD174" s="231">
        <f>(INDEX(Models!$BJ174:$BT174,,AH174)*(1-AF174)+INDEX(Models!$BJ174:$BT174,,AH174+1)*AF174-ERP_i)*AE174*Ramure*Pc/MaxiM</f>
        <v>0</v>
      </c>
      <c r="AE174" s="305">
        <f t="shared" si="65"/>
        <v>0.7</v>
      </c>
      <c r="AF174" s="177">
        <f t="shared" si="66"/>
        <v>0.34458958526376277</v>
      </c>
      <c r="AG174" s="817">
        <f t="shared" si="74"/>
        <v>0</v>
      </c>
      <c r="AH174" s="176">
        <f t="shared" si="67"/>
        <v>6</v>
      </c>
      <c r="AI174" s="225">
        <f t="shared" si="68"/>
        <v>0.34458958526376277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45452</v>
      </c>
      <c r="B175" s="411">
        <f>'2023'!Wh/'2023'!Env_an*'2024'!Env_an</f>
        <v>37.290562893717336</v>
      </c>
      <c r="C175" s="846"/>
      <c r="D175" s="393">
        <f t="shared" si="50"/>
        <v>39.168321051327688</v>
      </c>
      <c r="E175" s="385">
        <f t="shared" si="75"/>
        <v>42.347233701436771</v>
      </c>
      <c r="F175" s="385">
        <f t="shared" si="51"/>
        <v>42.347233701436771</v>
      </c>
      <c r="G175" s="110">
        <f t="shared" si="76"/>
        <v>0.97588532458920729</v>
      </c>
      <c r="H175" s="414" t="b">
        <f>Wh_hp&gt;='2023'!Maxi_hp</f>
        <v>1</v>
      </c>
      <c r="I175" s="390">
        <f>IF(H175,Wh_hp,'2023'!Maxi_hp)</f>
        <v>42.347233701436771</v>
      </c>
      <c r="J175" s="85">
        <f>IF(H175,An,'2023'!An_max)</f>
        <v>2024</v>
      </c>
      <c r="K175" s="197">
        <f t="shared" si="52"/>
        <v>45452</v>
      </c>
      <c r="L175" s="147">
        <f>IF(t&lt;Tvie,1-EXP((T0-t)*PertePVj)+'2023'!Pspv,1-EXP((T0-t)*PertePVj)+Pspv)</f>
        <v>4.7940736472969148E-2</v>
      </c>
      <c r="M175" s="850"/>
      <c r="N175" s="850"/>
      <c r="O175" s="48">
        <f>IF(t&lt;Tnet,'2023'!Resal+('2023'!Salim-'2023'!Resal)*(1-EXP(('2023'!Tnet-t)/('2023'!Tau_j))),Resal+(Salim-Resal)*(1-EXP((Tnet-t)/(Tau_j))))*Salcycl</f>
        <v>7.5067775914751889E-2</v>
      </c>
      <c r="P175" s="169">
        <f>(INDEX(Models!$BJ175:$BT175,,T175)*(1-R175)+INDEX(Models!$BJ175:$BT175,,T175+1)*R175-ERP_i)*Q175*Ramure*Pc/MaxiM</f>
        <v>0</v>
      </c>
      <c r="Q175" s="305">
        <f t="shared" si="53"/>
        <v>0.7</v>
      </c>
      <c r="R175" s="177">
        <f t="shared" si="54"/>
        <v>0.34973470157477426</v>
      </c>
      <c r="S175" s="817">
        <f t="shared" si="55"/>
        <v>0</v>
      </c>
      <c r="T175" s="176">
        <f t="shared" si="56"/>
        <v>6</v>
      </c>
      <c r="U175" s="251">
        <f t="shared" si="57"/>
        <v>0.34973470157477426</v>
      </c>
      <c r="V175" s="383">
        <f t="shared" si="58"/>
        <v>38.212033682763455</v>
      </c>
      <c r="W175" s="402">
        <f t="shared" si="59"/>
        <v>37.290562893717336</v>
      </c>
      <c r="X175" s="157">
        <f t="shared" si="60"/>
        <v>45452</v>
      </c>
      <c r="Y175" s="385">
        <f t="shared" si="61"/>
        <v>35.257034389132386</v>
      </c>
      <c r="Z175" s="385">
        <f t="shared" si="62"/>
        <v>37.032394662615843</v>
      </c>
      <c r="AA175" s="386">
        <f t="shared" si="63"/>
        <v>42.347233701436771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0.12550616827281935</v>
      </c>
      <c r="AD175" s="231">
        <f>(INDEX(Models!$BJ175:$BT175,,AH175)*(1-AF175)+INDEX(Models!$BJ175:$BT175,,AH175+1)*AF175-ERP_i)*AE175*Ramure*Pc/MaxiM</f>
        <v>0</v>
      </c>
      <c r="AE175" s="305">
        <f t="shared" si="65"/>
        <v>0.7</v>
      </c>
      <c r="AF175" s="177">
        <f t="shared" si="66"/>
        <v>0.34973470157477426</v>
      </c>
      <c r="AG175" s="817">
        <f t="shared" si="74"/>
        <v>0</v>
      </c>
      <c r="AH175" s="176">
        <f t="shared" si="67"/>
        <v>6</v>
      </c>
      <c r="AI175" s="225">
        <f t="shared" si="68"/>
        <v>0.34973470157477426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45453</v>
      </c>
      <c r="B176" s="411">
        <f>'2023'!Wh/'2023'!Env_an*'2024'!Env_an</f>
        <v>35.33176112730343</v>
      </c>
      <c r="C176" s="846"/>
      <c r="D176" s="393">
        <f t="shared" si="50"/>
        <v>37.111697090792859</v>
      </c>
      <c r="E176" s="385">
        <f t="shared" si="75"/>
        <v>40.130158094722177</v>
      </c>
      <c r="F176" s="385">
        <f t="shared" si="51"/>
        <v>40.130158094722177</v>
      </c>
      <c r="G176" s="110">
        <f t="shared" si="76"/>
        <v>0.92530402780827681</v>
      </c>
      <c r="H176" s="414" t="b">
        <f>Wh_hp&gt;='2023'!Maxi_hp</f>
        <v>1</v>
      </c>
      <c r="I176" s="390">
        <f>IF(H176,Wh_hp,'2023'!Maxi_hp)</f>
        <v>40.130158094722177</v>
      </c>
      <c r="J176" s="85">
        <f>IF(H176,An,'2023'!An_max)</f>
        <v>2024</v>
      </c>
      <c r="K176" s="197">
        <f t="shared" si="52"/>
        <v>45453</v>
      </c>
      <c r="L176" s="147">
        <f>IF(t&lt;Tvie,1-EXP((T0-t)*PertePVj)+'2023'!Pspv,1-EXP((T0-t)*PertePVj)+Pspv)</f>
        <v>4.7961589014236083E-2</v>
      </c>
      <c r="M176" s="850"/>
      <c r="N176" s="850"/>
      <c r="O176" s="48">
        <f>IF(t&lt;Tnet,'2023'!Resal+('2023'!Salim-'2023'!Resal)*(1-EXP(('2023'!Tnet-t)/('2023'!Tau_j))),Resal+(Salim-Resal)*(1-EXP((Tnet-t)/(Tau_j))))*Salcycl</f>
        <v>7.5216773300633866E-2</v>
      </c>
      <c r="P176" s="169">
        <f>(INDEX(Models!$BJ176:$BT176,,T176)*(1-R176)+INDEX(Models!$BJ176:$BT176,,T176+1)*R176-ERP_i)*Q176*Ramure*Pc/MaxiM</f>
        <v>0</v>
      </c>
      <c r="Q176" s="305">
        <f t="shared" si="53"/>
        <v>0.7</v>
      </c>
      <c r="R176" s="177">
        <f t="shared" si="54"/>
        <v>0.35487981788578582</v>
      </c>
      <c r="S176" s="817">
        <f t="shared" si="55"/>
        <v>0</v>
      </c>
      <c r="T176" s="176">
        <f t="shared" si="56"/>
        <v>6</v>
      </c>
      <c r="U176" s="251">
        <f t="shared" si="57"/>
        <v>0.35487981788578582</v>
      </c>
      <c r="V176" s="383">
        <f t="shared" si="58"/>
        <v>38.183948265082208</v>
      </c>
      <c r="W176" s="402">
        <f t="shared" si="59"/>
        <v>35.33176112730343</v>
      </c>
      <c r="X176" s="157">
        <f t="shared" si="60"/>
        <v>45453</v>
      </c>
      <c r="Y176" s="385">
        <f t="shared" si="61"/>
        <v>33.406267983225007</v>
      </c>
      <c r="Z176" s="385">
        <f t="shared" si="62"/>
        <v>35.089201861756123</v>
      </c>
      <c r="AA176" s="386">
        <f t="shared" si="63"/>
        <v>40.130158094722177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0.12561516007655663</v>
      </c>
      <c r="AD176" s="231">
        <f>(INDEX(Models!$BJ176:$BT176,,AH176)*(1-AF176)+INDEX(Models!$BJ176:$BT176,,AH176+1)*AF176-ERP_i)*AE176*Ramure*Pc/MaxiM</f>
        <v>0</v>
      </c>
      <c r="AE176" s="305">
        <f t="shared" si="65"/>
        <v>0.7</v>
      </c>
      <c r="AF176" s="177">
        <f t="shared" si="66"/>
        <v>0.35487981788578582</v>
      </c>
      <c r="AG176" s="817">
        <f t="shared" si="74"/>
        <v>0</v>
      </c>
      <c r="AH176" s="176">
        <f t="shared" si="67"/>
        <v>6</v>
      </c>
      <c r="AI176" s="225">
        <f t="shared" si="68"/>
        <v>0.35487981788578582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45454</v>
      </c>
      <c r="B177" s="411">
        <f>'2023'!Wh/'2023'!Env_an*'2024'!Env_an</f>
        <v>27.970824545281271</v>
      </c>
      <c r="C177" s="846"/>
      <c r="D177" s="393">
        <f t="shared" si="50"/>
        <v>29.380576317903238</v>
      </c>
      <c r="E177" s="385">
        <f t="shared" si="75"/>
        <v>31.775314722678644</v>
      </c>
      <c r="F177" s="385">
        <f t="shared" si="51"/>
        <v>31.775314722678644</v>
      </c>
      <c r="G177" s="110">
        <f t="shared" si="76"/>
        <v>0.73309191471387924</v>
      </c>
      <c r="H177" s="414" t="b">
        <f>Wh_hp&gt;='2023'!Maxi_hp</f>
        <v>0</v>
      </c>
      <c r="I177" s="390">
        <f>IF(H177,Wh_hp,'2023'!Maxi_hp)</f>
        <v>42.346993291813639</v>
      </c>
      <c r="J177" s="85">
        <f>IF(H177,An,'2023'!An_max)</f>
        <v>2019</v>
      </c>
      <c r="K177" s="197">
        <f t="shared" si="52"/>
        <v>45454</v>
      </c>
      <c r="L177" s="147">
        <f>IF(t&lt;Tvie,1-EXP((T0-t)*PertePVj)+'2023'!Pspv,1-EXP((T0-t)*PertePVj)+Pspv)</f>
        <v>4.7982441098778805E-2</v>
      </c>
      <c r="M177" s="850"/>
      <c r="N177" s="850"/>
      <c r="O177" s="48">
        <f>IF(t&lt;Tnet,'2023'!Resal+('2023'!Salim-'2023'!Resal)*(1-EXP(('2023'!Tnet-t)/('2023'!Tau_j))),Resal+(Salim-Resal)*(1-EXP((Tnet-t)/(Tau_j))))*Salcycl</f>
        <v>7.5364742274802221E-2</v>
      </c>
      <c r="P177" s="169">
        <f>(INDEX(Models!$BJ177:$BT177,,T177)*(1-R177)+INDEX(Models!$BJ177:$BT177,,T177+1)*R177-ERP_i)*Q177*Ramure*Pc/MaxiM</f>
        <v>0</v>
      </c>
      <c r="Q177" s="305">
        <f t="shared" si="53"/>
        <v>0.7</v>
      </c>
      <c r="R177" s="177">
        <f t="shared" si="54"/>
        <v>0.36002059253009172</v>
      </c>
      <c r="S177" s="817">
        <f t="shared" si="55"/>
        <v>0</v>
      </c>
      <c r="T177" s="176">
        <f t="shared" si="56"/>
        <v>6</v>
      </c>
      <c r="U177" s="251">
        <f t="shared" si="57"/>
        <v>0.36002059253009172</v>
      </c>
      <c r="V177" s="383">
        <f t="shared" si="58"/>
        <v>38.15459423829288</v>
      </c>
      <c r="W177" s="402">
        <f t="shared" si="59"/>
        <v>27.970824545281271</v>
      </c>
      <c r="X177" s="157">
        <f t="shared" si="60"/>
        <v>45454</v>
      </c>
      <c r="Y177" s="385">
        <f t="shared" si="61"/>
        <v>26.447470269787683</v>
      </c>
      <c r="Z177" s="385">
        <f t="shared" si="62"/>
        <v>27.780443777016306</v>
      </c>
      <c r="AA177" s="386">
        <f t="shared" si="63"/>
        <v>31.775314722678644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0.12572246665462988</v>
      </c>
      <c r="AD177" s="231">
        <f>(INDEX(Models!$BJ177:$BT177,,AH177)*(1-AF177)+INDEX(Models!$BJ177:$BT177,,AH177+1)*AF177-ERP_i)*AE177*Ramure*Pc/MaxiM</f>
        <v>0</v>
      </c>
      <c r="AE177" s="305">
        <f t="shared" si="65"/>
        <v>0.7</v>
      </c>
      <c r="AF177" s="177">
        <f t="shared" si="66"/>
        <v>0.36002059253009172</v>
      </c>
      <c r="AG177" s="817">
        <f t="shared" si="74"/>
        <v>0</v>
      </c>
      <c r="AH177" s="176">
        <f t="shared" si="67"/>
        <v>6</v>
      </c>
      <c r="AI177" s="225">
        <f t="shared" si="68"/>
        <v>0.36002059253009172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45455</v>
      </c>
      <c r="B178" s="411">
        <f>'2023'!Wh/'2023'!Env_an*'2024'!Env_an</f>
        <v>34.040180769784513</v>
      </c>
      <c r="C178" s="846"/>
      <c r="D178" s="393">
        <f t="shared" si="50"/>
        <v>35.756616078304269</v>
      </c>
      <c r="E178" s="385">
        <f t="shared" si="75"/>
        <v>38.677194364786097</v>
      </c>
      <c r="F178" s="385">
        <f t="shared" si="51"/>
        <v>38.677194364786097</v>
      </c>
      <c r="G178" s="110">
        <f t="shared" si="76"/>
        <v>0.89288931637677638</v>
      </c>
      <c r="H178" s="414" t="b">
        <f>Wh_hp&gt;='2023'!Maxi_hp</f>
        <v>0</v>
      </c>
      <c r="I178" s="390">
        <f>IF(H178,Wh_hp,'2023'!Maxi_hp)</f>
        <v>42.331938879997239</v>
      </c>
      <c r="J178" s="85">
        <f>IF(H178,An,'2023'!An_max)</f>
        <v>2019</v>
      </c>
      <c r="K178" s="197">
        <f t="shared" si="52"/>
        <v>45455</v>
      </c>
      <c r="L178" s="147">
        <f>IF(t&lt;Tvie,1-EXP((T0-t)*PertePVj)+'2023'!Pspv,1-EXP((T0-t)*PertePVj)+Pspv)</f>
        <v>4.8003292726607416E-2</v>
      </c>
      <c r="M178" s="850"/>
      <c r="N178" s="850"/>
      <c r="O178" s="48">
        <f>IF(t&lt;Tnet,'2023'!Resal+('2023'!Salim-'2023'!Resal)*(1-EXP(('2023'!Tnet-t)/('2023'!Tau_j))),Resal+(Salim-Resal)*(1-EXP((Tnet-t)/(Tau_j))))*Salcycl</f>
        <v>7.5511637657484448E-2</v>
      </c>
      <c r="P178" s="169">
        <f>(INDEX(Models!$BJ178:$BT178,,T178)*(1-R178)+INDEX(Models!$BJ178:$BT178,,T178+1)*R178-ERP_i)*Q178*Ramure*Pc/MaxiM</f>
        <v>0</v>
      </c>
      <c r="Q178" s="305">
        <f t="shared" si="53"/>
        <v>0.7</v>
      </c>
      <c r="R178" s="177">
        <f t="shared" si="54"/>
        <v>0.36515269848335824</v>
      </c>
      <c r="S178" s="817">
        <f t="shared" si="55"/>
        <v>0</v>
      </c>
      <c r="T178" s="176">
        <f t="shared" si="56"/>
        <v>6</v>
      </c>
      <c r="U178" s="251">
        <f t="shared" si="57"/>
        <v>0.36515269848335824</v>
      </c>
      <c r="V178" s="383">
        <f t="shared" si="58"/>
        <v>38.123628702284115</v>
      </c>
      <c r="W178" s="402">
        <f t="shared" si="59"/>
        <v>34.040180769784513</v>
      </c>
      <c r="X178" s="157">
        <f t="shared" si="60"/>
        <v>45455</v>
      </c>
      <c r="Y178" s="385">
        <f t="shared" si="61"/>
        <v>32.187503370414625</v>
      </c>
      <c r="Z178" s="385">
        <f t="shared" si="62"/>
        <v>33.810519642029689</v>
      </c>
      <c r="AA178" s="386">
        <f t="shared" si="63"/>
        <v>38.677194364786097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0.12582801836286506</v>
      </c>
      <c r="AD178" s="231">
        <f>(INDEX(Models!$BJ178:$BT178,,AH178)*(1-AF178)+INDEX(Models!$BJ178:$BT178,,AH178+1)*AF178-ERP_i)*AE178*Ramure*Pc/MaxiM</f>
        <v>0</v>
      </c>
      <c r="AE178" s="305">
        <f t="shared" si="65"/>
        <v>0.7</v>
      </c>
      <c r="AF178" s="177">
        <f t="shared" si="66"/>
        <v>0.36515269848335824</v>
      </c>
      <c r="AG178" s="817">
        <f t="shared" si="74"/>
        <v>0</v>
      </c>
      <c r="AH178" s="176">
        <f t="shared" si="67"/>
        <v>6</v>
      </c>
      <c r="AI178" s="225">
        <f t="shared" si="68"/>
        <v>0.36515269848335824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45456</v>
      </c>
      <c r="B179" s="411">
        <f>'2023'!Wh/'2023'!Env_an*'2024'!Env_an</f>
        <v>30.49444877215663</v>
      </c>
      <c r="C179" s="846"/>
      <c r="D179" s="393">
        <f t="shared" si="50"/>
        <v>32.032796395711003</v>
      </c>
      <c r="E179" s="385">
        <f t="shared" si="75"/>
        <v>34.654679976732957</v>
      </c>
      <c r="F179" s="385">
        <f t="shared" si="51"/>
        <v>34.654679976732957</v>
      </c>
      <c r="G179" s="110">
        <f t="shared" si="76"/>
        <v>0.8005652245803101</v>
      </c>
      <c r="H179" s="414" t="b">
        <f>Wh_hp&gt;='2023'!Maxi_hp</f>
        <v>0</v>
      </c>
      <c r="I179" s="390">
        <f>IF(H179,Wh_hp,'2023'!Maxi_hp)</f>
        <v>38.498125268407549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4.8024143897731908E-2</v>
      </c>
      <c r="M179" s="850"/>
      <c r="N179" s="850"/>
      <c r="O179" s="48">
        <f>IF(t&lt;Tnet,'2023'!Resal+('2023'!Salim-'2023'!Resal)*(1-EXP(('2023'!Tnet-t)/('2023'!Tau_j))),Resal+(Salim-Resal)*(1-EXP((Tnet-t)/(Tau_j))))*Salcycl</f>
        <v>7.565741720259074E-2</v>
      </c>
      <c r="P179" s="169">
        <f>(INDEX(Models!$BJ179:$BT179,,T179)*(1-R179)+INDEX(Models!$BJ179:$BT179,,T179+1)*R179-ERP_i)*Q179*Ramure*Pc/MaxiM</f>
        <v>0</v>
      </c>
      <c r="Q179" s="305">
        <f t="shared" si="53"/>
        <v>0.7</v>
      </c>
      <c r="R179" s="177">
        <f t="shared" si="54"/>
        <v>0.37027183790118418</v>
      </c>
      <c r="S179" s="817">
        <f t="shared" si="55"/>
        <v>0</v>
      </c>
      <c r="T179" s="176">
        <f t="shared" si="56"/>
        <v>6</v>
      </c>
      <c r="U179" s="251">
        <f t="shared" si="57"/>
        <v>0.37027183790118418</v>
      </c>
      <c r="V179" s="383">
        <f t="shared" si="58"/>
        <v>38.091148398486958</v>
      </c>
      <c r="W179" s="402">
        <f t="shared" si="59"/>
        <v>30.49444877215663</v>
      </c>
      <c r="X179" s="157">
        <f t="shared" si="60"/>
        <v>45456</v>
      </c>
      <c r="Y179" s="385">
        <f t="shared" si="61"/>
        <v>28.835877462441239</v>
      </c>
      <c r="Z179" s="385">
        <f t="shared" si="62"/>
        <v>30.290555456422712</v>
      </c>
      <c r="AA179" s="386">
        <f t="shared" si="63"/>
        <v>34.654679976732957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0.1259317507257405</v>
      </c>
      <c r="AD179" s="231">
        <f>(INDEX(Models!$BJ179:$BT179,,AH179)*(1-AF179)+INDEX(Models!$BJ179:$BT179,,AH179+1)*AF179-ERP_i)*AE179*Ramure*Pc/MaxiM</f>
        <v>0</v>
      </c>
      <c r="AE179" s="305">
        <f t="shared" si="65"/>
        <v>0.7</v>
      </c>
      <c r="AF179" s="177">
        <f t="shared" si="66"/>
        <v>0.37027183790118418</v>
      </c>
      <c r="AG179" s="817">
        <f t="shared" si="74"/>
        <v>0</v>
      </c>
      <c r="AH179" s="176">
        <f t="shared" si="67"/>
        <v>6</v>
      </c>
      <c r="AI179" s="225">
        <f t="shared" si="68"/>
        <v>0.37027183790118418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45457</v>
      </c>
      <c r="B180" s="411">
        <f>'2023'!Wh/'2023'!Env_an*'2024'!Env_an</f>
        <v>34.562460395191742</v>
      </c>
      <c r="C180" s="846"/>
      <c r="D180" s="393">
        <f t="shared" si="50"/>
        <v>36.306821435442302</v>
      </c>
      <c r="E180" s="385">
        <f t="shared" si="75"/>
        <v>39.284680421129096</v>
      </c>
      <c r="F180" s="385">
        <f t="shared" si="51"/>
        <v>39.284680421129096</v>
      </c>
      <c r="G180" s="110">
        <f t="shared" si="76"/>
        <v>0.90817020478727051</v>
      </c>
      <c r="H180" s="414" t="b">
        <f>Wh_hp&gt;='2023'!Maxi_hp</f>
        <v>1</v>
      </c>
      <c r="I180" s="390">
        <f>IF(H180,Wh_hp,'2023'!Maxi_hp)</f>
        <v>39.284680421129096</v>
      </c>
      <c r="J180" s="85">
        <f>IF(H180,An,'2023'!An_max)</f>
        <v>2024</v>
      </c>
      <c r="K180" s="197">
        <f t="shared" si="52"/>
        <v>45457</v>
      </c>
      <c r="L180" s="147">
        <f>IF(t&lt;Tvie,1-EXP((T0-t)*PertePVj)+'2023'!Pspv,1-EXP((T0-t)*PertePVj)+Pspv)</f>
        <v>4.8044994612162162E-2</v>
      </c>
      <c r="M180" s="850"/>
      <c r="N180" s="850"/>
      <c r="O180" s="48">
        <f>IF(t&lt;Tnet,'2023'!Resal+('2023'!Salim-'2023'!Resal)*(1-EXP(('2023'!Tnet-t)/('2023'!Tau_j))),Resal+(Salim-Resal)*(1-EXP((Tnet-t)/(Tau_j))))*Salcycl</f>
        <v>7.5802041756846406E-2</v>
      </c>
      <c r="P180" s="169">
        <f>(INDEX(Models!$BJ180:$BT180,,T180)*(1-R180)+INDEX(Models!$BJ180:$BT180,,T180+1)*R180-ERP_i)*Q180*Ramure*Pc/MaxiM</f>
        <v>0</v>
      </c>
      <c r="Q180" s="305">
        <f t="shared" si="53"/>
        <v>0.7</v>
      </c>
      <c r="R180" s="177">
        <f t="shared" si="54"/>
        <v>0.37537375644832421</v>
      </c>
      <c r="S180" s="817">
        <f t="shared" si="55"/>
        <v>0</v>
      </c>
      <c r="T180" s="176">
        <f t="shared" si="56"/>
        <v>6</v>
      </c>
      <c r="U180" s="251">
        <f t="shared" si="57"/>
        <v>0.37537375644832421</v>
      </c>
      <c r="V180" s="383">
        <f t="shared" si="58"/>
        <v>38.057249855810497</v>
      </c>
      <c r="W180" s="402">
        <f t="shared" si="59"/>
        <v>34.562460395191742</v>
      </c>
      <c r="X180" s="157">
        <f t="shared" si="60"/>
        <v>45457</v>
      </c>
      <c r="Y180" s="385">
        <f t="shared" si="61"/>
        <v>32.683938171323767</v>
      </c>
      <c r="Z180" s="385">
        <f t="shared" si="62"/>
        <v>34.333490539301216</v>
      </c>
      <c r="AA180" s="386">
        <f t="shared" si="63"/>
        <v>39.284680421129096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0.12603360467112007</v>
      </c>
      <c r="AD180" s="231">
        <f>(INDEX(Models!$BJ180:$BT180,,AH180)*(1-AF180)+INDEX(Models!$BJ180:$BT180,,AH180+1)*AF180-ERP_i)*AE180*Ramure*Pc/MaxiM</f>
        <v>0</v>
      </c>
      <c r="AE180" s="305">
        <f t="shared" si="65"/>
        <v>0.7</v>
      </c>
      <c r="AF180" s="177">
        <f t="shared" si="66"/>
        <v>0.37537375644832421</v>
      </c>
      <c r="AG180" s="817">
        <f t="shared" si="74"/>
        <v>0</v>
      </c>
      <c r="AH180" s="176">
        <f t="shared" si="67"/>
        <v>6</v>
      </c>
      <c r="AI180" s="225">
        <f t="shared" si="68"/>
        <v>0.37537375644832421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45458</v>
      </c>
      <c r="B181" s="411">
        <f>'2023'!Wh/'2023'!Env_an*'2024'!Env_an</f>
        <v>32.610518231134208</v>
      </c>
      <c r="C181" s="846"/>
      <c r="D181" s="393">
        <f t="shared" si="50"/>
        <v>34.257115426935847</v>
      </c>
      <c r="E181" s="385">
        <f t="shared" si="75"/>
        <v>37.072612616521518</v>
      </c>
      <c r="F181" s="385">
        <f t="shared" si="51"/>
        <v>37.072612616521518</v>
      </c>
      <c r="G181" s="110">
        <f t="shared" si="76"/>
        <v>0.85767432083089701</v>
      </c>
      <c r="H181" s="414" t="b">
        <f>Wh_hp&gt;='2023'!Maxi_hp</f>
        <v>0</v>
      </c>
      <c r="I181" s="390">
        <f>IF(H181,Wh_hp,'2023'!Maxi_hp)</f>
        <v>44.363595434270344</v>
      </c>
      <c r="J181" s="85">
        <f>IF(H181,An,'2023'!An_max)</f>
        <v>2019</v>
      </c>
      <c r="K181" s="197">
        <f t="shared" si="52"/>
        <v>45458</v>
      </c>
      <c r="L181" s="147">
        <f>IF(t&lt;Tvie,1-EXP((T0-t)*PertePVj)+'2023'!Pspv,1-EXP((T0-t)*PertePVj)+Pspv)</f>
        <v>4.8065844869908281E-2</v>
      </c>
      <c r="M181" s="850"/>
      <c r="N181" s="850"/>
      <c r="O181" s="48">
        <f>IF(t&lt;Tnet,'2023'!Resal+('2023'!Salim-'2023'!Resal)*(1-EXP(('2023'!Tnet-t)/('2023'!Tau_j))),Resal+(Salim-Resal)*(1-EXP((Tnet-t)/(Tau_j))))*Salcycl</f>
        <v>7.5945475402802817E-2</v>
      </c>
      <c r="P181" s="169">
        <f>(INDEX(Models!$BJ181:$BT181,,T181)*(1-R181)+INDEX(Models!$BJ181:$BT181,,T181+1)*R181-ERP_i)*Q181*Ramure*Pc/MaxiM</f>
        <v>0</v>
      </c>
      <c r="Q181" s="305">
        <f t="shared" si="53"/>
        <v>0.7</v>
      </c>
      <c r="R181" s="177">
        <f t="shared" si="54"/>
        <v>0.38045425731859611</v>
      </c>
      <c r="S181" s="817">
        <f t="shared" si="55"/>
        <v>0</v>
      </c>
      <c r="T181" s="176">
        <f t="shared" si="56"/>
        <v>6</v>
      </c>
      <c r="U181" s="251">
        <f t="shared" si="57"/>
        <v>0.38045425731859611</v>
      </c>
      <c r="V181" s="383">
        <f t="shared" si="58"/>
        <v>38.022029387030983</v>
      </c>
      <c r="W181" s="402">
        <f t="shared" si="59"/>
        <v>32.610518231134208</v>
      </c>
      <c r="X181" s="157">
        <f t="shared" si="60"/>
        <v>45458</v>
      </c>
      <c r="Y181" s="385">
        <f t="shared" si="61"/>
        <v>30.839347462042312</v>
      </c>
      <c r="Z181" s="385">
        <f t="shared" si="62"/>
        <v>32.396513241851054</v>
      </c>
      <c r="AA181" s="386">
        <f t="shared" si="63"/>
        <v>37.072612616521518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0.12613352673683828</v>
      </c>
      <c r="AD181" s="231">
        <f>(INDEX(Models!$BJ181:$BT181,,AH181)*(1-AF181)+INDEX(Models!$BJ181:$BT181,,AH181+1)*AF181-ERP_i)*AE181*Ramure*Pc/MaxiM</f>
        <v>0</v>
      </c>
      <c r="AE181" s="305">
        <f t="shared" si="65"/>
        <v>0.7</v>
      </c>
      <c r="AF181" s="177">
        <f t="shared" si="66"/>
        <v>0.38045425731859611</v>
      </c>
      <c r="AG181" s="817">
        <f t="shared" si="74"/>
        <v>0</v>
      </c>
      <c r="AH181" s="176">
        <f t="shared" si="67"/>
        <v>6</v>
      </c>
      <c r="AI181" s="225">
        <f t="shared" si="68"/>
        <v>0.38045425731859611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45459</v>
      </c>
      <c r="B182" s="411">
        <f>'2023'!Wh/'2023'!Env_an*'2024'!Env_an</f>
        <v>33.204724938256454</v>
      </c>
      <c r="C182" s="846"/>
      <c r="D182" s="393">
        <f t="shared" si="50"/>
        <v>34.882089316715202</v>
      </c>
      <c r="E182" s="385">
        <f t="shared" si="75"/>
        <v>37.754761758737096</v>
      </c>
      <c r="F182" s="385">
        <f t="shared" si="51"/>
        <v>37.754761758737096</v>
      </c>
      <c r="G182" s="110">
        <f t="shared" si="76"/>
        <v>0.8741401932440227</v>
      </c>
      <c r="H182" s="414" t="b">
        <f>Wh_hp&gt;='2023'!Maxi_hp</f>
        <v>0</v>
      </c>
      <c r="I182" s="390">
        <f>IF(H182,Wh_hp,'2023'!Maxi_hp)</f>
        <v>42.925961898835723</v>
      </c>
      <c r="J182" s="85">
        <f>IF(H182,An,'2023'!An_max)</f>
        <v>2019</v>
      </c>
      <c r="K182" s="197">
        <f t="shared" si="52"/>
        <v>45459</v>
      </c>
      <c r="L182" s="147">
        <f>IF(t&lt;Tvie,1-EXP((T0-t)*PertePVj)+'2023'!Pspv,1-EXP((T0-t)*PertePVj)+Pspv)</f>
        <v>4.8086694670980257E-2</v>
      </c>
      <c r="M182" s="850"/>
      <c r="N182" s="850"/>
      <c r="O182" s="48">
        <f>IF(t&lt;Tnet,'2023'!Resal+('2023'!Salim-'2023'!Resal)*(1-EXP(('2023'!Tnet-t)/('2023'!Tau_j))),Resal+(Salim-Resal)*(1-EXP((Tnet-t)/(Tau_j))))*Salcycl</f>
        <v>7.6087685584643031E-2</v>
      </c>
      <c r="P182" s="169">
        <f>(INDEX(Models!$BJ182:$BT182,,T182)*(1-R182)+INDEX(Models!$BJ182:$BT182,,T182+1)*R182-ERP_i)*Q182*Ramure*Pc/MaxiM</f>
        <v>0</v>
      </c>
      <c r="Q182" s="305">
        <f t="shared" si="53"/>
        <v>0.7</v>
      </c>
      <c r="R182" s="177">
        <f t="shared" si="54"/>
        <v>0.3855092148482559</v>
      </c>
      <c r="S182" s="817">
        <f t="shared" si="55"/>
        <v>0</v>
      </c>
      <c r="T182" s="176">
        <f t="shared" si="56"/>
        <v>6</v>
      </c>
      <c r="U182" s="251">
        <f t="shared" si="57"/>
        <v>0.3855092148482559</v>
      </c>
      <c r="V182" s="383">
        <f t="shared" si="58"/>
        <v>37.985583084825741</v>
      </c>
      <c r="W182" s="402">
        <f t="shared" si="59"/>
        <v>33.204724938256454</v>
      </c>
      <c r="X182" s="157">
        <f t="shared" si="60"/>
        <v>45459</v>
      </c>
      <c r="Y182" s="385">
        <f t="shared" si="61"/>
        <v>31.402594456919232</v>
      </c>
      <c r="Z182" s="385">
        <f t="shared" si="62"/>
        <v>32.988922710839958</v>
      </c>
      <c r="AA182" s="386">
        <f t="shared" si="63"/>
        <v>37.754761758737096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0.12623146924756429</v>
      </c>
      <c r="AD182" s="231">
        <f>(INDEX(Models!$BJ182:$BT182,,AH182)*(1-AF182)+INDEX(Models!$BJ182:$BT182,,AH182+1)*AF182-ERP_i)*AE182*Ramure*Pc/MaxiM</f>
        <v>0</v>
      </c>
      <c r="AE182" s="305">
        <f t="shared" si="65"/>
        <v>0.7</v>
      </c>
      <c r="AF182" s="177">
        <f t="shared" si="66"/>
        <v>0.3855092148482559</v>
      </c>
      <c r="AG182" s="817">
        <f t="shared" si="74"/>
        <v>0</v>
      </c>
      <c r="AH182" s="176">
        <f t="shared" si="67"/>
        <v>6</v>
      </c>
      <c r="AI182" s="225">
        <f t="shared" si="68"/>
        <v>0.3855092148482559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45460</v>
      </c>
      <c r="B183" s="411">
        <f>'2023'!Wh/'2023'!Env_an*'2024'!Env_an</f>
        <v>34.42659439948649</v>
      </c>
      <c r="C183" s="846"/>
      <c r="D183" s="393">
        <f t="shared" si="50"/>
        <v>36.166474671633516</v>
      </c>
      <c r="E183" s="385">
        <f t="shared" si="75"/>
        <v>39.150894218603874</v>
      </c>
      <c r="F183" s="385">
        <f t="shared" si="51"/>
        <v>39.150894218603874</v>
      </c>
      <c r="G183" s="110">
        <f t="shared" si="76"/>
        <v>0.90720428516913187</v>
      </c>
      <c r="H183" s="414" t="b">
        <f>Wh_hp&gt;='2023'!Maxi_hp</f>
        <v>0</v>
      </c>
      <c r="I183" s="390">
        <f>IF(H183,Wh_hp,'2023'!Maxi_hp)</f>
        <v>41.455412731300569</v>
      </c>
      <c r="J183" s="85">
        <f>IF(H183,An,'2023'!An_max)</f>
        <v>2019</v>
      </c>
      <c r="K183" s="197">
        <f t="shared" si="52"/>
        <v>45460</v>
      </c>
      <c r="L183" s="147">
        <f>IF(t&lt;Tvie,1-EXP((T0-t)*PertePVj)+'2023'!Pspv,1-EXP((T0-t)*PertePVj)+Pspv)</f>
        <v>4.8107544015387971E-2</v>
      </c>
      <c r="M183" s="850"/>
      <c r="N183" s="850"/>
      <c r="O183" s="48">
        <f>IF(t&lt;Tnet,'2023'!Resal+('2023'!Salim-'2023'!Resal)*(1-EXP(('2023'!Tnet-t)/('2023'!Tau_j))),Resal+(Salim-Resal)*(1-EXP((Tnet-t)/(Tau_j))))*Salcycl</f>
        <v>7.6228643215822289E-2</v>
      </c>
      <c r="P183" s="169">
        <f>(INDEX(Models!$BJ183:$BT183,,T183)*(1-R183)+INDEX(Models!$BJ183:$BT183,,T183+1)*R183-ERP_i)*Q183*Ramure*Pc/MaxiM</f>
        <v>0</v>
      </c>
      <c r="Q183" s="305">
        <f t="shared" si="53"/>
        <v>0.7</v>
      </c>
      <c r="R183" s="177">
        <f t="shared" si="54"/>
        <v>0.39053458763052784</v>
      </c>
      <c r="S183" s="817">
        <f t="shared" si="55"/>
        <v>0</v>
      </c>
      <c r="T183" s="176">
        <f t="shared" si="56"/>
        <v>6</v>
      </c>
      <c r="U183" s="251">
        <f t="shared" si="57"/>
        <v>0.39053458763052784</v>
      </c>
      <c r="V183" s="383">
        <f t="shared" si="58"/>
        <v>37.948006818627711</v>
      </c>
      <c r="W183" s="402">
        <f t="shared" si="59"/>
        <v>34.42659439948649</v>
      </c>
      <c r="X183" s="157">
        <f t="shared" si="60"/>
        <v>45460</v>
      </c>
      <c r="Y183" s="385">
        <f t="shared" si="61"/>
        <v>32.559542299795822</v>
      </c>
      <c r="Z183" s="385">
        <f t="shared" si="62"/>
        <v>34.205063917769053</v>
      </c>
      <c r="AA183" s="386">
        <f t="shared" si="63"/>
        <v>39.150894218603874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0.1263273904605898</v>
      </c>
      <c r="AD183" s="231">
        <f>(INDEX(Models!$BJ183:$BT183,,AH183)*(1-AF183)+INDEX(Models!$BJ183:$BT183,,AH183+1)*AF183-ERP_i)*AE183*Ramure*Pc/MaxiM</f>
        <v>0</v>
      </c>
      <c r="AE183" s="305">
        <f t="shared" si="65"/>
        <v>0.7</v>
      </c>
      <c r="AF183" s="177">
        <f t="shared" si="66"/>
        <v>0.39053458763052784</v>
      </c>
      <c r="AG183" s="817">
        <f t="shared" si="74"/>
        <v>0</v>
      </c>
      <c r="AH183" s="176">
        <f t="shared" si="67"/>
        <v>6</v>
      </c>
      <c r="AI183" s="225">
        <f t="shared" si="68"/>
        <v>0.39053458763052784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45461</v>
      </c>
      <c r="B184" s="411">
        <f>'2023'!Wh/'2023'!Env_an*'2024'!Env_an</f>
        <v>35.248778882374218</v>
      </c>
      <c r="C184" s="846"/>
      <c r="D184" s="393">
        <f t="shared" si="50"/>
        <v>37.031022481992629</v>
      </c>
      <c r="E184" s="385">
        <f t="shared" si="75"/>
        <v>40.09284587657087</v>
      </c>
      <c r="F184" s="385">
        <f t="shared" si="51"/>
        <v>40.09284587657087</v>
      </c>
      <c r="G184" s="110">
        <f t="shared" si="76"/>
        <v>0.92981641456178798</v>
      </c>
      <c r="H184" s="414" t="b">
        <f>Wh_hp&gt;='2023'!Maxi_hp</f>
        <v>1</v>
      </c>
      <c r="I184" s="390">
        <f>IF(H184,Wh_hp,'2023'!Maxi_hp)</f>
        <v>40.09284587657087</v>
      </c>
      <c r="J184" s="85">
        <f>IF(H184,An,'2023'!An_max)</f>
        <v>2024</v>
      </c>
      <c r="K184" s="197">
        <f t="shared" si="52"/>
        <v>45461</v>
      </c>
      <c r="L184" s="147">
        <f>IF(t&lt;Tvie,1-EXP((T0-t)*PertePVj)+'2023'!Pspv,1-EXP((T0-t)*PertePVj)+Pspv)</f>
        <v>4.8128392903141637E-2</v>
      </c>
      <c r="M184" s="850"/>
      <c r="N184" s="850"/>
      <c r="O184" s="48">
        <f>IF(t&lt;Tnet,'2023'!Resal+('2023'!Salim-'2023'!Resal)*(1-EXP(('2023'!Tnet-t)/('2023'!Tau_j))),Resal+(Salim-Resal)*(1-EXP((Tnet-t)/(Tau_j))))*Salcycl</f>
        <v>7.6368322767715713E-2</v>
      </c>
      <c r="P184" s="169">
        <f>(INDEX(Models!$BJ184:$BT184,,T184)*(1-R184)+INDEX(Models!$BJ184:$BT184,,T184+1)*R184-ERP_i)*Q184*Ramure*Pc/MaxiM</f>
        <v>0</v>
      </c>
      <c r="Q184" s="305">
        <f t="shared" si="53"/>
        <v>0.7</v>
      </c>
      <c r="R184" s="177">
        <f t="shared" si="54"/>
        <v>0.39552643104494034</v>
      </c>
      <c r="S184" s="817">
        <f t="shared" si="55"/>
        <v>0</v>
      </c>
      <c r="T184" s="176">
        <f t="shared" si="56"/>
        <v>6</v>
      </c>
      <c r="U184" s="251">
        <f t="shared" si="57"/>
        <v>0.39552643104494034</v>
      </c>
      <c r="V184" s="383">
        <f t="shared" si="58"/>
        <v>37.909396231713728</v>
      </c>
      <c r="W184" s="402">
        <f t="shared" si="59"/>
        <v>35.248778882374218</v>
      </c>
      <c r="X184" s="157">
        <f t="shared" si="60"/>
        <v>45461</v>
      </c>
      <c r="Y184" s="385">
        <f t="shared" si="61"/>
        <v>33.338596747156835</v>
      </c>
      <c r="Z184" s="385">
        <f t="shared" si="62"/>
        <v>35.024257997186425</v>
      </c>
      <c r="AA184" s="386">
        <f t="shared" si="63"/>
        <v>40.09284587657087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0.12642125467941359</v>
      </c>
      <c r="AD184" s="231">
        <f>(INDEX(Models!$BJ184:$BT184,,AH184)*(1-AF184)+INDEX(Models!$BJ184:$BT184,,AH184+1)*AF184-ERP_i)*AE184*Ramure*Pc/MaxiM</f>
        <v>0</v>
      </c>
      <c r="AE184" s="305">
        <f t="shared" si="65"/>
        <v>0.7</v>
      </c>
      <c r="AF184" s="177">
        <f t="shared" si="66"/>
        <v>0.39552643104494034</v>
      </c>
      <c r="AG184" s="817">
        <f t="shared" si="74"/>
        <v>0</v>
      </c>
      <c r="AH184" s="176">
        <f t="shared" si="67"/>
        <v>6</v>
      </c>
      <c r="AI184" s="225">
        <f t="shared" si="68"/>
        <v>0.39552643104494034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45462</v>
      </c>
      <c r="B185" s="411">
        <f>'2023'!Wh/'2023'!Env_an*'2024'!Env_an</f>
        <v>19.810905141711221</v>
      </c>
      <c r="C185" s="846"/>
      <c r="D185" s="393">
        <f t="shared" si="50"/>
        <v>20.813037087327679</v>
      </c>
      <c r="E185" s="385">
        <f t="shared" si="75"/>
        <v>22.537290893212862</v>
      </c>
      <c r="F185" s="385">
        <f t="shared" si="51"/>
        <v>22.537290893212862</v>
      </c>
      <c r="G185" s="110">
        <f t="shared" si="76"/>
        <v>0.52313137883227301</v>
      </c>
      <c r="H185" s="414" t="b">
        <f>Wh_hp&gt;='2023'!Maxi_hp</f>
        <v>0</v>
      </c>
      <c r="I185" s="390">
        <f>IF(H185,Wh_hp,'2023'!Maxi_hp)</f>
        <v>39.022000068069346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4.8149241334251136E-2</v>
      </c>
      <c r="M185" s="850"/>
      <c r="N185" s="850"/>
      <c r="O185" s="48">
        <f>IF(t&lt;Tnet,'2023'!Resal+('2023'!Salim-'2023'!Resal)*(1-EXP(('2023'!Tnet-t)/('2023'!Tau_j))),Resal+(Salim-Resal)*(1-EXP((Tnet-t)/(Tau_j))))*Salcycl</f>
        <v>7.6506702338587085E-2</v>
      </c>
      <c r="P185" s="169">
        <f>(INDEX(Models!$BJ185:$BT185,,T185)*(1-R185)+INDEX(Models!$BJ185:$BT185,,T185+1)*R185-ERP_i)*Q185*Ramure*Pc/MaxiM</f>
        <v>0</v>
      </c>
      <c r="Q185" s="305">
        <f t="shared" si="53"/>
        <v>0.7</v>
      </c>
      <c r="R185" s="177">
        <f t="shared" si="54"/>
        <v>0.40048090912202267</v>
      </c>
      <c r="S185" s="817">
        <f t="shared" si="55"/>
        <v>0</v>
      </c>
      <c r="T185" s="176">
        <f t="shared" si="56"/>
        <v>6</v>
      </c>
      <c r="U185" s="251">
        <f t="shared" si="57"/>
        <v>0.40048090912202267</v>
      </c>
      <c r="V185" s="383">
        <f t="shared" si="58"/>
        <v>37.869846740856687</v>
      </c>
      <c r="W185" s="402">
        <f t="shared" si="59"/>
        <v>19.810905141711221</v>
      </c>
      <c r="X185" s="157">
        <f t="shared" si="60"/>
        <v>45462</v>
      </c>
      <c r="Y185" s="385">
        <f t="shared" si="61"/>
        <v>18.738162478025782</v>
      </c>
      <c r="Z185" s="385">
        <f t="shared" si="62"/>
        <v>19.686029881713694</v>
      </c>
      <c r="AA185" s="386">
        <f t="shared" si="63"/>
        <v>22.537290893212862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0.12651303233423816</v>
      </c>
      <c r="AD185" s="231">
        <f>(INDEX(Models!$BJ185:$BT185,,AH185)*(1-AF185)+INDEX(Models!$BJ185:$BT185,,AH185+1)*AF185-ERP_i)*AE185*Ramure*Pc/MaxiM</f>
        <v>0</v>
      </c>
      <c r="AE185" s="305">
        <f t="shared" si="65"/>
        <v>0.7</v>
      </c>
      <c r="AF185" s="177">
        <f t="shared" si="66"/>
        <v>0.40048090912202267</v>
      </c>
      <c r="AG185" s="817">
        <f t="shared" si="74"/>
        <v>0</v>
      </c>
      <c r="AH185" s="176">
        <f t="shared" si="67"/>
        <v>6</v>
      </c>
      <c r="AI185" s="225">
        <f t="shared" si="68"/>
        <v>0.40048090912202267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45463</v>
      </c>
      <c r="B186" s="411">
        <f>'2023'!Wh/'2023'!Env_an*'2024'!Env_an</f>
        <v>13.865897876337712</v>
      </c>
      <c r="C186" s="846"/>
      <c r="D186" s="393">
        <f t="shared" si="50"/>
        <v>14.567621505261904</v>
      </c>
      <c r="E186" s="385">
        <f t="shared" si="75"/>
        <v>15.776816067949103</v>
      </c>
      <c r="F186" s="385">
        <f t="shared" si="51"/>
        <v>15.776816067949103</v>
      </c>
      <c r="G186" s="110">
        <f t="shared" si="76"/>
        <v>0.36653709161787346</v>
      </c>
      <c r="H186" s="414" t="b">
        <f>Wh_hp&gt;='2023'!Maxi_hp</f>
        <v>0</v>
      </c>
      <c r="I186" s="390">
        <f>IF(H186,Wh_hp,'2023'!Maxi_hp)</f>
        <v>35.180212507104621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4.8170089308726571E-2</v>
      </c>
      <c r="M186" s="850"/>
      <c r="N186" s="850"/>
      <c r="O186" s="48">
        <f>IF(t&lt;Tnet,'2023'!Resal+('2023'!Salim-'2023'!Resal)*(1-EXP(('2023'!Tnet-t)/('2023'!Tau_j))),Resal+(Salim-Resal)*(1-EXP((Tnet-t)/(Tau_j))))*Salcycl</f>
        <v>7.6643763702341702E-2</v>
      </c>
      <c r="P186" s="169">
        <f>(INDEX(Models!$BJ186:$BT186,,T186)*(1-R186)+INDEX(Models!$BJ186:$BT186,,T186+1)*R186-ERP_i)*Q186*Ramure*Pc/MaxiM</f>
        <v>0</v>
      </c>
      <c r="Q186" s="305">
        <f t="shared" si="53"/>
        <v>0.7</v>
      </c>
      <c r="R186" s="177">
        <f t="shared" si="54"/>
        <v>0.40539430567164936</v>
      </c>
      <c r="S186" s="817">
        <f t="shared" si="55"/>
        <v>0</v>
      </c>
      <c r="T186" s="176">
        <f t="shared" si="56"/>
        <v>6</v>
      </c>
      <c r="U186" s="251">
        <f t="shared" si="57"/>
        <v>0.40539430567164936</v>
      </c>
      <c r="V186" s="383">
        <f t="shared" si="58"/>
        <v>37.829453535341926</v>
      </c>
      <c r="W186" s="402">
        <f t="shared" si="59"/>
        <v>13.865897876337712</v>
      </c>
      <c r="X186" s="157">
        <f t="shared" si="60"/>
        <v>45463</v>
      </c>
      <c r="Y186" s="385">
        <f t="shared" si="61"/>
        <v>13.11567225172942</v>
      </c>
      <c r="Z186" s="385">
        <f t="shared" si="62"/>
        <v>13.779428555889851</v>
      </c>
      <c r="AA186" s="386">
        <f t="shared" si="63"/>
        <v>15.776816067949103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0.12660270002874544</v>
      </c>
      <c r="AD186" s="231">
        <f>(INDEX(Models!$BJ186:$BT186,,AH186)*(1-AF186)+INDEX(Models!$BJ186:$BT186,,AH186+1)*AF186-ERP_i)*AE186*Ramure*Pc/MaxiM</f>
        <v>0</v>
      </c>
      <c r="AE186" s="305">
        <f t="shared" si="65"/>
        <v>0.7</v>
      </c>
      <c r="AF186" s="177">
        <f t="shared" si="66"/>
        <v>0.40539430567164936</v>
      </c>
      <c r="AG186" s="817">
        <f t="shared" si="74"/>
        <v>0</v>
      </c>
      <c r="AH186" s="176">
        <f t="shared" si="67"/>
        <v>6</v>
      </c>
      <c r="AI186" s="225">
        <f t="shared" si="68"/>
        <v>0.40539430567164936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45464</v>
      </c>
      <c r="B187" s="411">
        <f>'2023'!Wh/'2023'!Env_an*'2024'!Env_an</f>
        <v>28.930958605135007</v>
      </c>
      <c r="C187" s="846"/>
      <c r="D187" s="393">
        <f t="shared" si="50"/>
        <v>30.395758692059971</v>
      </c>
      <c r="E187" s="385">
        <f t="shared" si="75"/>
        <v>32.923617315425474</v>
      </c>
      <c r="F187" s="385">
        <f t="shared" si="51"/>
        <v>32.923617315425474</v>
      </c>
      <c r="G187" s="110">
        <f t="shared" si="76"/>
        <v>0.7656060140451908</v>
      </c>
      <c r="H187" s="414" t="b">
        <f>Wh_hp&gt;='2023'!Maxi_hp</f>
        <v>0</v>
      </c>
      <c r="I187" s="390">
        <f>IF(H187,Wh_hp,'2023'!Maxi_hp)</f>
        <v>43.398049823870345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4.8190936826577713E-2</v>
      </c>
      <c r="M187" s="850"/>
      <c r="N187" s="850"/>
      <c r="O187" s="48">
        <f>IF(t&lt;Tnet,'2023'!Resal+('2023'!Salim-'2023'!Resal)*(1-EXP(('2023'!Tnet-t)/('2023'!Tau_j))),Resal+(Salim-Resal)*(1-EXP((Tnet-t)/(Tau_j))))*Salcycl</f>
        <v>7.6779492336680244E-2</v>
      </c>
      <c r="P187" s="169">
        <f>(INDEX(Models!$BJ187:$BT187,,T187)*(1-R187)+INDEX(Models!$BJ187:$BT187,,T187+1)*R187-ERP_i)*Q187*Ramure*Pc/MaxiM</f>
        <v>0</v>
      </c>
      <c r="Q187" s="305">
        <f t="shared" si="53"/>
        <v>0.7</v>
      </c>
      <c r="R187" s="177">
        <f t="shared" si="54"/>
        <v>0.41026303461173697</v>
      </c>
      <c r="S187" s="817">
        <f t="shared" si="55"/>
        <v>0</v>
      </c>
      <c r="T187" s="176">
        <f t="shared" si="56"/>
        <v>6</v>
      </c>
      <c r="U187" s="251">
        <f t="shared" si="57"/>
        <v>0.41026303461173697</v>
      </c>
      <c r="V187" s="383">
        <f t="shared" si="58"/>
        <v>37.788311578528599</v>
      </c>
      <c r="W187" s="402">
        <f t="shared" si="59"/>
        <v>28.930958605135007</v>
      </c>
      <c r="X187" s="157">
        <f t="shared" si="60"/>
        <v>45464</v>
      </c>
      <c r="Y187" s="385">
        <f t="shared" si="61"/>
        <v>27.366905620387204</v>
      </c>
      <c r="Z187" s="385">
        <f t="shared" si="62"/>
        <v>28.752516317866661</v>
      </c>
      <c r="AA187" s="386">
        <f t="shared" si="63"/>
        <v>32.923617315425474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0.1266902405527765</v>
      </c>
      <c r="AD187" s="231">
        <f>(INDEX(Models!$BJ187:$BT187,,AH187)*(1-AF187)+INDEX(Models!$BJ187:$BT187,,AH187+1)*AF187-ERP_i)*AE187*Ramure*Pc/MaxiM</f>
        <v>0</v>
      </c>
      <c r="AE187" s="305">
        <f t="shared" si="65"/>
        <v>0.7</v>
      </c>
      <c r="AF187" s="177">
        <f t="shared" si="66"/>
        <v>0.41026303461173697</v>
      </c>
      <c r="AG187" s="817">
        <f t="shared" si="74"/>
        <v>0</v>
      </c>
      <c r="AH187" s="176">
        <f t="shared" si="67"/>
        <v>6</v>
      </c>
      <c r="AI187" s="225">
        <f t="shared" si="68"/>
        <v>0.41026303461173697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45465</v>
      </c>
      <c r="B188" s="411">
        <f>'2023'!Wh/'2023'!Env_an*'2024'!Env_an</f>
        <v>25.992045547869633</v>
      </c>
      <c r="C188" s="846"/>
      <c r="D188" s="393">
        <f t="shared" si="50"/>
        <v>27.308643990194145</v>
      </c>
      <c r="E188" s="385">
        <f t="shared" si="75"/>
        <v>29.584069484411508</v>
      </c>
      <c r="F188" s="385">
        <f t="shared" si="51"/>
        <v>29.584069484411508</v>
      </c>
      <c r="G188" s="110">
        <f t="shared" si="76"/>
        <v>0.68859456638491034</v>
      </c>
      <c r="H188" s="414" t="b">
        <f>Wh_hp&gt;='2023'!Maxi_hp</f>
        <v>0</v>
      </c>
      <c r="I188" s="390">
        <f>IF(H188,Wh_hp,'2023'!Maxi_hp)</f>
        <v>43.321618231322205</v>
      </c>
      <c r="J188" s="85">
        <f>IF(H188,An,'2023'!An_max)</f>
        <v>2018</v>
      </c>
      <c r="K188" s="197">
        <f t="shared" si="52"/>
        <v>45465</v>
      </c>
      <c r="L188" s="147">
        <f>IF(t&lt;Tvie,1-EXP((T0-t)*PertePVj)+'2023'!Pspv,1-EXP((T0-t)*PertePVj)+Pspv)</f>
        <v>4.8211783887814774E-2</v>
      </c>
      <c r="M188" s="850"/>
      <c r="N188" s="850"/>
      <c r="O188" s="48">
        <f>IF(t&lt;Tnet,'2023'!Resal+('2023'!Salim-'2023'!Resal)*(1-EXP(('2023'!Tnet-t)/('2023'!Tau_j))),Resal+(Salim-Resal)*(1-EXP((Tnet-t)/(Tau_j))))*Salcycl</f>
        <v>7.6913877430430433E-2</v>
      </c>
      <c r="P188" s="169">
        <f>(INDEX(Models!$BJ188:$BT188,,T188)*(1-R188)+INDEX(Models!$BJ188:$BT188,,T188+1)*R188-ERP_i)*Q188*Ramure*Pc/MaxiM</f>
        <v>0</v>
      </c>
      <c r="Q188" s="305">
        <f t="shared" si="53"/>
        <v>0.7</v>
      </c>
      <c r="R188" s="177">
        <f t="shared" si="54"/>
        <v>0.41508364944295889</v>
      </c>
      <c r="S188" s="817">
        <f t="shared" si="55"/>
        <v>0</v>
      </c>
      <c r="T188" s="176">
        <f t="shared" si="56"/>
        <v>6</v>
      </c>
      <c r="U188" s="251">
        <f t="shared" si="57"/>
        <v>0.41508364944295889</v>
      </c>
      <c r="V188" s="383">
        <f t="shared" si="58"/>
        <v>37.746515608345085</v>
      </c>
      <c r="W188" s="402">
        <f t="shared" si="59"/>
        <v>25.992045547869633</v>
      </c>
      <c r="X188" s="157">
        <f t="shared" si="60"/>
        <v>45465</v>
      </c>
      <c r="Y188" s="385">
        <f t="shared" si="61"/>
        <v>24.588049488914901</v>
      </c>
      <c r="Z188" s="385">
        <f t="shared" si="62"/>
        <v>25.833530057086524</v>
      </c>
      <c r="AA188" s="386">
        <f t="shared" si="63"/>
        <v>29.584069484411508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0.12677564286080473</v>
      </c>
      <c r="AD188" s="231">
        <f>(INDEX(Models!$BJ188:$BT188,,AH188)*(1-AF188)+INDEX(Models!$BJ188:$BT188,,AH188+1)*AF188-ERP_i)*AE188*Ramure*Pc/MaxiM</f>
        <v>0</v>
      </c>
      <c r="AE188" s="305">
        <f t="shared" si="65"/>
        <v>0.7</v>
      </c>
      <c r="AF188" s="177">
        <f t="shared" si="66"/>
        <v>0.41508364944295889</v>
      </c>
      <c r="AG188" s="817">
        <f t="shared" si="74"/>
        <v>0</v>
      </c>
      <c r="AH188" s="176">
        <f t="shared" si="67"/>
        <v>6</v>
      </c>
      <c r="AI188" s="225">
        <f t="shared" si="68"/>
        <v>0.41508364944295889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45466</v>
      </c>
      <c r="B189" s="411">
        <f>'2023'!Wh/'2023'!Env_an*'2024'!Env_an</f>
        <v>29.498591431260699</v>
      </c>
      <c r="C189" s="846"/>
      <c r="D189" s="393">
        <f t="shared" si="50"/>
        <v>30.993488930518151</v>
      </c>
      <c r="E189" s="385">
        <f t="shared" si="75"/>
        <v>33.58078468897488</v>
      </c>
      <c r="F189" s="385">
        <f t="shared" si="51"/>
        <v>33.58078468897488</v>
      </c>
      <c r="G189" s="110">
        <f t="shared" si="76"/>
        <v>0.7823696727717907</v>
      </c>
      <c r="H189" s="414" t="b">
        <f>Wh_hp&gt;='2023'!Maxi_hp</f>
        <v>0</v>
      </c>
      <c r="I189" s="390">
        <f>IF(H189,Wh_hp,'2023'!Maxi_hp)</f>
        <v>42.706685617077156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4.8232630492447748E-2</v>
      </c>
      <c r="M189" s="850"/>
      <c r="N189" s="850"/>
      <c r="O189" s="48">
        <f>IF(t&lt;Tnet,'2023'!Resal+('2023'!Salim-'2023'!Resal)*(1-EXP(('2023'!Tnet-t)/('2023'!Tau_j))),Resal+(Salim-Resal)*(1-EXP((Tnet-t)/(Tau_j))))*Salcycl</f>
        <v>7.7046911869995127E-2</v>
      </c>
      <c r="P189" s="169">
        <f>(INDEX(Models!$BJ189:$BT189,,T189)*(1-R189)+INDEX(Models!$BJ189:$BT189,,T189+1)*R189-ERP_i)*Q189*Ramure*Pc/MaxiM</f>
        <v>0</v>
      </c>
      <c r="Q189" s="305">
        <f t="shared" si="53"/>
        <v>0.7</v>
      </c>
      <c r="R189" s="177">
        <f t="shared" si="54"/>
        <v>0.41985285182450127</v>
      </c>
      <c r="S189" s="817">
        <f t="shared" si="55"/>
        <v>0</v>
      </c>
      <c r="T189" s="176">
        <f t="shared" si="56"/>
        <v>6</v>
      </c>
      <c r="U189" s="251">
        <f t="shared" si="57"/>
        <v>0.41985285182450127</v>
      </c>
      <c r="V189" s="383">
        <f t="shared" si="58"/>
        <v>37.70416014050322</v>
      </c>
      <c r="W189" s="402">
        <f t="shared" si="59"/>
        <v>29.498591431260699</v>
      </c>
      <c r="X189" s="157">
        <f t="shared" si="60"/>
        <v>45466</v>
      </c>
      <c r="Y189" s="385">
        <f t="shared" si="61"/>
        <v>27.906545676603081</v>
      </c>
      <c r="Z189" s="385">
        <f t="shared" si="62"/>
        <v>29.320763214483833</v>
      </c>
      <c r="AA189" s="386">
        <f t="shared" si="63"/>
        <v>33.58078468897488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0.12685890201635702</v>
      </c>
      <c r="AD189" s="231">
        <f>(INDEX(Models!$BJ189:$BT189,,AH189)*(1-AF189)+INDEX(Models!$BJ189:$BT189,,AH189+1)*AF189-ERP_i)*AE189*Ramure*Pc/MaxiM</f>
        <v>0</v>
      </c>
      <c r="AE189" s="305">
        <f t="shared" si="65"/>
        <v>0.7</v>
      </c>
      <c r="AF189" s="177">
        <f t="shared" si="66"/>
        <v>0.41985285182450127</v>
      </c>
      <c r="AG189" s="817">
        <f t="shared" si="74"/>
        <v>0</v>
      </c>
      <c r="AH189" s="176">
        <f t="shared" si="67"/>
        <v>6</v>
      </c>
      <c r="AI189" s="225">
        <f t="shared" si="68"/>
        <v>0.41985285182450127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45467</v>
      </c>
      <c r="B190" s="411">
        <f>'2023'!Wh/'2023'!Env_an*'2024'!Env_an</f>
        <v>21.036925121880277</v>
      </c>
      <c r="C190" s="846"/>
      <c r="D190" s="393">
        <f t="shared" si="50"/>
        <v>22.103495632033709</v>
      </c>
      <c r="E190" s="385">
        <f t="shared" si="75"/>
        <v>23.952083735084258</v>
      </c>
      <c r="F190" s="385">
        <f t="shared" si="51"/>
        <v>23.952083735084258</v>
      </c>
      <c r="G190" s="110">
        <f t="shared" si="76"/>
        <v>0.55858143700897889</v>
      </c>
      <c r="H190" s="414" t="b">
        <f>Wh_hp&gt;='2023'!Maxi_hp</f>
        <v>0</v>
      </c>
      <c r="I190" s="390">
        <f>IF(H190,Wh_hp,'2023'!Maxi_hp)</f>
        <v>42.181442408546353</v>
      </c>
      <c r="J190" s="85">
        <f>IF(H190,An,'2023'!An_max)</f>
        <v>2018</v>
      </c>
      <c r="K190" s="197">
        <f t="shared" si="52"/>
        <v>45467</v>
      </c>
      <c r="L190" s="147">
        <f>IF(t&lt;Tvie,1-EXP((T0-t)*PertePVj)+'2023'!Pspv,1-EXP((T0-t)*PertePVj)+Pspv)</f>
        <v>4.8253476640486515E-2</v>
      </c>
      <c r="M190" s="850"/>
      <c r="N190" s="850"/>
      <c r="O190" s="48">
        <f>IF(t&lt;Tnet,'2023'!Resal+('2023'!Salim-'2023'!Resal)*(1-EXP(('2023'!Tnet-t)/('2023'!Tau_j))),Resal+(Salim-Resal)*(1-EXP((Tnet-t)/(Tau_j))))*Salcycl</f>
        <v>7.7178592205019589E-2</v>
      </c>
      <c r="P190" s="169">
        <f>(INDEX(Models!$BJ190:$BT190,,T190)*(1-R190)+INDEX(Models!$BJ190:$BT190,,T190+1)*R190-ERP_i)*Q190*Ramure*Pc/MaxiM</f>
        <v>0</v>
      </c>
      <c r="Q190" s="305">
        <f t="shared" si="53"/>
        <v>0.7</v>
      </c>
      <c r="R190" s="177">
        <f t="shared" si="54"/>
        <v>0.42456749921547715</v>
      </c>
      <c r="S190" s="817">
        <f t="shared" si="55"/>
        <v>0</v>
      </c>
      <c r="T190" s="176">
        <f t="shared" si="56"/>
        <v>6</v>
      </c>
      <c r="U190" s="251">
        <f t="shared" si="57"/>
        <v>0.42456749921547715</v>
      </c>
      <c r="V190" s="383">
        <f t="shared" si="58"/>
        <v>37.661339471870271</v>
      </c>
      <c r="W190" s="402">
        <f t="shared" si="59"/>
        <v>21.036925121880277</v>
      </c>
      <c r="X190" s="157">
        <f t="shared" si="60"/>
        <v>45467</v>
      </c>
      <c r="Y190" s="385">
        <f t="shared" si="61"/>
        <v>19.90254808774975</v>
      </c>
      <c r="Z190" s="385">
        <f t="shared" si="62"/>
        <v>20.911605768200683</v>
      </c>
      <c r="AA190" s="386">
        <f t="shared" si="63"/>
        <v>23.952083735084258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0.12694001910280478</v>
      </c>
      <c r="AD190" s="231">
        <f>(INDEX(Models!$BJ190:$BT190,,AH190)*(1-AF190)+INDEX(Models!$BJ190:$BT190,,AH190+1)*AF190-ERP_i)*AE190*Ramure*Pc/MaxiM</f>
        <v>0</v>
      </c>
      <c r="AE190" s="305">
        <f t="shared" si="65"/>
        <v>0.7</v>
      </c>
      <c r="AF190" s="177">
        <f t="shared" si="66"/>
        <v>0.42456749921547715</v>
      </c>
      <c r="AG190" s="817">
        <f t="shared" si="74"/>
        <v>0</v>
      </c>
      <c r="AH190" s="176">
        <f t="shared" si="67"/>
        <v>6</v>
      </c>
      <c r="AI190" s="225">
        <f t="shared" si="68"/>
        <v>0.42456749921547715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45468</v>
      </c>
      <c r="B191" s="411">
        <f>'2023'!Wh/'2023'!Env_an*'2024'!Env_an</f>
        <v>7.5054533792994436</v>
      </c>
      <c r="C191" s="846"/>
      <c r="D191" s="393">
        <f t="shared" si="50"/>
        <v>7.8861520240679921</v>
      </c>
      <c r="E191" s="385">
        <f t="shared" si="75"/>
        <v>8.5469039237348525</v>
      </c>
      <c r="F191" s="385">
        <f t="shared" si="51"/>
        <v>8.5469039237348525</v>
      </c>
      <c r="G191" s="110">
        <f t="shared" si="76"/>
        <v>0.19951483075107551</v>
      </c>
      <c r="H191" s="414" t="b">
        <f>Wh_hp&gt;='2023'!Maxi_hp</f>
        <v>0</v>
      </c>
      <c r="I191" s="390">
        <f>IF(H191,Wh_hp,'2023'!Maxi_hp)</f>
        <v>41.141814363893154</v>
      </c>
      <c r="J191" s="85">
        <f>IF(H191,An,'2023'!An_max)</f>
        <v>2021</v>
      </c>
      <c r="K191" s="197">
        <f t="shared" si="52"/>
        <v>45468</v>
      </c>
      <c r="L191" s="147">
        <f>IF(t&lt;Tvie,1-EXP((T0-t)*PertePVj)+'2023'!Pspv,1-EXP((T0-t)*PertePVj)+Pspv)</f>
        <v>4.8274322331941177E-2</v>
      </c>
      <c r="M191" s="850"/>
      <c r="N191" s="850"/>
      <c r="O191" s="48">
        <f>IF(t&lt;Tnet,'2023'!Resal+('2023'!Salim-'2023'!Resal)*(1-EXP(('2023'!Tnet-t)/('2023'!Tau_j))),Resal+(Salim-Resal)*(1-EXP((Tnet-t)/(Tau_j))))*Salcycl</f>
        <v>7.7308918593544149E-2</v>
      </c>
      <c r="P191" s="169">
        <f>(INDEX(Models!$BJ191:$BT191,,T191)*(1-R191)+INDEX(Models!$BJ191:$BT191,,T191+1)*R191-ERP_i)*Q191*Ramure*Pc/MaxiM</f>
        <v>0</v>
      </c>
      <c r="Q191" s="305">
        <f t="shared" si="53"/>
        <v>0.7</v>
      </c>
      <c r="R191" s="177">
        <f t="shared" si="54"/>
        <v>0.42922461155630942</v>
      </c>
      <c r="S191" s="817">
        <f t="shared" si="55"/>
        <v>0</v>
      </c>
      <c r="T191" s="176">
        <f t="shared" si="56"/>
        <v>6</v>
      </c>
      <c r="U191" s="251">
        <f t="shared" si="57"/>
        <v>0.42922461155630942</v>
      </c>
      <c r="V191" s="383">
        <f t="shared" si="58"/>
        <v>37.618523650823803</v>
      </c>
      <c r="W191" s="402">
        <f t="shared" si="59"/>
        <v>7.5054533792994436</v>
      </c>
      <c r="X191" s="157">
        <f t="shared" si="60"/>
        <v>45468</v>
      </c>
      <c r="Y191" s="385">
        <f t="shared" si="61"/>
        <v>7.1010962610170196</v>
      </c>
      <c r="Z191" s="385">
        <f t="shared" si="62"/>
        <v>7.461284724834047</v>
      </c>
      <c r="AA191" s="386">
        <f t="shared" si="63"/>
        <v>8.5469039237348525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0.12701900110120909</v>
      </c>
      <c r="AD191" s="231">
        <f>(INDEX(Models!$BJ191:$BT191,,AH191)*(1-AF191)+INDEX(Models!$BJ191:$BT191,,AH191+1)*AF191-ERP_i)*AE191*Ramure*Pc/MaxiM</f>
        <v>0</v>
      </c>
      <c r="AE191" s="305">
        <f t="shared" si="65"/>
        <v>0.7</v>
      </c>
      <c r="AF191" s="177">
        <f t="shared" si="66"/>
        <v>0.42922461155630942</v>
      </c>
      <c r="AG191" s="817">
        <f t="shared" si="74"/>
        <v>0</v>
      </c>
      <c r="AH191" s="176">
        <f t="shared" si="67"/>
        <v>6</v>
      </c>
      <c r="AI191" s="225">
        <f t="shared" si="68"/>
        <v>0.42922461155630942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45469</v>
      </c>
      <c r="B192" s="411">
        <f>'2023'!Wh/'2023'!Env_an*'2024'!Env_an</f>
        <v>9.7171450662204766</v>
      </c>
      <c r="C192" s="846"/>
      <c r="D192" s="393">
        <f t="shared" si="50"/>
        <v>10.210250841510508</v>
      </c>
      <c r="E192" s="385">
        <f t="shared" si="75"/>
        <v>11.067277512433622</v>
      </c>
      <c r="F192" s="385">
        <f t="shared" si="51"/>
        <v>11.067277512433622</v>
      </c>
      <c r="G192" s="110">
        <f t="shared" si="76"/>
        <v>0.25860024315056229</v>
      </c>
      <c r="H192" s="414" t="b">
        <f>Wh_hp&gt;='2023'!Maxi_hp</f>
        <v>0</v>
      </c>
      <c r="I192" s="390">
        <f>IF(H192,Wh_hp,'2023'!Maxi_hp)</f>
        <v>40.70663915680317</v>
      </c>
      <c r="J192" s="85">
        <f>IF(H192,An,'2023'!An_max)</f>
        <v>2019</v>
      </c>
      <c r="K192" s="197">
        <f t="shared" si="52"/>
        <v>45469</v>
      </c>
      <c r="L192" s="147">
        <f>IF(t&lt;Tvie,1-EXP((T0-t)*PertePVj)+'2023'!Pspv,1-EXP((T0-t)*PertePVj)+Pspv)</f>
        <v>4.8295167566821617E-2</v>
      </c>
      <c r="M192" s="850"/>
      <c r="N192" s="850"/>
      <c r="O192" s="48">
        <f>IF(t&lt;Tnet,'2023'!Resal+('2023'!Salim-'2023'!Resal)*(1-EXP(('2023'!Tnet-t)/('2023'!Tau_j))),Resal+(Salim-Resal)*(1-EXP((Tnet-t)/(Tau_j))))*Salcycl</f>
        <v>7.7437894727070869E-2</v>
      </c>
      <c r="P192" s="169">
        <f>(INDEX(Models!$BJ192:$BT192,,T192)*(1-R192)+INDEX(Models!$BJ192:$BT192,,T192+1)*R192-ERP_i)*Q192*Ramure*Pc/MaxiM</f>
        <v>0</v>
      </c>
      <c r="Q192" s="305">
        <f t="shared" si="53"/>
        <v>0.7</v>
      </c>
      <c r="R192" s="177">
        <f t="shared" si="54"/>
        <v>0.43382137697402656</v>
      </c>
      <c r="S192" s="817">
        <f t="shared" si="55"/>
        <v>0</v>
      </c>
      <c r="T192" s="176">
        <f t="shared" si="56"/>
        <v>6</v>
      </c>
      <c r="U192" s="251">
        <f t="shared" si="57"/>
        <v>0.43382137697402656</v>
      </c>
      <c r="V192" s="383">
        <f t="shared" si="58"/>
        <v>37.575931669031561</v>
      </c>
      <c r="W192" s="402">
        <f t="shared" si="59"/>
        <v>9.7171450662204766</v>
      </c>
      <c r="X192" s="157">
        <f t="shared" si="60"/>
        <v>45469</v>
      </c>
      <c r="Y192" s="385">
        <f t="shared" si="61"/>
        <v>9.1941085609859066</v>
      </c>
      <c r="Z192" s="385">
        <f t="shared" si="62"/>
        <v>9.660672350984882</v>
      </c>
      <c r="AA192" s="386">
        <f t="shared" si="63"/>
        <v>11.067277512433622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0.12709586073616366</v>
      </c>
      <c r="AD192" s="231">
        <f>(INDEX(Models!$BJ192:$BT192,,AH192)*(1-AF192)+INDEX(Models!$BJ192:$BT192,,AH192+1)*AF192-ERP_i)*AE192*Ramure*Pc/MaxiM</f>
        <v>0</v>
      </c>
      <c r="AE192" s="305">
        <f t="shared" si="65"/>
        <v>0.7</v>
      </c>
      <c r="AF192" s="177">
        <f t="shared" si="66"/>
        <v>0.43382137697402656</v>
      </c>
      <c r="AG192" s="817">
        <f t="shared" si="74"/>
        <v>0</v>
      </c>
      <c r="AH192" s="176">
        <f t="shared" si="67"/>
        <v>6</v>
      </c>
      <c r="AI192" s="225">
        <f t="shared" si="68"/>
        <v>0.43382137697402656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45470</v>
      </c>
      <c r="B193" s="411">
        <f>'2023'!Wh/'2023'!Env_an*'2024'!Env_an</f>
        <v>37.771230429140985</v>
      </c>
      <c r="C193" s="846"/>
      <c r="D193" s="393">
        <f t="shared" si="50"/>
        <v>39.688836755798299</v>
      </c>
      <c r="E193" s="385">
        <f t="shared" si="75"/>
        <v>43.026185543990657</v>
      </c>
      <c r="F193" s="385">
        <f t="shared" si="51"/>
        <v>43.026185543990657</v>
      </c>
      <c r="G193" s="110">
        <f t="shared" si="76"/>
        <v>1.0063396886575582</v>
      </c>
      <c r="H193" s="414" t="b">
        <f>Wh_hp&gt;='2023'!Maxi_hp</f>
        <v>1</v>
      </c>
      <c r="I193" s="390">
        <f>IF(H193,Wh_hp,'2023'!Maxi_hp)</f>
        <v>43.026185543990657</v>
      </c>
      <c r="J193" s="85">
        <f>IF(H193,An,'2023'!An_max)</f>
        <v>2024</v>
      </c>
      <c r="K193" s="197">
        <f t="shared" si="52"/>
        <v>45470</v>
      </c>
      <c r="L193" s="147">
        <f>IF(t&lt;Tvie,1-EXP((T0-t)*PertePVj)+'2023'!Pspv,1-EXP((T0-t)*PertePVj)+Pspv)</f>
        <v>4.8316012345137938E-2</v>
      </c>
      <c r="M193" s="850"/>
      <c r="N193" s="850"/>
      <c r="O193" s="48">
        <f>IF(t&lt;Tnet,'2023'!Resal+('2023'!Salim-'2023'!Resal)*(1-EXP(('2023'!Tnet-t)/('2023'!Tau_j))),Resal+(Salim-Resal)*(1-EXP((Tnet-t)/(Tau_j))))*Salcycl</f>
        <v>7.7565527736131831E-2</v>
      </c>
      <c r="P193" s="169">
        <f>(INDEX(Models!$BJ193:$BT193,,T193)*(1-R193)+INDEX(Models!$BJ193:$BT193,,T193+1)*R193-ERP_i)*Q193*Ramure*Pc/MaxiM</f>
        <v>0</v>
      </c>
      <c r="Q193" s="305">
        <f t="shared" si="53"/>
        <v>0.7</v>
      </c>
      <c r="R193" s="177">
        <f t="shared" si="54"/>
        <v>0.43835515650485607</v>
      </c>
      <c r="S193" s="817">
        <f t="shared" si="55"/>
        <v>0</v>
      </c>
      <c r="T193" s="176">
        <f t="shared" si="56"/>
        <v>6</v>
      </c>
      <c r="U193" s="251">
        <f t="shared" si="57"/>
        <v>0.43835515650485607</v>
      </c>
      <c r="V193" s="383">
        <f t="shared" si="58"/>
        <v>37.533281112590551</v>
      </c>
      <c r="W193" s="402">
        <f t="shared" si="59"/>
        <v>37.771230429140985</v>
      </c>
      <c r="X193" s="157">
        <f t="shared" si="60"/>
        <v>45470</v>
      </c>
      <c r="Y193" s="385">
        <f t="shared" si="61"/>
        <v>35.74003440753193</v>
      </c>
      <c r="Z193" s="385">
        <f t="shared" si="62"/>
        <v>37.554519011717801</v>
      </c>
      <c r="AA193" s="386">
        <f t="shared" si="63"/>
        <v>43.026185543990657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0.12717061629082912</v>
      </c>
      <c r="AD193" s="231">
        <f>(INDEX(Models!$BJ193:$BT193,,AH193)*(1-AF193)+INDEX(Models!$BJ193:$BT193,,AH193+1)*AF193-ERP_i)*AE193*Ramure*Pc/MaxiM</f>
        <v>0</v>
      </c>
      <c r="AE193" s="305">
        <f t="shared" si="65"/>
        <v>0.7</v>
      </c>
      <c r="AF193" s="177">
        <f t="shared" si="66"/>
        <v>0.43835515650485607</v>
      </c>
      <c r="AG193" s="817">
        <f t="shared" si="74"/>
        <v>0</v>
      </c>
      <c r="AH193" s="176">
        <f t="shared" si="67"/>
        <v>6</v>
      </c>
      <c r="AI193" s="225">
        <f t="shared" si="68"/>
        <v>0.43835515650485607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45471</v>
      </c>
      <c r="B194" s="411">
        <f>'2023'!Wh/'2023'!Env_an*'2024'!Env_an</f>
        <v>36.492280189787557</v>
      </c>
      <c r="C194" s="846"/>
      <c r="D194" s="393">
        <f t="shared" si="50"/>
        <v>38.34579540611103</v>
      </c>
      <c r="E194" s="385">
        <f t="shared" si="75"/>
        <v>41.575903340599019</v>
      </c>
      <c r="F194" s="385">
        <f t="shared" si="51"/>
        <v>41.575903340599019</v>
      </c>
      <c r="G194" s="110">
        <f t="shared" si="76"/>
        <v>0.97337952215864787</v>
      </c>
      <c r="H194" s="414" t="b">
        <f>Wh_hp&gt;='2023'!Maxi_hp</f>
        <v>1</v>
      </c>
      <c r="I194" s="390">
        <f>IF(H194,Wh_hp,'2023'!Maxi_hp)</f>
        <v>41.575903340599019</v>
      </c>
      <c r="J194" s="85">
        <f>IF(H194,An,'2023'!An_max)</f>
        <v>2024</v>
      </c>
      <c r="K194" s="197">
        <f t="shared" si="52"/>
        <v>45471</v>
      </c>
      <c r="L194" s="147">
        <f>IF(t&lt;Tvie,1-EXP((T0-t)*PertePVj)+'2023'!Pspv,1-EXP((T0-t)*PertePVj)+Pspv)</f>
        <v>4.8336856666900241E-2</v>
      </c>
      <c r="M194" s="850"/>
      <c r="N194" s="850"/>
      <c r="O194" s="48">
        <f>IF(t&lt;Tnet,'2023'!Resal+('2023'!Salim-'2023'!Resal)*(1-EXP(('2023'!Tnet-t)/('2023'!Tau_j))),Resal+(Salim-Resal)*(1-EXP((Tnet-t)/(Tau_j))))*Salcycl</f>
        <v>7.7691828077100997E-2</v>
      </c>
      <c r="P194" s="169">
        <f>(INDEX(Models!$BJ194:$BT194,,T194)*(1-R194)+INDEX(Models!$BJ194:$BT194,,T194+1)*R194-ERP_i)*Q194*Ramure*Pc/MaxiM</f>
        <v>0</v>
      </c>
      <c r="Q194" s="305">
        <f t="shared" si="53"/>
        <v>0.7</v>
      </c>
      <c r="R194" s="177">
        <f t="shared" si="54"/>
        <v>0.44282348783662839</v>
      </c>
      <c r="S194" s="817">
        <f t="shared" si="55"/>
        <v>0</v>
      </c>
      <c r="T194" s="176">
        <f t="shared" si="56"/>
        <v>6</v>
      </c>
      <c r="U194" s="251">
        <f t="shared" si="57"/>
        <v>0.44282348783662839</v>
      </c>
      <c r="V194" s="383">
        <f t="shared" si="58"/>
        <v>37.490289613715348</v>
      </c>
      <c r="W194" s="402">
        <f t="shared" si="59"/>
        <v>36.492280189787557</v>
      </c>
      <c r="X194" s="157">
        <f t="shared" si="60"/>
        <v>45471</v>
      </c>
      <c r="Y194" s="385">
        <f t="shared" si="61"/>
        <v>34.531714363559445</v>
      </c>
      <c r="Z194" s="385">
        <f t="shared" si="62"/>
        <v>36.28564855692084</v>
      </c>
      <c r="AA194" s="386">
        <f t="shared" si="63"/>
        <v>41.575903340599019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0.12724329139259435</v>
      </c>
      <c r="AD194" s="231">
        <f>(INDEX(Models!$BJ194:$BT194,,AH194)*(1-AF194)+INDEX(Models!$BJ194:$BT194,,AH194+1)*AF194-ERP_i)*AE194*Ramure*Pc/MaxiM</f>
        <v>0</v>
      </c>
      <c r="AE194" s="305">
        <f t="shared" si="65"/>
        <v>0.7</v>
      </c>
      <c r="AF194" s="177">
        <f t="shared" si="66"/>
        <v>0.44282348783662839</v>
      </c>
      <c r="AG194" s="817">
        <f t="shared" si="74"/>
        <v>0</v>
      </c>
      <c r="AH194" s="176">
        <f t="shared" si="67"/>
        <v>6</v>
      </c>
      <c r="AI194" s="225">
        <f t="shared" si="68"/>
        <v>0.44282348783662839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45472</v>
      </c>
      <c r="B195" s="411">
        <f>'2023'!Wh/'2023'!Env_an*'2024'!Env_an</f>
        <v>8.8743887091246521</v>
      </c>
      <c r="C195" s="846"/>
      <c r="D195" s="393">
        <f t="shared" si="50"/>
        <v>9.3253407441922622</v>
      </c>
      <c r="E195" s="385">
        <f t="shared" si="75"/>
        <v>10.112243249778215</v>
      </c>
      <c r="F195" s="385">
        <f t="shared" si="51"/>
        <v>10.112243249778215</v>
      </c>
      <c r="G195" s="110">
        <f t="shared" si="76"/>
        <v>0.23698736253264643</v>
      </c>
      <c r="H195" s="414" t="b">
        <f>Wh_hp&gt;='2023'!Maxi_hp</f>
        <v>0</v>
      </c>
      <c r="I195" s="390">
        <f>IF(H195,Wh_hp,'2023'!Maxi_hp)</f>
        <v>39.940934900012763</v>
      </c>
      <c r="J195" s="85">
        <f>IF(H195,An,'2023'!An_max)</f>
        <v>2018</v>
      </c>
      <c r="K195" s="197">
        <f t="shared" si="52"/>
        <v>45472</v>
      </c>
      <c r="L195" s="147">
        <f>IF(t&lt;Tvie,1-EXP((T0-t)*PertePVj)+'2023'!Pspv,1-EXP((T0-t)*PertePVj)+Pspv)</f>
        <v>4.8357700532118297E-2</v>
      </c>
      <c r="M195" s="850"/>
      <c r="N195" s="850"/>
      <c r="O195" s="48">
        <f>IF(t&lt;Tnet,'2023'!Resal+('2023'!Salim-'2023'!Resal)*(1-EXP(('2023'!Tnet-t)/('2023'!Tau_j))),Resal+(Salim-Resal)*(1-EXP((Tnet-t)/(Tau_j))))*Salcycl</f>
        <v>7.7816809401139664E-2</v>
      </c>
      <c r="P195" s="169">
        <f>(INDEX(Models!$BJ195:$BT195,,T195)*(1-R195)+INDEX(Models!$BJ195:$BT195,,T195+1)*R195-ERP_i)*Q195*Ramure*Pc/MaxiM</f>
        <v>0</v>
      </c>
      <c r="Q195" s="305">
        <f t="shared" si="53"/>
        <v>0.7</v>
      </c>
      <c r="R195" s="177">
        <f t="shared" si="54"/>
        <v>0.447224088082184</v>
      </c>
      <c r="S195" s="817">
        <f t="shared" si="55"/>
        <v>0</v>
      </c>
      <c r="T195" s="176">
        <f t="shared" si="56"/>
        <v>6</v>
      </c>
      <c r="U195" s="251">
        <f t="shared" si="57"/>
        <v>0.447224088082184</v>
      </c>
      <c r="V195" s="383">
        <f t="shared" si="58"/>
        <v>37.446674853399209</v>
      </c>
      <c r="W195" s="402">
        <f t="shared" si="59"/>
        <v>8.8743887091246521</v>
      </c>
      <c r="X195" s="157">
        <f t="shared" si="60"/>
        <v>45472</v>
      </c>
      <c r="Y195" s="385">
        <f t="shared" si="61"/>
        <v>8.3980662630999738</v>
      </c>
      <c r="Z195" s="385">
        <f t="shared" si="62"/>
        <v>8.8248139745320469</v>
      </c>
      <c r="AA195" s="386">
        <f t="shared" si="63"/>
        <v>10.112243249778215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0.12731391477102819</v>
      </c>
      <c r="AD195" s="231">
        <f>(INDEX(Models!$BJ195:$BT195,,AH195)*(1-AF195)+INDEX(Models!$BJ195:$BT195,,AH195+1)*AF195-ERP_i)*AE195*Ramure*Pc/MaxiM</f>
        <v>0</v>
      </c>
      <c r="AE195" s="305">
        <f t="shared" si="65"/>
        <v>0.7</v>
      </c>
      <c r="AF195" s="177">
        <f t="shared" si="66"/>
        <v>0.447224088082184</v>
      </c>
      <c r="AG195" s="817">
        <f t="shared" si="74"/>
        <v>0</v>
      </c>
      <c r="AH195" s="176">
        <f t="shared" si="67"/>
        <v>6</v>
      </c>
      <c r="AI195" s="225">
        <f t="shared" si="68"/>
        <v>0.447224088082184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45473</v>
      </c>
      <c r="B196" s="411">
        <f>'2023'!Wh/'2023'!Env_an*'2024'!Env_an</f>
        <v>34.380444441371573</v>
      </c>
      <c r="C196" s="846"/>
      <c r="D196" s="393">
        <f t="shared" si="50"/>
        <v>36.128277922343166</v>
      </c>
      <c r="E196" s="385">
        <f t="shared" si="75"/>
        <v>39.182154153910105</v>
      </c>
      <c r="F196" s="385">
        <f t="shared" si="51"/>
        <v>39.182154153910105</v>
      </c>
      <c r="G196" s="110">
        <f t="shared" si="76"/>
        <v>0.91921026590989607</v>
      </c>
      <c r="H196" s="414" t="b">
        <f>Wh_hp&gt;='2023'!Maxi_hp</f>
        <v>0</v>
      </c>
      <c r="I196" s="390">
        <f>IF(H196,Wh_hp,'2023'!Maxi_hp)</f>
        <v>41.378085246589393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4.837854394080221E-2</v>
      </c>
      <c r="M196" s="850"/>
      <c r="N196" s="850"/>
      <c r="O196" s="48">
        <f>IF(t&lt;Tnet,'2023'!Resal+('2023'!Salim-'2023'!Resal)*(1-EXP(('2023'!Tnet-t)/('2023'!Tau_j))),Resal+(Salim-Resal)*(1-EXP((Tnet-t)/(Tau_j))))*Salcycl</f>
        <v>7.794048840630631E-2</v>
      </c>
      <c r="P196" s="169">
        <f>(INDEX(Models!$BJ196:$BT196,,T196)*(1-R196)+INDEX(Models!$BJ196:$BT196,,T196+1)*R196-ERP_i)*Q196*Ramure*Pc/MaxiM</f>
        <v>0</v>
      </c>
      <c r="Q196" s="305">
        <f t="shared" si="53"/>
        <v>0.7</v>
      </c>
      <c r="R196" s="177">
        <f t="shared" si="54"/>
        <v>0.45155485560312686</v>
      </c>
      <c r="S196" s="817">
        <f t="shared" si="55"/>
        <v>0</v>
      </c>
      <c r="T196" s="176">
        <f t="shared" si="56"/>
        <v>6</v>
      </c>
      <c r="U196" s="251">
        <f t="shared" si="57"/>
        <v>0.45155485560312686</v>
      </c>
      <c r="V196" s="383">
        <f t="shared" si="58"/>
        <v>37.402154562905693</v>
      </c>
      <c r="W196" s="402">
        <f t="shared" si="59"/>
        <v>34.380444441371573</v>
      </c>
      <c r="X196" s="157">
        <f t="shared" si="60"/>
        <v>45473</v>
      </c>
      <c r="Y196" s="385">
        <f t="shared" si="61"/>
        <v>32.53692024520155</v>
      </c>
      <c r="Z196" s="385">
        <f t="shared" si="62"/>
        <v>34.191032619148423</v>
      </c>
      <c r="AA196" s="386">
        <f t="shared" si="63"/>
        <v>39.182154153910105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0.12738251998999922</v>
      </c>
      <c r="AD196" s="231">
        <f>(INDEX(Models!$BJ196:$BT196,,AH196)*(1-AF196)+INDEX(Models!$BJ196:$BT196,,AH196+1)*AF196-ERP_i)*AE196*Ramure*Pc/MaxiM</f>
        <v>0</v>
      </c>
      <c r="AE196" s="305">
        <f t="shared" si="65"/>
        <v>0.7</v>
      </c>
      <c r="AF196" s="177">
        <f t="shared" si="66"/>
        <v>0.45155485560312686</v>
      </c>
      <c r="AG196" s="817">
        <f t="shared" si="74"/>
        <v>0</v>
      </c>
      <c r="AH196" s="176">
        <f t="shared" si="67"/>
        <v>6</v>
      </c>
      <c r="AI196" s="225">
        <f t="shared" si="68"/>
        <v>0.45155485560312686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45474</v>
      </c>
      <c r="B197" s="411">
        <f>'2023'!Wh/'2023'!Env_an*'2024'!Env_an</f>
        <v>35.432588623615835</v>
      </c>
      <c r="C197" s="846"/>
      <c r="D197" s="393">
        <f t="shared" si="50"/>
        <v>37.234726560259482</v>
      </c>
      <c r="E197" s="385">
        <f t="shared" si="75"/>
        <v>40.387490579650738</v>
      </c>
      <c r="F197" s="385">
        <f t="shared" si="51"/>
        <v>40.387490579650738</v>
      </c>
      <c r="G197" s="110">
        <f t="shared" si="76"/>
        <v>0.94849997566787692</v>
      </c>
      <c r="H197" s="414" t="b">
        <f>Wh_hp&gt;='2023'!Maxi_hp</f>
        <v>1</v>
      </c>
      <c r="I197" s="390">
        <f>IF(H197,Wh_hp,'2023'!Maxi_hp)</f>
        <v>40.387490579650738</v>
      </c>
      <c r="J197" s="85">
        <f>IF(H197,An,'2023'!An_max)</f>
        <v>2024</v>
      </c>
      <c r="K197" s="197">
        <f t="shared" si="52"/>
        <v>45474</v>
      </c>
      <c r="L197" s="147">
        <f>IF(t&lt;Tvie,1-EXP((T0-t)*PertePVj)+'2023'!Pspv,1-EXP((T0-t)*PertePVj)+Pspv)</f>
        <v>4.8399386892961971E-2</v>
      </c>
      <c r="M197" s="850"/>
      <c r="N197" s="850"/>
      <c r="O197" s="48">
        <f>IF(t&lt;Tnet,'2023'!Resal+('2023'!Salim-'2023'!Resal)*(1-EXP(('2023'!Tnet-t)/('2023'!Tau_j))),Resal+(Salim-Resal)*(1-EXP((Tnet-t)/(Tau_j))))*Salcycl</f>
        <v>7.8062884673993027E-2</v>
      </c>
      <c r="P197" s="169">
        <f>(INDEX(Models!$BJ197:$BT197,,T197)*(1-R197)+INDEX(Models!$BJ197:$BT197,,T197+1)*R197-ERP_i)*Q197*Ramure*Pc/MaxiM</f>
        <v>0</v>
      </c>
      <c r="Q197" s="305">
        <f t="shared" si="53"/>
        <v>0.7</v>
      </c>
      <c r="R197" s="177">
        <f t="shared" si="54"/>
        <v>0.45581387091078751</v>
      </c>
      <c r="S197" s="817">
        <f t="shared" si="55"/>
        <v>0</v>
      </c>
      <c r="T197" s="176">
        <f t="shared" si="56"/>
        <v>6</v>
      </c>
      <c r="U197" s="251">
        <f t="shared" si="57"/>
        <v>0.45581387091078751</v>
      </c>
      <c r="V197" s="383">
        <f t="shared" si="58"/>
        <v>37.356446528811269</v>
      </c>
      <c r="W197" s="402">
        <f t="shared" si="59"/>
        <v>35.432588623615835</v>
      </c>
      <c r="X197" s="157">
        <f t="shared" si="60"/>
        <v>45474</v>
      </c>
      <c r="Y197" s="385">
        <f t="shared" si="61"/>
        <v>33.534538287828767</v>
      </c>
      <c r="Z197" s="385">
        <f t="shared" si="62"/>
        <v>35.240139430276649</v>
      </c>
      <c r="AA197" s="386">
        <f t="shared" si="63"/>
        <v>40.387490579650738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0.12744914515603956</v>
      </c>
      <c r="AD197" s="231">
        <f>(INDEX(Models!$BJ197:$BT197,,AH197)*(1-AF197)+INDEX(Models!$BJ197:$BT197,,AH197+1)*AF197-ERP_i)*AE197*Ramure*Pc/MaxiM</f>
        <v>0</v>
      </c>
      <c r="AE197" s="305">
        <f t="shared" si="65"/>
        <v>0.7</v>
      </c>
      <c r="AF197" s="177">
        <f t="shared" si="66"/>
        <v>0.45581387091078751</v>
      </c>
      <c r="AG197" s="817">
        <f t="shared" si="74"/>
        <v>0</v>
      </c>
      <c r="AH197" s="176">
        <f t="shared" si="67"/>
        <v>6</v>
      </c>
      <c r="AI197" s="225">
        <f t="shared" si="68"/>
        <v>0.45581387091078751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45475</v>
      </c>
      <c r="B198" s="411">
        <f>'2023'!Wh/'2023'!Env_an*'2024'!Env_an</f>
        <v>29.321616260338999</v>
      </c>
      <c r="C198" s="846"/>
      <c r="D198" s="393">
        <f t="shared" si="50"/>
        <v>30.813618748431132</v>
      </c>
      <c r="E198" s="385">
        <f t="shared" si="75"/>
        <v>33.427082447456463</v>
      </c>
      <c r="F198" s="385">
        <f t="shared" si="51"/>
        <v>33.427082447456463</v>
      </c>
      <c r="G198" s="110">
        <f t="shared" si="76"/>
        <v>0.78590702429233328</v>
      </c>
      <c r="H198" s="414" t="b">
        <f>Wh_hp&gt;='2023'!Maxi_hp</f>
        <v>0</v>
      </c>
      <c r="I198" s="390">
        <f>IF(H198,Wh_hp,'2023'!Maxi_hp)</f>
        <v>34.016353689339262</v>
      </c>
      <c r="J198" s="85">
        <f>IF(H198,An,'2023'!An_max)</f>
        <v>2019</v>
      </c>
      <c r="K198" s="197">
        <f t="shared" si="52"/>
        <v>45475</v>
      </c>
      <c r="L198" s="147">
        <f>IF(t&lt;Tvie,1-EXP((T0-t)*PertePVj)+'2023'!Pspv,1-EXP((T0-t)*PertePVj)+Pspv)</f>
        <v>4.8420229388607572E-2</v>
      </c>
      <c r="M198" s="850"/>
      <c r="N198" s="850"/>
      <c r="O198" s="48">
        <f>IF(t&lt;Tnet,'2023'!Resal+('2023'!Salim-'2023'!Resal)*(1-EXP(('2023'!Tnet-t)/('2023'!Tau_j))),Resal+(Salim-Resal)*(1-EXP((Tnet-t)/(Tau_j))))*Salcycl</f>
        <v>7.8184020490971534E-2</v>
      </c>
      <c r="P198" s="169">
        <f>(INDEX(Models!$BJ198:$BT198,,T198)*(1-R198)+INDEX(Models!$BJ198:$BT198,,T198+1)*R198-ERP_i)*Q198*Ramure*Pc/MaxiM</f>
        <v>0</v>
      </c>
      <c r="Q198" s="305">
        <f t="shared" si="53"/>
        <v>0.7</v>
      </c>
      <c r="R198" s="177">
        <f t="shared" si="54"/>
        <v>0.45999939667808398</v>
      </c>
      <c r="S198" s="817">
        <f t="shared" si="55"/>
        <v>0</v>
      </c>
      <c r="T198" s="176">
        <f t="shared" si="56"/>
        <v>6</v>
      </c>
      <c r="U198" s="251">
        <f t="shared" si="57"/>
        <v>0.45999939667808398</v>
      </c>
      <c r="V198" s="383">
        <f t="shared" si="58"/>
        <v>37.309268595406088</v>
      </c>
      <c r="W198" s="402">
        <f t="shared" si="59"/>
        <v>29.321616260338999</v>
      </c>
      <c r="X198" s="157">
        <f t="shared" si="60"/>
        <v>45475</v>
      </c>
      <c r="Y198" s="385">
        <f t="shared" si="61"/>
        <v>27.752507183081963</v>
      </c>
      <c r="Z198" s="385">
        <f t="shared" si="62"/>
        <v>29.164667051771083</v>
      </c>
      <c r="AA198" s="386">
        <f t="shared" si="63"/>
        <v>33.427082447456463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0.12751383260520591</v>
      </c>
      <c r="AD198" s="231">
        <f>(INDEX(Models!$BJ198:$BT198,,AH198)*(1-AF198)+INDEX(Models!$BJ198:$BT198,,AH198+1)*AF198-ERP_i)*AE198*Ramure*Pc/MaxiM</f>
        <v>0</v>
      </c>
      <c r="AE198" s="305">
        <f t="shared" si="65"/>
        <v>0.7</v>
      </c>
      <c r="AF198" s="177">
        <f t="shared" si="66"/>
        <v>0.45999939667808398</v>
      </c>
      <c r="AG198" s="817">
        <f t="shared" si="74"/>
        <v>0</v>
      </c>
      <c r="AH198" s="176">
        <f t="shared" si="67"/>
        <v>6</v>
      </c>
      <c r="AI198" s="225">
        <f t="shared" si="68"/>
        <v>0.45999939667808398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45476</v>
      </c>
      <c r="B199" s="411">
        <f>'2023'!Wh/'2023'!Env_an*'2024'!Env_an</f>
        <v>28.098877428321131</v>
      </c>
      <c r="C199" s="846"/>
      <c r="D199" s="393">
        <f t="shared" si="50"/>
        <v>29.529308784356189</v>
      </c>
      <c r="E199" s="385">
        <f t="shared" si="75"/>
        <v>32.038010626508665</v>
      </c>
      <c r="F199" s="385">
        <f t="shared" si="51"/>
        <v>32.038010626508665</v>
      </c>
      <c r="G199" s="110">
        <f t="shared" si="76"/>
        <v>0.75412297448543486</v>
      </c>
      <c r="H199" s="414" t="b">
        <f>Wh_hp&gt;='2023'!Maxi_hp</f>
        <v>0</v>
      </c>
      <c r="I199" s="390">
        <f>IF(H199,Wh_hp,'2023'!Maxi_hp)</f>
        <v>39.345572837234378</v>
      </c>
      <c r="J199" s="85">
        <f>IF(H199,An,'2023'!An_max)</f>
        <v>2019</v>
      </c>
      <c r="K199" s="197">
        <f t="shared" si="52"/>
        <v>45476</v>
      </c>
      <c r="L199" s="147">
        <f>IF(t&lt;Tvie,1-EXP((T0-t)*PertePVj)+'2023'!Pspv,1-EXP((T0-t)*PertePVj)+Pspv)</f>
        <v>4.8441071427749116E-2</v>
      </c>
      <c r="M199" s="850"/>
      <c r="N199" s="850"/>
      <c r="O199" s="48">
        <f>IF(t&lt;Tnet,'2023'!Resal+('2023'!Salim-'2023'!Resal)*(1-EXP(('2023'!Tnet-t)/('2023'!Tau_j))),Resal+(Salim-Resal)*(1-EXP((Tnet-t)/(Tau_j))))*Salcycl</f>
        <v>7.8303920658442647E-2</v>
      </c>
      <c r="P199" s="169">
        <f>(INDEX(Models!$BJ199:$BT199,,T199)*(1-R199)+INDEX(Models!$BJ199:$BT199,,T199+1)*R199-ERP_i)*Q199*Ramure*Pc/MaxiM</f>
        <v>0</v>
      </c>
      <c r="Q199" s="305">
        <f t="shared" si="53"/>
        <v>0.7</v>
      </c>
      <c r="R199" s="177">
        <f t="shared" si="54"/>
        <v>0.46410987690204109</v>
      </c>
      <c r="S199" s="817">
        <f t="shared" si="55"/>
        <v>0</v>
      </c>
      <c r="T199" s="176">
        <f t="shared" si="56"/>
        <v>6</v>
      </c>
      <c r="U199" s="251">
        <f t="shared" si="57"/>
        <v>0.46410987690204109</v>
      </c>
      <c r="V199" s="383">
        <f t="shared" si="58"/>
        <v>37.260338670220207</v>
      </c>
      <c r="W199" s="402">
        <f t="shared" si="59"/>
        <v>28.098877428321131</v>
      </c>
      <c r="X199" s="157">
        <f t="shared" si="60"/>
        <v>45476</v>
      </c>
      <c r="Y199" s="385">
        <f t="shared" si="61"/>
        <v>26.596746941684657</v>
      </c>
      <c r="Z199" s="385">
        <f t="shared" si="62"/>
        <v>27.950709244661553</v>
      </c>
      <c r="AA199" s="386">
        <f t="shared" si="63"/>
        <v>32.038010626508665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0.12757662857085214</v>
      </c>
      <c r="AD199" s="231">
        <f>(INDEX(Models!$BJ199:$BT199,,AH199)*(1-AF199)+INDEX(Models!$BJ199:$BT199,,AH199+1)*AF199-ERP_i)*AE199*Ramure*Pc/MaxiM</f>
        <v>0</v>
      </c>
      <c r="AE199" s="305">
        <f t="shared" si="65"/>
        <v>0.7</v>
      </c>
      <c r="AF199" s="177">
        <f t="shared" si="66"/>
        <v>0.46410987690204109</v>
      </c>
      <c r="AG199" s="817">
        <f t="shared" si="74"/>
        <v>0</v>
      </c>
      <c r="AH199" s="176">
        <f t="shared" si="67"/>
        <v>6</v>
      </c>
      <c r="AI199" s="225">
        <f t="shared" si="68"/>
        <v>0.46410987690204109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45477</v>
      </c>
      <c r="B200" s="411">
        <f>'2023'!Wh/'2023'!Env_an*'2024'!Env_an</f>
        <v>35.06470647151437</v>
      </c>
      <c r="C200" s="846"/>
      <c r="D200" s="393">
        <f t="shared" si="50"/>
        <v>36.8505548552966</v>
      </c>
      <c r="E200" s="385">
        <f t="shared" si="75"/>
        <v>39.986392186605812</v>
      </c>
      <c r="F200" s="385">
        <f t="shared" si="51"/>
        <v>39.986392186605812</v>
      </c>
      <c r="G200" s="110">
        <f t="shared" si="76"/>
        <v>0.94236215268924439</v>
      </c>
      <c r="H200" s="414" t="b">
        <f>Wh_hp&gt;='2023'!Maxi_hp</f>
        <v>0</v>
      </c>
      <c r="I200" s="390">
        <f>IF(H200,Wh_hp,'2023'!Maxi_hp)</f>
        <v>42.685652702898089</v>
      </c>
      <c r="J200" s="85">
        <f>IF(H200,An,'2023'!An_max)</f>
        <v>2020</v>
      </c>
      <c r="K200" s="197">
        <f t="shared" si="52"/>
        <v>45477</v>
      </c>
      <c r="L200" s="147">
        <f>IF(t&lt;Tvie,1-EXP((T0-t)*PertePVj)+'2023'!Pspv,1-EXP((T0-t)*PertePVj)+Pspv)</f>
        <v>4.8461913010396485E-2</v>
      </c>
      <c r="M200" s="850"/>
      <c r="N200" s="850"/>
      <c r="O200" s="48">
        <f>IF(t&lt;Tnet,'2023'!Resal+('2023'!Salim-'2023'!Resal)*(1-EXP(('2023'!Tnet-t)/('2023'!Tau_j))),Resal+(Salim-Resal)*(1-EXP((Tnet-t)/(Tau_j))))*Salcycl</f>
        <v>7.8422612289578253E-2</v>
      </c>
      <c r="P200" s="169">
        <f>(INDEX(Models!$BJ200:$BT200,,T200)*(1-R200)+INDEX(Models!$BJ200:$BT200,,T200+1)*R200-ERP_i)*Q200*Ramure*Pc/MaxiM</f>
        <v>0</v>
      </c>
      <c r="Q200" s="305">
        <f t="shared" si="53"/>
        <v>0.7</v>
      </c>
      <c r="R200" s="177">
        <f t="shared" si="54"/>
        <v>0.46814393526201492</v>
      </c>
      <c r="S200" s="817">
        <f t="shared" si="55"/>
        <v>0</v>
      </c>
      <c r="T200" s="176">
        <f t="shared" si="56"/>
        <v>6</v>
      </c>
      <c r="U200" s="251">
        <f t="shared" si="57"/>
        <v>0.46814393526201492</v>
      </c>
      <c r="V200" s="383">
        <f t="shared" si="58"/>
        <v>37.209374730775501</v>
      </c>
      <c r="W200" s="402">
        <f t="shared" si="59"/>
        <v>35.06470647151437</v>
      </c>
      <c r="X200" s="157">
        <f t="shared" si="60"/>
        <v>45477</v>
      </c>
      <c r="Y200" s="385">
        <f t="shared" si="61"/>
        <v>33.192146967355995</v>
      </c>
      <c r="Z200" s="385">
        <f t="shared" si="62"/>
        <v>34.882625741620629</v>
      </c>
      <c r="AA200" s="386">
        <f t="shared" si="63"/>
        <v>39.986392186605812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0.12763758283486212</v>
      </c>
      <c r="AD200" s="231">
        <f>(INDEX(Models!$BJ200:$BT200,,AH200)*(1-AF200)+INDEX(Models!$BJ200:$BT200,,AH200+1)*AF200-ERP_i)*AE200*Ramure*Pc/MaxiM</f>
        <v>0</v>
      </c>
      <c r="AE200" s="305">
        <f t="shared" si="65"/>
        <v>0.7</v>
      </c>
      <c r="AF200" s="177">
        <f t="shared" si="66"/>
        <v>0.46814393526201492</v>
      </c>
      <c r="AG200" s="817">
        <f t="shared" si="74"/>
        <v>0</v>
      </c>
      <c r="AH200" s="176">
        <f t="shared" si="67"/>
        <v>6</v>
      </c>
      <c r="AI200" s="225">
        <f t="shared" si="68"/>
        <v>0.46814393526201492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45478</v>
      </c>
      <c r="B201" s="411">
        <f>'2023'!Wh/'2023'!Env_an*'2024'!Env_an</f>
        <v>28.009191397178903</v>
      </c>
      <c r="C201" s="846"/>
      <c r="D201" s="393">
        <f t="shared" si="50"/>
        <v>29.436346549622833</v>
      </c>
      <c r="E201" s="385">
        <f t="shared" si="75"/>
        <v>31.945337323291515</v>
      </c>
      <c r="F201" s="385">
        <f t="shared" si="51"/>
        <v>31.945337323291515</v>
      </c>
      <c r="G201" s="110">
        <f t="shared" si="76"/>
        <v>0.75382495193533117</v>
      </c>
      <c r="H201" s="414" t="b">
        <f>Wh_hp&gt;='2023'!Maxi_hp</f>
        <v>0</v>
      </c>
      <c r="I201" s="390">
        <f>IF(H201,Wh_hp,'2023'!Maxi_hp)</f>
        <v>42.389212353371924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4.8482754136559669E-2</v>
      </c>
      <c r="M201" s="850"/>
      <c r="N201" s="850"/>
      <c r="O201" s="48">
        <f>IF(t&lt;Tnet,'2023'!Resal+('2023'!Salim-'2023'!Resal)*(1-EXP(('2023'!Tnet-t)/('2023'!Tau_j))),Resal+(Salim-Resal)*(1-EXP((Tnet-t)/(Tau_j))))*Salcycl</f>
        <v>7.8540124597130528E-2</v>
      </c>
      <c r="P201" s="169">
        <f>(INDEX(Models!$BJ201:$BT201,,T201)*(1-R201)+INDEX(Models!$BJ201:$BT201,,T201+1)*R201-ERP_i)*Q201*Ramure*Pc/MaxiM</f>
        <v>0</v>
      </c>
      <c r="Q201" s="305">
        <f t="shared" si="53"/>
        <v>0.7</v>
      </c>
      <c r="R201" s="177">
        <f t="shared" si="54"/>
        <v>0.47210037272314104</v>
      </c>
      <c r="S201" s="817">
        <f t="shared" si="55"/>
        <v>0</v>
      </c>
      <c r="T201" s="176">
        <f t="shared" si="56"/>
        <v>6</v>
      </c>
      <c r="U201" s="251">
        <f t="shared" si="57"/>
        <v>0.47210037272314104</v>
      </c>
      <c r="V201" s="383">
        <f t="shared" si="58"/>
        <v>37.156094827147278</v>
      </c>
      <c r="W201" s="402">
        <f t="shared" si="59"/>
        <v>28.009191397178903</v>
      </c>
      <c r="X201" s="157">
        <f t="shared" si="60"/>
        <v>45478</v>
      </c>
      <c r="Y201" s="385">
        <f t="shared" si="61"/>
        <v>26.515000146635735</v>
      </c>
      <c r="Z201" s="385">
        <f t="shared" si="62"/>
        <v>27.866021621683892</v>
      </c>
      <c r="AA201" s="386">
        <f t="shared" si="63"/>
        <v>31.945337323291515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0.12769674836500702</v>
      </c>
      <c r="AD201" s="231">
        <f>(INDEX(Models!$BJ201:$BT201,,AH201)*(1-AF201)+INDEX(Models!$BJ201:$BT201,,AH201+1)*AF201-ERP_i)*AE201*Ramure*Pc/MaxiM</f>
        <v>0</v>
      </c>
      <c r="AE201" s="305">
        <f t="shared" si="65"/>
        <v>0.7</v>
      </c>
      <c r="AF201" s="177">
        <f t="shared" si="66"/>
        <v>0.47210037272314104</v>
      </c>
      <c r="AG201" s="817">
        <f t="shared" si="74"/>
        <v>0</v>
      </c>
      <c r="AH201" s="176">
        <f t="shared" si="67"/>
        <v>6</v>
      </c>
      <c r="AI201" s="225">
        <f t="shared" si="68"/>
        <v>0.47210037272314104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45479</v>
      </c>
      <c r="B202" s="411">
        <f>'2023'!Wh/'2023'!Env_an*'2024'!Env_an</f>
        <v>36.090286240411295</v>
      </c>
      <c r="C202" s="846"/>
      <c r="D202" s="393">
        <f t="shared" si="50"/>
        <v>37.93002899791545</v>
      </c>
      <c r="E202" s="385">
        <f t="shared" si="75"/>
        <v>41.168172925291465</v>
      </c>
      <c r="F202" s="385">
        <f t="shared" si="51"/>
        <v>41.168172925291465</v>
      </c>
      <c r="G202" s="110">
        <f t="shared" si="76"/>
        <v>0.97277830345946281</v>
      </c>
      <c r="H202" s="414" t="b">
        <f>Wh_hp&gt;='2023'!Maxi_hp</f>
        <v>1</v>
      </c>
      <c r="I202" s="390">
        <f>IF(H202,Wh_hp,'2023'!Maxi_hp)</f>
        <v>41.168172925291465</v>
      </c>
      <c r="J202" s="85">
        <f>IF(H202,An,'2023'!An_max)</f>
        <v>2024</v>
      </c>
      <c r="K202" s="197">
        <f t="shared" si="52"/>
        <v>45479</v>
      </c>
      <c r="L202" s="147">
        <f>IF(t&lt;Tvie,1-EXP((T0-t)*PertePVj)+'2023'!Pspv,1-EXP((T0-t)*PertePVj)+Pspv)</f>
        <v>4.8503594806248662E-2</v>
      </c>
      <c r="M202" s="850"/>
      <c r="N202" s="850"/>
      <c r="O202" s="48">
        <f>IF(t&lt;Tnet,'2023'!Resal+('2023'!Salim-'2023'!Resal)*(1-EXP(('2023'!Tnet-t)/('2023'!Tau_j))),Resal+(Salim-Resal)*(1-EXP((Tnet-t)/(Tau_j))))*Salcycl</f>
        <v>7.865648867275031E-2</v>
      </c>
      <c r="P202" s="169">
        <f>(INDEX(Models!$BJ202:$BT202,,T202)*(1-R202)+INDEX(Models!$BJ202:$BT202,,T202+1)*R202-ERP_i)*Q202*Ramure*Pc/MaxiM</f>
        <v>0</v>
      </c>
      <c r="Q202" s="305">
        <f t="shared" si="53"/>
        <v>0.7</v>
      </c>
      <c r="R202" s="177">
        <f t="shared" si="54"/>
        <v>0.47597816443818064</v>
      </c>
      <c r="S202" s="817">
        <f t="shared" si="55"/>
        <v>0</v>
      </c>
      <c r="T202" s="176">
        <f t="shared" si="56"/>
        <v>6</v>
      </c>
      <c r="U202" s="251">
        <f t="shared" si="57"/>
        <v>0.47597816443818064</v>
      </c>
      <c r="V202" s="383">
        <f t="shared" si="58"/>
        <v>37.10021709166876</v>
      </c>
      <c r="W202" s="402">
        <f t="shared" si="59"/>
        <v>36.090286240411295</v>
      </c>
      <c r="X202" s="157">
        <f t="shared" si="60"/>
        <v>45479</v>
      </c>
      <c r="Y202" s="385">
        <f t="shared" si="61"/>
        <v>34.167062441766788</v>
      </c>
      <c r="Z202" s="385">
        <f t="shared" si="62"/>
        <v>35.908766712375986</v>
      </c>
      <c r="AA202" s="386">
        <f t="shared" si="63"/>
        <v>41.168172925291465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0.12775418094118024</v>
      </c>
      <c r="AD202" s="231">
        <f>(INDEX(Models!$BJ202:$BT202,,AH202)*(1-AF202)+INDEX(Models!$BJ202:$BT202,,AH202+1)*AF202-ERP_i)*AE202*Ramure*Pc/MaxiM</f>
        <v>0</v>
      </c>
      <c r="AE202" s="305">
        <f t="shared" si="65"/>
        <v>0.7</v>
      </c>
      <c r="AF202" s="177">
        <f t="shared" si="66"/>
        <v>0.47597816443818064</v>
      </c>
      <c r="AG202" s="817">
        <f t="shared" si="74"/>
        <v>0</v>
      </c>
      <c r="AH202" s="176">
        <f t="shared" si="67"/>
        <v>6</v>
      </c>
      <c r="AI202" s="225">
        <f t="shared" si="68"/>
        <v>0.47597816443818064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45480</v>
      </c>
      <c r="B203" s="411">
        <f>'2023'!Wh/'2023'!Env_an*'2024'!Env_an</f>
        <v>37.228302684307316</v>
      </c>
      <c r="C203" s="846"/>
      <c r="D203" s="393">
        <f t="shared" si="50"/>
        <v>39.126914084303635</v>
      </c>
      <c r="E203" s="385">
        <f t="shared" si="75"/>
        <v>42.472550687835628</v>
      </c>
      <c r="F203" s="385">
        <f t="shared" si="51"/>
        <v>42.472550687835628</v>
      </c>
      <c r="G203" s="110">
        <f t="shared" si="76"/>
        <v>1.0050441570188646</v>
      </c>
      <c r="H203" s="414" t="b">
        <f>Wh_hp&gt;='2023'!Maxi_hp</f>
        <v>0</v>
      </c>
      <c r="I203" s="390">
        <f>IF(H203,Wh_hp,'2023'!Maxi_hp)</f>
        <v>44.11830918893618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4.8524435019473566E-2</v>
      </c>
      <c r="M203" s="850"/>
      <c r="N203" s="850"/>
      <c r="O203" s="48">
        <f>IF(t&lt;Tnet,'2023'!Resal+('2023'!Salim-'2023'!Resal)*(1-EXP(('2023'!Tnet-t)/('2023'!Tau_j))),Resal+(Salim-Resal)*(1-EXP((Tnet-t)/(Tau_j))))*Salcycl</f>
        <v>7.8771737259712149E-2</v>
      </c>
      <c r="P203" s="169">
        <f>(INDEX(Models!$BJ203:$BT203,,T203)*(1-R203)+INDEX(Models!$BJ203:$BT203,,T203+1)*R203-ERP_i)*Q203*Ramure*Pc/MaxiM</f>
        <v>0</v>
      </c>
      <c r="Q203" s="305">
        <f t="shared" si="53"/>
        <v>0.7</v>
      </c>
      <c r="R203" s="177">
        <f t="shared" si="54"/>
        <v>0.47977645600378305</v>
      </c>
      <c r="S203" s="817">
        <f t="shared" si="55"/>
        <v>0</v>
      </c>
      <c r="T203" s="176">
        <f t="shared" si="56"/>
        <v>6</v>
      </c>
      <c r="U203" s="251">
        <f t="shared" si="57"/>
        <v>0.47977645600378305</v>
      </c>
      <c r="V203" s="383">
        <f t="shared" si="58"/>
        <v>37.041459745144849</v>
      </c>
      <c r="W203" s="402">
        <f t="shared" si="59"/>
        <v>37.228302684307316</v>
      </c>
      <c r="X203" s="157">
        <f t="shared" si="60"/>
        <v>45480</v>
      </c>
      <c r="Y203" s="385">
        <f t="shared" si="61"/>
        <v>35.246590786311003</v>
      </c>
      <c r="Z203" s="385">
        <f t="shared" si="62"/>
        <v>37.044136584876341</v>
      </c>
      <c r="AA203" s="386">
        <f t="shared" si="63"/>
        <v>42.472550687835628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0.12780993877332664</v>
      </c>
      <c r="AD203" s="231">
        <f>(INDEX(Models!$BJ203:$BT203,,AH203)*(1-AF203)+INDEX(Models!$BJ203:$BT203,,AH203+1)*AF203-ERP_i)*AE203*Ramure*Pc/MaxiM</f>
        <v>0</v>
      </c>
      <c r="AE203" s="305">
        <f t="shared" si="65"/>
        <v>0.7</v>
      </c>
      <c r="AF203" s="177">
        <f t="shared" si="66"/>
        <v>0.47977645600378305</v>
      </c>
      <c r="AG203" s="817">
        <f t="shared" si="74"/>
        <v>0</v>
      </c>
      <c r="AH203" s="176">
        <f t="shared" si="67"/>
        <v>6</v>
      </c>
      <c r="AI203" s="225">
        <f t="shared" si="68"/>
        <v>0.47977645600378305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45481</v>
      </c>
      <c r="B204" s="411">
        <f>'2023'!Wh/'2023'!Env_an*'2024'!Env_an</f>
        <v>36.518769950554152</v>
      </c>
      <c r="C204" s="846"/>
      <c r="D204" s="393">
        <f t="shared" si="50"/>
        <v>38.382036456822426</v>
      </c>
      <c r="E204" s="385">
        <f t="shared" si="75"/>
        <v>41.669144620844982</v>
      </c>
      <c r="F204" s="385">
        <f t="shared" si="51"/>
        <v>41.669144620844982</v>
      </c>
      <c r="G204" s="110">
        <f t="shared" si="76"/>
        <v>0.98753983585729621</v>
      </c>
      <c r="H204" s="414" t="b">
        <f>Wh_hp&gt;='2023'!Maxi_hp</f>
        <v>0</v>
      </c>
      <c r="I204" s="390">
        <f>IF(H204,Wh_hp,'2023'!Maxi_hp)</f>
        <v>42.583630575998079</v>
      </c>
      <c r="J204" s="85">
        <f>IF(H204,An,'2023'!An_max)</f>
        <v>2021</v>
      </c>
      <c r="K204" s="197">
        <f t="shared" si="52"/>
        <v>45481</v>
      </c>
      <c r="L204" s="147">
        <f>IF(t&lt;Tvie,1-EXP((T0-t)*PertePVj)+'2023'!Pspv,1-EXP((T0-t)*PertePVj)+Pspv)</f>
        <v>4.8545274776244374E-2</v>
      </c>
      <c r="M204" s="850"/>
      <c r="N204" s="850"/>
      <c r="O204" s="48">
        <f>IF(t&lt;Tnet,'2023'!Resal+('2023'!Salim-'2023'!Resal)*(1-EXP(('2023'!Tnet-t)/('2023'!Tau_j))),Resal+(Salim-Resal)*(1-EXP((Tnet-t)/(Tau_j))))*Salcycl</f>
        <v>7.8885904520780148E-2</v>
      </c>
      <c r="P204" s="169">
        <f>(INDEX(Models!$BJ204:$BT204,,T204)*(1-R204)+INDEX(Models!$BJ204:$BT204,,T204+1)*R204-ERP_i)*Q204*Ramure*Pc/MaxiM</f>
        <v>0</v>
      </c>
      <c r="Q204" s="305">
        <f t="shared" si="53"/>
        <v>0.7</v>
      </c>
      <c r="R204" s="177">
        <f t="shared" si="54"/>
        <v>0.48349455912923511</v>
      </c>
      <c r="S204" s="817">
        <f t="shared" si="55"/>
        <v>0</v>
      </c>
      <c r="T204" s="176">
        <f t="shared" si="56"/>
        <v>6</v>
      </c>
      <c r="U204" s="251">
        <f t="shared" si="57"/>
        <v>0.48349455912923511</v>
      </c>
      <c r="V204" s="383">
        <f t="shared" si="58"/>
        <v>36.97954110261459</v>
      </c>
      <c r="W204" s="402">
        <f t="shared" si="59"/>
        <v>36.518769950554152</v>
      </c>
      <c r="X204" s="157">
        <f t="shared" si="60"/>
        <v>45481</v>
      </c>
      <c r="Y204" s="385">
        <f t="shared" si="61"/>
        <v>34.576966205611114</v>
      </c>
      <c r="Z204" s="385">
        <f t="shared" si="62"/>
        <v>36.341157691428329</v>
      </c>
      <c r="AA204" s="386">
        <f t="shared" si="63"/>
        <v>41.669144620844982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0.12786408211392289</v>
      </c>
      <c r="AD204" s="231">
        <f>(INDEX(Models!$BJ204:$BT204,,AH204)*(1-AF204)+INDEX(Models!$BJ204:$BT204,,AH204+1)*AF204-ERP_i)*AE204*Ramure*Pc/MaxiM</f>
        <v>0</v>
      </c>
      <c r="AE204" s="305">
        <f t="shared" si="65"/>
        <v>0.7</v>
      </c>
      <c r="AF204" s="177">
        <f t="shared" si="66"/>
        <v>0.48349455912923511</v>
      </c>
      <c r="AG204" s="817">
        <f t="shared" si="74"/>
        <v>0</v>
      </c>
      <c r="AH204" s="176">
        <f t="shared" si="67"/>
        <v>6</v>
      </c>
      <c r="AI204" s="225">
        <f t="shared" si="68"/>
        <v>0.48349455912923511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45482</v>
      </c>
      <c r="B205" s="411">
        <f>'2023'!Wh/'2023'!Env_an*'2024'!Env_an</f>
        <v>36.088537622225907</v>
      </c>
      <c r="C205" s="846"/>
      <c r="D205" s="393">
        <f t="shared" si="50"/>
        <v>37.930683525318848</v>
      </c>
      <c r="E205" s="385">
        <f t="shared" si="75"/>
        <v>41.184194792398188</v>
      </c>
      <c r="F205" s="385">
        <f t="shared" si="51"/>
        <v>41.184194792398188</v>
      </c>
      <c r="G205" s="110">
        <f t="shared" si="76"/>
        <v>0.97763637188711294</v>
      </c>
      <c r="H205" s="414" t="b">
        <f>Wh_hp&gt;='2023'!Maxi_hp</f>
        <v>1</v>
      </c>
      <c r="I205" s="390">
        <f>IF(H205,Wh_hp,'2023'!Maxi_hp)</f>
        <v>41.184194792398188</v>
      </c>
      <c r="J205" s="85">
        <f>IF(H205,An,'2023'!An_max)</f>
        <v>2024</v>
      </c>
      <c r="K205" s="197">
        <f t="shared" si="52"/>
        <v>45482</v>
      </c>
      <c r="L205" s="147">
        <f>IF(t&lt;Tvie,1-EXP((T0-t)*PertePVj)+'2023'!Pspv,1-EXP((T0-t)*PertePVj)+Pspv)</f>
        <v>4.8566114076570854E-2</v>
      </c>
      <c r="M205" s="850"/>
      <c r="N205" s="850"/>
      <c r="O205" s="48">
        <f>IF(t&lt;Tnet,'2023'!Resal+('2023'!Salim-'2023'!Resal)*(1-EXP(('2023'!Tnet-t)/('2023'!Tau_j))),Resal+(Salim-Resal)*(1-EXP((Tnet-t)/(Tau_j))))*Salcycl</f>
        <v>7.8999025802973244E-2</v>
      </c>
      <c r="P205" s="169">
        <f>(INDEX(Models!$BJ205:$BT205,,T205)*(1-R205)+INDEX(Models!$BJ205:$BT205,,T205+1)*R205-ERP_i)*Q205*Ramure*Pc/MaxiM</f>
        <v>0</v>
      </c>
      <c r="Q205" s="305">
        <f t="shared" si="53"/>
        <v>0.7</v>
      </c>
      <c r="R205" s="177">
        <f t="shared" si="54"/>
        <v>0.48713194677706384</v>
      </c>
      <c r="S205" s="817">
        <f t="shared" si="55"/>
        <v>0</v>
      </c>
      <c r="T205" s="176">
        <f t="shared" si="56"/>
        <v>6</v>
      </c>
      <c r="U205" s="251">
        <f t="shared" si="57"/>
        <v>0.48713194677706384</v>
      </c>
      <c r="V205" s="383">
        <f t="shared" si="58"/>
        <v>36.914070159403835</v>
      </c>
      <c r="W205" s="402">
        <f t="shared" si="59"/>
        <v>36.088537622225907</v>
      </c>
      <c r="X205" s="157">
        <f t="shared" si="60"/>
        <v>45482</v>
      </c>
      <c r="Y205" s="385">
        <f t="shared" si="61"/>
        <v>34.171746656796508</v>
      </c>
      <c r="Z205" s="385">
        <f t="shared" si="62"/>
        <v>35.916049619812078</v>
      </c>
      <c r="AA205" s="386">
        <f t="shared" si="63"/>
        <v>41.184194792398188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0.12791667286787664</v>
      </c>
      <c r="AD205" s="231">
        <f>(INDEX(Models!$BJ205:$BT205,,AH205)*(1-AF205)+INDEX(Models!$BJ205:$BT205,,AH205+1)*AF205-ERP_i)*AE205*Ramure*Pc/MaxiM</f>
        <v>0</v>
      </c>
      <c r="AE205" s="305">
        <f t="shared" si="65"/>
        <v>0.7</v>
      </c>
      <c r="AF205" s="177">
        <f t="shared" si="66"/>
        <v>0.48713194677706384</v>
      </c>
      <c r="AG205" s="817">
        <f t="shared" si="74"/>
        <v>0</v>
      </c>
      <c r="AH205" s="176">
        <f t="shared" si="67"/>
        <v>6</v>
      </c>
      <c r="AI205" s="225">
        <f t="shared" si="68"/>
        <v>0.48713194677706384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45483</v>
      </c>
      <c r="B206" s="411">
        <f>'2023'!Wh/'2023'!Env_an*'2024'!Env_an</f>
        <v>34.814464751816587</v>
      </c>
      <c r="C206" s="846"/>
      <c r="D206" s="393">
        <f t="shared" si="50"/>
        <v>36.592376842721762</v>
      </c>
      <c r="E206" s="385">
        <f t="shared" si="75"/>
        <v>39.735931586193558</v>
      </c>
      <c r="F206" s="385">
        <f t="shared" si="51"/>
        <v>39.735931586193558</v>
      </c>
      <c r="G206" s="110">
        <f t="shared" si="76"/>
        <v>0.94488739869950922</v>
      </c>
      <c r="H206" s="414" t="b">
        <f>Wh_hp&gt;='2023'!Maxi_hp</f>
        <v>0</v>
      </c>
      <c r="I206" s="390">
        <f>IF(H206,Wh_hp,'2023'!Maxi_hp)</f>
        <v>41.921892854152688</v>
      </c>
      <c r="J206" s="85">
        <f>IF(H206,An,'2023'!An_max)</f>
        <v>2019</v>
      </c>
      <c r="K206" s="197">
        <f t="shared" si="52"/>
        <v>45483</v>
      </c>
      <c r="L206" s="147">
        <f>IF(t&lt;Tvie,1-EXP((T0-t)*PertePVj)+'2023'!Pspv,1-EXP((T0-t)*PertePVj)+Pspv)</f>
        <v>4.8586952920463333E-2</v>
      </c>
      <c r="M206" s="850"/>
      <c r="N206" s="850"/>
      <c r="O206" s="48">
        <f>IF(t&lt;Tnet,'2023'!Resal+('2023'!Salim-'2023'!Resal)*(1-EXP(('2023'!Tnet-t)/('2023'!Tau_j))),Resal+(Salim-Resal)*(1-EXP((Tnet-t)/(Tau_j))))*Salcycl</f>
        <v>7.9111137400992557E-2</v>
      </c>
      <c r="P206" s="169">
        <f>(INDEX(Models!$BJ206:$BT206,,T206)*(1-R206)+INDEX(Models!$BJ206:$BT206,,T206+1)*R206-ERP_i)*Q206*Ramure*Pc/MaxiM</f>
        <v>0</v>
      </c>
      <c r="Q206" s="305">
        <f t="shared" si="53"/>
        <v>0.7</v>
      </c>
      <c r="R206" s="177">
        <f t="shared" si="54"/>
        <v>0.49068824783542814</v>
      </c>
      <c r="S206" s="817">
        <f t="shared" si="55"/>
        <v>0</v>
      </c>
      <c r="T206" s="176">
        <f t="shared" si="56"/>
        <v>6</v>
      </c>
      <c r="U206" s="251">
        <f t="shared" si="57"/>
        <v>0.49068824783542814</v>
      </c>
      <c r="V206" s="383">
        <f t="shared" si="58"/>
        <v>36.845093711412908</v>
      </c>
      <c r="W206" s="402">
        <f t="shared" si="59"/>
        <v>34.814464751816587</v>
      </c>
      <c r="X206" s="157">
        <f t="shared" si="60"/>
        <v>45483</v>
      </c>
      <c r="Y206" s="385">
        <f t="shared" si="61"/>
        <v>32.967425734507948</v>
      </c>
      <c r="Z206" s="385">
        <f t="shared" si="62"/>
        <v>34.651012865237618</v>
      </c>
      <c r="AA206" s="386">
        <f t="shared" si="63"/>
        <v>39.735931586193558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0.1279677742026997</v>
      </c>
      <c r="AD206" s="231">
        <f>(INDEX(Models!$BJ206:$BT206,,AH206)*(1-AF206)+INDEX(Models!$BJ206:$BT206,,AH206+1)*AF206-ERP_i)*AE206*Ramure*Pc/MaxiM</f>
        <v>0</v>
      </c>
      <c r="AE206" s="305">
        <f t="shared" si="65"/>
        <v>0.7</v>
      </c>
      <c r="AF206" s="177">
        <f t="shared" si="66"/>
        <v>0.49068824783542814</v>
      </c>
      <c r="AG206" s="817">
        <f t="shared" si="74"/>
        <v>0</v>
      </c>
      <c r="AH206" s="176">
        <f t="shared" si="67"/>
        <v>6</v>
      </c>
      <c r="AI206" s="225">
        <f t="shared" si="68"/>
        <v>0.49068824783542814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45484</v>
      </c>
      <c r="B207" s="411">
        <f>'2023'!Wh/'2023'!Env_an*'2024'!Env_an</f>
        <v>34.638856915323068</v>
      </c>
      <c r="C207" s="846"/>
      <c r="D207" s="393">
        <f t="shared" ref="D207:D270" si="77">Wh/(1-Ppv)</f>
        <v>36.408598471647167</v>
      </c>
      <c r="E207" s="385">
        <f t="shared" si="75"/>
        <v>39.541137383491275</v>
      </c>
      <c r="F207" s="385">
        <f t="shared" ref="F207:F270" si="78">Wh_sa/(1-Pvg*MEDIAN((-Sdif+Wh/Env_an)/Csdif,0,1))</f>
        <v>39.541137383491275</v>
      </c>
      <c r="G207" s="110">
        <f t="shared" si="76"/>
        <v>0.94196474269522568</v>
      </c>
      <c r="H207" s="414" t="b">
        <f>Wh_hp&gt;='2023'!Maxi_hp</f>
        <v>0</v>
      </c>
      <c r="I207" s="390">
        <f>IF(H207,Wh_hp,'2023'!Maxi_hp)</f>
        <v>42.496597456132768</v>
      </c>
      <c r="J207" s="85">
        <f>IF(H207,An,'2023'!An_max)</f>
        <v>2019</v>
      </c>
      <c r="K207" s="197">
        <f t="shared" ref="K207:K270" si="79">t</f>
        <v>45484</v>
      </c>
      <c r="L207" s="147">
        <f>IF(t&lt;Tvie,1-EXP((T0-t)*PertePVj)+'2023'!Pspv,1-EXP((T0-t)*PertePVj)+Pspv)</f>
        <v>4.860779130793158E-2</v>
      </c>
      <c r="M207" s="850"/>
      <c r="N207" s="850"/>
      <c r="O207" s="48">
        <f>IF(t&lt;Tnet,'2023'!Resal+('2023'!Salim-'2023'!Resal)*(1-EXP(('2023'!Tnet-t)/('2023'!Tau_j))),Resal+(Salim-Resal)*(1-EXP((Tnet-t)/(Tau_j))))*Salcycl</f>
        <v>7.9222276321064294E-2</v>
      </c>
      <c r="P207" s="169">
        <f>(INDEX(Models!$BJ207:$BT207,,T207)*(1-R207)+INDEX(Models!$BJ207:$BT207,,T207+1)*R207-ERP_i)*Q207*Ramure*Pc/MaxiM</f>
        <v>0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0.49416324138214635</v>
      </c>
      <c r="S207" s="817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0.49416324138214635</v>
      </c>
      <c r="V207" s="383">
        <f t="shared" ref="V207:V270" si="85">MaxiM*(1-Ppv)*(1-Pvg)*(1-Psa)</f>
        <v>36.77298665787805</v>
      </c>
      <c r="W207" s="402">
        <f t="shared" ref="W207:W270" si="86">Wh*(A207&gt;Tmaj)</f>
        <v>34.638856915323068</v>
      </c>
      <c r="X207" s="157">
        <f t="shared" ref="X207:X270" si="87">t</f>
        <v>45484</v>
      </c>
      <c r="Y207" s="385">
        <f t="shared" ref="Y207:Y270" si="88">Wh_pvt_s*(1-Ppv)</f>
        <v>32.803224925798666</v>
      </c>
      <c r="Z207" s="385">
        <f t="shared" ref="Z207:Z270" si="89">Wh_sa_s*(1-Psa_s)</f>
        <v>34.479181799160493</v>
      </c>
      <c r="AA207" s="386">
        <f t="shared" ref="AA207:AA270" si="90">Wh_hp*(1-Pvg_s*MEDIAN((-Sdif+Wh/Env_an)/Csdif,0,1))</f>
        <v>39.541137383491275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0.12801745016176969</v>
      </c>
      <c r="AD207" s="231">
        <f>(INDEX(Models!$BJ207:$BT207,,AH207)*(1-AF207)+INDEX(Models!$BJ207:$BT207,,AH207+1)*AF207-ERP_i)*AE207*Ramure*Pc/MaxiM</f>
        <v>0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0.49416324138214635</v>
      </c>
      <c r="AG207" s="817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0.49416324138214635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45485</v>
      </c>
      <c r="B208" s="411">
        <f>'2023'!Wh/'2023'!Env_an*'2024'!Env_an</f>
        <v>34.499764323412982</v>
      </c>
      <c r="C208" s="846"/>
      <c r="D208" s="393">
        <f t="shared" si="77"/>
        <v>36.263193726143108</v>
      </c>
      <c r="E208" s="385">
        <f t="shared" si="75"/>
        <v>39.387936405089434</v>
      </c>
      <c r="F208" s="385">
        <f t="shared" si="78"/>
        <v>39.387936405089434</v>
      </c>
      <c r="G208" s="110">
        <f t="shared" si="76"/>
        <v>0.94009613811394988</v>
      </c>
      <c r="H208" s="414" t="b">
        <f>Wh_hp&gt;='2023'!Maxi_hp</f>
        <v>1</v>
      </c>
      <c r="I208" s="390">
        <f>IF(H208,Wh_hp,'2023'!Maxi_hp)</f>
        <v>39.387936405089434</v>
      </c>
      <c r="J208" s="85">
        <f>IF(H208,An,'2023'!An_max)</f>
        <v>2024</v>
      </c>
      <c r="K208" s="197">
        <f t="shared" si="79"/>
        <v>45485</v>
      </c>
      <c r="L208" s="147">
        <f>IF(t&lt;Tvie,1-EXP((T0-t)*PertePVj)+'2023'!Pspv,1-EXP((T0-t)*PertePVj)+Pspv)</f>
        <v>4.8628629238985699E-2</v>
      </c>
      <c r="M208" s="850"/>
      <c r="N208" s="850"/>
      <c r="O208" s="48">
        <f>IF(t&lt;Tnet,'2023'!Resal+('2023'!Salim-'2023'!Resal)*(1-EXP(('2023'!Tnet-t)/('2023'!Tau_j))),Resal+(Salim-Resal)*(1-EXP((Tnet-t)/(Tau_j))))*Salcycl</f>
        <v>7.933248004692546E-2</v>
      </c>
      <c r="P208" s="169">
        <f>(INDEX(Models!$BJ208:$BT208,,T208)*(1-R208)+INDEX(Models!$BJ208:$BT208,,T208+1)*R208-ERP_i)*Q208*Ramure*Pc/MaxiM</f>
        <v>0</v>
      </c>
      <c r="Q208" s="305">
        <f t="shared" si="80"/>
        <v>0.7</v>
      </c>
      <c r="R208" s="177">
        <f t="shared" si="81"/>
        <v>0.49755685059949178</v>
      </c>
      <c r="S208" s="817">
        <f t="shared" si="82"/>
        <v>0</v>
      </c>
      <c r="T208" s="176">
        <f t="shared" si="83"/>
        <v>6</v>
      </c>
      <c r="U208" s="251">
        <f t="shared" si="84"/>
        <v>0.49755685059949178</v>
      </c>
      <c r="V208" s="383">
        <f t="shared" si="85"/>
        <v>36.698123654275911</v>
      </c>
      <c r="W208" s="402">
        <f t="shared" si="86"/>
        <v>34.499764323412982</v>
      </c>
      <c r="X208" s="157">
        <f t="shared" si="87"/>
        <v>45485</v>
      </c>
      <c r="Y208" s="385">
        <f t="shared" si="88"/>
        <v>32.673603609661761</v>
      </c>
      <c r="Z208" s="385">
        <f t="shared" si="89"/>
        <v>34.343690186436575</v>
      </c>
      <c r="AA208" s="386">
        <f t="shared" si="90"/>
        <v>39.387936405089434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0.12806576528343017</v>
      </c>
      <c r="AD208" s="231">
        <f>(INDEX(Models!$BJ208:$BT208,,AH208)*(1-AF208)+INDEX(Models!$BJ208:$BT208,,AH208+1)*AF208-ERP_i)*AE208*Ramure*Pc/MaxiM</f>
        <v>0</v>
      </c>
      <c r="AE208" s="305">
        <f t="shared" si="92"/>
        <v>0.7</v>
      </c>
      <c r="AF208" s="177">
        <f t="shared" si="93"/>
        <v>0.49755685059949178</v>
      </c>
      <c r="AG208" s="817">
        <f t="shared" ref="AG208:AG271" si="99">INDEX(Echel_vg,AH208)</f>
        <v>0</v>
      </c>
      <c r="AH208" s="176">
        <f t="shared" si="94"/>
        <v>6</v>
      </c>
      <c r="AI208" s="225">
        <f t="shared" si="95"/>
        <v>0.49755685059949178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45486</v>
      </c>
      <c r="B209" s="411">
        <f>'2023'!Wh/'2023'!Env_an*'2024'!Env_an</f>
        <v>33.891868768749262</v>
      </c>
      <c r="C209" s="846"/>
      <c r="D209" s="393">
        <f t="shared" si="77"/>
        <v>35.625006328290489</v>
      </c>
      <c r="E209" s="385">
        <f t="shared" si="75"/>
        <v>38.699351978486852</v>
      </c>
      <c r="F209" s="385">
        <f t="shared" si="78"/>
        <v>38.699351978486852</v>
      </c>
      <c r="G209" s="110">
        <f t="shared" si="76"/>
        <v>0.92547938709795596</v>
      </c>
      <c r="H209" s="414" t="b">
        <f>Wh_hp&gt;='2023'!Maxi_hp</f>
        <v>0</v>
      </c>
      <c r="I209" s="390">
        <f>IF(H209,Wh_hp,'2023'!Maxi_hp)</f>
        <v>42.613851519576691</v>
      </c>
      <c r="J209" s="85">
        <f>IF(H209,An,'2023'!An_max)</f>
        <v>2020</v>
      </c>
      <c r="K209" s="197">
        <f t="shared" si="79"/>
        <v>45486</v>
      </c>
      <c r="L209" s="147">
        <f>IF(t&lt;Tvie,1-EXP((T0-t)*PertePVj)+'2023'!Pspv,1-EXP((T0-t)*PertePVj)+Pspv)</f>
        <v>4.864946671363557E-2</v>
      </c>
      <c r="M209" s="850"/>
      <c r="N209" s="850"/>
      <c r="O209" s="48">
        <f>IF(t&lt;Tnet,'2023'!Resal+('2023'!Salim-'2023'!Resal)*(1-EXP(('2023'!Tnet-t)/('2023'!Tau_j))),Resal+(Salim-Resal)*(1-EXP((Tnet-t)/(Tau_j))))*Salcycl</f>
        <v>7.9441786309636581E-2</v>
      </c>
      <c r="P209" s="169">
        <f>(INDEX(Models!$BJ209:$BT209,,T209)*(1-R209)+INDEX(Models!$BJ209:$BT209,,T209+1)*R209-ERP_i)*Q209*Ramure*Pc/MaxiM</f>
        <v>0</v>
      </c>
      <c r="Q209" s="305">
        <f t="shared" si="80"/>
        <v>0.7</v>
      </c>
      <c r="R209" s="177">
        <f t="shared" si="81"/>
        <v>0.50086913639762476</v>
      </c>
      <c r="S209" s="817">
        <f t="shared" si="82"/>
        <v>0</v>
      </c>
      <c r="T209" s="176">
        <f t="shared" si="83"/>
        <v>6</v>
      </c>
      <c r="U209" s="251">
        <f t="shared" si="84"/>
        <v>0.50086913639762476</v>
      </c>
      <c r="V209" s="383">
        <f t="shared" si="85"/>
        <v>36.620879126249008</v>
      </c>
      <c r="W209" s="402">
        <f t="shared" si="86"/>
        <v>33.891868768749262</v>
      </c>
      <c r="X209" s="157">
        <f t="shared" si="87"/>
        <v>45486</v>
      </c>
      <c r="Y209" s="385">
        <f t="shared" si="88"/>
        <v>32.099965714948439</v>
      </c>
      <c r="Z209" s="385">
        <f t="shared" si="89"/>
        <v>33.741470248680756</v>
      </c>
      <c r="AA209" s="386">
        <f t="shared" si="90"/>
        <v>38.699351978486852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0.12811278422858877</v>
      </c>
      <c r="AD209" s="231">
        <f>(INDEX(Models!$BJ209:$BT209,,AH209)*(1-AF209)+INDEX(Models!$BJ209:$BT209,,AH209+1)*AF209-ERP_i)*AE209*Ramure*Pc/MaxiM</f>
        <v>0</v>
      </c>
      <c r="AE209" s="305">
        <f t="shared" si="92"/>
        <v>0.7</v>
      </c>
      <c r="AF209" s="177">
        <f t="shared" si="93"/>
        <v>0.50086913639762476</v>
      </c>
      <c r="AG209" s="817">
        <f t="shared" si="99"/>
        <v>0</v>
      </c>
      <c r="AH209" s="176">
        <f t="shared" si="94"/>
        <v>6</v>
      </c>
      <c r="AI209" s="225">
        <f t="shared" si="95"/>
        <v>0.50086913639762476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45487</v>
      </c>
      <c r="B210" s="411">
        <f>'2023'!Wh/'2023'!Env_an*'2024'!Env_an</f>
        <v>32.815167679071948</v>
      </c>
      <c r="C210" s="846"/>
      <c r="D210" s="393">
        <f t="shared" si="77"/>
        <v>34.494001194117892</v>
      </c>
      <c r="E210" s="385">
        <f t="shared" si="75"/>
        <v>37.475158803509267</v>
      </c>
      <c r="F210" s="385">
        <f t="shared" si="78"/>
        <v>37.475158803509267</v>
      </c>
      <c r="G210" s="110">
        <f t="shared" si="76"/>
        <v>0.89802152000179791</v>
      </c>
      <c r="H210" s="414" t="b">
        <f>Wh_hp&gt;='2023'!Maxi_hp</f>
        <v>0</v>
      </c>
      <c r="I210" s="390">
        <f>IF(H210,Wh_hp,'2023'!Maxi_hp)</f>
        <v>43.03729894617058</v>
      </c>
      <c r="J210" s="85">
        <f>IF(H210,An,'2023'!An_max)</f>
        <v>2019</v>
      </c>
      <c r="K210" s="197">
        <f t="shared" si="79"/>
        <v>45487</v>
      </c>
      <c r="L210" s="147">
        <f>IF(t&lt;Tvie,1-EXP((T0-t)*PertePVj)+'2023'!Pspv,1-EXP((T0-t)*PertePVj)+Pspv)</f>
        <v>4.8670303731891407E-2</v>
      </c>
      <c r="M210" s="850"/>
      <c r="N210" s="850"/>
      <c r="O210" s="48">
        <f>IF(t&lt;Tnet,'2023'!Resal+('2023'!Salim-'2023'!Resal)*(1-EXP(('2023'!Tnet-t)/('2023'!Tau_j))),Resal+(Salim-Resal)*(1-EXP((Tnet-t)/(Tau_j))))*Salcycl</f>
        <v>7.9550232862848083E-2</v>
      </c>
      <c r="P210" s="169">
        <f>(INDEX(Models!$BJ210:$BT210,,T210)*(1-R210)+INDEX(Models!$BJ210:$BT210,,T210+1)*R210-ERP_i)*Q210*Ramure*Pc/MaxiM</f>
        <v>0</v>
      </c>
      <c r="Q210" s="305">
        <f t="shared" si="80"/>
        <v>0.7</v>
      </c>
      <c r="R210" s="177">
        <f t="shared" si="81"/>
        <v>0.50410029080277707</v>
      </c>
      <c r="S210" s="817">
        <f t="shared" si="82"/>
        <v>0</v>
      </c>
      <c r="T210" s="176">
        <f t="shared" si="83"/>
        <v>6</v>
      </c>
      <c r="U210" s="251">
        <f t="shared" si="84"/>
        <v>0.50410029080277707</v>
      </c>
      <c r="V210" s="383">
        <f t="shared" si="85"/>
        <v>36.541627286399823</v>
      </c>
      <c r="W210" s="402">
        <f t="shared" si="86"/>
        <v>32.815167679071948</v>
      </c>
      <c r="X210" s="157">
        <f t="shared" si="87"/>
        <v>45487</v>
      </c>
      <c r="Y210" s="385">
        <f t="shared" si="88"/>
        <v>31.082220551175851</v>
      </c>
      <c r="Z210" s="385">
        <f t="shared" si="89"/>
        <v>32.672395987537953</v>
      </c>
      <c r="AA210" s="386">
        <f t="shared" si="90"/>
        <v>37.475158803509267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0.12815857141935758</v>
      </c>
      <c r="AD210" s="231">
        <f>(INDEX(Models!$BJ210:$BT210,,AH210)*(1-AF210)+INDEX(Models!$BJ210:$BT210,,AH210+1)*AF210-ERP_i)*AE210*Ramure*Pc/MaxiM</f>
        <v>0</v>
      </c>
      <c r="AE210" s="305">
        <f t="shared" si="92"/>
        <v>0.7</v>
      </c>
      <c r="AF210" s="177">
        <f t="shared" si="93"/>
        <v>0.50410029080277707</v>
      </c>
      <c r="AG210" s="817">
        <f t="shared" si="99"/>
        <v>0</v>
      </c>
      <c r="AH210" s="176">
        <f t="shared" si="94"/>
        <v>6</v>
      </c>
      <c r="AI210" s="225">
        <f t="shared" si="95"/>
        <v>0.50410029080277707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45488</v>
      </c>
      <c r="B211" s="411">
        <f>'2023'!Wh/'2023'!Env_an*'2024'!Env_an</f>
        <v>34.011416333711828</v>
      </c>
      <c r="C211" s="846"/>
      <c r="D211" s="393">
        <f t="shared" si="77"/>
        <v>35.752233343243027</v>
      </c>
      <c r="E211" s="385">
        <f t="shared" si="75"/>
        <v>38.846676342561317</v>
      </c>
      <c r="F211" s="385">
        <f t="shared" si="78"/>
        <v>38.846676342561317</v>
      </c>
      <c r="G211" s="110">
        <f t="shared" si="76"/>
        <v>0.93282293048919618</v>
      </c>
      <c r="H211" s="414" t="b">
        <f>Wh_hp&gt;='2023'!Maxi_hp</f>
        <v>0</v>
      </c>
      <c r="I211" s="390">
        <f>IF(H211,Wh_hp,'2023'!Maxi_hp)</f>
        <v>41.785421826741953</v>
      </c>
      <c r="J211" s="85">
        <f>IF(H211,An,'2023'!An_max)</f>
        <v>2019</v>
      </c>
      <c r="K211" s="197">
        <f t="shared" si="79"/>
        <v>45488</v>
      </c>
      <c r="L211" s="147">
        <f>IF(t&lt;Tvie,1-EXP((T0-t)*PertePVj)+'2023'!Pspv,1-EXP((T0-t)*PertePVj)+Pspv)</f>
        <v>4.869114029376298E-2</v>
      </c>
      <c r="M211" s="850"/>
      <c r="N211" s="850"/>
      <c r="O211" s="48">
        <f>IF(t&lt;Tnet,'2023'!Resal+('2023'!Salim-'2023'!Resal)*(1-EXP(('2023'!Tnet-t)/('2023'!Tau_j))),Resal+(Salim-Resal)*(1-EXP((Tnet-t)/(Tau_j))))*Salcycl</f>
        <v>7.965785726507435E-2</v>
      </c>
      <c r="P211" s="169">
        <f>(INDEX(Models!$BJ211:$BT211,,T211)*(1-R211)+INDEX(Models!$BJ211:$BT211,,T211+1)*R211-ERP_i)*Q211*Ramure*Pc/MaxiM</f>
        <v>0</v>
      </c>
      <c r="Q211" s="305">
        <f t="shared" si="80"/>
        <v>0.7</v>
      </c>
      <c r="R211" s="177">
        <f t="shared" si="81"/>
        <v>0.50725063016411842</v>
      </c>
      <c r="S211" s="817">
        <f t="shared" si="82"/>
        <v>0</v>
      </c>
      <c r="T211" s="176">
        <f t="shared" si="83"/>
        <v>6</v>
      </c>
      <c r="U211" s="251">
        <f t="shared" si="84"/>
        <v>0.50725063016411842</v>
      </c>
      <c r="V211" s="383">
        <f t="shared" si="85"/>
        <v>36.460742143072508</v>
      </c>
      <c r="W211" s="402">
        <f t="shared" si="86"/>
        <v>34.011416333711828</v>
      </c>
      <c r="X211" s="157">
        <f t="shared" si="87"/>
        <v>45488</v>
      </c>
      <c r="Y211" s="385">
        <f t="shared" si="88"/>
        <v>32.217414440778306</v>
      </c>
      <c r="Z211" s="385">
        <f t="shared" si="89"/>
        <v>33.866408487698727</v>
      </c>
      <c r="AA211" s="386">
        <f t="shared" si="90"/>
        <v>38.846676342561317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0.12820319069114527</v>
      </c>
      <c r="AD211" s="231">
        <f>(INDEX(Models!$BJ211:$BT211,,AH211)*(1-AF211)+INDEX(Models!$BJ211:$BT211,,AH211+1)*AF211-ERP_i)*AE211*Ramure*Pc/MaxiM</f>
        <v>0</v>
      </c>
      <c r="AE211" s="305">
        <f t="shared" si="92"/>
        <v>0.7</v>
      </c>
      <c r="AF211" s="177">
        <f t="shared" si="93"/>
        <v>0.50725063016411842</v>
      </c>
      <c r="AG211" s="817">
        <f t="shared" si="99"/>
        <v>0</v>
      </c>
      <c r="AH211" s="176">
        <f t="shared" si="94"/>
        <v>6</v>
      </c>
      <c r="AI211" s="225">
        <f t="shared" si="95"/>
        <v>0.50725063016411842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45489</v>
      </c>
      <c r="B212" s="411">
        <f>'2023'!Wh/'2023'!Env_an*'2024'!Env_an</f>
        <v>33.344296201996499</v>
      </c>
      <c r="C212" s="846"/>
      <c r="D212" s="393">
        <f t="shared" si="77"/>
        <v>35.051735515164296</v>
      </c>
      <c r="E212" s="385">
        <f t="shared" si="75"/>
        <v>38.089970454666933</v>
      </c>
      <c r="F212" s="385">
        <f t="shared" si="78"/>
        <v>38.089970454666933</v>
      </c>
      <c r="G212" s="110">
        <f t="shared" si="76"/>
        <v>0.9165910309655797</v>
      </c>
      <c r="H212" s="414" t="b">
        <f>Wh_hp&gt;='2023'!Maxi_hp</f>
        <v>0</v>
      </c>
      <c r="I212" s="390">
        <f>IF(H212,Wh_hp,'2023'!Maxi_hp)</f>
        <v>41.903533821101661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4.8711976399260282E-2</v>
      </c>
      <c r="M212" s="850"/>
      <c r="N212" s="850"/>
      <c r="O212" s="48">
        <f>IF(t&lt;Tnet,'2023'!Resal+('2023'!Salim-'2023'!Resal)*(1-EXP(('2023'!Tnet-t)/('2023'!Tau_j))),Resal+(Salim-Resal)*(1-EXP((Tnet-t)/(Tau_j))))*Salcycl</f>
        <v>7.9764696670442892E-2</v>
      </c>
      <c r="P212" s="169">
        <f>(INDEX(Models!$BJ212:$BT212,,T212)*(1-R212)+INDEX(Models!$BJ212:$BT212,,T212+1)*R212-ERP_i)*Q212*Ramure*Pc/MaxiM</f>
        <v>0</v>
      </c>
      <c r="Q212" s="305">
        <f t="shared" si="80"/>
        <v>0.7</v>
      </c>
      <c r="R212" s="177">
        <f t="shared" si="81"/>
        <v>0.51032058823069482</v>
      </c>
      <c r="S212" s="817">
        <f t="shared" si="82"/>
        <v>0</v>
      </c>
      <c r="T212" s="176">
        <f t="shared" si="83"/>
        <v>6</v>
      </c>
      <c r="U212" s="251">
        <f t="shared" si="84"/>
        <v>0.51032058823069482</v>
      </c>
      <c r="V212" s="383">
        <f t="shared" si="85"/>
        <v>36.378597515699084</v>
      </c>
      <c r="W212" s="402">
        <f t="shared" si="86"/>
        <v>33.344296201996499</v>
      </c>
      <c r="X212" s="157">
        <f t="shared" si="87"/>
        <v>45489</v>
      </c>
      <c r="Y212" s="385">
        <f t="shared" si="88"/>
        <v>31.587573286628487</v>
      </c>
      <c r="Z212" s="385">
        <f t="shared" si="89"/>
        <v>33.205057251814985</v>
      </c>
      <c r="AA212" s="386">
        <f t="shared" si="90"/>
        <v>38.089970454666933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0.12824670496045049</v>
      </c>
      <c r="AD212" s="231">
        <f>(INDEX(Models!$BJ212:$BT212,,AH212)*(1-AF212)+INDEX(Models!$BJ212:$BT212,,AH212+1)*AF212-ERP_i)*AE212*Ramure*Pc/MaxiM</f>
        <v>0</v>
      </c>
      <c r="AE212" s="305">
        <f t="shared" si="92"/>
        <v>0.7</v>
      </c>
      <c r="AF212" s="177">
        <f t="shared" si="93"/>
        <v>0.51032058823069482</v>
      </c>
      <c r="AG212" s="817">
        <f t="shared" si="99"/>
        <v>0</v>
      </c>
      <c r="AH212" s="176">
        <f t="shared" si="94"/>
        <v>6</v>
      </c>
      <c r="AI212" s="225">
        <f t="shared" si="95"/>
        <v>0.51032058823069482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45490</v>
      </c>
      <c r="B213" s="411">
        <f>'2023'!Wh/'2023'!Env_an*'2024'!Env_an</f>
        <v>33.276255944503902</v>
      </c>
      <c r="C213" s="846"/>
      <c r="D213" s="393">
        <f t="shared" si="77"/>
        <v>34.98097733840553</v>
      </c>
      <c r="E213" s="385">
        <f t="shared" si="75"/>
        <v>38.01746196958247</v>
      </c>
      <c r="F213" s="385">
        <f t="shared" si="78"/>
        <v>38.01746196958247</v>
      </c>
      <c r="G213" s="110">
        <f t="shared" si="76"/>
        <v>0.91681322685587774</v>
      </c>
      <c r="H213" s="414" t="b">
        <f>Wh_hp&gt;='2023'!Maxi_hp</f>
        <v>1</v>
      </c>
      <c r="I213" s="390">
        <f>IF(H213,Wh_hp,'2023'!Maxi_hp)</f>
        <v>38.01746196958247</v>
      </c>
      <c r="J213" s="85">
        <f>IF(H213,An,'2023'!An_max)</f>
        <v>2024</v>
      </c>
      <c r="K213" s="197">
        <f t="shared" si="79"/>
        <v>45490</v>
      </c>
      <c r="L213" s="147">
        <f>IF(t&lt;Tvie,1-EXP((T0-t)*PertePVj)+'2023'!Pspv,1-EXP((T0-t)*PertePVj)+Pspv)</f>
        <v>4.8732812048393526E-2</v>
      </c>
      <c r="M213" s="850"/>
      <c r="N213" s="850"/>
      <c r="O213" s="48">
        <f>IF(t&lt;Tnet,'2023'!Resal+('2023'!Salim-'2023'!Resal)*(1-EXP(('2023'!Tnet-t)/('2023'!Tau_j))),Resal+(Salim-Resal)*(1-EXP((Tnet-t)/(Tau_j))))*Salcycl</f>
        <v>7.9870787629284984E-2</v>
      </c>
      <c r="P213" s="169">
        <f>(INDEX(Models!$BJ213:$BT213,,T213)*(1-R213)+INDEX(Models!$BJ213:$BT213,,T213+1)*R213-ERP_i)*Q213*Ramure*Pc/MaxiM</f>
        <v>0</v>
      </c>
      <c r="Q213" s="305">
        <f t="shared" si="80"/>
        <v>0.7</v>
      </c>
      <c r="R213" s="177">
        <f t="shared" si="81"/>
        <v>0.51331070914698529</v>
      </c>
      <c r="S213" s="817">
        <f t="shared" si="82"/>
        <v>0</v>
      </c>
      <c r="T213" s="176">
        <f t="shared" si="83"/>
        <v>6</v>
      </c>
      <c r="U213" s="251">
        <f t="shared" si="84"/>
        <v>0.51331070914698529</v>
      </c>
      <c r="V213" s="383">
        <f t="shared" si="85"/>
        <v>36.295567046541855</v>
      </c>
      <c r="W213" s="402">
        <f t="shared" si="86"/>
        <v>33.276255944503902</v>
      </c>
      <c r="X213" s="157">
        <f t="shared" si="87"/>
        <v>45490</v>
      </c>
      <c r="Y213" s="385">
        <f t="shared" si="88"/>
        <v>31.525216352235692</v>
      </c>
      <c r="Z213" s="385">
        <f t="shared" si="89"/>
        <v>33.140233103298698</v>
      </c>
      <c r="AA213" s="386">
        <f t="shared" si="90"/>
        <v>38.01746196958247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0.12828917591042807</v>
      </c>
      <c r="AD213" s="231">
        <f>(INDEX(Models!$BJ213:$BT213,,AH213)*(1-AF213)+INDEX(Models!$BJ213:$BT213,,AH213+1)*AF213-ERP_i)*AE213*Ramure*Pc/MaxiM</f>
        <v>0</v>
      </c>
      <c r="AE213" s="305">
        <f t="shared" si="92"/>
        <v>0.7</v>
      </c>
      <c r="AF213" s="177">
        <f t="shared" si="93"/>
        <v>0.51331070914698529</v>
      </c>
      <c r="AG213" s="817">
        <f t="shared" si="99"/>
        <v>0</v>
      </c>
      <c r="AH213" s="176">
        <f t="shared" si="94"/>
        <v>6</v>
      </c>
      <c r="AI213" s="225">
        <f t="shared" si="95"/>
        <v>0.51331070914698529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45491</v>
      </c>
      <c r="B214" s="411">
        <f>'2023'!Wh/'2023'!Env_an*'2024'!Env_an</f>
        <v>25.833655838486212</v>
      </c>
      <c r="C214" s="846"/>
      <c r="D214" s="393">
        <f t="shared" si="77"/>
        <v>27.157692393314125</v>
      </c>
      <c r="E214" s="385">
        <f t="shared" si="75"/>
        <v>29.518466138299036</v>
      </c>
      <c r="F214" s="385">
        <f t="shared" si="78"/>
        <v>29.518466138299036</v>
      </c>
      <c r="G214" s="110">
        <f t="shared" si="76"/>
        <v>0.71339993834079896</v>
      </c>
      <c r="H214" s="414" t="b">
        <f>Wh_hp&gt;='2023'!Maxi_hp</f>
        <v>0</v>
      </c>
      <c r="I214" s="390">
        <f>IF(H214,Wh_hp,'2023'!Maxi_hp)</f>
        <v>42.433234679233138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4.8753647241172593E-2</v>
      </c>
      <c r="M214" s="850"/>
      <c r="N214" s="850"/>
      <c r="O214" s="48">
        <f>IF(t&lt;Tnet,'2023'!Resal+('2023'!Salim-'2023'!Resal)*(1-EXP(('2023'!Tnet-t)/('2023'!Tau_j))),Resal+(Salim-Resal)*(1-EXP((Tnet-t)/(Tau_j))))*Salcycl</f>
        <v>7.9976165899823051E-2</v>
      </c>
      <c r="P214" s="169">
        <f>(INDEX(Models!$BJ214:$BT214,,T214)*(1-R214)+INDEX(Models!$BJ214:$BT214,,T214+1)*R214-ERP_i)*Q214*Ramure*Pc/MaxiM</f>
        <v>0</v>
      </c>
      <c r="Q214" s="305">
        <f t="shared" si="80"/>
        <v>0.7</v>
      </c>
      <c r="R214" s="177">
        <f t="shared" si="81"/>
        <v>0.51622164041254903</v>
      </c>
      <c r="S214" s="817">
        <f t="shared" si="82"/>
        <v>0</v>
      </c>
      <c r="T214" s="176">
        <f t="shared" si="83"/>
        <v>6</v>
      </c>
      <c r="U214" s="251">
        <f t="shared" si="84"/>
        <v>0.51622164041254903</v>
      </c>
      <c r="V214" s="383">
        <f t="shared" si="85"/>
        <v>36.212024209827156</v>
      </c>
      <c r="W214" s="402">
        <f t="shared" si="86"/>
        <v>25.833655838486212</v>
      </c>
      <c r="X214" s="157">
        <f t="shared" si="87"/>
        <v>45491</v>
      </c>
      <c r="Y214" s="385">
        <f t="shared" si="88"/>
        <v>24.475893780578495</v>
      </c>
      <c r="Z214" s="385">
        <f t="shared" si="89"/>
        <v>25.730341787480103</v>
      </c>
      <c r="AA214" s="386">
        <f t="shared" si="90"/>
        <v>29.518466138299036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0.12833066369610555</v>
      </c>
      <c r="AD214" s="231">
        <f>(INDEX(Models!$BJ214:$BT214,,AH214)*(1-AF214)+INDEX(Models!$BJ214:$BT214,,AH214+1)*AF214-ERP_i)*AE214*Ramure*Pc/MaxiM</f>
        <v>0</v>
      </c>
      <c r="AE214" s="305">
        <f t="shared" si="92"/>
        <v>0.7</v>
      </c>
      <c r="AF214" s="177">
        <f t="shared" si="93"/>
        <v>0.51622164041254903</v>
      </c>
      <c r="AG214" s="817">
        <f t="shared" si="99"/>
        <v>0</v>
      </c>
      <c r="AH214" s="176">
        <f t="shared" si="94"/>
        <v>6</v>
      </c>
      <c r="AI214" s="225">
        <f t="shared" si="95"/>
        <v>0.51622164041254903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45492</v>
      </c>
      <c r="B215" s="411">
        <f>'2023'!Wh/'2023'!Env_an*'2024'!Env_an</f>
        <v>25.284950698835228</v>
      </c>
      <c r="C215" s="846"/>
      <c r="D215" s="393">
        <f t="shared" si="77"/>
        <v>26.581447006807487</v>
      </c>
      <c r="E215" s="385">
        <f t="shared" si="75"/>
        <v>28.895417034199351</v>
      </c>
      <c r="F215" s="385">
        <f t="shared" si="78"/>
        <v>28.895417034199351</v>
      </c>
      <c r="G215" s="110">
        <f t="shared" si="76"/>
        <v>0.69986467891079762</v>
      </c>
      <c r="H215" s="414" t="b">
        <f>Wh_hp&gt;='2023'!Maxi_hp</f>
        <v>0</v>
      </c>
      <c r="I215" s="390">
        <f>IF(H215,Wh_hp,'2023'!Maxi_hp)</f>
        <v>41.130665538224456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4.8774481977607365E-2</v>
      </c>
      <c r="M215" s="850"/>
      <c r="N215" s="850"/>
      <c r="O215" s="48">
        <f>IF(t&lt;Tnet,'2023'!Resal+('2023'!Salim-'2023'!Resal)*(1-EXP(('2023'!Tnet-t)/('2023'!Tau_j))),Resal+(Salim-Resal)*(1-EXP((Tnet-t)/(Tau_j))))*Salcycl</f>
        <v>8.0080866272085688E-2</v>
      </c>
      <c r="P215" s="169">
        <f>(INDEX(Models!$BJ215:$BT215,,T215)*(1-R215)+INDEX(Models!$BJ215:$BT215,,T215+1)*R215-ERP_i)*Q215*Ramure*Pc/MaxiM</f>
        <v>0</v>
      </c>
      <c r="Q215" s="305">
        <f t="shared" si="80"/>
        <v>0.7</v>
      </c>
      <c r="R215" s="177">
        <f t="shared" si="81"/>
        <v>0.51905412584798416</v>
      </c>
      <c r="S215" s="817">
        <f t="shared" si="82"/>
        <v>0</v>
      </c>
      <c r="T215" s="176">
        <f t="shared" si="83"/>
        <v>6</v>
      </c>
      <c r="U215" s="251">
        <f t="shared" si="84"/>
        <v>0.51905412584798416</v>
      </c>
      <c r="V215" s="383">
        <f t="shared" si="85"/>
        <v>36.128342322099044</v>
      </c>
      <c r="W215" s="402">
        <f t="shared" si="86"/>
        <v>25.284950698835228</v>
      </c>
      <c r="X215" s="157">
        <f t="shared" si="87"/>
        <v>45492</v>
      </c>
      <c r="Y215" s="385">
        <f t="shared" si="88"/>
        <v>23.957639050293636</v>
      </c>
      <c r="Z215" s="385">
        <f t="shared" si="89"/>
        <v>25.186076904351566</v>
      </c>
      <c r="AA215" s="386">
        <f t="shared" si="90"/>
        <v>28.895417034199351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0.12837122667091369</v>
      </c>
      <c r="AD215" s="231">
        <f>(INDEX(Models!$BJ215:$BT215,,AH215)*(1-AF215)+INDEX(Models!$BJ215:$BT215,,AH215+1)*AF215-ERP_i)*AE215*Ramure*Pc/MaxiM</f>
        <v>0</v>
      </c>
      <c r="AE215" s="305">
        <f t="shared" si="92"/>
        <v>0.7</v>
      </c>
      <c r="AF215" s="177">
        <f t="shared" si="93"/>
        <v>0.51905412584798416</v>
      </c>
      <c r="AG215" s="817">
        <f t="shared" si="99"/>
        <v>0</v>
      </c>
      <c r="AH215" s="176">
        <f t="shared" si="94"/>
        <v>6</v>
      </c>
      <c r="AI215" s="225">
        <f t="shared" si="95"/>
        <v>0.51905412584798416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45493</v>
      </c>
      <c r="B216" s="411">
        <f>'2023'!Wh/'2023'!Env_an*'2024'!Env_an</f>
        <v>33.012911290519718</v>
      </c>
      <c r="C216" s="846"/>
      <c r="D216" s="393">
        <f t="shared" si="77"/>
        <v>34.706422134758789</v>
      </c>
      <c r="E216" s="385">
        <f t="shared" si="75"/>
        <v>37.73195610742323</v>
      </c>
      <c r="F216" s="385">
        <f t="shared" si="78"/>
        <v>37.73195610742323</v>
      </c>
      <c r="G216" s="110">
        <f t="shared" si="76"/>
        <v>0.91588314241112101</v>
      </c>
      <c r="H216" s="414" t="b">
        <f>Wh_hp&gt;='2023'!Maxi_hp</f>
        <v>1</v>
      </c>
      <c r="I216" s="390">
        <f>IF(H216,Wh_hp,'2023'!Maxi_hp)</f>
        <v>37.73195610742323</v>
      </c>
      <c r="J216" s="85">
        <f>IF(H216,An,'2023'!An_max)</f>
        <v>2024</v>
      </c>
      <c r="K216" s="197">
        <f t="shared" si="79"/>
        <v>45493</v>
      </c>
      <c r="L216" s="147">
        <f>IF(t&lt;Tvie,1-EXP((T0-t)*PertePVj)+'2023'!Pspv,1-EXP((T0-t)*PertePVj)+Pspv)</f>
        <v>4.8795316257708055E-2</v>
      </c>
      <c r="M216" s="850"/>
      <c r="N216" s="850"/>
      <c r="O216" s="48">
        <f>IF(t&lt;Tnet,'2023'!Resal+('2023'!Salim-'2023'!Resal)*(1-EXP(('2023'!Tnet-t)/('2023'!Tau_j))),Resal+(Salim-Resal)*(1-EXP((Tnet-t)/(Tau_j))))*Salcycl</f>
        <v>8.0184922405048958E-2</v>
      </c>
      <c r="P216" s="169">
        <f>(INDEX(Models!$BJ216:$BT216,,T216)*(1-R216)+INDEX(Models!$BJ216:$BT216,,T216+1)*R216-ERP_i)*Q216*Ramure*Pc/MaxiM</f>
        <v>0</v>
      </c>
      <c r="Q216" s="305">
        <f t="shared" si="80"/>
        <v>0.7</v>
      </c>
      <c r="R216" s="177">
        <f t="shared" si="81"/>
        <v>0.52180899860604413</v>
      </c>
      <c r="S216" s="817">
        <f t="shared" si="82"/>
        <v>0</v>
      </c>
      <c r="T216" s="176">
        <f t="shared" si="83"/>
        <v>6</v>
      </c>
      <c r="U216" s="251">
        <f t="shared" si="84"/>
        <v>0.52180899860604413</v>
      </c>
      <c r="V216" s="383">
        <f t="shared" si="85"/>
        <v>36.044894552389195</v>
      </c>
      <c r="W216" s="402">
        <f t="shared" si="86"/>
        <v>33.012911290519718</v>
      </c>
      <c r="X216" s="157">
        <f t="shared" si="87"/>
        <v>45493</v>
      </c>
      <c r="Y216" s="385">
        <f t="shared" si="88"/>
        <v>31.282040970190238</v>
      </c>
      <c r="Z216" s="385">
        <f t="shared" si="89"/>
        <v>32.886760867406977</v>
      </c>
      <c r="AA216" s="386">
        <f t="shared" si="90"/>
        <v>37.73195610742323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0.12841092113597127</v>
      </c>
      <c r="AD216" s="231">
        <f>(INDEX(Models!$BJ216:$BT216,,AH216)*(1-AF216)+INDEX(Models!$BJ216:$BT216,,AH216+1)*AF216-ERP_i)*AE216*Ramure*Pc/MaxiM</f>
        <v>0</v>
      </c>
      <c r="AE216" s="305">
        <f t="shared" si="92"/>
        <v>0.7</v>
      </c>
      <c r="AF216" s="177">
        <f t="shared" si="93"/>
        <v>0.52180899860604413</v>
      </c>
      <c r="AG216" s="817">
        <f t="shared" si="99"/>
        <v>0</v>
      </c>
      <c r="AH216" s="176">
        <f t="shared" si="94"/>
        <v>6</v>
      </c>
      <c r="AI216" s="225">
        <f t="shared" si="95"/>
        <v>0.52180899860604413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45494</v>
      </c>
      <c r="B217" s="411">
        <f>'2023'!Wh/'2023'!Env_an*'2024'!Env_an</f>
        <v>26.201927184189081</v>
      </c>
      <c r="C217" s="846"/>
      <c r="D217" s="393">
        <f t="shared" si="77"/>
        <v>27.546648512202665</v>
      </c>
      <c r="E217" s="385">
        <f t="shared" si="75"/>
        <v>29.951397279492866</v>
      </c>
      <c r="F217" s="385">
        <f t="shared" si="78"/>
        <v>29.951397279492866</v>
      </c>
      <c r="G217" s="110">
        <f t="shared" si="76"/>
        <v>0.72859929625709574</v>
      </c>
      <c r="H217" s="414" t="b">
        <f>Wh_hp&gt;='2023'!Maxi_hp</f>
        <v>0</v>
      </c>
      <c r="I217" s="390">
        <f>IF(H217,Wh_hp,'2023'!Maxi_hp)</f>
        <v>39.921621323756099</v>
      </c>
      <c r="J217" s="85">
        <f>IF(H217,An,'2023'!An_max)</f>
        <v>2018</v>
      </c>
      <c r="K217" s="197">
        <f t="shared" si="79"/>
        <v>45494</v>
      </c>
      <c r="L217" s="147">
        <f>IF(t&lt;Tvie,1-EXP((T0-t)*PertePVj)+'2023'!Pspv,1-EXP((T0-t)*PertePVj)+Pspv)</f>
        <v>4.8816150081484433E-2</v>
      </c>
      <c r="M217" s="850"/>
      <c r="N217" s="850"/>
      <c r="O217" s="48">
        <f>IF(t&lt;Tnet,'2023'!Resal+('2023'!Salim-'2023'!Resal)*(1-EXP(('2023'!Tnet-t)/('2023'!Tau_j))),Resal+(Salim-Resal)*(1-EXP((Tnet-t)/(Tau_j))))*Salcycl</f>
        <v>8.0288366677860684E-2</v>
      </c>
      <c r="P217" s="169">
        <f>(INDEX(Models!$BJ217:$BT217,,T217)*(1-R217)+INDEX(Models!$BJ217:$BT217,,T217+1)*R217-ERP_i)*Q217*Ramure*Pc/MaxiM</f>
        <v>0</v>
      </c>
      <c r="Q217" s="305">
        <f t="shared" si="80"/>
        <v>0.7</v>
      </c>
      <c r="R217" s="177">
        <f t="shared" si="81"/>
        <v>0.52448717426332325</v>
      </c>
      <c r="S217" s="817">
        <f t="shared" si="82"/>
        <v>0</v>
      </c>
      <c r="T217" s="176">
        <f t="shared" si="83"/>
        <v>6</v>
      </c>
      <c r="U217" s="251">
        <f t="shared" si="84"/>
        <v>0.52448717426332325</v>
      </c>
      <c r="V217" s="383">
        <f t="shared" si="85"/>
        <v>35.962053928396038</v>
      </c>
      <c r="W217" s="402">
        <f t="shared" si="86"/>
        <v>26.201927184189081</v>
      </c>
      <c r="X217" s="157">
        <f t="shared" si="87"/>
        <v>45494</v>
      </c>
      <c r="Y217" s="385">
        <f t="shared" si="88"/>
        <v>24.829842334499904</v>
      </c>
      <c r="Z217" s="385">
        <f t="shared" si="89"/>
        <v>26.104146255875754</v>
      </c>
      <c r="AA217" s="386">
        <f t="shared" si="90"/>
        <v>29.951397279492866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0.12844980111332727</v>
      </c>
      <c r="AD217" s="231">
        <f>(INDEX(Models!$BJ217:$BT217,,AH217)*(1-AF217)+INDEX(Models!$BJ217:$BT217,,AH217+1)*AF217-ERP_i)*AE217*Ramure*Pc/MaxiM</f>
        <v>0</v>
      </c>
      <c r="AE217" s="305">
        <f t="shared" si="92"/>
        <v>0.7</v>
      </c>
      <c r="AF217" s="177">
        <f t="shared" si="93"/>
        <v>0.52448717426332325</v>
      </c>
      <c r="AG217" s="817">
        <f t="shared" si="99"/>
        <v>0</v>
      </c>
      <c r="AH217" s="176">
        <f t="shared" si="94"/>
        <v>6</v>
      </c>
      <c r="AI217" s="225">
        <f t="shared" si="95"/>
        <v>0.52448717426332325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45495</v>
      </c>
      <c r="B218" s="411">
        <f>'2023'!Wh/'2023'!Env_an*'2024'!Env_an</f>
        <v>30.671939997009193</v>
      </c>
      <c r="C218" s="846"/>
      <c r="D218" s="393">
        <f t="shared" si="77"/>
        <v>32.246775224952081</v>
      </c>
      <c r="E218" s="385">
        <f t="shared" si="75"/>
        <v>35.065754349983763</v>
      </c>
      <c r="F218" s="385">
        <f t="shared" si="78"/>
        <v>35.065754349983763</v>
      </c>
      <c r="G218" s="110">
        <f t="shared" si="76"/>
        <v>0.85484321954634568</v>
      </c>
      <c r="H218" s="414" t="b">
        <f>Wh_hp&gt;='2023'!Maxi_hp</f>
        <v>0</v>
      </c>
      <c r="I218" s="390">
        <f>IF(H218,Wh_hp,'2023'!Maxi_hp)</f>
        <v>40.234800142137267</v>
      </c>
      <c r="J218" s="85">
        <f>IF(H218,An,'2023'!An_max)</f>
        <v>2018</v>
      </c>
      <c r="K218" s="197">
        <f t="shared" si="79"/>
        <v>45495</v>
      </c>
      <c r="L218" s="147">
        <f>IF(t&lt;Tvie,1-EXP((T0-t)*PertePVj)+'2023'!Pspv,1-EXP((T0-t)*PertePVj)+Pspv)</f>
        <v>4.8836983448946714E-2</v>
      </c>
      <c r="M218" s="850"/>
      <c r="N218" s="850"/>
      <c r="O218" s="48">
        <f>IF(t&lt;Tnet,'2023'!Resal+('2023'!Salim-'2023'!Resal)*(1-EXP(('2023'!Tnet-t)/('2023'!Tau_j))),Resal+(Salim-Resal)*(1-EXP((Tnet-t)/(Tau_j))))*Salcycl</f>
        <v>8.039123005585605E-2</v>
      </c>
      <c r="P218" s="169">
        <f>(INDEX(Models!$BJ218:$BT218,,T218)*(1-R218)+INDEX(Models!$BJ218:$BT218,,T218+1)*R218-ERP_i)*Q218*Ramure*Pc/MaxiM</f>
        <v>0</v>
      </c>
      <c r="Q218" s="305">
        <f t="shared" si="80"/>
        <v>0.7</v>
      </c>
      <c r="R218" s="177">
        <f t="shared" si="81"/>
        <v>0.52708964402445524</v>
      </c>
      <c r="S218" s="817">
        <f t="shared" si="82"/>
        <v>0</v>
      </c>
      <c r="T218" s="176">
        <f t="shared" si="83"/>
        <v>6</v>
      </c>
      <c r="U218" s="251">
        <f t="shared" si="84"/>
        <v>0.52708964402445524</v>
      </c>
      <c r="V218" s="383">
        <f t="shared" si="85"/>
        <v>35.880193345028111</v>
      </c>
      <c r="W218" s="402">
        <f t="shared" si="86"/>
        <v>30.671939997009193</v>
      </c>
      <c r="X218" s="157">
        <f t="shared" si="87"/>
        <v>45495</v>
      </c>
      <c r="Y218" s="385">
        <f t="shared" si="88"/>
        <v>29.067759198268401</v>
      </c>
      <c r="Z218" s="385">
        <f t="shared" si="89"/>
        <v>30.560228575401304</v>
      </c>
      <c r="AA218" s="386">
        <f t="shared" si="90"/>
        <v>35.065754349983763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0.12848791814411786</v>
      </c>
      <c r="AD218" s="231">
        <f>(INDEX(Models!$BJ218:$BT218,,AH218)*(1-AF218)+INDEX(Models!$BJ218:$BT218,,AH218+1)*AF218-ERP_i)*AE218*Ramure*Pc/MaxiM</f>
        <v>0</v>
      </c>
      <c r="AE218" s="305">
        <f t="shared" si="92"/>
        <v>0.7</v>
      </c>
      <c r="AF218" s="177">
        <f t="shared" si="93"/>
        <v>0.52708964402445524</v>
      </c>
      <c r="AG218" s="817">
        <f t="shared" si="99"/>
        <v>0</v>
      </c>
      <c r="AH218" s="176">
        <f t="shared" si="94"/>
        <v>6</v>
      </c>
      <c r="AI218" s="225">
        <f t="shared" si="95"/>
        <v>0.52708964402445524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45496</v>
      </c>
      <c r="B219" s="411">
        <f>'2023'!Wh/'2023'!Env_an*'2024'!Env_an</f>
        <v>33.141383978966942</v>
      </c>
      <c r="C219" s="846"/>
      <c r="D219" s="393">
        <f t="shared" si="77"/>
        <v>34.843774725813603</v>
      </c>
      <c r="E219" s="385">
        <f t="shared" si="75"/>
        <v>37.893996743141436</v>
      </c>
      <c r="F219" s="385">
        <f t="shared" si="78"/>
        <v>37.893996743141436</v>
      </c>
      <c r="G219" s="110">
        <f t="shared" si="76"/>
        <v>0.92575883065534459</v>
      </c>
      <c r="H219" s="414" t="b">
        <f>Wh_hp&gt;='2023'!Maxi_hp</f>
        <v>1</v>
      </c>
      <c r="I219" s="390">
        <f>IF(H219,Wh_hp,'2023'!Maxi_hp)</f>
        <v>37.893996743141436</v>
      </c>
      <c r="J219" s="85">
        <f>IF(H219,An,'2023'!An_max)</f>
        <v>2024</v>
      </c>
      <c r="K219" s="197">
        <f t="shared" si="79"/>
        <v>45496</v>
      </c>
      <c r="L219" s="147">
        <f>IF(t&lt;Tvie,1-EXP((T0-t)*PertePVj)+'2023'!Pspv,1-EXP((T0-t)*PertePVj)+Pspv)</f>
        <v>4.8857816360104667E-2</v>
      </c>
      <c r="M219" s="850"/>
      <c r="N219" s="850"/>
      <c r="O219" s="48">
        <f>IF(t&lt;Tnet,'2023'!Resal+('2023'!Salim-'2023'!Resal)*(1-EXP(('2023'!Tnet-t)/('2023'!Tau_j))),Resal+(Salim-Resal)*(1-EXP((Tnet-t)/(Tau_j))))*Salcycl</f>
        <v>8.0493541971919449E-2</v>
      </c>
      <c r="P219" s="169">
        <f>(INDEX(Models!$BJ219:$BT219,,T219)*(1-R219)+INDEX(Models!$BJ219:$BT219,,T219+1)*R219-ERP_i)*Q219*Ramure*Pc/MaxiM</f>
        <v>0</v>
      </c>
      <c r="Q219" s="305">
        <f t="shared" si="80"/>
        <v>0.7</v>
      </c>
      <c r="R219" s="177">
        <f t="shared" si="81"/>
        <v>0.52961746806733256</v>
      </c>
      <c r="S219" s="817">
        <f t="shared" si="82"/>
        <v>0</v>
      </c>
      <c r="T219" s="176">
        <f t="shared" si="83"/>
        <v>6</v>
      </c>
      <c r="U219" s="251">
        <f t="shared" si="84"/>
        <v>0.52961746806733256</v>
      </c>
      <c r="V219" s="383">
        <f t="shared" si="85"/>
        <v>35.799155116355912</v>
      </c>
      <c r="W219" s="402">
        <f t="shared" si="86"/>
        <v>33.141383978966942</v>
      </c>
      <c r="X219" s="157">
        <f t="shared" si="87"/>
        <v>45496</v>
      </c>
      <c r="Y219" s="385">
        <f t="shared" si="88"/>
        <v>31.410194793956169</v>
      </c>
      <c r="Z219" s="385">
        <f t="shared" si="89"/>
        <v>33.023658643499026</v>
      </c>
      <c r="AA219" s="386">
        <f t="shared" si="90"/>
        <v>37.893996743141436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0.12852532111234502</v>
      </c>
      <c r="AD219" s="231">
        <f>(INDEX(Models!$BJ219:$BT219,,AH219)*(1-AF219)+INDEX(Models!$BJ219:$BT219,,AH219+1)*AF219-ERP_i)*AE219*Ramure*Pc/MaxiM</f>
        <v>0</v>
      </c>
      <c r="AE219" s="305">
        <f t="shared" si="92"/>
        <v>0.7</v>
      </c>
      <c r="AF219" s="177">
        <f t="shared" si="93"/>
        <v>0.52961746806733256</v>
      </c>
      <c r="AG219" s="817">
        <f t="shared" si="99"/>
        <v>0</v>
      </c>
      <c r="AH219" s="176">
        <f t="shared" si="94"/>
        <v>6</v>
      </c>
      <c r="AI219" s="225">
        <f t="shared" si="95"/>
        <v>0.52961746806733256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45497</v>
      </c>
      <c r="B220" s="411">
        <f>'2023'!Wh/'2023'!Env_an*'2024'!Env_an</f>
        <v>18.67247023533276</v>
      </c>
      <c r="C220" s="846"/>
      <c r="D220" s="393">
        <f t="shared" si="77"/>
        <v>19.632058740000055</v>
      </c>
      <c r="E220" s="385">
        <f t="shared" si="75"/>
        <v>21.353011775298441</v>
      </c>
      <c r="F220" s="385">
        <f t="shared" si="78"/>
        <v>21.353011775298441</v>
      </c>
      <c r="G220" s="110">
        <f t="shared" si="76"/>
        <v>0.52276883637109139</v>
      </c>
      <c r="H220" s="414" t="b">
        <f>Wh_hp&gt;='2023'!Maxi_hp</f>
        <v>0</v>
      </c>
      <c r="I220" s="390">
        <f>IF(H220,Wh_hp,'2023'!Maxi_hp)</f>
        <v>41.517040985591251</v>
      </c>
      <c r="J220" s="85">
        <f>IF(H220,An,'2023'!An_max)</f>
        <v>2020</v>
      </c>
      <c r="K220" s="197">
        <f t="shared" si="79"/>
        <v>45497</v>
      </c>
      <c r="L220" s="147">
        <f>IF(t&lt;Tvie,1-EXP((T0-t)*PertePVj)+'2023'!Pspv,1-EXP((T0-t)*PertePVj)+Pspv)</f>
        <v>4.8878648814968395E-2</v>
      </c>
      <c r="M220" s="850"/>
      <c r="N220" s="850"/>
      <c r="O220" s="48">
        <f>IF(t&lt;Tnet,'2023'!Resal+('2023'!Salim-'2023'!Resal)*(1-EXP(('2023'!Tnet-t)/('2023'!Tau_j))),Resal+(Salim-Resal)*(1-EXP((Tnet-t)/(Tau_j))))*Salcycl</f>
        <v>8.0595330223590098E-2</v>
      </c>
      <c r="P220" s="169">
        <f>(INDEX(Models!$BJ220:$BT220,,T220)*(1-R220)+INDEX(Models!$BJ220:$BT220,,T220+1)*R220-ERP_i)*Q220*Ramure*Pc/MaxiM</f>
        <v>0</v>
      </c>
      <c r="Q220" s="305">
        <f t="shared" si="80"/>
        <v>0.7</v>
      </c>
      <c r="R220" s="177">
        <f t="shared" si="81"/>
        <v>0.53207176905446762</v>
      </c>
      <c r="S220" s="817">
        <f t="shared" si="82"/>
        <v>0</v>
      </c>
      <c r="T220" s="176">
        <f t="shared" si="83"/>
        <v>6</v>
      </c>
      <c r="U220" s="251">
        <f t="shared" si="84"/>
        <v>0.53207176905446762</v>
      </c>
      <c r="V220" s="383">
        <f t="shared" si="85"/>
        <v>35.718407326939378</v>
      </c>
      <c r="W220" s="402">
        <f t="shared" si="86"/>
        <v>18.67247023533276</v>
      </c>
      <c r="X220" s="157">
        <f t="shared" si="87"/>
        <v>45497</v>
      </c>
      <c r="Y220" s="385">
        <f t="shared" si="88"/>
        <v>17.698299350021731</v>
      </c>
      <c r="Z220" s="385">
        <f t="shared" si="89"/>
        <v>18.607824677651145</v>
      </c>
      <c r="AA220" s="386">
        <f t="shared" si="90"/>
        <v>21.353011775298441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0.12856205609472762</v>
      </c>
      <c r="AD220" s="231">
        <f>(INDEX(Models!$BJ220:$BT220,,AH220)*(1-AF220)+INDEX(Models!$BJ220:$BT220,,AH220+1)*AF220-ERP_i)*AE220*Ramure*Pc/MaxiM</f>
        <v>0</v>
      </c>
      <c r="AE220" s="305">
        <f t="shared" si="92"/>
        <v>0.7</v>
      </c>
      <c r="AF220" s="177">
        <f t="shared" si="93"/>
        <v>0.53207176905446762</v>
      </c>
      <c r="AG220" s="817">
        <f t="shared" si="99"/>
        <v>0</v>
      </c>
      <c r="AH220" s="176">
        <f t="shared" si="94"/>
        <v>6</v>
      </c>
      <c r="AI220" s="225">
        <f t="shared" si="95"/>
        <v>0.53207176905446762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45498</v>
      </c>
      <c r="B221" s="411">
        <f>'2023'!Wh/'2023'!Env_an*'2024'!Env_an</f>
        <v>34.368297534488555</v>
      </c>
      <c r="C221" s="846"/>
      <c r="D221" s="393">
        <f t="shared" si="77"/>
        <v>36.13529468355916</v>
      </c>
      <c r="E221" s="385">
        <f t="shared" si="75"/>
        <v>39.307257543631849</v>
      </c>
      <c r="F221" s="385">
        <f t="shared" si="78"/>
        <v>39.307257543631849</v>
      </c>
      <c r="G221" s="110">
        <f t="shared" si="76"/>
        <v>0.96437868220477874</v>
      </c>
      <c r="H221" s="414" t="b">
        <f>Wh_hp&gt;='2023'!Maxi_hp</f>
        <v>0</v>
      </c>
      <c r="I221" s="390">
        <f>IF(H221,Wh_hp,'2023'!Maxi_hp)</f>
        <v>40.464552652725096</v>
      </c>
      <c r="J221" s="85">
        <f>IF(H221,An,'2023'!An_max)</f>
        <v>2020</v>
      </c>
      <c r="K221" s="197">
        <f t="shared" si="79"/>
        <v>45498</v>
      </c>
      <c r="L221" s="147">
        <f>IF(t&lt;Tvie,1-EXP((T0-t)*PertePVj)+'2023'!Pspv,1-EXP((T0-t)*PertePVj)+Pspv)</f>
        <v>4.8899480813548002E-2</v>
      </c>
      <c r="M221" s="850"/>
      <c r="N221" s="850"/>
      <c r="O221" s="48">
        <f>IF(t&lt;Tnet,'2023'!Resal+('2023'!Salim-'2023'!Resal)*(1-EXP(('2023'!Tnet-t)/('2023'!Tau_j))),Resal+(Salim-Resal)*(1-EXP((Tnet-t)/(Tau_j))))*Salcycl</f>
        <v>8.0696620886149234E-2</v>
      </c>
      <c r="P221" s="169">
        <f>(INDEX(Models!$BJ221:$BT221,,T221)*(1-R221)+INDEX(Models!$BJ221:$BT221,,T221+1)*R221-ERP_i)*Q221*Ramure*Pc/MaxiM</f>
        <v>0</v>
      </c>
      <c r="Q221" s="305">
        <f t="shared" si="80"/>
        <v>0.7</v>
      </c>
      <c r="R221" s="177">
        <f t="shared" si="81"/>
        <v>0.53445372583232653</v>
      </c>
      <c r="S221" s="817">
        <f t="shared" si="82"/>
        <v>0</v>
      </c>
      <c r="T221" s="176">
        <f t="shared" si="83"/>
        <v>6</v>
      </c>
      <c r="U221" s="251">
        <f t="shared" si="84"/>
        <v>0.53445372583232653</v>
      </c>
      <c r="V221" s="383">
        <f t="shared" si="85"/>
        <v>35.637761564694877</v>
      </c>
      <c r="W221" s="402">
        <f t="shared" si="86"/>
        <v>34.368297534488555</v>
      </c>
      <c r="X221" s="157">
        <f t="shared" si="87"/>
        <v>45498</v>
      </c>
      <c r="Y221" s="385">
        <f t="shared" si="88"/>
        <v>32.577490929860858</v>
      </c>
      <c r="Z221" s="385">
        <f t="shared" si="89"/>
        <v>34.252416303722391</v>
      </c>
      <c r="AA221" s="386">
        <f t="shared" si="90"/>
        <v>39.307257543631849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0.12859816623681974</v>
      </c>
      <c r="AD221" s="231">
        <f>(INDEX(Models!$BJ221:$BT221,,AH221)*(1-AF221)+INDEX(Models!$BJ221:$BT221,,AH221+1)*AF221-ERP_i)*AE221*Ramure*Pc/MaxiM</f>
        <v>0</v>
      </c>
      <c r="AE221" s="305">
        <f t="shared" si="92"/>
        <v>0.7</v>
      </c>
      <c r="AF221" s="177">
        <f t="shared" si="93"/>
        <v>0.53445372583232653</v>
      </c>
      <c r="AG221" s="817">
        <f t="shared" si="99"/>
        <v>0</v>
      </c>
      <c r="AH221" s="176">
        <f t="shared" si="94"/>
        <v>6</v>
      </c>
      <c r="AI221" s="225">
        <f t="shared" si="95"/>
        <v>0.53445372583232653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45499</v>
      </c>
      <c r="B222" s="411">
        <f>'2023'!Wh/'2023'!Env_an*'2024'!Env_an</f>
        <v>36.081737284033345</v>
      </c>
      <c r="C222" s="846"/>
      <c r="D222" s="393">
        <f t="shared" si="77"/>
        <v>37.937659433573764</v>
      </c>
      <c r="E222" s="385">
        <f t="shared" si="75"/>
        <v>41.272360426201729</v>
      </c>
      <c r="F222" s="385">
        <f t="shared" si="78"/>
        <v>41.272360426201729</v>
      </c>
      <c r="G222" s="110">
        <f t="shared" si="76"/>
        <v>1.0147567919708098</v>
      </c>
      <c r="H222" s="414" t="b">
        <f>Wh_hp&gt;='2023'!Maxi_hp</f>
        <v>1</v>
      </c>
      <c r="I222" s="390">
        <f>IF(H222,Wh_hp,'2023'!Maxi_hp)</f>
        <v>41.272360426201729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4.8920312355853368E-2</v>
      </c>
      <c r="M222" s="850"/>
      <c r="N222" s="850"/>
      <c r="O222" s="48">
        <f>IF(t&lt;Tnet,'2023'!Resal+('2023'!Salim-'2023'!Resal)*(1-EXP(('2023'!Tnet-t)/('2023'!Tau_j))),Resal+(Salim-Resal)*(1-EXP((Tnet-t)/(Tau_j))))*Salcycl</f>
        <v>8.0797438241766634E-2</v>
      </c>
      <c r="P222" s="169">
        <f>(INDEX(Models!$BJ222:$BT222,,T222)*(1-R222)+INDEX(Models!$BJ222:$BT222,,T222+1)*R222-ERP_i)*Q222*Ramure*Pc/MaxiM</f>
        <v>0</v>
      </c>
      <c r="Q222" s="305">
        <f t="shared" si="80"/>
        <v>0.7</v>
      </c>
      <c r="R222" s="177">
        <f t="shared" si="81"/>
        <v>0.53676456733729228</v>
      </c>
      <c r="S222" s="817">
        <f t="shared" si="82"/>
        <v>0</v>
      </c>
      <c r="T222" s="176">
        <f t="shared" si="83"/>
        <v>6</v>
      </c>
      <c r="U222" s="251">
        <f t="shared" si="84"/>
        <v>0.53676456733729228</v>
      </c>
      <c r="V222" s="383">
        <f t="shared" si="85"/>
        <v>35.557029595197093</v>
      </c>
      <c r="W222" s="402">
        <f t="shared" si="86"/>
        <v>36.081737284033345</v>
      </c>
      <c r="X222" s="157">
        <f t="shared" si="87"/>
        <v>45499</v>
      </c>
      <c r="Y222" s="385">
        <f t="shared" si="88"/>
        <v>34.204006302714753</v>
      </c>
      <c r="Z222" s="385">
        <f t="shared" si="89"/>
        <v>35.963344341249801</v>
      </c>
      <c r="AA222" s="386">
        <f t="shared" si="90"/>
        <v>41.272360426201729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0.12863369165533617</v>
      </c>
      <c r="AD222" s="231">
        <f>(INDEX(Models!$BJ222:$BT222,,AH222)*(1-AF222)+INDEX(Models!$BJ222:$BT222,,AH222+1)*AF222-ERP_i)*AE222*Ramure*Pc/MaxiM</f>
        <v>0</v>
      </c>
      <c r="AE222" s="305">
        <f t="shared" si="92"/>
        <v>0.7</v>
      </c>
      <c r="AF222" s="177">
        <f t="shared" si="93"/>
        <v>0.53676456733729228</v>
      </c>
      <c r="AG222" s="817">
        <f t="shared" si="99"/>
        <v>0</v>
      </c>
      <c r="AH222" s="176">
        <f t="shared" si="94"/>
        <v>6</v>
      </c>
      <c r="AI222" s="225">
        <f t="shared" si="95"/>
        <v>0.53676456733729228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45500</v>
      </c>
      <c r="B223" s="411">
        <f>'2023'!Wh/'2023'!Env_an*'2024'!Env_an</f>
        <v>29.115732766407202</v>
      </c>
      <c r="C223" s="846"/>
      <c r="D223" s="393">
        <f t="shared" si="77"/>
        <v>30.614017803038415</v>
      </c>
      <c r="E223" s="385">
        <f t="shared" si="75"/>
        <v>33.30861133877076</v>
      </c>
      <c r="F223" s="385">
        <f t="shared" si="78"/>
        <v>33.30861133877076</v>
      </c>
      <c r="G223" s="110">
        <f t="shared" si="76"/>
        <v>0.82071579641018755</v>
      </c>
      <c r="H223" s="414" t="b">
        <f>Wh_hp&gt;='2023'!Maxi_hp</f>
        <v>0</v>
      </c>
      <c r="I223" s="390">
        <f>IF(H223,Wh_hp,'2023'!Maxi_hp)</f>
        <v>39.810455578458225</v>
      </c>
      <c r="J223" s="85">
        <f>IF(H223,An,'2023'!An_max)</f>
        <v>2019</v>
      </c>
      <c r="K223" s="197">
        <f t="shared" si="79"/>
        <v>45500</v>
      </c>
      <c r="L223" s="147">
        <f>IF(t&lt;Tvie,1-EXP((T0-t)*PertePVj)+'2023'!Pspv,1-EXP((T0-t)*PertePVj)+Pspv)</f>
        <v>4.8941143441894375E-2</v>
      </c>
      <c r="M223" s="850"/>
      <c r="N223" s="850"/>
      <c r="O223" s="48">
        <f>IF(t&lt;Tnet,'2023'!Resal+('2023'!Salim-'2023'!Resal)*(1-EXP(('2023'!Tnet-t)/('2023'!Tau_j))),Resal+(Salim-Resal)*(1-EXP((Tnet-t)/(Tau_j))))*Salcycl</f>
        <v>8.0897804724626182E-2</v>
      </c>
      <c r="P223" s="169">
        <f>(INDEX(Models!$BJ223:$BT223,,T223)*(1-R223)+INDEX(Models!$BJ223:$BT223,,T223+1)*R223-ERP_i)*Q223*Ramure*Pc/MaxiM</f>
        <v>0</v>
      </c>
      <c r="Q223" s="305">
        <f t="shared" si="80"/>
        <v>0.7</v>
      </c>
      <c r="R223" s="177">
        <f t="shared" si="81"/>
        <v>0.53900556672387379</v>
      </c>
      <c r="S223" s="817">
        <f t="shared" si="82"/>
        <v>0</v>
      </c>
      <c r="T223" s="176">
        <f t="shared" si="83"/>
        <v>6</v>
      </c>
      <c r="U223" s="251">
        <f t="shared" si="84"/>
        <v>0.53900556672387379</v>
      </c>
      <c r="V223" s="383">
        <f t="shared" si="85"/>
        <v>35.47602336126522</v>
      </c>
      <c r="W223" s="402">
        <f t="shared" si="86"/>
        <v>29.115732766407202</v>
      </c>
      <c r="X223" s="157">
        <f t="shared" si="87"/>
        <v>45500</v>
      </c>
      <c r="Y223" s="385">
        <f t="shared" si="88"/>
        <v>27.602425828311343</v>
      </c>
      <c r="Z223" s="385">
        <f t="shared" si="89"/>
        <v>29.022836639369388</v>
      </c>
      <c r="AA223" s="386">
        <f t="shared" si="90"/>
        <v>33.30861133877076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0.12866866936637464</v>
      </c>
      <c r="AD223" s="231">
        <f>(INDEX(Models!$BJ223:$BT223,,AH223)*(1-AF223)+INDEX(Models!$BJ223:$BT223,,AH223+1)*AF223-ERP_i)*AE223*Ramure*Pc/MaxiM</f>
        <v>0</v>
      </c>
      <c r="AE223" s="305">
        <f t="shared" si="92"/>
        <v>0.7</v>
      </c>
      <c r="AF223" s="177">
        <f t="shared" si="93"/>
        <v>0.53900556672387379</v>
      </c>
      <c r="AG223" s="817">
        <f t="shared" si="99"/>
        <v>0</v>
      </c>
      <c r="AH223" s="176">
        <f t="shared" si="94"/>
        <v>6</v>
      </c>
      <c r="AI223" s="225">
        <f t="shared" si="95"/>
        <v>0.53900556672387379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45501</v>
      </c>
      <c r="B224" s="411">
        <f>'2023'!Wh/'2023'!Env_an*'2024'!Env_an</f>
        <v>18.567971273230931</v>
      </c>
      <c r="C224" s="846"/>
      <c r="D224" s="393">
        <f t="shared" si="77"/>
        <v>19.523899956688407</v>
      </c>
      <c r="E224" s="385">
        <f t="shared" si="75"/>
        <v>21.244670252956531</v>
      </c>
      <c r="F224" s="385">
        <f t="shared" si="78"/>
        <v>21.244670252956531</v>
      </c>
      <c r="G224" s="110">
        <f t="shared" si="76"/>
        <v>0.52459965330494795</v>
      </c>
      <c r="H224" s="414" t="b">
        <f>Wh_hp&gt;='2023'!Maxi_hp</f>
        <v>0</v>
      </c>
      <c r="I224" s="390">
        <f>IF(H224,Wh_hp,'2023'!Maxi_hp)</f>
        <v>38.323446514546944</v>
      </c>
      <c r="J224" s="85">
        <f>IF(H224,An,'2023'!An_max)</f>
        <v>2021</v>
      </c>
      <c r="K224" s="197">
        <f t="shared" si="79"/>
        <v>45501</v>
      </c>
      <c r="L224" s="147">
        <f>IF(t&lt;Tvie,1-EXP((T0-t)*PertePVj)+'2023'!Pspv,1-EXP((T0-t)*PertePVj)+Pspv)</f>
        <v>4.8961974071681236E-2</v>
      </c>
      <c r="M224" s="850"/>
      <c r="N224" s="850"/>
      <c r="O224" s="48">
        <f>IF(t&lt;Tnet,'2023'!Resal+('2023'!Salim-'2023'!Resal)*(1-EXP(('2023'!Tnet-t)/('2023'!Tau_j))),Resal+(Salim-Resal)*(1-EXP((Tnet-t)/(Tau_j))))*Salcycl</f>
        <v>8.0997740881793748E-2</v>
      </c>
      <c r="P224" s="169">
        <f>(INDEX(Models!$BJ224:$BT224,,T224)*(1-R224)+INDEX(Models!$BJ224:$BT224,,T224+1)*R224-ERP_i)*Q224*Ramure*Pc/MaxiM</f>
        <v>0</v>
      </c>
      <c r="Q224" s="305">
        <f t="shared" si="80"/>
        <v>0.7</v>
      </c>
      <c r="R224" s="177">
        <f t="shared" si="81"/>
        <v>0.54117803572790724</v>
      </c>
      <c r="S224" s="817">
        <f t="shared" si="82"/>
        <v>0</v>
      </c>
      <c r="T224" s="176">
        <f t="shared" si="83"/>
        <v>6</v>
      </c>
      <c r="U224" s="251">
        <f t="shared" si="84"/>
        <v>0.54117803572790724</v>
      </c>
      <c r="V224" s="383">
        <f t="shared" si="85"/>
        <v>35.394554983507454</v>
      </c>
      <c r="W224" s="402">
        <f t="shared" si="86"/>
        <v>18.567971273230931</v>
      </c>
      <c r="X224" s="157">
        <f t="shared" si="87"/>
        <v>45501</v>
      </c>
      <c r="Y224" s="385">
        <f t="shared" si="88"/>
        <v>17.604108185759973</v>
      </c>
      <c r="Z224" s="385">
        <f t="shared" si="89"/>
        <v>18.510414626772054</v>
      </c>
      <c r="AA224" s="386">
        <f t="shared" si="90"/>
        <v>21.244670252956531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0.12870313323898089</v>
      </c>
      <c r="AD224" s="231">
        <f>(INDEX(Models!$BJ224:$BT224,,AH224)*(1-AF224)+INDEX(Models!$BJ224:$BT224,,AH224+1)*AF224-ERP_i)*AE224*Ramure*Pc/MaxiM</f>
        <v>0</v>
      </c>
      <c r="AE224" s="305">
        <f t="shared" si="92"/>
        <v>0.7</v>
      </c>
      <c r="AF224" s="177">
        <f t="shared" si="93"/>
        <v>0.54117803572790724</v>
      </c>
      <c r="AG224" s="817">
        <f t="shared" si="99"/>
        <v>0</v>
      </c>
      <c r="AH224" s="176">
        <f t="shared" si="94"/>
        <v>6</v>
      </c>
      <c r="AI224" s="225">
        <f t="shared" si="95"/>
        <v>0.54117803572790724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45502</v>
      </c>
      <c r="B225" s="411">
        <f>'2023'!Wh/'2023'!Env_an*'2024'!Env_an</f>
        <v>29.672480205144026</v>
      </c>
      <c r="C225" s="846"/>
      <c r="D225" s="393">
        <f t="shared" si="77"/>
        <v>31.20078200225856</v>
      </c>
      <c r="E225" s="385">
        <f t="shared" si="75"/>
        <v>33.954390193564478</v>
      </c>
      <c r="F225" s="385">
        <f t="shared" si="78"/>
        <v>33.954390193564478</v>
      </c>
      <c r="G225" s="110">
        <f t="shared" si="76"/>
        <v>0.84028413011667169</v>
      </c>
      <c r="H225" s="414" t="b">
        <f>Wh_hp&gt;='2023'!Maxi_hp</f>
        <v>0</v>
      </c>
      <c r="I225" s="390">
        <f>IF(H225,Wh_hp,'2023'!Maxi_hp)</f>
        <v>37.359921298844867</v>
      </c>
      <c r="J225" s="85">
        <f>IF(H225,An,'2023'!An_max)</f>
        <v>2018</v>
      </c>
      <c r="K225" s="197">
        <f t="shared" si="79"/>
        <v>45502</v>
      </c>
      <c r="L225" s="147">
        <f>IF(t&lt;Tvie,1-EXP((T0-t)*PertePVj)+'2023'!Pspv,1-EXP((T0-t)*PertePVj)+Pspv)</f>
        <v>4.8982804245223832E-2</v>
      </c>
      <c r="M225" s="850"/>
      <c r="N225" s="850"/>
      <c r="O225" s="48">
        <f>IF(t&lt;Tnet,'2023'!Resal+('2023'!Salim-'2023'!Resal)*(1-EXP(('2023'!Tnet-t)/('2023'!Tau_j))),Resal+(Salim-Resal)*(1-EXP((Tnet-t)/(Tau_j))))*Salcycl</f>
        <v>8.1097265349439882E-2</v>
      </c>
      <c r="P225" s="169">
        <f>(INDEX(Models!$BJ225:$BT225,,T225)*(1-R225)+INDEX(Models!$BJ225:$BT225,,T225+1)*R225-ERP_i)*Q225*Ramure*Pc/MaxiM</f>
        <v>0</v>
      </c>
      <c r="Q225" s="305">
        <f t="shared" si="80"/>
        <v>0.7</v>
      </c>
      <c r="R225" s="177">
        <f t="shared" si="81"/>
        <v>0.54328331927478968</v>
      </c>
      <c r="S225" s="817">
        <f t="shared" si="82"/>
        <v>0</v>
      </c>
      <c r="T225" s="176">
        <f t="shared" si="83"/>
        <v>6</v>
      </c>
      <c r="U225" s="251">
        <f t="shared" si="84"/>
        <v>0.54328331927478968</v>
      </c>
      <c r="V225" s="383">
        <f t="shared" si="85"/>
        <v>35.312436759961258</v>
      </c>
      <c r="W225" s="402">
        <f t="shared" si="86"/>
        <v>29.672480205144026</v>
      </c>
      <c r="X225" s="157">
        <f t="shared" si="87"/>
        <v>45502</v>
      </c>
      <c r="Y225" s="385">
        <f t="shared" si="88"/>
        <v>28.134131899102531</v>
      </c>
      <c r="Z225" s="385">
        <f t="shared" si="89"/>
        <v>29.583199993322769</v>
      </c>
      <c r="AA225" s="386">
        <f t="shared" si="90"/>
        <v>33.954390193564478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0.12873711397326762</v>
      </c>
      <c r="AD225" s="231">
        <f>(INDEX(Models!$BJ225:$BT225,,AH225)*(1-AF225)+INDEX(Models!$BJ225:$BT225,,AH225+1)*AF225-ERP_i)*AE225*Ramure*Pc/MaxiM</f>
        <v>0</v>
      </c>
      <c r="AE225" s="305">
        <f t="shared" si="92"/>
        <v>0.7</v>
      </c>
      <c r="AF225" s="177">
        <f t="shared" si="93"/>
        <v>0.54328331927478968</v>
      </c>
      <c r="AG225" s="817">
        <f t="shared" si="99"/>
        <v>0</v>
      </c>
      <c r="AH225" s="176">
        <f t="shared" si="94"/>
        <v>6</v>
      </c>
      <c r="AI225" s="225">
        <f t="shared" si="95"/>
        <v>0.54328331927478968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45503</v>
      </c>
      <c r="B226" s="411">
        <f>'2023'!Wh/'2023'!Env_an*'2024'!Env_an</f>
        <v>34.578797685479422</v>
      </c>
      <c r="C226" s="846"/>
      <c r="D226" s="393">
        <f t="shared" si="77"/>
        <v>36.360599178269695</v>
      </c>
      <c r="E226" s="385">
        <f t="shared" si="75"/>
        <v>39.573853404821605</v>
      </c>
      <c r="F226" s="385">
        <f t="shared" si="78"/>
        <v>39.57385341022178</v>
      </c>
      <c r="G226" s="110">
        <f t="shared" si="76"/>
        <v>0.9815301431699287</v>
      </c>
      <c r="H226" s="414" t="b">
        <f>Wh_hp&gt;='2023'!Maxi_hp</f>
        <v>0</v>
      </c>
      <c r="I226" s="390">
        <f>IF(H226,Wh_hp,'2023'!Maxi_hp)</f>
        <v>39.57385341036813</v>
      </c>
      <c r="J226" s="85">
        <f>IF(H226,An,'2023'!An_max)</f>
        <v>2022</v>
      </c>
      <c r="K226" s="197">
        <f t="shared" si="79"/>
        <v>45503</v>
      </c>
      <c r="L226" s="147">
        <f>IF(t&lt;Tvie,1-EXP((T0-t)*PertePVj)+'2023'!Pspv,1-EXP((T0-t)*PertePVj)+Pspv)</f>
        <v>4.9003633962532156E-2</v>
      </c>
      <c r="M226" s="850"/>
      <c r="N226" s="850"/>
      <c r="O226" s="48">
        <f>IF(t&lt;Tnet,'2023'!Resal+('2023'!Salim-'2023'!Resal)*(1-EXP(('2023'!Tnet-t)/('2023'!Tau_j))),Resal+(Salim-Resal)*(1-EXP((Tnet-t)/(Tau_j))))*Salcycl</f>
        <v>8.1196394843884842E-2</v>
      </c>
      <c r="P226" s="169">
        <f>(INDEX(Models!$BJ226:$BT226,,T226)*(1-R226)+INDEX(Models!$BJ226:$BT226,,T226+1)*R226-ERP_i)*Q226*Ramure*Pc/MaxiM</f>
        <v>1.4015610484798173E-10</v>
      </c>
      <c r="Q226" s="305">
        <f t="shared" si="80"/>
        <v>0.7</v>
      </c>
      <c r="R226" s="177">
        <f t="shared" si="81"/>
        <v>0.54532279034026276</v>
      </c>
      <c r="S226" s="817">
        <f t="shared" si="82"/>
        <v>0</v>
      </c>
      <c r="T226" s="176">
        <f t="shared" si="83"/>
        <v>6</v>
      </c>
      <c r="U226" s="251">
        <f t="shared" si="84"/>
        <v>0.54532279034026276</v>
      </c>
      <c r="V226" s="383">
        <f t="shared" si="85"/>
        <v>35.229481158547607</v>
      </c>
      <c r="W226" s="402">
        <f t="shared" si="86"/>
        <v>34.578797685479422</v>
      </c>
      <c r="X226" s="157">
        <f t="shared" si="87"/>
        <v>45503</v>
      </c>
      <c r="Y226" s="385">
        <f t="shared" si="88"/>
        <v>32.788360471245724</v>
      </c>
      <c r="Z226" s="385">
        <f t="shared" si="89"/>
        <v>34.47790301015084</v>
      </c>
      <c r="AA226" s="386">
        <f t="shared" si="90"/>
        <v>39.573853404821605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0.12877063910207651</v>
      </c>
      <c r="AD226" s="231">
        <f>(INDEX(Models!$BJ226:$BT226,,AH226)*(1-AF226)+INDEX(Models!$BJ226:$BT226,,AH226+1)*AF226-ERP_i)*AE226*Ramure*Pc/MaxiM</f>
        <v>1.4015610484798173E-10</v>
      </c>
      <c r="AE226" s="305">
        <f t="shared" si="92"/>
        <v>0.7</v>
      </c>
      <c r="AF226" s="177">
        <f t="shared" si="93"/>
        <v>0.54532279034026276</v>
      </c>
      <c r="AG226" s="817">
        <f t="shared" si="99"/>
        <v>0</v>
      </c>
      <c r="AH226" s="176">
        <f t="shared" si="94"/>
        <v>6</v>
      </c>
      <c r="AI226" s="225">
        <f t="shared" si="95"/>
        <v>0.54532279034026276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45504</v>
      </c>
      <c r="B227" s="411">
        <f>'2023'!Wh/'2023'!Env_an*'2024'!Env_an</f>
        <v>34.480153477372767</v>
      </c>
      <c r="C227" s="846"/>
      <c r="D227" s="393">
        <f t="shared" si="77"/>
        <v>36.257666095442964</v>
      </c>
      <c r="E227" s="385">
        <f t="shared" si="75"/>
        <v>39.466065587037384</v>
      </c>
      <c r="F227" s="385">
        <f t="shared" si="78"/>
        <v>39.466065603274892</v>
      </c>
      <c r="G227" s="110">
        <f t="shared" si="76"/>
        <v>0.98106877597325204</v>
      </c>
      <c r="H227" s="414" t="b">
        <f>Wh_hp&gt;='2023'!Maxi_hp</f>
        <v>0</v>
      </c>
      <c r="I227" s="390">
        <f>IF(H227,Wh_hp,'2023'!Maxi_hp)</f>
        <v>39.466065603726243</v>
      </c>
      <c r="J227" s="85">
        <f>IF(H227,An,'2023'!An_max)</f>
        <v>2022</v>
      </c>
      <c r="K227" s="197">
        <f t="shared" si="79"/>
        <v>45504</v>
      </c>
      <c r="L227" s="147">
        <f>IF(t&lt;Tvie,1-EXP((T0-t)*PertePVj)+'2023'!Pspv,1-EXP((T0-t)*PertePVj)+Pspv)</f>
        <v>4.9024463223616199E-2</v>
      </c>
      <c r="M227" s="850"/>
      <c r="N227" s="850"/>
      <c r="O227" s="48">
        <f>IF(t&lt;Tnet,'2023'!Resal+('2023'!Salim-'2023'!Resal)*(1-EXP(('2023'!Tnet-t)/('2023'!Tau_j))),Resal+(Salim-Resal)*(1-EXP((Tnet-t)/(Tau_j))))*Salcycl</f>
        <v>8.1295144166795702E-2</v>
      </c>
      <c r="P227" s="169">
        <f>(INDEX(Models!$BJ227:$BT227,,T227)*(1-R227)+INDEX(Models!$BJ227:$BT227,,T227+1)*R227-ERP_i)*Q227*Ramure*Pc/MaxiM</f>
        <v>4.2286581572212012E-10</v>
      </c>
      <c r="Q227" s="305">
        <f t="shared" si="80"/>
        <v>0.7</v>
      </c>
      <c r="R227" s="177">
        <f t="shared" si="81"/>
        <v>0.54729784506893198</v>
      </c>
      <c r="S227" s="817">
        <f t="shared" si="82"/>
        <v>0</v>
      </c>
      <c r="T227" s="176">
        <f t="shared" si="83"/>
        <v>6</v>
      </c>
      <c r="U227" s="251">
        <f t="shared" si="84"/>
        <v>0.54729784506893198</v>
      </c>
      <c r="V227" s="383">
        <f t="shared" si="85"/>
        <v>35.145500826660204</v>
      </c>
      <c r="W227" s="402">
        <f t="shared" si="86"/>
        <v>34.480153477372767</v>
      </c>
      <c r="X227" s="157">
        <f t="shared" si="87"/>
        <v>45504</v>
      </c>
      <c r="Y227" s="385">
        <f t="shared" si="88"/>
        <v>32.697096139015088</v>
      </c>
      <c r="Z227" s="385">
        <f t="shared" si="89"/>
        <v>34.382689012013579</v>
      </c>
      <c r="AA227" s="386">
        <f t="shared" si="90"/>
        <v>39.466065587037384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0.12880373301496356</v>
      </c>
      <c r="AD227" s="231">
        <f>(INDEX(Models!$BJ227:$BT227,,AH227)*(1-AF227)+INDEX(Models!$BJ227:$BT227,,AH227+1)*AF227-ERP_i)*AE227*Ramure*Pc/MaxiM</f>
        <v>4.2286581572212012E-10</v>
      </c>
      <c r="AE227" s="305">
        <f t="shared" si="92"/>
        <v>0.7</v>
      </c>
      <c r="AF227" s="177">
        <f t="shared" si="93"/>
        <v>0.54729784506893198</v>
      </c>
      <c r="AG227" s="817">
        <f t="shared" si="99"/>
        <v>0</v>
      </c>
      <c r="AH227" s="176">
        <f t="shared" si="94"/>
        <v>6</v>
      </c>
      <c r="AI227" s="225">
        <f t="shared" si="95"/>
        <v>0.54729784506893198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45505</v>
      </c>
      <c r="B228" s="411">
        <f>'2023'!Wh/'2023'!Env_an*'2024'!Env_an</f>
        <v>34.377560661918579</v>
      </c>
      <c r="C228" s="846"/>
      <c r="D228" s="393">
        <f t="shared" si="77"/>
        <v>36.150576230123008</v>
      </c>
      <c r="E228" s="385">
        <f t="shared" si="75"/>
        <v>39.353713763319185</v>
      </c>
      <c r="F228" s="385">
        <f t="shared" si="78"/>
        <v>39.35371379585763</v>
      </c>
      <c r="G228" s="110">
        <f t="shared" si="76"/>
        <v>0.98052647139302684</v>
      </c>
      <c r="H228" s="414" t="b">
        <f>Wh_hp&gt;='2023'!Maxi_hp</f>
        <v>0</v>
      </c>
      <c r="I228" s="390">
        <f>IF(H228,Wh_hp,'2023'!Maxi_hp)</f>
        <v>39.353713796788718</v>
      </c>
      <c r="J228" s="85">
        <f>IF(H228,An,'2023'!An_max)</f>
        <v>2022</v>
      </c>
      <c r="K228" s="197">
        <f t="shared" si="79"/>
        <v>45505</v>
      </c>
      <c r="L228" s="147">
        <f>IF(t&lt;Tvie,1-EXP((T0-t)*PertePVj)+'2023'!Pspv,1-EXP((T0-t)*PertePVj)+Pspv)</f>
        <v>4.9045292028485954E-2</v>
      </c>
      <c r="M228" s="850"/>
      <c r="N228" s="850"/>
      <c r="O228" s="48">
        <f>IF(t&lt;Tnet,'2023'!Resal+('2023'!Salim-'2023'!Resal)*(1-EXP(('2023'!Tnet-t)/('2023'!Tau_j))),Resal+(Salim-Resal)*(1-EXP((Tnet-t)/(Tau_j))))*Salcycl</f>
        <v>8.1393526223737425E-2</v>
      </c>
      <c r="P228" s="169">
        <f>(INDEX(Models!$BJ228:$BT228,,T228)*(1-R228)+INDEX(Models!$BJ228:$BT228,,T228+1)*R228-ERP_i)*Q228*Ramure*Pc/MaxiM</f>
        <v>8.5047993301029372E-10</v>
      </c>
      <c r="Q228" s="305">
        <f t="shared" si="80"/>
        <v>0.7</v>
      </c>
      <c r="R228" s="177">
        <f t="shared" si="81"/>
        <v>0.5492098981535688</v>
      </c>
      <c r="S228" s="817">
        <f t="shared" si="82"/>
        <v>0</v>
      </c>
      <c r="T228" s="176">
        <f t="shared" si="83"/>
        <v>6</v>
      </c>
      <c r="U228" s="251">
        <f t="shared" si="84"/>
        <v>0.5492098981535688</v>
      </c>
      <c r="V228" s="383">
        <f t="shared" si="85"/>
        <v>35.060308583270853</v>
      </c>
      <c r="W228" s="402">
        <f t="shared" si="86"/>
        <v>34.377560661918579</v>
      </c>
      <c r="X228" s="157">
        <f t="shared" si="87"/>
        <v>45505</v>
      </c>
      <c r="Y228" s="385">
        <f t="shared" si="88"/>
        <v>32.60207692399166</v>
      </c>
      <c r="Z228" s="385">
        <f t="shared" si="89"/>
        <v>34.283522286287749</v>
      </c>
      <c r="AA228" s="386">
        <f t="shared" si="90"/>
        <v>39.353713763319185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0.12883641700309506</v>
      </c>
      <c r="AD228" s="231">
        <f>(INDEX(Models!$BJ228:$BT228,,AH228)*(1-AF228)+INDEX(Models!$BJ228:$BT228,,AH228+1)*AF228-ERP_i)*AE228*Ramure*Pc/MaxiM</f>
        <v>8.5047993301029372E-10</v>
      </c>
      <c r="AE228" s="305">
        <f t="shared" si="92"/>
        <v>0.7</v>
      </c>
      <c r="AF228" s="177">
        <f t="shared" si="93"/>
        <v>0.5492098981535688</v>
      </c>
      <c r="AG228" s="817">
        <f t="shared" si="99"/>
        <v>0</v>
      </c>
      <c r="AH228" s="176">
        <f t="shared" si="94"/>
        <v>6</v>
      </c>
      <c r="AI228" s="225">
        <f t="shared" si="95"/>
        <v>0.5492098981535688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45506</v>
      </c>
      <c r="B229" s="411">
        <f>'2023'!Wh/'2023'!Env_an*'2024'!Env_an</f>
        <v>32.076955483908378</v>
      </c>
      <c r="C229" s="846"/>
      <c r="D229" s="393">
        <f t="shared" si="77"/>
        <v>33.732056635347213</v>
      </c>
      <c r="E229" s="385">
        <f t="shared" si="75"/>
        <v>36.724819146544228</v>
      </c>
      <c r="F229" s="385">
        <f t="shared" si="78"/>
        <v>36.724819192695044</v>
      </c>
      <c r="G229" s="110">
        <f t="shared" si="76"/>
        <v>0.91717317597058712</v>
      </c>
      <c r="H229" s="414" t="b">
        <f>Wh_hp&gt;='2023'!Maxi_hp</f>
        <v>0</v>
      </c>
      <c r="I229" s="390">
        <f>IF(H229,Wh_hp,'2023'!Maxi_hp)</f>
        <v>38.935712166326411</v>
      </c>
      <c r="J229" s="85">
        <f>IF(H229,An,'2023'!An_max)</f>
        <v>2019</v>
      </c>
      <c r="K229" s="197">
        <f t="shared" si="79"/>
        <v>45506</v>
      </c>
      <c r="L229" s="147">
        <f>IF(t&lt;Tvie,1-EXP((T0-t)*PertePVj)+'2023'!Pspv,1-EXP((T0-t)*PertePVj)+Pspv)</f>
        <v>4.9066120377151412E-2</v>
      </c>
      <c r="M229" s="850"/>
      <c r="N229" s="850"/>
      <c r="O229" s="48">
        <f>IF(t&lt;Tnet,'2023'!Resal+('2023'!Salim-'2023'!Resal)*(1-EXP(('2023'!Tnet-t)/('2023'!Tau_j))),Resal+(Salim-Resal)*(1-EXP((Tnet-t)/(Tau_j))))*Salcycl</f>
        <v>8.1491552055161745E-2</v>
      </c>
      <c r="P229" s="169">
        <f>(INDEX(Models!$BJ229:$BT229,,T229)*(1-R229)+INDEX(Models!$BJ229:$BT229,,T229+1)*R229-ERP_i)*Q229*Ramure*Pc/MaxiM</f>
        <v>1.4253146911451616E-9</v>
      </c>
      <c r="Q229" s="305">
        <f t="shared" si="80"/>
        <v>0.7</v>
      </c>
      <c r="R229" s="177">
        <f t="shared" si="81"/>
        <v>0.55106037847629175</v>
      </c>
      <c r="S229" s="817">
        <f t="shared" si="82"/>
        <v>0</v>
      </c>
      <c r="T229" s="176">
        <f t="shared" si="83"/>
        <v>6</v>
      </c>
      <c r="U229" s="251">
        <f t="shared" si="84"/>
        <v>0.55106037847629175</v>
      </c>
      <c r="V229" s="383">
        <f t="shared" si="85"/>
        <v>34.97371741661938</v>
      </c>
      <c r="W229" s="402">
        <f t="shared" si="86"/>
        <v>32.076955483908378</v>
      </c>
      <c r="X229" s="157">
        <f t="shared" si="87"/>
        <v>45506</v>
      </c>
      <c r="Y229" s="385">
        <f t="shared" si="88"/>
        <v>30.422408954641334</v>
      </c>
      <c r="Z229" s="385">
        <f t="shared" si="89"/>
        <v>31.992139102991278</v>
      </c>
      <c r="AA229" s="386">
        <f t="shared" si="90"/>
        <v>36.724819146544228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0.12886870932346828</v>
      </c>
      <c r="AD229" s="231">
        <f>(INDEX(Models!$BJ229:$BT229,,AH229)*(1-AF229)+INDEX(Models!$BJ229:$BT229,,AH229+1)*AF229-ERP_i)*AE229*Ramure*Pc/MaxiM</f>
        <v>1.4253146911451616E-9</v>
      </c>
      <c r="AE229" s="305">
        <f t="shared" si="92"/>
        <v>0.7</v>
      </c>
      <c r="AF229" s="177">
        <f t="shared" si="93"/>
        <v>0.55106037847629175</v>
      </c>
      <c r="AG229" s="817">
        <f t="shared" si="99"/>
        <v>0</v>
      </c>
      <c r="AH229" s="176">
        <f t="shared" si="94"/>
        <v>6</v>
      </c>
      <c r="AI229" s="225">
        <f t="shared" si="95"/>
        <v>0.55106037847629175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45507</v>
      </c>
      <c r="B230" s="411">
        <f>'2023'!Wh/'2023'!Env_an*'2024'!Env_an</f>
        <v>31.53613675407145</v>
      </c>
      <c r="C230" s="846"/>
      <c r="D230" s="393">
        <f t="shared" si="77"/>
        <v>33.164059213074331</v>
      </c>
      <c r="E230" s="385">
        <f t="shared" si="75"/>
        <v>36.110268224324585</v>
      </c>
      <c r="F230" s="385">
        <f t="shared" si="78"/>
        <v>36.110268291302582</v>
      </c>
      <c r="G230" s="110">
        <f t="shared" si="76"/>
        <v>0.90398876754334001</v>
      </c>
      <c r="H230" s="414" t="b">
        <f>Wh_hp&gt;='2023'!Maxi_hp</f>
        <v>0</v>
      </c>
      <c r="I230" s="390">
        <f>IF(H230,Wh_hp,'2023'!Maxi_hp)</f>
        <v>36.542089306289583</v>
      </c>
      <c r="J230" s="85">
        <f>IF(H230,An,'2023'!An_max)</f>
        <v>2019</v>
      </c>
      <c r="K230" s="197">
        <f t="shared" si="79"/>
        <v>45507</v>
      </c>
      <c r="L230" s="147">
        <f>IF(t&lt;Tvie,1-EXP((T0-t)*PertePVj)+'2023'!Pspv,1-EXP((T0-t)*PertePVj)+Pspv)</f>
        <v>4.9086948269622677E-2</v>
      </c>
      <c r="M230" s="850"/>
      <c r="N230" s="850"/>
      <c r="O230" s="48">
        <f>IF(t&lt;Tnet,'2023'!Resal+('2023'!Salim-'2023'!Resal)*(1-EXP(('2023'!Tnet-t)/('2023'!Tau_j))),Resal+(Salim-Resal)*(1-EXP((Tnet-t)/(Tau_j))))*Salcycl</f>
        <v>8.1589230878812063E-2</v>
      </c>
      <c r="P230" s="169">
        <f>(INDEX(Models!$BJ230:$BT230,,T230)*(1-R230)+INDEX(Models!$BJ230:$BT230,,T230+1)*R230-ERP_i)*Q230*Ramure*Pc/MaxiM</f>
        <v>2.1496641253322543E-9</v>
      </c>
      <c r="Q230" s="305">
        <f t="shared" si="80"/>
        <v>0.7</v>
      </c>
      <c r="R230" s="177">
        <f t="shared" si="81"/>
        <v>0.55285072501096855</v>
      </c>
      <c r="S230" s="817">
        <f t="shared" si="82"/>
        <v>0</v>
      </c>
      <c r="T230" s="176">
        <f t="shared" si="83"/>
        <v>6</v>
      </c>
      <c r="U230" s="251">
        <f t="shared" si="84"/>
        <v>0.55285072501096855</v>
      </c>
      <c r="V230" s="383">
        <f t="shared" si="85"/>
        <v>34.885540481299422</v>
      </c>
      <c r="W230" s="402">
        <f t="shared" si="86"/>
        <v>31.53613675407145</v>
      </c>
      <c r="X230" s="157">
        <f t="shared" si="87"/>
        <v>45507</v>
      </c>
      <c r="Y230" s="385">
        <f t="shared" si="88"/>
        <v>29.911571086889754</v>
      </c>
      <c r="Z230" s="385">
        <f t="shared" si="89"/>
        <v>31.455632071154813</v>
      </c>
      <c r="AA230" s="386">
        <f t="shared" si="90"/>
        <v>36.110268224324585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0.12890062528071503</v>
      </c>
      <c r="AD230" s="231">
        <f>(INDEX(Models!$BJ230:$BT230,,AH230)*(1-AF230)+INDEX(Models!$BJ230:$BT230,,AH230+1)*AF230-ERP_i)*AE230*Ramure*Pc/MaxiM</f>
        <v>2.1496641253322543E-9</v>
      </c>
      <c r="AE230" s="305">
        <f t="shared" si="92"/>
        <v>0.7</v>
      </c>
      <c r="AF230" s="177">
        <f t="shared" si="93"/>
        <v>0.55285072501096855</v>
      </c>
      <c r="AG230" s="817">
        <f t="shared" si="99"/>
        <v>0</v>
      </c>
      <c r="AH230" s="176">
        <f t="shared" si="94"/>
        <v>6</v>
      </c>
      <c r="AI230" s="225">
        <f t="shared" si="95"/>
        <v>0.55285072501096855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45508</v>
      </c>
      <c r="B231" s="411">
        <f>'2023'!Wh/'2023'!Env_an*'2024'!Env_an</f>
        <v>28.631484012606329</v>
      </c>
      <c r="C231" s="846"/>
      <c r="D231" s="393">
        <f t="shared" si="77"/>
        <v>30.11012529191871</v>
      </c>
      <c r="E231" s="385">
        <f t="shared" si="75"/>
        <v>32.788505877115092</v>
      </c>
      <c r="F231" s="385">
        <f t="shared" si="78"/>
        <v>32.788505951219001</v>
      </c>
      <c r="G231" s="110">
        <f t="shared" si="76"/>
        <v>0.82284804167301551</v>
      </c>
      <c r="H231" s="414" t="b">
        <f>Wh_hp&gt;='2023'!Maxi_hp</f>
        <v>0</v>
      </c>
      <c r="I231" s="390">
        <f>IF(H231,Wh_hp,'2023'!Maxi_hp)</f>
        <v>40.51327472097406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4.9107775705909629E-2</v>
      </c>
      <c r="M231" s="850"/>
      <c r="N231" s="850"/>
      <c r="O231" s="48">
        <f>IF(t&lt;Tnet,'2023'!Resal+('2023'!Salim-'2023'!Resal)*(1-EXP(('2023'!Tnet-t)/('2023'!Tau_j))),Resal+(Salim-Resal)*(1-EXP((Tnet-t)/(Tau_j))))*Salcycl</f>
        <v>8.1686570142428194E-2</v>
      </c>
      <c r="P231" s="169">
        <f>(INDEX(Models!$BJ231:$BT231,,T231)*(1-R231)+INDEX(Models!$BJ231:$BT231,,T231+1)*R231-ERP_i)*Q231*Ramure*Pc/MaxiM</f>
        <v>3.0258126625738492E-9</v>
      </c>
      <c r="Q231" s="305">
        <f t="shared" si="80"/>
        <v>0.7</v>
      </c>
      <c r="R231" s="177">
        <f t="shared" si="81"/>
        <v>0.55458238298461082</v>
      </c>
      <c r="S231" s="817">
        <f t="shared" si="82"/>
        <v>0</v>
      </c>
      <c r="T231" s="176">
        <f t="shared" si="83"/>
        <v>6</v>
      </c>
      <c r="U231" s="251">
        <f t="shared" si="84"/>
        <v>0.55458238298461082</v>
      </c>
      <c r="V231" s="383">
        <f t="shared" si="85"/>
        <v>34.795591094156414</v>
      </c>
      <c r="W231" s="402">
        <f t="shared" si="86"/>
        <v>28.631484012606329</v>
      </c>
      <c r="X231" s="157">
        <f t="shared" si="87"/>
        <v>45508</v>
      </c>
      <c r="Y231" s="385">
        <f t="shared" si="88"/>
        <v>27.15844463114761</v>
      </c>
      <c r="Z231" s="385">
        <f t="shared" si="89"/>
        <v>28.561012423157738</v>
      </c>
      <c r="AA231" s="386">
        <f t="shared" si="90"/>
        <v>32.788505877115092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0.12893217732461404</v>
      </c>
      <c r="AD231" s="231">
        <f>(INDEX(Models!$BJ231:$BT231,,AH231)*(1-AF231)+INDEX(Models!$BJ231:$BT231,,AH231+1)*AF231-ERP_i)*AE231*Ramure*Pc/MaxiM</f>
        <v>3.0258126625738492E-9</v>
      </c>
      <c r="AE231" s="305">
        <f t="shared" si="92"/>
        <v>0.7</v>
      </c>
      <c r="AF231" s="177">
        <f t="shared" si="93"/>
        <v>0.55458238298461082</v>
      </c>
      <c r="AG231" s="817">
        <f t="shared" si="99"/>
        <v>0</v>
      </c>
      <c r="AH231" s="176">
        <f t="shared" si="94"/>
        <v>6</v>
      </c>
      <c r="AI231" s="225">
        <f t="shared" si="95"/>
        <v>0.55458238298461082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45509</v>
      </c>
      <c r="B232" s="411">
        <f>'2023'!Wh/'2023'!Env_an*'2024'!Env_an</f>
        <v>31.071360792889308</v>
      </c>
      <c r="C232" s="846"/>
      <c r="D232" s="393">
        <f t="shared" si="77"/>
        <v>32.676722510172993</v>
      </c>
      <c r="E232" s="385">
        <f t="shared" si="75"/>
        <v>35.587168385722684</v>
      </c>
      <c r="F232" s="385">
        <f t="shared" si="78"/>
        <v>35.587168508483174</v>
      </c>
      <c r="G232" s="110">
        <f t="shared" si="76"/>
        <v>0.89533324213737764</v>
      </c>
      <c r="H232" s="414" t="b">
        <f>Wh_hp&gt;='2023'!Maxi_hp</f>
        <v>0</v>
      </c>
      <c r="I232" s="390">
        <f>IF(H232,Wh_hp,'2023'!Maxi_hp)</f>
        <v>40.005159812023336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4.9128602686022149E-2</v>
      </c>
      <c r="M232" s="850"/>
      <c r="N232" s="850"/>
      <c r="O232" s="48">
        <f>IF(t&lt;Tnet,'2023'!Resal+('2023'!Salim-'2023'!Resal)*(1-EXP(('2023'!Tnet-t)/('2023'!Tau_j))),Resal+(Salim-Resal)*(1-EXP((Tnet-t)/(Tau_j))))*Salcycl</f>
        <v>8.178357558555692E-2</v>
      </c>
      <c r="P232" s="169">
        <f>(INDEX(Models!$BJ232:$BT232,,T232)*(1-R232)+INDEX(Models!$BJ232:$BT232,,T232+1)*R232-ERP_i)*Q232*Ramure*Pc/MaxiM</f>
        <v>4.056047937632254E-9</v>
      </c>
      <c r="Q232" s="305">
        <f t="shared" si="80"/>
        <v>0.7</v>
      </c>
      <c r="R232" s="177">
        <f t="shared" si="81"/>
        <v>0.55625680029414237</v>
      </c>
      <c r="S232" s="817">
        <f t="shared" si="82"/>
        <v>0</v>
      </c>
      <c r="T232" s="176">
        <f t="shared" si="83"/>
        <v>6</v>
      </c>
      <c r="U232" s="251">
        <f t="shared" si="84"/>
        <v>0.55625680029414237</v>
      </c>
      <c r="V232" s="383">
        <f t="shared" si="85"/>
        <v>34.703682731437951</v>
      </c>
      <c r="W232" s="402">
        <f t="shared" si="86"/>
        <v>31.071360792889308</v>
      </c>
      <c r="X232" s="157">
        <f t="shared" si="87"/>
        <v>45509</v>
      </c>
      <c r="Y232" s="385">
        <f t="shared" si="88"/>
        <v>29.474852022432678</v>
      </c>
      <c r="Z232" s="385">
        <f t="shared" si="89"/>
        <v>30.997727038265385</v>
      </c>
      <c r="AA232" s="386">
        <f t="shared" si="90"/>
        <v>35.587168385722684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0.12896337516132783</v>
      </c>
      <c r="AD232" s="231">
        <f>(INDEX(Models!$BJ232:$BT232,,AH232)*(1-AF232)+INDEX(Models!$BJ232:$BT232,,AH232+1)*AF232-ERP_i)*AE232*Ramure*Pc/MaxiM</f>
        <v>4.056047937632254E-9</v>
      </c>
      <c r="AE232" s="305">
        <f t="shared" si="92"/>
        <v>0.7</v>
      </c>
      <c r="AF232" s="177">
        <f t="shared" si="93"/>
        <v>0.55625680029414237</v>
      </c>
      <c r="AG232" s="817">
        <f t="shared" si="99"/>
        <v>0</v>
      </c>
      <c r="AH232" s="176">
        <f t="shared" si="94"/>
        <v>6</v>
      </c>
      <c r="AI232" s="225">
        <f t="shared" si="95"/>
        <v>0.55625680029414237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45510</v>
      </c>
      <c r="B233" s="411">
        <f>'2023'!Wh/'2023'!Env_an*'2024'!Env_an</f>
        <v>33.292133001192433</v>
      </c>
      <c r="C233" s="846"/>
      <c r="D233" s="393">
        <f t="shared" si="77"/>
        <v>35.013002067749852</v>
      </c>
      <c r="E233" s="385">
        <f t="shared" ref="E233:E296" si="100">Wh_pvt/(1-Psa)</f>
        <v>38.135550528868592</v>
      </c>
      <c r="F233" s="385">
        <f t="shared" si="78"/>
        <v>38.135550717921895</v>
      </c>
      <c r="G233" s="110">
        <f t="shared" ref="G233:G296" si="101">+Wh_hp/MaxiM</f>
        <v>0.96191968890917179</v>
      </c>
      <c r="H233" s="414" t="b">
        <f>Wh_hp&gt;='2023'!Maxi_hp</f>
        <v>0</v>
      </c>
      <c r="I233" s="390">
        <f>IF(H233,Wh_hp,'2023'!Maxi_hp)</f>
        <v>38.644291488995613</v>
      </c>
      <c r="J233" s="85">
        <f>IF(H233,An,'2023'!An_max)</f>
        <v>2020</v>
      </c>
      <c r="K233" s="197">
        <f t="shared" si="79"/>
        <v>45510</v>
      </c>
      <c r="L233" s="147">
        <f>IF(t&lt;Tvie,1-EXP((T0-t)*PertePVj)+'2023'!Pspv,1-EXP((T0-t)*PertePVj)+Pspv)</f>
        <v>4.9149429209970452E-2</v>
      </c>
      <c r="M233" s="850"/>
      <c r="N233" s="850"/>
      <c r="O233" s="48">
        <f>IF(t&lt;Tnet,'2023'!Resal+('2023'!Salim-'2023'!Resal)*(1-EXP(('2023'!Tnet-t)/('2023'!Tau_j))),Resal+(Salim-Resal)*(1-EXP((Tnet-t)/(Tau_j))))*Salcycl</f>
        <v>8.1880251309207494E-2</v>
      </c>
      <c r="P233" s="169">
        <f>(INDEX(Models!$BJ233:$BT233,,T233)*(1-R233)+INDEX(Models!$BJ233:$BT233,,T233+1)*R233-ERP_i)*Q233*Ramure*Pc/MaxiM</f>
        <v>5.2426030726836848E-9</v>
      </c>
      <c r="Q233" s="305">
        <f t="shared" si="80"/>
        <v>0.7</v>
      </c>
      <c r="R233" s="177">
        <f t="shared" si="81"/>
        <v>0.55787542417370606</v>
      </c>
      <c r="S233" s="817">
        <f t="shared" si="82"/>
        <v>0</v>
      </c>
      <c r="T233" s="176">
        <f t="shared" si="83"/>
        <v>6</v>
      </c>
      <c r="U233" s="251">
        <f t="shared" si="84"/>
        <v>0.55787542417370606</v>
      </c>
      <c r="V233" s="383">
        <f t="shared" si="85"/>
        <v>34.610096222743074</v>
      </c>
      <c r="W233" s="402">
        <f t="shared" si="86"/>
        <v>33.292133001192433</v>
      </c>
      <c r="X233" s="157">
        <f t="shared" si="87"/>
        <v>45510</v>
      </c>
      <c r="Y233" s="385">
        <f t="shared" si="88"/>
        <v>31.583723276057071</v>
      </c>
      <c r="Z233" s="385">
        <f t="shared" si="89"/>
        <v>33.216284710030962</v>
      </c>
      <c r="AA233" s="386">
        <f t="shared" si="90"/>
        <v>38.135550528868592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0.12899422587629225</v>
      </c>
      <c r="AD233" s="231">
        <f>(INDEX(Models!$BJ233:$BT233,,AH233)*(1-AF233)+INDEX(Models!$BJ233:$BT233,,AH233+1)*AF233-ERP_i)*AE233*Ramure*Pc/MaxiM</f>
        <v>5.2426030726836848E-9</v>
      </c>
      <c r="AE233" s="305">
        <f t="shared" si="92"/>
        <v>0.7</v>
      </c>
      <c r="AF233" s="177">
        <f t="shared" si="93"/>
        <v>0.55787542417370606</v>
      </c>
      <c r="AG233" s="817">
        <f t="shared" si="99"/>
        <v>0</v>
      </c>
      <c r="AH233" s="176">
        <f t="shared" si="94"/>
        <v>6</v>
      </c>
      <c r="AI233" s="225">
        <f t="shared" si="95"/>
        <v>0.55787542417370606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45511</v>
      </c>
      <c r="B234" s="411">
        <f>'2023'!Wh/'2023'!Env_an*'2024'!Env_an</f>
        <v>33.914973452313369</v>
      </c>
      <c r="C234" s="846"/>
      <c r="D234" s="393">
        <f t="shared" si="77"/>
        <v>35.668818356351373</v>
      </c>
      <c r="E234" s="385">
        <f t="shared" si="100"/>
        <v>38.853931556213787</v>
      </c>
      <c r="F234" s="385">
        <f t="shared" si="78"/>
        <v>38.853931993476522</v>
      </c>
      <c r="G234" s="110">
        <f t="shared" si="101"/>
        <v>0.98260874540154064</v>
      </c>
      <c r="H234" s="414" t="b">
        <f>Wh_hp&gt;='2023'!Maxi_hp</f>
        <v>0</v>
      </c>
      <c r="I234" s="390">
        <f>IF(H234,Wh_hp,'2023'!Maxi_hp)</f>
        <v>38.853932004616944</v>
      </c>
      <c r="J234" s="85">
        <f>IF(H234,An,'2023'!An_max)</f>
        <v>2022</v>
      </c>
      <c r="K234" s="197">
        <f t="shared" si="79"/>
        <v>45511</v>
      </c>
      <c r="L234" s="147">
        <f>IF(t&lt;Tvie,1-EXP((T0-t)*PertePVj)+'2023'!Pspv,1-EXP((T0-t)*PertePVj)+Pspv)</f>
        <v>4.9170255277764419E-2</v>
      </c>
      <c r="M234" s="850"/>
      <c r="N234" s="850"/>
      <c r="O234" s="48">
        <f>IF(t&lt;Tnet,'2023'!Resal+('2023'!Salim-'2023'!Resal)*(1-EXP(('2023'!Tnet-t)/('2023'!Tau_j))),Resal+(Salim-Resal)*(1-EXP((Tnet-t)/(Tau_j))))*Salcycl</f>
        <v>8.1976599852043266E-2</v>
      </c>
      <c r="P234" s="169">
        <f>(INDEX(Models!$BJ234:$BT234,,T234)*(1-R234)+INDEX(Models!$BJ234:$BT234,,T234+1)*R234-ERP_i)*Q234*Ramure*Pc/MaxiM</f>
        <v>1.1540740713700727E-8</v>
      </c>
      <c r="Q234" s="305">
        <f t="shared" si="80"/>
        <v>0.7</v>
      </c>
      <c r="R234" s="177">
        <f t="shared" si="81"/>
        <v>0.55943969810662753</v>
      </c>
      <c r="S234" s="817">
        <f t="shared" si="82"/>
        <v>0</v>
      </c>
      <c r="T234" s="176">
        <f t="shared" si="83"/>
        <v>6</v>
      </c>
      <c r="U234" s="251">
        <f t="shared" si="84"/>
        <v>0.55943969810662753</v>
      </c>
      <c r="V234" s="383">
        <f t="shared" si="85"/>
        <v>34.515236711769546</v>
      </c>
      <c r="W234" s="402">
        <f t="shared" si="86"/>
        <v>33.914973452313369</v>
      </c>
      <c r="X234" s="157">
        <f t="shared" si="87"/>
        <v>45511</v>
      </c>
      <c r="Y234" s="385">
        <f t="shared" si="88"/>
        <v>32.176851937533584</v>
      </c>
      <c r="Z234" s="385">
        <f t="shared" si="89"/>
        <v>33.840813369730412</v>
      </c>
      <c r="AA234" s="386">
        <f t="shared" si="90"/>
        <v>38.853931556213787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0.1290247340666261</v>
      </c>
      <c r="AD234" s="231">
        <f>(INDEX(Models!$BJ234:$BT234,,AH234)*(1-AF234)+INDEX(Models!$BJ234:$BT234,,AH234+1)*AF234-ERP_i)*AE234*Ramure*Pc/MaxiM</f>
        <v>1.1540740713700727E-8</v>
      </c>
      <c r="AE234" s="305">
        <f t="shared" si="92"/>
        <v>0.7</v>
      </c>
      <c r="AF234" s="177">
        <f t="shared" si="93"/>
        <v>0.55943969810662753</v>
      </c>
      <c r="AG234" s="817">
        <f t="shared" si="99"/>
        <v>0</v>
      </c>
      <c r="AH234" s="176">
        <f t="shared" si="94"/>
        <v>6</v>
      </c>
      <c r="AI234" s="225">
        <f t="shared" si="95"/>
        <v>0.55943969810662753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45512</v>
      </c>
      <c r="B235" s="411">
        <f>'2023'!Wh/'2023'!Env_an*'2024'!Env_an</f>
        <v>31.914390201665928</v>
      </c>
      <c r="C235" s="846"/>
      <c r="D235" s="393">
        <f t="shared" si="77"/>
        <v>33.565514121932686</v>
      </c>
      <c r="E235" s="385">
        <f t="shared" si="100"/>
        <v>36.566633631740558</v>
      </c>
      <c r="F235" s="385">
        <f t="shared" si="78"/>
        <v>36.566634386315968</v>
      </c>
      <c r="G235" s="110">
        <f t="shared" si="101"/>
        <v>0.92722894848311743</v>
      </c>
      <c r="H235" s="414" t="b">
        <f>Wh_hp&gt;='2023'!Maxi_hp</f>
        <v>0</v>
      </c>
      <c r="I235" s="390">
        <f>IF(H235,Wh_hp,'2023'!Maxi_hp)</f>
        <v>38.382501503737309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4.9191080889414041E-2</v>
      </c>
      <c r="M235" s="850"/>
      <c r="N235" s="850"/>
      <c r="O235" s="48">
        <f>IF(t&lt;Tnet,'2023'!Resal+('2023'!Salim-'2023'!Resal)*(1-EXP(('2023'!Tnet-t)/('2023'!Tau_j))),Resal+(Salim-Resal)*(1-EXP((Tnet-t)/(Tau_j))))*Salcycl</f>
        <v>8.2072622271765427E-2</v>
      </c>
      <c r="P235" s="169">
        <f>(INDEX(Models!$BJ235:$BT235,,T235)*(1-R235)+INDEX(Models!$BJ235:$BT235,,T235+1)*R235-ERP_i)*Q235*Ramure*Pc/MaxiM</f>
        <v>2.3029769985126718E-8</v>
      </c>
      <c r="Q235" s="305">
        <f t="shared" si="80"/>
        <v>0.7</v>
      </c>
      <c r="R235" s="177">
        <f t="shared" si="81"/>
        <v>0.56095105897525577</v>
      </c>
      <c r="S235" s="817">
        <f t="shared" si="82"/>
        <v>0</v>
      </c>
      <c r="T235" s="176">
        <f t="shared" si="83"/>
        <v>6</v>
      </c>
      <c r="U235" s="251">
        <f t="shared" si="84"/>
        <v>0.56095105897525577</v>
      </c>
      <c r="V235" s="383">
        <f t="shared" si="85"/>
        <v>34.419104556073265</v>
      </c>
      <c r="W235" s="402">
        <f t="shared" si="86"/>
        <v>31.914390201665928</v>
      </c>
      <c r="X235" s="157">
        <f t="shared" si="87"/>
        <v>45512</v>
      </c>
      <c r="Y235" s="385">
        <f t="shared" si="88"/>
        <v>30.280915872888741</v>
      </c>
      <c r="Z235" s="385">
        <f t="shared" si="89"/>
        <v>31.84753031262515</v>
      </c>
      <c r="AA235" s="386">
        <f t="shared" si="90"/>
        <v>36.566633631740558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0.12905490198089042</v>
      </c>
      <c r="AD235" s="231">
        <f>(INDEX(Models!$BJ235:$BT235,,AH235)*(1-AF235)+INDEX(Models!$BJ235:$BT235,,AH235+1)*AF235-ERP_i)*AE235*Ramure*Pc/MaxiM</f>
        <v>2.3029769985126718E-8</v>
      </c>
      <c r="AE235" s="305">
        <f t="shared" si="92"/>
        <v>0.7</v>
      </c>
      <c r="AF235" s="177">
        <f t="shared" si="93"/>
        <v>0.56095105897525577</v>
      </c>
      <c r="AG235" s="817">
        <f t="shared" si="99"/>
        <v>0</v>
      </c>
      <c r="AH235" s="176">
        <f t="shared" si="94"/>
        <v>6</v>
      </c>
      <c r="AI235" s="225">
        <f t="shared" si="95"/>
        <v>0.56095105897525577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45513</v>
      </c>
      <c r="B236" s="411">
        <f>'2023'!Wh/'2023'!Env_an*'2024'!Env_an</f>
        <v>30.708330460575297</v>
      </c>
      <c r="C236" s="846"/>
      <c r="D236" s="393">
        <f t="shared" si="77"/>
        <v>32.297765039142796</v>
      </c>
      <c r="E236" s="385">
        <f t="shared" si="100"/>
        <v>35.189202639932248</v>
      </c>
      <c r="F236" s="385">
        <f t="shared" si="78"/>
        <v>35.189203829470372</v>
      </c>
      <c r="G236" s="110">
        <f t="shared" si="101"/>
        <v>0.89472054503736587</v>
      </c>
      <c r="H236" s="414" t="b">
        <f>Wh_hp&gt;='2023'!Maxi_hp</f>
        <v>0</v>
      </c>
      <c r="I236" s="390">
        <f>IF(H236,Wh_hp,'2023'!Maxi_hp)</f>
        <v>35.976281897663725</v>
      </c>
      <c r="J236" s="85">
        <f>IF(H236,An,'2023'!An_max)</f>
        <v>2018</v>
      </c>
      <c r="K236" s="197">
        <f t="shared" si="79"/>
        <v>45513</v>
      </c>
      <c r="L236" s="147">
        <f>IF(t&lt;Tvie,1-EXP((T0-t)*PertePVj)+'2023'!Pspv,1-EXP((T0-t)*PertePVj)+Pspv)</f>
        <v>4.921190604492931E-2</v>
      </c>
      <c r="M236" s="850"/>
      <c r="N236" s="850"/>
      <c r="O236" s="48">
        <f>IF(t&lt;Tnet,'2023'!Resal+('2023'!Salim-'2023'!Resal)*(1-EXP(('2023'!Tnet-t)/('2023'!Tau_j))),Resal+(Salim-Resal)*(1-EXP((Tnet-t)/(Tau_j))))*Salcycl</f>
        <v>8.2168318230328108E-2</v>
      </c>
      <c r="P236" s="169">
        <f>(INDEX(Models!$BJ236:$BT236,,T236)*(1-R236)+INDEX(Models!$BJ236:$BT236,,T236+1)*R236-ERP_i)*Q236*Ramure*Pc/MaxiM</f>
        <v>3.9788174895114158E-8</v>
      </c>
      <c r="Q236" s="305">
        <f t="shared" si="80"/>
        <v>0.7</v>
      </c>
      <c r="R236" s="177">
        <f t="shared" si="81"/>
        <v>0.56241093444115298</v>
      </c>
      <c r="S236" s="817">
        <f t="shared" si="82"/>
        <v>0</v>
      </c>
      <c r="T236" s="176">
        <f t="shared" si="83"/>
        <v>6</v>
      </c>
      <c r="U236" s="251">
        <f t="shared" si="84"/>
        <v>0.56241093444115298</v>
      </c>
      <c r="V236" s="383">
        <f t="shared" si="85"/>
        <v>34.321700163407776</v>
      </c>
      <c r="W236" s="402">
        <f t="shared" si="86"/>
        <v>30.708330460575297</v>
      </c>
      <c r="X236" s="157">
        <f t="shared" si="87"/>
        <v>45513</v>
      </c>
      <c r="Y236" s="385">
        <f t="shared" si="88"/>
        <v>29.138625802361535</v>
      </c>
      <c r="Z236" s="385">
        <f t="shared" si="89"/>
        <v>30.64681393006429</v>
      </c>
      <c r="AA236" s="386">
        <f t="shared" si="90"/>
        <v>35.189202639932248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0.12908472966401677</v>
      </c>
      <c r="AD236" s="231">
        <f>(INDEX(Models!$BJ236:$BT236,,AH236)*(1-AF236)+INDEX(Models!$BJ236:$BT236,,AH236+1)*AF236-ERP_i)*AE236*Ramure*Pc/MaxiM</f>
        <v>3.9788174895114158E-8</v>
      </c>
      <c r="AE236" s="305">
        <f t="shared" si="92"/>
        <v>0.7</v>
      </c>
      <c r="AF236" s="177">
        <f t="shared" si="93"/>
        <v>0.56241093444115298</v>
      </c>
      <c r="AG236" s="817">
        <f t="shared" si="99"/>
        <v>0</v>
      </c>
      <c r="AH236" s="176">
        <f t="shared" si="94"/>
        <v>6</v>
      </c>
      <c r="AI236" s="225">
        <f t="shared" si="95"/>
        <v>0.56241093444115298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45514</v>
      </c>
      <c r="B237" s="411">
        <f>'2023'!Wh/'2023'!Env_an*'2024'!Env_an</f>
        <v>28.67319100777074</v>
      </c>
      <c r="C237" s="846"/>
      <c r="D237" s="393">
        <f t="shared" si="77"/>
        <v>30.157949200562946</v>
      </c>
      <c r="E237" s="385">
        <f t="shared" si="100"/>
        <v>32.861235567545741</v>
      </c>
      <c r="F237" s="385">
        <f t="shared" si="78"/>
        <v>32.861237130262857</v>
      </c>
      <c r="G237" s="110">
        <f t="shared" si="101"/>
        <v>0.83783334304303725</v>
      </c>
      <c r="H237" s="414" t="b">
        <f>Wh_hp&gt;='2023'!Maxi_hp</f>
        <v>0</v>
      </c>
      <c r="I237" s="390">
        <f>IF(H237,Wh_hp,'2023'!Maxi_hp)</f>
        <v>36.771034850041509</v>
      </c>
      <c r="J237" s="85">
        <f>IF(H237,An,'2023'!An_max)</f>
        <v>2018</v>
      </c>
      <c r="K237" s="197">
        <f t="shared" si="79"/>
        <v>45514</v>
      </c>
      <c r="L237" s="147">
        <f>IF(t&lt;Tvie,1-EXP((T0-t)*PertePVj)+'2023'!Pspv,1-EXP((T0-t)*PertePVj)+Pspv)</f>
        <v>4.923273074432033E-2</v>
      </c>
      <c r="M237" s="850"/>
      <c r="N237" s="850"/>
      <c r="O237" s="48">
        <f>IF(t&lt;Tnet,'2023'!Resal+('2023'!Salim-'2023'!Resal)*(1-EXP(('2023'!Tnet-t)/('2023'!Tau_j))),Resal+(Salim-Resal)*(1-EXP((Tnet-t)/(Tau_j))))*Salcycl</f>
        <v>8.2263686081621532E-2</v>
      </c>
      <c r="P237" s="169">
        <f>(INDEX(Models!$BJ237:$BT237,,T237)*(1-R237)+INDEX(Models!$BJ237:$BT237,,T237+1)*R237-ERP_i)*Q237*Ramure*Pc/MaxiM</f>
        <v>6.1893745977252179E-8</v>
      </c>
      <c r="Q237" s="305">
        <f t="shared" si="80"/>
        <v>0.7</v>
      </c>
      <c r="R237" s="177">
        <f t="shared" si="81"/>
        <v>0.56382074054749554</v>
      </c>
      <c r="S237" s="817">
        <f t="shared" si="82"/>
        <v>0</v>
      </c>
      <c r="T237" s="176">
        <f t="shared" si="83"/>
        <v>6</v>
      </c>
      <c r="U237" s="251">
        <f t="shared" si="84"/>
        <v>0.56382074054749554</v>
      </c>
      <c r="V237" s="383">
        <f t="shared" si="85"/>
        <v>34.223023987672818</v>
      </c>
      <c r="W237" s="402">
        <f t="shared" si="86"/>
        <v>28.67319100777074</v>
      </c>
      <c r="X237" s="157">
        <f t="shared" si="87"/>
        <v>45514</v>
      </c>
      <c r="Y237" s="385">
        <f t="shared" si="88"/>
        <v>27.209421788730442</v>
      </c>
      <c r="Z237" s="385">
        <f t="shared" si="89"/>
        <v>28.618382929853787</v>
      </c>
      <c r="AA237" s="386">
        <f t="shared" si="90"/>
        <v>32.861235567545741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0.12911421510523666</v>
      </c>
      <c r="AD237" s="231">
        <f>(INDEX(Models!$BJ237:$BT237,,AH237)*(1-AF237)+INDEX(Models!$BJ237:$BT237,,AH237+1)*AF237-ERP_i)*AE237*Ramure*Pc/MaxiM</f>
        <v>6.1893745977252179E-8</v>
      </c>
      <c r="AE237" s="305">
        <f t="shared" si="92"/>
        <v>0.7</v>
      </c>
      <c r="AF237" s="177">
        <f t="shared" si="93"/>
        <v>0.56382074054749554</v>
      </c>
      <c r="AG237" s="817">
        <f t="shared" si="99"/>
        <v>0</v>
      </c>
      <c r="AH237" s="176">
        <f t="shared" si="94"/>
        <v>6</v>
      </c>
      <c r="AI237" s="225">
        <f t="shared" si="95"/>
        <v>0.56382074054749554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45515</v>
      </c>
      <c r="B238" s="411">
        <f>'2023'!Wh/'2023'!Env_an*'2024'!Env_an</f>
        <v>29.90105534092848</v>
      </c>
      <c r="C238" s="846"/>
      <c r="D238" s="393">
        <f t="shared" si="77"/>
        <v>31.450083771323911</v>
      </c>
      <c r="E238" s="385">
        <f t="shared" si="100"/>
        <v>34.272743127663865</v>
      </c>
      <c r="F238" s="385">
        <f t="shared" si="78"/>
        <v>34.272745650738713</v>
      </c>
      <c r="G238" s="110">
        <f t="shared" si="101"/>
        <v>0.87627077959394384</v>
      </c>
      <c r="H238" s="414" t="b">
        <f>Wh_hp&gt;='2023'!Maxi_hp</f>
        <v>0</v>
      </c>
      <c r="I238" s="390">
        <f>IF(H238,Wh_hp,'2023'!Maxi_hp)</f>
        <v>34.27274619245987</v>
      </c>
      <c r="J238" s="85">
        <f>IF(H238,An,'2023'!An_max)</f>
        <v>2022</v>
      </c>
      <c r="K238" s="197">
        <f t="shared" si="79"/>
        <v>45515</v>
      </c>
      <c r="L238" s="147">
        <f>IF(t&lt;Tvie,1-EXP((T0-t)*PertePVj)+'2023'!Pspv,1-EXP((T0-t)*PertePVj)+Pspv)</f>
        <v>4.925355498759687E-2</v>
      </c>
      <c r="M238" s="850"/>
      <c r="N238" s="850"/>
      <c r="O238" s="48">
        <f>IF(t&lt;Tnet,'2023'!Resal+('2023'!Salim-'2023'!Resal)*(1-EXP(('2023'!Tnet-t)/('2023'!Tau_j))),Resal+(Salim-Resal)*(1-EXP((Tnet-t)/(Tau_j))))*Salcycl</f>
        <v>8.2358722960275632E-2</v>
      </c>
      <c r="P238" s="169">
        <f>(INDEX(Models!$BJ238:$BT238,,T238)*(1-R238)+INDEX(Models!$BJ238:$BT238,,T238+1)*R238-ERP_i)*Q238*Ramure*Pc/MaxiM</f>
        <v>8.942370648464479E-8</v>
      </c>
      <c r="Q238" s="305">
        <f t="shared" si="80"/>
        <v>0.7</v>
      </c>
      <c r="R238" s="177">
        <f t="shared" si="81"/>
        <v>0.5651818795350616</v>
      </c>
      <c r="S238" s="817">
        <f t="shared" si="82"/>
        <v>0</v>
      </c>
      <c r="T238" s="176">
        <f t="shared" si="83"/>
        <v>6</v>
      </c>
      <c r="U238" s="251">
        <f t="shared" si="84"/>
        <v>0.5651818795350616</v>
      </c>
      <c r="V238" s="383">
        <f t="shared" si="85"/>
        <v>34.123076524545233</v>
      </c>
      <c r="W238" s="402">
        <f t="shared" si="86"/>
        <v>29.90105534092848</v>
      </c>
      <c r="X238" s="157">
        <f t="shared" si="87"/>
        <v>45515</v>
      </c>
      <c r="Y238" s="385">
        <f t="shared" si="88"/>
        <v>28.376592690441754</v>
      </c>
      <c r="Z238" s="385">
        <f t="shared" si="89"/>
        <v>29.846646116117281</v>
      </c>
      <c r="AA238" s="386">
        <f t="shared" si="90"/>
        <v>34.272743127663865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0.12914335438688543</v>
      </c>
      <c r="AD238" s="231">
        <f>(INDEX(Models!$BJ238:$BT238,,AH238)*(1-AF238)+INDEX(Models!$BJ238:$BT238,,AH238+1)*AF238-ERP_i)*AE238*Ramure*Pc/MaxiM</f>
        <v>8.942370648464479E-8</v>
      </c>
      <c r="AE238" s="305">
        <f t="shared" si="92"/>
        <v>0.7</v>
      </c>
      <c r="AF238" s="177">
        <f t="shared" si="93"/>
        <v>0.5651818795350616</v>
      </c>
      <c r="AG238" s="817">
        <f t="shared" si="99"/>
        <v>0</v>
      </c>
      <c r="AH238" s="176">
        <f t="shared" si="94"/>
        <v>6</v>
      </c>
      <c r="AI238" s="225">
        <f t="shared" si="95"/>
        <v>0.5651818795350616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45516</v>
      </c>
      <c r="B239" s="411">
        <f>'2023'!Wh/'2023'!Env_an*'2024'!Env_an</f>
        <v>21.519512406902294</v>
      </c>
      <c r="C239" s="846"/>
      <c r="D239" s="393">
        <f t="shared" si="77"/>
        <v>22.634829572773477</v>
      </c>
      <c r="E239" s="385">
        <f t="shared" si="100"/>
        <v>24.668861708271422</v>
      </c>
      <c r="F239" s="385">
        <f t="shared" si="78"/>
        <v>24.668863143248789</v>
      </c>
      <c r="G239" s="110">
        <f t="shared" si="101"/>
        <v>0.63252015304147746</v>
      </c>
      <c r="H239" s="414" t="b">
        <f>Wh_hp&gt;='2023'!Maxi_hp</f>
        <v>0</v>
      </c>
      <c r="I239" s="390">
        <f>IF(H239,Wh_hp,'2023'!Maxi_hp)</f>
        <v>34.50916616392346</v>
      </c>
      <c r="J239" s="85">
        <f>IF(H239,An,'2023'!An_max)</f>
        <v>2019</v>
      </c>
      <c r="K239" s="197">
        <f t="shared" si="79"/>
        <v>45516</v>
      </c>
      <c r="L239" s="147">
        <f>IF(t&lt;Tvie,1-EXP((T0-t)*PertePVj)+'2023'!Pspv,1-EXP((T0-t)*PertePVj)+Pspv)</f>
        <v>4.9274378774769034E-2</v>
      </c>
      <c r="M239" s="850"/>
      <c r="N239" s="850"/>
      <c r="O239" s="48">
        <f>IF(t&lt;Tnet,'2023'!Resal+('2023'!Salim-'2023'!Resal)*(1-EXP(('2023'!Tnet-t)/('2023'!Tau_j))),Resal+(Salim-Resal)*(1-EXP((Tnet-t)/(Tau_j))))*Salcycl</f>
        <v>8.2453424870266231E-2</v>
      </c>
      <c r="P239" s="169">
        <f>(INDEX(Models!$BJ239:$BT239,,T239)*(1-R239)+INDEX(Models!$BJ239:$BT239,,T239+1)*R239-ERP_i)*Q239*Ramure*Pc/MaxiM</f>
        <v>1.2245483324861375E-7</v>
      </c>
      <c r="Q239" s="305">
        <f t="shared" si="80"/>
        <v>0.7</v>
      </c>
      <c r="R239" s="177">
        <f t="shared" si="81"/>
        <v>0.56649573786280516</v>
      </c>
      <c r="S239" s="817">
        <f t="shared" si="82"/>
        <v>0</v>
      </c>
      <c r="T239" s="176">
        <f t="shared" si="83"/>
        <v>6</v>
      </c>
      <c r="U239" s="251">
        <f t="shared" si="84"/>
        <v>0.56649573786280516</v>
      </c>
      <c r="V239" s="383">
        <f t="shared" si="85"/>
        <v>34.021858307657325</v>
      </c>
      <c r="W239" s="402">
        <f t="shared" si="86"/>
        <v>21.519512406902294</v>
      </c>
      <c r="X239" s="157">
        <f t="shared" si="87"/>
        <v>45516</v>
      </c>
      <c r="Y239" s="385">
        <f t="shared" si="88"/>
        <v>20.423803440683571</v>
      </c>
      <c r="Z239" s="385">
        <f t="shared" si="89"/>
        <v>21.4823320048562</v>
      </c>
      <c r="AA239" s="386">
        <f t="shared" si="90"/>
        <v>24.668861708271422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0.12917214183201589</v>
      </c>
      <c r="AD239" s="231">
        <f>(INDEX(Models!$BJ239:$BT239,,AH239)*(1-AF239)+INDEX(Models!$BJ239:$BT239,,AH239+1)*AF239-ERP_i)*AE239*Ramure*Pc/MaxiM</f>
        <v>1.2245483324861375E-7</v>
      </c>
      <c r="AE239" s="305">
        <f t="shared" si="92"/>
        <v>0.7</v>
      </c>
      <c r="AF239" s="177">
        <f t="shared" si="93"/>
        <v>0.56649573786280516</v>
      </c>
      <c r="AG239" s="817">
        <f t="shared" si="99"/>
        <v>0</v>
      </c>
      <c r="AH239" s="176">
        <f t="shared" si="94"/>
        <v>6</v>
      </c>
      <c r="AI239" s="225">
        <f t="shared" si="95"/>
        <v>0.56649573786280516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45517</v>
      </c>
      <c r="B240" s="411">
        <f>'2023'!Wh/'2023'!Env_an*'2024'!Env_an</f>
        <v>22.776979289796721</v>
      </c>
      <c r="C240" s="846"/>
      <c r="D240" s="393">
        <f t="shared" si="77"/>
        <v>23.957993417355826</v>
      </c>
      <c r="E240" s="385">
        <f t="shared" si="100"/>
        <v>26.113614498854901</v>
      </c>
      <c r="F240" s="385">
        <f t="shared" si="78"/>
        <v>26.113616750568664</v>
      </c>
      <c r="G240" s="110">
        <f t="shared" si="101"/>
        <v>0.6715035582739225</v>
      </c>
      <c r="H240" s="414" t="b">
        <f>Wh_hp&gt;='2023'!Maxi_hp</f>
        <v>0</v>
      </c>
      <c r="I240" s="390">
        <f>IF(H240,Wh_hp,'2023'!Maxi_hp)</f>
        <v>38.844476104478311</v>
      </c>
      <c r="J240" s="85">
        <f>IF(H240,An,'2023'!An_max)</f>
        <v>2019</v>
      </c>
      <c r="K240" s="197">
        <f t="shared" si="79"/>
        <v>45517</v>
      </c>
      <c r="L240" s="147">
        <f>IF(t&lt;Tvie,1-EXP((T0-t)*PertePVj)+'2023'!Pspv,1-EXP((T0-t)*PertePVj)+Pspv)</f>
        <v>4.9295202105846925E-2</v>
      </c>
      <c r="M240" s="850"/>
      <c r="N240" s="850"/>
      <c r="O240" s="48">
        <f>IF(t&lt;Tnet,'2023'!Resal+('2023'!Salim-'2023'!Resal)*(1-EXP(('2023'!Tnet-t)/('2023'!Tau_j))),Resal+(Salim-Resal)*(1-EXP((Tnet-t)/(Tau_j))))*Salcycl</f>
        <v>8.254778677205328E-2</v>
      </c>
      <c r="P240" s="169">
        <f>(INDEX(Models!$BJ240:$BT240,,T240)*(1-R240)+INDEX(Models!$BJ240:$BT240,,T240+1)*R240-ERP_i)*Q240*Ramure*Pc/MaxiM</f>
        <v>1.6247298464682707E-7</v>
      </c>
      <c r="Q240" s="305">
        <f t="shared" si="80"/>
        <v>0.7</v>
      </c>
      <c r="R240" s="177">
        <f t="shared" si="81"/>
        <v>0.56776368442375413</v>
      </c>
      <c r="S240" s="817">
        <f t="shared" si="82"/>
        <v>0</v>
      </c>
      <c r="T240" s="176">
        <f t="shared" si="83"/>
        <v>6</v>
      </c>
      <c r="U240" s="251">
        <f t="shared" si="84"/>
        <v>0.56776368442375413</v>
      </c>
      <c r="V240" s="383">
        <f t="shared" si="85"/>
        <v>33.919369856659955</v>
      </c>
      <c r="W240" s="402">
        <f t="shared" si="86"/>
        <v>22.776979289796721</v>
      </c>
      <c r="X240" s="157">
        <f t="shared" si="87"/>
        <v>45517</v>
      </c>
      <c r="Y240" s="385">
        <f t="shared" si="88"/>
        <v>21.618761493312334</v>
      </c>
      <c r="Z240" s="385">
        <f t="shared" si="89"/>
        <v>22.739720616955658</v>
      </c>
      <c r="AA240" s="386">
        <f t="shared" si="90"/>
        <v>26.113614498854901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0.12920057014884667</v>
      </c>
      <c r="AD240" s="231">
        <f>(INDEX(Models!$BJ240:$BT240,,AH240)*(1-AF240)+INDEX(Models!$BJ240:$BT240,,AH240+1)*AF240-ERP_i)*AE240*Ramure*Pc/MaxiM</f>
        <v>1.6247298464682707E-7</v>
      </c>
      <c r="AE240" s="305">
        <f t="shared" si="92"/>
        <v>0.7</v>
      </c>
      <c r="AF240" s="177">
        <f t="shared" si="93"/>
        <v>0.56776368442375413</v>
      </c>
      <c r="AG240" s="817">
        <f t="shared" si="99"/>
        <v>0</v>
      </c>
      <c r="AH240" s="176">
        <f t="shared" si="94"/>
        <v>6</v>
      </c>
      <c r="AI240" s="225">
        <f t="shared" si="95"/>
        <v>0.56776368442375413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45518</v>
      </c>
      <c r="B241" s="411">
        <f>'2023'!Wh/'2023'!Env_an*'2024'!Env_an</f>
        <v>21.765335114433569</v>
      </c>
      <c r="C241" s="846"/>
      <c r="D241" s="393">
        <f t="shared" si="77"/>
        <v>22.894395704939615</v>
      </c>
      <c r="E241" s="385">
        <f t="shared" si="100"/>
        <v>24.956877009984357</v>
      </c>
      <c r="F241" s="385">
        <f t="shared" si="78"/>
        <v>24.956879575832353</v>
      </c>
      <c r="G241" s="110">
        <f t="shared" si="101"/>
        <v>0.64364746493213676</v>
      </c>
      <c r="H241" s="414" t="b">
        <f>Wh_hp&gt;='2023'!Maxi_hp</f>
        <v>0</v>
      </c>
      <c r="I241" s="390">
        <f>IF(H241,Wh_hp,'2023'!Maxi_hp)</f>
        <v>38.017729507891737</v>
      </c>
      <c r="J241" s="85">
        <f>IF(H241,An,'2023'!An_max)</f>
        <v>2018</v>
      </c>
      <c r="K241" s="197">
        <f t="shared" si="79"/>
        <v>45518</v>
      </c>
      <c r="L241" s="147">
        <f>IF(t&lt;Tvie,1-EXP((T0-t)*PertePVj)+'2023'!Pspv,1-EXP((T0-t)*PertePVj)+Pspv)</f>
        <v>4.9316024980840312E-2</v>
      </c>
      <c r="M241" s="850"/>
      <c r="N241" s="850"/>
      <c r="O241" s="48">
        <f>IF(t&lt;Tnet,'2023'!Resal+('2023'!Salim-'2023'!Resal)*(1-EXP(('2023'!Tnet-t)/('2023'!Tau_j))),Resal+(Salim-Resal)*(1-EXP((Tnet-t)/(Tau_j))))*Salcycl</f>
        <v>8.2641802667041089E-2</v>
      </c>
      <c r="P241" s="169">
        <f>(INDEX(Models!$BJ241:$BT241,,T241)*(1-R241)+INDEX(Models!$BJ241:$BT241,,T241+1)*R241-ERP_i)*Q241*Ramure*Pc/MaxiM</f>
        <v>2.0942351762776013E-7</v>
      </c>
      <c r="Q241" s="305">
        <f t="shared" si="80"/>
        <v>0.7</v>
      </c>
      <c r="R241" s="177">
        <f t="shared" si="81"/>
        <v>0.56898706894679429</v>
      </c>
      <c r="S241" s="817">
        <f t="shared" si="82"/>
        <v>0</v>
      </c>
      <c r="T241" s="176">
        <f t="shared" si="83"/>
        <v>6</v>
      </c>
      <c r="U241" s="251">
        <f t="shared" si="84"/>
        <v>0.56898706894679429</v>
      </c>
      <c r="V241" s="383">
        <f t="shared" si="85"/>
        <v>33.815611774803529</v>
      </c>
      <c r="W241" s="402">
        <f t="shared" si="86"/>
        <v>21.765335114433569</v>
      </c>
      <c r="X241" s="157">
        <f t="shared" si="87"/>
        <v>45518</v>
      </c>
      <c r="Y241" s="385">
        <f t="shared" si="88"/>
        <v>20.660011235300871</v>
      </c>
      <c r="Z241" s="385">
        <f t="shared" si="89"/>
        <v>21.731733970675691</v>
      </c>
      <c r="AA241" s="386">
        <f t="shared" si="90"/>
        <v>24.956877009984357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0.12922863057017914</v>
      </c>
      <c r="AD241" s="231">
        <f>(INDEX(Models!$BJ241:$BT241,,AH241)*(1-AF241)+INDEX(Models!$BJ241:$BT241,,AH241+1)*AF241-ERP_i)*AE241*Ramure*Pc/MaxiM</f>
        <v>2.0942351762776013E-7</v>
      </c>
      <c r="AE241" s="305">
        <f t="shared" si="92"/>
        <v>0.7</v>
      </c>
      <c r="AF241" s="177">
        <f t="shared" si="93"/>
        <v>0.56898706894679429</v>
      </c>
      <c r="AG241" s="817">
        <f t="shared" si="99"/>
        <v>0</v>
      </c>
      <c r="AH241" s="176">
        <f t="shared" si="94"/>
        <v>6</v>
      </c>
      <c r="AI241" s="225">
        <f t="shared" si="95"/>
        <v>0.56898706894679429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45519</v>
      </c>
      <c r="B242" s="411">
        <f>'2023'!Wh/'2023'!Env_an*'2024'!Env_an</f>
        <v>21.529471250815604</v>
      </c>
      <c r="C242" s="846"/>
      <c r="D242" s="393">
        <f t="shared" si="77"/>
        <v>22.646792601489278</v>
      </c>
      <c r="E242" s="385">
        <f t="shared" si="100"/>
        <v>24.689488968669618</v>
      </c>
      <c r="F242" s="385">
        <f t="shared" si="78"/>
        <v>24.68949211489949</v>
      </c>
      <c r="G242" s="110">
        <f t="shared" si="101"/>
        <v>0.63865603411067506</v>
      </c>
      <c r="H242" s="414" t="b">
        <f>Wh_hp&gt;='2023'!Maxi_hp</f>
        <v>0</v>
      </c>
      <c r="I242" s="390">
        <f>IF(H242,Wh_hp,'2023'!Maxi_hp)</f>
        <v>38.177761326018796</v>
      </c>
      <c r="J242" s="85">
        <f>IF(H242,An,'2023'!An_max)</f>
        <v>2019</v>
      </c>
      <c r="K242" s="197">
        <f t="shared" si="79"/>
        <v>45519</v>
      </c>
      <c r="L242" s="147">
        <f>IF(t&lt;Tvie,1-EXP((T0-t)*PertePVj)+'2023'!Pspv,1-EXP((T0-t)*PertePVj)+Pspv)</f>
        <v>4.9336847399759298E-2</v>
      </c>
      <c r="M242" s="850"/>
      <c r="N242" s="850"/>
      <c r="O242" s="48">
        <f>IF(t&lt;Tnet,'2023'!Resal+('2023'!Salim-'2023'!Resal)*(1-EXP(('2023'!Tnet-t)/('2023'!Tau_j))),Resal+(Salim-Resal)*(1-EXP((Tnet-t)/(Tau_j))))*Salcycl</f>
        <v>8.2735465678227441E-2</v>
      </c>
      <c r="P242" s="169">
        <f>(INDEX(Models!$BJ242:$BT242,,T242)*(1-R242)+INDEX(Models!$BJ242:$BT242,,T242+1)*R242-ERP_i)*Q242*Ramure*Pc/MaxiM</f>
        <v>2.63400990899283E-7</v>
      </c>
      <c r="Q242" s="305">
        <f t="shared" si="80"/>
        <v>0.7</v>
      </c>
      <c r="R242" s="177">
        <f t="shared" si="81"/>
        <v>0.57016722057481306</v>
      </c>
      <c r="S242" s="817">
        <f t="shared" si="82"/>
        <v>0</v>
      </c>
      <c r="T242" s="176">
        <f t="shared" si="83"/>
        <v>6</v>
      </c>
      <c r="U242" s="251">
        <f t="shared" si="84"/>
        <v>0.57016722057481306</v>
      </c>
      <c r="V242" s="383">
        <f t="shared" si="85"/>
        <v>33.71058468656468</v>
      </c>
      <c r="W242" s="402">
        <f t="shared" si="86"/>
        <v>21.529471250815604</v>
      </c>
      <c r="X242" s="157">
        <f t="shared" si="87"/>
        <v>45519</v>
      </c>
      <c r="Y242" s="385">
        <f t="shared" si="88"/>
        <v>20.437562420591483</v>
      </c>
      <c r="Z242" s="385">
        <f t="shared" si="89"/>
        <v>21.498216655069616</v>
      </c>
      <c r="AA242" s="386">
        <f t="shared" si="90"/>
        <v>24.689488968669618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0.12925631298605053</v>
      </c>
      <c r="AD242" s="231">
        <f>(INDEX(Models!$BJ242:$BT242,,AH242)*(1-AF242)+INDEX(Models!$BJ242:$BT242,,AH242+1)*AF242-ERP_i)*AE242*Ramure*Pc/MaxiM</f>
        <v>2.63400990899283E-7</v>
      </c>
      <c r="AE242" s="305">
        <f t="shared" si="92"/>
        <v>0.7</v>
      </c>
      <c r="AF242" s="177">
        <f t="shared" si="93"/>
        <v>0.57016722057481306</v>
      </c>
      <c r="AG242" s="817">
        <f t="shared" si="99"/>
        <v>0</v>
      </c>
      <c r="AH242" s="176">
        <f t="shared" si="94"/>
        <v>6</v>
      </c>
      <c r="AI242" s="225">
        <f t="shared" si="95"/>
        <v>0.57016722057481306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45520</v>
      </c>
      <c r="B243" s="411">
        <f>'2023'!Wh/'2023'!Env_an*'2024'!Env_an</f>
        <v>17.101803914264654</v>
      </c>
      <c r="C243" s="846"/>
      <c r="D243" s="393">
        <f t="shared" si="77"/>
        <v>17.989735322219712</v>
      </c>
      <c r="E243" s="385">
        <f t="shared" si="100"/>
        <v>19.614369375130003</v>
      </c>
      <c r="F243" s="385">
        <f t="shared" si="78"/>
        <v>19.614371274743679</v>
      </c>
      <c r="G243" s="110">
        <f t="shared" si="101"/>
        <v>0.50891717717609875</v>
      </c>
      <c r="H243" s="414" t="b">
        <f>Wh_hp&gt;='2023'!Maxi_hp</f>
        <v>0</v>
      </c>
      <c r="I243" s="390">
        <f>IF(H243,Wh_hp,'2023'!Maxi_hp)</f>
        <v>37.316431373615615</v>
      </c>
      <c r="J243" s="85">
        <f>IF(H243,An,'2023'!An_max)</f>
        <v>2019</v>
      </c>
      <c r="K243" s="197">
        <f t="shared" si="79"/>
        <v>45520</v>
      </c>
      <c r="L243" s="147">
        <f>IF(t&lt;Tvie,1-EXP((T0-t)*PertePVj)+'2023'!Pspv,1-EXP((T0-t)*PertePVj)+Pspv)</f>
        <v>4.9357669362613987E-2</v>
      </c>
      <c r="M243" s="850"/>
      <c r="N243" s="850"/>
      <c r="O243" s="48">
        <f>IF(t&lt;Tnet,'2023'!Resal+('2023'!Salim-'2023'!Resal)*(1-EXP(('2023'!Tnet-t)/('2023'!Tau_j))),Resal+(Salim-Resal)*(1-EXP((Tnet-t)/(Tau_j))))*Salcycl</f>
        <v>8.2828768125996585E-2</v>
      </c>
      <c r="P243" s="169">
        <f>(INDEX(Models!$BJ243:$BT243,,T243)*(1-R243)+INDEX(Models!$BJ243:$BT243,,T243+1)*R243-ERP_i)*Q243*Ramure*Pc/MaxiM</f>
        <v>3.2449988410651718E-7</v>
      </c>
      <c r="Q243" s="305">
        <f t="shared" si="80"/>
        <v>0.7</v>
      </c>
      <c r="R243" s="177">
        <f t="shared" si="81"/>
        <v>0.57130544660966565</v>
      </c>
      <c r="S243" s="817">
        <f t="shared" si="82"/>
        <v>0</v>
      </c>
      <c r="T243" s="176">
        <f t="shared" si="83"/>
        <v>6</v>
      </c>
      <c r="U243" s="251">
        <f t="shared" si="84"/>
        <v>0.57130544660966565</v>
      </c>
      <c r="V243" s="383">
        <f t="shared" si="85"/>
        <v>33.604289239955513</v>
      </c>
      <c r="W243" s="402">
        <f t="shared" si="86"/>
        <v>17.101803914264654</v>
      </c>
      <c r="X243" s="157">
        <f t="shared" si="87"/>
        <v>45520</v>
      </c>
      <c r="Y243" s="385">
        <f t="shared" si="88"/>
        <v>16.235595400800371</v>
      </c>
      <c r="Z243" s="385">
        <f t="shared" si="89"/>
        <v>17.078552971562647</v>
      </c>
      <c r="AA243" s="386">
        <f t="shared" si="90"/>
        <v>19.614369375130003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0.12928360606804101</v>
      </c>
      <c r="AD243" s="231">
        <f>(INDEX(Models!$BJ243:$BT243,,AH243)*(1-AF243)+INDEX(Models!$BJ243:$BT243,,AH243+1)*AF243-ERP_i)*AE243*Ramure*Pc/MaxiM</f>
        <v>3.2449988410651718E-7</v>
      </c>
      <c r="AE243" s="305">
        <f t="shared" si="92"/>
        <v>0.7</v>
      </c>
      <c r="AF243" s="177">
        <f t="shared" si="93"/>
        <v>0.57130544660966565</v>
      </c>
      <c r="AG243" s="817">
        <f t="shared" si="99"/>
        <v>0</v>
      </c>
      <c r="AH243" s="176">
        <f t="shared" si="94"/>
        <v>6</v>
      </c>
      <c r="AI243" s="225">
        <f t="shared" si="95"/>
        <v>0.57130544660966565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45521</v>
      </c>
      <c r="B244" s="411">
        <f>'2023'!Wh/'2023'!Env_an*'2024'!Env_an</f>
        <v>25.373911060538411</v>
      </c>
      <c r="C244" s="846"/>
      <c r="D244" s="393">
        <f t="shared" si="77"/>
        <v>26.691917673675132</v>
      </c>
      <c r="E244" s="385">
        <f t="shared" si="100"/>
        <v>29.105385788965744</v>
      </c>
      <c r="F244" s="385">
        <f t="shared" si="78"/>
        <v>29.105393261334246</v>
      </c>
      <c r="G244" s="110">
        <f t="shared" si="101"/>
        <v>0.75750410739749618</v>
      </c>
      <c r="H244" s="414" t="b">
        <f>Wh_hp&gt;='2023'!Maxi_hp</f>
        <v>0</v>
      </c>
      <c r="I244" s="390">
        <f>IF(H244,Wh_hp,'2023'!Maxi_hp)</f>
        <v>36.873994716439007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4.9378490869414149E-2</v>
      </c>
      <c r="M244" s="850"/>
      <c r="N244" s="850"/>
      <c r="O244" s="48">
        <f>IF(t&lt;Tnet,'2023'!Resal+('2023'!Salim-'2023'!Resal)*(1-EXP(('2023'!Tnet-t)/('2023'!Tau_j))),Resal+(Salim-Resal)*(1-EXP((Tnet-t)/(Tau_j))))*Salcycl</f>
        <v>8.2921701598114239E-2</v>
      </c>
      <c r="P244" s="169">
        <f>(INDEX(Models!$BJ244:$BT244,,T244)*(1-R244)+INDEX(Models!$BJ244:$BT244,,T244+1)*R244-ERP_i)*Q244*Ramure*Pc/MaxiM</f>
        <v>3.9281472034002788E-7</v>
      </c>
      <c r="Q244" s="305">
        <f t="shared" si="80"/>
        <v>0.7</v>
      </c>
      <c r="R244" s="177">
        <f t="shared" si="81"/>
        <v>0.57240303141447924</v>
      </c>
      <c r="S244" s="817">
        <f t="shared" si="82"/>
        <v>0</v>
      </c>
      <c r="T244" s="176">
        <f t="shared" si="83"/>
        <v>6</v>
      </c>
      <c r="U244" s="251">
        <f t="shared" si="84"/>
        <v>0.57240303141447924</v>
      </c>
      <c r="V244" s="383">
        <f t="shared" si="85"/>
        <v>33.496726103352913</v>
      </c>
      <c r="W244" s="402">
        <f t="shared" si="86"/>
        <v>25.373911060538411</v>
      </c>
      <c r="X244" s="157">
        <f t="shared" si="87"/>
        <v>45521</v>
      </c>
      <c r="Y244" s="385">
        <f t="shared" si="88"/>
        <v>24.090416313663205</v>
      </c>
      <c r="Z244" s="385">
        <f t="shared" si="89"/>
        <v>25.341753876046507</v>
      </c>
      <c r="AA244" s="386">
        <f t="shared" si="90"/>
        <v>29.105385788965744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0.1293104973838238</v>
      </c>
      <c r="AD244" s="231">
        <f>(INDEX(Models!$BJ244:$BT244,,AH244)*(1-AF244)+INDEX(Models!$BJ244:$BT244,,AH244+1)*AF244-ERP_i)*AE244*Ramure*Pc/MaxiM</f>
        <v>3.9281472034002788E-7</v>
      </c>
      <c r="AE244" s="305">
        <f t="shared" si="92"/>
        <v>0.7</v>
      </c>
      <c r="AF244" s="177">
        <f t="shared" si="93"/>
        <v>0.57240303141447924</v>
      </c>
      <c r="AG244" s="817">
        <f t="shared" si="99"/>
        <v>0</v>
      </c>
      <c r="AH244" s="176">
        <f t="shared" si="94"/>
        <v>6</v>
      </c>
      <c r="AI244" s="225">
        <f t="shared" si="95"/>
        <v>0.57240303141447924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45522</v>
      </c>
      <c r="B245" s="411">
        <f>'2023'!Wh/'2023'!Env_an*'2024'!Env_an</f>
        <v>25.579241379418374</v>
      </c>
      <c r="C245" s="846"/>
      <c r="D245" s="393">
        <f t="shared" si="77"/>
        <v>26.908502907868993</v>
      </c>
      <c r="E245" s="385">
        <f t="shared" si="100"/>
        <v>29.344516110162949</v>
      </c>
      <c r="F245" s="385">
        <f t="shared" si="78"/>
        <v>29.344525263593709</v>
      </c>
      <c r="G245" s="110">
        <f t="shared" si="101"/>
        <v>0.76612307060667162</v>
      </c>
      <c r="H245" s="414" t="b">
        <f>Wh_hp&gt;='2023'!Maxi_hp</f>
        <v>0</v>
      </c>
      <c r="I245" s="390">
        <f>IF(H245,Wh_hp,'2023'!Maxi_hp)</f>
        <v>35.384293693834039</v>
      </c>
      <c r="J245" s="85">
        <f>IF(H245,An,'2023'!An_max)</f>
        <v>2018</v>
      </c>
      <c r="K245" s="197">
        <f t="shared" si="79"/>
        <v>45522</v>
      </c>
      <c r="L245" s="147">
        <f>IF(t&lt;Tvie,1-EXP((T0-t)*PertePVj)+'2023'!Pspv,1-EXP((T0-t)*PertePVj)+Pspv)</f>
        <v>4.9399311920169886E-2</v>
      </c>
      <c r="M245" s="850"/>
      <c r="N245" s="850"/>
      <c r="O245" s="48">
        <f>IF(t&lt;Tnet,'2023'!Resal+('2023'!Salim-'2023'!Resal)*(1-EXP(('2023'!Tnet-t)/('2023'!Tau_j))),Resal+(Salim-Resal)*(1-EXP((Tnet-t)/(Tau_j))))*Salcycl</f>
        <v>8.3014257013094367E-2</v>
      </c>
      <c r="P245" s="169">
        <f>(INDEX(Models!$BJ245:$BT245,,T245)*(1-R245)+INDEX(Models!$BJ245:$BT245,,T245+1)*R245-ERP_i)*Q245*Ramure*Pc/MaxiM</f>
        <v>4.6844018339688899E-7</v>
      </c>
      <c r="Q245" s="305">
        <f t="shared" si="80"/>
        <v>0.7</v>
      </c>
      <c r="R245" s="177">
        <f t="shared" si="81"/>
        <v>0.57346123546391858</v>
      </c>
      <c r="S245" s="817">
        <f t="shared" si="82"/>
        <v>0</v>
      </c>
      <c r="T245" s="176">
        <f t="shared" si="83"/>
        <v>6</v>
      </c>
      <c r="U245" s="251">
        <f t="shared" si="84"/>
        <v>0.57346123546391858</v>
      </c>
      <c r="V245" s="383">
        <f t="shared" si="85"/>
        <v>33.387895962647065</v>
      </c>
      <c r="W245" s="402">
        <f t="shared" si="86"/>
        <v>25.579241379418374</v>
      </c>
      <c r="X245" s="157">
        <f t="shared" si="87"/>
        <v>45522</v>
      </c>
      <c r="Y245" s="385">
        <f t="shared" si="88"/>
        <v>24.287073038253038</v>
      </c>
      <c r="Z245" s="385">
        <f t="shared" si="89"/>
        <v>25.549185207630991</v>
      </c>
      <c r="AA245" s="386">
        <f t="shared" si="90"/>
        <v>29.344516110162949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0.12933697350073234</v>
      </c>
      <c r="AD245" s="231">
        <f>(INDEX(Models!$BJ245:$BT245,,AH245)*(1-AF245)+INDEX(Models!$BJ245:$BT245,,AH245+1)*AF245-ERP_i)*AE245*Ramure*Pc/MaxiM</f>
        <v>4.6844018339688899E-7</v>
      </c>
      <c r="AE245" s="305">
        <f t="shared" si="92"/>
        <v>0.7</v>
      </c>
      <c r="AF245" s="177">
        <f t="shared" si="93"/>
        <v>0.57346123546391858</v>
      </c>
      <c r="AG245" s="817">
        <f t="shared" si="99"/>
        <v>0</v>
      </c>
      <c r="AH245" s="176">
        <f t="shared" si="94"/>
        <v>6</v>
      </c>
      <c r="AI245" s="225">
        <f t="shared" si="95"/>
        <v>0.57346123546391858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45523</v>
      </c>
      <c r="B246" s="411">
        <f>'2023'!Wh/'2023'!Env_an*'2024'!Env_an</f>
        <v>31.748068248525612</v>
      </c>
      <c r="C246" s="846"/>
      <c r="D246" s="393">
        <f t="shared" si="77"/>
        <v>33.398633123295092</v>
      </c>
      <c r="E246" s="385">
        <f t="shared" si="100"/>
        <v>36.425855761396917</v>
      </c>
      <c r="F246" s="385">
        <f t="shared" si="78"/>
        <v>36.425874530065194</v>
      </c>
      <c r="G246" s="110">
        <f t="shared" si="101"/>
        <v>0.95403144312656663</v>
      </c>
      <c r="H246" s="414" t="b">
        <f>Wh_hp&gt;='2023'!Maxi_hp</f>
        <v>0</v>
      </c>
      <c r="I246" s="390">
        <f>IF(H246,Wh_hp,'2023'!Maxi_hp)</f>
        <v>36.556455204531737</v>
      </c>
      <c r="J246" s="85">
        <f>IF(H246,An,'2023'!An_max)</f>
        <v>2021</v>
      </c>
      <c r="K246" s="197">
        <f t="shared" si="79"/>
        <v>45523</v>
      </c>
      <c r="L246" s="147">
        <f>IF(t&lt;Tvie,1-EXP((T0-t)*PertePVj)+'2023'!Pspv,1-EXP((T0-t)*PertePVj)+Pspv)</f>
        <v>4.9420132514891191E-2</v>
      </c>
      <c r="M246" s="850"/>
      <c r="N246" s="850"/>
      <c r="O246" s="48">
        <f>IF(t&lt;Tnet,'2023'!Resal+('2023'!Salim-'2023'!Resal)*(1-EXP(('2023'!Tnet-t)/('2023'!Tau_j))),Resal+(Salim-Resal)*(1-EXP((Tnet-t)/(Tau_j))))*Salcycl</f>
        <v>8.3106424676231985E-2</v>
      </c>
      <c r="P246" s="169">
        <f>(INDEX(Models!$BJ246:$BT246,,T246)*(1-R246)+INDEX(Models!$BJ246:$BT246,,T246+1)*R246-ERP_i)*Q246*Ramure*Pc/MaxiM</f>
        <v>5.5147122999021366E-7</v>
      </c>
      <c r="Q246" s="305">
        <f t="shared" si="80"/>
        <v>0.7</v>
      </c>
      <c r="R246" s="177">
        <f t="shared" si="81"/>
        <v>0.57448129453320385</v>
      </c>
      <c r="S246" s="817">
        <f t="shared" si="82"/>
        <v>0</v>
      </c>
      <c r="T246" s="176">
        <f t="shared" si="83"/>
        <v>6</v>
      </c>
      <c r="U246" s="251">
        <f t="shared" si="84"/>
        <v>0.57448129453320385</v>
      </c>
      <c r="V246" s="383">
        <f t="shared" si="85"/>
        <v>33.277799518569061</v>
      </c>
      <c r="W246" s="402">
        <f t="shared" si="86"/>
        <v>31.748068248525612</v>
      </c>
      <c r="X246" s="157">
        <f t="shared" si="87"/>
        <v>45523</v>
      </c>
      <c r="Y246" s="385">
        <f t="shared" si="88"/>
        <v>30.146401940394277</v>
      </c>
      <c r="Z246" s="385">
        <f t="shared" si="89"/>
        <v>31.713697051201784</v>
      </c>
      <c r="AA246" s="386">
        <f t="shared" si="90"/>
        <v>36.425855761396917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0.12936302007731948</v>
      </c>
      <c r="AD246" s="231">
        <f>(INDEX(Models!$BJ246:$BT246,,AH246)*(1-AF246)+INDEX(Models!$BJ246:$BT246,,AH246+1)*AF246-ERP_i)*AE246*Ramure*Pc/MaxiM</f>
        <v>5.5147122999021366E-7</v>
      </c>
      <c r="AE246" s="305">
        <f t="shared" si="92"/>
        <v>0.7</v>
      </c>
      <c r="AF246" s="177">
        <f t="shared" si="93"/>
        <v>0.57448129453320385</v>
      </c>
      <c r="AG246" s="817">
        <f t="shared" si="99"/>
        <v>0</v>
      </c>
      <c r="AH246" s="176">
        <f t="shared" si="94"/>
        <v>6</v>
      </c>
      <c r="AI246" s="225">
        <f t="shared" si="95"/>
        <v>0.57448129453320385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45524</v>
      </c>
      <c r="B247" s="411">
        <f>'2023'!Wh/'2023'!Env_an*'2024'!Env_an</f>
        <v>19.90104804255628</v>
      </c>
      <c r="C247" s="846"/>
      <c r="D247" s="393">
        <f t="shared" si="77"/>
        <v>20.936151308129887</v>
      </c>
      <c r="E247" s="385">
        <f t="shared" si="100"/>
        <v>22.836071197283264</v>
      </c>
      <c r="F247" s="385">
        <f t="shared" si="78"/>
        <v>22.836077480442782</v>
      </c>
      <c r="G247" s="110">
        <f t="shared" si="101"/>
        <v>0.60000993224457744</v>
      </c>
      <c r="H247" s="414" t="b">
        <f>Wh_hp&gt;='2023'!Maxi_hp</f>
        <v>0</v>
      </c>
      <c r="I247" s="390">
        <f>IF(H247,Wh_hp,'2023'!Maxi_hp)</f>
        <v>36.591801967762351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4.9440952653588055E-2</v>
      </c>
      <c r="M247" s="850"/>
      <c r="N247" s="850"/>
      <c r="O247" s="48">
        <f>IF(t&lt;Tnet,'2023'!Resal+('2023'!Salim-'2023'!Resal)*(1-EXP(('2023'!Tnet-t)/('2023'!Tau_j))),Resal+(Salim-Resal)*(1-EXP((Tnet-t)/(Tau_j))))*Salcycl</f>
        <v>8.3198194327726821E-2</v>
      </c>
      <c r="P247" s="169">
        <f>(INDEX(Models!$BJ247:$BT247,,T247)*(1-R247)+INDEX(Models!$BJ247:$BT247,,T247+1)*R247-ERP_i)*Q247*Ramure*Pc/MaxiM</f>
        <v>6.4197581384645695E-7</v>
      </c>
      <c r="Q247" s="305">
        <f t="shared" si="80"/>
        <v>0.7</v>
      </c>
      <c r="R247" s="177">
        <f t="shared" si="81"/>
        <v>0.57546441901686807</v>
      </c>
      <c r="S247" s="817">
        <f t="shared" si="82"/>
        <v>0</v>
      </c>
      <c r="T247" s="176">
        <f t="shared" si="83"/>
        <v>6</v>
      </c>
      <c r="U247" s="251">
        <f t="shared" si="84"/>
        <v>0.57546441901686807</v>
      </c>
      <c r="V247" s="383">
        <f t="shared" si="85"/>
        <v>33.167852184921628</v>
      </c>
      <c r="W247" s="402">
        <f t="shared" si="86"/>
        <v>19.90104804255628</v>
      </c>
      <c r="X247" s="157">
        <f t="shared" si="87"/>
        <v>45524</v>
      </c>
      <c r="Y247" s="385">
        <f t="shared" si="88"/>
        <v>18.898390856049446</v>
      </c>
      <c r="Z247" s="385">
        <f t="shared" si="89"/>
        <v>19.88134341449523</v>
      </c>
      <c r="AA247" s="386">
        <f t="shared" si="90"/>
        <v>22.836071197283264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0.12938862194209438</v>
      </c>
      <c r="AD247" s="231">
        <f>(INDEX(Models!$BJ247:$BT247,,AH247)*(1-AF247)+INDEX(Models!$BJ247:$BT247,,AH247+1)*AF247-ERP_i)*AE247*Ramure*Pc/MaxiM</f>
        <v>6.4197581384645695E-7</v>
      </c>
      <c r="AE247" s="305">
        <f t="shared" si="92"/>
        <v>0.7</v>
      </c>
      <c r="AF247" s="177">
        <f t="shared" si="93"/>
        <v>0.57546441901686807</v>
      </c>
      <c r="AG247" s="817">
        <f t="shared" si="99"/>
        <v>0</v>
      </c>
      <c r="AH247" s="176">
        <f t="shared" si="94"/>
        <v>6</v>
      </c>
      <c r="AI247" s="225">
        <f t="shared" si="95"/>
        <v>0.57546441901686807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45525</v>
      </c>
      <c r="B248" s="411">
        <f>'2023'!Wh/'2023'!Env_an*'2024'!Env_an</f>
        <v>16.500825040593451</v>
      </c>
      <c r="C248" s="846"/>
      <c r="D248" s="393">
        <f t="shared" si="77"/>
        <v>17.359454423153323</v>
      </c>
      <c r="E248" s="385">
        <f t="shared" si="100"/>
        <v>18.936682265694643</v>
      </c>
      <c r="F248" s="385">
        <f t="shared" si="78"/>
        <v>18.936686267878041</v>
      </c>
      <c r="G248" s="110">
        <f t="shared" si="101"/>
        <v>0.49913184356162354</v>
      </c>
      <c r="H248" s="414" t="b">
        <f>Wh_hp&gt;='2023'!Maxi_hp</f>
        <v>0</v>
      </c>
      <c r="I248" s="390">
        <f>IF(H248,Wh_hp,'2023'!Maxi_hp)</f>
        <v>38.793135012494737</v>
      </c>
      <c r="J248" s="85">
        <f>IF(H248,An,'2023'!An_max)</f>
        <v>2019</v>
      </c>
      <c r="K248" s="197">
        <f t="shared" si="79"/>
        <v>45525</v>
      </c>
      <c r="L248" s="147">
        <f>IF(t&lt;Tvie,1-EXP((T0-t)*PertePVj)+'2023'!Pspv,1-EXP((T0-t)*PertePVj)+Pspv)</f>
        <v>4.946177233627036E-2</v>
      </c>
      <c r="M248" s="850"/>
      <c r="N248" s="850"/>
      <c r="O248" s="48">
        <f>IF(t&lt;Tnet,'2023'!Resal+('2023'!Salim-'2023'!Resal)*(1-EXP(('2023'!Tnet-t)/('2023'!Tau_j))),Resal+(Salim-Resal)*(1-EXP((Tnet-t)/(Tau_j))))*Salcycl</f>
        <v>8.3289555182461755E-2</v>
      </c>
      <c r="P248" s="169">
        <f>(INDEX(Models!$BJ248:$BT248,,T248)*(1-R248)+INDEX(Models!$BJ248:$BT248,,T248+1)*R248-ERP_i)*Q248*Ramure*Pc/MaxiM</f>
        <v>7.4293317022812266E-7</v>
      </c>
      <c r="Q248" s="305">
        <f t="shared" si="80"/>
        <v>0.7</v>
      </c>
      <c r="R248" s="177">
        <f t="shared" si="81"/>
        <v>0.57641179336848647</v>
      </c>
      <c r="S248" s="817">
        <f t="shared" si="82"/>
        <v>0</v>
      </c>
      <c r="T248" s="176">
        <f t="shared" si="83"/>
        <v>6</v>
      </c>
      <c r="U248" s="251">
        <f t="shared" si="84"/>
        <v>0.57641179336848647</v>
      </c>
      <c r="V248" s="383">
        <f t="shared" si="85"/>
        <v>33.059033363234462</v>
      </c>
      <c r="W248" s="402">
        <f t="shared" si="86"/>
        <v>16.500825040593451</v>
      </c>
      <c r="X248" s="157">
        <f t="shared" si="87"/>
        <v>45525</v>
      </c>
      <c r="Y248" s="385">
        <f t="shared" si="88"/>
        <v>15.670587433662163</v>
      </c>
      <c r="Z248" s="385">
        <f t="shared" si="89"/>
        <v>16.486014951947752</v>
      </c>
      <c r="AA248" s="386">
        <f t="shared" si="90"/>
        <v>18.936682265694643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0.12941376315884426</v>
      </c>
      <c r="AD248" s="231">
        <f>(INDEX(Models!$BJ248:$BT248,,AH248)*(1-AF248)+INDEX(Models!$BJ248:$BT248,,AH248+1)*AF248-ERP_i)*AE248*Ramure*Pc/MaxiM</f>
        <v>7.4293317022812266E-7</v>
      </c>
      <c r="AE248" s="305">
        <f t="shared" si="92"/>
        <v>0.7</v>
      </c>
      <c r="AF248" s="177">
        <f t="shared" si="93"/>
        <v>0.57641179336848647</v>
      </c>
      <c r="AG248" s="817">
        <f t="shared" si="99"/>
        <v>0</v>
      </c>
      <c r="AH248" s="176">
        <f t="shared" si="94"/>
        <v>6</v>
      </c>
      <c r="AI248" s="225">
        <f t="shared" si="95"/>
        <v>0.57641179336848647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45526</v>
      </c>
      <c r="B249" s="411">
        <f>'2023'!Wh/'2023'!Env_an*'2024'!Env_an</f>
        <v>29.550114068132583</v>
      </c>
      <c r="C249" s="846"/>
      <c r="D249" s="393">
        <f t="shared" si="77"/>
        <v>31.088451201248617</v>
      </c>
      <c r="E249" s="385">
        <f t="shared" si="100"/>
        <v>33.916419042214443</v>
      </c>
      <c r="F249" s="385">
        <f t="shared" si="78"/>
        <v>33.916443596120978</v>
      </c>
      <c r="G249" s="110">
        <f t="shared" si="101"/>
        <v>0.8967979149297286</v>
      </c>
      <c r="H249" s="414" t="b">
        <f>Wh_hp&gt;='2023'!Maxi_hp</f>
        <v>0</v>
      </c>
      <c r="I249" s="390">
        <f>IF(H249,Wh_hp,'2023'!Maxi_hp)</f>
        <v>36.458624208406086</v>
      </c>
      <c r="J249" s="85">
        <f>IF(H249,An,'2023'!An_max)</f>
        <v>2019</v>
      </c>
      <c r="K249" s="197">
        <f t="shared" si="79"/>
        <v>45526</v>
      </c>
      <c r="L249" s="147">
        <f>IF(t&lt;Tvie,1-EXP((T0-t)*PertePVj)+'2023'!Pspv,1-EXP((T0-t)*PertePVj)+Pspv)</f>
        <v>4.9482591562948319E-2</v>
      </c>
      <c r="M249" s="850"/>
      <c r="N249" s="850"/>
      <c r="O249" s="48">
        <f>IF(t&lt;Tnet,'2023'!Resal+('2023'!Salim-'2023'!Resal)*(1-EXP(('2023'!Tnet-t)/('2023'!Tau_j))),Resal+(Salim-Resal)*(1-EXP((Tnet-t)/(Tau_j))))*Salcycl</f>
        <v>8.3380495961143886E-2</v>
      </c>
      <c r="P249" s="169">
        <f>(INDEX(Models!$BJ249:$BT249,,T249)*(1-R249)+INDEX(Models!$BJ249:$BT249,,T249+1)*R249-ERP_i)*Q249*Ramure*Pc/MaxiM</f>
        <v>8.4914323259517783E-7</v>
      </c>
      <c r="Q249" s="305">
        <f t="shared" si="80"/>
        <v>0.7</v>
      </c>
      <c r="R249" s="177">
        <f t="shared" si="81"/>
        <v>0.57732457565287287</v>
      </c>
      <c r="S249" s="817">
        <f t="shared" si="82"/>
        <v>0</v>
      </c>
      <c r="T249" s="176">
        <f t="shared" si="83"/>
        <v>6</v>
      </c>
      <c r="U249" s="251">
        <f t="shared" si="84"/>
        <v>0.57732457565287287</v>
      </c>
      <c r="V249" s="383">
        <f t="shared" si="85"/>
        <v>32.950690313609577</v>
      </c>
      <c r="W249" s="402">
        <f t="shared" si="86"/>
        <v>29.550114068132583</v>
      </c>
      <c r="X249" s="157">
        <f t="shared" si="87"/>
        <v>45526</v>
      </c>
      <c r="Y249" s="385">
        <f t="shared" si="88"/>
        <v>28.065291726633781</v>
      </c>
      <c r="Z249" s="385">
        <f t="shared" si="89"/>
        <v>29.526331109265964</v>
      </c>
      <c r="AA249" s="386">
        <f t="shared" si="90"/>
        <v>33.916419042214443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0.12943842707817435</v>
      </c>
      <c r="AD249" s="231">
        <f>(INDEX(Models!$BJ249:$BT249,,AH249)*(1-AF249)+INDEX(Models!$BJ249:$BT249,,AH249+1)*AF249-ERP_i)*AE249*Ramure*Pc/MaxiM</f>
        <v>8.4914323259517783E-7</v>
      </c>
      <c r="AE249" s="305">
        <f t="shared" si="92"/>
        <v>0.7</v>
      </c>
      <c r="AF249" s="177">
        <f t="shared" si="93"/>
        <v>0.57732457565287287</v>
      </c>
      <c r="AG249" s="817">
        <f t="shared" si="99"/>
        <v>0</v>
      </c>
      <c r="AH249" s="176">
        <f t="shared" si="94"/>
        <v>6</v>
      </c>
      <c r="AI249" s="225">
        <f t="shared" si="95"/>
        <v>0.57732457565287287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45527</v>
      </c>
      <c r="B250" s="411">
        <f>'2023'!Wh/'2023'!Env_an*'2024'!Env_an</f>
        <v>29.038877608248235</v>
      </c>
      <c r="C250" s="846"/>
      <c r="D250" s="393">
        <f t="shared" si="77"/>
        <v>30.551269645734454</v>
      </c>
      <c r="E250" s="385">
        <f t="shared" si="100"/>
        <v>33.333664084269614</v>
      </c>
      <c r="F250" s="385">
        <f t="shared" si="78"/>
        <v>33.333690809219412</v>
      </c>
      <c r="G250" s="110">
        <f t="shared" si="101"/>
        <v>0.88419469826324903</v>
      </c>
      <c r="H250" s="414" t="b">
        <f>Wh_hp&gt;='2023'!Maxi_hp</f>
        <v>0</v>
      </c>
      <c r="I250" s="390">
        <f>IF(H250,Wh_hp,'2023'!Maxi_hp)</f>
        <v>36.227969880355467</v>
      </c>
      <c r="J250" s="85">
        <f>IF(H250,An,'2023'!An_max)</f>
        <v>2019</v>
      </c>
      <c r="K250" s="197">
        <f t="shared" si="79"/>
        <v>45527</v>
      </c>
      <c r="L250" s="147">
        <f>IF(t&lt;Tvie,1-EXP((T0-t)*PertePVj)+'2023'!Pspv,1-EXP((T0-t)*PertePVj)+Pspv)</f>
        <v>4.9503410333631703E-2</v>
      </c>
      <c r="M250" s="850"/>
      <c r="N250" s="850"/>
      <c r="O250" s="48">
        <f>IF(t&lt;Tnet,'2023'!Resal+('2023'!Salim-'2023'!Resal)*(1-EXP(('2023'!Tnet-t)/('2023'!Tau_j))),Resal+(Salim-Resal)*(1-EXP((Tnet-t)/(Tau_j))))*Salcycl</f>
        <v>8.3471004912663987E-2</v>
      </c>
      <c r="P250" s="169">
        <f>(INDEX(Models!$BJ250:$BT250,,T250)*(1-R250)+INDEX(Models!$BJ250:$BT250,,T250+1)*R250-ERP_i)*Q250*Ramure*Pc/MaxiM</f>
        <v>9.6066909500400243E-7</v>
      </c>
      <c r="Q250" s="305">
        <f t="shared" si="80"/>
        <v>0.7</v>
      </c>
      <c r="R250" s="177">
        <f t="shared" si="81"/>
        <v>0.57820389720253706</v>
      </c>
      <c r="S250" s="817">
        <f t="shared" si="82"/>
        <v>0</v>
      </c>
      <c r="T250" s="176">
        <f t="shared" si="83"/>
        <v>6</v>
      </c>
      <c r="U250" s="251">
        <f t="shared" si="84"/>
        <v>0.57820389720253706</v>
      </c>
      <c r="V250" s="383">
        <f t="shared" si="85"/>
        <v>32.842170452002982</v>
      </c>
      <c r="W250" s="402">
        <f t="shared" si="86"/>
        <v>29.038877608248235</v>
      </c>
      <c r="X250" s="157">
        <f t="shared" si="87"/>
        <v>45527</v>
      </c>
      <c r="Y250" s="385">
        <f t="shared" si="88"/>
        <v>27.581701454906902</v>
      </c>
      <c r="Z250" s="385">
        <f t="shared" si="89"/>
        <v>29.018201385223584</v>
      </c>
      <c r="AA250" s="386">
        <f t="shared" si="90"/>
        <v>33.333664084269614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0.12946259637513205</v>
      </c>
      <c r="AD250" s="231">
        <f>(INDEX(Models!$BJ250:$BT250,,AH250)*(1-AF250)+INDEX(Models!$BJ250:$BT250,,AH250+1)*AF250-ERP_i)*AE250*Ramure*Pc/MaxiM</f>
        <v>9.6066909500400243E-7</v>
      </c>
      <c r="AE250" s="305">
        <f t="shared" si="92"/>
        <v>0.7</v>
      </c>
      <c r="AF250" s="177">
        <f t="shared" si="93"/>
        <v>0.57820389720253706</v>
      </c>
      <c r="AG250" s="817">
        <f t="shared" si="99"/>
        <v>0</v>
      </c>
      <c r="AH250" s="176">
        <f t="shared" si="94"/>
        <v>6</v>
      </c>
      <c r="AI250" s="225">
        <f t="shared" si="95"/>
        <v>0.57820389720253706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45528</v>
      </c>
      <c r="B251" s="411">
        <f>'2023'!Wh/'2023'!Env_an*'2024'!Env_an</f>
        <v>21.414236026694674</v>
      </c>
      <c r="C251" s="846"/>
      <c r="D251" s="393">
        <f t="shared" si="77"/>
        <v>22.530017778613693</v>
      </c>
      <c r="E251" s="385">
        <f t="shared" si="100"/>
        <v>24.584308934123221</v>
      </c>
      <c r="F251" s="385">
        <f t="shared" si="78"/>
        <v>24.58432233938548</v>
      </c>
      <c r="G251" s="110">
        <f t="shared" si="101"/>
        <v>0.65421261087774929</v>
      </c>
      <c r="H251" s="414" t="b">
        <f>Wh_hp&gt;='2023'!Maxi_hp</f>
        <v>0</v>
      </c>
      <c r="I251" s="390">
        <f>IF(H251,Wh_hp,'2023'!Maxi_hp)</f>
        <v>34.955028036144711</v>
      </c>
      <c r="J251" s="85">
        <f>IF(H251,An,'2023'!An_max)</f>
        <v>2020</v>
      </c>
      <c r="K251" s="197">
        <f t="shared" si="79"/>
        <v>45528</v>
      </c>
      <c r="L251" s="147">
        <f>IF(t&lt;Tvie,1-EXP((T0-t)*PertePVj)+'2023'!Pspv,1-EXP((T0-t)*PertePVj)+Pspv)</f>
        <v>4.9524228648330615E-2</v>
      </c>
      <c r="M251" s="850"/>
      <c r="N251" s="850"/>
      <c r="O251" s="48">
        <f>IF(t&lt;Tnet,'2023'!Resal+('2023'!Salim-'2023'!Resal)*(1-EXP(('2023'!Tnet-t)/('2023'!Tau_j))),Resal+(Salim-Resal)*(1-EXP((Tnet-t)/(Tau_j))))*Salcycl</f>
        <v>8.356106982767994E-2</v>
      </c>
      <c r="P251" s="169">
        <f>(INDEX(Models!$BJ251:$BT251,,T251)*(1-R251)+INDEX(Models!$BJ251:$BT251,,T251+1)*R251-ERP_i)*Q251*Ramure*Pc/MaxiM</f>
        <v>1.077582840732633E-6</v>
      </c>
      <c r="Q251" s="305">
        <f t="shared" si="80"/>
        <v>0.7</v>
      </c>
      <c r="R251" s="177">
        <f t="shared" si="81"/>
        <v>0.57905086237050174</v>
      </c>
      <c r="S251" s="817">
        <f t="shared" si="82"/>
        <v>0</v>
      </c>
      <c r="T251" s="176">
        <f t="shared" si="83"/>
        <v>6</v>
      </c>
      <c r="U251" s="251">
        <f t="shared" si="84"/>
        <v>0.57905086237050174</v>
      </c>
      <c r="V251" s="383">
        <f t="shared" si="85"/>
        <v>32.732821519645555</v>
      </c>
      <c r="W251" s="402">
        <f t="shared" si="86"/>
        <v>21.414236026694674</v>
      </c>
      <c r="X251" s="157">
        <f t="shared" si="87"/>
        <v>45528</v>
      </c>
      <c r="Y251" s="385">
        <f t="shared" si="88"/>
        <v>20.341111914213084</v>
      </c>
      <c r="Z251" s="385">
        <f t="shared" si="89"/>
        <v>21.400978885854226</v>
      </c>
      <c r="AA251" s="386">
        <f t="shared" si="90"/>
        <v>24.584308934123221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0.12948625307301237</v>
      </c>
      <c r="AD251" s="231">
        <f>(INDEX(Models!$BJ251:$BT251,,AH251)*(1-AF251)+INDEX(Models!$BJ251:$BT251,,AH251+1)*AF251-ERP_i)*AE251*Ramure*Pc/MaxiM</f>
        <v>1.077582840732633E-6</v>
      </c>
      <c r="AE251" s="305">
        <f t="shared" si="92"/>
        <v>0.7</v>
      </c>
      <c r="AF251" s="177">
        <f t="shared" si="93"/>
        <v>0.57905086237050174</v>
      </c>
      <c r="AG251" s="817">
        <f t="shared" si="99"/>
        <v>0</v>
      </c>
      <c r="AH251" s="176">
        <f t="shared" si="94"/>
        <v>6</v>
      </c>
      <c r="AI251" s="225">
        <f t="shared" si="95"/>
        <v>0.57905086237050174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45529</v>
      </c>
      <c r="B252" s="411">
        <f>'2023'!Wh/'2023'!Env_an*'2024'!Env_an</f>
        <v>26.063098188294145</v>
      </c>
      <c r="C252" s="846"/>
      <c r="D252" s="393">
        <f t="shared" si="77"/>
        <v>27.421707985751063</v>
      </c>
      <c r="E252" s="385">
        <f t="shared" si="100"/>
        <v>29.924950375043956</v>
      </c>
      <c r="F252" s="385">
        <f t="shared" si="78"/>
        <v>29.924975970049317</v>
      </c>
      <c r="G252" s="110">
        <f t="shared" si="101"/>
        <v>0.79894230677288491</v>
      </c>
      <c r="H252" s="414" t="b">
        <f>Wh_hp&gt;='2023'!Maxi_hp</f>
        <v>0</v>
      </c>
      <c r="I252" s="390">
        <f>IF(H252,Wh_hp,'2023'!Maxi_hp)</f>
        <v>36.589991055920372</v>
      </c>
      <c r="J252" s="85">
        <f>IF(H252,An,'2023'!An_max)</f>
        <v>2020</v>
      </c>
      <c r="K252" s="197">
        <f t="shared" si="79"/>
        <v>45529</v>
      </c>
      <c r="L252" s="147">
        <f>IF(t&lt;Tvie,1-EXP((T0-t)*PertePVj)+'2023'!Pspv,1-EXP((T0-t)*PertePVj)+Pspv)</f>
        <v>4.9545046507054935E-2</v>
      </c>
      <c r="M252" s="850"/>
      <c r="N252" s="850"/>
      <c r="O252" s="48">
        <f>IF(t&lt;Tnet,'2023'!Resal+('2023'!Salim-'2023'!Resal)*(1-EXP(('2023'!Tnet-t)/('2023'!Tau_j))),Resal+(Salim-Resal)*(1-EXP((Tnet-t)/(Tau_j))))*Salcycl</f>
        <v>8.3650678043579396E-2</v>
      </c>
      <c r="P252" s="169">
        <f>(INDEX(Models!$BJ252:$BT252,,T252)*(1-R252)+INDEX(Models!$BJ252:$BT252,,T252+1)*R252-ERP_i)*Q252*Ramure*Pc/MaxiM</f>
        <v>1.1999658436378864E-6</v>
      </c>
      <c r="Q252" s="305">
        <f t="shared" si="80"/>
        <v>0.7</v>
      </c>
      <c r="R252" s="177">
        <f t="shared" si="81"/>
        <v>0.57986654837190532</v>
      </c>
      <c r="S252" s="817">
        <f t="shared" si="82"/>
        <v>0</v>
      </c>
      <c r="T252" s="176">
        <f t="shared" si="83"/>
        <v>6</v>
      </c>
      <c r="U252" s="251">
        <f t="shared" si="84"/>
        <v>0.57986654837190532</v>
      </c>
      <c r="V252" s="383">
        <f t="shared" si="85"/>
        <v>32.621991581160216</v>
      </c>
      <c r="W252" s="402">
        <f t="shared" si="86"/>
        <v>26.063098188294145</v>
      </c>
      <c r="X252" s="157">
        <f t="shared" si="87"/>
        <v>45529</v>
      </c>
      <c r="Y252" s="385">
        <f t="shared" si="88"/>
        <v>24.758770476641182</v>
      </c>
      <c r="Z252" s="385">
        <f t="shared" si="89"/>
        <v>26.049388648722488</v>
      </c>
      <c r="AA252" s="386">
        <f t="shared" si="90"/>
        <v>29.924950375043956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0.1295093785536737</v>
      </c>
      <c r="AD252" s="231">
        <f>(INDEX(Models!$BJ252:$BT252,,AH252)*(1-AF252)+INDEX(Models!$BJ252:$BT252,,AH252+1)*AF252-ERP_i)*AE252*Ramure*Pc/MaxiM</f>
        <v>1.1999658436378864E-6</v>
      </c>
      <c r="AE252" s="305">
        <f t="shared" si="92"/>
        <v>0.7</v>
      </c>
      <c r="AF252" s="177">
        <f t="shared" si="93"/>
        <v>0.57986654837190532</v>
      </c>
      <c r="AG252" s="817">
        <f t="shared" si="99"/>
        <v>0</v>
      </c>
      <c r="AH252" s="176">
        <f t="shared" si="94"/>
        <v>6</v>
      </c>
      <c r="AI252" s="225">
        <f t="shared" si="95"/>
        <v>0.57986654837190532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45530</v>
      </c>
      <c r="B253" s="411">
        <f>'2023'!Wh/'2023'!Env_an*'2024'!Env_an</f>
        <v>31.531193384426544</v>
      </c>
      <c r="C253" s="846"/>
      <c r="D253" s="393">
        <f t="shared" si="77"/>
        <v>33.175569129005481</v>
      </c>
      <c r="E253" s="385">
        <f t="shared" si="100"/>
        <v>36.207585710149772</v>
      </c>
      <c r="F253" s="385">
        <f t="shared" si="78"/>
        <v>36.207631724634304</v>
      </c>
      <c r="G253" s="110">
        <f t="shared" si="101"/>
        <v>0.9699210507944459</v>
      </c>
      <c r="H253" s="414" t="b">
        <f>Wh_hp&gt;='2023'!Maxi_hp</f>
        <v>0</v>
      </c>
      <c r="I253" s="390">
        <f>IF(H253,Wh_hp,'2023'!Maxi_hp)</f>
        <v>36.207633790648693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4.9565863909814767E-2</v>
      </c>
      <c r="M253" s="850"/>
      <c r="N253" s="850"/>
      <c r="O253" s="48">
        <f>IF(t&lt;Tnet,'2023'!Resal+('2023'!Salim-'2023'!Resal)*(1-EXP(('2023'!Tnet-t)/('2023'!Tau_j))),Resal+(Salim-Resal)*(1-EXP((Tnet-t)/(Tau_j))))*Salcycl</f>
        <v>8.3739816441126255E-2</v>
      </c>
      <c r="P253" s="169">
        <f>(INDEX(Models!$BJ253:$BT253,,T253)*(1-R253)+INDEX(Models!$BJ253:$BT253,,T253+1)*R253-ERP_i)*Q253*Ramure*Pc/MaxiM</f>
        <v>1.3279105502603402E-6</v>
      </c>
      <c r="Q253" s="305">
        <f t="shared" si="80"/>
        <v>0.7</v>
      </c>
      <c r="R253" s="177">
        <f t="shared" si="81"/>
        <v>0.58065200520715254</v>
      </c>
      <c r="S253" s="817">
        <f t="shared" si="82"/>
        <v>0</v>
      </c>
      <c r="T253" s="176">
        <f t="shared" si="83"/>
        <v>6</v>
      </c>
      <c r="U253" s="251">
        <f t="shared" si="84"/>
        <v>0.58065200520715254</v>
      </c>
      <c r="V253" s="383">
        <f t="shared" si="85"/>
        <v>32.509029017798994</v>
      </c>
      <c r="W253" s="402">
        <f t="shared" si="86"/>
        <v>31.531193384426544</v>
      </c>
      <c r="X253" s="157">
        <f t="shared" si="87"/>
        <v>45530</v>
      </c>
      <c r="Y253" s="385">
        <f t="shared" si="88"/>
        <v>29.955351983992713</v>
      </c>
      <c r="Z253" s="385">
        <f t="shared" si="89"/>
        <v>31.5175463996069</v>
      </c>
      <c r="AA253" s="386">
        <f t="shared" si="90"/>
        <v>36.207585710149772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0.12953195355491914</v>
      </c>
      <c r="AD253" s="231">
        <f>(INDEX(Models!$BJ253:$BT253,,AH253)*(1-AF253)+INDEX(Models!$BJ253:$BT253,,AH253+1)*AF253-ERP_i)*AE253*Ramure*Pc/MaxiM</f>
        <v>1.3279105502603402E-6</v>
      </c>
      <c r="AE253" s="305">
        <f t="shared" si="92"/>
        <v>0.7</v>
      </c>
      <c r="AF253" s="177">
        <f t="shared" si="93"/>
        <v>0.58065200520715254</v>
      </c>
      <c r="AG253" s="817">
        <f t="shared" si="99"/>
        <v>0</v>
      </c>
      <c r="AH253" s="176">
        <f t="shared" si="94"/>
        <v>6</v>
      </c>
      <c r="AI253" s="225">
        <f t="shared" si="95"/>
        <v>0.58065200520715254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45531</v>
      </c>
      <c r="B254" s="411">
        <f>'2023'!Wh/'2023'!Env_an*'2024'!Env_an</f>
        <v>30.507690995465893</v>
      </c>
      <c r="C254" s="846"/>
      <c r="D254" s="393">
        <f t="shared" si="77"/>
        <v>32.099393370205377</v>
      </c>
      <c r="E254" s="385">
        <f t="shared" si="100"/>
        <v>35.036444998919585</v>
      </c>
      <c r="F254" s="385">
        <f t="shared" si="78"/>
        <v>35.036493952593744</v>
      </c>
      <c r="G254" s="110">
        <f t="shared" si="101"/>
        <v>0.94179060139540871</v>
      </c>
      <c r="H254" s="414" t="b">
        <f>Wh_hp&gt;='2023'!Maxi_hp</f>
        <v>0</v>
      </c>
      <c r="I254" s="390">
        <f>IF(H254,Wh_hp,'2023'!Maxi_hp)</f>
        <v>37.6474142668485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4.9586680856620102E-2</v>
      </c>
      <c r="M254" s="850"/>
      <c r="N254" s="850"/>
      <c r="O254" s="48">
        <f>IF(t&lt;Tnet,'2023'!Resal+('2023'!Salim-'2023'!Resal)*(1-EXP(('2023'!Tnet-t)/('2023'!Tau_j))),Resal+(Salim-Resal)*(1-EXP((Tnet-t)/(Tau_j))))*Salcycl</f>
        <v>8.3828471433239779E-2</v>
      </c>
      <c r="P254" s="169">
        <f>(INDEX(Models!$BJ254:$BT254,,T254)*(1-R254)+INDEX(Models!$BJ254:$BT254,,T254+1)*R254-ERP_i)*Q254*Ramure*Pc/MaxiM</f>
        <v>1.5239448785231528E-6</v>
      </c>
      <c r="Q254" s="305">
        <f t="shared" si="80"/>
        <v>0.7</v>
      </c>
      <c r="R254" s="177">
        <f t="shared" si="81"/>
        <v>0.58140825565971244</v>
      </c>
      <c r="S254" s="817">
        <f t="shared" si="82"/>
        <v>0</v>
      </c>
      <c r="T254" s="176">
        <f t="shared" si="83"/>
        <v>6</v>
      </c>
      <c r="U254" s="251">
        <f t="shared" si="84"/>
        <v>0.58140825565971244</v>
      </c>
      <c r="V254" s="383">
        <f t="shared" si="85"/>
        <v>32.39328050647493</v>
      </c>
      <c r="W254" s="402">
        <f t="shared" si="86"/>
        <v>30.507690995465893</v>
      </c>
      <c r="X254" s="157">
        <f t="shared" si="87"/>
        <v>45531</v>
      </c>
      <c r="Y254" s="385">
        <f t="shared" si="88"/>
        <v>28.98507325844788</v>
      </c>
      <c r="Z254" s="385">
        <f t="shared" si="89"/>
        <v>30.497334869604426</v>
      </c>
      <c r="AA254" s="386">
        <f t="shared" si="90"/>
        <v>35.036444998919585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0.12955395815571849</v>
      </c>
      <c r="AD254" s="231">
        <f>(INDEX(Models!$BJ254:$BT254,,AH254)*(1-AF254)+INDEX(Models!$BJ254:$BT254,,AH254+1)*AF254-ERP_i)*AE254*Ramure*Pc/MaxiM</f>
        <v>1.5239448785231528E-6</v>
      </c>
      <c r="AE254" s="305">
        <f t="shared" si="92"/>
        <v>0.7</v>
      </c>
      <c r="AF254" s="177">
        <f t="shared" si="93"/>
        <v>0.58140825565971244</v>
      </c>
      <c r="AG254" s="817">
        <f t="shared" si="99"/>
        <v>0</v>
      </c>
      <c r="AH254" s="176">
        <f t="shared" si="94"/>
        <v>6</v>
      </c>
      <c r="AI254" s="225">
        <f t="shared" si="95"/>
        <v>0.58140825565971244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45532</v>
      </c>
      <c r="B255" s="411">
        <f>'2023'!Wh/'2023'!Env_an*'2024'!Env_an</f>
        <v>20.911937797163382</v>
      </c>
      <c r="C255" s="846"/>
      <c r="D255" s="393">
        <f t="shared" si="77"/>
        <v>22.003475131378607</v>
      </c>
      <c r="E255" s="385">
        <f t="shared" si="100"/>
        <v>24.019074929909962</v>
      </c>
      <c r="F255" s="385">
        <f t="shared" si="78"/>
        <v>24.019096271436823</v>
      </c>
      <c r="G255" s="110">
        <f t="shared" si="101"/>
        <v>0.64794749260257711</v>
      </c>
      <c r="H255" s="414" t="b">
        <f>Wh_hp&gt;='2023'!Maxi_hp</f>
        <v>0</v>
      </c>
      <c r="I255" s="390">
        <f>IF(H255,Wh_hp,'2023'!Maxi_hp)</f>
        <v>37.163900184673778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4.9607497347480822E-2</v>
      </c>
      <c r="M255" s="850"/>
      <c r="N255" s="850"/>
      <c r="O255" s="48">
        <f>IF(t&lt;Tnet,'2023'!Resal+('2023'!Salim-'2023'!Resal)*(1-EXP(('2023'!Tnet-t)/('2023'!Tau_j))),Resal+(Salim-Resal)*(1-EXP((Tnet-t)/(Tau_j))))*Salcycl</f>
        <v>8.3916628946496624E-2</v>
      </c>
      <c r="P255" s="169">
        <f>(INDEX(Models!$BJ255:$BT255,,T255)*(1-R255)+INDEX(Models!$BJ255:$BT255,,T255+1)*R255-ERP_i)*Q255*Ramure*Pc/MaxiM</f>
        <v>1.7875262423916286E-6</v>
      </c>
      <c r="Q255" s="305">
        <f t="shared" si="80"/>
        <v>0.7</v>
      </c>
      <c r="R255" s="177">
        <f t="shared" si="81"/>
        <v>0.58213629536200706</v>
      </c>
      <c r="S255" s="817">
        <f t="shared" si="82"/>
        <v>0</v>
      </c>
      <c r="T255" s="176">
        <f t="shared" si="83"/>
        <v>6</v>
      </c>
      <c r="U255" s="251">
        <f t="shared" si="84"/>
        <v>0.58213629536200706</v>
      </c>
      <c r="V255" s="383">
        <f t="shared" si="85"/>
        <v>32.27409510183827</v>
      </c>
      <c r="W255" s="402">
        <f t="shared" si="86"/>
        <v>20.911937797163382</v>
      </c>
      <c r="X255" s="157">
        <f t="shared" si="87"/>
        <v>45532</v>
      </c>
      <c r="Y255" s="385">
        <f t="shared" si="88"/>
        <v>19.869660620675738</v>
      </c>
      <c r="Z255" s="385">
        <f t="shared" si="89"/>
        <v>20.906794366769589</v>
      </c>
      <c r="AA255" s="386">
        <f t="shared" si="90"/>
        <v>24.019074929909962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0.12957537175025743</v>
      </c>
      <c r="AD255" s="231">
        <f>(INDEX(Models!$BJ255:$BT255,,AH255)*(1-AF255)+INDEX(Models!$BJ255:$BT255,,AH255+1)*AF255-ERP_i)*AE255*Ramure*Pc/MaxiM</f>
        <v>1.7875262423916286E-6</v>
      </c>
      <c r="AE255" s="305">
        <f t="shared" si="92"/>
        <v>0.7</v>
      </c>
      <c r="AF255" s="177">
        <f t="shared" si="93"/>
        <v>0.58213629536200706</v>
      </c>
      <c r="AG255" s="817">
        <f t="shared" si="99"/>
        <v>0</v>
      </c>
      <c r="AH255" s="176">
        <f t="shared" si="94"/>
        <v>6</v>
      </c>
      <c r="AI255" s="225">
        <f t="shared" si="95"/>
        <v>0.58213629536200706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45533</v>
      </c>
      <c r="B256" s="411">
        <f>'2023'!Wh/'2023'!Env_an*'2024'!Env_an</f>
        <v>30.147486799756205</v>
      </c>
      <c r="C256" s="846"/>
      <c r="D256" s="393">
        <f t="shared" si="77"/>
        <v>31.721785512205432</v>
      </c>
      <c r="E256" s="385">
        <f t="shared" si="100"/>
        <v>34.63093181061631</v>
      </c>
      <c r="F256" s="385">
        <f t="shared" si="78"/>
        <v>34.630998682195212</v>
      </c>
      <c r="G256" s="110">
        <f t="shared" si="101"/>
        <v>0.93768927595657103</v>
      </c>
      <c r="H256" s="414" t="b">
        <f>Wh_hp&gt;='2023'!Maxi_hp</f>
        <v>0</v>
      </c>
      <c r="I256" s="390">
        <f>IF(H256,Wh_hp,'2023'!Maxi_hp)</f>
        <v>35.748351799960105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4.9628313382406919E-2</v>
      </c>
      <c r="M256" s="850"/>
      <c r="N256" s="850"/>
      <c r="O256" s="48">
        <f>IF(t&lt;Tnet,'2023'!Resal+('2023'!Salim-'2023'!Resal)*(1-EXP(('2023'!Tnet-t)/('2023'!Tau_j))),Resal+(Salim-Resal)*(1-EXP((Tnet-t)/(Tau_j))))*Salcycl</f>
        <v>8.4004274396078021E-2</v>
      </c>
      <c r="P256" s="169">
        <f>(INDEX(Models!$BJ256:$BT256,,T256)*(1-R256)+INDEX(Models!$BJ256:$BT256,,T256+1)*R256-ERP_i)*Q256*Ramure*Pc/MaxiM</f>
        <v>2.1196559162295531E-6</v>
      </c>
      <c r="Q256" s="305">
        <f t="shared" si="80"/>
        <v>0.7</v>
      </c>
      <c r="R256" s="177">
        <f t="shared" si="81"/>
        <v>0.58283709292318164</v>
      </c>
      <c r="S256" s="817">
        <f t="shared" si="82"/>
        <v>0</v>
      </c>
      <c r="T256" s="176">
        <f t="shared" si="83"/>
        <v>6</v>
      </c>
      <c r="U256" s="251">
        <f t="shared" si="84"/>
        <v>0.58283709292318164</v>
      </c>
      <c r="V256" s="383">
        <f t="shared" si="85"/>
        <v>32.150822116125035</v>
      </c>
      <c r="W256" s="402">
        <f t="shared" si="86"/>
        <v>30.147486799756205</v>
      </c>
      <c r="X256" s="157">
        <f t="shared" si="87"/>
        <v>45533</v>
      </c>
      <c r="Y256" s="385">
        <f t="shared" si="88"/>
        <v>28.646954512017601</v>
      </c>
      <c r="Z256" s="385">
        <f t="shared" si="89"/>
        <v>30.142895580121014</v>
      </c>
      <c r="AA256" s="386">
        <f t="shared" si="90"/>
        <v>34.63093181061631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0.12959617301199686</v>
      </c>
      <c r="AD256" s="231">
        <f>(INDEX(Models!$BJ256:$BT256,,AH256)*(1-AF256)+INDEX(Models!$BJ256:$BT256,,AH256+1)*AF256-ERP_i)*AE256*Ramure*Pc/MaxiM</f>
        <v>2.1196559162295531E-6</v>
      </c>
      <c r="AE256" s="305">
        <f t="shared" si="92"/>
        <v>0.7</v>
      </c>
      <c r="AF256" s="177">
        <f t="shared" si="93"/>
        <v>0.58283709292318164</v>
      </c>
      <c r="AG256" s="817">
        <f t="shared" si="99"/>
        <v>0</v>
      </c>
      <c r="AH256" s="176">
        <f t="shared" si="94"/>
        <v>6</v>
      </c>
      <c r="AI256" s="225">
        <f t="shared" si="95"/>
        <v>0.58283709292318164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45534</v>
      </c>
      <c r="B257" s="411">
        <f>'2023'!Wh/'2023'!Env_an*'2024'!Env_an</f>
        <v>14.127204349939232</v>
      </c>
      <c r="C257" s="846"/>
      <c r="D257" s="393">
        <f t="shared" si="77"/>
        <v>14.865251119831466</v>
      </c>
      <c r="E257" s="385">
        <f t="shared" si="100"/>
        <v>16.230059419271598</v>
      </c>
      <c r="F257" s="385">
        <f t="shared" si="78"/>
        <v>16.230067671639787</v>
      </c>
      <c r="G257" s="110">
        <f t="shared" si="101"/>
        <v>0.44115976693939957</v>
      </c>
      <c r="H257" s="414" t="b">
        <f>Wh_hp&gt;='2023'!Maxi_hp</f>
        <v>0</v>
      </c>
      <c r="I257" s="390">
        <f>IF(H257,Wh_hp,'2023'!Maxi_hp)</f>
        <v>35.974532803787852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4.9649128961408495E-2</v>
      </c>
      <c r="M257" s="850"/>
      <c r="N257" s="850"/>
      <c r="O257" s="48">
        <f>IF(t&lt;Tnet,'2023'!Resal+('2023'!Salim-'2023'!Resal)*(1-EXP(('2023'!Tnet-t)/('2023'!Tau_j))),Resal+(Salim-Resal)*(1-EXP((Tnet-t)/(Tau_j))))*Salcycl</f>
        <v>8.409139265501131E-2</v>
      </c>
      <c r="P257" s="169">
        <f>(INDEX(Models!$BJ257:$BT257,,T257)*(1-R257)+INDEX(Models!$BJ257:$BT257,,T257+1)*R257-ERP_i)*Q257*Ramure*Pc/MaxiM</f>
        <v>2.5214051812253198E-6</v>
      </c>
      <c r="Q257" s="305">
        <f t="shared" si="80"/>
        <v>0.7</v>
      </c>
      <c r="R257" s="177">
        <f t="shared" si="81"/>
        <v>0.58351159011288189</v>
      </c>
      <c r="S257" s="817">
        <f t="shared" si="82"/>
        <v>0</v>
      </c>
      <c r="T257" s="176">
        <f t="shared" si="83"/>
        <v>6</v>
      </c>
      <c r="U257" s="251">
        <f t="shared" si="84"/>
        <v>0.58351159011288189</v>
      </c>
      <c r="V257" s="383">
        <f t="shared" si="85"/>
        <v>32.022811170361791</v>
      </c>
      <c r="W257" s="402">
        <f t="shared" si="86"/>
        <v>14.127204349939232</v>
      </c>
      <c r="X257" s="157">
        <f t="shared" si="87"/>
        <v>45534</v>
      </c>
      <c r="Y257" s="385">
        <f t="shared" si="88"/>
        <v>13.425016132824897</v>
      </c>
      <c r="Z257" s="385">
        <f t="shared" si="89"/>
        <v>14.126378521812013</v>
      </c>
      <c r="AA257" s="386">
        <f t="shared" si="90"/>
        <v>16.230059419271598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0.12961633984911169</v>
      </c>
      <c r="AD257" s="231">
        <f>(INDEX(Models!$BJ257:$BT257,,AH257)*(1-AF257)+INDEX(Models!$BJ257:$BT257,,AH257+1)*AF257-ERP_i)*AE257*Ramure*Pc/MaxiM</f>
        <v>2.5214051812253198E-6</v>
      </c>
      <c r="AE257" s="305">
        <f t="shared" si="92"/>
        <v>0.7</v>
      </c>
      <c r="AF257" s="177">
        <f t="shared" si="93"/>
        <v>0.58351159011288189</v>
      </c>
      <c r="AG257" s="817">
        <f t="shared" si="99"/>
        <v>0</v>
      </c>
      <c r="AH257" s="176">
        <f t="shared" si="94"/>
        <v>6</v>
      </c>
      <c r="AI257" s="225">
        <f t="shared" si="95"/>
        <v>0.58351159011288189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45535</v>
      </c>
      <c r="B258" s="411">
        <f>'2023'!Wh/'2023'!Env_an*'2024'!Env_an</f>
        <v>26.6445998889915</v>
      </c>
      <c r="C258" s="846"/>
      <c r="D258" s="393">
        <f t="shared" si="77"/>
        <v>28.037206361239736</v>
      </c>
      <c r="E258" s="385">
        <f t="shared" si="100"/>
        <v>30.614251876625797</v>
      </c>
      <c r="F258" s="385">
        <f t="shared" si="78"/>
        <v>30.614321998492201</v>
      </c>
      <c r="G258" s="110">
        <f t="shared" si="101"/>
        <v>0.83553064539539634</v>
      </c>
      <c r="H258" s="414" t="b">
        <f>Wh_hp&gt;='2023'!Maxi_hp</f>
        <v>0</v>
      </c>
      <c r="I258" s="390">
        <f>IF(H258,Wh_hp,'2023'!Maxi_hp)</f>
        <v>36.800779305473014</v>
      </c>
      <c r="J258" s="85">
        <f>IF(H258,An,'2023'!An_max)</f>
        <v>2018</v>
      </c>
      <c r="K258" s="197">
        <f t="shared" si="79"/>
        <v>45535</v>
      </c>
      <c r="L258" s="147">
        <f>IF(t&lt;Tvie,1-EXP((T0-t)*PertePVj)+'2023'!Pspv,1-EXP((T0-t)*PertePVj)+Pspv)</f>
        <v>4.9669944084495432E-2</v>
      </c>
      <c r="M258" s="850"/>
      <c r="N258" s="850"/>
      <c r="O258" s="48">
        <f>IF(t&lt;Tnet,'2023'!Resal+('2023'!Salim-'2023'!Resal)*(1-EXP(('2023'!Tnet-t)/('2023'!Tau_j))),Resal+(Salim-Resal)*(1-EXP((Tnet-t)/(Tau_j))))*Salcycl</f>
        <v>8.4177968018668267E-2</v>
      </c>
      <c r="P258" s="169">
        <f>(INDEX(Models!$BJ258:$BT258,,T258)*(1-R258)+INDEX(Models!$BJ258:$BT258,,T258+1)*R258-ERP_i)*Q258*Ramure*Pc/MaxiM</f>
        <v>2.9939328572679558E-6</v>
      </c>
      <c r="Q258" s="305">
        <f t="shared" si="80"/>
        <v>0.7</v>
      </c>
      <c r="R258" s="177">
        <f t="shared" si="81"/>
        <v>0.5841607020955033</v>
      </c>
      <c r="S258" s="817">
        <f t="shared" si="82"/>
        <v>0</v>
      </c>
      <c r="T258" s="176">
        <f t="shared" si="83"/>
        <v>6</v>
      </c>
      <c r="U258" s="251">
        <f t="shared" si="84"/>
        <v>0.5841607020955033</v>
      </c>
      <c r="V258" s="383">
        <f t="shared" si="85"/>
        <v>31.889412187203892</v>
      </c>
      <c r="W258" s="402">
        <f t="shared" si="86"/>
        <v>26.6445998889915</v>
      </c>
      <c r="X258" s="157">
        <f t="shared" si="87"/>
        <v>45535</v>
      </c>
      <c r="Y258" s="385">
        <f t="shared" si="88"/>
        <v>25.322064486201519</v>
      </c>
      <c r="Z258" s="385">
        <f t="shared" si="89"/>
        <v>26.645547332297514</v>
      </c>
      <c r="AA258" s="386">
        <f t="shared" si="90"/>
        <v>30.614251876625797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0.129635849352844</v>
      </c>
      <c r="AD258" s="231">
        <f>(INDEX(Models!$BJ258:$BT258,,AH258)*(1-AF258)+INDEX(Models!$BJ258:$BT258,,AH258+1)*AF258-ERP_i)*AE258*Ramure*Pc/MaxiM</f>
        <v>2.9939328572679558E-6</v>
      </c>
      <c r="AE258" s="305">
        <f t="shared" si="92"/>
        <v>0.7</v>
      </c>
      <c r="AF258" s="177">
        <f t="shared" si="93"/>
        <v>0.5841607020955033</v>
      </c>
      <c r="AG258" s="817">
        <f t="shared" si="99"/>
        <v>0</v>
      </c>
      <c r="AH258" s="176">
        <f t="shared" si="94"/>
        <v>6</v>
      </c>
      <c r="AI258" s="225">
        <f t="shared" si="95"/>
        <v>0.5841607020955033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45536</v>
      </c>
      <c r="B259" s="411">
        <f>'2023'!Wh/'2023'!Env_an*'2024'!Env_an</f>
        <v>26.274484169493171</v>
      </c>
      <c r="C259" s="846"/>
      <c r="D259" s="393">
        <f t="shared" si="77"/>
        <v>27.648351745984414</v>
      </c>
      <c r="E259" s="385">
        <f t="shared" si="100"/>
        <v>30.192491359850525</v>
      </c>
      <c r="F259" s="385">
        <f t="shared" si="78"/>
        <v>30.192571875439231</v>
      </c>
      <c r="G259" s="110">
        <f t="shared" si="101"/>
        <v>0.82754272862732015</v>
      </c>
      <c r="H259" s="414" t="b">
        <f>Wh_hp&gt;='2023'!Maxi_hp</f>
        <v>0</v>
      </c>
      <c r="I259" s="390">
        <f>IF(H259,Wh_hp,'2023'!Maxi_hp)</f>
        <v>34.771079559810111</v>
      </c>
      <c r="J259" s="85">
        <f>IF(H259,An,'2023'!An_max)</f>
        <v>2018</v>
      </c>
      <c r="K259" s="197">
        <f t="shared" si="79"/>
        <v>45536</v>
      </c>
      <c r="L259" s="147">
        <f>IF(t&lt;Tvie,1-EXP((T0-t)*PertePVj)+'2023'!Pspv,1-EXP((T0-t)*PertePVj)+Pspv)</f>
        <v>4.9690758751677833E-2</v>
      </c>
      <c r="M259" s="850"/>
      <c r="N259" s="850"/>
      <c r="O259" s="48">
        <f>IF(t&lt;Tnet,'2023'!Resal+('2023'!Salim-'2023'!Resal)*(1-EXP(('2023'!Tnet-t)/('2023'!Tau_j))),Resal+(Salim-Resal)*(1-EXP((Tnet-t)/(Tau_j))))*Salcycl</f>
        <v>8.4263984165588418E-2</v>
      </c>
      <c r="P259" s="169">
        <f>(INDEX(Models!$BJ259:$BT259,,T259)*(1-R259)+INDEX(Models!$BJ259:$BT259,,T259+1)*R259-ERP_i)*Q259*Ramure*Pc/MaxiM</f>
        <v>3.5385038190197478E-6</v>
      </c>
      <c r="Q259" s="305">
        <f t="shared" si="80"/>
        <v>0.7</v>
      </c>
      <c r="R259" s="177">
        <f t="shared" si="81"/>
        <v>0.58478531770970998</v>
      </c>
      <c r="S259" s="817">
        <f t="shared" si="82"/>
        <v>0</v>
      </c>
      <c r="T259" s="176">
        <f t="shared" si="83"/>
        <v>6</v>
      </c>
      <c r="U259" s="251">
        <f t="shared" si="84"/>
        <v>0.58478531770970998</v>
      </c>
      <c r="V259" s="383">
        <f t="shared" si="85"/>
        <v>31.749975385245762</v>
      </c>
      <c r="W259" s="402">
        <f t="shared" si="86"/>
        <v>26.274484169493171</v>
      </c>
      <c r="X259" s="157">
        <f t="shared" si="87"/>
        <v>45536</v>
      </c>
      <c r="Y259" s="385">
        <f t="shared" si="88"/>
        <v>24.972125149914323</v>
      </c>
      <c r="Z259" s="385">
        <f t="shared" si="89"/>
        <v>26.277893622407635</v>
      </c>
      <c r="AA259" s="386">
        <f t="shared" si="90"/>
        <v>30.192491359850525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0.12965467774045494</v>
      </c>
      <c r="AD259" s="231">
        <f>(INDEX(Models!$BJ259:$BT259,,AH259)*(1-AF259)+INDEX(Models!$BJ259:$BT259,,AH259+1)*AF259-ERP_i)*AE259*Ramure*Pc/MaxiM</f>
        <v>3.5385038190197478E-6</v>
      </c>
      <c r="AE259" s="305">
        <f t="shared" si="92"/>
        <v>0.7</v>
      </c>
      <c r="AF259" s="177">
        <f t="shared" si="93"/>
        <v>0.58478531770970998</v>
      </c>
      <c r="AG259" s="817">
        <f t="shared" si="99"/>
        <v>0</v>
      </c>
      <c r="AH259" s="176">
        <f t="shared" si="94"/>
        <v>6</v>
      </c>
      <c r="AI259" s="225">
        <f t="shared" si="95"/>
        <v>0.58478531770970998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45537</v>
      </c>
      <c r="B260" s="411">
        <f>'2023'!Wh/'2023'!Env_an*'2024'!Env_an</f>
        <v>25.52534954563307</v>
      </c>
      <c r="C260" s="846"/>
      <c r="D260" s="393">
        <f t="shared" si="77"/>
        <v>26.860633907981182</v>
      </c>
      <c r="E260" s="385">
        <f t="shared" si="100"/>
        <v>29.335026499647764</v>
      </c>
      <c r="F260" s="385">
        <f t="shared" si="78"/>
        <v>29.335114928979401</v>
      </c>
      <c r="G260" s="110">
        <f t="shared" si="101"/>
        <v>0.80766486866980469</v>
      </c>
      <c r="H260" s="414" t="b">
        <f>Wh_hp&gt;='2023'!Maxi_hp</f>
        <v>0</v>
      </c>
      <c r="I260" s="390">
        <f>IF(H260,Wh_hp,'2023'!Maxi_hp)</f>
        <v>37.558631129408738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4.9711572962965467E-2</v>
      </c>
      <c r="M260" s="850"/>
      <c r="N260" s="850"/>
      <c r="O260" s="48">
        <f>IF(t&lt;Tnet,'2023'!Resal+('2023'!Salim-'2023'!Resal)*(1-EXP(('2023'!Tnet-t)/('2023'!Tau_j))),Resal+(Salim-Resal)*(1-EXP((Tnet-t)/(Tau_j))))*Salcycl</f>
        <v>8.4349424115785068E-2</v>
      </c>
      <c r="P260" s="169">
        <f>(INDEX(Models!$BJ260:$BT260,,T260)*(1-R260)+INDEX(Models!$BJ260:$BT260,,T260+1)*R260-ERP_i)*Q260*Ramure*Pc/MaxiM</f>
        <v>4.1565086532062863E-6</v>
      </c>
      <c r="Q260" s="305">
        <f t="shared" si="80"/>
        <v>0.7</v>
      </c>
      <c r="R260" s="177">
        <f t="shared" si="81"/>
        <v>0.58538629978833545</v>
      </c>
      <c r="S260" s="817">
        <f t="shared" si="82"/>
        <v>0</v>
      </c>
      <c r="T260" s="176">
        <f t="shared" si="83"/>
        <v>6</v>
      </c>
      <c r="U260" s="251">
        <f t="shared" si="84"/>
        <v>0.58538629978833545</v>
      </c>
      <c r="V260" s="383">
        <f t="shared" si="85"/>
        <v>31.603851280816933</v>
      </c>
      <c r="W260" s="402">
        <f t="shared" si="86"/>
        <v>25.52534954563307</v>
      </c>
      <c r="X260" s="157">
        <f t="shared" si="87"/>
        <v>45537</v>
      </c>
      <c r="Y260" s="385">
        <f t="shared" si="88"/>
        <v>24.26188174468184</v>
      </c>
      <c r="Z260" s="385">
        <f t="shared" si="89"/>
        <v>25.531071466722501</v>
      </c>
      <c r="AA260" s="386">
        <f t="shared" si="90"/>
        <v>29.335026499647764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0.12967280029458766</v>
      </c>
      <c r="AD260" s="231">
        <f>(INDEX(Models!$BJ260:$BT260,,AH260)*(1-AF260)+INDEX(Models!$BJ260:$BT260,,AH260+1)*AF260-ERP_i)*AE260*Ramure*Pc/MaxiM</f>
        <v>4.1565086532062863E-6</v>
      </c>
      <c r="AE260" s="305">
        <f t="shared" si="92"/>
        <v>0.7</v>
      </c>
      <c r="AF260" s="177">
        <f t="shared" si="93"/>
        <v>0.58538629978833545</v>
      </c>
      <c r="AG260" s="817">
        <f t="shared" si="99"/>
        <v>0</v>
      </c>
      <c r="AH260" s="176">
        <f t="shared" si="94"/>
        <v>6</v>
      </c>
      <c r="AI260" s="225">
        <f t="shared" si="95"/>
        <v>0.58538629978833545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45538</v>
      </c>
      <c r="B261" s="411">
        <f>'2023'!Wh/'2023'!Env_an*'2024'!Env_an</f>
        <v>28.282111877023102</v>
      </c>
      <c r="C261" s="846"/>
      <c r="D261" s="393">
        <f t="shared" si="77"/>
        <v>29.762260106239264</v>
      </c>
      <c r="E261" s="385">
        <f t="shared" si="100"/>
        <v>32.506961692791968</v>
      </c>
      <c r="F261" s="385">
        <f t="shared" si="78"/>
        <v>32.507096644170304</v>
      </c>
      <c r="G261" s="110">
        <f t="shared" si="101"/>
        <v>0.89924845757491156</v>
      </c>
      <c r="H261" s="414" t="b">
        <f>Wh_hp&gt;='2023'!Maxi_hp</f>
        <v>0</v>
      </c>
      <c r="I261" s="390">
        <f>IF(H261,Wh_hp,'2023'!Maxi_hp)</f>
        <v>36.263260924320456</v>
      </c>
      <c r="J261" s="85">
        <f>IF(H261,An,'2023'!An_max)</f>
        <v>2019</v>
      </c>
      <c r="K261" s="197">
        <f t="shared" si="79"/>
        <v>45538</v>
      </c>
      <c r="L261" s="147">
        <f>IF(t&lt;Tvie,1-EXP((T0-t)*PertePVj)+'2023'!Pspv,1-EXP((T0-t)*PertePVj)+Pspv)</f>
        <v>4.9732386718368549E-2</v>
      </c>
      <c r="M261" s="850"/>
      <c r="N261" s="850"/>
      <c r="O261" s="48">
        <f>IF(t&lt;Tnet,'2023'!Resal+('2023'!Salim-'2023'!Resal)*(1-EXP(('2023'!Tnet-t)/('2023'!Tau_j))),Resal+(Salim-Resal)*(1-EXP((Tnet-t)/(Tau_j))))*Salcycl</f>
        <v>8.4434270187770485E-2</v>
      </c>
      <c r="P261" s="169">
        <f>(INDEX(Models!$BJ261:$BT261,,T261)*(1-R261)+INDEX(Models!$BJ261:$BT261,,T261+1)*R261-ERP_i)*Q261*Ramure*Pc/MaxiM</f>
        <v>4.849420035780737E-6</v>
      </c>
      <c r="Q261" s="305">
        <f t="shared" si="80"/>
        <v>0.7</v>
      </c>
      <c r="R261" s="177">
        <f t="shared" si="81"/>
        <v>0.58596448551409974</v>
      </c>
      <c r="S261" s="817">
        <f t="shared" si="82"/>
        <v>0</v>
      </c>
      <c r="T261" s="176">
        <f t="shared" si="83"/>
        <v>6</v>
      </c>
      <c r="U261" s="251">
        <f t="shared" si="84"/>
        <v>0.58596448551409974</v>
      </c>
      <c r="V261" s="383">
        <f t="shared" si="85"/>
        <v>31.450809727229906</v>
      </c>
      <c r="W261" s="402">
        <f t="shared" si="86"/>
        <v>28.282111877023102</v>
      </c>
      <c r="X261" s="157">
        <f t="shared" si="87"/>
        <v>45538</v>
      </c>
      <c r="Y261" s="385">
        <f t="shared" si="88"/>
        <v>26.884142313130141</v>
      </c>
      <c r="Z261" s="385">
        <f t="shared" si="89"/>
        <v>28.291127612240818</v>
      </c>
      <c r="AA261" s="386">
        <f t="shared" si="90"/>
        <v>32.506961692791968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0.12969019130095949</v>
      </c>
      <c r="AD261" s="231">
        <f>(INDEX(Models!$BJ261:$BT261,,AH261)*(1-AF261)+INDEX(Models!$BJ261:$BT261,,AH261+1)*AF261-ERP_i)*AE261*Ramure*Pc/MaxiM</f>
        <v>4.849420035780737E-6</v>
      </c>
      <c r="AE261" s="305">
        <f t="shared" si="92"/>
        <v>0.7</v>
      </c>
      <c r="AF261" s="177">
        <f t="shared" si="93"/>
        <v>0.58596448551409974</v>
      </c>
      <c r="AG261" s="817">
        <f t="shared" si="99"/>
        <v>0</v>
      </c>
      <c r="AH261" s="176">
        <f t="shared" si="94"/>
        <v>6</v>
      </c>
      <c r="AI261" s="225">
        <f t="shared" si="95"/>
        <v>0.58596448551409974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45539</v>
      </c>
      <c r="B262" s="411">
        <f>'2023'!Wh/'2023'!Env_an*'2024'!Env_an</f>
        <v>25.0703498440656</v>
      </c>
      <c r="C262" s="846"/>
      <c r="D262" s="393">
        <f t="shared" si="77"/>
        <v>26.382987919072999</v>
      </c>
      <c r="E262" s="385">
        <f t="shared" si="100"/>
        <v>28.818701451714951</v>
      </c>
      <c r="F262" s="385">
        <f t="shared" si="78"/>
        <v>28.818820045295197</v>
      </c>
      <c r="G262" s="110">
        <f t="shared" si="101"/>
        <v>0.80118786619956339</v>
      </c>
      <c r="H262" s="414" t="b">
        <f>Wh_hp&gt;='2023'!Maxi_hp</f>
        <v>0</v>
      </c>
      <c r="I262" s="390">
        <f>IF(H262,Wh_hp,'2023'!Maxi_hp)</f>
        <v>35.661957440699879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4.9753200017896959E-2</v>
      </c>
      <c r="M262" s="850"/>
      <c r="N262" s="850"/>
      <c r="O262" s="48">
        <f>IF(t&lt;Tnet,'2023'!Resal+('2023'!Salim-'2023'!Resal)*(1-EXP(('2023'!Tnet-t)/('2023'!Tau_j))),Resal+(Salim-Resal)*(1-EXP((Tnet-t)/(Tau_j))))*Salcycl</f>
        <v>8.4518503955597415E-2</v>
      </c>
      <c r="P262" s="169">
        <f>(INDEX(Models!$BJ262:$BT262,,T262)*(1-R262)+INDEX(Models!$BJ262:$BT262,,T262+1)*R262-ERP_i)*Q262*Ramure*Pc/MaxiM</f>
        <v>5.747531282375091E-6</v>
      </c>
      <c r="Q262" s="305">
        <f t="shared" si="80"/>
        <v>0.7</v>
      </c>
      <c r="R262" s="177">
        <f t="shared" si="81"/>
        <v>0.58652068680687153</v>
      </c>
      <c r="S262" s="817">
        <f t="shared" si="82"/>
        <v>0</v>
      </c>
      <c r="T262" s="176">
        <f t="shared" si="83"/>
        <v>6</v>
      </c>
      <c r="U262" s="251">
        <f t="shared" si="84"/>
        <v>0.58652068680687153</v>
      </c>
      <c r="V262" s="383">
        <f t="shared" si="85"/>
        <v>31.291423618639783</v>
      </c>
      <c r="W262" s="402">
        <f t="shared" si="86"/>
        <v>25.0703498440656</v>
      </c>
      <c r="X262" s="157">
        <f t="shared" si="87"/>
        <v>45539</v>
      </c>
      <c r="Y262" s="385">
        <f t="shared" si="88"/>
        <v>23.83287317530457</v>
      </c>
      <c r="Z262" s="385">
        <f t="shared" si="89"/>
        <v>25.080719215001238</v>
      </c>
      <c r="AA262" s="386">
        <f t="shared" si="90"/>
        <v>28.818701451714951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0.129706823986383</v>
      </c>
      <c r="AD262" s="231">
        <f>(INDEX(Models!$BJ262:$BT262,,AH262)*(1-AF262)+INDEX(Models!$BJ262:$BT262,,AH262+1)*AF262-ERP_i)*AE262*Ramure*Pc/MaxiM</f>
        <v>5.747531282375091E-6</v>
      </c>
      <c r="AE262" s="305">
        <f t="shared" si="92"/>
        <v>0.7</v>
      </c>
      <c r="AF262" s="177">
        <f t="shared" si="93"/>
        <v>0.58652068680687153</v>
      </c>
      <c r="AG262" s="817">
        <f t="shared" si="99"/>
        <v>0</v>
      </c>
      <c r="AH262" s="176">
        <f t="shared" si="94"/>
        <v>6</v>
      </c>
      <c r="AI262" s="225">
        <f t="shared" si="95"/>
        <v>0.58652068680687153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45540</v>
      </c>
      <c r="B263" s="411">
        <f>'2023'!Wh/'2023'!Env_an*'2024'!Env_an</f>
        <v>28.670017836218488</v>
      </c>
      <c r="C263" s="846"/>
      <c r="D263" s="393">
        <f t="shared" si="77"/>
        <v>30.171788842101542</v>
      </c>
      <c r="E263" s="385">
        <f t="shared" si="100"/>
        <v>32.96029961036043</v>
      </c>
      <c r="F263" s="385">
        <f t="shared" si="78"/>
        <v>32.960499978692582</v>
      </c>
      <c r="G263" s="110">
        <f t="shared" si="101"/>
        <v>0.92108724448010704</v>
      </c>
      <c r="H263" s="414" t="b">
        <f>Wh_hp&gt;='2023'!Maxi_hp</f>
        <v>0</v>
      </c>
      <c r="I263" s="390">
        <f>IF(H263,Wh_hp,'2023'!Maxi_hp)</f>
        <v>37.214641888290501</v>
      </c>
      <c r="J263" s="85">
        <f>IF(H263,An,'2023'!An_max)</f>
        <v>2019</v>
      </c>
      <c r="K263" s="197">
        <f t="shared" si="79"/>
        <v>45540</v>
      </c>
      <c r="L263" s="147">
        <f>IF(t&lt;Tvie,1-EXP((T0-t)*PertePVj)+'2023'!Pspv,1-EXP((T0-t)*PertePVj)+Pspv)</f>
        <v>4.977401286156069E-2</v>
      </c>
      <c r="M263" s="850"/>
      <c r="N263" s="850"/>
      <c r="O263" s="48">
        <f>IF(t&lt;Tnet,'2023'!Resal+('2023'!Salim-'2023'!Resal)*(1-EXP(('2023'!Tnet-t)/('2023'!Tau_j))),Resal+(Salim-Resal)*(1-EXP((Tnet-t)/(Tau_j))))*Salcycl</f>
        <v>8.4602106207261968E-2</v>
      </c>
      <c r="P263" s="169">
        <f>(INDEX(Models!$BJ263:$BT263,,T263)*(1-R263)+INDEX(Models!$BJ263:$BT263,,T263+1)*R263-ERP_i)*Q263*Ramure*Pc/MaxiM</f>
        <v>6.8514142208825978E-6</v>
      </c>
      <c r="Q263" s="305">
        <f t="shared" si="80"/>
        <v>0.7</v>
      </c>
      <c r="R263" s="177">
        <f t="shared" si="81"/>
        <v>0.58705569073850317</v>
      </c>
      <c r="S263" s="817">
        <f t="shared" si="82"/>
        <v>0</v>
      </c>
      <c r="T263" s="176">
        <f t="shared" si="83"/>
        <v>6</v>
      </c>
      <c r="U263" s="251">
        <f t="shared" si="84"/>
        <v>0.58705569073850317</v>
      </c>
      <c r="V263" s="383">
        <f t="shared" si="85"/>
        <v>31.12625417845231</v>
      </c>
      <c r="W263" s="402">
        <f t="shared" si="86"/>
        <v>28.670017836218488</v>
      </c>
      <c r="X263" s="157">
        <f t="shared" si="87"/>
        <v>45540</v>
      </c>
      <c r="Y263" s="385">
        <f t="shared" si="88"/>
        <v>27.256853800497584</v>
      </c>
      <c r="Z263" s="385">
        <f t="shared" si="89"/>
        <v>28.684601525770002</v>
      </c>
      <c r="AA263" s="386">
        <f t="shared" si="90"/>
        <v>32.96029961036043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0.12972267045917393</v>
      </c>
      <c r="AD263" s="231">
        <f>(INDEX(Models!$BJ263:$BT263,,AH263)*(1-AF263)+INDEX(Models!$BJ263:$BT263,,AH263+1)*AF263-ERP_i)*AE263*Ramure*Pc/MaxiM</f>
        <v>6.8514142208825978E-6</v>
      </c>
      <c r="AE263" s="305">
        <f t="shared" si="92"/>
        <v>0.7</v>
      </c>
      <c r="AF263" s="177">
        <f t="shared" si="93"/>
        <v>0.58705569073850317</v>
      </c>
      <c r="AG263" s="817">
        <f t="shared" si="99"/>
        <v>0</v>
      </c>
      <c r="AH263" s="176">
        <f t="shared" si="94"/>
        <v>6</v>
      </c>
      <c r="AI263" s="225">
        <f t="shared" si="95"/>
        <v>0.58705569073850317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45541</v>
      </c>
      <c r="B264" s="411">
        <f>'2023'!Wh/'2023'!Env_an*'2024'!Env_an</f>
        <v>21.77764069560212</v>
      </c>
      <c r="C264" s="846"/>
      <c r="D264" s="393">
        <f t="shared" si="77"/>
        <v>22.918882441697285</v>
      </c>
      <c r="E264" s="385">
        <f t="shared" si="100"/>
        <v>25.039340409129132</v>
      </c>
      <c r="F264" s="385">
        <f t="shared" si="78"/>
        <v>25.039458258708311</v>
      </c>
      <c r="G264" s="110">
        <f t="shared" si="101"/>
        <v>0.70350375608966587</v>
      </c>
      <c r="H264" s="414" t="b">
        <f>Wh_hp&gt;='2023'!Maxi_hp</f>
        <v>0</v>
      </c>
      <c r="I264" s="390">
        <f>IF(H264,Wh_hp,'2023'!Maxi_hp)</f>
        <v>35.695847850032024</v>
      </c>
      <c r="J264" s="85">
        <f>IF(H264,An,'2023'!An_max)</f>
        <v>2019</v>
      </c>
      <c r="K264" s="197">
        <f t="shared" si="79"/>
        <v>45541</v>
      </c>
      <c r="L264" s="147">
        <f>IF(t&lt;Tvie,1-EXP((T0-t)*PertePVj)+'2023'!Pspv,1-EXP((T0-t)*PertePVj)+Pspv)</f>
        <v>4.9794825249369734E-2</v>
      </c>
      <c r="M264" s="850"/>
      <c r="N264" s="850"/>
      <c r="O264" s="48">
        <f>IF(t&lt;Tnet,'2023'!Resal+('2023'!Salim-'2023'!Resal)*(1-EXP(('2023'!Tnet-t)/('2023'!Tau_j))),Resal+(Salim-Resal)*(1-EXP((Tnet-t)/(Tau_j))))*Salcycl</f>
        <v>8.4685056905841799E-2</v>
      </c>
      <c r="P264" s="169">
        <f>(INDEX(Models!$BJ264:$BT264,,T264)*(1-R264)+INDEX(Models!$BJ264:$BT264,,T264+1)*R264-ERP_i)*Q264*Ramure*Pc/MaxiM</f>
        <v>8.1649014503484053E-6</v>
      </c>
      <c r="Q264" s="305">
        <f t="shared" si="80"/>
        <v>0.7</v>
      </c>
      <c r="R264" s="177">
        <f t="shared" si="81"/>
        <v>0.58757025997154089</v>
      </c>
      <c r="S264" s="817">
        <f t="shared" si="82"/>
        <v>0</v>
      </c>
      <c r="T264" s="176">
        <f t="shared" si="83"/>
        <v>6</v>
      </c>
      <c r="U264" s="251">
        <f t="shared" si="84"/>
        <v>0.58757025997154089</v>
      </c>
      <c r="V264" s="383">
        <f t="shared" si="85"/>
        <v>30.95586227095902</v>
      </c>
      <c r="W264" s="402">
        <f t="shared" si="86"/>
        <v>21.77764069560212</v>
      </c>
      <c r="X264" s="157">
        <f t="shared" si="87"/>
        <v>45541</v>
      </c>
      <c r="Y264" s="385">
        <f t="shared" si="88"/>
        <v>20.705725157551289</v>
      </c>
      <c r="Z264" s="385">
        <f t="shared" si="89"/>
        <v>21.790793933515729</v>
      </c>
      <c r="AA264" s="386">
        <f t="shared" si="90"/>
        <v>25.039340409129132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0.12973770165403437</v>
      </c>
      <c r="AD264" s="231">
        <f>(INDEX(Models!$BJ264:$BT264,,AH264)*(1-AF264)+INDEX(Models!$BJ264:$BT264,,AH264+1)*AF264-ERP_i)*AE264*Ramure*Pc/MaxiM</f>
        <v>8.1649014503484053E-6</v>
      </c>
      <c r="AE264" s="305">
        <f t="shared" si="92"/>
        <v>0.7</v>
      </c>
      <c r="AF264" s="177">
        <f t="shared" si="93"/>
        <v>0.58757025997154089</v>
      </c>
      <c r="AG264" s="817">
        <f t="shared" si="99"/>
        <v>0</v>
      </c>
      <c r="AH264" s="176">
        <f t="shared" si="94"/>
        <v>6</v>
      </c>
      <c r="AI264" s="225">
        <f t="shared" si="95"/>
        <v>0.58757025997154089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45542</v>
      </c>
      <c r="B265" s="411">
        <f>'2023'!Wh/'2023'!Env_an*'2024'!Env_an</f>
        <v>24.092194795436232</v>
      </c>
      <c r="C265" s="846"/>
      <c r="D265" s="393">
        <f t="shared" si="77"/>
        <v>25.355284446029142</v>
      </c>
      <c r="E265" s="385">
        <f t="shared" si="100"/>
        <v>27.703648940803983</v>
      </c>
      <c r="F265" s="385">
        <f t="shared" si="78"/>
        <v>27.703834094802929</v>
      </c>
      <c r="G265" s="110">
        <f t="shared" si="101"/>
        <v>0.78269946373800969</v>
      </c>
      <c r="H265" s="414" t="b">
        <f>Wh_hp&gt;='2023'!Maxi_hp</f>
        <v>0</v>
      </c>
      <c r="I265" s="390">
        <f>IF(H265,Wh_hp,'2023'!Maxi_hp)</f>
        <v>32.004308101052679</v>
      </c>
      <c r="J265" s="85">
        <f>IF(H265,An,'2023'!An_max)</f>
        <v>2018</v>
      </c>
      <c r="K265" s="197">
        <f t="shared" si="79"/>
        <v>45542</v>
      </c>
      <c r="L265" s="147">
        <f>IF(t&lt;Tvie,1-EXP((T0-t)*PertePVj)+'2023'!Pspv,1-EXP((T0-t)*PertePVj)+Pspv)</f>
        <v>4.9815637181334083E-2</v>
      </c>
      <c r="M265" s="850"/>
      <c r="N265" s="850"/>
      <c r="O265" s="48">
        <f>IF(t&lt;Tnet,'2023'!Resal+('2023'!Salim-'2023'!Resal)*(1-EXP(('2023'!Tnet-t)/('2023'!Tau_j))),Resal+(Salim-Resal)*(1-EXP((Tnet-t)/(Tau_j))))*Salcycl</f>
        <v>8.476733515475629E-2</v>
      </c>
      <c r="P265" s="169">
        <f>(INDEX(Models!$BJ265:$BT265,,T265)*(1-R265)+INDEX(Models!$BJ265:$BT265,,T265+1)*R265-ERP_i)*Q265*Ramure*Pc/MaxiM</f>
        <v>9.6919758550364494E-6</v>
      </c>
      <c r="Q265" s="305">
        <f t="shared" si="80"/>
        <v>0.7</v>
      </c>
      <c r="R265" s="177">
        <f t="shared" si="81"/>
        <v>0.5880651332183866</v>
      </c>
      <c r="S265" s="817">
        <f t="shared" si="82"/>
        <v>0</v>
      </c>
      <c r="T265" s="176">
        <f t="shared" si="83"/>
        <v>6</v>
      </c>
      <c r="U265" s="251">
        <f t="shared" si="84"/>
        <v>0.5880651332183866</v>
      </c>
      <c r="V265" s="383">
        <f t="shared" si="85"/>
        <v>30.780808504872162</v>
      </c>
      <c r="W265" s="402">
        <f t="shared" si="86"/>
        <v>24.092194795436232</v>
      </c>
      <c r="X265" s="157">
        <f t="shared" si="87"/>
        <v>45542</v>
      </c>
      <c r="Y265" s="385">
        <f t="shared" si="88"/>
        <v>22.908040607872859</v>
      </c>
      <c r="Z265" s="385">
        <f t="shared" si="89"/>
        <v>24.109048206094979</v>
      </c>
      <c r="AA265" s="386">
        <f t="shared" si="90"/>
        <v>27.703648940803983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0.12975188728350548</v>
      </c>
      <c r="AD265" s="231">
        <f>(INDEX(Models!$BJ265:$BT265,,AH265)*(1-AF265)+INDEX(Models!$BJ265:$BT265,,AH265+1)*AF265-ERP_i)*AE265*Ramure*Pc/MaxiM</f>
        <v>9.6919758550364494E-6</v>
      </c>
      <c r="AE265" s="305">
        <f t="shared" si="92"/>
        <v>0.7</v>
      </c>
      <c r="AF265" s="177">
        <f t="shared" si="93"/>
        <v>0.5880651332183866</v>
      </c>
      <c r="AG265" s="817">
        <f t="shared" si="99"/>
        <v>0</v>
      </c>
      <c r="AH265" s="176">
        <f t="shared" si="94"/>
        <v>6</v>
      </c>
      <c r="AI265" s="225">
        <f t="shared" si="95"/>
        <v>0.5880651332183866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45543</v>
      </c>
      <c r="B266" s="411">
        <f>'2023'!Wh/'2023'!Env_an*'2024'!Env_an</f>
        <v>13.434332963652382</v>
      </c>
      <c r="C266" s="846"/>
      <c r="D266" s="393">
        <f t="shared" si="77"/>
        <v>14.13896896452227</v>
      </c>
      <c r="E266" s="385">
        <f t="shared" si="100"/>
        <v>15.44987408163926</v>
      </c>
      <c r="F266" s="385">
        <f t="shared" si="78"/>
        <v>15.449909170252306</v>
      </c>
      <c r="G266" s="110">
        <f t="shared" si="101"/>
        <v>0.43900274695273045</v>
      </c>
      <c r="H266" s="414" t="b">
        <f>Wh_hp&gt;='2023'!Maxi_hp</f>
        <v>0</v>
      </c>
      <c r="I266" s="390">
        <f>IF(H266,Wh_hp,'2023'!Maxi_hp)</f>
        <v>33.483412316512208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4.9836448657463728E-2</v>
      </c>
      <c r="M266" s="850"/>
      <c r="N266" s="850"/>
      <c r="O266" s="48">
        <f>IF(t&lt;Tnet,'2023'!Resal+('2023'!Salim-'2023'!Resal)*(1-EXP(('2023'!Tnet-t)/('2023'!Tau_j))),Resal+(Salim-Resal)*(1-EXP((Tnet-t)/(Tau_j))))*Salcycl</f>
        <v>8.4848919168530906E-2</v>
      </c>
      <c r="P266" s="169">
        <f>(INDEX(Models!$BJ266:$BT266,,T266)*(1-R266)+INDEX(Models!$BJ266:$BT266,,T266+1)*R266-ERP_i)*Q266*Ramure*Pc/MaxiM</f>
        <v>1.1436742874196464E-5</v>
      </c>
      <c r="Q266" s="305">
        <f t="shared" si="80"/>
        <v>0.7</v>
      </c>
      <c r="R266" s="177">
        <f t="shared" si="81"/>
        <v>0.58854102571774192</v>
      </c>
      <c r="S266" s="817">
        <f t="shared" si="82"/>
        <v>0</v>
      </c>
      <c r="T266" s="176">
        <f t="shared" si="83"/>
        <v>6</v>
      </c>
      <c r="U266" s="251">
        <f t="shared" si="84"/>
        <v>0.58854102571774192</v>
      </c>
      <c r="V266" s="383">
        <f t="shared" si="85"/>
        <v>30.601653230208779</v>
      </c>
      <c r="W266" s="402">
        <f t="shared" si="86"/>
        <v>13.434332963652382</v>
      </c>
      <c r="X266" s="157">
        <f t="shared" si="87"/>
        <v>45543</v>
      </c>
      <c r="Y266" s="385">
        <f t="shared" si="88"/>
        <v>12.774966189829215</v>
      </c>
      <c r="Z266" s="385">
        <f t="shared" si="89"/>
        <v>13.445018146379947</v>
      </c>
      <c r="AA266" s="386">
        <f t="shared" si="90"/>
        <v>15.44987408163926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0.12976519579806139</v>
      </c>
      <c r="AD266" s="231">
        <f>(INDEX(Models!$BJ266:$BT266,,AH266)*(1-AF266)+INDEX(Models!$BJ266:$BT266,,AH266+1)*AF266-ERP_i)*AE266*Ramure*Pc/MaxiM</f>
        <v>1.1436742874196464E-5</v>
      </c>
      <c r="AE266" s="305">
        <f t="shared" si="92"/>
        <v>0.7</v>
      </c>
      <c r="AF266" s="177">
        <f t="shared" si="93"/>
        <v>0.58854102571774192</v>
      </c>
      <c r="AG266" s="817">
        <f t="shared" si="99"/>
        <v>0</v>
      </c>
      <c r="AH266" s="176">
        <f t="shared" si="94"/>
        <v>6</v>
      </c>
      <c r="AI266" s="225">
        <f t="shared" si="95"/>
        <v>0.58854102571774192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45544</v>
      </c>
      <c r="B267" s="411">
        <f>'2023'!Wh/'2023'!Env_an*'2024'!Env_an</f>
        <v>28.797276309534187</v>
      </c>
      <c r="C267" s="846"/>
      <c r="D267" s="393">
        <f t="shared" si="77"/>
        <v>30.308368508680999</v>
      </c>
      <c r="E267" s="385">
        <f t="shared" si="100"/>
        <v>33.121358397723355</v>
      </c>
      <c r="F267" s="385">
        <f t="shared" si="78"/>
        <v>33.121768531565372</v>
      </c>
      <c r="G267" s="110">
        <f t="shared" si="101"/>
        <v>0.94668753247074122</v>
      </c>
      <c r="H267" s="414" t="b">
        <f>Wh_hp&gt;='2023'!Maxi_hp</f>
        <v>0</v>
      </c>
      <c r="I267" s="390">
        <f>IF(H267,Wh_hp,'2023'!Maxi_hp)</f>
        <v>33.121802280387051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4.9857259677768551E-2</v>
      </c>
      <c r="M267" s="850"/>
      <c r="N267" s="850"/>
      <c r="O267" s="48">
        <f>IF(t&lt;Tnet,'2023'!Resal+('2023'!Salim-'2023'!Resal)*(1-EXP(('2023'!Tnet-t)/('2023'!Tau_j))),Resal+(Salim-Resal)*(1-EXP((Tnet-t)/(Tau_j))))*Salcycl</f>
        <v>8.4929786250424716E-2</v>
      </c>
      <c r="P267" s="169">
        <f>(INDEX(Models!$BJ267:$BT267,,T267)*(1-R267)+INDEX(Models!$BJ267:$BT267,,T267+1)*R267-ERP_i)*Q267*Ramure*Pc/MaxiM</f>
        <v>1.3403400396297703E-5</v>
      </c>
      <c r="Q267" s="305">
        <f t="shared" si="80"/>
        <v>0.7</v>
      </c>
      <c r="R267" s="177">
        <f t="shared" si="81"/>
        <v>0.58899862972540673</v>
      </c>
      <c r="S267" s="817">
        <f t="shared" si="82"/>
        <v>0</v>
      </c>
      <c r="T267" s="176">
        <f t="shared" si="83"/>
        <v>6</v>
      </c>
      <c r="U267" s="251">
        <f t="shared" si="84"/>
        <v>0.58899862972540673</v>
      </c>
      <c r="V267" s="383">
        <f t="shared" si="85"/>
        <v>30.41895654624561</v>
      </c>
      <c r="W267" s="402">
        <f t="shared" si="86"/>
        <v>28.797276309534187</v>
      </c>
      <c r="X267" s="157">
        <f t="shared" si="87"/>
        <v>45544</v>
      </c>
      <c r="Y267" s="385">
        <f t="shared" si="88"/>
        <v>27.385914970794694</v>
      </c>
      <c r="Z267" s="385">
        <f t="shared" si="89"/>
        <v>28.822948183035145</v>
      </c>
      <c r="AA267" s="386">
        <f t="shared" si="90"/>
        <v>33.121358397723355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0.12977759435686873</v>
      </c>
      <c r="AD267" s="231">
        <f>(INDEX(Models!$BJ267:$BT267,,AH267)*(1-AF267)+INDEX(Models!$BJ267:$BT267,,AH267+1)*AF267-ERP_i)*AE267*Ramure*Pc/MaxiM</f>
        <v>1.3403400396297703E-5</v>
      </c>
      <c r="AE267" s="305">
        <f t="shared" si="92"/>
        <v>0.7</v>
      </c>
      <c r="AF267" s="177">
        <f t="shared" si="93"/>
        <v>0.58899862972540673</v>
      </c>
      <c r="AG267" s="817">
        <f t="shared" si="99"/>
        <v>0</v>
      </c>
      <c r="AH267" s="176">
        <f t="shared" si="94"/>
        <v>6</v>
      </c>
      <c r="AI267" s="225">
        <f t="shared" si="95"/>
        <v>0.58899862972540673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45545</v>
      </c>
      <c r="B268" s="411">
        <f>'2023'!Wh/'2023'!Env_an*'2024'!Env_an</f>
        <v>28.690297229101521</v>
      </c>
      <c r="C268" s="846"/>
      <c r="D268" s="393">
        <f t="shared" si="77"/>
        <v>30.196437247182441</v>
      </c>
      <c r="E268" s="385">
        <f t="shared" si="100"/>
        <v>33.001928292873345</v>
      </c>
      <c r="F268" s="385">
        <f t="shared" si="78"/>
        <v>33.002969675028311</v>
      </c>
      <c r="G268" s="110">
        <f t="shared" si="101"/>
        <v>0.94897929342941056</v>
      </c>
      <c r="H268" s="414" t="b">
        <f>Wh_hp&gt;='2023'!Maxi_hp</f>
        <v>0</v>
      </c>
      <c r="I268" s="390">
        <f>IF(H268,Wh_hp,'2023'!Maxi_hp)</f>
        <v>33.003036179252092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4.9878070242258654E-2</v>
      </c>
      <c r="M268" s="850"/>
      <c r="N268" s="850"/>
      <c r="O268" s="48">
        <f>IF(t&lt;Tnet,'2023'!Resal+('2023'!Salim-'2023'!Resal)*(1-EXP(('2023'!Tnet-t)/('2023'!Tau_j))),Resal+(Salim-Resal)*(1-EXP((Tnet-t)/(Tau_j))))*Salcycl</f>
        <v>8.5009912778240354E-2</v>
      </c>
      <c r="P268" s="169">
        <f>(INDEX(Models!$BJ268:$BT268,,T268)*(1-R268)+INDEX(Models!$BJ268:$BT268,,T268+1)*R268-ERP_i)*Q268*Ramure*Pc/MaxiM</f>
        <v>3.4034763366652259E-5</v>
      </c>
      <c r="Q268" s="305">
        <f t="shared" si="80"/>
        <v>0.7</v>
      </c>
      <c r="R268" s="177">
        <f t="shared" si="81"/>
        <v>0.58943861501674344</v>
      </c>
      <c r="S268" s="817">
        <f t="shared" si="82"/>
        <v>0</v>
      </c>
      <c r="T268" s="176">
        <f t="shared" si="83"/>
        <v>6</v>
      </c>
      <c r="U268" s="251">
        <f t="shared" si="84"/>
        <v>0.58943861501674344</v>
      </c>
      <c r="V268" s="383">
        <f t="shared" si="85"/>
        <v>30.232720837294607</v>
      </c>
      <c r="W268" s="402">
        <f t="shared" si="86"/>
        <v>28.690297229101521</v>
      </c>
      <c r="X268" s="157">
        <f t="shared" si="87"/>
        <v>45545</v>
      </c>
      <c r="Y268" s="385">
        <f t="shared" si="88"/>
        <v>27.286209097012868</v>
      </c>
      <c r="Z268" s="385">
        <f t="shared" si="89"/>
        <v>28.718639410807207</v>
      </c>
      <c r="AA268" s="386">
        <f t="shared" si="90"/>
        <v>33.001928292873345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0.12978904881115996</v>
      </c>
      <c r="AD268" s="231">
        <f>(INDEX(Models!$BJ268:$BT268,,AH268)*(1-AF268)+INDEX(Models!$BJ268:$BT268,,AH268+1)*AF268-ERP_i)*AE268*Ramure*Pc/MaxiM</f>
        <v>3.4034763366652259E-5</v>
      </c>
      <c r="AE268" s="305">
        <f t="shared" si="92"/>
        <v>0.7</v>
      </c>
      <c r="AF268" s="177">
        <f t="shared" si="93"/>
        <v>0.58943861501674344</v>
      </c>
      <c r="AG268" s="817">
        <f t="shared" si="99"/>
        <v>0</v>
      </c>
      <c r="AH268" s="176">
        <f t="shared" si="94"/>
        <v>6</v>
      </c>
      <c r="AI268" s="225">
        <f t="shared" si="95"/>
        <v>0.58943861501674344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45546</v>
      </c>
      <c r="B269" s="411">
        <f>'2023'!Wh/'2023'!Env_an*'2024'!Env_an</f>
        <v>20.143291099531318</v>
      </c>
      <c r="C269" s="846"/>
      <c r="D269" s="393">
        <f t="shared" si="77"/>
        <v>21.201207621954762</v>
      </c>
      <c r="E269" s="385">
        <f t="shared" si="100"/>
        <v>23.17297964061639</v>
      </c>
      <c r="F269" s="385">
        <f t="shared" si="78"/>
        <v>23.173882338465194</v>
      </c>
      <c r="G269" s="110">
        <f t="shared" si="101"/>
        <v>0.67044744154901803</v>
      </c>
      <c r="H269" s="414" t="b">
        <f>Wh_hp&gt;='2023'!Maxi_hp</f>
        <v>0</v>
      </c>
      <c r="I269" s="390">
        <f>IF(H269,Wh_hp,'2023'!Maxi_hp)</f>
        <v>34.361918081315721</v>
      </c>
      <c r="J269" s="85">
        <f>IF(H269,An,'2023'!An_max)</f>
        <v>2019</v>
      </c>
      <c r="K269" s="197">
        <f t="shared" si="79"/>
        <v>45546</v>
      </c>
      <c r="L269" s="147">
        <f>IF(t&lt;Tvie,1-EXP((T0-t)*PertePVj)+'2023'!Pspv,1-EXP((T0-t)*PertePVj)+Pspv)</f>
        <v>4.989888035094403E-2</v>
      </c>
      <c r="M269" s="850"/>
      <c r="N269" s="850"/>
      <c r="O269" s="48">
        <f>IF(t&lt;Tnet,'2023'!Resal+('2023'!Salim-'2023'!Resal)*(1-EXP(('2023'!Tnet-t)/('2023'!Tau_j))),Resal+(Salim-Resal)*(1-EXP((Tnet-t)/(Tau_j))))*Salcycl</f>
        <v>8.5089274199577208E-2</v>
      </c>
      <c r="P269" s="169">
        <f>(INDEX(Models!$BJ269:$BT269,,T269)*(1-R269)+INDEX(Models!$BJ269:$BT269,,T269+1)*R269-ERP_i)*Q269*Ramure*Pc/MaxiM</f>
        <v>7.3601694900136892E-5</v>
      </c>
      <c r="Q269" s="305">
        <f t="shared" si="80"/>
        <v>0.7</v>
      </c>
      <c r="R269" s="177">
        <f t="shared" si="81"/>
        <v>0.58986162939833042</v>
      </c>
      <c r="S269" s="817">
        <f t="shared" si="82"/>
        <v>0</v>
      </c>
      <c r="T269" s="176">
        <f t="shared" si="83"/>
        <v>6</v>
      </c>
      <c r="U269" s="251">
        <f t="shared" si="84"/>
        <v>0.58986162939833042</v>
      </c>
      <c r="V269" s="383">
        <f t="shared" si="85"/>
        <v>30.043508096524842</v>
      </c>
      <c r="W269" s="402">
        <f t="shared" si="86"/>
        <v>20.143291099531318</v>
      </c>
      <c r="X269" s="157">
        <f t="shared" si="87"/>
        <v>45546</v>
      </c>
      <c r="Y269" s="385">
        <f t="shared" si="88"/>
        <v>19.158920116151009</v>
      </c>
      <c r="Z269" s="385">
        <f t="shared" si="89"/>
        <v>20.165137920506655</v>
      </c>
      <c r="AA269" s="386">
        <f t="shared" si="90"/>
        <v>23.17297964061639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0.12979952370206838</v>
      </c>
      <c r="AD269" s="231">
        <f>(INDEX(Models!$BJ269:$BT269,,AH269)*(1-AF269)+INDEX(Models!$BJ269:$BT269,,AH269+1)*AF269-ERP_i)*AE269*Ramure*Pc/MaxiM</f>
        <v>7.3601694900136892E-5</v>
      </c>
      <c r="AE269" s="305">
        <f t="shared" si="92"/>
        <v>0.7</v>
      </c>
      <c r="AF269" s="177">
        <f t="shared" si="93"/>
        <v>0.58986162939833042</v>
      </c>
      <c r="AG269" s="817">
        <f t="shared" si="99"/>
        <v>0</v>
      </c>
      <c r="AH269" s="176">
        <f t="shared" si="94"/>
        <v>6</v>
      </c>
      <c r="AI269" s="225">
        <f t="shared" si="95"/>
        <v>0.58986162939833042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45547</v>
      </c>
      <c r="B270" s="411">
        <f>'2023'!Wh/'2023'!Env_an*'2024'!Env_an</f>
        <v>7.5777468231844738</v>
      </c>
      <c r="C270" s="846"/>
      <c r="D270" s="393">
        <f t="shared" si="77"/>
        <v>7.9759013458715486</v>
      </c>
      <c r="E270" s="385">
        <f t="shared" si="100"/>
        <v>8.7184313566244906</v>
      </c>
      <c r="F270" s="385">
        <f t="shared" si="78"/>
        <v>8.7184313566244906</v>
      </c>
      <c r="G270" s="110">
        <f t="shared" si="101"/>
        <v>0.25381127071918402</v>
      </c>
      <c r="H270" s="414" t="b">
        <f>Wh_hp&gt;='2023'!Maxi_hp</f>
        <v>0</v>
      </c>
      <c r="I270" s="390">
        <f>IF(H270,Wh_hp,'2023'!Maxi_hp)</f>
        <v>32.643598753916862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4.991969000383456E-2</v>
      </c>
      <c r="M270" s="850"/>
      <c r="N270" s="850"/>
      <c r="O270" s="48">
        <f>IF(t&lt;Tnet,'2023'!Resal+('2023'!Salim-'2023'!Resal)*(1-EXP(('2023'!Tnet-t)/('2023'!Tau_j))),Resal+(Salim-Resal)*(1-EXP((Tnet-t)/(Tau_j))))*Salcycl</f>
        <v>8.5167845037714143E-2</v>
      </c>
      <c r="P270" s="169">
        <f>(INDEX(Models!$BJ270:$BT270,,T270)*(1-R270)+INDEX(Models!$BJ270:$BT270,,T270+1)*R270-ERP_i)*Q270*Ramure*Pc/MaxiM</f>
        <v>1.3245275012845945E-4</v>
      </c>
      <c r="Q270" s="305">
        <f t="shared" si="80"/>
        <v>0.7</v>
      </c>
      <c r="R270" s="177">
        <f t="shared" si="81"/>
        <v>0.59026829922654045</v>
      </c>
      <c r="S270" s="817">
        <f t="shared" si="82"/>
        <v>0</v>
      </c>
      <c r="T270" s="176">
        <f t="shared" si="83"/>
        <v>6</v>
      </c>
      <c r="U270" s="251">
        <f t="shared" si="84"/>
        <v>0.59026829922654045</v>
      </c>
      <c r="V270" s="383">
        <f t="shared" si="85"/>
        <v>29.851878162498352</v>
      </c>
      <c r="W270" s="402">
        <f t="shared" si="86"/>
        <v>7.5777468231844738</v>
      </c>
      <c r="X270" s="157">
        <f t="shared" si="87"/>
        <v>45547</v>
      </c>
      <c r="Y270" s="385">
        <f t="shared" si="88"/>
        <v>7.2079749103307416</v>
      </c>
      <c r="Z270" s="385">
        <f t="shared" si="89"/>
        <v>7.5867006551897003</v>
      </c>
      <c r="AA270" s="386">
        <f t="shared" si="90"/>
        <v>8.7184313566244906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0.12980898227464643</v>
      </c>
      <c r="AD270" s="231">
        <f>(INDEX(Models!$BJ270:$BT270,,AH270)*(1-AF270)+INDEX(Models!$BJ270:$BT270,,AH270+1)*AF270-ERP_i)*AE270*Ramure*Pc/MaxiM</f>
        <v>1.3245275012845945E-4</v>
      </c>
      <c r="AE270" s="305">
        <f t="shared" si="92"/>
        <v>0.7</v>
      </c>
      <c r="AF270" s="177">
        <f t="shared" si="93"/>
        <v>0.59026829922654045</v>
      </c>
      <c r="AG270" s="817">
        <f t="shared" si="99"/>
        <v>0</v>
      </c>
      <c r="AH270" s="176">
        <f t="shared" si="94"/>
        <v>6</v>
      </c>
      <c r="AI270" s="225">
        <f t="shared" si="95"/>
        <v>0.59026829922654045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45548</v>
      </c>
      <c r="B271" s="411">
        <f>'2023'!Wh/'2023'!Env_an*'2024'!Env_an</f>
        <v>22.480413047869543</v>
      </c>
      <c r="C271" s="846"/>
      <c r="D271" s="393">
        <f t="shared" ref="D271:D334" si="102">Wh/(1-Ppv)</f>
        <v>23.66211066671309</v>
      </c>
      <c r="E271" s="385">
        <f t="shared" si="100"/>
        <v>25.867173351117643</v>
      </c>
      <c r="F271" s="385">
        <f t="shared" ref="F271:F334" si="103">Wh_sa/(1-Pvg*MEDIAN((-Sdif+Wh/Env_an)/Csdif,0,1))</f>
        <v>25.870743810090939</v>
      </c>
      <c r="G271" s="110">
        <f t="shared" si="101"/>
        <v>0.75792289059499485</v>
      </c>
      <c r="H271" s="414" t="b">
        <f>Wh_hp&gt;='2023'!Maxi_hp</f>
        <v>0</v>
      </c>
      <c r="I271" s="390">
        <f>IF(H271,Wh_hp,'2023'!Maxi_hp)</f>
        <v>31.813436700328825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4.9940499200940347E-2</v>
      </c>
      <c r="M271" s="850"/>
      <c r="N271" s="850"/>
      <c r="O271" s="48">
        <f>IF(t&lt;Tnet,'2023'!Resal+('2023'!Salim-'2023'!Resal)*(1-EXP(('2023'!Tnet-t)/('2023'!Tau_j))),Resal+(Salim-Resal)*(1-EXP((Tnet-t)/(Tau_j))))*Salcycl</f>
        <v>8.5245598909216652E-2</v>
      </c>
      <c r="P271" s="169">
        <f>(INDEX(Models!$BJ271:$BT271,,T271)*(1-R271)+INDEX(Models!$BJ271:$BT271,,T271+1)*R271-ERP_i)*Q271*Ramure*Pc/MaxiM</f>
        <v>2.1094458674691168E-4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0.59065922993097608</v>
      </c>
      <c r="S271" s="817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0.59065922993097608</v>
      </c>
      <c r="V271" s="383">
        <f t="shared" ref="V271:V334" si="110">MaxiM*(1-Ppv)*(1-Pvg)*(1-Psa)</f>
        <v>29.658390759206597</v>
      </c>
      <c r="W271" s="402">
        <f t="shared" ref="W271:W334" si="111">Wh*(A271&gt;Tmaj)</f>
        <v>22.480413047869543</v>
      </c>
      <c r="X271" s="157">
        <f t="shared" ref="X271:X334" si="112">t</f>
        <v>45548</v>
      </c>
      <c r="Y271" s="385">
        <f t="shared" ref="Y271:Y334" si="113">Wh_pvt_s*(1-Ppv)</f>
        <v>21.385045598044123</v>
      </c>
      <c r="Z271" s="385">
        <f t="shared" ref="Z271:Z334" si="114">Wh_sa_s*(1-Psa_s)</f>
        <v>22.509164510283785</v>
      </c>
      <c r="AA271" s="386">
        <f t="shared" ref="AA271:AA334" si="115">Wh_hp*(1-Pvg_s*MEDIAN((-Sdif+Wh/Env_an)/Csdif,0,1))</f>
        <v>25.867173351117643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0.12981738650963842</v>
      </c>
      <c r="AD271" s="231">
        <f>(INDEX(Models!$BJ271:$BT271,,AH271)*(1-AF271)+INDEX(Models!$BJ271:$BT271,,AH271+1)*AF271-ERP_i)*AE271*Ramure*Pc/MaxiM</f>
        <v>2.1094458674691168E-4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0.59065922993097608</v>
      </c>
      <c r="AG271" s="817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0.59065922993097608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45549</v>
      </c>
      <c r="B272" s="411">
        <f>'2023'!Wh/'2023'!Env_an*'2024'!Env_an</f>
        <v>27.270996762569254</v>
      </c>
      <c r="C272" s="846"/>
      <c r="D272" s="393">
        <f t="shared" si="102"/>
        <v>28.705143264746255</v>
      </c>
      <c r="E272" s="385">
        <f t="shared" si="100"/>
        <v>31.382802718119535</v>
      </c>
      <c r="F272" s="385">
        <f t="shared" si="103"/>
        <v>31.391483780740963</v>
      </c>
      <c r="G272" s="110">
        <f t="shared" si="101"/>
        <v>0.92555201333069603</v>
      </c>
      <c r="H272" s="414" t="b">
        <f>Wh_hp&gt;='2023'!Maxi_hp</f>
        <v>0</v>
      </c>
      <c r="I272" s="390">
        <f>IF(H272,Wh_hp,'2023'!Maxi_hp)</f>
        <v>32.156591580426863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4.9961307942271271E-2</v>
      </c>
      <c r="M272" s="850"/>
      <c r="N272" s="850"/>
      <c r="O272" s="48">
        <f>IF(t&lt;Tnet,'2023'!Resal+('2023'!Salim-'2023'!Resal)*(1-EXP(('2023'!Tnet-t)/('2023'!Tau_j))),Resal+(Salim-Resal)*(1-EXP((Tnet-t)/(Tau_j))))*Salcycl</f>
        <v>8.5322508554255883E-2</v>
      </c>
      <c r="P272" s="169">
        <f>(INDEX(Models!$BJ272:$BT272,,T272)*(1-R272)+INDEX(Models!$BJ272:$BT272,,T272+1)*R272-ERP_i)*Q272*Ramure*Pc/MaxiM</f>
        <v>3.0943861914565265E-4</v>
      </c>
      <c r="Q272" s="305">
        <f t="shared" si="105"/>
        <v>0.7</v>
      </c>
      <c r="R272" s="177">
        <f t="shared" si="106"/>
        <v>0.59103500654087415</v>
      </c>
      <c r="S272" s="817">
        <f t="shared" si="107"/>
        <v>0</v>
      </c>
      <c r="T272" s="176">
        <f t="shared" si="108"/>
        <v>6</v>
      </c>
      <c r="U272" s="251">
        <f t="shared" si="109"/>
        <v>0.59103500654087415</v>
      </c>
      <c r="V272" s="383">
        <f t="shared" si="110"/>
        <v>29.463605499312596</v>
      </c>
      <c r="W272" s="402">
        <f t="shared" si="111"/>
        <v>27.270996762569254</v>
      </c>
      <c r="X272" s="157">
        <f t="shared" si="112"/>
        <v>45549</v>
      </c>
      <c r="Y272" s="385">
        <f t="shared" si="113"/>
        <v>25.944169489418471</v>
      </c>
      <c r="Z272" s="385">
        <f t="shared" si="114"/>
        <v>27.308539858755545</v>
      </c>
      <c r="AA272" s="386">
        <f t="shared" si="115"/>
        <v>31.382802718119535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0.12982469717440598</v>
      </c>
      <c r="AD272" s="231">
        <f>(INDEX(Models!$BJ272:$BT272,,AH272)*(1-AF272)+INDEX(Models!$BJ272:$BT272,,AH272+1)*AF272-ERP_i)*AE272*Ramure*Pc/MaxiM</f>
        <v>3.0943861914565265E-4</v>
      </c>
      <c r="AE272" s="305">
        <f t="shared" si="117"/>
        <v>0.7</v>
      </c>
      <c r="AF272" s="177">
        <f t="shared" si="118"/>
        <v>0.59103500654087415</v>
      </c>
      <c r="AG272" s="817">
        <f t="shared" ref="AG272:AG335" si="124">INDEX(Echel_vg,AH272)</f>
        <v>0</v>
      </c>
      <c r="AH272" s="176">
        <f t="shared" si="119"/>
        <v>6</v>
      </c>
      <c r="AI272" s="225">
        <f t="shared" si="120"/>
        <v>0.59103500654087415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45550</v>
      </c>
      <c r="B273" s="411">
        <f>'2023'!Wh/'2023'!Env_an*'2024'!Env_an</f>
        <v>20.401078525769289</v>
      </c>
      <c r="C273" s="846"/>
      <c r="D273" s="393">
        <f t="shared" si="102"/>
        <v>21.474415244441825</v>
      </c>
      <c r="E273" s="385">
        <f t="shared" si="100"/>
        <v>23.479533241192666</v>
      </c>
      <c r="F273" s="385">
        <f t="shared" si="103"/>
        <v>23.485238543681959</v>
      </c>
      <c r="G273" s="110">
        <f t="shared" si="101"/>
        <v>0.69691263049061203</v>
      </c>
      <c r="H273" s="414" t="b">
        <f>Wh_hp&gt;='2023'!Maxi_hp</f>
        <v>0</v>
      </c>
      <c r="I273" s="390">
        <f>IF(H273,Wh_hp,'2023'!Maxi_hp)</f>
        <v>31.548663581663206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4.9982116227837436E-2</v>
      </c>
      <c r="M273" s="850"/>
      <c r="N273" s="850"/>
      <c r="O273" s="48">
        <f>IF(t&lt;Tnet,'2023'!Resal+('2023'!Salim-'2023'!Resal)*(1-EXP(('2023'!Tnet-t)/('2023'!Tau_j))),Resal+(Salim-Resal)*(1-EXP((Tnet-t)/(Tau_j))))*Salcycl</f>
        <v>8.5398545880505286E-2</v>
      </c>
      <c r="P273" s="169">
        <f>(INDEX(Models!$BJ273:$BT273,,T273)*(1-R273)+INDEX(Models!$BJ273:$BT273,,T273+1)*R273-ERP_i)*Q273*Ramure*Pc/MaxiM</f>
        <v>4.2829739421261937E-4</v>
      </c>
      <c r="Q273" s="305">
        <f t="shared" si="105"/>
        <v>0.7</v>
      </c>
      <c r="R273" s="177">
        <f t="shared" si="106"/>
        <v>0.59139619421276979</v>
      </c>
      <c r="S273" s="817">
        <f t="shared" si="107"/>
        <v>0</v>
      </c>
      <c r="T273" s="176">
        <f t="shared" si="108"/>
        <v>6</v>
      </c>
      <c r="U273" s="251">
        <f t="shared" si="109"/>
        <v>0.59139619421276979</v>
      </c>
      <c r="V273" s="383">
        <f t="shared" si="110"/>
        <v>29.268081892600765</v>
      </c>
      <c r="W273" s="402">
        <f t="shared" si="111"/>
        <v>20.401078525769289</v>
      </c>
      <c r="X273" s="157">
        <f t="shared" si="112"/>
        <v>45550</v>
      </c>
      <c r="Y273" s="385">
        <f t="shared" si="113"/>
        <v>19.409972062065908</v>
      </c>
      <c r="Z273" s="385">
        <f t="shared" si="114"/>
        <v>20.431164921860454</v>
      </c>
      <c r="AA273" s="386">
        <f t="shared" si="115"/>
        <v>23.479533241192666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0.12983087389421072</v>
      </c>
      <c r="AD273" s="231">
        <f>(INDEX(Models!$BJ273:$BT273,,AH273)*(1-AF273)+INDEX(Models!$BJ273:$BT273,,AH273+1)*AF273-ERP_i)*AE273*Ramure*Pc/MaxiM</f>
        <v>4.2829739421261937E-4</v>
      </c>
      <c r="AE273" s="305">
        <f t="shared" si="117"/>
        <v>0.7</v>
      </c>
      <c r="AF273" s="177">
        <f t="shared" si="118"/>
        <v>0.59139619421276979</v>
      </c>
      <c r="AG273" s="817">
        <f t="shared" si="124"/>
        <v>0</v>
      </c>
      <c r="AH273" s="176">
        <f t="shared" si="119"/>
        <v>6</v>
      </c>
      <c r="AI273" s="225">
        <f t="shared" si="120"/>
        <v>0.59139619421276979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45551</v>
      </c>
      <c r="B274" s="411">
        <f>'2023'!Wh/'2023'!Env_an*'2024'!Env_an</f>
        <v>28.770328355964956</v>
      </c>
      <c r="C274" s="846"/>
      <c r="D274" s="393">
        <f t="shared" si="102"/>
        <v>30.284649378974326</v>
      </c>
      <c r="E274" s="385">
        <f t="shared" si="100"/>
        <v>33.115120673521361</v>
      </c>
      <c r="F274" s="385">
        <f t="shared" si="103"/>
        <v>33.13365736469769</v>
      </c>
      <c r="G274" s="110">
        <f t="shared" si="101"/>
        <v>0.98960203348388187</v>
      </c>
      <c r="H274" s="414" t="b">
        <f>Wh_hp&gt;='2023'!Maxi_hp</f>
        <v>0</v>
      </c>
      <c r="I274" s="390">
        <f>IF(H274,Wh_hp,'2023'!Maxi_hp)</f>
        <v>33.133845987379907</v>
      </c>
      <c r="J274" s="85">
        <f>IF(H274,An,'2023'!An_max)</f>
        <v>2022</v>
      </c>
      <c r="K274" s="197">
        <f t="shared" si="104"/>
        <v>45551</v>
      </c>
      <c r="L274" s="147">
        <f>IF(t&lt;Tvie,1-EXP((T0-t)*PertePVj)+'2023'!Pspv,1-EXP((T0-t)*PertePVj)+Pspv)</f>
        <v>5.0002924057648612E-2</v>
      </c>
      <c r="M274" s="850"/>
      <c r="N274" s="850"/>
      <c r="O274" s="48">
        <f>IF(t&lt;Tnet,'2023'!Resal+('2023'!Salim-'2023'!Resal)*(1-EXP(('2023'!Tnet-t)/('2023'!Tau_j))),Resal+(Salim-Resal)*(1-EXP((Tnet-t)/(Tau_j))))*Salcycl</f>
        <v>8.5473682021345004E-2</v>
      </c>
      <c r="P274" s="169">
        <f>(INDEX(Models!$BJ274:$BT274,,T274)*(1-R274)+INDEX(Models!$BJ274:$BT274,,T274+1)*R274-ERP_i)*Q274*Ramure*Pc/MaxiM</f>
        <v>5.6788067298020909E-4</v>
      </c>
      <c r="Q274" s="305">
        <f t="shared" si="105"/>
        <v>0.7</v>
      </c>
      <c r="R274" s="177">
        <f t="shared" si="106"/>
        <v>0.59174333875786811</v>
      </c>
      <c r="S274" s="817">
        <f t="shared" si="107"/>
        <v>0</v>
      </c>
      <c r="T274" s="176">
        <f t="shared" si="108"/>
        <v>6</v>
      </c>
      <c r="U274" s="251">
        <f t="shared" si="109"/>
        <v>0.59174333875786811</v>
      </c>
      <c r="V274" s="383">
        <f t="shared" si="110"/>
        <v>29.072379351836812</v>
      </c>
      <c r="W274" s="402">
        <f t="shared" si="111"/>
        <v>28.770328355964956</v>
      </c>
      <c r="X274" s="157">
        <f t="shared" si="112"/>
        <v>45551</v>
      </c>
      <c r="Y274" s="385">
        <f t="shared" si="113"/>
        <v>27.374726238737917</v>
      </c>
      <c r="Z274" s="385">
        <f t="shared" si="114"/>
        <v>28.815589997036049</v>
      </c>
      <c r="AA274" s="386">
        <f t="shared" si="115"/>
        <v>33.115120673521361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0.12983587524484505</v>
      </c>
      <c r="AD274" s="231">
        <f>(INDEX(Models!$BJ274:$BT274,,AH274)*(1-AF274)+INDEX(Models!$BJ274:$BT274,,AH274+1)*AF274-ERP_i)*AE274*Ramure*Pc/MaxiM</f>
        <v>5.6788067298020909E-4</v>
      </c>
      <c r="AE274" s="305">
        <f t="shared" si="117"/>
        <v>0.7</v>
      </c>
      <c r="AF274" s="177">
        <f t="shared" si="118"/>
        <v>0.59174333875786811</v>
      </c>
      <c r="AG274" s="817">
        <f t="shared" si="124"/>
        <v>0</v>
      </c>
      <c r="AH274" s="176">
        <f t="shared" si="119"/>
        <v>6</v>
      </c>
      <c r="AI274" s="225">
        <f t="shared" si="120"/>
        <v>0.59174333875786811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45552</v>
      </c>
      <c r="B275" s="411">
        <f>'2023'!Wh/'2023'!Env_an*'2024'!Env_an</f>
        <v>28.881429148360212</v>
      </c>
      <c r="C275" s="846"/>
      <c r="D275" s="393">
        <f t="shared" si="102"/>
        <v>30.402263829061319</v>
      </c>
      <c r="E275" s="385">
        <f t="shared" si="100"/>
        <v>33.246425275259504</v>
      </c>
      <c r="F275" s="385">
        <f t="shared" si="103"/>
        <v>33.27066515769004</v>
      </c>
      <c r="G275" s="110">
        <f t="shared" si="101"/>
        <v>1.0001857505520064</v>
      </c>
      <c r="H275" s="414" t="b">
        <f>Wh_hp&gt;='2023'!Maxi_hp</f>
        <v>0</v>
      </c>
      <c r="I275" s="390">
        <f>IF(H275,Wh_hp,'2023'!Maxi_hp)</f>
        <v>33.270665157690054</v>
      </c>
      <c r="J275" s="85">
        <f>IF(H275,An,'2023'!An_max)</f>
        <v>2023</v>
      </c>
      <c r="K275" s="197">
        <f t="shared" si="104"/>
        <v>45552</v>
      </c>
      <c r="L275" s="147">
        <f>IF(t&lt;Tvie,1-EXP((T0-t)*PertePVj)+'2023'!Pspv,1-EXP((T0-t)*PertePVj)+Pspv)</f>
        <v>5.0023731431715013E-2</v>
      </c>
      <c r="M275" s="850"/>
      <c r="N275" s="850"/>
      <c r="O275" s="48">
        <f>IF(t&lt;Tnet,'2023'!Resal+('2023'!Salim-'2023'!Resal)*(1-EXP(('2023'!Tnet-t)/('2023'!Tau_j))),Resal+(Salim-Resal)*(1-EXP((Tnet-t)/(Tau_j))))*Salcycl</f>
        <v>8.5547887408956608E-2</v>
      </c>
      <c r="P275" s="169">
        <f>(INDEX(Models!$BJ275:$BT275,,T275)*(1-R275)+INDEX(Models!$BJ275:$BT275,,T275+1)*R275-ERP_i)*Q275*Ramure*Pc/MaxiM</f>
        <v>7.2856621037335723E-4</v>
      </c>
      <c r="Q275" s="305">
        <f t="shared" si="105"/>
        <v>0.7</v>
      </c>
      <c r="R275" s="177">
        <f t="shared" si="106"/>
        <v>0.59207696716772595</v>
      </c>
      <c r="S275" s="817">
        <f t="shared" si="107"/>
        <v>0</v>
      </c>
      <c r="T275" s="176">
        <f t="shared" si="108"/>
        <v>6</v>
      </c>
      <c r="U275" s="251">
        <f t="shared" si="109"/>
        <v>0.59207696716772595</v>
      </c>
      <c r="V275" s="383">
        <f t="shared" si="110"/>
        <v>28.876065403271774</v>
      </c>
      <c r="W275" s="402">
        <f t="shared" si="111"/>
        <v>28.881429148360212</v>
      </c>
      <c r="X275" s="157">
        <f t="shared" si="112"/>
        <v>45552</v>
      </c>
      <c r="Y275" s="385">
        <f t="shared" si="113"/>
        <v>27.482548177319483</v>
      </c>
      <c r="Z275" s="385">
        <f t="shared" si="114"/>
        <v>28.929720758960219</v>
      </c>
      <c r="AA275" s="386">
        <f t="shared" si="115"/>
        <v>33.246425275259504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0.12983965886737245</v>
      </c>
      <c r="AD275" s="231">
        <f>(INDEX(Models!$BJ275:$BT275,,AH275)*(1-AF275)+INDEX(Models!$BJ275:$BT275,,AH275+1)*AF275-ERP_i)*AE275*Ramure*Pc/MaxiM</f>
        <v>7.2856621037335723E-4</v>
      </c>
      <c r="AE275" s="305">
        <f t="shared" si="117"/>
        <v>0.7</v>
      </c>
      <c r="AF275" s="177">
        <f t="shared" si="118"/>
        <v>0.59207696716772595</v>
      </c>
      <c r="AG275" s="817">
        <f t="shared" si="124"/>
        <v>0</v>
      </c>
      <c r="AH275" s="176">
        <f t="shared" si="119"/>
        <v>6</v>
      </c>
      <c r="AI275" s="225">
        <f t="shared" si="120"/>
        <v>0.59207696716772595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45553</v>
      </c>
      <c r="B276" s="411">
        <f>'2023'!Wh/'2023'!Env_an*'2024'!Env_an</f>
        <v>28.301169532941085</v>
      </c>
      <c r="C276" s="846"/>
      <c r="D276" s="393">
        <f t="shared" si="102"/>
        <v>29.792101498932908</v>
      </c>
      <c r="E276" s="385">
        <f t="shared" si="100"/>
        <v>32.581791352663295</v>
      </c>
      <c r="F276" s="385">
        <f t="shared" si="103"/>
        <v>32.612444125673484</v>
      </c>
      <c r="G276" s="110">
        <f t="shared" si="101"/>
        <v>0.98688144159636559</v>
      </c>
      <c r="H276" s="414" t="b">
        <f>Wh_hp&gt;='2023'!Maxi_hp</f>
        <v>0</v>
      </c>
      <c r="I276" s="390">
        <f>IF(H276,Wh_hp,'2023'!Maxi_hp)</f>
        <v>32.612832561298127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5.0044538350046408E-2</v>
      </c>
      <c r="M276" s="850"/>
      <c r="N276" s="850"/>
      <c r="O276" s="48">
        <f>IF(t&lt;Tnet,'2023'!Resal+('2023'!Salim-'2023'!Resal)*(1-EXP(('2023'!Tnet-t)/('2023'!Tau_j))),Resal+(Salim-Resal)*(1-EXP((Tnet-t)/(Tau_j))))*Salcycl</f>
        <v>8.5621131862731431E-2</v>
      </c>
      <c r="P276" s="169">
        <f>(INDEX(Models!$BJ276:$BT276,,T276)*(1-R276)+INDEX(Models!$BJ276:$BT276,,T276+1)*R276-ERP_i)*Q276*Ramure*Pc/MaxiM</f>
        <v>9.5783672005595865E-4</v>
      </c>
      <c r="Q276" s="305">
        <f t="shared" si="105"/>
        <v>0.7</v>
      </c>
      <c r="R276" s="177">
        <f t="shared" si="106"/>
        <v>0.59239758813698762</v>
      </c>
      <c r="S276" s="817">
        <f t="shared" si="107"/>
        <v>0</v>
      </c>
      <c r="T276" s="176">
        <f t="shared" si="108"/>
        <v>6</v>
      </c>
      <c r="U276" s="251">
        <f t="shared" si="109"/>
        <v>0.59239758813698762</v>
      </c>
      <c r="V276" s="383">
        <f t="shared" si="110"/>
        <v>28.676860790858491</v>
      </c>
      <c r="W276" s="402">
        <f t="shared" si="111"/>
        <v>28.301169532941085</v>
      </c>
      <c r="X276" s="157">
        <f t="shared" si="112"/>
        <v>45553</v>
      </c>
      <c r="Y276" s="385">
        <f t="shared" si="113"/>
        <v>26.932472738532397</v>
      </c>
      <c r="Z276" s="385">
        <f t="shared" si="114"/>
        <v>28.351300482818495</v>
      </c>
      <c r="AA276" s="386">
        <f t="shared" si="115"/>
        <v>32.581791352663295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0.12984218160549338</v>
      </c>
      <c r="AD276" s="231">
        <f>(INDEX(Models!$BJ276:$BT276,,AH276)*(1-AF276)+INDEX(Models!$BJ276:$BT276,,AH276+1)*AF276-ERP_i)*AE276*Ramure*Pc/MaxiM</f>
        <v>9.5783672005595865E-4</v>
      </c>
      <c r="AE276" s="305">
        <f t="shared" si="117"/>
        <v>0.7</v>
      </c>
      <c r="AF276" s="177">
        <f t="shared" si="118"/>
        <v>0.59239758813698762</v>
      </c>
      <c r="AG276" s="817">
        <f t="shared" si="124"/>
        <v>0</v>
      </c>
      <c r="AH276" s="176">
        <f t="shared" si="119"/>
        <v>6</v>
      </c>
      <c r="AI276" s="225">
        <f t="shared" si="120"/>
        <v>0.59239758813698762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45554</v>
      </c>
      <c r="B277" s="411">
        <f>'2023'!Wh/'2023'!Env_an*'2024'!Env_an</f>
        <v>29.518850005477333</v>
      </c>
      <c r="C277" s="846"/>
      <c r="D277" s="393">
        <f t="shared" si="102"/>
        <v>31.074611126441742</v>
      </c>
      <c r="E277" s="385">
        <f t="shared" si="100"/>
        <v>33.987078958207206</v>
      </c>
      <c r="F277" s="385">
        <f t="shared" si="103"/>
        <v>34.029849011308073</v>
      </c>
      <c r="G277" s="110">
        <f t="shared" si="101"/>
        <v>1.0366734671014806</v>
      </c>
      <c r="H277" s="414" t="b">
        <f>Wh_hp&gt;='2023'!Maxi_hp</f>
        <v>1</v>
      </c>
      <c r="I277" s="390">
        <f>IF(H277,Wh_hp,'2023'!Maxi_hp)</f>
        <v>34.029849011308073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5.0065344812653012E-2</v>
      </c>
      <c r="M277" s="850"/>
      <c r="N277" s="850"/>
      <c r="O277" s="48">
        <f>IF(t&lt;Tnet,'2023'!Resal+('2023'!Salim-'2023'!Resal)*(1-EXP(('2023'!Tnet-t)/('2023'!Tau_j))),Resal+(Salim-Resal)*(1-EXP((Tnet-t)/(Tau_j))))*Salcycl</f>
        <v>8.5693384693248581E-2</v>
      </c>
      <c r="P277" s="169">
        <f>(INDEX(Models!$BJ277:$BT277,,T277)*(1-R277)+INDEX(Models!$BJ277:$BT277,,T277+1)*R277-ERP_i)*Q277*Ramure*Pc/MaxiM</f>
        <v>1.2568393437965486E-3</v>
      </c>
      <c r="Q277" s="305">
        <f t="shared" si="105"/>
        <v>0.7</v>
      </c>
      <c r="R277" s="177">
        <f t="shared" si="106"/>
        <v>0.59270569258204631</v>
      </c>
      <c r="S277" s="817">
        <f t="shared" si="107"/>
        <v>0</v>
      </c>
      <c r="T277" s="176">
        <f t="shared" si="108"/>
        <v>6</v>
      </c>
      <c r="U277" s="251">
        <f t="shared" si="109"/>
        <v>0.59270569258204631</v>
      </c>
      <c r="V277" s="383">
        <f t="shared" si="110"/>
        <v>28.474588134305666</v>
      </c>
      <c r="W277" s="402">
        <f t="shared" si="111"/>
        <v>29.518850005477333</v>
      </c>
      <c r="X277" s="157">
        <f t="shared" si="112"/>
        <v>45554</v>
      </c>
      <c r="Y277" s="385">
        <f t="shared" si="113"/>
        <v>28.093444514697897</v>
      </c>
      <c r="Z277" s="385">
        <f t="shared" si="114"/>
        <v>29.574081081563744</v>
      </c>
      <c r="AA277" s="386">
        <f t="shared" si="115"/>
        <v>33.987078958207206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0.12984339966579597</v>
      </c>
      <c r="AD277" s="231">
        <f>(INDEX(Models!$BJ277:$BT277,,AH277)*(1-AF277)+INDEX(Models!$BJ277:$BT277,,AH277+1)*AF277-ERP_i)*AE277*Ramure*Pc/MaxiM</f>
        <v>1.2568393437965486E-3</v>
      </c>
      <c r="AE277" s="305">
        <f t="shared" si="117"/>
        <v>0.7</v>
      </c>
      <c r="AF277" s="177">
        <f t="shared" si="118"/>
        <v>0.59270569258204631</v>
      </c>
      <c r="AG277" s="817">
        <f t="shared" si="124"/>
        <v>0</v>
      </c>
      <c r="AH277" s="176">
        <f t="shared" si="119"/>
        <v>6</v>
      </c>
      <c r="AI277" s="225">
        <f t="shared" si="120"/>
        <v>0.59270569258204631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45555</v>
      </c>
      <c r="B278" s="411">
        <f>'2023'!Wh/'2023'!Env_an*'2024'!Env_an</f>
        <v>28.478836894982845</v>
      </c>
      <c r="C278" s="846"/>
      <c r="D278" s="393">
        <f t="shared" si="102"/>
        <v>29.98044182591206</v>
      </c>
      <c r="E278" s="385">
        <f t="shared" si="100"/>
        <v>32.792913413728463</v>
      </c>
      <c r="F278" s="385">
        <f t="shared" si="103"/>
        <v>32.846351220278976</v>
      </c>
      <c r="G278" s="110">
        <f t="shared" si="101"/>
        <v>1.0074204906842537</v>
      </c>
      <c r="H278" s="414" t="b">
        <f>Wh_hp&gt;='2023'!Maxi_hp</f>
        <v>1</v>
      </c>
      <c r="I278" s="390">
        <f>IF(H278,Wh_hp,'2023'!Maxi_hp)</f>
        <v>32.846351220278976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5.0086150819544595E-2</v>
      </c>
      <c r="M278" s="850"/>
      <c r="N278" s="850"/>
      <c r="O278" s="48">
        <f>IF(t&lt;Tnet,'2023'!Resal+('2023'!Salim-'2023'!Resal)*(1-EXP(('2023'!Tnet-t)/('2023'!Tau_j))),Resal+(Salim-Resal)*(1-EXP((Tnet-t)/(Tau_j))))*Salcycl</f>
        <v>8.5764614821901994E-2</v>
      </c>
      <c r="P278" s="169">
        <f>(INDEX(Models!$BJ278:$BT278,,T278)*(1-R278)+INDEX(Models!$BJ278:$BT278,,T278+1)*R278-ERP_i)*Q278*Ramure*Pc/MaxiM</f>
        <v>1.6269023670891385E-3</v>
      </c>
      <c r="Q278" s="305">
        <f t="shared" si="105"/>
        <v>0.7</v>
      </c>
      <c r="R278" s="177">
        <f t="shared" si="106"/>
        <v>0.59300175415463396</v>
      </c>
      <c r="S278" s="817">
        <f t="shared" si="107"/>
        <v>0</v>
      </c>
      <c r="T278" s="176">
        <f t="shared" si="108"/>
        <v>6</v>
      </c>
      <c r="U278" s="251">
        <f t="shared" si="109"/>
        <v>0.59300175415463396</v>
      </c>
      <c r="V278" s="383">
        <f t="shared" si="110"/>
        <v>28.269066549996047</v>
      </c>
      <c r="W278" s="402">
        <f t="shared" si="111"/>
        <v>28.478836894982845</v>
      </c>
      <c r="X278" s="157">
        <f t="shared" si="112"/>
        <v>45555</v>
      </c>
      <c r="Y278" s="385">
        <f t="shared" si="113"/>
        <v>27.105767314031045</v>
      </c>
      <c r="Z278" s="385">
        <f t="shared" si="114"/>
        <v>28.534974342585624</v>
      </c>
      <c r="AA278" s="386">
        <f t="shared" si="115"/>
        <v>32.792913413728463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0.1298432688008834</v>
      </c>
      <c r="AD278" s="231">
        <f>(INDEX(Models!$BJ278:$BT278,,AH278)*(1-AF278)+INDEX(Models!$BJ278:$BT278,,AH278+1)*AF278-ERP_i)*AE278*Ramure*Pc/MaxiM</f>
        <v>1.6269023670891385E-3</v>
      </c>
      <c r="AE278" s="305">
        <f t="shared" si="117"/>
        <v>0.7</v>
      </c>
      <c r="AF278" s="177">
        <f t="shared" si="118"/>
        <v>0.59300175415463396</v>
      </c>
      <c r="AG278" s="817">
        <f t="shared" si="124"/>
        <v>0</v>
      </c>
      <c r="AH278" s="176">
        <f t="shared" si="119"/>
        <v>6</v>
      </c>
      <c r="AI278" s="225">
        <f t="shared" si="120"/>
        <v>0.59300175415463396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45556</v>
      </c>
      <c r="B279" s="411">
        <f>'2023'!Wh/'2023'!Env_an*'2024'!Env_an</f>
        <v>27.40660266826287</v>
      </c>
      <c r="C279" s="846"/>
      <c r="D279" s="393">
        <f t="shared" si="102"/>
        <v>28.852303795751688</v>
      </c>
      <c r="E279" s="385">
        <f t="shared" si="100"/>
        <v>31.561367145731012</v>
      </c>
      <c r="F279" s="385">
        <f t="shared" si="103"/>
        <v>31.624633849587294</v>
      </c>
      <c r="G279" s="110">
        <f t="shared" si="101"/>
        <v>0.97664286932115241</v>
      </c>
      <c r="H279" s="414" t="b">
        <f>Wh_hp&gt;='2023'!Maxi_hp</f>
        <v>0</v>
      </c>
      <c r="I279" s="390">
        <f>IF(H279,Wh_hp,'2023'!Maxi_hp)</f>
        <v>31.626022229598281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5.010695637073137E-2</v>
      </c>
      <c r="M279" s="850"/>
      <c r="N279" s="850"/>
      <c r="O279" s="48">
        <f>IF(t&lt;Tnet,'2023'!Resal+('2023'!Salim-'2023'!Resal)*(1-EXP(('2023'!Tnet-t)/('2023'!Tau_j))),Resal+(Salim-Resal)*(1-EXP((Tnet-t)/(Tau_j))))*Salcycl</f>
        <v>8.5834790916075765E-2</v>
      </c>
      <c r="P279" s="169">
        <f>(INDEX(Models!$BJ279:$BT279,,T279)*(1-R279)+INDEX(Models!$BJ279:$BT279,,T279+1)*R279-ERP_i)*Q279*Ramure*Pc/MaxiM</f>
        <v>2.0694025830618385E-3</v>
      </c>
      <c r="Q279" s="305">
        <f t="shared" si="105"/>
        <v>0.7</v>
      </c>
      <c r="R279" s="177">
        <f t="shared" si="106"/>
        <v>0.59328622974944412</v>
      </c>
      <c r="S279" s="817">
        <f t="shared" si="107"/>
        <v>0</v>
      </c>
      <c r="T279" s="176">
        <f t="shared" si="108"/>
        <v>6</v>
      </c>
      <c r="U279" s="251">
        <f t="shared" si="109"/>
        <v>0.59328622974944412</v>
      </c>
      <c r="V279" s="383">
        <f t="shared" si="110"/>
        <v>28.060115696422063</v>
      </c>
      <c r="W279" s="402">
        <f t="shared" si="111"/>
        <v>27.40660266826287</v>
      </c>
      <c r="X279" s="157">
        <f t="shared" si="112"/>
        <v>45556</v>
      </c>
      <c r="Y279" s="385">
        <f t="shared" si="113"/>
        <v>26.087277583535908</v>
      </c>
      <c r="Z279" s="385">
        <f t="shared" si="114"/>
        <v>27.463384176247789</v>
      </c>
      <c r="AA279" s="386">
        <f t="shared" si="115"/>
        <v>31.561367145731012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0.12984174451509836</v>
      </c>
      <c r="AD279" s="231">
        <f>(INDEX(Models!$BJ279:$BT279,,AH279)*(1-AF279)+INDEX(Models!$BJ279:$BT279,,AH279+1)*AF279-ERP_i)*AE279*Ramure*Pc/MaxiM</f>
        <v>2.0694025830618385E-3</v>
      </c>
      <c r="AE279" s="305">
        <f t="shared" si="117"/>
        <v>0.7</v>
      </c>
      <c r="AF279" s="177">
        <f t="shared" si="118"/>
        <v>0.59328622974944412</v>
      </c>
      <c r="AG279" s="817">
        <f t="shared" si="124"/>
        <v>0</v>
      </c>
      <c r="AH279" s="176">
        <f t="shared" si="119"/>
        <v>6</v>
      </c>
      <c r="AI279" s="225">
        <f t="shared" si="120"/>
        <v>0.59328622974944412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45557</v>
      </c>
      <c r="B280" s="411">
        <f>'2023'!Wh/'2023'!Env_an*'2024'!Env_an</f>
        <v>16.95049131364928</v>
      </c>
      <c r="C280" s="846"/>
      <c r="D280" s="393">
        <f t="shared" si="102"/>
        <v>17.845022336702947</v>
      </c>
      <c r="E280" s="385">
        <f t="shared" si="100"/>
        <v>19.522041474980448</v>
      </c>
      <c r="F280" s="385">
        <f t="shared" si="103"/>
        <v>19.544327668609345</v>
      </c>
      <c r="G280" s="110">
        <f t="shared" si="101"/>
        <v>0.60780780326947936</v>
      </c>
      <c r="H280" s="414" t="b">
        <f>Wh_hp&gt;='2023'!Maxi_hp</f>
        <v>0</v>
      </c>
      <c r="I280" s="390">
        <f>IF(H280,Wh_hp,'2023'!Maxi_hp)</f>
        <v>30.447289439965701</v>
      </c>
      <c r="J280" s="85">
        <f>IF(H280,An,'2023'!An_max)</f>
        <v>2018</v>
      </c>
      <c r="K280" s="197">
        <f t="shared" si="104"/>
        <v>45557</v>
      </c>
      <c r="L280" s="147">
        <f>IF(t&lt;Tvie,1-EXP((T0-t)*PertePVj)+'2023'!Pspv,1-EXP((T0-t)*PertePVj)+Pspv)</f>
        <v>5.0127761466222998E-2</v>
      </c>
      <c r="M280" s="850"/>
      <c r="N280" s="850"/>
      <c r="O280" s="48">
        <f>IF(t&lt;Tnet,'2023'!Resal+('2023'!Salim-'2023'!Resal)*(1-EXP(('2023'!Tnet-t)/('2023'!Tau_j))),Resal+(Salim-Resal)*(1-EXP((Tnet-t)/(Tau_j))))*Salcycl</f>
        <v>8.5903881539580743E-2</v>
      </c>
      <c r="P280" s="169">
        <f>(INDEX(Models!$BJ280:$BT280,,T280)*(1-R280)+INDEX(Models!$BJ280:$BT280,,T280+1)*R280-ERP_i)*Q280*Ramure*Pc/MaxiM</f>
        <v>2.5857856567682936E-3</v>
      </c>
      <c r="Q280" s="305">
        <f t="shared" si="105"/>
        <v>0.7</v>
      </c>
      <c r="R280" s="177">
        <f t="shared" si="106"/>
        <v>0.59355956000500942</v>
      </c>
      <c r="S280" s="817">
        <f t="shared" si="107"/>
        <v>0</v>
      </c>
      <c r="T280" s="176">
        <f t="shared" si="108"/>
        <v>6</v>
      </c>
      <c r="U280" s="251">
        <f t="shared" si="109"/>
        <v>0.59355956000500942</v>
      </c>
      <c r="V280" s="383">
        <f t="shared" si="110"/>
        <v>27.847555400194079</v>
      </c>
      <c r="W280" s="402">
        <f t="shared" si="111"/>
        <v>16.95049131364928</v>
      </c>
      <c r="X280" s="157">
        <f t="shared" si="112"/>
        <v>45557</v>
      </c>
      <c r="Y280" s="385">
        <f t="shared" si="113"/>
        <v>16.135786887566542</v>
      </c>
      <c r="Z280" s="385">
        <f t="shared" si="114"/>
        <v>16.987323382009507</v>
      </c>
      <c r="AA280" s="386">
        <f t="shared" si="115"/>
        <v>19.522041474980448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0.12983878229228471</v>
      </c>
      <c r="AD280" s="231">
        <f>(INDEX(Models!$BJ280:$BT280,,AH280)*(1-AF280)+INDEX(Models!$BJ280:$BT280,,AH280+1)*AF280-ERP_i)*AE280*Ramure*Pc/MaxiM</f>
        <v>2.5857856567682936E-3</v>
      </c>
      <c r="AE280" s="305">
        <f t="shared" si="117"/>
        <v>0.7</v>
      </c>
      <c r="AF280" s="177">
        <f t="shared" si="118"/>
        <v>0.59355956000500942</v>
      </c>
      <c r="AG280" s="817">
        <f t="shared" si="124"/>
        <v>0</v>
      </c>
      <c r="AH280" s="176">
        <f t="shared" si="119"/>
        <v>6</v>
      </c>
      <c r="AI280" s="225">
        <f t="shared" si="120"/>
        <v>0.59355956000500942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45558</v>
      </c>
      <c r="B281" s="411">
        <f>'2023'!Wh/'2023'!Env_an*'2024'!Env_an</f>
        <v>10.576881314883536</v>
      </c>
      <c r="C281" s="846"/>
      <c r="D281" s="393">
        <f t="shared" si="102"/>
        <v>11.135300676994303</v>
      </c>
      <c r="E281" s="385">
        <f t="shared" si="100"/>
        <v>12.182667176913801</v>
      </c>
      <c r="F281" s="385">
        <f t="shared" si="103"/>
        <v>12.187247190959447</v>
      </c>
      <c r="G281" s="110">
        <f t="shared" si="101"/>
        <v>0.38171465680286748</v>
      </c>
      <c r="H281" s="414" t="b">
        <f>Wh_hp&gt;='2023'!Maxi_hp</f>
        <v>0</v>
      </c>
      <c r="I281" s="390">
        <f>IF(H281,Wh_hp,'2023'!Maxi_hp)</f>
        <v>26.744687251171772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5.0148566106029802E-2</v>
      </c>
      <c r="M281" s="850"/>
      <c r="N281" s="850"/>
      <c r="O281" s="48">
        <f>IF(t&lt;Tnet,'2023'!Resal+('2023'!Salim-'2023'!Resal)*(1-EXP(('2023'!Tnet-t)/('2023'!Tau_j))),Resal+(Salim-Resal)*(1-EXP((Tnet-t)/(Tau_j))))*Salcycl</f>
        <v>8.5971855317878321E-2</v>
      </c>
      <c r="P281" s="169">
        <f>(INDEX(Models!$BJ281:$BT281,,T281)*(1-R281)+INDEX(Models!$BJ281:$BT281,,T281+1)*R281-ERP_i)*Q281*Ramure*Pc/MaxiM</f>
        <v>3.1775636497524602E-3</v>
      </c>
      <c r="Q281" s="305">
        <f t="shared" si="105"/>
        <v>0.7</v>
      </c>
      <c r="R281" s="177">
        <f t="shared" si="106"/>
        <v>0.59382216979714542</v>
      </c>
      <c r="S281" s="817">
        <f t="shared" si="107"/>
        <v>0</v>
      </c>
      <c r="T281" s="176">
        <f t="shared" si="108"/>
        <v>6</v>
      </c>
      <c r="U281" s="251">
        <f t="shared" si="109"/>
        <v>0.59382216979714542</v>
      </c>
      <c r="V281" s="383">
        <f t="shared" si="110"/>
        <v>27.631205941412162</v>
      </c>
      <c r="W281" s="402">
        <f t="shared" si="111"/>
        <v>10.576881314883536</v>
      </c>
      <c r="X281" s="157">
        <f t="shared" si="112"/>
        <v>45558</v>
      </c>
      <c r="Y281" s="385">
        <f t="shared" si="113"/>
        <v>10.069316778099784</v>
      </c>
      <c r="Z281" s="385">
        <f t="shared" si="114"/>
        <v>10.600938650816207</v>
      </c>
      <c r="AA281" s="386">
        <f t="shared" si="115"/>
        <v>12.182667176913801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0.12983433784475176</v>
      </c>
      <c r="AD281" s="231">
        <f>(INDEX(Models!$BJ281:$BT281,,AH281)*(1-AF281)+INDEX(Models!$BJ281:$BT281,,AH281+1)*AF281-ERP_i)*AE281*Ramure*Pc/MaxiM</f>
        <v>3.1775636497524602E-3</v>
      </c>
      <c r="AE281" s="305">
        <f t="shared" si="117"/>
        <v>0.7</v>
      </c>
      <c r="AF281" s="177">
        <f t="shared" si="118"/>
        <v>0.59382216979714542</v>
      </c>
      <c r="AG281" s="817">
        <f t="shared" si="124"/>
        <v>0</v>
      </c>
      <c r="AH281" s="176">
        <f t="shared" si="119"/>
        <v>6</v>
      </c>
      <c r="AI281" s="225">
        <f t="shared" si="120"/>
        <v>0.59382216979714542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45559</v>
      </c>
      <c r="B282" s="411">
        <f>'2023'!Wh/'2023'!Env_an*'2024'!Env_an</f>
        <v>19.753873441775593</v>
      </c>
      <c r="C282" s="846"/>
      <c r="D282" s="393">
        <f t="shared" si="102"/>
        <v>20.797258820564835</v>
      </c>
      <c r="E282" s="385">
        <f t="shared" si="100"/>
        <v>22.755075505812489</v>
      </c>
      <c r="F282" s="385">
        <f t="shared" si="103"/>
        <v>22.808310890267986</v>
      </c>
      <c r="G282" s="110">
        <f t="shared" si="101"/>
        <v>0.71956552284814546</v>
      </c>
      <c r="H282" s="414" t="b">
        <f>Wh_hp&gt;='2023'!Maxi_hp</f>
        <v>0</v>
      </c>
      <c r="I282" s="390">
        <f>IF(H282,Wh_hp,'2023'!Maxi_hp)</f>
        <v>31.944717903389673</v>
      </c>
      <c r="J282" s="85">
        <f>IF(H282,An,'2023'!An_max)</f>
        <v>2018</v>
      </c>
      <c r="K282" s="197">
        <f t="shared" si="104"/>
        <v>45559</v>
      </c>
      <c r="L282" s="147">
        <f>IF(t&lt;Tvie,1-EXP((T0-t)*PertePVj)+'2023'!Pspv,1-EXP((T0-t)*PertePVj)+Pspv)</f>
        <v>5.0169370290161441E-2</v>
      </c>
      <c r="M282" s="850"/>
      <c r="N282" s="850"/>
      <c r="O282" s="48">
        <f>IF(t&lt;Tnet,'2023'!Resal+('2023'!Salim-'2023'!Resal)*(1-EXP(('2023'!Tnet-t)/('2023'!Tau_j))),Resal+(Salim-Resal)*(1-EXP((Tnet-t)/(Tau_j))))*Salcycl</f>
        <v>8.6038681117430363E-2</v>
      </c>
      <c r="P282" s="169">
        <f>(INDEX(Models!$BJ282:$BT282,,T282)*(1-R282)+INDEX(Models!$BJ282:$BT282,,T282+1)*R282-ERP_i)*Q282*Ramure*Pc/MaxiM</f>
        <v>3.8837235749517684E-3</v>
      </c>
      <c r="Q282" s="305">
        <f t="shared" si="105"/>
        <v>0.7</v>
      </c>
      <c r="R282" s="177">
        <f t="shared" si="106"/>
        <v>0.59407446872436376</v>
      </c>
      <c r="S282" s="817">
        <f t="shared" si="107"/>
        <v>0</v>
      </c>
      <c r="T282" s="176">
        <f t="shared" si="108"/>
        <v>6</v>
      </c>
      <c r="U282" s="251">
        <f t="shared" si="109"/>
        <v>0.59407446872436376</v>
      </c>
      <c r="V282" s="383">
        <f t="shared" si="110"/>
        <v>27.409858916445454</v>
      </c>
      <c r="W282" s="402">
        <f t="shared" si="111"/>
        <v>19.753873441775593</v>
      </c>
      <c r="X282" s="157">
        <f t="shared" si="112"/>
        <v>45559</v>
      </c>
      <c r="Y282" s="385">
        <f t="shared" si="113"/>
        <v>18.80742647223709</v>
      </c>
      <c r="Z282" s="385">
        <f t="shared" si="114"/>
        <v>19.80082120323128</v>
      </c>
      <c r="AA282" s="386">
        <f t="shared" si="115"/>
        <v>22.755075505812489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0.12982836738232689</v>
      </c>
      <c r="AD282" s="231">
        <f>(INDEX(Models!$BJ282:$BT282,,AH282)*(1-AF282)+INDEX(Models!$BJ282:$BT282,,AH282+1)*AF282-ERP_i)*AE282*Ramure*Pc/MaxiM</f>
        <v>3.8837235749517684E-3</v>
      </c>
      <c r="AE282" s="305">
        <f t="shared" si="117"/>
        <v>0.7</v>
      </c>
      <c r="AF282" s="177">
        <f t="shared" si="118"/>
        <v>0.59407446872436376</v>
      </c>
      <c r="AG282" s="817">
        <f t="shared" si="124"/>
        <v>0</v>
      </c>
      <c r="AH282" s="176">
        <f t="shared" si="119"/>
        <v>6</v>
      </c>
      <c r="AI282" s="225">
        <f t="shared" si="120"/>
        <v>0.59407446872436376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45560</v>
      </c>
      <c r="B283" s="411">
        <f>'2023'!Wh/'2023'!Env_an*'2024'!Env_an</f>
        <v>18.819995246837951</v>
      </c>
      <c r="C283" s="846"/>
      <c r="D283" s="393">
        <f t="shared" si="102"/>
        <v>19.814487839597334</v>
      </c>
      <c r="E283" s="385">
        <f t="shared" si="100"/>
        <v>21.681345531926997</v>
      </c>
      <c r="F283" s="385">
        <f t="shared" si="103"/>
        <v>21.738442169850874</v>
      </c>
      <c r="G283" s="110">
        <f t="shared" si="101"/>
        <v>0.69089173673382298</v>
      </c>
      <c r="H283" s="414" t="b">
        <f>Wh_hp&gt;='2023'!Maxi_hp</f>
        <v>0</v>
      </c>
      <c r="I283" s="390">
        <f>IF(H283,Wh_hp,'2023'!Maxi_hp)</f>
        <v>30.905032154620368</v>
      </c>
      <c r="J283" s="85">
        <f>IF(H283,An,'2023'!An_max)</f>
        <v>2018</v>
      </c>
      <c r="K283" s="197">
        <f t="shared" si="104"/>
        <v>45560</v>
      </c>
      <c r="L283" s="147">
        <f>IF(t&lt;Tvie,1-EXP((T0-t)*PertePVj)+'2023'!Pspv,1-EXP((T0-t)*PertePVj)+Pspv)</f>
        <v>5.0190174018628131E-2</v>
      </c>
      <c r="M283" s="850"/>
      <c r="N283" s="850"/>
      <c r="O283" s="48">
        <f>IF(t&lt;Tnet,'2023'!Resal+('2023'!Salim-'2023'!Resal)*(1-EXP(('2023'!Tnet-t)/('2023'!Tau_j))),Resal+(Salim-Resal)*(1-EXP((Tnet-t)/(Tau_j))))*Salcycl</f>
        <v>8.6104328238328656E-2</v>
      </c>
      <c r="P283" s="169">
        <f>(INDEX(Models!$BJ283:$BT283,,T283)*(1-R283)+INDEX(Models!$BJ283:$BT283,,T283+1)*R283-ERP_i)*Q283*Ramure*Pc/MaxiM</f>
        <v>4.6863850120260021E-3</v>
      </c>
      <c r="Q283" s="305">
        <f t="shared" si="105"/>
        <v>0.7</v>
      </c>
      <c r="R283" s="177">
        <f t="shared" si="106"/>
        <v>0.59431685158474168</v>
      </c>
      <c r="S283" s="817">
        <f t="shared" si="107"/>
        <v>0</v>
      </c>
      <c r="T283" s="176">
        <f t="shared" si="108"/>
        <v>6</v>
      </c>
      <c r="U283" s="251">
        <f t="shared" si="109"/>
        <v>0.59431685158474168</v>
      </c>
      <c r="V283" s="383">
        <f t="shared" si="110"/>
        <v>27.183892452449125</v>
      </c>
      <c r="W283" s="402">
        <f t="shared" si="111"/>
        <v>18.819995246837951</v>
      </c>
      <c r="X283" s="157">
        <f t="shared" si="112"/>
        <v>45560</v>
      </c>
      <c r="Y283" s="385">
        <f t="shared" si="113"/>
        <v>17.919734592077184</v>
      </c>
      <c r="Z283" s="385">
        <f t="shared" si="114"/>
        <v>18.866655304983794</v>
      </c>
      <c r="AA283" s="386">
        <f t="shared" si="115"/>
        <v>21.681345531926997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0.12982082790011415</v>
      </c>
      <c r="AD283" s="231">
        <f>(INDEX(Models!$BJ283:$BT283,,AH283)*(1-AF283)+INDEX(Models!$BJ283:$BT283,,AH283+1)*AF283-ERP_i)*AE283*Ramure*Pc/MaxiM</f>
        <v>4.6863850120260021E-3</v>
      </c>
      <c r="AE283" s="305">
        <f t="shared" si="117"/>
        <v>0.7</v>
      </c>
      <c r="AF283" s="177">
        <f t="shared" si="118"/>
        <v>0.59431685158474168</v>
      </c>
      <c r="AG283" s="817">
        <f t="shared" si="124"/>
        <v>0</v>
      </c>
      <c r="AH283" s="176">
        <f t="shared" si="119"/>
        <v>6</v>
      </c>
      <c r="AI283" s="225">
        <f t="shared" si="120"/>
        <v>0.59431685158474168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45561</v>
      </c>
      <c r="B284" s="411">
        <f>'2023'!Wh/'2023'!Env_an*'2024'!Env_an</f>
        <v>9.440438111242436</v>
      </c>
      <c r="C284" s="846"/>
      <c r="D284" s="393">
        <f t="shared" si="102"/>
        <v>9.9395106550301815</v>
      </c>
      <c r="E284" s="385">
        <f t="shared" si="100"/>
        <v>10.87674648442232</v>
      </c>
      <c r="F284" s="385">
        <f t="shared" si="103"/>
        <v>10.881111368739909</v>
      </c>
      <c r="G284" s="110">
        <f t="shared" si="101"/>
        <v>0.34843654291240173</v>
      </c>
      <c r="H284" s="414" t="b">
        <f>Wh_hp&gt;='2023'!Maxi_hp</f>
        <v>0</v>
      </c>
      <c r="I284" s="390">
        <f>IF(H284,Wh_hp,'2023'!Maxi_hp)</f>
        <v>30.281766812625989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5.0210977291439862E-2</v>
      </c>
      <c r="M284" s="850"/>
      <c r="N284" s="850"/>
      <c r="O284" s="48">
        <f>IF(t&lt;Tnet,'2023'!Resal+('2023'!Salim-'2023'!Resal)*(1-EXP(('2023'!Tnet-t)/('2023'!Tau_j))),Resal+(Salim-Resal)*(1-EXP((Tnet-t)/(Tau_j))))*Salcycl</f>
        <v>8.616876661917669E-2</v>
      </c>
      <c r="P284" s="169">
        <f>(INDEX(Models!$BJ284:$BT284,,T284)*(1-R284)+INDEX(Models!$BJ284:$BT284,,T284+1)*R284-ERP_i)*Q284*Ramure*Pc/MaxiM</f>
        <v>5.5876357717128166E-3</v>
      </c>
      <c r="Q284" s="305">
        <f t="shared" si="105"/>
        <v>0.7</v>
      </c>
      <c r="R284" s="177">
        <f t="shared" si="106"/>
        <v>0.59454969884381081</v>
      </c>
      <c r="S284" s="817">
        <f t="shared" si="107"/>
        <v>0</v>
      </c>
      <c r="T284" s="176">
        <f t="shared" si="108"/>
        <v>6</v>
      </c>
      <c r="U284" s="251">
        <f t="shared" si="109"/>
        <v>0.59454969884381081</v>
      </c>
      <c r="V284" s="383">
        <f t="shared" si="110"/>
        <v>26.953130753918138</v>
      </c>
      <c r="W284" s="402">
        <f t="shared" si="111"/>
        <v>9.440438111242436</v>
      </c>
      <c r="X284" s="157">
        <f t="shared" si="112"/>
        <v>45561</v>
      </c>
      <c r="Y284" s="385">
        <f t="shared" si="113"/>
        <v>8.9895800272140853</v>
      </c>
      <c r="Z284" s="385">
        <f t="shared" si="114"/>
        <v>9.4648177777187374</v>
      </c>
      <c r="AA284" s="386">
        <f t="shared" si="115"/>
        <v>10.87674648442232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0.12981167748331235</v>
      </c>
      <c r="AD284" s="231">
        <f>(INDEX(Models!$BJ284:$BT284,,AH284)*(1-AF284)+INDEX(Models!$BJ284:$BT284,,AH284+1)*AF284-ERP_i)*AE284*Ramure*Pc/MaxiM</f>
        <v>5.5876357717128166E-3</v>
      </c>
      <c r="AE284" s="305">
        <f t="shared" si="117"/>
        <v>0.7</v>
      </c>
      <c r="AF284" s="177">
        <f t="shared" si="118"/>
        <v>0.59454969884381081</v>
      </c>
      <c r="AG284" s="817">
        <f t="shared" si="124"/>
        <v>0</v>
      </c>
      <c r="AH284" s="176">
        <f t="shared" si="119"/>
        <v>6</v>
      </c>
      <c r="AI284" s="225">
        <f t="shared" si="120"/>
        <v>0.59454969884381081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45562</v>
      </c>
      <c r="B285" s="411">
        <f>'2023'!Wh/'2023'!Env_an*'2024'!Env_an</f>
        <v>10.682379388563431</v>
      </c>
      <c r="C285" s="846"/>
      <c r="D285" s="393">
        <f t="shared" si="102"/>
        <v>11.247354001574159</v>
      </c>
      <c r="E285" s="385">
        <f t="shared" si="100"/>
        <v>12.308762832620104</v>
      </c>
      <c r="F285" s="385">
        <f t="shared" si="103"/>
        <v>12.320341104208737</v>
      </c>
      <c r="G285" s="110">
        <f t="shared" si="101"/>
        <v>0.39756745175746383</v>
      </c>
      <c r="H285" s="414" t="b">
        <f>Wh_hp&gt;='2023'!Maxi_hp</f>
        <v>0</v>
      </c>
      <c r="I285" s="390">
        <f>IF(H285,Wh_hp,'2023'!Maxi_hp)</f>
        <v>29.367871929004963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5.0231780108606405E-2</v>
      </c>
      <c r="M285" s="850"/>
      <c r="N285" s="850"/>
      <c r="O285" s="48">
        <f>IF(t&lt;Tnet,'2023'!Resal+('2023'!Salim-'2023'!Resal)*(1-EXP(('2023'!Tnet-t)/('2023'!Tau_j))),Resal+(Salim-Resal)*(1-EXP((Tnet-t)/(Tau_j))))*Salcycl</f>
        <v>8.6231967053020914E-2</v>
      </c>
      <c r="P285" s="169">
        <f>(INDEX(Models!$BJ285:$BT285,,T285)*(1-R285)+INDEX(Models!$BJ285:$BT285,,T285+1)*R285-ERP_i)*Q285*Ramure*Pc/MaxiM</f>
        <v>6.5896778350963414E-3</v>
      </c>
      <c r="Q285" s="305">
        <f t="shared" si="105"/>
        <v>0.7</v>
      </c>
      <c r="R285" s="177">
        <f t="shared" si="106"/>
        <v>0.59477337709309752</v>
      </c>
      <c r="S285" s="817">
        <f t="shared" si="107"/>
        <v>0</v>
      </c>
      <c r="T285" s="176">
        <f t="shared" si="108"/>
        <v>6</v>
      </c>
      <c r="U285" s="251">
        <f t="shared" si="109"/>
        <v>0.59477337709309752</v>
      </c>
      <c r="V285" s="383">
        <f t="shared" si="110"/>
        <v>26.717398762589905</v>
      </c>
      <c r="W285" s="402">
        <f t="shared" si="111"/>
        <v>10.682379388563431</v>
      </c>
      <c r="X285" s="157">
        <f t="shared" si="112"/>
        <v>45562</v>
      </c>
      <c r="Y285" s="385">
        <f t="shared" si="113"/>
        <v>10.173038293062504</v>
      </c>
      <c r="Z285" s="385">
        <f t="shared" si="114"/>
        <v>10.711074639058564</v>
      </c>
      <c r="AA285" s="386">
        <f t="shared" si="115"/>
        <v>12.308762832620104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0.12980087562719311</v>
      </c>
      <c r="AD285" s="231">
        <f>(INDEX(Models!$BJ285:$BT285,,AH285)*(1-AF285)+INDEX(Models!$BJ285:$BT285,,AH285+1)*AF285-ERP_i)*AE285*Ramure*Pc/MaxiM</f>
        <v>6.5896778350963414E-3</v>
      </c>
      <c r="AE285" s="305">
        <f t="shared" si="117"/>
        <v>0.7</v>
      </c>
      <c r="AF285" s="177">
        <f t="shared" si="118"/>
        <v>0.59477337709309752</v>
      </c>
      <c r="AG285" s="817">
        <f t="shared" si="124"/>
        <v>0</v>
      </c>
      <c r="AH285" s="176">
        <f t="shared" si="119"/>
        <v>6</v>
      </c>
      <c r="AI285" s="225">
        <f t="shared" si="120"/>
        <v>0.59477337709309752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45563</v>
      </c>
      <c r="B286" s="411">
        <f>'2023'!Wh/'2023'!Env_an*'2024'!Env_an</f>
        <v>14.52878731619877</v>
      </c>
      <c r="C286" s="846"/>
      <c r="D286" s="393">
        <f t="shared" si="102"/>
        <v>15.297527582634311</v>
      </c>
      <c r="E286" s="385">
        <f t="shared" si="100"/>
        <v>16.742284643049363</v>
      </c>
      <c r="F286" s="385">
        <f t="shared" si="103"/>
        <v>16.788189112310512</v>
      </c>
      <c r="G286" s="110">
        <f t="shared" si="101"/>
        <v>0.54601278224280603</v>
      </c>
      <c r="H286" s="414" t="b">
        <f>Wh_hp&gt;='2023'!Maxi_hp</f>
        <v>0</v>
      </c>
      <c r="I286" s="390">
        <f>IF(H286,Wh_hp,'2023'!Maxi_hp)</f>
        <v>29.816399783631852</v>
      </c>
      <c r="J286" s="85">
        <f>IF(H286,An,'2023'!An_max)</f>
        <v>2018</v>
      </c>
      <c r="K286" s="197">
        <f t="shared" si="104"/>
        <v>45563</v>
      </c>
      <c r="L286" s="147">
        <f>IF(t&lt;Tvie,1-EXP((T0-t)*PertePVj)+'2023'!Pspv,1-EXP((T0-t)*PertePVj)+Pspv)</f>
        <v>5.0252582470137974E-2</v>
      </c>
      <c r="M286" s="850"/>
      <c r="N286" s="850"/>
      <c r="O286" s="48">
        <f>IF(t&lt;Tnet,'2023'!Resal+('2023'!Salim-'2023'!Resal)*(1-EXP(('2023'!Tnet-t)/('2023'!Tau_j))),Resal+(Salim-Resal)*(1-EXP((Tnet-t)/(Tau_j))))*Salcycl</f>
        <v>8.629390141296224E-2</v>
      </c>
      <c r="P286" s="169">
        <f>(INDEX(Models!$BJ286:$BT286,,T286)*(1-R286)+INDEX(Models!$BJ286:$BT286,,T286+1)*R286-ERP_i)*Q286*Ramure*Pc/MaxiM</f>
        <v>7.6948389837675005E-3</v>
      </c>
      <c r="Q286" s="305">
        <f t="shared" si="105"/>
        <v>0.7</v>
      </c>
      <c r="R286" s="177">
        <f t="shared" si="106"/>
        <v>0.59498823949900781</v>
      </c>
      <c r="S286" s="817">
        <f t="shared" si="107"/>
        <v>0</v>
      </c>
      <c r="T286" s="176">
        <f t="shared" si="108"/>
        <v>6</v>
      </c>
      <c r="U286" s="251">
        <f t="shared" si="109"/>
        <v>0.59498823949900781</v>
      </c>
      <c r="V286" s="383">
        <f t="shared" si="110"/>
        <v>26.476522198290031</v>
      </c>
      <c r="W286" s="402">
        <f t="shared" si="111"/>
        <v>14.52878731619877</v>
      </c>
      <c r="X286" s="157">
        <f t="shared" si="112"/>
        <v>45563</v>
      </c>
      <c r="Y286" s="385">
        <f t="shared" si="113"/>
        <v>13.8371840953529</v>
      </c>
      <c r="Z286" s="385">
        <f t="shared" si="114"/>
        <v>14.569330581957418</v>
      </c>
      <c r="AA286" s="386">
        <f t="shared" si="115"/>
        <v>16.742284643049363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0.12978838357010361</v>
      </c>
      <c r="AD286" s="231">
        <f>(INDEX(Models!$BJ286:$BT286,,AH286)*(1-AF286)+INDEX(Models!$BJ286:$BT286,,AH286+1)*AF286-ERP_i)*AE286*Ramure*Pc/MaxiM</f>
        <v>7.6948389837675005E-3</v>
      </c>
      <c r="AE286" s="305">
        <f t="shared" si="117"/>
        <v>0.7</v>
      </c>
      <c r="AF286" s="177">
        <f t="shared" si="118"/>
        <v>0.59498823949900781</v>
      </c>
      <c r="AG286" s="817">
        <f t="shared" si="124"/>
        <v>0</v>
      </c>
      <c r="AH286" s="176">
        <f t="shared" si="119"/>
        <v>6</v>
      </c>
      <c r="AI286" s="225">
        <f t="shared" si="120"/>
        <v>0.59498823949900781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45564</v>
      </c>
      <c r="B287" s="411">
        <f>'2023'!Wh/'2023'!Env_an*'2024'!Env_an</f>
        <v>18.099105132250148</v>
      </c>
      <c r="C287" s="846"/>
      <c r="D287" s="393">
        <f t="shared" si="102"/>
        <v>19.057173753479908</v>
      </c>
      <c r="E287" s="385">
        <f t="shared" si="100"/>
        <v>20.858390533320858</v>
      </c>
      <c r="F287" s="385">
        <f t="shared" si="103"/>
        <v>20.962401152445757</v>
      </c>
      <c r="G287" s="110">
        <f t="shared" si="101"/>
        <v>0.68727199859661103</v>
      </c>
      <c r="H287" s="414" t="b">
        <f>Wh_hp&gt;='2023'!Maxi_hp</f>
        <v>0</v>
      </c>
      <c r="I287" s="390">
        <f>IF(H287,Wh_hp,'2023'!Maxi_hp)</f>
        <v>27.899503681565321</v>
      </c>
      <c r="J287" s="85">
        <f>IF(H287,An,'2023'!An_max)</f>
        <v>2018</v>
      </c>
      <c r="K287" s="197">
        <f t="shared" si="104"/>
        <v>45564</v>
      </c>
      <c r="L287" s="147">
        <f>IF(t&lt;Tvie,1-EXP((T0-t)*PertePVj)+'2023'!Pspv,1-EXP((T0-t)*PertePVj)+Pspv)</f>
        <v>5.0273384376044339E-2</v>
      </c>
      <c r="M287" s="850"/>
      <c r="N287" s="850"/>
      <c r="O287" s="48">
        <f>IF(t&lt;Tnet,'2023'!Resal+('2023'!Salim-'2023'!Resal)*(1-EXP(('2023'!Tnet-t)/('2023'!Tau_j))),Resal+(Salim-Resal)*(1-EXP((Tnet-t)/(Tau_j))))*Salcycl</f>
        <v>8.6354542885921134E-2</v>
      </c>
      <c r="P287" s="169">
        <f>(INDEX(Models!$BJ287:$BT287,,T287)*(1-R287)+INDEX(Models!$BJ287:$BT287,,T287+1)*R287-ERP_i)*Q287*Ramure*Pc/MaxiM</f>
        <v>8.9055856263614355E-3</v>
      </c>
      <c r="Q287" s="305">
        <f t="shared" si="105"/>
        <v>0.7</v>
      </c>
      <c r="R287" s="177">
        <f t="shared" si="106"/>
        <v>0.59519462624181674</v>
      </c>
      <c r="S287" s="817">
        <f t="shared" si="107"/>
        <v>0</v>
      </c>
      <c r="T287" s="176">
        <f t="shared" si="108"/>
        <v>6</v>
      </c>
      <c r="U287" s="251">
        <f t="shared" si="109"/>
        <v>0.59519462624181674</v>
      </c>
      <c r="V287" s="383">
        <f t="shared" si="110"/>
        <v>26.230327593255677</v>
      </c>
      <c r="W287" s="402">
        <f t="shared" si="111"/>
        <v>18.099105132250148</v>
      </c>
      <c r="X287" s="157">
        <f t="shared" si="112"/>
        <v>45564</v>
      </c>
      <c r="Y287" s="385">
        <f t="shared" si="113"/>
        <v>17.238972470550028</v>
      </c>
      <c r="Z287" s="385">
        <f t="shared" si="114"/>
        <v>18.151510326184013</v>
      </c>
      <c r="AA287" s="386">
        <f t="shared" si="115"/>
        <v>20.858390533320858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0.12977416463713534</v>
      </c>
      <c r="AD287" s="231">
        <f>(INDEX(Models!$BJ287:$BT287,,AH287)*(1-AF287)+INDEX(Models!$BJ287:$BT287,,AH287+1)*AF287-ERP_i)*AE287*Ramure*Pc/MaxiM</f>
        <v>8.9055856263614355E-3</v>
      </c>
      <c r="AE287" s="305">
        <f t="shared" si="117"/>
        <v>0.7</v>
      </c>
      <c r="AF287" s="177">
        <f t="shared" si="118"/>
        <v>0.59519462624181674</v>
      </c>
      <c r="AG287" s="817">
        <f t="shared" si="124"/>
        <v>0</v>
      </c>
      <c r="AH287" s="176">
        <f t="shared" si="119"/>
        <v>6</v>
      </c>
      <c r="AI287" s="225">
        <f t="shared" si="120"/>
        <v>0.59519462624181674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45565</v>
      </c>
      <c r="B288" s="411">
        <f>'2023'!Wh/'2023'!Env_an*'2024'!Env_an</f>
        <v>23.17580941319622</v>
      </c>
      <c r="C288" s="846"/>
      <c r="D288" s="393">
        <f t="shared" si="102"/>
        <v>24.40314576083901</v>
      </c>
      <c r="E288" s="385">
        <f t="shared" si="100"/>
        <v>26.71137931973632</v>
      </c>
      <c r="F288" s="385">
        <f t="shared" si="103"/>
        <v>26.944411981051374</v>
      </c>
      <c r="G288" s="110">
        <f t="shared" si="101"/>
        <v>0.89069197418913915</v>
      </c>
      <c r="H288" s="414" t="b">
        <f>Wh_hp&gt;='2023'!Maxi_hp</f>
        <v>0</v>
      </c>
      <c r="I288" s="390">
        <f>IF(H288,Wh_hp,'2023'!Maxi_hp)</f>
        <v>29.54290748735184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5.0294185826335602E-2</v>
      </c>
      <c r="M288" s="850"/>
      <c r="N288" s="850"/>
      <c r="O288" s="48">
        <f>IF(t&lt;Tnet,'2023'!Resal+('2023'!Salim-'2023'!Resal)*(1-EXP(('2023'!Tnet-t)/('2023'!Tau_j))),Resal+(Salim-Resal)*(1-EXP((Tnet-t)/(Tau_j))))*Salcycl</f>
        <v>8.6413866212884674E-2</v>
      </c>
      <c r="P288" s="169">
        <f>(INDEX(Models!$BJ288:$BT288,,T288)*(1-R288)+INDEX(Models!$BJ288:$BT288,,T288+1)*R288-ERP_i)*Q288*Ramure*Pc/MaxiM</f>
        <v>1.0224536971983373E-2</v>
      </c>
      <c r="Q288" s="305">
        <f t="shared" si="105"/>
        <v>0.7</v>
      </c>
      <c r="R288" s="177">
        <f t="shared" si="106"/>
        <v>0.595392864944565</v>
      </c>
      <c r="S288" s="817">
        <f t="shared" si="107"/>
        <v>0</v>
      </c>
      <c r="T288" s="176">
        <f t="shared" si="108"/>
        <v>6</v>
      </c>
      <c r="U288" s="251">
        <f t="shared" si="109"/>
        <v>0.595392864944565</v>
      </c>
      <c r="V288" s="383">
        <f t="shared" si="110"/>
        <v>25.978642327151675</v>
      </c>
      <c r="W288" s="402">
        <f t="shared" si="111"/>
        <v>23.17580941319622</v>
      </c>
      <c r="X288" s="157">
        <f t="shared" si="112"/>
        <v>45565</v>
      </c>
      <c r="Y288" s="385">
        <f t="shared" si="113"/>
        <v>22.076252814484743</v>
      </c>
      <c r="Z288" s="385">
        <f t="shared" si="114"/>
        <v>23.245359231261748</v>
      </c>
      <c r="AA288" s="386">
        <f t="shared" si="115"/>
        <v>26.71137931973632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0.1297581845918987</v>
      </c>
      <c r="AD288" s="231">
        <f>(INDEX(Models!$BJ288:$BT288,,AH288)*(1-AF288)+INDEX(Models!$BJ288:$BT288,,AH288+1)*AF288-ERP_i)*AE288*Ramure*Pc/MaxiM</f>
        <v>1.0224536971983373E-2</v>
      </c>
      <c r="AE288" s="305">
        <f t="shared" si="117"/>
        <v>0.7</v>
      </c>
      <c r="AF288" s="177">
        <f t="shared" si="118"/>
        <v>0.595392864944565</v>
      </c>
      <c r="AG288" s="817">
        <f t="shared" si="124"/>
        <v>0</v>
      </c>
      <c r="AH288" s="176">
        <f t="shared" si="119"/>
        <v>6</v>
      </c>
      <c r="AI288" s="225">
        <f t="shared" si="120"/>
        <v>0.595392864944565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45566</v>
      </c>
      <c r="B289" s="411">
        <f>'2023'!Wh/'2023'!Env_an*'2024'!Env_an</f>
        <v>24.31157017257739</v>
      </c>
      <c r="C289" s="846"/>
      <c r="D289" s="393">
        <f t="shared" si="102"/>
        <v>25.599614435524021</v>
      </c>
      <c r="E289" s="385">
        <f t="shared" si="100"/>
        <v>28.022797521482204</v>
      </c>
      <c r="F289" s="385">
        <f t="shared" si="103"/>
        <v>28.327072711420353</v>
      </c>
      <c r="G289" s="110">
        <f t="shared" si="101"/>
        <v>0.9443031590658526</v>
      </c>
      <c r="H289" s="414" t="b">
        <f>Wh_hp&gt;='2023'!Maxi_hp</f>
        <v>0</v>
      </c>
      <c r="I289" s="390">
        <f>IF(H289,Wh_hp,'2023'!Maxi_hp)</f>
        <v>29.656559533352279</v>
      </c>
      <c r="J289" s="85">
        <f>IF(H289,An,'2023'!An_max)</f>
        <v>2018</v>
      </c>
      <c r="K289" s="197">
        <f t="shared" si="104"/>
        <v>45566</v>
      </c>
      <c r="L289" s="147">
        <f>IF(t&lt;Tvie,1-EXP((T0-t)*PertePVj)+'2023'!Pspv,1-EXP((T0-t)*PertePVj)+Pspv)</f>
        <v>5.0314986821021757E-2</v>
      </c>
      <c r="M289" s="850"/>
      <c r="N289" s="850"/>
      <c r="O289" s="48">
        <f>IF(t&lt;Tnet,'2023'!Resal+('2023'!Salim-'2023'!Resal)*(1-EXP(('2023'!Tnet-t)/('2023'!Tau_j))),Resal+(Salim-Resal)*(1-EXP((Tnet-t)/(Tau_j))))*Salcycl</f>
        <v>8.6471847933832377E-2</v>
      </c>
      <c r="P289" s="169">
        <f>(INDEX(Models!$BJ289:$BT289,,T289)*(1-R289)+INDEX(Models!$BJ289:$BT289,,T289+1)*R289-ERP_i)*Q289*Ramure*Pc/MaxiM</f>
        <v>1.165427280796137E-2</v>
      </c>
      <c r="Q289" s="305">
        <f t="shared" si="105"/>
        <v>0.7</v>
      </c>
      <c r="R289" s="177">
        <f t="shared" si="106"/>
        <v>0.59558327109172138</v>
      </c>
      <c r="S289" s="817">
        <f t="shared" si="107"/>
        <v>0</v>
      </c>
      <c r="T289" s="176">
        <f t="shared" si="108"/>
        <v>6</v>
      </c>
      <c r="U289" s="251">
        <f t="shared" si="109"/>
        <v>0.59558327109172138</v>
      </c>
      <c r="V289" s="383">
        <f t="shared" si="110"/>
        <v>25.721758943257154</v>
      </c>
      <c r="W289" s="402">
        <f t="shared" si="111"/>
        <v>24.31157017257739</v>
      </c>
      <c r="X289" s="157">
        <f t="shared" si="112"/>
        <v>45566</v>
      </c>
      <c r="Y289" s="385">
        <f t="shared" si="113"/>
        <v>23.160071196844651</v>
      </c>
      <c r="Z289" s="385">
        <f t="shared" si="114"/>
        <v>24.387108225830126</v>
      </c>
      <c r="AA289" s="386">
        <f t="shared" si="115"/>
        <v>28.022797521482204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0.12974041199366232</v>
      </c>
      <c r="AD289" s="231">
        <f>(INDEX(Models!$BJ289:$BT289,,AH289)*(1-AF289)+INDEX(Models!$BJ289:$BT289,,AH289+1)*AF289-ERP_i)*AE289*Ramure*Pc/MaxiM</f>
        <v>1.165427280796137E-2</v>
      </c>
      <c r="AE289" s="305">
        <f t="shared" si="117"/>
        <v>0.7</v>
      </c>
      <c r="AF289" s="177">
        <f t="shared" si="118"/>
        <v>0.59558327109172138</v>
      </c>
      <c r="AG289" s="817">
        <f t="shared" si="124"/>
        <v>0</v>
      </c>
      <c r="AH289" s="176">
        <f t="shared" si="119"/>
        <v>6</v>
      </c>
      <c r="AI289" s="225">
        <f t="shared" si="120"/>
        <v>0.59558327109172138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45567</v>
      </c>
      <c r="B290" s="411">
        <f>'2023'!Wh/'2023'!Env_an*'2024'!Env_an</f>
        <v>22.441867750999204</v>
      </c>
      <c r="C290" s="846"/>
      <c r="D290" s="393">
        <f t="shared" si="102"/>
        <v>23.631371438768916</v>
      </c>
      <c r="E290" s="385">
        <f t="shared" si="100"/>
        <v>25.869849881066081</v>
      </c>
      <c r="F290" s="385">
        <f t="shared" si="103"/>
        <v>26.156395365461862</v>
      </c>
      <c r="G290" s="110">
        <f t="shared" si="101"/>
        <v>0.87945428010707416</v>
      </c>
      <c r="H290" s="414" t="b">
        <f>Wh_hp&gt;='2023'!Maxi_hp</f>
        <v>0</v>
      </c>
      <c r="I290" s="390">
        <f>IF(H290,Wh_hp,'2023'!Maxi_hp)</f>
        <v>28.585247689548495</v>
      </c>
      <c r="J290" s="85">
        <f>IF(H290,An,'2023'!An_max)</f>
        <v>2018</v>
      </c>
      <c r="K290" s="197">
        <f t="shared" si="104"/>
        <v>45567</v>
      </c>
      <c r="L290" s="147">
        <f>IF(t&lt;Tvie,1-EXP((T0-t)*PertePVj)+'2023'!Pspv,1-EXP((T0-t)*PertePVj)+Pspv)</f>
        <v>5.0335787360112683E-2</v>
      </c>
      <c r="M290" s="850"/>
      <c r="N290" s="850"/>
      <c r="O290" s="48">
        <f>IF(t&lt;Tnet,'2023'!Resal+('2023'!Salim-'2023'!Resal)*(1-EXP(('2023'!Tnet-t)/('2023'!Tau_j))),Resal+(Salim-Resal)*(1-EXP((Tnet-t)/(Tau_j))))*Salcycl</f>
        <v>8.6528466635420534E-2</v>
      </c>
      <c r="P290" s="169">
        <f>(INDEX(Models!$BJ290:$BT290,,T290)*(1-R290)+INDEX(Models!$BJ290:$BT290,,T290+1)*R290-ERP_i)*Q290*Ramure*Pc/MaxiM</f>
        <v>1.3188794122582946E-2</v>
      </c>
      <c r="Q290" s="305">
        <f t="shared" si="105"/>
        <v>0.7</v>
      </c>
      <c r="R290" s="177">
        <f t="shared" si="106"/>
        <v>0.59576614843750941</v>
      </c>
      <c r="S290" s="817">
        <f t="shared" si="107"/>
        <v>0</v>
      </c>
      <c r="T290" s="176">
        <f t="shared" si="108"/>
        <v>6</v>
      </c>
      <c r="U290" s="251">
        <f t="shared" si="109"/>
        <v>0.59576614843750941</v>
      </c>
      <c r="V290" s="383">
        <f t="shared" si="110"/>
        <v>25.460315974893188</v>
      </c>
      <c r="W290" s="402">
        <f t="shared" si="111"/>
        <v>22.441867750999204</v>
      </c>
      <c r="X290" s="157">
        <f t="shared" si="112"/>
        <v>45567</v>
      </c>
      <c r="Y290" s="385">
        <f t="shared" si="113"/>
        <v>21.380732275756174</v>
      </c>
      <c r="Z290" s="385">
        <f t="shared" si="114"/>
        <v>22.513991778548515</v>
      </c>
      <c r="AA290" s="386">
        <f t="shared" si="115"/>
        <v>25.869849881066081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0.12972081855695991</v>
      </c>
      <c r="AD290" s="231">
        <f>(INDEX(Models!$BJ290:$BT290,,AH290)*(1-AF290)+INDEX(Models!$BJ290:$BT290,,AH290+1)*AF290-ERP_i)*AE290*Ramure*Pc/MaxiM</f>
        <v>1.3188794122582946E-2</v>
      </c>
      <c r="AE290" s="305">
        <f t="shared" si="117"/>
        <v>0.7</v>
      </c>
      <c r="AF290" s="177">
        <f t="shared" si="118"/>
        <v>0.59576614843750941</v>
      </c>
      <c r="AG290" s="817">
        <f t="shared" si="124"/>
        <v>0</v>
      </c>
      <c r="AH290" s="176">
        <f t="shared" si="119"/>
        <v>6</v>
      </c>
      <c r="AI290" s="225">
        <f t="shared" si="120"/>
        <v>0.59576614843750941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45568</v>
      </c>
      <c r="B291" s="411">
        <f>'2023'!Wh/'2023'!Env_an*'2024'!Env_an</f>
        <v>25.077451703578117</v>
      </c>
      <c r="C291" s="846"/>
      <c r="D291" s="393">
        <f t="shared" si="102"/>
        <v>26.407229673790042</v>
      </c>
      <c r="E291" s="385">
        <f t="shared" si="100"/>
        <v>28.910399087783002</v>
      </c>
      <c r="F291" s="385">
        <f t="shared" si="103"/>
        <v>29.341112987017748</v>
      </c>
      <c r="G291" s="110">
        <f t="shared" si="101"/>
        <v>0.99520825005393421</v>
      </c>
      <c r="H291" s="414" t="b">
        <f>Wh_hp&gt;='2023'!Maxi_hp</f>
        <v>0</v>
      </c>
      <c r="I291" s="390">
        <f>IF(H291,Wh_hp,'2023'!Maxi_hp)</f>
        <v>29.342644538407928</v>
      </c>
      <c r="J291" s="85">
        <f>IF(H291,An,'2023'!An_max)</f>
        <v>2022</v>
      </c>
      <c r="K291" s="197">
        <f t="shared" si="104"/>
        <v>45568</v>
      </c>
      <c r="L291" s="147">
        <f>IF(t&lt;Tvie,1-EXP((T0-t)*PertePVj)+'2023'!Pspv,1-EXP((T0-t)*PertePVj)+Pspv)</f>
        <v>5.0356587443618483E-2</v>
      </c>
      <c r="M291" s="850"/>
      <c r="N291" s="850"/>
      <c r="O291" s="48">
        <f>IF(t&lt;Tnet,'2023'!Resal+('2023'!Salim-'2023'!Resal)*(1-EXP(('2023'!Tnet-t)/('2023'!Tau_j))),Resal+(Salim-Resal)*(1-EXP((Tnet-t)/(Tau_j))))*Salcycl</f>
        <v>8.6583703199405185E-2</v>
      </c>
      <c r="P291" s="169">
        <f>(INDEX(Models!$BJ291:$BT291,,T291)*(1-R291)+INDEX(Models!$BJ291:$BT291,,T291+1)*R291-ERP_i)*Q291*Ramure*Pc/MaxiM</f>
        <v>1.4778587434725222E-2</v>
      </c>
      <c r="Q291" s="305">
        <f t="shared" si="105"/>
        <v>0.7</v>
      </c>
      <c r="R291" s="177">
        <f t="shared" si="106"/>
        <v>0.59594178940383991</v>
      </c>
      <c r="S291" s="817">
        <f t="shared" si="107"/>
        <v>0</v>
      </c>
      <c r="T291" s="176">
        <f t="shared" si="108"/>
        <v>6</v>
      </c>
      <c r="U291" s="251">
        <f t="shared" si="109"/>
        <v>0.59594178940383991</v>
      </c>
      <c r="V291" s="383">
        <f t="shared" si="110"/>
        <v>25.195662029792693</v>
      </c>
      <c r="W291" s="402">
        <f t="shared" si="111"/>
        <v>25.077451703578117</v>
      </c>
      <c r="X291" s="157">
        <f t="shared" si="112"/>
        <v>45568</v>
      </c>
      <c r="Y291" s="385">
        <f t="shared" si="113"/>
        <v>23.893729348120733</v>
      </c>
      <c r="Z291" s="385">
        <f t="shared" si="114"/>
        <v>25.160738264692728</v>
      </c>
      <c r="AA291" s="386">
        <f t="shared" si="115"/>
        <v>28.910399087783002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0.12969937951063473</v>
      </c>
      <c r="AD291" s="231">
        <f>(INDEX(Models!$BJ291:$BT291,,AH291)*(1-AF291)+INDEX(Models!$BJ291:$BT291,,AH291+1)*AF291-ERP_i)*AE291*Ramure*Pc/MaxiM</f>
        <v>1.4778587434725222E-2</v>
      </c>
      <c r="AE291" s="305">
        <f t="shared" si="117"/>
        <v>0.7</v>
      </c>
      <c r="AF291" s="177">
        <f t="shared" si="118"/>
        <v>0.59594178940383991</v>
      </c>
      <c r="AG291" s="817">
        <f t="shared" si="124"/>
        <v>0</v>
      </c>
      <c r="AH291" s="176">
        <f t="shared" si="119"/>
        <v>6</v>
      </c>
      <c r="AI291" s="225">
        <f t="shared" si="120"/>
        <v>0.59594178940383991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45569</v>
      </c>
      <c r="B292" s="411">
        <f>'2023'!Wh/'2023'!Env_an*'2024'!Env_an</f>
        <v>25.184061292755338</v>
      </c>
      <c r="C292" s="846"/>
      <c r="D292" s="393">
        <f t="shared" si="102"/>
        <v>26.520073290054249</v>
      </c>
      <c r="E292" s="385">
        <f t="shared" si="100"/>
        <v>29.03565066658534</v>
      </c>
      <c r="F292" s="385">
        <f t="shared" si="103"/>
        <v>29.520531135154268</v>
      </c>
      <c r="G292" s="110">
        <f t="shared" si="101"/>
        <v>1.0102798254760539</v>
      </c>
      <c r="H292" s="414" t="b">
        <f>Wh_hp&gt;='2023'!Maxi_hp</f>
        <v>1</v>
      </c>
      <c r="I292" s="390">
        <f>IF(H292,Wh_hp,'2023'!Maxi_hp)</f>
        <v>29.520531135154268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5.037738707154904E-2</v>
      </c>
      <c r="M292" s="850"/>
      <c r="N292" s="850"/>
      <c r="O292" s="48">
        <f>IF(t&lt;Tnet,'2023'!Resal+('2023'!Salim-'2023'!Resal)*(1-EXP(('2023'!Tnet-t)/('2023'!Tau_j))),Resal+(Salim-Resal)*(1-EXP((Tnet-t)/(Tau_j))))*Salcycl</f>
        <v>8.6637541049701852E-2</v>
      </c>
      <c r="P292" s="169">
        <f>(INDEX(Models!$BJ292:$BT292,,T292)*(1-R292)+INDEX(Models!$BJ292:$BT292,,T292+1)*R292-ERP_i)*Q292*Ramure*Pc/MaxiM</f>
        <v>1.6425194599277142E-2</v>
      </c>
      <c r="Q292" s="305">
        <f t="shared" si="105"/>
        <v>0.7</v>
      </c>
      <c r="R292" s="177">
        <f t="shared" si="106"/>
        <v>0.59611047546782159</v>
      </c>
      <c r="S292" s="817">
        <f t="shared" si="107"/>
        <v>0</v>
      </c>
      <c r="T292" s="176">
        <f t="shared" si="108"/>
        <v>6</v>
      </c>
      <c r="U292" s="251">
        <f t="shared" si="109"/>
        <v>0.59611047546782159</v>
      </c>
      <c r="V292" s="383">
        <f t="shared" si="110"/>
        <v>24.927807779283679</v>
      </c>
      <c r="W292" s="402">
        <f t="shared" si="111"/>
        <v>25.184061292755338</v>
      </c>
      <c r="X292" s="157">
        <f t="shared" si="112"/>
        <v>45569</v>
      </c>
      <c r="Y292" s="385">
        <f t="shared" si="113"/>
        <v>23.997363678932444</v>
      </c>
      <c r="Z292" s="385">
        <f t="shared" si="114"/>
        <v>25.270421483466212</v>
      </c>
      <c r="AA292" s="386">
        <f t="shared" si="115"/>
        <v>29.03565066658534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0.12967607395319064</v>
      </c>
      <c r="AD292" s="231">
        <f>(INDEX(Models!$BJ292:$BT292,,AH292)*(1-AF292)+INDEX(Models!$BJ292:$BT292,,AH292+1)*AF292-ERP_i)*AE292*Ramure*Pc/MaxiM</f>
        <v>1.6425194599277142E-2</v>
      </c>
      <c r="AE292" s="305">
        <f t="shared" si="117"/>
        <v>0.7</v>
      </c>
      <c r="AF292" s="177">
        <f t="shared" si="118"/>
        <v>0.59611047546782159</v>
      </c>
      <c r="AG292" s="817">
        <f t="shared" si="124"/>
        <v>0</v>
      </c>
      <c r="AH292" s="176">
        <f t="shared" si="119"/>
        <v>6</v>
      </c>
      <c r="AI292" s="225">
        <f t="shared" si="120"/>
        <v>0.59611047546782159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45570</v>
      </c>
      <c r="B293" s="411">
        <f>'2023'!Wh/'2023'!Env_an*'2024'!Env_an</f>
        <v>8.281503102695785</v>
      </c>
      <c r="C293" s="846"/>
      <c r="D293" s="393">
        <f t="shared" si="102"/>
        <v>8.7210270481043626</v>
      </c>
      <c r="E293" s="385">
        <f t="shared" si="100"/>
        <v>9.5488133571571989</v>
      </c>
      <c r="F293" s="385">
        <f t="shared" si="103"/>
        <v>9.5576932414159081</v>
      </c>
      <c r="G293" s="110">
        <f t="shared" si="101"/>
        <v>0.33008870090638143</v>
      </c>
      <c r="H293" s="414" t="b">
        <f>Wh_hp&gt;='2023'!Maxi_hp</f>
        <v>0</v>
      </c>
      <c r="I293" s="390">
        <f>IF(H293,Wh_hp,'2023'!Maxi_hp)</f>
        <v>25.825303664148674</v>
      </c>
      <c r="J293" s="85">
        <f>IF(H293,An,'2023'!An_max)</f>
        <v>2018</v>
      </c>
      <c r="K293" s="197">
        <f t="shared" si="104"/>
        <v>45570</v>
      </c>
      <c r="L293" s="147">
        <f>IF(t&lt;Tvie,1-EXP((T0-t)*PertePVj)+'2023'!Pspv,1-EXP((T0-t)*PertePVj)+Pspv)</f>
        <v>5.0398186243914345E-2</v>
      </c>
      <c r="M293" s="850"/>
      <c r="N293" s="850"/>
      <c r="O293" s="48">
        <f>IF(t&lt;Tnet,'2023'!Resal+('2023'!Salim-'2023'!Resal)*(1-EXP(('2023'!Tnet-t)/('2023'!Tau_j))),Resal+(Salim-Resal)*(1-EXP((Tnet-t)/(Tau_j))))*Salcycl</f>
        <v>8.6689966395916557E-2</v>
      </c>
      <c r="P293" s="169">
        <f>(INDEX(Models!$BJ293:$BT293,,T293)*(1-R293)+INDEX(Models!$BJ293:$BT293,,T293+1)*R293-ERP_i)*Q293*Ramure*Pc/MaxiM</f>
        <v>1.81302313231698E-2</v>
      </c>
      <c r="Q293" s="305">
        <f t="shared" si="105"/>
        <v>0.7</v>
      </c>
      <c r="R293" s="177">
        <f t="shared" si="106"/>
        <v>0.59627247753886081</v>
      </c>
      <c r="S293" s="817">
        <f t="shared" si="107"/>
        <v>0</v>
      </c>
      <c r="T293" s="176">
        <f t="shared" si="108"/>
        <v>6</v>
      </c>
      <c r="U293" s="251">
        <f t="shared" si="109"/>
        <v>0.59627247753886081</v>
      </c>
      <c r="V293" s="383">
        <f t="shared" si="110"/>
        <v>24.656764196301992</v>
      </c>
      <c r="W293" s="402">
        <f t="shared" si="111"/>
        <v>8.281503102695785</v>
      </c>
      <c r="X293" s="157">
        <f t="shared" si="112"/>
        <v>45570</v>
      </c>
      <c r="Y293" s="385">
        <f t="shared" si="113"/>
        <v>7.8919519434065464</v>
      </c>
      <c r="Z293" s="385">
        <f t="shared" si="114"/>
        <v>8.3108012527803261</v>
      </c>
      <c r="AA293" s="386">
        <f t="shared" si="115"/>
        <v>9.5488133571571989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0.12965088520124179</v>
      </c>
      <c r="AD293" s="231">
        <f>(INDEX(Models!$BJ293:$BT293,,AH293)*(1-AF293)+INDEX(Models!$BJ293:$BT293,,AH293+1)*AF293-ERP_i)*AE293*Ramure*Pc/MaxiM</f>
        <v>1.81302313231698E-2</v>
      </c>
      <c r="AE293" s="305">
        <f t="shared" si="117"/>
        <v>0.7</v>
      </c>
      <c r="AF293" s="177">
        <f t="shared" si="118"/>
        <v>0.59627247753886081</v>
      </c>
      <c r="AG293" s="817">
        <f t="shared" si="124"/>
        <v>0</v>
      </c>
      <c r="AH293" s="176">
        <f t="shared" si="119"/>
        <v>6</v>
      </c>
      <c r="AI293" s="225">
        <f t="shared" si="120"/>
        <v>0.59627247753886081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45571</v>
      </c>
      <c r="B294" s="411">
        <f>'2023'!Wh/'2023'!Env_an*'2024'!Env_an</f>
        <v>17.224760348669918</v>
      </c>
      <c r="C294" s="846"/>
      <c r="D294" s="393">
        <f t="shared" si="102"/>
        <v>18.139326793467415</v>
      </c>
      <c r="E294" s="385">
        <f t="shared" si="100"/>
        <v>19.862192617028835</v>
      </c>
      <c r="F294" s="385">
        <f t="shared" si="103"/>
        <v>20.094317825170762</v>
      </c>
      <c r="G294" s="110">
        <f t="shared" si="101"/>
        <v>0.70047510708694427</v>
      </c>
      <c r="H294" s="414" t="b">
        <f>Wh_hp&gt;='2023'!Maxi_hp</f>
        <v>0</v>
      </c>
      <c r="I294" s="390">
        <f>IF(H294,Wh_hp,'2023'!Maxi_hp)</f>
        <v>28.972781254005142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5.0418984960724389E-2</v>
      </c>
      <c r="M294" s="850"/>
      <c r="N294" s="850"/>
      <c r="O294" s="48">
        <f>IF(t&lt;Tnet,'2023'!Resal+('2023'!Salim-'2023'!Resal)*(1-EXP(('2023'!Tnet-t)/('2023'!Tau_j))),Resal+(Salim-Resal)*(1-EXP((Tnet-t)/(Tau_j))))*Salcycl</f>
        <v>8.6740968471140656E-2</v>
      </c>
      <c r="P294" s="169">
        <f>(INDEX(Models!$BJ294:$BT294,,T294)*(1-R294)+INDEX(Models!$BJ294:$BT294,,T294+1)*R294-ERP_i)*Q294*Ramure*Pc/MaxiM</f>
        <v>1.9895392923160476E-2</v>
      </c>
      <c r="Q294" s="305">
        <f t="shared" si="105"/>
        <v>0.7</v>
      </c>
      <c r="R294" s="177">
        <f t="shared" si="106"/>
        <v>0.59642805632538365</v>
      </c>
      <c r="S294" s="817">
        <f t="shared" si="107"/>
        <v>0</v>
      </c>
      <c r="T294" s="176">
        <f t="shared" si="108"/>
        <v>6</v>
      </c>
      <c r="U294" s="251">
        <f t="shared" si="109"/>
        <v>0.59642805632538365</v>
      </c>
      <c r="V294" s="383">
        <f t="shared" si="110"/>
        <v>24.382542528907017</v>
      </c>
      <c r="W294" s="402">
        <f t="shared" si="111"/>
        <v>17.224760348669918</v>
      </c>
      <c r="X294" s="157">
        <f t="shared" si="112"/>
        <v>45571</v>
      </c>
      <c r="Y294" s="385">
        <f t="shared" si="113"/>
        <v>16.415957489806601</v>
      </c>
      <c r="Z294" s="385">
        <f t="shared" si="114"/>
        <v>17.287579711276791</v>
      </c>
      <c r="AA294" s="386">
        <f t="shared" si="115"/>
        <v>19.862192617028835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0.12962380112781213</v>
      </c>
      <c r="AD294" s="231">
        <f>(INDEX(Models!$BJ294:$BT294,,AH294)*(1-AF294)+INDEX(Models!$BJ294:$BT294,,AH294+1)*AF294-ERP_i)*AE294*Ramure*Pc/MaxiM</f>
        <v>1.9895392923160476E-2</v>
      </c>
      <c r="AE294" s="305">
        <f t="shared" si="117"/>
        <v>0.7</v>
      </c>
      <c r="AF294" s="177">
        <f t="shared" si="118"/>
        <v>0.59642805632538365</v>
      </c>
      <c r="AG294" s="817">
        <f t="shared" si="124"/>
        <v>0</v>
      </c>
      <c r="AH294" s="176">
        <f t="shared" si="119"/>
        <v>6</v>
      </c>
      <c r="AI294" s="225">
        <f t="shared" si="120"/>
        <v>0.59642805632538365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45572</v>
      </c>
      <c r="B295" s="411">
        <f>'2023'!Wh/'2023'!Env_an*'2024'!Env_an</f>
        <v>10.909887707948879</v>
      </c>
      <c r="C295" s="846"/>
      <c r="D295" s="393">
        <f t="shared" si="102"/>
        <v>11.489411113881369</v>
      </c>
      <c r="E295" s="385">
        <f t="shared" si="100"/>
        <v>12.581353582215648</v>
      </c>
      <c r="F295" s="385">
        <f t="shared" si="103"/>
        <v>12.641214296762168</v>
      </c>
      <c r="G295" s="110">
        <f t="shared" si="101"/>
        <v>0.44487077188509688</v>
      </c>
      <c r="H295" s="414" t="b">
        <f>Wh_hp&gt;='2023'!Maxi_hp</f>
        <v>0</v>
      </c>
      <c r="I295" s="390">
        <f>IF(H295,Wh_hp,'2023'!Maxi_hp)</f>
        <v>28.425909994617459</v>
      </c>
      <c r="J295" s="85">
        <f>IF(H295,An,'2023'!An_max)</f>
        <v>2021</v>
      </c>
      <c r="K295" s="197">
        <f t="shared" si="104"/>
        <v>45572</v>
      </c>
      <c r="L295" s="147">
        <f>IF(t&lt;Tvie,1-EXP((T0-t)*PertePVj)+'2023'!Pspv,1-EXP((T0-t)*PertePVj)+Pspv)</f>
        <v>5.0439783221989165E-2</v>
      </c>
      <c r="M295" s="850"/>
      <c r="N295" s="850"/>
      <c r="O295" s="48">
        <f>IF(t&lt;Tnet,'2023'!Resal+('2023'!Salim-'2023'!Resal)*(1-EXP(('2023'!Tnet-t)/('2023'!Tau_j))),Resal+(Salim-Resal)*(1-EXP((Tnet-t)/(Tau_j))))*Salcycl</f>
        <v>8.6790539761778293E-2</v>
      </c>
      <c r="P295" s="169">
        <f>(INDEX(Models!$BJ295:$BT295,,T295)*(1-R295)+INDEX(Models!$BJ295:$BT295,,T295+1)*R295-ERP_i)*Q295*Ramure*Pc/MaxiM</f>
        <v>2.1722460714216584E-2</v>
      </c>
      <c r="Q295" s="305">
        <f t="shared" si="105"/>
        <v>0.7</v>
      </c>
      <c r="R295" s="177">
        <f t="shared" si="106"/>
        <v>0.59657746269124479</v>
      </c>
      <c r="S295" s="817">
        <f t="shared" si="107"/>
        <v>0</v>
      </c>
      <c r="T295" s="176">
        <f t="shared" si="108"/>
        <v>6</v>
      </c>
      <c r="U295" s="251">
        <f t="shared" si="109"/>
        <v>0.59657746269124479</v>
      </c>
      <c r="V295" s="383">
        <f t="shared" si="110"/>
        <v>24.105154280913251</v>
      </c>
      <c r="W295" s="402">
        <f t="shared" si="111"/>
        <v>10.909887707948879</v>
      </c>
      <c r="X295" s="157">
        <f t="shared" si="112"/>
        <v>45572</v>
      </c>
      <c r="Y295" s="385">
        <f t="shared" si="113"/>
        <v>10.398515617527334</v>
      </c>
      <c r="Z295" s="385">
        <f t="shared" si="114"/>
        <v>10.950875398730304</v>
      </c>
      <c r="AA295" s="386">
        <f t="shared" si="115"/>
        <v>12.581353582215648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0.12959481448721885</v>
      </c>
      <c r="AD295" s="231">
        <f>(INDEX(Models!$BJ295:$BT295,,AH295)*(1-AF295)+INDEX(Models!$BJ295:$BT295,,AH295+1)*AF295-ERP_i)*AE295*Ramure*Pc/MaxiM</f>
        <v>2.1722460714216584E-2</v>
      </c>
      <c r="AE295" s="305">
        <f t="shared" si="117"/>
        <v>0.7</v>
      </c>
      <c r="AF295" s="177">
        <f t="shared" si="118"/>
        <v>0.59657746269124479</v>
      </c>
      <c r="AG295" s="817">
        <f t="shared" si="124"/>
        <v>0</v>
      </c>
      <c r="AH295" s="176">
        <f t="shared" si="119"/>
        <v>6</v>
      </c>
      <c r="AI295" s="225">
        <f t="shared" si="120"/>
        <v>0.59657746269124479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45573</v>
      </c>
      <c r="B296" s="411">
        <f>'2023'!Wh/'2023'!Env_an*'2024'!Env_an</f>
        <v>22.736746059182714</v>
      </c>
      <c r="C296" s="846"/>
      <c r="D296" s="393">
        <f t="shared" si="102"/>
        <v>23.945025983009177</v>
      </c>
      <c r="E296" s="385">
        <f t="shared" si="100"/>
        <v>26.222120188005494</v>
      </c>
      <c r="F296" s="385">
        <f t="shared" si="103"/>
        <v>26.813220752483659</v>
      </c>
      <c r="G296" s="110">
        <f t="shared" si="101"/>
        <v>0.95280827578783478</v>
      </c>
      <c r="H296" s="414" t="b">
        <f>Wh_hp&gt;='2023'!Maxi_hp</f>
        <v>0</v>
      </c>
      <c r="I296" s="390">
        <f>IF(H296,Wh_hp,'2023'!Maxi_hp)</f>
        <v>26.833200173835117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5.0460581027718665E-2</v>
      </c>
      <c r="M296" s="850"/>
      <c r="N296" s="850"/>
      <c r="O296" s="48">
        <f>IF(t&lt;Tnet,'2023'!Resal+('2023'!Salim-'2023'!Resal)*(1-EXP(('2023'!Tnet-t)/('2023'!Tau_j))),Resal+(Salim-Resal)*(1-EXP((Tnet-t)/(Tau_j))))*Salcycl</f>
        <v>8.6838676227176462E-2</v>
      </c>
      <c r="P296" s="169">
        <f>(INDEX(Models!$BJ296:$BT296,,T296)*(1-R296)+INDEX(Models!$BJ296:$BT296,,T296+1)*R296-ERP_i)*Q296*Ramure*Pc/MaxiM</f>
        <v>2.3584495077598036E-2</v>
      </c>
      <c r="Q296" s="305">
        <f t="shared" si="105"/>
        <v>0.7</v>
      </c>
      <c r="R296" s="177">
        <f t="shared" si="106"/>
        <v>0.5967209380019074</v>
      </c>
      <c r="S296" s="817">
        <f t="shared" si="107"/>
        <v>0</v>
      </c>
      <c r="T296" s="176">
        <f t="shared" si="108"/>
        <v>6</v>
      </c>
      <c r="U296" s="251">
        <f t="shared" si="109"/>
        <v>0.5967209380019074</v>
      </c>
      <c r="V296" s="383">
        <f t="shared" si="110"/>
        <v>23.825314267840614</v>
      </c>
      <c r="W296" s="402">
        <f t="shared" si="111"/>
        <v>22.736746059182714</v>
      </c>
      <c r="X296" s="157">
        <f t="shared" si="112"/>
        <v>45573</v>
      </c>
      <c r="Y296" s="385">
        <f t="shared" si="113"/>
        <v>21.672932835848759</v>
      </c>
      <c r="Z296" s="385">
        <f t="shared" si="114"/>
        <v>22.824679421214665</v>
      </c>
      <c r="AA296" s="386">
        <f t="shared" si="115"/>
        <v>26.222120188005494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0.12956392322329779</v>
      </c>
      <c r="AD296" s="231">
        <f>(INDEX(Models!$BJ296:$BT296,,AH296)*(1-AF296)+INDEX(Models!$BJ296:$BT296,,AH296+1)*AF296-ERP_i)*AE296*Ramure*Pc/MaxiM</f>
        <v>2.3584495077598036E-2</v>
      </c>
      <c r="AE296" s="305">
        <f t="shared" si="117"/>
        <v>0.7</v>
      </c>
      <c r="AF296" s="177">
        <f t="shared" si="118"/>
        <v>0.5967209380019074</v>
      </c>
      <c r="AG296" s="817">
        <f t="shared" si="124"/>
        <v>0</v>
      </c>
      <c r="AH296" s="176">
        <f t="shared" si="119"/>
        <v>6</v>
      </c>
      <c r="AI296" s="225">
        <f t="shared" si="120"/>
        <v>0.5967209380019074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45574</v>
      </c>
      <c r="B297" s="411">
        <f>'2023'!Wh/'2023'!Env_an*'2024'!Env_an</f>
        <v>18.169255873197212</v>
      </c>
      <c r="C297" s="846"/>
      <c r="D297" s="393">
        <f t="shared" si="102"/>
        <v>19.135228587890563</v>
      </c>
      <c r="E297" s="385">
        <f t="shared" ref="E297:E360" si="125">Wh_pvt/(1-Psa)</f>
        <v>20.95599842180167</v>
      </c>
      <c r="F297" s="385">
        <f t="shared" si="103"/>
        <v>21.321536479397018</v>
      </c>
      <c r="G297" s="110">
        <f t="shared" ref="G297:G360" si="126">+Wh_hp/MaxiM</f>
        <v>0.76519908120421543</v>
      </c>
      <c r="H297" s="414" t="b">
        <f>Wh_hp&gt;='2023'!Maxi_hp</f>
        <v>0</v>
      </c>
      <c r="I297" s="390">
        <f>IF(H297,Wh_hp,'2023'!Maxi_hp)</f>
        <v>21.405536530211585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5.0481378377922881E-2</v>
      </c>
      <c r="M297" s="850"/>
      <c r="N297" s="850"/>
      <c r="O297" s="48">
        <f>IF(t&lt;Tnet,'2023'!Resal+('2023'!Salim-'2023'!Resal)*(1-EXP(('2023'!Tnet-t)/('2023'!Tau_j))),Resal+(Salim-Resal)*(1-EXP((Tnet-t)/(Tau_j))))*Salcycl</f>
        <v>8.6885377506846023E-2</v>
      </c>
      <c r="P297" s="169">
        <f>(INDEX(Models!$BJ297:$BT297,,T297)*(1-R297)+INDEX(Models!$BJ297:$BT297,,T297+1)*R297-ERP_i)*Q297*Ramure*Pc/MaxiM</f>
        <v>2.5440974839597143E-2</v>
      </c>
      <c r="Q297" s="305">
        <f t="shared" si="105"/>
        <v>0.7</v>
      </c>
      <c r="R297" s="177">
        <f t="shared" si="106"/>
        <v>0.59685871446049843</v>
      </c>
      <c r="S297" s="817">
        <f t="shared" si="107"/>
        <v>0</v>
      </c>
      <c r="T297" s="176">
        <f t="shared" si="108"/>
        <v>6</v>
      </c>
      <c r="U297" s="251">
        <f t="shared" si="109"/>
        <v>0.59685871446049843</v>
      </c>
      <c r="V297" s="383">
        <f t="shared" si="110"/>
        <v>23.544040142200711</v>
      </c>
      <c r="W297" s="402">
        <f t="shared" si="111"/>
        <v>18.169255873197212</v>
      </c>
      <c r="X297" s="157">
        <f t="shared" si="112"/>
        <v>45574</v>
      </c>
      <c r="Y297" s="385">
        <f t="shared" si="113"/>
        <v>17.32068595258227</v>
      </c>
      <c r="Z297" s="385">
        <f t="shared" si="114"/>
        <v>18.241544250067555</v>
      </c>
      <c r="AA297" s="386">
        <f t="shared" si="115"/>
        <v>20.95599842180167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0.12953113075777475</v>
      </c>
      <c r="AD297" s="231">
        <f>(INDEX(Models!$BJ297:$BT297,,AH297)*(1-AF297)+INDEX(Models!$BJ297:$BT297,,AH297+1)*AF297-ERP_i)*AE297*Ramure*Pc/MaxiM</f>
        <v>2.5440974839597143E-2</v>
      </c>
      <c r="AE297" s="305">
        <f t="shared" si="117"/>
        <v>0.7</v>
      </c>
      <c r="AF297" s="177">
        <f t="shared" si="118"/>
        <v>0.59685871446049843</v>
      </c>
      <c r="AG297" s="817">
        <f t="shared" si="124"/>
        <v>0</v>
      </c>
      <c r="AH297" s="176">
        <f t="shared" si="119"/>
        <v>6</v>
      </c>
      <c r="AI297" s="225">
        <f t="shared" si="120"/>
        <v>0.59685871446049843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45575</v>
      </c>
      <c r="B298" s="411">
        <f>'2023'!Wh/'2023'!Env_an*'2024'!Env_an</f>
        <v>14.254414808691553</v>
      </c>
      <c r="C298" s="846"/>
      <c r="D298" s="393">
        <f t="shared" si="102"/>
        <v>15.012582901687173</v>
      </c>
      <c r="E298" s="385">
        <f t="shared" si="125"/>
        <v>16.441886757255858</v>
      </c>
      <c r="F298" s="385">
        <f t="shared" si="103"/>
        <v>16.64487904930688</v>
      </c>
      <c r="G298" s="110">
        <f t="shared" si="126"/>
        <v>0.6034289790174322</v>
      </c>
      <c r="H298" s="414" t="b">
        <f>Wh_hp&gt;='2023'!Maxi_hp</f>
        <v>0</v>
      </c>
      <c r="I298" s="390">
        <f>IF(H298,Wh_hp,'2023'!Maxi_hp)</f>
        <v>28.014827724061675</v>
      </c>
      <c r="J298" s="85">
        <f>IF(H298,An,'2023'!An_max)</f>
        <v>2021</v>
      </c>
      <c r="K298" s="197">
        <f t="shared" si="104"/>
        <v>45575</v>
      </c>
      <c r="L298" s="147">
        <f>IF(t&lt;Tvie,1-EXP((T0-t)*PertePVj)+'2023'!Pspv,1-EXP((T0-t)*PertePVj)+Pspv)</f>
        <v>5.0502175272611693E-2</v>
      </c>
      <c r="M298" s="850"/>
      <c r="N298" s="850"/>
      <c r="O298" s="48">
        <f>IF(t&lt;Tnet,'2023'!Resal+('2023'!Salim-'2023'!Resal)*(1-EXP(('2023'!Tnet-t)/('2023'!Tau_j))),Resal+(Salim-Resal)*(1-EXP((Tnet-t)/(Tau_j))))*Salcycl</f>
        <v>8.6930647113107468E-2</v>
      </c>
      <c r="P298" s="169">
        <f>(INDEX(Models!$BJ298:$BT298,,T298)*(1-R298)+INDEX(Models!$BJ298:$BT298,,T298+1)*R298-ERP_i)*Q298*Ramure*Pc/MaxiM</f>
        <v>2.7292167686630609E-2</v>
      </c>
      <c r="Q298" s="305">
        <f t="shared" si="105"/>
        <v>0.7</v>
      </c>
      <c r="R298" s="177">
        <f t="shared" si="106"/>
        <v>0.59699101543386468</v>
      </c>
      <c r="S298" s="817">
        <f t="shared" si="107"/>
        <v>0</v>
      </c>
      <c r="T298" s="176">
        <f t="shared" si="108"/>
        <v>6</v>
      </c>
      <c r="U298" s="251">
        <f t="shared" si="109"/>
        <v>0.59699101543386468</v>
      </c>
      <c r="V298" s="383">
        <f t="shared" si="110"/>
        <v>23.261334887513176</v>
      </c>
      <c r="W298" s="402">
        <f t="shared" si="111"/>
        <v>14.254414808691553</v>
      </c>
      <c r="X298" s="157">
        <f t="shared" si="112"/>
        <v>45575</v>
      </c>
      <c r="Y298" s="385">
        <f t="shared" si="113"/>
        <v>13.58989731533444</v>
      </c>
      <c r="Z298" s="385">
        <f t="shared" si="114"/>
        <v>14.312720852452985</v>
      </c>
      <c r="AA298" s="386">
        <f t="shared" si="115"/>
        <v>16.441886757255858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0.12949644625567469</v>
      </c>
      <c r="AD298" s="231">
        <f>(INDEX(Models!$BJ298:$BT298,,AH298)*(1-AF298)+INDEX(Models!$BJ298:$BT298,,AH298+1)*AF298-ERP_i)*AE298*Ramure*Pc/MaxiM</f>
        <v>2.7292167686630609E-2</v>
      </c>
      <c r="AE298" s="305">
        <f t="shared" si="117"/>
        <v>0.7</v>
      </c>
      <c r="AF298" s="177">
        <f t="shared" si="118"/>
        <v>0.59699101543386468</v>
      </c>
      <c r="AG298" s="817">
        <f t="shared" si="124"/>
        <v>0</v>
      </c>
      <c r="AH298" s="176">
        <f t="shared" si="119"/>
        <v>6</v>
      </c>
      <c r="AI298" s="225">
        <f t="shared" si="120"/>
        <v>0.59699101543386468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45576</v>
      </c>
      <c r="B299" s="411">
        <f>'2023'!Wh/'2023'!Env_an*'2024'!Env_an</f>
        <v>17.25809503315644</v>
      </c>
      <c r="C299" s="846"/>
      <c r="D299" s="393">
        <f t="shared" si="102"/>
        <v>18.176421881707608</v>
      </c>
      <c r="E299" s="385">
        <f t="shared" si="125"/>
        <v>19.907901514831337</v>
      </c>
      <c r="F299" s="385">
        <f t="shared" si="103"/>
        <v>20.28887483468916</v>
      </c>
      <c r="G299" s="110">
        <f t="shared" si="126"/>
        <v>0.74316552006227865</v>
      </c>
      <c r="H299" s="414" t="b">
        <f>Wh_hp&gt;='2023'!Maxi_hp</f>
        <v>0</v>
      </c>
      <c r="I299" s="390">
        <f>IF(H299,Wh_hp,'2023'!Maxi_hp)</f>
        <v>26.927218477967962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5.0522971711795095E-2</v>
      </c>
      <c r="M299" s="850"/>
      <c r="N299" s="850"/>
      <c r="O299" s="48">
        <f>IF(t&lt;Tnet,'2023'!Resal+('2023'!Salim-'2023'!Resal)*(1-EXP(('2023'!Tnet-t)/('2023'!Tau_j))),Resal+(Salim-Resal)*(1-EXP((Tnet-t)/(Tau_j))))*Salcycl</f>
        <v>8.6974492607057544E-2</v>
      </c>
      <c r="P299" s="169">
        <f>(INDEX(Models!$BJ299:$BT299,,T299)*(1-R299)+INDEX(Models!$BJ299:$BT299,,T299+1)*R299-ERP_i)*Q299*Ramure*Pc/MaxiM</f>
        <v>2.9138365748161317E-2</v>
      </c>
      <c r="Q299" s="305">
        <f t="shared" si="105"/>
        <v>0.7</v>
      </c>
      <c r="R299" s="177">
        <f t="shared" si="106"/>
        <v>0.5971180557687662</v>
      </c>
      <c r="S299" s="817">
        <f t="shared" si="107"/>
        <v>0</v>
      </c>
      <c r="T299" s="176">
        <f t="shared" si="108"/>
        <v>6</v>
      </c>
      <c r="U299" s="251">
        <f t="shared" si="109"/>
        <v>0.5971180557687662</v>
      </c>
      <c r="V299" s="383">
        <f t="shared" si="110"/>
        <v>22.977200972594687</v>
      </c>
      <c r="W299" s="402">
        <f t="shared" si="111"/>
        <v>17.25809503315644</v>
      </c>
      <c r="X299" s="157">
        <f t="shared" si="112"/>
        <v>45576</v>
      </c>
      <c r="Y299" s="385">
        <f t="shared" si="113"/>
        <v>16.455032105376713</v>
      </c>
      <c r="Z299" s="385">
        <f t="shared" si="114"/>
        <v>17.33062687682207</v>
      </c>
      <c r="AA299" s="386">
        <f t="shared" si="115"/>
        <v>19.907901514831337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0.12945988486477111</v>
      </c>
      <c r="AD299" s="231">
        <f>(INDEX(Models!$BJ299:$BT299,,AH299)*(1-AF299)+INDEX(Models!$BJ299:$BT299,,AH299+1)*AF299-ERP_i)*AE299*Ramure*Pc/MaxiM</f>
        <v>2.9138365748161317E-2</v>
      </c>
      <c r="AE299" s="305">
        <f t="shared" si="117"/>
        <v>0.7</v>
      </c>
      <c r="AF299" s="177">
        <f t="shared" si="118"/>
        <v>0.5971180557687662</v>
      </c>
      <c r="AG299" s="817">
        <f t="shared" si="124"/>
        <v>0</v>
      </c>
      <c r="AH299" s="176">
        <f t="shared" si="119"/>
        <v>6</v>
      </c>
      <c r="AI299" s="225">
        <f t="shared" si="120"/>
        <v>0.5971180557687662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45577</v>
      </c>
      <c r="B300" s="411">
        <f>'2023'!Wh/'2023'!Env_an*'2024'!Env_an</f>
        <v>13.338697291576061</v>
      </c>
      <c r="C300" s="846"/>
      <c r="D300" s="393">
        <f t="shared" si="102"/>
        <v>14.048775328169075</v>
      </c>
      <c r="E300" s="385">
        <f t="shared" si="125"/>
        <v>15.387771936297694</v>
      </c>
      <c r="F300" s="385">
        <f t="shared" si="103"/>
        <v>15.586314069394531</v>
      </c>
      <c r="G300" s="110">
        <f t="shared" si="126"/>
        <v>0.57696304699929035</v>
      </c>
      <c r="H300" s="414" t="b">
        <f>Wh_hp&gt;='2023'!Maxi_hp</f>
        <v>0</v>
      </c>
      <c r="I300" s="390">
        <f>IF(H300,Wh_hp,'2023'!Maxi_hp)</f>
        <v>25.635281069099932</v>
      </c>
      <c r="J300" s="85">
        <f>IF(H300,An,'2023'!An_max)</f>
        <v>2021</v>
      </c>
      <c r="K300" s="197">
        <f t="shared" si="104"/>
        <v>45577</v>
      </c>
      <c r="L300" s="147">
        <f>IF(t&lt;Tvie,1-EXP((T0-t)*PertePVj)+'2023'!Pspv,1-EXP((T0-t)*PertePVj)+Pspv)</f>
        <v>5.0543767695483188E-2</v>
      </c>
      <c r="M300" s="850"/>
      <c r="N300" s="850"/>
      <c r="O300" s="48">
        <f>IF(t&lt;Tnet,'2023'!Resal+('2023'!Salim-'2023'!Resal)*(1-EXP(('2023'!Tnet-t)/('2023'!Tau_j))),Resal+(Salim-Resal)*(1-EXP((Tnet-t)/(Tau_j))))*Salcycl</f>
        <v>8.7016925755840316E-2</v>
      </c>
      <c r="P300" s="169">
        <f>(INDEX(Models!$BJ300:$BT300,,T300)*(1-R300)+INDEX(Models!$BJ300:$BT300,,T300+1)*R300-ERP_i)*Q300*Ramure*Pc/MaxiM</f>
        <v>3.0979889347053952E-2</v>
      </c>
      <c r="Q300" s="305">
        <f t="shared" si="105"/>
        <v>0.7</v>
      </c>
      <c r="R300" s="177">
        <f t="shared" si="106"/>
        <v>0.59724004209836035</v>
      </c>
      <c r="S300" s="817">
        <f t="shared" si="107"/>
        <v>0</v>
      </c>
      <c r="T300" s="176">
        <f t="shared" si="108"/>
        <v>6</v>
      </c>
      <c r="U300" s="251">
        <f t="shared" si="109"/>
        <v>0.59724004209836035</v>
      </c>
      <c r="V300" s="383">
        <f t="shared" si="110"/>
        <v>22.691640302438593</v>
      </c>
      <c r="W300" s="402">
        <f t="shared" si="111"/>
        <v>13.338697291576061</v>
      </c>
      <c r="X300" s="157">
        <f t="shared" si="112"/>
        <v>45577</v>
      </c>
      <c r="Y300" s="385">
        <f t="shared" si="113"/>
        <v>12.719166253427375</v>
      </c>
      <c r="Z300" s="385">
        <f t="shared" si="114"/>
        <v>13.396263904188041</v>
      </c>
      <c r="AA300" s="386">
        <f t="shared" si="115"/>
        <v>15.387771936297694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0.12942146792622733</v>
      </c>
      <c r="AD300" s="231">
        <f>(INDEX(Models!$BJ300:$BT300,,AH300)*(1-AF300)+INDEX(Models!$BJ300:$BT300,,AH300+1)*AF300-ERP_i)*AE300*Ramure*Pc/MaxiM</f>
        <v>3.0979889347053952E-2</v>
      </c>
      <c r="AE300" s="305">
        <f t="shared" si="117"/>
        <v>0.7</v>
      </c>
      <c r="AF300" s="177">
        <f t="shared" si="118"/>
        <v>0.59724004209836035</v>
      </c>
      <c r="AG300" s="817">
        <f t="shared" si="124"/>
        <v>0</v>
      </c>
      <c r="AH300" s="176">
        <f t="shared" si="119"/>
        <v>6</v>
      </c>
      <c r="AI300" s="225">
        <f t="shared" si="120"/>
        <v>0.59724004209836035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45578</v>
      </c>
      <c r="B301" s="411">
        <f>'2023'!Wh/'2023'!Env_an*'2024'!Env_an</f>
        <v>10.531534262652613</v>
      </c>
      <c r="C301" s="846"/>
      <c r="D301" s="393">
        <f t="shared" si="102"/>
        <v>11.092417509094755</v>
      </c>
      <c r="E301" s="385">
        <f t="shared" si="125"/>
        <v>12.150188134098201</v>
      </c>
      <c r="F301" s="385">
        <f t="shared" si="103"/>
        <v>12.247836251366497</v>
      </c>
      <c r="G301" s="110">
        <f t="shared" si="126"/>
        <v>0.45828789119098434</v>
      </c>
      <c r="H301" s="414" t="b">
        <f>Wh_hp&gt;='2023'!Maxi_hp</f>
        <v>0</v>
      </c>
      <c r="I301" s="390">
        <f>IF(H301,Wh_hp,'2023'!Maxi_hp)</f>
        <v>27.876049215110069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5.0564563223685854E-2</v>
      </c>
      <c r="M301" s="850"/>
      <c r="N301" s="850"/>
      <c r="O301" s="48">
        <f>IF(t&lt;Tnet,'2023'!Resal+('2023'!Salim-'2023'!Resal)*(1-EXP(('2023'!Tnet-t)/('2023'!Tau_j))),Resal+(Salim-Resal)*(1-EXP((Tnet-t)/(Tau_j))))*Salcycl</f>
        <v>8.7057962669312608E-2</v>
      </c>
      <c r="P301" s="169">
        <f>(INDEX(Models!$BJ301:$BT301,,T301)*(1-R301)+INDEX(Models!$BJ301:$BT301,,T301+1)*R301-ERP_i)*Q301*Ramure*Pc/MaxiM</f>
        <v>3.2817090951928779E-2</v>
      </c>
      <c r="Q301" s="305">
        <f t="shared" si="105"/>
        <v>0.7</v>
      </c>
      <c r="R301" s="177">
        <f t="shared" si="106"/>
        <v>0.59735717313914116</v>
      </c>
      <c r="S301" s="817">
        <f t="shared" si="107"/>
        <v>0</v>
      </c>
      <c r="T301" s="176">
        <f t="shared" si="108"/>
        <v>6</v>
      </c>
      <c r="U301" s="251">
        <f t="shared" si="109"/>
        <v>0.59735717313914116</v>
      </c>
      <c r="V301" s="383">
        <f t="shared" si="110"/>
        <v>22.404654175145868</v>
      </c>
      <c r="W301" s="402">
        <f t="shared" si="111"/>
        <v>10.531534262652613</v>
      </c>
      <c r="X301" s="157">
        <f t="shared" si="112"/>
        <v>45578</v>
      </c>
      <c r="Y301" s="385">
        <f t="shared" si="113"/>
        <v>10.043300782680191</v>
      </c>
      <c r="Z301" s="385">
        <f t="shared" si="114"/>
        <v>10.578181931760339</v>
      </c>
      <c r="AA301" s="386">
        <f t="shared" si="115"/>
        <v>12.150188134098201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0.1293812231537548</v>
      </c>
      <c r="AD301" s="231">
        <f>(INDEX(Models!$BJ301:$BT301,,AH301)*(1-AF301)+INDEX(Models!$BJ301:$BT301,,AH301+1)*AF301-ERP_i)*AE301*Ramure*Pc/MaxiM</f>
        <v>3.2817090951928779E-2</v>
      </c>
      <c r="AE301" s="305">
        <f t="shared" si="117"/>
        <v>0.7</v>
      </c>
      <c r="AF301" s="177">
        <f t="shared" si="118"/>
        <v>0.59735717313914116</v>
      </c>
      <c r="AG301" s="817">
        <f t="shared" si="124"/>
        <v>0</v>
      </c>
      <c r="AH301" s="176">
        <f t="shared" si="119"/>
        <v>6</v>
      </c>
      <c r="AI301" s="225">
        <f t="shared" si="120"/>
        <v>0.59735717313914116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45579</v>
      </c>
      <c r="B302" s="411">
        <f>'2023'!Wh/'2023'!Env_an*'2024'!Env_an</f>
        <v>21.730204281297286</v>
      </c>
      <c r="C302" s="846"/>
      <c r="D302" s="393">
        <f t="shared" si="102"/>
        <v>22.88800206652131</v>
      </c>
      <c r="E302" s="385">
        <f t="shared" si="125"/>
        <v>25.071686377529158</v>
      </c>
      <c r="F302" s="385">
        <f t="shared" si="103"/>
        <v>25.948387096043415</v>
      </c>
      <c r="G302" s="110">
        <f t="shared" si="126"/>
        <v>0.98166636764095072</v>
      </c>
      <c r="H302" s="414" t="b">
        <f>Wh_hp&gt;='2023'!Maxi_hp</f>
        <v>0</v>
      </c>
      <c r="I302" s="390">
        <f>IF(H302,Wh_hp,'2023'!Maxi_hp)</f>
        <v>25.958386813134396</v>
      </c>
      <c r="J302" s="85">
        <f>IF(H302,An,'2023'!An_max)</f>
        <v>2022</v>
      </c>
      <c r="K302" s="197">
        <f t="shared" si="104"/>
        <v>45579</v>
      </c>
      <c r="L302" s="147">
        <f>IF(t&lt;Tvie,1-EXP((T0-t)*PertePVj)+'2023'!Pspv,1-EXP((T0-t)*PertePVj)+Pspv)</f>
        <v>5.0585358296413085E-2</v>
      </c>
      <c r="M302" s="850"/>
      <c r="N302" s="850"/>
      <c r="O302" s="48">
        <f>IF(t&lt;Tnet,'2023'!Resal+('2023'!Salim-'2023'!Resal)*(1-EXP(('2023'!Tnet-t)/('2023'!Tau_j))),Resal+(Salim-Resal)*(1-EXP((Tnet-t)/(Tau_j))))*Salcycl</f>
        <v>8.7097623914321437E-2</v>
      </c>
      <c r="P302" s="169">
        <f>(INDEX(Models!$BJ302:$BT302,,T302)*(1-R302)+INDEX(Models!$BJ302:$BT302,,T302+1)*R302-ERP_i)*Q302*Ramure*Pc/MaxiM</f>
        <v>3.465035934376727E-2</v>
      </c>
      <c r="Q302" s="305">
        <f t="shared" si="105"/>
        <v>0.7</v>
      </c>
      <c r="R302" s="177">
        <f t="shared" si="106"/>
        <v>0.59746963997850711</v>
      </c>
      <c r="S302" s="817">
        <f t="shared" si="107"/>
        <v>0</v>
      </c>
      <c r="T302" s="176">
        <f t="shared" si="108"/>
        <v>6</v>
      </c>
      <c r="U302" s="251">
        <f t="shared" si="109"/>
        <v>0.59746963997850711</v>
      </c>
      <c r="V302" s="383">
        <f t="shared" si="110"/>
        <v>22.116243237353213</v>
      </c>
      <c r="W302" s="402">
        <f t="shared" si="111"/>
        <v>21.730204281297286</v>
      </c>
      <c r="X302" s="157">
        <f t="shared" si="112"/>
        <v>45579</v>
      </c>
      <c r="Y302" s="385">
        <f t="shared" si="113"/>
        <v>20.724710407262009</v>
      </c>
      <c r="Z302" s="385">
        <f t="shared" si="114"/>
        <v>21.828934900429303</v>
      </c>
      <c r="AA302" s="386">
        <f t="shared" si="115"/>
        <v>25.071686377529158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0.12933918477881939</v>
      </c>
      <c r="AD302" s="231">
        <f>(INDEX(Models!$BJ302:$BT302,,AH302)*(1-AF302)+INDEX(Models!$BJ302:$BT302,,AH302+1)*AF302-ERP_i)*AE302*Ramure*Pc/MaxiM</f>
        <v>3.465035934376727E-2</v>
      </c>
      <c r="AE302" s="305">
        <f t="shared" si="117"/>
        <v>0.7</v>
      </c>
      <c r="AF302" s="177">
        <f t="shared" si="118"/>
        <v>0.59746963997850711</v>
      </c>
      <c r="AG302" s="817">
        <f t="shared" si="124"/>
        <v>0</v>
      </c>
      <c r="AH302" s="176">
        <f t="shared" si="119"/>
        <v>6</v>
      </c>
      <c r="AI302" s="225">
        <f t="shared" si="120"/>
        <v>0.59746963997850711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45580</v>
      </c>
      <c r="B303" s="411">
        <f>'2023'!Wh/'2023'!Env_an*'2024'!Env_an</f>
        <v>19.309681089971257</v>
      </c>
      <c r="C303" s="846"/>
      <c r="D303" s="393">
        <f t="shared" si="102"/>
        <v>20.33895748243194</v>
      </c>
      <c r="E303" s="385">
        <f t="shared" si="125"/>
        <v>22.280379142353731</v>
      </c>
      <c r="F303" s="385">
        <f t="shared" si="103"/>
        <v>22.980670805547131</v>
      </c>
      <c r="G303" s="110">
        <f t="shared" si="126"/>
        <v>0.87923548114511318</v>
      </c>
      <c r="H303" s="414" t="b">
        <f>Wh_hp&gt;='2023'!Maxi_hp</f>
        <v>0</v>
      </c>
      <c r="I303" s="390">
        <f>IF(H303,Wh_hp,'2023'!Maxi_hp)</f>
        <v>25.248209273651742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5.0606152913674873E-2</v>
      </c>
      <c r="M303" s="850"/>
      <c r="N303" s="850"/>
      <c r="O303" s="48">
        <f>IF(t&lt;Tnet,'2023'!Resal+('2023'!Salim-'2023'!Resal)*(1-EXP(('2023'!Tnet-t)/('2023'!Tau_j))),Resal+(Salim-Resal)*(1-EXP((Tnet-t)/(Tau_j))))*Salcycl</f>
        <v>8.7135934604957443E-2</v>
      </c>
      <c r="P303" s="169">
        <f>(INDEX(Models!$BJ303:$BT303,,T303)*(1-R303)+INDEX(Models!$BJ303:$BT303,,T303+1)*R303-ERP_i)*Q303*Ramure*Pc/MaxiM</f>
        <v>3.6481095014704534E-2</v>
      </c>
      <c r="Q303" s="305">
        <f t="shared" si="105"/>
        <v>0.7</v>
      </c>
      <c r="R303" s="177">
        <f t="shared" si="106"/>
        <v>0.59757762635314016</v>
      </c>
      <c r="S303" s="817">
        <f t="shared" si="107"/>
        <v>0</v>
      </c>
      <c r="T303" s="176">
        <f t="shared" si="108"/>
        <v>6</v>
      </c>
      <c r="U303" s="251">
        <f t="shared" si="109"/>
        <v>0.59757762635314016</v>
      </c>
      <c r="V303" s="383">
        <f t="shared" si="110"/>
        <v>21.825804493811116</v>
      </c>
      <c r="W303" s="402">
        <f t="shared" si="111"/>
        <v>19.309681089971257</v>
      </c>
      <c r="X303" s="157">
        <f t="shared" si="112"/>
        <v>45580</v>
      </c>
      <c r="Y303" s="385">
        <f t="shared" si="113"/>
        <v>18.417888171252656</v>
      </c>
      <c r="Z303" s="385">
        <f t="shared" si="114"/>
        <v>19.399628750256667</v>
      </c>
      <c r="AA303" s="386">
        <f t="shared" si="115"/>
        <v>22.280379142353731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0.12929539365965809</v>
      </c>
      <c r="AD303" s="231">
        <f>(INDEX(Models!$BJ303:$BT303,,AH303)*(1-AF303)+INDEX(Models!$BJ303:$BT303,,AH303+1)*AF303-ERP_i)*AE303*Ramure*Pc/MaxiM</f>
        <v>3.6481095014704534E-2</v>
      </c>
      <c r="AE303" s="305">
        <f t="shared" si="117"/>
        <v>0.7</v>
      </c>
      <c r="AF303" s="177">
        <f t="shared" si="118"/>
        <v>0.59757762635314016</v>
      </c>
      <c r="AG303" s="817">
        <f t="shared" si="124"/>
        <v>0</v>
      </c>
      <c r="AH303" s="176">
        <f t="shared" si="119"/>
        <v>6</v>
      </c>
      <c r="AI303" s="225">
        <f t="shared" si="120"/>
        <v>0.59757762635314016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45581</v>
      </c>
      <c r="B304" s="411">
        <f>'2023'!Wh/'2023'!Env_an*'2024'!Env_an</f>
        <v>11.357502966150713</v>
      </c>
      <c r="C304" s="846"/>
      <c r="D304" s="393">
        <f t="shared" si="102"/>
        <v>11.963161300148791</v>
      </c>
      <c r="E304" s="385">
        <f t="shared" si="125"/>
        <v>13.10561619041329</v>
      </c>
      <c r="F304" s="385">
        <f t="shared" si="103"/>
        <v>13.270696053752788</v>
      </c>
      <c r="G304" s="110">
        <f t="shared" si="126"/>
        <v>0.51363071896546109</v>
      </c>
      <c r="H304" s="414" t="b">
        <f>Wh_hp&gt;='2023'!Maxi_hp</f>
        <v>0</v>
      </c>
      <c r="I304" s="390">
        <f>IF(H304,Wh_hp,'2023'!Maxi_hp)</f>
        <v>23.457499941196161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5.0626947075481099E-2</v>
      </c>
      <c r="M304" s="850"/>
      <c r="N304" s="850"/>
      <c r="O304" s="48">
        <f>IF(t&lt;Tnet,'2023'!Resal+('2023'!Salim-'2023'!Resal)*(1-EXP(('2023'!Tnet-t)/('2023'!Tau_j))),Resal+(Salim-Resal)*(1-EXP((Tnet-t)/(Tau_j))))*Salcycl</f>
        <v>8.7172924467313492E-2</v>
      </c>
      <c r="P304" s="169">
        <f>(INDEX(Models!$BJ304:$BT304,,T304)*(1-R304)+INDEX(Models!$BJ304:$BT304,,T304+1)*R304-ERP_i)*Q304*Ramure*Pc/MaxiM</f>
        <v>3.8286120670498039E-2</v>
      </c>
      <c r="Q304" s="305">
        <f t="shared" si="105"/>
        <v>0.7</v>
      </c>
      <c r="R304" s="177">
        <f t="shared" si="106"/>
        <v>0.597681308918385</v>
      </c>
      <c r="S304" s="817">
        <f t="shared" si="107"/>
        <v>0</v>
      </c>
      <c r="T304" s="176">
        <f t="shared" si="108"/>
        <v>6</v>
      </c>
      <c r="U304" s="251">
        <f t="shared" si="109"/>
        <v>0.597681308918385</v>
      </c>
      <c r="V304" s="383">
        <f t="shared" si="110"/>
        <v>21.533469526100056</v>
      </c>
      <c r="W304" s="402">
        <f t="shared" si="111"/>
        <v>11.357502966150713</v>
      </c>
      <c r="X304" s="157">
        <f t="shared" si="112"/>
        <v>45581</v>
      </c>
      <c r="Y304" s="385">
        <f t="shared" si="113"/>
        <v>10.833976268537139</v>
      </c>
      <c r="Z304" s="385">
        <f t="shared" si="114"/>
        <v>11.411716643066029</v>
      </c>
      <c r="AA304" s="386">
        <f t="shared" si="115"/>
        <v>13.10561619041329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0.12924989735212467</v>
      </c>
      <c r="AD304" s="231">
        <f>(INDEX(Models!$BJ304:$BT304,,AH304)*(1-AF304)+INDEX(Models!$BJ304:$BT304,,AH304+1)*AF304-ERP_i)*AE304*Ramure*Pc/MaxiM</f>
        <v>3.8286120670498039E-2</v>
      </c>
      <c r="AE304" s="305">
        <f t="shared" si="117"/>
        <v>0.7</v>
      </c>
      <c r="AF304" s="177">
        <f t="shared" si="118"/>
        <v>0.597681308918385</v>
      </c>
      <c r="AG304" s="817">
        <f t="shared" si="124"/>
        <v>0</v>
      </c>
      <c r="AH304" s="176">
        <f t="shared" si="119"/>
        <v>6</v>
      </c>
      <c r="AI304" s="225">
        <f t="shared" si="120"/>
        <v>0.597681308918385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45582</v>
      </c>
      <c r="B305" s="411">
        <f>'2023'!Wh/'2023'!Env_an*'2024'!Env_an</f>
        <v>19.480245346975298</v>
      </c>
      <c r="C305" s="846"/>
      <c r="D305" s="393">
        <f t="shared" si="102"/>
        <v>20.519512286217459</v>
      </c>
      <c r="E305" s="385">
        <f t="shared" si="125"/>
        <v>22.479958633376231</v>
      </c>
      <c r="F305" s="385">
        <f t="shared" si="103"/>
        <v>23.303345336662169</v>
      </c>
      <c r="G305" s="110">
        <f t="shared" si="126"/>
        <v>0.91267143763816927</v>
      </c>
      <c r="H305" s="414" t="b">
        <f>Wh_hp&gt;='2023'!Maxi_hp</f>
        <v>0</v>
      </c>
      <c r="I305" s="390">
        <f>IF(H305,Wh_hp,'2023'!Maxi_hp)</f>
        <v>25.579002164286386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5.0647740781841866E-2</v>
      </c>
      <c r="M305" s="850"/>
      <c r="N305" s="850"/>
      <c r="O305" s="48">
        <f>IF(t&lt;Tnet,'2023'!Resal+('2023'!Salim-'2023'!Resal)*(1-EXP(('2023'!Tnet-t)/('2023'!Tau_j))),Resal+(Salim-Resal)*(1-EXP((Tnet-t)/(Tau_j))))*Salcycl</f>
        <v>8.72086278774587E-2</v>
      </c>
      <c r="P305" s="169">
        <f>(INDEX(Models!$BJ305:$BT305,,T305)*(1-R305)+INDEX(Models!$BJ305:$BT305,,T305+1)*R305-ERP_i)*Q305*Ramure*Pc/MaxiM</f>
        <v>4.0074870911441123E-2</v>
      </c>
      <c r="Q305" s="305">
        <f t="shared" si="105"/>
        <v>0.7</v>
      </c>
      <c r="R305" s="177">
        <f t="shared" si="106"/>
        <v>0.59778085750882548</v>
      </c>
      <c r="S305" s="817">
        <f t="shared" si="107"/>
        <v>0</v>
      </c>
      <c r="T305" s="176">
        <f t="shared" si="108"/>
        <v>6</v>
      </c>
      <c r="U305" s="251">
        <f t="shared" si="109"/>
        <v>0.59778085750882548</v>
      </c>
      <c r="V305" s="383">
        <f t="shared" si="110"/>
        <v>21.239294522228207</v>
      </c>
      <c r="W305" s="402">
        <f t="shared" si="111"/>
        <v>19.480245346975298</v>
      </c>
      <c r="X305" s="157">
        <f t="shared" si="112"/>
        <v>45582</v>
      </c>
      <c r="Y305" s="385">
        <f t="shared" si="113"/>
        <v>18.584032006443962</v>
      </c>
      <c r="Z305" s="385">
        <f t="shared" si="114"/>
        <v>19.57548615489565</v>
      </c>
      <c r="AA305" s="386">
        <f t="shared" si="115"/>
        <v>22.479958633376231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0.1292027501406644</v>
      </c>
      <c r="AD305" s="231">
        <f>(INDEX(Models!$BJ305:$BT305,,AH305)*(1-AF305)+INDEX(Models!$BJ305:$BT305,,AH305+1)*AF305-ERP_i)*AE305*Ramure*Pc/MaxiM</f>
        <v>4.0074870911441123E-2</v>
      </c>
      <c r="AE305" s="305">
        <f t="shared" si="117"/>
        <v>0.7</v>
      </c>
      <c r="AF305" s="177">
        <f t="shared" si="118"/>
        <v>0.59778085750882548</v>
      </c>
      <c r="AG305" s="817">
        <f t="shared" si="124"/>
        <v>0</v>
      </c>
      <c r="AH305" s="176">
        <f t="shared" si="119"/>
        <v>6</v>
      </c>
      <c r="AI305" s="225">
        <f t="shared" si="120"/>
        <v>0.59778085750882548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45583</v>
      </c>
      <c r="B306" s="411">
        <f>'2023'!Wh/'2023'!Env_an*'2024'!Env_an</f>
        <v>9.0879891662528092</v>
      </c>
      <c r="C306" s="846"/>
      <c r="D306" s="393">
        <f t="shared" si="102"/>
        <v>9.5730411263609057</v>
      </c>
      <c r="E306" s="385">
        <f t="shared" si="125"/>
        <v>10.488051043169058</v>
      </c>
      <c r="F306" s="385">
        <f t="shared" si="103"/>
        <v>10.572700594448673</v>
      </c>
      <c r="G306" s="110">
        <f t="shared" si="126"/>
        <v>0.419124805322524</v>
      </c>
      <c r="H306" s="414" t="b">
        <f>Wh_hp&gt;='2023'!Maxi_hp</f>
        <v>0</v>
      </c>
      <c r="I306" s="390">
        <f>IF(H306,Wh_hp,'2023'!Maxi_hp)</f>
        <v>24.959587812927008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5.0668534032767054E-2</v>
      </c>
      <c r="M306" s="850"/>
      <c r="N306" s="850"/>
      <c r="O306" s="48">
        <f>IF(t&lt;Tnet,'2023'!Resal+('2023'!Salim-'2023'!Resal)*(1-EXP(('2023'!Tnet-t)/('2023'!Tau_j))),Resal+(Salim-Resal)*(1-EXP((Tnet-t)/(Tau_j))))*Salcycl</f>
        <v>8.7243083871536328E-2</v>
      </c>
      <c r="P306" s="169">
        <f>(INDEX(Models!$BJ306:$BT306,,T306)*(1-R306)+INDEX(Models!$BJ306:$BT306,,T306+1)*R306-ERP_i)*Q306*Ramure*Pc/MaxiM</f>
        <v>4.1847175163940549E-2</v>
      </c>
      <c r="Q306" s="305">
        <f t="shared" si="105"/>
        <v>0.7</v>
      </c>
      <c r="R306" s="177">
        <f t="shared" si="106"/>
        <v>0.59787643539025559</v>
      </c>
      <c r="S306" s="817">
        <f t="shared" si="107"/>
        <v>0</v>
      </c>
      <c r="T306" s="176">
        <f t="shared" si="108"/>
        <v>6</v>
      </c>
      <c r="U306" s="251">
        <f t="shared" si="109"/>
        <v>0.59787643539025559</v>
      </c>
      <c r="V306" s="383">
        <f t="shared" si="110"/>
        <v>20.943553074292062</v>
      </c>
      <c r="W306" s="402">
        <f t="shared" si="111"/>
        <v>9.0879891662528092</v>
      </c>
      <c r="X306" s="157">
        <f t="shared" si="112"/>
        <v>45583</v>
      </c>
      <c r="Y306" s="385">
        <f t="shared" si="113"/>
        <v>8.6706972636756756</v>
      </c>
      <c r="Z306" s="385">
        <f t="shared" si="114"/>
        <v>9.1334771621010962</v>
      </c>
      <c r="AA306" s="386">
        <f t="shared" si="115"/>
        <v>10.488051043169058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0.12915401302801677</v>
      </c>
      <c r="AD306" s="231">
        <f>(INDEX(Models!$BJ306:$BT306,,AH306)*(1-AF306)+INDEX(Models!$BJ306:$BT306,,AH306+1)*AF306-ERP_i)*AE306*Ramure*Pc/MaxiM</f>
        <v>4.1847175163940549E-2</v>
      </c>
      <c r="AE306" s="305">
        <f t="shared" si="117"/>
        <v>0.7</v>
      </c>
      <c r="AF306" s="177">
        <f t="shared" si="118"/>
        <v>0.59787643539025559</v>
      </c>
      <c r="AG306" s="817">
        <f t="shared" si="124"/>
        <v>0</v>
      </c>
      <c r="AH306" s="176">
        <f t="shared" si="119"/>
        <v>6</v>
      </c>
      <c r="AI306" s="225">
        <f t="shared" si="120"/>
        <v>0.59787643539025559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45584</v>
      </c>
      <c r="B307" s="411">
        <f>'2023'!Wh/'2023'!Env_an*'2024'!Env_an</f>
        <v>4.4025745107610579</v>
      </c>
      <c r="C307" s="846"/>
      <c r="D307" s="393">
        <f t="shared" si="102"/>
        <v>4.6376540738256491</v>
      </c>
      <c r="E307" s="385">
        <f t="shared" si="125"/>
        <v>5.0811151911488874</v>
      </c>
      <c r="F307" s="385">
        <f t="shared" si="103"/>
        <v>5.0811151911488874</v>
      </c>
      <c r="G307" s="110">
        <f t="shared" si="126"/>
        <v>0.20393802144280479</v>
      </c>
      <c r="H307" s="414" t="b">
        <f>Wh_hp&gt;='2023'!Maxi_hp</f>
        <v>0</v>
      </c>
      <c r="I307" s="390">
        <f>IF(H307,Wh_hp,'2023'!Maxi_hp)</f>
        <v>20.300420803339481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5.0689326828266767E-2</v>
      </c>
      <c r="M307" s="850"/>
      <c r="N307" s="850"/>
      <c r="O307" s="48">
        <f>IF(t&lt;Tnet,'2023'!Resal+('2023'!Salim-'2023'!Resal)*(1-EXP(('2023'!Tnet-t)/('2023'!Tau_j))),Resal+(Salim-Resal)*(1-EXP((Tnet-t)/(Tau_j))))*Salcycl</f>
        <v>8.7276336127102686E-2</v>
      </c>
      <c r="P307" s="169">
        <f>(INDEX(Models!$BJ307:$BT307,,T307)*(1-R307)+INDEX(Models!$BJ307:$BT307,,T307+1)*R307-ERP_i)*Q307*Ramure*Pc/MaxiM</f>
        <v>4.3602787433956694E-2</v>
      </c>
      <c r="Q307" s="305">
        <f t="shared" si="105"/>
        <v>0.7</v>
      </c>
      <c r="R307" s="177">
        <f t="shared" si="106"/>
        <v>0.59796819950324898</v>
      </c>
      <c r="S307" s="817">
        <f t="shared" si="107"/>
        <v>0</v>
      </c>
      <c r="T307" s="176">
        <f t="shared" si="108"/>
        <v>6</v>
      </c>
      <c r="U307" s="251">
        <f t="shared" si="109"/>
        <v>0.59796819950324898</v>
      </c>
      <c r="V307" s="383">
        <f t="shared" si="110"/>
        <v>20.646517801914978</v>
      </c>
      <c r="W307" s="402">
        <f t="shared" si="111"/>
        <v>4.4025745107610579</v>
      </c>
      <c r="X307" s="157">
        <f t="shared" si="112"/>
        <v>45584</v>
      </c>
      <c r="Y307" s="385">
        <f t="shared" si="113"/>
        <v>4.2008175829311671</v>
      </c>
      <c r="Z307" s="385">
        <f t="shared" si="114"/>
        <v>4.425124147078062</v>
      </c>
      <c r="AA307" s="386">
        <f t="shared" si="115"/>
        <v>5.0811151911488874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0.12910375368256496</v>
      </c>
      <c r="AD307" s="231">
        <f>(INDEX(Models!$BJ307:$BT307,,AH307)*(1-AF307)+INDEX(Models!$BJ307:$BT307,,AH307+1)*AF307-ERP_i)*AE307*Ramure*Pc/MaxiM</f>
        <v>4.3602787433956694E-2</v>
      </c>
      <c r="AE307" s="305">
        <f t="shared" si="117"/>
        <v>0.7</v>
      </c>
      <c r="AF307" s="177">
        <f t="shared" si="118"/>
        <v>0.59796819950324898</v>
      </c>
      <c r="AG307" s="817">
        <f t="shared" si="124"/>
        <v>0</v>
      </c>
      <c r="AH307" s="176">
        <f t="shared" si="119"/>
        <v>6</v>
      </c>
      <c r="AI307" s="225">
        <f t="shared" si="120"/>
        <v>0.59796819950324898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45585</v>
      </c>
      <c r="B308" s="411">
        <f>'2023'!Wh/'2023'!Env_an*'2024'!Env_an</f>
        <v>9.4415844251095677</v>
      </c>
      <c r="C308" s="846"/>
      <c r="D308" s="393">
        <f t="shared" si="102"/>
        <v>9.9459444535930697</v>
      </c>
      <c r="E308" s="385">
        <f t="shared" si="125"/>
        <v>10.897377397009882</v>
      </c>
      <c r="F308" s="385">
        <f t="shared" si="103"/>
        <v>11.014377807253215</v>
      </c>
      <c r="G308" s="110">
        <f t="shared" si="126"/>
        <v>0.44771268629330563</v>
      </c>
      <c r="H308" s="414" t="b">
        <f>Wh_hp&gt;='2023'!Maxi_hp</f>
        <v>0</v>
      </c>
      <c r="I308" s="390">
        <f>IF(H308,Wh_hp,'2023'!Maxi_hp)</f>
        <v>15.02935928669431</v>
      </c>
      <c r="J308" s="85">
        <f>IF(H308,An,'2023'!An_max)</f>
        <v>2019</v>
      </c>
      <c r="K308" s="197">
        <f t="shared" si="104"/>
        <v>45585</v>
      </c>
      <c r="L308" s="147">
        <f>IF(t&lt;Tvie,1-EXP((T0-t)*PertePVj)+'2023'!Pspv,1-EXP((T0-t)*PertePVj)+Pspv)</f>
        <v>5.0710119168350776E-2</v>
      </c>
      <c r="M308" s="850"/>
      <c r="N308" s="850"/>
      <c r="O308" s="48">
        <f>IF(t&lt;Tnet,'2023'!Resal+('2023'!Salim-'2023'!Resal)*(1-EXP(('2023'!Tnet-t)/('2023'!Tau_j))),Resal+(Salim-Resal)*(1-EXP((Tnet-t)/(Tau_j))))*Salcycl</f>
        <v>8.7308432915049361E-2</v>
      </c>
      <c r="P308" s="169">
        <f>(INDEX(Models!$BJ308:$BT308,,T308)*(1-R308)+INDEX(Models!$BJ308:$BT308,,T308+1)*R308-ERP_i)*Q308*Ramure*Pc/MaxiM</f>
        <v>4.5341384241867413E-2</v>
      </c>
      <c r="Q308" s="305">
        <f t="shared" si="105"/>
        <v>0.7</v>
      </c>
      <c r="R308" s="177">
        <f t="shared" si="106"/>
        <v>0.59805630069853422</v>
      </c>
      <c r="S308" s="817">
        <f t="shared" si="107"/>
        <v>0</v>
      </c>
      <c r="T308" s="176">
        <f t="shared" si="108"/>
        <v>6</v>
      </c>
      <c r="U308" s="251">
        <f t="shared" si="109"/>
        <v>0.59805630069853422</v>
      </c>
      <c r="V308" s="383">
        <f t="shared" si="110"/>
        <v>20.348460351869779</v>
      </c>
      <c r="W308" s="402">
        <f t="shared" si="111"/>
        <v>9.4415844251095677</v>
      </c>
      <c r="X308" s="157">
        <f t="shared" si="112"/>
        <v>45585</v>
      </c>
      <c r="Y308" s="385">
        <f t="shared" si="113"/>
        <v>9.009756341451455</v>
      </c>
      <c r="Z308" s="385">
        <f t="shared" si="114"/>
        <v>9.4910485441583265</v>
      </c>
      <c r="AA308" s="386">
        <f t="shared" si="115"/>
        <v>10.897377397009882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0.12905204634258471</v>
      </c>
      <c r="AD308" s="231">
        <f>(INDEX(Models!$BJ308:$BT308,,AH308)*(1-AF308)+INDEX(Models!$BJ308:$BT308,,AH308+1)*AF308-ERP_i)*AE308*Ramure*Pc/MaxiM</f>
        <v>4.5341384241867413E-2</v>
      </c>
      <c r="AE308" s="305">
        <f t="shared" si="117"/>
        <v>0.7</v>
      </c>
      <c r="AF308" s="177">
        <f t="shared" si="118"/>
        <v>0.59805630069853422</v>
      </c>
      <c r="AG308" s="817">
        <f t="shared" si="124"/>
        <v>0</v>
      </c>
      <c r="AH308" s="176">
        <f t="shared" si="119"/>
        <v>6</v>
      </c>
      <c r="AI308" s="225">
        <f t="shared" si="120"/>
        <v>0.59805630069853422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45586</v>
      </c>
      <c r="B309" s="411">
        <f>'2023'!Wh/'2023'!Env_an*'2024'!Env_an</f>
        <v>18.390936283941759</v>
      </c>
      <c r="C309" s="846"/>
      <c r="D309" s="393">
        <f t="shared" si="102"/>
        <v>19.373786103519837</v>
      </c>
      <c r="E309" s="385">
        <f t="shared" si="125"/>
        <v>21.227810948704228</v>
      </c>
      <c r="F309" s="385">
        <f t="shared" si="103"/>
        <v>22.146917192536129</v>
      </c>
      <c r="G309" s="110">
        <f t="shared" si="126"/>
        <v>0.91194673705510554</v>
      </c>
      <c r="H309" s="414" t="b">
        <f>Wh_hp&gt;='2023'!Maxi_hp</f>
        <v>0</v>
      </c>
      <c r="I309" s="390">
        <f>IF(H309,Wh_hp,'2023'!Maxi_hp)</f>
        <v>22.197470097705743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5.0730911053029293E-2</v>
      </c>
      <c r="M309" s="850"/>
      <c r="N309" s="850"/>
      <c r="O309" s="48">
        <f>IF(t&lt;Tnet,'2023'!Resal+('2023'!Salim-'2023'!Resal)*(1-EXP(('2023'!Tnet-t)/('2023'!Tau_j))),Resal+(Salim-Resal)*(1-EXP((Tnet-t)/(Tau_j))))*Salcycl</f>
        <v>8.7339427021680877E-2</v>
      </c>
      <c r="P309" s="169">
        <f>(INDEX(Models!$BJ309:$BT309,,T309)*(1-R309)+INDEX(Models!$BJ309:$BT309,,T309+1)*R309-ERP_i)*Q309*Ramure*Pc/MaxiM</f>
        <v>4.706256202477823E-2</v>
      </c>
      <c r="Q309" s="305">
        <f t="shared" si="105"/>
        <v>0.7</v>
      </c>
      <c r="R309" s="177">
        <f t="shared" si="106"/>
        <v>0.59814088396438025</v>
      </c>
      <c r="S309" s="817">
        <f t="shared" si="107"/>
        <v>0</v>
      </c>
      <c r="T309" s="176">
        <f t="shared" si="108"/>
        <v>6</v>
      </c>
      <c r="U309" s="251">
        <f t="shared" si="109"/>
        <v>0.59814088396438025</v>
      </c>
      <c r="V309" s="383">
        <f t="shared" si="110"/>
        <v>20.049651398203046</v>
      </c>
      <c r="W309" s="402">
        <f t="shared" si="111"/>
        <v>18.390936283941759</v>
      </c>
      <c r="X309" s="157">
        <f t="shared" si="112"/>
        <v>45586</v>
      </c>
      <c r="Y309" s="385">
        <f t="shared" si="113"/>
        <v>17.551458767263682</v>
      </c>
      <c r="Z309" s="385">
        <f t="shared" si="114"/>
        <v>18.489445165367819</v>
      </c>
      <c r="AA309" s="386">
        <f t="shared" si="115"/>
        <v>21.227810948704228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0.12899897167699065</v>
      </c>
      <c r="AD309" s="231">
        <f>(INDEX(Models!$BJ309:$BT309,,AH309)*(1-AF309)+INDEX(Models!$BJ309:$BT309,,AH309+1)*AF309-ERP_i)*AE309*Ramure*Pc/MaxiM</f>
        <v>4.706256202477823E-2</v>
      </c>
      <c r="AE309" s="305">
        <f t="shared" si="117"/>
        <v>0.7</v>
      </c>
      <c r="AF309" s="177">
        <f t="shared" si="118"/>
        <v>0.59814088396438025</v>
      </c>
      <c r="AG309" s="817">
        <f t="shared" si="124"/>
        <v>0</v>
      </c>
      <c r="AH309" s="176">
        <f t="shared" si="119"/>
        <v>6</v>
      </c>
      <c r="AI309" s="225">
        <f t="shared" si="120"/>
        <v>0.59814088396438025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45587</v>
      </c>
      <c r="B310" s="411">
        <f>'2023'!Wh/'2023'!Env_an*'2024'!Env_an</f>
        <v>11.905509174544667</v>
      </c>
      <c r="C310" s="846"/>
      <c r="D310" s="393">
        <f t="shared" si="102"/>
        <v>12.54203900673609</v>
      </c>
      <c r="E310" s="385">
        <f t="shared" si="125"/>
        <v>13.742733009361705</v>
      </c>
      <c r="F310" s="385">
        <f t="shared" si="103"/>
        <v>14.038491049126138</v>
      </c>
      <c r="G310" s="110">
        <f t="shared" si="126"/>
        <v>0.58574380555165251</v>
      </c>
      <c r="H310" s="414" t="b">
        <f>Wh_hp&gt;='2023'!Maxi_hp</f>
        <v>0</v>
      </c>
      <c r="I310" s="390">
        <f>IF(H310,Wh_hp,'2023'!Maxi_hp)</f>
        <v>23.868421011205619</v>
      </c>
      <c r="J310" s="85">
        <f>IF(H310,An,'2023'!An_max)</f>
        <v>2018</v>
      </c>
      <c r="K310" s="197">
        <f t="shared" si="104"/>
        <v>45587</v>
      </c>
      <c r="L310" s="147">
        <f>IF(t&lt;Tvie,1-EXP((T0-t)*PertePVj)+'2023'!Pspv,1-EXP((T0-t)*PertePVj)+Pspv)</f>
        <v>5.0751702482312089E-2</v>
      </c>
      <c r="M310" s="850"/>
      <c r="N310" s="850"/>
      <c r="O310" s="48">
        <f>IF(t&lt;Tnet,'2023'!Resal+('2023'!Salim-'2023'!Resal)*(1-EXP(('2023'!Tnet-t)/('2023'!Tau_j))),Resal+(Salim-Resal)*(1-EXP((Tnet-t)/(Tau_j))))*Salcycl</f>
        <v>8.7369375640761512E-2</v>
      </c>
      <c r="P310" s="169">
        <f>(INDEX(Models!$BJ310:$BT310,,T310)*(1-R310)+INDEX(Models!$BJ310:$BT310,,T310+1)*R310-ERP_i)*Q310*Ramure*Pc/MaxiM</f>
        <v>4.8709136278836454E-2</v>
      </c>
      <c r="Q310" s="305">
        <f t="shared" si="105"/>
        <v>0.7</v>
      </c>
      <c r="R310" s="177">
        <f t="shared" si="106"/>
        <v>0.59822208864620197</v>
      </c>
      <c r="S310" s="817">
        <f t="shared" si="107"/>
        <v>0</v>
      </c>
      <c r="T310" s="176">
        <f t="shared" si="108"/>
        <v>6</v>
      </c>
      <c r="U310" s="251">
        <f t="shared" si="109"/>
        <v>0.59822208864620197</v>
      </c>
      <c r="V310" s="383">
        <f t="shared" si="110"/>
        <v>19.751537859307788</v>
      </c>
      <c r="W310" s="402">
        <f t="shared" si="111"/>
        <v>11.905509174544667</v>
      </c>
      <c r="X310" s="157">
        <f t="shared" si="112"/>
        <v>45587</v>
      </c>
      <c r="Y310" s="385">
        <f t="shared" si="113"/>
        <v>11.36314910082721</v>
      </c>
      <c r="Z310" s="385">
        <f t="shared" si="114"/>
        <v>11.970681570398574</v>
      </c>
      <c r="AA310" s="386">
        <f t="shared" si="115"/>
        <v>13.742733009361705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0.1289446166025339</v>
      </c>
      <c r="AD310" s="231">
        <f>(INDEX(Models!$BJ310:$BT310,,AH310)*(1-AF310)+INDEX(Models!$BJ310:$BT310,,AH310+1)*AF310-ERP_i)*AE310*Ramure*Pc/MaxiM</f>
        <v>4.8709136278836454E-2</v>
      </c>
      <c r="AE310" s="305">
        <f t="shared" si="117"/>
        <v>0.7</v>
      </c>
      <c r="AF310" s="177">
        <f t="shared" si="118"/>
        <v>0.59822208864620197</v>
      </c>
      <c r="AG310" s="817">
        <f t="shared" si="124"/>
        <v>0</v>
      </c>
      <c r="AH310" s="176">
        <f t="shared" si="119"/>
        <v>6</v>
      </c>
      <c r="AI310" s="225">
        <f t="shared" si="120"/>
        <v>0.59822208864620197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45588</v>
      </c>
      <c r="B311" s="411">
        <f>'2023'!Wh/'2023'!Env_an*'2024'!Env_an</f>
        <v>14.504785464096866</v>
      </c>
      <c r="C311" s="846"/>
      <c r="D311" s="393">
        <f t="shared" si="102"/>
        <v>15.280620677449486</v>
      </c>
      <c r="E311" s="385">
        <f t="shared" si="125"/>
        <v>16.744020256761551</v>
      </c>
      <c r="F311" s="385">
        <f t="shared" si="103"/>
        <v>17.298040943446125</v>
      </c>
      <c r="G311" s="110">
        <f t="shared" si="126"/>
        <v>0.7315218506677309</v>
      </c>
      <c r="H311" s="414" t="b">
        <f>Wh_hp&gt;='2023'!Maxi_hp</f>
        <v>0</v>
      </c>
      <c r="I311" s="390">
        <f>IF(H311,Wh_hp,'2023'!Maxi_hp)</f>
        <v>24.436721996898605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5.0772493456209267E-2</v>
      </c>
      <c r="M311" s="850"/>
      <c r="N311" s="850"/>
      <c r="O311" s="48">
        <f>IF(t&lt;Tnet,'2023'!Resal+('2023'!Salim-'2023'!Resal)*(1-EXP(('2023'!Tnet-t)/('2023'!Tau_j))),Resal+(Salim-Resal)*(1-EXP((Tnet-t)/(Tau_j))))*Salcycl</f>
        <v>8.7398340235590427E-2</v>
      </c>
      <c r="P311" s="169">
        <f>(INDEX(Models!$BJ311:$BT311,,T311)*(1-R311)+INDEX(Models!$BJ311:$BT311,,T311+1)*R311-ERP_i)*Q311*Ramure*Pc/MaxiM</f>
        <v>5.0312517126386395E-2</v>
      </c>
      <c r="Q311" s="305">
        <f t="shared" si="105"/>
        <v>0.7</v>
      </c>
      <c r="R311" s="177">
        <f t="shared" si="106"/>
        <v>0.59830004865859465</v>
      </c>
      <c r="S311" s="817">
        <f t="shared" si="107"/>
        <v>0</v>
      </c>
      <c r="T311" s="176">
        <f t="shared" si="108"/>
        <v>6</v>
      </c>
      <c r="U311" s="251">
        <f t="shared" si="109"/>
        <v>0.59830004865859465</v>
      </c>
      <c r="V311" s="383">
        <f t="shared" si="110"/>
        <v>19.453685945935781</v>
      </c>
      <c r="W311" s="402">
        <f t="shared" si="111"/>
        <v>14.504785464096866</v>
      </c>
      <c r="X311" s="157">
        <f t="shared" si="112"/>
        <v>45588</v>
      </c>
      <c r="Y311" s="385">
        <f t="shared" si="113"/>
        <v>13.845336528847334</v>
      </c>
      <c r="Z311" s="385">
        <f t="shared" si="114"/>
        <v>14.585898989863086</v>
      </c>
      <c r="AA311" s="386">
        <f t="shared" si="115"/>
        <v>16.744020256761551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0.12888907405776556</v>
      </c>
      <c r="AD311" s="231">
        <f>(INDEX(Models!$BJ311:$BT311,,AH311)*(1-AF311)+INDEX(Models!$BJ311:$BT311,,AH311+1)*AF311-ERP_i)*AE311*Ramure*Pc/MaxiM</f>
        <v>5.0312517126386395E-2</v>
      </c>
      <c r="AE311" s="305">
        <f t="shared" si="117"/>
        <v>0.7</v>
      </c>
      <c r="AF311" s="177">
        <f t="shared" si="118"/>
        <v>0.59830004865859465</v>
      </c>
      <c r="AG311" s="817">
        <f t="shared" si="124"/>
        <v>0</v>
      </c>
      <c r="AH311" s="176">
        <f t="shared" si="119"/>
        <v>6</v>
      </c>
      <c r="AI311" s="225">
        <f t="shared" si="120"/>
        <v>0.59830004865859465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45589</v>
      </c>
      <c r="B312" s="411">
        <f>'2023'!Wh/'2023'!Env_an*'2024'!Env_an</f>
        <v>12.597085831553128</v>
      </c>
      <c r="C312" s="846"/>
      <c r="D312" s="393">
        <f t="shared" si="102"/>
        <v>13.271172252449357</v>
      </c>
      <c r="E312" s="385">
        <f t="shared" si="125"/>
        <v>14.542577228022576</v>
      </c>
      <c r="F312" s="385">
        <f t="shared" si="103"/>
        <v>14.938423168524618</v>
      </c>
      <c r="G312" s="110">
        <f t="shared" si="126"/>
        <v>0.64045383133249423</v>
      </c>
      <c r="H312" s="414" t="b">
        <f>Wh_hp&gt;='2023'!Maxi_hp</f>
        <v>0</v>
      </c>
      <c r="I312" s="390">
        <f>IF(H312,Wh_hp,'2023'!Maxi_hp)</f>
        <v>22.975160579894975</v>
      </c>
      <c r="J312" s="85">
        <f>IF(H312,An,'2023'!An_max)</f>
        <v>2018</v>
      </c>
      <c r="K312" s="197">
        <f t="shared" si="104"/>
        <v>45589</v>
      </c>
      <c r="L312" s="147">
        <f>IF(t&lt;Tvie,1-EXP((T0-t)*PertePVj)+'2023'!Pspv,1-EXP((T0-t)*PertePVj)+Pspv)</f>
        <v>5.0793283974730818E-2</v>
      </c>
      <c r="M312" s="850"/>
      <c r="N312" s="850"/>
      <c r="O312" s="48">
        <f>IF(t&lt;Tnet,'2023'!Resal+('2023'!Salim-'2023'!Resal)*(1-EXP(('2023'!Tnet-t)/('2023'!Tau_j))),Resal+(Salim-Resal)*(1-EXP((Tnet-t)/(Tau_j))))*Salcycl</f>
        <v>8.7426386371413256E-2</v>
      </c>
      <c r="P312" s="169">
        <f>(INDEX(Models!$BJ312:$BT312,,T312)*(1-R312)+INDEX(Models!$BJ312:$BT312,,T312+1)*R312-ERP_i)*Q312*Ramure*Pc/MaxiM</f>
        <v>5.1871667158643983E-2</v>
      </c>
      <c r="Q312" s="305">
        <f t="shared" si="105"/>
        <v>0.7</v>
      </c>
      <c r="R312" s="177">
        <f t="shared" si="106"/>
        <v>0.59837489269000288</v>
      </c>
      <c r="S312" s="817">
        <f t="shared" si="107"/>
        <v>0</v>
      </c>
      <c r="T312" s="176">
        <f t="shared" si="108"/>
        <v>6</v>
      </c>
      <c r="U312" s="251">
        <f t="shared" si="109"/>
        <v>0.59837489269000288</v>
      </c>
      <c r="V312" s="383">
        <f t="shared" si="110"/>
        <v>19.156350038114994</v>
      </c>
      <c r="W312" s="402">
        <f t="shared" si="111"/>
        <v>12.597085831553128</v>
      </c>
      <c r="X312" s="157">
        <f t="shared" si="112"/>
        <v>45589</v>
      </c>
      <c r="Y312" s="385">
        <f t="shared" si="113"/>
        <v>12.025520274362348</v>
      </c>
      <c r="Z312" s="385">
        <f t="shared" si="114"/>
        <v>12.669021480082124</v>
      </c>
      <c r="AA312" s="386">
        <f t="shared" si="115"/>
        <v>14.542577228022576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0.12883244273444433</v>
      </c>
      <c r="AD312" s="231">
        <f>(INDEX(Models!$BJ312:$BT312,,AH312)*(1-AF312)+INDEX(Models!$BJ312:$BT312,,AH312+1)*AF312-ERP_i)*AE312*Ramure*Pc/MaxiM</f>
        <v>5.1871667158643983E-2</v>
      </c>
      <c r="AE312" s="305">
        <f t="shared" si="117"/>
        <v>0.7</v>
      </c>
      <c r="AF312" s="177">
        <f t="shared" si="118"/>
        <v>0.59837489269000288</v>
      </c>
      <c r="AG312" s="817">
        <f t="shared" si="124"/>
        <v>0</v>
      </c>
      <c r="AH312" s="176">
        <f t="shared" si="119"/>
        <v>6</v>
      </c>
      <c r="AI312" s="225">
        <f t="shared" si="120"/>
        <v>0.59837489269000288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45590</v>
      </c>
      <c r="B313" s="411">
        <f>'2023'!Wh/'2023'!Env_an*'2024'!Env_an</f>
        <v>8.4401006344262761</v>
      </c>
      <c r="C313" s="846"/>
      <c r="D313" s="393">
        <f t="shared" si="102"/>
        <v>8.8919361355587156</v>
      </c>
      <c r="E313" s="385">
        <f t="shared" si="125"/>
        <v>9.7440918894246789</v>
      </c>
      <c r="F313" s="385">
        <f t="shared" si="103"/>
        <v>9.8549639253138981</v>
      </c>
      <c r="G313" s="110">
        <f t="shared" si="126"/>
        <v>0.42844765820493491</v>
      </c>
      <c r="H313" s="414" t="b">
        <f>Wh_hp&gt;='2023'!Maxi_hp</f>
        <v>0</v>
      </c>
      <c r="I313" s="390">
        <f>IF(H313,Wh_hp,'2023'!Maxi_hp)</f>
        <v>22.259943902038003</v>
      </c>
      <c r="J313" s="85">
        <f>IF(H313,An,'2023'!An_max)</f>
        <v>2019</v>
      </c>
      <c r="K313" s="197">
        <f t="shared" si="104"/>
        <v>45590</v>
      </c>
      <c r="L313" s="147">
        <f>IF(t&lt;Tvie,1-EXP((T0-t)*PertePVj)+'2023'!Pspv,1-EXP((T0-t)*PertePVj)+Pspv)</f>
        <v>5.0814074037886514E-2</v>
      </c>
      <c r="M313" s="850"/>
      <c r="N313" s="850"/>
      <c r="O313" s="48">
        <f>IF(t&lt;Tnet,'2023'!Resal+('2023'!Salim-'2023'!Resal)*(1-EXP(('2023'!Tnet-t)/('2023'!Tau_j))),Resal+(Salim-Resal)*(1-EXP((Tnet-t)/(Tau_j))))*Salcycl</f>
        <v>8.7453583518728242E-2</v>
      </c>
      <c r="P313" s="169">
        <f>(INDEX(Models!$BJ313:$BT313,,T313)*(1-R313)+INDEX(Models!$BJ313:$BT313,,T313+1)*R313-ERP_i)*Q313*Ramure*Pc/MaxiM</f>
        <v>5.3385011300510293E-2</v>
      </c>
      <c r="Q313" s="305">
        <f t="shared" si="105"/>
        <v>0.7</v>
      </c>
      <c r="R313" s="177">
        <f t="shared" si="106"/>
        <v>0.59844674440023238</v>
      </c>
      <c r="S313" s="817">
        <f t="shared" si="107"/>
        <v>0</v>
      </c>
      <c r="T313" s="176">
        <f t="shared" si="108"/>
        <v>6</v>
      </c>
      <c r="U313" s="251">
        <f t="shared" si="109"/>
        <v>0.59844674440023238</v>
      </c>
      <c r="V313" s="383">
        <f t="shared" si="110"/>
        <v>18.859791896936706</v>
      </c>
      <c r="W313" s="402">
        <f t="shared" si="111"/>
        <v>8.4401006344262761</v>
      </c>
      <c r="X313" s="157">
        <f t="shared" si="112"/>
        <v>45590</v>
      </c>
      <c r="Y313" s="385">
        <f t="shared" si="113"/>
        <v>8.0579223199210084</v>
      </c>
      <c r="Z313" s="385">
        <f t="shared" si="114"/>
        <v>8.4892981443581146</v>
      </c>
      <c r="AA313" s="386">
        <f t="shared" si="115"/>
        <v>9.7440918894246789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0.12877482676742813</v>
      </c>
      <c r="AD313" s="231">
        <f>(INDEX(Models!$BJ313:$BT313,,AH313)*(1-AF313)+INDEX(Models!$BJ313:$BT313,,AH313+1)*AF313-ERP_i)*AE313*Ramure*Pc/MaxiM</f>
        <v>5.3385011300510293E-2</v>
      </c>
      <c r="AE313" s="305">
        <f t="shared" si="117"/>
        <v>0.7</v>
      </c>
      <c r="AF313" s="177">
        <f t="shared" si="118"/>
        <v>0.59844674440023238</v>
      </c>
      <c r="AG313" s="817">
        <f t="shared" si="124"/>
        <v>0</v>
      </c>
      <c r="AH313" s="176">
        <f t="shared" si="119"/>
        <v>6</v>
      </c>
      <c r="AI313" s="225">
        <f t="shared" si="120"/>
        <v>0.59844674440023238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45591</v>
      </c>
      <c r="B314" s="411">
        <f>'2023'!Wh/'2023'!Env_an*'2024'!Env_an</f>
        <v>7.81674353360079</v>
      </c>
      <c r="C314" s="846"/>
      <c r="D314" s="393">
        <f t="shared" si="102"/>
        <v>8.2353883789120559</v>
      </c>
      <c r="E314" s="385">
        <f t="shared" si="125"/>
        <v>9.0248853970179912</v>
      </c>
      <c r="F314" s="385">
        <f t="shared" si="103"/>
        <v>9.1113186165995685</v>
      </c>
      <c r="G314" s="110">
        <f t="shared" si="126"/>
        <v>0.40177955016948697</v>
      </c>
      <c r="H314" s="414" t="b">
        <f>Wh_hp&gt;='2023'!Maxi_hp</f>
        <v>0</v>
      </c>
      <c r="I314" s="390">
        <f>IF(H314,Wh_hp,'2023'!Maxi_hp)</f>
        <v>20.509460885058797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5.0834863645686568E-2</v>
      </c>
      <c r="M314" s="850"/>
      <c r="N314" s="850"/>
      <c r="O314" s="48">
        <f>IF(t&lt;Tnet,'2023'!Resal+('2023'!Salim-'2023'!Resal)*(1-EXP(('2023'!Tnet-t)/('2023'!Tau_j))),Resal+(Salim-Resal)*(1-EXP((Tnet-t)/(Tau_j))))*Salcycl</f>
        <v>8.7480004828294114E-2</v>
      </c>
      <c r="P314" s="169">
        <f>(INDEX(Models!$BJ314:$BT314,,T314)*(1-R314)+INDEX(Models!$BJ314:$BT314,,T314+1)*R314-ERP_i)*Q314*Ramure*Pc/MaxiM</f>
        <v>5.4850819156490073E-2</v>
      </c>
      <c r="Q314" s="305">
        <f t="shared" si="105"/>
        <v>0.7</v>
      </c>
      <c r="R314" s="177">
        <f t="shared" si="106"/>
        <v>0.5985157226110096</v>
      </c>
      <c r="S314" s="817">
        <f t="shared" si="107"/>
        <v>0</v>
      </c>
      <c r="T314" s="176">
        <f t="shared" si="108"/>
        <v>6</v>
      </c>
      <c r="U314" s="251">
        <f t="shared" si="109"/>
        <v>0.5985157226110096</v>
      </c>
      <c r="V314" s="383">
        <f t="shared" si="110"/>
        <v>18.564272526272628</v>
      </c>
      <c r="W314" s="402">
        <f t="shared" si="111"/>
        <v>7.81674353360079</v>
      </c>
      <c r="X314" s="157">
        <f t="shared" si="112"/>
        <v>45591</v>
      </c>
      <c r="Y314" s="385">
        <f t="shared" si="113"/>
        <v>7.4635087311528716</v>
      </c>
      <c r="Z314" s="385">
        <f t="shared" si="114"/>
        <v>7.8632352214492016</v>
      </c>
      <c r="AA314" s="386">
        <f t="shared" si="115"/>
        <v>9.0248853970179912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0.1287163353844496</v>
      </c>
      <c r="AD314" s="231">
        <f>(INDEX(Models!$BJ314:$BT314,,AH314)*(1-AF314)+INDEX(Models!$BJ314:$BT314,,AH314+1)*AF314-ERP_i)*AE314*Ramure*Pc/MaxiM</f>
        <v>5.4850819156490073E-2</v>
      </c>
      <c r="AE314" s="305">
        <f t="shared" si="117"/>
        <v>0.7</v>
      </c>
      <c r="AF314" s="177">
        <f t="shared" si="118"/>
        <v>0.5985157226110096</v>
      </c>
      <c r="AG314" s="817">
        <f t="shared" si="124"/>
        <v>0</v>
      </c>
      <c r="AH314" s="176">
        <f t="shared" si="119"/>
        <v>6</v>
      </c>
      <c r="AI314" s="225">
        <f t="shared" si="120"/>
        <v>0.5985157226110096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45592</v>
      </c>
      <c r="B315" s="411">
        <f>'2023'!Wh/'2023'!Env_an*'2024'!Env_an</f>
        <v>10.24912089382933</v>
      </c>
      <c r="C315" s="846"/>
      <c r="D315" s="393">
        <f t="shared" si="102"/>
        <v>10.798274176150786</v>
      </c>
      <c r="E315" s="385">
        <f t="shared" si="125"/>
        <v>11.833799393848491</v>
      </c>
      <c r="F315" s="385">
        <f t="shared" si="103"/>
        <v>12.087367729259764</v>
      </c>
      <c r="G315" s="110">
        <f t="shared" si="126"/>
        <v>0.54075856833022629</v>
      </c>
      <c r="H315" s="414" t="b">
        <f>Wh_hp&gt;='2023'!Maxi_hp</f>
        <v>0</v>
      </c>
      <c r="I315" s="390">
        <f>IF(H315,Wh_hp,'2023'!Maxi_hp)</f>
        <v>22.111247290077316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5.085565279814086E-2</v>
      </c>
      <c r="M315" s="850"/>
      <c r="N315" s="850"/>
      <c r="O315" s="48">
        <f>IF(t&lt;Tnet,'2023'!Resal+('2023'!Salim-'2023'!Resal)*(1-EXP(('2023'!Tnet-t)/('2023'!Tau_j))),Resal+(Salim-Resal)*(1-EXP((Tnet-t)/(Tau_j))))*Salcycl</f>
        <v>8.7505726878892187E-2</v>
      </c>
      <c r="P315" s="169">
        <f>(INDEX(Models!$BJ315:$BT315,,T315)*(1-R315)+INDEX(Models!$BJ315:$BT315,,T315+1)*R315-ERP_i)*Q315*Ramure*Pc/MaxiM</f>
        <v>5.6267197243560531E-2</v>
      </c>
      <c r="Q315" s="305">
        <f t="shared" si="105"/>
        <v>0.7</v>
      </c>
      <c r="R315" s="177">
        <f t="shared" si="106"/>
        <v>0.59858194148979171</v>
      </c>
      <c r="S315" s="817">
        <f t="shared" si="107"/>
        <v>0</v>
      </c>
      <c r="T315" s="176">
        <f t="shared" si="108"/>
        <v>6</v>
      </c>
      <c r="U315" s="251">
        <f t="shared" si="109"/>
        <v>0.59858194148979171</v>
      </c>
      <c r="V315" s="383">
        <f t="shared" si="110"/>
        <v>18.270052229439099</v>
      </c>
      <c r="W315" s="402">
        <f t="shared" si="111"/>
        <v>10.24912089382933</v>
      </c>
      <c r="X315" s="157">
        <f t="shared" si="112"/>
        <v>45592</v>
      </c>
      <c r="Y315" s="385">
        <f t="shared" si="113"/>
        <v>9.7869095339238132</v>
      </c>
      <c r="Z315" s="385">
        <f t="shared" si="114"/>
        <v>10.311297288738299</v>
      </c>
      <c r="AA315" s="386">
        <f t="shared" si="115"/>
        <v>11.833799393848491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0.12865708251752414</v>
      </c>
      <c r="AD315" s="231">
        <f>(INDEX(Models!$BJ315:$BT315,,AH315)*(1-AF315)+INDEX(Models!$BJ315:$BT315,,AH315+1)*AF315-ERP_i)*AE315*Ramure*Pc/MaxiM</f>
        <v>5.6267197243560531E-2</v>
      </c>
      <c r="AE315" s="305">
        <f t="shared" si="117"/>
        <v>0.7</v>
      </c>
      <c r="AF315" s="177">
        <f t="shared" si="118"/>
        <v>0.59858194148979171</v>
      </c>
      <c r="AG315" s="817">
        <f t="shared" si="124"/>
        <v>0</v>
      </c>
      <c r="AH315" s="176">
        <f t="shared" si="119"/>
        <v>6</v>
      </c>
      <c r="AI315" s="225">
        <f t="shared" si="120"/>
        <v>0.59858194148979171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45593</v>
      </c>
      <c r="B316" s="411">
        <f>'2023'!Wh/'2023'!Env_an*'2024'!Env_an</f>
        <v>14.884522835184191</v>
      </c>
      <c r="C316" s="846"/>
      <c r="D316" s="393">
        <f t="shared" si="102"/>
        <v>15.682386873457684</v>
      </c>
      <c r="E316" s="385">
        <f t="shared" si="125"/>
        <v>17.186758061240294</v>
      </c>
      <c r="F316" s="385">
        <f t="shared" si="103"/>
        <v>17.967773886752813</v>
      </c>
      <c r="G316" s="110">
        <f t="shared" si="126"/>
        <v>0.81569737313460111</v>
      </c>
      <c r="H316" s="414" t="b">
        <f>Wh_hp&gt;='2023'!Maxi_hp</f>
        <v>0</v>
      </c>
      <c r="I316" s="390">
        <f>IF(H316,Wh_hp,'2023'!Maxi_hp)</f>
        <v>18.063917561707093</v>
      </c>
      <c r="J316" s="85">
        <f>IF(H316,An,'2023'!An_max)</f>
        <v>2022</v>
      </c>
      <c r="K316" s="197">
        <f t="shared" si="104"/>
        <v>45593</v>
      </c>
      <c r="L316" s="147">
        <f>IF(t&lt;Tvie,1-EXP((T0-t)*PertePVj)+'2023'!Pspv,1-EXP((T0-t)*PertePVj)+Pspv)</f>
        <v>5.0876441495259384E-2</v>
      </c>
      <c r="M316" s="850"/>
      <c r="N316" s="850"/>
      <c r="O316" s="48">
        <f>IF(t&lt;Tnet,'2023'!Resal+('2023'!Salim-'2023'!Resal)*(1-EXP(('2023'!Tnet-t)/('2023'!Tau_j))),Resal+(Salim-Resal)*(1-EXP((Tnet-t)/(Tau_j))))*Salcycl</f>
        <v>8.7530829399133661E-2</v>
      </c>
      <c r="P316" s="169">
        <f>(INDEX(Models!$BJ316:$BT316,,T316)*(1-R316)+INDEX(Models!$BJ316:$BT316,,T316+1)*R316-ERP_i)*Q316*Ramure*Pc/MaxiM</f>
        <v>5.7632080567284721E-2</v>
      </c>
      <c r="Q316" s="305">
        <f t="shared" si="105"/>
        <v>0.7</v>
      </c>
      <c r="R316" s="177">
        <f t="shared" si="106"/>
        <v>0.59864551072702787</v>
      </c>
      <c r="S316" s="817">
        <f t="shared" si="107"/>
        <v>0</v>
      </c>
      <c r="T316" s="176">
        <f t="shared" si="108"/>
        <v>6</v>
      </c>
      <c r="U316" s="251">
        <f t="shared" si="109"/>
        <v>0.59864551072702787</v>
      </c>
      <c r="V316" s="383">
        <f t="shared" si="110"/>
        <v>17.977390675584545</v>
      </c>
      <c r="W316" s="402">
        <f t="shared" si="111"/>
        <v>14.884522835184191</v>
      </c>
      <c r="X316" s="157">
        <f t="shared" si="112"/>
        <v>45593</v>
      </c>
      <c r="Y316" s="385">
        <f t="shared" si="113"/>
        <v>14.214633760676149</v>
      </c>
      <c r="Z316" s="385">
        <f t="shared" si="114"/>
        <v>14.976589331604027</v>
      </c>
      <c r="AA316" s="386">
        <f t="shared" si="115"/>
        <v>17.186758061240294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0.12859718637807882</v>
      </c>
      <c r="AD316" s="231">
        <f>(INDEX(Models!$BJ316:$BT316,,AH316)*(1-AF316)+INDEX(Models!$BJ316:$BT316,,AH316+1)*AF316-ERP_i)*AE316*Ramure*Pc/MaxiM</f>
        <v>5.7632080567284721E-2</v>
      </c>
      <c r="AE316" s="305">
        <f t="shared" si="117"/>
        <v>0.7</v>
      </c>
      <c r="AF316" s="177">
        <f t="shared" si="118"/>
        <v>0.59864551072702787</v>
      </c>
      <c r="AG316" s="817">
        <f t="shared" si="124"/>
        <v>0</v>
      </c>
      <c r="AH316" s="176">
        <f t="shared" si="119"/>
        <v>6</v>
      </c>
      <c r="AI316" s="225">
        <f t="shared" si="120"/>
        <v>0.59864551072702787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45594</v>
      </c>
      <c r="B317" s="411">
        <f>'2023'!Wh/'2023'!Env_an*'2024'!Env_an</f>
        <v>12.491768757676033</v>
      </c>
      <c r="C317" s="846"/>
      <c r="D317" s="393">
        <f t="shared" si="102"/>
        <v>13.16166083280444</v>
      </c>
      <c r="E317" s="385">
        <f t="shared" si="125"/>
        <v>14.424613571250392</v>
      </c>
      <c r="F317" s="385">
        <f t="shared" si="103"/>
        <v>14.935906967920184</v>
      </c>
      <c r="G317" s="110">
        <f t="shared" si="126"/>
        <v>0.6883654913169146</v>
      </c>
      <c r="H317" s="414" t="b">
        <f>Wh_hp&gt;='2023'!Maxi_hp</f>
        <v>0</v>
      </c>
      <c r="I317" s="390">
        <f>IF(H317,Wh_hp,'2023'!Maxi_hp)</f>
        <v>19.915918764671726</v>
      </c>
      <c r="J317" s="85">
        <f>IF(H317,An,'2023'!An_max)</f>
        <v>2018</v>
      </c>
      <c r="K317" s="197">
        <f t="shared" si="104"/>
        <v>45594</v>
      </c>
      <c r="L317" s="147">
        <f>IF(t&lt;Tvie,1-EXP((T0-t)*PertePVj)+'2023'!Pspv,1-EXP((T0-t)*PertePVj)+Pspv)</f>
        <v>5.0897229737052019E-2</v>
      </c>
      <c r="M317" s="850"/>
      <c r="N317" s="850"/>
      <c r="O317" s="48">
        <f>IF(t&lt;Tnet,'2023'!Resal+('2023'!Salim-'2023'!Resal)*(1-EXP(('2023'!Tnet-t)/('2023'!Tau_j))),Resal+(Salim-Resal)*(1-EXP((Tnet-t)/(Tau_j))))*Salcycl</f>
        <v>8.7555394964835317E-2</v>
      </c>
      <c r="P317" s="169">
        <f>(INDEX(Models!$BJ317:$BT317,,T317)*(1-R317)+INDEX(Models!$BJ317:$BT317,,T317+1)*R317-ERP_i)*Q317*Ramure*Pc/MaxiM</f>
        <v>5.8956114134800335E-2</v>
      </c>
      <c r="Q317" s="305">
        <f t="shared" si="105"/>
        <v>0.7</v>
      </c>
      <c r="R317" s="177">
        <f t="shared" si="106"/>
        <v>0.59870653570707066</v>
      </c>
      <c r="S317" s="817">
        <f t="shared" si="107"/>
        <v>0</v>
      </c>
      <c r="T317" s="176">
        <f t="shared" si="108"/>
        <v>6</v>
      </c>
      <c r="U317" s="251">
        <f t="shared" si="109"/>
        <v>0.59870653570707066</v>
      </c>
      <c r="V317" s="383">
        <f t="shared" si="110"/>
        <v>17.682437653352395</v>
      </c>
      <c r="W317" s="402">
        <f t="shared" si="111"/>
        <v>12.491768757676033</v>
      </c>
      <c r="X317" s="157">
        <f t="shared" si="112"/>
        <v>45594</v>
      </c>
      <c r="Y317" s="385">
        <f t="shared" si="113"/>
        <v>11.930715686649213</v>
      </c>
      <c r="Z317" s="385">
        <f t="shared" si="114"/>
        <v>12.570520348754034</v>
      </c>
      <c r="AA317" s="386">
        <f t="shared" si="115"/>
        <v>14.424613571250392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0.12853676899821714</v>
      </c>
      <c r="AD317" s="231">
        <f>(INDEX(Models!$BJ317:$BT317,,AH317)*(1-AF317)+INDEX(Models!$BJ317:$BT317,,AH317+1)*AF317-ERP_i)*AE317*Ramure*Pc/MaxiM</f>
        <v>5.8956114134800335E-2</v>
      </c>
      <c r="AE317" s="305">
        <f t="shared" si="117"/>
        <v>0.7</v>
      </c>
      <c r="AF317" s="177">
        <f t="shared" si="118"/>
        <v>0.59870653570707066</v>
      </c>
      <c r="AG317" s="817">
        <f t="shared" si="124"/>
        <v>0</v>
      </c>
      <c r="AH317" s="176">
        <f t="shared" si="119"/>
        <v>6</v>
      </c>
      <c r="AI317" s="225">
        <f t="shared" si="120"/>
        <v>0.59870653570707066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45595</v>
      </c>
      <c r="B318" s="411">
        <f>'2023'!Wh/'2023'!Env_an*'2024'!Env_an</f>
        <v>11.838634182445242</v>
      </c>
      <c r="C318" s="846"/>
      <c r="D318" s="393">
        <f t="shared" si="102"/>
        <v>12.473774026933162</v>
      </c>
      <c r="E318" s="385">
        <f t="shared" si="125"/>
        <v>13.671080544016815</v>
      </c>
      <c r="F318" s="385">
        <f t="shared" si="103"/>
        <v>14.134187603855997</v>
      </c>
      <c r="G318" s="110">
        <f t="shared" si="126"/>
        <v>0.66172496047048923</v>
      </c>
      <c r="H318" s="414" t="b">
        <f>Wh_hp&gt;='2023'!Maxi_hp</f>
        <v>0</v>
      </c>
      <c r="I318" s="390">
        <f>IF(H318,Wh_hp,'2023'!Maxi_hp)</f>
        <v>21.044547034866937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5.0918017523528758E-2</v>
      </c>
      <c r="M318" s="850"/>
      <c r="N318" s="850"/>
      <c r="O318" s="48">
        <f>IF(t&lt;Tnet,'2023'!Resal+('2023'!Salim-'2023'!Resal)*(1-EXP(('2023'!Tnet-t)/('2023'!Tau_j))),Resal+(Salim-Resal)*(1-EXP((Tnet-t)/(Tau_j))))*Salcycl</f>
        <v>8.7579508673705883E-2</v>
      </c>
      <c r="P318" s="169">
        <f>(INDEX(Models!$BJ318:$BT318,,T318)*(1-R318)+INDEX(Models!$BJ318:$BT318,,T318+1)*R318-ERP_i)*Q318*Ramure*Pc/MaxiM</f>
        <v>6.0192406743958975E-2</v>
      </c>
      <c r="Q318" s="305">
        <f t="shared" si="105"/>
        <v>0.7</v>
      </c>
      <c r="R318" s="177">
        <f t="shared" si="106"/>
        <v>0.5987651176729315</v>
      </c>
      <c r="S318" s="817">
        <f t="shared" si="107"/>
        <v>0</v>
      </c>
      <c r="T318" s="176">
        <f t="shared" si="108"/>
        <v>6</v>
      </c>
      <c r="U318" s="251">
        <f t="shared" si="109"/>
        <v>0.5987651176729315</v>
      </c>
      <c r="V318" s="383">
        <f t="shared" si="110"/>
        <v>17.383252691225142</v>
      </c>
      <c r="W318" s="402">
        <f t="shared" si="111"/>
        <v>11.838634182445242</v>
      </c>
      <c r="X318" s="157">
        <f t="shared" si="112"/>
        <v>45595</v>
      </c>
      <c r="Y318" s="385">
        <f t="shared" si="113"/>
        <v>11.308003754049484</v>
      </c>
      <c r="Z318" s="385">
        <f t="shared" si="114"/>
        <v>11.914675405114249</v>
      </c>
      <c r="AA318" s="386">
        <f t="shared" si="115"/>
        <v>13.671080544016815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0.12847595574084025</v>
      </c>
      <c r="AD318" s="231">
        <f>(INDEX(Models!$BJ318:$BT318,,AH318)*(1-AF318)+INDEX(Models!$BJ318:$BT318,,AH318+1)*AF318-ERP_i)*AE318*Ramure*Pc/MaxiM</f>
        <v>6.0192406743958975E-2</v>
      </c>
      <c r="AE318" s="305">
        <f t="shared" si="117"/>
        <v>0.7</v>
      </c>
      <c r="AF318" s="177">
        <f t="shared" si="118"/>
        <v>0.5987651176729315</v>
      </c>
      <c r="AG318" s="817">
        <f t="shared" si="124"/>
        <v>0</v>
      </c>
      <c r="AH318" s="176">
        <f t="shared" si="119"/>
        <v>6</v>
      </c>
      <c r="AI318" s="225">
        <f t="shared" si="120"/>
        <v>0.5987651176729315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45596</v>
      </c>
      <c r="B319" s="411">
        <f>'2023'!Wh/'2023'!Env_an*'2024'!Env_an</f>
        <v>12.631307477616135</v>
      </c>
      <c r="C319" s="846"/>
      <c r="D319" s="393">
        <f t="shared" si="102"/>
        <v>13.309265558668526</v>
      </c>
      <c r="E319" s="385">
        <f t="shared" si="125"/>
        <v>14.587147173023125</v>
      </c>
      <c r="F319" s="385">
        <f t="shared" si="103"/>
        <v>15.171673988867699</v>
      </c>
      <c r="G319" s="110">
        <f t="shared" si="126"/>
        <v>0.72193707570238863</v>
      </c>
      <c r="H319" s="414" t="b">
        <f>Wh_hp&gt;='2023'!Maxi_hp</f>
        <v>0</v>
      </c>
      <c r="I319" s="390">
        <f>IF(H319,Wh_hp,'2023'!Maxi_hp)</f>
        <v>19.702358339343263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5.0938804854699704E-2</v>
      </c>
      <c r="M319" s="850"/>
      <c r="N319" s="850"/>
      <c r="O319" s="48">
        <f>IF(t&lt;Tnet,'2023'!Resal+('2023'!Salim-'2023'!Resal)*(1-EXP(('2023'!Tnet-t)/('2023'!Tau_j))),Resal+(Salim-Resal)*(1-EXP((Tnet-t)/(Tau_j))))*Salcycl</f>
        <v>8.760325779929462E-2</v>
      </c>
      <c r="P319" s="169">
        <f>(INDEX(Models!$BJ319:$BT319,,T319)*(1-R319)+INDEX(Models!$BJ319:$BT319,,T319+1)*R319-ERP_i)*Q319*Ramure*Pc/MaxiM</f>
        <v>6.136337010674961E-2</v>
      </c>
      <c r="Q319" s="305">
        <f t="shared" si="105"/>
        <v>0.7</v>
      </c>
      <c r="R319" s="177">
        <f t="shared" si="106"/>
        <v>0.59882135388507318</v>
      </c>
      <c r="S319" s="817">
        <f t="shared" si="107"/>
        <v>0</v>
      </c>
      <c r="T319" s="176">
        <f t="shared" si="108"/>
        <v>6</v>
      </c>
      <c r="U319" s="251">
        <f t="shared" si="109"/>
        <v>0.59882135388507318</v>
      </c>
      <c r="V319" s="383">
        <f t="shared" si="110"/>
        <v>17.080854638424043</v>
      </c>
      <c r="W319" s="402">
        <f t="shared" si="111"/>
        <v>12.631307477616135</v>
      </c>
      <c r="X319" s="157">
        <f t="shared" si="112"/>
        <v>45596</v>
      </c>
      <c r="Y319" s="385">
        <f t="shared" si="113"/>
        <v>12.066307561549765</v>
      </c>
      <c r="Z319" s="385">
        <f t="shared" si="114"/>
        <v>12.713940495378093</v>
      </c>
      <c r="AA319" s="386">
        <f t="shared" si="115"/>
        <v>14.587147173023125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0.12841487478163402</v>
      </c>
      <c r="AD319" s="231">
        <f>(INDEX(Models!$BJ319:$BT319,,AH319)*(1-AF319)+INDEX(Models!$BJ319:$BT319,,AH319+1)*AF319-ERP_i)*AE319*Ramure*Pc/MaxiM</f>
        <v>6.136337010674961E-2</v>
      </c>
      <c r="AE319" s="305">
        <f t="shared" si="117"/>
        <v>0.7</v>
      </c>
      <c r="AF319" s="177">
        <f t="shared" si="118"/>
        <v>0.59882135388507318</v>
      </c>
      <c r="AG319" s="817">
        <f t="shared" si="124"/>
        <v>0</v>
      </c>
      <c r="AH319" s="176">
        <f t="shared" si="119"/>
        <v>6</v>
      </c>
      <c r="AI319" s="225">
        <f t="shared" si="120"/>
        <v>0.59882135388507318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45597</v>
      </c>
      <c r="B320" s="411">
        <f>'2023'!Wh/'2023'!Env_an*'2024'!Env_an</f>
        <v>14.631693603774034</v>
      </c>
      <c r="C320" s="846"/>
      <c r="D320" s="393">
        <f t="shared" si="102"/>
        <v>15.41735575880791</v>
      </c>
      <c r="E320" s="385">
        <f t="shared" si="125"/>
        <v>16.898079207110495</v>
      </c>
      <c r="F320" s="385">
        <f t="shared" si="103"/>
        <v>17.80719364787549</v>
      </c>
      <c r="G320" s="110">
        <f t="shared" si="126"/>
        <v>0.86165289960424463</v>
      </c>
      <c r="H320" s="414" t="b">
        <f>Wh_hp&gt;='2023'!Maxi_hp</f>
        <v>0</v>
      </c>
      <c r="I320" s="390">
        <f>IF(H320,Wh_hp,'2023'!Maxi_hp)</f>
        <v>18.470798370056769</v>
      </c>
      <c r="J320" s="85">
        <f>IF(H320,An,'2023'!An_max)</f>
        <v>2020</v>
      </c>
      <c r="K320" s="197">
        <f t="shared" si="104"/>
        <v>45597</v>
      </c>
      <c r="L320" s="147">
        <f>IF(t&lt;Tvie,1-EXP((T0-t)*PertePVj)+'2023'!Pspv,1-EXP((T0-t)*PertePVj)+Pspv)</f>
        <v>5.0959591730574738E-2</v>
      </c>
      <c r="M320" s="850"/>
      <c r="N320" s="850"/>
      <c r="O320" s="48">
        <f>IF(t&lt;Tnet,'2023'!Resal+('2023'!Salim-'2023'!Resal)*(1-EXP(('2023'!Tnet-t)/('2023'!Tau_j))),Resal+(Salim-Resal)*(1-EXP((Tnet-t)/(Tau_j))))*Salcycl</f>
        <v>8.7626731426345555E-2</v>
      </c>
      <c r="P320" s="169">
        <f>(INDEX(Models!$BJ320:$BT320,,T320)*(1-R320)+INDEX(Models!$BJ320:$BT320,,T320+1)*R320-ERP_i)*Q320*Ramure*Pc/MaxiM</f>
        <v>6.2462554274947811E-2</v>
      </c>
      <c r="Q320" s="305">
        <f t="shared" si="105"/>
        <v>0.7</v>
      </c>
      <c r="R320" s="177">
        <f t="shared" si="106"/>
        <v>0.59887533777442736</v>
      </c>
      <c r="S320" s="817">
        <f t="shared" si="107"/>
        <v>0</v>
      </c>
      <c r="T320" s="176">
        <f t="shared" si="108"/>
        <v>6</v>
      </c>
      <c r="U320" s="251">
        <f t="shared" si="109"/>
        <v>0.59887533777442736</v>
      </c>
      <c r="V320" s="383">
        <f t="shared" si="110"/>
        <v>16.7767953601264</v>
      </c>
      <c r="W320" s="402">
        <f t="shared" si="111"/>
        <v>14.631693603774034</v>
      </c>
      <c r="X320" s="157">
        <f t="shared" si="112"/>
        <v>45597</v>
      </c>
      <c r="Y320" s="385">
        <f t="shared" si="113"/>
        <v>13.97855753480337</v>
      </c>
      <c r="Z320" s="385">
        <f t="shared" si="114"/>
        <v>14.729148951932682</v>
      </c>
      <c r="AA320" s="386">
        <f t="shared" si="115"/>
        <v>16.898079207110495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0.12835365656619444</v>
      </c>
      <c r="AD320" s="231">
        <f>(INDEX(Models!$BJ320:$BT320,,AH320)*(1-AF320)+INDEX(Models!$BJ320:$BT320,,AH320+1)*AF320-ERP_i)*AE320*Ramure*Pc/MaxiM</f>
        <v>6.2462554274947811E-2</v>
      </c>
      <c r="AE320" s="305">
        <f t="shared" si="117"/>
        <v>0.7</v>
      </c>
      <c r="AF320" s="177">
        <f t="shared" si="118"/>
        <v>0.59887533777442736</v>
      </c>
      <c r="AG320" s="817">
        <f t="shared" si="124"/>
        <v>0</v>
      </c>
      <c r="AH320" s="176">
        <f t="shared" si="119"/>
        <v>6</v>
      </c>
      <c r="AI320" s="225">
        <f t="shared" si="120"/>
        <v>0.59887533777442736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45598</v>
      </c>
      <c r="B321" s="411">
        <f>'2023'!Wh/'2023'!Env_an*'2024'!Env_an</f>
        <v>5.5041321313892366</v>
      </c>
      <c r="C321" s="846"/>
      <c r="D321" s="393">
        <f t="shared" si="102"/>
        <v>5.7998085652500428</v>
      </c>
      <c r="E321" s="385">
        <f t="shared" si="125"/>
        <v>6.3569997181281952</v>
      </c>
      <c r="F321" s="385">
        <f t="shared" si="103"/>
        <v>6.3767418837982985</v>
      </c>
      <c r="G321" s="110">
        <f t="shared" si="126"/>
        <v>0.3138979727866324</v>
      </c>
      <c r="H321" s="414" t="b">
        <f>Wh_hp&gt;='2023'!Maxi_hp</f>
        <v>0</v>
      </c>
      <c r="I321" s="390">
        <f>IF(H321,Wh_hp,'2023'!Maxi_hp)</f>
        <v>19.194337554419008</v>
      </c>
      <c r="J321" s="85">
        <f>IF(H321,An,'2023'!An_max)</f>
        <v>2020</v>
      </c>
      <c r="K321" s="197">
        <f t="shared" si="104"/>
        <v>45598</v>
      </c>
      <c r="L321" s="147">
        <f>IF(t&lt;Tvie,1-EXP((T0-t)*PertePVj)+'2023'!Pspv,1-EXP((T0-t)*PertePVj)+Pspv)</f>
        <v>5.0980378151163852E-2</v>
      </c>
      <c r="M321" s="850"/>
      <c r="N321" s="850"/>
      <c r="O321" s="48">
        <f>IF(t&lt;Tnet,'2023'!Resal+('2023'!Salim-'2023'!Resal)*(1-EXP(('2023'!Tnet-t)/('2023'!Tau_j))),Resal+(Salim-Resal)*(1-EXP((Tnet-t)/(Tau_j))))*Salcycl</f>
        <v>8.7650020069879139E-2</v>
      </c>
      <c r="P321" s="169">
        <f>(INDEX(Models!$BJ321:$BT321,,T321)*(1-R321)+INDEX(Models!$BJ321:$BT321,,T321+1)*R321-ERP_i)*Q321*Ramure*Pc/MaxiM</f>
        <v>6.3482581567736382E-2</v>
      </c>
      <c r="Q321" s="305">
        <f t="shared" si="105"/>
        <v>0.7</v>
      </c>
      <c r="R321" s="177">
        <f t="shared" si="106"/>
        <v>0.59892715908982053</v>
      </c>
      <c r="S321" s="817">
        <f t="shared" si="107"/>
        <v>0</v>
      </c>
      <c r="T321" s="176">
        <f t="shared" si="108"/>
        <v>6</v>
      </c>
      <c r="U321" s="251">
        <f t="shared" si="109"/>
        <v>0.59892715908982053</v>
      </c>
      <c r="V321" s="383">
        <f t="shared" si="110"/>
        <v>16.472626266878244</v>
      </c>
      <c r="W321" s="402">
        <f t="shared" si="111"/>
        <v>5.5041321313892366</v>
      </c>
      <c r="X321" s="157">
        <f t="shared" si="112"/>
        <v>45598</v>
      </c>
      <c r="Y321" s="385">
        <f t="shared" si="113"/>
        <v>5.2589398069745057</v>
      </c>
      <c r="Z321" s="385">
        <f t="shared" si="114"/>
        <v>5.541444756146646</v>
      </c>
      <c r="AA321" s="386">
        <f t="shared" si="115"/>
        <v>6.3569997181281952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0.12829243324580283</v>
      </c>
      <c r="AD321" s="231">
        <f>(INDEX(Models!$BJ321:$BT321,,AH321)*(1-AF321)+INDEX(Models!$BJ321:$BT321,,AH321+1)*AF321-ERP_i)*AE321*Ramure*Pc/MaxiM</f>
        <v>6.3482581567736382E-2</v>
      </c>
      <c r="AE321" s="305">
        <f t="shared" si="117"/>
        <v>0.7</v>
      </c>
      <c r="AF321" s="177">
        <f t="shared" si="118"/>
        <v>0.59892715908982053</v>
      </c>
      <c r="AG321" s="817">
        <f t="shared" si="124"/>
        <v>0</v>
      </c>
      <c r="AH321" s="176">
        <f t="shared" si="119"/>
        <v>6</v>
      </c>
      <c r="AI321" s="225">
        <f t="shared" si="120"/>
        <v>0.59892715908982053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45599</v>
      </c>
      <c r="B322" s="411">
        <f>'2023'!Wh/'2023'!Env_an*'2024'!Env_an</f>
        <v>7.8753162292393908</v>
      </c>
      <c r="C322" s="846"/>
      <c r="D322" s="393">
        <f t="shared" si="102"/>
        <v>8.2985520439626566</v>
      </c>
      <c r="E322" s="385">
        <f t="shared" si="125"/>
        <v>9.0960302634476609</v>
      </c>
      <c r="F322" s="385">
        <f t="shared" si="103"/>
        <v>9.2553265969871852</v>
      </c>
      <c r="G322" s="110">
        <f t="shared" si="126"/>
        <v>0.46364305452641874</v>
      </c>
      <c r="H322" s="414" t="b">
        <f>Wh_hp&gt;='2023'!Maxi_hp</f>
        <v>0</v>
      </c>
      <c r="I322" s="390">
        <f>IF(H322,Wh_hp,'2023'!Maxi_hp)</f>
        <v>14.185805406628766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5.1001164116477038E-2</v>
      </c>
      <c r="M322" s="850"/>
      <c r="N322" s="850"/>
      <c r="O322" s="48">
        <f>IF(t&lt;Tnet,'2023'!Resal+('2023'!Salim-'2023'!Resal)*(1-EXP(('2023'!Tnet-t)/('2023'!Tau_j))),Resal+(Salim-Resal)*(1-EXP((Tnet-t)/(Tau_j))))*Salcycl</f>
        <v>8.7673215280479527E-2</v>
      </c>
      <c r="P322" s="169">
        <f>(INDEX(Models!$BJ322:$BT322,,T322)*(1-R322)+INDEX(Models!$BJ322:$BT322,,T322+1)*R322-ERP_i)*Q322*Ramure*Pc/MaxiM</f>
        <v>6.4415115213562579E-2</v>
      </c>
      <c r="Q322" s="305">
        <f t="shared" si="105"/>
        <v>0.7</v>
      </c>
      <c r="R322" s="177">
        <f t="shared" si="106"/>
        <v>0.59897690403999282</v>
      </c>
      <c r="S322" s="817">
        <f t="shared" si="107"/>
        <v>0</v>
      </c>
      <c r="T322" s="176">
        <f t="shared" si="108"/>
        <v>6</v>
      </c>
      <c r="U322" s="251">
        <f t="shared" si="109"/>
        <v>0.59897690403999282</v>
      </c>
      <c r="V322" s="383">
        <f t="shared" si="110"/>
        <v>16.169898432722949</v>
      </c>
      <c r="W322" s="402">
        <f t="shared" si="111"/>
        <v>7.8753162292393908</v>
      </c>
      <c r="X322" s="157">
        <f t="shared" si="112"/>
        <v>45599</v>
      </c>
      <c r="Y322" s="385">
        <f t="shared" si="113"/>
        <v>7.5252135596883951</v>
      </c>
      <c r="Z322" s="385">
        <f t="shared" si="114"/>
        <v>7.9296341314079495</v>
      </c>
      <c r="AA322" s="386">
        <f t="shared" si="115"/>
        <v>9.0960302634476609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0.12823133809557202</v>
      </c>
      <c r="AD322" s="231">
        <f>(INDEX(Models!$BJ322:$BT322,,AH322)*(1-AF322)+INDEX(Models!$BJ322:$BT322,,AH322+1)*AF322-ERP_i)*AE322*Ramure*Pc/MaxiM</f>
        <v>6.4415115213562579E-2</v>
      </c>
      <c r="AE322" s="305">
        <f t="shared" si="117"/>
        <v>0.7</v>
      </c>
      <c r="AF322" s="177">
        <f t="shared" si="118"/>
        <v>0.59897690403999282</v>
      </c>
      <c r="AG322" s="817">
        <f t="shared" si="124"/>
        <v>0</v>
      </c>
      <c r="AH322" s="176">
        <f t="shared" si="119"/>
        <v>6</v>
      </c>
      <c r="AI322" s="225">
        <f t="shared" si="120"/>
        <v>0.59897690403999282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45600</v>
      </c>
      <c r="B323" s="411">
        <f>'2023'!Wh/'2023'!Env_an*'2024'!Env_an</f>
        <v>16.165025302649262</v>
      </c>
      <c r="C323" s="846"/>
      <c r="D323" s="393">
        <f t="shared" si="102"/>
        <v>17.034140353707258</v>
      </c>
      <c r="E323" s="385">
        <f t="shared" si="125"/>
        <v>18.671569997315366</v>
      </c>
      <c r="F323" s="385">
        <f t="shared" si="103"/>
        <v>19.974952359032539</v>
      </c>
      <c r="G323" s="110">
        <f t="shared" si="126"/>
        <v>1.0185796826480094</v>
      </c>
      <c r="H323" s="414" t="b">
        <f>Wh_hp&gt;='2023'!Maxi_hp</f>
        <v>1</v>
      </c>
      <c r="I323" s="390">
        <f>IF(H323,Wh_hp,'2023'!Maxi_hp)</f>
        <v>19.974952359032539</v>
      </c>
      <c r="J323" s="85">
        <f>IF(H323,An,'2023'!An_max)</f>
        <v>2024</v>
      </c>
      <c r="K323" s="197">
        <f t="shared" si="104"/>
        <v>45600</v>
      </c>
      <c r="L323" s="147">
        <f>IF(t&lt;Tvie,1-EXP((T0-t)*PertePVj)+'2023'!Pspv,1-EXP((T0-t)*PertePVj)+Pspv)</f>
        <v>5.1021949626524177E-2</v>
      </c>
      <c r="M323" s="850"/>
      <c r="N323" s="850"/>
      <c r="O323" s="48">
        <f>IF(t&lt;Tnet,'2023'!Resal+('2023'!Salim-'2023'!Resal)*(1-EXP(('2023'!Tnet-t)/('2023'!Tau_j))),Resal+(Salim-Resal)*(1-EXP((Tnet-t)/(Tau_j))))*Salcycl</f>
        <v>8.7696409238405784E-2</v>
      </c>
      <c r="P323" s="169">
        <f>(INDEX(Models!$BJ323:$BT323,,T323)*(1-R323)+INDEX(Models!$BJ323:$BT323,,T323+1)*R323-ERP_i)*Q323*Ramure*Pc/MaxiM</f>
        <v>6.525083706283745E-2</v>
      </c>
      <c r="Q323" s="305">
        <f t="shared" si="105"/>
        <v>0.7</v>
      </c>
      <c r="R323" s="177">
        <f t="shared" si="106"/>
        <v>0.5990246554303823</v>
      </c>
      <c r="S323" s="817">
        <f t="shared" si="107"/>
        <v>0</v>
      </c>
      <c r="T323" s="176">
        <f t="shared" si="108"/>
        <v>6</v>
      </c>
      <c r="U323" s="251">
        <f t="shared" si="109"/>
        <v>0.5990246554303823</v>
      </c>
      <c r="V323" s="383">
        <f t="shared" si="110"/>
        <v>15.870162715817113</v>
      </c>
      <c r="W323" s="402">
        <f t="shared" si="111"/>
        <v>16.165025302649262</v>
      </c>
      <c r="X323" s="157">
        <f t="shared" si="112"/>
        <v>45600</v>
      </c>
      <c r="Y323" s="385">
        <f t="shared" si="113"/>
        <v>15.447868440172966</v>
      </c>
      <c r="Z323" s="385">
        <f t="shared" si="114"/>
        <v>16.278425443131553</v>
      </c>
      <c r="AA323" s="386">
        <f t="shared" si="115"/>
        <v>18.671569997315366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0.12817050491886345</v>
      </c>
      <c r="AD323" s="231">
        <f>(INDEX(Models!$BJ323:$BT323,,AH323)*(1-AF323)+INDEX(Models!$BJ323:$BT323,,AH323+1)*AF323-ERP_i)*AE323*Ramure*Pc/MaxiM</f>
        <v>6.525083706283745E-2</v>
      </c>
      <c r="AE323" s="305">
        <f t="shared" si="117"/>
        <v>0.7</v>
      </c>
      <c r="AF323" s="177">
        <f t="shared" si="118"/>
        <v>0.5990246554303823</v>
      </c>
      <c r="AG323" s="817">
        <f t="shared" si="124"/>
        <v>0</v>
      </c>
      <c r="AH323" s="176">
        <f t="shared" si="119"/>
        <v>6</v>
      </c>
      <c r="AI323" s="225">
        <f t="shared" si="120"/>
        <v>0.5990246554303823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45601</v>
      </c>
      <c r="B324" s="411">
        <f>'2023'!Wh/'2023'!Env_an*'2024'!Env_an</f>
        <v>15.393745512496556</v>
      </c>
      <c r="C324" s="846"/>
      <c r="D324" s="393">
        <f t="shared" si="102"/>
        <v>16.221747885903937</v>
      </c>
      <c r="E324" s="385">
        <f t="shared" si="125"/>
        <v>17.781539056852704</v>
      </c>
      <c r="F324" s="385">
        <f t="shared" si="103"/>
        <v>19.015409649998613</v>
      </c>
      <c r="G324" s="110">
        <f t="shared" si="126"/>
        <v>0.98721071822068818</v>
      </c>
      <c r="H324" s="414" t="b">
        <f>Wh_hp&gt;='2023'!Maxi_hp</f>
        <v>0</v>
      </c>
      <c r="I324" s="390">
        <f>IF(H324,Wh_hp,'2023'!Maxi_hp)</f>
        <v>19.022619955261106</v>
      </c>
      <c r="J324" s="85">
        <f>IF(H324,An,'2023'!An_max)</f>
        <v>2022</v>
      </c>
      <c r="K324" s="197">
        <f t="shared" si="104"/>
        <v>45601</v>
      </c>
      <c r="L324" s="147">
        <f>IF(t&lt;Tvie,1-EXP((T0-t)*PertePVj)+'2023'!Pspv,1-EXP((T0-t)*PertePVj)+Pspv)</f>
        <v>5.104273468131526E-2</v>
      </c>
      <c r="M324" s="850"/>
      <c r="N324" s="850"/>
      <c r="O324" s="48">
        <f>IF(t&lt;Tnet,'2023'!Resal+('2023'!Salim-'2023'!Resal)*(1-EXP(('2023'!Tnet-t)/('2023'!Tau_j))),Resal+(Salim-Resal)*(1-EXP((Tnet-t)/(Tau_j))))*Salcycl</f>
        <v>8.7719694339261869E-2</v>
      </c>
      <c r="P324" s="169">
        <f>(INDEX(Models!$BJ324:$BT324,,T324)*(1-R324)+INDEX(Models!$BJ324:$BT324,,T324+1)*R324-ERP_i)*Q324*Ramure*Pc/MaxiM</f>
        <v>6.5984260906466863E-2</v>
      </c>
      <c r="Q324" s="305">
        <f t="shared" si="105"/>
        <v>0.7</v>
      </c>
      <c r="R324" s="177">
        <f t="shared" si="106"/>
        <v>0.59907049279485147</v>
      </c>
      <c r="S324" s="817">
        <f t="shared" si="107"/>
        <v>0</v>
      </c>
      <c r="T324" s="176">
        <f t="shared" si="108"/>
        <v>6</v>
      </c>
      <c r="U324" s="251">
        <f t="shared" si="109"/>
        <v>0.59907049279485147</v>
      </c>
      <c r="V324" s="383">
        <f t="shared" si="110"/>
        <v>15.574889464263558</v>
      </c>
      <c r="W324" s="402">
        <f t="shared" si="111"/>
        <v>15.393745512496556</v>
      </c>
      <c r="X324" s="157">
        <f t="shared" si="112"/>
        <v>45601</v>
      </c>
      <c r="Y324" s="385">
        <f t="shared" si="113"/>
        <v>14.712201560664351</v>
      </c>
      <c r="Z324" s="385">
        <f t="shared" si="114"/>
        <v>15.503544889056313</v>
      </c>
      <c r="AA324" s="386">
        <f t="shared" si="115"/>
        <v>17.781539056852704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0.12811006744202444</v>
      </c>
      <c r="AD324" s="231">
        <f>(INDEX(Models!$BJ324:$BT324,,AH324)*(1-AF324)+INDEX(Models!$BJ324:$BT324,,AH324+1)*AF324-ERP_i)*AE324*Ramure*Pc/MaxiM</f>
        <v>6.5984260906466863E-2</v>
      </c>
      <c r="AE324" s="305">
        <f t="shared" si="117"/>
        <v>0.7</v>
      </c>
      <c r="AF324" s="177">
        <f t="shared" si="118"/>
        <v>0.59907049279485147</v>
      </c>
      <c r="AG324" s="817">
        <f t="shared" si="124"/>
        <v>0</v>
      </c>
      <c r="AH324" s="176">
        <f t="shared" si="119"/>
        <v>6</v>
      </c>
      <c r="AI324" s="225">
        <f t="shared" si="120"/>
        <v>0.59907049279485147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45602</v>
      </c>
      <c r="B325" s="411">
        <f>'2023'!Wh/'2023'!Env_an*'2024'!Env_an</f>
        <v>14.777063022421631</v>
      </c>
      <c r="C325" s="846"/>
      <c r="D325" s="393">
        <f t="shared" si="102"/>
        <v>15.572236206182124</v>
      </c>
      <c r="E325" s="385">
        <f t="shared" si="125"/>
        <v>17.0700131484191</v>
      </c>
      <c r="F325" s="385">
        <f t="shared" si="103"/>
        <v>18.227673944688863</v>
      </c>
      <c r="G325" s="110">
        <f t="shared" si="126"/>
        <v>0.96353603400300614</v>
      </c>
      <c r="H325" s="414" t="b">
        <f>Wh_hp&gt;='2023'!Maxi_hp</f>
        <v>0</v>
      </c>
      <c r="I325" s="390">
        <f>IF(H325,Wh_hp,'2023'!Maxi_hp)</f>
        <v>18.24735206974805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5.1063519280860392E-2</v>
      </c>
      <c r="M325" s="850"/>
      <c r="N325" s="850"/>
      <c r="O325" s="48">
        <f>IF(t&lt;Tnet,'2023'!Resal+('2023'!Salim-'2023'!Resal)*(1-EXP(('2023'!Tnet-t)/('2023'!Tau_j))),Resal+(Salim-Resal)*(1-EXP((Tnet-t)/(Tau_j))))*Salcycl</f>
        <v>8.7743162774053959E-2</v>
      </c>
      <c r="P325" s="169">
        <f>(INDEX(Models!$BJ325:$BT325,,T325)*(1-R325)+INDEX(Models!$BJ325:$BT325,,T325+1)*R325-ERP_i)*Q325*Ramure*Pc/MaxiM</f>
        <v>6.6673332592549567E-2</v>
      </c>
      <c r="Q325" s="305">
        <f t="shared" si="105"/>
        <v>0.7</v>
      </c>
      <c r="R325" s="177">
        <f t="shared" si="106"/>
        <v>0.59911449252252258</v>
      </c>
      <c r="S325" s="817">
        <f t="shared" si="107"/>
        <v>0</v>
      </c>
      <c r="T325" s="176">
        <f t="shared" si="108"/>
        <v>6</v>
      </c>
      <c r="U325" s="251">
        <f t="shared" si="109"/>
        <v>0.59911449252252258</v>
      </c>
      <c r="V325" s="383">
        <f t="shared" si="110"/>
        <v>15.284499962684613</v>
      </c>
      <c r="W325" s="402">
        <f t="shared" si="111"/>
        <v>14.777063022421631</v>
      </c>
      <c r="X325" s="157">
        <f t="shared" si="112"/>
        <v>45602</v>
      </c>
      <c r="Y325" s="385">
        <f t="shared" si="113"/>
        <v>14.124155864272291</v>
      </c>
      <c r="Z325" s="385">
        <f t="shared" si="114"/>
        <v>14.884195255691379</v>
      </c>
      <c r="AA325" s="386">
        <f t="shared" si="115"/>
        <v>17.0700131484191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0.12805015870360681</v>
      </c>
      <c r="AD325" s="231">
        <f>(INDEX(Models!$BJ325:$BT325,,AH325)*(1-AF325)+INDEX(Models!$BJ325:$BT325,,AH325+1)*AF325-ERP_i)*AE325*Ramure*Pc/MaxiM</f>
        <v>6.6673332592549567E-2</v>
      </c>
      <c r="AE325" s="305">
        <f t="shared" si="117"/>
        <v>0.7</v>
      </c>
      <c r="AF325" s="177">
        <f t="shared" si="118"/>
        <v>0.59911449252252258</v>
      </c>
      <c r="AG325" s="817">
        <f t="shared" si="124"/>
        <v>0</v>
      </c>
      <c r="AH325" s="176">
        <f t="shared" si="119"/>
        <v>6</v>
      </c>
      <c r="AI325" s="225">
        <f t="shared" si="120"/>
        <v>0.59911449252252258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45603</v>
      </c>
      <c r="B326" s="411">
        <f>'2023'!Wh/'2023'!Env_an*'2024'!Env_an</f>
        <v>10.764763607873801</v>
      </c>
      <c r="C326" s="846"/>
      <c r="D326" s="393">
        <f t="shared" si="102"/>
        <v>11.344278155298596</v>
      </c>
      <c r="E326" s="385">
        <f t="shared" si="125"/>
        <v>12.435723096692932</v>
      </c>
      <c r="F326" s="385">
        <f t="shared" si="103"/>
        <v>12.955998514055041</v>
      </c>
      <c r="G326" s="110">
        <f t="shared" si="126"/>
        <v>0.69732411835840657</v>
      </c>
      <c r="H326" s="414" t="b">
        <f>Wh_hp&gt;='2023'!Maxi_hp</f>
        <v>0</v>
      </c>
      <c r="I326" s="390">
        <f>IF(H326,Wh_hp,'2023'!Maxi_hp)</f>
        <v>16.798255579370284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5.1084303425169453E-2</v>
      </c>
      <c r="M326" s="850"/>
      <c r="N326" s="850"/>
      <c r="O326" s="48">
        <f>IF(t&lt;Tnet,'2023'!Resal+('2023'!Salim-'2023'!Resal)*(1-EXP(('2023'!Tnet-t)/('2023'!Tau_j))),Resal+(Salim-Resal)*(1-EXP((Tnet-t)/(Tau_j))))*Salcycl</f>
        <v>8.776690610653648E-2</v>
      </c>
      <c r="P326" s="169">
        <f>(INDEX(Models!$BJ326:$BT326,,T326)*(1-R326)+INDEX(Models!$BJ326:$BT326,,T326+1)*R326-ERP_i)*Q326*Ramure*Pc/MaxiM</f>
        <v>6.7309234279928687E-2</v>
      </c>
      <c r="Q326" s="305">
        <f t="shared" si="105"/>
        <v>0.7</v>
      </c>
      <c r="R326" s="177">
        <f t="shared" si="106"/>
        <v>0.59915672797988861</v>
      </c>
      <c r="S326" s="817">
        <f t="shared" si="107"/>
        <v>0</v>
      </c>
      <c r="T326" s="176">
        <f t="shared" si="108"/>
        <v>6</v>
      </c>
      <c r="U326" s="251">
        <f t="shared" si="109"/>
        <v>0.59915672797988861</v>
      </c>
      <c r="V326" s="383">
        <f t="shared" si="110"/>
        <v>15.00055522539623</v>
      </c>
      <c r="W326" s="402">
        <f t="shared" si="111"/>
        <v>10.764763607873801</v>
      </c>
      <c r="X326" s="157">
        <f t="shared" si="112"/>
        <v>45603</v>
      </c>
      <c r="Y326" s="385">
        <f t="shared" si="113"/>
        <v>10.290102141484118</v>
      </c>
      <c r="Z326" s="385">
        <f t="shared" si="114"/>
        <v>10.844063575538769</v>
      </c>
      <c r="AA326" s="386">
        <f t="shared" si="115"/>
        <v>12.435723096692932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0.12799091044230779</v>
      </c>
      <c r="AD326" s="231">
        <f>(INDEX(Models!$BJ326:$BT326,,AH326)*(1-AF326)+INDEX(Models!$BJ326:$BT326,,AH326+1)*AF326-ERP_i)*AE326*Ramure*Pc/MaxiM</f>
        <v>6.7309234279928687E-2</v>
      </c>
      <c r="AE326" s="305">
        <f t="shared" si="117"/>
        <v>0.7</v>
      </c>
      <c r="AF326" s="177">
        <f t="shared" si="118"/>
        <v>0.59915672797988861</v>
      </c>
      <c r="AG326" s="817">
        <f t="shared" si="124"/>
        <v>0</v>
      </c>
      <c r="AH326" s="176">
        <f t="shared" si="119"/>
        <v>6</v>
      </c>
      <c r="AI326" s="225">
        <f t="shared" si="120"/>
        <v>0.59915672797988861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45604</v>
      </c>
      <c r="B327" s="411">
        <f>'2023'!Wh/'2023'!Env_an*'2024'!Env_an</f>
        <v>5.9638115703929495</v>
      </c>
      <c r="C327" s="846"/>
      <c r="D327" s="393">
        <f t="shared" si="102"/>
        <v>6.2850074222191834</v>
      </c>
      <c r="E327" s="385">
        <f t="shared" si="125"/>
        <v>6.8898766889378589</v>
      </c>
      <c r="F327" s="385">
        <f t="shared" si="103"/>
        <v>6.9607693426881694</v>
      </c>
      <c r="G327" s="110">
        <f t="shared" si="126"/>
        <v>0.38141385392809363</v>
      </c>
      <c r="H327" s="414" t="b">
        <f>Wh_hp&gt;='2023'!Maxi_hp</f>
        <v>0</v>
      </c>
      <c r="I327" s="390">
        <f>IF(H327,Wh_hp,'2023'!Maxi_hp)</f>
        <v>13.987292778156712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5.1105087114252323E-2</v>
      </c>
      <c r="M327" s="850"/>
      <c r="N327" s="850"/>
      <c r="O327" s="48">
        <f>IF(t&lt;Tnet,'2023'!Resal+('2023'!Salim-'2023'!Resal)*(1-EXP(('2023'!Tnet-t)/('2023'!Tau_j))),Resal+(Salim-Resal)*(1-EXP((Tnet-t)/(Tau_j))))*Salcycl</f>
        <v>8.7791014850792881E-2</v>
      </c>
      <c r="P327" s="169">
        <f>(INDEX(Models!$BJ327:$BT327,,T327)*(1-R327)+INDEX(Models!$BJ327:$BT327,,T327+1)*R327-ERP_i)*Q327*Ramure*Pc/MaxiM</f>
        <v>6.7882321871133994E-2</v>
      </c>
      <c r="Q327" s="305">
        <f t="shared" si="105"/>
        <v>0.7</v>
      </c>
      <c r="R327" s="177">
        <f t="shared" si="106"/>
        <v>0.59919726962835806</v>
      </c>
      <c r="S327" s="817">
        <f t="shared" si="107"/>
        <v>0</v>
      </c>
      <c r="T327" s="176">
        <f t="shared" si="108"/>
        <v>6</v>
      </c>
      <c r="U327" s="251">
        <f t="shared" si="109"/>
        <v>0.59919726962835806</v>
      </c>
      <c r="V327" s="383">
        <f t="shared" si="110"/>
        <v>14.724616345115752</v>
      </c>
      <c r="W327" s="402">
        <f t="shared" si="111"/>
        <v>5.9638115703929495</v>
      </c>
      <c r="X327" s="157">
        <f t="shared" si="112"/>
        <v>45604</v>
      </c>
      <c r="Y327" s="385">
        <f t="shared" si="113"/>
        <v>5.7013761261802047</v>
      </c>
      <c r="Z327" s="385">
        <f t="shared" si="114"/>
        <v>6.0084378667827076</v>
      </c>
      <c r="AA327" s="386">
        <f t="shared" si="115"/>
        <v>6.8898766889378589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0.12793245248791735</v>
      </c>
      <c r="AD327" s="231">
        <f>(INDEX(Models!$BJ327:$BT327,,AH327)*(1-AF327)+INDEX(Models!$BJ327:$BT327,,AH327+1)*AF327-ERP_i)*AE327*Ramure*Pc/MaxiM</f>
        <v>6.7882321871133994E-2</v>
      </c>
      <c r="AE327" s="305">
        <f t="shared" si="117"/>
        <v>0.7</v>
      </c>
      <c r="AF327" s="177">
        <f t="shared" si="118"/>
        <v>0.59919726962835806</v>
      </c>
      <c r="AG327" s="817">
        <f t="shared" si="124"/>
        <v>0</v>
      </c>
      <c r="AH327" s="176">
        <f t="shared" si="119"/>
        <v>6</v>
      </c>
      <c r="AI327" s="225">
        <f t="shared" si="120"/>
        <v>0.59919726962835806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45605</v>
      </c>
      <c r="B328" s="411">
        <f>'2023'!Wh/'2023'!Env_an*'2024'!Env_an</f>
        <v>11.445389909599911</v>
      </c>
      <c r="C328" s="846"/>
      <c r="D328" s="393">
        <f t="shared" si="102"/>
        <v>12.062073937877249</v>
      </c>
      <c r="E328" s="385">
        <f t="shared" si="125"/>
        <v>13.223284291698992</v>
      </c>
      <c r="F328" s="385">
        <f t="shared" si="103"/>
        <v>13.89037579536161</v>
      </c>
      <c r="G328" s="110">
        <f t="shared" si="126"/>
        <v>0.77468918240106854</v>
      </c>
      <c r="H328" s="414" t="b">
        <f>Wh_hp&gt;='2023'!Maxi_hp</f>
        <v>0</v>
      </c>
      <c r="I328" s="390">
        <f>IF(H328,Wh_hp,'2023'!Maxi_hp)</f>
        <v>13.982713546036214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5.1125870348119107E-2</v>
      </c>
      <c r="M328" s="850"/>
      <c r="N328" s="850"/>
      <c r="O328" s="48">
        <f>IF(t&lt;Tnet,'2023'!Resal+('2023'!Salim-'2023'!Resal)*(1-EXP(('2023'!Tnet-t)/('2023'!Tau_j))),Resal+(Salim-Resal)*(1-EXP((Tnet-t)/(Tau_j))))*Salcycl</f>
        <v>8.7815578052019908E-2</v>
      </c>
      <c r="P328" s="169">
        <f>(INDEX(Models!$BJ328:$BT328,,T328)*(1-R328)+INDEX(Models!$BJ328:$BT328,,T328+1)*R328-ERP_i)*Q328*Ramure*Pc/MaxiM</f>
        <v>6.8382141886145983E-2</v>
      </c>
      <c r="Q328" s="305">
        <f t="shared" si="105"/>
        <v>0.7</v>
      </c>
      <c r="R328" s="177">
        <f t="shared" si="106"/>
        <v>0.5992361851373933</v>
      </c>
      <c r="S328" s="817">
        <f t="shared" si="107"/>
        <v>0</v>
      </c>
      <c r="T328" s="176">
        <f t="shared" si="108"/>
        <v>6</v>
      </c>
      <c r="U328" s="251">
        <f t="shared" si="109"/>
        <v>0.5992361851373933</v>
      </c>
      <c r="V328" s="383">
        <f t="shared" si="110"/>
        <v>14.458244543384765</v>
      </c>
      <c r="W328" s="402">
        <f t="shared" si="111"/>
        <v>11.445389909599911</v>
      </c>
      <c r="X328" s="157">
        <f t="shared" si="112"/>
        <v>45605</v>
      </c>
      <c r="Y328" s="385">
        <f t="shared" si="113"/>
        <v>10.942756135827905</v>
      </c>
      <c r="Z328" s="385">
        <f t="shared" si="114"/>
        <v>11.532357974437073</v>
      </c>
      <c r="AA328" s="386">
        <f t="shared" si="115"/>
        <v>13.223284291698992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0.12787491215956162</v>
      </c>
      <c r="AD328" s="231">
        <f>(INDEX(Models!$BJ328:$BT328,,AH328)*(1-AF328)+INDEX(Models!$BJ328:$BT328,,AH328+1)*AF328-ERP_i)*AE328*Ramure*Pc/MaxiM</f>
        <v>6.8382141886145983E-2</v>
      </c>
      <c r="AE328" s="305">
        <f t="shared" si="117"/>
        <v>0.7</v>
      </c>
      <c r="AF328" s="177">
        <f t="shared" si="118"/>
        <v>0.5992361851373933</v>
      </c>
      <c r="AG328" s="817">
        <f t="shared" si="124"/>
        <v>0</v>
      </c>
      <c r="AH328" s="176">
        <f t="shared" si="119"/>
        <v>6</v>
      </c>
      <c r="AI328" s="225">
        <f t="shared" si="120"/>
        <v>0.5992361851373933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45606</v>
      </c>
      <c r="B329" s="411">
        <f>'2023'!Wh/'2023'!Env_an*'2024'!Env_an</f>
        <v>13.335455703012324</v>
      </c>
      <c r="C329" s="846"/>
      <c r="D329" s="393">
        <f t="shared" si="102"/>
        <v>14.054285361333212</v>
      </c>
      <c r="E329" s="385">
        <f t="shared" si="125"/>
        <v>15.407709045396764</v>
      </c>
      <c r="F329" s="385">
        <f t="shared" si="103"/>
        <v>16.440049180088476</v>
      </c>
      <c r="G329" s="110">
        <f t="shared" si="126"/>
        <v>0.93290393422412754</v>
      </c>
      <c r="H329" s="414" t="b">
        <f>Wh_hp&gt;='2023'!Maxi_hp</f>
        <v>0</v>
      </c>
      <c r="I329" s="390">
        <f>IF(H329,Wh_hp,'2023'!Maxi_hp)</f>
        <v>16.472302935797078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5.1146653126779795E-2</v>
      </c>
      <c r="M329" s="850"/>
      <c r="N329" s="850"/>
      <c r="O329" s="48">
        <f>IF(t&lt;Tnet,'2023'!Resal+('2023'!Salim-'2023'!Resal)*(1-EXP(('2023'!Tnet-t)/('2023'!Tau_j))),Resal+(Salim-Resal)*(1-EXP((Tnet-t)/(Tau_j))))*Salcycl</f>
        <v>8.7840682873480402E-2</v>
      </c>
      <c r="P329" s="169">
        <f>(INDEX(Models!$BJ329:$BT329,,T329)*(1-R329)+INDEX(Models!$BJ329:$BT329,,T329+1)*R329-ERP_i)*Q329*Ramure*Pc/MaxiM</f>
        <v>6.8797476790294826E-2</v>
      </c>
      <c r="Q329" s="305">
        <f t="shared" si="105"/>
        <v>0.7</v>
      </c>
      <c r="R329" s="177">
        <f t="shared" si="106"/>
        <v>0.59927353949339035</v>
      </c>
      <c r="S329" s="817">
        <f t="shared" si="107"/>
        <v>0</v>
      </c>
      <c r="T329" s="176">
        <f t="shared" si="108"/>
        <v>6</v>
      </c>
      <c r="U329" s="251">
        <f t="shared" si="109"/>
        <v>0.59927353949339035</v>
      </c>
      <c r="V329" s="383">
        <f t="shared" si="110"/>
        <v>14.203001216306278</v>
      </c>
      <c r="W329" s="402">
        <f t="shared" si="111"/>
        <v>13.335455703012324</v>
      </c>
      <c r="X329" s="157">
        <f t="shared" si="112"/>
        <v>45606</v>
      </c>
      <c r="Y329" s="385">
        <f t="shared" si="113"/>
        <v>12.750995019217784</v>
      </c>
      <c r="Z329" s="385">
        <f t="shared" si="114"/>
        <v>13.438320116840449</v>
      </c>
      <c r="AA329" s="386">
        <f t="shared" si="115"/>
        <v>15.407709045396764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0.12781841367550309</v>
      </c>
      <c r="AD329" s="231">
        <f>(INDEX(Models!$BJ329:$BT329,,AH329)*(1-AF329)+INDEX(Models!$BJ329:$BT329,,AH329+1)*AF329-ERP_i)*AE329*Ramure*Pc/MaxiM</f>
        <v>6.8797476790294826E-2</v>
      </c>
      <c r="AE329" s="305">
        <f t="shared" si="117"/>
        <v>0.7</v>
      </c>
      <c r="AF329" s="177">
        <f t="shared" si="118"/>
        <v>0.59927353949339035</v>
      </c>
      <c r="AG329" s="817">
        <f t="shared" si="124"/>
        <v>0</v>
      </c>
      <c r="AH329" s="176">
        <f t="shared" si="119"/>
        <v>6</v>
      </c>
      <c r="AI329" s="225">
        <f t="shared" si="120"/>
        <v>0.59927353949339035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45607</v>
      </c>
      <c r="B330" s="411">
        <f>'2023'!Wh/'2023'!Env_an*'2024'!Env_an</f>
        <v>13.138791439696194</v>
      </c>
      <c r="C330" s="846"/>
      <c r="D330" s="393">
        <f t="shared" si="102"/>
        <v>13.847323469479434</v>
      </c>
      <c r="E330" s="385">
        <f t="shared" si="125"/>
        <v>15.181245033556667</v>
      </c>
      <c r="F330" s="385">
        <f t="shared" si="103"/>
        <v>16.207246613057688</v>
      </c>
      <c r="G330" s="110">
        <f t="shared" si="126"/>
        <v>0.93530505656531215</v>
      </c>
      <c r="H330" s="414" t="b">
        <f>Wh_hp&gt;='2023'!Maxi_hp</f>
        <v>0</v>
      </c>
      <c r="I330" s="390">
        <f>IF(H330,Wh_hp,'2023'!Maxi_hp)</f>
        <v>16.237743820350616</v>
      </c>
      <c r="J330" s="85">
        <f>IF(H330,An,'2023'!An_max)</f>
        <v>2022</v>
      </c>
      <c r="K330" s="197">
        <f t="shared" si="104"/>
        <v>45607</v>
      </c>
      <c r="L330" s="147">
        <f>IF(t&lt;Tvie,1-EXP((T0-t)*PertePVj)+'2023'!Pspv,1-EXP((T0-t)*PertePVj)+Pspv)</f>
        <v>5.116743545024427E-2</v>
      </c>
      <c r="M330" s="850"/>
      <c r="N330" s="850"/>
      <c r="O330" s="48">
        <f>IF(t&lt;Tnet,'2023'!Resal+('2023'!Salim-'2023'!Resal)*(1-EXP(('2023'!Tnet-t)/('2023'!Tau_j))),Resal+(Salim-Resal)*(1-EXP((Tnet-t)/(Tau_j))))*Salcycl</f>
        <v>8.786641419255993E-2</v>
      </c>
      <c r="P330" s="169">
        <f>(INDEX(Models!$BJ330:$BT330,,T330)*(1-R330)+INDEX(Models!$BJ330:$BT330,,T330+1)*R330-ERP_i)*Q330*Ramure*Pc/MaxiM</f>
        <v>6.9116424966875992E-2</v>
      </c>
      <c r="Q330" s="305">
        <f t="shared" si="105"/>
        <v>0.7</v>
      </c>
      <c r="R330" s="177">
        <f t="shared" si="106"/>
        <v>0.59930939510445369</v>
      </c>
      <c r="S330" s="817">
        <f t="shared" si="107"/>
        <v>0</v>
      </c>
      <c r="T330" s="176">
        <f t="shared" si="108"/>
        <v>6</v>
      </c>
      <c r="U330" s="251">
        <f t="shared" si="109"/>
        <v>0.59930939510445369</v>
      </c>
      <c r="V330" s="383">
        <f t="shared" si="110"/>
        <v>13.960447972632224</v>
      </c>
      <c r="W330" s="402">
        <f t="shared" si="111"/>
        <v>13.138791439696194</v>
      </c>
      <c r="X330" s="157">
        <f t="shared" si="112"/>
        <v>45607</v>
      </c>
      <c r="Y330" s="385">
        <f t="shared" si="113"/>
        <v>12.564101561451981</v>
      </c>
      <c r="Z330" s="385">
        <f t="shared" si="114"/>
        <v>13.241642446593255</v>
      </c>
      <c r="AA330" s="386">
        <f t="shared" si="115"/>
        <v>15.181245033556667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0.12776307757869063</v>
      </c>
      <c r="AD330" s="231">
        <f>(INDEX(Models!$BJ330:$BT330,,AH330)*(1-AF330)+INDEX(Models!$BJ330:$BT330,,AH330+1)*AF330-ERP_i)*AE330*Ramure*Pc/MaxiM</f>
        <v>6.9116424966875992E-2</v>
      </c>
      <c r="AE330" s="305">
        <f t="shared" si="117"/>
        <v>0.7</v>
      </c>
      <c r="AF330" s="177">
        <f t="shared" si="118"/>
        <v>0.59930939510445369</v>
      </c>
      <c r="AG330" s="817">
        <f t="shared" si="124"/>
        <v>0</v>
      </c>
      <c r="AH330" s="176">
        <f t="shared" si="119"/>
        <v>6</v>
      </c>
      <c r="AI330" s="225">
        <f t="shared" si="120"/>
        <v>0.59930939510445369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45608</v>
      </c>
      <c r="B331" s="411">
        <f>'2023'!Wh/'2023'!Env_an*'2024'!Env_an</f>
        <v>13.160728210442707</v>
      </c>
      <c r="C331" s="846"/>
      <c r="D331" s="393">
        <f t="shared" si="102"/>
        <v>13.870747023449278</v>
      </c>
      <c r="E331" s="385">
        <f t="shared" si="125"/>
        <v>15.207365809438263</v>
      </c>
      <c r="F331" s="385">
        <f t="shared" si="103"/>
        <v>16.268912523577548</v>
      </c>
      <c r="G331" s="110">
        <f t="shared" si="126"/>
        <v>0.95446332074890827</v>
      </c>
      <c r="H331" s="414" t="b">
        <f>Wh_hp&gt;='2023'!Maxi_hp</f>
        <v>0</v>
      </c>
      <c r="I331" s="390">
        <f>IF(H331,Wh_hp,'2023'!Maxi_hp)</f>
        <v>17.166565954887307</v>
      </c>
      <c r="J331" s="85">
        <f>IF(H331,An,'2023'!An_max)</f>
        <v>2020</v>
      </c>
      <c r="K331" s="197">
        <f t="shared" si="104"/>
        <v>45608</v>
      </c>
      <c r="L331" s="147">
        <f>IF(t&lt;Tvie,1-EXP((T0-t)*PertePVj)+'2023'!Pspv,1-EXP((T0-t)*PertePVj)+Pspv)</f>
        <v>5.1188217318522411E-2</v>
      </c>
      <c r="M331" s="850"/>
      <c r="N331" s="850"/>
      <c r="O331" s="48">
        <f>IF(t&lt;Tnet,'2023'!Resal+('2023'!Salim-'2023'!Resal)*(1-EXP(('2023'!Tnet-t)/('2023'!Tau_j))),Resal+(Salim-Resal)*(1-EXP((Tnet-t)/(Tau_j))))*Salcycl</f>
        <v>8.7892854208809101E-2</v>
      </c>
      <c r="P331" s="169">
        <f>(INDEX(Models!$BJ331:$BT331,,T331)*(1-R331)+INDEX(Models!$BJ331:$BT331,,T331+1)*R331-ERP_i)*Q331*Ramure*Pc/MaxiM</f>
        <v>6.9345023068899767E-2</v>
      </c>
      <c r="Q331" s="305">
        <f t="shared" si="105"/>
        <v>0.7</v>
      </c>
      <c r="R331" s="177">
        <f t="shared" si="106"/>
        <v>0.59934381190120434</v>
      </c>
      <c r="S331" s="817">
        <f t="shared" si="107"/>
        <v>0</v>
      </c>
      <c r="T331" s="176">
        <f t="shared" si="108"/>
        <v>6</v>
      </c>
      <c r="U331" s="251">
        <f t="shared" si="109"/>
        <v>0.59934381190120434</v>
      </c>
      <c r="V331" s="383">
        <f t="shared" si="110"/>
        <v>13.72820994404645</v>
      </c>
      <c r="W331" s="402">
        <f t="shared" si="111"/>
        <v>13.160728210442707</v>
      </c>
      <c r="X331" s="157">
        <f t="shared" si="112"/>
        <v>45608</v>
      </c>
      <c r="Y331" s="385">
        <f t="shared" si="113"/>
        <v>12.586223623810527</v>
      </c>
      <c r="Z331" s="385">
        <f t="shared" si="114"/>
        <v>13.265248022363362</v>
      </c>
      <c r="AA331" s="386">
        <f t="shared" si="115"/>
        <v>15.207365809438262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0.12770902018215069</v>
      </c>
      <c r="AD331" s="231">
        <f>(INDEX(Models!$BJ331:$BT331,,AH331)*(1-AF331)+INDEX(Models!$BJ331:$BT331,,AH331+1)*AF331-ERP_i)*AE331*Ramure*Pc/MaxiM</f>
        <v>6.9345023068899767E-2</v>
      </c>
      <c r="AE331" s="305">
        <f t="shared" si="117"/>
        <v>0.7</v>
      </c>
      <c r="AF331" s="177">
        <f t="shared" si="118"/>
        <v>0.59934381190120434</v>
      </c>
      <c r="AG331" s="817">
        <f t="shared" si="124"/>
        <v>0</v>
      </c>
      <c r="AH331" s="176">
        <f t="shared" si="119"/>
        <v>6</v>
      </c>
      <c r="AI331" s="225">
        <f t="shared" si="120"/>
        <v>0.59934381190120434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45609</v>
      </c>
      <c r="B332" s="411">
        <f>'2023'!Wh/'2023'!Env_an*'2024'!Env_an</f>
        <v>5.9166857077977468</v>
      </c>
      <c r="C332" s="846"/>
      <c r="D332" s="393">
        <f t="shared" si="102"/>
        <v>6.2360263744998878</v>
      </c>
      <c r="E332" s="385">
        <f t="shared" si="125"/>
        <v>6.837149082978085</v>
      </c>
      <c r="F332" s="385">
        <f t="shared" si="103"/>
        <v>6.9322577320476961</v>
      </c>
      <c r="G332" s="110">
        <f t="shared" si="126"/>
        <v>0.41340037467056445</v>
      </c>
      <c r="H332" s="414" t="b">
        <f>Wh_hp&gt;='2023'!Maxi_hp</f>
        <v>0</v>
      </c>
      <c r="I332" s="390">
        <f>IF(H332,Wh_hp,'2023'!Maxi_hp)</f>
        <v>12.052084330395068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5.1208998731624433E-2</v>
      </c>
      <c r="M332" s="850"/>
      <c r="N332" s="850"/>
      <c r="O332" s="48">
        <f>IF(t&lt;Tnet,'2023'!Resal+('2023'!Salim-'2023'!Resal)*(1-EXP(('2023'!Tnet-t)/('2023'!Tau_j))),Resal+(Salim-Resal)*(1-EXP((Tnet-t)/(Tau_j))))*Salcycl</f>
        <v>8.7920082066773403E-2</v>
      </c>
      <c r="P332" s="169">
        <f>(INDEX(Models!$BJ332:$BT332,,T332)*(1-R332)+INDEX(Models!$BJ332:$BT332,,T332+1)*R332-ERP_i)*Q332*Ramure*Pc/MaxiM</f>
        <v>6.9500790442044519E-2</v>
      </c>
      <c r="Q332" s="305">
        <f t="shared" si="105"/>
        <v>0.7</v>
      </c>
      <c r="R332" s="177">
        <f t="shared" si="106"/>
        <v>0.59937684743376596</v>
      </c>
      <c r="S332" s="817">
        <f t="shared" si="107"/>
        <v>0</v>
      </c>
      <c r="T332" s="176">
        <f t="shared" si="108"/>
        <v>6</v>
      </c>
      <c r="U332" s="251">
        <f t="shared" si="109"/>
        <v>0.59937684743376596</v>
      </c>
      <c r="V332" s="383">
        <f t="shared" si="110"/>
        <v>13.502783180240742</v>
      </c>
      <c r="W332" s="402">
        <f t="shared" si="111"/>
        <v>5.9166857077977468</v>
      </c>
      <c r="X332" s="157">
        <f t="shared" si="112"/>
        <v>45609</v>
      </c>
      <c r="Y332" s="385">
        <f t="shared" si="113"/>
        <v>5.6589155037673731</v>
      </c>
      <c r="Z332" s="385">
        <f t="shared" si="114"/>
        <v>5.9643435658668196</v>
      </c>
      <c r="AA332" s="386">
        <f t="shared" si="115"/>
        <v>6.837149082978085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0.12765635303817216</v>
      </c>
      <c r="AD332" s="231">
        <f>(INDEX(Models!$BJ332:$BT332,,AH332)*(1-AF332)+INDEX(Models!$BJ332:$BT332,,AH332+1)*AF332-ERP_i)*AE332*Ramure*Pc/MaxiM</f>
        <v>6.9500790442044519E-2</v>
      </c>
      <c r="AE332" s="305">
        <f t="shared" si="117"/>
        <v>0.7</v>
      </c>
      <c r="AF332" s="177">
        <f t="shared" si="118"/>
        <v>0.59937684743376596</v>
      </c>
      <c r="AG332" s="817">
        <f t="shared" si="124"/>
        <v>0</v>
      </c>
      <c r="AH332" s="176">
        <f t="shared" si="119"/>
        <v>6</v>
      </c>
      <c r="AI332" s="225">
        <f t="shared" si="120"/>
        <v>0.59937684743376596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45610</v>
      </c>
      <c r="B333" s="411">
        <f>'2023'!Wh/'2023'!Env_an*'2024'!Env_an</f>
        <v>7.3211712238778128</v>
      </c>
      <c r="C333" s="846"/>
      <c r="D333" s="393">
        <f t="shared" si="102"/>
        <v>7.7164850531273084</v>
      </c>
      <c r="E333" s="385">
        <f t="shared" si="125"/>
        <v>8.4605773804632403</v>
      </c>
      <c r="F333" s="385">
        <f t="shared" si="103"/>
        <v>8.6774337967912274</v>
      </c>
      <c r="G333" s="110">
        <f t="shared" si="126"/>
        <v>0.52591634819290956</v>
      </c>
      <c r="H333" s="414" t="b">
        <f>Wh_hp&gt;='2023'!Maxi_hp</f>
        <v>0</v>
      </c>
      <c r="I333" s="390">
        <f>IF(H333,Wh_hp,'2023'!Maxi_hp)</f>
        <v>15.011200511504091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5.1229779689560107E-2</v>
      </c>
      <c r="M333" s="850"/>
      <c r="N333" s="850"/>
      <c r="O333" s="48">
        <f>IF(t&lt;Tnet,'2023'!Resal+('2023'!Salim-'2023'!Resal)*(1-EXP(('2023'!Tnet-t)/('2023'!Tau_j))),Resal+(Salim-Resal)*(1-EXP((Tnet-t)/(Tau_j))))*Salcycl</f>
        <v>8.7948173496309345E-2</v>
      </c>
      <c r="P333" s="169">
        <f>(INDEX(Models!$BJ333:$BT333,,T333)*(1-R333)+INDEX(Models!$BJ333:$BT333,,T333+1)*R333-ERP_i)*Q333*Ramure*Pc/MaxiM</f>
        <v>6.9650624864668331E-2</v>
      </c>
      <c r="Q333" s="305">
        <f t="shared" si="105"/>
        <v>0.7</v>
      </c>
      <c r="R333" s="177">
        <f t="shared" si="106"/>
        <v>0.59940855696506112</v>
      </c>
      <c r="S333" s="817">
        <f t="shared" si="107"/>
        <v>0</v>
      </c>
      <c r="T333" s="176">
        <f t="shared" si="108"/>
        <v>6</v>
      </c>
      <c r="U333" s="251">
        <f t="shared" si="109"/>
        <v>0.59940855696506112</v>
      </c>
      <c r="V333" s="383">
        <f t="shared" si="110"/>
        <v>13.283155912733669</v>
      </c>
      <c r="W333" s="402">
        <f t="shared" si="111"/>
        <v>7.3211712238778128</v>
      </c>
      <c r="X333" s="157">
        <f t="shared" si="112"/>
        <v>45610</v>
      </c>
      <c r="Y333" s="385">
        <f t="shared" si="113"/>
        <v>7.002838707862276</v>
      </c>
      <c r="Z333" s="385">
        <f t="shared" si="114"/>
        <v>7.3809638603232406</v>
      </c>
      <c r="AA333" s="386">
        <f t="shared" si="115"/>
        <v>8.4605773804632403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0.1276051824350655</v>
      </c>
      <c r="AD333" s="231">
        <f>(INDEX(Models!$BJ333:$BT333,,AH333)*(1-AF333)+INDEX(Models!$BJ333:$BT333,,AH333+1)*AF333-ERP_i)*AE333*Ramure*Pc/MaxiM</f>
        <v>6.9650624864668331E-2</v>
      </c>
      <c r="AE333" s="305">
        <f t="shared" si="117"/>
        <v>0.7</v>
      </c>
      <c r="AF333" s="177">
        <f t="shared" si="118"/>
        <v>0.59940855696506112</v>
      </c>
      <c r="AG333" s="817">
        <f t="shared" si="124"/>
        <v>0</v>
      </c>
      <c r="AH333" s="176">
        <f t="shared" si="119"/>
        <v>6</v>
      </c>
      <c r="AI333" s="225">
        <f t="shared" si="120"/>
        <v>0.59940855696506112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45611</v>
      </c>
      <c r="B334" s="411">
        <f>'2023'!Wh/'2023'!Env_an*'2024'!Env_an</f>
        <v>11.775503332992894</v>
      </c>
      <c r="C334" s="846"/>
      <c r="D334" s="393">
        <f t="shared" si="102"/>
        <v>12.411605044404702</v>
      </c>
      <c r="E334" s="385">
        <f t="shared" si="125"/>
        <v>13.608875842622727</v>
      </c>
      <c r="F334" s="385">
        <f t="shared" si="103"/>
        <v>14.476349185979714</v>
      </c>
      <c r="G334" s="110">
        <f t="shared" si="126"/>
        <v>0.89154276230619967</v>
      </c>
      <c r="H334" s="414" t="b">
        <f>Wh_hp&gt;='2023'!Maxi_hp</f>
        <v>0</v>
      </c>
      <c r="I334" s="390">
        <f>IF(H334,Wh_hp,'2023'!Maxi_hp)</f>
        <v>14.52095020445914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5.1250560192339534E-2</v>
      </c>
      <c r="M334" s="850"/>
      <c r="N334" s="850"/>
      <c r="O334" s="48">
        <f>IF(t&lt;Tnet,'2023'!Resal+('2023'!Salim-'2023'!Resal)*(1-EXP(('2023'!Tnet-t)/('2023'!Tau_j))),Resal+(Salim-Resal)*(1-EXP((Tnet-t)/(Tau_j))))*Salcycl</f>
        <v>8.7977200472958747E-2</v>
      </c>
      <c r="P334" s="169">
        <f>(INDEX(Models!$BJ334:$BT334,,T334)*(1-R334)+INDEX(Models!$BJ334:$BT334,,T334+1)*R334-ERP_i)*Q334*Ramure*Pc/MaxiM</f>
        <v>6.979405615180613E-2</v>
      </c>
      <c r="Q334" s="305">
        <f t="shared" si="105"/>
        <v>0.7</v>
      </c>
      <c r="R334" s="177">
        <f t="shared" si="106"/>
        <v>0.59943899356055064</v>
      </c>
      <c r="S334" s="817">
        <f t="shared" si="107"/>
        <v>0</v>
      </c>
      <c r="T334" s="176">
        <f t="shared" si="108"/>
        <v>6</v>
      </c>
      <c r="U334" s="251">
        <f t="shared" si="109"/>
        <v>0.59943899356055064</v>
      </c>
      <c r="V334" s="383">
        <f t="shared" si="110"/>
        <v>13.069326557006214</v>
      </c>
      <c r="W334" s="402">
        <f t="shared" si="111"/>
        <v>11.775503332992894</v>
      </c>
      <c r="X334" s="157">
        <f t="shared" si="112"/>
        <v>45611</v>
      </c>
      <c r="Y334" s="385">
        <f t="shared" si="113"/>
        <v>11.264490142440961</v>
      </c>
      <c r="Z334" s="385">
        <f t="shared" si="114"/>
        <v>11.872987397731276</v>
      </c>
      <c r="AA334" s="386">
        <f t="shared" si="115"/>
        <v>13.608875842622727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0.12755560892507251</v>
      </c>
      <c r="AD334" s="231">
        <f>(INDEX(Models!$BJ334:$BT334,,AH334)*(1-AF334)+INDEX(Models!$BJ334:$BT334,,AH334+1)*AF334-ERP_i)*AE334*Ramure*Pc/MaxiM</f>
        <v>6.979405615180613E-2</v>
      </c>
      <c r="AE334" s="305">
        <f t="shared" si="117"/>
        <v>0.7</v>
      </c>
      <c r="AF334" s="177">
        <f t="shared" si="118"/>
        <v>0.59943899356055064</v>
      </c>
      <c r="AG334" s="817">
        <f t="shared" si="124"/>
        <v>0</v>
      </c>
      <c r="AH334" s="176">
        <f t="shared" si="119"/>
        <v>6</v>
      </c>
      <c r="AI334" s="225">
        <f t="shared" si="120"/>
        <v>0.59943899356055064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45612</v>
      </c>
      <c r="B335" s="411">
        <f>'2023'!Wh/'2023'!Env_an*'2024'!Env_an</f>
        <v>8.8885673945953112</v>
      </c>
      <c r="C335" s="846"/>
      <c r="D335" s="393">
        <f t="shared" ref="D335:D380" si="127">Wh/(1-Ppv)</f>
        <v>9.3689247216834328</v>
      </c>
      <c r="E335" s="385">
        <f t="shared" si="125"/>
        <v>10.273025224681779</v>
      </c>
      <c r="F335" s="385">
        <f t="shared" ref="F335:F380" si="128">Wh_sa/(1-Pvg*MEDIAN((-Sdif+Wh/Env_an)/Csdif,0,1))</f>
        <v>10.690735793946658</v>
      </c>
      <c r="G335" s="110">
        <f t="shared" si="126"/>
        <v>0.66891620152575693</v>
      </c>
      <c r="H335" s="414" t="b">
        <f>Wh_hp&gt;='2023'!Maxi_hp</f>
        <v>0</v>
      </c>
      <c r="I335" s="390">
        <f>IF(H335,Wh_hp,'2023'!Maxi_hp)</f>
        <v>16.318890198291346</v>
      </c>
      <c r="J335" s="85">
        <f>IF(H335,An,'2023'!An_max)</f>
        <v>2018</v>
      </c>
      <c r="K335" s="197">
        <f t="shared" ref="K335:K380" si="129">t</f>
        <v>45612</v>
      </c>
      <c r="L335" s="147">
        <f>IF(t&lt;Tvie,1-EXP((T0-t)*PertePVj)+'2023'!Pspv,1-EXP((T0-t)*PertePVj)+Pspv)</f>
        <v>5.1271340239972596E-2</v>
      </c>
      <c r="M335" s="850"/>
      <c r="N335" s="850"/>
      <c r="O335" s="48">
        <f>IF(t&lt;Tnet,'2023'!Resal+('2023'!Salim-'2023'!Resal)*(1-EXP(('2023'!Tnet-t)/('2023'!Tau_j))),Resal+(Salim-Resal)*(1-EXP((Tnet-t)/(Tau_j))))*Salcycl</f>
        <v>8.8007230900803354E-2</v>
      </c>
      <c r="P335" s="169">
        <f>(INDEX(Models!$BJ335:$BT335,,T335)*(1-R335)+INDEX(Models!$BJ335:$BT335,,T335+1)*R335-ERP_i)*Q335*Ramure*Pc/MaxiM</f>
        <v>6.9930577176196829E-2</v>
      </c>
      <c r="Q335" s="305">
        <f t="shared" ref="Q335:Q380" si="130">IF(OR(t&lt;Ttai,Notai),Dd+PousD*Croivg,Dens+PousD*(Croivg-Croi_tai))</f>
        <v>0.7</v>
      </c>
      <c r="R335" s="177">
        <f t="shared" ref="R335:R379" si="131">(Hp_vg-S335)/(INDEX(Echel_vg,T335+1)-S335)</f>
        <v>0.59946820817454494</v>
      </c>
      <c r="S335" s="817">
        <f t="shared" ref="S335:S379" si="132">INDEX(Echel_vg,T335)</f>
        <v>0</v>
      </c>
      <c r="T335" s="176">
        <f t="shared" ref="T335:T380" si="133">MIN(MATCH(Hp_vg,Echel_vg),10)</f>
        <v>6</v>
      </c>
      <c r="U335" s="251">
        <f t="shared" ref="U335:U380" si="134">IF(OR(t&lt;Ttai,Notai),Hdd+PousH*Croivg,Hdtf+PousH*(Croivg-Croi_tai))</f>
        <v>0.59946820817454494</v>
      </c>
      <c r="V335" s="383">
        <f t="shared" ref="V335:V380" si="135">MaxiM*(1-Ppv)*(1-Pvg)*(1-Psa)</f>
        <v>12.861293928532438</v>
      </c>
      <c r="W335" s="402">
        <f t="shared" ref="W335:W380" si="136">Wh*(A335&gt;Tmaj)</f>
        <v>8.8885673945953112</v>
      </c>
      <c r="X335" s="157">
        <f t="shared" ref="X335:X380" si="137">t</f>
        <v>45612</v>
      </c>
      <c r="Y335" s="385">
        <f t="shared" ref="Y335:Y380" si="138">Wh_pvt_s*(1-Ppv)</f>
        <v>8.5035831791634617</v>
      </c>
      <c r="Z335" s="385">
        <f t="shared" ref="Z335:Z380" si="139">Wh_sa_s*(1-Psa_s)</f>
        <v>8.9631351300321942</v>
      </c>
      <c r="AA335" s="386">
        <f t="shared" ref="AA335:AA380" si="140">Wh_hp*(1-Pvg_s*MEDIAN((-Sdif+Wh/Env_an)/Csdif,0,1))</f>
        <v>10.273025224681779</v>
      </c>
      <c r="AB335" s="197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0.12750772688676623</v>
      </c>
      <c r="AD335" s="231">
        <f>(INDEX(Models!$BJ335:$BT335,,AH335)*(1-AF335)+INDEX(Models!$BJ335:$BT335,,AH335+1)*AF335-ERP_i)*AE335*Ramure*Pc/MaxiM</f>
        <v>6.9930577176196829E-2</v>
      </c>
      <c r="AE335" s="305">
        <f t="shared" ref="AE335:AE380" si="142">IF(OR(t&lt;Ttai,Notai),Dd_s+PousD*Croivg,Dens_s+PousD*(Croivg-Croi_tai))</f>
        <v>0.7</v>
      </c>
      <c r="AF335" s="177">
        <f t="shared" ref="AF335:AF379" si="143">(Hp_vg_s-AG335)/(INDEX(Echel_vg,AH335+1)-AG335)</f>
        <v>0.59946820817454494</v>
      </c>
      <c r="AG335" s="817">
        <f t="shared" si="124"/>
        <v>0</v>
      </c>
      <c r="AH335" s="176">
        <f t="shared" ref="AH335:AH380" si="144">MIN(MATCH(Hp_vg_s,Echel_vg),10)</f>
        <v>6</v>
      </c>
      <c r="AI335" s="225">
        <f t="shared" ref="AI335:AI380" si="145">IF(OR(t&lt;Ttai,Notai),Hdd_s+PousH*Croivg,Hdtai_s+PousH*(Croivg-Croi_tai))</f>
        <v>0.59946820817454494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45613</v>
      </c>
      <c r="B336" s="411">
        <f>'2023'!Wh/'2023'!Env_an*'2024'!Env_an</f>
        <v>7.4138371707845847</v>
      </c>
      <c r="C336" s="846"/>
      <c r="D336" s="393">
        <f t="shared" si="127"/>
        <v>7.8146680614430934</v>
      </c>
      <c r="E336" s="385">
        <f t="shared" si="125"/>
        <v>8.5690751093162643</v>
      </c>
      <c r="F336" s="385">
        <f t="shared" si="128"/>
        <v>8.8212736959887881</v>
      </c>
      <c r="G336" s="110">
        <f t="shared" si="126"/>
        <v>0.56065296439896639</v>
      </c>
      <c r="H336" s="414" t="b">
        <f>Wh_hp&gt;='2023'!Maxi_hp</f>
        <v>0</v>
      </c>
      <c r="I336" s="390">
        <f>IF(H336,Wh_hp,'2023'!Maxi_hp)</f>
        <v>14.520944266694507</v>
      </c>
      <c r="J336" s="85">
        <f>IF(H336,An,'2023'!An_max)</f>
        <v>2018</v>
      </c>
      <c r="K336" s="197">
        <f t="shared" si="129"/>
        <v>45613</v>
      </c>
      <c r="L336" s="147">
        <f>IF(t&lt;Tvie,1-EXP((T0-t)*PertePVj)+'2023'!Pspv,1-EXP((T0-t)*PertePVj)+Pspv)</f>
        <v>5.1292119832469174E-2</v>
      </c>
      <c r="M336" s="850"/>
      <c r="N336" s="850"/>
      <c r="O336" s="48">
        <f>IF(t&lt;Tnet,'2023'!Resal+('2023'!Salim-'2023'!Resal)*(1-EXP(('2023'!Tnet-t)/('2023'!Tau_j))),Resal+(Salim-Resal)*(1-EXP((Tnet-t)/(Tau_j))))*Salcycl</f>
        <v>8.8038328320051998E-2</v>
      </c>
      <c r="P336" s="169">
        <f>(INDEX(Models!$BJ336:$BT336,,T336)*(1-R336)+INDEX(Models!$BJ336:$BT336,,T336+1)*R336-ERP_i)*Q336*Ramure*Pc/MaxiM</f>
        <v>7.0059643159872828E-2</v>
      </c>
      <c r="Q336" s="305">
        <f t="shared" si="130"/>
        <v>0.7</v>
      </c>
      <c r="R336" s="177">
        <f t="shared" si="131"/>
        <v>0.59949624973320836</v>
      </c>
      <c r="S336" s="817">
        <f t="shared" si="132"/>
        <v>0</v>
      </c>
      <c r="T336" s="176">
        <f t="shared" si="133"/>
        <v>6</v>
      </c>
      <c r="U336" s="251">
        <f t="shared" si="134"/>
        <v>0.59949624973320836</v>
      </c>
      <c r="V336" s="383">
        <f t="shared" si="135"/>
        <v>12.65905723721063</v>
      </c>
      <c r="W336" s="402">
        <f t="shared" si="136"/>
        <v>7.4138371707845847</v>
      </c>
      <c r="X336" s="157">
        <f t="shared" si="137"/>
        <v>45613</v>
      </c>
      <c r="Y336" s="385">
        <f t="shared" si="138"/>
        <v>7.0933435525656581</v>
      </c>
      <c r="Z336" s="385">
        <f t="shared" si="139"/>
        <v>7.4768468786335536</v>
      </c>
      <c r="AA336" s="386">
        <f t="shared" si="140"/>
        <v>8.5690751093162643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0.12746162412501733</v>
      </c>
      <c r="AD336" s="231">
        <f>(INDEX(Models!$BJ336:$BT336,,AH336)*(1-AF336)+INDEX(Models!$BJ336:$BT336,,AH336+1)*AF336-ERP_i)*AE336*Ramure*Pc/MaxiM</f>
        <v>7.0059643159872828E-2</v>
      </c>
      <c r="AE336" s="305">
        <f t="shared" si="142"/>
        <v>0.7</v>
      </c>
      <c r="AF336" s="177">
        <f t="shared" si="143"/>
        <v>0.59949624973320836</v>
      </c>
      <c r="AG336" s="817">
        <f t="shared" ref="AG336:AG379" si="149">INDEX(Echel_vg,AH336)</f>
        <v>0</v>
      </c>
      <c r="AH336" s="176">
        <f t="shared" si="144"/>
        <v>6</v>
      </c>
      <c r="AI336" s="225">
        <f t="shared" si="145"/>
        <v>0.59949624973320836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45614</v>
      </c>
      <c r="B337" s="411">
        <f>'2023'!Wh/'2023'!Env_an*'2024'!Env_an</f>
        <v>5.0401823988207006</v>
      </c>
      <c r="C337" s="846"/>
      <c r="D337" s="393">
        <f t="shared" si="127"/>
        <v>5.3127974369501452</v>
      </c>
      <c r="E337" s="385">
        <f t="shared" si="125"/>
        <v>5.8258864723722708</v>
      </c>
      <c r="F337" s="385">
        <f t="shared" si="128"/>
        <v>5.8875251094758081</v>
      </c>
      <c r="G337" s="110">
        <f t="shared" si="126"/>
        <v>0.38001991970103866</v>
      </c>
      <c r="H337" s="414" t="b">
        <f>Wh_hp&gt;='2023'!Maxi_hp</f>
        <v>0</v>
      </c>
      <c r="I337" s="390">
        <f>IF(H337,Wh_hp,'2023'!Maxi_hp)</f>
        <v>15.038910963249226</v>
      </c>
      <c r="J337" s="85">
        <f>IF(H337,An,'2023'!An_max)</f>
        <v>2020</v>
      </c>
      <c r="K337" s="197">
        <f t="shared" si="129"/>
        <v>45614</v>
      </c>
      <c r="L337" s="147">
        <f>IF(t&lt;Tvie,1-EXP((T0-t)*PertePVj)+'2023'!Pspv,1-EXP((T0-t)*PertePVj)+Pspv)</f>
        <v>5.1312898969839482E-2</v>
      </c>
      <c r="M337" s="850"/>
      <c r="N337" s="850"/>
      <c r="O337" s="48">
        <f>IF(t&lt;Tnet,'2023'!Resal+('2023'!Salim-'2023'!Resal)*(1-EXP(('2023'!Tnet-t)/('2023'!Tau_j))),Resal+(Salim-Resal)*(1-EXP((Tnet-t)/(Tau_j))))*Salcycl</f>
        <v>8.8070551641422315E-2</v>
      </c>
      <c r="P337" s="169">
        <f>(INDEX(Models!$BJ337:$BT337,,T337)*(1-R337)+INDEX(Models!$BJ337:$BT337,,T337+1)*R337-ERP_i)*Q337*Ramure*Pc/MaxiM</f>
        <v>7.0180671305384801E-2</v>
      </c>
      <c r="Q337" s="305">
        <f t="shared" si="130"/>
        <v>0.7</v>
      </c>
      <c r="R337" s="177">
        <f t="shared" si="131"/>
        <v>0.59952316521437887</v>
      </c>
      <c r="S337" s="817">
        <f t="shared" si="132"/>
        <v>0</v>
      </c>
      <c r="T337" s="176">
        <f t="shared" si="133"/>
        <v>6</v>
      </c>
      <c r="U337" s="251">
        <f t="shared" si="134"/>
        <v>0.59952316521437887</v>
      </c>
      <c r="V337" s="383">
        <f t="shared" si="135"/>
        <v>12.462616077077808</v>
      </c>
      <c r="W337" s="402">
        <f t="shared" si="136"/>
        <v>5.0401823988207006</v>
      </c>
      <c r="X337" s="157">
        <f t="shared" si="137"/>
        <v>45614</v>
      </c>
      <c r="Y337" s="385">
        <f t="shared" si="138"/>
        <v>4.8227146991904704</v>
      </c>
      <c r="Z337" s="385">
        <f t="shared" si="139"/>
        <v>5.0835672730804289</v>
      </c>
      <c r="AA337" s="386">
        <f t="shared" si="140"/>
        <v>5.8258864723722708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0.1274173815113108</v>
      </c>
      <c r="AD337" s="231">
        <f>(INDEX(Models!$BJ337:$BT337,,AH337)*(1-AF337)+INDEX(Models!$BJ337:$BT337,,AH337+1)*AF337-ERP_i)*AE337*Ramure*Pc/MaxiM</f>
        <v>7.0180671305384801E-2</v>
      </c>
      <c r="AE337" s="305">
        <f t="shared" si="142"/>
        <v>0.7</v>
      </c>
      <c r="AF337" s="177">
        <f t="shared" si="143"/>
        <v>0.59952316521437887</v>
      </c>
      <c r="AG337" s="817">
        <f t="shared" si="149"/>
        <v>0</v>
      </c>
      <c r="AH337" s="176">
        <f t="shared" si="144"/>
        <v>6</v>
      </c>
      <c r="AI337" s="225">
        <f t="shared" si="145"/>
        <v>0.59952316521437887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45615</v>
      </c>
      <c r="B338" s="411">
        <f>'2023'!Wh/'2023'!Env_an*'2024'!Env_an</f>
        <v>9.6114243392145973</v>
      </c>
      <c r="C338" s="846"/>
      <c r="D338" s="393">
        <f t="shared" si="127"/>
        <v>10.131512116322156</v>
      </c>
      <c r="E338" s="385">
        <f t="shared" si="125"/>
        <v>11.110380586542634</v>
      </c>
      <c r="F338" s="385">
        <f t="shared" si="128"/>
        <v>11.676625991784102</v>
      </c>
      <c r="G338" s="110">
        <f t="shared" si="126"/>
        <v>0.76525815677560394</v>
      </c>
      <c r="H338" s="414" t="b">
        <f>Wh_hp&gt;='2023'!Maxi_hp</f>
        <v>0</v>
      </c>
      <c r="I338" s="390">
        <f>IF(H338,Wh_hp,'2023'!Maxi_hp)</f>
        <v>14.953005209630511</v>
      </c>
      <c r="J338" s="85">
        <f>IF(H338,An,'2023'!An_max)</f>
        <v>2019</v>
      </c>
      <c r="K338" s="197">
        <f t="shared" si="129"/>
        <v>45615</v>
      </c>
      <c r="L338" s="147">
        <f>IF(t&lt;Tvie,1-EXP((T0-t)*PertePVj)+'2023'!Pspv,1-EXP((T0-t)*PertePVj)+Pspv)</f>
        <v>5.133367765209329E-2</v>
      </c>
      <c r="M338" s="850"/>
      <c r="N338" s="850"/>
      <c r="O338" s="48">
        <f>IF(t&lt;Tnet,'2023'!Resal+('2023'!Salim-'2023'!Resal)*(1-EXP(('2023'!Tnet-t)/('2023'!Tau_j))),Resal+(Salim-Resal)*(1-EXP((Tnet-t)/(Tau_j))))*Salcycl</f>
        <v>8.810395490917082E-2</v>
      </c>
      <c r="P338" s="169">
        <f>(INDEX(Models!$BJ338:$BT338,,T338)*(1-R338)+INDEX(Models!$BJ338:$BT338,,T338+1)*R338-ERP_i)*Q338*Ramure*Pc/MaxiM</f>
        <v>7.0256260613379751E-2</v>
      </c>
      <c r="Q338" s="305">
        <f t="shared" si="130"/>
        <v>0.7</v>
      </c>
      <c r="R338" s="177">
        <f t="shared" si="131"/>
        <v>0.59954899972431785</v>
      </c>
      <c r="S338" s="817">
        <f t="shared" si="132"/>
        <v>0</v>
      </c>
      <c r="T338" s="176">
        <f t="shared" si="133"/>
        <v>6</v>
      </c>
      <c r="U338" s="251">
        <f t="shared" si="134"/>
        <v>0.59954899972431785</v>
      </c>
      <c r="V338" s="383">
        <f t="shared" si="135"/>
        <v>12.272455911661952</v>
      </c>
      <c r="W338" s="402">
        <f t="shared" si="136"/>
        <v>9.6114243392145973</v>
      </c>
      <c r="X338" s="157">
        <f t="shared" si="137"/>
        <v>45615</v>
      </c>
      <c r="Y338" s="385">
        <f t="shared" si="138"/>
        <v>9.1975050344027878</v>
      </c>
      <c r="Z338" s="385">
        <f t="shared" si="139"/>
        <v>9.6951950519750447</v>
      </c>
      <c r="AA338" s="386">
        <f t="shared" si="140"/>
        <v>11.110380586542634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0.12737507266688264</v>
      </c>
      <c r="AD338" s="231">
        <f>(INDEX(Models!$BJ338:$BT338,,AH338)*(1-AF338)+INDEX(Models!$BJ338:$BT338,,AH338+1)*AF338-ERP_i)*AE338*Ramure*Pc/MaxiM</f>
        <v>7.0256260613379751E-2</v>
      </c>
      <c r="AE338" s="305">
        <f t="shared" si="142"/>
        <v>0.7</v>
      </c>
      <c r="AF338" s="177">
        <f t="shared" si="143"/>
        <v>0.59954899972431785</v>
      </c>
      <c r="AG338" s="817">
        <f t="shared" si="149"/>
        <v>0</v>
      </c>
      <c r="AH338" s="176">
        <f t="shared" si="144"/>
        <v>6</v>
      </c>
      <c r="AI338" s="225">
        <f t="shared" si="145"/>
        <v>0.59954899972431785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45616</v>
      </c>
      <c r="B339" s="411">
        <f>'2023'!Wh/'2023'!Env_an*'2024'!Env_an</f>
        <v>1.8904098888842125</v>
      </c>
      <c r="C339" s="846"/>
      <c r="D339" s="393">
        <f t="shared" si="127"/>
        <v>1.992746290329457</v>
      </c>
      <c r="E339" s="385">
        <f t="shared" si="125"/>
        <v>2.1853609135402232</v>
      </c>
      <c r="F339" s="385">
        <f t="shared" si="128"/>
        <v>2.1853609135402232</v>
      </c>
      <c r="G339" s="110">
        <f t="shared" si="126"/>
        <v>0.14538883802794472</v>
      </c>
      <c r="H339" s="414" t="b">
        <f>Wh_hp&gt;='2023'!Maxi_hp</f>
        <v>0</v>
      </c>
      <c r="I339" s="390">
        <f>IF(H339,Wh_hp,'2023'!Maxi_hp)</f>
        <v>14.614708080024094</v>
      </c>
      <c r="J339" s="85">
        <f>IF(H339,An,'2023'!An_max)</f>
        <v>2018</v>
      </c>
      <c r="K339" s="197">
        <f t="shared" si="129"/>
        <v>45616</v>
      </c>
      <c r="L339" s="147">
        <f>IF(t&lt;Tvie,1-EXP((T0-t)*PertePVj)+'2023'!Pspv,1-EXP((T0-t)*PertePVj)+Pspv)</f>
        <v>5.1354455879240701E-2</v>
      </c>
      <c r="M339" s="850"/>
      <c r="N339" s="850"/>
      <c r="O339" s="48">
        <f>IF(t&lt;Tnet,'2023'!Resal+('2023'!Salim-'2023'!Resal)*(1-EXP(('2023'!Tnet-t)/('2023'!Tau_j))),Resal+(Salim-Resal)*(1-EXP((Tnet-t)/(Tau_j))))*Salcycl</f>
        <v>8.8138587094401713E-2</v>
      </c>
      <c r="P339" s="169">
        <f>(INDEX(Models!$BJ339:$BT339,,T339)*(1-R339)+INDEX(Models!$BJ339:$BT339,,T339+1)*R339-ERP_i)*Q339*Ramure*Pc/MaxiM</f>
        <v>7.0278394155593477E-2</v>
      </c>
      <c r="Q339" s="305">
        <f t="shared" si="130"/>
        <v>0.7</v>
      </c>
      <c r="R339" s="177">
        <f t="shared" si="131"/>
        <v>0.59957379657150289</v>
      </c>
      <c r="S339" s="817">
        <f t="shared" si="132"/>
        <v>0</v>
      </c>
      <c r="T339" s="176">
        <f t="shared" si="133"/>
        <v>6</v>
      </c>
      <c r="U339" s="251">
        <f t="shared" si="134"/>
        <v>0.59957379657150289</v>
      </c>
      <c r="V339" s="383">
        <f t="shared" si="135"/>
        <v>12.088650968238442</v>
      </c>
      <c r="W339" s="402">
        <f t="shared" si="136"/>
        <v>1.8904098888842125</v>
      </c>
      <c r="X339" s="157">
        <f t="shared" si="137"/>
        <v>45616</v>
      </c>
      <c r="Y339" s="385">
        <f t="shared" si="138"/>
        <v>1.8091510059052784</v>
      </c>
      <c r="Z339" s="385">
        <f t="shared" si="139"/>
        <v>1.9070884980354472</v>
      </c>
      <c r="AA339" s="386">
        <f t="shared" si="140"/>
        <v>2.1853609135402232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0.12733476369080957</v>
      </c>
      <c r="AD339" s="231">
        <f>(INDEX(Models!$BJ339:$BT339,,AH339)*(1-AF339)+INDEX(Models!$BJ339:$BT339,,AH339+1)*AF339-ERP_i)*AE339*Ramure*Pc/MaxiM</f>
        <v>7.0278394155593477E-2</v>
      </c>
      <c r="AE339" s="305">
        <f t="shared" si="142"/>
        <v>0.7</v>
      </c>
      <c r="AF339" s="177">
        <f t="shared" si="143"/>
        <v>0.59957379657150289</v>
      </c>
      <c r="AG339" s="817">
        <f t="shared" si="149"/>
        <v>0</v>
      </c>
      <c r="AH339" s="176">
        <f t="shared" si="144"/>
        <v>6</v>
      </c>
      <c r="AI339" s="225">
        <f t="shared" si="145"/>
        <v>0.59957379657150289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45617</v>
      </c>
      <c r="B340" s="411">
        <f>'2023'!Wh/'2023'!Env_an*'2024'!Env_an</f>
        <v>5.4775231286481922</v>
      </c>
      <c r="C340" s="846"/>
      <c r="D340" s="393">
        <f t="shared" si="127"/>
        <v>5.7741725948515761</v>
      </c>
      <c r="E340" s="385">
        <f t="shared" si="125"/>
        <v>6.3325411975042734</v>
      </c>
      <c r="F340" s="385">
        <f t="shared" si="128"/>
        <v>6.4357855216089082</v>
      </c>
      <c r="G340" s="110">
        <f t="shared" si="126"/>
        <v>0.43453118558011389</v>
      </c>
      <c r="H340" s="414" t="b">
        <f>Wh_hp&gt;='2023'!Maxi_hp</f>
        <v>0</v>
      </c>
      <c r="I340" s="390">
        <f>IF(H340,Wh_hp,'2023'!Maxi_hp)</f>
        <v>15.138714921882022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5.1375233651291485E-2</v>
      </c>
      <c r="M340" s="850"/>
      <c r="N340" s="850"/>
      <c r="O340" s="48">
        <f>IF(t&lt;Tnet,'2023'!Resal+('2023'!Salim-'2023'!Resal)*(1-EXP(('2023'!Tnet-t)/('2023'!Tau_j))),Resal+(Salim-Resal)*(1-EXP((Tnet-t)/(Tau_j))))*Salcycl</f>
        <v>8.8174491920045645E-2</v>
      </c>
      <c r="P340" s="169">
        <f>(INDEX(Models!$BJ340:$BT340,,T340)*(1-R340)+INDEX(Models!$BJ340:$BT340,,T340+1)*R340-ERP_i)*Q340*Ramure*Pc/MaxiM</f>
        <v>7.0244744358086711E-2</v>
      </c>
      <c r="Q340" s="305">
        <f t="shared" si="130"/>
        <v>0.7</v>
      </c>
      <c r="R340" s="177">
        <f t="shared" si="131"/>
        <v>0.59959759733757156</v>
      </c>
      <c r="S340" s="817">
        <f t="shared" si="132"/>
        <v>0</v>
      </c>
      <c r="T340" s="176">
        <f t="shared" si="133"/>
        <v>6</v>
      </c>
      <c r="U340" s="251">
        <f t="shared" si="134"/>
        <v>0.59959759733757156</v>
      </c>
      <c r="V340" s="383">
        <f t="shared" si="135"/>
        <v>11.911198166893191</v>
      </c>
      <c r="W340" s="402">
        <f t="shared" si="136"/>
        <v>5.4775231286481922</v>
      </c>
      <c r="X340" s="157">
        <f t="shared" si="137"/>
        <v>45617</v>
      </c>
      <c r="Y340" s="385">
        <f t="shared" si="138"/>
        <v>5.2425091122064016</v>
      </c>
      <c r="Z340" s="385">
        <f t="shared" si="139"/>
        <v>5.5264307850458207</v>
      </c>
      <c r="AA340" s="386">
        <f t="shared" si="140"/>
        <v>6.3325411975042734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0.12729651293483105</v>
      </c>
      <c r="AD340" s="231">
        <f>(INDEX(Models!$BJ340:$BT340,,AH340)*(1-AF340)+INDEX(Models!$BJ340:$BT340,,AH340+1)*AF340-ERP_i)*AE340*Ramure*Pc/MaxiM</f>
        <v>7.0244744358086711E-2</v>
      </c>
      <c r="AE340" s="305">
        <f t="shared" si="142"/>
        <v>0.7</v>
      </c>
      <c r="AF340" s="177">
        <f t="shared" si="143"/>
        <v>0.59959759733757156</v>
      </c>
      <c r="AG340" s="817">
        <f t="shared" si="149"/>
        <v>0</v>
      </c>
      <c r="AH340" s="176">
        <f t="shared" si="144"/>
        <v>6</v>
      </c>
      <c r="AI340" s="225">
        <f t="shared" si="145"/>
        <v>0.59959759733757156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45618</v>
      </c>
      <c r="B341" s="411">
        <f>'2023'!Wh/'2023'!Env_an*'2024'!Env_an</f>
        <v>7.2667026138903665</v>
      </c>
      <c r="C341" s="846"/>
      <c r="D341" s="393">
        <f t="shared" si="127"/>
        <v>7.6604175165946859</v>
      </c>
      <c r="E341" s="385">
        <f t="shared" si="125"/>
        <v>8.4015309051927627</v>
      </c>
      <c r="F341" s="385">
        <f t="shared" si="128"/>
        <v>8.6789619709001791</v>
      </c>
      <c r="G341" s="110">
        <f t="shared" si="126"/>
        <v>0.594547620224122</v>
      </c>
      <c r="H341" s="414" t="b">
        <f>Wh_hp&gt;='2023'!Maxi_hp</f>
        <v>0</v>
      </c>
      <c r="I341" s="390">
        <f>IF(H341,Wh_hp,'2023'!Maxi_hp)</f>
        <v>14.559641419504979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5.1396010968255856E-2</v>
      </c>
      <c r="M341" s="850"/>
      <c r="N341" s="850"/>
      <c r="O341" s="48">
        <f>IF(t&lt;Tnet,'2023'!Resal+('2023'!Salim-'2023'!Resal)*(1-EXP(('2023'!Tnet-t)/('2023'!Tau_j))),Resal+(Salim-Resal)*(1-EXP((Tnet-t)/(Tau_j))))*Salcycl</f>
        <v>8.8211707718650792E-2</v>
      </c>
      <c r="P341" s="169">
        <f>(INDEX(Models!$BJ341:$BT341,,T341)*(1-R341)+INDEX(Models!$BJ341:$BT341,,T341+1)*R341-ERP_i)*Q341*Ramure*Pc/MaxiM</f>
        <v>7.0152527037789111E-2</v>
      </c>
      <c r="Q341" s="305">
        <f t="shared" si="130"/>
        <v>0.7</v>
      </c>
      <c r="R341" s="177">
        <f t="shared" si="131"/>
        <v>0.59962044194552133</v>
      </c>
      <c r="S341" s="817">
        <f t="shared" si="132"/>
        <v>0</v>
      </c>
      <c r="T341" s="176">
        <f t="shared" si="133"/>
        <v>6</v>
      </c>
      <c r="U341" s="251">
        <f t="shared" si="134"/>
        <v>0.59962044194552133</v>
      </c>
      <c r="V341" s="383">
        <f t="shared" si="135"/>
        <v>11.740100465921348</v>
      </c>
      <c r="W341" s="402">
        <f t="shared" si="136"/>
        <v>7.2667026138903665</v>
      </c>
      <c r="X341" s="157">
        <f t="shared" si="137"/>
        <v>45618</v>
      </c>
      <c r="Y341" s="385">
        <f t="shared" si="138"/>
        <v>6.9554954787741723</v>
      </c>
      <c r="Z341" s="385">
        <f t="shared" si="139"/>
        <v>7.3323489666892101</v>
      </c>
      <c r="AA341" s="386">
        <f t="shared" si="140"/>
        <v>8.4015309051927627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0.12726037082631217</v>
      </c>
      <c r="AD341" s="231">
        <f>(INDEX(Models!$BJ341:$BT341,,AH341)*(1-AF341)+INDEX(Models!$BJ341:$BT341,,AH341+1)*AF341-ERP_i)*AE341*Ramure*Pc/MaxiM</f>
        <v>7.0152527037789111E-2</v>
      </c>
      <c r="AE341" s="305">
        <f t="shared" si="142"/>
        <v>0.7</v>
      </c>
      <c r="AF341" s="177">
        <f t="shared" si="143"/>
        <v>0.59962044194552133</v>
      </c>
      <c r="AG341" s="817">
        <f t="shared" si="149"/>
        <v>0</v>
      </c>
      <c r="AH341" s="176">
        <f t="shared" si="144"/>
        <v>6</v>
      </c>
      <c r="AI341" s="225">
        <f t="shared" si="145"/>
        <v>0.59962044194552133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45619</v>
      </c>
      <c r="B342" s="411">
        <f>'2023'!Wh/'2023'!Env_an*'2024'!Env_an</f>
        <v>7.0423386238264447</v>
      </c>
      <c r="C342" s="846"/>
      <c r="D342" s="393">
        <f t="shared" si="127"/>
        <v>7.4240599385237909</v>
      </c>
      <c r="E342" s="385">
        <f t="shared" si="125"/>
        <v>8.1426510723869079</v>
      </c>
      <c r="F342" s="385">
        <f t="shared" si="128"/>
        <v>8.4017503521770216</v>
      </c>
      <c r="G342" s="110">
        <f t="shared" si="126"/>
        <v>0.58380760264664977</v>
      </c>
      <c r="H342" s="414" t="b">
        <f>Wh_hp&gt;='2023'!Maxi_hp</f>
        <v>0</v>
      </c>
      <c r="I342" s="390">
        <f>IF(H342,Wh_hp,'2023'!Maxi_hp)</f>
        <v>14.017853674238541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5.1416787830143584E-2</v>
      </c>
      <c r="M342" s="850"/>
      <c r="N342" s="850"/>
      <c r="O342" s="48">
        <f>IF(t&lt;Tnet,'2023'!Resal+('2023'!Salim-'2023'!Resal)*(1-EXP(('2023'!Tnet-t)/('2023'!Tau_j))),Resal+(Salim-Resal)*(1-EXP((Tnet-t)/(Tau_j))))*Salcycl</f>
        <v>8.8250267323867093E-2</v>
      </c>
      <c r="P342" s="169">
        <f>(INDEX(Models!$BJ342:$BT342,,T342)*(1-R342)+INDEX(Models!$BJ342:$BT342,,T342+1)*R342-ERP_i)*Q342*Ramure*Pc/MaxiM</f>
        <v>6.9999242408733703E-2</v>
      </c>
      <c r="Q342" s="305">
        <f t="shared" si="130"/>
        <v>0.7</v>
      </c>
      <c r="R342" s="177">
        <f t="shared" si="131"/>
        <v>0.59964236872526921</v>
      </c>
      <c r="S342" s="817">
        <f t="shared" si="132"/>
        <v>0</v>
      </c>
      <c r="T342" s="176">
        <f t="shared" si="133"/>
        <v>6</v>
      </c>
      <c r="U342" s="251">
        <f t="shared" si="134"/>
        <v>0.59964236872526921</v>
      </c>
      <c r="V342" s="383">
        <f t="shared" si="135"/>
        <v>11.575357366240963</v>
      </c>
      <c r="W342" s="402">
        <f t="shared" si="136"/>
        <v>7.0423386238264447</v>
      </c>
      <c r="X342" s="157">
        <f t="shared" si="137"/>
        <v>45619</v>
      </c>
      <c r="Y342" s="385">
        <f t="shared" si="138"/>
        <v>6.741287828810866</v>
      </c>
      <c r="Z342" s="385">
        <f t="shared" si="139"/>
        <v>7.1066910549580218</v>
      </c>
      <c r="AA342" s="386">
        <f t="shared" si="140"/>
        <v>8.1426510723869079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0.12722637974037723</v>
      </c>
      <c r="AD342" s="231">
        <f>(INDEX(Models!$BJ342:$BT342,,AH342)*(1-AF342)+INDEX(Models!$BJ342:$BT342,,AH342+1)*AF342-ERP_i)*AE342*Ramure*Pc/MaxiM</f>
        <v>6.9999242408733703E-2</v>
      </c>
      <c r="AE342" s="305">
        <f t="shared" si="142"/>
        <v>0.7</v>
      </c>
      <c r="AF342" s="177">
        <f t="shared" si="143"/>
        <v>0.59964236872526921</v>
      </c>
      <c r="AG342" s="817">
        <f t="shared" si="149"/>
        <v>0</v>
      </c>
      <c r="AH342" s="176">
        <f t="shared" si="144"/>
        <v>6</v>
      </c>
      <c r="AI342" s="225">
        <f t="shared" si="145"/>
        <v>0.59964236872526921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45620</v>
      </c>
      <c r="B343" s="411">
        <f>'2023'!Wh/'2023'!Env_an*'2024'!Env_an</f>
        <v>2.9699784575167922</v>
      </c>
      <c r="C343" s="846"/>
      <c r="D343" s="393">
        <f t="shared" si="127"/>
        <v>3.1310310692703167</v>
      </c>
      <c r="E343" s="385">
        <f t="shared" si="125"/>
        <v>3.4342408761964798</v>
      </c>
      <c r="F343" s="385">
        <f t="shared" si="128"/>
        <v>3.4342408761964798</v>
      </c>
      <c r="G343" s="110">
        <f t="shared" si="126"/>
        <v>0.24198421730457303</v>
      </c>
      <c r="H343" s="414" t="b">
        <f>Wh_hp&gt;='2023'!Maxi_hp</f>
        <v>0</v>
      </c>
      <c r="I343" s="390">
        <f>IF(H343,Wh_hp,'2023'!Maxi_hp)</f>
        <v>14.256922771094214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5.1437564236964772E-2</v>
      </c>
      <c r="M343" s="850"/>
      <c r="N343" s="850"/>
      <c r="O343" s="48">
        <f>IF(t&lt;Tnet,'2023'!Resal+('2023'!Salim-'2023'!Resal)*(1-EXP(('2023'!Tnet-t)/('2023'!Tau_j))),Resal+(Salim-Resal)*(1-EXP((Tnet-t)/(Tau_j))))*Salcycl</f>
        <v>8.8290197996238634E-2</v>
      </c>
      <c r="P343" s="169">
        <f>(INDEX(Models!$BJ343:$BT343,,T343)*(1-R343)+INDEX(Models!$BJ343:$BT343,,T343+1)*R343-ERP_i)*Q343*Ramure*Pc/MaxiM</f>
        <v>6.9782754674183448E-2</v>
      </c>
      <c r="Q343" s="305">
        <f t="shared" si="130"/>
        <v>0.7</v>
      </c>
      <c r="R343" s="177">
        <f t="shared" si="131"/>
        <v>0.5996634144766666</v>
      </c>
      <c r="S343" s="817">
        <f t="shared" si="132"/>
        <v>0</v>
      </c>
      <c r="T343" s="176">
        <f t="shared" si="133"/>
        <v>6</v>
      </c>
      <c r="U343" s="251">
        <f t="shared" si="134"/>
        <v>0.5996634144766666</v>
      </c>
      <c r="V343" s="383">
        <f t="shared" si="135"/>
        <v>11.416964338426208</v>
      </c>
      <c r="W343" s="402">
        <f t="shared" si="136"/>
        <v>2.9699784575167922</v>
      </c>
      <c r="X343" s="157">
        <f t="shared" si="137"/>
        <v>45620</v>
      </c>
      <c r="Y343" s="385">
        <f t="shared" si="138"/>
        <v>2.8432438779956977</v>
      </c>
      <c r="Z343" s="385">
        <f t="shared" si="139"/>
        <v>2.9974240712036604</v>
      </c>
      <c r="AA343" s="386">
        <f t="shared" si="140"/>
        <v>3.4342408761964798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0.12719457392185218</v>
      </c>
      <c r="AD343" s="231">
        <f>(INDEX(Models!$BJ343:$BT343,,AH343)*(1-AF343)+INDEX(Models!$BJ343:$BT343,,AH343+1)*AF343-ERP_i)*AE343*Ramure*Pc/MaxiM</f>
        <v>6.9782754674183448E-2</v>
      </c>
      <c r="AE343" s="305">
        <f t="shared" si="142"/>
        <v>0.7</v>
      </c>
      <c r="AF343" s="177">
        <f t="shared" si="143"/>
        <v>0.5996634144766666</v>
      </c>
      <c r="AG343" s="817">
        <f t="shared" si="149"/>
        <v>0</v>
      </c>
      <c r="AH343" s="176">
        <f t="shared" si="144"/>
        <v>6</v>
      </c>
      <c r="AI343" s="225">
        <f t="shared" si="145"/>
        <v>0.5996634144766666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45621</v>
      </c>
      <c r="B344" s="411">
        <f>'2023'!Wh/'2023'!Env_an*'2024'!Env_an</f>
        <v>5.8722881964508771</v>
      </c>
      <c r="C344" s="846"/>
      <c r="D344" s="393">
        <f t="shared" si="127"/>
        <v>6.1908595534109425</v>
      </c>
      <c r="E344" s="385">
        <f t="shared" si="125"/>
        <v>6.7906916808255282</v>
      </c>
      <c r="F344" s="385">
        <f t="shared" si="128"/>
        <v>6.9432432622874121</v>
      </c>
      <c r="G344" s="110">
        <f t="shared" si="126"/>
        <v>0.49595657494227885</v>
      </c>
      <c r="H344" s="414" t="b">
        <f>Wh_hp&gt;='2023'!Maxi_hp</f>
        <v>0</v>
      </c>
      <c r="I344" s="390">
        <f>IF(H344,Wh_hp,'2023'!Maxi_hp)</f>
        <v>13.332457203646875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5.1458340188729301E-2</v>
      </c>
      <c r="M344" s="850"/>
      <c r="N344" s="850"/>
      <c r="O344" s="48">
        <f>IF(t&lt;Tnet,'2023'!Resal+('2023'!Salim-'2023'!Resal)*(1-EXP(('2023'!Tnet-t)/('2023'!Tau_j))),Resal+(Salim-Resal)*(1-EXP((Tnet-t)/(Tau_j))))*Salcycl</f>
        <v>8.8331521383645722E-2</v>
      </c>
      <c r="P344" s="169">
        <f>(INDEX(Models!$BJ344:$BT344,,T344)*(1-R344)+INDEX(Models!$BJ344:$BT344,,T344+1)*R344-ERP_i)*Q344*Ramure*Pc/MaxiM</f>
        <v>6.9500942961645662E-2</v>
      </c>
      <c r="Q344" s="305">
        <f t="shared" si="130"/>
        <v>0.7</v>
      </c>
      <c r="R344" s="177">
        <f t="shared" si="131"/>
        <v>0.59968361453006502</v>
      </c>
      <c r="S344" s="817">
        <f t="shared" si="132"/>
        <v>0</v>
      </c>
      <c r="T344" s="176">
        <f t="shared" si="133"/>
        <v>6</v>
      </c>
      <c r="U344" s="251">
        <f t="shared" si="134"/>
        <v>0.59968361453006502</v>
      </c>
      <c r="V344" s="383">
        <f t="shared" si="135"/>
        <v>11.264917501928279</v>
      </c>
      <c r="W344" s="402">
        <f t="shared" si="136"/>
        <v>5.8722881964508771</v>
      </c>
      <c r="X344" s="157">
        <f t="shared" si="137"/>
        <v>45621</v>
      </c>
      <c r="Y344" s="385">
        <f t="shared" si="138"/>
        <v>5.6221520309237238</v>
      </c>
      <c r="Z344" s="385">
        <f t="shared" si="139"/>
        <v>5.9271535127327475</v>
      </c>
      <c r="AA344" s="386">
        <f t="shared" si="140"/>
        <v>6.7906916808255282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0.12716497945726238</v>
      </c>
      <c r="AD344" s="231">
        <f>(INDEX(Models!$BJ344:$BT344,,AH344)*(1-AF344)+INDEX(Models!$BJ344:$BT344,,AH344+1)*AF344-ERP_i)*AE344*Ramure*Pc/MaxiM</f>
        <v>6.9500942961645662E-2</v>
      </c>
      <c r="AE344" s="305">
        <f t="shared" si="142"/>
        <v>0.7</v>
      </c>
      <c r="AF344" s="177">
        <f t="shared" si="143"/>
        <v>0.59968361453006502</v>
      </c>
      <c r="AG344" s="817">
        <f t="shared" si="149"/>
        <v>0</v>
      </c>
      <c r="AH344" s="176">
        <f t="shared" si="144"/>
        <v>6</v>
      </c>
      <c r="AI344" s="225">
        <f t="shared" si="145"/>
        <v>0.59968361453006502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45622</v>
      </c>
      <c r="B345" s="411">
        <f>'2023'!Wh/'2023'!Env_an*'2024'!Env_an</f>
        <v>8.0862092748407335</v>
      </c>
      <c r="C345" s="846"/>
      <c r="D345" s="393">
        <f t="shared" si="127"/>
        <v>8.5250724665743345</v>
      </c>
      <c r="E345" s="385">
        <f t="shared" si="125"/>
        <v>9.351504715019912</v>
      </c>
      <c r="F345" s="385">
        <f t="shared" si="128"/>
        <v>9.7638024938230714</v>
      </c>
      <c r="G345" s="110">
        <f t="shared" si="126"/>
        <v>0.70691549287420208</v>
      </c>
      <c r="H345" s="414" t="b">
        <f>Wh_hp&gt;='2023'!Maxi_hp</f>
        <v>0</v>
      </c>
      <c r="I345" s="390">
        <f>IF(H345,Wh_hp,'2023'!Maxi_hp)</f>
        <v>14.406333862137721</v>
      </c>
      <c r="J345" s="85">
        <f>IF(H345,An,'2023'!An_max)</f>
        <v>2018</v>
      </c>
      <c r="K345" s="197">
        <f t="shared" si="129"/>
        <v>45622</v>
      </c>
      <c r="L345" s="147">
        <f>IF(t&lt;Tvie,1-EXP((T0-t)*PertePVj)+'2023'!Pspv,1-EXP((T0-t)*PertePVj)+Pspv)</f>
        <v>5.1479115685447163E-2</v>
      </c>
      <c r="M345" s="850"/>
      <c r="N345" s="850"/>
      <c r="O345" s="48">
        <f>IF(t&lt;Tnet,'2023'!Resal+('2023'!Salim-'2023'!Resal)*(1-EXP(('2023'!Tnet-t)/('2023'!Tau_j))),Resal+(Salim-Resal)*(1-EXP((Tnet-t)/(Tau_j))))*Salcycl</f>
        <v>8.8374253516463858E-2</v>
      </c>
      <c r="P345" s="169">
        <f>(INDEX(Models!$BJ345:$BT345,,T345)*(1-R345)+INDEX(Models!$BJ345:$BT345,,T345+1)*R345-ERP_i)*Q345*Ramure*Pc/MaxiM</f>
        <v>6.9164486023976873E-2</v>
      </c>
      <c r="Q345" s="305">
        <f t="shared" si="130"/>
        <v>0.7</v>
      </c>
      <c r="R345" s="177">
        <f t="shared" si="131"/>
        <v>0.5997030028045256</v>
      </c>
      <c r="S345" s="817">
        <f t="shared" si="132"/>
        <v>0</v>
      </c>
      <c r="T345" s="176">
        <f t="shared" si="133"/>
        <v>6</v>
      </c>
      <c r="U345" s="251">
        <f t="shared" si="134"/>
        <v>0.5997030028045256</v>
      </c>
      <c r="V345" s="383">
        <f t="shared" si="135"/>
        <v>11.117007793290714</v>
      </c>
      <c r="W345" s="402">
        <f t="shared" si="136"/>
        <v>8.0862092748407335</v>
      </c>
      <c r="X345" s="157">
        <f t="shared" si="137"/>
        <v>45622</v>
      </c>
      <c r="Y345" s="385">
        <f t="shared" si="138"/>
        <v>7.7423744844407141</v>
      </c>
      <c r="Z345" s="385">
        <f t="shared" si="139"/>
        <v>8.1625767154676083</v>
      </c>
      <c r="AA345" s="386">
        <f t="shared" si="140"/>
        <v>9.351504715019912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0.12713761429673531</v>
      </c>
      <c r="AD345" s="231">
        <f>(INDEX(Models!$BJ345:$BT345,,AH345)*(1-AF345)+INDEX(Models!$BJ345:$BT345,,AH345+1)*AF345-ERP_i)*AE345*Ramure*Pc/MaxiM</f>
        <v>6.9164486023976873E-2</v>
      </c>
      <c r="AE345" s="305">
        <f t="shared" si="142"/>
        <v>0.7</v>
      </c>
      <c r="AF345" s="177">
        <f t="shared" si="143"/>
        <v>0.5997030028045256</v>
      </c>
      <c r="AG345" s="817">
        <f t="shared" si="149"/>
        <v>0</v>
      </c>
      <c r="AH345" s="176">
        <f t="shared" si="144"/>
        <v>6</v>
      </c>
      <c r="AI345" s="225">
        <f t="shared" si="145"/>
        <v>0.5997030028045256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45623</v>
      </c>
      <c r="B346" s="411">
        <f>'2023'!Wh/'2023'!Env_an*'2024'!Env_an</f>
        <v>5.3950429763346524</v>
      </c>
      <c r="C346" s="846"/>
      <c r="D346" s="393">
        <f t="shared" si="127"/>
        <v>5.6879729623547846</v>
      </c>
      <c r="E346" s="385">
        <f t="shared" si="125"/>
        <v>6.2396750795952212</v>
      </c>
      <c r="F346" s="385">
        <f t="shared" si="128"/>
        <v>6.3594991842242745</v>
      </c>
      <c r="G346" s="110">
        <f t="shared" si="126"/>
        <v>0.46669563156034177</v>
      </c>
      <c r="H346" s="414" t="b">
        <f>Wh_hp&gt;='2023'!Maxi_hp</f>
        <v>0</v>
      </c>
      <c r="I346" s="390">
        <f>IF(H346,Wh_hp,'2023'!Maxi_hp)</f>
        <v>11.673950035161885</v>
      </c>
      <c r="J346" s="85">
        <f>IF(H346,An,'2023'!An_max)</f>
        <v>2018</v>
      </c>
      <c r="K346" s="197">
        <f t="shared" si="129"/>
        <v>45623</v>
      </c>
      <c r="L346" s="147">
        <f>IF(t&lt;Tvie,1-EXP((T0-t)*PertePVj)+'2023'!Pspv,1-EXP((T0-t)*PertePVj)+Pspv)</f>
        <v>5.149989072712835E-2</v>
      </c>
      <c r="M346" s="850"/>
      <c r="N346" s="850"/>
      <c r="O346" s="48">
        <f>IF(t&lt;Tnet,'2023'!Resal+('2023'!Salim-'2023'!Resal)*(1-EXP(('2023'!Tnet-t)/('2023'!Tau_j))),Resal+(Salim-Resal)*(1-EXP((Tnet-t)/(Tau_j))))*Salcycl</f>
        <v>8.8418404837231776E-2</v>
      </c>
      <c r="P346" s="169">
        <f>(INDEX(Models!$BJ346:$BT346,,T346)*(1-R346)+INDEX(Models!$BJ346:$BT346,,T346+1)*R346-ERP_i)*Q346*Ramure*Pc/MaxiM</f>
        <v>6.8791050344963064E-2</v>
      </c>
      <c r="Q346" s="305">
        <f t="shared" si="130"/>
        <v>0.7</v>
      </c>
      <c r="R346" s="177">
        <f t="shared" si="131"/>
        <v>0.59972161186376027</v>
      </c>
      <c r="S346" s="817">
        <f t="shared" si="132"/>
        <v>0</v>
      </c>
      <c r="T346" s="176">
        <f t="shared" si="133"/>
        <v>6</v>
      </c>
      <c r="U346" s="251">
        <f t="shared" si="134"/>
        <v>0.59972161186376027</v>
      </c>
      <c r="V346" s="383">
        <f t="shared" si="135"/>
        <v>10.971582039721277</v>
      </c>
      <c r="W346" s="402">
        <f t="shared" si="136"/>
        <v>5.3950429763346524</v>
      </c>
      <c r="X346" s="157">
        <f t="shared" si="137"/>
        <v>45623</v>
      </c>
      <c r="Y346" s="385">
        <f t="shared" si="138"/>
        <v>5.1660385246700118</v>
      </c>
      <c r="Z346" s="385">
        <f t="shared" si="139"/>
        <v>5.4465344538867173</v>
      </c>
      <c r="AA346" s="386">
        <f t="shared" si="140"/>
        <v>6.2396750795952212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0.12711248832526656</v>
      </c>
      <c r="AD346" s="231">
        <f>(INDEX(Models!$BJ346:$BT346,,AH346)*(1-AF346)+INDEX(Models!$BJ346:$BT346,,AH346+1)*AF346-ERP_i)*AE346*Ramure*Pc/MaxiM</f>
        <v>6.8791050344963064E-2</v>
      </c>
      <c r="AE346" s="305">
        <f t="shared" si="142"/>
        <v>0.7</v>
      </c>
      <c r="AF346" s="177">
        <f t="shared" si="143"/>
        <v>0.59972161186376027</v>
      </c>
      <c r="AG346" s="817">
        <f t="shared" si="149"/>
        <v>0</v>
      </c>
      <c r="AH346" s="176">
        <f t="shared" si="144"/>
        <v>6</v>
      </c>
      <c r="AI346" s="225">
        <f t="shared" si="145"/>
        <v>0.59972161186376027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45624</v>
      </c>
      <c r="B347" s="411">
        <f>'2023'!Wh/'2023'!Env_an*'2024'!Env_an</f>
        <v>6.0335328185097712</v>
      </c>
      <c r="C347" s="846"/>
      <c r="D347" s="393">
        <f t="shared" si="127"/>
        <v>6.3612696638307122</v>
      </c>
      <c r="E347" s="385">
        <f t="shared" si="125"/>
        <v>6.9786267641683493</v>
      </c>
      <c r="F347" s="385">
        <f t="shared" si="128"/>
        <v>7.1583934005707759</v>
      </c>
      <c r="G347" s="110">
        <f t="shared" si="126"/>
        <v>0.53240781803233739</v>
      </c>
      <c r="H347" s="414" t="b">
        <f>Wh_hp&gt;='2023'!Maxi_hp</f>
        <v>0</v>
      </c>
      <c r="I347" s="390">
        <f>IF(H347,Wh_hp,'2023'!Maxi_hp)</f>
        <v>13.75945482004663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5.1520665313782743E-2</v>
      </c>
      <c r="M347" s="850"/>
      <c r="N347" s="850"/>
      <c r="O347" s="48">
        <f>IF(t&lt;Tnet,'2023'!Resal+('2023'!Salim-'2023'!Resal)*(1-EXP(('2023'!Tnet-t)/('2023'!Tau_j))),Resal+(Salim-Resal)*(1-EXP((Tnet-t)/(Tau_j))))*Salcycl</f>
        <v>8.846398026434768E-2</v>
      </c>
      <c r="P347" s="169">
        <f>(INDEX(Models!$BJ347:$BT347,,T347)*(1-R347)+INDEX(Models!$BJ347:$BT347,,T347+1)*R347-ERP_i)*Q347*Ramure*Pc/MaxiM</f>
        <v>6.8366711464084656E-2</v>
      </c>
      <c r="Q347" s="305">
        <f t="shared" si="130"/>
        <v>0.7</v>
      </c>
      <c r="R347" s="177">
        <f t="shared" si="131"/>
        <v>0.5997394729698895</v>
      </c>
      <c r="S347" s="817">
        <f t="shared" si="132"/>
        <v>0</v>
      </c>
      <c r="T347" s="176">
        <f t="shared" si="133"/>
        <v>6</v>
      </c>
      <c r="U347" s="251">
        <f t="shared" si="134"/>
        <v>0.5997394729698895</v>
      </c>
      <c r="V347" s="383">
        <f t="shared" si="135"/>
        <v>10.829735346442922</v>
      </c>
      <c r="W347" s="402">
        <f t="shared" si="136"/>
        <v>6.0335328185097712</v>
      </c>
      <c r="X347" s="157">
        <f t="shared" si="137"/>
        <v>45624</v>
      </c>
      <c r="Y347" s="385">
        <f t="shared" si="138"/>
        <v>5.7778666020620513</v>
      </c>
      <c r="Z347" s="385">
        <f t="shared" si="139"/>
        <v>6.0917158558583955</v>
      </c>
      <c r="AA347" s="386">
        <f t="shared" si="140"/>
        <v>6.9786267641683493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0.12708960348241921</v>
      </c>
      <c r="AD347" s="231">
        <f>(INDEX(Models!$BJ347:$BT347,,AH347)*(1-AF347)+INDEX(Models!$BJ347:$BT347,,AH347+1)*AF347-ERP_i)*AE347*Ramure*Pc/MaxiM</f>
        <v>6.8366711464084656E-2</v>
      </c>
      <c r="AE347" s="305">
        <f t="shared" si="142"/>
        <v>0.7</v>
      </c>
      <c r="AF347" s="177">
        <f t="shared" si="143"/>
        <v>0.5997394729698895</v>
      </c>
      <c r="AG347" s="817">
        <f t="shared" si="149"/>
        <v>0</v>
      </c>
      <c r="AH347" s="176">
        <f t="shared" si="144"/>
        <v>6</v>
      </c>
      <c r="AI347" s="225">
        <f t="shared" si="145"/>
        <v>0.5997394729698895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45625</v>
      </c>
      <c r="B348" s="411">
        <f>'2023'!Wh/'2023'!Env_an*'2024'!Env_an</f>
        <v>2.2431606007601324</v>
      </c>
      <c r="C348" s="846"/>
      <c r="D348" s="393">
        <f t="shared" si="127"/>
        <v>2.3650591539271035</v>
      </c>
      <c r="E348" s="385">
        <f t="shared" si="125"/>
        <v>2.5947203972708039</v>
      </c>
      <c r="F348" s="385">
        <f t="shared" si="128"/>
        <v>2.5947203972708039</v>
      </c>
      <c r="G348" s="110">
        <f t="shared" si="126"/>
        <v>0.19554728462610541</v>
      </c>
      <c r="H348" s="414" t="b">
        <f>Wh_hp&gt;='2023'!Maxi_hp</f>
        <v>0</v>
      </c>
      <c r="I348" s="390">
        <f>IF(H348,Wh_hp,'2023'!Maxi_hp)</f>
        <v>12.01500433375004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5.1541439445420445E-2</v>
      </c>
      <c r="M348" s="850"/>
      <c r="N348" s="850"/>
      <c r="O348" s="48">
        <f>IF(t&lt;Tnet,'2023'!Resal+('2023'!Salim-'2023'!Resal)*(1-EXP(('2023'!Tnet-t)/('2023'!Tau_j))),Resal+(Salim-Resal)*(1-EXP((Tnet-t)/(Tau_j))))*Salcycl</f>
        <v>8.8510979289045624E-2</v>
      </c>
      <c r="P348" s="169">
        <f>(INDEX(Models!$BJ348:$BT348,,T348)*(1-R348)+INDEX(Models!$BJ348:$BT348,,T348+1)*R348-ERP_i)*Q348*Ramure*Pc/MaxiM</f>
        <v>6.7883775607786814E-2</v>
      </c>
      <c r="Q348" s="305">
        <f t="shared" si="130"/>
        <v>0.7</v>
      </c>
      <c r="R348" s="177">
        <f t="shared" si="131"/>
        <v>0.59975661613509845</v>
      </c>
      <c r="S348" s="817">
        <f t="shared" si="132"/>
        <v>0</v>
      </c>
      <c r="T348" s="176">
        <f t="shared" si="133"/>
        <v>6</v>
      </c>
      <c r="U348" s="251">
        <f t="shared" si="134"/>
        <v>0.59975661613509845</v>
      </c>
      <c r="V348" s="383">
        <f t="shared" si="135"/>
        <v>10.692484909129602</v>
      </c>
      <c r="W348" s="402">
        <f t="shared" si="136"/>
        <v>2.2431606007601324</v>
      </c>
      <c r="X348" s="157">
        <f t="shared" si="137"/>
        <v>45625</v>
      </c>
      <c r="Y348" s="385">
        <f t="shared" si="138"/>
        <v>2.1482700122916842</v>
      </c>
      <c r="Z348" s="385">
        <f t="shared" si="139"/>
        <v>2.2650119906509727</v>
      </c>
      <c r="AA348" s="386">
        <f t="shared" si="140"/>
        <v>2.5947203972708039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0.12706895392915063</v>
      </c>
      <c r="AD348" s="231">
        <f>(INDEX(Models!$BJ348:$BT348,,AH348)*(1-AF348)+INDEX(Models!$BJ348:$BT348,,AH348+1)*AF348-ERP_i)*AE348*Ramure*Pc/MaxiM</f>
        <v>6.7883775607786814E-2</v>
      </c>
      <c r="AE348" s="305">
        <f t="shared" si="142"/>
        <v>0.7</v>
      </c>
      <c r="AF348" s="177">
        <f t="shared" si="143"/>
        <v>0.59975661613509845</v>
      </c>
      <c r="AG348" s="817">
        <f t="shared" si="149"/>
        <v>0</v>
      </c>
      <c r="AH348" s="176">
        <f t="shared" si="144"/>
        <v>6</v>
      </c>
      <c r="AI348" s="225">
        <f t="shared" si="145"/>
        <v>0.59975661613509845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45626</v>
      </c>
      <c r="B349" s="411">
        <f>'2023'!Wh/'2023'!Env_an*'2024'!Env_an</f>
        <v>2.0769286034980174</v>
      </c>
      <c r="C349" s="846"/>
      <c r="D349" s="393">
        <f t="shared" si="127"/>
        <v>2.1898416872811612</v>
      </c>
      <c r="E349" s="385">
        <f t="shared" si="125"/>
        <v>2.4026159005009373</v>
      </c>
      <c r="F349" s="385">
        <f t="shared" si="128"/>
        <v>2.4026159005009373</v>
      </c>
      <c r="G349" s="110">
        <f t="shared" si="126"/>
        <v>0.18342086427129137</v>
      </c>
      <c r="H349" s="414" t="b">
        <f>Wh_hp&gt;='2023'!Maxi_hp</f>
        <v>0</v>
      </c>
      <c r="I349" s="390">
        <f>IF(H349,Wh_hp,'2023'!Maxi_hp)</f>
        <v>12.606497833534238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5.1562213122051337E-2</v>
      </c>
      <c r="M349" s="850"/>
      <c r="N349" s="850"/>
      <c r="O349" s="48">
        <f>IF(t&lt;Tnet,'2023'!Resal+('2023'!Salim-'2023'!Resal)*(1-EXP(('2023'!Tnet-t)/('2023'!Tau_j))),Resal+(Salim-Resal)*(1-EXP((Tnet-t)/(Tau_j))))*Salcycl</f>
        <v>8.8559396104643015E-2</v>
      </c>
      <c r="P349" s="169">
        <f>(INDEX(Models!$BJ349:$BT349,,T349)*(1-R349)+INDEX(Models!$BJ349:$BT349,,T349+1)*R349-ERP_i)*Q349*Ramure*Pc/MaxiM</f>
        <v>6.7334383840440881E-2</v>
      </c>
      <c r="Q349" s="305">
        <f t="shared" si="130"/>
        <v>0.7</v>
      </c>
      <c r="R349" s="177">
        <f t="shared" si="131"/>
        <v>0.59977307017127401</v>
      </c>
      <c r="S349" s="817">
        <f t="shared" si="132"/>
        <v>0</v>
      </c>
      <c r="T349" s="176">
        <f t="shared" si="133"/>
        <v>6</v>
      </c>
      <c r="U349" s="251">
        <f t="shared" si="134"/>
        <v>0.59977307017127401</v>
      </c>
      <c r="V349" s="383">
        <f t="shared" si="135"/>
        <v>10.560848153216769</v>
      </c>
      <c r="W349" s="402">
        <f t="shared" si="136"/>
        <v>2.0769286034980174</v>
      </c>
      <c r="X349" s="157">
        <f t="shared" si="137"/>
        <v>45626</v>
      </c>
      <c r="Y349" s="385">
        <f t="shared" si="138"/>
        <v>1.9892176447595589</v>
      </c>
      <c r="Z349" s="385">
        <f t="shared" si="139"/>
        <v>2.0973622859414234</v>
      </c>
      <c r="AA349" s="386">
        <f t="shared" si="140"/>
        <v>2.4026159005009373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0.12705052626009411</v>
      </c>
      <c r="AD349" s="231">
        <f>(INDEX(Models!$BJ349:$BT349,,AH349)*(1-AF349)+INDEX(Models!$BJ349:$BT349,,AH349+1)*AF349-ERP_i)*AE349*Ramure*Pc/MaxiM</f>
        <v>6.7334383840440881E-2</v>
      </c>
      <c r="AE349" s="305">
        <f t="shared" si="142"/>
        <v>0.7</v>
      </c>
      <c r="AF349" s="177">
        <f t="shared" si="143"/>
        <v>0.59977307017127401</v>
      </c>
      <c r="AG349" s="817">
        <f t="shared" si="149"/>
        <v>0</v>
      </c>
      <c r="AH349" s="176">
        <f t="shared" si="144"/>
        <v>6</v>
      </c>
      <c r="AI349" s="225">
        <f t="shared" si="145"/>
        <v>0.59977307017127401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45627</v>
      </c>
      <c r="B350" s="411">
        <f>'2023'!Wh/'2023'!Env_an*'2024'!Env_an</f>
        <v>3.2105856655737388</v>
      </c>
      <c r="C350" s="846"/>
      <c r="D350" s="393">
        <f t="shared" si="127"/>
        <v>3.3852046297612959</v>
      </c>
      <c r="E350" s="385">
        <f t="shared" si="125"/>
        <v>3.7143283684470814</v>
      </c>
      <c r="F350" s="385">
        <f t="shared" si="128"/>
        <v>3.7170382354164313</v>
      </c>
      <c r="G350" s="110">
        <f t="shared" si="126"/>
        <v>0.28733584539673818</v>
      </c>
      <c r="H350" s="414" t="b">
        <f>Wh_hp&gt;='2023'!Maxi_hp</f>
        <v>0</v>
      </c>
      <c r="I350" s="390">
        <f>IF(H350,Wh_hp,'2023'!Maxi_hp)</f>
        <v>5.9138462610467215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5.15829863436853E-2</v>
      </c>
      <c r="M350" s="850"/>
      <c r="N350" s="850"/>
      <c r="O350" s="48">
        <f>IF(t&lt;Tnet,'2023'!Resal+('2023'!Salim-'2023'!Resal)*(1-EXP(('2023'!Tnet-t)/('2023'!Tau_j))),Resal+(Salim-Resal)*(1-EXP((Tnet-t)/(Tau_j))))*Salcycl</f>
        <v>8.8609219766799627E-2</v>
      </c>
      <c r="P350" s="169">
        <f>(INDEX(Models!$BJ350:$BT350,,T350)*(1-R350)+INDEX(Models!$BJ350:$BT350,,T350+1)*R350-ERP_i)*Q350*Ramure*Pc/MaxiM</f>
        <v>6.6710594321668801E-2</v>
      </c>
      <c r="Q350" s="305">
        <f t="shared" si="130"/>
        <v>0.7</v>
      </c>
      <c r="R350" s="177">
        <f t="shared" si="131"/>
        <v>0.59978886273769594</v>
      </c>
      <c r="S350" s="817">
        <f t="shared" si="132"/>
        <v>0</v>
      </c>
      <c r="T350" s="176">
        <f t="shared" si="133"/>
        <v>6</v>
      </c>
      <c r="U350" s="251">
        <f t="shared" si="134"/>
        <v>0.59978886273769594</v>
      </c>
      <c r="V350" s="383">
        <f t="shared" si="135"/>
        <v>10.435842680031671</v>
      </c>
      <c r="W350" s="402">
        <f t="shared" si="136"/>
        <v>3.2105856655737388</v>
      </c>
      <c r="X350" s="157">
        <f t="shared" si="137"/>
        <v>45627</v>
      </c>
      <c r="Y350" s="385">
        <f t="shared" si="138"/>
        <v>3.0752243982688365</v>
      </c>
      <c r="Z350" s="385">
        <f t="shared" si="139"/>
        <v>3.2424812650853916</v>
      </c>
      <c r="AA350" s="386">
        <f t="shared" si="140"/>
        <v>3.7143283684470814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0.12703429975927616</v>
      </c>
      <c r="AD350" s="231">
        <f>(INDEX(Models!$BJ350:$BT350,,AH350)*(1-AF350)+INDEX(Models!$BJ350:$BT350,,AH350+1)*AF350-ERP_i)*AE350*Ramure*Pc/MaxiM</f>
        <v>6.6710594321668801E-2</v>
      </c>
      <c r="AE350" s="305">
        <f t="shared" si="142"/>
        <v>0.7</v>
      </c>
      <c r="AF350" s="177">
        <f t="shared" si="143"/>
        <v>0.59978886273769594</v>
      </c>
      <c r="AG350" s="817">
        <f t="shared" si="149"/>
        <v>0</v>
      </c>
      <c r="AH350" s="176">
        <f t="shared" si="144"/>
        <v>6</v>
      </c>
      <c r="AI350" s="225">
        <f t="shared" si="145"/>
        <v>0.59978886273769594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45628</v>
      </c>
      <c r="B351" s="411">
        <f>'2023'!Wh/'2023'!Env_an*'2024'!Env_an</f>
        <v>5.5994549126408986</v>
      </c>
      <c r="C351" s="846"/>
      <c r="D351" s="393">
        <f t="shared" si="127"/>
        <v>5.9041302266109641</v>
      </c>
      <c r="E351" s="385">
        <f t="shared" si="125"/>
        <v>6.4785184901037303</v>
      </c>
      <c r="F351" s="385">
        <f t="shared" si="128"/>
        <v>6.630225724328886</v>
      </c>
      <c r="G351" s="110">
        <f t="shared" si="126"/>
        <v>0.51871303885709796</v>
      </c>
      <c r="H351" s="414" t="b">
        <f>Wh_hp&gt;='2023'!Maxi_hp</f>
        <v>0</v>
      </c>
      <c r="I351" s="390">
        <f>IF(H351,Wh_hp,'2023'!Maxi_hp)</f>
        <v>10.154627758831777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5.1603759110332548E-2</v>
      </c>
      <c r="M351" s="850"/>
      <c r="N351" s="850"/>
      <c r="O351" s="48">
        <f>IF(t&lt;Tnet,'2023'!Resal+('2023'!Salim-'2023'!Resal)*(1-EXP(('2023'!Tnet-t)/('2023'!Tau_j))),Resal+(Salim-Resal)*(1-EXP((Tnet-t)/(Tau_j))))*Salcycl</f>
        <v>8.8660434383288966E-2</v>
      </c>
      <c r="P351" s="169">
        <f>(INDEX(Models!$BJ351:$BT351,,T351)*(1-R351)+INDEX(Models!$BJ351:$BT351,,T351+1)*R351-ERP_i)*Q351*Ramure*Pc/MaxiM</f>
        <v>6.6004486432873419E-2</v>
      </c>
      <c r="Q351" s="305">
        <f t="shared" si="130"/>
        <v>0.7</v>
      </c>
      <c r="R351" s="177">
        <f t="shared" si="131"/>
        <v>0.59980402038685854</v>
      </c>
      <c r="S351" s="817">
        <f t="shared" si="132"/>
        <v>0</v>
      </c>
      <c r="T351" s="176">
        <f t="shared" si="133"/>
        <v>6</v>
      </c>
      <c r="U351" s="251">
        <f t="shared" si="134"/>
        <v>0.59980402038685854</v>
      </c>
      <c r="V351" s="383">
        <f t="shared" si="135"/>
        <v>10.318486223100722</v>
      </c>
      <c r="W351" s="402">
        <f t="shared" si="136"/>
        <v>5.5994549126408986</v>
      </c>
      <c r="X351" s="157">
        <f t="shared" si="137"/>
        <v>45628</v>
      </c>
      <c r="Y351" s="385">
        <f t="shared" si="138"/>
        <v>5.3637644547574217</v>
      </c>
      <c r="Z351" s="385">
        <f t="shared" si="139"/>
        <v>5.6556154732602106</v>
      </c>
      <c r="AA351" s="386">
        <f t="shared" si="140"/>
        <v>6.4785184901037303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0.12702024669691792</v>
      </c>
      <c r="AD351" s="231">
        <f>(INDEX(Models!$BJ351:$BT351,,AH351)*(1-AF351)+INDEX(Models!$BJ351:$BT351,,AH351+1)*AF351-ERP_i)*AE351*Ramure*Pc/MaxiM</f>
        <v>6.6004486432873419E-2</v>
      </c>
      <c r="AE351" s="305">
        <f t="shared" si="142"/>
        <v>0.7</v>
      </c>
      <c r="AF351" s="177">
        <f t="shared" si="143"/>
        <v>0.59980402038685854</v>
      </c>
      <c r="AG351" s="817">
        <f t="shared" si="149"/>
        <v>0</v>
      </c>
      <c r="AH351" s="176">
        <f t="shared" si="144"/>
        <v>6</v>
      </c>
      <c r="AI351" s="225">
        <f t="shared" si="145"/>
        <v>0.59980402038685854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45629</v>
      </c>
      <c r="B352" s="411">
        <f>'2023'!Wh/'2023'!Env_an*'2024'!Env_an</f>
        <v>8.0592154387683905</v>
      </c>
      <c r="C352" s="846"/>
      <c r="D352" s="393">
        <f t="shared" si="127"/>
        <v>8.4979163904908361</v>
      </c>
      <c r="E352" s="385">
        <f t="shared" si="125"/>
        <v>9.3251813871602725</v>
      </c>
      <c r="F352" s="385">
        <f t="shared" si="128"/>
        <v>9.7711761839798097</v>
      </c>
      <c r="G352" s="110">
        <f t="shared" si="126"/>
        <v>0.77317906241094769</v>
      </c>
      <c r="H352" s="414" t="b">
        <f>Wh_hp&gt;='2023'!Maxi_hp</f>
        <v>0</v>
      </c>
      <c r="I352" s="390">
        <f>IF(H352,Wh_hp,'2023'!Maxi_hp)</f>
        <v>9.825135926325423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5.162453142200274E-2</v>
      </c>
      <c r="M352" s="850"/>
      <c r="N352" s="850"/>
      <c r="O352" s="48">
        <f>IF(t&lt;Tnet,'2023'!Resal+('2023'!Salim-'2023'!Resal)*(1-EXP(('2023'!Tnet-t)/('2023'!Tau_j))),Resal+(Salim-Resal)*(1-EXP((Tnet-t)/(Tau_j))))*Salcycl</f>
        <v>8.8713019331558146E-2</v>
      </c>
      <c r="P352" s="169">
        <f>(INDEX(Models!$BJ352:$BT352,,T352)*(1-R352)+INDEX(Models!$BJ352:$BT352,,T352+1)*R352-ERP_i)*Q352*Ramure*Pc/MaxiM</f>
        <v>6.52823950719085E-2</v>
      </c>
      <c r="Q352" s="305">
        <f t="shared" si="130"/>
        <v>0.7</v>
      </c>
      <c r="R352" s="177">
        <f t="shared" si="131"/>
        <v>0.59981856860849359</v>
      </c>
      <c r="S352" s="817">
        <f t="shared" si="132"/>
        <v>0</v>
      </c>
      <c r="T352" s="176">
        <f t="shared" si="133"/>
        <v>6</v>
      </c>
      <c r="U352" s="251">
        <f t="shared" si="134"/>
        <v>0.59981856860849359</v>
      </c>
      <c r="V352" s="383">
        <f t="shared" si="135"/>
        <v>10.208987193663765</v>
      </c>
      <c r="W352" s="402">
        <f t="shared" si="136"/>
        <v>8.0592154387683905</v>
      </c>
      <c r="X352" s="157">
        <f t="shared" si="137"/>
        <v>45629</v>
      </c>
      <c r="Y352" s="385">
        <f t="shared" si="138"/>
        <v>7.7205403704378348</v>
      </c>
      <c r="Z352" s="385">
        <f t="shared" si="139"/>
        <v>8.140805647381498</v>
      </c>
      <c r="AA352" s="386">
        <f t="shared" si="140"/>
        <v>9.3251813871602725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0.12700833266466294</v>
      </c>
      <c r="AD352" s="231">
        <f>(INDEX(Models!$BJ352:$BT352,,AH352)*(1-AF352)+INDEX(Models!$BJ352:$BT352,,AH352+1)*AF352-ERP_i)*AE352*Ramure*Pc/MaxiM</f>
        <v>6.52823950719085E-2</v>
      </c>
      <c r="AE352" s="305">
        <f t="shared" si="142"/>
        <v>0.7</v>
      </c>
      <c r="AF352" s="177">
        <f t="shared" si="143"/>
        <v>0.59981856860849359</v>
      </c>
      <c r="AG352" s="817">
        <f t="shared" si="149"/>
        <v>0</v>
      </c>
      <c r="AH352" s="176">
        <f t="shared" si="144"/>
        <v>6</v>
      </c>
      <c r="AI352" s="225">
        <f t="shared" si="145"/>
        <v>0.59981856860849359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45630</v>
      </c>
      <c r="B353" s="411">
        <f>'2023'!Wh/'2023'!Env_an*'2024'!Env_an</f>
        <v>9.3928297264082321</v>
      </c>
      <c r="C353" s="846"/>
      <c r="D353" s="393">
        <f t="shared" si="127"/>
        <v>9.9043424985205011</v>
      </c>
      <c r="E353" s="385">
        <f t="shared" si="125"/>
        <v>10.869165130818301</v>
      </c>
      <c r="F353" s="385">
        <f t="shared" si="128"/>
        <v>11.539073999962204</v>
      </c>
      <c r="G353" s="110">
        <f t="shared" si="126"/>
        <v>0.92281777016692401</v>
      </c>
      <c r="H353" s="414" t="b">
        <f>Wh_hp&gt;='2023'!Maxi_hp</f>
        <v>0</v>
      </c>
      <c r="I353" s="390">
        <f>IF(H353,Wh_hp,'2023'!Maxi_hp)</f>
        <v>11.560418979019833</v>
      </c>
      <c r="J353" s="85">
        <f>IF(H353,An,'2023'!An_max)</f>
        <v>2022</v>
      </c>
      <c r="K353" s="197">
        <f t="shared" si="129"/>
        <v>45630</v>
      </c>
      <c r="L353" s="147">
        <f>IF(t&lt;Tvie,1-EXP((T0-t)*PertePVj)+'2023'!Pspv,1-EXP((T0-t)*PertePVj)+Pspv)</f>
        <v>5.164530327870609E-2</v>
      </c>
      <c r="M353" s="850"/>
      <c r="N353" s="850"/>
      <c r="O353" s="48">
        <f>IF(t&lt;Tnet,'2023'!Resal+('2023'!Salim-'2023'!Resal)*(1-EXP(('2023'!Tnet-t)/('2023'!Tau_j))),Resal+(Salim-Resal)*(1-EXP((Tnet-t)/(Tau_j))))*Salcycl</f>
        <v>8.8766949502142853E-2</v>
      </c>
      <c r="P353" s="169">
        <f>(INDEX(Models!$BJ353:$BT353,,T353)*(1-R353)+INDEX(Models!$BJ353:$BT353,,T353+1)*R353-ERP_i)*Q353*Ramure*Pc/MaxiM</f>
        <v>6.4582517445920667E-2</v>
      </c>
      <c r="Q353" s="305">
        <f t="shared" si="130"/>
        <v>0.7</v>
      </c>
      <c r="R353" s="177">
        <f t="shared" si="131"/>
        <v>0.59983253187186247</v>
      </c>
      <c r="S353" s="817">
        <f t="shared" si="132"/>
        <v>0</v>
      </c>
      <c r="T353" s="176">
        <f t="shared" si="133"/>
        <v>6</v>
      </c>
      <c r="U353" s="251">
        <f t="shared" si="134"/>
        <v>0.59983253187186247</v>
      </c>
      <c r="V353" s="383">
        <f t="shared" si="135"/>
        <v>10.107895763581846</v>
      </c>
      <c r="W353" s="402">
        <f t="shared" si="136"/>
        <v>9.3928297264082321</v>
      </c>
      <c r="X353" s="157">
        <f t="shared" si="137"/>
        <v>45630</v>
      </c>
      <c r="Y353" s="385">
        <f t="shared" si="138"/>
        <v>8.9987454655483283</v>
      </c>
      <c r="Z353" s="385">
        <f t="shared" si="139"/>
        <v>9.4887972787600532</v>
      </c>
      <c r="AA353" s="386">
        <f t="shared" si="140"/>
        <v>10.869165130818301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0.12699851694628944</v>
      </c>
      <c r="AD353" s="231">
        <f>(INDEX(Models!$BJ353:$BT353,,AH353)*(1-AF353)+INDEX(Models!$BJ353:$BT353,,AH353+1)*AF353-ERP_i)*AE353*Ramure*Pc/MaxiM</f>
        <v>6.4582517445920667E-2</v>
      </c>
      <c r="AE353" s="305">
        <f t="shared" si="142"/>
        <v>0.7</v>
      </c>
      <c r="AF353" s="177">
        <f t="shared" si="143"/>
        <v>0.59983253187186247</v>
      </c>
      <c r="AG353" s="817">
        <f t="shared" si="149"/>
        <v>0</v>
      </c>
      <c r="AH353" s="176">
        <f t="shared" si="144"/>
        <v>6</v>
      </c>
      <c r="AI353" s="225">
        <f t="shared" si="145"/>
        <v>0.59983253187186247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45631</v>
      </c>
      <c r="B354" s="411">
        <f>'2023'!Wh/'2023'!Env_an*'2024'!Env_an</f>
        <v>6.8139863231139746</v>
      </c>
      <c r="C354" s="846"/>
      <c r="D354" s="393">
        <f t="shared" si="127"/>
        <v>7.1852183510338472</v>
      </c>
      <c r="E354" s="385">
        <f t="shared" si="125"/>
        <v>7.885638034714467</v>
      </c>
      <c r="F354" s="385">
        <f t="shared" si="128"/>
        <v>8.1692397159566568</v>
      </c>
      <c r="G354" s="110">
        <f t="shared" si="126"/>
        <v>0.65972581286146204</v>
      </c>
      <c r="H354" s="414" t="b">
        <f>Wh_hp&gt;='2023'!Maxi_hp</f>
        <v>0</v>
      </c>
      <c r="I354" s="390">
        <f>IF(H354,Wh_hp,'2023'!Maxi_hp)</f>
        <v>11.896832592856089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5.1666074680452478E-2</v>
      </c>
      <c r="M354" s="850"/>
      <c r="N354" s="850"/>
      <c r="O354" s="48">
        <f>IF(t&lt;Tnet,'2023'!Resal+('2023'!Salim-'2023'!Resal)*(1-EXP(('2023'!Tnet-t)/('2023'!Tau_j))),Resal+(Salim-Resal)*(1-EXP((Tnet-t)/(Tau_j))))*Salcycl</f>
        <v>8.8822195565812764E-2</v>
      </c>
      <c r="P354" s="169">
        <f>(INDEX(Models!$BJ354:$BT354,,T354)*(1-R354)+INDEX(Models!$BJ354:$BT354,,T354+1)*R354-ERP_i)*Q354*Ramure*Pc/MaxiM</f>
        <v>6.3900687930384156E-2</v>
      </c>
      <c r="Q354" s="305">
        <f t="shared" si="130"/>
        <v>0.7</v>
      </c>
      <c r="R354" s="177">
        <f t="shared" si="131"/>
        <v>0.5998459336663855</v>
      </c>
      <c r="S354" s="817">
        <f t="shared" si="132"/>
        <v>0</v>
      </c>
      <c r="T354" s="176">
        <f t="shared" si="133"/>
        <v>6</v>
      </c>
      <c r="U354" s="251">
        <f t="shared" si="134"/>
        <v>0.5998459336663855</v>
      </c>
      <c r="V354" s="383">
        <f t="shared" si="135"/>
        <v>10.016235072232689</v>
      </c>
      <c r="W354" s="402">
        <f t="shared" si="136"/>
        <v>6.8139863231139746</v>
      </c>
      <c r="X354" s="157">
        <f t="shared" si="137"/>
        <v>45631</v>
      </c>
      <c r="Y354" s="385">
        <f t="shared" si="138"/>
        <v>6.5285535277543945</v>
      </c>
      <c r="Z354" s="385">
        <f t="shared" si="139"/>
        <v>6.8842349234258959</v>
      </c>
      <c r="AA354" s="386">
        <f t="shared" si="140"/>
        <v>7.8856380347144661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0.1269907529207091</v>
      </c>
      <c r="AD354" s="231">
        <f>(INDEX(Models!$BJ354:$BT354,,AH354)*(1-AF354)+INDEX(Models!$BJ354:$BT354,,AH354+1)*AF354-ERP_i)*AE354*Ramure*Pc/MaxiM</f>
        <v>6.3900687930384156E-2</v>
      </c>
      <c r="AE354" s="305">
        <f t="shared" si="142"/>
        <v>0.7</v>
      </c>
      <c r="AF354" s="177">
        <f t="shared" si="143"/>
        <v>0.5998459336663855</v>
      </c>
      <c r="AG354" s="817">
        <f t="shared" si="149"/>
        <v>0</v>
      </c>
      <c r="AH354" s="176">
        <f t="shared" si="144"/>
        <v>6</v>
      </c>
      <c r="AI354" s="225">
        <f t="shared" si="145"/>
        <v>0.5998459336663855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45632</v>
      </c>
      <c r="B355" s="411">
        <f>'2023'!Wh/'2023'!Env_an*'2024'!Env_an</f>
        <v>7.9527513698213195</v>
      </c>
      <c r="C355" s="846"/>
      <c r="D355" s="393">
        <f t="shared" si="127"/>
        <v>8.3862080085576611</v>
      </c>
      <c r="E355" s="385">
        <f t="shared" si="125"/>
        <v>9.2042719579413728</v>
      </c>
      <c r="F355" s="385">
        <f t="shared" si="128"/>
        <v>9.6400933656740229</v>
      </c>
      <c r="G355" s="110">
        <f t="shared" si="126"/>
        <v>0.78536550628614599</v>
      </c>
      <c r="H355" s="414" t="b">
        <f>Wh_hp&gt;='2023'!Maxi_hp</f>
        <v>0</v>
      </c>
      <c r="I355" s="390">
        <f>IF(H355,Wh_hp,'2023'!Maxi_hp)</f>
        <v>11.718067390953806</v>
      </c>
      <c r="J355" s="85">
        <f>IF(H355,An,'2023'!An_max)</f>
        <v>2018</v>
      </c>
      <c r="K355" s="197">
        <f t="shared" si="129"/>
        <v>45632</v>
      </c>
      <c r="L355" s="147">
        <f>IF(t&lt;Tvie,1-EXP((T0-t)*PertePVj)+'2023'!Pspv,1-EXP((T0-t)*PertePVj)+Pspv)</f>
        <v>5.1686845627251787E-2</v>
      </c>
      <c r="M355" s="850"/>
      <c r="N355" s="850"/>
      <c r="O355" s="48">
        <f>IF(t&lt;Tnet,'2023'!Resal+('2023'!Salim-'2023'!Resal)*(1-EXP(('2023'!Tnet-t)/('2023'!Tau_j))),Resal+(Salim-Resal)*(1-EXP((Tnet-t)/(Tau_j))))*Salcycl</f>
        <v>8.8878724262150183E-2</v>
      </c>
      <c r="P355" s="169">
        <f>(INDEX(Models!$BJ355:$BT355,,T355)*(1-R355)+INDEX(Models!$BJ355:$BT355,,T355+1)*R355-ERP_i)*Q355*Ramure*Pc/MaxiM</f>
        <v>6.3232752161052452E-2</v>
      </c>
      <c r="Q355" s="305">
        <f t="shared" si="130"/>
        <v>0.7</v>
      </c>
      <c r="R355" s="177">
        <f t="shared" si="131"/>
        <v>0.59985879654067054</v>
      </c>
      <c r="S355" s="817">
        <f t="shared" si="132"/>
        <v>0</v>
      </c>
      <c r="T355" s="176">
        <f t="shared" si="133"/>
        <v>6</v>
      </c>
      <c r="U355" s="251">
        <f t="shared" si="134"/>
        <v>0.59985879654067054</v>
      </c>
      <c r="V355" s="383">
        <f t="shared" si="135"/>
        <v>9.9350276066888039</v>
      </c>
      <c r="W355" s="402">
        <f t="shared" si="136"/>
        <v>7.9527513698213195</v>
      </c>
      <c r="X355" s="157">
        <f t="shared" si="137"/>
        <v>45632</v>
      </c>
      <c r="Y355" s="385">
        <f t="shared" si="138"/>
        <v>7.6201396164388511</v>
      </c>
      <c r="Z355" s="385">
        <f t="shared" si="139"/>
        <v>8.0354675892681389</v>
      </c>
      <c r="AA355" s="386">
        <f t="shared" si="140"/>
        <v>9.2042719579413728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0.12698498849382647</v>
      </c>
      <c r="AD355" s="231">
        <f>(INDEX(Models!$BJ355:$BT355,,AH355)*(1-AF355)+INDEX(Models!$BJ355:$BT355,,AH355+1)*AF355-ERP_i)*AE355*Ramure*Pc/MaxiM</f>
        <v>6.3232752161052452E-2</v>
      </c>
      <c r="AE355" s="305">
        <f t="shared" si="142"/>
        <v>0.7</v>
      </c>
      <c r="AF355" s="177">
        <f t="shared" si="143"/>
        <v>0.59985879654067054</v>
      </c>
      <c r="AG355" s="817">
        <f t="shared" si="149"/>
        <v>0</v>
      </c>
      <c r="AH355" s="176">
        <f t="shared" si="144"/>
        <v>6</v>
      </c>
      <c r="AI355" s="225">
        <f t="shared" si="145"/>
        <v>0.59985879654067054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45633</v>
      </c>
      <c r="B356" s="411">
        <f>'2023'!Wh/'2023'!Env_an*'2024'!Env_an</f>
        <v>2.618777004868702</v>
      </c>
      <c r="C356" s="846"/>
      <c r="D356" s="393">
        <f t="shared" si="127"/>
        <v>2.7615712720915875</v>
      </c>
      <c r="E356" s="385">
        <f t="shared" si="125"/>
        <v>3.0311512514469698</v>
      </c>
      <c r="F356" s="385">
        <f t="shared" si="128"/>
        <v>3.0311512514469698</v>
      </c>
      <c r="G356" s="110">
        <f t="shared" si="126"/>
        <v>0.24884284224943534</v>
      </c>
      <c r="H356" s="414" t="b">
        <f>Wh_hp&gt;='2023'!Maxi_hp</f>
        <v>0</v>
      </c>
      <c r="I356" s="390">
        <f>IF(H356,Wh_hp,'2023'!Maxi_hp)</f>
        <v>10.360105711351219</v>
      </c>
      <c r="J356" s="85">
        <f>IF(H356,An,'2023'!An_max)</f>
        <v>2018</v>
      </c>
      <c r="K356" s="197">
        <f t="shared" si="129"/>
        <v>45633</v>
      </c>
      <c r="L356" s="147">
        <f>IF(t&lt;Tvie,1-EXP((T0-t)*PertePVj)+'2023'!Pspv,1-EXP((T0-t)*PertePVj)+Pspv)</f>
        <v>5.1707616119114119E-2</v>
      </c>
      <c r="M356" s="850"/>
      <c r="N356" s="850"/>
      <c r="O356" s="48">
        <f>IF(t&lt;Tnet,'2023'!Resal+('2023'!Salim-'2023'!Resal)*(1-EXP(('2023'!Tnet-t)/('2023'!Tau_j))),Resal+(Salim-Resal)*(1-EXP((Tnet-t)/(Tau_j))))*Salcycl</f>
        <v>8.893649870711462E-2</v>
      </c>
      <c r="P356" s="169">
        <f>(INDEX(Models!$BJ356:$BT356,,T356)*(1-R356)+INDEX(Models!$BJ356:$BT356,,T356+1)*R356-ERP_i)*Q356*Ramure*Pc/MaxiM</f>
        <v>6.2574598079440366E-2</v>
      </c>
      <c r="Q356" s="305">
        <f t="shared" si="130"/>
        <v>0.7</v>
      </c>
      <c r="R356" s="177">
        <f t="shared" si="131"/>
        <v>0.59987114214000448</v>
      </c>
      <c r="S356" s="817">
        <f t="shared" si="132"/>
        <v>0</v>
      </c>
      <c r="T356" s="176">
        <f t="shared" si="133"/>
        <v>6</v>
      </c>
      <c r="U356" s="251">
        <f t="shared" si="134"/>
        <v>0.59987114214000448</v>
      </c>
      <c r="V356" s="383">
        <f t="shared" si="135"/>
        <v>9.8652951563244464</v>
      </c>
      <c r="W356" s="402">
        <f t="shared" si="136"/>
        <v>2.618777004868702</v>
      </c>
      <c r="X356" s="157">
        <f t="shared" si="137"/>
        <v>45633</v>
      </c>
      <c r="Y356" s="385">
        <f t="shared" si="138"/>
        <v>2.5094207402634403</v>
      </c>
      <c r="Z356" s="385">
        <f t="shared" si="139"/>
        <v>2.6462521295316512</v>
      </c>
      <c r="AA356" s="386">
        <f t="shared" si="140"/>
        <v>3.0311512514469698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0.12698116655563824</v>
      </c>
      <c r="AD356" s="231">
        <f>(INDEX(Models!$BJ356:$BT356,,AH356)*(1-AF356)+INDEX(Models!$BJ356:$BT356,,AH356+1)*AF356-ERP_i)*AE356*Ramure*Pc/MaxiM</f>
        <v>6.2574598079440366E-2</v>
      </c>
      <c r="AE356" s="305">
        <f t="shared" si="142"/>
        <v>0.7</v>
      </c>
      <c r="AF356" s="177">
        <f t="shared" si="143"/>
        <v>0.59987114214000448</v>
      </c>
      <c r="AG356" s="817">
        <f t="shared" si="149"/>
        <v>0</v>
      </c>
      <c r="AH356" s="176">
        <f t="shared" si="144"/>
        <v>6</v>
      </c>
      <c r="AI356" s="225">
        <f t="shared" si="145"/>
        <v>0.59987114214000448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45634</v>
      </c>
      <c r="B357" s="411">
        <f>'2023'!Wh/'2023'!Env_an*'2024'!Env_an</f>
        <v>3.730901814735148</v>
      </c>
      <c r="C357" s="846"/>
      <c r="D357" s="393">
        <f t="shared" si="127"/>
        <v>3.9344231760892003</v>
      </c>
      <c r="E357" s="385">
        <f t="shared" si="125"/>
        <v>4.3187745880210127</v>
      </c>
      <c r="F357" s="385">
        <f t="shared" si="128"/>
        <v>4.3497073192661553</v>
      </c>
      <c r="G357" s="110">
        <f t="shared" si="126"/>
        <v>0.35939259008610125</v>
      </c>
      <c r="H357" s="414" t="b">
        <f>Wh_hp&gt;='2023'!Maxi_hp</f>
        <v>0</v>
      </c>
      <c r="I357" s="390">
        <f>IF(H357,Wh_hp,'2023'!Maxi_hp)</f>
        <v>6.3586080107423522</v>
      </c>
      <c r="J357" s="85">
        <f>IF(H357,An,'2023'!An_max)</f>
        <v>2019</v>
      </c>
      <c r="K357" s="197">
        <f t="shared" si="129"/>
        <v>45634</v>
      </c>
      <c r="L357" s="147">
        <f>IF(t&lt;Tvie,1-EXP((T0-t)*PertePVj)+'2023'!Pspv,1-EXP((T0-t)*PertePVj)+Pspv)</f>
        <v>5.1728386156049355E-2</v>
      </c>
      <c r="M357" s="850"/>
      <c r="N357" s="850"/>
      <c r="O357" s="48">
        <f>IF(t&lt;Tnet,'2023'!Resal+('2023'!Salim-'2023'!Resal)*(1-EXP(('2023'!Tnet-t)/('2023'!Tau_j))),Resal+(Salim-Resal)*(1-EXP((Tnet-t)/(Tau_j))))*Salcycl</f>
        <v>8.8995478717015769E-2</v>
      </c>
      <c r="P357" s="169">
        <f>(INDEX(Models!$BJ357:$BT357,,T357)*(1-R357)+INDEX(Models!$BJ357:$BT357,,T357+1)*R357-ERP_i)*Q357*Ramure*Pc/MaxiM</f>
        <v>6.1922195675769086E-2</v>
      </c>
      <c r="Q357" s="305">
        <f t="shared" si="130"/>
        <v>0.7</v>
      </c>
      <c r="R357" s="177">
        <f t="shared" si="131"/>
        <v>0.59988299124236466</v>
      </c>
      <c r="S357" s="817">
        <f t="shared" si="132"/>
        <v>0</v>
      </c>
      <c r="T357" s="176">
        <f t="shared" si="133"/>
        <v>6</v>
      </c>
      <c r="U357" s="251">
        <f t="shared" si="134"/>
        <v>0.59988299124236466</v>
      </c>
      <c r="V357" s="383">
        <f t="shared" si="135"/>
        <v>9.8080587758588766</v>
      </c>
      <c r="W357" s="402">
        <f t="shared" si="136"/>
        <v>3.730901814735148</v>
      </c>
      <c r="X357" s="157">
        <f t="shared" si="137"/>
        <v>45634</v>
      </c>
      <c r="Y357" s="385">
        <f t="shared" si="138"/>
        <v>3.5753442666236008</v>
      </c>
      <c r="Z357" s="385">
        <f t="shared" si="139"/>
        <v>3.7703799359030126</v>
      </c>
      <c r="AA357" s="386">
        <f t="shared" si="140"/>
        <v>4.3187745880210127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0.12697922545878701</v>
      </c>
      <c r="AD357" s="231">
        <f>(INDEX(Models!$BJ357:$BT357,,AH357)*(1-AF357)+INDEX(Models!$BJ357:$BT357,,AH357+1)*AF357-ERP_i)*AE357*Ramure*Pc/MaxiM</f>
        <v>6.1922195675769086E-2</v>
      </c>
      <c r="AE357" s="305">
        <f t="shared" si="142"/>
        <v>0.7</v>
      </c>
      <c r="AF357" s="177">
        <f t="shared" si="143"/>
        <v>0.59988299124236466</v>
      </c>
      <c r="AG357" s="817">
        <f t="shared" si="149"/>
        <v>0</v>
      </c>
      <c r="AH357" s="176">
        <f t="shared" si="144"/>
        <v>6</v>
      </c>
      <c r="AI357" s="225">
        <f t="shared" si="145"/>
        <v>0.59988299124236466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45635</v>
      </c>
      <c r="B358" s="411">
        <f>'2023'!Wh/'2023'!Env_an*'2024'!Env_an</f>
        <v>6.4272007282885797</v>
      </c>
      <c r="C358" s="846"/>
      <c r="D358" s="393">
        <f t="shared" si="127"/>
        <v>6.77795413226462</v>
      </c>
      <c r="E358" s="385">
        <f t="shared" si="125"/>
        <v>7.4405795673201354</v>
      </c>
      <c r="F358" s="385">
        <f t="shared" si="128"/>
        <v>7.6814417863001232</v>
      </c>
      <c r="G358" s="110">
        <f t="shared" si="126"/>
        <v>0.63790343452539355</v>
      </c>
      <c r="H358" s="414" t="b">
        <f>Wh_hp&gt;='2023'!Maxi_hp</f>
        <v>0</v>
      </c>
      <c r="I358" s="390">
        <f>IF(H358,Wh_hp,'2023'!Maxi_hp)</f>
        <v>11.203024909325297</v>
      </c>
      <c r="J358" s="85">
        <f>IF(H358,An,'2023'!An_max)</f>
        <v>2019</v>
      </c>
      <c r="K358" s="197">
        <f t="shared" si="129"/>
        <v>45635</v>
      </c>
      <c r="L358" s="147">
        <f>IF(t&lt;Tvie,1-EXP((T0-t)*PertePVj)+'2023'!Pspv,1-EXP((T0-t)*PertePVj)+Pspv)</f>
        <v>5.1749155738067487E-2</v>
      </c>
      <c r="M358" s="850"/>
      <c r="N358" s="850"/>
      <c r="O358" s="48">
        <f>IF(t&lt;Tnet,'2023'!Resal+('2023'!Salim-'2023'!Resal)*(1-EXP(('2023'!Tnet-t)/('2023'!Tau_j))),Resal+(Salim-Resal)*(1-EXP((Tnet-t)/(Tau_j))))*Salcycl</f>
        <v>8.9055621146212974E-2</v>
      </c>
      <c r="P358" s="169">
        <f>(INDEX(Models!$BJ358:$BT358,,T358)*(1-R358)+INDEX(Models!$BJ358:$BT358,,T358+1)*R358-ERP_i)*Q358*Ramure*Pc/MaxiM</f>
        <v>6.1271644847522261E-2</v>
      </c>
      <c r="Q358" s="305">
        <f t="shared" si="130"/>
        <v>0.7</v>
      </c>
      <c r="R358" s="177">
        <f t="shared" si="131"/>
        <v>0.5998943637930092</v>
      </c>
      <c r="S358" s="817">
        <f t="shared" si="132"/>
        <v>0</v>
      </c>
      <c r="T358" s="176">
        <f t="shared" si="133"/>
        <v>6</v>
      </c>
      <c r="U358" s="251">
        <f t="shared" si="134"/>
        <v>0.5998943637930092</v>
      </c>
      <c r="V358" s="383">
        <f t="shared" si="135"/>
        <v>9.7643387509103174</v>
      </c>
      <c r="W358" s="402">
        <f t="shared" si="136"/>
        <v>6.4272007282885797</v>
      </c>
      <c r="X358" s="157">
        <f t="shared" si="137"/>
        <v>45635</v>
      </c>
      <c r="Y358" s="385">
        <f t="shared" si="138"/>
        <v>6.159630266856472</v>
      </c>
      <c r="Z358" s="385">
        <f t="shared" si="139"/>
        <v>6.4957814739946764</v>
      </c>
      <c r="AA358" s="386">
        <f t="shared" si="140"/>
        <v>7.4405795673201354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0.12697909951465589</v>
      </c>
      <c r="AD358" s="231">
        <f>(INDEX(Models!$BJ358:$BT358,,AH358)*(1-AF358)+INDEX(Models!$BJ358:$BT358,,AH358+1)*AF358-ERP_i)*AE358*Ramure*Pc/MaxiM</f>
        <v>6.1271644847522261E-2</v>
      </c>
      <c r="AE358" s="305">
        <f t="shared" si="142"/>
        <v>0.7</v>
      </c>
      <c r="AF358" s="177">
        <f t="shared" si="143"/>
        <v>0.5998943637930092</v>
      </c>
      <c r="AG358" s="817">
        <f t="shared" si="149"/>
        <v>0</v>
      </c>
      <c r="AH358" s="176">
        <f t="shared" si="144"/>
        <v>6</v>
      </c>
      <c r="AI358" s="225">
        <f t="shared" si="145"/>
        <v>0.5998943637930092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45636</v>
      </c>
      <c r="B359" s="411">
        <f>'2023'!Wh/'2023'!Env_an*'2024'!Env_an</f>
        <v>7.4958287759101321</v>
      </c>
      <c r="C359" s="846"/>
      <c r="D359" s="393">
        <f t="shared" si="127"/>
        <v>7.9050738554610369</v>
      </c>
      <c r="E359" s="385">
        <f t="shared" si="125"/>
        <v>8.6784722254016717</v>
      </c>
      <c r="F359" s="385">
        <f t="shared" si="128"/>
        <v>9.0467020160639997</v>
      </c>
      <c r="G359" s="110">
        <f t="shared" si="126"/>
        <v>0.75401588490383153</v>
      </c>
      <c r="H359" s="414" t="b">
        <f>Wh_hp&gt;='2023'!Maxi_hp</f>
        <v>0</v>
      </c>
      <c r="I359" s="390">
        <f>IF(H359,Wh_hp,'2023'!Maxi_hp)</f>
        <v>10.504365744752464</v>
      </c>
      <c r="J359" s="85">
        <f>IF(H359,An,'2023'!An_max)</f>
        <v>2021</v>
      </c>
      <c r="K359" s="197">
        <f t="shared" si="129"/>
        <v>45636</v>
      </c>
      <c r="L359" s="147">
        <f>IF(t&lt;Tvie,1-EXP((T0-t)*PertePVj)+'2023'!Pspv,1-EXP((T0-t)*PertePVj)+Pspv)</f>
        <v>5.1769924865178507E-2</v>
      </c>
      <c r="M359" s="850"/>
      <c r="N359" s="850"/>
      <c r="O359" s="48">
        <f>IF(t&lt;Tnet,'2023'!Resal+('2023'!Salim-'2023'!Resal)*(1-EXP(('2023'!Tnet-t)/('2023'!Tau_j))),Resal+(Salim-Resal)*(1-EXP((Tnet-t)/(Tau_j))))*Salcycl</f>
        <v>8.9116880235776533E-2</v>
      </c>
      <c r="P359" s="169">
        <f>(INDEX(Models!$BJ359:$BT359,,T359)*(1-R359)+INDEX(Models!$BJ359:$BT359,,T359+1)*R359-ERP_i)*Q359*Ramure*Pc/MaxiM</f>
        <v>6.0621326164208046E-2</v>
      </c>
      <c r="Q359" s="305">
        <f t="shared" si="130"/>
        <v>0.7</v>
      </c>
      <c r="R359" s="177">
        <f t="shared" si="131"/>
        <v>0.5999052789377004</v>
      </c>
      <c r="S359" s="817">
        <f t="shared" si="132"/>
        <v>0</v>
      </c>
      <c r="T359" s="176">
        <f t="shared" si="133"/>
        <v>6</v>
      </c>
      <c r="U359" s="251">
        <f t="shared" si="134"/>
        <v>0.5999052789377004</v>
      </c>
      <c r="V359" s="383">
        <f t="shared" si="135"/>
        <v>9.7347962566327659</v>
      </c>
      <c r="W359" s="402">
        <f t="shared" si="136"/>
        <v>7.4958287759101321</v>
      </c>
      <c r="X359" s="157">
        <f t="shared" si="137"/>
        <v>45636</v>
      </c>
      <c r="Y359" s="385">
        <f t="shared" si="138"/>
        <v>7.1842401101556117</v>
      </c>
      <c r="Z359" s="385">
        <f t="shared" si="139"/>
        <v>7.5764735780334114</v>
      </c>
      <c r="AA359" s="386">
        <f t="shared" si="140"/>
        <v>8.6784722254016717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0.12698071950299472</v>
      </c>
      <c r="AD359" s="231">
        <f>(INDEX(Models!$BJ359:$BT359,,AH359)*(1-AF359)+INDEX(Models!$BJ359:$BT359,,AH359+1)*AF359-ERP_i)*AE359*Ramure*Pc/MaxiM</f>
        <v>6.0621326164208046E-2</v>
      </c>
      <c r="AE359" s="305">
        <f t="shared" si="142"/>
        <v>0.7</v>
      </c>
      <c r="AF359" s="177">
        <f t="shared" si="143"/>
        <v>0.5999052789377004</v>
      </c>
      <c r="AG359" s="817">
        <f t="shared" si="149"/>
        <v>0</v>
      </c>
      <c r="AH359" s="176">
        <f t="shared" si="144"/>
        <v>6</v>
      </c>
      <c r="AI359" s="225">
        <f t="shared" si="145"/>
        <v>0.5999052789377004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45637</v>
      </c>
      <c r="B360" s="411">
        <f>'2023'!Wh/'2023'!Env_an*'2024'!Env_an</f>
        <v>3.0210591043058557</v>
      </c>
      <c r="C360" s="846"/>
      <c r="D360" s="393">
        <f t="shared" si="127"/>
        <v>3.1860677634310797</v>
      </c>
      <c r="E360" s="385">
        <f t="shared" si="125"/>
        <v>3.4980182614530757</v>
      </c>
      <c r="F360" s="385">
        <f t="shared" si="128"/>
        <v>3.5012728655426693</v>
      </c>
      <c r="G360" s="110">
        <f t="shared" si="126"/>
        <v>0.29247668361241219</v>
      </c>
      <c r="H360" s="414" t="b">
        <f>Wh_hp&gt;='2023'!Maxi_hp</f>
        <v>0</v>
      </c>
      <c r="I360" s="390">
        <f>IF(H360,Wh_hp,'2023'!Maxi_hp)</f>
        <v>10.718459481317785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5.1790693537392296E-2</v>
      </c>
      <c r="M360" s="850"/>
      <c r="N360" s="850"/>
      <c r="O360" s="48">
        <f>IF(t&lt;Tnet,'2023'!Resal+('2023'!Salim-'2023'!Resal)*(1-EXP(('2023'!Tnet-t)/('2023'!Tau_j))),Resal+(Salim-Resal)*(1-EXP((Tnet-t)/(Tau_j))))*Salcycl</f>
        <v>8.9179207970290011E-2</v>
      </c>
      <c r="P360" s="169">
        <f>(INDEX(Models!$BJ360:$BT360,,T360)*(1-R360)+INDEX(Models!$BJ360:$BT360,,T360+1)*R360-ERP_i)*Q360*Ramure*Pc/MaxiM</f>
        <v>5.9977621023360614E-2</v>
      </c>
      <c r="Q360" s="305">
        <f t="shared" si="130"/>
        <v>0.7</v>
      </c>
      <c r="R360" s="177">
        <f t="shared" si="131"/>
        <v>0.59991575505461525</v>
      </c>
      <c r="S360" s="817">
        <f t="shared" si="132"/>
        <v>0</v>
      </c>
      <c r="T360" s="176">
        <f t="shared" si="133"/>
        <v>6</v>
      </c>
      <c r="U360" s="251">
        <f t="shared" si="134"/>
        <v>0.59991575505461525</v>
      </c>
      <c r="V360" s="383">
        <f t="shared" si="135"/>
        <v>9.7187419479983355</v>
      </c>
      <c r="W360" s="402">
        <f t="shared" si="136"/>
        <v>3.0210591043058557</v>
      </c>
      <c r="X360" s="157">
        <f t="shared" si="137"/>
        <v>45637</v>
      </c>
      <c r="Y360" s="385">
        <f t="shared" si="138"/>
        <v>2.8956661049387078</v>
      </c>
      <c r="Z360" s="385">
        <f t="shared" si="139"/>
        <v>3.0538258643983234</v>
      </c>
      <c r="AA360" s="386">
        <f t="shared" si="140"/>
        <v>3.4980182614530757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0.1269840131910103</v>
      </c>
      <c r="AD360" s="231">
        <f>(INDEX(Models!$BJ360:$BT360,,AH360)*(1-AF360)+INDEX(Models!$BJ360:$BT360,,AH360+1)*AF360-ERP_i)*AE360*Ramure*Pc/MaxiM</f>
        <v>5.9977621023360614E-2</v>
      </c>
      <c r="AE360" s="305">
        <f t="shared" si="142"/>
        <v>0.7</v>
      </c>
      <c r="AF360" s="177">
        <f t="shared" si="143"/>
        <v>0.59991575505461525</v>
      </c>
      <c r="AG360" s="817">
        <f t="shared" si="149"/>
        <v>0</v>
      </c>
      <c r="AH360" s="176">
        <f t="shared" si="144"/>
        <v>6</v>
      </c>
      <c r="AI360" s="225">
        <f t="shared" si="145"/>
        <v>0.59991575505461525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45638</v>
      </c>
      <c r="B361" s="411">
        <f>'2023'!Wh/'2023'!Env_an*'2024'!Env_an</f>
        <v>2.9983103457535525</v>
      </c>
      <c r="C361" s="846"/>
      <c r="D361" s="393">
        <f t="shared" si="127"/>
        <v>3.1621457387601724</v>
      </c>
      <c r="E361" s="385">
        <f t="shared" ref="E361:E380" si="150">Wh_pvt/(1-Psa)</f>
        <v>3.4719954848303756</v>
      </c>
      <c r="F361" s="385">
        <f t="shared" si="128"/>
        <v>3.474536028494732</v>
      </c>
      <c r="G361" s="110">
        <f t="shared" ref="G361:G380" si="151">+Wh_hp/MaxiM</f>
        <v>0.29051767598811845</v>
      </c>
      <c r="H361" s="414" t="b">
        <f>Wh_hp&gt;='2023'!Maxi_hp</f>
        <v>0</v>
      </c>
      <c r="I361" s="390">
        <f>IF(H361,Wh_hp,'2023'!Maxi_hp)</f>
        <v>11.207179441431046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5.1811461754718846E-2</v>
      </c>
      <c r="M361" s="850"/>
      <c r="N361" s="850"/>
      <c r="O361" s="48">
        <f>IF(t&lt;Tnet,'2023'!Resal+('2023'!Salim-'2023'!Resal)*(1-EXP(('2023'!Tnet-t)/('2023'!Tau_j))),Resal+(Salim-Resal)*(1-EXP((Tnet-t)/(Tau_j))))*Salcycl</f>
        <v>8.924255443994078E-2</v>
      </c>
      <c r="P361" s="169">
        <f>(INDEX(Models!$BJ361:$BT361,,T361)*(1-R361)+INDEX(Models!$BJ361:$BT361,,T361+1)*R361-ERP_i)*Q361*Ramure*Pc/MaxiM</f>
        <v>5.9354229526185229E-2</v>
      </c>
      <c r="Q361" s="305">
        <f t="shared" si="130"/>
        <v>0.7</v>
      </c>
      <c r="R361" s="177">
        <f t="shared" si="131"/>
        <v>0.5999258097849911</v>
      </c>
      <c r="S361" s="817">
        <f t="shared" si="132"/>
        <v>0</v>
      </c>
      <c r="T361" s="176">
        <f t="shared" si="133"/>
        <v>6</v>
      </c>
      <c r="U361" s="251">
        <f t="shared" si="134"/>
        <v>0.5999258097849911</v>
      </c>
      <c r="V361" s="383">
        <f t="shared" si="135"/>
        <v>9.7151116639930741</v>
      </c>
      <c r="W361" s="402">
        <f t="shared" si="136"/>
        <v>2.9983103457535525</v>
      </c>
      <c r="X361" s="157">
        <f t="shared" si="137"/>
        <v>45638</v>
      </c>
      <c r="Y361" s="385">
        <f t="shared" si="138"/>
        <v>2.8740453435595681</v>
      </c>
      <c r="Z361" s="385">
        <f t="shared" si="139"/>
        <v>3.0310905770684382</v>
      </c>
      <c r="AA361" s="386">
        <f t="shared" si="140"/>
        <v>3.4719954848303756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0.12698890585783057</v>
      </c>
      <c r="AD361" s="231">
        <f>(INDEX(Models!$BJ361:$BT361,,AH361)*(1-AF361)+INDEX(Models!$BJ361:$BT361,,AH361+1)*AF361-ERP_i)*AE361*Ramure*Pc/MaxiM</f>
        <v>5.9354229526185229E-2</v>
      </c>
      <c r="AE361" s="305">
        <f t="shared" si="142"/>
        <v>0.7</v>
      </c>
      <c r="AF361" s="177">
        <f t="shared" si="143"/>
        <v>0.5999258097849911</v>
      </c>
      <c r="AG361" s="817">
        <f t="shared" si="149"/>
        <v>0</v>
      </c>
      <c r="AH361" s="176">
        <f t="shared" si="144"/>
        <v>6</v>
      </c>
      <c r="AI361" s="225">
        <f t="shared" si="145"/>
        <v>0.5999258097849911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45639</v>
      </c>
      <c r="B362" s="411">
        <f>'2023'!Wh/'2023'!Env_an*'2024'!Env_an</f>
        <v>7.0656733254454203</v>
      </c>
      <c r="C362" s="846"/>
      <c r="D362" s="393">
        <f t="shared" si="127"/>
        <v>7.4519231146692473</v>
      </c>
      <c r="E362" s="385">
        <f t="shared" si="150"/>
        <v>8.1826938784326089</v>
      </c>
      <c r="F362" s="385">
        <f t="shared" si="128"/>
        <v>8.4866706484020451</v>
      </c>
      <c r="G362" s="110">
        <f t="shared" si="151"/>
        <v>0.70941386451037713</v>
      </c>
      <c r="H362" s="414" t="b">
        <f>Wh_hp&gt;='2023'!Maxi_hp</f>
        <v>0</v>
      </c>
      <c r="I362" s="390">
        <f>IF(H362,Wh_hp,'2023'!Maxi_hp)</f>
        <v>10.863458902037726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5.1832229517168149E-2</v>
      </c>
      <c r="M362" s="850"/>
      <c r="N362" s="850"/>
      <c r="O362" s="48">
        <f>IF(t&lt;Tnet,'2023'!Resal+('2023'!Salim-'2023'!Resal)*(1-EXP(('2023'!Tnet-t)/('2023'!Tau_j))),Resal+(Salim-Resal)*(1-EXP((Tnet-t)/(Tau_j))))*Salcycl</f>
        <v>8.9306868205039164E-2</v>
      </c>
      <c r="P362" s="169">
        <f>(INDEX(Models!$BJ362:$BT362,,T362)*(1-R362)+INDEX(Models!$BJ362:$BT362,,T362+1)*R362-ERP_i)*Q362*Ramure*Pc/MaxiM</f>
        <v>5.8758947167442788E-2</v>
      </c>
      <c r="Q362" s="305">
        <f t="shared" si="130"/>
        <v>0.7</v>
      </c>
      <c r="R362" s="177">
        <f t="shared" si="131"/>
        <v>0.59993546006256038</v>
      </c>
      <c r="S362" s="817">
        <f t="shared" si="132"/>
        <v>0</v>
      </c>
      <c r="T362" s="176">
        <f t="shared" si="133"/>
        <v>6</v>
      </c>
      <c r="U362" s="251">
        <f t="shared" si="134"/>
        <v>0.59993546006256038</v>
      </c>
      <c r="V362" s="383">
        <f t="shared" si="135"/>
        <v>9.7228992964514021</v>
      </c>
      <c r="W362" s="402">
        <f t="shared" si="136"/>
        <v>7.0656733254454203</v>
      </c>
      <c r="X362" s="157">
        <f t="shared" si="137"/>
        <v>45639</v>
      </c>
      <c r="Y362" s="385">
        <f t="shared" si="138"/>
        <v>6.773264955354998</v>
      </c>
      <c r="Z362" s="385">
        <f t="shared" si="139"/>
        <v>7.1435300441670506</v>
      </c>
      <c r="AA362" s="386">
        <f t="shared" si="140"/>
        <v>8.1826938784326089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0.12699532082026393</v>
      </c>
      <c r="AD362" s="231">
        <f>(INDEX(Models!$BJ362:$BT362,,AH362)*(1-AF362)+INDEX(Models!$BJ362:$BT362,,AH362+1)*AF362-ERP_i)*AE362*Ramure*Pc/MaxiM</f>
        <v>5.8758947167442788E-2</v>
      </c>
      <c r="AE362" s="305">
        <f t="shared" si="142"/>
        <v>0.7</v>
      </c>
      <c r="AF362" s="177">
        <f t="shared" si="143"/>
        <v>0.59993546006256038</v>
      </c>
      <c r="AG362" s="817">
        <f t="shared" si="149"/>
        <v>0</v>
      </c>
      <c r="AH362" s="176">
        <f t="shared" si="144"/>
        <v>6</v>
      </c>
      <c r="AI362" s="225">
        <f t="shared" si="145"/>
        <v>0.59993546006256038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45640</v>
      </c>
      <c r="B363" s="411">
        <f>'2023'!Wh/'2023'!Env_an*'2024'!Env_an</f>
        <v>3.518379962436387</v>
      </c>
      <c r="C363" s="846"/>
      <c r="D363" s="393">
        <f t="shared" si="127"/>
        <v>3.7107958477469034</v>
      </c>
      <c r="E363" s="385">
        <f t="shared" si="150"/>
        <v>4.0749858796737524</v>
      </c>
      <c r="F363" s="385">
        <f t="shared" si="128"/>
        <v>4.0958228719433203</v>
      </c>
      <c r="G363" s="110">
        <f t="shared" si="151"/>
        <v>0.34190773061154356</v>
      </c>
      <c r="H363" s="414" t="b">
        <f>Wh_hp&gt;='2023'!Maxi_hp</f>
        <v>0</v>
      </c>
      <c r="I363" s="390">
        <f>IF(H363,Wh_hp,'2023'!Maxi_hp)</f>
        <v>11.20513204000641</v>
      </c>
      <c r="J363" s="85">
        <f>IF(H363,An,'2023'!An_max)</f>
        <v>2021</v>
      </c>
      <c r="K363" s="197">
        <f t="shared" si="129"/>
        <v>45640</v>
      </c>
      <c r="L363" s="147">
        <f>IF(t&lt;Tvie,1-EXP((T0-t)*PertePVj)+'2023'!Pspv,1-EXP((T0-t)*PertePVj)+Pspv)</f>
        <v>5.1852996824750197E-2</v>
      </c>
      <c r="M363" s="850"/>
      <c r="N363" s="850"/>
      <c r="O363" s="48">
        <f>IF(t&lt;Tnet,'2023'!Resal+('2023'!Salim-'2023'!Resal)*(1-EXP(('2023'!Tnet-t)/('2023'!Tau_j))),Resal+(Salim-Resal)*(1-EXP((Tnet-t)/(Tau_j))))*Salcycl</f>
        <v>8.9372096660125452E-2</v>
      </c>
      <c r="P363" s="169">
        <f>(INDEX(Models!$BJ363:$BT363,,T363)*(1-R363)+INDEX(Models!$BJ363:$BT363,,T363+1)*R363-ERP_i)*Q363*Ramure*Pc/MaxiM</f>
        <v>5.8199181701100063E-2</v>
      </c>
      <c r="Q363" s="305">
        <f t="shared" si="130"/>
        <v>0.7</v>
      </c>
      <c r="R363" s="177">
        <f t="shared" si="131"/>
        <v>0.59994472214181693</v>
      </c>
      <c r="S363" s="817">
        <f t="shared" si="132"/>
        <v>0</v>
      </c>
      <c r="T363" s="176">
        <f t="shared" si="133"/>
        <v>6</v>
      </c>
      <c r="U363" s="251">
        <f t="shared" si="134"/>
        <v>0.59994472214181693</v>
      </c>
      <c r="V363" s="383">
        <f t="shared" si="135"/>
        <v>9.7410986237830883</v>
      </c>
      <c r="W363" s="402">
        <f t="shared" si="136"/>
        <v>3.518379962436387</v>
      </c>
      <c r="X363" s="157">
        <f t="shared" si="137"/>
        <v>45640</v>
      </c>
      <c r="Y363" s="385">
        <f t="shared" si="138"/>
        <v>3.3729852859205849</v>
      </c>
      <c r="Z363" s="385">
        <f t="shared" si="139"/>
        <v>3.5574497146801005</v>
      </c>
      <c r="AA363" s="386">
        <f t="shared" si="140"/>
        <v>4.0749858796737524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0.12700317995582505</v>
      </c>
      <c r="AD363" s="231">
        <f>(INDEX(Models!$BJ363:$BT363,,AH363)*(1-AF363)+INDEX(Models!$BJ363:$BT363,,AH363+1)*AF363-ERP_i)*AE363*Ramure*Pc/MaxiM</f>
        <v>5.8199181701100063E-2</v>
      </c>
      <c r="AE363" s="305">
        <f t="shared" si="142"/>
        <v>0.7</v>
      </c>
      <c r="AF363" s="177">
        <f t="shared" si="143"/>
        <v>0.59994472214181693</v>
      </c>
      <c r="AG363" s="817">
        <f t="shared" si="149"/>
        <v>0</v>
      </c>
      <c r="AH363" s="176">
        <f t="shared" si="144"/>
        <v>6</v>
      </c>
      <c r="AI363" s="225">
        <f t="shared" si="145"/>
        <v>0.59994472214181693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45641</v>
      </c>
      <c r="B364" s="411">
        <f>'2023'!Wh/'2023'!Env_an*'2024'!Env_an</f>
        <v>2.9405560592116098</v>
      </c>
      <c r="C364" s="846"/>
      <c r="D364" s="393">
        <f t="shared" si="127"/>
        <v>3.1014393933629294</v>
      </c>
      <c r="E364" s="385">
        <f t="shared" si="150"/>
        <v>3.4060723248250269</v>
      </c>
      <c r="F364" s="385">
        <f t="shared" si="128"/>
        <v>3.40635808545824</v>
      </c>
      <c r="G364" s="110">
        <f t="shared" si="151"/>
        <v>0.28367855831318789</v>
      </c>
      <c r="H364" s="414" t="b">
        <f>Wh_hp&gt;='2023'!Maxi_hp</f>
        <v>0</v>
      </c>
      <c r="I364" s="390">
        <f>IF(H364,Wh_hp,'2023'!Maxi_hp)</f>
        <v>11.238528761899044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5.1873763677474871E-2</v>
      </c>
      <c r="M364" s="850"/>
      <c r="N364" s="850"/>
      <c r="O364" s="48">
        <f>IF(t&lt;Tnet,'2023'!Resal+('2023'!Salim-'2023'!Resal)*(1-EXP(('2023'!Tnet-t)/('2023'!Tau_j))),Resal+(Salim-Resal)*(1-EXP((Tnet-t)/(Tau_j))))*Salcycl</f>
        <v>8.943818639486667E-2</v>
      </c>
      <c r="P364" s="169">
        <f>(INDEX(Models!$BJ364:$BT364,,T364)*(1-R364)+INDEX(Models!$BJ364:$BT364,,T364+1)*R364-ERP_i)*Q364*Ramure*Pc/MaxiM</f>
        <v>5.7681899315938999E-2</v>
      </c>
      <c r="Q364" s="305">
        <f t="shared" si="130"/>
        <v>0.7</v>
      </c>
      <c r="R364" s="177">
        <f t="shared" si="131"/>
        <v>0.59995361162516214</v>
      </c>
      <c r="S364" s="817">
        <f t="shared" si="132"/>
        <v>0</v>
      </c>
      <c r="T364" s="176">
        <f t="shared" si="133"/>
        <v>6</v>
      </c>
      <c r="U364" s="251">
        <f t="shared" si="134"/>
        <v>0.59995361162516214</v>
      </c>
      <c r="V364" s="383">
        <f t="shared" si="135"/>
        <v>9.7687033230879141</v>
      </c>
      <c r="W364" s="402">
        <f t="shared" si="136"/>
        <v>2.9405560592116098</v>
      </c>
      <c r="X364" s="157">
        <f t="shared" si="137"/>
        <v>45641</v>
      </c>
      <c r="Y364" s="385">
        <f t="shared" si="138"/>
        <v>2.8192143861453172</v>
      </c>
      <c r="Z364" s="385">
        <f t="shared" si="139"/>
        <v>2.9734588899049323</v>
      </c>
      <c r="AA364" s="386">
        <f t="shared" si="140"/>
        <v>3.4060723248250269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0.127012404219079</v>
      </c>
      <c r="AD364" s="231">
        <f>(INDEX(Models!$BJ364:$BT364,,AH364)*(1-AF364)+INDEX(Models!$BJ364:$BT364,,AH364+1)*AF364-ERP_i)*AE364*Ramure*Pc/MaxiM</f>
        <v>5.7681899315938999E-2</v>
      </c>
      <c r="AE364" s="305">
        <f t="shared" si="142"/>
        <v>0.7</v>
      </c>
      <c r="AF364" s="177">
        <f t="shared" si="143"/>
        <v>0.59995361162516214</v>
      </c>
      <c r="AG364" s="817">
        <f t="shared" si="149"/>
        <v>0</v>
      </c>
      <c r="AH364" s="176">
        <f t="shared" si="144"/>
        <v>6</v>
      </c>
      <c r="AI364" s="225">
        <f t="shared" si="145"/>
        <v>0.59995361162516214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45642</v>
      </c>
      <c r="B365" s="411">
        <f>'2023'!Wh/'2023'!Env_an*'2024'!Env_an</f>
        <v>1.7189000600196054</v>
      </c>
      <c r="C365" s="846"/>
      <c r="D365" s="393">
        <f t="shared" si="127"/>
        <v>1.8129840134307185</v>
      </c>
      <c r="E365" s="385">
        <f t="shared" si="150"/>
        <v>1.9912071782866612</v>
      </c>
      <c r="F365" s="385">
        <f t="shared" si="128"/>
        <v>1.9912071782866612</v>
      </c>
      <c r="G365" s="110">
        <f t="shared" si="151"/>
        <v>0.16528343140262144</v>
      </c>
      <c r="H365" s="414" t="b">
        <f>Wh_hp&gt;='2023'!Maxi_hp</f>
        <v>0</v>
      </c>
      <c r="I365" s="390">
        <f>IF(H365,Wh_hp,'2023'!Maxi_hp)</f>
        <v>12.021783785395716</v>
      </c>
      <c r="J365" s="85">
        <f>IF(H365,An,'2023'!An_max)</f>
        <v>2018</v>
      </c>
      <c r="K365" s="197">
        <f t="shared" si="129"/>
        <v>45642</v>
      </c>
      <c r="L365" s="147">
        <f>IF(t&lt;Tvie,1-EXP((T0-t)*PertePVj)+'2023'!Pspv,1-EXP((T0-t)*PertePVj)+Pspv)</f>
        <v>5.1894530075352163E-2</v>
      </c>
      <c r="M365" s="850"/>
      <c r="N365" s="850"/>
      <c r="O365" s="48">
        <f>IF(t&lt;Tnet,'2023'!Resal+('2023'!Salim-'2023'!Resal)*(1-EXP(('2023'!Tnet-t)/('2023'!Tau_j))),Resal+(Salim-Resal)*(1-EXP((Tnet-t)/(Tau_j))))*Salcycl</f>
        <v>8.9505083549013334E-2</v>
      </c>
      <c r="P365" s="169">
        <f>(INDEX(Models!$BJ365:$BT365,,T365)*(1-R365)+INDEX(Models!$BJ365:$BT365,,T365+1)*R365-ERP_i)*Q365*Ramure*Pc/MaxiM</f>
        <v>5.7213592138251827E-2</v>
      </c>
      <c r="Q365" s="305">
        <f t="shared" si="130"/>
        <v>0.7</v>
      </c>
      <c r="R365" s="177">
        <f t="shared" si="131"/>
        <v>0.59996214348897459</v>
      </c>
      <c r="S365" s="817">
        <f t="shared" si="132"/>
        <v>0</v>
      </c>
      <c r="T365" s="176">
        <f t="shared" si="133"/>
        <v>6</v>
      </c>
      <c r="U365" s="251">
        <f t="shared" si="134"/>
        <v>0.59996214348897459</v>
      </c>
      <c r="V365" s="383">
        <f t="shared" si="135"/>
        <v>9.804706977020837</v>
      </c>
      <c r="W365" s="402">
        <f t="shared" si="136"/>
        <v>1.7189000600196054</v>
      </c>
      <c r="X365" s="157">
        <f t="shared" si="137"/>
        <v>45642</v>
      </c>
      <c r="Y365" s="385">
        <f t="shared" si="138"/>
        <v>1.6480711074331662</v>
      </c>
      <c r="Z365" s="385">
        <f t="shared" si="139"/>
        <v>1.7382782398293191</v>
      </c>
      <c r="AA365" s="386">
        <f t="shared" si="140"/>
        <v>1.9912071782866612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0.12702291414747482</v>
      </c>
      <c r="AD365" s="231">
        <f>(INDEX(Models!$BJ365:$BT365,,AH365)*(1-AF365)+INDEX(Models!$BJ365:$BT365,,AH365+1)*AF365-ERP_i)*AE365*Ramure*Pc/MaxiM</f>
        <v>5.7213592138251827E-2</v>
      </c>
      <c r="AE365" s="305">
        <f t="shared" si="142"/>
        <v>0.7</v>
      </c>
      <c r="AF365" s="177">
        <f t="shared" si="143"/>
        <v>0.59996214348897459</v>
      </c>
      <c r="AG365" s="817">
        <f t="shared" si="149"/>
        <v>0</v>
      </c>
      <c r="AH365" s="176">
        <f t="shared" si="144"/>
        <v>6</v>
      </c>
      <c r="AI365" s="225">
        <f t="shared" si="145"/>
        <v>0.59996214348897459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45643</v>
      </c>
      <c r="B366" s="411">
        <f>'2023'!Wh/'2023'!Env_an*'2024'!Env_an</f>
        <v>9.1702486409818125</v>
      </c>
      <c r="C366" s="846"/>
      <c r="D366" s="393">
        <f t="shared" si="127"/>
        <v>9.6723938298657632</v>
      </c>
      <c r="E366" s="385">
        <f t="shared" si="150"/>
        <v>10.624015989820551</v>
      </c>
      <c r="F366" s="385">
        <f t="shared" si="128"/>
        <v>11.197695279616417</v>
      </c>
      <c r="G366" s="110">
        <f t="shared" si="151"/>
        <v>0.92570396574206792</v>
      </c>
      <c r="H366" s="414" t="b">
        <f>Wh_hp&gt;='2023'!Maxi_hp</f>
        <v>0</v>
      </c>
      <c r="I366" s="390">
        <f>IF(H366,Wh_hp,'2023'!Maxi_hp)</f>
        <v>11.681754622743613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5.1915296018392065E-2</v>
      </c>
      <c r="M366" s="850"/>
      <c r="N366" s="850"/>
      <c r="O366" s="48">
        <f>IF(t&lt;Tnet,'2023'!Resal+('2023'!Salim-'2023'!Resal)*(1-EXP(('2023'!Tnet-t)/('2023'!Tau_j))),Resal+(Salim-Resal)*(1-EXP((Tnet-t)/(Tau_j))))*Salcycl</f>
        <v>8.9572734158776535E-2</v>
      </c>
      <c r="P366" s="169">
        <f>(INDEX(Models!$BJ366:$BT366,,T366)*(1-R366)+INDEX(Models!$BJ366:$BT366,,T366+1)*R366-ERP_i)*Q366*Ramure*Pc/MaxiM</f>
        <v>5.6817386467685624E-2</v>
      </c>
      <c r="Q366" s="305">
        <f t="shared" si="130"/>
        <v>0.7</v>
      </c>
      <c r="R366" s="177">
        <f t="shared" si="131"/>
        <v>0.59997033210864381</v>
      </c>
      <c r="S366" s="817">
        <f t="shared" si="132"/>
        <v>0</v>
      </c>
      <c r="T366" s="176">
        <f t="shared" si="133"/>
        <v>6</v>
      </c>
      <c r="U366" s="251">
        <f t="shared" si="134"/>
        <v>0.59997033210864381</v>
      </c>
      <c r="V366" s="383">
        <f t="shared" si="135"/>
        <v>9.8479243263215945</v>
      </c>
      <c r="W366" s="402">
        <f t="shared" si="136"/>
        <v>9.1702486409818125</v>
      </c>
      <c r="X366" s="157">
        <f t="shared" si="137"/>
        <v>45643</v>
      </c>
      <c r="Y366" s="385">
        <f t="shared" si="138"/>
        <v>8.7929149257551167</v>
      </c>
      <c r="Z366" s="385">
        <f t="shared" si="139"/>
        <v>9.2743980456894839</v>
      </c>
      <c r="AA366" s="386">
        <f t="shared" si="140"/>
        <v>10.624015989820551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0.12703463035298612</v>
      </c>
      <c r="AD366" s="231">
        <f>(INDEX(Models!$BJ366:$BT366,,AH366)*(1-AF366)+INDEX(Models!$BJ366:$BT366,,AH366+1)*AF366-ERP_i)*AE366*Ramure*Pc/MaxiM</f>
        <v>5.6817386467685624E-2</v>
      </c>
      <c r="AE366" s="305">
        <f t="shared" si="142"/>
        <v>0.7</v>
      </c>
      <c r="AF366" s="177">
        <f t="shared" si="143"/>
        <v>0.59997033210864381</v>
      </c>
      <c r="AG366" s="817">
        <f t="shared" si="149"/>
        <v>0</v>
      </c>
      <c r="AH366" s="176">
        <f t="shared" si="144"/>
        <v>6</v>
      </c>
      <c r="AI366" s="225">
        <f t="shared" si="145"/>
        <v>0.59997033210864381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45644</v>
      </c>
      <c r="B367" s="411">
        <f>'2023'!Wh/'2023'!Env_an*'2024'!Env_an</f>
        <v>9.1596991854334</v>
      </c>
      <c r="C367" s="846"/>
      <c r="D367" s="393">
        <f t="shared" si="127"/>
        <v>9.6614783175799577</v>
      </c>
      <c r="E367" s="385">
        <f t="shared" si="150"/>
        <v>10.612823308474656</v>
      </c>
      <c r="F367" s="385">
        <f t="shared" si="128"/>
        <v>11.176206093610292</v>
      </c>
      <c r="G367" s="110">
        <f t="shared" si="151"/>
        <v>0.91953521660699078</v>
      </c>
      <c r="H367" s="414" t="b">
        <f>Wh_hp&gt;='2023'!Maxi_hp</f>
        <v>0</v>
      </c>
      <c r="I367" s="390">
        <f>IF(H367,Wh_hp,'2023'!Maxi_hp)</f>
        <v>11.859161695286367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5.1936061506604458E-2</v>
      </c>
      <c r="M367" s="850"/>
      <c r="N367" s="850"/>
      <c r="O367" s="48">
        <f>IF(t&lt;Tnet,'2023'!Resal+('2023'!Salim-'2023'!Resal)*(1-EXP(('2023'!Tnet-t)/('2023'!Tau_j))),Resal+(Salim-Resal)*(1-EXP((Tnet-t)/(Tau_j))))*Salcycl</f>
        <v>8.9641084492099371E-2</v>
      </c>
      <c r="P367" s="169">
        <f>(INDEX(Models!$BJ367:$BT367,,T367)*(1-R367)+INDEX(Models!$BJ367:$BT367,,T367+1)*R367-ERP_i)*Q367*Ramure*Pc/MaxiM</f>
        <v>5.6422526717281235E-2</v>
      </c>
      <c r="Q367" s="305">
        <f t="shared" si="130"/>
        <v>0.7</v>
      </c>
      <c r="R367" s="177">
        <f t="shared" si="131"/>
        <v>0.5999781912826101</v>
      </c>
      <c r="S367" s="817">
        <f t="shared" si="132"/>
        <v>0</v>
      </c>
      <c r="T367" s="176">
        <f t="shared" si="133"/>
        <v>6</v>
      </c>
      <c r="U367" s="251">
        <f t="shared" si="134"/>
        <v>0.5999781912826101</v>
      </c>
      <c r="V367" s="383">
        <f t="shared" si="135"/>
        <v>9.8981464826291941</v>
      </c>
      <c r="W367" s="402">
        <f t="shared" si="136"/>
        <v>9.1596991854334</v>
      </c>
      <c r="X367" s="157">
        <f t="shared" si="137"/>
        <v>45644</v>
      </c>
      <c r="Y367" s="385">
        <f t="shared" si="138"/>
        <v>8.7833297451690076</v>
      </c>
      <c r="Z367" s="385">
        <f t="shared" si="139"/>
        <v>9.2644909151664709</v>
      </c>
      <c r="AA367" s="386">
        <f t="shared" si="140"/>
        <v>10.612823308474656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0.12704747399605737</v>
      </c>
      <c r="AD367" s="231">
        <f>(INDEX(Models!$BJ367:$BT367,,AH367)*(1-AF367)+INDEX(Models!$BJ367:$BT367,,AH367+1)*AF367-ERP_i)*AE367*Ramure*Pc/MaxiM</f>
        <v>5.6422526717281235E-2</v>
      </c>
      <c r="AE367" s="305">
        <f t="shared" si="142"/>
        <v>0.7</v>
      </c>
      <c r="AF367" s="177">
        <f t="shared" si="143"/>
        <v>0.5999781912826101</v>
      </c>
      <c r="AG367" s="817">
        <f t="shared" si="149"/>
        <v>0</v>
      </c>
      <c r="AH367" s="176">
        <f t="shared" si="144"/>
        <v>6</v>
      </c>
      <c r="AI367" s="225">
        <f t="shared" si="145"/>
        <v>0.5999781912826101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45645</v>
      </c>
      <c r="B368" s="411">
        <f>'2023'!Wh/'2023'!Env_an*'2024'!Env_an</f>
        <v>2.3633773811029641</v>
      </c>
      <c r="C368" s="846"/>
      <c r="D368" s="393">
        <f t="shared" si="127"/>
        <v>2.4929005843452536</v>
      </c>
      <c r="E368" s="385">
        <f t="shared" si="150"/>
        <v>2.7385787025943182</v>
      </c>
      <c r="F368" s="385">
        <f t="shared" si="128"/>
        <v>2.7385787025943182</v>
      </c>
      <c r="G368" s="110">
        <f t="shared" si="151"/>
        <v>0.22411727616192692</v>
      </c>
      <c r="H368" s="414" t="b">
        <f>Wh_hp&gt;='2023'!Maxi_hp</f>
        <v>0</v>
      </c>
      <c r="I368" s="390">
        <f>IF(H368,Wh_hp,'2023'!Maxi_hp)</f>
        <v>10.857367407751404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5.1956826539999446E-2</v>
      </c>
      <c r="M368" s="850"/>
      <c r="N368" s="850"/>
      <c r="O368" s="48">
        <f>IF(t&lt;Tnet,'2023'!Resal+('2023'!Salim-'2023'!Resal)*(1-EXP(('2023'!Tnet-t)/('2023'!Tau_j))),Resal+(Salim-Resal)*(1-EXP((Tnet-t)/(Tau_j))))*Salcycl</f>
        <v>8.9710081370430669E-2</v>
      </c>
      <c r="P368" s="169">
        <f>(INDEX(Models!$BJ368:$BT368,,T368)*(1-R368)+INDEX(Models!$BJ368:$BT368,,T368+1)*R368-ERP_i)*Q368*Ramure*Pc/MaxiM</f>
        <v>5.6035060514440717E-2</v>
      </c>
      <c r="Q368" s="305">
        <f t="shared" si="130"/>
        <v>0.7</v>
      </c>
      <c r="R368" s="177">
        <f t="shared" si="131"/>
        <v>0.59998573425544843</v>
      </c>
      <c r="S368" s="817">
        <f t="shared" si="132"/>
        <v>0</v>
      </c>
      <c r="T368" s="176">
        <f t="shared" si="133"/>
        <v>6</v>
      </c>
      <c r="U368" s="251">
        <f t="shared" si="134"/>
        <v>0.59998573425544843</v>
      </c>
      <c r="V368" s="383">
        <f t="shared" si="135"/>
        <v>9.9543659674077034</v>
      </c>
      <c r="W368" s="402">
        <f t="shared" si="136"/>
        <v>2.3633773811029641</v>
      </c>
      <c r="X368" s="157">
        <f t="shared" si="137"/>
        <v>45645</v>
      </c>
      <c r="Y368" s="385">
        <f t="shared" si="138"/>
        <v>2.2664025795927483</v>
      </c>
      <c r="Z368" s="385">
        <f t="shared" si="139"/>
        <v>2.3906111483522765</v>
      </c>
      <c r="AA368" s="386">
        <f t="shared" si="140"/>
        <v>2.7385787025943182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0.12706136723856207</v>
      </c>
      <c r="AD368" s="231">
        <f>(INDEX(Models!$BJ368:$BT368,,AH368)*(1-AF368)+INDEX(Models!$BJ368:$BT368,,AH368+1)*AF368-ERP_i)*AE368*Ramure*Pc/MaxiM</f>
        <v>5.6035060514440717E-2</v>
      </c>
      <c r="AE368" s="305">
        <f t="shared" si="142"/>
        <v>0.7</v>
      </c>
      <c r="AF368" s="177">
        <f t="shared" si="143"/>
        <v>0.59998573425544843</v>
      </c>
      <c r="AG368" s="817">
        <f t="shared" si="149"/>
        <v>0</v>
      </c>
      <c r="AH368" s="176">
        <f t="shared" si="144"/>
        <v>6</v>
      </c>
      <c r="AI368" s="225">
        <f t="shared" si="145"/>
        <v>0.59998573425544843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45646</v>
      </c>
      <c r="B369" s="411">
        <f>'2023'!Wh/'2023'!Env_an*'2024'!Env_an</f>
        <v>8.3563684324661587</v>
      </c>
      <c r="C369" s="846"/>
      <c r="D369" s="393">
        <f t="shared" si="127"/>
        <v>8.8145262750972027</v>
      </c>
      <c r="E369" s="385">
        <f t="shared" si="150"/>
        <v>9.6839479503415262</v>
      </c>
      <c r="F369" s="385">
        <f t="shared" si="128"/>
        <v>10.113657312024225</v>
      </c>
      <c r="G369" s="110">
        <f t="shared" si="151"/>
        <v>0.82285913747028527</v>
      </c>
      <c r="H369" s="414" t="b">
        <f>Wh_hp&gt;='2023'!Maxi_hp</f>
        <v>0</v>
      </c>
      <c r="I369" s="390">
        <f>IF(H369,Wh_hp,'2023'!Maxi_hp)</f>
        <v>10.896065094329265</v>
      </c>
      <c r="J369" s="85">
        <f>IF(H369,An,'2023'!An_max)</f>
        <v>2021</v>
      </c>
      <c r="K369" s="197">
        <f t="shared" si="129"/>
        <v>45646</v>
      </c>
      <c r="L369" s="147">
        <f>IF(t&lt;Tvie,1-EXP((T0-t)*PertePVj)+'2023'!Pspv,1-EXP((T0-t)*PertePVj)+Pspv)</f>
        <v>5.1977591118586908E-2</v>
      </c>
      <c r="M369" s="850"/>
      <c r="N369" s="850"/>
      <c r="O369" s="48">
        <f>IF(t&lt;Tnet,'2023'!Resal+('2023'!Salim-'2023'!Resal)*(1-EXP(('2023'!Tnet-t)/('2023'!Tau_j))),Resal+(Salim-Resal)*(1-EXP((Tnet-t)/(Tau_j))))*Salcycl</f>
        <v>8.9779672474763914E-2</v>
      </c>
      <c r="P369" s="169">
        <f>(INDEX(Models!$BJ369:$BT369,,T369)*(1-R369)+INDEX(Models!$BJ369:$BT369,,T369+1)*R369-ERP_i)*Q369*Ramure*Pc/MaxiM</f>
        <v>5.5660757402632259E-2</v>
      </c>
      <c r="Q369" s="305">
        <f t="shared" si="130"/>
        <v>0.7</v>
      </c>
      <c r="R369" s="177">
        <f t="shared" si="131"/>
        <v>0.59999297374003535</v>
      </c>
      <c r="S369" s="817">
        <f t="shared" si="132"/>
        <v>0</v>
      </c>
      <c r="T369" s="176">
        <f t="shared" si="133"/>
        <v>6</v>
      </c>
      <c r="U369" s="251">
        <f t="shared" si="134"/>
        <v>0.59999297374003535</v>
      </c>
      <c r="V369" s="383">
        <f t="shared" si="135"/>
        <v>10.015575488168366</v>
      </c>
      <c r="W369" s="402">
        <f t="shared" si="136"/>
        <v>8.3563684324661587</v>
      </c>
      <c r="X369" s="157">
        <f t="shared" si="137"/>
        <v>45646</v>
      </c>
      <c r="Y369" s="385">
        <f t="shared" si="138"/>
        <v>8.0139636352875829</v>
      </c>
      <c r="Z369" s="385">
        <f t="shared" si="139"/>
        <v>8.4533483177295228</v>
      </c>
      <c r="AA369" s="386">
        <f t="shared" si="140"/>
        <v>9.6839479503415262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0.12707623367271442</v>
      </c>
      <c r="AD369" s="231">
        <f>(INDEX(Models!$BJ369:$BT369,,AH369)*(1-AF369)+INDEX(Models!$BJ369:$BT369,,AH369+1)*AF369-ERP_i)*AE369*Ramure*Pc/MaxiM</f>
        <v>5.5660757402632259E-2</v>
      </c>
      <c r="AE369" s="305">
        <f t="shared" si="142"/>
        <v>0.7</v>
      </c>
      <c r="AF369" s="177">
        <f t="shared" si="143"/>
        <v>0.59999297374003535</v>
      </c>
      <c r="AG369" s="817">
        <f t="shared" si="149"/>
        <v>0</v>
      </c>
      <c r="AH369" s="176">
        <f t="shared" si="144"/>
        <v>6</v>
      </c>
      <c r="AI369" s="225">
        <f t="shared" si="145"/>
        <v>0.59999297374003535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45647</v>
      </c>
      <c r="B370" s="411">
        <f>'2023'!Wh/'2023'!Env_an*'2024'!Env_an</f>
        <v>9.4204521828032348</v>
      </c>
      <c r="C370" s="846"/>
      <c r="D370" s="393">
        <f t="shared" si="127"/>
        <v>9.9371686060858817</v>
      </c>
      <c r="E370" s="385">
        <f t="shared" si="150"/>
        <v>10.91816348391246</v>
      </c>
      <c r="F370" s="385">
        <f t="shared" si="128"/>
        <v>11.494375591139912</v>
      </c>
      <c r="G370" s="110">
        <f t="shared" si="151"/>
        <v>0.92940605296631085</v>
      </c>
      <c r="H370" s="414" t="b">
        <f>Wh_hp&gt;='2023'!Maxi_hp</f>
        <v>0</v>
      </c>
      <c r="I370" s="390">
        <f>IF(H370,Wh_hp,'2023'!Maxi_hp)</f>
        <v>12.677093484896854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5.1998355242376726E-2</v>
      </c>
      <c r="M370" s="850"/>
      <c r="N370" s="850"/>
      <c r="O370" s="48">
        <f>IF(t&lt;Tnet,'2023'!Resal+('2023'!Salim-'2023'!Resal)*(1-EXP(('2023'!Tnet-t)/('2023'!Tau_j))),Resal+(Salim-Resal)*(1-EXP((Tnet-t)/(Tau_j))))*Salcycl</f>
        <v>8.9849806633875748E-2</v>
      </c>
      <c r="P370" s="169">
        <f>(INDEX(Models!$BJ370:$BT370,,T370)*(1-R370)+INDEX(Models!$BJ370:$BT370,,T370+1)*R370-ERP_i)*Q370*Ramure*Pc/MaxiM</f>
        <v>5.5305094327732708E-2</v>
      </c>
      <c r="Q370" s="305">
        <f t="shared" si="130"/>
        <v>0.7</v>
      </c>
      <c r="R370" s="177">
        <f t="shared" si="131"/>
        <v>0.59999992193883256</v>
      </c>
      <c r="S370" s="817">
        <f t="shared" si="132"/>
        <v>0</v>
      </c>
      <c r="T370" s="176">
        <f t="shared" si="133"/>
        <v>6</v>
      </c>
      <c r="U370" s="251">
        <f t="shared" si="134"/>
        <v>0.59999992193883256</v>
      </c>
      <c r="V370" s="383">
        <f t="shared" si="135"/>
        <v>10.080767940762092</v>
      </c>
      <c r="W370" s="402">
        <f t="shared" si="136"/>
        <v>9.4204521828032348</v>
      </c>
      <c r="X370" s="157">
        <f t="shared" si="137"/>
        <v>45647</v>
      </c>
      <c r="Y370" s="385">
        <f t="shared" si="138"/>
        <v>9.0349792220580589</v>
      </c>
      <c r="Z370" s="385">
        <f t="shared" si="139"/>
        <v>9.5305522643560838</v>
      </c>
      <c r="AA370" s="386">
        <f t="shared" si="140"/>
        <v>10.91816348391246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0.12709199872313462</v>
      </c>
      <c r="AD370" s="231">
        <f>(INDEX(Models!$BJ370:$BT370,,AH370)*(1-AF370)+INDEX(Models!$BJ370:$BT370,,AH370+1)*AF370-ERP_i)*AE370*Ramure*Pc/MaxiM</f>
        <v>5.5305094327732708E-2</v>
      </c>
      <c r="AE370" s="305">
        <f t="shared" si="142"/>
        <v>0.7</v>
      </c>
      <c r="AF370" s="177">
        <f t="shared" si="143"/>
        <v>0.59999992193883256</v>
      </c>
      <c r="AG370" s="817">
        <f t="shared" si="149"/>
        <v>0</v>
      </c>
      <c r="AH370" s="176">
        <f t="shared" si="144"/>
        <v>6</v>
      </c>
      <c r="AI370" s="225">
        <f t="shared" si="145"/>
        <v>0.59999992193883256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45648</v>
      </c>
      <c r="B371" s="411">
        <f>'2023'!Wh/'2023'!Env_an*'2024'!Env_an</f>
        <v>9.2831413018559221</v>
      </c>
      <c r="C371" s="846"/>
      <c r="D371" s="393">
        <f t="shared" si="127"/>
        <v>9.7925406377347581</v>
      </c>
      <c r="E371" s="385">
        <f t="shared" si="150"/>
        <v>10.760092858446001</v>
      </c>
      <c r="F371" s="385">
        <f t="shared" si="128"/>
        <v>11.305867811087049</v>
      </c>
      <c r="G371" s="110">
        <f t="shared" si="151"/>
        <v>0.90825210635812526</v>
      </c>
      <c r="H371" s="414" t="b">
        <f>Wh_hp&gt;='2023'!Maxi_hp</f>
        <v>0</v>
      </c>
      <c r="I371" s="390">
        <f>IF(H371,Wh_hp,'2023'!Maxi_hp)</f>
        <v>11.766325638958318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5.2019118911379003E-2</v>
      </c>
      <c r="M371" s="850"/>
      <c r="N371" s="850"/>
      <c r="O371" s="48">
        <f>IF(t&lt;Tnet,'2023'!Resal+('2023'!Salim-'2023'!Resal)*(1-EXP(('2023'!Tnet-t)/('2023'!Tau_j))),Resal+(Salim-Resal)*(1-EXP((Tnet-t)/(Tau_j))))*Salcycl</f>
        <v>8.9920434092887427E-2</v>
      </c>
      <c r="P371" s="169">
        <f>(INDEX(Models!$BJ371:$BT371,,T371)*(1-R371)+INDEX(Models!$BJ371:$BT371,,T371+1)*R371-ERP_i)*Q371*Ramure*Pc/MaxiM</f>
        <v>5.4973184441484309E-2</v>
      </c>
      <c r="Q371" s="305">
        <f t="shared" si="130"/>
        <v>0.7</v>
      </c>
      <c r="R371" s="177">
        <f t="shared" si="131"/>
        <v>0.59999992193883256</v>
      </c>
      <c r="S371" s="817">
        <f t="shared" si="132"/>
        <v>0</v>
      </c>
      <c r="T371" s="176">
        <f t="shared" si="133"/>
        <v>6</v>
      </c>
      <c r="U371" s="251">
        <f t="shared" si="134"/>
        <v>0.59999992193883256</v>
      </c>
      <c r="V371" s="383">
        <f t="shared" si="135"/>
        <v>10.148937158691108</v>
      </c>
      <c r="W371" s="402">
        <f t="shared" si="136"/>
        <v>9.2831413018559221</v>
      </c>
      <c r="X371" s="157">
        <f t="shared" si="137"/>
        <v>45648</v>
      </c>
      <c r="Y371" s="385">
        <f t="shared" si="138"/>
        <v>8.9038086378173134</v>
      </c>
      <c r="Z371" s="385">
        <f t="shared" si="139"/>
        <v>9.3923926267295155</v>
      </c>
      <c r="AA371" s="386">
        <f t="shared" si="140"/>
        <v>10.760092858446001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0.12710859001954858</v>
      </c>
      <c r="AD371" s="231">
        <f>(INDEX(Models!$BJ371:$BT371,,AH371)*(1-AF371)+INDEX(Models!$BJ371:$BT371,,AH371+1)*AF371-ERP_i)*AE371*Ramure*Pc/MaxiM</f>
        <v>5.4973184441484309E-2</v>
      </c>
      <c r="AE371" s="305">
        <f t="shared" si="142"/>
        <v>0.7</v>
      </c>
      <c r="AF371" s="177">
        <f t="shared" si="143"/>
        <v>0.59999992193883256</v>
      </c>
      <c r="AG371" s="817">
        <f t="shared" si="149"/>
        <v>0</v>
      </c>
      <c r="AH371" s="176">
        <f t="shared" si="144"/>
        <v>6</v>
      </c>
      <c r="AI371" s="225">
        <f t="shared" si="145"/>
        <v>0.59999992193883256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45649</v>
      </c>
      <c r="B372" s="411">
        <f>'2023'!Wh/'2023'!Env_an*'2024'!Env_an</f>
        <v>9.4891492743074757</v>
      </c>
      <c r="C372" s="846"/>
      <c r="D372" s="393">
        <f t="shared" si="127"/>
        <v>10.010072254500455</v>
      </c>
      <c r="E372" s="385">
        <f t="shared" si="150"/>
        <v>10.999976735234382</v>
      </c>
      <c r="F372" s="385">
        <f t="shared" si="128"/>
        <v>11.567859215766431</v>
      </c>
      <c r="G372" s="110">
        <f t="shared" si="151"/>
        <v>0.92312461822171621</v>
      </c>
      <c r="H372" s="414" t="b">
        <f>Wh_hp&gt;='2023'!Maxi_hp</f>
        <v>0</v>
      </c>
      <c r="I372" s="390">
        <f>IF(H372,Wh_hp,'2023'!Maxi_hp)</f>
        <v>11.585601604209947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5.2039882125603731E-2</v>
      </c>
      <c r="M372" s="850"/>
      <c r="N372" s="850"/>
      <c r="O372" s="48">
        <f>IF(t&lt;Tnet,'2023'!Resal+('2023'!Salim-'2023'!Resal)*(1-EXP(('2023'!Tnet-t)/('2023'!Tau_j))),Resal+(Salim-Resal)*(1-EXP((Tnet-t)/(Tau_j))))*Salcycl</f>
        <v>8.9991506760476292E-2</v>
      </c>
      <c r="P372" s="169">
        <f>(INDEX(Models!$BJ372:$BT372,,T372)*(1-R372)+INDEX(Models!$BJ372:$BT372,,T372+1)*R372-ERP_i)*Q372*Ramure*Pc/MaxiM</f>
        <v>5.466991783862625E-2</v>
      </c>
      <c r="Q372" s="305">
        <f t="shared" si="130"/>
        <v>0.7</v>
      </c>
      <c r="R372" s="177">
        <f t="shared" si="131"/>
        <v>0.59999992193883256</v>
      </c>
      <c r="S372" s="817">
        <f t="shared" si="132"/>
        <v>0</v>
      </c>
      <c r="T372" s="176">
        <f t="shared" si="133"/>
        <v>6</v>
      </c>
      <c r="U372" s="251">
        <f t="shared" si="134"/>
        <v>0.59999992193883256</v>
      </c>
      <c r="V372" s="383">
        <f t="shared" si="135"/>
        <v>10.219076530395782</v>
      </c>
      <c r="W372" s="402">
        <f t="shared" si="136"/>
        <v>9.4891492743074757</v>
      </c>
      <c r="X372" s="157">
        <f t="shared" si="137"/>
        <v>45649</v>
      </c>
      <c r="Y372" s="385">
        <f t="shared" si="138"/>
        <v>9.1019285380406547</v>
      </c>
      <c r="Z372" s="385">
        <f t="shared" si="139"/>
        <v>9.6015943776725958</v>
      </c>
      <c r="AA372" s="386">
        <f t="shared" si="140"/>
        <v>10.999976735234382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0.12712593773790276</v>
      </c>
      <c r="AD372" s="231">
        <f>(INDEX(Models!$BJ372:$BT372,,AH372)*(1-AF372)+INDEX(Models!$BJ372:$BT372,,AH372+1)*AF372-ERP_i)*AE372*Ramure*Pc/MaxiM</f>
        <v>5.466991783862625E-2</v>
      </c>
      <c r="AE372" s="305">
        <f t="shared" si="142"/>
        <v>0.7</v>
      </c>
      <c r="AF372" s="177">
        <f t="shared" si="143"/>
        <v>0.59999992193883256</v>
      </c>
      <c r="AG372" s="817">
        <f t="shared" si="149"/>
        <v>0</v>
      </c>
      <c r="AH372" s="176">
        <f t="shared" si="144"/>
        <v>6</v>
      </c>
      <c r="AI372" s="225">
        <f t="shared" si="145"/>
        <v>0.59999992193883256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45650</v>
      </c>
      <c r="B373" s="411">
        <f>'2023'!Wh/'2023'!Env_an*'2024'!Env_an</f>
        <v>5.6580752082704056</v>
      </c>
      <c r="C373" s="846"/>
      <c r="D373" s="393">
        <f t="shared" si="127"/>
        <v>5.9688155974749604</v>
      </c>
      <c r="E373" s="385">
        <f t="shared" si="150"/>
        <v>6.5595919893421941</v>
      </c>
      <c r="F373" s="385">
        <f t="shared" si="128"/>
        <v>6.6893463698889901</v>
      </c>
      <c r="G373" s="110">
        <f t="shared" si="151"/>
        <v>0.53006260051120591</v>
      </c>
      <c r="H373" s="414" t="b">
        <f>Wh_hp&gt;='2023'!Maxi_hp</f>
        <v>0</v>
      </c>
      <c r="I373" s="390">
        <f>IF(H373,Wh_hp,'2023'!Maxi_hp)</f>
        <v>7.2647215358617787</v>
      </c>
      <c r="J373" s="85">
        <f>IF(H373,An,'2023'!An_max)</f>
        <v>2018</v>
      </c>
      <c r="K373" s="197">
        <f t="shared" si="129"/>
        <v>45650</v>
      </c>
      <c r="L373" s="147">
        <f>IF(t&lt;Tvie,1-EXP((T0-t)*PertePVj)+'2023'!Pspv,1-EXP((T0-t)*PertePVj)+Pspv)</f>
        <v>5.2060644885060681E-2</v>
      </c>
      <c r="M373" s="850"/>
      <c r="N373" s="850"/>
      <c r="O373" s="48">
        <f>IF(t&lt;Tnet,'2023'!Resal+('2023'!Salim-'2023'!Resal)*(1-EXP(('2023'!Tnet-t)/('2023'!Tau_j))),Resal+(Salim-Resal)*(1-EXP((Tnet-t)/(Tau_j))))*Salcycl</f>
        <v>9.0062978433278762E-2</v>
      </c>
      <c r="P373" s="169">
        <f>(INDEX(Models!$BJ373:$BT373,,T373)*(1-R373)+INDEX(Models!$BJ373:$BT373,,T373+1)*R373-ERP_i)*Q373*Ramure*Pc/MaxiM</f>
        <v>5.4383028612456065E-2</v>
      </c>
      <c r="Q373" s="305">
        <f t="shared" si="130"/>
        <v>0.7</v>
      </c>
      <c r="R373" s="177">
        <f t="shared" si="131"/>
        <v>0.59999992193883256</v>
      </c>
      <c r="S373" s="817">
        <f t="shared" si="132"/>
        <v>0</v>
      </c>
      <c r="T373" s="176">
        <f t="shared" si="133"/>
        <v>6</v>
      </c>
      <c r="U373" s="251">
        <f t="shared" si="134"/>
        <v>0.59999992193883256</v>
      </c>
      <c r="V373" s="383">
        <f t="shared" si="135"/>
        <v>10.293514206352295</v>
      </c>
      <c r="W373" s="402">
        <f t="shared" si="136"/>
        <v>5.6580752082704056</v>
      </c>
      <c r="X373" s="157">
        <f t="shared" si="137"/>
        <v>45650</v>
      </c>
      <c r="Y373" s="385">
        <f t="shared" si="138"/>
        <v>5.4275020346563947</v>
      </c>
      <c r="Z373" s="385">
        <f t="shared" si="139"/>
        <v>5.7255793900426264</v>
      </c>
      <c r="AA373" s="386">
        <f t="shared" si="140"/>
        <v>6.5595919893421941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0.1271439749079887</v>
      </c>
      <c r="AD373" s="231">
        <f>(INDEX(Models!$BJ373:$BT373,,AH373)*(1-AF373)+INDEX(Models!$BJ373:$BT373,,AH373+1)*AF373-ERP_i)*AE373*Ramure*Pc/MaxiM</f>
        <v>5.4383028612456065E-2</v>
      </c>
      <c r="AE373" s="305">
        <f t="shared" si="142"/>
        <v>0.7</v>
      </c>
      <c r="AF373" s="177">
        <f t="shared" si="143"/>
        <v>0.59999992193883256</v>
      </c>
      <c r="AG373" s="817">
        <f t="shared" si="149"/>
        <v>0</v>
      </c>
      <c r="AH373" s="176">
        <f t="shared" si="144"/>
        <v>6</v>
      </c>
      <c r="AI373" s="225">
        <f t="shared" si="145"/>
        <v>0.59999992193883256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45651</v>
      </c>
      <c r="B374" s="411">
        <f>'2023'!Wh/'2023'!Env_an*'2024'!Env_an</f>
        <v>9.7881787234415594</v>
      </c>
      <c r="C374" s="846"/>
      <c r="D374" s="393">
        <f t="shared" si="127"/>
        <v>10.325969759094084</v>
      </c>
      <c r="E374" s="385">
        <f t="shared" si="150"/>
        <v>11.348900711661544</v>
      </c>
      <c r="F374" s="385">
        <f t="shared" si="128"/>
        <v>11.942782928703753</v>
      </c>
      <c r="G374" s="110">
        <f t="shared" si="151"/>
        <v>0.93909760145546128</v>
      </c>
      <c r="H374" s="414" t="b">
        <f>Wh_hp&gt;='2023'!Maxi_hp</f>
        <v>0</v>
      </c>
      <c r="I374" s="390">
        <f>IF(H374,Wh_hp,'2023'!Maxi_hp)</f>
        <v>12.958648457601393</v>
      </c>
      <c r="J374" s="85">
        <f>IF(H374,An,'2023'!An_max)</f>
        <v>2018</v>
      </c>
      <c r="K374" s="197">
        <f t="shared" si="129"/>
        <v>45651</v>
      </c>
      <c r="L374" s="147">
        <f>IF(t&lt;Tvie,1-EXP((T0-t)*PertePVj)+'2023'!Pspv,1-EXP((T0-t)*PertePVj)+Pspv)</f>
        <v>5.2081407189759843E-2</v>
      </c>
      <c r="M374" s="850"/>
      <c r="N374" s="850"/>
      <c r="O374" s="48">
        <f>IF(t&lt;Tnet,'2023'!Resal+('2023'!Salim-'2023'!Resal)*(1-EXP(('2023'!Tnet-t)/('2023'!Tau_j))),Resal+(Salim-Resal)*(1-EXP((Tnet-t)/(Tau_j))))*Salcycl</f>
        <v>9.0134804996253967E-2</v>
      </c>
      <c r="P374" s="169">
        <f>(INDEX(Models!$BJ374:$BT374,,T374)*(1-R374)+INDEX(Models!$BJ374:$BT374,,T374+1)*R374-ERP_i)*Q374*Ramure*Pc/MaxiM</f>
        <v>5.4098651503317531E-2</v>
      </c>
      <c r="Q374" s="305">
        <f t="shared" si="130"/>
        <v>0.7</v>
      </c>
      <c r="R374" s="177">
        <f t="shared" si="131"/>
        <v>0.59999992193883256</v>
      </c>
      <c r="S374" s="817">
        <f t="shared" si="132"/>
        <v>0</v>
      </c>
      <c r="T374" s="176">
        <f t="shared" si="133"/>
        <v>6</v>
      </c>
      <c r="U374" s="251">
        <f t="shared" si="134"/>
        <v>0.59999992193883256</v>
      </c>
      <c r="V374" s="383">
        <f t="shared" si="135"/>
        <v>10.375015304559078</v>
      </c>
      <c r="W374" s="402">
        <f t="shared" si="136"/>
        <v>9.7881787234415594</v>
      </c>
      <c r="X374" s="157">
        <f t="shared" si="137"/>
        <v>45651</v>
      </c>
      <c r="Y374" s="385">
        <f t="shared" si="138"/>
        <v>9.3898394462616697</v>
      </c>
      <c r="Z374" s="385">
        <f t="shared" si="139"/>
        <v>9.9057445623301348</v>
      </c>
      <c r="AA374" s="386">
        <f t="shared" si="140"/>
        <v>11.348900711661544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0.12716263768600045</v>
      </c>
      <c r="AD374" s="231">
        <f>(INDEX(Models!$BJ374:$BT374,,AH374)*(1-AF374)+INDEX(Models!$BJ374:$BT374,,AH374+1)*AF374-ERP_i)*AE374*Ramure*Pc/MaxiM</f>
        <v>5.4098651503317531E-2</v>
      </c>
      <c r="AE374" s="305">
        <f t="shared" si="142"/>
        <v>0.7</v>
      </c>
      <c r="AF374" s="177">
        <f t="shared" si="143"/>
        <v>0.59999992193883256</v>
      </c>
      <c r="AG374" s="817">
        <f t="shared" si="149"/>
        <v>0</v>
      </c>
      <c r="AH374" s="176">
        <f t="shared" si="144"/>
        <v>6</v>
      </c>
      <c r="AI374" s="225">
        <f t="shared" si="145"/>
        <v>0.59999992193883256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45652</v>
      </c>
      <c r="B375" s="411">
        <f>'2023'!Wh/'2023'!Env_an*'2024'!Env_an</f>
        <v>3.7932150633925672</v>
      </c>
      <c r="C375" s="846"/>
      <c r="D375" s="393">
        <f t="shared" si="127"/>
        <v>4.0017129900484818</v>
      </c>
      <c r="E375" s="385">
        <f t="shared" si="150"/>
        <v>4.3984870694361726</v>
      </c>
      <c r="F375" s="385">
        <f t="shared" si="128"/>
        <v>4.419772511151427</v>
      </c>
      <c r="G375" s="110">
        <f t="shared" si="151"/>
        <v>0.34467720713260658</v>
      </c>
      <c r="H375" s="414" t="b">
        <f>Wh_hp&gt;='2023'!Maxi_hp</f>
        <v>0</v>
      </c>
      <c r="I375" s="390">
        <f>IF(H375,Wh_hp,'2023'!Maxi_hp)</f>
        <v>13.195050919032267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5.2102169039711321E-2</v>
      </c>
      <c r="M375" s="850"/>
      <c r="N375" s="850"/>
      <c r="O375" s="48">
        <f>IF(t&lt;Tnet,'2023'!Resal+('2023'!Salim-'2023'!Resal)*(1-EXP(('2023'!Tnet-t)/('2023'!Tau_j))),Resal+(Salim-Resal)*(1-EXP((Tnet-t)/(Tau_j))))*Salcycl</f>
        <v>9.0206944598009722E-2</v>
      </c>
      <c r="P375" s="169">
        <f>(INDEX(Models!$BJ375:$BT375,,T375)*(1-R375)+INDEX(Models!$BJ375:$BT375,,T375+1)*R375-ERP_i)*Q375*Ramure*Pc/MaxiM</f>
        <v>5.3890750768875194E-2</v>
      </c>
      <c r="Q375" s="305">
        <f t="shared" si="130"/>
        <v>0.7</v>
      </c>
      <c r="R375" s="177">
        <f t="shared" si="131"/>
        <v>0.59999992193883256</v>
      </c>
      <c r="S375" s="817">
        <f t="shared" si="132"/>
        <v>0</v>
      </c>
      <c r="T375" s="176">
        <f t="shared" si="133"/>
        <v>6</v>
      </c>
      <c r="U375" s="251">
        <f t="shared" si="134"/>
        <v>0.59999992193883256</v>
      </c>
      <c r="V375" s="383">
        <f t="shared" si="135"/>
        <v>10.462435325156946</v>
      </c>
      <c r="W375" s="402">
        <f t="shared" si="136"/>
        <v>3.7932150633925672</v>
      </c>
      <c r="X375" s="157">
        <f t="shared" si="137"/>
        <v>45652</v>
      </c>
      <c r="Y375" s="385">
        <f t="shared" si="138"/>
        <v>3.6390549206603575</v>
      </c>
      <c r="Z375" s="385">
        <f t="shared" si="139"/>
        <v>3.8390792781683372</v>
      </c>
      <c r="AA375" s="386">
        <f t="shared" si="140"/>
        <v>4.3984870694361726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0.12718186559078454</v>
      </c>
      <c r="AD375" s="231">
        <f>(INDEX(Models!$BJ375:$BT375,,AH375)*(1-AF375)+INDEX(Models!$BJ375:$BT375,,AH375+1)*AF375-ERP_i)*AE375*Ramure*Pc/MaxiM</f>
        <v>5.3890750768875194E-2</v>
      </c>
      <c r="AE375" s="305">
        <f t="shared" si="142"/>
        <v>0.7</v>
      </c>
      <c r="AF375" s="177">
        <f t="shared" si="143"/>
        <v>0.59999992193883256</v>
      </c>
      <c r="AG375" s="817">
        <f t="shared" si="149"/>
        <v>0</v>
      </c>
      <c r="AH375" s="176">
        <f t="shared" si="144"/>
        <v>6</v>
      </c>
      <c r="AI375" s="225">
        <f t="shared" si="145"/>
        <v>0.59999992193883256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45653</v>
      </c>
      <c r="B376" s="411">
        <f>'2023'!Wh/'2023'!Env_an*'2024'!Env_an</f>
        <v>10.31144035648693</v>
      </c>
      <c r="C376" s="846"/>
      <c r="D376" s="393">
        <f t="shared" si="127"/>
        <v>10.878457436699302</v>
      </c>
      <c r="E376" s="385">
        <f t="shared" si="150"/>
        <v>11.958019783299243</v>
      </c>
      <c r="F376" s="385">
        <f t="shared" si="128"/>
        <v>12.613511424249623</v>
      </c>
      <c r="G376" s="110">
        <f t="shared" si="151"/>
        <v>0.97503886022345032</v>
      </c>
      <c r="H376" s="414" t="b">
        <f>Wh_hp&gt;='2023'!Maxi_hp</f>
        <v>0</v>
      </c>
      <c r="I376" s="390">
        <f>IF(H376,Wh_hp,'2023'!Maxi_hp)</f>
        <v>12.61970257797199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5.2122930434925108E-2</v>
      </c>
      <c r="M376" s="850"/>
      <c r="N376" s="850"/>
      <c r="O376" s="48">
        <f>IF(t&lt;Tnet,'2023'!Resal+('2023'!Salim-'2023'!Resal)*(1-EXP(('2023'!Tnet-t)/('2023'!Tau_j))),Resal+(Salim-Resal)*(1-EXP((Tnet-t)/(Tau_j))))*Salcycl</f>
        <v>9.0279357800333707E-2</v>
      </c>
      <c r="P376" s="169">
        <f>(INDEX(Models!$BJ376:$BT376,,T376)*(1-R376)+INDEX(Models!$BJ376:$BT376,,T376+1)*R376-ERP_i)*Q376*Ramure*Pc/MaxiM</f>
        <v>5.3743345117971589E-2</v>
      </c>
      <c r="Q376" s="305">
        <f t="shared" si="130"/>
        <v>0.7</v>
      </c>
      <c r="R376" s="177">
        <f t="shared" si="131"/>
        <v>0.59999992193883256</v>
      </c>
      <c r="S376" s="817">
        <f t="shared" si="132"/>
        <v>0</v>
      </c>
      <c r="T376" s="176">
        <f t="shared" si="133"/>
        <v>6</v>
      </c>
      <c r="U376" s="251">
        <f t="shared" si="134"/>
        <v>0.59999992193883256</v>
      </c>
      <c r="V376" s="383">
        <f t="shared" si="135"/>
        <v>10.55560410499008</v>
      </c>
      <c r="W376" s="402">
        <f t="shared" si="136"/>
        <v>10.31144035648693</v>
      </c>
      <c r="X376" s="157">
        <f t="shared" si="137"/>
        <v>45653</v>
      </c>
      <c r="Y376" s="385">
        <f t="shared" si="138"/>
        <v>9.8929365893213639</v>
      </c>
      <c r="Z376" s="385">
        <f t="shared" si="139"/>
        <v>10.436940513668773</v>
      </c>
      <c r="AA376" s="386">
        <f t="shared" si="140"/>
        <v>11.958019783299243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0.12720160170288661</v>
      </c>
      <c r="AD376" s="231">
        <f>(INDEX(Models!$BJ376:$BT376,,AH376)*(1-AF376)+INDEX(Models!$BJ376:$BT376,,AH376+1)*AF376-ERP_i)*AE376*Ramure*Pc/MaxiM</f>
        <v>5.3743345117971589E-2</v>
      </c>
      <c r="AE376" s="305">
        <f t="shared" si="142"/>
        <v>0.7</v>
      </c>
      <c r="AF376" s="177">
        <f t="shared" si="143"/>
        <v>0.59999992193883256</v>
      </c>
      <c r="AG376" s="817">
        <f t="shared" si="149"/>
        <v>0</v>
      </c>
      <c r="AH376" s="176">
        <f t="shared" si="144"/>
        <v>6</v>
      </c>
      <c r="AI376" s="225">
        <f t="shared" si="145"/>
        <v>0.59999992193883256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45654</v>
      </c>
      <c r="B377" s="411">
        <f>'2023'!Wh/'2023'!Env_an*'2024'!Env_an</f>
        <v>5.8856455527923686</v>
      </c>
      <c r="C377" s="846"/>
      <c r="D377" s="393">
        <f t="shared" si="127"/>
        <v>6.2094280527951362</v>
      </c>
      <c r="E377" s="385">
        <f t="shared" si="150"/>
        <v>6.8261878280020873</v>
      </c>
      <c r="F377" s="385">
        <f t="shared" si="128"/>
        <v>6.9608741903580738</v>
      </c>
      <c r="G377" s="110">
        <f t="shared" si="151"/>
        <v>0.53309997884101323</v>
      </c>
      <c r="H377" s="414" t="b">
        <f>Wh_hp&gt;='2023'!Maxi_hp</f>
        <v>0</v>
      </c>
      <c r="I377" s="390">
        <f>IF(H377,Wh_hp,'2023'!Maxi_hp)</f>
        <v>12.09881611457118</v>
      </c>
      <c r="J377" s="85">
        <f>IF(H377,An,'2023'!An_max)</f>
        <v>2019</v>
      </c>
      <c r="K377" s="197">
        <f t="shared" si="129"/>
        <v>45654</v>
      </c>
      <c r="L377" s="147">
        <f>IF(t&lt;Tvie,1-EXP((T0-t)*PertePVj)+'2023'!Pspv,1-EXP((T0-t)*PertePVj)+Pspv)</f>
        <v>5.2143691375410861E-2</v>
      </c>
      <c r="M377" s="850"/>
      <c r="N377" s="850"/>
      <c r="O377" s="48">
        <f>IF(t&lt;Tnet,'2023'!Resal+('2023'!Salim-'2023'!Resal)*(1-EXP(('2023'!Tnet-t)/('2023'!Tau_j))),Resal+(Salim-Resal)*(1-EXP((Tnet-t)/(Tau_j))))*Salcycl</f>
        <v>9.0352007701415174E-2</v>
      </c>
      <c r="P377" s="169">
        <f>(INDEX(Models!$BJ377:$BT377,,T377)*(1-R377)+INDEX(Models!$BJ377:$BT377,,T377+1)*R377-ERP_i)*Q377*Ramure*Pc/MaxiM</f>
        <v>5.3656611419427798E-2</v>
      </c>
      <c r="Q377" s="305">
        <f t="shared" si="130"/>
        <v>0.7</v>
      </c>
      <c r="R377" s="177">
        <f t="shared" si="131"/>
        <v>0.59999992193883256</v>
      </c>
      <c r="S377" s="817">
        <f t="shared" si="132"/>
        <v>0</v>
      </c>
      <c r="T377" s="176">
        <f t="shared" si="133"/>
        <v>6</v>
      </c>
      <c r="U377" s="251">
        <f t="shared" si="134"/>
        <v>0.59999992193883256</v>
      </c>
      <c r="V377" s="383">
        <f t="shared" si="135"/>
        <v>10.654172934643887</v>
      </c>
      <c r="W377" s="402">
        <f t="shared" si="136"/>
        <v>5.8856455527923686</v>
      </c>
      <c r="X377" s="157">
        <f t="shared" si="137"/>
        <v>45654</v>
      </c>
      <c r="Y377" s="385">
        <f t="shared" si="138"/>
        <v>5.6470890026903273</v>
      </c>
      <c r="Z377" s="385">
        <f t="shared" si="139"/>
        <v>5.9577479743577149</v>
      </c>
      <c r="AA377" s="386">
        <f t="shared" si="140"/>
        <v>6.8261878280020873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0.12722179282584306</v>
      </c>
      <c r="AD377" s="231">
        <f>(INDEX(Models!$BJ377:$BT377,,AH377)*(1-AF377)+INDEX(Models!$BJ377:$BT377,,AH377+1)*AF377-ERP_i)*AE377*Ramure*Pc/MaxiM</f>
        <v>5.3656611419427798E-2</v>
      </c>
      <c r="AE377" s="305">
        <f t="shared" si="142"/>
        <v>0.7</v>
      </c>
      <c r="AF377" s="177">
        <f t="shared" si="143"/>
        <v>0.59999992193883256</v>
      </c>
      <c r="AG377" s="817">
        <f t="shared" si="149"/>
        <v>0</v>
      </c>
      <c r="AH377" s="176">
        <f t="shared" si="144"/>
        <v>6</v>
      </c>
      <c r="AI377" s="225">
        <f t="shared" si="145"/>
        <v>0.59999992193883256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45655</v>
      </c>
      <c r="B378" s="411">
        <f>'2023'!Wh/'2023'!Env_an*'2024'!Env_an</f>
        <v>7.503971029072658</v>
      </c>
      <c r="C378" s="846"/>
      <c r="D378" s="393">
        <f t="shared" si="127"/>
        <v>7.916954627632955</v>
      </c>
      <c r="E378" s="385">
        <f t="shared" si="150"/>
        <v>8.7040138629071784</v>
      </c>
      <c r="F378" s="385">
        <f t="shared" si="128"/>
        <v>8.9774434273260759</v>
      </c>
      <c r="G378" s="110">
        <f t="shared" si="151"/>
        <v>0.6808662300683419</v>
      </c>
      <c r="H378" s="414" t="b">
        <f>Wh_hp&gt;='2023'!Maxi_hp</f>
        <v>0</v>
      </c>
      <c r="I378" s="390">
        <f>IF(H378,Wh_hp,'2023'!Maxi_hp)</f>
        <v>12.623938379603631</v>
      </c>
      <c r="J378" s="85">
        <f>IF(H378,An,'2023'!An_max)</f>
        <v>2019</v>
      </c>
      <c r="K378" s="197">
        <f t="shared" si="129"/>
        <v>45655</v>
      </c>
      <c r="L378" s="147">
        <f>IF(t&lt;Tvie,1-EXP((T0-t)*PertePVj)+'2023'!Pspv,1-EXP((T0-t)*PertePVj)+Pspv)</f>
        <v>5.2164451861178907E-2</v>
      </c>
      <c r="M378" s="850"/>
      <c r="N378" s="850"/>
      <c r="O378" s="48">
        <f>IF(t&lt;Tnet,'2023'!Resal+('2023'!Salim-'2023'!Resal)*(1-EXP(('2023'!Tnet-t)/('2023'!Tau_j))),Resal+(Salim-Resal)*(1-EXP((Tnet-t)/(Tau_j))))*Salcycl</f>
        <v>9.0424860032488744E-2</v>
      </c>
      <c r="P378" s="169">
        <f>(INDEX(Models!$BJ378:$BT378,,T378)*(1-R378)+INDEX(Models!$BJ378:$BT378,,T378+1)*R378-ERP_i)*Q378*Ramure*Pc/MaxiM</f>
        <v>5.3630521469009811E-2</v>
      </c>
      <c r="Q378" s="305">
        <f t="shared" si="130"/>
        <v>0.7</v>
      </c>
      <c r="R378" s="177">
        <f t="shared" si="131"/>
        <v>0.59999992193883256</v>
      </c>
      <c r="S378" s="817">
        <f t="shared" si="132"/>
        <v>0</v>
      </c>
      <c r="T378" s="176">
        <f t="shared" si="133"/>
        <v>6</v>
      </c>
      <c r="U378" s="251">
        <f t="shared" si="134"/>
        <v>0.59999992193883256</v>
      </c>
      <c r="V378" s="383">
        <f t="shared" si="135"/>
        <v>10.757792981739025</v>
      </c>
      <c r="W378" s="402">
        <f t="shared" si="136"/>
        <v>7.503971029072658</v>
      </c>
      <c r="X378" s="157">
        <f t="shared" si="137"/>
        <v>45655</v>
      </c>
      <c r="Y378" s="385">
        <f t="shared" si="138"/>
        <v>7.2002273764944915</v>
      </c>
      <c r="Z378" s="385">
        <f t="shared" si="139"/>
        <v>7.596494339796525</v>
      </c>
      <c r="AA378" s="386">
        <f t="shared" si="140"/>
        <v>8.7040138629071784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0.12724238960951481</v>
      </c>
      <c r="AD378" s="231">
        <f>(INDEX(Models!$BJ378:$BT378,,AH378)*(1-AF378)+INDEX(Models!$BJ378:$BT378,,AH378+1)*AF378-ERP_i)*AE378*Ramure*Pc/MaxiM</f>
        <v>5.3630521469009811E-2</v>
      </c>
      <c r="AE378" s="305">
        <f t="shared" si="142"/>
        <v>0.7</v>
      </c>
      <c r="AF378" s="177">
        <f t="shared" si="143"/>
        <v>0.59999992193883256</v>
      </c>
      <c r="AG378" s="817">
        <f t="shared" si="149"/>
        <v>0</v>
      </c>
      <c r="AH378" s="176">
        <f t="shared" si="144"/>
        <v>6</v>
      </c>
      <c r="AI378" s="225">
        <f t="shared" si="145"/>
        <v>0.59999992193883256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45656</v>
      </c>
      <c r="B379" s="411">
        <f>'2023'!Wh/'2023'!Env_an*'2024'!Env_an</f>
        <v>7.0552073384077341</v>
      </c>
      <c r="C379" s="846"/>
      <c r="D379" s="393">
        <f t="shared" si="127"/>
        <v>7.4436561097478862</v>
      </c>
      <c r="E379" s="385">
        <f t="shared" si="150"/>
        <v>8.1843197200747966</v>
      </c>
      <c r="F379" s="385">
        <f t="shared" si="128"/>
        <v>8.4095063706087156</v>
      </c>
      <c r="G379" s="110">
        <f t="shared" si="151"/>
        <v>0.63134733604669147</v>
      </c>
      <c r="H379" s="414" t="b">
        <f>Wh_hp&gt;='2023'!Maxi_hp</f>
        <v>0</v>
      </c>
      <c r="I379" s="390">
        <f>IF(H379,Wh_hp,'2023'!Maxi_hp)</f>
        <v>12.634141180813497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5.2185211892238903E-2</v>
      </c>
      <c r="M379" s="850"/>
      <c r="N379" s="850"/>
      <c r="O379" s="48">
        <f>IF(t&lt;Tnet,'2023'!Resal+('2023'!Salim-'2023'!Resal)*(1-EXP(('2023'!Tnet-t)/('2023'!Tau_j))),Resal+(Salim-Resal)*(1-EXP((Tnet-t)/(Tau_j))))*Salcycl</f>
        <v>9.0497883227873416E-2</v>
      </c>
      <c r="P379" s="169">
        <f>(INDEX(Models!$BJ379:$BT379,,T379)*(1-R379)+INDEX(Models!$BJ379:$BT379,,T379+1)*R379-ERP_i)*Q379*Ramure*Pc/MaxiM</f>
        <v>5.3664866514586559E-2</v>
      </c>
      <c r="Q379" s="306">
        <f t="shared" si="130"/>
        <v>0.7</v>
      </c>
      <c r="R379" s="177">
        <f t="shared" si="131"/>
        <v>0.59999992193883256</v>
      </c>
      <c r="S379" s="817">
        <f t="shared" si="132"/>
        <v>0</v>
      </c>
      <c r="T379" s="176">
        <f t="shared" si="133"/>
        <v>6</v>
      </c>
      <c r="U379" s="307">
        <f t="shared" si="134"/>
        <v>0.59999992193883256</v>
      </c>
      <c r="V379" s="383">
        <f t="shared" si="135"/>
        <v>10.86611532791369</v>
      </c>
      <c r="W379" s="402">
        <f t="shared" si="136"/>
        <v>7.0552073384077341</v>
      </c>
      <c r="X379" s="157">
        <f t="shared" si="137"/>
        <v>45656</v>
      </c>
      <c r="Y379" s="385">
        <f t="shared" si="138"/>
        <v>6.7700095775111073</v>
      </c>
      <c r="Z379" s="385">
        <f t="shared" si="139"/>
        <v>7.1427558025623421</v>
      </c>
      <c r="AA379" s="386">
        <f t="shared" si="140"/>
        <v>8.1843197200747966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0.12726334663559985</v>
      </c>
      <c r="AD379" s="231">
        <f>(INDEX(Models!$BJ379:$BT379,,AH379)*(1-AF379)+INDEX(Models!$BJ379:$BT379,,AH379+1)*AF379-ERP_i)*AE379*Ramure*Pc/MaxiM</f>
        <v>5.3664866514586559E-2</v>
      </c>
      <c r="AE379" s="306">
        <f t="shared" si="142"/>
        <v>0.7</v>
      </c>
      <c r="AF379" s="177">
        <f t="shared" si="143"/>
        <v>0.59999992193883256</v>
      </c>
      <c r="AG379" s="817">
        <f t="shared" si="149"/>
        <v>0</v>
      </c>
      <c r="AH379" s="176">
        <f t="shared" si="144"/>
        <v>6</v>
      </c>
      <c r="AI379" s="222">
        <f t="shared" si="145"/>
        <v>0.59999992193883256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6">
        <f>A379+1</f>
        <v>45657</v>
      </c>
      <c r="B380" s="809">
        <f>AVERAGE(B366:B379)</f>
        <v>7.6598692622010853</v>
      </c>
      <c r="C380" s="856"/>
      <c r="D380" s="605">
        <f t="shared" si="127"/>
        <v>8.0817867929279998</v>
      </c>
      <c r="E380" s="601">
        <f t="shared" si="150"/>
        <v>8.8866609967927275</v>
      </c>
      <c r="F380" s="601">
        <f t="shared" si="128"/>
        <v>9.1666349576719703</v>
      </c>
      <c r="G380" s="110">
        <f t="shared" si="151"/>
        <v>0.68098852686297962</v>
      </c>
      <c r="H380" s="602" t="b">
        <f>Wh_hp&gt;='2023'!Maxi_hp</f>
        <v>0</v>
      </c>
      <c r="I380" s="603">
        <f>IF(H380,Wh_hp,'2023'!Maxi_hp)</f>
        <v>9.8304510021791351</v>
      </c>
      <c r="J380" s="151">
        <f>IF(H380,An,'2023'!An_max)</f>
        <v>2020</v>
      </c>
      <c r="K380" s="234">
        <f t="shared" si="129"/>
        <v>45657</v>
      </c>
      <c r="L380" s="147">
        <f>IF(t&lt;Tvie,1-EXP((T0-t)*PertePVj)+'2023'!Pspv,1-EXP((T0-t)*PertePVj)+Pspv)</f>
        <v>5.2205971468600954E-2</v>
      </c>
      <c r="M380" s="850"/>
      <c r="N380" s="850"/>
      <c r="O380" s="48">
        <f>IF(t&lt;Tnet,'2023'!Resal+('2023'!Salim-'2023'!Resal)*(1-EXP(('2023'!Tnet-t)/('2023'!Tau_j))),Resal+(Salim-Resal)*(1-EXP((Tnet-t)/(Tau_j))))*Salcycl</f>
        <v>9.0571048468622045E-2</v>
      </c>
      <c r="P380" s="231">
        <f>(INDEX(Models!$BJ380:$BT380,,T380)*(1-R380)+INDEX(Models!$BJ380:$BT380,,T380+1)*R380-ERP_i)*Q380*Ramure*Pc/MaxiM</f>
        <v>5.3759281865941526E-2</v>
      </c>
      <c r="Q380" s="328">
        <f t="shared" si="130"/>
        <v>0.7</v>
      </c>
      <c r="R380" s="314">
        <f>(Hp_vg-S380)/(INDEX(Echel_vg,T380+1)-S380)</f>
        <v>0.59999992193883256</v>
      </c>
      <c r="S380" s="818">
        <f>INDEX(Echel_vg,T380)</f>
        <v>0</v>
      </c>
      <c r="T380" s="233">
        <f t="shared" si="133"/>
        <v>6</v>
      </c>
      <c r="U380" s="301">
        <f t="shared" si="134"/>
        <v>0.59999992193883256</v>
      </c>
      <c r="V380" s="383">
        <f t="shared" si="135"/>
        <v>10.978791012388976</v>
      </c>
      <c r="W380" s="402">
        <f t="shared" si="136"/>
        <v>7.6598692622010853</v>
      </c>
      <c r="X380" s="326">
        <f t="shared" si="137"/>
        <v>45657</v>
      </c>
      <c r="Y380" s="601">
        <f t="shared" si="138"/>
        <v>7.350640953059421</v>
      </c>
      <c r="Z380" s="601">
        <f t="shared" si="139"/>
        <v>7.7555257068344199</v>
      </c>
      <c r="AA380" s="604">
        <f t="shared" si="140"/>
        <v>8.8866609967927275</v>
      </c>
      <c r="AB380" s="234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0.1272846224657995</v>
      </c>
      <c r="AD380" s="231">
        <f>(INDEX(Models!$BJ380:$BT380,,AH380)*(1-AF380)+INDEX(Models!$BJ380:$BT380,,AH380+1)*AF380-ERP_i)*AE380*Ramure*Pc/MaxiM</f>
        <v>5.3759281865941526E-2</v>
      </c>
      <c r="AE380" s="328">
        <f t="shared" si="142"/>
        <v>0.7</v>
      </c>
      <c r="AF380" s="314">
        <f>(Hp_vg_s-AG380)/(INDEX(Echel_vg,AH380+1)-AG380)</f>
        <v>0.59999992193883256</v>
      </c>
      <c r="AG380" s="818">
        <f>INDEX(Echel_vg,AH380)</f>
        <v>0</v>
      </c>
      <c r="AH380" s="233">
        <f t="shared" si="144"/>
        <v>6</v>
      </c>
      <c r="AI380" s="225">
        <f t="shared" si="145"/>
        <v>0.59999992193883256</v>
      </c>
      <c r="AJ380" s="265" t="b">
        <f t="shared" si="146"/>
        <v>0</v>
      </c>
      <c r="AK380" s="265" t="b">
        <f t="shared" si="147"/>
        <v>0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0.89472168849454625</v>
      </c>
      <c r="C381" s="375"/>
      <c r="D381" s="373">
        <f>MIN(D15:D380)</f>
        <v>0.93667219718805639</v>
      </c>
      <c r="E381" s="373">
        <f>MIN(E15:E380)</f>
        <v>0.99144436028018856</v>
      </c>
      <c r="F381" s="374">
        <f>MIN(F15:F380)</f>
        <v>0.99144436028018856</v>
      </c>
      <c r="G381" s="125">
        <f>+MIN(G15:G380)</f>
        <v>6.6336589260023573E-2</v>
      </c>
      <c r="H381" s="94"/>
      <c r="I381" s="374">
        <f>MIN(I15:I380)</f>
        <v>5.9138462610467215</v>
      </c>
      <c r="J381" s="57">
        <f>MIN(J15:J380)</f>
        <v>2018</v>
      </c>
      <c r="K381" s="200" t="s">
        <v>7</v>
      </c>
      <c r="L381" s="146">
        <f t="shared" ref="L381:T381" si="152">MIN(L15:L380)</f>
        <v>4.4598440299144615E-2</v>
      </c>
      <c r="M381" s="852"/>
      <c r="N381" s="852"/>
      <c r="O381" s="47">
        <f t="shared" si="152"/>
        <v>5.4126177013056095E-2</v>
      </c>
      <c r="P381" s="168">
        <f t="shared" si="152"/>
        <v>0</v>
      </c>
      <c r="Q381" s="310">
        <f t="shared" si="152"/>
        <v>0.7</v>
      </c>
      <c r="R381" s="311">
        <f t="shared" si="152"/>
        <v>0.10000119497500368</v>
      </c>
      <c r="S381" s="817">
        <f t="shared" si="152"/>
        <v>0</v>
      </c>
      <c r="T381" s="176">
        <f t="shared" si="152"/>
        <v>6</v>
      </c>
      <c r="U381" s="252">
        <f>+MIN(U15:U380)</f>
        <v>0.10000119497500368</v>
      </c>
      <c r="V381" s="373">
        <f>MIN(V15:V380)</f>
        <v>9.7151116639930741</v>
      </c>
      <c r="W381" s="810" t="s">
        <v>40</v>
      </c>
      <c r="X381" s="112" t="s">
        <v>7</v>
      </c>
      <c r="Y381" s="373">
        <f>MIN(Y15:Y380)</f>
        <v>0.83811598364735762</v>
      </c>
      <c r="Z381" s="373">
        <f>MIN(Z15:Z380)</f>
        <v>0.87741244008771424</v>
      </c>
      <c r="AA381" s="373">
        <f>MIN(AA15:AA380)</f>
        <v>0.99144436028018856</v>
      </c>
      <c r="AB381" s="200" t="s">
        <v>7</v>
      </c>
      <c r="AC381" s="47">
        <f t="shared" ref="AC381:AH381" si="153">MIN(AC15:AC380)</f>
        <v>0.11465662738562565</v>
      </c>
      <c r="AD381" s="168">
        <f t="shared" si="153"/>
        <v>0</v>
      </c>
      <c r="AE381" s="310">
        <f t="shared" si="153"/>
        <v>0.7</v>
      </c>
      <c r="AF381" s="311">
        <f t="shared" si="153"/>
        <v>0.10000119497500368</v>
      </c>
      <c r="AG381" s="817">
        <f t="shared" si="153"/>
        <v>0</v>
      </c>
      <c r="AH381" s="176">
        <f t="shared" si="153"/>
        <v>6</v>
      </c>
      <c r="AI381" s="226">
        <f>MIN(AI15:AI380)</f>
        <v>0.10000119497500368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19.064401455240692</v>
      </c>
      <c r="C382" s="375"/>
      <c r="D382" s="375">
        <f>AVERAGE(D15:D380)</f>
        <v>20.031104680512023</v>
      </c>
      <c r="E382" s="375">
        <f>AVERAGE(E15:E380)</f>
        <v>21.670560033919898</v>
      </c>
      <c r="F382" s="376">
        <f>AVERAGE(F15:F380)</f>
        <v>21.827082084809522</v>
      </c>
      <c r="G382" s="126">
        <f>AVERAGE(G15:G380)</f>
        <v>0.68858816519652644</v>
      </c>
      <c r="H382" s="94"/>
      <c r="I382" s="376">
        <f>AVERAGE(I15:I380)</f>
        <v>29.001531808227984</v>
      </c>
      <c r="J382" s="59">
        <f>AVERAGE(J15:J380)</f>
        <v>2020.3797814207651</v>
      </c>
      <c r="K382" s="200" t="s">
        <v>8</v>
      </c>
      <c r="L382" s="147">
        <f t="shared" ref="L382:V382" si="154">AVERAGE(L15:L380)</f>
        <v>4.840726020903087E-2</v>
      </c>
      <c r="M382" s="850"/>
      <c r="N382" s="850"/>
      <c r="O382" s="48">
        <f t="shared" si="154"/>
        <v>7.5521911824029314E-2</v>
      </c>
      <c r="P382" s="169">
        <f t="shared" si="154"/>
        <v>2.1125271043736189E-2</v>
      </c>
      <c r="Q382" s="312">
        <f t="shared" si="154"/>
        <v>0.69999999999999529</v>
      </c>
      <c r="R382" s="177">
        <f t="shared" si="154"/>
        <v>0.38048619943306744</v>
      </c>
      <c r="S382" s="817">
        <f t="shared" si="154"/>
        <v>0</v>
      </c>
      <c r="T382" s="176">
        <f t="shared" si="154"/>
        <v>6</v>
      </c>
      <c r="U382" s="251">
        <f t="shared" si="154"/>
        <v>0.38048619943306744</v>
      </c>
      <c r="V382" s="375">
        <f t="shared" si="154"/>
        <v>26.800783077124844</v>
      </c>
      <c r="X382" s="112" t="s">
        <v>8</v>
      </c>
      <c r="Y382" s="375">
        <f>AVERAGE(Y15:Y380)</f>
        <v>18.051168495715281</v>
      </c>
      <c r="Z382" s="375">
        <f>AVERAGE(Z15:Z380)</f>
        <v>18.966671562032914</v>
      </c>
      <c r="AA382" s="375">
        <f>AVERAGE(AA15:AA380)</f>
        <v>21.670560033919898</v>
      </c>
      <c r="AB382" s="200" t="s">
        <v>8</v>
      </c>
      <c r="AC382" s="48">
        <f t="shared" ref="AC382:AH382" si="155">AVERAGE(AC15:AC380)</f>
        <v>0.12411424198018131</v>
      </c>
      <c r="AD382" s="169">
        <f t="shared" si="155"/>
        <v>2.1125271043736189E-2</v>
      </c>
      <c r="AE382" s="312">
        <f t="shared" si="155"/>
        <v>0.69999999999999529</v>
      </c>
      <c r="AF382" s="177">
        <f t="shared" si="155"/>
        <v>0.38048619943306744</v>
      </c>
      <c r="AG382" s="817">
        <f t="shared" si="155"/>
        <v>0</v>
      </c>
      <c r="AH382" s="176">
        <f t="shared" si="155"/>
        <v>6</v>
      </c>
      <c r="AI382" s="225">
        <f>AVERAGE(AI15:AI380)</f>
        <v>0.38048619943306744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38.63202206579885</v>
      </c>
      <c r="C383" s="377"/>
      <c r="D383" s="377">
        <f>MAX(D15:D380)</f>
        <v>40.566665420204863</v>
      </c>
      <c r="E383" s="377">
        <f>MAX(E15:E380)</f>
        <v>43.771585370686985</v>
      </c>
      <c r="F383" s="378">
        <f>MAX(F15:F380)</f>
        <v>43.771585370686985</v>
      </c>
      <c r="G383" s="127">
        <f>+MAX(G15:G380)</f>
        <v>1.0412989230211518</v>
      </c>
      <c r="H383" s="94"/>
      <c r="I383" s="378">
        <f>MAX(I15:I380)</f>
        <v>45.292153927540518</v>
      </c>
      <c r="J383" s="60">
        <f>MAX(J15:J380)</f>
        <v>2024</v>
      </c>
      <c r="K383" s="200" t="s">
        <v>9</v>
      </c>
      <c r="L383" s="148">
        <f t="shared" ref="L383:T383" si="156">MAX(L15:L380)</f>
        <v>5.2205971468600954E-2</v>
      </c>
      <c r="M383" s="853"/>
      <c r="N383" s="853"/>
      <c r="O383" s="49">
        <f t="shared" si="156"/>
        <v>9.0571048468622045E-2</v>
      </c>
      <c r="P383" s="170">
        <f t="shared" si="156"/>
        <v>7.0278394155593477E-2</v>
      </c>
      <c r="Q383" s="313">
        <f t="shared" si="156"/>
        <v>0.7</v>
      </c>
      <c r="R383" s="314">
        <f t="shared" si="156"/>
        <v>0.59999992193883256</v>
      </c>
      <c r="S383" s="818">
        <f t="shared" si="156"/>
        <v>0</v>
      </c>
      <c r="T383" s="233">
        <f t="shared" si="156"/>
        <v>6</v>
      </c>
      <c r="U383" s="253">
        <f>+MAX(U15:U380)</f>
        <v>0.59999992193883256</v>
      </c>
      <c r="V383" s="377">
        <f>MAX(V15:V380)</f>
        <v>38.492951066085233</v>
      </c>
      <c r="X383" s="112" t="s">
        <v>9</v>
      </c>
      <c r="Y383" s="377">
        <f>MAX(Y15:Y380)</f>
        <v>36.511188264565405</v>
      </c>
      <c r="Z383" s="377">
        <f>MAX(Z15:Z380)</f>
        <v>38.339622914379987</v>
      </c>
      <c r="AA383" s="377">
        <f>MAX(AA15:AA380)</f>
        <v>43.771585370686985</v>
      </c>
      <c r="AB383" s="200" t="s">
        <v>9</v>
      </c>
      <c r="AC383" s="49">
        <f t="shared" ref="AC383:AH383" si="157">MAX(AC15:AC380)</f>
        <v>0.12984339966579597</v>
      </c>
      <c r="AD383" s="170">
        <f t="shared" si="157"/>
        <v>7.0278394155593477E-2</v>
      </c>
      <c r="AE383" s="313">
        <f t="shared" si="157"/>
        <v>0.7</v>
      </c>
      <c r="AF383" s="314">
        <f t="shared" si="157"/>
        <v>0.59999992193883256</v>
      </c>
      <c r="AG383" s="818">
        <f t="shared" si="157"/>
        <v>0</v>
      </c>
      <c r="AH383" s="233">
        <f t="shared" si="157"/>
        <v>6</v>
      </c>
      <c r="AI383" s="227">
        <f>MAX(AI15:AI380)</f>
        <v>0.59999992193883256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65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67</v>
      </c>
      <c r="H384" s="404"/>
      <c r="I384" s="405" t="s">
        <v>6</v>
      </c>
      <c r="J384" s="405" t="s">
        <v>113</v>
      </c>
      <c r="K384" s="406"/>
      <c r="L384" s="405" t="s">
        <v>66</v>
      </c>
      <c r="M384" s="407"/>
      <c r="N384" s="407"/>
      <c r="O384" s="407" t="s">
        <v>66</v>
      </c>
      <c r="P384" s="407" t="s">
        <v>66</v>
      </c>
      <c r="Q384" s="405" t="s">
        <v>66</v>
      </c>
      <c r="R384" s="405" t="s">
        <v>67</v>
      </c>
      <c r="S384" s="405" t="s">
        <v>81</v>
      </c>
      <c r="T384" s="405" t="s">
        <v>67</v>
      </c>
      <c r="U384" s="408" t="s">
        <v>81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66</v>
      </c>
      <c r="AD384" s="405" t="s">
        <v>66</v>
      </c>
      <c r="AE384" s="405" t="s">
        <v>66</v>
      </c>
      <c r="AF384" s="405" t="s">
        <v>67</v>
      </c>
      <c r="AG384" s="405" t="s">
        <v>81</v>
      </c>
      <c r="AH384" s="405" t="s">
        <v>67</v>
      </c>
      <c r="AI384" s="408" t="s">
        <v>81</v>
      </c>
      <c r="AJ384" s="835"/>
      <c r="AK384" s="835"/>
      <c r="AL384" s="835"/>
      <c r="AM384" s="835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8" priority="4" stopIfTrue="1" operator="lessThan">
      <formula>0.01</formula>
    </cfRule>
    <cfRule type="cellIs" dxfId="7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39">
        <f>'2024'!An+1</f>
        <v>2025</v>
      </c>
      <c r="K1" s="1240"/>
      <c r="L1" s="113" t="str">
        <f>"Calcul pertes et enveloppes en "&amp;TEXT(An,0)</f>
        <v>Calcul pertes et enveloppes en 2025</v>
      </c>
      <c r="M1" s="243"/>
      <c r="N1" s="243"/>
      <c r="V1" s="458"/>
      <c r="W1" s="456"/>
      <c r="X1" s="486" t="str">
        <f>"Prévision sans nettoyage ni taille végétation en "&amp;TEXT(An,0)</f>
        <v>Prévision sans nettoyage ni taille végétation en 2025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4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91"/>
      <c r="R2" s="18"/>
      <c r="S2" s="494"/>
      <c r="T2" s="494"/>
      <c r="U2" s="294" t="s">
        <v>75</v>
      </c>
      <c r="V2" s="495">
        <f>PertePVan</f>
        <v>8.0000000000000002E-3</v>
      </c>
      <c r="W2" s="451" t="s">
        <v>14</v>
      </c>
      <c r="X2" s="496"/>
      <c r="Y2" s="497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40" t="s">
        <v>272</v>
      </c>
      <c r="AK2" s="840" t="s">
        <v>274</v>
      </c>
      <c r="AL2" s="840" t="s">
        <v>273</v>
      </c>
      <c r="AM2" s="840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49">
        <f>Tmaj</f>
        <v>44926</v>
      </c>
      <c r="F3" s="1249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51"/>
      <c r="U3" s="209" t="s">
        <v>164</v>
      </c>
      <c r="V3" s="634">
        <f>Salim_i</f>
        <v>0.14000000000000001</v>
      </c>
      <c r="W3" s="451"/>
      <c r="X3" s="501" t="s">
        <v>92</v>
      </c>
      <c r="Y3" s="502"/>
      <c r="Z3" s="503"/>
      <c r="AA3" s="497"/>
      <c r="AB3" s="497"/>
      <c r="AC3" s="429"/>
      <c r="AD3" s="429"/>
      <c r="AE3" s="429"/>
      <c r="AF3" s="429"/>
      <c r="AG3" s="429"/>
      <c r="AH3" s="429"/>
      <c r="AI3" s="429"/>
      <c r="AJ3" s="838">
        <f>AL11-AJ11</f>
        <v>65.113174021712439</v>
      </c>
      <c r="AK3" s="839">
        <f>AM11-AK11</f>
        <v>-0.94938990214771479</v>
      </c>
      <c r="AL3" s="838"/>
      <c r="AM3" s="839"/>
      <c r="AN3" s="837" t="s">
        <v>281</v>
      </c>
    </row>
    <row r="4" spans="1:40" s="19" customFormat="1" ht="16.5" customHeight="1" x14ac:dyDescent="0.3">
      <c r="A4" s="35"/>
      <c r="B4" s="28"/>
      <c r="C4" s="28"/>
      <c r="D4" s="83" t="s">
        <v>128</v>
      </c>
      <c r="E4" s="1188" t="str">
        <f>Station</f>
        <v>Donneville</v>
      </c>
      <c r="F4" s="1189"/>
      <c r="G4" s="1189"/>
      <c r="H4" s="1189"/>
      <c r="I4" s="1190"/>
      <c r="J4" s="158"/>
      <c r="K4" s="191"/>
      <c r="L4" s="505"/>
      <c r="M4" s="504"/>
      <c r="N4" s="504"/>
      <c r="O4" s="429"/>
      <c r="P4" s="34"/>
      <c r="Q4" s="504"/>
      <c r="R4" s="34"/>
      <c r="S4" s="494"/>
      <c r="T4" s="409"/>
      <c r="U4" s="295" t="s">
        <v>78</v>
      </c>
      <c r="V4" s="633">
        <f>Persistant</f>
        <v>0.8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9"/>
      <c r="AD4" s="429"/>
      <c r="AE4" s="429"/>
      <c r="AF4" s="429"/>
      <c r="AG4" s="429"/>
      <c r="AH4" s="429"/>
      <c r="AI4" s="429"/>
      <c r="AJ4" s="838">
        <f>AL12-AJ12</f>
        <v>413.28022205917046</v>
      </c>
      <c r="AK4" s="839">
        <f>AM12-AK12</f>
        <v>29.449902526362795</v>
      </c>
      <c r="AL4" s="838"/>
      <c r="AM4" s="839"/>
      <c r="AN4" s="837" t="s">
        <v>282</v>
      </c>
    </row>
    <row r="5" spans="1:40" s="35" customFormat="1" ht="16.5" customHeight="1" x14ac:dyDescent="0.25">
      <c r="D5" s="161" t="s">
        <v>20</v>
      </c>
      <c r="E5" s="1250">
        <f>T0</f>
        <v>43209</v>
      </c>
      <c r="F5" s="1250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478.58535324315153</v>
      </c>
      <c r="AA5" s="237">
        <f>Wh_Pvg_s-Wh_Pvg</f>
        <v>27.621459277795864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1762.578049350376</v>
      </c>
      <c r="AK5" s="515">
        <f>SUMIF(AK15:AK380,"VRAI",Wh)</f>
        <v>1143.7358757318796</v>
      </c>
      <c r="AL5" s="515">
        <f>SUMIF(AJ15:AJ380,"VRAI",Wh_s)</f>
        <v>1697.4601028558445</v>
      </c>
      <c r="AM5" s="515">
        <f>SUMIF(AK15:AK380,"VRAI",Wh_s)</f>
        <v>1100.5640011683877</v>
      </c>
      <c r="AN5" s="837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51">
        <f>Tservice</f>
        <v>43249</v>
      </c>
      <c r="F6" s="1251"/>
      <c r="G6" s="95"/>
      <c r="H6" s="35"/>
      <c r="I6" s="35"/>
      <c r="J6" s="8"/>
      <c r="K6" s="193"/>
      <c r="L6" s="154" t="s">
        <v>79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2"/>
      <c r="X6" s="496"/>
      <c r="Y6" s="497"/>
      <c r="Z6" s="462"/>
      <c r="AA6" s="462"/>
      <c r="AB6" s="515"/>
      <c r="AC6" s="462"/>
      <c r="AD6" s="462"/>
      <c r="AE6" s="462"/>
      <c r="AF6" s="462"/>
      <c r="AG6" s="462"/>
      <c r="AH6" s="462"/>
      <c r="AI6" s="462"/>
      <c r="AJ6" s="515">
        <f>SUMIF(AJ15:AJ380,"FAUX",Wh)</f>
        <v>5377.7026486732429</v>
      </c>
      <c r="AK6" s="515">
        <f>SUMIF(AK15:AK380,"FAUX",Wh)</f>
        <v>5996.5448222917366</v>
      </c>
      <c r="AL6" s="515">
        <f>SUMIF(AJ15:AJ380,"FAUX",Wh_s)</f>
        <v>4930.9138177571122</v>
      </c>
      <c r="AM6" s="515">
        <f>SUMIF(AK15:AK380,"FAUX",Wh_s)</f>
        <v>5527.8099194445695</v>
      </c>
      <c r="AN6" s="837" t="s">
        <v>279</v>
      </c>
    </row>
    <row r="7" spans="1:40" s="40" customFormat="1" ht="15" customHeight="1" x14ac:dyDescent="0.25">
      <c r="A7" s="183"/>
      <c r="B7" s="178"/>
      <c r="C7" s="178"/>
      <c r="D7" s="22" t="s">
        <v>108</v>
      </c>
      <c r="E7" s="320" t="b">
        <f>AND(YEAR(Tnet)=An,Resal_2025="I")</f>
        <v>0</v>
      </c>
      <c r="F7" s="320" t="b">
        <f>YEAR(Tnet)=An</f>
        <v>1</v>
      </c>
      <c r="J7" s="178"/>
      <c r="K7" s="191"/>
      <c r="L7" s="189" t="s">
        <v>77</v>
      </c>
      <c r="M7" s="848"/>
      <c r="N7" s="848"/>
      <c r="O7" s="18"/>
      <c r="P7" s="118"/>
      <c r="Q7" s="118"/>
      <c r="R7" s="141"/>
      <c r="S7" s="141"/>
      <c r="T7" s="141"/>
      <c r="U7" s="141"/>
      <c r="V7" s="429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1862.5481578874819</v>
      </c>
      <c r="AK7" s="515">
        <f>SUMIF(AK15:AK380,"VRAI",Wh_sa)</f>
        <v>1334.1014506865508</v>
      </c>
      <c r="AL7" s="515">
        <f>SUMIF(AJ15:AJ380,"VRAI",Wh_pvt_s)</f>
        <v>1793.7387898688969</v>
      </c>
      <c r="AM7" s="515">
        <f>SUMIF(AK15:AK380,"VRAI",Wh_sa_s)</f>
        <v>1334.1014506865508</v>
      </c>
      <c r="AN7" s="837" t="s">
        <v>270</v>
      </c>
    </row>
    <row r="8" spans="1:40" s="6" customFormat="1" ht="15" customHeight="1" x14ac:dyDescent="0.25">
      <c r="A8" s="34"/>
      <c r="B8" s="210"/>
      <c r="C8" s="210"/>
      <c r="D8" s="22" t="s">
        <v>80</v>
      </c>
      <c r="E8" s="320" t="b">
        <f>AND(YEAR(Tnet)=An,Resal_2025&lt;&gt;"I")</f>
        <v>1</v>
      </c>
      <c r="F8" s="321" t="b">
        <f>YEAR(Ttai)=An</f>
        <v>1</v>
      </c>
      <c r="H8" s="179" t="s">
        <v>72</v>
      </c>
      <c r="I8" s="98"/>
      <c r="J8" s="158"/>
      <c r="K8" s="191"/>
      <c r="L8" s="114"/>
      <c r="M8" s="114"/>
      <c r="N8" s="114"/>
      <c r="O8" s="115" t="s">
        <v>59</v>
      </c>
      <c r="P8" s="18"/>
      <c r="Q8" s="18"/>
      <c r="R8" s="18"/>
      <c r="S8" s="18"/>
      <c r="T8" s="18"/>
      <c r="U8" s="18"/>
      <c r="V8" s="517"/>
      <c r="W8" s="404"/>
      <c r="X8" s="1237" t="s">
        <v>98</v>
      </c>
      <c r="Y8" s="1238"/>
      <c r="Z8" s="497"/>
      <c r="AA8" s="497"/>
      <c r="AB8" s="462"/>
      <c r="AC8" s="519" t="s">
        <v>59</v>
      </c>
      <c r="AD8" s="462"/>
      <c r="AE8" s="462"/>
      <c r="AF8" s="462"/>
      <c r="AG8" s="462"/>
      <c r="AH8" s="462"/>
      <c r="AI8" s="462"/>
      <c r="AJ8" s="515">
        <f>SUMIF(AJ15:AJ380,"FAUX",Wh_pvt)</f>
        <v>5700.664119156977</v>
      </c>
      <c r="AK8" s="515">
        <f>SUMIF(AK15:AK380,"FAUX",Wh_sa)</f>
        <v>6625.4401884655226</v>
      </c>
      <c r="AL8" s="515">
        <f>SUMIF(AJ15:AJ380,"FAUX",Wh_pvt_s)</f>
        <v>5227.0175559624913</v>
      </c>
      <c r="AM8" s="515">
        <f>SUMIF(AK15:AK380,"FAUX",Wh_sa_s)</f>
        <v>6589.8877430274288</v>
      </c>
      <c r="AN8" s="837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7563.2122770444621</v>
      </c>
      <c r="E9" s="184">
        <f>SUM(E$15:E$380)</f>
        <v>7959.5416391520721</v>
      </c>
      <c r="F9" s="184">
        <f>SUM(F$15:F$380)</f>
        <v>7994.5047204908269</v>
      </c>
      <c r="H9" s="1241">
        <f>+SUM(Wh)</f>
        <v>7140.2806980236173</v>
      </c>
      <c r="I9" s="1242"/>
      <c r="J9" s="1243"/>
      <c r="K9" s="191"/>
      <c r="L9" s="232"/>
      <c r="M9" s="232"/>
      <c r="N9" s="232"/>
      <c r="O9" s="223">
        <f>Tnet_2025</f>
        <v>45777</v>
      </c>
      <c r="P9" s="244" t="s">
        <v>87</v>
      </c>
      <c r="Q9" s="245"/>
      <c r="R9" s="245"/>
      <c r="S9" s="245"/>
      <c r="T9" s="245"/>
      <c r="U9" s="246"/>
      <c r="V9" s="462"/>
      <c r="W9" s="520"/>
      <c r="X9" s="1235">
        <f>+SUM(Wh_s)</f>
        <v>6628.3739206129558</v>
      </c>
      <c r="Y9" s="1236"/>
      <c r="Z9" s="515">
        <f>SUM(Z$15:Z$380)</f>
        <v>7020.7563458313834</v>
      </c>
      <c r="AA9" s="515">
        <f>SUM(AA$15:AA$380)</f>
        <v>7923.989193713981</v>
      </c>
      <c r="AB9" s="515">
        <f>F9</f>
        <v>7994.5047204908269</v>
      </c>
      <c r="AC9" s="325">
        <f>IF(An_Tnet,Tnet,'2024'!Tnet_s)</f>
        <v>45777</v>
      </c>
      <c r="AD9" s="316" t="s">
        <v>87</v>
      </c>
      <c r="AE9" s="316"/>
      <c r="AF9" s="316"/>
      <c r="AG9" s="316"/>
      <c r="AH9" s="316"/>
      <c r="AI9" s="317"/>
      <c r="AJ9" s="515">
        <f>SUMIF(AJ15:AJ380,"VRAI",Wh_sa)</f>
        <v>2060.0589314993658</v>
      </c>
      <c r="AK9" s="515">
        <f>SUMIF(AK15:AK380,"VRAI",Wh_hp)</f>
        <v>1363.4395894291642</v>
      </c>
      <c r="AL9" s="515">
        <f>SUMIF(AJ15:AJ380,"VRAI",Wh_sa_s)</f>
        <v>2060.0561230382068</v>
      </c>
      <c r="AM9" s="515">
        <f>SUMIF(AK15:AK380,"VRAI",Wh_hp)</f>
        <v>1363.4395894291642</v>
      </c>
      <c r="AN9" s="837" t="s">
        <v>276</v>
      </c>
    </row>
    <row r="10" spans="1:40" s="19" customFormat="1" ht="15" customHeight="1" x14ac:dyDescent="0.25">
      <c r="A10" s="206"/>
      <c r="B10" s="207"/>
      <c r="C10" s="844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IF(Inflex,'2024'!Resal+('2024'!Salim-'2024'!Resal)*(1-EXP(-(Tnet-'2024'!Tnet)/('2024'!Tau_j))),IF(An_Tnet,Resal_2025,'2024'!Resal))</f>
        <v>1.7000000000000001E-2</v>
      </c>
      <c r="P10" s="422" t="b">
        <f>NOT(Acti_tai)</f>
        <v>0</v>
      </c>
      <c r="Q10" s="257">
        <f>IF(Acti_tai,'2024'!PousD,Dens-Dd)</f>
        <v>0</v>
      </c>
      <c r="R10" s="274"/>
      <c r="S10" s="275"/>
      <c r="T10" s="276"/>
      <c r="U10" s="266">
        <f>IF(Acti_tai,'2024'!PousH,Hdtf-Hdd)</f>
        <v>0.5</v>
      </c>
      <c r="V10" s="429"/>
      <c r="W10" s="504"/>
      <c r="X10" s="505"/>
      <c r="Y10" s="521" t="s">
        <v>26</v>
      </c>
      <c r="Z10" s="511" t="s">
        <v>27</v>
      </c>
      <c r="AA10" s="511" t="s">
        <v>28</v>
      </c>
      <c r="AB10" s="429"/>
      <c r="AC10" s="318">
        <f>IF(OR(Inflex,GainD),'2024'!Resal_s+('2024'!Salim-'2024'!Resal_s)*(1-EXP(('2024'!Tnet_s-Tnet)/('2024'!Tau_j))),IF(Acti_net,'2024'!Resal+('2024'!Salim-'2024'!Resal)*(1-EXP(('2024'!Tnet-Tnet)/'2024'!Tau_j)),'2024'!Resal_s))</f>
        <v>9.9030265854205032E-2</v>
      </c>
      <c r="AD10" s="429"/>
      <c r="AE10" s="429"/>
      <c r="AF10" s="260"/>
      <c r="AG10" s="261"/>
      <c r="AH10" s="262"/>
      <c r="AI10" s="472"/>
      <c r="AJ10" s="515">
        <f>SUMIF(AJ15:AJ380,"FAUX",Wh_sa)</f>
        <v>5899.4827076527081</v>
      </c>
      <c r="AK10" s="515">
        <f>SUMIF(AK15:AK380,"FAUX",Wh_hp)</f>
        <v>6631.065131061664</v>
      </c>
      <c r="AL10" s="515">
        <f>SUMIF(AJ15:AJ380,"FAUX",Wh_sa_s)</f>
        <v>5863.9330706757746</v>
      </c>
      <c r="AM10" s="515">
        <f>SUMIF(AK15:AK380,"FAUX",Wh_hp)</f>
        <v>6631.065131061664</v>
      </c>
      <c r="AN10" s="837" t="s">
        <v>277</v>
      </c>
    </row>
    <row r="11" spans="1:40" s="40" customFormat="1" ht="15" customHeight="1" x14ac:dyDescent="0.25">
      <c r="A11" s="216"/>
      <c r="B11" s="217" t="s">
        <v>43</v>
      </c>
      <c r="C11" s="845"/>
      <c r="D11" s="50">
        <f>D$9-Prod_an</f>
        <v>422.93157902084477</v>
      </c>
      <c r="E11" s="51">
        <f>(E$9-D$9)*Prod_an/D$9</f>
        <v>374.16679456507927</v>
      </c>
      <c r="F11" s="186">
        <f>(F$9-E$9)*Prod_an/E$9</f>
        <v>31.364395858997668</v>
      </c>
      <c r="G11" s="185" t="s">
        <v>6</v>
      </c>
      <c r="K11" s="194"/>
      <c r="L11" s="211">
        <f>Tvie_2025</f>
        <v>43209</v>
      </c>
      <c r="M11" s="849"/>
      <c r="N11" s="849"/>
      <c r="O11" s="202">
        <f>IF(An_Tnet,Salim_2025,'2024'!Salim)</f>
        <v>0.14666666666666667</v>
      </c>
      <c r="P11" s="256">
        <f>Ttai_2025</f>
        <v>45747</v>
      </c>
      <c r="Q11" s="272">
        <f>Dens_2025</f>
        <v>0.7</v>
      </c>
      <c r="R11" s="277"/>
      <c r="S11" s="230"/>
      <c r="T11" s="230"/>
      <c r="U11" s="266">
        <f>Htf_2025</f>
        <v>-1.998875338297653</v>
      </c>
      <c r="V11" s="429"/>
      <c r="W11" s="518"/>
      <c r="X11" s="525" t="s">
        <v>43</v>
      </c>
      <c r="Y11" s="50">
        <f>Z$9-Prod_an_s</f>
        <v>392.38242521842767</v>
      </c>
      <c r="Z11" s="51">
        <f>(AA$9-Z$9)*Prod_an_s/Z$9</f>
        <v>852.7521478082308</v>
      </c>
      <c r="AA11" s="186">
        <f>(AB$9-AA$9)*Prod_an_s/AA$9</f>
        <v>58.985855136793532</v>
      </c>
      <c r="AB11" s="526" t="s">
        <v>6</v>
      </c>
      <c r="AC11" s="325"/>
      <c r="AD11" s="429"/>
      <c r="AE11" s="272">
        <f>IF(Acti_tai,IF(GainD,Dd_s,Dd)+PousD*Croi_tai,"NA")</f>
        <v>0.7</v>
      </c>
      <c r="AF11" s="247"/>
      <c r="AG11" s="247"/>
      <c r="AH11" s="247"/>
      <c r="AI11" s="266">
        <f>IF(Acti_tai,IF(GainD,Hdd_s,Hdd)+PousH*Croi_tai,"NA")</f>
        <v>0.62498803107840295</v>
      </c>
      <c r="AJ11" s="838">
        <f>IF($AJ7=0,0,($AJ9-$AJ7)*$AJ5/$AJ7)</f>
        <v>186.90961229875955</v>
      </c>
      <c r="AK11" s="839">
        <f>IF($AK7=0,0,($AK9-$AK7)*$AK5/$AK7)</f>
        <v>25.151821692314577</v>
      </c>
      <c r="AL11" s="838">
        <f>IF($AL7=0,0,($AL9-$AL7)*$AL5/$AL7)</f>
        <v>252.02278632047199</v>
      </c>
      <c r="AM11" s="839">
        <f>IF($AM7=0,0,($AM9-$AM7)*$AM5/$AM7)</f>
        <v>24.202431790166862</v>
      </c>
      <c r="AN11" s="837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4.129892302115179E-2</v>
      </c>
      <c r="K12" s="191"/>
      <c r="L12" s="212">
        <f>Pspv_2025</f>
        <v>0</v>
      </c>
      <c r="M12" s="212"/>
      <c r="N12" s="212"/>
      <c r="O12" s="205">
        <f>IF(An_Tnet,Tau_2025*365,'2024'!Tau_j)</f>
        <v>730</v>
      </c>
      <c r="P12" s="281">
        <f>INDEX(Croivg,MIN(MAX(Ttai-$A$15,0)+1,366))</f>
        <v>4.9976218279140845E-2</v>
      </c>
      <c r="Q12" s="280">
        <f>'2024'!Df</f>
        <v>0.7</v>
      </c>
      <c r="R12" s="278"/>
      <c r="S12" s="279"/>
      <c r="T12" s="279"/>
      <c r="U12" s="267">
        <f>'2024'!Hdf</f>
        <v>0.59999992193883256</v>
      </c>
      <c r="V12" s="40"/>
      <c r="W12" s="34"/>
      <c r="X12" s="54"/>
      <c r="Y12" s="34"/>
      <c r="AB12" s="319" t="s">
        <v>102</v>
      </c>
      <c r="AC12" s="318" t="b">
        <f>NOT(An_Tnet)</f>
        <v>0</v>
      </c>
      <c r="AE12" s="296">
        <f>'2024'!Df_s</f>
        <v>0.7</v>
      </c>
      <c r="AF12" s="203"/>
      <c r="AG12" s="203"/>
      <c r="AH12" s="203"/>
      <c r="AI12" s="297">
        <f>'2024'!Hdf_s</f>
        <v>0.59999992193883256</v>
      </c>
      <c r="AJ12" s="838">
        <f>IF($AJ8=0,0,($AJ10-$AJ8)*$AJ6/$AJ8)</f>
        <v>187.55485810258222</v>
      </c>
      <c r="AK12" s="839">
        <f>IF($AK8=0,0,($AK10-$AK8)*$AK6/$AK8)</f>
        <v>5.0910157576099193</v>
      </c>
      <c r="AL12" s="838">
        <f>IF($AL8=0,0,($AL10-$AL8)*$AL6/$AL8)</f>
        <v>600.83508016175267</v>
      </c>
      <c r="AM12" s="839">
        <f>IF($AM8=0,0,($AM10-$AM8)*$AM6/$AM8)</f>
        <v>34.540918283972715</v>
      </c>
      <c r="AN12" s="837" t="s">
        <v>284</v>
      </c>
    </row>
    <row r="13" spans="1:40" s="37" customFormat="1" ht="11.25" x14ac:dyDescent="0.2">
      <c r="A13" s="130" t="s">
        <v>64</v>
      </c>
      <c r="B13" s="124" t="s">
        <v>34</v>
      </c>
      <c r="C13" s="124"/>
      <c r="D13" s="124" t="s">
        <v>68</v>
      </c>
      <c r="E13" s="124" t="s">
        <v>69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42" t="s">
        <v>46</v>
      </c>
      <c r="X13" s="259"/>
      <c r="Y13" s="124" t="s">
        <v>96</v>
      </c>
      <c r="Z13" s="124" t="s">
        <v>97</v>
      </c>
      <c r="AA13" s="124" t="s">
        <v>70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374.46447040134177</v>
      </c>
      <c r="AK13" s="73">
        <f>+AK11+AK12</f>
        <v>30.242837449924497</v>
      </c>
      <c r="AL13" s="73">
        <f>+AL11+AL12</f>
        <v>852.85786648222461</v>
      </c>
      <c r="AM13" s="73">
        <f>+AM11+AM12</f>
        <v>58.743350074139578</v>
      </c>
      <c r="AN13" s="836" t="s">
        <v>285</v>
      </c>
    </row>
    <row r="14" spans="1:40" s="46" customFormat="1" ht="40.5" customHeight="1" thickBot="1" x14ac:dyDescent="0.25">
      <c r="A14" s="45" t="s">
        <v>2</v>
      </c>
      <c r="B14" s="416" t="s">
        <v>187</v>
      </c>
      <c r="C14" s="416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3" t="s">
        <v>112</v>
      </c>
      <c r="I14" s="415" t="s">
        <v>3</v>
      </c>
      <c r="J14" s="79" t="s">
        <v>31</v>
      </c>
      <c r="K14" s="196"/>
      <c r="L14" s="23" t="s">
        <v>63</v>
      </c>
      <c r="M14" s="23"/>
      <c r="N14" s="23"/>
      <c r="O14" s="23" t="s">
        <v>61</v>
      </c>
      <c r="P14" s="23" t="s">
        <v>83</v>
      </c>
      <c r="Q14" s="23" t="s">
        <v>84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2025</v>
      </c>
      <c r="W14" s="843" t="s">
        <v>111</v>
      </c>
      <c r="X14" s="258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131</v>
      </c>
      <c r="AD14" s="23" t="s">
        <v>132</v>
      </c>
      <c r="AE14" s="23" t="s">
        <v>95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7" t="s">
        <v>268</v>
      </c>
      <c r="AK14" s="697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45658</v>
      </c>
      <c r="B15" s="410">
        <f>'2024'!Wh/'2024'!Env_an*'2025'!Env_an</f>
        <v>10.707455538412574</v>
      </c>
      <c r="C15" s="846"/>
      <c r="D15" s="393">
        <f t="shared" ref="D15:D78" si="0">Wh/(1-Ppv)</f>
        <v>11.297486312397478</v>
      </c>
      <c r="E15" s="400">
        <f t="shared" ref="E15:E79" si="1">Wh_pvt/(1-Psa)</f>
        <v>12.423666239070505</v>
      </c>
      <c r="F15" s="400">
        <f t="shared" ref="F15:F78" si="2">Wh_sa/(1-Pvg*MEDIAN((-Sdif+Wh/Env_an)/Csdif,0,1))</f>
        <v>13.103325623105681</v>
      </c>
      <c r="G15" s="123">
        <f>+Wh_hp/MaxiM</f>
        <v>0.97344493972390034</v>
      </c>
      <c r="H15" s="414" t="b">
        <f>Wh_hp&gt;='2024'!Maxi_hp</f>
        <v>0</v>
      </c>
      <c r="I15" s="396">
        <f>IF(H15,Wh_hp,'2024'!Maxi_hp)</f>
        <v>13.113081184620425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5.222673059027505E-2</v>
      </c>
      <c r="M15" s="850"/>
      <c r="N15" s="850"/>
      <c r="O15" s="48">
        <f>IF(t&lt;Tnet,'2024'!Resal+('2024'!Salim-'2024'!Resal)*(1-EXP(('2024'!Tnet-t)/('2024'!Tau_j))),Resal+(Salim-Resal)*(1-EXP((Tnet-t)/(Tau_j))))*Salcycl</f>
        <v>9.064795407424614E-2</v>
      </c>
      <c r="P15" s="302">
        <f>(INDEX(Models!$BJ15:$BT15,,T15)*(1-R15)+INDEX(Models!$BJ15:$BT15,,T15+1)*R15-ERP_i)*Q15*Ramure*Pc/MaxiM</f>
        <v>5.3759301164351153E-2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0.60000111743706197</v>
      </c>
      <c r="S15" s="816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0.60000111743706197</v>
      </c>
      <c r="V15" s="382">
        <f t="shared" ref="V15:V78" si="9">MaxiM*(1-Ppv)*(1-Pvg)*(1-Psa)</f>
        <v>10.97762192580621</v>
      </c>
      <c r="W15" s="402">
        <f t="shared" ref="W15:W78" si="10">Wh*(A15&gt;Tmaj)</f>
        <v>10.707455538412574</v>
      </c>
      <c r="X15" s="156">
        <f t="shared" ref="X15:X78" si="11">t</f>
        <v>45658</v>
      </c>
      <c r="Y15" s="385">
        <f t="shared" ref="Y15:Y78" si="12">Wh_pvt_s*(1-Ppv)</f>
        <v>10.27575163865836</v>
      </c>
      <c r="Z15" s="385">
        <f>Wh_sa_s*(1-Psa_s)</f>
        <v>10.841993512919094</v>
      </c>
      <c r="AA15" s="386">
        <f t="shared" ref="AA15:AA78" si="13">Wh_hp*(1-Pvg_s*MEDIAN((-Sdif+Wh/Env_an)/Csdif,0,1))</f>
        <v>12.423666239070505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0.12731126993554409</v>
      </c>
      <c r="AD15" s="231">
        <f>(INDEX(Models!$BJ15:$BT15,,AH15)*(1-AF15)+INDEX(Models!$BJ15:$BT15,,AH15+1)*AF15-ERP_i)*AE15*Ramure*Pc/MaxiM</f>
        <v>5.3759301164351153E-2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0.60000111743706197</v>
      </c>
      <c r="AG15" s="816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0.60000111743706197</v>
      </c>
      <c r="AJ15" s="265" t="b">
        <f t="shared" ref="AJ15:AJ78" si="18">t&lt;Tnet</f>
        <v>1</v>
      </c>
      <c r="AK15" s="265" t="b">
        <f t="shared" ref="AK15:AK78" si="19">t&lt;Ttai</f>
        <v>1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45659</v>
      </c>
      <c r="B16" s="411">
        <f>'2024'!Wh/'2024'!Env_an*'2025'!Env_an</f>
        <v>8.3590154440291933</v>
      </c>
      <c r="C16" s="846"/>
      <c r="D16" s="393">
        <f t="shared" si="0"/>
        <v>8.8198293850769662</v>
      </c>
      <c r="E16" s="385">
        <f t="shared" si="1"/>
        <v>9.6998067881657821</v>
      </c>
      <c r="F16" s="385">
        <f t="shared" si="2"/>
        <v>10.050793137524224</v>
      </c>
      <c r="G16" s="110">
        <f t="shared" ref="G16:G79" si="21">+Wh_hp/MaxiM</f>
        <v>0.73862461239403143</v>
      </c>
      <c r="H16" s="414" t="b">
        <f>Wh_hp&gt;='2024'!Maxi_hp</f>
        <v>0</v>
      </c>
      <c r="I16" s="390">
        <f>IF(H16,Wh_hp,'2024'!Maxi_hp)</f>
        <v>13.53519224964062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5.2247489257271185E-2</v>
      </c>
      <c r="M16" s="850"/>
      <c r="N16" s="850"/>
      <c r="O16" s="48">
        <f>IF(t&lt;Tnet,'2024'!Resal+('2024'!Salim-'2024'!Resal)*(1-EXP(('2024'!Tnet-t)/('2024'!Tau_j))),Resal+(Salim-Resal)*(1-EXP((Tnet-t)/(Tau_j))))*Salcycl</f>
        <v>9.0721126957129666E-2</v>
      </c>
      <c r="P16" s="169">
        <f>(INDEX(Models!$BJ16:$BT16,,T16)*(1-R16)+INDEX(Models!$BJ16:$BT16,,T16+1)*R16-ERP_i)*Q16*Ramure*Pc/MaxiM</f>
        <v>5.3908843409991539E-2</v>
      </c>
      <c r="Q16" s="305">
        <f t="shared" si="4"/>
        <v>0.7</v>
      </c>
      <c r="R16" s="177">
        <f t="shared" si="5"/>
        <v>0.60003033205105616</v>
      </c>
      <c r="S16" s="817">
        <f t="shared" si="6"/>
        <v>0</v>
      </c>
      <c r="T16" s="176">
        <f t="shared" si="7"/>
        <v>6</v>
      </c>
      <c r="U16" s="251">
        <f t="shared" si="8"/>
        <v>0.60003033205105616</v>
      </c>
      <c r="V16" s="383">
        <f t="shared" si="9"/>
        <v>11.094342945250574</v>
      </c>
      <c r="W16" s="402">
        <f t="shared" si="10"/>
        <v>8.3590154440291933</v>
      </c>
      <c r="X16" s="157">
        <f t="shared" si="11"/>
        <v>45659</v>
      </c>
      <c r="Y16" s="385">
        <f t="shared" si="12"/>
        <v>8.0224438350587466</v>
      </c>
      <c r="Z16" s="385">
        <f t="shared" ref="Z16:Z78" si="22">Wh_sa_s*(1-Psa_s)</f>
        <v>8.4647033314338227</v>
      </c>
      <c r="AA16" s="386">
        <f t="shared" si="13"/>
        <v>9.6998067881657821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0.12733278958080305</v>
      </c>
      <c r="AD16" s="231">
        <f>(INDEX(Models!$BJ16:$BT16,,AH16)*(1-AF16)+INDEX(Models!$BJ16:$BT16,,AH16+1)*AF16-ERP_i)*AE16*Ramure*Pc/MaxiM</f>
        <v>5.3908843409991539E-2</v>
      </c>
      <c r="AE16" s="305">
        <f t="shared" si="15"/>
        <v>0.7</v>
      </c>
      <c r="AF16" s="177">
        <f t="shared" ref="AF16:AF78" si="23">(Hp_vg_s-AG16)/(INDEX(Echel_vg,AH16+1)-AG16)</f>
        <v>0.60003033205105616</v>
      </c>
      <c r="AG16" s="817">
        <f t="shared" ref="AG16:AG79" si="24">INDEX(Echel_vg,AH16)</f>
        <v>0</v>
      </c>
      <c r="AH16" s="176">
        <f t="shared" si="16"/>
        <v>6</v>
      </c>
      <c r="AI16" s="225">
        <f t="shared" si="17"/>
        <v>0.60003033205105616</v>
      </c>
      <c r="AJ16" s="265" t="b">
        <f t="shared" si="18"/>
        <v>1</v>
      </c>
      <c r="AK16" s="265" t="b">
        <f t="shared" si="19"/>
        <v>1</v>
      </c>
      <c r="AL16" s="265"/>
      <c r="AM16" s="265"/>
      <c r="AN16" s="75"/>
    </row>
    <row r="17" spans="1:40" s="6" customFormat="1" ht="11.25" x14ac:dyDescent="0.2">
      <c r="A17" s="56">
        <f t="shared" si="20"/>
        <v>45660</v>
      </c>
      <c r="B17" s="411">
        <f>'2024'!Wh/'2024'!Env_an*'2025'!Env_an</f>
        <v>9.5891830514868239</v>
      </c>
      <c r="C17" s="846"/>
      <c r="D17" s="393">
        <f t="shared" si="0"/>
        <v>10.118035009256722</v>
      </c>
      <c r="E17" s="385">
        <f t="shared" si="1"/>
        <v>11.128434459467815</v>
      </c>
      <c r="F17" s="385">
        <f t="shared" si="2"/>
        <v>11.627332623248842</v>
      </c>
      <c r="G17" s="110">
        <f t="shared" si="21"/>
        <v>0.84503840851209477</v>
      </c>
      <c r="H17" s="414" t="b">
        <f>Wh_hp&gt;='2024'!Maxi_hp</f>
        <v>0</v>
      </c>
      <c r="I17" s="390">
        <f>IF(H17,Wh_hp,'2024'!Maxi_hp)</f>
        <v>14.124165439868252</v>
      </c>
      <c r="J17" s="85">
        <f>IF(H17,An,'2024'!An_max)</f>
        <v>2019</v>
      </c>
      <c r="K17" s="197">
        <f t="shared" si="3"/>
        <v>45660</v>
      </c>
      <c r="L17" s="147">
        <f>IF(t&lt;Tvie,1-EXP((T0-t)*PertePVj)+'2024'!Pspv,1-EXP((T0-t)*PertePVj)+Pspv)</f>
        <v>5.2268247469599127E-2</v>
      </c>
      <c r="M17" s="850"/>
      <c r="N17" s="850"/>
      <c r="O17" s="48">
        <f>IF(t&lt;Tnet,'2024'!Resal+('2024'!Salim-'2024'!Resal)*(1-EXP(('2024'!Tnet-t)/('2024'!Tau_j))),Resal+(Salim-Resal)*(1-EXP((Tnet-t)/(Tau_j))))*Salcycl</f>
        <v>9.0794392858329506E-2</v>
      </c>
      <c r="P17" s="169">
        <f>(INDEX(Models!$BJ17:$BT17,,T17)*(1-R17)+INDEX(Models!$BJ17:$BT17,,T17+1)*R17-ERP_i)*Q17*Ramure*Pc/MaxiM</f>
        <v>5.4112617446179463E-2</v>
      </c>
      <c r="Q17" s="305">
        <f t="shared" si="4"/>
        <v>0.7</v>
      </c>
      <c r="R17" s="177">
        <f t="shared" si="5"/>
        <v>0.60006076864654578</v>
      </c>
      <c r="S17" s="817">
        <f t="shared" si="6"/>
        <v>0</v>
      </c>
      <c r="T17" s="176">
        <f t="shared" si="7"/>
        <v>6</v>
      </c>
      <c r="U17" s="251">
        <f t="shared" si="8"/>
        <v>0.60006076864654578</v>
      </c>
      <c r="V17" s="383">
        <f t="shared" si="9"/>
        <v>11.214776339795787</v>
      </c>
      <c r="W17" s="402">
        <f t="shared" si="10"/>
        <v>9.5891830514868239</v>
      </c>
      <c r="X17" s="157">
        <f t="shared" si="11"/>
        <v>45660</v>
      </c>
      <c r="Y17" s="385">
        <f t="shared" si="12"/>
        <v>9.2035913814877404</v>
      </c>
      <c r="Z17" s="385">
        <f t="shared" si="22"/>
        <v>9.7111776163609242</v>
      </c>
      <c r="AA17" s="386">
        <f t="shared" si="13"/>
        <v>11.128434459467815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0.12735455721726627</v>
      </c>
      <c r="AD17" s="231">
        <f>(INDEX(Models!$BJ17:$BT17,,AH17)*(1-AF17)+INDEX(Models!$BJ17:$BT17,,AH17+1)*AF17-ERP_i)*AE17*Ramure*Pc/MaxiM</f>
        <v>5.4112617446179463E-2</v>
      </c>
      <c r="AE17" s="305">
        <f t="shared" si="15"/>
        <v>0.7</v>
      </c>
      <c r="AF17" s="177">
        <f>(Hp_vg_s-AG17)/(INDEX(Echel_vg,AH17+1)-AG17)</f>
        <v>0.60006076864654578</v>
      </c>
      <c r="AG17" s="817">
        <f>INDEX(Echel_vg,AH17)</f>
        <v>0</v>
      </c>
      <c r="AH17" s="176">
        <f t="shared" si="16"/>
        <v>6</v>
      </c>
      <c r="AI17" s="225">
        <f t="shared" si="17"/>
        <v>0.60006076864654578</v>
      </c>
      <c r="AJ17" s="265" t="b">
        <f t="shared" si="18"/>
        <v>1</v>
      </c>
      <c r="AK17" s="265" t="b">
        <f t="shared" si="19"/>
        <v>1</v>
      </c>
      <c r="AL17" s="265"/>
      <c r="AM17" s="265"/>
      <c r="AN17" s="75"/>
    </row>
    <row r="18" spans="1:40" s="6" customFormat="1" ht="11.25" x14ac:dyDescent="0.2">
      <c r="A18" s="56">
        <f t="shared" si="20"/>
        <v>45661</v>
      </c>
      <c r="B18" s="411">
        <f>'2024'!Wh/'2024'!Env_an*'2025'!Env_an</f>
        <v>10.054710492565393</v>
      </c>
      <c r="C18" s="846"/>
      <c r="D18" s="393">
        <f t="shared" si="0"/>
        <v>10.609469076568638</v>
      </c>
      <c r="E18" s="385">
        <f t="shared" si="1"/>
        <v>11.669885054694106</v>
      </c>
      <c r="F18" s="385">
        <f t="shared" si="2"/>
        <v>12.22714158654574</v>
      </c>
      <c r="G18" s="110">
        <f t="shared" si="21"/>
        <v>0.87859903089319924</v>
      </c>
      <c r="H18" s="414" t="b">
        <f>Wh_hp&gt;='2024'!Maxi_hp</f>
        <v>0</v>
      </c>
      <c r="I18" s="390">
        <f>IF(H18,Wh_hp,'2024'!Maxi_hp)</f>
        <v>14.134069142951605</v>
      </c>
      <c r="J18" s="85">
        <f>IF(H18,An,'2024'!An_max)</f>
        <v>2019</v>
      </c>
      <c r="K18" s="197">
        <f t="shared" si="3"/>
        <v>45661</v>
      </c>
      <c r="L18" s="147">
        <f>IF(t&lt;Tvie,1-EXP((T0-t)*PertePVj)+'2024'!Pspv,1-EXP((T0-t)*PertePVj)+Pspv)</f>
        <v>5.2289005227268981E-2</v>
      </c>
      <c r="M18" s="850"/>
      <c r="N18" s="850"/>
      <c r="O18" s="48">
        <f>IF(t&lt;Tnet,'2024'!Resal+('2024'!Salim-'2024'!Resal)*(1-EXP(('2024'!Tnet-t)/('2024'!Tau_j))),Resal+(Salim-Resal)*(1-EXP((Tnet-t)/(Tau_j))))*Salcycl</f>
        <v>9.0867731186343156E-2</v>
      </c>
      <c r="P18" s="169">
        <f>(INDEX(Models!$BJ18:$BT18,,T18)*(1-R18)+INDEX(Models!$BJ18:$BT18,,T18+1)*R18-ERP_i)*Q18*Ramure*Pc/MaxiM</f>
        <v>5.4370097450270251E-2</v>
      </c>
      <c r="Q18" s="305">
        <f t="shared" si="4"/>
        <v>0.7</v>
      </c>
      <c r="R18" s="177">
        <f t="shared" si="5"/>
        <v>0.60009247817784084</v>
      </c>
      <c r="S18" s="817">
        <f t="shared" si="6"/>
        <v>0</v>
      </c>
      <c r="T18" s="176">
        <f t="shared" si="7"/>
        <v>6</v>
      </c>
      <c r="U18" s="251">
        <f t="shared" si="8"/>
        <v>0.60009247817784084</v>
      </c>
      <c r="V18" s="383">
        <f t="shared" si="9"/>
        <v>11.338573255726878</v>
      </c>
      <c r="W18" s="402">
        <f t="shared" si="10"/>
        <v>10.054710492565393</v>
      </c>
      <c r="X18" s="157">
        <f t="shared" si="11"/>
        <v>45661</v>
      </c>
      <c r="Y18" s="385">
        <f t="shared" si="12"/>
        <v>9.6509347731064068</v>
      </c>
      <c r="Z18" s="385">
        <f>Wh_sa_s*(1-Psa_s)</f>
        <v>10.183415436074773</v>
      </c>
      <c r="AA18" s="386">
        <f t="shared" si="13"/>
        <v>11.669885054694106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0.12737654326949985</v>
      </c>
      <c r="AD18" s="231">
        <f>(INDEX(Models!$BJ18:$BT18,,AH18)*(1-AF18)+INDEX(Models!$BJ18:$BT18,,AH18+1)*AF18-ERP_i)*AE18*Ramure*Pc/MaxiM</f>
        <v>5.4370097450270251E-2</v>
      </c>
      <c r="AE18" s="305">
        <f t="shared" si="15"/>
        <v>0.7</v>
      </c>
      <c r="AF18" s="177">
        <f t="shared" si="23"/>
        <v>0.60009247817784084</v>
      </c>
      <c r="AG18" s="817">
        <f t="shared" si="24"/>
        <v>0</v>
      </c>
      <c r="AH18" s="176">
        <f t="shared" si="16"/>
        <v>6</v>
      </c>
      <c r="AI18" s="225">
        <f t="shared" si="17"/>
        <v>0.60009247817784084</v>
      </c>
      <c r="AJ18" s="265" t="b">
        <f t="shared" si="18"/>
        <v>1</v>
      </c>
      <c r="AK18" s="265" t="b">
        <f t="shared" si="19"/>
        <v>1</v>
      </c>
      <c r="AL18" s="265"/>
      <c r="AM18" s="265"/>
      <c r="AN18" s="75"/>
    </row>
    <row r="19" spans="1:40" s="6" customFormat="1" ht="11.25" x14ac:dyDescent="0.2">
      <c r="A19" s="56">
        <f t="shared" si="20"/>
        <v>45662</v>
      </c>
      <c r="B19" s="411">
        <f>'2024'!Wh/'2024'!Env_an*'2025'!Env_an</f>
        <v>8.3161394005421254</v>
      </c>
      <c r="C19" s="846"/>
      <c r="D19" s="393">
        <f t="shared" si="0"/>
        <v>8.7751662639744463</v>
      </c>
      <c r="E19" s="385">
        <f t="shared" si="1"/>
        <v>9.6530230283843856</v>
      </c>
      <c r="F19" s="385">
        <f t="shared" si="2"/>
        <v>9.9847611531832126</v>
      </c>
      <c r="G19" s="110">
        <f t="shared" si="21"/>
        <v>0.70922818467123905</v>
      </c>
      <c r="H19" s="414" t="b">
        <f>Wh_hp&gt;='2024'!Maxi_hp</f>
        <v>0</v>
      </c>
      <c r="I19" s="390">
        <f>IF(H19,Wh_hp,'2024'!Maxi_hp)</f>
        <v>14.283254951142144</v>
      </c>
      <c r="J19" s="85">
        <f>IF(H19,An,'2024'!An_max)</f>
        <v>2019</v>
      </c>
      <c r="K19" s="197">
        <f t="shared" si="3"/>
        <v>45662</v>
      </c>
      <c r="L19" s="147">
        <f>IF(t&lt;Tvie,1-EXP((T0-t)*PertePVj)+'2024'!Pspv,1-EXP((T0-t)*PertePVj)+Pspv)</f>
        <v>5.2309762530290627E-2</v>
      </c>
      <c r="M19" s="850"/>
      <c r="N19" s="850"/>
      <c r="O19" s="48">
        <f>IF(t&lt;Tnet,'2024'!Resal+('2024'!Salim-'2024'!Resal)*(1-EXP(('2024'!Tnet-t)/('2024'!Tau_j))),Resal+(Salim-Resal)*(1-EXP((Tnet-t)/(Tau_j))))*Salcycl</f>
        <v>9.0941124021835643E-2</v>
      </c>
      <c r="P19" s="169">
        <f>(INDEX(Models!$BJ19:$BT19,,T19)*(1-R19)+INDEX(Models!$BJ19:$BT19,,T19+1)*R19-ERP_i)*Q19*Ramure*Pc/MaxiM</f>
        <v>5.4680694973018688E-2</v>
      </c>
      <c r="Q19" s="305">
        <f t="shared" si="4"/>
        <v>0.7</v>
      </c>
      <c r="R19" s="177">
        <f t="shared" si="5"/>
        <v>0.60012551371040257</v>
      </c>
      <c r="S19" s="817">
        <f t="shared" si="6"/>
        <v>0</v>
      </c>
      <c r="T19" s="176">
        <f t="shared" si="7"/>
        <v>6</v>
      </c>
      <c r="U19" s="251">
        <f t="shared" si="8"/>
        <v>0.60012551371040257</v>
      </c>
      <c r="V19" s="383">
        <f t="shared" si="9"/>
        <v>11.465384925990586</v>
      </c>
      <c r="W19" s="402">
        <f t="shared" si="10"/>
        <v>8.3161394005421254</v>
      </c>
      <c r="X19" s="157">
        <f t="shared" si="11"/>
        <v>45662</v>
      </c>
      <c r="Y19" s="385">
        <f t="shared" si="12"/>
        <v>7.9826225350638573</v>
      </c>
      <c r="Z19" s="385">
        <f t="shared" si="22"/>
        <v>8.4232402312986814</v>
      </c>
      <c r="AA19" s="386">
        <f t="shared" si="13"/>
        <v>9.6530230283843856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0.12739872198269592</v>
      </c>
      <c r="AD19" s="231">
        <f>(INDEX(Models!$BJ19:$BT19,,AH19)*(1-AF19)+INDEX(Models!$BJ19:$BT19,,AH19+1)*AF19-ERP_i)*AE19*Ramure*Pc/MaxiM</f>
        <v>5.4680694973018688E-2</v>
      </c>
      <c r="AE19" s="305">
        <f t="shared" si="15"/>
        <v>0.7</v>
      </c>
      <c r="AF19" s="177">
        <f t="shared" si="23"/>
        <v>0.60012551371040257</v>
      </c>
      <c r="AG19" s="817">
        <f t="shared" si="24"/>
        <v>0</v>
      </c>
      <c r="AH19" s="176">
        <f t="shared" si="16"/>
        <v>6</v>
      </c>
      <c r="AI19" s="225">
        <f t="shared" si="17"/>
        <v>0.60012551371040257</v>
      </c>
      <c r="AJ19" s="265" t="b">
        <f t="shared" si="18"/>
        <v>1</v>
      </c>
      <c r="AK19" s="265" t="b">
        <f t="shared" si="19"/>
        <v>1</v>
      </c>
      <c r="AL19" s="265"/>
      <c r="AM19" s="265"/>
      <c r="AN19" s="75"/>
    </row>
    <row r="20" spans="1:40" s="6" customFormat="1" ht="11.25" x14ac:dyDescent="0.2">
      <c r="A20" s="56">
        <f t="shared" si="20"/>
        <v>45663</v>
      </c>
      <c r="B20" s="411">
        <f>'2024'!Wh/'2024'!Env_an*'2025'!Env_an</f>
        <v>11.913023594556963</v>
      </c>
      <c r="C20" s="846"/>
      <c r="D20" s="393">
        <f t="shared" si="0"/>
        <v>12.57086340561095</v>
      </c>
      <c r="E20" s="385">
        <f t="shared" si="1"/>
        <v>13.829554135488625</v>
      </c>
      <c r="F20" s="385">
        <f t="shared" si="2"/>
        <v>14.635126795331709</v>
      </c>
      <c r="G20" s="110">
        <f t="shared" si="21"/>
        <v>1.0274398158824209</v>
      </c>
      <c r="H20" s="414" t="b">
        <f>Wh_hp&gt;='2024'!Maxi_hp</f>
        <v>1</v>
      </c>
      <c r="I20" s="390">
        <f>IF(H20,Wh_hp,'2024'!Maxi_hp)</f>
        <v>14.635126795331709</v>
      </c>
      <c r="J20" s="85">
        <f>IF(H20,An,'2024'!An_max)</f>
        <v>2025</v>
      </c>
      <c r="K20" s="197">
        <f t="shared" si="3"/>
        <v>45663</v>
      </c>
      <c r="L20" s="147">
        <f>IF(t&lt;Tvie,1-EXP((T0-t)*PertePVj)+'2024'!Pspv,1-EXP((T0-t)*PertePVj)+Pspv)</f>
        <v>5.2330519378674056E-2</v>
      </c>
      <c r="M20" s="850"/>
      <c r="N20" s="850"/>
      <c r="O20" s="48">
        <f>IF(t&lt;Tnet,'2024'!Resal+('2024'!Salim-'2024'!Resal)*(1-EXP(('2024'!Tnet-t)/('2024'!Tau_j))),Resal+(Salim-Resal)*(1-EXP((Tnet-t)/(Tau_j))))*Salcycl</f>
        <v>9.1014556040363792E-2</v>
      </c>
      <c r="P20" s="169">
        <f>(INDEX(Models!$BJ20:$BT20,,T20)*(1-R20)+INDEX(Models!$BJ20:$BT20,,T20+1)*R20-ERP_i)*Q20*Ramure*Pc/MaxiM</f>
        <v>5.5043777283845886E-2</v>
      </c>
      <c r="Q20" s="305">
        <f t="shared" si="4"/>
        <v>0.7</v>
      </c>
      <c r="R20" s="177">
        <f t="shared" si="5"/>
        <v>0.60015993050715322</v>
      </c>
      <c r="S20" s="817">
        <f t="shared" si="6"/>
        <v>0</v>
      </c>
      <c r="T20" s="176">
        <f t="shared" si="7"/>
        <v>6</v>
      </c>
      <c r="U20" s="251">
        <f t="shared" si="8"/>
        <v>0.60015993050715322</v>
      </c>
      <c r="V20" s="383">
        <f t="shared" si="9"/>
        <v>11.594862696970154</v>
      </c>
      <c r="W20" s="402">
        <f t="shared" si="10"/>
        <v>11.913023594556963</v>
      </c>
      <c r="X20" s="157">
        <f t="shared" si="11"/>
        <v>45663</v>
      </c>
      <c r="Y20" s="385">
        <f t="shared" si="12"/>
        <v>11.435885398130926</v>
      </c>
      <c r="Z20" s="385">
        <f t="shared" si="22"/>
        <v>12.067377531914557</v>
      </c>
      <c r="AA20" s="386">
        <f t="shared" si="13"/>
        <v>13.829554135488625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0.12742107130207972</v>
      </c>
      <c r="AD20" s="231">
        <f>(INDEX(Models!$BJ20:$BT20,,AH20)*(1-AF20)+INDEX(Models!$BJ20:$BT20,,AH20+1)*AF20-ERP_i)*AE20*Ramure*Pc/MaxiM</f>
        <v>5.5043777283845886E-2</v>
      </c>
      <c r="AE20" s="305">
        <f t="shared" si="15"/>
        <v>0.7</v>
      </c>
      <c r="AF20" s="177">
        <f t="shared" si="23"/>
        <v>0.60015993050715322</v>
      </c>
      <c r="AG20" s="817">
        <f t="shared" si="24"/>
        <v>0</v>
      </c>
      <c r="AH20" s="176">
        <f t="shared" si="16"/>
        <v>6</v>
      </c>
      <c r="AI20" s="225">
        <f t="shared" si="17"/>
        <v>0.60015993050715322</v>
      </c>
      <c r="AJ20" s="265" t="b">
        <f t="shared" si="18"/>
        <v>1</v>
      </c>
      <c r="AK20" s="265" t="b">
        <f t="shared" si="19"/>
        <v>1</v>
      </c>
      <c r="AL20" s="265"/>
      <c r="AM20" s="265"/>
      <c r="AN20" s="75"/>
    </row>
    <row r="21" spans="1:40" s="6" customFormat="1" ht="11.25" x14ac:dyDescent="0.2">
      <c r="A21" s="56">
        <f t="shared" si="20"/>
        <v>45664</v>
      </c>
      <c r="B21" s="411">
        <f>'2024'!Wh/'2024'!Env_an*'2025'!Env_an</f>
        <v>5.3051324167603591</v>
      </c>
      <c r="C21" s="846"/>
      <c r="D21" s="393">
        <f t="shared" si="0"/>
        <v>5.5982056231696795</v>
      </c>
      <c r="E21" s="385">
        <f t="shared" si="1"/>
        <v>6.1592384212689808</v>
      </c>
      <c r="F21" s="385">
        <f t="shared" si="2"/>
        <v>6.2345145479063522</v>
      </c>
      <c r="G21" s="110">
        <f t="shared" si="21"/>
        <v>0.43253230837943474</v>
      </c>
      <c r="H21" s="414" t="b">
        <f>Wh_hp&gt;='2024'!Maxi_hp</f>
        <v>0</v>
      </c>
      <c r="I21" s="390">
        <f>IF(H21,Wh_hp,'2024'!Maxi_hp)</f>
        <v>8.971852492930589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5.2351275772429262E-2</v>
      </c>
      <c r="M21" s="850"/>
      <c r="N21" s="850"/>
      <c r="O21" s="48">
        <f>IF(t&lt;Tnet,'2024'!Resal+('2024'!Salim-'2024'!Resal)*(1-EXP(('2024'!Tnet-t)/('2024'!Tau_j))),Resal+(Salim-Resal)*(1-EXP((Tnet-t)/(Tau_j))))*Salcycl</f>
        <v>9.1088014414566598E-2</v>
      </c>
      <c r="P21" s="169">
        <f>(INDEX(Models!$BJ21:$BT21,,T21)*(1-R21)+INDEX(Models!$BJ21:$BT21,,T21+1)*R21-ERP_i)*Q21*Ramure*Pc/MaxiM</f>
        <v>5.5458684427021968E-2</v>
      </c>
      <c r="Q21" s="305">
        <f t="shared" si="4"/>
        <v>0.7</v>
      </c>
      <c r="R21" s="177">
        <f t="shared" si="5"/>
        <v>0.60019578611821645</v>
      </c>
      <c r="S21" s="817">
        <f t="shared" si="6"/>
        <v>0</v>
      </c>
      <c r="T21" s="176">
        <f t="shared" si="7"/>
        <v>6</v>
      </c>
      <c r="U21" s="251">
        <f t="shared" si="8"/>
        <v>0.60019578611821645</v>
      </c>
      <c r="V21" s="383">
        <f t="shared" si="9"/>
        <v>11.726658059851255</v>
      </c>
      <c r="W21" s="402">
        <f t="shared" si="10"/>
        <v>5.3051324167603591</v>
      </c>
      <c r="X21" s="157">
        <f t="shared" si="11"/>
        <v>45664</v>
      </c>
      <c r="Y21" s="385">
        <f t="shared" si="12"/>
        <v>5.0929324964422795</v>
      </c>
      <c r="Z21" s="385">
        <f t="shared" si="22"/>
        <v>5.3742830716028589</v>
      </c>
      <c r="AA21" s="386">
        <f t="shared" si="13"/>
        <v>6.1592384212689808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0.12744357272410933</v>
      </c>
      <c r="AD21" s="231">
        <f>(INDEX(Models!$BJ21:$BT21,,AH21)*(1-AF21)+INDEX(Models!$BJ21:$BT21,,AH21+1)*AF21-ERP_i)*AE21*Ramure*Pc/MaxiM</f>
        <v>5.5458684427021968E-2</v>
      </c>
      <c r="AE21" s="305">
        <f t="shared" si="15"/>
        <v>0.7</v>
      </c>
      <c r="AF21" s="177">
        <f t="shared" si="23"/>
        <v>0.60019578611821645</v>
      </c>
      <c r="AG21" s="817">
        <f t="shared" si="24"/>
        <v>0</v>
      </c>
      <c r="AH21" s="176">
        <f t="shared" si="16"/>
        <v>6</v>
      </c>
      <c r="AI21" s="225">
        <f t="shared" si="17"/>
        <v>0.60019578611821645</v>
      </c>
      <c r="AJ21" s="265" t="b">
        <f t="shared" si="18"/>
        <v>1</v>
      </c>
      <c r="AK21" s="265" t="b">
        <f t="shared" si="19"/>
        <v>1</v>
      </c>
      <c r="AL21" s="265"/>
      <c r="AM21" s="265"/>
      <c r="AN21" s="75"/>
    </row>
    <row r="22" spans="1:40" s="6" customFormat="1" ht="11.25" x14ac:dyDescent="0.2">
      <c r="A22" s="56">
        <f t="shared" si="20"/>
        <v>45665</v>
      </c>
      <c r="B22" s="411">
        <f>'2024'!Wh/'2024'!Env_an*'2025'!Env_an</f>
        <v>4.2750778780287693</v>
      </c>
      <c r="C22" s="846"/>
      <c r="D22" s="393">
        <f t="shared" si="0"/>
        <v>4.5113462467240568</v>
      </c>
      <c r="E22" s="385">
        <f t="shared" si="1"/>
        <v>4.9638590251400956</v>
      </c>
      <c r="F22" s="385">
        <f t="shared" si="2"/>
        <v>4.9879479401224485</v>
      </c>
      <c r="G22" s="110">
        <f t="shared" si="21"/>
        <v>0.34194239707684426</v>
      </c>
      <c r="H22" s="414" t="b">
        <f>Wh_hp&gt;='2024'!Maxi_hp</f>
        <v>0</v>
      </c>
      <c r="I22" s="390">
        <f>IF(H22,Wh_hp,'2024'!Maxi_hp)</f>
        <v>12.341431159322497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5.2372031711566236E-2</v>
      </c>
      <c r="M22" s="850"/>
      <c r="N22" s="850"/>
      <c r="O22" s="48">
        <f>IF(t&lt;Tnet,'2024'!Resal+('2024'!Salim-'2024'!Resal)*(1-EXP(('2024'!Tnet-t)/('2024'!Tau_j))),Resal+(Salim-Resal)*(1-EXP((Tnet-t)/(Tau_j))))*Salcycl</f>
        <v>9.1161488697448931E-2</v>
      </c>
      <c r="P22" s="169">
        <f>(INDEX(Models!$BJ22:$BT22,,T22)*(1-R22)+INDEX(Models!$BJ22:$BT22,,T22+1)*R22-ERP_i)*Q22*Ramure*Pc/MaxiM</f>
        <v>5.5924744988685493E-2</v>
      </c>
      <c r="Q22" s="305">
        <f t="shared" si="4"/>
        <v>0.7</v>
      </c>
      <c r="R22" s="177">
        <f t="shared" si="5"/>
        <v>0.60023314047421361</v>
      </c>
      <c r="S22" s="817">
        <f t="shared" si="6"/>
        <v>0</v>
      </c>
      <c r="T22" s="176">
        <f t="shared" si="7"/>
        <v>6</v>
      </c>
      <c r="U22" s="251">
        <f t="shared" si="8"/>
        <v>0.60023314047421361</v>
      </c>
      <c r="V22" s="383">
        <f t="shared" si="9"/>
        <v>11.860422673816609</v>
      </c>
      <c r="W22" s="402">
        <f t="shared" si="10"/>
        <v>4.2750778780287693</v>
      </c>
      <c r="X22" s="157">
        <f t="shared" si="11"/>
        <v>45665</v>
      </c>
      <c r="Y22" s="385">
        <f t="shared" si="12"/>
        <v>4.1043043976200773</v>
      </c>
      <c r="Z22" s="385">
        <f t="shared" si="22"/>
        <v>4.3311347226624193</v>
      </c>
      <c r="AA22" s="386">
        <f t="shared" si="13"/>
        <v>4.9638590251400956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0.12746621112186371</v>
      </c>
      <c r="AD22" s="231">
        <f>(INDEX(Models!$BJ22:$BT22,,AH22)*(1-AF22)+INDEX(Models!$BJ22:$BT22,,AH22+1)*AF22-ERP_i)*AE22*Ramure*Pc/MaxiM</f>
        <v>5.5924744988685493E-2</v>
      </c>
      <c r="AE22" s="305">
        <f t="shared" si="15"/>
        <v>0.7</v>
      </c>
      <c r="AF22" s="177">
        <f t="shared" si="23"/>
        <v>0.60023314047421361</v>
      </c>
      <c r="AG22" s="817">
        <f t="shared" si="24"/>
        <v>0</v>
      </c>
      <c r="AH22" s="176">
        <f t="shared" si="16"/>
        <v>6</v>
      </c>
      <c r="AI22" s="225">
        <f t="shared" si="17"/>
        <v>0.60023314047421361</v>
      </c>
      <c r="AJ22" s="265" t="b">
        <f t="shared" si="18"/>
        <v>1</v>
      </c>
      <c r="AK22" s="265" t="b">
        <f t="shared" si="19"/>
        <v>1</v>
      </c>
      <c r="AL22" s="265"/>
      <c r="AM22" s="265"/>
      <c r="AN22" s="75"/>
    </row>
    <row r="23" spans="1:40" s="6" customFormat="1" ht="11.25" x14ac:dyDescent="0.2">
      <c r="A23" s="56">
        <f t="shared" si="20"/>
        <v>45666</v>
      </c>
      <c r="B23" s="411">
        <f>'2024'!Wh/'2024'!Env_an*'2025'!Env_an</f>
        <v>1.1787957457445501</v>
      </c>
      <c r="C23" s="846"/>
      <c r="D23" s="393">
        <f t="shared" si="0"/>
        <v>1.2439708455326906</v>
      </c>
      <c r="E23" s="385">
        <f t="shared" si="1"/>
        <v>1.3688586217662748</v>
      </c>
      <c r="F23" s="385">
        <f t="shared" si="2"/>
        <v>1.3688586217662748</v>
      </c>
      <c r="G23" s="110">
        <f t="shared" si="21"/>
        <v>9.2715582011885594E-2</v>
      </c>
      <c r="H23" s="414" t="b">
        <f>Wh_hp&gt;='2024'!Maxi_hp</f>
        <v>0</v>
      </c>
      <c r="I23" s="390">
        <f>IF(H23,Wh_hp,'2024'!Maxi_hp)</f>
        <v>13.592706813048993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5.2392787196094859E-2</v>
      </c>
      <c r="M23" s="850"/>
      <c r="N23" s="850"/>
      <c r="O23" s="48">
        <f>IF(t&lt;Tnet,'2024'!Resal+('2024'!Salim-'2024'!Resal)*(1-EXP(('2024'!Tnet-t)/('2024'!Tau_j))),Resal+(Salim-Resal)*(1-EXP((Tnet-t)/(Tau_j))))*Salcycl</f>
        <v>9.1234970688527456E-2</v>
      </c>
      <c r="P23" s="169">
        <f>(INDEX(Models!$BJ23:$BT23,,T23)*(1-R23)+INDEX(Models!$BJ23:$BT23,,T23+1)*R23-ERP_i)*Q23*Ramure*Pc/MaxiM</f>
        <v>5.6438010594372014E-2</v>
      </c>
      <c r="Q23" s="305">
        <f t="shared" si="4"/>
        <v>0.7</v>
      </c>
      <c r="R23" s="177">
        <f t="shared" si="5"/>
        <v>0.60027205598324873</v>
      </c>
      <c r="S23" s="817">
        <f t="shared" si="6"/>
        <v>0</v>
      </c>
      <c r="T23" s="176">
        <f t="shared" si="7"/>
        <v>6</v>
      </c>
      <c r="U23" s="251">
        <f t="shared" si="8"/>
        <v>0.60027205598324873</v>
      </c>
      <c r="V23" s="383">
        <f t="shared" si="9"/>
        <v>11.996547234261362</v>
      </c>
      <c r="W23" s="402">
        <f t="shared" si="10"/>
        <v>1.1787957457445501</v>
      </c>
      <c r="X23" s="157">
        <f t="shared" si="11"/>
        <v>45666</v>
      </c>
      <c r="Y23" s="385">
        <f t="shared" si="12"/>
        <v>1.1317692161836699</v>
      </c>
      <c r="Z23" s="385">
        <f t="shared" si="22"/>
        <v>1.1943442397771984</v>
      </c>
      <c r="AA23" s="386">
        <f t="shared" si="13"/>
        <v>1.3688586217662748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0.12748897454720046</v>
      </c>
      <c r="AD23" s="231">
        <f>(INDEX(Models!$BJ23:$BT23,,AH23)*(1-AF23)+INDEX(Models!$BJ23:$BT23,,AH23+1)*AF23-ERP_i)*AE23*Ramure*Pc/MaxiM</f>
        <v>5.6438010594372014E-2</v>
      </c>
      <c r="AE23" s="305">
        <f t="shared" si="15"/>
        <v>0.7</v>
      </c>
      <c r="AF23" s="177">
        <f t="shared" si="23"/>
        <v>0.60027205598324873</v>
      </c>
      <c r="AG23" s="817">
        <f t="shared" si="24"/>
        <v>0</v>
      </c>
      <c r="AH23" s="176">
        <f t="shared" si="16"/>
        <v>6</v>
      </c>
      <c r="AI23" s="225">
        <f t="shared" si="17"/>
        <v>0.60027205598324873</v>
      </c>
      <c r="AJ23" s="265" t="b">
        <f t="shared" si="18"/>
        <v>1</v>
      </c>
      <c r="AK23" s="265" t="b">
        <f t="shared" si="19"/>
        <v>1</v>
      </c>
      <c r="AL23" s="265"/>
      <c r="AM23" s="265"/>
      <c r="AN23" s="75"/>
    </row>
    <row r="24" spans="1:40" s="6" customFormat="1" ht="11.25" x14ac:dyDescent="0.2">
      <c r="A24" s="56">
        <f t="shared" si="20"/>
        <v>45667</v>
      </c>
      <c r="B24" s="411">
        <f>'2024'!Wh/'2024'!Env_an*'2025'!Env_an</f>
        <v>0.84612740135315356</v>
      </c>
      <c r="C24" s="846"/>
      <c r="D24" s="393">
        <f t="shared" si="0"/>
        <v>0.89292897171708829</v>
      </c>
      <c r="E24" s="385">
        <f t="shared" si="1"/>
        <v>0.98265354831074758</v>
      </c>
      <c r="F24" s="385">
        <f t="shared" si="2"/>
        <v>0.98265354831074758</v>
      </c>
      <c r="G24" s="110">
        <f t="shared" si="21"/>
        <v>6.5748404480078793E-2</v>
      </c>
      <c r="H24" s="414" t="b">
        <f>Wh_hp&gt;='2024'!Maxi_hp</f>
        <v>0</v>
      </c>
      <c r="I24" s="390">
        <f>IF(H24,Wh_hp,'2024'!Maxi_hp)</f>
        <v>10.238443369739281</v>
      </c>
      <c r="J24" s="85">
        <f>IF(H24,An,'2024'!An_max)</f>
        <v>2019</v>
      </c>
      <c r="K24" s="197">
        <f t="shared" si="3"/>
        <v>45667</v>
      </c>
      <c r="L24" s="147">
        <f>IF(t&lt;Tvie,1-EXP((T0-t)*PertePVj)+'2024'!Pspv,1-EXP((T0-t)*PertePVj)+Pspv)</f>
        <v>5.2413542226025012E-2</v>
      </c>
      <c r="M24" s="850"/>
      <c r="N24" s="850"/>
      <c r="O24" s="48">
        <f>IF(t&lt;Tnet,'2024'!Resal+('2024'!Salim-'2024'!Resal)*(1-EXP(('2024'!Tnet-t)/('2024'!Tau_j))),Resal+(Salim-Resal)*(1-EXP((Tnet-t)/(Tau_j))))*Salcycl</f>
        <v>9.130845428472964E-2</v>
      </c>
      <c r="P24" s="169">
        <f>(INDEX(Models!$BJ24:$BT24,,T24)*(1-R24)+INDEX(Models!$BJ24:$BT24,,T24+1)*R24-ERP_i)*Q24*Ramure*Pc/MaxiM</f>
        <v>5.6957136578672941E-2</v>
      </c>
      <c r="Q24" s="305">
        <f t="shared" si="4"/>
        <v>0.7</v>
      </c>
      <c r="R24" s="177">
        <f t="shared" si="5"/>
        <v>0.60031259763171829</v>
      </c>
      <c r="S24" s="817">
        <f t="shared" si="6"/>
        <v>0</v>
      </c>
      <c r="T24" s="176">
        <f t="shared" si="7"/>
        <v>6</v>
      </c>
      <c r="U24" s="251">
        <f t="shared" si="8"/>
        <v>0.60031259763171829</v>
      </c>
      <c r="V24" s="383">
        <f t="shared" si="9"/>
        <v>12.136179025197361</v>
      </c>
      <c r="W24" s="402">
        <f t="shared" si="10"/>
        <v>0.84612740135315356</v>
      </c>
      <c r="X24" s="157">
        <f t="shared" si="11"/>
        <v>45667</v>
      </c>
      <c r="Y24" s="385">
        <f t="shared" si="12"/>
        <v>0.81241663483817628</v>
      </c>
      <c r="Z24" s="385">
        <f t="shared" si="22"/>
        <v>0.85735357251375965</v>
      </c>
      <c r="AA24" s="386">
        <f t="shared" si="13"/>
        <v>0.98265354831074758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0.12751185401242132</v>
      </c>
      <c r="AD24" s="231">
        <f>(INDEX(Models!$BJ24:$BT24,,AH24)*(1-AF24)+INDEX(Models!$BJ24:$BT24,,AH24+1)*AF24-ERP_i)*AE24*Ramure*Pc/MaxiM</f>
        <v>5.6957136578672941E-2</v>
      </c>
      <c r="AE24" s="305">
        <f t="shared" si="15"/>
        <v>0.7</v>
      </c>
      <c r="AF24" s="177">
        <f t="shared" si="23"/>
        <v>0.60031259763171829</v>
      </c>
      <c r="AG24" s="817">
        <f t="shared" si="24"/>
        <v>0</v>
      </c>
      <c r="AH24" s="176">
        <f t="shared" si="16"/>
        <v>6</v>
      </c>
      <c r="AI24" s="225">
        <f t="shared" si="17"/>
        <v>0.60031259763171829</v>
      </c>
      <c r="AJ24" s="265" t="b">
        <f t="shared" si="18"/>
        <v>1</v>
      </c>
      <c r="AK24" s="265" t="b">
        <f t="shared" si="19"/>
        <v>1</v>
      </c>
      <c r="AL24" s="265"/>
      <c r="AM24" s="265"/>
      <c r="AN24" s="75"/>
    </row>
    <row r="25" spans="1:40" s="6" customFormat="1" ht="11.25" x14ac:dyDescent="0.2">
      <c r="A25" s="56">
        <f t="shared" si="20"/>
        <v>45668</v>
      </c>
      <c r="B25" s="411">
        <f>'2024'!Wh/'2024'!Env_an*'2025'!Env_an</f>
        <v>12.230598119997081</v>
      </c>
      <c r="C25" s="846"/>
      <c r="D25" s="393">
        <f t="shared" si="0"/>
        <v>12.907387929629662</v>
      </c>
      <c r="E25" s="385">
        <f t="shared" si="1"/>
        <v>14.205515420989984</v>
      </c>
      <c r="F25" s="385">
        <f t="shared" si="2"/>
        <v>15.06558383789741</v>
      </c>
      <c r="G25" s="110">
        <f t="shared" si="21"/>
        <v>0.99561039849088018</v>
      </c>
      <c r="H25" s="414" t="b">
        <f>Wh_hp&gt;='2024'!Maxi_hp</f>
        <v>0</v>
      </c>
      <c r="I25" s="390">
        <f>IF(H25,Wh_hp,'2024'!Maxi_hp)</f>
        <v>15.067623483252582</v>
      </c>
      <c r="J25" s="85">
        <f>IF(H25,An,'2024'!An_max)</f>
        <v>2022</v>
      </c>
      <c r="K25" s="197">
        <f t="shared" si="3"/>
        <v>45668</v>
      </c>
      <c r="L25" s="147">
        <f>IF(t&lt;Tvie,1-EXP((T0-t)*PertePVj)+'2024'!Pspv,1-EXP((T0-t)*PertePVj)+Pspv)</f>
        <v>5.2434296801366798E-2</v>
      </c>
      <c r="M25" s="850"/>
      <c r="N25" s="850"/>
      <c r="O25" s="48">
        <f>IF(t&lt;Tnet,'2024'!Resal+('2024'!Salim-'2024'!Resal)*(1-EXP(('2024'!Tnet-t)/('2024'!Tau_j))),Resal+(Salim-Resal)*(1-EXP((Tnet-t)/(Tau_j))))*Salcycl</f>
        <v>9.1381935318039773E-2</v>
      </c>
      <c r="P25" s="169">
        <f>(INDEX(Models!$BJ25:$BT25,,T25)*(1-R25)+INDEX(Models!$BJ25:$BT25,,T25+1)*R25-ERP_i)*Q25*Ramure*Pc/MaxiM</f>
        <v>5.7419650328705198E-2</v>
      </c>
      <c r="Q25" s="305">
        <f t="shared" si="4"/>
        <v>0.7</v>
      </c>
      <c r="R25" s="177">
        <f t="shared" si="5"/>
        <v>0.60035483308908433</v>
      </c>
      <c r="S25" s="817">
        <f t="shared" si="6"/>
        <v>0</v>
      </c>
      <c r="T25" s="176">
        <f t="shared" si="7"/>
        <v>6</v>
      </c>
      <c r="U25" s="251">
        <f t="shared" si="8"/>
        <v>0.60035483308908433</v>
      </c>
      <c r="V25" s="383">
        <f t="shared" si="9"/>
        <v>12.280205218854265</v>
      </c>
      <c r="W25" s="402">
        <f t="shared" si="10"/>
        <v>12.230598119997081</v>
      </c>
      <c r="X25" s="157">
        <f t="shared" si="11"/>
        <v>45668</v>
      </c>
      <c r="Y25" s="385">
        <f t="shared" si="12"/>
        <v>11.743956146845711</v>
      </c>
      <c r="Z25" s="385">
        <f t="shared" si="22"/>
        <v>12.393817238427305</v>
      </c>
      <c r="AA25" s="386">
        <f t="shared" si="13"/>
        <v>14.205515420989984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0.12753484325431264</v>
      </c>
      <c r="AD25" s="231">
        <f>(INDEX(Models!$BJ25:$BT25,,AH25)*(1-AF25)+INDEX(Models!$BJ25:$BT25,,AH25+1)*AF25-ERP_i)*AE25*Ramure*Pc/MaxiM</f>
        <v>5.7419650328705198E-2</v>
      </c>
      <c r="AE25" s="305">
        <f t="shared" si="15"/>
        <v>0.7</v>
      </c>
      <c r="AF25" s="177">
        <f t="shared" si="23"/>
        <v>0.60035483308908433</v>
      </c>
      <c r="AG25" s="817">
        <f t="shared" si="24"/>
        <v>0</v>
      </c>
      <c r="AH25" s="176">
        <f t="shared" si="16"/>
        <v>6</v>
      </c>
      <c r="AI25" s="225">
        <f t="shared" si="17"/>
        <v>0.60035483308908433</v>
      </c>
      <c r="AJ25" s="265" t="b">
        <f t="shared" si="18"/>
        <v>1</v>
      </c>
      <c r="AK25" s="265" t="b">
        <f t="shared" si="19"/>
        <v>1</v>
      </c>
      <c r="AL25" s="265"/>
      <c r="AM25" s="265"/>
      <c r="AN25" s="75"/>
    </row>
    <row r="26" spans="1:40" s="6" customFormat="1" ht="11.25" x14ac:dyDescent="0.2">
      <c r="A26" s="56">
        <f t="shared" si="20"/>
        <v>45669</v>
      </c>
      <c r="B26" s="411">
        <f>'2024'!Wh/'2024'!Env_an*'2025'!Env_an</f>
        <v>9.9705445046721071</v>
      </c>
      <c r="C26" s="846"/>
      <c r="D26" s="393">
        <f t="shared" si="0"/>
        <v>10.522502931787272</v>
      </c>
      <c r="E26" s="385">
        <f t="shared" si="1"/>
        <v>11.581713284752269</v>
      </c>
      <c r="F26" s="385">
        <f t="shared" si="2"/>
        <v>12.083013019165309</v>
      </c>
      <c r="G26" s="110">
        <f t="shared" si="21"/>
        <v>0.78854394915534531</v>
      </c>
      <c r="H26" s="414" t="b">
        <f>Wh_hp&gt;='2024'!Maxi_hp</f>
        <v>0</v>
      </c>
      <c r="I26" s="390">
        <f>IF(H26,Wh_hp,'2024'!Maxi_hp)</f>
        <v>15.033013193258533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5.2455050922130098E-2</v>
      </c>
      <c r="M26" s="850"/>
      <c r="N26" s="850"/>
      <c r="O26" s="48">
        <f>IF(t&lt;Tnet,'2024'!Resal+('2024'!Salim-'2024'!Resal)*(1-EXP(('2024'!Tnet-t)/('2024'!Tau_j))),Resal+(Salim-Resal)*(1-EXP((Tnet-t)/(Tau_j))))*Salcycl</f>
        <v>9.1455411381965807E-2</v>
      </c>
      <c r="P26" s="169">
        <f>(INDEX(Models!$BJ26:$BT26,,T26)*(1-R26)+INDEX(Models!$BJ26:$BT26,,T26+1)*R26-ERP_i)*Q26*Ramure*Pc/MaxiM</f>
        <v>5.7826596857356784E-2</v>
      </c>
      <c r="Q26" s="305">
        <f t="shared" si="4"/>
        <v>0.7</v>
      </c>
      <c r="R26" s="177">
        <f t="shared" si="5"/>
        <v>0.60039883281675543</v>
      </c>
      <c r="S26" s="817">
        <f t="shared" si="6"/>
        <v>0</v>
      </c>
      <c r="T26" s="176">
        <f t="shared" si="7"/>
        <v>6</v>
      </c>
      <c r="U26" s="251">
        <f t="shared" si="8"/>
        <v>0.60039883281675543</v>
      </c>
      <c r="V26" s="383">
        <f t="shared" si="9"/>
        <v>12.428715505701826</v>
      </c>
      <c r="W26" s="402">
        <f t="shared" si="10"/>
        <v>9.9705445046721071</v>
      </c>
      <c r="X26" s="157">
        <f t="shared" si="11"/>
        <v>45669</v>
      </c>
      <c r="Y26" s="385">
        <f t="shared" si="12"/>
        <v>9.5743483710902026</v>
      </c>
      <c r="Z26" s="385">
        <f t="shared" si="22"/>
        <v>10.104373814042015</v>
      </c>
      <c r="AA26" s="386">
        <f t="shared" si="13"/>
        <v>11.581713284752269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0.12755793848352495</v>
      </c>
      <c r="AD26" s="231">
        <f>(INDEX(Models!$BJ26:$BT26,,AH26)*(1-AF26)+INDEX(Models!$BJ26:$BT26,,AH26+1)*AF26-ERP_i)*AE26*Ramure*Pc/MaxiM</f>
        <v>5.7826596857356784E-2</v>
      </c>
      <c r="AE26" s="305">
        <f t="shared" si="15"/>
        <v>0.7</v>
      </c>
      <c r="AF26" s="177">
        <f t="shared" si="23"/>
        <v>0.60039883281675543</v>
      </c>
      <c r="AG26" s="817">
        <f t="shared" si="24"/>
        <v>0</v>
      </c>
      <c r="AH26" s="176">
        <f t="shared" si="16"/>
        <v>6</v>
      </c>
      <c r="AI26" s="225">
        <f t="shared" si="17"/>
        <v>0.60039883281675543</v>
      </c>
      <c r="AJ26" s="265" t="b">
        <f t="shared" si="18"/>
        <v>1</v>
      </c>
      <c r="AK26" s="265" t="b">
        <f t="shared" si="19"/>
        <v>1</v>
      </c>
      <c r="AL26" s="265"/>
      <c r="AM26" s="265"/>
      <c r="AN26" s="75"/>
    </row>
    <row r="27" spans="1:40" s="6" customFormat="1" ht="11.25" x14ac:dyDescent="0.2">
      <c r="A27" s="56">
        <f t="shared" si="20"/>
        <v>45670</v>
      </c>
      <c r="B27" s="411">
        <f>'2024'!Wh/'2024'!Env_an*'2025'!Env_an</f>
        <v>3.0391811024284157</v>
      </c>
      <c r="C27" s="846"/>
      <c r="D27" s="393">
        <f t="shared" si="0"/>
        <v>3.2074970931037483</v>
      </c>
      <c r="E27" s="385">
        <f t="shared" si="1"/>
        <v>3.5306538956633688</v>
      </c>
      <c r="F27" s="385">
        <f t="shared" si="2"/>
        <v>3.5306538956633688</v>
      </c>
      <c r="G27" s="110">
        <f t="shared" si="21"/>
        <v>0.22750039767918626</v>
      </c>
      <c r="H27" s="414" t="b">
        <f>Wh_hp&gt;='2024'!Maxi_hp</f>
        <v>0</v>
      </c>
      <c r="I27" s="390">
        <f>IF(H27,Wh_hp,'2024'!Maxi_hp)</f>
        <v>10.493774411231749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5.2475804588324904E-2</v>
      </c>
      <c r="M27" s="850"/>
      <c r="N27" s="850"/>
      <c r="O27" s="48">
        <f>IF(t&lt;Tnet,'2024'!Resal+('2024'!Salim-'2024'!Resal)*(1-EXP(('2024'!Tnet-t)/('2024'!Tau_j))),Resal+(Salim-Resal)*(1-EXP((Tnet-t)/(Tau_j))))*Salcycl</f>
        <v>9.1528881648962473E-2</v>
      </c>
      <c r="P27" s="169">
        <f>(INDEX(Models!$BJ27:$BT27,,T27)*(1-R27)+INDEX(Models!$BJ27:$BT27,,T27+1)*R27-ERP_i)*Q27*Ramure*Pc/MaxiM</f>
        <v>5.8179058163485106E-2</v>
      </c>
      <c r="Q27" s="305">
        <f t="shared" si="4"/>
        <v>0.7</v>
      </c>
      <c r="R27" s="177">
        <f t="shared" si="5"/>
        <v>0.60044467018122449</v>
      </c>
      <c r="S27" s="817">
        <f t="shared" si="6"/>
        <v>0</v>
      </c>
      <c r="T27" s="176">
        <f t="shared" si="7"/>
        <v>6</v>
      </c>
      <c r="U27" s="251">
        <f t="shared" si="8"/>
        <v>0.60044467018122449</v>
      </c>
      <c r="V27" s="383">
        <f t="shared" si="9"/>
        <v>12.58179958145516</v>
      </c>
      <c r="W27" s="402">
        <f t="shared" si="10"/>
        <v>3.0391811024284157</v>
      </c>
      <c r="X27" s="157">
        <f t="shared" si="11"/>
        <v>45670</v>
      </c>
      <c r="Y27" s="385">
        <f t="shared" si="12"/>
        <v>2.9185726049644267</v>
      </c>
      <c r="Z27" s="385">
        <f t="shared" si="22"/>
        <v>3.0802090533386131</v>
      </c>
      <c r="AA27" s="386">
        <f t="shared" si="13"/>
        <v>3.5306538956633688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0.12758113812232572</v>
      </c>
      <c r="AD27" s="231">
        <f>(INDEX(Models!$BJ27:$BT27,,AH27)*(1-AF27)+INDEX(Models!$BJ27:$BT27,,AH27+1)*AF27-ERP_i)*AE27*Ramure*Pc/MaxiM</f>
        <v>5.8179058163485106E-2</v>
      </c>
      <c r="AE27" s="305">
        <f t="shared" si="15"/>
        <v>0.7</v>
      </c>
      <c r="AF27" s="177">
        <f t="shared" si="23"/>
        <v>0.60044467018122449</v>
      </c>
      <c r="AG27" s="817">
        <f t="shared" si="24"/>
        <v>0</v>
      </c>
      <c r="AH27" s="176">
        <f t="shared" si="16"/>
        <v>6</v>
      </c>
      <c r="AI27" s="225">
        <f t="shared" si="17"/>
        <v>0.60044467018122449</v>
      </c>
      <c r="AJ27" s="265" t="b">
        <f t="shared" si="18"/>
        <v>1</v>
      </c>
      <c r="AK27" s="265" t="b">
        <f t="shared" si="19"/>
        <v>1</v>
      </c>
      <c r="AL27" s="265"/>
      <c r="AM27" s="265"/>
      <c r="AN27" s="75"/>
    </row>
    <row r="28" spans="1:40" s="6" customFormat="1" ht="11.25" x14ac:dyDescent="0.2">
      <c r="A28" s="56">
        <f t="shared" si="20"/>
        <v>45671</v>
      </c>
      <c r="B28" s="411">
        <f>'2024'!Wh/'2024'!Env_an*'2025'!Env_an</f>
        <v>12.695611604539065</v>
      </c>
      <c r="C28" s="846"/>
      <c r="D28" s="393">
        <f t="shared" si="0"/>
        <v>13.399013701797974</v>
      </c>
      <c r="E28" s="385">
        <f t="shared" si="1"/>
        <v>14.750163271384437</v>
      </c>
      <c r="F28" s="385">
        <f t="shared" si="2"/>
        <v>15.661507026698271</v>
      </c>
      <c r="G28" s="110">
        <f t="shared" si="21"/>
        <v>0.99624639260827164</v>
      </c>
      <c r="H28" s="414" t="b">
        <f>Wh_hp&gt;='2024'!Maxi_hp</f>
        <v>0</v>
      </c>
      <c r="I28" s="390">
        <f>IF(H28,Wh_hp,'2024'!Maxi_hp)</f>
        <v>15.66337716078853</v>
      </c>
      <c r="J28" s="85">
        <f>IF(H28,An,'2024'!An_max)</f>
        <v>2022</v>
      </c>
      <c r="K28" s="197">
        <f t="shared" si="3"/>
        <v>45671</v>
      </c>
      <c r="L28" s="147">
        <f>IF(t&lt;Tvie,1-EXP((T0-t)*PertePVj)+'2024'!Pspv,1-EXP((T0-t)*PertePVj)+Pspv)</f>
        <v>5.2496557799961208E-2</v>
      </c>
      <c r="M28" s="850"/>
      <c r="N28" s="850"/>
      <c r="O28" s="48">
        <f>IF(t&lt;Tnet,'2024'!Resal+('2024'!Salim-'2024'!Resal)*(1-EXP(('2024'!Tnet-t)/('2024'!Tau_j))),Resal+(Salim-Resal)*(1-EXP((Tnet-t)/(Tau_j))))*Salcycl</f>
        <v>9.1602346680983243E-2</v>
      </c>
      <c r="P28" s="169">
        <f>(INDEX(Models!$BJ28:$BT28,,T28)*(1-R28)+INDEX(Models!$BJ28:$BT28,,T28+1)*R28-ERP_i)*Q28*Ramure*Pc/MaxiM</f>
        <v>5.8478151720169777E-2</v>
      </c>
      <c r="Q28" s="305">
        <f t="shared" si="4"/>
        <v>0.7</v>
      </c>
      <c r="R28" s="177">
        <f t="shared" si="5"/>
        <v>0.60049242157161398</v>
      </c>
      <c r="S28" s="817">
        <f t="shared" si="6"/>
        <v>0</v>
      </c>
      <c r="T28" s="176">
        <f t="shared" si="7"/>
        <v>6</v>
      </c>
      <c r="U28" s="251">
        <f t="shared" si="8"/>
        <v>0.60049242157161398</v>
      </c>
      <c r="V28" s="383">
        <f t="shared" si="9"/>
        <v>12.739547142881749</v>
      </c>
      <c r="W28" s="402">
        <f t="shared" si="10"/>
        <v>12.695611604539065</v>
      </c>
      <c r="X28" s="157">
        <f t="shared" si="11"/>
        <v>45671</v>
      </c>
      <c r="Y28" s="385">
        <f t="shared" si="12"/>
        <v>12.192452416240071</v>
      </c>
      <c r="Z28" s="385">
        <f t="shared" si="22"/>
        <v>12.867976909856942</v>
      </c>
      <c r="AA28" s="386">
        <f t="shared" si="13"/>
        <v>14.750163271384437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0.12760444253379677</v>
      </c>
      <c r="AD28" s="231">
        <f>(INDEX(Models!$BJ28:$BT28,,AH28)*(1-AF28)+INDEX(Models!$BJ28:$BT28,,AH28+1)*AF28-ERP_i)*AE28*Ramure*Pc/MaxiM</f>
        <v>5.8478151720169777E-2</v>
      </c>
      <c r="AE28" s="305">
        <f t="shared" si="15"/>
        <v>0.7</v>
      </c>
      <c r="AF28" s="177">
        <f t="shared" si="23"/>
        <v>0.60049242157161398</v>
      </c>
      <c r="AG28" s="817">
        <f t="shared" si="24"/>
        <v>0</v>
      </c>
      <c r="AH28" s="176">
        <f t="shared" si="16"/>
        <v>6</v>
      </c>
      <c r="AI28" s="225">
        <f t="shared" si="17"/>
        <v>0.60049242157161398</v>
      </c>
      <c r="AJ28" s="265" t="b">
        <f t="shared" si="18"/>
        <v>1</v>
      </c>
      <c r="AK28" s="265" t="b">
        <f t="shared" si="19"/>
        <v>1</v>
      </c>
      <c r="AL28" s="265"/>
      <c r="AM28" s="265"/>
      <c r="AN28" s="75"/>
    </row>
    <row r="29" spans="1:40" s="6" customFormat="1" ht="11.25" x14ac:dyDescent="0.2">
      <c r="A29" s="56">
        <f t="shared" si="20"/>
        <v>45672</v>
      </c>
      <c r="B29" s="411">
        <f>'2024'!Wh/'2024'!Env_an*'2025'!Env_an</f>
        <v>12.972421218500541</v>
      </c>
      <c r="C29" s="846"/>
      <c r="D29" s="393">
        <f t="shared" si="0"/>
        <v>13.691459868388048</v>
      </c>
      <c r="E29" s="385">
        <f t="shared" si="1"/>
        <v>15.073318527153754</v>
      </c>
      <c r="F29" s="385">
        <f t="shared" si="2"/>
        <v>16.013724985870386</v>
      </c>
      <c r="G29" s="110">
        <f t="shared" si="21"/>
        <v>1.0054544313032807</v>
      </c>
      <c r="H29" s="414" t="b">
        <f>Wh_hp&gt;='2024'!Maxi_hp</f>
        <v>1</v>
      </c>
      <c r="I29" s="390">
        <f>IF(H29,Wh_hp,'2024'!Maxi_hp)</f>
        <v>16.013724985870386</v>
      </c>
      <c r="J29" s="85">
        <f>IF(H29,An,'2024'!An_max)</f>
        <v>2025</v>
      </c>
      <c r="K29" s="197">
        <f t="shared" si="3"/>
        <v>45672</v>
      </c>
      <c r="L29" s="147">
        <f>IF(t&lt;Tvie,1-EXP((T0-t)*PertePVj)+'2024'!Pspv,1-EXP((T0-t)*PertePVj)+Pspv)</f>
        <v>5.2517310557048891E-2</v>
      </c>
      <c r="M29" s="850"/>
      <c r="N29" s="850"/>
      <c r="O29" s="48">
        <f>IF(t&lt;Tnet,'2024'!Resal+('2024'!Salim-'2024'!Resal)*(1-EXP(('2024'!Tnet-t)/('2024'!Tau_j))),Resal+(Salim-Resal)*(1-EXP((Tnet-t)/(Tau_j))))*Salcycl</f>
        <v>9.1675808235350736E-2</v>
      </c>
      <c r="P29" s="169">
        <f>(INDEX(Models!$BJ29:$BT29,,T29)*(1-R29)+INDEX(Models!$BJ29:$BT29,,T29+1)*R29-ERP_i)*Q29*Ramure*Pc/MaxiM</f>
        <v>5.8725028658003983E-2</v>
      </c>
      <c r="Q29" s="305">
        <f t="shared" si="4"/>
        <v>0.7</v>
      </c>
      <c r="R29" s="177">
        <f t="shared" si="5"/>
        <v>0.60054216652178627</v>
      </c>
      <c r="S29" s="817">
        <f t="shared" si="6"/>
        <v>0</v>
      </c>
      <c r="T29" s="176">
        <f t="shared" si="7"/>
        <v>6</v>
      </c>
      <c r="U29" s="251">
        <f t="shared" si="8"/>
        <v>0.60054216652178627</v>
      </c>
      <c r="V29" s="383">
        <f t="shared" si="9"/>
        <v>12.902047884642119</v>
      </c>
      <c r="W29" s="402">
        <f t="shared" si="10"/>
        <v>12.972421218500541</v>
      </c>
      <c r="X29" s="157">
        <f t="shared" si="11"/>
        <v>45672</v>
      </c>
      <c r="Y29" s="385">
        <f t="shared" si="12"/>
        <v>12.458964588969408</v>
      </c>
      <c r="Z29" s="385">
        <f t="shared" si="22"/>
        <v>13.149543234710015</v>
      </c>
      <c r="AA29" s="386">
        <f t="shared" si="13"/>
        <v>15.073318527153752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0.12762785374555466</v>
      </c>
      <c r="AD29" s="231">
        <f>(INDEX(Models!$BJ29:$BT29,,AH29)*(1-AF29)+INDEX(Models!$BJ29:$BT29,,AH29+1)*AF29-ERP_i)*AE29*Ramure*Pc/MaxiM</f>
        <v>5.8725028658003983E-2</v>
      </c>
      <c r="AE29" s="305">
        <f t="shared" si="15"/>
        <v>0.7</v>
      </c>
      <c r="AF29" s="177">
        <f t="shared" si="23"/>
        <v>0.60054216652178627</v>
      </c>
      <c r="AG29" s="817">
        <f t="shared" si="24"/>
        <v>0</v>
      </c>
      <c r="AH29" s="176">
        <f t="shared" si="16"/>
        <v>6</v>
      </c>
      <c r="AI29" s="225">
        <f t="shared" si="17"/>
        <v>0.60054216652178627</v>
      </c>
      <c r="AJ29" s="265" t="b">
        <f t="shared" si="18"/>
        <v>1</v>
      </c>
      <c r="AK29" s="265" t="b">
        <f t="shared" si="19"/>
        <v>1</v>
      </c>
      <c r="AL29" s="265"/>
      <c r="AM29" s="265"/>
      <c r="AN29" s="75"/>
    </row>
    <row r="30" spans="1:40" s="6" customFormat="1" ht="11.25" x14ac:dyDescent="0.2">
      <c r="A30" s="56">
        <f t="shared" si="20"/>
        <v>45673</v>
      </c>
      <c r="B30" s="411">
        <f>'2024'!Wh/'2024'!Env_an*'2025'!Env_an</f>
        <v>13.041483480928907</v>
      </c>
      <c r="C30" s="846"/>
      <c r="D30" s="393">
        <f t="shared" si="0"/>
        <v>13.764651612591717</v>
      </c>
      <c r="E30" s="385">
        <f t="shared" si="1"/>
        <v>15.155123077598976</v>
      </c>
      <c r="F30" s="385">
        <f t="shared" si="2"/>
        <v>16.101010470998247</v>
      </c>
      <c r="G30" s="110">
        <f t="shared" si="21"/>
        <v>0.99768038646935386</v>
      </c>
      <c r="H30" s="414" t="b">
        <f>Wh_hp&gt;='2024'!Maxi_hp</f>
        <v>0</v>
      </c>
      <c r="I30" s="390">
        <f>IF(H30,Wh_hp,'2024'!Maxi_hp)</f>
        <v>16.102218040848967</v>
      </c>
      <c r="J30" s="85">
        <f>IF(H30,An,'2024'!An_max)</f>
        <v>2022</v>
      </c>
      <c r="K30" s="197">
        <f t="shared" si="3"/>
        <v>45673</v>
      </c>
      <c r="L30" s="147">
        <f>IF(t&lt;Tvie,1-EXP((T0-t)*PertePVj)+'2024'!Pspv,1-EXP((T0-t)*PertePVj)+Pspv)</f>
        <v>5.2538062859597945E-2</v>
      </c>
      <c r="M30" s="850"/>
      <c r="N30" s="850"/>
      <c r="O30" s="48">
        <f>IF(t&lt;Tnet,'2024'!Resal+('2024'!Salim-'2024'!Resal)*(1-EXP(('2024'!Tnet-t)/('2024'!Tau_j))),Resal+(Salim-Resal)*(1-EXP((Tnet-t)/(Tau_j))))*Salcycl</f>
        <v>9.1749269068130287E-2</v>
      </c>
      <c r="P30" s="169">
        <f>(INDEX(Models!$BJ30:$BT30,,T30)*(1-R30)+INDEX(Models!$BJ30:$BT30,,T30+1)*R30-ERP_i)*Q30*Ramure*Pc/MaxiM</f>
        <v>5.8926350336170941E-2</v>
      </c>
      <c r="Q30" s="305">
        <f t="shared" si="4"/>
        <v>0.7</v>
      </c>
      <c r="R30" s="177">
        <f t="shared" si="5"/>
        <v>0.60059398783717954</v>
      </c>
      <c r="S30" s="817">
        <f t="shared" si="6"/>
        <v>0</v>
      </c>
      <c r="T30" s="176">
        <f t="shared" si="7"/>
        <v>6</v>
      </c>
      <c r="U30" s="251">
        <f t="shared" si="8"/>
        <v>0.60059398783717954</v>
      </c>
      <c r="V30" s="383">
        <f t="shared" si="9"/>
        <v>13.069315407619698</v>
      </c>
      <c r="W30" s="402">
        <f t="shared" si="10"/>
        <v>13.041483480928907</v>
      </c>
      <c r="X30" s="157">
        <f t="shared" si="11"/>
        <v>45673</v>
      </c>
      <c r="Y30" s="385">
        <f t="shared" si="12"/>
        <v>12.525968648156445</v>
      </c>
      <c r="Z30" s="385">
        <f t="shared" si="22"/>
        <v>13.220550775856923</v>
      </c>
      <c r="AA30" s="386">
        <f t="shared" si="13"/>
        <v>15.155123077598974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0.1276513751710518</v>
      </c>
      <c r="AD30" s="231">
        <f>(INDEX(Models!$BJ30:$BT30,,AH30)*(1-AF30)+INDEX(Models!$BJ30:$BT30,,AH30+1)*AF30-ERP_i)*AE30*Ramure*Pc/MaxiM</f>
        <v>5.8926350336170941E-2</v>
      </c>
      <c r="AE30" s="305">
        <f t="shared" si="15"/>
        <v>0.7</v>
      </c>
      <c r="AF30" s="177">
        <f t="shared" si="23"/>
        <v>0.60059398783717954</v>
      </c>
      <c r="AG30" s="817">
        <f t="shared" si="24"/>
        <v>0</v>
      </c>
      <c r="AH30" s="176">
        <f t="shared" si="16"/>
        <v>6</v>
      </c>
      <c r="AI30" s="225">
        <f t="shared" si="17"/>
        <v>0.60059398783717954</v>
      </c>
      <c r="AJ30" s="265" t="b">
        <f t="shared" si="18"/>
        <v>1</v>
      </c>
      <c r="AK30" s="265" t="b">
        <f t="shared" si="19"/>
        <v>1</v>
      </c>
      <c r="AL30" s="265"/>
      <c r="AM30" s="265"/>
      <c r="AN30" s="75"/>
    </row>
    <row r="31" spans="1:40" s="6" customFormat="1" ht="11.25" x14ac:dyDescent="0.2">
      <c r="A31" s="56">
        <f t="shared" si="20"/>
        <v>45674</v>
      </c>
      <c r="B31" s="411">
        <f>'2024'!Wh/'2024'!Env_an*'2025'!Env_an</f>
        <v>9.4507821194376458</v>
      </c>
      <c r="C31" s="846"/>
      <c r="D31" s="393">
        <f t="shared" si="0"/>
        <v>9.9750594191460245</v>
      </c>
      <c r="E31" s="385">
        <f t="shared" si="1"/>
        <v>10.98360394905057</v>
      </c>
      <c r="F31" s="385">
        <f t="shared" si="2"/>
        <v>11.38096840941887</v>
      </c>
      <c r="G31" s="110">
        <f t="shared" si="21"/>
        <v>0.69585406822364826</v>
      </c>
      <c r="H31" s="414" t="b">
        <f>Wh_hp&gt;='2024'!Maxi_hp</f>
        <v>0</v>
      </c>
      <c r="I31" s="390">
        <f>IF(H31,Wh_hp,'2024'!Maxi_hp)</f>
        <v>11.494776439311693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5.2558814707618251E-2</v>
      </c>
      <c r="M31" s="850"/>
      <c r="N31" s="850"/>
      <c r="O31" s="48">
        <f>IF(t&lt;Tnet,'2024'!Resal+('2024'!Salim-'2024'!Resal)*(1-EXP(('2024'!Tnet-t)/('2024'!Tau_j))),Resal+(Salim-Resal)*(1-EXP((Tnet-t)/(Tau_j))))*Salcycl</f>
        <v>9.1822732737165499E-2</v>
      </c>
      <c r="P31" s="169">
        <f>(INDEX(Models!$BJ31:$BT31,,T31)*(1-R31)+INDEX(Models!$BJ31:$BT31,,T31+1)*R31-ERP_i)*Q31*Ramure*Pc/MaxiM</f>
        <v>5.9074505551834737E-2</v>
      </c>
      <c r="Q31" s="305">
        <f t="shared" si="4"/>
        <v>0.7</v>
      </c>
      <c r="R31" s="177">
        <f t="shared" si="5"/>
        <v>0.60064797172653372</v>
      </c>
      <c r="S31" s="817">
        <f t="shared" si="6"/>
        <v>0</v>
      </c>
      <c r="T31" s="176">
        <f t="shared" si="7"/>
        <v>6</v>
      </c>
      <c r="U31" s="251">
        <f t="shared" si="8"/>
        <v>0.60064797172653372</v>
      </c>
      <c r="V31" s="383">
        <f t="shared" si="9"/>
        <v>13.241560512825659</v>
      </c>
      <c r="W31" s="402">
        <f t="shared" si="10"/>
        <v>9.4507821194376458</v>
      </c>
      <c r="X31" s="157">
        <f t="shared" si="11"/>
        <v>45674</v>
      </c>
      <c r="Y31" s="385">
        <f t="shared" si="12"/>
        <v>9.0776918806769995</v>
      </c>
      <c r="Z31" s="385">
        <f t="shared" si="22"/>
        <v>9.5812721903952394</v>
      </c>
      <c r="AA31" s="386">
        <f t="shared" si="13"/>
        <v>10.98360394905057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0.12767501133146272</v>
      </c>
      <c r="AD31" s="231">
        <f>(INDEX(Models!$BJ31:$BT31,,AH31)*(1-AF31)+INDEX(Models!$BJ31:$BT31,,AH31+1)*AF31-ERP_i)*AE31*Ramure*Pc/MaxiM</f>
        <v>5.9074505551834737E-2</v>
      </c>
      <c r="AE31" s="305">
        <f t="shared" si="15"/>
        <v>0.7</v>
      </c>
      <c r="AF31" s="177">
        <f t="shared" si="23"/>
        <v>0.60064797172653372</v>
      </c>
      <c r="AG31" s="817">
        <f t="shared" si="24"/>
        <v>0</v>
      </c>
      <c r="AH31" s="176">
        <f t="shared" si="16"/>
        <v>6</v>
      </c>
      <c r="AI31" s="225">
        <f t="shared" si="17"/>
        <v>0.60064797172653372</v>
      </c>
      <c r="AJ31" s="265" t="b">
        <f t="shared" si="18"/>
        <v>1</v>
      </c>
      <c r="AK31" s="265" t="b">
        <f t="shared" si="19"/>
        <v>1</v>
      </c>
      <c r="AL31" s="265"/>
      <c r="AM31" s="265"/>
      <c r="AN31" s="75"/>
    </row>
    <row r="32" spans="1:40" s="6" customFormat="1" ht="11.25" x14ac:dyDescent="0.2">
      <c r="A32" s="56">
        <f t="shared" si="20"/>
        <v>45675</v>
      </c>
      <c r="B32" s="411">
        <f>'2024'!Wh/'2024'!Env_an*'2025'!Env_an</f>
        <v>2.288685600772665</v>
      </c>
      <c r="C32" s="846"/>
      <c r="D32" s="393">
        <f t="shared" si="0"/>
        <v>2.4157021728506862</v>
      </c>
      <c r="E32" s="385">
        <f t="shared" si="1"/>
        <v>2.6601608559655325</v>
      </c>
      <c r="F32" s="385">
        <f t="shared" si="2"/>
        <v>2.6601608559655325</v>
      </c>
      <c r="G32" s="110">
        <f t="shared" si="21"/>
        <v>0.16046519875040116</v>
      </c>
      <c r="H32" s="414" t="b">
        <f>Wh_hp&gt;='2024'!Maxi_hp</f>
        <v>0</v>
      </c>
      <c r="I32" s="390">
        <f>IF(H32,Wh_hp,'2024'!Maxi_hp)</f>
        <v>16.33584148224859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5.2579566101119801E-2</v>
      </c>
      <c r="M32" s="850"/>
      <c r="N32" s="850"/>
      <c r="O32" s="48">
        <f>IF(t&lt;Tnet,'2024'!Resal+('2024'!Salim-'2024'!Resal)*(1-EXP(('2024'!Tnet-t)/('2024'!Tau_j))),Resal+(Salim-Resal)*(1-EXP((Tnet-t)/(Tau_j))))*Salcycl</f>
        <v>9.1896203406886645E-2</v>
      </c>
      <c r="P32" s="169">
        <f>(INDEX(Models!$BJ32:$BT32,,T32)*(1-R32)+INDEX(Models!$BJ32:$BT32,,T32+1)*R32-ERP_i)*Q32*Ramure*Pc/MaxiM</f>
        <v>5.9170860099381307E-2</v>
      </c>
      <c r="Q32" s="305">
        <f t="shared" si="4"/>
        <v>0.7</v>
      </c>
      <c r="R32" s="177">
        <f t="shared" si="5"/>
        <v>0.60070420793867541</v>
      </c>
      <c r="S32" s="817">
        <f t="shared" si="6"/>
        <v>0</v>
      </c>
      <c r="T32" s="176">
        <f t="shared" si="7"/>
        <v>6</v>
      </c>
      <c r="U32" s="251">
        <f t="shared" si="8"/>
        <v>0.60070420793867541</v>
      </c>
      <c r="V32" s="383">
        <f t="shared" si="9"/>
        <v>13.418872889860761</v>
      </c>
      <c r="W32" s="402">
        <f t="shared" si="10"/>
        <v>2.288685600772665</v>
      </c>
      <c r="X32" s="157">
        <f t="shared" si="11"/>
        <v>45675</v>
      </c>
      <c r="Y32" s="385">
        <f t="shared" si="12"/>
        <v>2.1984527293722467</v>
      </c>
      <c r="Z32" s="385">
        <f t="shared" si="22"/>
        <v>2.3204615930913004</v>
      </c>
      <c r="AA32" s="386">
        <f t="shared" si="13"/>
        <v>2.6601608559655325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0.12769876758108095</v>
      </c>
      <c r="AD32" s="231">
        <f>(INDEX(Models!$BJ32:$BT32,,AH32)*(1-AF32)+INDEX(Models!$BJ32:$BT32,,AH32+1)*AF32-ERP_i)*AE32*Ramure*Pc/MaxiM</f>
        <v>5.9170860099381307E-2</v>
      </c>
      <c r="AE32" s="305">
        <f t="shared" si="15"/>
        <v>0.7</v>
      </c>
      <c r="AF32" s="177">
        <f t="shared" si="23"/>
        <v>0.60070420793867541</v>
      </c>
      <c r="AG32" s="817">
        <f t="shared" si="24"/>
        <v>0</v>
      </c>
      <c r="AH32" s="176">
        <f t="shared" si="16"/>
        <v>6</v>
      </c>
      <c r="AI32" s="225">
        <f t="shared" si="17"/>
        <v>0.60070420793867541</v>
      </c>
      <c r="AJ32" s="265" t="b">
        <f t="shared" si="18"/>
        <v>1</v>
      </c>
      <c r="AK32" s="265" t="b">
        <f t="shared" si="19"/>
        <v>1</v>
      </c>
      <c r="AL32" s="265"/>
      <c r="AM32" s="265"/>
      <c r="AN32" s="75"/>
    </row>
    <row r="33" spans="1:40" s="6" customFormat="1" ht="11.25" x14ac:dyDescent="0.2">
      <c r="A33" s="56">
        <f t="shared" si="20"/>
        <v>45676</v>
      </c>
      <c r="B33" s="411">
        <f>'2024'!Wh/'2024'!Env_an*'2025'!Env_an</f>
        <v>6.8591284889674045</v>
      </c>
      <c r="C33" s="846"/>
      <c r="D33" s="393">
        <f t="shared" si="0"/>
        <v>7.2399522739314852</v>
      </c>
      <c r="E33" s="385">
        <f t="shared" si="1"/>
        <v>7.9732495265528867</v>
      </c>
      <c r="F33" s="385">
        <f t="shared" si="2"/>
        <v>8.1134719908981765</v>
      </c>
      <c r="G33" s="110">
        <f t="shared" si="21"/>
        <v>0.48277870749940988</v>
      </c>
      <c r="H33" s="414" t="b">
        <f>Wh_hp&gt;='2024'!Maxi_hp</f>
        <v>0</v>
      </c>
      <c r="I33" s="390">
        <f>IF(H33,Wh_hp,'2024'!Maxi_hp)</f>
        <v>16.836051106728092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5.2600317040112698E-2</v>
      </c>
      <c r="M33" s="850"/>
      <c r="N33" s="850"/>
      <c r="O33" s="48">
        <f>IF(t&lt;Tnet,'2024'!Resal+('2024'!Salim-'2024'!Resal)*(1-EXP(('2024'!Tnet-t)/('2024'!Tau_j))),Resal+(Salim-Resal)*(1-EXP((Tnet-t)/(Tau_j))))*Salcycl</f>
        <v>9.196968565693836E-2</v>
      </c>
      <c r="P33" s="169">
        <f>(INDEX(Models!$BJ33:$BT33,,T33)*(1-R33)+INDEX(Models!$BJ33:$BT33,,T33+1)*R33-ERP_i)*Q33*Ramure*Pc/MaxiM</f>
        <v>5.9216804027366544E-2</v>
      </c>
      <c r="Q33" s="305">
        <f t="shared" si="4"/>
        <v>0.7</v>
      </c>
      <c r="R33" s="177">
        <f t="shared" si="5"/>
        <v>0.60076278990453624</v>
      </c>
      <c r="S33" s="817">
        <f t="shared" si="6"/>
        <v>0</v>
      </c>
      <c r="T33" s="176">
        <f t="shared" si="7"/>
        <v>6</v>
      </c>
      <c r="U33" s="251">
        <f t="shared" si="8"/>
        <v>0.60076278990453624</v>
      </c>
      <c r="V33" s="383">
        <f t="shared" si="9"/>
        <v>13.601342213249254</v>
      </c>
      <c r="W33" s="402">
        <f t="shared" si="10"/>
        <v>6.8591284889674045</v>
      </c>
      <c r="X33" s="157">
        <f t="shared" si="11"/>
        <v>45676</v>
      </c>
      <c r="Y33" s="385">
        <f t="shared" si="12"/>
        <v>6.5890558148365335</v>
      </c>
      <c r="Z33" s="385">
        <f t="shared" si="22"/>
        <v>6.9548849691936327</v>
      </c>
      <c r="AA33" s="386">
        <f t="shared" si="13"/>
        <v>7.9732495265528867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0.12772264983904605</v>
      </c>
      <c r="AD33" s="231">
        <f>(INDEX(Models!$BJ33:$BT33,,AH33)*(1-AF33)+INDEX(Models!$BJ33:$BT33,,AH33+1)*AF33-ERP_i)*AE33*Ramure*Pc/MaxiM</f>
        <v>5.9216804027366544E-2</v>
      </c>
      <c r="AE33" s="305">
        <f t="shared" si="15"/>
        <v>0.7</v>
      </c>
      <c r="AF33" s="177">
        <f t="shared" si="23"/>
        <v>0.60076278990453624</v>
      </c>
      <c r="AG33" s="817">
        <f t="shared" si="24"/>
        <v>0</v>
      </c>
      <c r="AH33" s="176">
        <f t="shared" si="16"/>
        <v>6</v>
      </c>
      <c r="AI33" s="225">
        <f t="shared" si="17"/>
        <v>0.60076278990453624</v>
      </c>
      <c r="AJ33" s="265" t="b">
        <f t="shared" si="18"/>
        <v>1</v>
      </c>
      <c r="AK33" s="265" t="b">
        <f t="shared" si="19"/>
        <v>1</v>
      </c>
      <c r="AL33" s="265"/>
      <c r="AM33" s="265"/>
      <c r="AN33" s="75"/>
    </row>
    <row r="34" spans="1:40" s="6" customFormat="1" ht="11.25" x14ac:dyDescent="0.2">
      <c r="A34" s="56">
        <f t="shared" si="20"/>
        <v>45677</v>
      </c>
      <c r="B34" s="411">
        <f>'2024'!Wh/'2024'!Env_an*'2025'!Env_an</f>
        <v>3.6564811169898976</v>
      </c>
      <c r="C34" s="846"/>
      <c r="D34" s="393">
        <f t="shared" si="0"/>
        <v>3.8595761333175616</v>
      </c>
      <c r="E34" s="385">
        <f t="shared" si="1"/>
        <v>4.250836676992682</v>
      </c>
      <c r="F34" s="385">
        <f t="shared" si="2"/>
        <v>4.250836676992682</v>
      </c>
      <c r="G34" s="110">
        <f t="shared" si="21"/>
        <v>0.24947078519770871</v>
      </c>
      <c r="H34" s="414" t="b">
        <f>Wh_hp&gt;='2024'!Maxi_hp</f>
        <v>0</v>
      </c>
      <c r="I34" s="390">
        <f>IF(H34,Wh_hp,'2024'!Maxi_hp)</f>
        <v>7.5521238527845549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5.2621067524606713E-2</v>
      </c>
      <c r="M34" s="850"/>
      <c r="N34" s="850"/>
      <c r="O34" s="48">
        <f>IF(t&lt;Tnet,'2024'!Resal+('2024'!Salim-'2024'!Resal)*(1-EXP(('2024'!Tnet-t)/('2024'!Tau_j))),Resal+(Salim-Resal)*(1-EXP((Tnet-t)/(Tau_j))))*Salcycl</f>
        <v>9.2043184296585007E-2</v>
      </c>
      <c r="P34" s="169">
        <f>(INDEX(Models!$BJ34:$BT34,,T34)*(1-R34)+INDEX(Models!$BJ34:$BT34,,T34+1)*R34-ERP_i)*Q34*Ramure*Pc/MaxiM</f>
        <v>5.9214079018481594E-2</v>
      </c>
      <c r="Q34" s="305">
        <f t="shared" si="4"/>
        <v>0.7</v>
      </c>
      <c r="R34" s="177">
        <f t="shared" si="5"/>
        <v>0.60082381488457892</v>
      </c>
      <c r="S34" s="817">
        <f t="shared" si="6"/>
        <v>0</v>
      </c>
      <c r="T34" s="176">
        <f t="shared" si="7"/>
        <v>6</v>
      </c>
      <c r="U34" s="251">
        <f t="shared" si="8"/>
        <v>0.60082381488457892</v>
      </c>
      <c r="V34" s="383">
        <f t="shared" si="9"/>
        <v>13.78905330527042</v>
      </c>
      <c r="W34" s="402">
        <f t="shared" si="10"/>
        <v>3.6564811169898976</v>
      </c>
      <c r="X34" s="157">
        <f t="shared" si="11"/>
        <v>45677</v>
      </c>
      <c r="Y34" s="385">
        <f t="shared" si="12"/>
        <v>3.5126977362217469</v>
      </c>
      <c r="Z34" s="385">
        <f t="shared" si="22"/>
        <v>3.7078064708948801</v>
      </c>
      <c r="AA34" s="386">
        <f t="shared" si="13"/>
        <v>4.250836676992682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0.12774666433008586</v>
      </c>
      <c r="AD34" s="231">
        <f>(INDEX(Models!$BJ34:$BT34,,AH34)*(1-AF34)+INDEX(Models!$BJ34:$BT34,,AH34+1)*AF34-ERP_i)*AE34*Ramure*Pc/MaxiM</f>
        <v>5.9214079018481594E-2</v>
      </c>
      <c r="AE34" s="305">
        <f t="shared" si="15"/>
        <v>0.7</v>
      </c>
      <c r="AF34" s="177">
        <f t="shared" si="23"/>
        <v>0.60082381488457892</v>
      </c>
      <c r="AG34" s="817">
        <f t="shared" si="24"/>
        <v>0</v>
      </c>
      <c r="AH34" s="176">
        <f t="shared" si="16"/>
        <v>6</v>
      </c>
      <c r="AI34" s="225">
        <f t="shared" si="17"/>
        <v>0.60082381488457892</v>
      </c>
      <c r="AJ34" s="265" t="b">
        <f t="shared" si="18"/>
        <v>1</v>
      </c>
      <c r="AK34" s="265" t="b">
        <f t="shared" si="19"/>
        <v>1</v>
      </c>
      <c r="AL34" s="265"/>
      <c r="AM34" s="265"/>
      <c r="AN34" s="75"/>
    </row>
    <row r="35" spans="1:40" s="6" customFormat="1" ht="11.25" x14ac:dyDescent="0.2">
      <c r="A35" s="56">
        <f t="shared" si="20"/>
        <v>45678</v>
      </c>
      <c r="B35" s="411">
        <f>'2024'!Wh/'2024'!Env_an*'2025'!Env_an</f>
        <v>10.022133487659946</v>
      </c>
      <c r="C35" s="846"/>
      <c r="D35" s="393">
        <f t="shared" si="0"/>
        <v>10.579033013458652</v>
      </c>
      <c r="E35" s="385">
        <f t="shared" si="1"/>
        <v>11.652415087098102</v>
      </c>
      <c r="F35" s="385">
        <f t="shared" si="2"/>
        <v>12.077881577899891</v>
      </c>
      <c r="G35" s="110">
        <f t="shared" si="21"/>
        <v>0.69899908834108393</v>
      </c>
      <c r="H35" s="414" t="b">
        <f>Wh_hp&gt;='2024'!Maxi_hp</f>
        <v>0</v>
      </c>
      <c r="I35" s="390">
        <f>IF(H35,Wh_hp,'2024'!Maxi_hp)</f>
        <v>12.199672633065241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5.2641817554611836E-2</v>
      </c>
      <c r="M35" s="850"/>
      <c r="N35" s="850"/>
      <c r="O35" s="48">
        <f>IF(t&lt;Tnet,'2024'!Resal+('2024'!Salim-'2024'!Resal)*(1-EXP(('2024'!Tnet-t)/('2024'!Tau_j))),Resal+(Salim-Resal)*(1-EXP((Tnet-t)/(Tau_j))))*Salcycl</f>
        <v>9.2116704186751025E-2</v>
      </c>
      <c r="P35" s="169">
        <f>(INDEX(Models!$BJ35:$BT35,,T35)*(1-R35)+INDEX(Models!$BJ35:$BT35,,T35+1)*R35-ERP_i)*Q35*Ramure*Pc/MaxiM</f>
        <v>5.9164593102622058E-2</v>
      </c>
      <c r="Q35" s="305">
        <f t="shared" si="4"/>
        <v>0.7</v>
      </c>
      <c r="R35" s="177">
        <f t="shared" si="5"/>
        <v>0.60088738412181508</v>
      </c>
      <c r="S35" s="817">
        <f t="shared" si="6"/>
        <v>0</v>
      </c>
      <c r="T35" s="176">
        <f t="shared" si="7"/>
        <v>6</v>
      </c>
      <c r="U35" s="251">
        <f t="shared" si="8"/>
        <v>0.60088738412181508</v>
      </c>
      <c r="V35" s="383">
        <f t="shared" si="9"/>
        <v>13.982088507184978</v>
      </c>
      <c r="W35" s="402">
        <f t="shared" si="10"/>
        <v>10.022133487659946</v>
      </c>
      <c r="X35" s="157">
        <f t="shared" si="11"/>
        <v>45678</v>
      </c>
      <c r="Y35" s="385">
        <f t="shared" si="12"/>
        <v>9.6285473483160171</v>
      </c>
      <c r="Z35" s="385">
        <f t="shared" si="22"/>
        <v>10.163576487471854</v>
      </c>
      <c r="AA35" s="386">
        <f t="shared" si="13"/>
        <v>11.652415087098102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0.12777081733680554</v>
      </c>
      <c r="AD35" s="231">
        <f>(INDEX(Models!$BJ35:$BT35,,AH35)*(1-AF35)+INDEX(Models!$BJ35:$BT35,,AH35+1)*AF35-ERP_i)*AE35*Ramure*Pc/MaxiM</f>
        <v>5.9164593102622058E-2</v>
      </c>
      <c r="AE35" s="305">
        <f t="shared" si="15"/>
        <v>0.7</v>
      </c>
      <c r="AF35" s="177">
        <f t="shared" si="23"/>
        <v>0.60088738412181508</v>
      </c>
      <c r="AG35" s="817">
        <f t="shared" si="24"/>
        <v>0</v>
      </c>
      <c r="AH35" s="176">
        <f t="shared" si="16"/>
        <v>6</v>
      </c>
      <c r="AI35" s="225">
        <f t="shared" si="17"/>
        <v>0.60088738412181508</v>
      </c>
      <c r="AJ35" s="265" t="b">
        <f t="shared" si="18"/>
        <v>1</v>
      </c>
      <c r="AK35" s="265" t="b">
        <f t="shared" si="19"/>
        <v>1</v>
      </c>
      <c r="AL35" s="265"/>
      <c r="AM35" s="265"/>
      <c r="AN35" s="75"/>
    </row>
    <row r="36" spans="1:40" s="6" customFormat="1" ht="11.25" x14ac:dyDescent="0.2">
      <c r="A36" s="56">
        <f t="shared" si="20"/>
        <v>45679</v>
      </c>
      <c r="B36" s="411">
        <f>'2024'!Wh/'2024'!Env_an*'2025'!Env_an</f>
        <v>14.41105257630363</v>
      </c>
      <c r="C36" s="846"/>
      <c r="D36" s="393">
        <f t="shared" si="0"/>
        <v>15.212164194385119</v>
      </c>
      <c r="E36" s="385">
        <f t="shared" si="1"/>
        <v>16.756995830439269</v>
      </c>
      <c r="F36" s="385">
        <f t="shared" si="2"/>
        <v>17.808971984336942</v>
      </c>
      <c r="G36" s="110">
        <f t="shared" si="21"/>
        <v>1.0162560121867494</v>
      </c>
      <c r="H36" s="414" t="b">
        <f>Wh_hp&gt;='2024'!Maxi_hp</f>
        <v>1</v>
      </c>
      <c r="I36" s="390">
        <f>IF(H36,Wh_hp,'2024'!Maxi_hp)</f>
        <v>17.808971984336942</v>
      </c>
      <c r="J36" s="85">
        <f>IF(H36,An,'2024'!An_max)</f>
        <v>2025</v>
      </c>
      <c r="K36" s="197">
        <f t="shared" si="3"/>
        <v>45679</v>
      </c>
      <c r="L36" s="147">
        <f>IF(t&lt;Tvie,1-EXP((T0-t)*PertePVj)+'2024'!Pspv,1-EXP((T0-t)*PertePVj)+Pspv)</f>
        <v>5.266256713013806E-2</v>
      </c>
      <c r="M36" s="850"/>
      <c r="N36" s="850"/>
      <c r="O36" s="48">
        <f>IF(t&lt;Tnet,'2024'!Resal+('2024'!Salim-'2024'!Resal)*(1-EXP(('2024'!Tnet-t)/('2024'!Tau_j))),Resal+(Salim-Resal)*(1-EXP((Tnet-t)/(Tau_j))))*Salcycl</f>
        <v>9.2190250071432528E-2</v>
      </c>
      <c r="P36" s="169">
        <f>(INDEX(Models!$BJ36:$BT36,,T36)*(1-R36)+INDEX(Models!$BJ36:$BT36,,T36+1)*R36-ERP_i)*Q36*Ramure*Pc/MaxiM</f>
        <v>5.9070010038922413E-2</v>
      </c>
      <c r="Q36" s="305">
        <f t="shared" si="4"/>
        <v>0.7</v>
      </c>
      <c r="R36" s="177">
        <f t="shared" si="5"/>
        <v>0.60095360300059719</v>
      </c>
      <c r="S36" s="817">
        <f t="shared" si="6"/>
        <v>0</v>
      </c>
      <c r="T36" s="176">
        <f t="shared" si="7"/>
        <v>6</v>
      </c>
      <c r="U36" s="251">
        <f t="shared" si="8"/>
        <v>0.60095360300059719</v>
      </c>
      <c r="V36" s="383">
        <f t="shared" si="9"/>
        <v>14.180533648499022</v>
      </c>
      <c r="W36" s="402">
        <f t="shared" si="10"/>
        <v>14.41105257630363</v>
      </c>
      <c r="X36" s="157">
        <f t="shared" si="11"/>
        <v>45679</v>
      </c>
      <c r="Y36" s="385">
        <f t="shared" si="12"/>
        <v>13.845842101304466</v>
      </c>
      <c r="Z36" s="385">
        <f t="shared" si="22"/>
        <v>14.615533621805593</v>
      </c>
      <c r="AA36" s="386">
        <f t="shared" si="13"/>
        <v>16.756995830439269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0.12779511496587512</v>
      </c>
      <c r="AD36" s="231">
        <f>(INDEX(Models!$BJ36:$BT36,,AH36)*(1-AF36)+INDEX(Models!$BJ36:$BT36,,AH36+1)*AF36-ERP_i)*AE36*Ramure*Pc/MaxiM</f>
        <v>5.9070010038922413E-2</v>
      </c>
      <c r="AE36" s="305">
        <f t="shared" si="15"/>
        <v>0.7</v>
      </c>
      <c r="AF36" s="177">
        <f t="shared" si="23"/>
        <v>0.60095360300059719</v>
      </c>
      <c r="AG36" s="817">
        <f t="shared" si="24"/>
        <v>0</v>
      </c>
      <c r="AH36" s="176">
        <f t="shared" si="16"/>
        <v>6</v>
      </c>
      <c r="AI36" s="225">
        <f t="shared" si="17"/>
        <v>0.60095360300059719</v>
      </c>
      <c r="AJ36" s="265" t="b">
        <f t="shared" si="18"/>
        <v>1</v>
      </c>
      <c r="AK36" s="265" t="b">
        <f t="shared" si="19"/>
        <v>1</v>
      </c>
      <c r="AL36" s="265"/>
      <c r="AM36" s="265"/>
      <c r="AN36" s="75"/>
    </row>
    <row r="37" spans="1:40" s="6" customFormat="1" ht="11.25" x14ac:dyDescent="0.2">
      <c r="A37" s="56">
        <f t="shared" si="20"/>
        <v>45680</v>
      </c>
      <c r="B37" s="411">
        <f>'2024'!Wh/'2024'!Env_an*'2025'!Env_an</f>
        <v>14.462635747494591</v>
      </c>
      <c r="C37" s="846"/>
      <c r="D37" s="393">
        <f t="shared" si="0"/>
        <v>15.266949263747557</v>
      </c>
      <c r="E37" s="385">
        <f t="shared" si="1"/>
        <v>16.818707580571527</v>
      </c>
      <c r="F37" s="385">
        <f t="shared" si="2"/>
        <v>17.871865098354334</v>
      </c>
      <c r="G37" s="110">
        <f t="shared" si="21"/>
        <v>1.0053655173674527</v>
      </c>
      <c r="H37" s="414" t="b">
        <f>Wh_hp&gt;='2024'!Maxi_hp</f>
        <v>1</v>
      </c>
      <c r="I37" s="390">
        <f>IF(H37,Wh_hp,'2024'!Maxi_hp)</f>
        <v>17.871865098354334</v>
      </c>
      <c r="J37" s="85">
        <f>IF(H37,An,'2024'!An_max)</f>
        <v>2025</v>
      </c>
      <c r="K37" s="197">
        <f t="shared" si="3"/>
        <v>45680</v>
      </c>
      <c r="L37" s="147">
        <f>IF(t&lt;Tvie,1-EXP((T0-t)*PertePVj)+'2024'!Pspv,1-EXP((T0-t)*PertePVj)+Pspv)</f>
        <v>5.2683316251195378E-2</v>
      </c>
      <c r="M37" s="850"/>
      <c r="N37" s="850"/>
      <c r="O37" s="48">
        <f>IF(t&lt;Tnet,'2024'!Resal+('2024'!Salim-'2024'!Resal)*(1-EXP(('2024'!Tnet-t)/('2024'!Tau_j))),Resal+(Salim-Resal)*(1-EXP((Tnet-t)/(Tau_j))))*Salcycl</f>
        <v>9.2263826420082073E-2</v>
      </c>
      <c r="P37" s="169">
        <f>(INDEX(Models!$BJ37:$BT37,,T37)*(1-R37)+INDEX(Models!$BJ37:$BT37,,T37+1)*R37-ERP_i)*Q37*Ramure*Pc/MaxiM</f>
        <v>5.8928237874836281E-2</v>
      </c>
      <c r="Q37" s="305">
        <f t="shared" si="4"/>
        <v>0.7</v>
      </c>
      <c r="R37" s="177">
        <f t="shared" si="5"/>
        <v>0.60102258121137453</v>
      </c>
      <c r="S37" s="817">
        <f t="shared" si="6"/>
        <v>0</v>
      </c>
      <c r="T37" s="176">
        <f t="shared" si="7"/>
        <v>6</v>
      </c>
      <c r="U37" s="251">
        <f t="shared" si="8"/>
        <v>0.60102258121137453</v>
      </c>
      <c r="V37" s="383">
        <f t="shared" si="9"/>
        <v>14.385450363729369</v>
      </c>
      <c r="W37" s="402">
        <f t="shared" si="10"/>
        <v>14.462635747494591</v>
      </c>
      <c r="X37" s="157">
        <f t="shared" si="11"/>
        <v>45680</v>
      </c>
      <c r="Y37" s="385">
        <f t="shared" si="12"/>
        <v>13.896138916314301</v>
      </c>
      <c r="Z37" s="385">
        <f t="shared" si="22"/>
        <v>14.668947728570854</v>
      </c>
      <c r="AA37" s="386">
        <f t="shared" si="13"/>
        <v>16.818707580571527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0.12781956293027003</v>
      </c>
      <c r="AD37" s="231">
        <f>(INDEX(Models!$BJ37:$BT37,,AH37)*(1-AF37)+INDEX(Models!$BJ37:$BT37,,AH37+1)*AF37-ERP_i)*AE37*Ramure*Pc/MaxiM</f>
        <v>5.8928237874836281E-2</v>
      </c>
      <c r="AE37" s="305">
        <f t="shared" si="15"/>
        <v>0.7</v>
      </c>
      <c r="AF37" s="177">
        <f t="shared" si="23"/>
        <v>0.60102258121137453</v>
      </c>
      <c r="AG37" s="817">
        <f t="shared" si="24"/>
        <v>0</v>
      </c>
      <c r="AH37" s="176">
        <f t="shared" si="16"/>
        <v>6</v>
      </c>
      <c r="AI37" s="225">
        <f t="shared" si="17"/>
        <v>0.60102258121137453</v>
      </c>
      <c r="AJ37" s="265" t="b">
        <f t="shared" si="18"/>
        <v>1</v>
      </c>
      <c r="AK37" s="265" t="b">
        <f t="shared" si="19"/>
        <v>1</v>
      </c>
      <c r="AL37" s="265"/>
      <c r="AM37" s="265"/>
      <c r="AN37" s="75"/>
    </row>
    <row r="38" spans="1:40" s="6" customFormat="1" ht="11.25" x14ac:dyDescent="0.2">
      <c r="A38" s="56">
        <f t="shared" si="20"/>
        <v>45681</v>
      </c>
      <c r="B38" s="411">
        <f>'2024'!Wh/'2024'!Env_an*'2025'!Env_an</f>
        <v>14.721218924558897</v>
      </c>
      <c r="C38" s="846"/>
      <c r="D38" s="393">
        <f t="shared" si="0"/>
        <v>15.540253451294911</v>
      </c>
      <c r="E38" s="385">
        <f t="shared" si="1"/>
        <v>17.12117926817071</v>
      </c>
      <c r="F38" s="385">
        <f t="shared" si="2"/>
        <v>18.189713580371084</v>
      </c>
      <c r="G38" s="110">
        <f t="shared" si="21"/>
        <v>1.0084823817632182</v>
      </c>
      <c r="H38" s="414" t="b">
        <f>Wh_hp&gt;='2024'!Maxi_hp</f>
        <v>1</v>
      </c>
      <c r="I38" s="390">
        <f>IF(H38,Wh_hp,'2024'!Maxi_hp)</f>
        <v>18.189713580371084</v>
      </c>
      <c r="J38" s="85">
        <f>IF(H38,An,'2024'!An_max)</f>
        <v>2025</v>
      </c>
      <c r="K38" s="197">
        <f t="shared" si="3"/>
        <v>45681</v>
      </c>
      <c r="L38" s="147">
        <f>IF(t&lt;Tvie,1-EXP((T0-t)*PertePVj)+'2024'!Pspv,1-EXP((T0-t)*PertePVj)+Pspv)</f>
        <v>5.2704064917793669E-2</v>
      </c>
      <c r="M38" s="850"/>
      <c r="N38" s="850"/>
      <c r="O38" s="48">
        <f>IF(t&lt;Tnet,'2024'!Resal+('2024'!Salim-'2024'!Resal)*(1-EXP(('2024'!Tnet-t)/('2024'!Tau_j))),Resal+(Salim-Resal)*(1-EXP((Tnet-t)/(Tau_j))))*Salcycl</f>
        <v>9.2337437282421081E-2</v>
      </c>
      <c r="P38" s="169">
        <f>(INDEX(Models!$BJ38:$BT38,,T38)*(1-R38)+INDEX(Models!$BJ38:$BT38,,T38+1)*R38-ERP_i)*Q38*Ramure*Pc/MaxiM</f>
        <v>5.8743877822982939E-2</v>
      </c>
      <c r="Q38" s="305">
        <f t="shared" si="4"/>
        <v>0.7</v>
      </c>
      <c r="R38" s="177">
        <f t="shared" si="5"/>
        <v>0.60109443292160403</v>
      </c>
      <c r="S38" s="817">
        <f t="shared" si="6"/>
        <v>0</v>
      </c>
      <c r="T38" s="176">
        <f t="shared" si="7"/>
        <v>6</v>
      </c>
      <c r="U38" s="251">
        <f t="shared" si="8"/>
        <v>0.60109443292160403</v>
      </c>
      <c r="V38" s="383">
        <f t="shared" si="9"/>
        <v>14.59739822010623</v>
      </c>
      <c r="W38" s="402">
        <f t="shared" si="10"/>
        <v>14.721218924558897</v>
      </c>
      <c r="X38" s="157">
        <f t="shared" si="11"/>
        <v>45681</v>
      </c>
      <c r="Y38" s="385">
        <f t="shared" si="12"/>
        <v>14.145341551885782</v>
      </c>
      <c r="Z38" s="385">
        <f t="shared" si="22"/>
        <v>14.932336377710994</v>
      </c>
      <c r="AA38" s="386">
        <f t="shared" si="13"/>
        <v>17.12117926817071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0.12784416634950527</v>
      </c>
      <c r="AD38" s="231">
        <f>(INDEX(Models!$BJ38:$BT38,,AH38)*(1-AF38)+INDEX(Models!$BJ38:$BT38,,AH38+1)*AF38-ERP_i)*AE38*Ramure*Pc/MaxiM</f>
        <v>5.8743877822982939E-2</v>
      </c>
      <c r="AE38" s="305">
        <f t="shared" si="15"/>
        <v>0.7</v>
      </c>
      <c r="AF38" s="177">
        <f t="shared" si="23"/>
        <v>0.60109443292160403</v>
      </c>
      <c r="AG38" s="817">
        <f t="shared" si="24"/>
        <v>0</v>
      </c>
      <c r="AH38" s="176">
        <f t="shared" si="16"/>
        <v>6</v>
      </c>
      <c r="AI38" s="225">
        <f t="shared" si="17"/>
        <v>0.60109443292160403</v>
      </c>
      <c r="AJ38" s="265" t="b">
        <f t="shared" si="18"/>
        <v>1</v>
      </c>
      <c r="AK38" s="265" t="b">
        <f t="shared" si="19"/>
        <v>1</v>
      </c>
      <c r="AL38" s="265"/>
      <c r="AM38" s="265"/>
      <c r="AN38" s="75"/>
    </row>
    <row r="39" spans="1:40" s="6" customFormat="1" ht="11.25" x14ac:dyDescent="0.2">
      <c r="A39" s="56">
        <f t="shared" si="20"/>
        <v>45682</v>
      </c>
      <c r="B39" s="411">
        <f>'2024'!Wh/'2024'!Env_an*'2025'!Env_an</f>
        <v>13.964739824643368</v>
      </c>
      <c r="C39" s="846"/>
      <c r="D39" s="393">
        <f t="shared" si="0"/>
        <v>14.742009521842343</v>
      </c>
      <c r="E39" s="385">
        <f t="shared" si="1"/>
        <v>16.243047151622729</v>
      </c>
      <c r="F39" s="385">
        <f t="shared" si="2"/>
        <v>17.165673185931816</v>
      </c>
      <c r="G39" s="110">
        <f t="shared" si="21"/>
        <v>0.93780172689294117</v>
      </c>
      <c r="H39" s="414" t="b">
        <f>Wh_hp&gt;='2024'!Maxi_hp</f>
        <v>0</v>
      </c>
      <c r="I39" s="390">
        <f>IF(H39,Wh_hp,'2024'!Maxi_hp)</f>
        <v>17.201428770631761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5.2724813129942816E-2</v>
      </c>
      <c r="M39" s="850"/>
      <c r="N39" s="850"/>
      <c r="O39" s="48">
        <f>IF(t&lt;Tnet,'2024'!Resal+('2024'!Salim-'2024'!Resal)*(1-EXP(('2024'!Tnet-t)/('2024'!Tau_j))),Resal+(Salim-Resal)*(1-EXP((Tnet-t)/(Tau_j))))*Salcycl</f>
        <v>9.2411086156973105E-2</v>
      </c>
      <c r="P39" s="169">
        <f>(INDEX(Models!$BJ39:$BT39,,T39)*(1-R39)+INDEX(Models!$BJ39:$BT39,,T39+1)*R39-ERP_i)*Q39*Ramure*Pc/MaxiM</f>
        <v>5.8550686366394503E-2</v>
      </c>
      <c r="Q39" s="305">
        <f t="shared" si="4"/>
        <v>0.7</v>
      </c>
      <c r="R39" s="177">
        <f t="shared" si="5"/>
        <v>0.60116927695301225</v>
      </c>
      <c r="S39" s="817">
        <f t="shared" si="6"/>
        <v>0</v>
      </c>
      <c r="T39" s="176">
        <f t="shared" si="7"/>
        <v>6</v>
      </c>
      <c r="U39" s="251">
        <f t="shared" si="8"/>
        <v>0.60116927695301225</v>
      </c>
      <c r="V39" s="383">
        <f t="shared" si="9"/>
        <v>14.815356238582691</v>
      </c>
      <c r="W39" s="402">
        <f t="shared" si="10"/>
        <v>13.964739824643368</v>
      </c>
      <c r="X39" s="157">
        <f t="shared" si="11"/>
        <v>45682</v>
      </c>
      <c r="Y39" s="385">
        <f t="shared" si="12"/>
        <v>13.419162911519535</v>
      </c>
      <c r="Z39" s="385">
        <f t="shared" si="22"/>
        <v>14.166066099396641</v>
      </c>
      <c r="AA39" s="386">
        <f t="shared" si="13"/>
        <v>16.243047151622729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0.12786892956957224</v>
      </c>
      <c r="AD39" s="231">
        <f>(INDEX(Models!$BJ39:$BT39,,AH39)*(1-AF39)+INDEX(Models!$BJ39:$BT39,,AH39+1)*AF39-ERP_i)*AE39*Ramure*Pc/MaxiM</f>
        <v>5.8550686366394503E-2</v>
      </c>
      <c r="AE39" s="305">
        <f t="shared" si="15"/>
        <v>0.7</v>
      </c>
      <c r="AF39" s="177">
        <f t="shared" si="23"/>
        <v>0.60116927695301225</v>
      </c>
      <c r="AG39" s="817">
        <f t="shared" si="24"/>
        <v>0</v>
      </c>
      <c r="AH39" s="176">
        <f t="shared" si="16"/>
        <v>6</v>
      </c>
      <c r="AI39" s="225">
        <f t="shared" si="17"/>
        <v>0.60116927695301225</v>
      </c>
      <c r="AJ39" s="265" t="b">
        <f t="shared" si="18"/>
        <v>1</v>
      </c>
      <c r="AK39" s="265" t="b">
        <f t="shared" si="19"/>
        <v>1</v>
      </c>
      <c r="AL39" s="265"/>
      <c r="AM39" s="265"/>
      <c r="AN39" s="75"/>
    </row>
    <row r="40" spans="1:40" s="6" customFormat="1" ht="11.25" x14ac:dyDescent="0.2">
      <c r="A40" s="56">
        <f t="shared" si="20"/>
        <v>45683</v>
      </c>
      <c r="B40" s="411">
        <f>'2024'!Wh/'2024'!Env_an*'2025'!Env_an</f>
        <v>15.181228628814036</v>
      </c>
      <c r="C40" s="846"/>
      <c r="D40" s="393">
        <f t="shared" si="0"/>
        <v>16.0265584429882</v>
      </c>
      <c r="E40" s="385">
        <f t="shared" si="1"/>
        <v>17.659823237048958</v>
      </c>
      <c r="F40" s="385">
        <f t="shared" si="2"/>
        <v>18.754153438721254</v>
      </c>
      <c r="G40" s="110">
        <f t="shared" si="21"/>
        <v>1.0094728002838942</v>
      </c>
      <c r="H40" s="414" t="b">
        <f>Wh_hp&gt;='2024'!Maxi_hp</f>
        <v>1</v>
      </c>
      <c r="I40" s="390">
        <f>IF(H40,Wh_hp,'2024'!Maxi_hp)</f>
        <v>18.754153438721254</v>
      </c>
      <c r="J40" s="85">
        <f>IF(H40,An,'2024'!An_max)</f>
        <v>2025</v>
      </c>
      <c r="K40" s="197">
        <f t="shared" si="3"/>
        <v>45683</v>
      </c>
      <c r="L40" s="147">
        <f>IF(t&lt;Tvie,1-EXP((T0-t)*PertePVj)+'2024'!Pspv,1-EXP((T0-t)*PertePVj)+Pspv)</f>
        <v>5.2745560887653031E-2</v>
      </c>
      <c r="M40" s="850"/>
      <c r="N40" s="850"/>
      <c r="O40" s="48">
        <f>IF(t&lt;Tnet,'2024'!Resal+('2024'!Salim-'2024'!Resal)*(1-EXP(('2024'!Tnet-t)/('2024'!Tau_j))),Resal+(Salim-Resal)*(1-EXP((Tnet-t)/(Tau_j))))*Salcycl</f>
        <v>9.2484775874443301E-2</v>
      </c>
      <c r="P40" s="169">
        <f>(INDEX(Models!$BJ40:$BT40,,T40)*(1-R40)+INDEX(Models!$BJ40:$BT40,,T40+1)*R40-ERP_i)*Q40*Ramure*Pc/MaxiM</f>
        <v>5.8351351621815095E-2</v>
      </c>
      <c r="Q40" s="305">
        <f t="shared" si="4"/>
        <v>0.7</v>
      </c>
      <c r="R40" s="177">
        <f t="shared" si="5"/>
        <v>0.60124723696540494</v>
      </c>
      <c r="S40" s="817">
        <f t="shared" si="6"/>
        <v>0</v>
      </c>
      <c r="T40" s="176">
        <f t="shared" si="7"/>
        <v>6</v>
      </c>
      <c r="U40" s="251">
        <f t="shared" si="8"/>
        <v>0.60124723696540494</v>
      </c>
      <c r="V40" s="383">
        <f t="shared" si="9"/>
        <v>15.038769370055951</v>
      </c>
      <c r="W40" s="402">
        <f t="shared" si="10"/>
        <v>15.181228628814036</v>
      </c>
      <c r="X40" s="157">
        <f t="shared" si="11"/>
        <v>45683</v>
      </c>
      <c r="Y40" s="385">
        <f t="shared" si="12"/>
        <v>14.588893286449442</v>
      </c>
      <c r="Z40" s="385">
        <f t="shared" si="22"/>
        <v>15.401240346912916</v>
      </c>
      <c r="AA40" s="386">
        <f t="shared" si="13"/>
        <v>17.659823237048958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0.12789385600404582</v>
      </c>
      <c r="AD40" s="231">
        <f>(INDEX(Models!$BJ40:$BT40,,AH40)*(1-AF40)+INDEX(Models!$BJ40:$BT40,,AH40+1)*AF40-ERP_i)*AE40*Ramure*Pc/MaxiM</f>
        <v>5.8351351621815095E-2</v>
      </c>
      <c r="AE40" s="305">
        <f t="shared" si="15"/>
        <v>0.7</v>
      </c>
      <c r="AF40" s="177">
        <f t="shared" si="23"/>
        <v>0.60124723696540494</v>
      </c>
      <c r="AG40" s="817">
        <f t="shared" si="24"/>
        <v>0</v>
      </c>
      <c r="AH40" s="176">
        <f t="shared" si="16"/>
        <v>6</v>
      </c>
      <c r="AI40" s="225">
        <f t="shared" si="17"/>
        <v>0.60124723696540494</v>
      </c>
      <c r="AJ40" s="265" t="b">
        <f t="shared" si="18"/>
        <v>1</v>
      </c>
      <c r="AK40" s="265" t="b">
        <f t="shared" si="19"/>
        <v>1</v>
      </c>
      <c r="AL40" s="265"/>
      <c r="AM40" s="265"/>
      <c r="AN40" s="75"/>
    </row>
    <row r="41" spans="1:40" s="6" customFormat="1" ht="11.25" x14ac:dyDescent="0.2">
      <c r="A41" s="56">
        <f t="shared" si="20"/>
        <v>45684</v>
      </c>
      <c r="B41" s="411">
        <f>'2024'!Wh/'2024'!Env_an*'2025'!Env_an</f>
        <v>12.969179587820898</v>
      </c>
      <c r="C41" s="846"/>
      <c r="D41" s="393">
        <f t="shared" si="0"/>
        <v>13.691636710104582</v>
      </c>
      <c r="E41" s="385">
        <f t="shared" si="1"/>
        <v>15.088175753816804</v>
      </c>
      <c r="F41" s="385">
        <f t="shared" si="2"/>
        <v>15.809820747068287</v>
      </c>
      <c r="G41" s="110">
        <f t="shared" si="21"/>
        <v>0.8383572750751872</v>
      </c>
      <c r="H41" s="414" t="b">
        <f>Wh_hp&gt;='2024'!Maxi_hp</f>
        <v>0</v>
      </c>
      <c r="I41" s="390">
        <f>IF(H41,Wh_hp,'2024'!Maxi_hp)</f>
        <v>15.896017389858935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5.2766308190933975E-2</v>
      </c>
      <c r="M41" s="850"/>
      <c r="N41" s="850"/>
      <c r="O41" s="48">
        <f>IF(t&lt;Tnet,'2024'!Resal+('2024'!Salim-'2024'!Resal)*(1-EXP(('2024'!Tnet-t)/('2024'!Tau_j))),Resal+(Salim-Resal)*(1-EXP((Tnet-t)/(Tau_j))))*Salcycl</f>
        <v>9.2558508496889957E-2</v>
      </c>
      <c r="P41" s="169">
        <f>(INDEX(Models!$BJ41:$BT41,,T41)*(1-R41)+INDEX(Models!$BJ41:$BT41,,T41+1)*R41-ERP_i)*Q41*Ramure*Pc/MaxiM</f>
        <v>5.8148394588922674E-2</v>
      </c>
      <c r="Q41" s="305">
        <f t="shared" si="4"/>
        <v>0.7</v>
      </c>
      <c r="R41" s="177">
        <f t="shared" si="5"/>
        <v>0.60132844164722665</v>
      </c>
      <c r="S41" s="817">
        <f t="shared" si="6"/>
        <v>0</v>
      </c>
      <c r="T41" s="176">
        <f t="shared" si="7"/>
        <v>6</v>
      </c>
      <c r="U41" s="251">
        <f t="shared" si="8"/>
        <v>0.60132844164722665</v>
      </c>
      <c r="V41" s="383">
        <f t="shared" si="9"/>
        <v>15.267082790368775</v>
      </c>
      <c r="W41" s="402">
        <f t="shared" si="10"/>
        <v>12.969179587820898</v>
      </c>
      <c r="X41" s="157">
        <f t="shared" si="11"/>
        <v>45684</v>
      </c>
      <c r="Y41" s="385">
        <f t="shared" si="12"/>
        <v>12.46380718146437</v>
      </c>
      <c r="Z41" s="385">
        <f t="shared" si="22"/>
        <v>13.158112184186013</v>
      </c>
      <c r="AA41" s="386">
        <f t="shared" si="13"/>
        <v>15.088175753816804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0.12791894799757692</v>
      </c>
      <c r="AD41" s="231">
        <f>(INDEX(Models!$BJ41:$BT41,,AH41)*(1-AF41)+INDEX(Models!$BJ41:$BT41,,AH41+1)*AF41-ERP_i)*AE41*Ramure*Pc/MaxiM</f>
        <v>5.8148394588922674E-2</v>
      </c>
      <c r="AE41" s="305">
        <f t="shared" si="15"/>
        <v>0.7</v>
      </c>
      <c r="AF41" s="177">
        <f t="shared" si="23"/>
        <v>0.60132844164722665</v>
      </c>
      <c r="AG41" s="817">
        <f t="shared" si="24"/>
        <v>0</v>
      </c>
      <c r="AH41" s="176">
        <f t="shared" si="16"/>
        <v>6</v>
      </c>
      <c r="AI41" s="225">
        <f t="shared" si="17"/>
        <v>0.60132844164722665</v>
      </c>
      <c r="AJ41" s="265" t="b">
        <f t="shared" si="18"/>
        <v>1</v>
      </c>
      <c r="AK41" s="265" t="b">
        <f t="shared" si="19"/>
        <v>1</v>
      </c>
      <c r="AL41" s="265"/>
      <c r="AM41" s="265"/>
      <c r="AN41" s="75"/>
    </row>
    <row r="42" spans="1:40" s="6" customFormat="1" ht="11.25" x14ac:dyDescent="0.2">
      <c r="A42" s="56">
        <f t="shared" si="20"/>
        <v>45685</v>
      </c>
      <c r="B42" s="411">
        <f>'2024'!Wh/'2024'!Env_an*'2025'!Env_an</f>
        <v>2.4253942286629253</v>
      </c>
      <c r="C42" s="846"/>
      <c r="D42" s="393">
        <f t="shared" si="0"/>
        <v>2.5605585750993138</v>
      </c>
      <c r="E42" s="385">
        <f t="shared" si="1"/>
        <v>2.821963503250835</v>
      </c>
      <c r="F42" s="385">
        <f t="shared" si="2"/>
        <v>2.821963503250835</v>
      </c>
      <c r="G42" s="110">
        <f t="shared" si="21"/>
        <v>0.14741256890996279</v>
      </c>
      <c r="H42" s="414" t="b">
        <f>Wh_hp&gt;='2024'!Maxi_hp</f>
        <v>0</v>
      </c>
      <c r="I42" s="390">
        <f>IF(H42,Wh_hp,'2024'!Maxi_hp)</f>
        <v>11.238202055607671</v>
      </c>
      <c r="J42" s="85">
        <f>IF(H42,An,'2024'!An_max)</f>
        <v>2020</v>
      </c>
      <c r="K42" s="197">
        <f t="shared" si="3"/>
        <v>45685</v>
      </c>
      <c r="L42" s="147">
        <f>IF(t&lt;Tvie,1-EXP((T0-t)*PertePVj)+'2024'!Pspv,1-EXP((T0-t)*PertePVj)+Pspv)</f>
        <v>5.2787055039795749E-2</v>
      </c>
      <c r="M42" s="850"/>
      <c r="N42" s="850"/>
      <c r="O42" s="48">
        <f>IF(t&lt;Tnet,'2024'!Resal+('2024'!Salim-'2024'!Resal)*(1-EXP(('2024'!Tnet-t)/('2024'!Tau_j))),Resal+(Salim-Resal)*(1-EXP((Tnet-t)/(Tau_j))))*Salcycl</f>
        <v>9.2632285233451364E-2</v>
      </c>
      <c r="P42" s="169">
        <f>(INDEX(Models!$BJ42:$BT42,,T42)*(1-R42)+INDEX(Models!$BJ42:$BT42,,T42+1)*R42-ERP_i)*Q42*Ramure*Pc/MaxiM</f>
        <v>5.794417101803799E-2</v>
      </c>
      <c r="Q42" s="305">
        <f t="shared" si="4"/>
        <v>0.7</v>
      </c>
      <c r="R42" s="177">
        <f t="shared" si="5"/>
        <v>0.60141302491307258</v>
      </c>
      <c r="S42" s="817">
        <f t="shared" si="6"/>
        <v>0</v>
      </c>
      <c r="T42" s="176">
        <f t="shared" si="7"/>
        <v>6</v>
      </c>
      <c r="U42" s="251">
        <f t="shared" si="8"/>
        <v>0.60141302491307258</v>
      </c>
      <c r="V42" s="383">
        <f t="shared" si="9"/>
        <v>15.499741898444711</v>
      </c>
      <c r="W42" s="402">
        <f t="shared" si="10"/>
        <v>2.4253942286629253</v>
      </c>
      <c r="X42" s="157">
        <f t="shared" si="11"/>
        <v>45685</v>
      </c>
      <c r="Y42" s="385">
        <f t="shared" si="12"/>
        <v>2.3310054498194233</v>
      </c>
      <c r="Z42" s="385">
        <f t="shared" si="22"/>
        <v>2.4609096214551385</v>
      </c>
      <c r="AA42" s="386">
        <f t="shared" si="13"/>
        <v>2.821963503250835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0.1279442067127271</v>
      </c>
      <c r="AD42" s="231">
        <f>(INDEX(Models!$BJ42:$BT42,,AH42)*(1-AF42)+INDEX(Models!$BJ42:$BT42,,AH42+1)*AF42-ERP_i)*AE42*Ramure*Pc/MaxiM</f>
        <v>5.794417101803799E-2</v>
      </c>
      <c r="AE42" s="305">
        <f t="shared" si="15"/>
        <v>0.7</v>
      </c>
      <c r="AF42" s="177">
        <f t="shared" si="23"/>
        <v>0.60141302491307258</v>
      </c>
      <c r="AG42" s="817">
        <f t="shared" si="24"/>
        <v>0</v>
      </c>
      <c r="AH42" s="176">
        <f t="shared" si="16"/>
        <v>6</v>
      </c>
      <c r="AI42" s="225">
        <f t="shared" si="17"/>
        <v>0.60141302491307258</v>
      </c>
      <c r="AJ42" s="265" t="b">
        <f t="shared" si="18"/>
        <v>1</v>
      </c>
      <c r="AK42" s="265" t="b">
        <f t="shared" si="19"/>
        <v>1</v>
      </c>
      <c r="AL42" s="265"/>
      <c r="AM42" s="265"/>
      <c r="AN42" s="75"/>
    </row>
    <row r="43" spans="1:40" s="6" customFormat="1" ht="11.25" x14ac:dyDescent="0.2">
      <c r="A43" s="56">
        <f t="shared" si="20"/>
        <v>45686</v>
      </c>
      <c r="B43" s="411">
        <f>'2024'!Wh/'2024'!Env_an*'2025'!Env_an</f>
        <v>4.1455675463040915</v>
      </c>
      <c r="C43" s="846"/>
      <c r="D43" s="393">
        <f t="shared" si="0"/>
        <v>4.3766909742091977</v>
      </c>
      <c r="E43" s="385">
        <f t="shared" si="1"/>
        <v>4.8238955480168668</v>
      </c>
      <c r="F43" s="385">
        <f t="shared" si="2"/>
        <v>4.8238955480168668</v>
      </c>
      <c r="G43" s="110">
        <f t="shared" si="21"/>
        <v>0.24823024306569097</v>
      </c>
      <c r="H43" s="414" t="b">
        <f>Wh_hp&gt;='2024'!Maxi_hp</f>
        <v>0</v>
      </c>
      <c r="I43" s="390">
        <f>IF(H43,Wh_hp,'2024'!Maxi_hp)</f>
        <v>14.430567184560136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5.2807801434248347E-2</v>
      </c>
      <c r="M43" s="850"/>
      <c r="N43" s="850"/>
      <c r="O43" s="48">
        <f>IF(t&lt;Tnet,'2024'!Resal+('2024'!Salim-'2024'!Resal)*(1-EXP(('2024'!Tnet-t)/('2024'!Tau_j))),Resal+(Salim-Resal)*(1-EXP((Tnet-t)/(Tau_j))))*Salcycl</f>
        <v>9.2706106373202382E-2</v>
      </c>
      <c r="P43" s="169">
        <f>(INDEX(Models!$BJ43:$BT43,,T43)*(1-R43)+INDEX(Models!$BJ43:$BT43,,T43+1)*R43-ERP_i)*Q43*Ramure*Pc/MaxiM</f>
        <v>5.7740875465994761E-2</v>
      </c>
      <c r="Q43" s="305">
        <f t="shared" si="4"/>
        <v>0.7</v>
      </c>
      <c r="R43" s="177">
        <f t="shared" si="5"/>
        <v>0.60150112610835782</v>
      </c>
      <c r="S43" s="817">
        <f t="shared" si="6"/>
        <v>0</v>
      </c>
      <c r="T43" s="176">
        <f t="shared" si="7"/>
        <v>6</v>
      </c>
      <c r="U43" s="251">
        <f t="shared" si="8"/>
        <v>0.60150112610835782</v>
      </c>
      <c r="V43" s="383">
        <f t="shared" si="9"/>
        <v>15.736192329487235</v>
      </c>
      <c r="W43" s="402">
        <f t="shared" si="10"/>
        <v>4.1455675463040915</v>
      </c>
      <c r="X43" s="157">
        <f t="shared" si="11"/>
        <v>45686</v>
      </c>
      <c r="Y43" s="385">
        <f t="shared" si="12"/>
        <v>3.9844429883158932</v>
      </c>
      <c r="Z43" s="385">
        <f t="shared" si="22"/>
        <v>4.2065834097337147</v>
      </c>
      <c r="AA43" s="386">
        <f t="shared" si="13"/>
        <v>4.8238955480168668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0.12796963204083736</v>
      </c>
      <c r="AD43" s="231">
        <f>(INDEX(Models!$BJ43:$BT43,,AH43)*(1-AF43)+INDEX(Models!$BJ43:$BT43,,AH43+1)*AF43-ERP_i)*AE43*Ramure*Pc/MaxiM</f>
        <v>5.7740875465994761E-2</v>
      </c>
      <c r="AE43" s="305">
        <f t="shared" si="15"/>
        <v>0.7</v>
      </c>
      <c r="AF43" s="177">
        <f t="shared" si="23"/>
        <v>0.60150112610835782</v>
      </c>
      <c r="AG43" s="817">
        <f t="shared" si="24"/>
        <v>0</v>
      </c>
      <c r="AH43" s="176">
        <f t="shared" si="16"/>
        <v>6</v>
      </c>
      <c r="AI43" s="225">
        <f t="shared" si="17"/>
        <v>0.60150112610835782</v>
      </c>
      <c r="AJ43" s="265" t="b">
        <f t="shared" si="18"/>
        <v>1</v>
      </c>
      <c r="AK43" s="265" t="b">
        <f t="shared" si="19"/>
        <v>1</v>
      </c>
      <c r="AL43" s="265"/>
      <c r="AM43" s="265"/>
      <c r="AN43" s="75"/>
    </row>
    <row r="44" spans="1:40" s="6" customFormat="1" ht="11.25" x14ac:dyDescent="0.2">
      <c r="A44" s="56">
        <f t="shared" si="20"/>
        <v>45687</v>
      </c>
      <c r="B44" s="411">
        <f>'2024'!Wh/'2024'!Env_an*'2025'!Env_an</f>
        <v>2.6892381228664672</v>
      </c>
      <c r="C44" s="846"/>
      <c r="D44" s="393">
        <f t="shared" si="0"/>
        <v>2.8392305483991356</v>
      </c>
      <c r="E44" s="385">
        <f t="shared" si="1"/>
        <v>3.1295942090981286</v>
      </c>
      <c r="F44" s="385">
        <f t="shared" si="2"/>
        <v>3.1295942090981286</v>
      </c>
      <c r="G44" s="110">
        <f t="shared" si="21"/>
        <v>0.15864527629118216</v>
      </c>
      <c r="H44" s="414" t="b">
        <f>Wh_hp&gt;='2024'!Maxi_hp</f>
        <v>0</v>
      </c>
      <c r="I44" s="390">
        <f>IF(H44,Wh_hp,'2024'!Maxi_hp)</f>
        <v>7.5125643185257411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5.2828547374301649E-2</v>
      </c>
      <c r="M44" s="850"/>
      <c r="N44" s="850"/>
      <c r="O44" s="48">
        <f>IF(t&lt;Tnet,'2024'!Resal+('2024'!Salim-'2024'!Resal)*(1-EXP(('2024'!Tnet-t)/('2024'!Tau_j))),Resal+(Salim-Resal)*(1-EXP((Tnet-t)/(Tau_j))))*Salcycl</f>
        <v>9.2779971235525921E-2</v>
      </c>
      <c r="P44" s="169">
        <f>(INDEX(Models!$BJ44:$BT44,,T44)*(1-R44)+INDEX(Models!$BJ44:$BT44,,T44+1)*R44-ERP_i)*Q44*Ramure*Pc/MaxiM</f>
        <v>5.7484579488666546E-2</v>
      </c>
      <c r="Q44" s="305">
        <f t="shared" si="4"/>
        <v>0.7</v>
      </c>
      <c r="R44" s="177">
        <f t="shared" si="5"/>
        <v>0.60159289022135132</v>
      </c>
      <c r="S44" s="817">
        <f t="shared" si="6"/>
        <v>0</v>
      </c>
      <c r="T44" s="176">
        <f t="shared" si="7"/>
        <v>6</v>
      </c>
      <c r="U44" s="251">
        <f t="shared" si="8"/>
        <v>0.60159289022135132</v>
      </c>
      <c r="V44" s="383">
        <f t="shared" si="9"/>
        <v>15.976828680208731</v>
      </c>
      <c r="W44" s="402">
        <f t="shared" si="10"/>
        <v>2.6892381228664672</v>
      </c>
      <c r="X44" s="157">
        <f t="shared" si="11"/>
        <v>45687</v>
      </c>
      <c r="Y44" s="385">
        <f t="shared" si="12"/>
        <v>2.5848508812882729</v>
      </c>
      <c r="Z44" s="385">
        <f t="shared" si="22"/>
        <v>2.729021101852982</v>
      </c>
      <c r="AA44" s="386">
        <f t="shared" si="13"/>
        <v>3.1295942090981286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0.12799522253735957</v>
      </c>
      <c r="AD44" s="231">
        <f>(INDEX(Models!$BJ44:$BT44,,AH44)*(1-AF44)+INDEX(Models!$BJ44:$BT44,,AH44+1)*AF44-ERP_i)*AE44*Ramure*Pc/MaxiM</f>
        <v>5.7484579488666546E-2</v>
      </c>
      <c r="AE44" s="305">
        <f t="shared" si="15"/>
        <v>0.7</v>
      </c>
      <c r="AF44" s="177">
        <f t="shared" si="23"/>
        <v>0.60159289022135132</v>
      </c>
      <c r="AG44" s="817">
        <f t="shared" si="24"/>
        <v>0</v>
      </c>
      <c r="AH44" s="176">
        <f t="shared" si="16"/>
        <v>6</v>
      </c>
      <c r="AI44" s="225">
        <f t="shared" si="17"/>
        <v>0.60159289022135132</v>
      </c>
      <c r="AJ44" s="265" t="b">
        <f t="shared" si="18"/>
        <v>1</v>
      </c>
      <c r="AK44" s="265" t="b">
        <f t="shared" si="19"/>
        <v>1</v>
      </c>
      <c r="AL44" s="265"/>
      <c r="AM44" s="265"/>
      <c r="AN44" s="75"/>
    </row>
    <row r="45" spans="1:40" s="6" customFormat="1" ht="11.25" x14ac:dyDescent="0.2">
      <c r="A45" s="56">
        <f t="shared" si="20"/>
        <v>45688</v>
      </c>
      <c r="B45" s="411">
        <f>'2024'!Wh/'2024'!Env_an*'2025'!Env_an</f>
        <v>6.3117263539699966</v>
      </c>
      <c r="C45" s="846"/>
      <c r="D45" s="393">
        <f t="shared" si="0"/>
        <v>6.6639092452652529</v>
      </c>
      <c r="E45" s="385">
        <f t="shared" si="1"/>
        <v>7.3460152500992768</v>
      </c>
      <c r="F45" s="385">
        <f t="shared" si="2"/>
        <v>7.3998710228539784</v>
      </c>
      <c r="G45" s="110">
        <f t="shared" si="21"/>
        <v>0.36954660042915849</v>
      </c>
      <c r="H45" s="414" t="b">
        <f>Wh_hp&gt;='2024'!Maxi_hp</f>
        <v>0</v>
      </c>
      <c r="I45" s="390">
        <f>IF(H45,Wh_hp,'2024'!Maxi_hp)</f>
        <v>13.77882589725804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5.2849292859965646E-2</v>
      </c>
      <c r="M45" s="850"/>
      <c r="N45" s="850"/>
      <c r="O45" s="48">
        <f>IF(t&lt;Tnet,'2024'!Resal+('2024'!Salim-'2024'!Resal)*(1-EXP(('2024'!Tnet-t)/('2024'!Tau_j))),Resal+(Salim-Resal)*(1-EXP((Tnet-t)/(Tau_j))))*Salcycl</f>
        <v>9.2853878138192791E-2</v>
      </c>
      <c r="P45" s="169">
        <f>(INDEX(Models!$BJ45:$BT45,,T45)*(1-R45)+INDEX(Models!$BJ45:$BT45,,T45+1)*R45-ERP_i)*Q45*Ramure*Pc/MaxiM</f>
        <v>5.7175242925112384E-2</v>
      </c>
      <c r="Q45" s="305">
        <f t="shared" si="4"/>
        <v>0.7</v>
      </c>
      <c r="R45" s="177">
        <f t="shared" si="5"/>
        <v>0.60168846810278143</v>
      </c>
      <c r="S45" s="817">
        <f t="shared" si="6"/>
        <v>0</v>
      </c>
      <c r="T45" s="176">
        <f t="shared" si="7"/>
        <v>6</v>
      </c>
      <c r="U45" s="251">
        <f t="shared" si="8"/>
        <v>0.60168846810278143</v>
      </c>
      <c r="V45" s="383">
        <f t="shared" si="9"/>
        <v>16.221172874974503</v>
      </c>
      <c r="W45" s="402">
        <f t="shared" si="10"/>
        <v>6.3117263539699966</v>
      </c>
      <c r="X45" s="157">
        <f t="shared" si="11"/>
        <v>45688</v>
      </c>
      <c r="Y45" s="385">
        <f t="shared" si="12"/>
        <v>6.0670413036611928</v>
      </c>
      <c r="Z45" s="385">
        <f t="shared" si="22"/>
        <v>6.4055712126118838</v>
      </c>
      <c r="AA45" s="386">
        <f t="shared" si="13"/>
        <v>7.3460152500992768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0.12802097538181445</v>
      </c>
      <c r="AD45" s="231">
        <f>(INDEX(Models!$BJ45:$BT45,,AH45)*(1-AF45)+INDEX(Models!$BJ45:$BT45,,AH45+1)*AF45-ERP_i)*AE45*Ramure*Pc/MaxiM</f>
        <v>5.7175242925112384E-2</v>
      </c>
      <c r="AE45" s="305">
        <f t="shared" si="15"/>
        <v>0.7</v>
      </c>
      <c r="AF45" s="177">
        <f t="shared" si="23"/>
        <v>0.60168846810278143</v>
      </c>
      <c r="AG45" s="817">
        <f t="shared" si="24"/>
        <v>0</v>
      </c>
      <c r="AH45" s="176">
        <f t="shared" si="16"/>
        <v>6</v>
      </c>
      <c r="AI45" s="225">
        <f t="shared" si="17"/>
        <v>0.60168846810278143</v>
      </c>
      <c r="AJ45" s="265" t="b">
        <f t="shared" si="18"/>
        <v>1</v>
      </c>
      <c r="AK45" s="265" t="b">
        <f t="shared" si="19"/>
        <v>1</v>
      </c>
      <c r="AL45" s="265"/>
      <c r="AM45" s="265"/>
      <c r="AN45" s="75"/>
    </row>
    <row r="46" spans="1:40" s="6" customFormat="1" ht="11.25" x14ac:dyDescent="0.2">
      <c r="A46" s="56">
        <f t="shared" si="20"/>
        <v>45689</v>
      </c>
      <c r="B46" s="411">
        <f>'2024'!Wh/'2024'!Env_an*'2025'!Env_an</f>
        <v>7.8629150603069062</v>
      </c>
      <c r="C46" s="846"/>
      <c r="D46" s="393">
        <f t="shared" si="0"/>
        <v>8.3018333015253969</v>
      </c>
      <c r="E46" s="385">
        <f t="shared" si="1"/>
        <v>9.15234038116078</v>
      </c>
      <c r="F46" s="385">
        <f t="shared" si="2"/>
        <v>9.2860870167891534</v>
      </c>
      <c r="G46" s="110">
        <f t="shared" si="21"/>
        <v>0.45690034730822177</v>
      </c>
      <c r="H46" s="414" t="b">
        <f>Wh_hp&gt;='2024'!Maxi_hp</f>
        <v>0</v>
      </c>
      <c r="I46" s="390">
        <f>IF(H46,Wh_hp,'2024'!Maxi_hp)</f>
        <v>16.408521217221892</v>
      </c>
      <c r="J46" s="85">
        <f>IF(H46,An,'2024'!An_max)</f>
        <v>2019</v>
      </c>
      <c r="K46" s="197">
        <f t="shared" si="3"/>
        <v>45689</v>
      </c>
      <c r="L46" s="147">
        <f>IF(t&lt;Tvie,1-EXP((T0-t)*PertePVj)+'2024'!Pspv,1-EXP((T0-t)*PertePVj)+Pspv)</f>
        <v>5.2870037891250221E-2</v>
      </c>
      <c r="M46" s="850"/>
      <c r="N46" s="850"/>
      <c r="O46" s="48">
        <f>IF(t&lt;Tnet,'2024'!Resal+('2024'!Salim-'2024'!Resal)*(1-EXP(('2024'!Tnet-t)/('2024'!Tau_j))),Resal+(Salim-Resal)*(1-EXP((Tnet-t)/(Tau_j))))*Salcycl</f>
        <v>9.2927824383156804E-2</v>
      </c>
      <c r="P46" s="169">
        <f>(INDEX(Models!$BJ46:$BT46,,T46)*(1-R46)+INDEX(Models!$BJ46:$BT46,,T46+1)*R46-ERP_i)*Q46*Ramure*Pc/MaxiM</f>
        <v>5.6817204624091025E-2</v>
      </c>
      <c r="Q46" s="305">
        <f t="shared" si="4"/>
        <v>0.7</v>
      </c>
      <c r="R46" s="177">
        <f t="shared" si="5"/>
        <v>0.60178801669322191</v>
      </c>
      <c r="S46" s="817">
        <f t="shared" si="6"/>
        <v>0</v>
      </c>
      <c r="T46" s="176">
        <f t="shared" si="7"/>
        <v>6</v>
      </c>
      <c r="U46" s="251">
        <f t="shared" si="8"/>
        <v>0.60178801669322191</v>
      </c>
      <c r="V46" s="383">
        <f t="shared" si="9"/>
        <v>16.468670929908001</v>
      </c>
      <c r="W46" s="402">
        <f t="shared" si="10"/>
        <v>7.8629150603069062</v>
      </c>
      <c r="X46" s="157">
        <f t="shared" si="11"/>
        <v>45689</v>
      </c>
      <c r="Y46" s="385">
        <f t="shared" si="12"/>
        <v>7.5584870238590716</v>
      </c>
      <c r="Z46" s="385">
        <f t="shared" si="22"/>
        <v>7.9804116924253776</v>
      </c>
      <c r="AA46" s="386">
        <f t="shared" si="13"/>
        <v>9.15234038116078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0.12804688636228018</v>
      </c>
      <c r="AD46" s="231">
        <f>(INDEX(Models!$BJ46:$BT46,,AH46)*(1-AF46)+INDEX(Models!$BJ46:$BT46,,AH46+1)*AF46-ERP_i)*AE46*Ramure*Pc/MaxiM</f>
        <v>5.6817204624091025E-2</v>
      </c>
      <c r="AE46" s="305">
        <f t="shared" si="15"/>
        <v>0.7</v>
      </c>
      <c r="AF46" s="177">
        <f t="shared" si="23"/>
        <v>0.60178801669322191</v>
      </c>
      <c r="AG46" s="817">
        <f t="shared" si="24"/>
        <v>0</v>
      </c>
      <c r="AH46" s="176">
        <f t="shared" si="16"/>
        <v>6</v>
      </c>
      <c r="AI46" s="225">
        <f t="shared" si="17"/>
        <v>0.60178801669322191</v>
      </c>
      <c r="AJ46" s="265" t="b">
        <f t="shared" si="18"/>
        <v>1</v>
      </c>
      <c r="AK46" s="265" t="b">
        <f t="shared" si="19"/>
        <v>1</v>
      </c>
      <c r="AL46" s="265"/>
      <c r="AM46" s="265"/>
      <c r="AN46" s="75"/>
    </row>
    <row r="47" spans="1:40" s="6" customFormat="1" ht="11.25" x14ac:dyDescent="0.2">
      <c r="A47" s="56">
        <f t="shared" si="20"/>
        <v>45690</v>
      </c>
      <c r="B47" s="411">
        <f>'2024'!Wh/'2024'!Env_an*'2025'!Env_an</f>
        <v>3.463564571992126</v>
      </c>
      <c r="C47" s="846"/>
      <c r="D47" s="393">
        <f t="shared" si="0"/>
        <v>3.6569853907854162</v>
      </c>
      <c r="E47" s="385">
        <f t="shared" si="1"/>
        <v>4.0319654614805795</v>
      </c>
      <c r="F47" s="385">
        <f t="shared" si="2"/>
        <v>4.0319654614805795</v>
      </c>
      <c r="G47" s="110">
        <f t="shared" si="21"/>
        <v>0.1954790521075539</v>
      </c>
      <c r="H47" s="414" t="b">
        <f>Wh_hp&gt;='2024'!Maxi_hp</f>
        <v>0</v>
      </c>
      <c r="I47" s="390">
        <f>IF(H47,Wh_hp,'2024'!Maxi_hp)</f>
        <v>18.666071177776274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5.2890782468165365E-2</v>
      </c>
      <c r="M47" s="850"/>
      <c r="N47" s="850"/>
      <c r="O47" s="48">
        <f>IF(t&lt;Tnet,'2024'!Resal+('2024'!Salim-'2024'!Resal)*(1-EXP(('2024'!Tnet-t)/('2024'!Tau_j))),Resal+(Salim-Resal)*(1-EXP((Tnet-t)/(Tau_j))))*Salcycl</f>
        <v>9.3001806259884648E-2</v>
      </c>
      <c r="P47" s="169">
        <f>(INDEX(Models!$BJ47:$BT47,,T47)*(1-R47)+INDEX(Models!$BJ47:$BT47,,T47+1)*R47-ERP_i)*Q47*Ramure*Pc/MaxiM</f>
        <v>5.6414550338742431E-2</v>
      </c>
      <c r="Q47" s="305">
        <f t="shared" si="4"/>
        <v>0.7</v>
      </c>
      <c r="R47" s="177">
        <f t="shared" si="5"/>
        <v>0.60189169925846675</v>
      </c>
      <c r="S47" s="817">
        <f t="shared" si="6"/>
        <v>0</v>
      </c>
      <c r="T47" s="176">
        <f t="shared" si="7"/>
        <v>6</v>
      </c>
      <c r="U47" s="251">
        <f t="shared" si="8"/>
        <v>0.60189169925846675</v>
      </c>
      <c r="V47" s="383">
        <f t="shared" si="9"/>
        <v>16.718769089875792</v>
      </c>
      <c r="W47" s="402">
        <f t="shared" si="10"/>
        <v>3.463564571992126</v>
      </c>
      <c r="X47" s="157">
        <f t="shared" si="11"/>
        <v>45690</v>
      </c>
      <c r="Y47" s="385">
        <f t="shared" si="12"/>
        <v>3.3296379871385766</v>
      </c>
      <c r="Z47" s="385">
        <f t="shared" si="22"/>
        <v>3.5155797509981044</v>
      </c>
      <c r="AA47" s="386">
        <f t="shared" si="13"/>
        <v>4.0319654614805795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0.12807294988406306</v>
      </c>
      <c r="AD47" s="231">
        <f>(INDEX(Models!$BJ47:$BT47,,AH47)*(1-AF47)+INDEX(Models!$BJ47:$BT47,,AH47+1)*AF47-ERP_i)*AE47*Ramure*Pc/MaxiM</f>
        <v>5.6414550338742431E-2</v>
      </c>
      <c r="AE47" s="305">
        <f t="shared" si="15"/>
        <v>0.7</v>
      </c>
      <c r="AF47" s="177">
        <f t="shared" si="23"/>
        <v>0.60189169925846675</v>
      </c>
      <c r="AG47" s="817">
        <f t="shared" si="24"/>
        <v>0</v>
      </c>
      <c r="AH47" s="176">
        <f t="shared" si="16"/>
        <v>6</v>
      </c>
      <c r="AI47" s="225">
        <f t="shared" si="17"/>
        <v>0.60189169925846675</v>
      </c>
      <c r="AJ47" s="265" t="b">
        <f t="shared" si="18"/>
        <v>1</v>
      </c>
      <c r="AK47" s="265" t="b">
        <f t="shared" si="19"/>
        <v>1</v>
      </c>
      <c r="AL47" s="265"/>
      <c r="AM47" s="265"/>
      <c r="AN47" s="75"/>
    </row>
    <row r="48" spans="1:40" s="6" customFormat="1" ht="11.25" x14ac:dyDescent="0.2">
      <c r="A48" s="56">
        <f t="shared" si="20"/>
        <v>45691</v>
      </c>
      <c r="B48" s="411">
        <f>'2024'!Wh/'2024'!Env_an*'2025'!Env_an</f>
        <v>7.3880244073203354</v>
      </c>
      <c r="C48" s="846"/>
      <c r="D48" s="393">
        <f t="shared" si="0"/>
        <v>7.800775339103553</v>
      </c>
      <c r="E48" s="385">
        <f t="shared" si="1"/>
        <v>8.6013533469454</v>
      </c>
      <c r="F48" s="385">
        <f t="shared" si="2"/>
        <v>8.6954483178573376</v>
      </c>
      <c r="G48" s="110">
        <f t="shared" si="21"/>
        <v>0.41546416112815515</v>
      </c>
      <c r="H48" s="414" t="b">
        <f>Wh_hp&gt;='2024'!Maxi_hp</f>
        <v>0</v>
      </c>
      <c r="I48" s="390">
        <f>IF(H48,Wh_hp,'2024'!Maxi_hp)</f>
        <v>16.889504299779531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5.2911526590720959E-2</v>
      </c>
      <c r="M48" s="850"/>
      <c r="N48" s="850"/>
      <c r="O48" s="48">
        <f>IF(t&lt;Tnet,'2024'!Resal+('2024'!Salim-'2024'!Resal)*(1-EXP(('2024'!Tnet-t)/('2024'!Tau_j))),Resal+(Salim-Resal)*(1-EXP((Tnet-t)/(Tau_j))))*Salcycl</f>
        <v>9.3075819065863277E-2</v>
      </c>
      <c r="P48" s="169">
        <f>(INDEX(Models!$BJ48:$BT48,,T48)*(1-R48)+INDEX(Models!$BJ48:$BT48,,T48+1)*R48-ERP_i)*Q48*Ramure*Pc/MaxiM</f>
        <v>5.5971111299581183E-2</v>
      </c>
      <c r="Q48" s="305">
        <f t="shared" si="4"/>
        <v>0.7</v>
      </c>
      <c r="R48" s="177">
        <f t="shared" si="5"/>
        <v>0.60199968563309969</v>
      </c>
      <c r="S48" s="817">
        <f t="shared" si="6"/>
        <v>0</v>
      </c>
      <c r="T48" s="176">
        <f t="shared" si="7"/>
        <v>6</v>
      </c>
      <c r="U48" s="251">
        <f t="shared" si="8"/>
        <v>0.60199968563309969</v>
      </c>
      <c r="V48" s="383">
        <f t="shared" si="9"/>
        <v>16.970913845001345</v>
      </c>
      <c r="W48" s="402">
        <f t="shared" si="10"/>
        <v>7.3880244073203354</v>
      </c>
      <c r="X48" s="157">
        <f t="shared" si="11"/>
        <v>45691</v>
      </c>
      <c r="Y48" s="385">
        <f t="shared" si="12"/>
        <v>7.1027157831669774</v>
      </c>
      <c r="Z48" s="385">
        <f t="shared" si="22"/>
        <v>7.4995272169230365</v>
      </c>
      <c r="AA48" s="386">
        <f t="shared" si="13"/>
        <v>8.6013533469454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0.12809915900195584</v>
      </c>
      <c r="AD48" s="231">
        <f>(INDEX(Models!$BJ48:$BT48,,AH48)*(1-AF48)+INDEX(Models!$BJ48:$BT48,,AH48+1)*AF48-ERP_i)*AE48*Ramure*Pc/MaxiM</f>
        <v>5.5971111299581183E-2</v>
      </c>
      <c r="AE48" s="305">
        <f t="shared" si="15"/>
        <v>0.7</v>
      </c>
      <c r="AF48" s="177">
        <f t="shared" si="23"/>
        <v>0.60199968563309969</v>
      </c>
      <c r="AG48" s="817">
        <f t="shared" si="24"/>
        <v>0</v>
      </c>
      <c r="AH48" s="176">
        <f t="shared" si="16"/>
        <v>6</v>
      </c>
      <c r="AI48" s="225">
        <f t="shared" si="17"/>
        <v>0.60199968563309969</v>
      </c>
      <c r="AJ48" s="265" t="b">
        <f t="shared" si="18"/>
        <v>1</v>
      </c>
      <c r="AK48" s="265" t="b">
        <f t="shared" si="19"/>
        <v>1</v>
      </c>
      <c r="AL48" s="265"/>
      <c r="AM48" s="265"/>
      <c r="AN48" s="75"/>
    </row>
    <row r="49" spans="1:40" s="6" customFormat="1" ht="11.25" x14ac:dyDescent="0.2">
      <c r="A49" s="56">
        <f t="shared" si="20"/>
        <v>45692</v>
      </c>
      <c r="B49" s="411">
        <f>'2024'!Wh/'2024'!Env_an*'2025'!Env_an</f>
        <v>7.1685539090283594</v>
      </c>
      <c r="C49" s="846"/>
      <c r="D49" s="393">
        <f t="shared" si="0"/>
        <v>7.5692093436529966</v>
      </c>
      <c r="E49" s="385">
        <f t="shared" si="1"/>
        <v>8.3467035907528793</v>
      </c>
      <c r="F49" s="385">
        <f t="shared" si="2"/>
        <v>8.4242914449874799</v>
      </c>
      <c r="G49" s="110">
        <f t="shared" si="21"/>
        <v>0.39674216644408322</v>
      </c>
      <c r="H49" s="414" t="b">
        <f>Wh_hp&gt;='2024'!Maxi_hp</f>
        <v>0</v>
      </c>
      <c r="I49" s="390">
        <f>IF(H49,Wh_hp,'2024'!Maxi_hp)</f>
        <v>17.966121132529384</v>
      </c>
      <c r="J49" s="85">
        <f>IF(H49,An,'2024'!An_max)</f>
        <v>2019</v>
      </c>
      <c r="K49" s="197">
        <f t="shared" si="3"/>
        <v>45692</v>
      </c>
      <c r="L49" s="147">
        <f>IF(t&lt;Tvie,1-EXP((T0-t)*PertePVj)+'2024'!Pspv,1-EXP((T0-t)*PertePVj)+Pspv)</f>
        <v>5.2932270258927216E-2</v>
      </c>
      <c r="M49" s="850"/>
      <c r="N49" s="850"/>
      <c r="O49" s="48">
        <f>IF(t&lt;Tnet,'2024'!Resal+('2024'!Salim-'2024'!Resal)*(1-EXP(('2024'!Tnet-t)/('2024'!Tau_j))),Resal+(Salim-Resal)*(1-EXP((Tnet-t)/(Tau_j))))*Salcycl</f>
        <v>9.3149857143753192E-2</v>
      </c>
      <c r="P49" s="169">
        <f>(INDEX(Models!$BJ49:$BT49,,T49)*(1-R49)+INDEX(Models!$BJ49:$BT49,,T49+1)*R49-ERP_i)*Q49*Ramure*Pc/MaxiM</f>
        <v>5.5490465790998665E-2</v>
      </c>
      <c r="Q49" s="305">
        <f t="shared" si="4"/>
        <v>0.7</v>
      </c>
      <c r="R49" s="177">
        <f t="shared" si="5"/>
        <v>0.60211215247246574</v>
      </c>
      <c r="S49" s="817">
        <f t="shared" si="6"/>
        <v>0</v>
      </c>
      <c r="T49" s="176">
        <f t="shared" si="7"/>
        <v>6</v>
      </c>
      <c r="U49" s="251">
        <f t="shared" si="8"/>
        <v>0.60211215247246574</v>
      </c>
      <c r="V49" s="383">
        <f t="shared" si="9"/>
        <v>17.224551937674175</v>
      </c>
      <c r="W49" s="402">
        <f t="shared" si="10"/>
        <v>7.1685539090283594</v>
      </c>
      <c r="X49" s="157">
        <f t="shared" si="11"/>
        <v>45692</v>
      </c>
      <c r="Y49" s="385">
        <f t="shared" si="12"/>
        <v>6.8920751296592426</v>
      </c>
      <c r="Z49" s="385">
        <f t="shared" si="22"/>
        <v>7.2772779741355222</v>
      </c>
      <c r="AA49" s="386">
        <f t="shared" si="13"/>
        <v>8.3467035907528793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0.1281255054752572</v>
      </c>
      <c r="AD49" s="231">
        <f>(INDEX(Models!$BJ49:$BT49,,AH49)*(1-AF49)+INDEX(Models!$BJ49:$BT49,,AH49+1)*AF49-ERP_i)*AE49*Ramure*Pc/MaxiM</f>
        <v>5.5490465790998665E-2</v>
      </c>
      <c r="AE49" s="305">
        <f t="shared" si="15"/>
        <v>0.7</v>
      </c>
      <c r="AF49" s="177">
        <f t="shared" si="23"/>
        <v>0.60211215247246574</v>
      </c>
      <c r="AG49" s="817">
        <f t="shared" si="24"/>
        <v>0</v>
      </c>
      <c r="AH49" s="176">
        <f t="shared" si="16"/>
        <v>6</v>
      </c>
      <c r="AI49" s="225">
        <f t="shared" si="17"/>
        <v>0.60211215247246574</v>
      </c>
      <c r="AJ49" s="265" t="b">
        <f t="shared" si="18"/>
        <v>1</v>
      </c>
      <c r="AK49" s="265" t="b">
        <f t="shared" si="19"/>
        <v>1</v>
      </c>
      <c r="AL49" s="265"/>
      <c r="AM49" s="265"/>
      <c r="AN49" s="75"/>
    </row>
    <row r="50" spans="1:40" s="6" customFormat="1" ht="11.25" x14ac:dyDescent="0.2">
      <c r="A50" s="56">
        <f t="shared" si="20"/>
        <v>45693</v>
      </c>
      <c r="B50" s="411">
        <f>'2024'!Wh/'2024'!Env_an*'2025'!Env_an</f>
        <v>6.6530011943766896</v>
      </c>
      <c r="C50" s="846"/>
      <c r="D50" s="393">
        <f t="shared" si="0"/>
        <v>7.0249958967432562</v>
      </c>
      <c r="E50" s="385">
        <f t="shared" si="1"/>
        <v>7.7472222797853645</v>
      </c>
      <c r="F50" s="385">
        <f t="shared" si="2"/>
        <v>7.7965909402802875</v>
      </c>
      <c r="G50" s="110">
        <f t="shared" si="21"/>
        <v>0.36199233635680655</v>
      </c>
      <c r="H50" s="414" t="b">
        <f>Wh_hp&gt;='2024'!Maxi_hp</f>
        <v>0</v>
      </c>
      <c r="I50" s="390">
        <f>IF(H50,Wh_hp,'2024'!Maxi_hp)</f>
        <v>21.61065608350567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5.2953013472793797E-2</v>
      </c>
      <c r="M50" s="850"/>
      <c r="N50" s="850"/>
      <c r="O50" s="48">
        <f>IF(t&lt;Tnet,'2024'!Resal+('2024'!Salim-'2024'!Resal)*(1-EXP(('2024'!Tnet-t)/('2024'!Tau_j))),Resal+(Salim-Resal)*(1-EXP((Tnet-t)/(Tau_j))))*Salcycl</f>
        <v>9.3223913934494348E-2</v>
      </c>
      <c r="P50" s="169">
        <f>(INDEX(Models!$BJ50:$BT50,,T50)*(1-R50)+INDEX(Models!$BJ50:$BT50,,T50+1)*R50-ERP_i)*Q50*Ramure*Pc/MaxiM</f>
        <v>5.4975943150440715E-2</v>
      </c>
      <c r="Q50" s="305">
        <f t="shared" si="4"/>
        <v>0.7</v>
      </c>
      <c r="R50" s="177">
        <f t="shared" si="5"/>
        <v>0.60222928351324656</v>
      </c>
      <c r="S50" s="817">
        <f t="shared" si="6"/>
        <v>0</v>
      </c>
      <c r="T50" s="176">
        <f t="shared" si="7"/>
        <v>6</v>
      </c>
      <c r="U50" s="251">
        <f t="shared" si="8"/>
        <v>0.60222928351324656</v>
      </c>
      <c r="V50" s="383">
        <f t="shared" si="9"/>
        <v>17.47913036550332</v>
      </c>
      <c r="W50" s="402">
        <f t="shared" si="10"/>
        <v>6.6530011943766896</v>
      </c>
      <c r="X50" s="157">
        <f t="shared" si="11"/>
        <v>45693</v>
      </c>
      <c r="Y50" s="385">
        <f t="shared" si="12"/>
        <v>6.3967345506180804</v>
      </c>
      <c r="Z50" s="385">
        <f t="shared" si="22"/>
        <v>6.7544004063354031</v>
      </c>
      <c r="AA50" s="386">
        <f t="shared" si="13"/>
        <v>7.7472222797853645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0.12815197984450596</v>
      </c>
      <c r="AD50" s="231">
        <f>(INDEX(Models!$BJ50:$BT50,,AH50)*(1-AF50)+INDEX(Models!$BJ50:$BT50,,AH50+1)*AF50-ERP_i)*AE50*Ramure*Pc/MaxiM</f>
        <v>5.4975943150440715E-2</v>
      </c>
      <c r="AE50" s="305">
        <f t="shared" si="15"/>
        <v>0.7</v>
      </c>
      <c r="AF50" s="177">
        <f t="shared" si="23"/>
        <v>0.60222928351324656</v>
      </c>
      <c r="AG50" s="817">
        <f t="shared" si="24"/>
        <v>0</v>
      </c>
      <c r="AH50" s="176">
        <f t="shared" si="16"/>
        <v>6</v>
      </c>
      <c r="AI50" s="225">
        <f t="shared" si="17"/>
        <v>0.60222928351324656</v>
      </c>
      <c r="AJ50" s="265" t="b">
        <f t="shared" si="18"/>
        <v>1</v>
      </c>
      <c r="AK50" s="265" t="b">
        <f t="shared" si="19"/>
        <v>1</v>
      </c>
      <c r="AL50" s="265"/>
      <c r="AM50" s="265"/>
      <c r="AN50" s="75"/>
    </row>
    <row r="51" spans="1:40" s="6" customFormat="1" ht="11.25" x14ac:dyDescent="0.2">
      <c r="A51" s="56">
        <f t="shared" si="20"/>
        <v>45694</v>
      </c>
      <c r="B51" s="411">
        <f>'2024'!Wh/'2024'!Env_an*'2025'!Env_an</f>
        <v>13.636833856522257</v>
      </c>
      <c r="C51" s="846"/>
      <c r="D51" s="393">
        <f t="shared" si="0"/>
        <v>14.399636700952644</v>
      </c>
      <c r="E51" s="385">
        <f t="shared" si="1"/>
        <v>15.88133302431398</v>
      </c>
      <c r="F51" s="385">
        <f t="shared" si="2"/>
        <v>16.482119086451799</v>
      </c>
      <c r="G51" s="110">
        <f t="shared" si="21"/>
        <v>0.75450092910058364</v>
      </c>
      <c r="H51" s="414" t="b">
        <f>Wh_hp&gt;='2024'!Maxi_hp</f>
        <v>0</v>
      </c>
      <c r="I51" s="390">
        <f>IF(H51,Wh_hp,'2024'!Maxi_hp)</f>
        <v>22.282786270723793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5.2973756232330693E-2</v>
      </c>
      <c r="M51" s="850"/>
      <c r="N51" s="850"/>
      <c r="O51" s="48">
        <f>IF(t&lt;Tnet,'2024'!Resal+('2024'!Salim-'2024'!Resal)*(1-EXP(('2024'!Tnet-t)/('2024'!Tau_j))),Resal+(Salim-Resal)*(1-EXP((Tnet-t)/(Tau_j))))*Salcycl</f>
        <v>9.3297982045517827E-2</v>
      </c>
      <c r="P51" s="169">
        <f>(INDEX(Models!$BJ51:$BT51,,T51)*(1-R51)+INDEX(Models!$BJ51:$BT51,,T51+1)*R51-ERP_i)*Q51*Ramure*Pc/MaxiM</f>
        <v>5.4422584447408065E-2</v>
      </c>
      <c r="Q51" s="305">
        <f t="shared" si="4"/>
        <v>0.7</v>
      </c>
      <c r="R51" s="177">
        <f t="shared" si="5"/>
        <v>0.60235126984284071</v>
      </c>
      <c r="S51" s="817">
        <f t="shared" si="6"/>
        <v>0</v>
      </c>
      <c r="T51" s="176">
        <f t="shared" si="7"/>
        <v>6</v>
      </c>
      <c r="U51" s="251">
        <f t="shared" si="8"/>
        <v>0.60235126984284071</v>
      </c>
      <c r="V51" s="383">
        <f t="shared" si="9"/>
        <v>17.736868906001764</v>
      </c>
      <c r="W51" s="402">
        <f t="shared" si="10"/>
        <v>13.636833856522257</v>
      </c>
      <c r="X51" s="157">
        <f t="shared" si="11"/>
        <v>45694</v>
      </c>
      <c r="Y51" s="385">
        <f t="shared" si="12"/>
        <v>13.112228424770262</v>
      </c>
      <c r="Z51" s="385">
        <f t="shared" si="22"/>
        <v>13.845686443286191</v>
      </c>
      <c r="AA51" s="386">
        <f t="shared" si="13"/>
        <v>15.88133302431398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0.12817857152867831</v>
      </c>
      <c r="AD51" s="231">
        <f>(INDEX(Models!$BJ51:$BT51,,AH51)*(1-AF51)+INDEX(Models!$BJ51:$BT51,,AH51+1)*AF51-ERP_i)*AE51*Ramure*Pc/MaxiM</f>
        <v>5.4422584447408065E-2</v>
      </c>
      <c r="AE51" s="305">
        <f t="shared" si="15"/>
        <v>0.7</v>
      </c>
      <c r="AF51" s="177">
        <f t="shared" si="23"/>
        <v>0.60235126984284071</v>
      </c>
      <c r="AG51" s="817">
        <f t="shared" si="24"/>
        <v>0</v>
      </c>
      <c r="AH51" s="176">
        <f t="shared" si="16"/>
        <v>6</v>
      </c>
      <c r="AI51" s="225">
        <f t="shared" si="17"/>
        <v>0.60235126984284071</v>
      </c>
      <c r="AJ51" s="265" t="b">
        <f t="shared" si="18"/>
        <v>1</v>
      </c>
      <c r="AK51" s="265" t="b">
        <f t="shared" si="19"/>
        <v>1</v>
      </c>
      <c r="AL51" s="265"/>
      <c r="AM51" s="265"/>
      <c r="AN51" s="75"/>
    </row>
    <row r="52" spans="1:40" s="6" customFormat="1" ht="11.25" x14ac:dyDescent="0.2">
      <c r="A52" s="56">
        <f t="shared" si="20"/>
        <v>45695</v>
      </c>
      <c r="B52" s="411">
        <f>'2024'!Wh/'2024'!Env_an*'2025'!Env_an</f>
        <v>8.001297953602112</v>
      </c>
      <c r="C52" s="846"/>
      <c r="D52" s="393">
        <f t="shared" si="0"/>
        <v>8.4490511842283702</v>
      </c>
      <c r="E52" s="385">
        <f t="shared" si="1"/>
        <v>9.3192044380387618</v>
      </c>
      <c r="F52" s="385">
        <f t="shared" si="2"/>
        <v>9.4238021573348405</v>
      </c>
      <c r="G52" s="110">
        <f t="shared" si="21"/>
        <v>0.42531235818883034</v>
      </c>
      <c r="H52" s="414" t="b">
        <f>Wh_hp&gt;='2024'!Maxi_hp</f>
        <v>0</v>
      </c>
      <c r="I52" s="390">
        <f>IF(H52,Wh_hp,'2024'!Maxi_hp)</f>
        <v>15.348596284444294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5.2994498537548007E-2</v>
      </c>
      <c r="M52" s="850"/>
      <c r="N52" s="850"/>
      <c r="O52" s="48">
        <f>IF(t&lt;Tnet,'2024'!Resal+('2024'!Salim-'2024'!Resal)*(1-EXP(('2024'!Tnet-t)/('2024'!Tau_j))),Resal+(Salim-Resal)*(1-EXP((Tnet-t)/(Tau_j))))*Salcycl</f>
        <v>9.3372053333075744E-2</v>
      </c>
      <c r="P52" s="169">
        <f>(INDEX(Models!$BJ52:$BT52,,T52)*(1-R52)+INDEX(Models!$BJ52:$BT52,,T52+1)*R52-ERP_i)*Q52*Ramure*Pc/MaxiM</f>
        <v>5.3771074679673604E-2</v>
      </c>
      <c r="Q52" s="305">
        <f t="shared" si="4"/>
        <v>0.7</v>
      </c>
      <c r="R52" s="177">
        <f t="shared" si="5"/>
        <v>0.60247831017774212</v>
      </c>
      <c r="S52" s="817">
        <f t="shared" si="6"/>
        <v>0</v>
      </c>
      <c r="T52" s="176">
        <f t="shared" si="7"/>
        <v>6</v>
      </c>
      <c r="U52" s="251">
        <f t="shared" si="8"/>
        <v>0.60247831017774212</v>
      </c>
      <c r="V52" s="383">
        <f t="shared" si="9"/>
        <v>18.000973052123044</v>
      </c>
      <c r="W52" s="402">
        <f t="shared" si="10"/>
        <v>8.001297953602112</v>
      </c>
      <c r="X52" s="157">
        <f t="shared" si="11"/>
        <v>45695</v>
      </c>
      <c r="Y52" s="385">
        <f t="shared" si="12"/>
        <v>7.6938830566876826</v>
      </c>
      <c r="Z52" s="385">
        <f t="shared" si="22"/>
        <v>8.1244333267400126</v>
      </c>
      <c r="AA52" s="386">
        <f t="shared" si="13"/>
        <v>9.3192044380387618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0.12820526894141077</v>
      </c>
      <c r="AD52" s="231">
        <f>(INDEX(Models!$BJ52:$BT52,,AH52)*(1-AF52)+INDEX(Models!$BJ52:$BT52,,AH52+1)*AF52-ERP_i)*AE52*Ramure*Pc/MaxiM</f>
        <v>5.3771074679673604E-2</v>
      </c>
      <c r="AE52" s="305">
        <f t="shared" si="15"/>
        <v>0.7</v>
      </c>
      <c r="AF52" s="177">
        <f t="shared" si="23"/>
        <v>0.60247831017774212</v>
      </c>
      <c r="AG52" s="817">
        <f t="shared" si="24"/>
        <v>0</v>
      </c>
      <c r="AH52" s="176">
        <f t="shared" si="16"/>
        <v>6</v>
      </c>
      <c r="AI52" s="225">
        <f t="shared" si="17"/>
        <v>0.60247831017774212</v>
      </c>
      <c r="AJ52" s="265" t="b">
        <f t="shared" si="18"/>
        <v>1</v>
      </c>
      <c r="AK52" s="265" t="b">
        <f t="shared" si="19"/>
        <v>1</v>
      </c>
      <c r="AL52" s="265"/>
      <c r="AM52" s="265"/>
      <c r="AN52" s="75"/>
    </row>
    <row r="53" spans="1:40" s="6" customFormat="1" ht="11.25" x14ac:dyDescent="0.2">
      <c r="A53" s="56">
        <f t="shared" si="20"/>
        <v>45696</v>
      </c>
      <c r="B53" s="411">
        <f>'2024'!Wh/'2024'!Env_an*'2025'!Env_an</f>
        <v>19.025438851758185</v>
      </c>
      <c r="C53" s="846"/>
      <c r="D53" s="393">
        <f t="shared" si="0"/>
        <v>20.09054386425656</v>
      </c>
      <c r="E53" s="385">
        <f t="shared" si="1"/>
        <v>22.161444879637326</v>
      </c>
      <c r="F53" s="385">
        <f t="shared" si="2"/>
        <v>23.402327715383755</v>
      </c>
      <c r="G53" s="110">
        <f t="shared" si="21"/>
        <v>1.0412989230211518</v>
      </c>
      <c r="H53" s="414" t="b">
        <f>Wh_hp&gt;='2024'!Maxi_hp</f>
        <v>1</v>
      </c>
      <c r="I53" s="390">
        <f>IF(H53,Wh_hp,'2024'!Maxi_hp)</f>
        <v>23.402327715383755</v>
      </c>
      <c r="J53" s="85">
        <f>IF(H53,An,'2024'!An_max)</f>
        <v>2025</v>
      </c>
      <c r="K53" s="197">
        <f t="shared" si="3"/>
        <v>45696</v>
      </c>
      <c r="L53" s="147">
        <f>IF(t&lt;Tvie,1-EXP((T0-t)*PertePVj)+'2024'!Pspv,1-EXP((T0-t)*PertePVj)+Pspv)</f>
        <v>5.301524038845562E-2</v>
      </c>
      <c r="M53" s="850"/>
      <c r="N53" s="850"/>
      <c r="O53" s="48">
        <f>IF(t&lt;Tnet,'2024'!Resal+('2024'!Salim-'2024'!Resal)*(1-EXP(('2024'!Tnet-t)/('2024'!Tau_j))),Resal+(Salim-Resal)*(1-EXP((Tnet-t)/(Tau_j))))*Salcycl</f>
        <v>9.3446118997574004E-2</v>
      </c>
      <c r="P53" s="169">
        <f>(INDEX(Models!$BJ53:$BT53,,T53)*(1-R53)+INDEX(Models!$BJ53:$BT53,,T53+1)*R53-ERP_i)*Q53*Ramure*Pc/MaxiM</f>
        <v>5.3023906460839883E-2</v>
      </c>
      <c r="Q53" s="305">
        <f t="shared" si="4"/>
        <v>0.7</v>
      </c>
      <c r="R53" s="177">
        <f t="shared" si="5"/>
        <v>0.60261061115110837</v>
      </c>
      <c r="S53" s="817">
        <f t="shared" si="6"/>
        <v>0</v>
      </c>
      <c r="T53" s="176">
        <f t="shared" si="7"/>
        <v>6</v>
      </c>
      <c r="U53" s="251">
        <f t="shared" si="8"/>
        <v>0.60261061115110837</v>
      </c>
      <c r="V53" s="383">
        <f t="shared" si="9"/>
        <v>18.270871534716573</v>
      </c>
      <c r="W53" s="402">
        <f t="shared" si="10"/>
        <v>19.025438851758185</v>
      </c>
      <c r="X53" s="157">
        <f t="shared" si="11"/>
        <v>45696</v>
      </c>
      <c r="Y53" s="385">
        <f t="shared" si="12"/>
        <v>18.295401950289772</v>
      </c>
      <c r="Z53" s="385">
        <f t="shared" si="22"/>
        <v>19.319637158463451</v>
      </c>
      <c r="AA53" s="386">
        <f t="shared" si="13"/>
        <v>22.161444879637326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0.12823205962464218</v>
      </c>
      <c r="AD53" s="231">
        <f>(INDEX(Models!$BJ53:$BT53,,AH53)*(1-AF53)+INDEX(Models!$BJ53:$BT53,,AH53+1)*AF53-ERP_i)*AE53*Ramure*Pc/MaxiM</f>
        <v>5.3023906460839883E-2</v>
      </c>
      <c r="AE53" s="305">
        <f t="shared" si="15"/>
        <v>0.7</v>
      </c>
      <c r="AF53" s="177">
        <f t="shared" si="23"/>
        <v>0.60261061115110837</v>
      </c>
      <c r="AG53" s="817">
        <f t="shared" si="24"/>
        <v>0</v>
      </c>
      <c r="AH53" s="176">
        <f t="shared" si="16"/>
        <v>6</v>
      </c>
      <c r="AI53" s="225">
        <f t="shared" si="17"/>
        <v>0.60261061115110837</v>
      </c>
      <c r="AJ53" s="265" t="b">
        <f t="shared" si="18"/>
        <v>1</v>
      </c>
      <c r="AK53" s="265" t="b">
        <f t="shared" si="19"/>
        <v>1</v>
      </c>
      <c r="AL53" s="265"/>
      <c r="AM53" s="265"/>
      <c r="AN53" s="75"/>
    </row>
    <row r="54" spans="1:40" s="6" customFormat="1" ht="11.25" x14ac:dyDescent="0.2">
      <c r="A54" s="56">
        <f t="shared" si="20"/>
        <v>45697</v>
      </c>
      <c r="B54" s="411">
        <f>'2024'!Wh/'2024'!Env_an*'2025'!Env_an</f>
        <v>19.065618565007</v>
      </c>
      <c r="C54" s="846"/>
      <c r="D54" s="393">
        <f t="shared" si="0"/>
        <v>20.133413939999979</v>
      </c>
      <c r="E54" s="385">
        <f t="shared" si="1"/>
        <v>22.2105481741715</v>
      </c>
      <c r="F54" s="385">
        <f t="shared" si="2"/>
        <v>23.433477340738428</v>
      </c>
      <c r="G54" s="110">
        <f t="shared" si="21"/>
        <v>1.0280223278458309</v>
      </c>
      <c r="H54" s="414" t="b">
        <f>Wh_hp&gt;='2024'!Maxi_hp</f>
        <v>1</v>
      </c>
      <c r="I54" s="390">
        <f>IF(H54,Wh_hp,'2024'!Maxi_hp)</f>
        <v>23.433477340738428</v>
      </c>
      <c r="J54" s="85">
        <f>IF(H54,An,'2024'!An_max)</f>
        <v>2025</v>
      </c>
      <c r="K54" s="197">
        <f t="shared" si="3"/>
        <v>45697</v>
      </c>
      <c r="L54" s="147">
        <f>IF(t&lt;Tvie,1-EXP((T0-t)*PertePVj)+'2024'!Pspv,1-EXP((T0-t)*PertePVj)+Pspv)</f>
        <v>5.3035981785063413E-2</v>
      </c>
      <c r="M54" s="850"/>
      <c r="N54" s="850"/>
      <c r="O54" s="48">
        <f>IF(t&lt;Tnet,'2024'!Resal+('2024'!Salim-'2024'!Resal)*(1-EXP(('2024'!Tnet-t)/('2024'!Tau_j))),Resal+(Salim-Resal)*(1-EXP((Tnet-t)/(Tau_j))))*Salcycl</f>
        <v>9.3520169690678986E-2</v>
      </c>
      <c r="P54" s="169">
        <f>(INDEX(Models!$BJ54:$BT54,,T54)*(1-R54)+INDEX(Models!$BJ54:$BT54,,T54+1)*R54-ERP_i)*Q54*Ramure*Pc/MaxiM</f>
        <v>5.2187268188358081E-2</v>
      </c>
      <c r="Q54" s="305">
        <f t="shared" si="4"/>
        <v>0.7</v>
      </c>
      <c r="R54" s="177">
        <f t="shared" si="5"/>
        <v>0.60274838760969951</v>
      </c>
      <c r="S54" s="817">
        <f t="shared" si="6"/>
        <v>0</v>
      </c>
      <c r="T54" s="176">
        <f t="shared" si="7"/>
        <v>6</v>
      </c>
      <c r="U54" s="251">
        <f t="shared" si="8"/>
        <v>0.60274838760969951</v>
      </c>
      <c r="V54" s="383">
        <f t="shared" si="9"/>
        <v>18.545918749603469</v>
      </c>
      <c r="W54" s="402">
        <f t="shared" si="10"/>
        <v>19.065618565007</v>
      </c>
      <c r="X54" s="157">
        <f t="shared" si="11"/>
        <v>45697</v>
      </c>
      <c r="Y54" s="385">
        <f t="shared" si="12"/>
        <v>18.334972455827359</v>
      </c>
      <c r="Z54" s="385">
        <f t="shared" si="22"/>
        <v>19.361847021800767</v>
      </c>
      <c r="AA54" s="386">
        <f t="shared" si="13"/>
        <v>22.2105481741715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0.12825893039792105</v>
      </c>
      <c r="AD54" s="231">
        <f>(INDEX(Models!$BJ54:$BT54,,AH54)*(1-AF54)+INDEX(Models!$BJ54:$BT54,,AH54+1)*AF54-ERP_i)*AE54*Ramure*Pc/MaxiM</f>
        <v>5.2187268188358081E-2</v>
      </c>
      <c r="AE54" s="305">
        <f t="shared" si="15"/>
        <v>0.7</v>
      </c>
      <c r="AF54" s="177">
        <f t="shared" si="23"/>
        <v>0.60274838760969951</v>
      </c>
      <c r="AG54" s="817">
        <f t="shared" si="24"/>
        <v>0</v>
      </c>
      <c r="AH54" s="176">
        <f t="shared" si="16"/>
        <v>6</v>
      </c>
      <c r="AI54" s="225">
        <f t="shared" si="17"/>
        <v>0.60274838760969951</v>
      </c>
      <c r="AJ54" s="265" t="b">
        <f t="shared" si="18"/>
        <v>1</v>
      </c>
      <c r="AK54" s="265" t="b">
        <f t="shared" si="19"/>
        <v>1</v>
      </c>
      <c r="AL54" s="265"/>
      <c r="AM54" s="265"/>
      <c r="AN54" s="75"/>
    </row>
    <row r="55" spans="1:40" s="6" customFormat="1" ht="11.25" x14ac:dyDescent="0.2">
      <c r="A55" s="56">
        <f t="shared" si="20"/>
        <v>45698</v>
      </c>
      <c r="B55" s="411">
        <f>'2024'!Wh/'2024'!Env_an*'2025'!Env_an</f>
        <v>18.088843492947706</v>
      </c>
      <c r="C55" s="846"/>
      <c r="D55" s="393">
        <f t="shared" si="0"/>
        <v>19.102351668884651</v>
      </c>
      <c r="E55" s="385">
        <f t="shared" si="1"/>
        <v>21.074833785097269</v>
      </c>
      <c r="F55" s="385">
        <f t="shared" si="2"/>
        <v>22.146764213555013</v>
      </c>
      <c r="G55" s="110">
        <f t="shared" si="21"/>
        <v>0.95797708855981567</v>
      </c>
      <c r="H55" s="414" t="b">
        <f>Wh_hp&gt;='2024'!Maxi_hp</f>
        <v>0</v>
      </c>
      <c r="I55" s="390">
        <f>IF(H55,Wh_hp,'2024'!Maxi_hp)</f>
        <v>22.177935187448366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5.3056722727381378E-2</v>
      </c>
      <c r="M55" s="850"/>
      <c r="N55" s="850"/>
      <c r="O55" s="48">
        <f>IF(t&lt;Tnet,'2024'!Resal+('2024'!Salim-'2024'!Resal)*(1-EXP(('2024'!Tnet-t)/('2024'!Tau_j))),Resal+(Salim-Resal)*(1-EXP((Tnet-t)/(Tau_j))))*Salcycl</f>
        <v>9.3594195632870247E-2</v>
      </c>
      <c r="P55" s="169">
        <f>(INDEX(Models!$BJ55:$BT55,,T55)*(1-R55)+INDEX(Models!$BJ55:$BT55,,T55+1)*R55-ERP_i)*Q55*Ramure*Pc/MaxiM</f>
        <v>5.1266988573179344E-2</v>
      </c>
      <c r="Q55" s="305">
        <f t="shared" si="4"/>
        <v>0.7</v>
      </c>
      <c r="R55" s="177">
        <f t="shared" si="5"/>
        <v>0.60289186292036201</v>
      </c>
      <c r="S55" s="817">
        <f t="shared" si="6"/>
        <v>0</v>
      </c>
      <c r="T55" s="176">
        <f t="shared" si="7"/>
        <v>6</v>
      </c>
      <c r="U55" s="251">
        <f t="shared" si="8"/>
        <v>0.60289186292036201</v>
      </c>
      <c r="V55" s="383">
        <f t="shared" si="9"/>
        <v>18.825469446142137</v>
      </c>
      <c r="W55" s="402">
        <f t="shared" si="10"/>
        <v>18.088843492947706</v>
      </c>
      <c r="X55" s="157">
        <f t="shared" si="11"/>
        <v>45698</v>
      </c>
      <c r="Y55" s="385">
        <f t="shared" si="12"/>
        <v>17.396513169952666</v>
      </c>
      <c r="Z55" s="385">
        <f t="shared" si="22"/>
        <v>18.371230450104697</v>
      </c>
      <c r="AA55" s="386">
        <f t="shared" si="13"/>
        <v>21.074833785097269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0.1282858675214977</v>
      </c>
      <c r="AD55" s="231">
        <f>(INDEX(Models!$BJ55:$BT55,,AH55)*(1-AF55)+INDEX(Models!$BJ55:$BT55,,AH55+1)*AF55-ERP_i)*AE55*Ramure*Pc/MaxiM</f>
        <v>5.1266988573179344E-2</v>
      </c>
      <c r="AE55" s="305">
        <f t="shared" si="15"/>
        <v>0.7</v>
      </c>
      <c r="AF55" s="177">
        <f t="shared" si="23"/>
        <v>0.60289186292036201</v>
      </c>
      <c r="AG55" s="817">
        <f t="shared" si="24"/>
        <v>0</v>
      </c>
      <c r="AH55" s="176">
        <f t="shared" si="16"/>
        <v>6</v>
      </c>
      <c r="AI55" s="225">
        <f t="shared" si="17"/>
        <v>0.60289186292036201</v>
      </c>
      <c r="AJ55" s="265" t="b">
        <f t="shared" si="18"/>
        <v>1</v>
      </c>
      <c r="AK55" s="265" t="b">
        <f t="shared" si="19"/>
        <v>1</v>
      </c>
      <c r="AL55" s="265"/>
      <c r="AM55" s="265"/>
      <c r="AN55" s="75"/>
    </row>
    <row r="56" spans="1:40" s="6" customFormat="1" ht="11.25" x14ac:dyDescent="0.2">
      <c r="A56" s="56">
        <f t="shared" si="20"/>
        <v>45699</v>
      </c>
      <c r="B56" s="411">
        <f>'2024'!Wh/'2024'!Env_an*'2025'!Env_an</f>
        <v>9.8078920680720518</v>
      </c>
      <c r="C56" s="846"/>
      <c r="D56" s="393">
        <f t="shared" si="0"/>
        <v>10.357649846814546</v>
      </c>
      <c r="E56" s="385">
        <f t="shared" si="1"/>
        <v>11.428099174362291</v>
      </c>
      <c r="F56" s="385">
        <f t="shared" si="2"/>
        <v>11.605841762549371</v>
      </c>
      <c r="G56" s="110">
        <f t="shared" si="21"/>
        <v>0.49504416886280023</v>
      </c>
      <c r="H56" s="414" t="b">
        <f>Wh_hp&gt;='2024'!Maxi_hp</f>
        <v>0</v>
      </c>
      <c r="I56" s="390">
        <f>IF(H56,Wh_hp,'2024'!Maxi_hp)</f>
        <v>19.987799360241688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5.3077463215419507E-2</v>
      </c>
      <c r="M56" s="850"/>
      <c r="N56" s="850"/>
      <c r="O56" s="48">
        <f>IF(t&lt;Tnet,'2024'!Resal+('2024'!Salim-'2024'!Resal)*(1-EXP(('2024'!Tnet-t)/('2024'!Tau_j))),Resal+(Salim-Resal)*(1-EXP((Tnet-t)/(Tau_j))))*Salcycl</f>
        <v>9.3668186740029608E-2</v>
      </c>
      <c r="P56" s="169">
        <f>(INDEX(Models!$BJ56:$BT56,,T56)*(1-R56)+INDEX(Models!$BJ56:$BT56,,T56+1)*R56-ERP_i)*Q56*Ramure*Pc/MaxiM</f>
        <v>5.0268524730547062E-2</v>
      </c>
      <c r="Q56" s="305">
        <f t="shared" si="4"/>
        <v>0.7</v>
      </c>
      <c r="R56" s="177">
        <f t="shared" si="5"/>
        <v>0.60304126928622326</v>
      </c>
      <c r="S56" s="817">
        <f t="shared" si="6"/>
        <v>0</v>
      </c>
      <c r="T56" s="176">
        <f t="shared" si="7"/>
        <v>6</v>
      </c>
      <c r="U56" s="251">
        <f t="shared" si="8"/>
        <v>0.60304126928622326</v>
      </c>
      <c r="V56" s="383">
        <f t="shared" si="9"/>
        <v>19.108878731926101</v>
      </c>
      <c r="W56" s="402">
        <f t="shared" si="10"/>
        <v>9.8078920680720518</v>
      </c>
      <c r="X56" s="157">
        <f t="shared" si="11"/>
        <v>45699</v>
      </c>
      <c r="Y56" s="385">
        <f t="shared" si="12"/>
        <v>9.4329839158816817</v>
      </c>
      <c r="Z56" s="385">
        <f t="shared" si="22"/>
        <v>9.961727120692272</v>
      </c>
      <c r="AA56" s="386">
        <f t="shared" si="13"/>
        <v>11.428099174362291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0.12831285687121674</v>
      </c>
      <c r="AD56" s="231">
        <f>(INDEX(Models!$BJ56:$BT56,,AH56)*(1-AF56)+INDEX(Models!$BJ56:$BT56,,AH56+1)*AF56-ERP_i)*AE56*Ramure*Pc/MaxiM</f>
        <v>5.0268524730547062E-2</v>
      </c>
      <c r="AE56" s="305">
        <f t="shared" si="15"/>
        <v>0.7</v>
      </c>
      <c r="AF56" s="177">
        <f t="shared" si="23"/>
        <v>0.60304126928622326</v>
      </c>
      <c r="AG56" s="817">
        <f t="shared" si="24"/>
        <v>0</v>
      </c>
      <c r="AH56" s="176">
        <f t="shared" si="16"/>
        <v>6</v>
      </c>
      <c r="AI56" s="225">
        <f t="shared" si="17"/>
        <v>0.60304126928622326</v>
      </c>
      <c r="AJ56" s="265" t="b">
        <f t="shared" si="18"/>
        <v>1</v>
      </c>
      <c r="AK56" s="265" t="b">
        <f t="shared" si="19"/>
        <v>1</v>
      </c>
      <c r="AL56" s="265"/>
      <c r="AM56" s="265"/>
      <c r="AN56" s="75"/>
    </row>
    <row r="57" spans="1:40" s="6" customFormat="1" ht="11.25" x14ac:dyDescent="0.2">
      <c r="A57" s="56">
        <f t="shared" si="20"/>
        <v>45700</v>
      </c>
      <c r="B57" s="411">
        <f>'2024'!Wh/'2024'!Env_an*'2025'!Env_an</f>
        <v>15.596229598609673</v>
      </c>
      <c r="C57" s="846"/>
      <c r="D57" s="393">
        <f t="shared" si="0"/>
        <v>16.470799455789809</v>
      </c>
      <c r="E57" s="385">
        <f t="shared" si="1"/>
        <v>18.174517486846941</v>
      </c>
      <c r="F57" s="385">
        <f t="shared" si="2"/>
        <v>18.842091787291036</v>
      </c>
      <c r="G57" s="110">
        <f t="shared" si="21"/>
        <v>0.79263890109199298</v>
      </c>
      <c r="H57" s="414" t="b">
        <f>Wh_hp&gt;='2024'!Maxi_hp</f>
        <v>0</v>
      </c>
      <c r="I57" s="390">
        <f>IF(H57,Wh_hp,'2024'!Maxi_hp)</f>
        <v>24.323485541278668</v>
      </c>
      <c r="J57" s="85">
        <f>IF(H57,An,'2024'!An_max)</f>
        <v>2019</v>
      </c>
      <c r="K57" s="197">
        <f t="shared" si="3"/>
        <v>45700</v>
      </c>
      <c r="L57" s="147">
        <f>IF(t&lt;Tvie,1-EXP((T0-t)*PertePVj)+'2024'!Pspv,1-EXP((T0-t)*PertePVj)+Pspv)</f>
        <v>5.3098203249187681E-2</v>
      </c>
      <c r="M57" s="850"/>
      <c r="N57" s="850"/>
      <c r="O57" s="48">
        <f>IF(t&lt;Tnet,'2024'!Resal+('2024'!Salim-'2024'!Resal)*(1-EXP(('2024'!Tnet-t)/('2024'!Tau_j))),Resal+(Salim-Resal)*(1-EXP((Tnet-t)/(Tau_j))))*Salcycl</f>
        <v>9.3742132757589261E-2</v>
      </c>
      <c r="P57" s="169">
        <f>(INDEX(Models!$BJ57:$BT57,,T57)*(1-R57)+INDEX(Models!$BJ57:$BT57,,T57+1)*R57-ERP_i)*Q57*Ramure*Pc/MaxiM</f>
        <v>4.91969555272763E-2</v>
      </c>
      <c r="Q57" s="305">
        <f t="shared" si="4"/>
        <v>0.7</v>
      </c>
      <c r="R57" s="177">
        <f t="shared" si="5"/>
        <v>0.60319684807274609</v>
      </c>
      <c r="S57" s="817">
        <f t="shared" si="6"/>
        <v>0</v>
      </c>
      <c r="T57" s="176">
        <f t="shared" si="7"/>
        <v>6</v>
      </c>
      <c r="U57" s="251">
        <f t="shared" si="8"/>
        <v>0.60319684807274609</v>
      </c>
      <c r="V57" s="383">
        <f t="shared" si="9"/>
        <v>19.395502074835868</v>
      </c>
      <c r="W57" s="402">
        <f t="shared" si="10"/>
        <v>15.596229598609673</v>
      </c>
      <c r="X57" s="157">
        <f t="shared" si="11"/>
        <v>45700</v>
      </c>
      <c r="Y57" s="385">
        <f t="shared" si="12"/>
        <v>15.000820175533766</v>
      </c>
      <c r="Z57" s="385">
        <f t="shared" si="22"/>
        <v>15.84200201859095</v>
      </c>
      <c r="AA57" s="386">
        <f t="shared" si="13"/>
        <v>18.174517486846941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0.12833988412314401</v>
      </c>
      <c r="AD57" s="231">
        <f>(INDEX(Models!$BJ57:$BT57,,AH57)*(1-AF57)+INDEX(Models!$BJ57:$BT57,,AH57+1)*AF57-ERP_i)*AE57*Ramure*Pc/MaxiM</f>
        <v>4.91969555272763E-2</v>
      </c>
      <c r="AE57" s="305">
        <f t="shared" si="15"/>
        <v>0.7</v>
      </c>
      <c r="AF57" s="177">
        <f t="shared" si="23"/>
        <v>0.60319684807274609</v>
      </c>
      <c r="AG57" s="817">
        <f t="shared" si="24"/>
        <v>0</v>
      </c>
      <c r="AH57" s="176">
        <f t="shared" si="16"/>
        <v>6</v>
      </c>
      <c r="AI57" s="225">
        <f t="shared" si="17"/>
        <v>0.60319684807274609</v>
      </c>
      <c r="AJ57" s="265" t="b">
        <f t="shared" si="18"/>
        <v>1</v>
      </c>
      <c r="AK57" s="265" t="b">
        <f t="shared" si="19"/>
        <v>1</v>
      </c>
      <c r="AL57" s="265"/>
      <c r="AM57" s="265"/>
      <c r="AN57" s="75"/>
    </row>
    <row r="58" spans="1:40" s="6" customFormat="1" ht="11.25" x14ac:dyDescent="0.2">
      <c r="A58" s="56">
        <f t="shared" si="20"/>
        <v>45701</v>
      </c>
      <c r="B58" s="411">
        <f>'2024'!Wh/'2024'!Env_an*'2025'!Env_an</f>
        <v>17.90677506445013</v>
      </c>
      <c r="C58" s="846"/>
      <c r="D58" s="393">
        <f t="shared" si="0"/>
        <v>18.91132463663865</v>
      </c>
      <c r="E58" s="385">
        <f t="shared" si="1"/>
        <v>20.869188956097847</v>
      </c>
      <c r="F58" s="385">
        <f t="shared" si="2"/>
        <v>21.780357018500137</v>
      </c>
      <c r="G58" s="110">
        <f t="shared" si="21"/>
        <v>0.90377236668952543</v>
      </c>
      <c r="H58" s="414" t="b">
        <f>Wh_hp&gt;='2024'!Maxi_hp</f>
        <v>0</v>
      </c>
      <c r="I58" s="390">
        <f>IF(H58,Wh_hp,'2024'!Maxi_hp)</f>
        <v>24.939074122850123</v>
      </c>
      <c r="J58" s="85">
        <f>IF(H58,An,'2024'!An_max)</f>
        <v>2019</v>
      </c>
      <c r="K58" s="197">
        <f t="shared" si="3"/>
        <v>45701</v>
      </c>
      <c r="L58" s="147">
        <f>IF(t&lt;Tvie,1-EXP((T0-t)*PertePVj)+'2024'!Pspv,1-EXP((T0-t)*PertePVj)+Pspv)</f>
        <v>5.3118942828696003E-2</v>
      </c>
      <c r="M58" s="850"/>
      <c r="N58" s="850"/>
      <c r="O58" s="48">
        <f>IF(t&lt;Tnet,'2024'!Resal+('2024'!Salim-'2024'!Resal)*(1-EXP(('2024'!Tnet-t)/('2024'!Tau_j))),Resal+(Salim-Resal)*(1-EXP((Tnet-t)/(Tau_j))))*Salcycl</f>
        <v>9.3816023400714044E-2</v>
      </c>
      <c r="P58" s="169">
        <f>(INDEX(Models!$BJ58:$BT58,,T58)*(1-R58)+INDEX(Models!$BJ58:$BT58,,T58+1)*R58-ERP_i)*Q58*Ramure*Pc/MaxiM</f>
        <v>4.8033632005943495E-2</v>
      </c>
      <c r="Q58" s="305">
        <f t="shared" si="4"/>
        <v>0.7</v>
      </c>
      <c r="R58" s="177">
        <f t="shared" si="5"/>
        <v>0.60335885014378532</v>
      </c>
      <c r="S58" s="817">
        <f t="shared" si="6"/>
        <v>0</v>
      </c>
      <c r="T58" s="176">
        <f t="shared" si="7"/>
        <v>6</v>
      </c>
      <c r="U58" s="251">
        <f t="shared" si="8"/>
        <v>0.60335885014378532</v>
      </c>
      <c r="V58" s="383">
        <f t="shared" si="9"/>
        <v>19.685178097840026</v>
      </c>
      <c r="W58" s="402">
        <f t="shared" si="10"/>
        <v>17.90677506445013</v>
      </c>
      <c r="X58" s="157">
        <f t="shared" si="11"/>
        <v>45701</v>
      </c>
      <c r="Y58" s="385">
        <f t="shared" si="12"/>
        <v>17.22402695006447</v>
      </c>
      <c r="Z58" s="385">
        <f t="shared" si="22"/>
        <v>18.190275134998718</v>
      </c>
      <c r="AA58" s="386">
        <f t="shared" si="13"/>
        <v>20.869188956097847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0.12836693494580526</v>
      </c>
      <c r="AD58" s="231">
        <f>(INDEX(Models!$BJ58:$BT58,,AH58)*(1-AF58)+INDEX(Models!$BJ58:$BT58,,AH58+1)*AF58-ERP_i)*AE58*Ramure*Pc/MaxiM</f>
        <v>4.8033632005943495E-2</v>
      </c>
      <c r="AE58" s="305">
        <f t="shared" si="15"/>
        <v>0.7</v>
      </c>
      <c r="AF58" s="177">
        <f t="shared" si="23"/>
        <v>0.60335885014378532</v>
      </c>
      <c r="AG58" s="817">
        <f t="shared" si="24"/>
        <v>0</v>
      </c>
      <c r="AH58" s="176">
        <f t="shared" si="16"/>
        <v>6</v>
      </c>
      <c r="AI58" s="225">
        <f t="shared" si="17"/>
        <v>0.60335885014378532</v>
      </c>
      <c r="AJ58" s="265" t="b">
        <f t="shared" si="18"/>
        <v>1</v>
      </c>
      <c r="AK58" s="265" t="b">
        <f t="shared" si="19"/>
        <v>1</v>
      </c>
      <c r="AL58" s="265"/>
      <c r="AM58" s="265"/>
      <c r="AN58" s="75"/>
    </row>
    <row r="59" spans="1:40" s="6" customFormat="1" ht="11.25" x14ac:dyDescent="0.2">
      <c r="A59" s="56">
        <f t="shared" si="20"/>
        <v>45702</v>
      </c>
      <c r="B59" s="411">
        <f>'2024'!Wh/'2024'!Env_an*'2025'!Env_an</f>
        <v>9.9126690162328863</v>
      </c>
      <c r="C59" s="846"/>
      <c r="D59" s="393">
        <f t="shared" si="0"/>
        <v>10.468987692597372</v>
      </c>
      <c r="E59" s="385">
        <f t="shared" si="1"/>
        <v>11.55376934609405</v>
      </c>
      <c r="F59" s="385">
        <f t="shared" si="2"/>
        <v>11.707452001420046</v>
      </c>
      <c r="G59" s="110">
        <f t="shared" si="21"/>
        <v>0.47927494092767564</v>
      </c>
      <c r="H59" s="414" t="b">
        <f>Wh_hp&gt;='2024'!Maxi_hp</f>
        <v>0</v>
      </c>
      <c r="I59" s="390">
        <f>IF(H59,Wh_hp,'2024'!Maxi_hp)</f>
        <v>25.04355830581331</v>
      </c>
      <c r="J59" s="85">
        <f>IF(H59,An,'2024'!An_max)</f>
        <v>2019</v>
      </c>
      <c r="K59" s="197">
        <f t="shared" si="3"/>
        <v>45702</v>
      </c>
      <c r="L59" s="147">
        <f>IF(t&lt;Tvie,1-EXP((T0-t)*PertePVj)+'2024'!Pspv,1-EXP((T0-t)*PertePVj)+Pspv)</f>
        <v>5.3139681953954243E-2</v>
      </c>
      <c r="M59" s="850"/>
      <c r="N59" s="850"/>
      <c r="O59" s="48">
        <f>IF(t&lt;Tnet,'2024'!Resal+('2024'!Salim-'2024'!Resal)*(1-EXP(('2024'!Tnet-t)/('2024'!Tau_j))),Resal+(Salim-Resal)*(1-EXP((Tnet-t)/(Tau_j))))*Salcycl</f>
        <v>9.3889848498958331E-2</v>
      </c>
      <c r="P59" s="169">
        <f>(INDEX(Models!$BJ59:$BT59,,T59)*(1-R59)+INDEX(Models!$BJ59:$BT59,,T59+1)*R59-ERP_i)*Q59*Ramure*Pc/MaxiM</f>
        <v>4.6828996693255666E-2</v>
      </c>
      <c r="Q59" s="305">
        <f t="shared" si="4"/>
        <v>0.7</v>
      </c>
      <c r="R59" s="177">
        <f t="shared" si="5"/>
        <v>0.603527536207767</v>
      </c>
      <c r="S59" s="817">
        <f t="shared" si="6"/>
        <v>0</v>
      </c>
      <c r="T59" s="176">
        <f t="shared" si="7"/>
        <v>6</v>
      </c>
      <c r="U59" s="251">
        <f t="shared" si="8"/>
        <v>0.603527536207767</v>
      </c>
      <c r="V59" s="383">
        <f t="shared" si="9"/>
        <v>19.976315925198815</v>
      </c>
      <c r="W59" s="402">
        <f t="shared" si="10"/>
        <v>9.9126690162328863</v>
      </c>
      <c r="X59" s="157">
        <f t="shared" si="11"/>
        <v>45702</v>
      </c>
      <c r="Y59" s="385">
        <f t="shared" si="12"/>
        <v>9.5352003548926092</v>
      </c>
      <c r="Z59" s="385">
        <f t="shared" si="22"/>
        <v>10.070334740154264</v>
      </c>
      <c r="AA59" s="386">
        <f t="shared" si="13"/>
        <v>11.55376934609405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0.12839399519787759</v>
      </c>
      <c r="AD59" s="231">
        <f>(INDEX(Models!$BJ59:$BT59,,AH59)*(1-AF59)+INDEX(Models!$BJ59:$BT59,,AH59+1)*AF59-ERP_i)*AE59*Ramure*Pc/MaxiM</f>
        <v>4.6828996693255666E-2</v>
      </c>
      <c r="AE59" s="305">
        <f t="shared" si="15"/>
        <v>0.7</v>
      </c>
      <c r="AF59" s="177">
        <f t="shared" si="23"/>
        <v>0.603527536207767</v>
      </c>
      <c r="AG59" s="817">
        <f t="shared" si="24"/>
        <v>0</v>
      </c>
      <c r="AH59" s="176">
        <f t="shared" si="16"/>
        <v>6</v>
      </c>
      <c r="AI59" s="225">
        <f t="shared" si="17"/>
        <v>0.603527536207767</v>
      </c>
      <c r="AJ59" s="265" t="b">
        <f t="shared" si="18"/>
        <v>1</v>
      </c>
      <c r="AK59" s="265" t="b">
        <f t="shared" si="19"/>
        <v>1</v>
      </c>
      <c r="AL59" s="265"/>
      <c r="AM59" s="265"/>
      <c r="AN59" s="75"/>
    </row>
    <row r="60" spans="1:40" s="6" customFormat="1" ht="11.25" x14ac:dyDescent="0.2">
      <c r="A60" s="56">
        <f t="shared" si="20"/>
        <v>45703</v>
      </c>
      <c r="B60" s="411">
        <f>'2024'!Wh/'2024'!Env_an*'2025'!Env_an</f>
        <v>12.530781575466875</v>
      </c>
      <c r="C60" s="846"/>
      <c r="D60" s="393">
        <f t="shared" si="0"/>
        <v>13.234323795101554</v>
      </c>
      <c r="E60" s="385">
        <f t="shared" si="1"/>
        <v>14.606834524516584</v>
      </c>
      <c r="F60" s="385">
        <f t="shared" si="2"/>
        <v>14.915970025087326</v>
      </c>
      <c r="G60" s="110">
        <f t="shared" si="21"/>
        <v>0.60255068400538225</v>
      </c>
      <c r="H60" s="414" t="b">
        <f>Wh_hp&gt;='2024'!Maxi_hp</f>
        <v>0</v>
      </c>
      <c r="I60" s="390">
        <f>IF(H60,Wh_hp,'2024'!Maxi_hp)</f>
        <v>25.359879246140192</v>
      </c>
      <c r="J60" s="85">
        <f>IF(H60,An,'2024'!An_max)</f>
        <v>2019</v>
      </c>
      <c r="K60" s="197">
        <f t="shared" si="3"/>
        <v>45703</v>
      </c>
      <c r="L60" s="147">
        <f>IF(t&lt;Tvie,1-EXP((T0-t)*PertePVj)+'2024'!Pspv,1-EXP((T0-t)*PertePVj)+Pspv)</f>
        <v>5.3160420624972393E-2</v>
      </c>
      <c r="M60" s="850"/>
      <c r="N60" s="850"/>
      <c r="O60" s="48">
        <f>IF(t&lt;Tnet,'2024'!Resal+('2024'!Salim-'2024'!Resal)*(1-EXP(('2024'!Tnet-t)/('2024'!Tau_j))),Resal+(Salim-Resal)*(1-EXP((Tnet-t)/(Tau_j))))*Salcycl</f>
        <v>9.3963598143825225E-2</v>
      </c>
      <c r="P60" s="169">
        <f>(INDEX(Models!$BJ60:$BT60,,T60)*(1-R60)+INDEX(Models!$BJ60:$BT60,,T60+1)*R60-ERP_i)*Q60*Ramure*Pc/MaxiM</f>
        <v>4.5586080153090215E-2</v>
      </c>
      <c r="Q60" s="305">
        <f t="shared" si="4"/>
        <v>0.7</v>
      </c>
      <c r="R60" s="177">
        <f t="shared" si="5"/>
        <v>0.60370317717409738</v>
      </c>
      <c r="S60" s="817">
        <f t="shared" si="6"/>
        <v>0</v>
      </c>
      <c r="T60" s="176">
        <f t="shared" si="7"/>
        <v>6</v>
      </c>
      <c r="U60" s="251">
        <f t="shared" si="8"/>
        <v>0.60370317717409738</v>
      </c>
      <c r="V60" s="383">
        <f t="shared" si="9"/>
        <v>20.26827244544539</v>
      </c>
      <c r="W60" s="402">
        <f t="shared" si="10"/>
        <v>12.530781575466875</v>
      </c>
      <c r="X60" s="157">
        <f t="shared" si="11"/>
        <v>45703</v>
      </c>
      <c r="Y60" s="385">
        <f t="shared" si="12"/>
        <v>12.054223662206816</v>
      </c>
      <c r="Z60" s="385">
        <f t="shared" si="22"/>
        <v>12.731009481208364</v>
      </c>
      <c r="AA60" s="386">
        <f t="shared" si="13"/>
        <v>14.606834524516584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0.12842105112916657</v>
      </c>
      <c r="AD60" s="231">
        <f>(INDEX(Models!$BJ60:$BT60,,AH60)*(1-AF60)+INDEX(Models!$BJ60:$BT60,,AH60+1)*AF60-ERP_i)*AE60*Ramure*Pc/MaxiM</f>
        <v>4.5586080153090215E-2</v>
      </c>
      <c r="AE60" s="305">
        <f t="shared" si="15"/>
        <v>0.7</v>
      </c>
      <c r="AF60" s="177">
        <f t="shared" si="23"/>
        <v>0.60370317717409738</v>
      </c>
      <c r="AG60" s="817">
        <f t="shared" si="24"/>
        <v>0</v>
      </c>
      <c r="AH60" s="176">
        <f t="shared" si="16"/>
        <v>6</v>
      </c>
      <c r="AI60" s="225">
        <f t="shared" si="17"/>
        <v>0.60370317717409738</v>
      </c>
      <c r="AJ60" s="265" t="b">
        <f t="shared" si="18"/>
        <v>1</v>
      </c>
      <c r="AK60" s="265" t="b">
        <f t="shared" si="19"/>
        <v>1</v>
      </c>
      <c r="AL60" s="265"/>
      <c r="AM60" s="265"/>
      <c r="AN60" s="75"/>
    </row>
    <row r="61" spans="1:40" s="6" customFormat="1" ht="11.25" x14ac:dyDescent="0.2">
      <c r="A61" s="56">
        <f t="shared" si="20"/>
        <v>45704</v>
      </c>
      <c r="B61" s="411">
        <f>'2024'!Wh/'2024'!Env_an*'2025'!Env_an</f>
        <v>5.4820846240852186</v>
      </c>
      <c r="C61" s="846"/>
      <c r="D61" s="393">
        <f t="shared" si="0"/>
        <v>5.7900037322652</v>
      </c>
      <c r="E61" s="385">
        <f t="shared" si="1"/>
        <v>6.3909954513147378</v>
      </c>
      <c r="F61" s="385">
        <f t="shared" si="2"/>
        <v>6.3909954513147378</v>
      </c>
      <c r="G61" s="110">
        <f t="shared" si="21"/>
        <v>0.25481923381405924</v>
      </c>
      <c r="H61" s="414" t="b">
        <f>Wh_hp&gt;='2024'!Maxi_hp</f>
        <v>0</v>
      </c>
      <c r="I61" s="390">
        <f>IF(H61,Wh_hp,'2024'!Maxi_hp)</f>
        <v>25.832581952942551</v>
      </c>
      <c r="J61" s="85">
        <f>IF(H61,An,'2024'!An_max)</f>
        <v>2019</v>
      </c>
      <c r="K61" s="197">
        <f t="shared" si="3"/>
        <v>45704</v>
      </c>
      <c r="L61" s="147">
        <f>IF(t&lt;Tvie,1-EXP((T0-t)*PertePVj)+'2024'!Pspv,1-EXP((T0-t)*PertePVj)+Pspv)</f>
        <v>5.3181158841760445E-2</v>
      </c>
      <c r="M61" s="850"/>
      <c r="N61" s="850"/>
      <c r="O61" s="48">
        <f>IF(t&lt;Tnet,'2024'!Resal+('2024'!Salim-'2024'!Resal)*(1-EXP(('2024'!Tnet-t)/('2024'!Tau_j))),Resal+(Salim-Resal)*(1-EXP((Tnet-t)/(Tau_j))))*Salcycl</f>
        <v>9.4037262837654303E-2</v>
      </c>
      <c r="P61" s="169">
        <f>(INDEX(Models!$BJ61:$BT61,,T61)*(1-R61)+INDEX(Models!$BJ61:$BT61,,T61+1)*R61-ERP_i)*Q61*Ramure*Pc/MaxiM</f>
        <v>4.4307596773295793E-2</v>
      </c>
      <c r="Q61" s="305">
        <f t="shared" si="4"/>
        <v>0.7</v>
      </c>
      <c r="R61" s="177">
        <f t="shared" si="5"/>
        <v>0.60388605451988553</v>
      </c>
      <c r="S61" s="817">
        <f t="shared" si="6"/>
        <v>0</v>
      </c>
      <c r="T61" s="176">
        <f t="shared" si="7"/>
        <v>6</v>
      </c>
      <c r="U61" s="251">
        <f t="shared" si="8"/>
        <v>0.60388605451988553</v>
      </c>
      <c r="V61" s="383">
        <f t="shared" si="9"/>
        <v>20.560404921816787</v>
      </c>
      <c r="W61" s="402">
        <f t="shared" si="10"/>
        <v>5.4820846240852186</v>
      </c>
      <c r="X61" s="157">
        <f t="shared" si="11"/>
        <v>45704</v>
      </c>
      <c r="Y61" s="385">
        <f t="shared" si="12"/>
        <v>5.2738607574038987</v>
      </c>
      <c r="Z61" s="385">
        <f t="shared" si="22"/>
        <v>5.5700842950615632</v>
      </c>
      <c r="AA61" s="386">
        <f t="shared" si="13"/>
        <v>6.3909954513147378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0.12844808958271101</v>
      </c>
      <c r="AD61" s="231">
        <f>(INDEX(Models!$BJ61:$BT61,,AH61)*(1-AF61)+INDEX(Models!$BJ61:$BT61,,AH61+1)*AF61-ERP_i)*AE61*Ramure*Pc/MaxiM</f>
        <v>4.4307596773295793E-2</v>
      </c>
      <c r="AE61" s="305">
        <f t="shared" si="15"/>
        <v>0.7</v>
      </c>
      <c r="AF61" s="177">
        <f t="shared" si="23"/>
        <v>0.60388605451988553</v>
      </c>
      <c r="AG61" s="817">
        <f t="shared" si="24"/>
        <v>0</v>
      </c>
      <c r="AH61" s="176">
        <f t="shared" si="16"/>
        <v>6</v>
      </c>
      <c r="AI61" s="225">
        <f t="shared" si="17"/>
        <v>0.60388605451988553</v>
      </c>
      <c r="AJ61" s="265" t="b">
        <f t="shared" si="18"/>
        <v>1</v>
      </c>
      <c r="AK61" s="265" t="b">
        <f t="shared" si="19"/>
        <v>1</v>
      </c>
      <c r="AL61" s="265"/>
      <c r="AM61" s="265"/>
      <c r="AN61" s="75"/>
    </row>
    <row r="62" spans="1:40" s="6" customFormat="1" ht="11.25" x14ac:dyDescent="0.2">
      <c r="A62" s="56">
        <f t="shared" si="20"/>
        <v>45705</v>
      </c>
      <c r="B62" s="411">
        <f>'2024'!Wh/'2024'!Env_an*'2025'!Env_an</f>
        <v>9.3715363017152349</v>
      </c>
      <c r="C62" s="846"/>
      <c r="D62" s="393">
        <f t="shared" si="0"/>
        <v>9.8981359046922623</v>
      </c>
      <c r="E62" s="385">
        <f t="shared" si="1"/>
        <v>10.926431480011445</v>
      </c>
      <c r="F62" s="385">
        <f t="shared" si="2"/>
        <v>11.0276474028061</v>
      </c>
      <c r="G62" s="110">
        <f t="shared" si="21"/>
        <v>0.43409011397384017</v>
      </c>
      <c r="H62" s="414" t="b">
        <f>Wh_hp&gt;='2024'!Maxi_hp</f>
        <v>0</v>
      </c>
      <c r="I62" s="390">
        <f>IF(H62,Wh_hp,'2024'!Maxi_hp)</f>
        <v>26.057323912775445</v>
      </c>
      <c r="J62" s="85">
        <f>IF(H62,An,'2024'!An_max)</f>
        <v>2019</v>
      </c>
      <c r="K62" s="197">
        <f t="shared" si="3"/>
        <v>45705</v>
      </c>
      <c r="L62" s="147">
        <f>IF(t&lt;Tvie,1-EXP((T0-t)*PertePVj)+'2024'!Pspv,1-EXP((T0-t)*PertePVj)+Pspv)</f>
        <v>5.320189660432828E-2</v>
      </c>
      <c r="M62" s="850"/>
      <c r="N62" s="850"/>
      <c r="O62" s="48">
        <f>IF(t&lt;Tnet,'2024'!Resal+('2024'!Salim-'2024'!Resal)*(1-EXP(('2024'!Tnet-t)/('2024'!Tau_j))),Resal+(Salim-Resal)*(1-EXP((Tnet-t)/(Tau_j))))*Salcycl</f>
        <v>9.4110833642284841E-2</v>
      </c>
      <c r="P62" s="169">
        <f>(INDEX(Models!$BJ62:$BT62,,T62)*(1-R62)+INDEX(Models!$BJ62:$BT62,,T62+1)*R62-ERP_i)*Q62*Ramure*Pc/MaxiM</f>
        <v>4.2995955027443543E-2</v>
      </c>
      <c r="Q62" s="305">
        <f t="shared" si="4"/>
        <v>0.7</v>
      </c>
      <c r="R62" s="177">
        <f t="shared" si="5"/>
        <v>0.60407646066704179</v>
      </c>
      <c r="S62" s="817">
        <f t="shared" si="6"/>
        <v>0</v>
      </c>
      <c r="T62" s="176">
        <f t="shared" si="7"/>
        <v>6</v>
      </c>
      <c r="U62" s="251">
        <f t="shared" si="8"/>
        <v>0.60407646066704179</v>
      </c>
      <c r="V62" s="383">
        <f t="shared" si="9"/>
        <v>20.852070994831248</v>
      </c>
      <c r="W62" s="402">
        <f t="shared" si="10"/>
        <v>9.3715363017152349</v>
      </c>
      <c r="X62" s="157">
        <f t="shared" si="11"/>
        <v>45705</v>
      </c>
      <c r="Y62" s="385">
        <f t="shared" si="12"/>
        <v>9.0160337030466398</v>
      </c>
      <c r="Z62" s="385">
        <f t="shared" si="22"/>
        <v>9.5226571226862653</v>
      </c>
      <c r="AA62" s="386">
        <f t="shared" si="13"/>
        <v>10.926431480011445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0.12847509819589406</v>
      </c>
      <c r="AD62" s="231">
        <f>(INDEX(Models!$BJ62:$BT62,,AH62)*(1-AF62)+INDEX(Models!$BJ62:$BT62,,AH62+1)*AF62-ERP_i)*AE62*Ramure*Pc/MaxiM</f>
        <v>4.2995955027443543E-2</v>
      </c>
      <c r="AE62" s="305">
        <f t="shared" si="15"/>
        <v>0.7</v>
      </c>
      <c r="AF62" s="177">
        <f t="shared" si="23"/>
        <v>0.60407646066704179</v>
      </c>
      <c r="AG62" s="817">
        <f t="shared" si="24"/>
        <v>0</v>
      </c>
      <c r="AH62" s="176">
        <f t="shared" si="16"/>
        <v>6</v>
      </c>
      <c r="AI62" s="225">
        <f t="shared" si="17"/>
        <v>0.60407646066704179</v>
      </c>
      <c r="AJ62" s="265" t="b">
        <f t="shared" si="18"/>
        <v>1</v>
      </c>
      <c r="AK62" s="265" t="b">
        <f t="shared" si="19"/>
        <v>1</v>
      </c>
      <c r="AL62" s="265"/>
      <c r="AM62" s="265"/>
      <c r="AN62" s="75"/>
    </row>
    <row r="63" spans="1:40" s="6" customFormat="1" ht="11.25" x14ac:dyDescent="0.2">
      <c r="A63" s="56">
        <f t="shared" si="20"/>
        <v>45706</v>
      </c>
      <c r="B63" s="411">
        <f>'2024'!Wh/'2024'!Env_an*'2025'!Env_an</f>
        <v>17.694828500895195</v>
      </c>
      <c r="C63" s="846"/>
      <c r="D63" s="393">
        <f t="shared" si="0"/>
        <v>18.689534767842492</v>
      </c>
      <c r="E63" s="385">
        <f t="shared" si="1"/>
        <v>20.632822787056895</v>
      </c>
      <c r="F63" s="385">
        <f t="shared" si="2"/>
        <v>21.313790725577842</v>
      </c>
      <c r="G63" s="110">
        <f t="shared" si="21"/>
        <v>0.82853734899289722</v>
      </c>
      <c r="H63" s="414" t="b">
        <f>Wh_hp&gt;='2024'!Maxi_hp</f>
        <v>0</v>
      </c>
      <c r="I63" s="390">
        <f>IF(H63,Wh_hp,'2024'!Maxi_hp)</f>
        <v>25.702210502087123</v>
      </c>
      <c r="J63" s="85">
        <f>IF(H63,An,'2024'!An_max)</f>
        <v>2019</v>
      </c>
      <c r="K63" s="197">
        <f t="shared" si="3"/>
        <v>45706</v>
      </c>
      <c r="L63" s="147">
        <f>IF(t&lt;Tvie,1-EXP((T0-t)*PertePVj)+'2024'!Pspv,1-EXP((T0-t)*PertePVj)+Pspv)</f>
        <v>5.3222633912685891E-2</v>
      </c>
      <c r="M63" s="850"/>
      <c r="N63" s="850"/>
      <c r="O63" s="48">
        <f>IF(t&lt;Tnet,'2024'!Resal+('2024'!Salim-'2024'!Resal)*(1-EXP(('2024'!Tnet-t)/('2024'!Tau_j))),Resal+(Salim-Resal)*(1-EXP((Tnet-t)/(Tau_j))))*Salcycl</f>
        <v>9.4184302325973496E-2</v>
      </c>
      <c r="P63" s="169">
        <f>(INDEX(Models!$BJ63:$BT63,,T63)*(1-R63)+INDEX(Models!$BJ63:$BT63,,T63+1)*R63-ERP_i)*Q63*Ramure*Pc/MaxiM</f>
        <v>4.1653268098937386E-2</v>
      </c>
      <c r="Q63" s="305">
        <f t="shared" si="4"/>
        <v>0.7</v>
      </c>
      <c r="R63" s="177">
        <f t="shared" si="5"/>
        <v>0.60427469936979017</v>
      </c>
      <c r="S63" s="817">
        <f t="shared" si="6"/>
        <v>0</v>
      </c>
      <c r="T63" s="176">
        <f t="shared" si="7"/>
        <v>6</v>
      </c>
      <c r="U63" s="251">
        <f t="shared" si="8"/>
        <v>0.60427469936979017</v>
      </c>
      <c r="V63" s="383">
        <f t="shared" si="9"/>
        <v>21.142628689601406</v>
      </c>
      <c r="W63" s="402">
        <f t="shared" si="10"/>
        <v>17.694828500895195</v>
      </c>
      <c r="X63" s="157">
        <f t="shared" si="11"/>
        <v>45706</v>
      </c>
      <c r="Y63" s="385">
        <f t="shared" si="12"/>
        <v>17.024441647144616</v>
      </c>
      <c r="Z63" s="385">
        <f t="shared" si="22"/>
        <v>17.981462439792399</v>
      </c>
      <c r="AA63" s="386">
        <f t="shared" si="13"/>
        <v>20.632822787056895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0.12850206559849447</v>
      </c>
      <c r="AD63" s="231">
        <f>(INDEX(Models!$BJ63:$BT63,,AH63)*(1-AF63)+INDEX(Models!$BJ63:$BT63,,AH63+1)*AF63-ERP_i)*AE63*Ramure*Pc/MaxiM</f>
        <v>4.1653268098937386E-2</v>
      </c>
      <c r="AE63" s="305">
        <f t="shared" si="15"/>
        <v>0.7</v>
      </c>
      <c r="AF63" s="177">
        <f t="shared" si="23"/>
        <v>0.60427469936979017</v>
      </c>
      <c r="AG63" s="817">
        <f t="shared" si="24"/>
        <v>0</v>
      </c>
      <c r="AH63" s="176">
        <f t="shared" si="16"/>
        <v>6</v>
      </c>
      <c r="AI63" s="225">
        <f t="shared" si="17"/>
        <v>0.60427469936979017</v>
      </c>
      <c r="AJ63" s="265" t="b">
        <f t="shared" si="18"/>
        <v>1</v>
      </c>
      <c r="AK63" s="265" t="b">
        <f t="shared" si="19"/>
        <v>1</v>
      </c>
      <c r="AL63" s="265"/>
      <c r="AM63" s="265"/>
      <c r="AN63" s="75"/>
    </row>
    <row r="64" spans="1:40" s="6" customFormat="1" ht="11.25" x14ac:dyDescent="0.2">
      <c r="A64" s="56">
        <f t="shared" si="20"/>
        <v>45707</v>
      </c>
      <c r="B64" s="411">
        <f>'2024'!Wh/'2024'!Env_an*'2025'!Env_an</f>
        <v>11.41686459036181</v>
      </c>
      <c r="C64" s="846"/>
      <c r="D64" s="393">
        <f t="shared" si="0"/>
        <v>12.058922259260136</v>
      </c>
      <c r="E64" s="385">
        <f t="shared" si="1"/>
        <v>13.313855107320457</v>
      </c>
      <c r="F64" s="385">
        <f t="shared" si="2"/>
        <v>13.494568773800403</v>
      </c>
      <c r="G64" s="110">
        <f t="shared" si="21"/>
        <v>0.51819674724702613</v>
      </c>
      <c r="H64" s="414" t="b">
        <f>Wh_hp&gt;='2024'!Maxi_hp</f>
        <v>0</v>
      </c>
      <c r="I64" s="390">
        <f>IF(H64,Wh_hp,'2024'!Maxi_hp)</f>
        <v>25.212086475297145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5.3243370766843268E-2</v>
      </c>
      <c r="M64" s="850"/>
      <c r="N64" s="850"/>
      <c r="O64" s="48">
        <f>IF(t&lt;Tnet,'2024'!Resal+('2024'!Salim-'2024'!Resal)*(1-EXP(('2024'!Tnet-t)/('2024'!Tau_j))),Resal+(Salim-Resal)*(1-EXP((Tnet-t)/(Tau_j))))*Salcycl</f>
        <v>9.4257661507095122E-2</v>
      </c>
      <c r="P64" s="169">
        <f>(INDEX(Models!$BJ64:$BT64,,T64)*(1-R64)+INDEX(Models!$BJ64:$BT64,,T64+1)*R64-ERP_i)*Q64*Ramure*Pc/MaxiM</f>
        <v>4.0281364554203336E-2</v>
      </c>
      <c r="Q64" s="305">
        <f t="shared" si="4"/>
        <v>0.7</v>
      </c>
      <c r="R64" s="177">
        <f t="shared" si="5"/>
        <v>0.6044810861125991</v>
      </c>
      <c r="S64" s="817">
        <f t="shared" si="6"/>
        <v>0</v>
      </c>
      <c r="T64" s="176">
        <f t="shared" si="7"/>
        <v>6</v>
      </c>
      <c r="U64" s="251">
        <f t="shared" si="8"/>
        <v>0.6044810861125991</v>
      </c>
      <c r="V64" s="383">
        <f t="shared" si="9"/>
        <v>21.431436419195311</v>
      </c>
      <c r="W64" s="402">
        <f t="shared" si="10"/>
        <v>11.41686459036181</v>
      </c>
      <c r="X64" s="157">
        <f t="shared" si="11"/>
        <v>45707</v>
      </c>
      <c r="Y64" s="385">
        <f t="shared" si="12"/>
        <v>10.984875265947954</v>
      </c>
      <c r="Z64" s="385">
        <f t="shared" si="22"/>
        <v>11.602638869130876</v>
      </c>
      <c r="AA64" s="386">
        <f t="shared" si="13"/>
        <v>13.313855107320457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0.12852898160568757</v>
      </c>
      <c r="AD64" s="231">
        <f>(INDEX(Models!$BJ64:$BT64,,AH64)*(1-AF64)+INDEX(Models!$BJ64:$BT64,,AH64+1)*AF64-ERP_i)*AE64*Ramure*Pc/MaxiM</f>
        <v>4.0281364554203336E-2</v>
      </c>
      <c r="AE64" s="305">
        <f t="shared" si="15"/>
        <v>0.7</v>
      </c>
      <c r="AF64" s="177">
        <f t="shared" si="23"/>
        <v>0.6044810861125991</v>
      </c>
      <c r="AG64" s="817">
        <f t="shared" si="24"/>
        <v>0</v>
      </c>
      <c r="AH64" s="176">
        <f t="shared" si="16"/>
        <v>6</v>
      </c>
      <c r="AI64" s="225">
        <f t="shared" si="17"/>
        <v>0.6044810861125991</v>
      </c>
      <c r="AJ64" s="265" t="b">
        <f t="shared" si="18"/>
        <v>1</v>
      </c>
      <c r="AK64" s="265" t="b">
        <f t="shared" si="19"/>
        <v>1</v>
      </c>
      <c r="AL64" s="265"/>
      <c r="AM64" s="265"/>
      <c r="AN64" s="75"/>
    </row>
    <row r="65" spans="1:40" s="6" customFormat="1" ht="11.25" x14ac:dyDescent="0.2">
      <c r="A65" s="56">
        <f t="shared" si="20"/>
        <v>45708</v>
      </c>
      <c r="B65" s="411">
        <f>'2024'!Wh/'2024'!Env_an*'2025'!Env_an</f>
        <v>12.834387049655057</v>
      </c>
      <c r="C65" s="846"/>
      <c r="D65" s="393">
        <f t="shared" si="0"/>
        <v>13.556459775964587</v>
      </c>
      <c r="E65" s="385">
        <f t="shared" si="1"/>
        <v>14.968446916993898</v>
      </c>
      <c r="F65" s="385">
        <f t="shared" si="2"/>
        <v>15.214278213966141</v>
      </c>
      <c r="G65" s="110">
        <f t="shared" si="21"/>
        <v>0.57726973734411124</v>
      </c>
      <c r="H65" s="414" t="b">
        <f>Wh_hp&gt;='2024'!Maxi_hp</f>
        <v>0</v>
      </c>
      <c r="I65" s="390">
        <f>IF(H65,Wh_hp,'2024'!Maxi_hp)</f>
        <v>26.392814303463727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5.3264107166810293E-2</v>
      </c>
      <c r="M65" s="850"/>
      <c r="N65" s="850"/>
      <c r="O65" s="48">
        <f>IF(t&lt;Tnet,'2024'!Resal+('2024'!Salim-'2024'!Resal)*(1-EXP(('2024'!Tnet-t)/('2024'!Tau_j))),Resal+(Salim-Resal)*(1-EXP((Tnet-t)/(Tau_j))))*Salcycl</f>
        <v>9.4330904793219511E-2</v>
      </c>
      <c r="P65" s="169">
        <f>(INDEX(Models!$BJ65:$BT65,,T65)*(1-R65)+INDEX(Models!$BJ65:$BT65,,T65+1)*R65-ERP_i)*Q65*Ramure*Pc/MaxiM</f>
        <v>3.8879035436672045E-2</v>
      </c>
      <c r="Q65" s="305">
        <f t="shared" si="4"/>
        <v>0.7</v>
      </c>
      <c r="R65" s="177">
        <f t="shared" si="5"/>
        <v>0.60469594851850939</v>
      </c>
      <c r="S65" s="817">
        <f t="shared" si="6"/>
        <v>0</v>
      </c>
      <c r="T65" s="176">
        <f t="shared" si="7"/>
        <v>6</v>
      </c>
      <c r="U65" s="251">
        <f t="shared" si="8"/>
        <v>0.60469594851850939</v>
      </c>
      <c r="V65" s="383">
        <f t="shared" si="9"/>
        <v>21.719459035234021</v>
      </c>
      <c r="W65" s="402">
        <f t="shared" si="10"/>
        <v>12.834387049655057</v>
      </c>
      <c r="X65" s="157">
        <f t="shared" si="11"/>
        <v>45708</v>
      </c>
      <c r="Y65" s="385">
        <f t="shared" si="12"/>
        <v>12.349379849783514</v>
      </c>
      <c r="Z65" s="385">
        <f t="shared" si="22"/>
        <v>13.044165688940891</v>
      </c>
      <c r="AA65" s="386">
        <f t="shared" si="13"/>
        <v>14.968446916993898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0.12855583740410254</v>
      </c>
      <c r="AD65" s="231">
        <f>(INDEX(Models!$BJ65:$BT65,,AH65)*(1-AF65)+INDEX(Models!$BJ65:$BT65,,AH65+1)*AF65-ERP_i)*AE65*Ramure*Pc/MaxiM</f>
        <v>3.8879035436672045E-2</v>
      </c>
      <c r="AE65" s="305">
        <f t="shared" si="15"/>
        <v>0.7</v>
      </c>
      <c r="AF65" s="177">
        <f t="shared" si="23"/>
        <v>0.60469594851850939</v>
      </c>
      <c r="AG65" s="817">
        <f t="shared" si="24"/>
        <v>0</v>
      </c>
      <c r="AH65" s="176">
        <f t="shared" si="16"/>
        <v>6</v>
      </c>
      <c r="AI65" s="225">
        <f t="shared" si="17"/>
        <v>0.60469594851850939</v>
      </c>
      <c r="AJ65" s="265" t="b">
        <f t="shared" si="18"/>
        <v>1</v>
      </c>
      <c r="AK65" s="265" t="b">
        <f t="shared" si="19"/>
        <v>1</v>
      </c>
      <c r="AL65" s="265"/>
      <c r="AM65" s="265"/>
      <c r="AN65" s="75"/>
    </row>
    <row r="66" spans="1:40" s="6" customFormat="1" ht="11.25" x14ac:dyDescent="0.2">
      <c r="A66" s="56">
        <f t="shared" si="20"/>
        <v>45709</v>
      </c>
      <c r="B66" s="411">
        <f>'2024'!Wh/'2024'!Env_an*'2025'!Env_an</f>
        <v>13.299941012114491</v>
      </c>
      <c r="C66" s="846"/>
      <c r="D66" s="393">
        <f t="shared" si="0"/>
        <v>14.048513869622466</v>
      </c>
      <c r="E66" s="385">
        <f t="shared" si="1"/>
        <v>15.513003908081604</v>
      </c>
      <c r="F66" s="385">
        <f t="shared" si="2"/>
        <v>15.769517046706801</v>
      </c>
      <c r="G66" s="110">
        <f t="shared" si="21"/>
        <v>0.59131048947723974</v>
      </c>
      <c r="H66" s="414" t="b">
        <f>Wh_hp&gt;='2024'!Maxi_hp</f>
        <v>0</v>
      </c>
      <c r="I66" s="390">
        <f>IF(H66,Wh_hp,'2024'!Maxi_hp)</f>
        <v>25.140056728294933</v>
      </c>
      <c r="J66" s="85">
        <f>IF(H66,An,'2024'!An_max)</f>
        <v>2019</v>
      </c>
      <c r="K66" s="197">
        <f t="shared" si="3"/>
        <v>45709</v>
      </c>
      <c r="L66" s="147">
        <f>IF(t&lt;Tvie,1-EXP((T0-t)*PertePVj)+'2024'!Pspv,1-EXP((T0-t)*PertePVj)+Pspv)</f>
        <v>5.3284843112596958E-2</v>
      </c>
      <c r="M66" s="850"/>
      <c r="N66" s="850"/>
      <c r="O66" s="48">
        <f>IF(t&lt;Tnet,'2024'!Resal+('2024'!Salim-'2024'!Resal)*(1-EXP(('2024'!Tnet-t)/('2024'!Tau_j))),Resal+(Salim-Resal)*(1-EXP((Tnet-t)/(Tau_j))))*Salcycl</f>
        <v>9.4404026914232941E-2</v>
      </c>
      <c r="P66" s="169">
        <f>(INDEX(Models!$BJ66:$BT66,,T66)*(1-R66)+INDEX(Models!$BJ66:$BT66,,T66+1)*R66-ERP_i)*Q66*Ramure*Pc/MaxiM</f>
        <v>3.741810033303225E-2</v>
      </c>
      <c r="Q66" s="305">
        <f t="shared" si="4"/>
        <v>0.7</v>
      </c>
      <c r="R66" s="177">
        <f t="shared" si="5"/>
        <v>0.60491962676779598</v>
      </c>
      <c r="S66" s="817">
        <f t="shared" si="6"/>
        <v>0</v>
      </c>
      <c r="T66" s="176">
        <f t="shared" si="7"/>
        <v>6</v>
      </c>
      <c r="U66" s="251">
        <f t="shared" si="8"/>
        <v>0.60491962676779598</v>
      </c>
      <c r="V66" s="383">
        <f t="shared" si="9"/>
        <v>22.008696098796683</v>
      </c>
      <c r="W66" s="402">
        <f t="shared" si="10"/>
        <v>13.299941012114491</v>
      </c>
      <c r="X66" s="157">
        <f t="shared" si="11"/>
        <v>45709</v>
      </c>
      <c r="Y66" s="385">
        <f t="shared" si="12"/>
        <v>12.797980577632602</v>
      </c>
      <c r="Z66" s="385">
        <f t="shared" si="22"/>
        <v>13.518301132633837</v>
      </c>
      <c r="AA66" s="386">
        <f t="shared" si="13"/>
        <v>15.513003908081604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0.12858262572915444</v>
      </c>
      <c r="AD66" s="231">
        <f>(INDEX(Models!$BJ66:$BT66,,AH66)*(1-AF66)+INDEX(Models!$BJ66:$BT66,,AH66+1)*AF66-ERP_i)*AE66*Ramure*Pc/MaxiM</f>
        <v>3.741810033303225E-2</v>
      </c>
      <c r="AE66" s="305">
        <f t="shared" si="15"/>
        <v>0.7</v>
      </c>
      <c r="AF66" s="177">
        <f t="shared" si="23"/>
        <v>0.60491962676779598</v>
      </c>
      <c r="AG66" s="817">
        <f t="shared" si="24"/>
        <v>0</v>
      </c>
      <c r="AH66" s="176">
        <f t="shared" si="16"/>
        <v>6</v>
      </c>
      <c r="AI66" s="225">
        <f t="shared" si="17"/>
        <v>0.60491962676779598</v>
      </c>
      <c r="AJ66" s="265" t="b">
        <f t="shared" si="18"/>
        <v>1</v>
      </c>
      <c r="AK66" s="265" t="b">
        <f t="shared" si="19"/>
        <v>1</v>
      </c>
      <c r="AL66" s="265"/>
      <c r="AM66" s="265"/>
      <c r="AN66" s="75"/>
    </row>
    <row r="67" spans="1:40" s="6" customFormat="1" ht="11.25" x14ac:dyDescent="0.2">
      <c r="A67" s="56">
        <f t="shared" si="20"/>
        <v>45710</v>
      </c>
      <c r="B67" s="411">
        <f>'2024'!Wh/'2024'!Env_an*'2025'!Env_an</f>
        <v>20.744356803873696</v>
      </c>
      <c r="C67" s="846"/>
      <c r="D67" s="393">
        <f t="shared" si="0"/>
        <v>21.912410525551259</v>
      </c>
      <c r="E67" s="385">
        <f t="shared" si="1"/>
        <v>24.198624554700913</v>
      </c>
      <c r="F67" s="385">
        <f t="shared" si="2"/>
        <v>25.008069473619415</v>
      </c>
      <c r="G67" s="110">
        <f t="shared" si="21"/>
        <v>0.92687909279136993</v>
      </c>
      <c r="H67" s="414" t="b">
        <f>Wh_hp&gt;='2024'!Maxi_hp</f>
        <v>0</v>
      </c>
      <c r="I67" s="390">
        <f>IF(H67,Wh_hp,'2024'!Maxi_hp)</f>
        <v>26.553607822777124</v>
      </c>
      <c r="J67" s="85">
        <f>IF(H67,An,'2024'!An_max)</f>
        <v>2019</v>
      </c>
      <c r="K67" s="197">
        <f t="shared" si="3"/>
        <v>45710</v>
      </c>
      <c r="L67" s="147">
        <f>IF(t&lt;Tvie,1-EXP((T0-t)*PertePVj)+'2024'!Pspv,1-EXP((T0-t)*PertePVj)+Pspv)</f>
        <v>5.3305578604213255E-2</v>
      </c>
      <c r="M67" s="850"/>
      <c r="N67" s="850"/>
      <c r="O67" s="48">
        <f>IF(t&lt;Tnet,'2024'!Resal+('2024'!Salim-'2024'!Resal)*(1-EXP(('2024'!Tnet-t)/('2024'!Tau_j))),Resal+(Salim-Resal)*(1-EXP((Tnet-t)/(Tau_j))))*Salcycl</f>
        <v>9.4477023848263605E-2</v>
      </c>
      <c r="P67" s="169">
        <f>(INDEX(Models!$BJ67:$BT67,,T67)*(1-R67)+INDEX(Models!$BJ67:$BT67,,T67+1)*R67-ERP_i)*Q67*Ramure*Pc/MaxiM</f>
        <v>3.5945505044790979E-2</v>
      </c>
      <c r="Q67" s="305">
        <f t="shared" si="4"/>
        <v>0.7</v>
      </c>
      <c r="R67" s="177">
        <f t="shared" si="5"/>
        <v>0.60515247402686523</v>
      </c>
      <c r="S67" s="817">
        <f t="shared" si="6"/>
        <v>0</v>
      </c>
      <c r="T67" s="176">
        <f t="shared" si="7"/>
        <v>6</v>
      </c>
      <c r="U67" s="251">
        <f t="shared" si="8"/>
        <v>0.60515247402686523</v>
      </c>
      <c r="V67" s="383">
        <f t="shared" si="9"/>
        <v>22.298105053452744</v>
      </c>
      <c r="W67" s="402">
        <f t="shared" si="10"/>
        <v>20.744356803873696</v>
      </c>
      <c r="X67" s="157">
        <f t="shared" si="11"/>
        <v>45710</v>
      </c>
      <c r="Y67" s="385">
        <f t="shared" si="12"/>
        <v>19.962429691199567</v>
      </c>
      <c r="Z67" s="385">
        <f t="shared" si="22"/>
        <v>21.086455396840062</v>
      </c>
      <c r="AA67" s="386">
        <f t="shared" si="13"/>
        <v>24.198624554700913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0.12860934103199975</v>
      </c>
      <c r="AD67" s="231">
        <f>(INDEX(Models!$BJ67:$BT67,,AH67)*(1-AF67)+INDEX(Models!$BJ67:$BT67,,AH67+1)*AF67-ERP_i)*AE67*Ramure*Pc/MaxiM</f>
        <v>3.5945505044790979E-2</v>
      </c>
      <c r="AE67" s="305">
        <f t="shared" si="15"/>
        <v>0.7</v>
      </c>
      <c r="AF67" s="177">
        <f t="shared" si="23"/>
        <v>0.60515247402686523</v>
      </c>
      <c r="AG67" s="817">
        <f t="shared" si="24"/>
        <v>0</v>
      </c>
      <c r="AH67" s="176">
        <f t="shared" si="16"/>
        <v>6</v>
      </c>
      <c r="AI67" s="225">
        <f t="shared" si="17"/>
        <v>0.60515247402686523</v>
      </c>
      <c r="AJ67" s="265" t="b">
        <f t="shared" si="18"/>
        <v>1</v>
      </c>
      <c r="AK67" s="265" t="b">
        <f t="shared" si="19"/>
        <v>1</v>
      </c>
      <c r="AL67" s="265"/>
      <c r="AM67" s="265"/>
      <c r="AN67" s="75"/>
    </row>
    <row r="68" spans="1:40" s="6" customFormat="1" ht="11.25" x14ac:dyDescent="0.2">
      <c r="A68" s="56">
        <f t="shared" si="20"/>
        <v>45711</v>
      </c>
      <c r="B68" s="411">
        <f>'2024'!Wh/'2024'!Env_an*'2025'!Env_an</f>
        <v>21.233787902380392</v>
      </c>
      <c r="C68" s="846"/>
      <c r="D68" s="393">
        <f t="shared" si="0"/>
        <v>22.429891321963993</v>
      </c>
      <c r="E68" s="385">
        <f t="shared" si="1"/>
        <v>24.772089756304567</v>
      </c>
      <c r="F68" s="385">
        <f t="shared" si="2"/>
        <v>25.578064551985467</v>
      </c>
      <c r="G68" s="110">
        <f t="shared" si="21"/>
        <v>0.9371958739990176</v>
      </c>
      <c r="H68" s="414" t="b">
        <f>Wh_hp&gt;='2024'!Maxi_hp</f>
        <v>0</v>
      </c>
      <c r="I68" s="390">
        <f>IF(H68,Wh_hp,'2024'!Maxi_hp)</f>
        <v>27.261868971635646</v>
      </c>
      <c r="J68" s="85">
        <f>IF(H68,An,'2024'!An_max)</f>
        <v>2019</v>
      </c>
      <c r="K68" s="197">
        <f t="shared" si="3"/>
        <v>45711</v>
      </c>
      <c r="L68" s="147">
        <f>IF(t&lt;Tvie,1-EXP((T0-t)*PertePVj)+'2024'!Pspv,1-EXP((T0-t)*PertePVj)+Pspv)</f>
        <v>5.3326313641668954E-2</v>
      </c>
      <c r="M68" s="850"/>
      <c r="N68" s="850"/>
      <c r="O68" s="48">
        <f>IF(t&lt;Tnet,'2024'!Resal+('2024'!Salim-'2024'!Resal)*(1-EXP(('2024'!Tnet-t)/('2024'!Tau_j))),Resal+(Salim-Resal)*(1-EXP((Tnet-t)/(Tau_j))))*Salcycl</f>
        <v>9.4549892939269617E-2</v>
      </c>
      <c r="P68" s="169">
        <f>(INDEX(Models!$BJ68:$BT68,,T68)*(1-R68)+INDEX(Models!$BJ68:$BT68,,T68+1)*R68-ERP_i)*Q68*Ramure*Pc/MaxiM</f>
        <v>3.4461252384412187E-2</v>
      </c>
      <c r="Q68" s="305">
        <f t="shared" si="4"/>
        <v>0.7</v>
      </c>
      <c r="R68" s="177">
        <f t="shared" si="5"/>
        <v>0.60539485688724315</v>
      </c>
      <c r="S68" s="817">
        <f t="shared" si="6"/>
        <v>0</v>
      </c>
      <c r="T68" s="176">
        <f t="shared" si="7"/>
        <v>6</v>
      </c>
      <c r="U68" s="251">
        <f t="shared" si="8"/>
        <v>0.60539485688724315</v>
      </c>
      <c r="V68" s="383">
        <f t="shared" si="9"/>
        <v>22.587691531567703</v>
      </c>
      <c r="W68" s="402">
        <f t="shared" si="10"/>
        <v>21.233787902380392</v>
      </c>
      <c r="X68" s="157">
        <f t="shared" si="11"/>
        <v>45711</v>
      </c>
      <c r="Y68" s="385">
        <f t="shared" si="12"/>
        <v>20.43443216795955</v>
      </c>
      <c r="Z68" s="385">
        <f t="shared" si="22"/>
        <v>21.585507722905898</v>
      </c>
      <c r="AA68" s="386">
        <f t="shared" si="13"/>
        <v>24.772089756304567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0.12863597963460774</v>
      </c>
      <c r="AD68" s="231">
        <f>(INDEX(Models!$BJ68:$BT68,,AH68)*(1-AF68)+INDEX(Models!$BJ68:$BT68,,AH68+1)*AF68-ERP_i)*AE68*Ramure*Pc/MaxiM</f>
        <v>3.4461252384412187E-2</v>
      </c>
      <c r="AE68" s="305">
        <f t="shared" si="15"/>
        <v>0.7</v>
      </c>
      <c r="AF68" s="177">
        <f t="shared" si="23"/>
        <v>0.60539485688724315</v>
      </c>
      <c r="AG68" s="817">
        <f t="shared" si="24"/>
        <v>0</v>
      </c>
      <c r="AH68" s="176">
        <f t="shared" si="16"/>
        <v>6</v>
      </c>
      <c r="AI68" s="225">
        <f t="shared" si="17"/>
        <v>0.60539485688724315</v>
      </c>
      <c r="AJ68" s="265" t="b">
        <f t="shared" si="18"/>
        <v>1</v>
      </c>
      <c r="AK68" s="265" t="b">
        <f t="shared" si="19"/>
        <v>1</v>
      </c>
      <c r="AL68" s="265"/>
      <c r="AM68" s="265"/>
      <c r="AN68" s="75"/>
    </row>
    <row r="69" spans="1:40" s="6" customFormat="1" ht="11.25" x14ac:dyDescent="0.2">
      <c r="A69" s="56">
        <f t="shared" si="20"/>
        <v>45712</v>
      </c>
      <c r="B69" s="411">
        <f>'2024'!Wh/'2024'!Env_an*'2025'!Env_an</f>
        <v>13.735514302834989</v>
      </c>
      <c r="C69" s="846"/>
      <c r="D69" s="393">
        <f t="shared" si="0"/>
        <v>14.509556302634616</v>
      </c>
      <c r="E69" s="385">
        <f t="shared" si="1"/>
        <v>16.025976384628237</v>
      </c>
      <c r="F69" s="385">
        <f t="shared" si="2"/>
        <v>16.255944246300331</v>
      </c>
      <c r="G69" s="110">
        <f t="shared" si="21"/>
        <v>0.58893428957151051</v>
      </c>
      <c r="H69" s="414" t="b">
        <f>Wh_hp&gt;='2024'!Maxi_hp</f>
        <v>0</v>
      </c>
      <c r="I69" s="390">
        <f>IF(H69,Wh_hp,'2024'!Maxi_hp)</f>
        <v>27.125715294135134</v>
      </c>
      <c r="J69" s="85">
        <f>IF(H69,An,'2024'!An_max)</f>
        <v>2019</v>
      </c>
      <c r="K69" s="197">
        <f t="shared" si="3"/>
        <v>45712</v>
      </c>
      <c r="L69" s="147">
        <f>IF(t&lt;Tvie,1-EXP((T0-t)*PertePVj)+'2024'!Pspv,1-EXP((T0-t)*PertePVj)+Pspv)</f>
        <v>5.3347048224974158E-2</v>
      </c>
      <c r="M69" s="850"/>
      <c r="N69" s="850"/>
      <c r="O69" s="48">
        <f>IF(t&lt;Tnet,'2024'!Resal+('2024'!Salim-'2024'!Resal)*(1-EXP(('2024'!Tnet-t)/('2024'!Tau_j))),Resal+(Salim-Resal)*(1-EXP((Tnet-t)/(Tau_j))))*Salcycl</f>
        <v>9.4622633005258638E-2</v>
      </c>
      <c r="P69" s="169">
        <f>(INDEX(Models!$BJ69:$BT69,,T69)*(1-R69)+INDEX(Models!$BJ69:$BT69,,T69+1)*R69-ERP_i)*Q69*Ramure*Pc/MaxiM</f>
        <v>3.2965529325976441E-2</v>
      </c>
      <c r="Q69" s="305">
        <f t="shared" si="4"/>
        <v>0.7</v>
      </c>
      <c r="R69" s="177">
        <f t="shared" si="5"/>
        <v>0.60564715581446138</v>
      </c>
      <c r="S69" s="817">
        <f t="shared" si="6"/>
        <v>0</v>
      </c>
      <c r="T69" s="176">
        <f t="shared" si="7"/>
        <v>6</v>
      </c>
      <c r="U69" s="251">
        <f t="shared" si="8"/>
        <v>0.60564715581446138</v>
      </c>
      <c r="V69" s="383">
        <f t="shared" si="9"/>
        <v>22.877456709265775</v>
      </c>
      <c r="W69" s="402">
        <f t="shared" si="10"/>
        <v>13.735514302834989</v>
      </c>
      <c r="X69" s="157">
        <f t="shared" si="11"/>
        <v>45712</v>
      </c>
      <c r="Y69" s="385">
        <f t="shared" si="12"/>
        <v>13.219093587369441</v>
      </c>
      <c r="Z69" s="385">
        <f t="shared" si="22"/>
        <v>13.964033559059759</v>
      </c>
      <c r="AA69" s="386">
        <f t="shared" si="13"/>
        <v>16.025976384628237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0.12866253987159543</v>
      </c>
      <c r="AD69" s="231">
        <f>(INDEX(Models!$BJ69:$BT69,,AH69)*(1-AF69)+INDEX(Models!$BJ69:$BT69,,AH69+1)*AF69-ERP_i)*AE69*Ramure*Pc/MaxiM</f>
        <v>3.2965529325976441E-2</v>
      </c>
      <c r="AE69" s="305">
        <f t="shared" si="15"/>
        <v>0.7</v>
      </c>
      <c r="AF69" s="177">
        <f t="shared" si="23"/>
        <v>0.60564715581446138</v>
      </c>
      <c r="AG69" s="817">
        <f t="shared" si="24"/>
        <v>0</v>
      </c>
      <c r="AH69" s="176">
        <f t="shared" si="16"/>
        <v>6</v>
      </c>
      <c r="AI69" s="225">
        <f t="shared" si="17"/>
        <v>0.60564715581446138</v>
      </c>
      <c r="AJ69" s="265" t="b">
        <f t="shared" si="18"/>
        <v>1</v>
      </c>
      <c r="AK69" s="265" t="b">
        <f t="shared" si="19"/>
        <v>1</v>
      </c>
      <c r="AL69" s="265"/>
      <c r="AM69" s="265"/>
      <c r="AN69" s="75"/>
    </row>
    <row r="70" spans="1:40" s="6" customFormat="1" ht="11.25" x14ac:dyDescent="0.2">
      <c r="A70" s="56">
        <f t="shared" si="20"/>
        <v>45713</v>
      </c>
      <c r="B70" s="411">
        <f>'2024'!Wh/'2024'!Env_an*'2025'!Env_an</f>
        <v>19.180538220158539</v>
      </c>
      <c r="C70" s="846"/>
      <c r="D70" s="393">
        <f t="shared" si="0"/>
        <v>20.261869248289258</v>
      </c>
      <c r="E70" s="385">
        <f t="shared" si="1"/>
        <v>22.381268985681277</v>
      </c>
      <c r="F70" s="385">
        <f t="shared" si="2"/>
        <v>22.925161380624619</v>
      </c>
      <c r="G70" s="110">
        <f t="shared" si="21"/>
        <v>0.82135212230997168</v>
      </c>
      <c r="H70" s="414" t="b">
        <f>Wh_hp&gt;='2024'!Maxi_hp</f>
        <v>0</v>
      </c>
      <c r="I70" s="390">
        <f>IF(H70,Wh_hp,'2024'!Maxi_hp)</f>
        <v>27.521029362463523</v>
      </c>
      <c r="J70" s="85">
        <f>IF(H70,An,'2024'!An_max)</f>
        <v>2019</v>
      </c>
      <c r="K70" s="197">
        <f t="shared" si="3"/>
        <v>45713</v>
      </c>
      <c r="L70" s="147">
        <f>IF(t&lt;Tvie,1-EXP((T0-t)*PertePVj)+'2024'!Pspv,1-EXP((T0-t)*PertePVj)+Pspv)</f>
        <v>5.336778235413886E-2</v>
      </c>
      <c r="M70" s="850"/>
      <c r="N70" s="850"/>
      <c r="O70" s="48">
        <f>IF(t&lt;Tnet,'2024'!Resal+('2024'!Salim-'2024'!Resal)*(1-EXP(('2024'!Tnet-t)/('2024'!Tau_j))),Resal+(Salim-Resal)*(1-EXP((Tnet-t)/(Tau_j))))*Salcycl</f>
        <v>9.4695244436226317E-2</v>
      </c>
      <c r="P70" s="169">
        <f>(INDEX(Models!$BJ70:$BT70,,T70)*(1-R70)+INDEX(Models!$BJ70:$BT70,,T70+1)*R70-ERP_i)*Q70*Ramure*Pc/MaxiM</f>
        <v>3.1458514689513412E-2</v>
      </c>
      <c r="Q70" s="305">
        <f t="shared" si="4"/>
        <v>0.7</v>
      </c>
      <c r="R70" s="177">
        <f t="shared" si="5"/>
        <v>0.60590976560659748</v>
      </c>
      <c r="S70" s="817">
        <f t="shared" si="6"/>
        <v>0</v>
      </c>
      <c r="T70" s="176">
        <f t="shared" si="7"/>
        <v>6</v>
      </c>
      <c r="U70" s="251">
        <f t="shared" si="8"/>
        <v>0.60590976560659748</v>
      </c>
      <c r="V70" s="383">
        <f t="shared" si="9"/>
        <v>23.167401661192805</v>
      </c>
      <c r="W70" s="402">
        <f t="shared" si="10"/>
        <v>19.180538220158539</v>
      </c>
      <c r="X70" s="157">
        <f t="shared" si="11"/>
        <v>45713</v>
      </c>
      <c r="Y70" s="385">
        <f t="shared" si="12"/>
        <v>18.46031781926385</v>
      </c>
      <c r="Z70" s="385">
        <f t="shared" si="22"/>
        <v>19.501045363923932</v>
      </c>
      <c r="AA70" s="386">
        <f t="shared" si="13"/>
        <v>22.381268985681277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0.12868902221764136</v>
      </c>
      <c r="AD70" s="231">
        <f>(INDEX(Models!$BJ70:$BT70,,AH70)*(1-AF70)+INDEX(Models!$BJ70:$BT70,,AH70+1)*AF70-ERP_i)*AE70*Ramure*Pc/MaxiM</f>
        <v>3.1458514689513412E-2</v>
      </c>
      <c r="AE70" s="305">
        <f t="shared" si="15"/>
        <v>0.7</v>
      </c>
      <c r="AF70" s="177">
        <f t="shared" si="23"/>
        <v>0.60590976560659748</v>
      </c>
      <c r="AG70" s="817">
        <f t="shared" si="24"/>
        <v>0</v>
      </c>
      <c r="AH70" s="176">
        <f t="shared" si="16"/>
        <v>6</v>
      </c>
      <c r="AI70" s="225">
        <f t="shared" si="17"/>
        <v>0.60590976560659748</v>
      </c>
      <c r="AJ70" s="265" t="b">
        <f t="shared" si="18"/>
        <v>1</v>
      </c>
      <c r="AK70" s="265" t="b">
        <f t="shared" si="19"/>
        <v>1</v>
      </c>
      <c r="AL70" s="265"/>
      <c r="AM70" s="265"/>
      <c r="AN70" s="75"/>
    </row>
    <row r="71" spans="1:40" s="6" customFormat="1" ht="11.25" x14ac:dyDescent="0.2">
      <c r="A71" s="56">
        <f t="shared" si="20"/>
        <v>45714</v>
      </c>
      <c r="B71" s="411">
        <f>'2024'!Wh/'2024'!Env_an*'2025'!Env_an</f>
        <v>24.057591027127405</v>
      </c>
      <c r="C71" s="846"/>
      <c r="D71" s="393">
        <f t="shared" si="0"/>
        <v>25.414429715358086</v>
      </c>
      <c r="E71" s="385">
        <f t="shared" si="1"/>
        <v>28.075037244499541</v>
      </c>
      <c r="F71" s="385">
        <f t="shared" si="2"/>
        <v>28.941558485562066</v>
      </c>
      <c r="G71" s="110">
        <f t="shared" si="21"/>
        <v>1.0255808575206597</v>
      </c>
      <c r="H71" s="414" t="b">
        <f>Wh_hp&gt;='2024'!Maxi_hp</f>
        <v>1</v>
      </c>
      <c r="I71" s="390">
        <f>IF(H71,Wh_hp,'2024'!Maxi_hp)</f>
        <v>28.941558485562066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5.3388516029172828E-2</v>
      </c>
      <c r="M71" s="850"/>
      <c r="N71" s="850"/>
      <c r="O71" s="48">
        <f>IF(t&lt;Tnet,'2024'!Resal+('2024'!Salim-'2024'!Resal)*(1-EXP(('2024'!Tnet-t)/('2024'!Tau_j))),Resal+(Salim-Resal)*(1-EXP((Tnet-t)/(Tau_j))))*Salcycl</f>
        <v>9.47677292810261E-2</v>
      </c>
      <c r="P71" s="169">
        <f>(INDEX(Models!$BJ71:$BT71,,T71)*(1-R71)+INDEX(Models!$BJ71:$BT71,,T71+1)*R71-ERP_i)*Q71*Ramure*Pc/MaxiM</f>
        <v>2.99403793854018E-2</v>
      </c>
      <c r="Q71" s="305">
        <f t="shared" si="4"/>
        <v>0.7</v>
      </c>
      <c r="R71" s="177">
        <f t="shared" si="5"/>
        <v>0.60618309586216279</v>
      </c>
      <c r="S71" s="817">
        <f t="shared" si="6"/>
        <v>0</v>
      </c>
      <c r="T71" s="176">
        <f t="shared" si="7"/>
        <v>6</v>
      </c>
      <c r="U71" s="251">
        <f t="shared" si="8"/>
        <v>0.60618309586216279</v>
      </c>
      <c r="V71" s="383">
        <f t="shared" si="9"/>
        <v>23.457527361895767</v>
      </c>
      <c r="W71" s="402">
        <f t="shared" si="10"/>
        <v>24.057591027127405</v>
      </c>
      <c r="X71" s="157">
        <f t="shared" si="11"/>
        <v>45714</v>
      </c>
      <c r="Y71" s="385">
        <f t="shared" si="12"/>
        <v>23.1553917660335</v>
      </c>
      <c r="Z71" s="385">
        <f t="shared" si="22"/>
        <v>24.461346770167754</v>
      </c>
      <c r="AA71" s="386">
        <f t="shared" si="13"/>
        <v>28.075037244499541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0.12871542939946698</v>
      </c>
      <c r="AD71" s="231">
        <f>(INDEX(Models!$BJ71:$BT71,,AH71)*(1-AF71)+INDEX(Models!$BJ71:$BT71,,AH71+1)*AF71-ERP_i)*AE71*Ramure*Pc/MaxiM</f>
        <v>2.99403793854018E-2</v>
      </c>
      <c r="AE71" s="305">
        <f t="shared" si="15"/>
        <v>0.7</v>
      </c>
      <c r="AF71" s="177">
        <f t="shared" si="23"/>
        <v>0.60618309586216279</v>
      </c>
      <c r="AG71" s="817">
        <f t="shared" si="24"/>
        <v>0</v>
      </c>
      <c r="AH71" s="176">
        <f t="shared" si="16"/>
        <v>6</v>
      </c>
      <c r="AI71" s="225">
        <f t="shared" si="17"/>
        <v>0.60618309586216279</v>
      </c>
      <c r="AJ71" s="265" t="b">
        <f t="shared" si="18"/>
        <v>1</v>
      </c>
      <c r="AK71" s="265" t="b">
        <f t="shared" si="19"/>
        <v>1</v>
      </c>
      <c r="AL71" s="265"/>
      <c r="AM71" s="265"/>
      <c r="AN71" s="75"/>
    </row>
    <row r="72" spans="1:40" s="6" customFormat="1" ht="11.25" x14ac:dyDescent="0.2">
      <c r="A72" s="56">
        <f t="shared" si="20"/>
        <v>45715</v>
      </c>
      <c r="B72" s="411">
        <f>'2024'!Wh/'2024'!Env_an*'2025'!Env_an</f>
        <v>16.286632056695538</v>
      </c>
      <c r="C72" s="846"/>
      <c r="D72" s="393">
        <f t="shared" si="0"/>
        <v>17.205568556203239</v>
      </c>
      <c r="E72" s="385">
        <f t="shared" si="1"/>
        <v>19.008319293926732</v>
      </c>
      <c r="F72" s="385">
        <f t="shared" si="2"/>
        <v>19.310620347692616</v>
      </c>
      <c r="G72" s="110">
        <f t="shared" si="21"/>
        <v>0.67692762255600947</v>
      </c>
      <c r="H72" s="414" t="b">
        <f>Wh_hp&gt;='2024'!Maxi_hp</f>
        <v>0</v>
      </c>
      <c r="I72" s="390">
        <f>IF(H72,Wh_hp,'2024'!Maxi_hp)</f>
        <v>28.603433631443369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5.3409249250086055E-2</v>
      </c>
      <c r="M72" s="850"/>
      <c r="N72" s="850"/>
      <c r="O72" s="48">
        <f>IF(t&lt;Tnet,'2024'!Resal+('2024'!Salim-'2024'!Resal)*(1-EXP(('2024'!Tnet-t)/('2024'!Tau_j))),Resal+(Salim-Resal)*(1-EXP((Tnet-t)/(Tau_j))))*Salcycl</f>
        <v>9.484009132251274E-2</v>
      </c>
      <c r="P72" s="169">
        <f>(INDEX(Models!$BJ72:$BT72,,T72)*(1-R72)+INDEX(Models!$BJ72:$BT72,,T72+1)*R72-ERP_i)*Q72*Ramure*Pc/MaxiM</f>
        <v>2.8403262671084326E-2</v>
      </c>
      <c r="Q72" s="305">
        <f t="shared" si="4"/>
        <v>0.7</v>
      </c>
      <c r="R72" s="177">
        <f t="shared" si="5"/>
        <v>0.60646757145697294</v>
      </c>
      <c r="S72" s="817">
        <f t="shared" si="6"/>
        <v>0</v>
      </c>
      <c r="T72" s="176">
        <f t="shared" si="7"/>
        <v>6</v>
      </c>
      <c r="U72" s="251">
        <f t="shared" si="8"/>
        <v>0.60646757145697294</v>
      </c>
      <c r="V72" s="383">
        <f t="shared" si="9"/>
        <v>23.748030810655564</v>
      </c>
      <c r="W72" s="402">
        <f t="shared" si="10"/>
        <v>16.286632056695538</v>
      </c>
      <c r="X72" s="157">
        <f t="shared" si="11"/>
        <v>45715</v>
      </c>
      <c r="Y72" s="385">
        <f t="shared" si="12"/>
        <v>15.676635851284097</v>
      </c>
      <c r="Z72" s="385">
        <f t="shared" si="22"/>
        <v>16.56115468999106</v>
      </c>
      <c r="AA72" s="386">
        <f t="shared" si="13"/>
        <v>19.008319293926732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0.12874176649155686</v>
      </c>
      <c r="AD72" s="231">
        <f>(INDEX(Models!$BJ72:$BT72,,AH72)*(1-AF72)+INDEX(Models!$BJ72:$BT72,,AH72+1)*AF72-ERP_i)*AE72*Ramure*Pc/MaxiM</f>
        <v>2.8403262671084326E-2</v>
      </c>
      <c r="AE72" s="305">
        <f t="shared" si="15"/>
        <v>0.7</v>
      </c>
      <c r="AF72" s="177">
        <f t="shared" si="23"/>
        <v>0.60646757145697294</v>
      </c>
      <c r="AG72" s="817">
        <f t="shared" si="24"/>
        <v>0</v>
      </c>
      <c r="AH72" s="176">
        <f t="shared" si="16"/>
        <v>6</v>
      </c>
      <c r="AI72" s="225">
        <f t="shared" si="17"/>
        <v>0.60646757145697294</v>
      </c>
      <c r="AJ72" s="265" t="b">
        <f t="shared" si="18"/>
        <v>1</v>
      </c>
      <c r="AK72" s="265" t="b">
        <f t="shared" si="19"/>
        <v>1</v>
      </c>
      <c r="AL72" s="265"/>
      <c r="AM72" s="265"/>
      <c r="AN72" s="75"/>
    </row>
    <row r="73" spans="1:40" s="6" customFormat="1" ht="11.25" x14ac:dyDescent="0.2">
      <c r="A73" s="56">
        <f t="shared" si="20"/>
        <v>45716</v>
      </c>
      <c r="B73" s="411">
        <f>'2024'!Wh/'2024'!Env_an*'2025'!Env_an</f>
        <v>21.318183444551348</v>
      </c>
      <c r="C73" s="846"/>
      <c r="D73" s="393">
        <f t="shared" si="0"/>
        <v>22.521507167504332</v>
      </c>
      <c r="E73" s="385">
        <f t="shared" si="1"/>
        <v>24.883232936206305</v>
      </c>
      <c r="F73" s="385">
        <f t="shared" si="2"/>
        <v>25.456611856989305</v>
      </c>
      <c r="G73" s="110">
        <f t="shared" si="21"/>
        <v>0.88289699522591181</v>
      </c>
      <c r="H73" s="414" t="b">
        <f>Wh_hp&gt;='2024'!Maxi_hp</f>
        <v>0</v>
      </c>
      <c r="I73" s="390">
        <f>IF(H73,Wh_hp,'2024'!Maxi_hp)</f>
        <v>25.521075885672495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5.3429982016888644E-2</v>
      </c>
      <c r="M73" s="850"/>
      <c r="N73" s="850"/>
      <c r="O73" s="48">
        <f>IF(t&lt;Tnet,'2024'!Resal+('2024'!Salim-'2024'!Resal)*(1-EXP(('2024'!Tnet-t)/('2024'!Tau_j))),Resal+(Salim-Resal)*(1-EXP((Tnet-t)/(Tau_j))))*Salcycl</f>
        <v>9.4912336140435719E-2</v>
      </c>
      <c r="P73" s="169">
        <f>(INDEX(Models!$BJ73:$BT73,,T73)*(1-R73)+INDEX(Models!$BJ73:$BT73,,T73+1)*R73-ERP_i)*Q73*Ramure*Pc/MaxiM</f>
        <v>2.6867126954643931E-2</v>
      </c>
      <c r="Q73" s="305">
        <f t="shared" si="4"/>
        <v>0.7</v>
      </c>
      <c r="R73" s="177">
        <f t="shared" si="5"/>
        <v>0.6067636330295606</v>
      </c>
      <c r="S73" s="817">
        <f t="shared" si="6"/>
        <v>0</v>
      </c>
      <c r="T73" s="176">
        <f t="shared" si="7"/>
        <v>6</v>
      </c>
      <c r="U73" s="251">
        <f t="shared" si="8"/>
        <v>0.6067636330295606</v>
      </c>
      <c r="V73" s="383">
        <f t="shared" si="9"/>
        <v>24.038429775774659</v>
      </c>
      <c r="W73" s="402">
        <f t="shared" si="10"/>
        <v>21.318183444551348</v>
      </c>
      <c r="X73" s="157">
        <f t="shared" si="11"/>
        <v>45716</v>
      </c>
      <c r="Y73" s="385">
        <f t="shared" si="12"/>
        <v>20.520755575900633</v>
      </c>
      <c r="Z73" s="385">
        <f t="shared" si="22"/>
        <v>21.679067777389463</v>
      </c>
      <c r="AA73" s="386">
        <f t="shared" si="13"/>
        <v>24.883232936206305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0.12876804099497163</v>
      </c>
      <c r="AD73" s="231">
        <f>(INDEX(Models!$BJ73:$BT73,,AH73)*(1-AF73)+INDEX(Models!$BJ73:$BT73,,AH73+1)*AF73-ERP_i)*AE73*Ramure*Pc/MaxiM</f>
        <v>2.6867126954643931E-2</v>
      </c>
      <c r="AE73" s="305">
        <f t="shared" si="15"/>
        <v>0.7</v>
      </c>
      <c r="AF73" s="177">
        <f t="shared" si="23"/>
        <v>0.6067636330295606</v>
      </c>
      <c r="AG73" s="817">
        <f t="shared" si="24"/>
        <v>0</v>
      </c>
      <c r="AH73" s="176">
        <f t="shared" si="16"/>
        <v>6</v>
      </c>
      <c r="AI73" s="225">
        <f t="shared" si="17"/>
        <v>0.6067636330295606</v>
      </c>
      <c r="AJ73" s="265" t="b">
        <f t="shared" si="18"/>
        <v>1</v>
      </c>
      <c r="AK73" s="265" t="b">
        <f t="shared" si="19"/>
        <v>1</v>
      </c>
      <c r="AL73" s="265"/>
      <c r="AM73" s="265"/>
      <c r="AN73" s="75"/>
    </row>
    <row r="74" spans="1:40" s="6" customFormat="1" ht="11.25" x14ac:dyDescent="0.2">
      <c r="A74" s="56">
        <f t="shared" si="20"/>
        <v>45717</v>
      </c>
      <c r="B74" s="411">
        <f>'2024'!Wh/'2024'!Env_an*'2025'!Env_an</f>
        <v>23.951246323516873</v>
      </c>
      <c r="C74" s="846"/>
      <c r="D74" s="393">
        <f t="shared" si="0"/>
        <v>25.303749826986554</v>
      </c>
      <c r="E74" s="385">
        <f t="shared" si="1"/>
        <v>27.959464805501099</v>
      </c>
      <c r="F74" s="385">
        <f t="shared" si="2"/>
        <v>28.66961843462661</v>
      </c>
      <c r="G74" s="110">
        <f t="shared" si="21"/>
        <v>0.98391741050301196</v>
      </c>
      <c r="H74" s="414" t="b">
        <f>Wh_hp&gt;='2024'!Maxi_hp</f>
        <v>0</v>
      </c>
      <c r="I74" s="390">
        <f>IF(H74,Wh_hp,'2024'!Maxi_hp)</f>
        <v>28.679109175623339</v>
      </c>
      <c r="J74" s="85">
        <f>IF(H74,An,'2024'!An_max)</f>
        <v>2022</v>
      </c>
      <c r="K74" s="197">
        <f t="shared" si="3"/>
        <v>45717</v>
      </c>
      <c r="L74" s="147">
        <f>IF(t&lt;Tvie,1-EXP((T0-t)*PertePVj)+'2024'!Pspv,1-EXP((T0-t)*PertePVj)+Pspv)</f>
        <v>5.3450714329590365E-2</v>
      </c>
      <c r="M74" s="850"/>
      <c r="N74" s="850"/>
      <c r="O74" s="48">
        <f>IF(t&lt;Tnet,'2024'!Resal+('2024'!Salim-'2024'!Resal)*(1-EXP(('2024'!Tnet-t)/('2024'!Tau_j))),Resal+(Salim-Resal)*(1-EXP((Tnet-t)/(Tau_j))))*Salcycl</f>
        <v>9.4984471161694992E-2</v>
      </c>
      <c r="P74" s="169">
        <f>(INDEX(Models!$BJ74:$BT74,,T74)*(1-R74)+INDEX(Models!$BJ74:$BT74,,T74+1)*R74-ERP_i)*Q74*Ramure*Pc/MaxiM</f>
        <v>2.5331738329433577E-2</v>
      </c>
      <c r="Q74" s="305">
        <f t="shared" si="4"/>
        <v>0.7</v>
      </c>
      <c r="R74" s="177">
        <f t="shared" si="5"/>
        <v>0.6070717374746194</v>
      </c>
      <c r="S74" s="817">
        <f t="shared" si="6"/>
        <v>0</v>
      </c>
      <c r="T74" s="176">
        <f t="shared" si="7"/>
        <v>6</v>
      </c>
      <c r="U74" s="251">
        <f t="shared" si="8"/>
        <v>0.6070717374746194</v>
      </c>
      <c r="V74" s="383">
        <f t="shared" si="9"/>
        <v>24.32872531172147</v>
      </c>
      <c r="W74" s="402">
        <f t="shared" si="10"/>
        <v>23.951246323516873</v>
      </c>
      <c r="X74" s="157">
        <f t="shared" si="11"/>
        <v>45717</v>
      </c>
      <c r="Y74" s="385">
        <f t="shared" si="12"/>
        <v>23.056469798431625</v>
      </c>
      <c r="Z74" s="385">
        <f t="shared" si="22"/>
        <v>24.358446144831738</v>
      </c>
      <c r="AA74" s="386">
        <f t="shared" si="13"/>
        <v>27.959464805501099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0.1287942628987967</v>
      </c>
      <c r="AD74" s="231">
        <f>(INDEX(Models!$BJ74:$BT74,,AH74)*(1-AF74)+INDEX(Models!$BJ74:$BT74,,AH74+1)*AF74-ERP_i)*AE74*Ramure*Pc/MaxiM</f>
        <v>2.5331738329433577E-2</v>
      </c>
      <c r="AE74" s="305">
        <f t="shared" si="15"/>
        <v>0.7</v>
      </c>
      <c r="AF74" s="177">
        <f t="shared" si="23"/>
        <v>0.6070717374746194</v>
      </c>
      <c r="AG74" s="817">
        <f t="shared" si="24"/>
        <v>0</v>
      </c>
      <c r="AH74" s="176">
        <f t="shared" si="16"/>
        <v>6</v>
      </c>
      <c r="AI74" s="225">
        <f t="shared" si="17"/>
        <v>0.6070717374746194</v>
      </c>
      <c r="AJ74" s="265" t="b">
        <f t="shared" si="18"/>
        <v>1</v>
      </c>
      <c r="AK74" s="265" t="b">
        <f t="shared" si="19"/>
        <v>1</v>
      </c>
      <c r="AL74" s="265"/>
      <c r="AM74" s="265"/>
      <c r="AN74" s="75"/>
    </row>
    <row r="75" spans="1:40" s="6" customFormat="1" ht="11.25" x14ac:dyDescent="0.2">
      <c r="A75" s="56">
        <f t="shared" si="20"/>
        <v>45718</v>
      </c>
      <c r="B75" s="411">
        <f>'2024'!Wh/'2024'!Env_an*'2025'!Env_an</f>
        <v>8.8191682411809076</v>
      </c>
      <c r="C75" s="846"/>
      <c r="D75" s="393">
        <f t="shared" si="0"/>
        <v>9.3173821388323912</v>
      </c>
      <c r="E75" s="385">
        <f t="shared" si="1"/>
        <v>10.29609273672502</v>
      </c>
      <c r="F75" s="385">
        <f t="shared" si="2"/>
        <v>10.316513939727557</v>
      </c>
      <c r="G75" s="110">
        <f t="shared" si="21"/>
        <v>0.35039619128606075</v>
      </c>
      <c r="H75" s="414" t="b">
        <f>Wh_hp&gt;='2024'!Maxi_hp</f>
        <v>0</v>
      </c>
      <c r="I75" s="390">
        <f>IF(H75,Wh_hp,'2024'!Maxi_hp)</f>
        <v>19.932639932535867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5.347144618820121E-2</v>
      </c>
      <c r="M75" s="850"/>
      <c r="N75" s="850"/>
      <c r="O75" s="48">
        <f>IF(t&lt;Tnet,'2024'!Resal+('2024'!Salim-'2024'!Resal)*(1-EXP(('2024'!Tnet-t)/('2024'!Tau_j))),Resal+(Salim-Resal)*(1-EXP((Tnet-t)/(Tau_j))))*Salcycl</f>
        <v>9.5056505697707697E-2</v>
      </c>
      <c r="P75" s="169">
        <f>(INDEX(Models!$BJ75:$BT75,,T75)*(1-R75)+INDEX(Models!$BJ75:$BT75,,T75+1)*R75-ERP_i)*Q75*Ramure*Pc/MaxiM</f>
        <v>2.3796871944559098E-2</v>
      </c>
      <c r="Q75" s="305">
        <f t="shared" si="4"/>
        <v>0.7</v>
      </c>
      <c r="R75" s="177">
        <f t="shared" si="5"/>
        <v>0.60739235844388095</v>
      </c>
      <c r="S75" s="817">
        <f t="shared" si="6"/>
        <v>0</v>
      </c>
      <c r="T75" s="176">
        <f t="shared" si="7"/>
        <v>6</v>
      </c>
      <c r="U75" s="251">
        <f t="shared" si="8"/>
        <v>0.60739235844388095</v>
      </c>
      <c r="V75" s="383">
        <f t="shared" si="9"/>
        <v>24.618918432874306</v>
      </c>
      <c r="W75" s="402">
        <f t="shared" si="10"/>
        <v>8.8191682411809076</v>
      </c>
      <c r="X75" s="157">
        <f t="shared" si="11"/>
        <v>45718</v>
      </c>
      <c r="Y75" s="385">
        <f t="shared" si="12"/>
        <v>8.4901202280925148</v>
      </c>
      <c r="Z75" s="385">
        <f t="shared" si="22"/>
        <v>8.9697454914610333</v>
      </c>
      <c r="AA75" s="386">
        <f t="shared" si="13"/>
        <v>10.29609273672502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0.12882044472395376</v>
      </c>
      <c r="AD75" s="231">
        <f>(INDEX(Models!$BJ75:$BT75,,AH75)*(1-AF75)+INDEX(Models!$BJ75:$BT75,,AH75+1)*AF75-ERP_i)*AE75*Ramure*Pc/MaxiM</f>
        <v>2.3796871944559098E-2</v>
      </c>
      <c r="AE75" s="305">
        <f t="shared" si="15"/>
        <v>0.7</v>
      </c>
      <c r="AF75" s="177">
        <f t="shared" si="23"/>
        <v>0.60739235844388095</v>
      </c>
      <c r="AG75" s="817">
        <f t="shared" si="24"/>
        <v>0</v>
      </c>
      <c r="AH75" s="176">
        <f t="shared" si="16"/>
        <v>6</v>
      </c>
      <c r="AI75" s="225">
        <f t="shared" si="17"/>
        <v>0.60739235844388095</v>
      </c>
      <c r="AJ75" s="265" t="b">
        <f t="shared" si="18"/>
        <v>1</v>
      </c>
      <c r="AK75" s="265" t="b">
        <f t="shared" si="19"/>
        <v>1</v>
      </c>
      <c r="AL75" s="265"/>
      <c r="AM75" s="265"/>
      <c r="AN75" s="75"/>
    </row>
    <row r="76" spans="1:40" s="6" customFormat="1" ht="11.25" x14ac:dyDescent="0.2">
      <c r="A76" s="56">
        <f t="shared" si="20"/>
        <v>45719</v>
      </c>
      <c r="B76" s="411">
        <f>'2024'!Wh/'2024'!Env_an*'2025'!Env_an</f>
        <v>22.650856060528614</v>
      </c>
      <c r="C76" s="846"/>
      <c r="D76" s="393">
        <f t="shared" si="0"/>
        <v>23.930976083135082</v>
      </c>
      <c r="E76" s="385">
        <f t="shared" si="1"/>
        <v>26.446821218719865</v>
      </c>
      <c r="F76" s="385">
        <f t="shared" si="2"/>
        <v>26.969466473301498</v>
      </c>
      <c r="G76" s="110">
        <f t="shared" si="21"/>
        <v>0.90667028637503766</v>
      </c>
      <c r="H76" s="414" t="b">
        <f>Wh_hp&gt;='2024'!Maxi_hp</f>
        <v>0</v>
      </c>
      <c r="I76" s="390">
        <f>IF(H76,Wh_hp,'2024'!Maxi_hp)</f>
        <v>27.01618388081711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5.3492177592731283E-2</v>
      </c>
      <c r="M76" s="850"/>
      <c r="N76" s="850"/>
      <c r="O76" s="48">
        <f>IF(t&lt;Tnet,'2024'!Resal+('2024'!Salim-'2024'!Resal)*(1-EXP(('2024'!Tnet-t)/('2024'!Tau_j))),Resal+(Salim-Resal)*(1-EXP((Tnet-t)/(Tau_j))))*Salcycl</f>
        <v>9.5128450968768652E-2</v>
      </c>
      <c r="P76" s="169">
        <f>(INDEX(Models!$BJ76:$BT76,,T76)*(1-R76)+INDEX(Models!$BJ76:$BT76,,T76+1)*R76-ERP_i)*Q76*Ramure*Pc/MaxiM</f>
        <v>2.2262310658022397E-2</v>
      </c>
      <c r="Q76" s="305">
        <f t="shared" si="4"/>
        <v>0.7</v>
      </c>
      <c r="R76" s="177">
        <f t="shared" si="5"/>
        <v>0.6077259868537388</v>
      </c>
      <c r="S76" s="817">
        <f t="shared" si="6"/>
        <v>0</v>
      </c>
      <c r="T76" s="176">
        <f t="shared" si="7"/>
        <v>6</v>
      </c>
      <c r="U76" s="251">
        <f t="shared" si="8"/>
        <v>0.6077259868537388</v>
      </c>
      <c r="V76" s="383">
        <f t="shared" si="9"/>
        <v>24.90901012948526</v>
      </c>
      <c r="W76" s="402">
        <f t="shared" si="10"/>
        <v>22.650856060528614</v>
      </c>
      <c r="X76" s="157">
        <f t="shared" si="11"/>
        <v>45719</v>
      </c>
      <c r="Y76" s="385">
        <f t="shared" si="12"/>
        <v>21.806819162424976</v>
      </c>
      <c r="Z76" s="385">
        <f t="shared" si="22"/>
        <v>23.039238182906232</v>
      </c>
      <c r="AA76" s="386">
        <f t="shared" si="13"/>
        <v>26.446821218719865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0.12884660154928723</v>
      </c>
      <c r="AD76" s="231">
        <f>(INDEX(Models!$BJ76:$BT76,,AH76)*(1-AF76)+INDEX(Models!$BJ76:$BT76,,AH76+1)*AF76-ERP_i)*AE76*Ramure*Pc/MaxiM</f>
        <v>2.2262310658022397E-2</v>
      </c>
      <c r="AE76" s="305">
        <f t="shared" si="15"/>
        <v>0.7</v>
      </c>
      <c r="AF76" s="177">
        <f t="shared" si="23"/>
        <v>0.6077259868537388</v>
      </c>
      <c r="AG76" s="817">
        <f t="shared" si="24"/>
        <v>0</v>
      </c>
      <c r="AH76" s="176">
        <f t="shared" si="16"/>
        <v>6</v>
      </c>
      <c r="AI76" s="225">
        <f t="shared" si="17"/>
        <v>0.6077259868537388</v>
      </c>
      <c r="AJ76" s="265" t="b">
        <f t="shared" si="18"/>
        <v>1</v>
      </c>
      <c r="AK76" s="265" t="b">
        <f t="shared" si="19"/>
        <v>1</v>
      </c>
      <c r="AL76" s="265"/>
      <c r="AM76" s="265"/>
      <c r="AN76" s="75"/>
    </row>
    <row r="77" spans="1:40" s="6" customFormat="1" ht="11.25" x14ac:dyDescent="0.2">
      <c r="A77" s="56">
        <f t="shared" si="20"/>
        <v>45720</v>
      </c>
      <c r="B77" s="411">
        <f>'2024'!Wh/'2024'!Env_an*'2025'!Env_an</f>
        <v>3.4617607424804882</v>
      </c>
      <c r="C77" s="846"/>
      <c r="D77" s="393">
        <f t="shared" si="0"/>
        <v>3.657483312479445</v>
      </c>
      <c r="E77" s="385">
        <f t="shared" si="1"/>
        <v>4.0423127834727079</v>
      </c>
      <c r="F77" s="385">
        <f t="shared" si="2"/>
        <v>4.0423127834727079</v>
      </c>
      <c r="G77" s="110">
        <f t="shared" si="21"/>
        <v>0.13452937499365419</v>
      </c>
      <c r="H77" s="414" t="b">
        <f>Wh_hp&gt;='2024'!Maxi_hp</f>
        <v>0</v>
      </c>
      <c r="I77" s="390">
        <f>IF(H77,Wh_hp,'2024'!Maxi_hp)</f>
        <v>21.87797527558812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5.3512908543190241E-2</v>
      </c>
      <c r="M77" s="850"/>
      <c r="N77" s="850"/>
      <c r="O77" s="48">
        <f>IF(t&lt;Tnet,'2024'!Resal+('2024'!Salim-'2024'!Resal)*(1-EXP(('2024'!Tnet-t)/('2024'!Tau_j))),Resal+(Salim-Resal)*(1-EXP((Tnet-t)/(Tau_j))))*Salcycl</f>
        <v>9.5200320115421622E-2</v>
      </c>
      <c r="P77" s="169">
        <f>(INDEX(Models!$BJ77:$BT77,,T77)*(1-R77)+INDEX(Models!$BJ77:$BT77,,T77+1)*R77-ERP_i)*Q77*Ramure*Pc/MaxiM</f>
        <v>2.0727843697770174E-2</v>
      </c>
      <c r="Q77" s="305">
        <f t="shared" si="4"/>
        <v>0.7</v>
      </c>
      <c r="R77" s="177">
        <f t="shared" si="5"/>
        <v>0.60807313139883712</v>
      </c>
      <c r="S77" s="817">
        <f t="shared" si="6"/>
        <v>0</v>
      </c>
      <c r="T77" s="176">
        <f t="shared" si="7"/>
        <v>6</v>
      </c>
      <c r="U77" s="251">
        <f t="shared" si="8"/>
        <v>0.60807313139883712</v>
      </c>
      <c r="V77" s="383">
        <f t="shared" si="9"/>
        <v>25.199001385765627</v>
      </c>
      <c r="W77" s="402">
        <f t="shared" si="10"/>
        <v>3.4617607424804882</v>
      </c>
      <c r="X77" s="157">
        <f t="shared" si="11"/>
        <v>45720</v>
      </c>
      <c r="Y77" s="385">
        <f t="shared" si="12"/>
        <v>3.3329301272615672</v>
      </c>
      <c r="Z77" s="385">
        <f t="shared" si="22"/>
        <v>3.5213688145832003</v>
      </c>
      <c r="AA77" s="386">
        <f t="shared" si="13"/>
        <v>4.0423127834727079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0.12887275102001639</v>
      </c>
      <c r="AD77" s="231">
        <f>(INDEX(Models!$BJ77:$BT77,,AH77)*(1-AF77)+INDEX(Models!$BJ77:$BT77,,AH77+1)*AF77-ERP_i)*AE77*Ramure*Pc/MaxiM</f>
        <v>2.0727843697770174E-2</v>
      </c>
      <c r="AE77" s="305">
        <f t="shared" si="15"/>
        <v>0.7</v>
      </c>
      <c r="AF77" s="177">
        <f t="shared" si="23"/>
        <v>0.60807313139883712</v>
      </c>
      <c r="AG77" s="817">
        <f t="shared" si="24"/>
        <v>0</v>
      </c>
      <c r="AH77" s="176">
        <f t="shared" si="16"/>
        <v>6</v>
      </c>
      <c r="AI77" s="225">
        <f t="shared" si="17"/>
        <v>0.60807313139883712</v>
      </c>
      <c r="AJ77" s="265" t="b">
        <f t="shared" si="18"/>
        <v>1</v>
      </c>
      <c r="AK77" s="265" t="b">
        <f t="shared" si="19"/>
        <v>1</v>
      </c>
      <c r="AL77" s="265"/>
      <c r="AM77" s="265"/>
      <c r="AN77" s="75"/>
    </row>
    <row r="78" spans="1:40" s="6" customFormat="1" ht="11.25" x14ac:dyDescent="0.2">
      <c r="A78" s="56">
        <f t="shared" si="20"/>
        <v>45721</v>
      </c>
      <c r="B78" s="411">
        <f>'2024'!Wh/'2024'!Env_an*'2025'!Env_an</f>
        <v>8.8835437125888266</v>
      </c>
      <c r="C78" s="846"/>
      <c r="D78" s="393">
        <f t="shared" si="0"/>
        <v>9.386011039604611</v>
      </c>
      <c r="E78" s="385">
        <f t="shared" si="1"/>
        <v>10.374402438712764</v>
      </c>
      <c r="F78" s="385">
        <f t="shared" si="2"/>
        <v>10.388224322718935</v>
      </c>
      <c r="G78" s="110">
        <f t="shared" si="21"/>
        <v>0.34229214546690306</v>
      </c>
      <c r="H78" s="414" t="b">
        <f>Wh_hp&gt;='2024'!Maxi_hp</f>
        <v>0</v>
      </c>
      <c r="I78" s="390">
        <f>IF(H78,Wh_hp,'2024'!Maxi_hp)</f>
        <v>29.771929629009751</v>
      </c>
      <c r="J78" s="85">
        <f>IF(H78,An,'2024'!An_max)</f>
        <v>2019</v>
      </c>
      <c r="K78" s="197">
        <f t="shared" si="3"/>
        <v>45721</v>
      </c>
      <c r="L78" s="147">
        <f>IF(t&lt;Tvie,1-EXP((T0-t)*PertePVj)+'2024'!Pspv,1-EXP((T0-t)*PertePVj)+Pspv)</f>
        <v>5.3533639039588299E-2</v>
      </c>
      <c r="M78" s="850"/>
      <c r="N78" s="850"/>
      <c r="O78" s="48">
        <f>IF(t&lt;Tnet,'2024'!Resal+('2024'!Salim-'2024'!Resal)*(1-EXP(('2024'!Tnet-t)/('2024'!Tau_j))),Resal+(Salim-Resal)*(1-EXP((Tnet-t)/(Tau_j))))*Salcycl</f>
        <v>9.5272128196984565E-2</v>
      </c>
      <c r="P78" s="169">
        <f>(INDEX(Models!$BJ78:$BT78,,T78)*(1-R78)+INDEX(Models!$BJ78:$BT78,,T78+1)*R78-ERP_i)*Q78*Ramure*Pc/MaxiM</f>
        <v>1.9193265331656578E-2</v>
      </c>
      <c r="Q78" s="305">
        <f t="shared" si="4"/>
        <v>0.7</v>
      </c>
      <c r="R78" s="177">
        <f t="shared" si="5"/>
        <v>0.60843431907073275</v>
      </c>
      <c r="S78" s="817">
        <f t="shared" si="6"/>
        <v>0</v>
      </c>
      <c r="T78" s="176">
        <f t="shared" si="7"/>
        <v>6</v>
      </c>
      <c r="U78" s="251">
        <f t="shared" si="8"/>
        <v>0.60843431907073275</v>
      </c>
      <c r="V78" s="383">
        <f t="shared" si="9"/>
        <v>25.488893203961055</v>
      </c>
      <c r="W78" s="402">
        <f t="shared" si="10"/>
        <v>8.8835437125888266</v>
      </c>
      <c r="X78" s="157">
        <f t="shared" si="11"/>
        <v>45721</v>
      </c>
      <c r="Y78" s="385">
        <f t="shared" si="12"/>
        <v>8.5533615384440509</v>
      </c>
      <c r="Z78" s="385">
        <f t="shared" si="22"/>
        <v>9.0371532378231212</v>
      </c>
      <c r="AA78" s="386">
        <f t="shared" si="13"/>
        <v>10.374402438712764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0.12889891333881648</v>
      </c>
      <c r="AD78" s="231">
        <f>(INDEX(Models!$BJ78:$BT78,,AH78)*(1-AF78)+INDEX(Models!$BJ78:$BT78,,AH78+1)*AF78-ERP_i)*AE78*Ramure*Pc/MaxiM</f>
        <v>1.9193265331656578E-2</v>
      </c>
      <c r="AE78" s="305">
        <f t="shared" si="15"/>
        <v>0.7</v>
      </c>
      <c r="AF78" s="177">
        <f t="shared" si="23"/>
        <v>0.60843431907073275</v>
      </c>
      <c r="AG78" s="817">
        <f t="shared" si="24"/>
        <v>0</v>
      </c>
      <c r="AH78" s="176">
        <f t="shared" si="16"/>
        <v>6</v>
      </c>
      <c r="AI78" s="225">
        <f t="shared" si="17"/>
        <v>0.60843431907073275</v>
      </c>
      <c r="AJ78" s="265" t="b">
        <f t="shared" si="18"/>
        <v>1</v>
      </c>
      <c r="AK78" s="265" t="b">
        <f t="shared" si="19"/>
        <v>1</v>
      </c>
      <c r="AL78" s="265"/>
      <c r="AM78" s="265"/>
      <c r="AN78" s="75"/>
    </row>
    <row r="79" spans="1:40" s="6" customFormat="1" ht="11.25" x14ac:dyDescent="0.2">
      <c r="A79" s="56">
        <f t="shared" si="20"/>
        <v>45722</v>
      </c>
      <c r="B79" s="411">
        <f>'2024'!Wh/'2024'!Env_an*'2025'!Env_an</f>
        <v>12.095185554761068</v>
      </c>
      <c r="C79" s="846"/>
      <c r="D79" s="393">
        <f t="shared" ref="D79:D142" si="25">Wh/(1-Ppv)</f>
        <v>12.779588345744253</v>
      </c>
      <c r="E79" s="385">
        <f t="shared" si="1"/>
        <v>14.126460027451282</v>
      </c>
      <c r="F79" s="385">
        <f t="shared" ref="F79:F142" si="26">Wh_sa/(1-Pvg*MEDIAN((-Sdif+Wh/Env_an)/Csdif,0,1))</f>
        <v>14.187004727987588</v>
      </c>
      <c r="G79" s="110">
        <f t="shared" si="21"/>
        <v>0.46286945268577595</v>
      </c>
      <c r="H79" s="414" t="b">
        <f>Wh_hp&gt;='2024'!Maxi_hp</f>
        <v>0</v>
      </c>
      <c r="I79" s="390">
        <f>IF(H79,Wh_hp,'2024'!Maxi_hp)</f>
        <v>15.983360810169867</v>
      </c>
      <c r="J79" s="85">
        <f>IF(H79,An,'2024'!An_max)</f>
        <v>2019</v>
      </c>
      <c r="K79" s="197">
        <f t="shared" ref="K79:K142" si="27">t</f>
        <v>45722</v>
      </c>
      <c r="L79" s="147">
        <f>IF(t&lt;Tvie,1-EXP((T0-t)*PertePVj)+'2024'!Pspv,1-EXP((T0-t)*PertePVj)+Pspv)</f>
        <v>5.3554369081935116E-2</v>
      </c>
      <c r="M79" s="850"/>
      <c r="N79" s="850"/>
      <c r="O79" s="48">
        <f>IF(t&lt;Tnet,'2024'!Resal+('2024'!Salim-'2024'!Resal)*(1-EXP(('2024'!Tnet-t)/('2024'!Tau_j))),Resal+(Salim-Resal)*(1-EXP((Tnet-t)/(Tau_j))))*Salcycl</f>
        <v>9.5343892177496489E-2</v>
      </c>
      <c r="P79" s="169">
        <f>(INDEX(Models!$BJ79:$BT79,,T79)*(1-R79)+INDEX(Models!$BJ79:$BT79,,T79+1)*R79-ERP_i)*Q79*Ramure*Pc/MaxiM</f>
        <v>1.7657839128658474E-2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0.60881009568063083</v>
      </c>
      <c r="S79" s="817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0.60881009568063083</v>
      </c>
      <c r="V79" s="383">
        <f t="shared" ref="V79:V142" si="33">MaxiM*(1-Ppv)*(1-Pvg)*(1-Psa)</f>
        <v>25.779480864126743</v>
      </c>
      <c r="W79" s="402">
        <f t="shared" ref="W79:W142" si="34">Wh*(A79&gt;Tmaj)</f>
        <v>12.095185554761068</v>
      </c>
      <c r="X79" s="157">
        <f t="shared" ref="X79:X142" si="35">t</f>
        <v>45722</v>
      </c>
      <c r="Y79" s="385">
        <f t="shared" ref="Y79:Y142" si="36">Wh_pvt_s*(1-Ppv)</f>
        <v>11.646207128369646</v>
      </c>
      <c r="Z79" s="385">
        <f t="shared" ref="Z79:Z142" si="37">Wh_sa_s*(1-Psa_s)</f>
        <v>12.305204596985323</v>
      </c>
      <c r="AA79" s="386">
        <f t="shared" ref="AA79:AA142" si="38">Wh_hp*(1-Pvg_s*MEDIAN((-Sdif+Wh/Env_an)/Csdif,0,1))</f>
        <v>14.126460027451282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0.1289251112399567</v>
      </c>
      <c r="AD79" s="231">
        <f>(INDEX(Models!$BJ79:$BT79,,AH79)*(1-AF79)+INDEX(Models!$BJ79:$BT79,,AH79+1)*AF79-ERP_i)*AE79*Ramure*Pc/MaxiM</f>
        <v>1.7657839128658474E-2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0.60881009568063083</v>
      </c>
      <c r="AG79" s="817">
        <f t="shared" si="24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0.60881009568063083</v>
      </c>
      <c r="AJ79" s="265" t="b">
        <f t="shared" ref="AJ79:AJ142" si="44">t&lt;Tnet</f>
        <v>1</v>
      </c>
      <c r="AK79" s="265" t="b">
        <f t="shared" ref="AK79:AK142" si="45">t&lt;Ttai</f>
        <v>1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45723</v>
      </c>
      <c r="B80" s="411">
        <f>'2024'!Wh/'2024'!Env_an*'2025'!Env_an</f>
        <v>22.948270866536586</v>
      </c>
      <c r="C80" s="846"/>
      <c r="D80" s="393">
        <f t="shared" si="25"/>
        <v>24.247323622078717</v>
      </c>
      <c r="E80" s="385">
        <f t="shared" ref="E80:E143" si="47">Wh_pvt/(1-Psa)</f>
        <v>26.804933238221775</v>
      </c>
      <c r="F80" s="385">
        <f t="shared" si="26"/>
        <v>27.168730737975071</v>
      </c>
      <c r="G80" s="110">
        <f t="shared" ref="G80:G143" si="48">+Wh_hp/MaxiM</f>
        <v>0.87777510444685003</v>
      </c>
      <c r="H80" s="414" t="b">
        <f>Wh_hp&gt;='2024'!Maxi_hp</f>
        <v>0</v>
      </c>
      <c r="I80" s="390">
        <f>IF(H80,Wh_hp,'2024'!Maxi_hp)</f>
        <v>29.519413340694289</v>
      </c>
      <c r="J80" s="85">
        <f>IF(H80,An,'2024'!An_max)</f>
        <v>2019</v>
      </c>
      <c r="K80" s="197">
        <f t="shared" si="27"/>
        <v>45723</v>
      </c>
      <c r="L80" s="147">
        <f>IF(t&lt;Tvie,1-EXP((T0-t)*PertePVj)+'2024'!Pspv,1-EXP((T0-t)*PertePVj)+Pspv)</f>
        <v>5.3575098670240906E-2</v>
      </c>
      <c r="M80" s="850"/>
      <c r="N80" s="850"/>
      <c r="O80" s="48">
        <f>IF(t&lt;Tnet,'2024'!Resal+('2024'!Salim-'2024'!Resal)*(1-EXP(('2024'!Tnet-t)/('2024'!Tau_j))),Resal+(Salim-Resal)*(1-EXP((Tnet-t)/(Tau_j))))*Salcycl</f>
        <v>9.5415630899468251E-2</v>
      </c>
      <c r="P80" s="169">
        <f>(INDEX(Models!$BJ80:$BT80,,T80)*(1-R80)+INDEX(Models!$BJ80:$BT80,,T80+1)*R80-ERP_i)*Q80*Ramure*Pc/MaxiM</f>
        <v>1.6154000997134915E-2</v>
      </c>
      <c r="Q80" s="305">
        <f t="shared" si="28"/>
        <v>0.7</v>
      </c>
      <c r="R80" s="177">
        <f t="shared" si="29"/>
        <v>0.60920102638506646</v>
      </c>
      <c r="S80" s="817">
        <f t="shared" si="30"/>
        <v>0</v>
      </c>
      <c r="T80" s="176">
        <f t="shared" si="31"/>
        <v>6</v>
      </c>
      <c r="U80" s="251">
        <f t="shared" si="32"/>
        <v>0.60920102638506646</v>
      </c>
      <c r="V80" s="383">
        <f t="shared" si="33"/>
        <v>26.070445449968176</v>
      </c>
      <c r="W80" s="402">
        <f t="shared" si="34"/>
        <v>22.948270866536586</v>
      </c>
      <c r="X80" s="157">
        <f t="shared" si="35"/>
        <v>45723</v>
      </c>
      <c r="Y80" s="385">
        <f t="shared" si="36"/>
        <v>22.097507521886662</v>
      </c>
      <c r="Z80" s="385">
        <f t="shared" si="37"/>
        <v>23.348400375813142</v>
      </c>
      <c r="AA80" s="386">
        <f t="shared" si="38"/>
        <v>26.804933238221775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0.12895136994707682</v>
      </c>
      <c r="AD80" s="231">
        <f>(INDEX(Models!$BJ80:$BT80,,AH80)*(1-AF80)+INDEX(Models!$BJ80:$BT80,,AH80+1)*AF80-ERP_i)*AE80*Ramure*Pc/MaxiM</f>
        <v>1.6154000997134915E-2</v>
      </c>
      <c r="AE80" s="305">
        <f t="shared" si="40"/>
        <v>0.7</v>
      </c>
      <c r="AF80" s="177">
        <f t="shared" si="41"/>
        <v>0.60920102638506646</v>
      </c>
      <c r="AG80" s="817">
        <f t="shared" ref="AG80:AG143" si="49">INDEX(Echel_vg,AH80)</f>
        <v>0</v>
      </c>
      <c r="AH80" s="176">
        <f t="shared" si="42"/>
        <v>6</v>
      </c>
      <c r="AI80" s="225">
        <f t="shared" si="43"/>
        <v>0.60920102638506646</v>
      </c>
      <c r="AJ80" s="265" t="b">
        <f t="shared" si="44"/>
        <v>1</v>
      </c>
      <c r="AK80" s="265" t="b">
        <f t="shared" si="45"/>
        <v>1</v>
      </c>
      <c r="AL80" s="265"/>
      <c r="AM80" s="265"/>
      <c r="AN80" s="75"/>
    </row>
    <row r="81" spans="1:40" s="6" customFormat="1" ht="11.25" x14ac:dyDescent="0.2">
      <c r="A81" s="56">
        <f t="shared" si="46"/>
        <v>45724</v>
      </c>
      <c r="B81" s="411">
        <f>'2024'!Wh/'2024'!Env_an*'2025'!Env_an</f>
        <v>19.067534653828826</v>
      </c>
      <c r="C81" s="846"/>
      <c r="D81" s="393">
        <f t="shared" si="25"/>
        <v>20.147348473322594</v>
      </c>
      <c r="E81" s="385">
        <f t="shared" si="47"/>
        <v>22.274258749680804</v>
      </c>
      <c r="F81" s="385">
        <f t="shared" si="26"/>
        <v>22.474102502486023</v>
      </c>
      <c r="G81" s="110">
        <f t="shared" si="48"/>
        <v>0.71908735104905175</v>
      </c>
      <c r="H81" s="414" t="b">
        <f>Wh_hp&gt;='2024'!Maxi_hp</f>
        <v>0</v>
      </c>
      <c r="I81" s="390">
        <f>IF(H81,Wh_hp,'2024'!Maxi_hp)</f>
        <v>22.557219179099164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5.359582780451555E-2</v>
      </c>
      <c r="M81" s="850"/>
      <c r="N81" s="850"/>
      <c r="O81" s="48">
        <f>IF(t&lt;Tnet,'2024'!Resal+('2024'!Salim-'2024'!Resal)*(1-EXP(('2024'!Tnet-t)/('2024'!Tau_j))),Resal+(Salim-Resal)*(1-EXP((Tnet-t)/(Tau_j))))*Salcycl</f>
        <v>9.548736504592728E-2</v>
      </c>
      <c r="P81" s="169">
        <f>(INDEX(Models!$BJ81:$BT81,,T81)*(1-R81)+INDEX(Models!$BJ81:$BT81,,T81+1)*R81-ERP_i)*Q81*Ramure*Pc/MaxiM</f>
        <v>1.4703762974680568E-2</v>
      </c>
      <c r="Q81" s="305">
        <f t="shared" si="28"/>
        <v>0.7</v>
      </c>
      <c r="R81" s="177">
        <f t="shared" si="29"/>
        <v>0.60960769621327648</v>
      </c>
      <c r="S81" s="817">
        <f t="shared" si="30"/>
        <v>0</v>
      </c>
      <c r="T81" s="176">
        <f t="shared" si="31"/>
        <v>6</v>
      </c>
      <c r="U81" s="251">
        <f t="shared" si="32"/>
        <v>0.60960769621327648</v>
      </c>
      <c r="V81" s="383">
        <f t="shared" si="33"/>
        <v>26.360813954419552</v>
      </c>
      <c r="W81" s="402">
        <f t="shared" si="34"/>
        <v>19.067534653828826</v>
      </c>
      <c r="X81" s="157">
        <f t="shared" si="35"/>
        <v>45724</v>
      </c>
      <c r="Y81" s="385">
        <f t="shared" si="36"/>
        <v>18.361542914216894</v>
      </c>
      <c r="Z81" s="385">
        <f t="shared" si="37"/>
        <v>19.401375705710887</v>
      </c>
      <c r="AA81" s="386">
        <f t="shared" si="38"/>
        <v>22.274258749680804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0.12897771711532649</v>
      </c>
      <c r="AD81" s="231">
        <f>(INDEX(Models!$BJ81:$BT81,,AH81)*(1-AF81)+INDEX(Models!$BJ81:$BT81,,AH81+1)*AF81-ERP_i)*AE81*Ramure*Pc/MaxiM</f>
        <v>1.4703762974680568E-2</v>
      </c>
      <c r="AE81" s="305">
        <f t="shared" si="40"/>
        <v>0.7</v>
      </c>
      <c r="AF81" s="177">
        <f t="shared" si="41"/>
        <v>0.60960769621327648</v>
      </c>
      <c r="AG81" s="817">
        <f t="shared" si="49"/>
        <v>0</v>
      </c>
      <c r="AH81" s="176">
        <f t="shared" si="42"/>
        <v>6</v>
      </c>
      <c r="AI81" s="225">
        <f t="shared" si="43"/>
        <v>0.60960769621327648</v>
      </c>
      <c r="AJ81" s="265" t="b">
        <f t="shared" si="44"/>
        <v>1</v>
      </c>
      <c r="AK81" s="265" t="b">
        <f t="shared" si="45"/>
        <v>1</v>
      </c>
      <c r="AL81" s="265"/>
      <c r="AM81" s="265"/>
      <c r="AN81" s="75"/>
    </row>
    <row r="82" spans="1:40" s="6" customFormat="1" ht="11.25" x14ac:dyDescent="0.2">
      <c r="A82" s="56">
        <f t="shared" si="46"/>
        <v>45725</v>
      </c>
      <c r="B82" s="411">
        <f>'2024'!Wh/'2024'!Env_an*'2025'!Env_an</f>
        <v>21.447324195323024</v>
      </c>
      <c r="C82" s="846"/>
      <c r="D82" s="393">
        <f t="shared" si="25"/>
        <v>22.662404274169713</v>
      </c>
      <c r="E82" s="385">
        <f t="shared" si="47"/>
        <v>25.056811011559013</v>
      </c>
      <c r="F82" s="385">
        <f t="shared" si="26"/>
        <v>25.299554822261975</v>
      </c>
      <c r="G82" s="110">
        <f t="shared" si="48"/>
        <v>0.80175557838227829</v>
      </c>
      <c r="H82" s="414" t="b">
        <f>Wh_hp&gt;='2024'!Maxi_hp</f>
        <v>0</v>
      </c>
      <c r="I82" s="390">
        <f>IF(H82,Wh_hp,'2024'!Maxi_hp)</f>
        <v>30.249266737760252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5.3616556484768929E-2</v>
      </c>
      <c r="M82" s="850"/>
      <c r="N82" s="850"/>
      <c r="O82" s="48">
        <f>IF(t&lt;Tnet,'2024'!Resal+('2024'!Salim-'2024'!Resal)*(1-EXP(('2024'!Tnet-t)/('2024'!Tau_j))),Resal+(Salim-Resal)*(1-EXP((Tnet-t)/(Tau_j))))*Salcycl</f>
        <v>9.5559117091346069E-2</v>
      </c>
      <c r="P82" s="169">
        <f>(INDEX(Models!$BJ82:$BT82,,T82)*(1-R82)+INDEX(Models!$BJ82:$BT82,,T82+1)*R82-ERP_i)*Q82*Ramure*Pc/MaxiM</f>
        <v>1.3305737469329441E-2</v>
      </c>
      <c r="Q82" s="305">
        <f t="shared" si="28"/>
        <v>0.7</v>
      </c>
      <c r="R82" s="177">
        <f t="shared" si="29"/>
        <v>0.61003071059486347</v>
      </c>
      <c r="S82" s="817">
        <f t="shared" si="30"/>
        <v>0</v>
      </c>
      <c r="T82" s="176">
        <f t="shared" si="31"/>
        <v>6</v>
      </c>
      <c r="U82" s="251">
        <f t="shared" si="32"/>
        <v>0.61003071059486347</v>
      </c>
      <c r="V82" s="383">
        <f t="shared" si="33"/>
        <v>26.650220768262734</v>
      </c>
      <c r="W82" s="402">
        <f t="shared" si="34"/>
        <v>21.447324195323024</v>
      </c>
      <c r="X82" s="157">
        <f t="shared" si="35"/>
        <v>45725</v>
      </c>
      <c r="Y82" s="385">
        <f t="shared" si="36"/>
        <v>20.65422961097028</v>
      </c>
      <c r="Z82" s="385">
        <f t="shared" si="37"/>
        <v>21.824377584473108</v>
      </c>
      <c r="AA82" s="386">
        <f t="shared" si="38"/>
        <v>25.056811011559013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0.1290041827587215</v>
      </c>
      <c r="AD82" s="231">
        <f>(INDEX(Models!$BJ82:$BT82,,AH82)*(1-AF82)+INDEX(Models!$BJ82:$BT82,,AH82+1)*AF82-ERP_i)*AE82*Ramure*Pc/MaxiM</f>
        <v>1.3305737469329441E-2</v>
      </c>
      <c r="AE82" s="305">
        <f t="shared" si="40"/>
        <v>0.7</v>
      </c>
      <c r="AF82" s="177">
        <f t="shared" si="41"/>
        <v>0.61003071059486347</v>
      </c>
      <c r="AG82" s="817">
        <f t="shared" si="49"/>
        <v>0</v>
      </c>
      <c r="AH82" s="176">
        <f t="shared" si="42"/>
        <v>6</v>
      </c>
      <c r="AI82" s="225">
        <f t="shared" si="43"/>
        <v>0.61003071059486347</v>
      </c>
      <c r="AJ82" s="265" t="b">
        <f t="shared" si="44"/>
        <v>1</v>
      </c>
      <c r="AK82" s="265" t="b">
        <f t="shared" si="45"/>
        <v>1</v>
      </c>
      <c r="AL82" s="265"/>
      <c r="AM82" s="265"/>
      <c r="AN82" s="75"/>
    </row>
    <row r="83" spans="1:40" s="6" customFormat="1" ht="11.25" x14ac:dyDescent="0.2">
      <c r="A83" s="56">
        <f t="shared" si="46"/>
        <v>45726</v>
      </c>
      <c r="B83" s="411">
        <f>'2024'!Wh/'2024'!Env_an*'2025'!Env_an</f>
        <v>14.851475516301752</v>
      </c>
      <c r="C83" s="846"/>
      <c r="D83" s="393">
        <f t="shared" si="25"/>
        <v>15.693217068221653</v>
      </c>
      <c r="E83" s="385">
        <f t="shared" si="47"/>
        <v>17.352668576693539</v>
      </c>
      <c r="F83" s="385">
        <f t="shared" si="26"/>
        <v>17.427490938863141</v>
      </c>
      <c r="G83" s="110">
        <f t="shared" si="48"/>
        <v>0.54707036019466015</v>
      </c>
      <c r="H83" s="414" t="b">
        <f>Wh_hp&gt;='2024'!Maxi_hp</f>
        <v>0</v>
      </c>
      <c r="I83" s="390">
        <f>IF(H83,Wh_hp,'2024'!Maxi_hp)</f>
        <v>30.500189061416798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5.3637284711010924E-2</v>
      </c>
      <c r="M83" s="850"/>
      <c r="N83" s="850"/>
      <c r="O83" s="48">
        <f>IF(t&lt;Tnet,'2024'!Resal+('2024'!Salim-'2024'!Resal)*(1-EXP(('2024'!Tnet-t)/('2024'!Tau_j))),Resal+(Salim-Resal)*(1-EXP((Tnet-t)/(Tau_j))))*Salcycl</f>
        <v>9.5630911242130551E-2</v>
      </c>
      <c r="P83" s="169">
        <f>(INDEX(Models!$BJ83:$BT83,,T83)*(1-R83)+INDEX(Models!$BJ83:$BT83,,T83+1)*R83-ERP_i)*Q83*Ramure*Pc/MaxiM</f>
        <v>1.195850950949413E-2</v>
      </c>
      <c r="Q83" s="305">
        <f t="shared" si="28"/>
        <v>0.7</v>
      </c>
      <c r="R83" s="177">
        <f t="shared" si="29"/>
        <v>0.61047069588620018</v>
      </c>
      <c r="S83" s="817">
        <f t="shared" si="30"/>
        <v>0</v>
      </c>
      <c r="T83" s="176">
        <f t="shared" si="31"/>
        <v>6</v>
      </c>
      <c r="U83" s="251">
        <f t="shared" si="32"/>
        <v>0.61047069588620018</v>
      </c>
      <c r="V83" s="383">
        <f t="shared" si="33"/>
        <v>26.938300517337726</v>
      </c>
      <c r="W83" s="402">
        <f t="shared" si="34"/>
        <v>14.851475516301752</v>
      </c>
      <c r="X83" s="157">
        <f t="shared" si="35"/>
        <v>45726</v>
      </c>
      <c r="Y83" s="385">
        <f t="shared" si="36"/>
        <v>14.302985277216417</v>
      </c>
      <c r="Z83" s="385">
        <f t="shared" si="37"/>
        <v>15.113639882620207</v>
      </c>
      <c r="AA83" s="386">
        <f t="shared" si="38"/>
        <v>17.352668576693539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0.12903079916368496</v>
      </c>
      <c r="AD83" s="231">
        <f>(INDEX(Models!$BJ83:$BT83,,AH83)*(1-AF83)+INDEX(Models!$BJ83:$BT83,,AH83+1)*AF83-ERP_i)*AE83*Ramure*Pc/MaxiM</f>
        <v>1.195850950949413E-2</v>
      </c>
      <c r="AE83" s="305">
        <f t="shared" si="40"/>
        <v>0.7</v>
      </c>
      <c r="AF83" s="177">
        <f t="shared" si="41"/>
        <v>0.61047069588620018</v>
      </c>
      <c r="AG83" s="817">
        <f t="shared" si="49"/>
        <v>0</v>
      </c>
      <c r="AH83" s="176">
        <f t="shared" si="42"/>
        <v>6</v>
      </c>
      <c r="AI83" s="225">
        <f t="shared" si="43"/>
        <v>0.61047069588620018</v>
      </c>
      <c r="AJ83" s="265" t="b">
        <f t="shared" si="44"/>
        <v>1</v>
      </c>
      <c r="AK83" s="265" t="b">
        <f t="shared" si="45"/>
        <v>1</v>
      </c>
      <c r="AL83" s="265"/>
      <c r="AM83" s="265"/>
      <c r="AN83" s="75"/>
    </row>
    <row r="84" spans="1:40" s="6" customFormat="1" ht="11.25" x14ac:dyDescent="0.2">
      <c r="A84" s="56">
        <f t="shared" si="46"/>
        <v>45727</v>
      </c>
      <c r="B84" s="411">
        <f>'2024'!Wh/'2024'!Env_an*'2025'!Env_an</f>
        <v>9.6266958492299093</v>
      </c>
      <c r="C84" s="846"/>
      <c r="D84" s="393">
        <f t="shared" si="25"/>
        <v>10.172533794564975</v>
      </c>
      <c r="E84" s="385">
        <f t="shared" si="47"/>
        <v>11.24910427122007</v>
      </c>
      <c r="F84" s="385">
        <f t="shared" si="26"/>
        <v>11.258294716208201</v>
      </c>
      <c r="G84" s="110">
        <f t="shared" si="48"/>
        <v>0.35011788365397511</v>
      </c>
      <c r="H84" s="414" t="b">
        <f>Wh_hp&gt;='2024'!Maxi_hp</f>
        <v>0</v>
      </c>
      <c r="I84" s="390">
        <f>IF(H84,Wh_hp,'2024'!Maxi_hp)</f>
        <v>23.683748695587767</v>
      </c>
      <c r="J84" s="85">
        <f>IF(H84,An,'2024'!An_max)</f>
        <v>2020</v>
      </c>
      <c r="K84" s="197">
        <f t="shared" si="27"/>
        <v>45727</v>
      </c>
      <c r="L84" s="147">
        <f>IF(t&lt;Tvie,1-EXP((T0-t)*PertePVj)+'2024'!Pspv,1-EXP((T0-t)*PertePVj)+Pspv)</f>
        <v>5.3658012483251638E-2</v>
      </c>
      <c r="M84" s="850"/>
      <c r="N84" s="850"/>
      <c r="O84" s="48">
        <f>IF(t&lt;Tnet,'2024'!Resal+('2024'!Salim-'2024'!Resal)*(1-EXP(('2024'!Tnet-t)/('2024'!Tau_j))),Resal+(Salim-Resal)*(1-EXP((Tnet-t)/(Tau_j))))*Salcycl</f>
        <v>9.5702773367423874E-2</v>
      </c>
      <c r="P84" s="169">
        <f>(INDEX(Models!$BJ84:$BT84,,T84)*(1-R84)+INDEX(Models!$BJ84:$BT84,,T84+1)*R84-ERP_i)*Q84*Ramure*Pc/MaxiM</f>
        <v>1.0660644072542969E-2</v>
      </c>
      <c r="Q84" s="305">
        <f t="shared" si="28"/>
        <v>0.7</v>
      </c>
      <c r="R84" s="177">
        <f t="shared" si="29"/>
        <v>0.61092829989386499</v>
      </c>
      <c r="S84" s="817">
        <f t="shared" si="30"/>
        <v>0</v>
      </c>
      <c r="T84" s="176">
        <f t="shared" si="31"/>
        <v>6</v>
      </c>
      <c r="U84" s="251">
        <f t="shared" si="32"/>
        <v>0.61092829989386499</v>
      </c>
      <c r="V84" s="383">
        <f t="shared" si="33"/>
        <v>27.224688079807176</v>
      </c>
      <c r="W84" s="402">
        <f t="shared" si="34"/>
        <v>9.6266958492299093</v>
      </c>
      <c r="X84" s="157">
        <f t="shared" si="35"/>
        <v>45727</v>
      </c>
      <c r="Y84" s="385">
        <f t="shared" si="36"/>
        <v>9.2716170441174786</v>
      </c>
      <c r="Z84" s="385">
        <f t="shared" si="37"/>
        <v>9.7973218629416348</v>
      </c>
      <c r="AA84" s="386">
        <f t="shared" si="38"/>
        <v>11.24910427122007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0.12905760078984277</v>
      </c>
      <c r="AD84" s="231">
        <f>(INDEX(Models!$BJ84:$BT84,,AH84)*(1-AF84)+INDEX(Models!$BJ84:$BT84,,AH84+1)*AF84-ERP_i)*AE84*Ramure*Pc/MaxiM</f>
        <v>1.0660644072542969E-2</v>
      </c>
      <c r="AE84" s="305">
        <f t="shared" si="40"/>
        <v>0.7</v>
      </c>
      <c r="AF84" s="177">
        <f t="shared" si="41"/>
        <v>0.61092829989386499</v>
      </c>
      <c r="AG84" s="817">
        <f t="shared" si="49"/>
        <v>0</v>
      </c>
      <c r="AH84" s="176">
        <f t="shared" si="42"/>
        <v>6</v>
      </c>
      <c r="AI84" s="225">
        <f t="shared" si="43"/>
        <v>0.61092829989386499</v>
      </c>
      <c r="AJ84" s="265" t="b">
        <f t="shared" si="44"/>
        <v>1</v>
      </c>
      <c r="AK84" s="265" t="b">
        <f t="shared" si="45"/>
        <v>1</v>
      </c>
      <c r="AL84" s="265"/>
      <c r="AM84" s="265"/>
      <c r="AN84" s="75"/>
    </row>
    <row r="85" spans="1:40" s="6" customFormat="1" ht="11.25" x14ac:dyDescent="0.2">
      <c r="A85" s="56">
        <f t="shared" si="46"/>
        <v>45728</v>
      </c>
      <c r="B85" s="411">
        <f>'2024'!Wh/'2024'!Env_an*'2025'!Env_an</f>
        <v>9.7074487398193234</v>
      </c>
      <c r="C85" s="846"/>
      <c r="D85" s="393">
        <f t="shared" si="25"/>
        <v>10.258090088542556</v>
      </c>
      <c r="E85" s="385">
        <f t="shared" si="47"/>
        <v>11.344617806347598</v>
      </c>
      <c r="F85" s="385">
        <f t="shared" si="26"/>
        <v>11.352688920976732</v>
      </c>
      <c r="G85" s="110">
        <f t="shared" si="48"/>
        <v>0.34981023579186188</v>
      </c>
      <c r="H85" s="414" t="b">
        <f>Wh_hp&gt;='2024'!Maxi_hp</f>
        <v>0</v>
      </c>
      <c r="I85" s="390">
        <f>IF(H85,Wh_hp,'2024'!Maxi_hp)</f>
        <v>29.411637891813143</v>
      </c>
      <c r="J85" s="85">
        <f>IF(H85,An,'2024'!An_max)</f>
        <v>2020</v>
      </c>
      <c r="K85" s="197">
        <f t="shared" si="27"/>
        <v>45728</v>
      </c>
      <c r="L85" s="147">
        <f>IF(t&lt;Tvie,1-EXP((T0-t)*PertePVj)+'2024'!Pspv,1-EXP((T0-t)*PertePVj)+Pspv)</f>
        <v>5.3678739801500952E-2</v>
      </c>
      <c r="M85" s="850"/>
      <c r="N85" s="850"/>
      <c r="O85" s="48">
        <f>IF(t&lt;Tnet,'2024'!Resal+('2024'!Salim-'2024'!Resal)*(1-EXP(('2024'!Tnet-t)/('2024'!Tau_j))),Resal+(Salim-Resal)*(1-EXP((Tnet-t)/(Tau_j))))*Salcycl</f>
        <v>9.5774730921045437E-2</v>
      </c>
      <c r="P85" s="169">
        <f>(INDEX(Models!$BJ85:$BT85,,T85)*(1-R85)+INDEX(Models!$BJ85:$BT85,,T85+1)*R85-ERP_i)*Q85*Ramure*Pc/MaxiM</f>
        <v>9.4106926681451399E-3</v>
      </c>
      <c r="Q85" s="305">
        <f t="shared" si="28"/>
        <v>0.7</v>
      </c>
      <c r="R85" s="177">
        <f t="shared" si="29"/>
        <v>0.6114041923932203</v>
      </c>
      <c r="S85" s="817">
        <f t="shared" si="30"/>
        <v>0</v>
      </c>
      <c r="T85" s="176">
        <f t="shared" si="31"/>
        <v>6</v>
      </c>
      <c r="U85" s="251">
        <f t="shared" si="32"/>
        <v>0.6114041923932203</v>
      </c>
      <c r="V85" s="383">
        <f t="shared" si="33"/>
        <v>27.509018598230679</v>
      </c>
      <c r="W85" s="402">
        <f t="shared" si="34"/>
        <v>9.7074487398193234</v>
      </c>
      <c r="X85" s="157">
        <f t="shared" si="35"/>
        <v>45728</v>
      </c>
      <c r="Y85" s="385">
        <f t="shared" si="36"/>
        <v>9.3498452839151849</v>
      </c>
      <c r="Z85" s="385">
        <f t="shared" si="37"/>
        <v>9.880202080585164</v>
      </c>
      <c r="AA85" s="386">
        <f t="shared" si="38"/>
        <v>11.344617806347598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0.12908462415922528</v>
      </c>
      <c r="AD85" s="231">
        <f>(INDEX(Models!$BJ85:$BT85,,AH85)*(1-AF85)+INDEX(Models!$BJ85:$BT85,,AH85+1)*AF85-ERP_i)*AE85*Ramure*Pc/MaxiM</f>
        <v>9.4106926681451399E-3</v>
      </c>
      <c r="AE85" s="305">
        <f t="shared" si="40"/>
        <v>0.7</v>
      </c>
      <c r="AF85" s="177">
        <f t="shared" si="41"/>
        <v>0.6114041923932203</v>
      </c>
      <c r="AG85" s="817">
        <f t="shared" si="49"/>
        <v>0</v>
      </c>
      <c r="AH85" s="176">
        <f t="shared" si="42"/>
        <v>6</v>
      </c>
      <c r="AI85" s="225">
        <f t="shared" si="43"/>
        <v>0.6114041923932203</v>
      </c>
      <c r="AJ85" s="265" t="b">
        <f t="shared" si="44"/>
        <v>1</v>
      </c>
      <c r="AK85" s="265" t="b">
        <f t="shared" si="45"/>
        <v>1</v>
      </c>
      <c r="AL85" s="265"/>
      <c r="AM85" s="265"/>
      <c r="AN85" s="75"/>
    </row>
    <row r="86" spans="1:40" s="6" customFormat="1" ht="11.25" x14ac:dyDescent="0.2">
      <c r="A86" s="56">
        <f t="shared" si="46"/>
        <v>45729</v>
      </c>
      <c r="B86" s="411">
        <f>'2024'!Wh/'2024'!Env_an*'2025'!Env_an</f>
        <v>5.3066272359871149</v>
      </c>
      <c r="C86" s="846"/>
      <c r="D86" s="393">
        <f t="shared" si="25"/>
        <v>5.6077610114934036</v>
      </c>
      <c r="E86" s="385">
        <f t="shared" si="47"/>
        <v>6.2022244584498774</v>
      </c>
      <c r="F86" s="385">
        <f t="shared" si="26"/>
        <v>6.2022244584498774</v>
      </c>
      <c r="G86" s="110">
        <f t="shared" si="48"/>
        <v>0.18938103773482545</v>
      </c>
      <c r="H86" s="414" t="b">
        <f>Wh_hp&gt;='2024'!Maxi_hp</f>
        <v>0</v>
      </c>
      <c r="I86" s="390">
        <f>IF(H86,Wh_hp,'2024'!Maxi_hp)</f>
        <v>29.39742528369991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5.3699466665768858E-2</v>
      </c>
      <c r="M86" s="850"/>
      <c r="N86" s="850"/>
      <c r="O86" s="48">
        <f>IF(t&lt;Tnet,'2024'!Resal+('2024'!Salim-'2024'!Resal)*(1-EXP(('2024'!Tnet-t)/('2024'!Tau_j))),Resal+(Salim-Resal)*(1-EXP((Tnet-t)/(Tau_j))))*Salcycl</f>
        <v>9.584681285543932E-2</v>
      </c>
      <c r="P86" s="169">
        <f>(INDEX(Models!$BJ86:$BT86,,T86)*(1-R86)+INDEX(Models!$BJ86:$BT86,,T86+1)*R86-ERP_i)*Q86*Ramure*Pc/MaxiM</f>
        <v>8.2483266169775058E-3</v>
      </c>
      <c r="Q86" s="305">
        <f t="shared" si="28"/>
        <v>0.7</v>
      </c>
      <c r="R86" s="177">
        <f t="shared" si="29"/>
        <v>0.61189906564006602</v>
      </c>
      <c r="S86" s="817">
        <f t="shared" si="30"/>
        <v>0</v>
      </c>
      <c r="T86" s="176">
        <f t="shared" si="31"/>
        <v>6</v>
      </c>
      <c r="U86" s="251">
        <f t="shared" si="32"/>
        <v>0.61189906564006602</v>
      </c>
      <c r="V86" s="383">
        <f t="shared" si="33"/>
        <v>27.789775070718992</v>
      </c>
      <c r="W86" s="402">
        <f t="shared" si="34"/>
        <v>5.3066272359871149</v>
      </c>
      <c r="X86" s="157">
        <f t="shared" si="35"/>
        <v>45729</v>
      </c>
      <c r="Y86" s="385">
        <f t="shared" si="36"/>
        <v>5.1113887951941761</v>
      </c>
      <c r="Z86" s="385">
        <f t="shared" si="37"/>
        <v>5.4014434264181537</v>
      </c>
      <c r="AA86" s="386">
        <f t="shared" si="38"/>
        <v>6.2022244584498774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0.1291119077350939</v>
      </c>
      <c r="AD86" s="231">
        <f>(INDEX(Models!$BJ86:$BT86,,AH86)*(1-AF86)+INDEX(Models!$BJ86:$BT86,,AH86+1)*AF86-ERP_i)*AE86*Ramure*Pc/MaxiM</f>
        <v>8.2483266169775058E-3</v>
      </c>
      <c r="AE86" s="305">
        <f t="shared" si="40"/>
        <v>0.7</v>
      </c>
      <c r="AF86" s="177">
        <f t="shared" si="41"/>
        <v>0.61189906564006602</v>
      </c>
      <c r="AG86" s="817">
        <f t="shared" si="49"/>
        <v>0</v>
      </c>
      <c r="AH86" s="176">
        <f t="shared" si="42"/>
        <v>6</v>
      </c>
      <c r="AI86" s="225">
        <f t="shared" si="43"/>
        <v>0.61189906564006602</v>
      </c>
      <c r="AJ86" s="265" t="b">
        <f t="shared" si="44"/>
        <v>1</v>
      </c>
      <c r="AK86" s="265" t="b">
        <f t="shared" si="45"/>
        <v>1</v>
      </c>
      <c r="AL86" s="265"/>
      <c r="AM86" s="265"/>
      <c r="AN86" s="75"/>
    </row>
    <row r="87" spans="1:40" s="6" customFormat="1" ht="11.25" x14ac:dyDescent="0.2">
      <c r="A87" s="56">
        <f t="shared" si="46"/>
        <v>45730</v>
      </c>
      <c r="B87" s="411">
        <f>'2024'!Wh/'2024'!Env_an*'2025'!Env_an</f>
        <v>7.6009804333651632</v>
      </c>
      <c r="C87" s="846"/>
      <c r="D87" s="393">
        <f t="shared" si="25"/>
        <v>8.0324871964388809</v>
      </c>
      <c r="E87" s="385">
        <f t="shared" si="47"/>
        <v>8.8846990883395645</v>
      </c>
      <c r="F87" s="385">
        <f t="shared" si="26"/>
        <v>8.8846990883395645</v>
      </c>
      <c r="G87" s="110">
        <f t="shared" si="48"/>
        <v>0.26887744157512067</v>
      </c>
      <c r="H87" s="414" t="b">
        <f>Wh_hp&gt;='2024'!Maxi_hp</f>
        <v>0</v>
      </c>
      <c r="I87" s="390">
        <f>IF(H87,Wh_hp,'2024'!Maxi_hp)</f>
        <v>27.041870864735497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5.3720193076065126E-2</v>
      </c>
      <c r="M87" s="850"/>
      <c r="N87" s="850"/>
      <c r="O87" s="48">
        <f>IF(t&lt;Tnet,'2024'!Resal+('2024'!Salim-'2024'!Resal)*(1-EXP(('2024'!Tnet-t)/('2024'!Tau_j))),Resal+(Salim-Resal)*(1-EXP((Tnet-t)/(Tau_j))))*Salcycl</f>
        <v>9.5919049528547504E-2</v>
      </c>
      <c r="P87" s="169">
        <f>(INDEX(Models!$BJ87:$BT87,,T87)*(1-R87)+INDEX(Models!$BJ87:$BT87,,T87+1)*R87-ERP_i)*Q87*Ramure*Pc/MaxiM</f>
        <v>7.1781314126845809E-3</v>
      </c>
      <c r="Q87" s="305">
        <f t="shared" si="28"/>
        <v>0.7</v>
      </c>
      <c r="R87" s="177">
        <f t="shared" si="29"/>
        <v>0.61241363487310374</v>
      </c>
      <c r="S87" s="817">
        <f t="shared" si="30"/>
        <v>0</v>
      </c>
      <c r="T87" s="176">
        <f t="shared" si="31"/>
        <v>6</v>
      </c>
      <c r="U87" s="251">
        <f t="shared" si="32"/>
        <v>0.61241363487310374</v>
      </c>
      <c r="V87" s="383">
        <f t="shared" si="33"/>
        <v>28.066391708955837</v>
      </c>
      <c r="W87" s="402">
        <f t="shared" si="34"/>
        <v>7.6009804333651632</v>
      </c>
      <c r="X87" s="157">
        <f t="shared" si="35"/>
        <v>45730</v>
      </c>
      <c r="Y87" s="385">
        <f t="shared" si="36"/>
        <v>7.321682510432491</v>
      </c>
      <c r="Z87" s="385">
        <f t="shared" si="37"/>
        <v>7.7373335633495479</v>
      </c>
      <c r="AA87" s="386">
        <f t="shared" si="38"/>
        <v>8.8846990883395645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0.12913949179166226</v>
      </c>
      <c r="AD87" s="231">
        <f>(INDEX(Models!$BJ87:$BT87,,AH87)*(1-AF87)+INDEX(Models!$BJ87:$BT87,,AH87+1)*AF87-ERP_i)*AE87*Ramure*Pc/MaxiM</f>
        <v>7.1781314126845809E-3</v>
      </c>
      <c r="AE87" s="305">
        <f t="shared" si="40"/>
        <v>0.7</v>
      </c>
      <c r="AF87" s="177">
        <f t="shared" si="41"/>
        <v>0.61241363487310374</v>
      </c>
      <c r="AG87" s="817">
        <f t="shared" si="49"/>
        <v>0</v>
      </c>
      <c r="AH87" s="176">
        <f t="shared" si="42"/>
        <v>6</v>
      </c>
      <c r="AI87" s="225">
        <f t="shared" si="43"/>
        <v>0.61241363487310374</v>
      </c>
      <c r="AJ87" s="265" t="b">
        <f t="shared" si="44"/>
        <v>1</v>
      </c>
      <c r="AK87" s="265" t="b">
        <f t="shared" si="45"/>
        <v>1</v>
      </c>
      <c r="AL87" s="265"/>
      <c r="AM87" s="265"/>
      <c r="AN87" s="75"/>
    </row>
    <row r="88" spans="1:40" s="6" customFormat="1" ht="11.25" x14ac:dyDescent="0.2">
      <c r="A88" s="56">
        <f t="shared" si="46"/>
        <v>45731</v>
      </c>
      <c r="B88" s="411">
        <f>'2024'!Wh/'2024'!Env_an*'2025'!Env_an</f>
        <v>7.785528826214632</v>
      </c>
      <c r="C88" s="846"/>
      <c r="D88" s="393">
        <f t="shared" si="25"/>
        <v>8.2276925873762981</v>
      </c>
      <c r="E88" s="385">
        <f t="shared" si="47"/>
        <v>9.1013440006823902</v>
      </c>
      <c r="F88" s="385">
        <f t="shared" si="26"/>
        <v>9.1013440006823902</v>
      </c>
      <c r="G88" s="110">
        <f t="shared" si="48"/>
        <v>0.27303058484779902</v>
      </c>
      <c r="H88" s="414" t="b">
        <f>Wh_hp&gt;='2024'!Maxi_hp</f>
        <v>0</v>
      </c>
      <c r="I88" s="390">
        <f>IF(H88,Wh_hp,'2024'!Maxi_hp)</f>
        <v>29.113438237494268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5.3740919032399859E-2</v>
      </c>
      <c r="M88" s="850"/>
      <c r="N88" s="850"/>
      <c r="O88" s="48">
        <f>IF(t&lt;Tnet,'2024'!Resal+('2024'!Salim-'2024'!Resal)*(1-EXP(('2024'!Tnet-t)/('2024'!Tau_j))),Resal+(Salim-Resal)*(1-EXP((Tnet-t)/(Tau_j))))*Salcycl</f>
        <v>9.5991472604550279E-2</v>
      </c>
      <c r="P88" s="169">
        <f>(INDEX(Models!$BJ88:$BT88,,T88)*(1-R88)+INDEX(Models!$BJ88:$BT88,,T88+1)*R88-ERP_i)*Q88*Ramure*Pc/MaxiM</f>
        <v>6.1975353810702054E-3</v>
      </c>
      <c r="Q88" s="305">
        <f t="shared" si="28"/>
        <v>0.7</v>
      </c>
      <c r="R88" s="177">
        <f t="shared" si="29"/>
        <v>0.61294863880473527</v>
      </c>
      <c r="S88" s="817">
        <f t="shared" si="30"/>
        <v>0</v>
      </c>
      <c r="T88" s="176">
        <f t="shared" si="31"/>
        <v>6</v>
      </c>
      <c r="U88" s="251">
        <f t="shared" si="32"/>
        <v>0.61294863880473527</v>
      </c>
      <c r="V88" s="383">
        <f t="shared" si="33"/>
        <v>28.338501857463964</v>
      </c>
      <c r="W88" s="402">
        <f t="shared" si="34"/>
        <v>7.785528826214632</v>
      </c>
      <c r="X88" s="157">
        <f t="shared" si="35"/>
        <v>45731</v>
      </c>
      <c r="Y88" s="385">
        <f t="shared" si="36"/>
        <v>7.4998099712097295</v>
      </c>
      <c r="Z88" s="385">
        <f t="shared" si="37"/>
        <v>7.9257468932723754</v>
      </c>
      <c r="AA88" s="386">
        <f t="shared" si="38"/>
        <v>9.1013440006823902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0.12916741827601194</v>
      </c>
      <c r="AD88" s="231">
        <f>(INDEX(Models!$BJ88:$BT88,,AH88)*(1-AF88)+INDEX(Models!$BJ88:$BT88,,AH88+1)*AF88-ERP_i)*AE88*Ramure*Pc/MaxiM</f>
        <v>6.1975353810702054E-3</v>
      </c>
      <c r="AE88" s="305">
        <f t="shared" si="40"/>
        <v>0.7</v>
      </c>
      <c r="AF88" s="177">
        <f t="shared" si="41"/>
        <v>0.61294863880473527</v>
      </c>
      <c r="AG88" s="817">
        <f t="shared" si="49"/>
        <v>0</v>
      </c>
      <c r="AH88" s="176">
        <f t="shared" si="42"/>
        <v>6</v>
      </c>
      <c r="AI88" s="225">
        <f t="shared" si="43"/>
        <v>0.61294863880473527</v>
      </c>
      <c r="AJ88" s="265" t="b">
        <f t="shared" si="44"/>
        <v>1</v>
      </c>
      <c r="AK88" s="265" t="b">
        <f t="shared" si="45"/>
        <v>1</v>
      </c>
      <c r="AL88" s="265"/>
      <c r="AM88" s="265"/>
      <c r="AN88" s="75"/>
    </row>
    <row r="89" spans="1:40" s="6" customFormat="1" ht="11.25" x14ac:dyDescent="0.2">
      <c r="A89" s="56">
        <f t="shared" si="46"/>
        <v>45732</v>
      </c>
      <c r="B89" s="411">
        <f>'2024'!Wh/'2024'!Env_an*'2025'!Env_an</f>
        <v>5.985931236698411</v>
      </c>
      <c r="C89" s="846"/>
      <c r="D89" s="393">
        <f t="shared" si="25"/>
        <v>6.326028956790104</v>
      </c>
      <c r="E89" s="385">
        <f t="shared" si="47"/>
        <v>6.9983159883471444</v>
      </c>
      <c r="F89" s="385">
        <f t="shared" si="26"/>
        <v>6.9983159883471444</v>
      </c>
      <c r="G89" s="110">
        <f t="shared" si="48"/>
        <v>0.20814639932703957</v>
      </c>
      <c r="H89" s="414" t="b">
        <f>Wh_hp&gt;='2024'!Maxi_hp</f>
        <v>0</v>
      </c>
      <c r="I89" s="390">
        <f>IF(H89,Wh_hp,'2024'!Maxi_hp)</f>
        <v>33.759513299417414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5.3761644534782937E-2</v>
      </c>
      <c r="M89" s="850"/>
      <c r="N89" s="850"/>
      <c r="O89" s="48">
        <f>IF(t&lt;Tnet,'2024'!Resal+('2024'!Salim-'2024'!Resal)*(1-EXP(('2024'!Tnet-t)/('2024'!Tau_j))),Resal+(Salim-Resal)*(1-EXP((Tnet-t)/(Tau_j))))*Salcycl</f>
        <v>9.6064114949433774E-2</v>
      </c>
      <c r="P89" s="169">
        <f>(INDEX(Models!$BJ89:$BT89,,T89)*(1-R89)+INDEX(Models!$BJ89:$BT89,,T89+1)*R89-ERP_i)*Q89*Ramure*Pc/MaxiM</f>
        <v>5.3040514978494029E-3</v>
      </c>
      <c r="Q89" s="305">
        <f t="shared" si="28"/>
        <v>0.7</v>
      </c>
      <c r="R89" s="177">
        <f t="shared" si="29"/>
        <v>0.61350484009750716</v>
      </c>
      <c r="S89" s="817">
        <f t="shared" si="30"/>
        <v>0</v>
      </c>
      <c r="T89" s="176">
        <f t="shared" si="31"/>
        <v>6</v>
      </c>
      <c r="U89" s="251">
        <f t="shared" si="32"/>
        <v>0.61350484009750716</v>
      </c>
      <c r="V89" s="383">
        <f t="shared" si="33"/>
        <v>28.605738885740553</v>
      </c>
      <c r="W89" s="402">
        <f t="shared" si="34"/>
        <v>5.985931236698411</v>
      </c>
      <c r="X89" s="157">
        <f t="shared" si="35"/>
        <v>45732</v>
      </c>
      <c r="Y89" s="385">
        <f t="shared" si="36"/>
        <v>5.7665311921762896</v>
      </c>
      <c r="Z89" s="385">
        <f t="shared" si="37"/>
        <v>6.0941634408184404</v>
      </c>
      <c r="AA89" s="386">
        <f t="shared" si="38"/>
        <v>6.9983159883471444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0.12919573066352005</v>
      </c>
      <c r="AD89" s="231">
        <f>(INDEX(Models!$BJ89:$BT89,,AH89)*(1-AF89)+INDEX(Models!$BJ89:$BT89,,AH89+1)*AF89-ERP_i)*AE89*Ramure*Pc/MaxiM</f>
        <v>5.3040514978494029E-3</v>
      </c>
      <c r="AE89" s="305">
        <f t="shared" si="40"/>
        <v>0.7</v>
      </c>
      <c r="AF89" s="177">
        <f t="shared" si="41"/>
        <v>0.61350484009750716</v>
      </c>
      <c r="AG89" s="817">
        <f t="shared" si="49"/>
        <v>0</v>
      </c>
      <c r="AH89" s="176">
        <f t="shared" si="42"/>
        <v>6</v>
      </c>
      <c r="AI89" s="225">
        <f t="shared" si="43"/>
        <v>0.61350484009750716</v>
      </c>
      <c r="AJ89" s="265" t="b">
        <f t="shared" si="44"/>
        <v>1</v>
      </c>
      <c r="AK89" s="265" t="b">
        <f t="shared" si="45"/>
        <v>1</v>
      </c>
      <c r="AL89" s="265"/>
      <c r="AM89" s="265"/>
      <c r="AN89" s="75"/>
    </row>
    <row r="90" spans="1:40" s="6" customFormat="1" ht="11.25" x14ac:dyDescent="0.2">
      <c r="A90" s="56">
        <f t="shared" si="46"/>
        <v>45733</v>
      </c>
      <c r="B90" s="411">
        <f>'2024'!Wh/'2024'!Env_an*'2025'!Env_an</f>
        <v>7.0247126334109113</v>
      </c>
      <c r="C90" s="846"/>
      <c r="D90" s="393">
        <f t="shared" si="25"/>
        <v>7.4239925442065289</v>
      </c>
      <c r="E90" s="385">
        <f t="shared" si="47"/>
        <v>8.2136259926926289</v>
      </c>
      <c r="F90" s="385">
        <f t="shared" si="26"/>
        <v>8.2136259926926289</v>
      </c>
      <c r="G90" s="110">
        <f t="shared" si="48"/>
        <v>0.24224741831127539</v>
      </c>
      <c r="H90" s="414" t="b">
        <f>Wh_hp&gt;='2024'!Maxi_hp</f>
        <v>0</v>
      </c>
      <c r="I90" s="390">
        <f>IF(H90,Wh_hp,'2024'!Maxi_hp)</f>
        <v>18.204761461001336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5.3782369583224354E-2</v>
      </c>
      <c r="M90" s="850"/>
      <c r="N90" s="850"/>
      <c r="O90" s="48">
        <f>IF(t&lt;Tnet,'2024'!Resal+('2024'!Salim-'2024'!Resal)*(1-EXP(('2024'!Tnet-t)/('2024'!Tau_j))),Resal+(Salim-Resal)*(1-EXP((Tnet-t)/(Tau_j))))*Salcycl</f>
        <v>9.6137010522345204E-2</v>
      </c>
      <c r="P90" s="169">
        <f>(INDEX(Models!$BJ90:$BT90,,T90)*(1-R90)+INDEX(Models!$BJ90:$BT90,,T90+1)*R90-ERP_i)*Q90*Ramure*Pc/MaxiM</f>
        <v>4.4952834417252546E-3</v>
      </c>
      <c r="Q90" s="305">
        <f t="shared" si="28"/>
        <v>0.7</v>
      </c>
      <c r="R90" s="177">
        <f t="shared" si="29"/>
        <v>0.61408302582327146</v>
      </c>
      <c r="S90" s="817">
        <f t="shared" si="30"/>
        <v>0</v>
      </c>
      <c r="T90" s="176">
        <f t="shared" si="31"/>
        <v>6</v>
      </c>
      <c r="U90" s="251">
        <f t="shared" si="32"/>
        <v>0.61408302582327146</v>
      </c>
      <c r="V90" s="383">
        <f t="shared" si="33"/>
        <v>28.867736167331394</v>
      </c>
      <c r="W90" s="402">
        <f t="shared" si="34"/>
        <v>7.0247126334109113</v>
      </c>
      <c r="X90" s="157">
        <f t="shared" si="35"/>
        <v>45733</v>
      </c>
      <c r="Y90" s="385">
        <f t="shared" si="36"/>
        <v>6.7675609145587385</v>
      </c>
      <c r="Z90" s="385">
        <f t="shared" si="37"/>
        <v>7.1522244957302954</v>
      </c>
      <c r="AA90" s="386">
        <f t="shared" si="38"/>
        <v>8.2136259926926289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0.1292244738081117</v>
      </c>
      <c r="AD90" s="231">
        <f>(INDEX(Models!$BJ90:$BT90,,AH90)*(1-AF90)+INDEX(Models!$BJ90:$BT90,,AH90+1)*AF90-ERP_i)*AE90*Ramure*Pc/MaxiM</f>
        <v>4.4952834417252546E-3</v>
      </c>
      <c r="AE90" s="305">
        <f t="shared" si="40"/>
        <v>0.7</v>
      </c>
      <c r="AF90" s="177">
        <f t="shared" si="41"/>
        <v>0.61408302582327146</v>
      </c>
      <c r="AG90" s="817">
        <f t="shared" si="49"/>
        <v>0</v>
      </c>
      <c r="AH90" s="176">
        <f t="shared" si="42"/>
        <v>6</v>
      </c>
      <c r="AI90" s="225">
        <f t="shared" si="43"/>
        <v>0.61408302582327146</v>
      </c>
      <c r="AJ90" s="265" t="b">
        <f t="shared" si="44"/>
        <v>1</v>
      </c>
      <c r="AK90" s="265" t="b">
        <f t="shared" si="45"/>
        <v>1</v>
      </c>
      <c r="AL90" s="265"/>
      <c r="AM90" s="265"/>
      <c r="AN90" s="75"/>
    </row>
    <row r="91" spans="1:40" s="6" customFormat="1" ht="11.25" x14ac:dyDescent="0.2">
      <c r="A91" s="56">
        <f t="shared" si="46"/>
        <v>45734</v>
      </c>
      <c r="B91" s="411">
        <f>'2024'!Wh/'2024'!Env_an*'2025'!Env_an</f>
        <v>8.771585958248167</v>
      </c>
      <c r="C91" s="846"/>
      <c r="D91" s="393">
        <f t="shared" si="25"/>
        <v>9.2703600109804487</v>
      </c>
      <c r="E91" s="385">
        <f t="shared" si="47"/>
        <v>10.257207983694782</v>
      </c>
      <c r="F91" s="385">
        <f t="shared" si="26"/>
        <v>10.257273116318292</v>
      </c>
      <c r="G91" s="110">
        <f t="shared" si="48"/>
        <v>0.30004614136740082</v>
      </c>
      <c r="H91" s="414" t="b">
        <f>Wh_hp&gt;='2024'!Maxi_hp</f>
        <v>0</v>
      </c>
      <c r="I91" s="390">
        <f>IF(H91,Wh_hp,'2024'!Maxi_hp)</f>
        <v>22.615966613904025</v>
      </c>
      <c r="J91" s="85">
        <f>IF(H91,An,'2024'!An_max)</f>
        <v>2019</v>
      </c>
      <c r="K91" s="197">
        <f t="shared" si="27"/>
        <v>45734</v>
      </c>
      <c r="L91" s="147">
        <f>IF(t&lt;Tvie,1-EXP((T0-t)*PertePVj)+'2024'!Pspv,1-EXP((T0-t)*PertePVj)+Pspv)</f>
        <v>5.3803094177734101E-2</v>
      </c>
      <c r="M91" s="850"/>
      <c r="N91" s="850"/>
      <c r="O91" s="48">
        <f>IF(t&lt;Tnet,'2024'!Resal+('2024'!Salim-'2024'!Resal)*(1-EXP(('2024'!Tnet-t)/('2024'!Tau_j))),Resal+(Salim-Resal)*(1-EXP((Tnet-t)/(Tau_j))))*Salcycl</f>
        <v>9.6210194263688598E-2</v>
      </c>
      <c r="P91" s="169">
        <f>(INDEX(Models!$BJ91:$BT91,,T91)*(1-R91)+INDEX(Models!$BJ91:$BT91,,T91+1)*R91-ERP_i)*Q91*Ramure*Pc/MaxiM</f>
        <v>3.7689309517640133E-3</v>
      </c>
      <c r="Q91" s="305">
        <f t="shared" si="28"/>
        <v>0.7</v>
      </c>
      <c r="R91" s="177">
        <f t="shared" si="29"/>
        <v>0.61468400790189692</v>
      </c>
      <c r="S91" s="817">
        <f t="shared" si="30"/>
        <v>0</v>
      </c>
      <c r="T91" s="176">
        <f t="shared" si="31"/>
        <v>6</v>
      </c>
      <c r="U91" s="251">
        <f t="shared" si="32"/>
        <v>0.61468400790189692</v>
      </c>
      <c r="V91" s="383">
        <f t="shared" si="33"/>
        <v>29.124127061595747</v>
      </c>
      <c r="W91" s="402">
        <f t="shared" si="34"/>
        <v>8.771585958248167</v>
      </c>
      <c r="X91" s="157">
        <f t="shared" si="35"/>
        <v>45734</v>
      </c>
      <c r="Y91" s="385">
        <f t="shared" si="36"/>
        <v>8.4508876115698115</v>
      </c>
      <c r="Z91" s="385">
        <f t="shared" si="37"/>
        <v>8.9314259638439673</v>
      </c>
      <c r="AA91" s="386">
        <f t="shared" si="38"/>
        <v>10.257207983694782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0.12925369378863366</v>
      </c>
      <c r="AD91" s="231">
        <f>(INDEX(Models!$BJ91:$BT91,,AH91)*(1-AF91)+INDEX(Models!$BJ91:$BT91,,AH91+1)*AF91-ERP_i)*AE91*Ramure*Pc/MaxiM</f>
        <v>3.7689309517640133E-3</v>
      </c>
      <c r="AE91" s="305">
        <f t="shared" si="40"/>
        <v>0.7</v>
      </c>
      <c r="AF91" s="177">
        <f t="shared" si="41"/>
        <v>0.61468400790189692</v>
      </c>
      <c r="AG91" s="817">
        <f t="shared" si="49"/>
        <v>0</v>
      </c>
      <c r="AH91" s="176">
        <f t="shared" si="42"/>
        <v>6</v>
      </c>
      <c r="AI91" s="225">
        <f t="shared" si="43"/>
        <v>0.61468400790189692</v>
      </c>
      <c r="AJ91" s="265" t="b">
        <f t="shared" si="44"/>
        <v>1</v>
      </c>
      <c r="AK91" s="265" t="b">
        <f t="shared" si="45"/>
        <v>1</v>
      </c>
      <c r="AL91" s="265"/>
      <c r="AM91" s="265"/>
      <c r="AN91" s="75"/>
    </row>
    <row r="92" spans="1:40" s="6" customFormat="1" ht="11.25" x14ac:dyDescent="0.2">
      <c r="A92" s="56">
        <f t="shared" si="46"/>
        <v>45735</v>
      </c>
      <c r="B92" s="411">
        <f>'2024'!Wh/'2024'!Env_an*'2025'!Env_an</f>
        <v>17.626042726673237</v>
      </c>
      <c r="C92" s="846"/>
      <c r="D92" s="393">
        <f t="shared" si="25"/>
        <v>18.628711087765645</v>
      </c>
      <c r="E92" s="385">
        <f t="shared" si="47"/>
        <v>20.613450403183656</v>
      </c>
      <c r="F92" s="385">
        <f t="shared" si="26"/>
        <v>20.641079320987423</v>
      </c>
      <c r="G92" s="110">
        <f t="shared" si="48"/>
        <v>0.59897272613577235</v>
      </c>
      <c r="H92" s="414" t="b">
        <f>Wh_hp&gt;='2024'!Maxi_hp</f>
        <v>0</v>
      </c>
      <c r="I92" s="390">
        <f>IF(H92,Wh_hp,'2024'!Maxi_hp)</f>
        <v>31.49075258123468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5.3823818318321948E-2</v>
      </c>
      <c r="M92" s="850"/>
      <c r="N92" s="850"/>
      <c r="O92" s="48">
        <f>IF(t&lt;Tnet,'2024'!Resal+('2024'!Salim-'2024'!Resal)*(1-EXP(('2024'!Tnet-t)/('2024'!Tau_j))),Resal+(Salim-Resal)*(1-EXP((Tnet-t)/(Tau_j))))*Salcycl</f>
        <v>9.6283701980890896E-2</v>
      </c>
      <c r="P92" s="169">
        <f>(INDEX(Models!$BJ92:$BT92,,T92)*(1-R92)+INDEX(Models!$BJ92:$BT92,,T92+1)*R92-ERP_i)*Q92*Ramure*Pc/MaxiM</f>
        <v>3.1227945760069751E-3</v>
      </c>
      <c r="Q92" s="305">
        <f t="shared" si="28"/>
        <v>0.7</v>
      </c>
      <c r="R92" s="177">
        <f t="shared" si="29"/>
        <v>0.61530862351610349</v>
      </c>
      <c r="S92" s="817">
        <f t="shared" si="30"/>
        <v>0</v>
      </c>
      <c r="T92" s="176">
        <f t="shared" si="31"/>
        <v>6</v>
      </c>
      <c r="U92" s="251">
        <f t="shared" si="32"/>
        <v>0.61530862351610349</v>
      </c>
      <c r="V92" s="383">
        <f t="shared" si="33"/>
        <v>29.374544892137852</v>
      </c>
      <c r="W92" s="402">
        <f t="shared" si="34"/>
        <v>17.626042726673237</v>
      </c>
      <c r="X92" s="157">
        <f t="shared" si="35"/>
        <v>45735</v>
      </c>
      <c r="Y92" s="385">
        <f t="shared" si="36"/>
        <v>16.982417338975587</v>
      </c>
      <c r="Z92" s="385">
        <f t="shared" si="37"/>
        <v>17.948472671117162</v>
      </c>
      <c r="AA92" s="386">
        <f t="shared" si="38"/>
        <v>20.613450403183656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0.12928343775260934</v>
      </c>
      <c r="AD92" s="231">
        <f>(INDEX(Models!$BJ92:$BT92,,AH92)*(1-AF92)+INDEX(Models!$BJ92:$BT92,,AH92+1)*AF92-ERP_i)*AE92*Ramure*Pc/MaxiM</f>
        <v>3.1227945760069751E-3</v>
      </c>
      <c r="AE92" s="305">
        <f t="shared" si="40"/>
        <v>0.7</v>
      </c>
      <c r="AF92" s="177">
        <f t="shared" si="41"/>
        <v>0.61530862351610349</v>
      </c>
      <c r="AG92" s="817">
        <f t="shared" si="49"/>
        <v>0</v>
      </c>
      <c r="AH92" s="176">
        <f t="shared" si="42"/>
        <v>6</v>
      </c>
      <c r="AI92" s="225">
        <f t="shared" si="43"/>
        <v>0.61530862351610349</v>
      </c>
      <c r="AJ92" s="265" t="b">
        <f t="shared" si="44"/>
        <v>1</v>
      </c>
      <c r="AK92" s="265" t="b">
        <f t="shared" si="45"/>
        <v>1</v>
      </c>
      <c r="AL92" s="265"/>
      <c r="AM92" s="265"/>
      <c r="AN92" s="75"/>
    </row>
    <row r="93" spans="1:40" s="6" customFormat="1" ht="11.25" x14ac:dyDescent="0.2">
      <c r="A93" s="56">
        <f t="shared" si="46"/>
        <v>45736</v>
      </c>
      <c r="B93" s="411">
        <f>'2024'!Wh/'2024'!Env_an*'2025'!Env_an</f>
        <v>19.660470105401082</v>
      </c>
      <c r="C93" s="846"/>
      <c r="D93" s="393">
        <f t="shared" si="25"/>
        <v>20.779323248912586</v>
      </c>
      <c r="E93" s="385">
        <f t="shared" si="47"/>
        <v>22.995072568985467</v>
      </c>
      <c r="F93" s="385">
        <f t="shared" si="26"/>
        <v>23.02563838275902</v>
      </c>
      <c r="G93" s="110">
        <f t="shared" si="48"/>
        <v>0.66292912806505955</v>
      </c>
      <c r="H93" s="414" t="b">
        <f>Wh_hp&gt;='2024'!Maxi_hp</f>
        <v>0</v>
      </c>
      <c r="I93" s="390">
        <f>IF(H93,Wh_hp,'2024'!Maxi_hp)</f>
        <v>35.290557656198175</v>
      </c>
      <c r="J93" s="85">
        <f>IF(H93,An,'2024'!An_max)</f>
        <v>2019</v>
      </c>
      <c r="K93" s="197">
        <f t="shared" si="27"/>
        <v>45736</v>
      </c>
      <c r="L93" s="147">
        <f>IF(t&lt;Tvie,1-EXP((T0-t)*PertePVj)+'2024'!Pspv,1-EXP((T0-t)*PertePVj)+Pspv)</f>
        <v>5.3844542004997886E-2</v>
      </c>
      <c r="M93" s="850"/>
      <c r="N93" s="850"/>
      <c r="O93" s="48">
        <f>IF(t&lt;Tnet,'2024'!Resal+('2024'!Salim-'2024'!Resal)*(1-EXP(('2024'!Tnet-t)/('2024'!Tau_j))),Resal+(Salim-Resal)*(1-EXP((Tnet-t)/(Tau_j))))*Salcycl</f>
        <v>9.6357570232736181E-2</v>
      </c>
      <c r="P93" s="169">
        <f>(INDEX(Models!$BJ93:$BT93,,T93)*(1-R93)+INDEX(Models!$BJ93:$BT93,,T93+1)*R93-ERP_i)*Q93*Ramure*Pc/MaxiM</f>
        <v>2.5546159601471476E-3</v>
      </c>
      <c r="Q93" s="305">
        <f t="shared" si="28"/>
        <v>0.7</v>
      </c>
      <c r="R93" s="177">
        <f t="shared" si="29"/>
        <v>0.6159577354987249</v>
      </c>
      <c r="S93" s="817">
        <f t="shared" si="30"/>
        <v>0</v>
      </c>
      <c r="T93" s="176">
        <f t="shared" si="31"/>
        <v>6</v>
      </c>
      <c r="U93" s="251">
        <f t="shared" si="32"/>
        <v>0.6159577354987249</v>
      </c>
      <c r="V93" s="383">
        <f t="shared" si="33"/>
        <v>29.620529423433055</v>
      </c>
      <c r="W93" s="402">
        <f t="shared" si="34"/>
        <v>19.660470105401082</v>
      </c>
      <c r="X93" s="157">
        <f t="shared" si="35"/>
        <v>45736</v>
      </c>
      <c r="Y93" s="385">
        <f t="shared" si="36"/>
        <v>18.943445273836936</v>
      </c>
      <c r="Z93" s="385">
        <f t="shared" si="37"/>
        <v>20.021493417138856</v>
      </c>
      <c r="AA93" s="386">
        <f t="shared" si="38"/>
        <v>22.995072568985467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0.12931375375858634</v>
      </c>
      <c r="AD93" s="231">
        <f>(INDEX(Models!$BJ93:$BT93,,AH93)*(1-AF93)+INDEX(Models!$BJ93:$BT93,,AH93+1)*AF93-ERP_i)*AE93*Ramure*Pc/MaxiM</f>
        <v>2.5546159601471476E-3</v>
      </c>
      <c r="AE93" s="305">
        <f t="shared" si="40"/>
        <v>0.7</v>
      </c>
      <c r="AF93" s="177">
        <f t="shared" si="41"/>
        <v>0.6159577354987249</v>
      </c>
      <c r="AG93" s="817">
        <f t="shared" si="49"/>
        <v>0</v>
      </c>
      <c r="AH93" s="176">
        <f t="shared" si="42"/>
        <v>6</v>
      </c>
      <c r="AI93" s="225">
        <f t="shared" si="43"/>
        <v>0.6159577354987249</v>
      </c>
      <c r="AJ93" s="265" t="b">
        <f t="shared" si="44"/>
        <v>1</v>
      </c>
      <c r="AK93" s="265" t="b">
        <f t="shared" si="45"/>
        <v>1</v>
      </c>
      <c r="AL93" s="265"/>
      <c r="AM93" s="265"/>
      <c r="AN93" s="75"/>
    </row>
    <row r="94" spans="1:40" s="6" customFormat="1" ht="11.25" x14ac:dyDescent="0.2">
      <c r="A94" s="56">
        <f t="shared" si="46"/>
        <v>45737</v>
      </c>
      <c r="B94" s="411">
        <f>'2024'!Wh/'2024'!Env_an*'2025'!Env_an</f>
        <v>28.169257694402745</v>
      </c>
      <c r="C94" s="846"/>
      <c r="D94" s="393">
        <f t="shared" si="25"/>
        <v>29.772987566598459</v>
      </c>
      <c r="E94" s="385">
        <f t="shared" si="47"/>
        <v>32.950461027554432</v>
      </c>
      <c r="F94" s="385">
        <f t="shared" si="26"/>
        <v>33.01351560137843</v>
      </c>
      <c r="G94" s="110">
        <f t="shared" si="48"/>
        <v>0.94312122740621407</v>
      </c>
      <c r="H94" s="414" t="b">
        <f>Wh_hp&gt;='2024'!Maxi_hp</f>
        <v>0</v>
      </c>
      <c r="I94" s="390">
        <f>IF(H94,Wh_hp,'2024'!Maxi_hp)</f>
        <v>35.232626438185896</v>
      </c>
      <c r="J94" s="85">
        <f>IF(H94,An,'2024'!An_max)</f>
        <v>2019</v>
      </c>
      <c r="K94" s="197">
        <f t="shared" si="27"/>
        <v>45737</v>
      </c>
      <c r="L94" s="147">
        <f>IF(t&lt;Tvie,1-EXP((T0-t)*PertePVj)+'2024'!Pspv,1-EXP((T0-t)*PertePVj)+Pspv)</f>
        <v>5.386526523777202E-2</v>
      </c>
      <c r="M94" s="850"/>
      <c r="N94" s="850"/>
      <c r="O94" s="48">
        <f>IF(t&lt;Tnet,'2024'!Resal+('2024'!Salim-'2024'!Resal)*(1-EXP(('2024'!Tnet-t)/('2024'!Tau_j))),Resal+(Salim-Resal)*(1-EXP((Tnet-t)/(Tau_j))))*Salcycl</f>
        <v>9.6431836213121458E-2</v>
      </c>
      <c r="P94" s="169">
        <f>(INDEX(Models!$BJ94:$BT94,,T94)*(1-R94)+INDEX(Models!$BJ94:$BT94,,T94+1)*R94-ERP_i)*Q94*Ramure*Pc/MaxiM</f>
        <v>2.0783684954588048E-3</v>
      </c>
      <c r="Q94" s="305">
        <f t="shared" si="28"/>
        <v>0.7</v>
      </c>
      <c r="R94" s="177">
        <f t="shared" si="29"/>
        <v>0.61663223268842515</v>
      </c>
      <c r="S94" s="817">
        <f t="shared" si="30"/>
        <v>0</v>
      </c>
      <c r="T94" s="176">
        <f t="shared" si="31"/>
        <v>6</v>
      </c>
      <c r="U94" s="251">
        <f t="shared" si="32"/>
        <v>0.61663223268842515</v>
      </c>
      <c r="V94" s="383">
        <f t="shared" si="33"/>
        <v>29.86308008301873</v>
      </c>
      <c r="W94" s="402">
        <f t="shared" si="34"/>
        <v>28.169257694402745</v>
      </c>
      <c r="X94" s="157">
        <f t="shared" si="35"/>
        <v>45737</v>
      </c>
      <c r="Y94" s="385">
        <f t="shared" si="36"/>
        <v>27.143180510242054</v>
      </c>
      <c r="Z94" s="385">
        <f t="shared" si="37"/>
        <v>28.688493840217561</v>
      </c>
      <c r="AA94" s="386">
        <f t="shared" si="38"/>
        <v>32.950461027554432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0.12934469061822385</v>
      </c>
      <c r="AD94" s="231">
        <f>(INDEX(Models!$BJ94:$BT94,,AH94)*(1-AF94)+INDEX(Models!$BJ94:$BT94,,AH94+1)*AF94-ERP_i)*AE94*Ramure*Pc/MaxiM</f>
        <v>2.0783684954588048E-3</v>
      </c>
      <c r="AE94" s="305">
        <f t="shared" si="40"/>
        <v>0.7</v>
      </c>
      <c r="AF94" s="177">
        <f t="shared" si="41"/>
        <v>0.61663223268842515</v>
      </c>
      <c r="AG94" s="817">
        <f t="shared" si="49"/>
        <v>0</v>
      </c>
      <c r="AH94" s="176">
        <f t="shared" si="42"/>
        <v>6</v>
      </c>
      <c r="AI94" s="225">
        <f t="shared" si="43"/>
        <v>0.61663223268842515</v>
      </c>
      <c r="AJ94" s="265" t="b">
        <f t="shared" si="44"/>
        <v>1</v>
      </c>
      <c r="AK94" s="265" t="b">
        <f t="shared" si="45"/>
        <v>1</v>
      </c>
      <c r="AL94" s="265"/>
      <c r="AM94" s="265"/>
      <c r="AN94" s="75"/>
    </row>
    <row r="95" spans="1:40" s="6" customFormat="1" ht="11.25" x14ac:dyDescent="0.2">
      <c r="A95" s="56">
        <f t="shared" si="46"/>
        <v>45738</v>
      </c>
      <c r="B95" s="411">
        <f>'2024'!Wh/'2024'!Env_an*'2025'!Env_an</f>
        <v>26.015025363226069</v>
      </c>
      <c r="C95" s="846"/>
      <c r="D95" s="393">
        <f t="shared" si="25"/>
        <v>27.49671290534063</v>
      </c>
      <c r="E95" s="385">
        <f t="shared" si="47"/>
        <v>30.433770747345307</v>
      </c>
      <c r="F95" s="385">
        <f t="shared" si="26"/>
        <v>30.474622850462229</v>
      </c>
      <c r="G95" s="110">
        <f t="shared" si="48"/>
        <v>0.86393254169747824</v>
      </c>
      <c r="H95" s="414" t="b">
        <f>Wh_hp&gt;='2024'!Maxi_hp</f>
        <v>0</v>
      </c>
      <c r="I95" s="390">
        <f>IF(H95,Wh_hp,'2024'!Maxi_hp)</f>
        <v>34.33751568572859</v>
      </c>
      <c r="J95" s="85">
        <f>IF(H95,An,'2024'!An_max)</f>
        <v>2019</v>
      </c>
      <c r="K95" s="197">
        <f t="shared" si="27"/>
        <v>45738</v>
      </c>
      <c r="L95" s="147">
        <f>IF(t&lt;Tvie,1-EXP((T0-t)*PertePVj)+'2024'!Pspv,1-EXP((T0-t)*PertePVj)+Pspv)</f>
        <v>5.3885988016654007E-2</v>
      </c>
      <c r="M95" s="850"/>
      <c r="N95" s="850"/>
      <c r="O95" s="48">
        <f>IF(t&lt;Tnet,'2024'!Resal+('2024'!Salim-'2024'!Resal)*(1-EXP(('2024'!Tnet-t)/('2024'!Tau_j))),Resal+(Salim-Resal)*(1-EXP((Tnet-t)/(Tau_j))))*Salcycl</f>
        <v>9.6506537635034029E-2</v>
      </c>
      <c r="P95" s="169">
        <f>(INDEX(Models!$BJ95:$BT95,,T95)*(1-R95)+INDEX(Models!$BJ95:$BT95,,T95+1)*R95-ERP_i)*Q95*Ramure*Pc/MaxiM</f>
        <v>1.6631522517732565E-3</v>
      </c>
      <c r="Q95" s="305">
        <f t="shared" si="28"/>
        <v>0.7</v>
      </c>
      <c r="R95" s="177">
        <f t="shared" si="29"/>
        <v>0.61733303024959985</v>
      </c>
      <c r="S95" s="817">
        <f t="shared" si="30"/>
        <v>0</v>
      </c>
      <c r="T95" s="176">
        <f t="shared" si="31"/>
        <v>6</v>
      </c>
      <c r="U95" s="251">
        <f t="shared" si="32"/>
        <v>0.61733303024959985</v>
      </c>
      <c r="V95" s="383">
        <f t="shared" si="33"/>
        <v>30.102606139906513</v>
      </c>
      <c r="W95" s="402">
        <f t="shared" si="34"/>
        <v>26.015025363226069</v>
      </c>
      <c r="X95" s="157">
        <f t="shared" si="35"/>
        <v>45738</v>
      </c>
      <c r="Y95" s="385">
        <f t="shared" si="36"/>
        <v>25.068579507874269</v>
      </c>
      <c r="Z95" s="385">
        <f t="shared" si="37"/>
        <v>26.496362161810513</v>
      </c>
      <c r="AA95" s="386">
        <f t="shared" si="38"/>
        <v>30.433770747345307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0.12937629773918988</v>
      </c>
      <c r="AD95" s="231">
        <f>(INDEX(Models!$BJ95:$BT95,,AH95)*(1-AF95)+INDEX(Models!$BJ95:$BT95,,AH95+1)*AF95-ERP_i)*AE95*Ramure*Pc/MaxiM</f>
        <v>1.6631522517732565E-3</v>
      </c>
      <c r="AE95" s="305">
        <f t="shared" si="40"/>
        <v>0.7</v>
      </c>
      <c r="AF95" s="177">
        <f t="shared" si="41"/>
        <v>0.61733303024959985</v>
      </c>
      <c r="AG95" s="817">
        <f t="shared" si="49"/>
        <v>0</v>
      </c>
      <c r="AH95" s="176">
        <f t="shared" si="42"/>
        <v>6</v>
      </c>
      <c r="AI95" s="225">
        <f t="shared" si="43"/>
        <v>0.61733303024959985</v>
      </c>
      <c r="AJ95" s="265" t="b">
        <f t="shared" si="44"/>
        <v>1</v>
      </c>
      <c r="AK95" s="265" t="b">
        <f t="shared" si="45"/>
        <v>1</v>
      </c>
      <c r="AL95" s="265"/>
      <c r="AM95" s="265"/>
      <c r="AN95" s="75"/>
    </row>
    <row r="96" spans="1:40" s="6" customFormat="1" ht="11.25" x14ac:dyDescent="0.2">
      <c r="A96" s="56">
        <f t="shared" si="46"/>
        <v>45739</v>
      </c>
      <c r="B96" s="411">
        <f>'2024'!Wh/'2024'!Env_an*'2025'!Env_an</f>
        <v>29.226507101021554</v>
      </c>
      <c r="C96" s="846"/>
      <c r="D96" s="393">
        <f t="shared" si="25"/>
        <v>30.891781413623445</v>
      </c>
      <c r="E96" s="385">
        <f t="shared" si="47"/>
        <v>34.194328192158153</v>
      </c>
      <c r="F96" s="385">
        <f t="shared" si="26"/>
        <v>34.236752344375198</v>
      </c>
      <c r="G96" s="110">
        <f t="shared" si="48"/>
        <v>0.96327641431078892</v>
      </c>
      <c r="H96" s="414" t="b">
        <f>Wh_hp&gt;='2024'!Maxi_hp</f>
        <v>0</v>
      </c>
      <c r="I96" s="390">
        <f>IF(H96,Wh_hp,'2024'!Maxi_hp)</f>
        <v>36.330998993590491</v>
      </c>
      <c r="J96" s="85">
        <f>IF(H96,An,'2024'!An_max)</f>
        <v>2021</v>
      </c>
      <c r="K96" s="197">
        <f t="shared" si="27"/>
        <v>45739</v>
      </c>
      <c r="L96" s="147">
        <f>IF(t&lt;Tvie,1-EXP((T0-t)*PertePVj)+'2024'!Pspv,1-EXP((T0-t)*PertePVj)+Pspv)</f>
        <v>5.3906710341654063E-2</v>
      </c>
      <c r="M96" s="850"/>
      <c r="N96" s="850"/>
      <c r="O96" s="48">
        <f>IF(t&lt;Tnet,'2024'!Resal+('2024'!Salim-'2024'!Resal)*(1-EXP(('2024'!Tnet-t)/('2024'!Tau_j))),Resal+(Salim-Resal)*(1-EXP((Tnet-t)/(Tau_j))))*Salcycl</f>
        <v>9.6581712615488355E-2</v>
      </c>
      <c r="P96" s="169">
        <f>(INDEX(Models!$BJ96:$BT96,,T96)*(1-R96)+INDEX(Models!$BJ96:$BT96,,T96+1)*R96-ERP_i)*Q96*Ramure*Pc/MaxiM</f>
        <v>1.3076178847669752E-3</v>
      </c>
      <c r="Q96" s="305">
        <f t="shared" si="28"/>
        <v>0.7</v>
      </c>
      <c r="R96" s="177">
        <f t="shared" si="29"/>
        <v>0.61806106995189447</v>
      </c>
      <c r="S96" s="817">
        <f t="shared" si="30"/>
        <v>0</v>
      </c>
      <c r="T96" s="176">
        <f t="shared" si="31"/>
        <v>6</v>
      </c>
      <c r="U96" s="251">
        <f t="shared" si="32"/>
        <v>0.61806106995189447</v>
      </c>
      <c r="V96" s="383">
        <f t="shared" si="33"/>
        <v>30.338647177485836</v>
      </c>
      <c r="W96" s="402">
        <f t="shared" si="34"/>
        <v>29.226507101021554</v>
      </c>
      <c r="X96" s="157">
        <f t="shared" si="35"/>
        <v>45739</v>
      </c>
      <c r="Y96" s="385">
        <f t="shared" si="36"/>
        <v>28.164522856926833</v>
      </c>
      <c r="Z96" s="385">
        <f t="shared" si="37"/>
        <v>29.769287199043163</v>
      </c>
      <c r="AA96" s="386">
        <f t="shared" si="38"/>
        <v>34.194328192158153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0.12940862496985081</v>
      </c>
      <c r="AD96" s="231">
        <f>(INDEX(Models!$BJ96:$BT96,,AH96)*(1-AF96)+INDEX(Models!$BJ96:$BT96,,AH96+1)*AF96-ERP_i)*AE96*Ramure*Pc/MaxiM</f>
        <v>1.3076178847669752E-3</v>
      </c>
      <c r="AE96" s="305">
        <f t="shared" si="40"/>
        <v>0.7</v>
      </c>
      <c r="AF96" s="177">
        <f t="shared" si="41"/>
        <v>0.61806106995189447</v>
      </c>
      <c r="AG96" s="817">
        <f t="shared" si="49"/>
        <v>0</v>
      </c>
      <c r="AH96" s="176">
        <f t="shared" si="42"/>
        <v>6</v>
      </c>
      <c r="AI96" s="225">
        <f t="shared" si="43"/>
        <v>0.61806106995189447</v>
      </c>
      <c r="AJ96" s="265" t="b">
        <f t="shared" si="44"/>
        <v>1</v>
      </c>
      <c r="AK96" s="265" t="b">
        <f t="shared" si="45"/>
        <v>1</v>
      </c>
      <c r="AL96" s="265"/>
      <c r="AM96" s="265"/>
      <c r="AN96" s="75"/>
    </row>
    <row r="97" spans="1:40" s="6" customFormat="1" ht="11.25" x14ac:dyDescent="0.2">
      <c r="A97" s="56">
        <f t="shared" si="46"/>
        <v>45740</v>
      </c>
      <c r="B97" s="411">
        <f>'2024'!Wh/'2024'!Env_an*'2025'!Env_an</f>
        <v>28.940662172754678</v>
      </c>
      <c r="C97" s="846"/>
      <c r="D97" s="393">
        <f t="shared" si="25"/>
        <v>30.590319557033968</v>
      </c>
      <c r="E97" s="385">
        <f t="shared" si="47"/>
        <v>33.863474989671445</v>
      </c>
      <c r="F97" s="385">
        <f t="shared" si="26"/>
        <v>33.895115952027268</v>
      </c>
      <c r="G97" s="110">
        <f t="shared" si="48"/>
        <v>0.94660548260420652</v>
      </c>
      <c r="H97" s="414" t="b">
        <f>Wh_hp&gt;='2024'!Maxi_hp</f>
        <v>0</v>
      </c>
      <c r="I97" s="390">
        <f>IF(H97,Wh_hp,'2024'!Maxi_hp)</f>
        <v>35.972058370872873</v>
      </c>
      <c r="J97" s="85">
        <f>IF(H97,An,'2024'!An_max)</f>
        <v>2021</v>
      </c>
      <c r="K97" s="197">
        <f t="shared" si="27"/>
        <v>45740</v>
      </c>
      <c r="L97" s="147">
        <f>IF(t&lt;Tvie,1-EXP((T0-t)*PertePVj)+'2024'!Pspv,1-EXP((T0-t)*PertePVj)+Pspv)</f>
        <v>5.3927432212782067E-2</v>
      </c>
      <c r="M97" s="850"/>
      <c r="N97" s="850"/>
      <c r="O97" s="48">
        <f>IF(t&lt;Tnet,'2024'!Resal+('2024'!Salim-'2024'!Resal)*(1-EXP(('2024'!Tnet-t)/('2024'!Tau_j))),Resal+(Salim-Resal)*(1-EXP((Tnet-t)/(Tau_j))))*Salcycl</f>
        <v>9.6657399562088922E-2</v>
      </c>
      <c r="P97" s="169">
        <f>(INDEX(Models!$BJ97:$BT97,,T97)*(1-R97)+INDEX(Models!$BJ97:$BT97,,T97+1)*R97-ERP_i)*Q97*Ramure*Pc/MaxiM</f>
        <v>1.0104672290276633E-3</v>
      </c>
      <c r="Q97" s="305">
        <f t="shared" si="28"/>
        <v>0.7</v>
      </c>
      <c r="R97" s="177">
        <f t="shared" si="29"/>
        <v>0.61881732040445436</v>
      </c>
      <c r="S97" s="817">
        <f t="shared" si="30"/>
        <v>0</v>
      </c>
      <c r="T97" s="176">
        <f t="shared" si="31"/>
        <v>6</v>
      </c>
      <c r="U97" s="251">
        <f t="shared" si="32"/>
        <v>0.61881732040445436</v>
      </c>
      <c r="V97" s="383">
        <f t="shared" si="33"/>
        <v>30.570742543723025</v>
      </c>
      <c r="W97" s="402">
        <f t="shared" si="34"/>
        <v>28.940662172754678</v>
      </c>
      <c r="X97" s="157">
        <f t="shared" si="35"/>
        <v>45740</v>
      </c>
      <c r="Y97" s="385">
        <f t="shared" si="36"/>
        <v>27.890340829884021</v>
      </c>
      <c r="Z97" s="385">
        <f t="shared" si="37"/>
        <v>29.48012845897976</v>
      </c>
      <c r="AA97" s="386">
        <f t="shared" si="38"/>
        <v>33.863474989671445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0.12944172244663696</v>
      </c>
      <c r="AD97" s="231">
        <f>(INDEX(Models!$BJ97:$BT97,,AH97)*(1-AF97)+INDEX(Models!$BJ97:$BT97,,AH97+1)*AF97-ERP_i)*AE97*Ramure*Pc/MaxiM</f>
        <v>1.0104672290276633E-3</v>
      </c>
      <c r="AE97" s="305">
        <f t="shared" si="40"/>
        <v>0.7</v>
      </c>
      <c r="AF97" s="177">
        <f t="shared" si="41"/>
        <v>0.61881732040445436</v>
      </c>
      <c r="AG97" s="817">
        <f t="shared" si="49"/>
        <v>0</v>
      </c>
      <c r="AH97" s="176">
        <f t="shared" si="42"/>
        <v>6</v>
      </c>
      <c r="AI97" s="225">
        <f t="shared" si="43"/>
        <v>0.61881732040445436</v>
      </c>
      <c r="AJ97" s="265" t="b">
        <f t="shared" si="44"/>
        <v>1</v>
      </c>
      <c r="AK97" s="265" t="b">
        <f t="shared" si="45"/>
        <v>1</v>
      </c>
      <c r="AL97" s="265"/>
      <c r="AM97" s="265"/>
      <c r="AN97" s="75"/>
    </row>
    <row r="98" spans="1:40" s="6" customFormat="1" ht="11.25" x14ac:dyDescent="0.2">
      <c r="A98" s="56">
        <f t="shared" si="46"/>
        <v>45741</v>
      </c>
      <c r="B98" s="411">
        <f>'2024'!Wh/'2024'!Env_an*'2025'!Env_an</f>
        <v>25.850566697363092</v>
      </c>
      <c r="C98" s="846"/>
      <c r="D98" s="393">
        <f t="shared" si="25"/>
        <v>27.324682887679991</v>
      </c>
      <c r="E98" s="385">
        <f t="shared" si="47"/>
        <v>30.250969159082693</v>
      </c>
      <c r="F98" s="385">
        <f t="shared" si="26"/>
        <v>30.268937901927515</v>
      </c>
      <c r="G98" s="110">
        <f t="shared" si="48"/>
        <v>0.83919835742606375</v>
      </c>
      <c r="H98" s="414" t="b">
        <f>Wh_hp&gt;='2024'!Maxi_hp</f>
        <v>0</v>
      </c>
      <c r="I98" s="390">
        <f>IF(H98,Wh_hp,'2024'!Maxi_hp)</f>
        <v>33.539793588319633</v>
      </c>
      <c r="J98" s="85">
        <f>IF(H98,An,'2024'!An_max)</f>
        <v>2020</v>
      </c>
      <c r="K98" s="197">
        <f t="shared" si="27"/>
        <v>45741</v>
      </c>
      <c r="L98" s="147">
        <f>IF(t&lt;Tvie,1-EXP((T0-t)*PertePVj)+'2024'!Pspv,1-EXP((T0-t)*PertePVj)+Pspv)</f>
        <v>5.394815363004779E-2</v>
      </c>
      <c r="M98" s="850"/>
      <c r="N98" s="850"/>
      <c r="O98" s="48">
        <f>IF(t&lt;Tnet,'2024'!Resal+('2024'!Salim-'2024'!Resal)*(1-EXP(('2024'!Tnet-t)/('2024'!Tau_j))),Resal+(Salim-Resal)*(1-EXP((Tnet-t)/(Tau_j))))*Salcycl</f>
        <v>9.6733637061809638E-2</v>
      </c>
      <c r="P98" s="169">
        <f>(INDEX(Models!$BJ98:$BT98,,T98)*(1-R98)+INDEX(Models!$BJ98:$BT98,,T98+1)*R98-ERP_i)*Q98*Ramure*Pc/MaxiM</f>
        <v>7.7046052886591086E-4</v>
      </c>
      <c r="Q98" s="305">
        <f t="shared" si="28"/>
        <v>0.7</v>
      </c>
      <c r="R98" s="177">
        <f t="shared" si="29"/>
        <v>0.61960277723970159</v>
      </c>
      <c r="S98" s="817">
        <f t="shared" si="30"/>
        <v>0</v>
      </c>
      <c r="T98" s="176">
        <f t="shared" si="31"/>
        <v>6</v>
      </c>
      <c r="U98" s="251">
        <f t="shared" si="32"/>
        <v>0.61960277723970159</v>
      </c>
      <c r="V98" s="383">
        <f t="shared" si="33"/>
        <v>30.798431323388755</v>
      </c>
      <c r="W98" s="402">
        <f t="shared" si="34"/>
        <v>25.850566697363092</v>
      </c>
      <c r="X98" s="157">
        <f t="shared" si="35"/>
        <v>45741</v>
      </c>
      <c r="Y98" s="385">
        <f t="shared" si="36"/>
        <v>24.913523786227074</v>
      </c>
      <c r="Z98" s="385">
        <f t="shared" si="37"/>
        <v>26.334205553132737</v>
      </c>
      <c r="AA98" s="386">
        <f t="shared" si="38"/>
        <v>30.250969159082693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0.12947564044486062</v>
      </c>
      <c r="AD98" s="231">
        <f>(INDEX(Models!$BJ98:$BT98,,AH98)*(1-AF98)+INDEX(Models!$BJ98:$BT98,,AH98+1)*AF98-ERP_i)*AE98*Ramure*Pc/MaxiM</f>
        <v>7.7046052886591086E-4</v>
      </c>
      <c r="AE98" s="305">
        <f t="shared" si="40"/>
        <v>0.7</v>
      </c>
      <c r="AF98" s="177">
        <f t="shared" si="41"/>
        <v>0.61960277723970159</v>
      </c>
      <c r="AG98" s="817">
        <f t="shared" si="49"/>
        <v>0</v>
      </c>
      <c r="AH98" s="176">
        <f t="shared" si="42"/>
        <v>6</v>
      </c>
      <c r="AI98" s="225">
        <f t="shared" si="43"/>
        <v>0.61960277723970159</v>
      </c>
      <c r="AJ98" s="265" t="b">
        <f t="shared" si="44"/>
        <v>1</v>
      </c>
      <c r="AK98" s="265" t="b">
        <f t="shared" si="45"/>
        <v>1</v>
      </c>
      <c r="AL98" s="265"/>
      <c r="AM98" s="265"/>
      <c r="AN98" s="75"/>
    </row>
    <row r="99" spans="1:40" s="6" customFormat="1" ht="11.25" x14ac:dyDescent="0.2">
      <c r="A99" s="56">
        <f t="shared" si="46"/>
        <v>45742</v>
      </c>
      <c r="B99" s="411">
        <f>'2024'!Wh/'2024'!Env_an*'2025'!Env_an</f>
        <v>27.511526694059082</v>
      </c>
      <c r="C99" s="846"/>
      <c r="D99" s="393">
        <f t="shared" si="25"/>
        <v>29.080995281457081</v>
      </c>
      <c r="E99" s="385">
        <f t="shared" si="47"/>
        <v>32.198109162030754</v>
      </c>
      <c r="F99" s="385">
        <f t="shared" si="26"/>
        <v>32.213946854675136</v>
      </c>
      <c r="G99" s="110">
        <f t="shared" si="48"/>
        <v>0.88677650857608481</v>
      </c>
      <c r="H99" s="414" t="b">
        <f>Wh_hp&gt;='2024'!Maxi_hp</f>
        <v>0</v>
      </c>
      <c r="I99" s="390">
        <f>IF(H99,Wh_hp,'2024'!Maxi_hp)</f>
        <v>37.971121713669092</v>
      </c>
      <c r="J99" s="85">
        <f>IF(H99,An,'2024'!An_max)</f>
        <v>2019</v>
      </c>
      <c r="K99" s="197">
        <f t="shared" si="27"/>
        <v>45742</v>
      </c>
      <c r="L99" s="147">
        <f>IF(t&lt;Tvie,1-EXP((T0-t)*PertePVj)+'2024'!Pspv,1-EXP((T0-t)*PertePVj)+Pspv)</f>
        <v>5.3968874593461336E-2</v>
      </c>
      <c r="M99" s="850"/>
      <c r="N99" s="850"/>
      <c r="O99" s="48">
        <f>IF(t&lt;Tnet,'2024'!Resal+('2024'!Salim-'2024'!Resal)*(1-EXP(('2024'!Tnet-t)/('2024'!Tau_j))),Resal+(Salim-Resal)*(1-EXP((Tnet-t)/(Tau_j))))*Salcycl</f>
        <v>9.6810463772496733E-2</v>
      </c>
      <c r="P99" s="169">
        <f>(INDEX(Models!$BJ99:$BT99,,T99)*(1-R99)+INDEX(Models!$BJ99:$BT99,,T99+1)*R99-ERP_i)*Q99*Ramure*Pc/MaxiM</f>
        <v>5.8642307791294691E-4</v>
      </c>
      <c r="Q99" s="305">
        <f t="shared" si="28"/>
        <v>0.7</v>
      </c>
      <c r="R99" s="177">
        <f t="shared" si="29"/>
        <v>0.62041846324110517</v>
      </c>
      <c r="S99" s="817">
        <f t="shared" si="30"/>
        <v>0</v>
      </c>
      <c r="T99" s="176">
        <f t="shared" si="31"/>
        <v>6</v>
      </c>
      <c r="U99" s="251">
        <f t="shared" si="32"/>
        <v>0.62041846324110517</v>
      </c>
      <c r="V99" s="383">
        <f t="shared" si="33"/>
        <v>31.021252301969938</v>
      </c>
      <c r="W99" s="402">
        <f t="shared" si="34"/>
        <v>27.511526694059082</v>
      </c>
      <c r="X99" s="157">
        <f t="shared" si="35"/>
        <v>45742</v>
      </c>
      <c r="Y99" s="385">
        <f t="shared" si="36"/>
        <v>26.51547222642548</v>
      </c>
      <c r="Z99" s="385">
        <f t="shared" si="37"/>
        <v>28.028118223944237</v>
      </c>
      <c r="AA99" s="386">
        <f t="shared" si="38"/>
        <v>32.198109162030754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0.12951042923364983</v>
      </c>
      <c r="AD99" s="231">
        <f>(INDEX(Models!$BJ99:$BT99,,AH99)*(1-AF99)+INDEX(Models!$BJ99:$BT99,,AH99+1)*AF99-ERP_i)*AE99*Ramure*Pc/MaxiM</f>
        <v>5.8642307791294691E-4</v>
      </c>
      <c r="AE99" s="305">
        <f t="shared" si="40"/>
        <v>0.7</v>
      </c>
      <c r="AF99" s="177">
        <f t="shared" si="41"/>
        <v>0.62041846324110517</v>
      </c>
      <c r="AG99" s="817">
        <f t="shared" si="49"/>
        <v>0</v>
      </c>
      <c r="AH99" s="176">
        <f t="shared" si="42"/>
        <v>6</v>
      </c>
      <c r="AI99" s="225">
        <f t="shared" si="43"/>
        <v>0.62041846324110517</v>
      </c>
      <c r="AJ99" s="265" t="b">
        <f t="shared" si="44"/>
        <v>1</v>
      </c>
      <c r="AK99" s="265" t="b">
        <f t="shared" si="45"/>
        <v>1</v>
      </c>
      <c r="AL99" s="265"/>
      <c r="AM99" s="265"/>
      <c r="AN99" s="75"/>
    </row>
    <row r="100" spans="1:40" s="6" customFormat="1" ht="11.25" x14ac:dyDescent="0.2">
      <c r="A100" s="56">
        <f t="shared" si="46"/>
        <v>45743</v>
      </c>
      <c r="B100" s="411">
        <f>'2024'!Wh/'2024'!Env_an*'2025'!Env_an</f>
        <v>27.444695332746146</v>
      </c>
      <c r="C100" s="846"/>
      <c r="D100" s="393">
        <f t="shared" si="25"/>
        <v>29.010986761541197</v>
      </c>
      <c r="E100" s="385">
        <f t="shared" si="47"/>
        <v>32.123351408934951</v>
      </c>
      <c r="F100" s="385">
        <f t="shared" si="26"/>
        <v>32.135498958625845</v>
      </c>
      <c r="G100" s="110">
        <f t="shared" si="48"/>
        <v>0.87847705460221348</v>
      </c>
      <c r="H100" s="414" t="b">
        <f>Wh_hp&gt;='2024'!Maxi_hp</f>
        <v>0</v>
      </c>
      <c r="I100" s="390">
        <f>IF(H100,Wh_hp,'2024'!Maxi_hp)</f>
        <v>37.339002876856433</v>
      </c>
      <c r="J100" s="85">
        <f>IF(H100,An,'2024'!An_max)</f>
        <v>2019</v>
      </c>
      <c r="K100" s="197">
        <f t="shared" si="27"/>
        <v>45743</v>
      </c>
      <c r="L100" s="147">
        <f>IF(t&lt;Tvie,1-EXP((T0-t)*PertePVj)+'2024'!Pspv,1-EXP((T0-t)*PertePVj)+Pspv)</f>
        <v>5.3989595103032695E-2</v>
      </c>
      <c r="M100" s="850"/>
      <c r="N100" s="850"/>
      <c r="O100" s="48">
        <f>IF(t&lt;Tnet,'2024'!Resal+('2024'!Salim-'2024'!Resal)*(1-EXP(('2024'!Tnet-t)/('2024'!Tau_j))),Resal+(Salim-Resal)*(1-EXP((Tnet-t)/(Tau_j))))*Salcycl</f>
        <v>9.6887918317515934E-2</v>
      </c>
      <c r="P100" s="169">
        <f>(INDEX(Models!$BJ100:$BT100,,T100)*(1-R100)+INDEX(Models!$BJ100:$BT100,,T100+1)*R100-ERP_i)*Q100*Ramure*Pc/MaxiM</f>
        <v>4.5736526905543017E-4</v>
      </c>
      <c r="Q100" s="305">
        <f t="shared" si="28"/>
        <v>0.7</v>
      </c>
      <c r="R100" s="177">
        <f t="shared" si="29"/>
        <v>0.62126542840906973</v>
      </c>
      <c r="S100" s="817">
        <f t="shared" si="30"/>
        <v>0</v>
      </c>
      <c r="T100" s="176">
        <f t="shared" si="31"/>
        <v>6</v>
      </c>
      <c r="U100" s="251">
        <f t="shared" si="32"/>
        <v>0.62126542840906973</v>
      </c>
      <c r="V100" s="383">
        <f t="shared" si="33"/>
        <v>31.238740377493237</v>
      </c>
      <c r="W100" s="402">
        <f t="shared" si="34"/>
        <v>27.444695332746146</v>
      </c>
      <c r="X100" s="157">
        <f t="shared" si="35"/>
        <v>45743</v>
      </c>
      <c r="Y100" s="385">
        <f t="shared" si="36"/>
        <v>26.452243860608206</v>
      </c>
      <c r="Z100" s="385">
        <f t="shared" si="37"/>
        <v>27.961895264237814</v>
      </c>
      <c r="AA100" s="386">
        <f t="shared" si="38"/>
        <v>32.123351408934951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0.1295461389355424</v>
      </c>
      <c r="AD100" s="231">
        <f>(INDEX(Models!$BJ100:$BT100,,AH100)*(1-AF100)+INDEX(Models!$BJ100:$BT100,,AH100+1)*AF100-ERP_i)*AE100*Ramure*Pc/MaxiM</f>
        <v>4.5736526905543017E-4</v>
      </c>
      <c r="AE100" s="305">
        <f t="shared" si="40"/>
        <v>0.7</v>
      </c>
      <c r="AF100" s="177">
        <f t="shared" si="41"/>
        <v>0.62126542840906973</v>
      </c>
      <c r="AG100" s="817">
        <f t="shared" si="49"/>
        <v>0</v>
      </c>
      <c r="AH100" s="176">
        <f t="shared" si="42"/>
        <v>6</v>
      </c>
      <c r="AI100" s="225">
        <f t="shared" si="43"/>
        <v>0.62126542840906973</v>
      </c>
      <c r="AJ100" s="265" t="b">
        <f t="shared" si="44"/>
        <v>1</v>
      </c>
      <c r="AK100" s="265" t="b">
        <f t="shared" si="45"/>
        <v>1</v>
      </c>
      <c r="AL100" s="265"/>
      <c r="AM100" s="265"/>
      <c r="AN100" s="75"/>
    </row>
    <row r="101" spans="1:40" s="6" customFormat="1" ht="11.25" x14ac:dyDescent="0.2">
      <c r="A101" s="56">
        <f t="shared" si="46"/>
        <v>45744</v>
      </c>
      <c r="B101" s="411">
        <f>'2024'!Wh/'2024'!Env_an*'2025'!Env_an</f>
        <v>21.207007586066357</v>
      </c>
      <c r="C101" s="846"/>
      <c r="D101" s="393">
        <f t="shared" si="25"/>
        <v>22.417800030901677</v>
      </c>
      <c r="E101" s="385">
        <f t="shared" si="47"/>
        <v>24.824980015858294</v>
      </c>
      <c r="F101" s="385">
        <f t="shared" si="26"/>
        <v>24.829563719398053</v>
      </c>
      <c r="G101" s="110">
        <f t="shared" si="48"/>
        <v>0.67416606877186824</v>
      </c>
      <c r="H101" s="414" t="b">
        <f>Wh_hp&gt;='2024'!Maxi_hp</f>
        <v>0</v>
      </c>
      <c r="I101" s="390">
        <f>IF(H101,Wh_hp,'2024'!Maxi_hp)</f>
        <v>36.534422327632868</v>
      </c>
      <c r="J101" s="85">
        <f>IF(H101,An,'2024'!An_max)</f>
        <v>2019</v>
      </c>
      <c r="K101" s="197">
        <f t="shared" si="27"/>
        <v>45744</v>
      </c>
      <c r="L101" s="147">
        <f>IF(t&lt;Tvie,1-EXP((T0-t)*PertePVj)+'2024'!Pspv,1-EXP((T0-t)*PertePVj)+Pspv)</f>
        <v>5.4010315158771638E-2</v>
      </c>
      <c r="M101" s="850"/>
      <c r="N101" s="850"/>
      <c r="O101" s="48">
        <f>IF(t&lt;Tnet,'2024'!Resal+('2024'!Salim-'2024'!Resal)*(1-EXP(('2024'!Tnet-t)/('2024'!Tau_j))),Resal+(Salim-Resal)*(1-EXP((Tnet-t)/(Tau_j))))*Salcycl</f>
        <v>9.6966039183874517E-2</v>
      </c>
      <c r="P101" s="169">
        <f>(INDEX(Models!$BJ101:$BT101,,T101)*(1-R101)+INDEX(Models!$BJ101:$BT101,,T101+1)*R101-ERP_i)*Q101*Ramure*Pc/MaxiM</f>
        <v>3.4526720461842622E-4</v>
      </c>
      <c r="Q101" s="305">
        <f t="shared" si="28"/>
        <v>0.7</v>
      </c>
      <c r="R101" s="177">
        <f t="shared" si="29"/>
        <v>0.62214474995873403</v>
      </c>
      <c r="S101" s="817">
        <f t="shared" si="30"/>
        <v>0</v>
      </c>
      <c r="T101" s="176">
        <f t="shared" si="31"/>
        <v>6</v>
      </c>
      <c r="U101" s="251">
        <f t="shared" si="32"/>
        <v>0.62214474995873403</v>
      </c>
      <c r="V101" s="383">
        <f t="shared" si="33"/>
        <v>31.451597477781711</v>
      </c>
      <c r="W101" s="402">
        <f t="shared" si="34"/>
        <v>21.207007586066357</v>
      </c>
      <c r="X101" s="157">
        <f t="shared" si="35"/>
        <v>45744</v>
      </c>
      <c r="Y101" s="385">
        <f t="shared" si="36"/>
        <v>20.441029411044155</v>
      </c>
      <c r="Z101" s="385">
        <f t="shared" si="37"/>
        <v>21.608089114074122</v>
      </c>
      <c r="AA101" s="386">
        <f t="shared" si="38"/>
        <v>24.824980015858294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0.12958281939116198</v>
      </c>
      <c r="AD101" s="231">
        <f>(INDEX(Models!$BJ101:$BT101,,AH101)*(1-AF101)+INDEX(Models!$BJ101:$BT101,,AH101+1)*AF101-ERP_i)*AE101*Ramure*Pc/MaxiM</f>
        <v>3.4526720461842622E-4</v>
      </c>
      <c r="AE101" s="305">
        <f t="shared" si="40"/>
        <v>0.7</v>
      </c>
      <c r="AF101" s="177">
        <f t="shared" si="41"/>
        <v>0.62214474995873403</v>
      </c>
      <c r="AG101" s="817">
        <f t="shared" si="49"/>
        <v>0</v>
      </c>
      <c r="AH101" s="176">
        <f t="shared" si="42"/>
        <v>6</v>
      </c>
      <c r="AI101" s="225">
        <f t="shared" si="43"/>
        <v>0.62214474995873403</v>
      </c>
      <c r="AJ101" s="265" t="b">
        <f t="shared" si="44"/>
        <v>1</v>
      </c>
      <c r="AK101" s="265" t="b">
        <f t="shared" si="45"/>
        <v>1</v>
      </c>
      <c r="AL101" s="265"/>
      <c r="AM101" s="265"/>
      <c r="AN101" s="75"/>
    </row>
    <row r="102" spans="1:40" s="6" customFormat="1" ht="11.25" x14ac:dyDescent="0.2">
      <c r="A102" s="56">
        <f t="shared" si="46"/>
        <v>45745</v>
      </c>
      <c r="B102" s="411">
        <f>'2024'!Wh/'2024'!Env_an*'2025'!Env_an</f>
        <v>17.060750765990193</v>
      </c>
      <c r="C102" s="846"/>
      <c r="D102" s="393">
        <f t="shared" si="25"/>
        <v>18.035211928621944</v>
      </c>
      <c r="E102" s="385">
        <f t="shared" si="47"/>
        <v>19.973541565952821</v>
      </c>
      <c r="F102" s="385">
        <f t="shared" si="26"/>
        <v>19.975244301784457</v>
      </c>
      <c r="G102" s="110">
        <f t="shared" si="48"/>
        <v>0.53879612972519586</v>
      </c>
      <c r="H102" s="414" t="b">
        <f>Wh_hp&gt;='2024'!Maxi_hp</f>
        <v>0</v>
      </c>
      <c r="I102" s="390">
        <f>IF(H102,Wh_hp,'2024'!Maxi_hp)</f>
        <v>36.692193713560719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5.4031034760688157E-2</v>
      </c>
      <c r="M102" s="850"/>
      <c r="N102" s="850"/>
      <c r="O102" s="48">
        <f>IF(t&lt;Tnet,'2024'!Resal+('2024'!Salim-'2024'!Resal)*(1-EXP(('2024'!Tnet-t)/('2024'!Tau_j))),Resal+(Salim-Resal)*(1-EXP((Tnet-t)/(Tau_j))))*Salcycl</f>
        <v>9.7044864624057633E-2</v>
      </c>
      <c r="P102" s="169">
        <f>(INDEX(Models!$BJ102:$BT102,,T102)*(1-R102)+INDEX(Models!$BJ102:$BT102,,T102+1)*R102-ERP_i)*Q102*Ramure*Pc/MaxiM</f>
        <v>2.4978404097967941E-4</v>
      </c>
      <c r="Q102" s="305">
        <f t="shared" si="28"/>
        <v>0.7</v>
      </c>
      <c r="R102" s="177">
        <f t="shared" si="29"/>
        <v>0.62305753224312044</v>
      </c>
      <c r="S102" s="817">
        <f t="shared" si="30"/>
        <v>0</v>
      </c>
      <c r="T102" s="176">
        <f t="shared" si="31"/>
        <v>6</v>
      </c>
      <c r="U102" s="251">
        <f t="shared" si="32"/>
        <v>0.62305753224312044</v>
      </c>
      <c r="V102" s="383">
        <f t="shared" si="33"/>
        <v>31.65936498058867</v>
      </c>
      <c r="W102" s="402">
        <f t="shared" si="34"/>
        <v>17.060750765990193</v>
      </c>
      <c r="X102" s="157">
        <f t="shared" si="35"/>
        <v>45745</v>
      </c>
      <c r="Y102" s="385">
        <f t="shared" si="36"/>
        <v>16.445254916713246</v>
      </c>
      <c r="Z102" s="385">
        <f t="shared" si="37"/>
        <v>17.384560721347675</v>
      </c>
      <c r="AA102" s="386">
        <f t="shared" si="38"/>
        <v>19.973541565952821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0.12962052002927513</v>
      </c>
      <c r="AD102" s="231">
        <f>(INDEX(Models!$BJ102:$BT102,,AH102)*(1-AF102)+INDEX(Models!$BJ102:$BT102,,AH102+1)*AF102-ERP_i)*AE102*Ramure*Pc/MaxiM</f>
        <v>2.4978404097967941E-4</v>
      </c>
      <c r="AE102" s="305">
        <f t="shared" si="40"/>
        <v>0.7</v>
      </c>
      <c r="AF102" s="177">
        <f t="shared" si="41"/>
        <v>0.62305753224312044</v>
      </c>
      <c r="AG102" s="817">
        <f t="shared" si="49"/>
        <v>0</v>
      </c>
      <c r="AH102" s="176">
        <f t="shared" si="42"/>
        <v>6</v>
      </c>
      <c r="AI102" s="225">
        <f t="shared" si="43"/>
        <v>0.62305753224312044</v>
      </c>
      <c r="AJ102" s="265" t="b">
        <f t="shared" si="44"/>
        <v>1</v>
      </c>
      <c r="AK102" s="265" t="b">
        <f t="shared" si="45"/>
        <v>1</v>
      </c>
      <c r="AL102" s="265"/>
      <c r="AM102" s="265"/>
      <c r="AN102" s="75"/>
    </row>
    <row r="103" spans="1:40" s="6" customFormat="1" ht="11.25" x14ac:dyDescent="0.2">
      <c r="A103" s="56">
        <f t="shared" si="46"/>
        <v>45746</v>
      </c>
      <c r="B103" s="411">
        <f>'2024'!Wh/'2024'!Env_an*'2025'!Env_an</f>
        <v>4.2191083402000391</v>
      </c>
      <c r="C103" s="846"/>
      <c r="D103" s="393">
        <f t="shared" si="25"/>
        <v>4.4601894000374678</v>
      </c>
      <c r="E103" s="385">
        <f t="shared" si="47"/>
        <v>4.9399823861579897</v>
      </c>
      <c r="F103" s="385">
        <f t="shared" si="26"/>
        <v>4.9399823861579897</v>
      </c>
      <c r="G103" s="110">
        <f t="shared" si="48"/>
        <v>0.13239732676182259</v>
      </c>
      <c r="H103" s="414" t="b">
        <f>Wh_hp&gt;='2024'!Maxi_hp</f>
        <v>0</v>
      </c>
      <c r="I103" s="390">
        <f>IF(H103,Wh_hp,'2024'!Maxi_hp)</f>
        <v>36.462755841463355</v>
      </c>
      <c r="J103" s="85">
        <f>IF(H103,An,'2024'!An_max)</f>
        <v>2019</v>
      </c>
      <c r="K103" s="197">
        <f t="shared" si="27"/>
        <v>45746</v>
      </c>
      <c r="L103" s="147">
        <f>IF(t&lt;Tvie,1-EXP((T0-t)*PertePVj)+'2024'!Pspv,1-EXP((T0-t)*PertePVj)+Pspv)</f>
        <v>5.4051753908792244E-2</v>
      </c>
      <c r="M103" s="850"/>
      <c r="N103" s="850"/>
      <c r="O103" s="48">
        <f>IF(t&lt;Tnet,'2024'!Resal+('2024'!Salim-'2024'!Resal)*(1-EXP(('2024'!Tnet-t)/('2024'!Tau_j))),Resal+(Salim-Resal)*(1-EXP((Tnet-t)/(Tau_j))))*Salcycl</f>
        <v>9.7124432561727203E-2</v>
      </c>
      <c r="P103" s="169">
        <f>(INDEX(Models!$BJ103:$BT103,,T103)*(1-R103)+INDEX(Models!$BJ103:$BT103,,T103+1)*R103-ERP_i)*Q103*Ramure*Pc/MaxiM</f>
        <v>1.7059357669550233E-4</v>
      </c>
      <c r="Q103" s="305">
        <f t="shared" si="28"/>
        <v>0.7</v>
      </c>
      <c r="R103" s="177">
        <f t="shared" si="29"/>
        <v>0.62400490659473873</v>
      </c>
      <c r="S103" s="817">
        <f t="shared" si="30"/>
        <v>0</v>
      </c>
      <c r="T103" s="176">
        <f t="shared" si="31"/>
        <v>6</v>
      </c>
      <c r="U103" s="251">
        <f t="shared" si="32"/>
        <v>0.62400490659473873</v>
      </c>
      <c r="V103" s="383">
        <f t="shared" si="33"/>
        <v>31.861584297744386</v>
      </c>
      <c r="W103" s="402">
        <f t="shared" si="34"/>
        <v>4.2191083402000391</v>
      </c>
      <c r="X103" s="157">
        <f t="shared" si="35"/>
        <v>45746</v>
      </c>
      <c r="Y103" s="385">
        <f t="shared" si="36"/>
        <v>4.0670740043195321</v>
      </c>
      <c r="Z103" s="385">
        <f t="shared" si="37"/>
        <v>4.2994677786287552</v>
      </c>
      <c r="AA103" s="386">
        <f t="shared" si="38"/>
        <v>4.9399823861579897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0.12965928974240476</v>
      </c>
      <c r="AD103" s="231">
        <f>(INDEX(Models!$BJ103:$BT103,,AH103)*(1-AF103)+INDEX(Models!$BJ103:$BT103,,AH103+1)*AF103-ERP_i)*AE103*Ramure*Pc/MaxiM</f>
        <v>1.7059357669550233E-4</v>
      </c>
      <c r="AE103" s="305">
        <f t="shared" si="40"/>
        <v>0.7</v>
      </c>
      <c r="AF103" s="177">
        <f t="shared" si="41"/>
        <v>0.62400490659473873</v>
      </c>
      <c r="AG103" s="817">
        <f t="shared" si="49"/>
        <v>0</v>
      </c>
      <c r="AH103" s="176">
        <f t="shared" si="42"/>
        <v>6</v>
      </c>
      <c r="AI103" s="225">
        <f t="shared" si="43"/>
        <v>0.62400490659473873</v>
      </c>
      <c r="AJ103" s="265" t="b">
        <f t="shared" si="44"/>
        <v>1</v>
      </c>
      <c r="AK103" s="265" t="b">
        <f t="shared" si="45"/>
        <v>1</v>
      </c>
      <c r="AL103" s="265"/>
      <c r="AM103" s="265"/>
      <c r="AN103" s="75"/>
    </row>
    <row r="104" spans="1:40" s="6" customFormat="1" ht="11.25" x14ac:dyDescent="0.2">
      <c r="A104" s="56">
        <f t="shared" si="46"/>
        <v>45747</v>
      </c>
      <c r="B104" s="411">
        <f>'2024'!Wh/'2024'!Env_an*'2025'!Env_an</f>
        <v>18.21117296424125</v>
      </c>
      <c r="C104" s="846"/>
      <c r="D104" s="393">
        <f t="shared" si="25"/>
        <v>19.252186279382837</v>
      </c>
      <c r="E104" s="385">
        <f t="shared" si="47"/>
        <v>21.325086645977123</v>
      </c>
      <c r="F104" s="385">
        <f t="shared" si="26"/>
        <v>21.325086645977123</v>
      </c>
      <c r="G104" s="110">
        <f t="shared" si="48"/>
        <v>0.56801211896440174</v>
      </c>
      <c r="H104" s="414" t="b">
        <f>Wh_hp&gt;='2024'!Maxi_hp</f>
        <v>0</v>
      </c>
      <c r="I104" s="390">
        <f>IF(H104,Wh_hp,'2024'!Maxi_hp)</f>
        <v>33.190656549107899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5.407247260309378E-2</v>
      </c>
      <c r="M104" s="850"/>
      <c r="N104" s="850"/>
      <c r="O104" s="48">
        <f>IF(t&lt;Tnet,'2024'!Resal+('2024'!Salim-'2024'!Resal)*(1-EXP(('2024'!Tnet-t)/('2024'!Tau_j))),Resal+(Salim-Resal)*(1-EXP((Tnet-t)/(Tau_j))))*Salcycl</f>
        <v>9.7204780501341043E-2</v>
      </c>
      <c r="P104" s="169">
        <f>(INDEX(Models!$BJ104:$BT104,,T104)*(1-R104)+INDEX(Models!$BJ104:$BT104,,T104+1)*R104-ERP_i)*Q104*Ramure*Pc/MaxiM</f>
        <v>0</v>
      </c>
      <c r="Q104" s="305">
        <f t="shared" si="28"/>
        <v>0.7</v>
      </c>
      <c r="R104" s="177">
        <f t="shared" si="29"/>
        <v>1.1246617023470407E-3</v>
      </c>
      <c r="S104" s="817">
        <f t="shared" si="30"/>
        <v>-2</v>
      </c>
      <c r="T104" s="176">
        <f t="shared" si="31"/>
        <v>4</v>
      </c>
      <c r="U104" s="251">
        <f t="shared" si="32"/>
        <v>-1.998875338297653</v>
      </c>
      <c r="V104" s="383">
        <f t="shared" si="33"/>
        <v>32.06124016762849</v>
      </c>
      <c r="W104" s="402">
        <f t="shared" si="34"/>
        <v>18.21117296424125</v>
      </c>
      <c r="X104" s="157">
        <f t="shared" si="35"/>
        <v>45747</v>
      </c>
      <c r="Y104" s="385">
        <f t="shared" si="36"/>
        <v>17.554974554032924</v>
      </c>
      <c r="Z104" s="385">
        <f t="shared" si="37"/>
        <v>18.558477309929209</v>
      </c>
      <c r="AA104" s="386">
        <f t="shared" si="38"/>
        <v>21.32420976118409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0.12969917676805423</v>
      </c>
      <c r="AD104" s="231">
        <f>(INDEX(Models!$BJ104:$BT104,,AH104)*(1-AF104)+INDEX(Models!$BJ104:$BT104,,AH104+1)*AF104-ERP_i)*AE104*Ramure*Pc/MaxiM</f>
        <v>1.0739778928813687E-4</v>
      </c>
      <c r="AE104" s="305">
        <f t="shared" si="40"/>
        <v>0.7</v>
      </c>
      <c r="AF104" s="177">
        <f t="shared" si="41"/>
        <v>0.62498803107840295</v>
      </c>
      <c r="AG104" s="817">
        <f t="shared" si="49"/>
        <v>0</v>
      </c>
      <c r="AH104" s="176">
        <f t="shared" si="42"/>
        <v>6</v>
      </c>
      <c r="AI104" s="225">
        <f t="shared" si="43"/>
        <v>0.62498803107840295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45748</v>
      </c>
      <c r="B105" s="411">
        <f>'2024'!Wh/'2024'!Env_an*'2025'!Env_an</f>
        <v>20.050599261181048</v>
      </c>
      <c r="C105" s="846"/>
      <c r="D105" s="393">
        <f t="shared" si="25"/>
        <v>21.197224786935497</v>
      </c>
      <c r="E105" s="385">
        <f t="shared" si="47"/>
        <v>23.481660310812877</v>
      </c>
      <c r="F105" s="385">
        <f t="shared" si="26"/>
        <v>23.481660310818611</v>
      </c>
      <c r="G105" s="110">
        <f t="shared" si="48"/>
        <v>0.62173409734799701</v>
      </c>
      <c r="H105" s="414" t="b">
        <f>Wh_hp&gt;='2024'!Maxi_hp</f>
        <v>0</v>
      </c>
      <c r="I105" s="390">
        <f>IF(H105,Wh_hp,'2024'!Maxi_hp)</f>
        <v>33.527563379735113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5.4093190843602756E-2</v>
      </c>
      <c r="M105" s="850"/>
      <c r="N105" s="850"/>
      <c r="O105" s="48">
        <f>IF(t&lt;Tnet,'2024'!Resal+('2024'!Salim-'2024'!Resal)*(1-EXP(('2024'!Tnet-t)/('2024'!Tau_j))),Resal+(Salim-Resal)*(1-EXP((Tnet-t)/(Tau_j))))*Salcycl</f>
        <v>9.7285945441661886E-2</v>
      </c>
      <c r="P105" s="169">
        <f>(INDEX(Models!$BJ105:$BT105,,T105)*(1-R105)+INDEX(Models!$BJ105:$BT105,,T105+1)*R105-ERP_i)*Q105*Ramure*Pc/MaxiM</f>
        <v>5.3131788661808551E-13</v>
      </c>
      <c r="Q105" s="305">
        <f t="shared" si="28"/>
        <v>0.7</v>
      </c>
      <c r="R105" s="177">
        <f t="shared" si="29"/>
        <v>2.1447207716323025E-3</v>
      </c>
      <c r="S105" s="817">
        <f t="shared" si="30"/>
        <v>-2</v>
      </c>
      <c r="T105" s="176">
        <f t="shared" si="31"/>
        <v>4</v>
      </c>
      <c r="U105" s="251">
        <f t="shared" si="32"/>
        <v>-1.9978552792283677</v>
      </c>
      <c r="V105" s="383">
        <f t="shared" si="33"/>
        <v>32.249476660040031</v>
      </c>
      <c r="W105" s="402">
        <f t="shared" si="34"/>
        <v>20.050599261181048</v>
      </c>
      <c r="X105" s="157">
        <f t="shared" si="35"/>
        <v>45748</v>
      </c>
      <c r="Y105" s="385">
        <f t="shared" si="36"/>
        <v>19.329209784683691</v>
      </c>
      <c r="Z105" s="385">
        <f t="shared" si="37"/>
        <v>20.434581501662262</v>
      </c>
      <c r="AA105" s="386">
        <f t="shared" si="38"/>
        <v>23.481013569331239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0.1297402285754797</v>
      </c>
      <c r="AD105" s="231">
        <f>(INDEX(Models!$BJ105:$BT105,,AH105)*(1-AF105)+INDEX(Models!$BJ105:$BT105,,AH105+1)*AF105-ERP_i)*AE105*Ramure*Pc/MaxiM</f>
        <v>5.9924286274399271E-5</v>
      </c>
      <c r="AE105" s="305">
        <f t="shared" si="40"/>
        <v>0.7</v>
      </c>
      <c r="AF105" s="177">
        <f t="shared" si="41"/>
        <v>0.62600809014768821</v>
      </c>
      <c r="AG105" s="817">
        <f t="shared" si="49"/>
        <v>0</v>
      </c>
      <c r="AH105" s="176">
        <f t="shared" si="42"/>
        <v>6</v>
      </c>
      <c r="AI105" s="225">
        <f t="shared" si="43"/>
        <v>0.62600809014768821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45749</v>
      </c>
      <c r="B106" s="411">
        <f>'2024'!Wh/'2024'!Env_an*'2025'!Env_an</f>
        <v>12.375314143504056</v>
      </c>
      <c r="C106" s="846"/>
      <c r="D106" s="393">
        <f t="shared" si="25"/>
        <v>13.083302795566258</v>
      </c>
      <c r="E106" s="385">
        <f t="shared" si="47"/>
        <v>14.494613830177078</v>
      </c>
      <c r="F106" s="385">
        <f t="shared" si="26"/>
        <v>14.494613830177686</v>
      </c>
      <c r="G106" s="110">
        <f t="shared" si="48"/>
        <v>0.38158582370330474</v>
      </c>
      <c r="H106" s="414" t="b">
        <f>Wh_hp&gt;='2024'!Maxi_hp</f>
        <v>0</v>
      </c>
      <c r="I106" s="390">
        <f>IF(H106,Wh_hp,'2024'!Maxi_hp)</f>
        <v>29.015475964814325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5.4113908630329166E-2</v>
      </c>
      <c r="M106" s="850"/>
      <c r="N106" s="850"/>
      <c r="O106" s="48">
        <f>IF(t&lt;Tnet,'2024'!Resal+('2024'!Salim-'2024'!Resal)*(1-EXP(('2024'!Tnet-t)/('2024'!Tau_j))),Resal+(Salim-Resal)*(1-EXP((Tnet-t)/(Tau_j))))*Salcycl</f>
        <v>9.7367963793042855E-2</v>
      </c>
      <c r="P106" s="169">
        <f>(INDEX(Models!$BJ106:$BT106,,T106)*(1-R106)+INDEX(Models!$BJ106:$BT106,,T106+1)*R106-ERP_i)*Q106*Ramure*Pc/MaxiM</f>
        <v>3.5900358129374468E-13</v>
      </c>
      <c r="Q106" s="305">
        <f t="shared" si="28"/>
        <v>0.7</v>
      </c>
      <c r="R106" s="177">
        <f t="shared" si="29"/>
        <v>3.202924821071651E-3</v>
      </c>
      <c r="S106" s="817">
        <f t="shared" si="30"/>
        <v>-2</v>
      </c>
      <c r="T106" s="176">
        <f t="shared" si="31"/>
        <v>4</v>
      </c>
      <c r="U106" s="251">
        <f t="shared" si="32"/>
        <v>-1.9967970751789283</v>
      </c>
      <c r="V106" s="383">
        <f t="shared" si="33"/>
        <v>32.431273319845168</v>
      </c>
      <c r="W106" s="402">
        <f t="shared" si="34"/>
        <v>12.375314143504056</v>
      </c>
      <c r="X106" s="157">
        <f t="shared" si="35"/>
        <v>45749</v>
      </c>
      <c r="Y106" s="385">
        <f t="shared" si="36"/>
        <v>11.930863908928112</v>
      </c>
      <c r="Z106" s="385">
        <f t="shared" si="37"/>
        <v>12.613425673330148</v>
      </c>
      <c r="AA106" s="386">
        <f t="shared" si="38"/>
        <v>14.494566650134658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0.12978249175783627</v>
      </c>
      <c r="AD106" s="231">
        <f>(INDEX(Models!$BJ106:$BT106,,AH106)*(1-AF106)+INDEX(Models!$BJ106:$BT106,,AH106+1)*AF106-ERP_i)*AE106*Ramure*Pc/MaxiM</f>
        <v>2.7927690365187826E-5</v>
      </c>
      <c r="AE106" s="305">
        <f t="shared" si="40"/>
        <v>0.7</v>
      </c>
      <c r="AF106" s="177">
        <f t="shared" si="41"/>
        <v>0.62706629419712756</v>
      </c>
      <c r="AG106" s="817">
        <f t="shared" si="49"/>
        <v>0</v>
      </c>
      <c r="AH106" s="176">
        <f t="shared" si="42"/>
        <v>6</v>
      </c>
      <c r="AI106" s="225">
        <f t="shared" si="43"/>
        <v>0.62706629419712756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45750</v>
      </c>
      <c r="B107" s="411">
        <f>'2024'!Wh/'2024'!Env_an*'2025'!Env_an</f>
        <v>14.70805212886118</v>
      </c>
      <c r="C107" s="846"/>
      <c r="D107" s="393">
        <f t="shared" si="25"/>
        <v>15.549836723688157</v>
      </c>
      <c r="E107" s="385">
        <f t="shared" si="47"/>
        <v>17.228798111030525</v>
      </c>
      <c r="F107" s="385">
        <f t="shared" si="26"/>
        <v>17.228798111030525</v>
      </c>
      <c r="G107" s="110">
        <f t="shared" si="48"/>
        <v>0.45107971281605441</v>
      </c>
      <c r="H107" s="414" t="b">
        <f>Wh_hp&gt;='2024'!Maxi_hp</f>
        <v>0</v>
      </c>
      <c r="I107" s="390">
        <f>IF(H107,Wh_hp,'2024'!Maxi_hp)</f>
        <v>37.337963589482051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5.4134625963282779E-2</v>
      </c>
      <c r="M107" s="850"/>
      <c r="N107" s="850"/>
      <c r="O107" s="48">
        <f>IF(t&lt;Tnet,'2024'!Resal+('2024'!Salim-'2024'!Resal)*(1-EXP(('2024'!Tnet-t)/('2024'!Tau_j))),Resal+(Salim-Resal)*(1-EXP((Tnet-t)/(Tau_j))))*Salcycl</f>
        <v>9.7450871298296313E-2</v>
      </c>
      <c r="P107" s="169">
        <f>(INDEX(Models!$BJ107:$BT107,,T107)*(1-R107)+INDEX(Models!$BJ107:$BT107,,T107+1)*R107-ERP_i)*Q107*Ramure*Pc/MaxiM</f>
        <v>0</v>
      </c>
      <c r="Q107" s="305">
        <f t="shared" si="28"/>
        <v>0.7</v>
      </c>
      <c r="R107" s="177">
        <f t="shared" si="29"/>
        <v>4.3005096258852404E-3</v>
      </c>
      <c r="S107" s="817">
        <f t="shared" si="30"/>
        <v>-2</v>
      </c>
      <c r="T107" s="176">
        <f t="shared" si="31"/>
        <v>4</v>
      </c>
      <c r="U107" s="251">
        <f t="shared" si="32"/>
        <v>-1.9956994903741148</v>
      </c>
      <c r="V107" s="383">
        <f t="shared" si="33"/>
        <v>32.606325913085279</v>
      </c>
      <c r="W107" s="402">
        <f t="shared" si="34"/>
        <v>14.70805212886118</v>
      </c>
      <c r="X107" s="157">
        <f t="shared" si="35"/>
        <v>45750</v>
      </c>
      <c r="Y107" s="385">
        <f t="shared" si="36"/>
        <v>14.180428586244499</v>
      </c>
      <c r="Z107" s="385">
        <f t="shared" si="37"/>
        <v>14.992015751381162</v>
      </c>
      <c r="AA107" s="386">
        <f t="shared" si="38"/>
        <v>17.228756498022502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0.12982601192941992</v>
      </c>
      <c r="AD107" s="231">
        <f>(INDEX(Models!$BJ107:$BT107,,AH107)*(1-AF107)+INDEX(Models!$BJ107:$BT107,,AH107+1)*AF107-ERP_i)*AE107*Ramure*Pc/MaxiM</f>
        <v>1.1190925837631522E-5</v>
      </c>
      <c r="AE107" s="305">
        <f t="shared" si="40"/>
        <v>0.7</v>
      </c>
      <c r="AF107" s="177">
        <f t="shared" si="41"/>
        <v>0.62816387900194115</v>
      </c>
      <c r="AG107" s="817">
        <f t="shared" si="49"/>
        <v>0</v>
      </c>
      <c r="AH107" s="176">
        <f t="shared" si="42"/>
        <v>6</v>
      </c>
      <c r="AI107" s="225">
        <f t="shared" si="43"/>
        <v>0.62816387900194115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45751</v>
      </c>
      <c r="B108" s="411">
        <f>'2024'!Wh/'2024'!Env_an*'2025'!Env_an</f>
        <v>26.785351986434943</v>
      </c>
      <c r="C108" s="846"/>
      <c r="D108" s="393">
        <f t="shared" si="25"/>
        <v>28.318975831539703</v>
      </c>
      <c r="E108" s="385">
        <f t="shared" si="47"/>
        <v>31.379573180625719</v>
      </c>
      <c r="F108" s="385">
        <f t="shared" si="26"/>
        <v>31.379573180625719</v>
      </c>
      <c r="G108" s="110">
        <f t="shared" si="48"/>
        <v>0.81725099802161638</v>
      </c>
      <c r="H108" s="414" t="b">
        <f>Wh_hp&gt;='2024'!Maxi_hp</f>
        <v>0</v>
      </c>
      <c r="I108" s="390">
        <f>IF(H108,Wh_hp,'2024'!Maxi_hp)</f>
        <v>39.674347557533999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5.4155342842473697E-2</v>
      </c>
      <c r="M108" s="850"/>
      <c r="N108" s="850"/>
      <c r="O108" s="48">
        <f>IF(t&lt;Tnet,'2024'!Resal+('2024'!Salim-'2024'!Resal)*(1-EXP(('2024'!Tnet-t)/('2024'!Tau_j))),Resal+(Salim-Resal)*(1-EXP((Tnet-t)/(Tau_j))))*Salcycl</f>
        <v>9.7534702956880229E-2</v>
      </c>
      <c r="P108" s="169">
        <f>(INDEX(Models!$BJ108:$BT108,,T108)*(1-R108)+INDEX(Models!$BJ108:$BT108,,T108+1)*R108-ERP_i)*Q108*Ramure*Pc/MaxiM</f>
        <v>0</v>
      </c>
      <c r="Q108" s="305">
        <f t="shared" si="28"/>
        <v>0.7</v>
      </c>
      <c r="R108" s="177">
        <f t="shared" si="29"/>
        <v>5.4387356607379367E-3</v>
      </c>
      <c r="S108" s="817">
        <f t="shared" si="30"/>
        <v>-2</v>
      </c>
      <c r="T108" s="176">
        <f t="shared" si="31"/>
        <v>4</v>
      </c>
      <c r="U108" s="251">
        <f t="shared" si="32"/>
        <v>-1.9945612643392621</v>
      </c>
      <c r="V108" s="383">
        <f t="shared" si="33"/>
        <v>32.774939463244891</v>
      </c>
      <c r="W108" s="402">
        <f t="shared" si="34"/>
        <v>26.785351986434943</v>
      </c>
      <c r="X108" s="157">
        <f t="shared" si="35"/>
        <v>45751</v>
      </c>
      <c r="Y108" s="385">
        <f t="shared" si="36"/>
        <v>25.825426248513981</v>
      </c>
      <c r="Z108" s="385">
        <f t="shared" si="37"/>
        <v>27.304088523505683</v>
      </c>
      <c r="AA108" s="386">
        <f t="shared" si="38"/>
        <v>31.379350996057731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0.12987083362763083</v>
      </c>
      <c r="AD108" s="231">
        <f>(INDEX(Models!$BJ108:$BT108,,AH108)*(1-AF108)+INDEX(Models!$BJ108:$BT108,,AH108+1)*AF108-ERP_i)*AE108*Ramure*Pc/MaxiM</f>
        <v>9.5821631703804859E-6</v>
      </c>
      <c r="AE108" s="305">
        <f t="shared" si="40"/>
        <v>0.7</v>
      </c>
      <c r="AF108" s="177">
        <f t="shared" si="41"/>
        <v>0.62930210503679374</v>
      </c>
      <c r="AG108" s="817">
        <f t="shared" si="49"/>
        <v>0</v>
      </c>
      <c r="AH108" s="176">
        <f t="shared" si="42"/>
        <v>6</v>
      </c>
      <c r="AI108" s="225">
        <f t="shared" si="43"/>
        <v>0.62930210503679374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45752</v>
      </c>
      <c r="B109" s="411">
        <f>'2024'!Wh/'2024'!Env_an*'2025'!Env_an</f>
        <v>33.021125027862496</v>
      </c>
      <c r="C109" s="846"/>
      <c r="D109" s="393">
        <f t="shared" si="25"/>
        <v>34.912549371824348</v>
      </c>
      <c r="E109" s="385">
        <f t="shared" si="47"/>
        <v>38.689387790565412</v>
      </c>
      <c r="F109" s="385">
        <f t="shared" si="26"/>
        <v>38.689387790565412</v>
      </c>
      <c r="G109" s="110">
        <f t="shared" si="48"/>
        <v>1.0025367346454539</v>
      </c>
      <c r="H109" s="414" t="b">
        <f>Wh_hp&gt;='2024'!Maxi_hp</f>
        <v>0</v>
      </c>
      <c r="I109" s="390">
        <f>IF(H109,Wh_hp,'2024'!Maxi_hp)</f>
        <v>39.549856186864908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5.4176059267911802E-2</v>
      </c>
      <c r="M109" s="850"/>
      <c r="N109" s="850"/>
      <c r="O109" s="48">
        <f>IF(t&lt;Tnet,'2024'!Resal+('2024'!Salim-'2024'!Resal)*(1-EXP(('2024'!Tnet-t)/('2024'!Tau_j))),Resal+(Salim-Resal)*(1-EXP((Tnet-t)/(Tau_j))))*Salcycl</f>
        <v>9.7619492952071604E-2</v>
      </c>
      <c r="P109" s="169">
        <f>(INDEX(Models!$BJ109:$BT109,,T109)*(1-R109)+INDEX(Models!$BJ109:$BT109,,T109+1)*R109-ERP_i)*Q109*Ramure*Pc/MaxiM</f>
        <v>0</v>
      </c>
      <c r="Q109" s="305">
        <f t="shared" si="28"/>
        <v>0.7</v>
      </c>
      <c r="R109" s="177">
        <f t="shared" si="29"/>
        <v>6.618887288756703E-3</v>
      </c>
      <c r="S109" s="817">
        <f t="shared" si="30"/>
        <v>-2</v>
      </c>
      <c r="T109" s="176">
        <f t="shared" si="31"/>
        <v>4</v>
      </c>
      <c r="U109" s="251">
        <f t="shared" si="32"/>
        <v>-1.9933811127112433</v>
      </c>
      <c r="V109" s="383">
        <f t="shared" si="33"/>
        <v>32.937571149989211</v>
      </c>
      <c r="W109" s="402">
        <f t="shared" si="34"/>
        <v>33.021125027862496</v>
      </c>
      <c r="X109" s="157">
        <f t="shared" si="35"/>
        <v>45752</v>
      </c>
      <c r="Y109" s="385">
        <f t="shared" si="36"/>
        <v>31.838991562426351</v>
      </c>
      <c r="Z109" s="385">
        <f t="shared" si="37"/>
        <v>33.662704221445573</v>
      </c>
      <c r="AA109" s="386">
        <f t="shared" si="38"/>
        <v>38.689072456221041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0.12991700021919886</v>
      </c>
      <c r="AD109" s="231">
        <f>(INDEX(Models!$BJ109:$BT109,,AH109)*(1-AF109)+INDEX(Models!$BJ109:$BT109,,AH109+1)*AF109-ERP_i)*AE109*Ramure*Pc/MaxiM</f>
        <v>8.1504092564001634E-6</v>
      </c>
      <c r="AE109" s="305">
        <f t="shared" si="40"/>
        <v>0.7</v>
      </c>
      <c r="AF109" s="177">
        <f t="shared" si="41"/>
        <v>0.6304822566648125</v>
      </c>
      <c r="AG109" s="817">
        <f t="shared" si="49"/>
        <v>0</v>
      </c>
      <c r="AH109" s="176">
        <f t="shared" si="42"/>
        <v>6</v>
      </c>
      <c r="AI109" s="225">
        <f t="shared" si="43"/>
        <v>0.6304822566648125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45753</v>
      </c>
      <c r="B110" s="411">
        <f>'2024'!Wh/'2024'!Env_an*'2025'!Env_an</f>
        <v>7.5949712428196285</v>
      </c>
      <c r="C110" s="846"/>
      <c r="D110" s="393">
        <f t="shared" si="25"/>
        <v>8.0301811666414178</v>
      </c>
      <c r="E110" s="385">
        <f t="shared" si="47"/>
        <v>8.8997319173179257</v>
      </c>
      <c r="F110" s="385">
        <f t="shared" si="26"/>
        <v>8.8997319173179257</v>
      </c>
      <c r="G110" s="110">
        <f t="shared" si="48"/>
        <v>0.22949222364073604</v>
      </c>
      <c r="H110" s="414" t="b">
        <f>Wh_hp&gt;='2024'!Maxi_hp</f>
        <v>0</v>
      </c>
      <c r="I110" s="390">
        <f>IF(H110,Wh_hp,'2024'!Maxi_hp)</f>
        <v>39.474372462150207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5.4196775239606976E-2</v>
      </c>
      <c r="M110" s="850"/>
      <c r="N110" s="850"/>
      <c r="O110" s="48">
        <f>IF(t&lt;Tnet,'2024'!Resal+('2024'!Salim-'2024'!Resal)*(1-EXP(('2024'!Tnet-t)/('2024'!Tau_j))),Resal+(Salim-Resal)*(1-EXP((Tnet-t)/(Tau_j))))*Salcycl</f>
        <v>9.7705274580738216E-2</v>
      </c>
      <c r="P110" s="169">
        <f>(INDEX(Models!$BJ110:$BT110,,T110)*(1-R110)+INDEX(Models!$BJ110:$BT110,,T110+1)*R110-ERP_i)*Q110*Ramure*Pc/MaxiM</f>
        <v>0</v>
      </c>
      <c r="Q110" s="305">
        <f t="shared" si="28"/>
        <v>0.7</v>
      </c>
      <c r="R110" s="177">
        <f t="shared" si="29"/>
        <v>7.8422718117967527E-3</v>
      </c>
      <c r="S110" s="817">
        <f t="shared" si="30"/>
        <v>-2</v>
      </c>
      <c r="T110" s="176">
        <f t="shared" si="31"/>
        <v>4</v>
      </c>
      <c r="U110" s="251">
        <f t="shared" si="32"/>
        <v>-1.9921577281882032</v>
      </c>
      <c r="V110" s="383">
        <f t="shared" si="33"/>
        <v>33.094677990960399</v>
      </c>
      <c r="W110" s="402">
        <f t="shared" si="34"/>
        <v>7.5949712428196285</v>
      </c>
      <c r="X110" s="157">
        <f t="shared" si="35"/>
        <v>45753</v>
      </c>
      <c r="Y110" s="385">
        <f t="shared" si="36"/>
        <v>7.3234321423915105</v>
      </c>
      <c r="Z110" s="385">
        <f t="shared" si="37"/>
        <v>7.7430822296538553</v>
      </c>
      <c r="AA110" s="386">
        <f t="shared" si="38"/>
        <v>8.8997319173179257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0.12996455381013827</v>
      </c>
      <c r="AD110" s="231">
        <f>(INDEX(Models!$BJ110:$BT110,,AH110)*(1-AF110)+INDEX(Models!$BJ110:$BT110,,AH110+1)*AF110-ERP_i)*AE110*Ramure*Pc/MaxiM</f>
        <v>6.8929754205041533E-6</v>
      </c>
      <c r="AE110" s="305">
        <f t="shared" si="40"/>
        <v>0.7</v>
      </c>
      <c r="AF110" s="177">
        <f t="shared" si="41"/>
        <v>0.63170564118785277</v>
      </c>
      <c r="AG110" s="817">
        <f t="shared" si="49"/>
        <v>0</v>
      </c>
      <c r="AH110" s="176">
        <f t="shared" si="42"/>
        <v>6</v>
      </c>
      <c r="AI110" s="225">
        <f t="shared" si="43"/>
        <v>0.63170564118785277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45754</v>
      </c>
      <c r="B111" s="411">
        <f>'2024'!Wh/'2024'!Env_an*'2025'!Env_an</f>
        <v>24.551358901460034</v>
      </c>
      <c r="C111" s="846"/>
      <c r="D111" s="393">
        <f t="shared" si="25"/>
        <v>25.958778748325138</v>
      </c>
      <c r="E111" s="385">
        <f t="shared" si="47"/>
        <v>28.772501524544257</v>
      </c>
      <c r="F111" s="385">
        <f t="shared" si="26"/>
        <v>28.772501524544257</v>
      </c>
      <c r="G111" s="110">
        <f t="shared" si="48"/>
        <v>0.73845965076129028</v>
      </c>
      <c r="H111" s="414" t="b">
        <f>Wh_hp&gt;='2024'!Maxi_hp</f>
        <v>0</v>
      </c>
      <c r="I111" s="390">
        <f>IF(H111,Wh_hp,'2024'!Maxi_hp)</f>
        <v>39.698812303963905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5.4217490757569209E-2</v>
      </c>
      <c r="M111" s="850"/>
      <c r="N111" s="850"/>
      <c r="O111" s="48">
        <f>IF(t&lt;Tnet,'2024'!Resal+('2024'!Salim-'2024'!Resal)*(1-EXP(('2024'!Tnet-t)/('2024'!Tau_j))),Resal+(Salim-Resal)*(1-EXP((Tnet-t)/(Tau_j))))*Salcycl</f>
        <v>9.7792080185272953E-2</v>
      </c>
      <c r="P111" s="169">
        <f>(INDEX(Models!$BJ111:$BT111,,T111)*(1-R111)+INDEX(Models!$BJ111:$BT111,,T111+1)*R111-ERP_i)*Q111*Ramure*Pc/MaxiM</f>
        <v>0</v>
      </c>
      <c r="Q111" s="305">
        <f t="shared" si="28"/>
        <v>0.7</v>
      </c>
      <c r="R111" s="177">
        <f t="shared" si="29"/>
        <v>9.1102183727458375E-3</v>
      </c>
      <c r="S111" s="817">
        <f t="shared" si="30"/>
        <v>-2</v>
      </c>
      <c r="T111" s="176">
        <f t="shared" si="31"/>
        <v>4</v>
      </c>
      <c r="U111" s="251">
        <f t="shared" si="32"/>
        <v>-1.9908897816272542</v>
      </c>
      <c r="V111" s="383">
        <f t="shared" si="33"/>
        <v>33.246716833004527</v>
      </c>
      <c r="W111" s="402">
        <f t="shared" si="34"/>
        <v>24.551358901460034</v>
      </c>
      <c r="X111" s="157">
        <f t="shared" si="35"/>
        <v>45754</v>
      </c>
      <c r="Y111" s="385">
        <f t="shared" si="36"/>
        <v>23.674445512910349</v>
      </c>
      <c r="Z111" s="385">
        <f t="shared" si="37"/>
        <v>25.031595828382908</v>
      </c>
      <c r="AA111" s="386">
        <f t="shared" si="38"/>
        <v>28.772396859016649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0.13001353515883582</v>
      </c>
      <c r="AD111" s="231">
        <f>(INDEX(Models!$BJ111:$BT111,,AH111)*(1-AF111)+INDEX(Models!$BJ111:$BT111,,AH111+1)*AF111-ERP_i)*AE111*Ramure*Pc/MaxiM</f>
        <v>5.8075699803013083E-6</v>
      </c>
      <c r="AE111" s="305">
        <f t="shared" si="40"/>
        <v>0.7</v>
      </c>
      <c r="AF111" s="177">
        <f t="shared" si="41"/>
        <v>0.63297358774880175</v>
      </c>
      <c r="AG111" s="817">
        <f t="shared" si="49"/>
        <v>0</v>
      </c>
      <c r="AH111" s="176">
        <f t="shared" si="42"/>
        <v>6</v>
      </c>
      <c r="AI111" s="225">
        <f t="shared" si="43"/>
        <v>0.63297358774880175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45755</v>
      </c>
      <c r="B112" s="411">
        <f>'2024'!Wh/'2024'!Env_an*'2025'!Env_an</f>
        <v>19.358481138249967</v>
      </c>
      <c r="C112" s="846"/>
      <c r="D112" s="393">
        <f t="shared" si="25"/>
        <v>20.468664792143873</v>
      </c>
      <c r="E112" s="385">
        <f t="shared" si="47"/>
        <v>22.689512986566626</v>
      </c>
      <c r="F112" s="385">
        <f t="shared" si="26"/>
        <v>22.689512986566626</v>
      </c>
      <c r="G112" s="110">
        <f t="shared" si="48"/>
        <v>0.57969687525148894</v>
      </c>
      <c r="H112" s="414" t="b">
        <f>Wh_hp&gt;='2024'!Maxi_hp</f>
        <v>0</v>
      </c>
      <c r="I112" s="390">
        <f>IF(H112,Wh_hp,'2024'!Maxi_hp)</f>
        <v>36.829222658134903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5.4238205821808494E-2</v>
      </c>
      <c r="M112" s="850"/>
      <c r="N112" s="850"/>
      <c r="O112" s="48">
        <f>IF(t&lt;Tnet,'2024'!Resal+('2024'!Salim-'2024'!Resal)*(1-EXP(('2024'!Tnet-t)/('2024'!Tau_j))),Resal+(Salim-Resal)*(1-EXP((Tnet-t)/(Tau_j))))*Salcycl</f>
        <v>9.7879941087215525E-2</v>
      </c>
      <c r="P112" s="169">
        <f>(INDEX(Models!$BJ112:$BT112,,T112)*(1-R112)+INDEX(Models!$BJ112:$BT112,,T112+1)*R112-ERP_i)*Q112*Ramure*Pc/MaxiM</f>
        <v>0</v>
      </c>
      <c r="Q112" s="305">
        <f t="shared" si="28"/>
        <v>0.7</v>
      </c>
      <c r="R112" s="177">
        <f t="shared" si="29"/>
        <v>1.0424076700489504E-2</v>
      </c>
      <c r="S112" s="817">
        <f t="shared" si="30"/>
        <v>-2</v>
      </c>
      <c r="T112" s="176">
        <f t="shared" si="31"/>
        <v>4</v>
      </c>
      <c r="U112" s="251">
        <f t="shared" si="32"/>
        <v>-1.9895759232995105</v>
      </c>
      <c r="V112" s="383">
        <f t="shared" si="33"/>
        <v>33.39414436182998</v>
      </c>
      <c r="W112" s="402">
        <f t="shared" si="34"/>
        <v>19.358481138249967</v>
      </c>
      <c r="X112" s="157">
        <f t="shared" si="35"/>
        <v>45755</v>
      </c>
      <c r="Y112" s="385">
        <f t="shared" si="36"/>
        <v>18.66781131719166</v>
      </c>
      <c r="Z112" s="385">
        <f t="shared" si="37"/>
        <v>19.738385957335939</v>
      </c>
      <c r="AA112" s="386">
        <f t="shared" si="38"/>
        <v>22.689468633369277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0.1300639835916296</v>
      </c>
      <c r="AD112" s="231">
        <f>(INDEX(Models!$BJ112:$BT112,,AH112)*(1-AF112)+INDEX(Models!$BJ112:$BT112,,AH112+1)*AF112-ERP_i)*AE112*Ramure*Pc/MaxiM</f>
        <v>4.8922673735069296E-6</v>
      </c>
      <c r="AE112" s="305">
        <f t="shared" si="40"/>
        <v>0.7</v>
      </c>
      <c r="AF112" s="177">
        <f t="shared" si="41"/>
        <v>0.6342874460765453</v>
      </c>
      <c r="AG112" s="817">
        <f t="shared" si="49"/>
        <v>0</v>
      </c>
      <c r="AH112" s="176">
        <f t="shared" si="42"/>
        <v>6</v>
      </c>
      <c r="AI112" s="225">
        <f t="shared" si="43"/>
        <v>0.6342874460765453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45756</v>
      </c>
      <c r="B113" s="411">
        <f>'2024'!Wh/'2024'!Env_an*'2025'!Env_an</f>
        <v>23.366992798822583</v>
      </c>
      <c r="C113" s="846"/>
      <c r="D113" s="393">
        <f t="shared" si="25"/>
        <v>24.707600530056844</v>
      </c>
      <c r="E113" s="385">
        <f t="shared" si="47"/>
        <v>27.391073532024205</v>
      </c>
      <c r="F113" s="385">
        <f t="shared" si="26"/>
        <v>27.391073532024205</v>
      </c>
      <c r="G113" s="110">
        <f t="shared" si="48"/>
        <v>0.69674396015527762</v>
      </c>
      <c r="H113" s="414" t="b">
        <f>Wh_hp&gt;='2024'!Maxi_hp</f>
        <v>0</v>
      </c>
      <c r="I113" s="390">
        <f>IF(H113,Wh_hp,'2024'!Maxi_hp)</f>
        <v>33.294727279888392</v>
      </c>
      <c r="J113" s="85">
        <f>IF(H113,An,'2024'!An_max)</f>
        <v>2020</v>
      </c>
      <c r="K113" s="197">
        <f t="shared" si="27"/>
        <v>45756</v>
      </c>
      <c r="L113" s="147">
        <f>IF(t&lt;Tvie,1-EXP((T0-t)*PertePVj)+'2024'!Pspv,1-EXP((T0-t)*PertePVj)+Pspv)</f>
        <v>5.4258920432334601E-2</v>
      </c>
      <c r="M113" s="850"/>
      <c r="N113" s="850"/>
      <c r="O113" s="48">
        <f>IF(t&lt;Tnet,'2024'!Resal+('2024'!Salim-'2024'!Resal)*(1-EXP(('2024'!Tnet-t)/('2024'!Tau_j))),Resal+(Salim-Resal)*(1-EXP((Tnet-t)/(Tau_j))))*Salcycl</f>
        <v>9.7968887522060261E-2</v>
      </c>
      <c r="P113" s="169">
        <f>(INDEX(Models!$BJ113:$BT113,,T113)*(1-R113)+INDEX(Models!$BJ113:$BT113,,T113+1)*R113-ERP_i)*Q113*Ramure*Pc/MaxiM</f>
        <v>0</v>
      </c>
      <c r="Q113" s="305">
        <f t="shared" si="28"/>
        <v>0.7</v>
      </c>
      <c r="R113" s="177">
        <f t="shared" si="29"/>
        <v>1.178521568805535E-2</v>
      </c>
      <c r="S113" s="817">
        <f t="shared" si="30"/>
        <v>-2</v>
      </c>
      <c r="T113" s="176">
        <f t="shared" si="31"/>
        <v>4</v>
      </c>
      <c r="U113" s="251">
        <f t="shared" si="32"/>
        <v>-1.9882147843119446</v>
      </c>
      <c r="V113" s="383">
        <f t="shared" si="33"/>
        <v>33.537417093095392</v>
      </c>
      <c r="W113" s="402">
        <f t="shared" si="34"/>
        <v>23.366992798822583</v>
      </c>
      <c r="X113" s="157">
        <f t="shared" si="35"/>
        <v>45756</v>
      </c>
      <c r="Y113" s="385">
        <f t="shared" si="36"/>
        <v>22.534174928172</v>
      </c>
      <c r="Z113" s="385">
        <f t="shared" si="37"/>
        <v>23.827002352983584</v>
      </c>
      <c r="AA113" s="386">
        <f t="shared" si="38"/>
        <v>27.391009174975316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0.13011593692020099</v>
      </c>
      <c r="AD113" s="231">
        <f>(INDEX(Models!$BJ113:$BT113,,AH113)*(1-AF113)+INDEX(Models!$BJ113:$BT113,,AH113+1)*AF113-ERP_i)*AE113*Ramure*Pc/MaxiM</f>
        <v>4.1454796106283933E-6</v>
      </c>
      <c r="AE113" s="305">
        <f t="shared" si="40"/>
        <v>0.7</v>
      </c>
      <c r="AF113" s="177">
        <f t="shared" si="41"/>
        <v>0.63564858506411137</v>
      </c>
      <c r="AG113" s="817">
        <f t="shared" si="49"/>
        <v>0</v>
      </c>
      <c r="AH113" s="176">
        <f t="shared" si="42"/>
        <v>6</v>
      </c>
      <c r="AI113" s="225">
        <f t="shared" si="43"/>
        <v>0.63564858506411137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45757</v>
      </c>
      <c r="B114" s="411">
        <f>'2024'!Wh/'2024'!Env_an*'2025'!Env_an</f>
        <v>33.079524475181451</v>
      </c>
      <c r="C114" s="846"/>
      <c r="D114" s="393">
        <f t="shared" si="25"/>
        <v>34.978124279697575</v>
      </c>
      <c r="E114" s="385">
        <f t="shared" si="47"/>
        <v>38.780942750553663</v>
      </c>
      <c r="F114" s="385">
        <f t="shared" si="26"/>
        <v>38.780942750553663</v>
      </c>
      <c r="G114" s="110">
        <f t="shared" si="48"/>
        <v>0.98225889903610542</v>
      </c>
      <c r="H114" s="414" t="b">
        <f>Wh_hp&gt;='2024'!Maxi_hp</f>
        <v>1</v>
      </c>
      <c r="I114" s="390">
        <f>IF(H114,Wh_hp,'2024'!Maxi_hp)</f>
        <v>38.780942750553663</v>
      </c>
      <c r="J114" s="85">
        <f>IF(H114,An,'2024'!An_max)</f>
        <v>2025</v>
      </c>
      <c r="K114" s="197">
        <f t="shared" si="27"/>
        <v>45757</v>
      </c>
      <c r="L114" s="147">
        <f>IF(t&lt;Tvie,1-EXP((T0-t)*PertePVj)+'2024'!Pspv,1-EXP((T0-t)*PertePVj)+Pspv)</f>
        <v>5.4279634589157633E-2</v>
      </c>
      <c r="M114" s="850"/>
      <c r="N114" s="850"/>
      <c r="O114" s="48">
        <f>IF(t&lt;Tnet,'2024'!Resal+('2024'!Salim-'2024'!Resal)*(1-EXP(('2024'!Tnet-t)/('2024'!Tau_j))),Resal+(Salim-Resal)*(1-EXP((Tnet-t)/(Tau_j))))*Salcycl</f>
        <v>9.8058948574729965E-2</v>
      </c>
      <c r="P114" s="169">
        <f>(INDEX(Models!$BJ114:$BT114,,T114)*(1-R114)+INDEX(Models!$BJ114:$BT114,,T114+1)*R114-ERP_i)*Q114*Ramure*Pc/MaxiM</f>
        <v>0</v>
      </c>
      <c r="Q114" s="305">
        <f t="shared" si="28"/>
        <v>0.7</v>
      </c>
      <c r="R114" s="177">
        <f t="shared" si="29"/>
        <v>1.319502179439791E-2</v>
      </c>
      <c r="S114" s="817">
        <f t="shared" si="30"/>
        <v>-2</v>
      </c>
      <c r="T114" s="176">
        <f t="shared" si="31"/>
        <v>4</v>
      </c>
      <c r="U114" s="251">
        <f t="shared" si="32"/>
        <v>-1.9868049782056021</v>
      </c>
      <c r="V114" s="383">
        <f t="shared" si="33"/>
        <v>33.676991379403653</v>
      </c>
      <c r="W114" s="402">
        <f t="shared" si="34"/>
        <v>33.079524475181451</v>
      </c>
      <c r="X114" s="157">
        <f t="shared" si="35"/>
        <v>45757</v>
      </c>
      <c r="Y114" s="385">
        <f t="shared" si="36"/>
        <v>31.901731782498938</v>
      </c>
      <c r="Z114" s="385">
        <f t="shared" si="37"/>
        <v>33.732732157713556</v>
      </c>
      <c r="AA114" s="386">
        <f t="shared" si="38"/>
        <v>38.78080786521295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0.13016943136008277</v>
      </c>
      <c r="AD114" s="231">
        <f>(INDEX(Models!$BJ114:$BT114,,AH114)*(1-AF114)+INDEX(Models!$BJ114:$BT114,,AH114+1)*AF114-ERP_i)*AE114*Ramure*Pc/MaxiM</f>
        <v>3.5685782304193457E-6</v>
      </c>
      <c r="AE114" s="305">
        <f t="shared" si="40"/>
        <v>0.7</v>
      </c>
      <c r="AF114" s="177">
        <f t="shared" si="41"/>
        <v>0.63705839117045382</v>
      </c>
      <c r="AG114" s="817">
        <f t="shared" si="49"/>
        <v>0</v>
      </c>
      <c r="AH114" s="176">
        <f t="shared" si="42"/>
        <v>6</v>
      </c>
      <c r="AI114" s="225">
        <f t="shared" si="43"/>
        <v>0.63705839117045382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45758</v>
      </c>
      <c r="B115" s="411">
        <f>'2024'!Wh/'2024'!Env_an*'2025'!Env_an</f>
        <v>26.51282118839174</v>
      </c>
      <c r="C115" s="846"/>
      <c r="D115" s="393">
        <f t="shared" si="25"/>
        <v>28.035139000543971</v>
      </c>
      <c r="E115" s="385">
        <f t="shared" si="47"/>
        <v>31.086260164369232</v>
      </c>
      <c r="F115" s="385">
        <f t="shared" si="26"/>
        <v>31.086260164369232</v>
      </c>
      <c r="G115" s="110">
        <f t="shared" si="48"/>
        <v>0.7840939168425749</v>
      </c>
      <c r="H115" s="414" t="b">
        <f>Wh_hp&gt;='2024'!Maxi_hp</f>
        <v>0</v>
      </c>
      <c r="I115" s="390">
        <f>IF(H115,Wh_hp,'2024'!Maxi_hp)</f>
        <v>39.310121110453636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5.430034829228747E-2</v>
      </c>
      <c r="M115" s="850"/>
      <c r="N115" s="850"/>
      <c r="O115" s="48">
        <f>IF(t&lt;Tnet,'2024'!Resal+('2024'!Salim-'2024'!Resal)*(1-EXP(('2024'!Tnet-t)/('2024'!Tau_j))),Resal+(Salim-Resal)*(1-EXP((Tnet-t)/(Tau_j))))*Salcycl</f>
        <v>9.8150152115191625E-2</v>
      </c>
      <c r="P115" s="169">
        <f>(INDEX(Models!$BJ115:$BT115,,T115)*(1-R115)+INDEX(Models!$BJ115:$BT115,,T115+1)*R115-ERP_i)*Q115*Ramure*Pc/MaxiM</f>
        <v>0</v>
      </c>
      <c r="Q115" s="305">
        <f t="shared" si="28"/>
        <v>0.7</v>
      </c>
      <c r="R115" s="177">
        <f t="shared" si="29"/>
        <v>1.4654897260295119E-2</v>
      </c>
      <c r="S115" s="817">
        <f t="shared" si="30"/>
        <v>-2</v>
      </c>
      <c r="T115" s="176">
        <f t="shared" si="31"/>
        <v>4</v>
      </c>
      <c r="U115" s="251">
        <f t="shared" si="32"/>
        <v>-1.9853451027397049</v>
      </c>
      <c r="V115" s="383">
        <f t="shared" si="33"/>
        <v>33.81332340283263</v>
      </c>
      <c r="W115" s="402">
        <f t="shared" si="34"/>
        <v>26.51282118839174</v>
      </c>
      <c r="X115" s="157">
        <f t="shared" si="35"/>
        <v>45758</v>
      </c>
      <c r="Y115" s="385">
        <f t="shared" si="36"/>
        <v>25.569836996526117</v>
      </c>
      <c r="Z115" s="385">
        <f t="shared" si="37"/>
        <v>27.038010377135034</v>
      </c>
      <c r="AA115" s="386">
        <f t="shared" si="38"/>
        <v>31.086194566525506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0.13022450144958139</v>
      </c>
      <c r="AD115" s="231">
        <f>(INDEX(Models!$BJ115:$BT115,,AH115)*(1-AF115)+INDEX(Models!$BJ115:$BT115,,AH115+1)*AF115-ERP_i)*AE115*Ramure*Pc/MaxiM</f>
        <v>3.0513322643756198E-6</v>
      </c>
      <c r="AE115" s="305">
        <f t="shared" si="40"/>
        <v>0.7</v>
      </c>
      <c r="AF115" s="177">
        <f t="shared" si="41"/>
        <v>0.63851826663635103</v>
      </c>
      <c r="AG115" s="817">
        <f t="shared" si="49"/>
        <v>0</v>
      </c>
      <c r="AH115" s="176">
        <f t="shared" si="42"/>
        <v>6</v>
      </c>
      <c r="AI115" s="225">
        <f t="shared" si="43"/>
        <v>0.63851826663635103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45759</v>
      </c>
      <c r="B116" s="411">
        <f>'2024'!Wh/'2024'!Env_an*'2025'!Env_an</f>
        <v>22.494238789229506</v>
      </c>
      <c r="C116" s="846"/>
      <c r="D116" s="393">
        <f t="shared" si="25"/>
        <v>23.786337914960558</v>
      </c>
      <c r="E116" s="385">
        <f t="shared" si="47"/>
        <v>26.377755180721991</v>
      </c>
      <c r="F116" s="385">
        <f t="shared" si="26"/>
        <v>26.377755180721991</v>
      </c>
      <c r="G116" s="110">
        <f t="shared" si="48"/>
        <v>0.66263073247368265</v>
      </c>
      <c r="H116" s="414" t="b">
        <f>Wh_hp&gt;='2024'!Maxi_hp</f>
        <v>0</v>
      </c>
      <c r="I116" s="390">
        <f>IF(H116,Wh_hp,'2024'!Maxi_hp)</f>
        <v>40.636382536630947</v>
      </c>
      <c r="J116" s="85">
        <f>IF(H116,An,'2024'!An_max)</f>
        <v>2019</v>
      </c>
      <c r="K116" s="197">
        <f t="shared" si="27"/>
        <v>45759</v>
      </c>
      <c r="L116" s="147">
        <f>IF(t&lt;Tvie,1-EXP((T0-t)*PertePVj)+'2024'!Pspv,1-EXP((T0-t)*PertePVj)+Pspv)</f>
        <v>5.4321061541733995E-2</v>
      </c>
      <c r="M116" s="850"/>
      <c r="N116" s="850"/>
      <c r="O116" s="48">
        <f>IF(t&lt;Tnet,'2024'!Resal+('2024'!Salim-'2024'!Resal)*(1-EXP(('2024'!Tnet-t)/('2024'!Tau_j))),Resal+(Salim-Resal)*(1-EXP((Tnet-t)/(Tau_j))))*Salcycl</f>
        <v>9.8242524733694964E-2</v>
      </c>
      <c r="P116" s="169">
        <f>(INDEX(Models!$BJ116:$BT116,,T116)*(1-R116)+INDEX(Models!$BJ116:$BT116,,T116+1)*R116-ERP_i)*Q116*Ramure*Pc/MaxiM</f>
        <v>0</v>
      </c>
      <c r="Q116" s="305">
        <f t="shared" si="28"/>
        <v>0.7</v>
      </c>
      <c r="R116" s="177">
        <f t="shared" si="29"/>
        <v>1.6166258128923472E-2</v>
      </c>
      <c r="S116" s="817">
        <f t="shared" si="30"/>
        <v>-2</v>
      </c>
      <c r="T116" s="176">
        <f t="shared" si="31"/>
        <v>4</v>
      </c>
      <c r="U116" s="251">
        <f t="shared" si="32"/>
        <v>-1.9838337418710765</v>
      </c>
      <c r="V116" s="383">
        <f t="shared" si="33"/>
        <v>33.946869178940318</v>
      </c>
      <c r="W116" s="402">
        <f t="shared" si="34"/>
        <v>22.494238789229506</v>
      </c>
      <c r="X116" s="157">
        <f t="shared" si="35"/>
        <v>45759</v>
      </c>
      <c r="Y116" s="385">
        <f t="shared" si="36"/>
        <v>21.69500899320429</v>
      </c>
      <c r="Z116" s="385">
        <f t="shared" si="37"/>
        <v>22.941199291773927</v>
      </c>
      <c r="AA116" s="386">
        <f t="shared" si="38"/>
        <v>26.377719745033225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0.13028117996842306</v>
      </c>
      <c r="AD116" s="231">
        <f>(INDEX(Models!$BJ116:$BT116,,AH116)*(1-AF116)+INDEX(Models!$BJ116:$BT116,,AH116+1)*AF116-ERP_i)*AE116*Ramure*Pc/MaxiM</f>
        <v>2.5932027785961618E-6</v>
      </c>
      <c r="AE116" s="305">
        <f t="shared" si="40"/>
        <v>0.7</v>
      </c>
      <c r="AF116" s="177">
        <f t="shared" si="41"/>
        <v>0.64002962750497927</v>
      </c>
      <c r="AG116" s="817">
        <f t="shared" si="49"/>
        <v>0</v>
      </c>
      <c r="AH116" s="176">
        <f t="shared" si="42"/>
        <v>6</v>
      </c>
      <c r="AI116" s="225">
        <f t="shared" si="43"/>
        <v>0.64002962750497927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45760</v>
      </c>
      <c r="B117" s="411">
        <f>'2024'!Wh/'2024'!Env_an*'2025'!Env_an</f>
        <v>4.3694964357356358</v>
      </c>
      <c r="C117" s="846"/>
      <c r="D117" s="393">
        <f t="shared" si="25"/>
        <v>4.620587350862972</v>
      </c>
      <c r="E117" s="385">
        <f t="shared" si="47"/>
        <v>5.1245118144378266</v>
      </c>
      <c r="F117" s="385">
        <f t="shared" si="26"/>
        <v>5.1245118144378266</v>
      </c>
      <c r="G117" s="110">
        <f t="shared" si="48"/>
        <v>0.12822013013163749</v>
      </c>
      <c r="H117" s="414" t="b">
        <f>Wh_hp&gt;='2024'!Maxi_hp</f>
        <v>0</v>
      </c>
      <c r="I117" s="390">
        <f>IF(H117,Wh_hp,'2024'!Maxi_hp)</f>
        <v>40.953213285754423</v>
      </c>
      <c r="J117" s="85">
        <f>IF(H117,An,'2024'!An_max)</f>
        <v>2019</v>
      </c>
      <c r="K117" s="197">
        <f t="shared" si="27"/>
        <v>45760</v>
      </c>
      <c r="L117" s="147">
        <f>IF(t&lt;Tvie,1-EXP((T0-t)*PertePVj)+'2024'!Pspv,1-EXP((T0-t)*PertePVj)+Pspv)</f>
        <v>5.4341774337507309E-2</v>
      </c>
      <c r="M117" s="850"/>
      <c r="N117" s="850"/>
      <c r="O117" s="48">
        <f>IF(t&lt;Tnet,'2024'!Resal+('2024'!Salim-'2024'!Resal)*(1-EXP(('2024'!Tnet-t)/('2024'!Tau_j))),Resal+(Salim-Resal)*(1-EXP((Tnet-t)/(Tau_j))))*Salcycl</f>
        <v>9.8336091675131868E-2</v>
      </c>
      <c r="P117" s="169">
        <f>(INDEX(Models!$BJ117:$BT117,,T117)*(1-R117)+INDEX(Models!$BJ117:$BT117,,T117+1)*R117-ERP_i)*Q117*Ramure*Pc/MaxiM</f>
        <v>0</v>
      </c>
      <c r="Q117" s="305">
        <f t="shared" si="28"/>
        <v>0.7</v>
      </c>
      <c r="R117" s="177">
        <f t="shared" si="29"/>
        <v>1.773053206184505E-2</v>
      </c>
      <c r="S117" s="817">
        <f t="shared" si="30"/>
        <v>-2</v>
      </c>
      <c r="T117" s="176">
        <f t="shared" si="31"/>
        <v>4</v>
      </c>
      <c r="U117" s="251">
        <f t="shared" si="32"/>
        <v>-1.9822694679381549</v>
      </c>
      <c r="V117" s="383">
        <f t="shared" si="33"/>
        <v>34.078084550761893</v>
      </c>
      <c r="W117" s="402">
        <f t="shared" si="34"/>
        <v>4.3694964357356358</v>
      </c>
      <c r="X117" s="157">
        <f t="shared" si="35"/>
        <v>45760</v>
      </c>
      <c r="Y117" s="385">
        <f t="shared" si="36"/>
        <v>4.2144067532661129</v>
      </c>
      <c r="Z117" s="385">
        <f t="shared" si="37"/>
        <v>4.456585517789641</v>
      </c>
      <c r="AA117" s="386">
        <f t="shared" si="38"/>
        <v>5.1245118144378266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0.13033949785545756</v>
      </c>
      <c r="AD117" s="231">
        <f>(INDEX(Models!$BJ117:$BT117,,AH117)*(1-AF117)+INDEX(Models!$BJ117:$BT117,,AH117+1)*AF117-ERP_i)*AE117*Ramure*Pc/MaxiM</f>
        <v>2.1937550644909836E-6</v>
      </c>
      <c r="AE117" s="305">
        <f t="shared" si="40"/>
        <v>0.7</v>
      </c>
      <c r="AF117" s="177">
        <f t="shared" si="41"/>
        <v>0.64159390143790085</v>
      </c>
      <c r="AG117" s="817">
        <f t="shared" si="49"/>
        <v>0</v>
      </c>
      <c r="AH117" s="176">
        <f t="shared" si="42"/>
        <v>6</v>
      </c>
      <c r="AI117" s="225">
        <f t="shared" si="43"/>
        <v>0.64159390143790085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45761</v>
      </c>
      <c r="B118" s="411">
        <f>'2024'!Wh/'2024'!Env_an*'2025'!Env_an</f>
        <v>24.771456169244928</v>
      </c>
      <c r="C118" s="846"/>
      <c r="D118" s="393">
        <f t="shared" si="25"/>
        <v>26.195509188574604</v>
      </c>
      <c r="E118" s="385">
        <f t="shared" si="47"/>
        <v>29.055463983487844</v>
      </c>
      <c r="F118" s="385">
        <f t="shared" si="26"/>
        <v>29.055463983487844</v>
      </c>
      <c r="G118" s="110">
        <f t="shared" si="48"/>
        <v>0.7241543621074461</v>
      </c>
      <c r="H118" s="414" t="b">
        <f>Wh_hp&gt;='2024'!Maxi_hp</f>
        <v>1</v>
      </c>
      <c r="I118" s="390">
        <f>IF(H118,Wh_hp,'2024'!Maxi_hp)</f>
        <v>29.055463983487844</v>
      </c>
      <c r="J118" s="85">
        <f>IF(H118,An,'2024'!An_max)</f>
        <v>2025</v>
      </c>
      <c r="K118" s="197">
        <f t="shared" si="27"/>
        <v>45761</v>
      </c>
      <c r="L118" s="147">
        <f>IF(t&lt;Tvie,1-EXP((T0-t)*PertePVj)+'2024'!Pspv,1-EXP((T0-t)*PertePVj)+Pspv)</f>
        <v>5.4362486679617184E-2</v>
      </c>
      <c r="M118" s="850"/>
      <c r="N118" s="850"/>
      <c r="O118" s="48">
        <f>IF(t&lt;Tnet,'2024'!Resal+('2024'!Salim-'2024'!Resal)*(1-EXP(('2024'!Tnet-t)/('2024'!Tau_j))),Resal+(Salim-Resal)*(1-EXP((Tnet-t)/(Tau_j))))*Salcycl</f>
        <v>9.8430876772043444E-2</v>
      </c>
      <c r="P118" s="169">
        <f>(INDEX(Models!$BJ118:$BT118,,T118)*(1-R118)+INDEX(Models!$BJ118:$BT118,,T118+1)*R118-ERP_i)*Q118*Ramure*Pc/MaxiM</f>
        <v>0</v>
      </c>
      <c r="Q118" s="305">
        <f t="shared" si="28"/>
        <v>0.7</v>
      </c>
      <c r="R118" s="177">
        <f t="shared" si="29"/>
        <v>1.9349155941408513E-2</v>
      </c>
      <c r="S118" s="817">
        <f t="shared" si="30"/>
        <v>-2</v>
      </c>
      <c r="T118" s="176">
        <f t="shared" si="31"/>
        <v>4</v>
      </c>
      <c r="U118" s="251">
        <f t="shared" si="32"/>
        <v>-1.9806508440585915</v>
      </c>
      <c r="V118" s="383">
        <f t="shared" si="33"/>
        <v>34.207425191991696</v>
      </c>
      <c r="W118" s="402">
        <f t="shared" si="34"/>
        <v>24.771456169244928</v>
      </c>
      <c r="X118" s="157">
        <f t="shared" si="35"/>
        <v>45761</v>
      </c>
      <c r="Y118" s="385">
        <f t="shared" si="36"/>
        <v>23.89306191489036</v>
      </c>
      <c r="Z118" s="385">
        <f t="shared" si="37"/>
        <v>25.266618105065984</v>
      </c>
      <c r="AA118" s="386">
        <f t="shared" si="38"/>
        <v>29.055431366248129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0.13039948412479505</v>
      </c>
      <c r="AD118" s="231">
        <f>(INDEX(Models!$BJ118:$BT118,,AH118)*(1-AF118)+INDEX(Models!$BJ118:$BT118,,AH118+1)*AF118-ERP_i)*AE118*Ramure*Pc/MaxiM</f>
        <v>1.8526504771939454E-6</v>
      </c>
      <c r="AE118" s="305">
        <f t="shared" si="40"/>
        <v>0.7</v>
      </c>
      <c r="AF118" s="177">
        <f t="shared" si="41"/>
        <v>0.64321252531746442</v>
      </c>
      <c r="AG118" s="817">
        <f t="shared" si="49"/>
        <v>0</v>
      </c>
      <c r="AH118" s="176">
        <f t="shared" si="42"/>
        <v>6</v>
      </c>
      <c r="AI118" s="225">
        <f t="shared" si="43"/>
        <v>0.64321252531746442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45762</v>
      </c>
      <c r="B119" s="411">
        <f>'2024'!Wh/'2024'!Env_an*'2025'!Env_an</f>
        <v>27.473449626866152</v>
      </c>
      <c r="C119" s="846"/>
      <c r="D119" s="393">
        <f t="shared" si="25"/>
        <v>29.053470269631124</v>
      </c>
      <c r="E119" s="385">
        <f t="shared" si="47"/>
        <v>32.228882199814748</v>
      </c>
      <c r="F119" s="385">
        <f t="shared" si="26"/>
        <v>32.228882199814748</v>
      </c>
      <c r="G119" s="110">
        <f t="shared" si="48"/>
        <v>0.8001506420210649</v>
      </c>
      <c r="H119" s="414" t="b">
        <f>Wh_hp&gt;='2024'!Maxi_hp</f>
        <v>0</v>
      </c>
      <c r="I119" s="390">
        <f>IF(H119,Wh_hp,'2024'!Maxi_hp)</f>
        <v>39.087125925166902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5.438319856807361E-2</v>
      </c>
      <c r="M119" s="850"/>
      <c r="N119" s="850"/>
      <c r="O119" s="48">
        <f>IF(t&lt;Tnet,'2024'!Resal+('2024'!Salim-'2024'!Resal)*(1-EXP(('2024'!Tnet-t)/('2024'!Tau_j))),Resal+(Salim-Resal)*(1-EXP((Tnet-t)/(Tau_j))))*Salcycl</f>
        <v>9.8526902375840969E-2</v>
      </c>
      <c r="P119" s="169">
        <f>(INDEX(Models!$BJ119:$BT119,,T119)*(1-R119)+INDEX(Models!$BJ119:$BT119,,T119+1)*R119-ERP_i)*Q119*Ramure*Pc/MaxiM</f>
        <v>0</v>
      </c>
      <c r="Q119" s="305">
        <f t="shared" si="28"/>
        <v>0.7</v>
      </c>
      <c r="R119" s="177">
        <f t="shared" si="29"/>
        <v>2.1023573250940064E-2</v>
      </c>
      <c r="S119" s="817">
        <f t="shared" si="30"/>
        <v>-2</v>
      </c>
      <c r="T119" s="176">
        <f t="shared" si="31"/>
        <v>4</v>
      </c>
      <c r="U119" s="251">
        <f t="shared" si="32"/>
        <v>-1.9789764267490599</v>
      </c>
      <c r="V119" s="383">
        <f t="shared" si="33"/>
        <v>34.335346601075251</v>
      </c>
      <c r="W119" s="402">
        <f t="shared" si="34"/>
        <v>27.473449626866152</v>
      </c>
      <c r="X119" s="157">
        <f t="shared" si="35"/>
        <v>45762</v>
      </c>
      <c r="Y119" s="385">
        <f t="shared" si="36"/>
        <v>26.500185786511242</v>
      </c>
      <c r="Z119" s="385">
        <f t="shared" si="37"/>
        <v>28.024233226802444</v>
      </c>
      <c r="AA119" s="386">
        <f t="shared" si="38"/>
        <v>32.228846054856952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0.13046116577980507</v>
      </c>
      <c r="AD119" s="231">
        <f>(INDEX(Models!$BJ119:$BT119,,AH119)*(1-AF119)+INDEX(Models!$BJ119:$BT119,,AH119+1)*AF119-ERP_i)*AE119*Ramure*Pc/MaxiM</f>
        <v>1.5696386657366827E-6</v>
      </c>
      <c r="AE119" s="305">
        <f t="shared" si="40"/>
        <v>0.7</v>
      </c>
      <c r="AF119" s="177">
        <f t="shared" si="41"/>
        <v>0.64488694262699597</v>
      </c>
      <c r="AG119" s="817">
        <f t="shared" si="49"/>
        <v>0</v>
      </c>
      <c r="AH119" s="176">
        <f t="shared" si="42"/>
        <v>6</v>
      </c>
      <c r="AI119" s="225">
        <f t="shared" si="43"/>
        <v>0.64488694262699597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45763</v>
      </c>
      <c r="B120" s="411">
        <f>'2024'!Wh/'2024'!Env_an*'2025'!Env_an</f>
        <v>27.657833637348308</v>
      </c>
      <c r="C120" s="846"/>
      <c r="D120" s="393">
        <f t="shared" si="25"/>
        <v>29.249098986262446</v>
      </c>
      <c r="E120" s="385">
        <f t="shared" si="47"/>
        <v>32.449394180091112</v>
      </c>
      <c r="F120" s="385">
        <f t="shared" si="26"/>
        <v>32.449394180091112</v>
      </c>
      <c r="G120" s="110">
        <f t="shared" si="48"/>
        <v>0.80255323488474917</v>
      </c>
      <c r="H120" s="414" t="b">
        <f>Wh_hp&gt;='2024'!Maxi_hp</f>
        <v>0</v>
      </c>
      <c r="I120" s="390">
        <f>IF(H120,Wh_hp,'2024'!Maxi_hp)</f>
        <v>34.469326384256924</v>
      </c>
      <c r="J120" s="85">
        <f>IF(H120,An,'2024'!An_max)</f>
        <v>2020</v>
      </c>
      <c r="K120" s="197">
        <f t="shared" si="27"/>
        <v>45763</v>
      </c>
      <c r="L120" s="147">
        <f>IF(t&lt;Tvie,1-EXP((T0-t)*PertePVj)+'2024'!Pspv,1-EXP((T0-t)*PertePVj)+Pspv)</f>
        <v>5.4403910002886469E-2</v>
      </c>
      <c r="M120" s="850"/>
      <c r="N120" s="850"/>
      <c r="O120" s="48">
        <f>IF(t&lt;Tnet,'2024'!Resal+('2024'!Salim-'2024'!Resal)*(1-EXP(('2024'!Tnet-t)/('2024'!Tau_j))),Resal+(Salim-Resal)*(1-EXP((Tnet-t)/(Tau_j))))*Salcycl</f>
        <v>9.8624189285856201E-2</v>
      </c>
      <c r="P120" s="169">
        <f>(INDEX(Models!$BJ120:$BT120,,T120)*(1-R120)+INDEX(Models!$BJ120:$BT120,,T120+1)*R120-ERP_i)*Q120*Ramure*Pc/MaxiM</f>
        <v>0</v>
      </c>
      <c r="Q120" s="305">
        <f t="shared" si="28"/>
        <v>0.7</v>
      </c>
      <c r="R120" s="177">
        <f t="shared" si="29"/>
        <v>2.2755231224582451E-2</v>
      </c>
      <c r="S120" s="817">
        <f t="shared" si="30"/>
        <v>-2</v>
      </c>
      <c r="T120" s="176">
        <f t="shared" si="31"/>
        <v>4</v>
      </c>
      <c r="U120" s="251">
        <f t="shared" si="32"/>
        <v>-1.9772447687754175</v>
      </c>
      <c r="V120" s="383">
        <f t="shared" si="33"/>
        <v>34.462304100387954</v>
      </c>
      <c r="W120" s="402">
        <f t="shared" si="34"/>
        <v>27.657833637348308</v>
      </c>
      <c r="X120" s="157">
        <f t="shared" si="35"/>
        <v>45763</v>
      </c>
      <c r="Y120" s="385">
        <f t="shared" si="36"/>
        <v>26.678976025888225</v>
      </c>
      <c r="Z120" s="385">
        <f t="shared" si="37"/>
        <v>28.2139237969667</v>
      </c>
      <c r="AA120" s="386">
        <f t="shared" si="38"/>
        <v>32.449362856782955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0.13052456772447568</v>
      </c>
      <c r="AD120" s="231">
        <f>(INDEX(Models!$BJ120:$BT120,,AH120)*(1-AF120)+INDEX(Models!$BJ120:$BT120,,AH120+1)*AF120-ERP_i)*AE120*Ramure*Pc/MaxiM</f>
        <v>1.3445501241939874E-6</v>
      </c>
      <c r="AE120" s="305">
        <f t="shared" si="40"/>
        <v>0.7</v>
      </c>
      <c r="AF120" s="177">
        <f t="shared" si="41"/>
        <v>0.64661860060063836</v>
      </c>
      <c r="AG120" s="817">
        <f t="shared" si="49"/>
        <v>0</v>
      </c>
      <c r="AH120" s="176">
        <f t="shared" si="42"/>
        <v>6</v>
      </c>
      <c r="AI120" s="225">
        <f t="shared" si="43"/>
        <v>0.64661860060063836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45764</v>
      </c>
      <c r="B121" s="411">
        <f>'2024'!Wh/'2024'!Env_an*'2025'!Env_an</f>
        <v>34.292435807421015</v>
      </c>
      <c r="C121" s="846"/>
      <c r="D121" s="393">
        <f t="shared" si="25"/>
        <v>36.266210572349458</v>
      </c>
      <c r="E121" s="385">
        <f t="shared" si="47"/>
        <v>40.23868442366517</v>
      </c>
      <c r="F121" s="385">
        <f t="shared" si="26"/>
        <v>40.23868442366517</v>
      </c>
      <c r="G121" s="110">
        <f t="shared" si="48"/>
        <v>0.99145449222032611</v>
      </c>
      <c r="H121" s="414" t="b">
        <f>Wh_hp&gt;='2024'!Maxi_hp</f>
        <v>1</v>
      </c>
      <c r="I121" s="390">
        <f>IF(H121,Wh_hp,'2024'!Maxi_hp)</f>
        <v>40.23868442366517</v>
      </c>
      <c r="J121" s="85">
        <f>IF(H121,An,'2024'!An_max)</f>
        <v>2025</v>
      </c>
      <c r="K121" s="197">
        <f t="shared" si="27"/>
        <v>45764</v>
      </c>
      <c r="L121" s="147">
        <f>IF(t&lt;Tvie,1-EXP((T0-t)*PertePVj)+'2024'!Pspv,1-EXP((T0-t)*PertePVj)+Pspv)</f>
        <v>5.4424620984065863E-2</v>
      </c>
      <c r="M121" s="850"/>
      <c r="N121" s="850"/>
      <c r="O121" s="48">
        <f>IF(t&lt;Tnet,'2024'!Resal+('2024'!Salim-'2024'!Resal)*(1-EXP(('2024'!Tnet-t)/('2024'!Tau_j))),Resal+(Salim-Resal)*(1-EXP((Tnet-t)/(Tau_j))))*Salcycl</f>
        <v>9.8722756675897222E-2</v>
      </c>
      <c r="P121" s="169">
        <f>(INDEX(Models!$BJ121:$BT121,,T121)*(1-R121)+INDEX(Models!$BJ121:$BT121,,T121+1)*R121-ERP_i)*Q121*Ramure*Pc/MaxiM</f>
        <v>0</v>
      </c>
      <c r="Q121" s="305">
        <f t="shared" si="28"/>
        <v>0.7</v>
      </c>
      <c r="R121" s="177">
        <f t="shared" si="29"/>
        <v>2.4545577759259141E-2</v>
      </c>
      <c r="S121" s="817">
        <f t="shared" si="30"/>
        <v>-2</v>
      </c>
      <c r="T121" s="176">
        <f t="shared" si="31"/>
        <v>4</v>
      </c>
      <c r="U121" s="251">
        <f t="shared" si="32"/>
        <v>-1.9754544222407409</v>
      </c>
      <c r="V121" s="383">
        <f t="shared" si="33"/>
        <v>34.588007897996768</v>
      </c>
      <c r="W121" s="402">
        <f t="shared" si="34"/>
        <v>34.292435807421015</v>
      </c>
      <c r="X121" s="157">
        <f t="shared" si="35"/>
        <v>45764</v>
      </c>
      <c r="Y121" s="385">
        <f t="shared" si="36"/>
        <v>33.079900793210662</v>
      </c>
      <c r="Z121" s="385">
        <f t="shared" si="37"/>
        <v>34.983885502218882</v>
      </c>
      <c r="AA121" s="386">
        <f t="shared" si="38"/>
        <v>40.238637628414679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0.13058971267171163</v>
      </c>
      <c r="AD121" s="231">
        <f>(INDEX(Models!$BJ121:$BT121,,AH121)*(1-AF121)+INDEX(Models!$BJ121:$BT121,,AH121+1)*AF121-ERP_i)*AE121*Ramure*Pc/MaxiM</f>
        <v>1.1773143581220171E-6</v>
      </c>
      <c r="AE121" s="305">
        <f t="shared" si="40"/>
        <v>0.7</v>
      </c>
      <c r="AF121" s="177">
        <f t="shared" si="41"/>
        <v>0.64840894713531516</v>
      </c>
      <c r="AG121" s="817">
        <f t="shared" si="49"/>
        <v>0</v>
      </c>
      <c r="AH121" s="176">
        <f t="shared" si="42"/>
        <v>6</v>
      </c>
      <c r="AI121" s="225">
        <f t="shared" si="43"/>
        <v>0.64840894713531516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45765</v>
      </c>
      <c r="B122" s="411">
        <f>'2024'!Wh/'2024'!Env_an*'2025'!Env_an</f>
        <v>24.557431066260413</v>
      </c>
      <c r="C122" s="846"/>
      <c r="D122" s="393">
        <f t="shared" si="25"/>
        <v>25.971455574873765</v>
      </c>
      <c r="E122" s="385">
        <f t="shared" si="47"/>
        <v>28.819471293246426</v>
      </c>
      <c r="F122" s="385">
        <f t="shared" si="26"/>
        <v>28.819471293246426</v>
      </c>
      <c r="G122" s="110">
        <f t="shared" si="48"/>
        <v>0.70746753370031912</v>
      </c>
      <c r="H122" s="414" t="b">
        <f>Wh_hp&gt;='2024'!Maxi_hp</f>
        <v>1</v>
      </c>
      <c r="I122" s="390">
        <f>IF(H122,Wh_hp,'2024'!Maxi_hp)</f>
        <v>28.819471293246426</v>
      </c>
      <c r="J122" s="85">
        <f>IF(H122,An,'2024'!An_max)</f>
        <v>2025</v>
      </c>
      <c r="K122" s="197">
        <f t="shared" si="27"/>
        <v>45765</v>
      </c>
      <c r="L122" s="147">
        <f>IF(t&lt;Tvie,1-EXP((T0-t)*PertePVj)+'2024'!Pspv,1-EXP((T0-t)*PertePVj)+Pspv)</f>
        <v>5.4445331511621453E-2</v>
      </c>
      <c r="M122" s="850"/>
      <c r="N122" s="850"/>
      <c r="O122" s="48">
        <f>IF(t&lt;Tnet,'2024'!Resal+('2024'!Salim-'2024'!Resal)*(1-EXP(('2024'!Tnet-t)/('2024'!Tau_j))),Resal+(Salim-Resal)*(1-EXP((Tnet-t)/(Tau_j))))*Salcycl</f>
        <v>9.8822622018054362E-2</v>
      </c>
      <c r="P122" s="169">
        <f>(INDEX(Models!$BJ122:$BT122,,T122)*(1-R122)+INDEX(Models!$BJ122:$BT122,,T122+1)*R122-ERP_i)*Q122*Ramure*Pc/MaxiM</f>
        <v>0</v>
      </c>
      <c r="Q122" s="305">
        <f t="shared" si="28"/>
        <v>0.7</v>
      </c>
      <c r="R122" s="177">
        <f t="shared" si="29"/>
        <v>2.6396058081982199E-2</v>
      </c>
      <c r="S122" s="817">
        <f t="shared" si="30"/>
        <v>-2</v>
      </c>
      <c r="T122" s="176">
        <f t="shared" si="31"/>
        <v>4</v>
      </c>
      <c r="U122" s="251">
        <f t="shared" si="32"/>
        <v>-1.9736039419180178</v>
      </c>
      <c r="V122" s="383">
        <f t="shared" si="33"/>
        <v>34.711742795907384</v>
      </c>
      <c r="W122" s="402">
        <f t="shared" si="34"/>
        <v>24.557431066260413</v>
      </c>
      <c r="X122" s="157">
        <f t="shared" si="35"/>
        <v>45765</v>
      </c>
      <c r="Y122" s="385">
        <f t="shared" si="36"/>
        <v>23.68992757180909</v>
      </c>
      <c r="Z122" s="385">
        <f t="shared" si="37"/>
        <v>25.054000959755459</v>
      </c>
      <c r="AA122" s="386">
        <f t="shared" si="38"/>
        <v>28.819453355663974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0.13065662104824338</v>
      </c>
      <c r="AD122" s="231">
        <f>(INDEX(Models!$BJ122:$BT122,,AH122)*(1-AF122)+INDEX(Models!$BJ122:$BT122,,AH122+1)*AF122-ERP_i)*AE122*Ramure*Pc/MaxiM</f>
        <v>1.0692590396261528E-6</v>
      </c>
      <c r="AE122" s="305">
        <f t="shared" si="40"/>
        <v>0.7</v>
      </c>
      <c r="AF122" s="177">
        <f t="shared" si="41"/>
        <v>0.650259427458038</v>
      </c>
      <c r="AG122" s="817">
        <f t="shared" si="49"/>
        <v>0</v>
      </c>
      <c r="AH122" s="176">
        <f t="shared" si="42"/>
        <v>6</v>
      </c>
      <c r="AI122" s="225">
        <f t="shared" si="43"/>
        <v>0.650259427458038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45766</v>
      </c>
      <c r="B123" s="411">
        <f>'2024'!Wh/'2024'!Env_an*'2025'!Env_an</f>
        <v>6.0166400546969676</v>
      </c>
      <c r="C123" s="846"/>
      <c r="D123" s="393">
        <f t="shared" si="25"/>
        <v>6.3632194287196793</v>
      </c>
      <c r="E123" s="385">
        <f t="shared" si="47"/>
        <v>7.0617994746801065</v>
      </c>
      <c r="F123" s="385">
        <f t="shared" si="26"/>
        <v>7.0617994746801065</v>
      </c>
      <c r="G123" s="110">
        <f t="shared" si="48"/>
        <v>0.17272654508623636</v>
      </c>
      <c r="H123" s="414" t="b">
        <f>Wh_hp&gt;='2024'!Maxi_hp</f>
        <v>0</v>
      </c>
      <c r="I123" s="390">
        <f>IF(H123,Wh_hp,'2024'!Maxi_hp)</f>
        <v>38.947990013439039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5.4466041585563452E-2</v>
      </c>
      <c r="M123" s="850"/>
      <c r="N123" s="850"/>
      <c r="O123" s="48">
        <f>IF(t&lt;Tnet,'2024'!Resal+('2024'!Salim-'2024'!Resal)*(1-EXP(('2024'!Tnet-t)/('2024'!Tau_j))),Resal+(Salim-Resal)*(1-EXP((Tnet-t)/(Tau_j))))*Salcycl</f>
        <v>9.8923801003578074E-2</v>
      </c>
      <c r="P123" s="169">
        <f>(INDEX(Models!$BJ123:$BT123,,T123)*(1-R123)+INDEX(Models!$BJ123:$BT123,,T123+1)*R123-ERP_i)*Q123*Ramure*Pc/MaxiM</f>
        <v>0</v>
      </c>
      <c r="Q123" s="305">
        <f t="shared" si="28"/>
        <v>0.7</v>
      </c>
      <c r="R123" s="177">
        <f t="shared" si="29"/>
        <v>2.8308111166619021E-2</v>
      </c>
      <c r="S123" s="817">
        <f t="shared" si="30"/>
        <v>-2</v>
      </c>
      <c r="T123" s="176">
        <f t="shared" si="31"/>
        <v>4</v>
      </c>
      <c r="U123" s="251">
        <f t="shared" si="32"/>
        <v>-1.971691888833381</v>
      </c>
      <c r="V123" s="383">
        <f t="shared" si="33"/>
        <v>34.833326004946542</v>
      </c>
      <c r="W123" s="402">
        <f t="shared" si="34"/>
        <v>6.0166400546969676</v>
      </c>
      <c r="X123" s="157">
        <f t="shared" si="35"/>
        <v>45766</v>
      </c>
      <c r="Y123" s="385">
        <f t="shared" si="36"/>
        <v>5.8042959283830999</v>
      </c>
      <c r="Z123" s="385">
        <f t="shared" si="37"/>
        <v>6.1386435428678929</v>
      </c>
      <c r="AA123" s="386">
        <f t="shared" si="38"/>
        <v>7.0617994746801065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0.13072531089592176</v>
      </c>
      <c r="AD123" s="231">
        <f>(INDEX(Models!$BJ123:$BT123,,AH123)*(1-AF123)+INDEX(Models!$BJ123:$BT123,,AH123+1)*AF123-ERP_i)*AE123*Ramure*Pc/MaxiM</f>
        <v>9.6525529963917598E-7</v>
      </c>
      <c r="AE123" s="305">
        <f t="shared" si="40"/>
        <v>0.7</v>
      </c>
      <c r="AF123" s="177">
        <f t="shared" si="41"/>
        <v>0.65217148054267493</v>
      </c>
      <c r="AG123" s="817">
        <f t="shared" si="49"/>
        <v>0</v>
      </c>
      <c r="AH123" s="176">
        <f t="shared" si="42"/>
        <v>6</v>
      </c>
      <c r="AI123" s="225">
        <f t="shared" si="43"/>
        <v>0.65217148054267493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45767</v>
      </c>
      <c r="B124" s="411">
        <f>'2024'!Wh/'2024'!Env_an*'2025'!Env_an</f>
        <v>6.1530049224637002</v>
      </c>
      <c r="C124" s="846"/>
      <c r="D124" s="393">
        <f t="shared" si="25"/>
        <v>6.5075819194614191</v>
      </c>
      <c r="E124" s="385">
        <f t="shared" si="47"/>
        <v>7.2228323350049664</v>
      </c>
      <c r="F124" s="385">
        <f t="shared" si="26"/>
        <v>7.2228323350049664</v>
      </c>
      <c r="G124" s="110">
        <f t="shared" si="48"/>
        <v>0.17603867347887314</v>
      </c>
      <c r="H124" s="414" t="b">
        <f>Wh_hp&gt;='2024'!Maxi_hp</f>
        <v>0</v>
      </c>
      <c r="I124" s="390">
        <f>IF(H124,Wh_hp,'2024'!Maxi_hp)</f>
        <v>34.517360529046911</v>
      </c>
      <c r="J124" s="85">
        <f>IF(H124,An,'2024'!An_max)</f>
        <v>2019</v>
      </c>
      <c r="K124" s="197">
        <f t="shared" si="27"/>
        <v>45767</v>
      </c>
      <c r="L124" s="147">
        <f>IF(t&lt;Tvie,1-EXP((T0-t)*PertePVj)+'2024'!Pspv,1-EXP((T0-t)*PertePVj)+Pspv)</f>
        <v>5.448675120590174E-2</v>
      </c>
      <c r="M124" s="850"/>
      <c r="N124" s="850"/>
      <c r="O124" s="48">
        <f>IF(t&lt;Tnet,'2024'!Resal+('2024'!Salim-'2024'!Resal)*(1-EXP(('2024'!Tnet-t)/('2024'!Tau_j))),Resal+(Salim-Resal)*(1-EXP((Tnet-t)/(Tau_j))))*Salcycl</f>
        <v>9.9026307460735888E-2</v>
      </c>
      <c r="P124" s="169">
        <f>(INDEX(Models!$BJ124:$BT124,,T124)*(1-R124)+INDEX(Models!$BJ124:$BT124,,T124+1)*R124-ERP_i)*Q124*Ramure*Pc/MaxiM</f>
        <v>0</v>
      </c>
      <c r="Q124" s="305">
        <f t="shared" si="28"/>
        <v>0.7</v>
      </c>
      <c r="R124" s="177">
        <f t="shared" si="29"/>
        <v>3.0283165895288233E-2</v>
      </c>
      <c r="S124" s="817">
        <f t="shared" si="30"/>
        <v>-2</v>
      </c>
      <c r="T124" s="176">
        <f t="shared" si="31"/>
        <v>4</v>
      </c>
      <c r="U124" s="251">
        <f t="shared" si="32"/>
        <v>-1.9697168341047118</v>
      </c>
      <c r="V124" s="383">
        <f t="shared" si="33"/>
        <v>34.952574913614868</v>
      </c>
      <c r="W124" s="402">
        <f t="shared" si="34"/>
        <v>6.1530049224637002</v>
      </c>
      <c r="X124" s="157">
        <f t="shared" si="35"/>
        <v>45767</v>
      </c>
      <c r="Y124" s="385">
        <f t="shared" si="36"/>
        <v>5.9360420612044038</v>
      </c>
      <c r="Z124" s="385">
        <f t="shared" si="37"/>
        <v>6.2781162175941958</v>
      </c>
      <c r="AA124" s="386">
        <f t="shared" si="38"/>
        <v>7.2228323350049664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0.13079579776928613</v>
      </c>
      <c r="AD124" s="231">
        <f>(INDEX(Models!$BJ124:$BT124,,AH124)*(1-AF124)+INDEX(Models!$BJ124:$BT124,,AH124+1)*AF124-ERP_i)*AE124*Ramure*Pc/MaxiM</f>
        <v>8.6525081684696295E-7</v>
      </c>
      <c r="AE124" s="305">
        <f t="shared" si="40"/>
        <v>0.7</v>
      </c>
      <c r="AF124" s="177">
        <f t="shared" si="41"/>
        <v>0.65414653527134414</v>
      </c>
      <c r="AG124" s="817">
        <f t="shared" si="49"/>
        <v>0</v>
      </c>
      <c r="AH124" s="176">
        <f t="shared" si="42"/>
        <v>6</v>
      </c>
      <c r="AI124" s="225">
        <f t="shared" si="43"/>
        <v>0.65414653527134414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45768</v>
      </c>
      <c r="B125" s="411">
        <f>'2024'!Wh/'2024'!Env_an*'2025'!Env_an</f>
        <v>6.5730641771705516</v>
      </c>
      <c r="C125" s="846"/>
      <c r="D125" s="393">
        <f t="shared" si="25"/>
        <v>6.9520000440840999</v>
      </c>
      <c r="E125" s="385">
        <f t="shared" si="47"/>
        <v>7.7169860544404987</v>
      </c>
      <c r="F125" s="385">
        <f t="shared" si="26"/>
        <v>7.7169860544404987</v>
      </c>
      <c r="G125" s="110">
        <f t="shared" si="48"/>
        <v>0.18743068287766884</v>
      </c>
      <c r="H125" s="414" t="b">
        <f>Wh_hp&gt;='2024'!Maxi_hp</f>
        <v>0</v>
      </c>
      <c r="I125" s="390">
        <f>IF(H125,Wh_hp,'2024'!Maxi_hp)</f>
        <v>37.760094952186769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5.4507460372646088E-2</v>
      </c>
      <c r="M125" s="850"/>
      <c r="N125" s="850"/>
      <c r="O125" s="48">
        <f>IF(t&lt;Tnet,'2024'!Resal+('2024'!Salim-'2024'!Resal)*(1-EXP(('2024'!Tnet-t)/('2024'!Tau_j))),Resal+(Salim-Resal)*(1-EXP((Tnet-t)/(Tau_j))))*Salcycl</f>
        <v>9.9130153269644861E-2</v>
      </c>
      <c r="P125" s="169">
        <f>(INDEX(Models!$BJ125:$BT125,,T125)*(1-R125)+INDEX(Models!$BJ125:$BT125,,T125+1)*R125-ERP_i)*Q125*Ramure*Pc/MaxiM</f>
        <v>0</v>
      </c>
      <c r="Q125" s="305">
        <f t="shared" si="28"/>
        <v>0.7</v>
      </c>
      <c r="R125" s="177">
        <f t="shared" si="29"/>
        <v>3.2322636960761209E-2</v>
      </c>
      <c r="S125" s="817">
        <f t="shared" si="30"/>
        <v>-2</v>
      </c>
      <c r="T125" s="176">
        <f t="shared" si="31"/>
        <v>4</v>
      </c>
      <c r="U125" s="251">
        <f t="shared" si="32"/>
        <v>-1.9676773630392388</v>
      </c>
      <c r="V125" s="383">
        <f t="shared" si="33"/>
        <v>35.069307096643406</v>
      </c>
      <c r="W125" s="402">
        <f t="shared" si="34"/>
        <v>6.5730641771705516</v>
      </c>
      <c r="X125" s="157">
        <f t="shared" si="35"/>
        <v>45768</v>
      </c>
      <c r="Y125" s="385">
        <f t="shared" si="36"/>
        <v>6.3414929616767814</v>
      </c>
      <c r="Z125" s="385">
        <f t="shared" si="37"/>
        <v>6.7070787932141149</v>
      </c>
      <c r="AA125" s="386">
        <f t="shared" si="38"/>
        <v>7.7169860544404987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0.13086809462941354</v>
      </c>
      <c r="AD125" s="231">
        <f>(INDEX(Models!$BJ125:$BT125,,AH125)*(1-AF125)+INDEX(Models!$BJ125:$BT125,,AH125+1)*AF125-ERP_i)*AE125*Ramure*Pc/MaxiM</f>
        <v>7.6919810262348049E-7</v>
      </c>
      <c r="AE125" s="305">
        <f t="shared" si="40"/>
        <v>0.7</v>
      </c>
      <c r="AF125" s="177">
        <f t="shared" si="41"/>
        <v>0.65618600633681712</v>
      </c>
      <c r="AG125" s="817">
        <f t="shared" si="49"/>
        <v>0</v>
      </c>
      <c r="AH125" s="176">
        <f t="shared" si="42"/>
        <v>6</v>
      </c>
      <c r="AI125" s="225">
        <f t="shared" si="43"/>
        <v>0.65618600633681712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45769</v>
      </c>
      <c r="B126" s="411">
        <f>'2024'!Wh/'2024'!Env_an*'2025'!Env_an</f>
        <v>17.330144114263501</v>
      </c>
      <c r="C126" s="846"/>
      <c r="D126" s="393">
        <f t="shared" si="25"/>
        <v>18.329625005862606</v>
      </c>
      <c r="E126" s="385">
        <f t="shared" si="47"/>
        <v>20.348961263903771</v>
      </c>
      <c r="F126" s="385">
        <f t="shared" si="26"/>
        <v>20.348961263903771</v>
      </c>
      <c r="G126" s="110">
        <f t="shared" si="48"/>
        <v>0.49256676467485083</v>
      </c>
      <c r="H126" s="414" t="b">
        <f>Wh_hp&gt;='2024'!Maxi_hp</f>
        <v>0</v>
      </c>
      <c r="I126" s="390">
        <f>IF(H126,Wh_hp,'2024'!Maxi_hp)</f>
        <v>41.180654227850937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5.4528169085806599E-2</v>
      </c>
      <c r="M126" s="850"/>
      <c r="N126" s="850"/>
      <c r="O126" s="48">
        <f>IF(t&lt;Tnet,'2024'!Resal+('2024'!Salim-'2024'!Resal)*(1-EXP(('2024'!Tnet-t)/('2024'!Tau_j))),Resal+(Salim-Resal)*(1-EXP((Tnet-t)/(Tau_j))))*Salcycl</f>
        <v>9.9235348274173907E-2</v>
      </c>
      <c r="P126" s="169">
        <f>(INDEX(Models!$BJ126:$BT126,,T126)*(1-R126)+INDEX(Models!$BJ126:$BT126,,T126+1)*R126-ERP_i)*Q126*Ramure*Pc/MaxiM</f>
        <v>0</v>
      </c>
      <c r="Q126" s="305">
        <f t="shared" si="28"/>
        <v>0.7</v>
      </c>
      <c r="R126" s="177">
        <f t="shared" si="29"/>
        <v>3.442792050764365E-2</v>
      </c>
      <c r="S126" s="817">
        <f t="shared" si="30"/>
        <v>-2</v>
      </c>
      <c r="T126" s="176">
        <f t="shared" si="31"/>
        <v>4</v>
      </c>
      <c r="U126" s="251">
        <f t="shared" si="32"/>
        <v>-1.9655720794923563</v>
      </c>
      <c r="V126" s="383">
        <f t="shared" si="33"/>
        <v>35.18334032484578</v>
      </c>
      <c r="W126" s="402">
        <f t="shared" si="34"/>
        <v>17.330144114263501</v>
      </c>
      <c r="X126" s="157">
        <f t="shared" si="35"/>
        <v>45769</v>
      </c>
      <c r="Y126" s="385">
        <f t="shared" si="36"/>
        <v>16.72012093310386</v>
      </c>
      <c r="Z126" s="385">
        <f t="shared" si="37"/>
        <v>17.684419975724587</v>
      </c>
      <c r="AA126" s="386">
        <f t="shared" si="38"/>
        <v>20.348957473833149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0.13094221173418374</v>
      </c>
      <c r="AD126" s="231">
        <f>(INDEX(Models!$BJ126:$BT126,,AH126)*(1-AF126)+INDEX(Models!$BJ126:$BT126,,AH126+1)*AF126-ERP_i)*AE126*Ramure*Pc/MaxiM</f>
        <v>6.7705159168296266E-7</v>
      </c>
      <c r="AE126" s="305">
        <f t="shared" si="40"/>
        <v>0.7</v>
      </c>
      <c r="AF126" s="177">
        <f t="shared" si="41"/>
        <v>0.65829128988369967</v>
      </c>
      <c r="AG126" s="817">
        <f t="shared" si="49"/>
        <v>0</v>
      </c>
      <c r="AH126" s="176">
        <f t="shared" si="42"/>
        <v>6</v>
      </c>
      <c r="AI126" s="225">
        <f t="shared" si="43"/>
        <v>0.65829128988369967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45770</v>
      </c>
      <c r="B127" s="411">
        <f>'2024'!Wh/'2024'!Env_an*'2025'!Env_an</f>
        <v>5.4074477363664597</v>
      </c>
      <c r="C127" s="846"/>
      <c r="D127" s="393">
        <f t="shared" si="25"/>
        <v>5.7194365809028858</v>
      </c>
      <c r="E127" s="385">
        <f t="shared" si="47"/>
        <v>6.350286065396487</v>
      </c>
      <c r="F127" s="385">
        <f t="shared" si="26"/>
        <v>6.350286065396487</v>
      </c>
      <c r="G127" s="110">
        <f t="shared" si="48"/>
        <v>0.15320939168221792</v>
      </c>
      <c r="H127" s="414" t="b">
        <f>Wh_hp&gt;='2024'!Maxi_hp</f>
        <v>0</v>
      </c>
      <c r="I127" s="390">
        <f>IF(H127,Wh_hp,'2024'!Maxi_hp)</f>
        <v>41.263564610244281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5.4548877345393043E-2</v>
      </c>
      <c r="M127" s="850"/>
      <c r="N127" s="850"/>
      <c r="O127" s="48">
        <f>IF(t&lt;Tnet,'2024'!Resal+('2024'!Salim-'2024'!Resal)*(1-EXP(('2024'!Tnet-t)/('2024'!Tau_j))),Resal+(Salim-Resal)*(1-EXP((Tnet-t)/(Tau_j))))*Salcycl</f>
        <v>9.9341900191107876E-2</v>
      </c>
      <c r="P127" s="169">
        <f>(INDEX(Models!$BJ127:$BT127,,T127)*(1-R127)+INDEX(Models!$BJ127:$BT127,,T127+1)*R127-ERP_i)*Q127*Ramure*Pc/MaxiM</f>
        <v>0</v>
      </c>
      <c r="Q127" s="305">
        <f t="shared" si="28"/>
        <v>0.7</v>
      </c>
      <c r="R127" s="177">
        <f t="shared" si="29"/>
        <v>3.6600389511677101E-2</v>
      </c>
      <c r="S127" s="817">
        <f t="shared" si="30"/>
        <v>-2</v>
      </c>
      <c r="T127" s="176">
        <f t="shared" si="31"/>
        <v>4</v>
      </c>
      <c r="U127" s="251">
        <f t="shared" si="32"/>
        <v>-1.9633996104883229</v>
      </c>
      <c r="V127" s="383">
        <f t="shared" si="33"/>
        <v>35.294492569896875</v>
      </c>
      <c r="W127" s="402">
        <f t="shared" si="34"/>
        <v>5.4074477363664597</v>
      </c>
      <c r="X127" s="157">
        <f t="shared" si="35"/>
        <v>45770</v>
      </c>
      <c r="Y127" s="385">
        <f t="shared" si="36"/>
        <v>5.2172671332643219</v>
      </c>
      <c r="Z127" s="385">
        <f t="shared" si="37"/>
        <v>5.5182832917004196</v>
      </c>
      <c r="AA127" s="386">
        <f t="shared" si="38"/>
        <v>6.350286065396487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0.13101815652522422</v>
      </c>
      <c r="AD127" s="231">
        <f>(INDEX(Models!$BJ127:$BT127,,AH127)*(1-AF127)+INDEX(Models!$BJ127:$BT127,,AH127+1)*AF127-ERP_i)*AE127*Ramure*Pc/MaxiM</f>
        <v>5.8876629958078203E-7</v>
      </c>
      <c r="AE127" s="305">
        <f t="shared" si="40"/>
        <v>0.7</v>
      </c>
      <c r="AF127" s="177">
        <f t="shared" si="41"/>
        <v>0.66046375888773301</v>
      </c>
      <c r="AG127" s="817">
        <f t="shared" si="49"/>
        <v>0</v>
      </c>
      <c r="AH127" s="176">
        <f t="shared" si="42"/>
        <v>6</v>
      </c>
      <c r="AI127" s="225">
        <f t="shared" si="43"/>
        <v>0.66046375888773301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45771</v>
      </c>
      <c r="B128" s="411">
        <f>'2024'!Wh/'2024'!Env_an*'2025'!Env_an</f>
        <v>21.255957383608134</v>
      </c>
      <c r="C128" s="846"/>
      <c r="D128" s="393">
        <f t="shared" si="25"/>
        <v>22.482836441233367</v>
      </c>
      <c r="E128" s="385">
        <f t="shared" si="47"/>
        <v>24.965667437147513</v>
      </c>
      <c r="F128" s="385">
        <f t="shared" si="26"/>
        <v>24.965667437147513</v>
      </c>
      <c r="G128" s="110">
        <f t="shared" si="48"/>
        <v>0.60040698093413492</v>
      </c>
      <c r="H128" s="414" t="b">
        <f>Wh_hp&gt;='2024'!Maxi_hp</f>
        <v>0</v>
      </c>
      <c r="I128" s="390">
        <f>IF(H128,Wh_hp,'2024'!Maxi_hp)</f>
        <v>38.769139149526289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5.4569585151415523E-2</v>
      </c>
      <c r="M128" s="850"/>
      <c r="N128" s="850"/>
      <c r="O128" s="48">
        <f>IF(t&lt;Tnet,'2024'!Resal+('2024'!Salim-'2024'!Resal)*(1-EXP(('2024'!Tnet-t)/('2024'!Tau_j))),Resal+(Salim-Resal)*(1-EXP((Tnet-t)/(Tau_j))))*Salcycl</f>
        <v>9.9449814516868573E-2</v>
      </c>
      <c r="P128" s="169">
        <f>(INDEX(Models!$BJ128:$BT128,,T128)*(1-R128)+INDEX(Models!$BJ128:$BT128,,T128+1)*R128-ERP_i)*Q128*Ramure*Pc/MaxiM</f>
        <v>0</v>
      </c>
      <c r="Q128" s="305">
        <f t="shared" si="28"/>
        <v>0.7</v>
      </c>
      <c r="R128" s="177">
        <f t="shared" si="29"/>
        <v>3.8841388898258611E-2</v>
      </c>
      <c r="S128" s="817">
        <f t="shared" si="30"/>
        <v>-2</v>
      </c>
      <c r="T128" s="176">
        <f t="shared" si="31"/>
        <v>4</v>
      </c>
      <c r="U128" s="251">
        <f t="shared" si="32"/>
        <v>-1.9611586111017414</v>
      </c>
      <c r="V128" s="383">
        <f t="shared" si="33"/>
        <v>35.402582012849599</v>
      </c>
      <c r="W128" s="402">
        <f t="shared" si="34"/>
        <v>21.255957383608134</v>
      </c>
      <c r="X128" s="157">
        <f t="shared" si="35"/>
        <v>45771</v>
      </c>
      <c r="Y128" s="385">
        <f t="shared" si="36"/>
        <v>20.509000019986107</v>
      </c>
      <c r="Z128" s="385">
        <f t="shared" si="37"/>
        <v>21.692765218760947</v>
      </c>
      <c r="AA128" s="386">
        <f t="shared" si="38"/>
        <v>24.965661982039862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0.13109593351193391</v>
      </c>
      <c r="AD128" s="231">
        <f>(INDEX(Models!$BJ128:$BT128,,AH128)*(1-AF128)+INDEX(Models!$BJ128:$BT128,,AH128+1)*AF128-ERP_i)*AE128*Ramure*Pc/MaxiM</f>
        <v>5.0915283175362546E-7</v>
      </c>
      <c r="AE128" s="305">
        <f t="shared" si="40"/>
        <v>0.7</v>
      </c>
      <c r="AF128" s="177">
        <f t="shared" si="41"/>
        <v>0.66270475827431452</v>
      </c>
      <c r="AG128" s="817">
        <f t="shared" si="49"/>
        <v>0</v>
      </c>
      <c r="AH128" s="176">
        <f t="shared" si="42"/>
        <v>6</v>
      </c>
      <c r="AI128" s="225">
        <f t="shared" si="43"/>
        <v>0.66270475827431452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45772</v>
      </c>
      <c r="B129" s="411">
        <f>'2024'!Wh/'2024'!Env_an*'2025'!Env_an</f>
        <v>29.462851093076512</v>
      </c>
      <c r="C129" s="846"/>
      <c r="D129" s="393">
        <f t="shared" si="25"/>
        <v>31.164108914332839</v>
      </c>
      <c r="E129" s="385">
        <f t="shared" si="47"/>
        <v>34.609832496093723</v>
      </c>
      <c r="F129" s="385">
        <f t="shared" si="26"/>
        <v>34.609832496093723</v>
      </c>
      <c r="G129" s="110">
        <f t="shared" si="48"/>
        <v>0.82976586975157351</v>
      </c>
      <c r="H129" s="414" t="b">
        <f>Wh_hp&gt;='2024'!Maxi_hp</f>
        <v>0</v>
      </c>
      <c r="I129" s="390">
        <f>IF(H129,Wh_hp,'2024'!Maxi_hp)</f>
        <v>37.502516618915408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5.4590292503883919E-2</v>
      </c>
      <c r="M129" s="850"/>
      <c r="N129" s="850"/>
      <c r="O129" s="48">
        <f>IF(t&lt;Tnet,'2024'!Resal+('2024'!Salim-'2024'!Resal)*(1-EXP(('2024'!Tnet-t)/('2024'!Tau_j))),Resal+(Salim-Resal)*(1-EXP((Tnet-t)/(Tau_j))))*Salcycl</f>
        <v>9.9559094432190229E-2</v>
      </c>
      <c r="P129" s="169">
        <f>(INDEX(Models!$BJ129:$BT129,,T129)*(1-R129)+INDEX(Models!$BJ129:$BT129,,T129+1)*R129-ERP_i)*Q129*Ramure*Pc/MaxiM</f>
        <v>0</v>
      </c>
      <c r="Q129" s="305">
        <f t="shared" si="28"/>
        <v>0.7</v>
      </c>
      <c r="R129" s="177">
        <f t="shared" si="29"/>
        <v>4.1152230403224355E-2</v>
      </c>
      <c r="S129" s="817">
        <f t="shared" si="30"/>
        <v>-2</v>
      </c>
      <c r="T129" s="176">
        <f t="shared" si="31"/>
        <v>4</v>
      </c>
      <c r="U129" s="251">
        <f t="shared" si="32"/>
        <v>-1.9588477695967756</v>
      </c>
      <c r="V129" s="383">
        <f t="shared" si="33"/>
        <v>35.507427055173409</v>
      </c>
      <c r="W129" s="402">
        <f t="shared" si="34"/>
        <v>29.462851093076512</v>
      </c>
      <c r="X129" s="157">
        <f t="shared" si="35"/>
        <v>45772</v>
      </c>
      <c r="Y129" s="385">
        <f t="shared" si="36"/>
        <v>28.428336576997353</v>
      </c>
      <c r="Z129" s="385">
        <f t="shared" si="37"/>
        <v>30.069858973935002</v>
      </c>
      <c r="AA129" s="386">
        <f t="shared" si="38"/>
        <v>34.60982108822494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0.13117554415311733</v>
      </c>
      <c r="AD129" s="231">
        <f>(INDEX(Models!$BJ129:$BT129,,AH129)*(1-AF129)+INDEX(Models!$BJ129:$BT129,,AH129+1)*AF129-ERP_i)*AE129*Ramure*Pc/MaxiM</f>
        <v>4.3553101204590654E-7</v>
      </c>
      <c r="AE129" s="305">
        <f t="shared" si="40"/>
        <v>0.7</v>
      </c>
      <c r="AF129" s="177">
        <f t="shared" si="41"/>
        <v>0.66501559977928038</v>
      </c>
      <c r="AG129" s="817">
        <f t="shared" si="49"/>
        <v>0</v>
      </c>
      <c r="AH129" s="176">
        <f t="shared" si="42"/>
        <v>6</v>
      </c>
      <c r="AI129" s="225">
        <f t="shared" si="43"/>
        <v>0.66501559977928038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45773</v>
      </c>
      <c r="B130" s="411">
        <f>'2024'!Wh/'2024'!Env_an*'2025'!Env_an</f>
        <v>34.028992032547997</v>
      </c>
      <c r="C130" s="846"/>
      <c r="D130" s="393">
        <f t="shared" si="25"/>
        <v>35.994698490306376</v>
      </c>
      <c r="E130" s="385">
        <f t="shared" si="47"/>
        <v>39.97943878783088</v>
      </c>
      <c r="F130" s="385">
        <f t="shared" si="26"/>
        <v>39.97943878783088</v>
      </c>
      <c r="G130" s="110">
        <f t="shared" si="48"/>
        <v>0.95563309531538743</v>
      </c>
      <c r="H130" s="414" t="b">
        <f>Wh_hp&gt;='2024'!Maxi_hp</f>
        <v>1</v>
      </c>
      <c r="I130" s="390">
        <f>IF(H130,Wh_hp,'2024'!Maxi_hp)</f>
        <v>39.97943878783088</v>
      </c>
      <c r="J130" s="85">
        <f>IF(H130,An,'2024'!An_max)</f>
        <v>2025</v>
      </c>
      <c r="K130" s="197">
        <f t="shared" si="27"/>
        <v>45773</v>
      </c>
      <c r="L130" s="147">
        <f>IF(t&lt;Tvie,1-EXP((T0-t)*PertePVj)+'2024'!Pspv,1-EXP((T0-t)*PertePVj)+Pspv)</f>
        <v>5.4610999402808114E-2</v>
      </c>
      <c r="M130" s="850"/>
      <c r="N130" s="850"/>
      <c r="O130" s="48">
        <f>IF(t&lt;Tnet,'2024'!Resal+('2024'!Salim-'2024'!Resal)*(1-EXP(('2024'!Tnet-t)/('2024'!Tau_j))),Resal+(Salim-Resal)*(1-EXP((Tnet-t)/(Tau_j))))*Salcycl</f>
        <v>9.9669740705249546E-2</v>
      </c>
      <c r="P130" s="169">
        <f>(INDEX(Models!$BJ130:$BT130,,T130)*(1-R130)+INDEX(Models!$BJ130:$BT130,,T130+1)*R130-ERP_i)*Q130*Ramure*Pc/MaxiM</f>
        <v>0</v>
      </c>
      <c r="Q130" s="305">
        <f t="shared" si="28"/>
        <v>0.7</v>
      </c>
      <c r="R130" s="177">
        <f t="shared" si="29"/>
        <v>4.3534187181083484E-2</v>
      </c>
      <c r="S130" s="817">
        <f t="shared" si="30"/>
        <v>-2</v>
      </c>
      <c r="T130" s="176">
        <f t="shared" si="31"/>
        <v>4</v>
      </c>
      <c r="U130" s="251">
        <f t="shared" si="32"/>
        <v>-1.9564658128189165</v>
      </c>
      <c r="V130" s="383">
        <f t="shared" si="33"/>
        <v>35.608846323302998</v>
      </c>
      <c r="W130" s="402">
        <f t="shared" si="34"/>
        <v>34.028992032547997</v>
      </c>
      <c r="X130" s="157">
        <f t="shared" si="35"/>
        <v>45773</v>
      </c>
      <c r="Y130" s="385">
        <f t="shared" si="36"/>
        <v>32.835105323985829</v>
      </c>
      <c r="Z130" s="385">
        <f t="shared" si="37"/>
        <v>34.731846153534946</v>
      </c>
      <c r="AA130" s="386">
        <f t="shared" si="38"/>
        <v>39.979425012096343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0.13125698673689457</v>
      </c>
      <c r="AD130" s="231">
        <f>(INDEX(Models!$BJ130:$BT130,,AH130)*(1-AF130)+INDEX(Models!$BJ130:$BT130,,AH130+1)*AF130-ERP_i)*AE130*Ramure*Pc/MaxiM</f>
        <v>3.6788767958664003E-7</v>
      </c>
      <c r="AE130" s="305">
        <f t="shared" si="40"/>
        <v>0.7</v>
      </c>
      <c r="AF130" s="177">
        <f t="shared" si="41"/>
        <v>0.66739755655713928</v>
      </c>
      <c r="AG130" s="817">
        <f t="shared" si="49"/>
        <v>0</v>
      </c>
      <c r="AH130" s="176">
        <f t="shared" si="42"/>
        <v>6</v>
      </c>
      <c r="AI130" s="225">
        <f t="shared" si="43"/>
        <v>0.66739755655713928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45774</v>
      </c>
      <c r="B131" s="411">
        <f>'2024'!Wh/'2024'!Env_an*'2025'!Env_an</f>
        <v>24.687352899593392</v>
      </c>
      <c r="C131" s="846"/>
      <c r="D131" s="393">
        <f t="shared" si="25"/>
        <v>26.114005570435637</v>
      </c>
      <c r="E131" s="385">
        <f t="shared" si="47"/>
        <v>29.00852722844812</v>
      </c>
      <c r="F131" s="385">
        <f t="shared" si="26"/>
        <v>29.00852722844812</v>
      </c>
      <c r="G131" s="110">
        <f t="shared" si="48"/>
        <v>0.69139353311522522</v>
      </c>
      <c r="H131" s="414" t="b">
        <f>Wh_hp&gt;='2024'!Maxi_hp</f>
        <v>1</v>
      </c>
      <c r="I131" s="390">
        <f>IF(H131,Wh_hp,'2024'!Maxi_hp)</f>
        <v>29.00852722844812</v>
      </c>
      <c r="J131" s="85">
        <f>IF(H131,An,'2024'!An_max)</f>
        <v>2025</v>
      </c>
      <c r="K131" s="197">
        <f t="shared" si="27"/>
        <v>45774</v>
      </c>
      <c r="L131" s="147">
        <f>IF(t&lt;Tvie,1-EXP((T0-t)*PertePVj)+'2024'!Pspv,1-EXP((T0-t)*PertePVj)+Pspv)</f>
        <v>5.4631705848198098E-2</v>
      </c>
      <c r="M131" s="850"/>
      <c r="N131" s="850"/>
      <c r="O131" s="48">
        <f>IF(t&lt;Tnet,'2024'!Resal+('2024'!Salim-'2024'!Resal)*(1-EXP(('2024'!Tnet-t)/('2024'!Tau_j))),Resal+(Salim-Resal)*(1-EXP((Tnet-t)/(Tau_j))))*Salcycl</f>
        <v>9.9781751593851317E-2</v>
      </c>
      <c r="P131" s="169">
        <f>(INDEX(Models!$BJ131:$BT131,,T131)*(1-R131)+INDEX(Models!$BJ131:$BT131,,T131+1)*R131-ERP_i)*Q131*Ramure*Pc/MaxiM</f>
        <v>0</v>
      </c>
      <c r="Q131" s="305">
        <f t="shared" si="28"/>
        <v>0.7</v>
      </c>
      <c r="R131" s="177">
        <f t="shared" si="29"/>
        <v>4.5988488168218433E-2</v>
      </c>
      <c r="S131" s="817">
        <f t="shared" si="30"/>
        <v>-2</v>
      </c>
      <c r="T131" s="176">
        <f t="shared" si="31"/>
        <v>4</v>
      </c>
      <c r="U131" s="251">
        <f t="shared" si="32"/>
        <v>-1.9540115118317816</v>
      </c>
      <c r="V131" s="383">
        <f t="shared" si="33"/>
        <v>35.706658678682032</v>
      </c>
      <c r="W131" s="402">
        <f t="shared" si="34"/>
        <v>24.687352899593392</v>
      </c>
      <c r="X131" s="157">
        <f t="shared" si="35"/>
        <v>45774</v>
      </c>
      <c r="Y131" s="385">
        <f t="shared" si="36"/>
        <v>23.821896534125901</v>
      </c>
      <c r="Z131" s="385">
        <f t="shared" si="37"/>
        <v>25.19853551413976</v>
      </c>
      <c r="AA131" s="386">
        <f t="shared" si="38"/>
        <v>29.008522261707029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0.13134025625968129</v>
      </c>
      <c r="AD131" s="231">
        <f>(INDEX(Models!$BJ131:$BT131,,AH131)*(1-AF131)+INDEX(Models!$BJ131:$BT131,,AH131+1)*AF131-ERP_i)*AE131*Ramure*Pc/MaxiM</f>
        <v>3.062176615654867E-7</v>
      </c>
      <c r="AE131" s="305">
        <f t="shared" si="40"/>
        <v>0.7</v>
      </c>
      <c r="AF131" s="177">
        <f t="shared" si="41"/>
        <v>0.66985185754427423</v>
      </c>
      <c r="AG131" s="817">
        <f t="shared" si="49"/>
        <v>0</v>
      </c>
      <c r="AH131" s="176">
        <f t="shared" si="42"/>
        <v>6</v>
      </c>
      <c r="AI131" s="225">
        <f t="shared" si="43"/>
        <v>0.66985185754427423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45775</v>
      </c>
      <c r="B132" s="411">
        <f>'2024'!Wh/'2024'!Env_an*'2025'!Env_an</f>
        <v>15.799153560034227</v>
      </c>
      <c r="C132" s="846"/>
      <c r="D132" s="393">
        <f t="shared" si="25"/>
        <v>16.712533842484707</v>
      </c>
      <c r="E132" s="385">
        <f t="shared" si="47"/>
        <v>18.567318392381061</v>
      </c>
      <c r="F132" s="385">
        <f t="shared" si="26"/>
        <v>18.567318392381061</v>
      </c>
      <c r="G132" s="110">
        <f t="shared" si="48"/>
        <v>0.44130871640097452</v>
      </c>
      <c r="H132" s="414" t="b">
        <f>Wh_hp&gt;='2024'!Maxi_hp</f>
        <v>0</v>
      </c>
      <c r="I132" s="390">
        <f>IF(H132,Wh_hp,'2024'!Maxi_hp)</f>
        <v>31.162451823892468</v>
      </c>
      <c r="J132" s="85">
        <f>IF(H132,An,'2024'!An_max)</f>
        <v>2019</v>
      </c>
      <c r="K132" s="197">
        <f t="shared" si="27"/>
        <v>45775</v>
      </c>
      <c r="L132" s="147">
        <f>IF(t&lt;Tvie,1-EXP((T0-t)*PertePVj)+'2024'!Pspv,1-EXP((T0-t)*PertePVj)+Pspv)</f>
        <v>5.4652411840063864E-2</v>
      </c>
      <c r="M132" s="850"/>
      <c r="N132" s="850"/>
      <c r="O132" s="48">
        <f>IF(t&lt;Tnet,'2024'!Resal+('2024'!Salim-'2024'!Resal)*(1-EXP(('2024'!Tnet-t)/('2024'!Tau_j))),Resal+(Salim-Resal)*(1-EXP((Tnet-t)/(Tau_j))))*Salcycl</f>
        <v>9.9895122747367185E-2</v>
      </c>
      <c r="P132" s="169">
        <f>(INDEX(Models!$BJ132:$BT132,,T132)*(1-R132)+INDEX(Models!$BJ132:$BT132,,T132+1)*R132-ERP_i)*Q132*Ramure*Pc/MaxiM</f>
        <v>0</v>
      </c>
      <c r="Q132" s="305">
        <f t="shared" si="28"/>
        <v>0.7</v>
      </c>
      <c r="R132" s="177">
        <f t="shared" si="29"/>
        <v>4.8516312211095647E-2</v>
      </c>
      <c r="S132" s="817">
        <f t="shared" si="30"/>
        <v>-2</v>
      </c>
      <c r="T132" s="176">
        <f t="shared" si="31"/>
        <v>4</v>
      </c>
      <c r="U132" s="251">
        <f t="shared" si="32"/>
        <v>-1.9514836877889044</v>
      </c>
      <c r="V132" s="383">
        <f t="shared" si="33"/>
        <v>35.800683224391754</v>
      </c>
      <c r="W132" s="402">
        <f t="shared" si="34"/>
        <v>15.799153560034227</v>
      </c>
      <c r="X132" s="157">
        <f t="shared" si="35"/>
        <v>45775</v>
      </c>
      <c r="Y132" s="385">
        <f t="shared" si="36"/>
        <v>15.245716378694658</v>
      </c>
      <c r="Z132" s="385">
        <f t="shared" si="37"/>
        <v>16.127101364239532</v>
      </c>
      <c r="AA132" s="386">
        <f t="shared" si="38"/>
        <v>18.567317453372159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0.13142534430515915</v>
      </c>
      <c r="AD132" s="231">
        <f>(INDEX(Models!$BJ132:$BT132,,AH132)*(1-AF132)+INDEX(Models!$BJ132:$BT132,,AH132+1)*AF132-ERP_i)*AE132*Ramure*Pc/MaxiM</f>
        <v>2.5052415992175443E-7</v>
      </c>
      <c r="AE132" s="305">
        <f t="shared" si="40"/>
        <v>0.7</v>
      </c>
      <c r="AF132" s="177">
        <f t="shared" si="41"/>
        <v>0.67237968158715156</v>
      </c>
      <c r="AG132" s="817">
        <f t="shared" si="49"/>
        <v>0</v>
      </c>
      <c r="AH132" s="176">
        <f t="shared" si="42"/>
        <v>6</v>
      </c>
      <c r="AI132" s="225">
        <f t="shared" si="43"/>
        <v>0.67237968158715156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45776</v>
      </c>
      <c r="B133" s="411">
        <f>'2024'!Wh/'2024'!Env_an*'2025'!Env_an</f>
        <v>26.895458855557933</v>
      </c>
      <c r="C133" s="846"/>
      <c r="D133" s="393">
        <f t="shared" si="25"/>
        <v>28.450961619721767</v>
      </c>
      <c r="E133" s="385">
        <f t="shared" si="47"/>
        <v>31.61252545745846</v>
      </c>
      <c r="F133" s="385">
        <f t="shared" si="26"/>
        <v>31.61252545745846</v>
      </c>
      <c r="G133" s="110">
        <f t="shared" si="48"/>
        <v>0.74937043282633187</v>
      </c>
      <c r="H133" s="414" t="b">
        <f>Wh_hp&gt;='2024'!Maxi_hp</f>
        <v>0</v>
      </c>
      <c r="I133" s="390">
        <f>IF(H133,Wh_hp,'2024'!Maxi_hp)</f>
        <v>39.72311913554482</v>
      </c>
      <c r="J133" s="85">
        <f>IF(H133,An,'2024'!An_max)</f>
        <v>2019</v>
      </c>
      <c r="K133" s="197">
        <f t="shared" si="27"/>
        <v>45776</v>
      </c>
      <c r="L133" s="147">
        <f>IF(t&lt;Tvie,1-EXP((T0-t)*PertePVj)+'2024'!Pspv,1-EXP((T0-t)*PertePVj)+Pspv)</f>
        <v>5.4673117378415181E-2</v>
      </c>
      <c r="M133" s="850"/>
      <c r="N133" s="850"/>
      <c r="O133" s="48">
        <f>IF(t&lt;Tnet,'2024'!Resal+('2024'!Salim-'2024'!Resal)*(1-EXP(('2024'!Tnet-t)/('2024'!Tau_j))),Resal+(Salim-Resal)*(1-EXP((Tnet-t)/(Tau_j))))*Salcycl</f>
        <v>0.10000984710921829</v>
      </c>
      <c r="P133" s="169">
        <f>(INDEX(Models!$BJ133:$BT133,,T133)*(1-R133)+INDEX(Models!$BJ133:$BT133,,T133+1)*R133-ERP_i)*Q133*Ramure*Pc/MaxiM</f>
        <v>0</v>
      </c>
      <c r="Q133" s="305">
        <f t="shared" si="28"/>
        <v>0.7</v>
      </c>
      <c r="R133" s="177">
        <f t="shared" si="29"/>
        <v>5.1118781972227634E-2</v>
      </c>
      <c r="S133" s="817">
        <f t="shared" si="30"/>
        <v>-2</v>
      </c>
      <c r="T133" s="176">
        <f t="shared" si="31"/>
        <v>4</v>
      </c>
      <c r="U133" s="251">
        <f t="shared" si="32"/>
        <v>-1.9488812180277724</v>
      </c>
      <c r="V133" s="383">
        <f t="shared" si="33"/>
        <v>35.890739315826472</v>
      </c>
      <c r="W133" s="402">
        <f t="shared" si="34"/>
        <v>26.895458855557933</v>
      </c>
      <c r="X133" s="157">
        <f t="shared" si="35"/>
        <v>45776</v>
      </c>
      <c r="Y133" s="385">
        <f t="shared" si="36"/>
        <v>25.954032672734417</v>
      </c>
      <c r="Z133" s="385">
        <f t="shared" si="37"/>
        <v>27.455087917058464</v>
      </c>
      <c r="AA133" s="386">
        <f t="shared" si="38"/>
        <v>31.612521382053806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0.1315122389242728</v>
      </c>
      <c r="AD133" s="231">
        <f>(INDEX(Models!$BJ133:$BT133,,AH133)*(1-AF133)+INDEX(Models!$BJ133:$BT133,,AH133+1)*AF133-ERP_i)*AE133*Ramure*Pc/MaxiM</f>
        <v>2.0081913469106536E-7</v>
      </c>
      <c r="AE133" s="305">
        <f t="shared" si="40"/>
        <v>0.7</v>
      </c>
      <c r="AF133" s="177">
        <f t="shared" si="41"/>
        <v>0.67498215134828365</v>
      </c>
      <c r="AG133" s="817">
        <f t="shared" si="49"/>
        <v>0</v>
      </c>
      <c r="AH133" s="176">
        <f t="shared" si="42"/>
        <v>6</v>
      </c>
      <c r="AI133" s="225">
        <f t="shared" si="43"/>
        <v>0.67498215134828365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45777</v>
      </c>
      <c r="B134" s="411">
        <f>'2024'!Wh/'2024'!Env_an*'2025'!Env_an</f>
        <v>30.914393418527808</v>
      </c>
      <c r="C134" s="846"/>
      <c r="D134" s="393">
        <f t="shared" si="25"/>
        <v>32.703048126781511</v>
      </c>
      <c r="E134" s="385">
        <f t="shared" si="47"/>
        <v>33.274981308646517</v>
      </c>
      <c r="F134" s="385">
        <f t="shared" si="26"/>
        <v>33.274981308646517</v>
      </c>
      <c r="G134" s="110">
        <f t="shared" si="48"/>
        <v>0.78677650351398976</v>
      </c>
      <c r="H134" s="414" t="b">
        <f>Wh_hp&gt;='2024'!Maxi_hp</f>
        <v>0</v>
      </c>
      <c r="I134" s="390">
        <f>IF(H134,Wh_hp,'2024'!Maxi_hp)</f>
        <v>43.204941551644787</v>
      </c>
      <c r="J134" s="85">
        <f>IF(H134,An,'2024'!An_max)</f>
        <v>2019</v>
      </c>
      <c r="K134" s="197">
        <f t="shared" si="27"/>
        <v>45777</v>
      </c>
      <c r="L134" s="147">
        <f>IF(t&lt;Tvie,1-EXP((T0-t)*PertePVj)+'2024'!Pspv,1-EXP((T0-t)*PertePVj)+Pspv)</f>
        <v>5.4693822463262043E-2</v>
      </c>
      <c r="M134" s="850"/>
      <c r="N134" s="850"/>
      <c r="O134" s="48">
        <f>IF(t&lt;Tnet,'2024'!Resal+('2024'!Salim-'2024'!Resal)*(1-EXP(('2024'!Tnet-t)/('2024'!Tau_j))),Resal+(Salim-Resal)*(1-EXP((Tnet-t)/(Tau_j))))*Salcycl</f>
        <v>1.7188084241429463E-2</v>
      </c>
      <c r="P134" s="169">
        <f>(INDEX(Models!$BJ134:$BT134,,T134)*(1-R134)+INDEX(Models!$BJ134:$BT134,,T134+1)*R134-ERP_i)*Q134*Ramure*Pc/MaxiM</f>
        <v>0</v>
      </c>
      <c r="Q134" s="305">
        <f t="shared" si="28"/>
        <v>0.7</v>
      </c>
      <c r="R134" s="177">
        <f t="shared" si="29"/>
        <v>5.3796957629506981E-2</v>
      </c>
      <c r="S134" s="817">
        <f t="shared" si="30"/>
        <v>-2</v>
      </c>
      <c r="T134" s="176">
        <f t="shared" si="31"/>
        <v>4</v>
      </c>
      <c r="U134" s="251">
        <f t="shared" si="32"/>
        <v>-1.946203042370493</v>
      </c>
      <c r="V134" s="383">
        <f t="shared" si="33"/>
        <v>39.292471598293112</v>
      </c>
      <c r="W134" s="402">
        <f t="shared" si="34"/>
        <v>30.914393418527808</v>
      </c>
      <c r="X134" s="157">
        <f t="shared" si="35"/>
        <v>45777</v>
      </c>
      <c r="Y134" s="385">
        <f t="shared" si="36"/>
        <v>28.305577100478743</v>
      </c>
      <c r="Z134" s="385">
        <f t="shared" si="37"/>
        <v>29.943290092779158</v>
      </c>
      <c r="AA134" s="386">
        <f t="shared" si="38"/>
        <v>33.274977672921388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0.10012591482077833</v>
      </c>
      <c r="AD134" s="231">
        <f>(INDEX(Models!$BJ134:$BT134,,AH134)*(1-AF134)+INDEX(Models!$BJ134:$BT134,,AH134+1)*AF134-ERP_i)*AE134*Ramure*Pc/MaxiM</f>
        <v>1.5712368472748805E-7</v>
      </c>
      <c r="AE134" s="305">
        <f t="shared" si="40"/>
        <v>0.7</v>
      </c>
      <c r="AF134" s="177">
        <f t="shared" si="41"/>
        <v>0.67766032700556278</v>
      </c>
      <c r="AG134" s="817">
        <f t="shared" si="49"/>
        <v>0</v>
      </c>
      <c r="AH134" s="176">
        <f t="shared" si="42"/>
        <v>6</v>
      </c>
      <c r="AI134" s="225">
        <f t="shared" si="43"/>
        <v>0.67766032700556278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45778</v>
      </c>
      <c r="B135" s="411">
        <f>'2024'!Wh/'2024'!Env_an*'2025'!Env_an</f>
        <v>31.862704930652637</v>
      </c>
      <c r="C135" s="846"/>
      <c r="D135" s="393">
        <f t="shared" si="25"/>
        <v>33.706965614018067</v>
      </c>
      <c r="E135" s="385">
        <f t="shared" si="47"/>
        <v>34.3030313242744</v>
      </c>
      <c r="F135" s="385">
        <f t="shared" si="26"/>
        <v>34.3030313242744</v>
      </c>
      <c r="G135" s="110">
        <f t="shared" si="48"/>
        <v>0.80911148570637681</v>
      </c>
      <c r="H135" s="414" t="b">
        <f>Wh_hp&gt;='2024'!Maxi_hp</f>
        <v>0</v>
      </c>
      <c r="I135" s="390">
        <f>IF(H135,Wh_hp,'2024'!Maxi_hp)</f>
        <v>40.273883228930465</v>
      </c>
      <c r="J135" s="85">
        <f>IF(H135,An,'2024'!An_max)</f>
        <v>2019</v>
      </c>
      <c r="K135" s="197">
        <f t="shared" si="27"/>
        <v>45778</v>
      </c>
      <c r="L135" s="147">
        <f>IF(t&lt;Tvie,1-EXP((T0-t)*PertePVj)+'2024'!Pspv,1-EXP((T0-t)*PertePVj)+Pspv)</f>
        <v>5.471452709461444E-2</v>
      </c>
      <c r="M135" s="850"/>
      <c r="N135" s="850"/>
      <c r="O135" s="48">
        <f>IF(t&lt;Tnet,'2024'!Resal+('2024'!Salim-'2024'!Resal)*(1-EXP(('2024'!Tnet-t)/('2024'!Tau_j))),Resal+(Salim-Resal)*(1-EXP((Tnet-t)/(Tau_j))))*Salcycl</f>
        <v>1.7376473368245087E-2</v>
      </c>
      <c r="P135" s="169">
        <f>(INDEX(Models!$BJ135:$BT135,,T135)*(1-R135)+INDEX(Models!$BJ135:$BT135,,T135+1)*R135-ERP_i)*Q135*Ramure*Pc/MaxiM</f>
        <v>0</v>
      </c>
      <c r="Q135" s="305">
        <f t="shared" si="28"/>
        <v>0.7</v>
      </c>
      <c r="R135" s="177">
        <f t="shared" si="29"/>
        <v>5.6551830387566948E-2</v>
      </c>
      <c r="S135" s="817">
        <f t="shared" si="30"/>
        <v>-2</v>
      </c>
      <c r="T135" s="176">
        <f t="shared" si="31"/>
        <v>4</v>
      </c>
      <c r="U135" s="251">
        <f t="shared" si="32"/>
        <v>-1.9434481696124331</v>
      </c>
      <c r="V135" s="383">
        <f t="shared" si="33"/>
        <v>39.379869762738089</v>
      </c>
      <c r="W135" s="402">
        <f t="shared" si="34"/>
        <v>31.862704930652637</v>
      </c>
      <c r="X135" s="157">
        <f t="shared" si="35"/>
        <v>45778</v>
      </c>
      <c r="Y135" s="385">
        <f t="shared" si="36"/>
        <v>29.175649223970431</v>
      </c>
      <c r="Z135" s="385">
        <f t="shared" si="37"/>
        <v>30.864379132260979</v>
      </c>
      <c r="AA135" s="386">
        <f t="shared" si="38"/>
        <v>34.303028343750285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0.10024331312765265</v>
      </c>
      <c r="AD135" s="231">
        <f>(INDEX(Models!$BJ135:$BT135,,AH135)*(1-AF135)+INDEX(Models!$BJ135:$BT135,,AH135+1)*AF135-ERP_i)*AE135*Ramure*Pc/MaxiM</f>
        <v>1.1946626474703128E-7</v>
      </c>
      <c r="AE135" s="305">
        <f t="shared" si="40"/>
        <v>0.7</v>
      </c>
      <c r="AF135" s="177">
        <f t="shared" si="41"/>
        <v>0.68041519976362275</v>
      </c>
      <c r="AG135" s="817">
        <f t="shared" si="49"/>
        <v>0</v>
      </c>
      <c r="AH135" s="176">
        <f t="shared" si="42"/>
        <v>6</v>
      </c>
      <c r="AI135" s="225">
        <f t="shared" si="43"/>
        <v>0.68041519976362275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45779</v>
      </c>
      <c r="B136" s="411">
        <f>'2024'!Wh/'2024'!Env_an*'2025'!Env_an</f>
        <v>18.561863706862251</v>
      </c>
      <c r="C136" s="846"/>
      <c r="D136" s="393">
        <f t="shared" si="25"/>
        <v>19.636682039731134</v>
      </c>
      <c r="E136" s="385">
        <f t="shared" si="47"/>
        <v>19.987767882573063</v>
      </c>
      <c r="F136" s="385">
        <f t="shared" si="26"/>
        <v>19.987767882573063</v>
      </c>
      <c r="G136" s="110">
        <f t="shared" si="48"/>
        <v>0.47035077435039907</v>
      </c>
      <c r="H136" s="414" t="b">
        <f>Wh_hp&gt;='2024'!Maxi_hp</f>
        <v>0</v>
      </c>
      <c r="I136" s="390">
        <f>IF(H136,Wh_hp,'2024'!Maxi_hp)</f>
        <v>28.08893330221149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5.4735231272482254E-2</v>
      </c>
      <c r="M136" s="850"/>
      <c r="N136" s="850"/>
      <c r="O136" s="48">
        <f>IF(t&lt;Tnet,'2024'!Resal+('2024'!Salim-'2024'!Resal)*(1-EXP(('2024'!Tnet-t)/('2024'!Tau_j))),Resal+(Salim-Resal)*(1-EXP((Tnet-t)/(Tau_j))))*Salcycl</f>
        <v>1.7565035020645551E-2</v>
      </c>
      <c r="P136" s="169">
        <f>(INDEX(Models!$BJ136:$BT136,,T136)*(1-R136)+INDEX(Models!$BJ136:$BT136,,T136+1)*R136-ERP_i)*Q136*Ramure*Pc/MaxiM</f>
        <v>0</v>
      </c>
      <c r="Q136" s="305">
        <f t="shared" si="28"/>
        <v>0.7</v>
      </c>
      <c r="R136" s="177">
        <f t="shared" si="29"/>
        <v>5.9384315823001854E-2</v>
      </c>
      <c r="S136" s="817">
        <f t="shared" si="30"/>
        <v>-2</v>
      </c>
      <c r="T136" s="176">
        <f t="shared" si="31"/>
        <v>4</v>
      </c>
      <c r="U136" s="251">
        <f t="shared" si="32"/>
        <v>-1.9406156841769981</v>
      </c>
      <c r="V136" s="383">
        <f t="shared" si="33"/>
        <v>39.463874025716279</v>
      </c>
      <c r="W136" s="402">
        <f t="shared" si="34"/>
        <v>18.561863706862251</v>
      </c>
      <c r="X136" s="157">
        <f t="shared" si="35"/>
        <v>45779</v>
      </c>
      <c r="Y136" s="385">
        <f t="shared" si="36"/>
        <v>16.997519114284135</v>
      </c>
      <c r="Z136" s="385">
        <f t="shared" si="37"/>
        <v>17.981754611637118</v>
      </c>
      <c r="AA136" s="386">
        <f t="shared" si="38"/>
        <v>19.987767454356863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0.10036202628935836</v>
      </c>
      <c r="AD136" s="231">
        <f>(INDEX(Models!$BJ136:$BT136,,AH136)*(1-AF136)+INDEX(Models!$BJ136:$BT136,,AH136+1)*AF136-ERP_i)*AE136*Ramure*Pc/MaxiM</f>
        <v>8.8034463988814184E-8</v>
      </c>
      <c r="AE136" s="305">
        <f t="shared" si="40"/>
        <v>0.7</v>
      </c>
      <c r="AF136" s="177">
        <f t="shared" si="41"/>
        <v>0.68324768519905787</v>
      </c>
      <c r="AG136" s="817">
        <f t="shared" si="49"/>
        <v>0</v>
      </c>
      <c r="AH136" s="176">
        <f t="shared" si="42"/>
        <v>6</v>
      </c>
      <c r="AI136" s="225">
        <f t="shared" si="43"/>
        <v>0.68324768519905787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45780</v>
      </c>
      <c r="B137" s="411">
        <f>'2024'!Wh/'2024'!Env_an*'2025'!Env_an</f>
        <v>20.626156211347119</v>
      </c>
      <c r="C137" s="846"/>
      <c r="D137" s="393">
        <f t="shared" si="25"/>
        <v>21.820984627159696</v>
      </c>
      <c r="E137" s="385">
        <f t="shared" si="47"/>
        <v>22.215391637027547</v>
      </c>
      <c r="F137" s="385">
        <f t="shared" si="26"/>
        <v>22.215391637027547</v>
      </c>
      <c r="G137" s="110">
        <f t="shared" si="48"/>
        <v>0.52159504264757028</v>
      </c>
      <c r="H137" s="414" t="b">
        <f>Wh_hp&gt;='2024'!Maxi_hp</f>
        <v>0</v>
      </c>
      <c r="I137" s="390">
        <f>IF(H137,Wh_hp,'2024'!Maxi_hp)</f>
        <v>42.400180832539675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5.4755934996875477E-2</v>
      </c>
      <c r="M137" s="850"/>
      <c r="N137" s="850"/>
      <c r="O137" s="48">
        <f>IF(t&lt;Tnet,'2024'!Resal+('2024'!Salim-'2024'!Resal)*(1-EXP(('2024'!Tnet-t)/('2024'!Tau_j))),Resal+(Salim-Resal)*(1-EXP((Tnet-t)/(Tau_j))))*Salcycl</f>
        <v>1.7753772533565026E-2</v>
      </c>
      <c r="P137" s="169">
        <f>(INDEX(Models!$BJ137:$BT137,,T137)*(1-R137)+INDEX(Models!$BJ137:$BT137,,T137+1)*R137-ERP_i)*Q137*Ramure*Pc/MaxiM</f>
        <v>0</v>
      </c>
      <c r="Q137" s="305">
        <f t="shared" si="28"/>
        <v>0.7</v>
      </c>
      <c r="R137" s="177">
        <f t="shared" si="29"/>
        <v>6.2295247088565819E-2</v>
      </c>
      <c r="S137" s="817">
        <f t="shared" si="30"/>
        <v>-2</v>
      </c>
      <c r="T137" s="176">
        <f t="shared" si="31"/>
        <v>4</v>
      </c>
      <c r="U137" s="251">
        <f t="shared" si="32"/>
        <v>-1.9377047529114342</v>
      </c>
      <c r="V137" s="383">
        <f t="shared" si="33"/>
        <v>39.54438697624613</v>
      </c>
      <c r="W137" s="402">
        <f t="shared" si="34"/>
        <v>20.626156211347119</v>
      </c>
      <c r="X137" s="157">
        <f t="shared" si="35"/>
        <v>45780</v>
      </c>
      <c r="Y137" s="385">
        <f t="shared" si="36"/>
        <v>18.888947771726045</v>
      </c>
      <c r="Z137" s="385">
        <f t="shared" si="37"/>
        <v>19.983143476985077</v>
      </c>
      <c r="AA137" s="386">
        <f t="shared" si="38"/>
        <v>22.215391204497138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0.10048203549349065</v>
      </c>
      <c r="AD137" s="231">
        <f>(INDEX(Models!$BJ137:$BT137,,AH137)*(1-AF137)+INDEX(Models!$BJ137:$BT137,,AH137+1)*AF137-ERP_i)*AE137*Ramure*Pc/MaxiM</f>
        <v>6.1503619134681468E-8</v>
      </c>
      <c r="AE137" s="305">
        <f t="shared" si="40"/>
        <v>0.7</v>
      </c>
      <c r="AF137" s="177">
        <f t="shared" si="41"/>
        <v>0.68615861646462162</v>
      </c>
      <c r="AG137" s="817">
        <f t="shared" si="49"/>
        <v>0</v>
      </c>
      <c r="AH137" s="176">
        <f t="shared" si="42"/>
        <v>6</v>
      </c>
      <c r="AI137" s="225">
        <f t="shared" si="43"/>
        <v>0.68615861646462162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45781</v>
      </c>
      <c r="B138" s="411">
        <f>'2024'!Wh/'2024'!Env_an*'2025'!Env_an</f>
        <v>14.377327518048926</v>
      </c>
      <c r="C138" s="846"/>
      <c r="D138" s="393">
        <f t="shared" si="25"/>
        <v>15.210508013366644</v>
      </c>
      <c r="E138" s="385">
        <f t="shared" si="47"/>
        <v>15.4884117612519</v>
      </c>
      <c r="F138" s="385">
        <f t="shared" si="26"/>
        <v>15.4884117612519</v>
      </c>
      <c r="G138" s="110">
        <f t="shared" si="48"/>
        <v>0.36286854319506556</v>
      </c>
      <c r="H138" s="414" t="b">
        <f>Wh_hp&gt;='2024'!Maxi_hp</f>
        <v>0</v>
      </c>
      <c r="I138" s="390">
        <f>IF(H138,Wh_hp,'2024'!Maxi_hp)</f>
        <v>39.79073296578693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5.477663826780399E-2</v>
      </c>
      <c r="M138" s="850"/>
      <c r="N138" s="850"/>
      <c r="O138" s="48">
        <f>IF(t&lt;Tnet,'2024'!Resal+('2024'!Salim-'2024'!Resal)*(1-EXP(('2024'!Tnet-t)/('2024'!Tau_j))),Resal+(Salim-Resal)*(1-EXP((Tnet-t)/(Tau_j))))*Salcycl</f>
        <v>1.7942688518941697E-2</v>
      </c>
      <c r="P138" s="169">
        <f>(INDEX(Models!$BJ138:$BT138,,T138)*(1-R138)+INDEX(Models!$BJ138:$BT138,,T138+1)*R138-ERP_i)*Q138*Ramure*Pc/MaxiM</f>
        <v>0</v>
      </c>
      <c r="Q138" s="305">
        <f t="shared" si="28"/>
        <v>0.7</v>
      </c>
      <c r="R138" s="177">
        <f t="shared" si="29"/>
        <v>6.5285368004856181E-2</v>
      </c>
      <c r="S138" s="817">
        <f t="shared" si="30"/>
        <v>-2</v>
      </c>
      <c r="T138" s="176">
        <f t="shared" si="31"/>
        <v>4</v>
      </c>
      <c r="U138" s="251">
        <f t="shared" si="32"/>
        <v>-1.9347146319951438</v>
      </c>
      <c r="V138" s="383">
        <f t="shared" si="33"/>
        <v>39.621311319675819</v>
      </c>
      <c r="W138" s="402">
        <f t="shared" si="34"/>
        <v>14.377327518048926</v>
      </c>
      <c r="X138" s="157">
        <f t="shared" si="35"/>
        <v>45781</v>
      </c>
      <c r="Y138" s="385">
        <f t="shared" si="36"/>
        <v>13.167175130287033</v>
      </c>
      <c r="Z138" s="385">
        <f t="shared" si="37"/>
        <v>13.93022608556474</v>
      </c>
      <c r="AA138" s="386">
        <f t="shared" si="38"/>
        <v>15.488411705721811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0.10060331877550983</v>
      </c>
      <c r="AD138" s="231">
        <f>(INDEX(Models!$BJ138:$BT138,,AH138)*(1-AF138)+INDEX(Models!$BJ138:$BT138,,AH138+1)*AF138-ERP_i)*AE138*Ramure*Pc/MaxiM</f>
        <v>3.9919595385958896E-8</v>
      </c>
      <c r="AE138" s="305">
        <f t="shared" si="40"/>
        <v>0.7</v>
      </c>
      <c r="AF138" s="177">
        <f t="shared" si="41"/>
        <v>0.68914873738091198</v>
      </c>
      <c r="AG138" s="817">
        <f t="shared" si="49"/>
        <v>0</v>
      </c>
      <c r="AH138" s="176">
        <f t="shared" si="42"/>
        <v>6</v>
      </c>
      <c r="AI138" s="225">
        <f t="shared" si="43"/>
        <v>0.68914873738091198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45782</v>
      </c>
      <c r="B139" s="411">
        <f>'2024'!Wh/'2024'!Env_an*'2025'!Env_an</f>
        <v>28.115445796856228</v>
      </c>
      <c r="C139" s="846"/>
      <c r="D139" s="393">
        <f t="shared" si="25"/>
        <v>29.74541547432618</v>
      </c>
      <c r="E139" s="385">
        <f t="shared" si="47"/>
        <v>30.294712686159112</v>
      </c>
      <c r="F139" s="385">
        <f t="shared" si="26"/>
        <v>30.294712686159112</v>
      </c>
      <c r="G139" s="110">
        <f t="shared" si="48"/>
        <v>0.70829486362927863</v>
      </c>
      <c r="H139" s="414" t="b">
        <f>Wh_hp&gt;='2024'!Maxi_hp</f>
        <v>0</v>
      </c>
      <c r="I139" s="390">
        <f>IF(H139,Wh_hp,'2024'!Maxi_hp)</f>
        <v>40.603023029597871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5.4797341085277784E-2</v>
      </c>
      <c r="M139" s="850"/>
      <c r="N139" s="850"/>
      <c r="O139" s="48">
        <f>IF(t&lt;Tnet,'2024'!Resal+('2024'!Salim-'2024'!Resal)*(1-EXP(('2024'!Tnet-t)/('2024'!Tau_j))),Resal+(Salim-Resal)*(1-EXP((Tnet-t)/(Tau_j))))*Salcycl</f>
        <v>1.8131784827386494E-2</v>
      </c>
      <c r="P139" s="169">
        <f>(INDEX(Models!$BJ139:$BT139,,T139)*(1-R139)+INDEX(Models!$BJ139:$BT139,,T139+1)*R139-ERP_i)*Q139*Ramure*Pc/MaxiM</f>
        <v>0</v>
      </c>
      <c r="Q139" s="305">
        <f t="shared" si="28"/>
        <v>0.7</v>
      </c>
      <c r="R139" s="177">
        <f t="shared" si="29"/>
        <v>6.8355326071432465E-2</v>
      </c>
      <c r="S139" s="817">
        <f t="shared" si="30"/>
        <v>-2</v>
      </c>
      <c r="T139" s="176">
        <f t="shared" si="31"/>
        <v>4</v>
      </c>
      <c r="U139" s="251">
        <f t="shared" si="32"/>
        <v>-1.9316446739285675</v>
      </c>
      <c r="V139" s="383">
        <f t="shared" si="33"/>
        <v>39.694549883919308</v>
      </c>
      <c r="W139" s="402">
        <f t="shared" si="34"/>
        <v>28.115445796856228</v>
      </c>
      <c r="X139" s="157">
        <f t="shared" si="35"/>
        <v>45782</v>
      </c>
      <c r="Y139" s="385">
        <f t="shared" si="36"/>
        <v>25.75039385063857</v>
      </c>
      <c r="Z139" s="385">
        <f t="shared" si="37"/>
        <v>27.243251600884264</v>
      </c>
      <c r="AA139" s="386">
        <f t="shared" si="38"/>
        <v>30.294712273807082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0.10072585094531902</v>
      </c>
      <c r="AD139" s="231">
        <f>(INDEX(Models!$BJ139:$BT139,,AH139)*(1-AF139)+INDEX(Models!$BJ139:$BT139,,AH139+1)*AF139-ERP_i)*AE139*Ramure*Pc/MaxiM</f>
        <v>2.3335946678390203E-8</v>
      </c>
      <c r="AE139" s="305">
        <f t="shared" si="40"/>
        <v>0.7</v>
      </c>
      <c r="AF139" s="177">
        <f t="shared" si="41"/>
        <v>0.69221869544748849</v>
      </c>
      <c r="AG139" s="817">
        <f t="shared" si="49"/>
        <v>0</v>
      </c>
      <c r="AH139" s="176">
        <f t="shared" si="42"/>
        <v>6</v>
      </c>
      <c r="AI139" s="225">
        <f t="shared" si="43"/>
        <v>0.69221869544748849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45783</v>
      </c>
      <c r="B140" s="411">
        <f>'2024'!Wh/'2024'!Env_an*'2025'!Env_an</f>
        <v>26.08915687948635</v>
      </c>
      <c r="C140" s="846"/>
      <c r="D140" s="393">
        <f t="shared" si="25"/>
        <v>27.602258695981675</v>
      </c>
      <c r="E140" s="385">
        <f t="shared" si="47"/>
        <v>28.117399326686314</v>
      </c>
      <c r="F140" s="385">
        <f t="shared" si="26"/>
        <v>28.117399326686314</v>
      </c>
      <c r="G140" s="110">
        <f t="shared" si="48"/>
        <v>0.65609981884152657</v>
      </c>
      <c r="H140" s="414" t="b">
        <f>Wh_hp&gt;='2024'!Maxi_hp</f>
        <v>0</v>
      </c>
      <c r="I140" s="390">
        <f>IF(H140,Wh_hp,'2024'!Maxi_hp)</f>
        <v>44.619992536921345</v>
      </c>
      <c r="J140" s="85">
        <f>IF(H140,An,'2024'!An_max)</f>
        <v>2019</v>
      </c>
      <c r="K140" s="197">
        <f t="shared" si="27"/>
        <v>45783</v>
      </c>
      <c r="L140" s="147">
        <f>IF(t&lt;Tvie,1-EXP((T0-t)*PertePVj)+'2024'!Pspv,1-EXP((T0-t)*PertePVj)+Pspv)</f>
        <v>5.481804344930663E-2</v>
      </c>
      <c r="M140" s="850"/>
      <c r="N140" s="850"/>
      <c r="O140" s="48">
        <f>IF(t&lt;Tnet,'2024'!Resal+('2024'!Salim-'2024'!Resal)*(1-EXP(('2024'!Tnet-t)/('2024'!Tau_j))),Resal+(Salim-Resal)*(1-EXP((Tnet-t)/(Tau_j))))*Salcycl</f>
        <v>1.8321062510774911E-2</v>
      </c>
      <c r="P140" s="169">
        <f>(INDEX(Models!$BJ140:$BT140,,T140)*(1-R140)+INDEX(Models!$BJ140:$BT140,,T140+1)*R140-ERP_i)*Q140*Ramure*Pc/MaxiM</f>
        <v>0</v>
      </c>
      <c r="Q140" s="305">
        <f t="shared" si="28"/>
        <v>0.7</v>
      </c>
      <c r="R140" s="177">
        <f t="shared" si="29"/>
        <v>7.1505665432773924E-2</v>
      </c>
      <c r="S140" s="817">
        <f t="shared" si="30"/>
        <v>-2</v>
      </c>
      <c r="T140" s="176">
        <f t="shared" si="31"/>
        <v>4</v>
      </c>
      <c r="U140" s="251">
        <f t="shared" si="32"/>
        <v>-1.9284943345672261</v>
      </c>
      <c r="V140" s="383">
        <f t="shared" si="33"/>
        <v>39.764005613584672</v>
      </c>
      <c r="W140" s="402">
        <f t="shared" si="34"/>
        <v>26.08915687948635</v>
      </c>
      <c r="X140" s="157">
        <f t="shared" si="35"/>
        <v>45783</v>
      </c>
      <c r="Y140" s="385">
        <f t="shared" si="36"/>
        <v>23.8958734013239</v>
      </c>
      <c r="Z140" s="385">
        <f t="shared" si="37"/>
        <v>25.281770600582007</v>
      </c>
      <c r="AA140" s="386">
        <f t="shared" si="38"/>
        <v>28.117399157701122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0.10084960352182709</v>
      </c>
      <c r="AD140" s="231">
        <f>(INDEX(Models!$BJ140:$BT140,,AH140)*(1-AF140)+INDEX(Models!$BJ140:$BT140,,AH140+1)*AF140-ERP_i)*AE140*Ramure*Pc/MaxiM</f>
        <v>1.1814076636515366E-8</v>
      </c>
      <c r="AE140" s="305">
        <f t="shared" si="40"/>
        <v>0.7</v>
      </c>
      <c r="AF140" s="177">
        <f t="shared" si="41"/>
        <v>0.69536903480882983</v>
      </c>
      <c r="AG140" s="817">
        <f t="shared" si="49"/>
        <v>0</v>
      </c>
      <c r="AH140" s="176">
        <f t="shared" si="42"/>
        <v>6</v>
      </c>
      <c r="AI140" s="225">
        <f t="shared" si="43"/>
        <v>0.69536903480882983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45784</v>
      </c>
      <c r="B141" s="411">
        <f>'2024'!Wh/'2024'!Env_an*'2025'!Env_an</f>
        <v>32.426909295716214</v>
      </c>
      <c r="C141" s="846"/>
      <c r="D141" s="393">
        <f t="shared" si="25"/>
        <v>34.308335362375608</v>
      </c>
      <c r="E141" s="385">
        <f t="shared" si="47"/>
        <v>34.955377641753955</v>
      </c>
      <c r="F141" s="385">
        <f t="shared" si="26"/>
        <v>34.955377641753955</v>
      </c>
      <c r="G141" s="110">
        <f t="shared" si="48"/>
        <v>0.81414134950341255</v>
      </c>
      <c r="H141" s="414" t="b">
        <f>Wh_hp&gt;='2024'!Maxi_hp</f>
        <v>0</v>
      </c>
      <c r="I141" s="390">
        <f>IF(H141,Wh_hp,'2024'!Maxi_hp)</f>
        <v>41.484775655026766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5.4838745359900742E-2</v>
      </c>
      <c r="M141" s="850"/>
      <c r="N141" s="850"/>
      <c r="O141" s="48">
        <f>IF(t&lt;Tnet,'2024'!Resal+('2024'!Salim-'2024'!Resal)*(1-EXP(('2024'!Tnet-t)/('2024'!Tau_j))),Resal+(Salim-Resal)*(1-EXP((Tnet-t)/(Tau_j))))*Salcycl</f>
        <v>1.8510521786080286E-2</v>
      </c>
      <c r="P141" s="169">
        <f>(INDEX(Models!$BJ141:$BT141,,T141)*(1-R141)+INDEX(Models!$BJ141:$BT141,,T141+1)*R141-ERP_i)*Q141*Ramure*Pc/MaxiM</f>
        <v>0</v>
      </c>
      <c r="Q141" s="305">
        <f t="shared" si="28"/>
        <v>0.7</v>
      </c>
      <c r="R141" s="177">
        <f t="shared" si="29"/>
        <v>7.4736819837926127E-2</v>
      </c>
      <c r="S141" s="817">
        <f t="shared" si="30"/>
        <v>-2</v>
      </c>
      <c r="T141" s="176">
        <f t="shared" si="31"/>
        <v>4</v>
      </c>
      <c r="U141" s="251">
        <f t="shared" si="32"/>
        <v>-1.9252631801620739</v>
      </c>
      <c r="V141" s="383">
        <f t="shared" si="33"/>
        <v>39.829581577566458</v>
      </c>
      <c r="W141" s="402">
        <f t="shared" si="34"/>
        <v>32.426909295716214</v>
      </c>
      <c r="X141" s="157">
        <f t="shared" si="35"/>
        <v>45784</v>
      </c>
      <c r="Y141" s="385">
        <f t="shared" si="36"/>
        <v>29.702424147462626</v>
      </c>
      <c r="Z141" s="385">
        <f t="shared" si="37"/>
        <v>31.425774175193826</v>
      </c>
      <c r="AA141" s="386">
        <f t="shared" si="38"/>
        <v>34.955377502512228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0.10097454467670182</v>
      </c>
      <c r="AD141" s="231">
        <f>(INDEX(Models!$BJ141:$BT141,,AH141)*(1-AF141)+INDEX(Models!$BJ141:$BT141,,AH141+1)*AF141-ERP_i)*AE141*Ramure*Pc/MaxiM</f>
        <v>5.4233908692912048E-9</v>
      </c>
      <c r="AE141" s="305">
        <f t="shared" si="40"/>
        <v>0.7</v>
      </c>
      <c r="AF141" s="177">
        <f t="shared" si="41"/>
        <v>0.69860018921398215</v>
      </c>
      <c r="AG141" s="817">
        <f t="shared" si="49"/>
        <v>0</v>
      </c>
      <c r="AH141" s="176">
        <f t="shared" si="42"/>
        <v>6</v>
      </c>
      <c r="AI141" s="225">
        <f t="shared" si="43"/>
        <v>0.69860018921398215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45785</v>
      </c>
      <c r="B142" s="411">
        <f>'2024'!Wh/'2024'!Env_an*'2025'!Env_an</f>
        <v>33.450530394251011</v>
      </c>
      <c r="C142" s="846"/>
      <c r="D142" s="393">
        <f t="shared" si="25"/>
        <v>35.392122665354222</v>
      </c>
      <c r="E142" s="385">
        <f t="shared" si="47"/>
        <v>36.066573431333204</v>
      </c>
      <c r="F142" s="385">
        <f t="shared" si="26"/>
        <v>36.066573431333204</v>
      </c>
      <c r="G142" s="110">
        <f t="shared" si="48"/>
        <v>0.83854449986401514</v>
      </c>
      <c r="H142" s="414" t="b">
        <f>Wh_hp&gt;='2024'!Maxi_hp</f>
        <v>0</v>
      </c>
      <c r="I142" s="390">
        <f>IF(H142,Wh_hp,'2024'!Maxi_hp)</f>
        <v>40.780889517262061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5.4859446817069779E-2</v>
      </c>
      <c r="M142" s="850"/>
      <c r="N142" s="850"/>
      <c r="O142" s="48">
        <f>IF(t&lt;Tnet,'2024'!Resal+('2024'!Salim-'2024'!Resal)*(1-EXP(('2024'!Tnet-t)/('2024'!Tau_j))),Resal+(Salim-Resal)*(1-EXP((Tnet-t)/(Tau_j))))*Salcycl</f>
        <v>1.8700162000780767E-2</v>
      </c>
      <c r="P142" s="169">
        <f>(INDEX(Models!$BJ142:$BT142,,T142)*(1-R142)+INDEX(Models!$BJ142:$BT142,,T142+1)*R142-ERP_i)*Q142*Ramure*Pc/MaxiM</f>
        <v>0</v>
      </c>
      <c r="Q142" s="305">
        <f t="shared" si="28"/>
        <v>0.7</v>
      </c>
      <c r="R142" s="177">
        <f t="shared" si="29"/>
        <v>7.8049105636059268E-2</v>
      </c>
      <c r="S142" s="817">
        <f t="shared" si="30"/>
        <v>-2</v>
      </c>
      <c r="T142" s="176">
        <f t="shared" si="31"/>
        <v>4</v>
      </c>
      <c r="U142" s="251">
        <f t="shared" si="32"/>
        <v>-1.9219508943639407</v>
      </c>
      <c r="V142" s="383">
        <f t="shared" si="33"/>
        <v>39.891180968542052</v>
      </c>
      <c r="W142" s="402">
        <f t="shared" si="34"/>
        <v>33.450530394251011</v>
      </c>
      <c r="X142" s="157">
        <f t="shared" si="35"/>
        <v>45785</v>
      </c>
      <c r="Y142" s="385">
        <f t="shared" si="36"/>
        <v>30.6416643799577</v>
      </c>
      <c r="Z142" s="385">
        <f t="shared" si="37"/>
        <v>32.420219698293977</v>
      </c>
      <c r="AA142" s="386">
        <f t="shared" si="38"/>
        <v>36.066573313642614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0.10110063918851311</v>
      </c>
      <c r="AD142" s="231">
        <f>(INDEX(Models!$BJ142:$BT142,,AH142)*(1-AF142)+INDEX(Models!$BJ142:$BT142,,AH142+1)*AF142-ERP_i)*AE142*Ramure*Pc/MaxiM</f>
        <v>4.2414396914754489E-9</v>
      </c>
      <c r="AE142" s="305">
        <f t="shared" si="40"/>
        <v>0.7</v>
      </c>
      <c r="AF142" s="177">
        <f t="shared" si="41"/>
        <v>0.70191247501211507</v>
      </c>
      <c r="AG142" s="817">
        <f t="shared" si="49"/>
        <v>0</v>
      </c>
      <c r="AH142" s="176">
        <f t="shared" si="42"/>
        <v>6</v>
      </c>
      <c r="AI142" s="225">
        <f t="shared" si="43"/>
        <v>0.70191247501211507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45786</v>
      </c>
      <c r="B143" s="411">
        <f>'2024'!Wh/'2024'!Env_an*'2025'!Env_an</f>
        <v>37.691218039479956</v>
      </c>
      <c r="C143" s="846"/>
      <c r="D143" s="393">
        <f t="shared" ref="D143:D206" si="50">Wh/(1-Ppv)</f>
        <v>39.879828947169798</v>
      </c>
      <c r="E143" s="385">
        <f t="shared" si="47"/>
        <v>40.64766254473021</v>
      </c>
      <c r="F143" s="385">
        <f t="shared" ref="F143:F206" si="51">Wh_sa/(1-Pvg*MEDIAN((-Sdif+Wh/Env_an)/Csdif,0,1))</f>
        <v>40.64766254473021</v>
      </c>
      <c r="G143" s="110">
        <f t="shared" si="48"/>
        <v>0.94349030965713188</v>
      </c>
      <c r="H143" s="414" t="b">
        <f>Wh_hp&gt;='2024'!Maxi_hp</f>
        <v>1</v>
      </c>
      <c r="I143" s="390">
        <f>IF(H143,Wh_hp,'2024'!Maxi_hp)</f>
        <v>40.64766254473021</v>
      </c>
      <c r="J143" s="85">
        <f>IF(H143,An,'2024'!An_max)</f>
        <v>2025</v>
      </c>
      <c r="K143" s="197">
        <f t="shared" ref="K143:K206" si="52">t</f>
        <v>45786</v>
      </c>
      <c r="L143" s="147">
        <f>IF(t&lt;Tvie,1-EXP((T0-t)*PertePVj)+'2024'!Pspv,1-EXP((T0-t)*PertePVj)+Pspv)</f>
        <v>5.4880147820823733E-2</v>
      </c>
      <c r="M143" s="850"/>
      <c r="N143" s="850"/>
      <c r="O143" s="48">
        <f>IF(t&lt;Tnet,'2024'!Resal+('2024'!Salim-'2024'!Resal)*(1-EXP(('2024'!Tnet-t)/('2024'!Tau_j))),Resal+(Salim-Resal)*(1-EXP((Tnet-t)/(Tau_j))))*Salcycl</f>
        <v>1.8889981600183285E-2</v>
      </c>
      <c r="P143" s="169">
        <f>(INDEX(Models!$BJ143:$BT143,,T143)*(1-R143)+INDEX(Models!$BJ143:$BT143,,T143+1)*R143-ERP_i)*Q143*Ramure*Pc/MaxiM</f>
        <v>0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8.1442714853404485E-2</v>
      </c>
      <c r="S143" s="817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-1.9185572851465955</v>
      </c>
      <c r="V143" s="383">
        <f t="shared" ref="V143:V206" si="58">MaxiM*(1-Ppv)*(1-Pvg)*(1-Psa)</f>
        <v>39.948707107736055</v>
      </c>
      <c r="W143" s="402">
        <f t="shared" ref="W143:W206" si="59">Wh*(A143&gt;Tmaj)</f>
        <v>37.691218039479956</v>
      </c>
      <c r="X143" s="157">
        <f t="shared" ref="X143:X206" si="60">t</f>
        <v>45786</v>
      </c>
      <c r="Y143" s="385">
        <f t="shared" ref="Y143:Y206" si="61">Wh_pvt_s*(1-Ppv)</f>
        <v>34.528051287326015</v>
      </c>
      <c r="Z143" s="385">
        <f t="shared" ref="Z143:Z206" si="62">Wh_sa_s*(1-Psa_s)</f>
        <v>36.532987015048086</v>
      </c>
      <c r="AA143" s="386">
        <f t="shared" ref="AA143:AA206" si="63">Wh_hp*(1-Pvg_s*MEDIAN((-Sdif+Wh/Env_an)/Csdif,0,1))</f>
        <v>40.647662425182205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0.10122784840844812</v>
      </c>
      <c r="AD143" s="231">
        <f>(INDEX(Models!$BJ143:$BT143,,AH143)*(1-AF143)+INDEX(Models!$BJ143:$BT143,,AH143+1)*AF143-ERP_i)*AE143*Ramure*Pc/MaxiM</f>
        <v>3.1993575862250163E-9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0.70530608422946051</v>
      </c>
      <c r="AG143" s="817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0.70530608422946051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45787</v>
      </c>
      <c r="B144" s="411">
        <f>'2024'!Wh/'2024'!Env_an*'2025'!Env_an</f>
        <v>34.838772525257568</v>
      </c>
      <c r="C144" s="846"/>
      <c r="D144" s="393">
        <f t="shared" si="50"/>
        <v>36.862558246100235</v>
      </c>
      <c r="E144" s="385">
        <f t="shared" ref="E144:E169" si="72">Wh_pvt/(1-Psa)</f>
        <v>37.579575727883402</v>
      </c>
      <c r="F144" s="385">
        <f t="shared" si="51"/>
        <v>37.579575727883402</v>
      </c>
      <c r="G144" s="110">
        <f t="shared" ref="G144:G169" si="73">+Wh_hp/MaxiM</f>
        <v>0.8709243855492923</v>
      </c>
      <c r="H144" s="414" t="b">
        <f>Wh_hp&gt;='2024'!Maxi_hp</f>
        <v>1</v>
      </c>
      <c r="I144" s="390">
        <f>IF(H144,Wh_hp,'2024'!Maxi_hp)</f>
        <v>37.579575727883402</v>
      </c>
      <c r="J144" s="85">
        <f>IF(H144,An,'2024'!An_max)</f>
        <v>2025</v>
      </c>
      <c r="K144" s="197">
        <f t="shared" si="52"/>
        <v>45787</v>
      </c>
      <c r="L144" s="147">
        <f>IF(t&lt;Tvie,1-EXP((T0-t)*PertePVj)+'2024'!Pspv,1-EXP((T0-t)*PertePVj)+Pspv)</f>
        <v>5.4900848371172595E-2</v>
      </c>
      <c r="M144" s="850"/>
      <c r="N144" s="850"/>
      <c r="O144" s="48">
        <f>IF(t&lt;Tnet,'2024'!Resal+('2024'!Salim-'2024'!Resal)*(1-EXP(('2024'!Tnet-t)/('2024'!Tau_j))),Resal+(Salim-Resal)*(1-EXP((Tnet-t)/(Tau_j))))*Salcycl</f>
        <v>1.9079978097016038E-2</v>
      </c>
      <c r="P144" s="169">
        <f>(INDEX(Models!$BJ144:$BT144,,T144)*(1-R144)+INDEX(Models!$BJ144:$BT144,,T144+1)*R144-ERP_i)*Q144*Ramure*Pc/MaxiM</f>
        <v>0</v>
      </c>
      <c r="Q144" s="305">
        <f t="shared" si="53"/>
        <v>0.7</v>
      </c>
      <c r="R144" s="177">
        <f t="shared" si="54"/>
        <v>8.4917708400122915E-2</v>
      </c>
      <c r="S144" s="817">
        <f t="shared" si="55"/>
        <v>-2</v>
      </c>
      <c r="T144" s="176">
        <f t="shared" si="56"/>
        <v>4</v>
      </c>
      <c r="U144" s="251">
        <f t="shared" si="57"/>
        <v>-1.9150822915998771</v>
      </c>
      <c r="V144" s="383">
        <f t="shared" si="58"/>
        <v>40.002063443527007</v>
      </c>
      <c r="W144" s="402">
        <f t="shared" si="59"/>
        <v>34.838772525257568</v>
      </c>
      <c r="X144" s="157">
        <f t="shared" si="60"/>
        <v>45787</v>
      </c>
      <c r="Y144" s="385">
        <f t="shared" si="61"/>
        <v>31.916617667147285</v>
      </c>
      <c r="Z144" s="385">
        <f t="shared" si="62"/>
        <v>33.770655292770833</v>
      </c>
      <c r="AA144" s="386">
        <f t="shared" si="63"/>
        <v>37.579575657421259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0.1013561302387468</v>
      </c>
      <c r="AD144" s="231">
        <f>(INDEX(Models!$BJ144:$BT144,,AH144)*(1-AF144)+INDEX(Models!$BJ144:$BT144,,AH144+1)*AF144-ERP_i)*AE144*Ramure*Pc/MaxiM</f>
        <v>2.2989177589645999E-9</v>
      </c>
      <c r="AE144" s="305">
        <f t="shared" si="65"/>
        <v>0.7</v>
      </c>
      <c r="AF144" s="177">
        <f t="shared" si="66"/>
        <v>0.70878107777617871</v>
      </c>
      <c r="AG144" s="817">
        <f t="shared" ref="AG144:AG207" si="74">INDEX(Echel_vg,AH144)</f>
        <v>0</v>
      </c>
      <c r="AH144" s="176">
        <f t="shared" si="67"/>
        <v>6</v>
      </c>
      <c r="AI144" s="225">
        <f t="shared" si="68"/>
        <v>0.70878107777617871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45788</v>
      </c>
      <c r="B145" s="411">
        <f>'2024'!Wh/'2024'!Env_an*'2025'!Env_an</f>
        <v>37.567331332405153</v>
      </c>
      <c r="C145" s="846"/>
      <c r="D145" s="393">
        <f t="shared" si="50"/>
        <v>39.750489783691954</v>
      </c>
      <c r="E145" s="385">
        <f t="shared" si="72"/>
        <v>40.531538531633217</v>
      </c>
      <c r="F145" s="385">
        <f t="shared" si="51"/>
        <v>40.531538531633217</v>
      </c>
      <c r="G145" s="110">
        <f t="shared" si="73"/>
        <v>0.93798375328865247</v>
      </c>
      <c r="H145" s="414" t="b">
        <f>Wh_hp&gt;='2024'!Maxi_hp</f>
        <v>1</v>
      </c>
      <c r="I145" s="390">
        <f>IF(H145,Wh_hp,'2024'!Maxi_hp)</f>
        <v>40.531538531633217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5.4921548468126358E-2</v>
      </c>
      <c r="M145" s="850"/>
      <c r="N145" s="850"/>
      <c r="O145" s="48">
        <f>IF(t&lt;Tnet,'2024'!Resal+('2024'!Salim-'2024'!Resal)*(1-EXP(('2024'!Tnet-t)/('2024'!Tau_j))),Resal+(Salim-Resal)*(1-EXP((Tnet-t)/(Tau_j))))*Salcycl</f>
        <v>1.9270148043644832E-2</v>
      </c>
      <c r="P145" s="169">
        <f>(INDEX(Models!$BJ145:$BT145,,T145)*(1-R145)+INDEX(Models!$BJ145:$BT145,,T145+1)*R145-ERP_i)*Q145*Ramure*Pc/MaxiM</f>
        <v>0</v>
      </c>
      <c r="Q145" s="305">
        <f t="shared" si="53"/>
        <v>0.7</v>
      </c>
      <c r="R145" s="177">
        <f t="shared" si="54"/>
        <v>8.8474009458487046E-2</v>
      </c>
      <c r="S145" s="817">
        <f t="shared" si="55"/>
        <v>-2</v>
      </c>
      <c r="T145" s="176">
        <f t="shared" si="56"/>
        <v>4</v>
      </c>
      <c r="U145" s="251">
        <f t="shared" si="57"/>
        <v>-1.911525990541513</v>
      </c>
      <c r="V145" s="383">
        <f t="shared" si="58"/>
        <v>40.051153552170632</v>
      </c>
      <c r="W145" s="402">
        <f t="shared" si="59"/>
        <v>37.567331332405153</v>
      </c>
      <c r="X145" s="157">
        <f t="shared" si="60"/>
        <v>45788</v>
      </c>
      <c r="Y145" s="385">
        <f t="shared" si="61"/>
        <v>34.418034793788401</v>
      </c>
      <c r="Z145" s="385">
        <f t="shared" si="62"/>
        <v>36.418177494154435</v>
      </c>
      <c r="AA145" s="386">
        <f t="shared" si="63"/>
        <v>40.531538474666007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0.10148543912495715</v>
      </c>
      <c r="AD145" s="231">
        <f>(INDEX(Models!$BJ145:$BT145,,AH145)*(1-AF145)+INDEX(Models!$BJ145:$BT145,,AH145+1)*AF145-ERP_i)*AE145*Ramure*Pc/MaxiM</f>
        <v>1.5421275299778784E-9</v>
      </c>
      <c r="AE145" s="305">
        <f t="shared" si="65"/>
        <v>0.7</v>
      </c>
      <c r="AF145" s="177">
        <f t="shared" si="66"/>
        <v>0.71233737883454296</v>
      </c>
      <c r="AG145" s="817">
        <f t="shared" si="74"/>
        <v>0</v>
      </c>
      <c r="AH145" s="176">
        <f t="shared" si="67"/>
        <v>6</v>
      </c>
      <c r="AI145" s="225">
        <f t="shared" si="68"/>
        <v>0.71233737883454296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45789</v>
      </c>
      <c r="B146" s="411">
        <f>'2024'!Wh/'2024'!Env_an*'2025'!Env_an</f>
        <v>28.909270388528206</v>
      </c>
      <c r="C146" s="846"/>
      <c r="D146" s="393">
        <f t="shared" si="50"/>
        <v>30.589951069937307</v>
      </c>
      <c r="E146" s="385">
        <f t="shared" si="72"/>
        <v>31.19706107158591</v>
      </c>
      <c r="F146" s="385">
        <f t="shared" si="51"/>
        <v>31.19706107158591</v>
      </c>
      <c r="G146" s="110">
        <f t="shared" si="73"/>
        <v>0.72100349372040839</v>
      </c>
      <c r="H146" s="414" t="b">
        <f>Wh_hp&gt;='2024'!Maxi_hp</f>
        <v>0</v>
      </c>
      <c r="I146" s="390">
        <f>IF(H146,Wh_hp,'2024'!Maxi_hp)</f>
        <v>40.951725833965142</v>
      </c>
      <c r="J146" s="85">
        <f>IF(H146,An,'2024'!An_max)</f>
        <v>2019</v>
      </c>
      <c r="K146" s="197">
        <f t="shared" si="52"/>
        <v>45789</v>
      </c>
      <c r="L146" s="147">
        <f>IF(t&lt;Tvie,1-EXP((T0-t)*PertePVj)+'2024'!Pspv,1-EXP((T0-t)*PertePVj)+Pspv)</f>
        <v>5.4942248111694791E-2</v>
      </c>
      <c r="M146" s="850"/>
      <c r="N146" s="850"/>
      <c r="O146" s="48">
        <f>IF(t&lt;Tnet,'2024'!Resal+('2024'!Salim-'2024'!Resal)*(1-EXP(('2024'!Tnet-t)/('2024'!Tau_j))),Resal+(Salim-Resal)*(1-EXP((Tnet-t)/(Tau_j))))*Salcycl</f>
        <v>1.9460487007269902E-2</v>
      </c>
      <c r="P146" s="169">
        <f>(INDEX(Models!$BJ146:$BT146,,T146)*(1-R146)+INDEX(Models!$BJ146:$BT146,,T146+1)*R146-ERP_i)*Q146*Ramure*Pc/MaxiM</f>
        <v>0</v>
      </c>
      <c r="Q146" s="305">
        <f t="shared" si="53"/>
        <v>0.7</v>
      </c>
      <c r="R146" s="177">
        <f t="shared" si="54"/>
        <v>9.2111397106315884E-2</v>
      </c>
      <c r="S146" s="817">
        <f t="shared" si="55"/>
        <v>-2</v>
      </c>
      <c r="T146" s="176">
        <f t="shared" si="56"/>
        <v>4</v>
      </c>
      <c r="U146" s="251">
        <f t="shared" si="57"/>
        <v>-1.9078886028936841</v>
      </c>
      <c r="V146" s="383">
        <f t="shared" si="58"/>
        <v>40.095881143869583</v>
      </c>
      <c r="W146" s="402">
        <f t="shared" si="59"/>
        <v>28.909270388528206</v>
      </c>
      <c r="X146" s="157">
        <f t="shared" si="60"/>
        <v>45789</v>
      </c>
      <c r="Y146" s="385">
        <f t="shared" si="61"/>
        <v>26.487085455873405</v>
      </c>
      <c r="Z146" s="385">
        <f t="shared" si="62"/>
        <v>28.026949044066324</v>
      </c>
      <c r="AA146" s="386">
        <f t="shared" si="63"/>
        <v>31.197061054113242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0.10161572606304685</v>
      </c>
      <c r="AD146" s="231">
        <f>(INDEX(Models!$BJ146:$BT146,,AH146)*(1-AF146)+INDEX(Models!$BJ146:$BT146,,AH146+1)*AF146-ERP_i)*AE146*Ramure*Pc/MaxiM</f>
        <v>9.3123203089461708E-10</v>
      </c>
      <c r="AE146" s="305">
        <f t="shared" si="65"/>
        <v>0.7</v>
      </c>
      <c r="AF146" s="177">
        <f t="shared" si="66"/>
        <v>0.71597476648237168</v>
      </c>
      <c r="AG146" s="817">
        <f t="shared" si="74"/>
        <v>0</v>
      </c>
      <c r="AH146" s="176">
        <f t="shared" si="67"/>
        <v>6</v>
      </c>
      <c r="AI146" s="225">
        <f t="shared" si="68"/>
        <v>0.71597476648237168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45790</v>
      </c>
      <c r="B147" s="411">
        <f>'2024'!Wh/'2024'!Env_an*'2025'!Env_an</f>
        <v>31.558362696022119</v>
      </c>
      <c r="C147" s="846"/>
      <c r="D147" s="393">
        <f t="shared" si="50"/>
        <v>33.393783456343797</v>
      </c>
      <c r="E147" s="385">
        <f t="shared" si="72"/>
        <v>34.063158222562791</v>
      </c>
      <c r="F147" s="385">
        <f t="shared" si="51"/>
        <v>34.063158222562791</v>
      </c>
      <c r="G147" s="110">
        <f t="shared" si="73"/>
        <v>0.78628275633076161</v>
      </c>
      <c r="H147" s="414" t="b">
        <f>Wh_hp&gt;='2024'!Maxi_hp</f>
        <v>0</v>
      </c>
      <c r="I147" s="390">
        <f>IF(H147,Wh_hp,'2024'!Maxi_hp)</f>
        <v>45.292153927540518</v>
      </c>
      <c r="J147" s="85">
        <f>IF(H147,An,'2024'!An_max)</f>
        <v>2019</v>
      </c>
      <c r="K147" s="197">
        <f t="shared" si="52"/>
        <v>45790</v>
      </c>
      <c r="L147" s="147">
        <f>IF(t&lt;Tvie,1-EXP((T0-t)*PertePVj)+'2024'!Pspv,1-EXP((T0-t)*PertePVj)+Pspv)</f>
        <v>5.4962947301887888E-2</v>
      </c>
      <c r="M147" s="850"/>
      <c r="N147" s="850"/>
      <c r="O147" s="48">
        <f>IF(t&lt;Tnet,'2024'!Resal+('2024'!Salim-'2024'!Resal)*(1-EXP(('2024'!Tnet-t)/('2024'!Tau_j))),Resal+(Salim-Resal)*(1-EXP((Tnet-t)/(Tau_j))))*Salcycl</f>
        <v>1.9650989548456187E-2</v>
      </c>
      <c r="P147" s="169">
        <f>(INDEX(Models!$BJ147:$BT147,,T147)*(1-R147)+INDEX(Models!$BJ147:$BT147,,T147+1)*R147-ERP_i)*Q147*Ramure*Pc/MaxiM</f>
        <v>0</v>
      </c>
      <c r="Q147" s="305">
        <f t="shared" si="53"/>
        <v>0.7</v>
      </c>
      <c r="R147" s="177">
        <f t="shared" si="54"/>
        <v>9.582950023176795E-2</v>
      </c>
      <c r="S147" s="817">
        <f t="shared" si="55"/>
        <v>-2</v>
      </c>
      <c r="T147" s="176">
        <f t="shared" si="56"/>
        <v>4</v>
      </c>
      <c r="U147" s="251">
        <f t="shared" si="57"/>
        <v>-1.904170499768232</v>
      </c>
      <c r="V147" s="383">
        <f t="shared" si="58"/>
        <v>40.136150057889125</v>
      </c>
      <c r="W147" s="402">
        <f t="shared" si="59"/>
        <v>31.558362696022119</v>
      </c>
      <c r="X147" s="157">
        <f t="shared" si="60"/>
        <v>45790</v>
      </c>
      <c r="Y147" s="385">
        <f t="shared" si="61"/>
        <v>28.915616369604709</v>
      </c>
      <c r="Z147" s="385">
        <f t="shared" si="62"/>
        <v>30.597336143646078</v>
      </c>
      <c r="AA147" s="386">
        <f t="shared" si="63"/>
        <v>34.063158211471375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0.10174693862233007</v>
      </c>
      <c r="AD147" s="231">
        <f>(INDEX(Models!$BJ147:$BT147,,AH147)*(1-AF147)+INDEX(Models!$BJ147:$BT147,,AH147+1)*AF147-ERP_i)*AE147*Ramure*Pc/MaxiM</f>
        <v>4.6871755039854633E-10</v>
      </c>
      <c r="AE147" s="305">
        <f t="shared" si="65"/>
        <v>0.7</v>
      </c>
      <c r="AF147" s="177">
        <f t="shared" si="66"/>
        <v>0.71969286960782386</v>
      </c>
      <c r="AG147" s="817">
        <f t="shared" si="74"/>
        <v>0</v>
      </c>
      <c r="AH147" s="176">
        <f t="shared" si="67"/>
        <v>6</v>
      </c>
      <c r="AI147" s="225">
        <f t="shared" si="68"/>
        <v>0.71969286960782386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45791</v>
      </c>
      <c r="B148" s="411">
        <f>'2024'!Wh/'2024'!Env_an*'2025'!Env_an</f>
        <v>32.865933748076714</v>
      </c>
      <c r="C148" s="846"/>
      <c r="D148" s="393">
        <f t="shared" si="50"/>
        <v>34.778164007755542</v>
      </c>
      <c r="E148" s="385">
        <f t="shared" si="72"/>
        <v>35.482189157995137</v>
      </c>
      <c r="F148" s="385">
        <f t="shared" si="51"/>
        <v>35.482189157995137</v>
      </c>
      <c r="G148" s="110">
        <f t="shared" si="73"/>
        <v>0.81813314729520181</v>
      </c>
      <c r="H148" s="414" t="b">
        <f>Wh_hp&gt;='2024'!Maxi_hp</f>
        <v>0</v>
      </c>
      <c r="I148" s="390">
        <f>IF(H148,Wh_hp,'2024'!Maxi_hp)</f>
        <v>43.95743971785987</v>
      </c>
      <c r="J148" s="85">
        <f>IF(H148,An,'2024'!An_max)</f>
        <v>2019</v>
      </c>
      <c r="K148" s="197">
        <f t="shared" si="52"/>
        <v>45791</v>
      </c>
      <c r="L148" s="147">
        <f>IF(t&lt;Tvie,1-EXP((T0-t)*PertePVj)+'2024'!Pspv,1-EXP((T0-t)*PertePVj)+Pspv)</f>
        <v>5.4983646038715639E-2</v>
      </c>
      <c r="M148" s="850"/>
      <c r="N148" s="850"/>
      <c r="O148" s="48">
        <f>IF(t&lt;Tnet,'2024'!Resal+('2024'!Salim-'2024'!Resal)*(1-EXP(('2024'!Tnet-t)/('2024'!Tau_j))),Resal+(Salim-Resal)*(1-EXP((Tnet-t)/(Tau_j))))*Salcycl</f>
        <v>1.9841649203342838E-2</v>
      </c>
      <c r="P148" s="169">
        <f>(INDEX(Models!$BJ148:$BT148,,T148)*(1-R148)+INDEX(Models!$BJ148:$BT148,,T148+1)*R148-ERP_i)*Q148*Ramure*Pc/MaxiM</f>
        <v>0</v>
      </c>
      <c r="Q148" s="305">
        <f t="shared" si="53"/>
        <v>0.7</v>
      </c>
      <c r="R148" s="177">
        <f t="shared" si="54"/>
        <v>9.9627791797370246E-2</v>
      </c>
      <c r="S148" s="817">
        <f t="shared" si="55"/>
        <v>-2</v>
      </c>
      <c r="T148" s="176">
        <f t="shared" si="56"/>
        <v>4</v>
      </c>
      <c r="U148" s="251">
        <f t="shared" si="57"/>
        <v>-1.9003722082026298</v>
      </c>
      <c r="V148" s="383">
        <f t="shared" si="58"/>
        <v>40.171864270178396</v>
      </c>
      <c r="W148" s="402">
        <f t="shared" si="59"/>
        <v>32.865933748076714</v>
      </c>
      <c r="X148" s="157">
        <f t="shared" si="60"/>
        <v>45791</v>
      </c>
      <c r="Y148" s="385">
        <f t="shared" si="61"/>
        <v>30.115118201700518</v>
      </c>
      <c r="Z148" s="385">
        <f t="shared" si="62"/>
        <v>31.867298460460592</v>
      </c>
      <c r="AA148" s="386">
        <f t="shared" si="63"/>
        <v>35.482189153863494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0.10187902098507619</v>
      </c>
      <c r="AD148" s="231">
        <f>(INDEX(Models!$BJ148:$BT148,,AH148)*(1-AF148)+INDEX(Models!$BJ148:$BT148,,AH148+1)*AF148-ERP_i)*AE148*Ramure*Pc/MaxiM</f>
        <v>1.5731450312596892E-10</v>
      </c>
      <c r="AE148" s="305">
        <f t="shared" si="65"/>
        <v>0.7</v>
      </c>
      <c r="AF148" s="177">
        <f t="shared" si="66"/>
        <v>0.72349116117342616</v>
      </c>
      <c r="AG148" s="817">
        <f t="shared" si="74"/>
        <v>0</v>
      </c>
      <c r="AH148" s="176">
        <f t="shared" si="67"/>
        <v>6</v>
      </c>
      <c r="AI148" s="225">
        <f t="shared" si="68"/>
        <v>0.72349116117342616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45792</v>
      </c>
      <c r="B149" s="411">
        <f>'2024'!Wh/'2024'!Env_an*'2025'!Env_an</f>
        <v>35.002647517173934</v>
      </c>
      <c r="C149" s="846"/>
      <c r="D149" s="393">
        <f t="shared" si="50"/>
        <v>37.040008921594215</v>
      </c>
      <c r="E149" s="385">
        <f t="shared" si="72"/>
        <v>37.797179347143981</v>
      </c>
      <c r="F149" s="385">
        <f t="shared" si="51"/>
        <v>37.797179347143981</v>
      </c>
      <c r="G149" s="110">
        <f t="shared" si="73"/>
        <v>0.87066710132476499</v>
      </c>
      <c r="H149" s="414" t="b">
        <f>Wh_hp&gt;='2024'!Maxi_hp</f>
        <v>0</v>
      </c>
      <c r="I149" s="390">
        <f>IF(H149,Wh_hp,'2024'!Maxi_hp)</f>
        <v>44.25827136765831</v>
      </c>
      <c r="J149" s="85">
        <f>IF(H149,An,'2024'!An_max)</f>
        <v>2019</v>
      </c>
      <c r="K149" s="197">
        <f t="shared" si="52"/>
        <v>45792</v>
      </c>
      <c r="L149" s="147">
        <f>IF(t&lt;Tvie,1-EXP((T0-t)*PertePVj)+'2024'!Pspv,1-EXP((T0-t)*PertePVj)+Pspv)</f>
        <v>5.5004344322187926E-2</v>
      </c>
      <c r="M149" s="850"/>
      <c r="N149" s="850"/>
      <c r="O149" s="48">
        <f>IF(t&lt;Tnet,'2024'!Resal+('2024'!Salim-'2024'!Resal)*(1-EXP(('2024'!Tnet-t)/('2024'!Tau_j))),Resal+(Salim-Resal)*(1-EXP((Tnet-t)/(Tau_j))))*Salcycl</f>
        <v>2.0032458469866676E-2</v>
      </c>
      <c r="P149" s="169">
        <f>(INDEX(Models!$BJ149:$BT149,,T149)*(1-R149)+INDEX(Models!$BJ149:$BT149,,T149+1)*R149-ERP_i)*Q149*Ramure*Pc/MaxiM</f>
        <v>0</v>
      </c>
      <c r="Q149" s="305">
        <f t="shared" si="53"/>
        <v>0.7</v>
      </c>
      <c r="R149" s="177">
        <f t="shared" si="54"/>
        <v>0.1035055835124099</v>
      </c>
      <c r="S149" s="817">
        <f t="shared" si="55"/>
        <v>-2</v>
      </c>
      <c r="T149" s="176">
        <f t="shared" si="56"/>
        <v>4</v>
      </c>
      <c r="U149" s="251">
        <f t="shared" si="57"/>
        <v>-1.8964944164875901</v>
      </c>
      <c r="V149" s="383">
        <f t="shared" si="58"/>
        <v>40.202101887065211</v>
      </c>
      <c r="W149" s="402">
        <f t="shared" si="59"/>
        <v>35.002647517173934</v>
      </c>
      <c r="X149" s="157">
        <f t="shared" si="60"/>
        <v>45792</v>
      </c>
      <c r="Y149" s="385">
        <f t="shared" si="61"/>
        <v>32.074491364965766</v>
      </c>
      <c r="Z149" s="385">
        <f t="shared" si="62"/>
        <v>33.94141673800592</v>
      </c>
      <c r="AA149" s="386">
        <f t="shared" si="63"/>
        <v>37.797179347143981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0.10201191400356197</v>
      </c>
      <c r="AD149" s="231">
        <f>(INDEX(Models!$BJ149:$BT149,,AH149)*(1-AF149)+INDEX(Models!$BJ149:$BT149,,AH149+1)*AF149-ERP_i)*AE149*Ramure*Pc/MaxiM</f>
        <v>0</v>
      </c>
      <c r="AE149" s="305">
        <f t="shared" si="65"/>
        <v>0.7</v>
      </c>
      <c r="AF149" s="177">
        <f t="shared" si="66"/>
        <v>0.72736895288846581</v>
      </c>
      <c r="AG149" s="817">
        <f t="shared" si="74"/>
        <v>0</v>
      </c>
      <c r="AH149" s="176">
        <f t="shared" si="67"/>
        <v>6</v>
      </c>
      <c r="AI149" s="225">
        <f t="shared" si="68"/>
        <v>0.72736895288846581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45793</v>
      </c>
      <c r="B150" s="411">
        <f>'2024'!Wh/'2024'!Env_an*'2025'!Env_an</f>
        <v>33.89796299040394</v>
      </c>
      <c r="C150" s="846"/>
      <c r="D150" s="393">
        <f t="shared" si="50"/>
        <v>35.871810897096537</v>
      </c>
      <c r="E150" s="385">
        <f t="shared" si="72"/>
        <v>36.612235094431369</v>
      </c>
      <c r="F150" s="385">
        <f t="shared" si="51"/>
        <v>36.612235094431369</v>
      </c>
      <c r="G150" s="110">
        <f t="shared" si="73"/>
        <v>0.84268080210566354</v>
      </c>
      <c r="H150" s="414" t="b">
        <f>Wh_hp&gt;='2024'!Maxi_hp</f>
        <v>1</v>
      </c>
      <c r="I150" s="390">
        <f>IF(H150,Wh_hp,'2024'!Maxi_hp)</f>
        <v>36.612235094431369</v>
      </c>
      <c r="J150" s="85">
        <f>IF(H150,An,'2024'!An_max)</f>
        <v>2025</v>
      </c>
      <c r="K150" s="197">
        <f t="shared" si="52"/>
        <v>45793</v>
      </c>
      <c r="L150" s="147">
        <f>IF(t&lt;Tvie,1-EXP((T0-t)*PertePVj)+'2024'!Pspv,1-EXP((T0-t)*PertePVj)+Pspv)</f>
        <v>5.502504215231474E-2</v>
      </c>
      <c r="M150" s="850"/>
      <c r="N150" s="850"/>
      <c r="O150" s="48">
        <f>IF(t&lt;Tnet,'2024'!Resal+('2024'!Salim-'2024'!Resal)*(1-EXP(('2024'!Tnet-t)/('2024'!Tau_j))),Resal+(Salim-Resal)*(1-EXP((Tnet-t)/(Tau_j))))*Salcycl</f>
        <v>2.0223408798318569E-2</v>
      </c>
      <c r="P150" s="169">
        <f>(INDEX(Models!$BJ150:$BT150,,T150)*(1-R150)+INDEX(Models!$BJ150:$BT150,,T150+1)*R150-ERP_i)*Q150*Ramure*Pc/MaxiM</f>
        <v>0</v>
      </c>
      <c r="Q150" s="305">
        <f t="shared" si="53"/>
        <v>0.7</v>
      </c>
      <c r="R150" s="177">
        <f t="shared" si="54"/>
        <v>0.10746202097353597</v>
      </c>
      <c r="S150" s="817">
        <f t="shared" si="55"/>
        <v>-2</v>
      </c>
      <c r="T150" s="176">
        <f t="shared" si="56"/>
        <v>4</v>
      </c>
      <c r="U150" s="251">
        <f t="shared" si="57"/>
        <v>-1.892537979026464</v>
      </c>
      <c r="V150" s="383">
        <f t="shared" si="58"/>
        <v>40.226338259636158</v>
      </c>
      <c r="W150" s="402">
        <f t="shared" si="59"/>
        <v>33.89796299040394</v>
      </c>
      <c r="X150" s="157">
        <f t="shared" si="60"/>
        <v>45793</v>
      </c>
      <c r="Y150" s="385">
        <f t="shared" si="61"/>
        <v>31.063649623147199</v>
      </c>
      <c r="Z150" s="385">
        <f t="shared" si="62"/>
        <v>32.872458010844092</v>
      </c>
      <c r="AA150" s="386">
        <f t="shared" si="63"/>
        <v>36.612235094431369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0.10214555527521139</v>
      </c>
      <c r="AD150" s="231">
        <f>(INDEX(Models!$BJ150:$BT150,,AH150)*(1-AF150)+INDEX(Models!$BJ150:$BT150,,AH150+1)*AF150-ERP_i)*AE150*Ramure*Pc/MaxiM</f>
        <v>0</v>
      </c>
      <c r="AE150" s="305">
        <f t="shared" si="65"/>
        <v>0.7</v>
      </c>
      <c r="AF150" s="177">
        <f t="shared" si="66"/>
        <v>0.73132539034959199</v>
      </c>
      <c r="AG150" s="817">
        <f t="shared" si="74"/>
        <v>0</v>
      </c>
      <c r="AH150" s="176">
        <f t="shared" si="67"/>
        <v>6</v>
      </c>
      <c r="AI150" s="225">
        <f t="shared" si="68"/>
        <v>0.73132539034959199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45794</v>
      </c>
      <c r="B151" s="411">
        <f>'2024'!Wh/'2024'!Env_an*'2025'!Env_an</f>
        <v>36.432115861460588</v>
      </c>
      <c r="C151" s="846"/>
      <c r="D151" s="393">
        <f t="shared" si="50"/>
        <v>38.554369650977137</v>
      </c>
      <c r="E151" s="385">
        <f t="shared" si="72"/>
        <v>39.357839903186992</v>
      </c>
      <c r="F151" s="385">
        <f t="shared" si="51"/>
        <v>39.357839903186992</v>
      </c>
      <c r="G151" s="110">
        <f t="shared" si="73"/>
        <v>0.90525654706792102</v>
      </c>
      <c r="H151" s="414" t="b">
        <f>Wh_hp&gt;='2024'!Maxi_hp</f>
        <v>0</v>
      </c>
      <c r="I151" s="390">
        <f>IF(H151,Wh_hp,'2024'!Maxi_hp)</f>
        <v>40.085945831650221</v>
      </c>
      <c r="J151" s="85">
        <f>IF(H151,An,'2024'!An_max)</f>
        <v>2021</v>
      </c>
      <c r="K151" s="197">
        <f t="shared" si="52"/>
        <v>45794</v>
      </c>
      <c r="L151" s="147">
        <f>IF(t&lt;Tvie,1-EXP((T0-t)*PertePVj)+'2024'!Pspv,1-EXP((T0-t)*PertePVj)+Pspv)</f>
        <v>5.5045739529105853E-2</v>
      </c>
      <c r="M151" s="850"/>
      <c r="N151" s="850"/>
      <c r="O151" s="48">
        <f>IF(t&lt;Tnet,'2024'!Resal+('2024'!Salim-'2024'!Resal)*(1-EXP(('2024'!Tnet-t)/('2024'!Tau_j))),Resal+(Salim-Resal)*(1-EXP((Tnet-t)/(Tau_j))))*Salcycl</f>
        <v>2.0414490586532243E-2</v>
      </c>
      <c r="P151" s="169">
        <f>(INDEX(Models!$BJ151:$BT151,,T151)*(1-R151)+INDEX(Models!$BJ151:$BT151,,T151+1)*R151-ERP_i)*Q151*Ramure*Pc/MaxiM</f>
        <v>0</v>
      </c>
      <c r="Q151" s="305">
        <f t="shared" si="53"/>
        <v>0.7</v>
      </c>
      <c r="R151" s="177">
        <f t="shared" si="54"/>
        <v>0.1114960793335098</v>
      </c>
      <c r="S151" s="817">
        <f t="shared" si="55"/>
        <v>-2</v>
      </c>
      <c r="T151" s="176">
        <f t="shared" si="56"/>
        <v>4</v>
      </c>
      <c r="U151" s="251">
        <f t="shared" si="57"/>
        <v>-1.8885039206664902</v>
      </c>
      <c r="V151" s="383">
        <f t="shared" si="58"/>
        <v>40.245073045273536</v>
      </c>
      <c r="W151" s="402">
        <f t="shared" si="59"/>
        <v>36.432115861460588</v>
      </c>
      <c r="X151" s="157">
        <f t="shared" si="60"/>
        <v>45794</v>
      </c>
      <c r="Y151" s="385">
        <f t="shared" si="61"/>
        <v>33.387430843489071</v>
      </c>
      <c r="Z151" s="385">
        <f t="shared" si="62"/>
        <v>35.332324790885949</v>
      </c>
      <c r="AA151" s="386">
        <f t="shared" si="63"/>
        <v>39.357839903186992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0.1022798792363367</v>
      </c>
      <c r="AD151" s="231">
        <f>(INDEX(Models!$BJ151:$BT151,,AH151)*(1-AF151)+INDEX(Models!$BJ151:$BT151,,AH151+1)*AF151-ERP_i)*AE151*Ramure*Pc/MaxiM</f>
        <v>0</v>
      </c>
      <c r="AE151" s="305">
        <f t="shared" si="65"/>
        <v>0.7</v>
      </c>
      <c r="AF151" s="177">
        <f t="shared" si="66"/>
        <v>0.73535944870956571</v>
      </c>
      <c r="AG151" s="817">
        <f t="shared" si="74"/>
        <v>0</v>
      </c>
      <c r="AH151" s="176">
        <f t="shared" si="67"/>
        <v>6</v>
      </c>
      <c r="AI151" s="225">
        <f t="shared" si="68"/>
        <v>0.73535944870956571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45795</v>
      </c>
      <c r="B152" s="411">
        <f>'2024'!Wh/'2024'!Env_an*'2025'!Env_an</f>
        <v>35.035265452845962</v>
      </c>
      <c r="C152" s="846"/>
      <c r="D152" s="393">
        <f t="shared" si="50"/>
        <v>37.076961602801035</v>
      </c>
      <c r="E152" s="385">
        <f t="shared" si="72"/>
        <v>37.857031988664176</v>
      </c>
      <c r="F152" s="385">
        <f t="shared" si="51"/>
        <v>37.857031988664176</v>
      </c>
      <c r="G152" s="110">
        <f t="shared" si="73"/>
        <v>0.87025099238758563</v>
      </c>
      <c r="H152" s="414" t="b">
        <f>Wh_hp&gt;='2024'!Maxi_hp</f>
        <v>0</v>
      </c>
      <c r="I152" s="390">
        <f>IF(H152,Wh_hp,'2024'!Maxi_hp)</f>
        <v>44.898392288883365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5.5066436452571366E-2</v>
      </c>
      <c r="M152" s="850"/>
      <c r="N152" s="850"/>
      <c r="O152" s="48">
        <f>IF(t&lt;Tnet,'2024'!Resal+('2024'!Salim-'2024'!Resal)*(1-EXP(('2024'!Tnet-t)/('2024'!Tau_j))),Resal+(Salim-Resal)*(1-EXP((Tnet-t)/(Tau_j))))*Salcycl</f>
        <v>2.0605693179981076E-2</v>
      </c>
      <c r="P152" s="169">
        <f>(INDEX(Models!$BJ152:$BT152,,T152)*(1-R152)+INDEX(Models!$BJ152:$BT152,,T152+1)*R152-ERP_i)*Q152*Ramure*Pc/MaxiM</f>
        <v>0</v>
      </c>
      <c r="Q152" s="305">
        <f t="shared" si="53"/>
        <v>0.7</v>
      </c>
      <c r="R152" s="177">
        <f t="shared" si="54"/>
        <v>0.1156065595574669</v>
      </c>
      <c r="S152" s="817">
        <f t="shared" si="55"/>
        <v>-2</v>
      </c>
      <c r="T152" s="176">
        <f t="shared" si="56"/>
        <v>4</v>
      </c>
      <c r="U152" s="251">
        <f t="shared" si="57"/>
        <v>-1.8843934404425331</v>
      </c>
      <c r="V152" s="383">
        <f t="shared" si="58"/>
        <v>40.258805516239192</v>
      </c>
      <c r="W152" s="402">
        <f t="shared" si="59"/>
        <v>35.035265452845962</v>
      </c>
      <c r="X152" s="157">
        <f t="shared" si="60"/>
        <v>45795</v>
      </c>
      <c r="Y152" s="385">
        <f t="shared" si="61"/>
        <v>32.108758366609194</v>
      </c>
      <c r="Z152" s="385">
        <f t="shared" si="62"/>
        <v>33.979910974976789</v>
      </c>
      <c r="AA152" s="386">
        <f t="shared" si="63"/>
        <v>37.857031988664176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0.10241481727485516</v>
      </c>
      <c r="AD152" s="231">
        <f>(INDEX(Models!$BJ152:$BT152,,AH152)*(1-AF152)+INDEX(Models!$BJ152:$BT152,,AH152+1)*AF152-ERP_i)*AE152*Ramure*Pc/MaxiM</f>
        <v>0</v>
      </c>
      <c r="AE152" s="305">
        <f t="shared" si="65"/>
        <v>0.7</v>
      </c>
      <c r="AF152" s="177">
        <f t="shared" si="66"/>
        <v>0.73946992893352281</v>
      </c>
      <c r="AG152" s="817">
        <f t="shared" si="74"/>
        <v>0</v>
      </c>
      <c r="AH152" s="176">
        <f t="shared" si="67"/>
        <v>6</v>
      </c>
      <c r="AI152" s="225">
        <f t="shared" si="68"/>
        <v>0.73946992893352281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45796</v>
      </c>
      <c r="B153" s="411">
        <f>'2024'!Wh/'2024'!Env_an*'2025'!Env_an</f>
        <v>36.152678225554723</v>
      </c>
      <c r="C153" s="846"/>
      <c r="D153" s="393">
        <f t="shared" si="50"/>
        <v>38.260330116340782</v>
      </c>
      <c r="E153" s="385">
        <f t="shared" si="72"/>
        <v>39.072930032792677</v>
      </c>
      <c r="F153" s="385">
        <f t="shared" si="51"/>
        <v>39.072930032792677</v>
      </c>
      <c r="G153" s="110">
        <f t="shared" si="73"/>
        <v>0.89780091371923687</v>
      </c>
      <c r="H153" s="414" t="b">
        <f>Wh_hp&gt;='2024'!Maxi_hp</f>
        <v>0</v>
      </c>
      <c r="I153" s="390">
        <f>IF(H153,Wh_hp,'2024'!Maxi_hp)</f>
        <v>44.234710656745264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5.508713292272116E-2</v>
      </c>
      <c r="M153" s="850"/>
      <c r="N153" s="850"/>
      <c r="O153" s="48">
        <f>IF(t&lt;Tnet,'2024'!Resal+('2024'!Salim-'2024'!Resal)*(1-EXP(('2024'!Tnet-t)/('2024'!Tau_j))),Resal+(Salim-Resal)*(1-EXP((Tnet-t)/(Tau_j))))*Salcycl</f>
        <v>2.0797004877031403E-2</v>
      </c>
      <c r="P153" s="169">
        <f>(INDEX(Models!$BJ153:$BT153,,T153)*(1-R153)+INDEX(Models!$BJ153:$BT153,,T153+1)*R153-ERP_i)*Q153*Ramure*Pc/MaxiM</f>
        <v>0</v>
      </c>
      <c r="Q153" s="305">
        <f t="shared" si="53"/>
        <v>0.7</v>
      </c>
      <c r="R153" s="177">
        <f t="shared" si="54"/>
        <v>0.11979208532476338</v>
      </c>
      <c r="S153" s="817">
        <f t="shared" si="55"/>
        <v>-2</v>
      </c>
      <c r="T153" s="176">
        <f t="shared" si="56"/>
        <v>4</v>
      </c>
      <c r="U153" s="251">
        <f t="shared" si="57"/>
        <v>-1.8802079146752366</v>
      </c>
      <c r="V153" s="383">
        <f t="shared" si="58"/>
        <v>40.268034564353883</v>
      </c>
      <c r="W153" s="402">
        <f t="shared" si="59"/>
        <v>36.152678225554723</v>
      </c>
      <c r="X153" s="157">
        <f t="shared" si="60"/>
        <v>45796</v>
      </c>
      <c r="Y153" s="385">
        <f t="shared" si="61"/>
        <v>33.134304599357492</v>
      </c>
      <c r="Z153" s="385">
        <f t="shared" si="62"/>
        <v>35.065989419580667</v>
      </c>
      <c r="AA153" s="386">
        <f t="shared" si="63"/>
        <v>39.072930032792677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0.10255029786220575</v>
      </c>
      <c r="AD153" s="231">
        <f>(INDEX(Models!$BJ153:$BT153,,AH153)*(1-AF153)+INDEX(Models!$BJ153:$BT153,,AH153+1)*AF153-ERP_i)*AE153*Ramure*Pc/MaxiM</f>
        <v>0</v>
      </c>
      <c r="AE153" s="305">
        <f t="shared" si="65"/>
        <v>0.7</v>
      </c>
      <c r="AF153" s="177">
        <f t="shared" si="66"/>
        <v>0.74365545470081929</v>
      </c>
      <c r="AG153" s="817">
        <f t="shared" si="74"/>
        <v>0</v>
      </c>
      <c r="AH153" s="176">
        <f t="shared" si="67"/>
        <v>6</v>
      </c>
      <c r="AI153" s="225">
        <f t="shared" si="68"/>
        <v>0.74365545470081929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45797</v>
      </c>
      <c r="B154" s="411">
        <f>'2024'!Wh/'2024'!Env_an*'2025'!Env_an</f>
        <v>32.245918092308997</v>
      </c>
      <c r="C154" s="846"/>
      <c r="D154" s="393">
        <f t="shared" si="50"/>
        <v>34.126558648612786</v>
      </c>
      <c r="E154" s="385">
        <f t="shared" si="72"/>
        <v>34.858176450271429</v>
      </c>
      <c r="F154" s="385">
        <f t="shared" si="51"/>
        <v>34.858176450271429</v>
      </c>
      <c r="G154" s="110">
        <f t="shared" si="73"/>
        <v>0.80067814561120931</v>
      </c>
      <c r="H154" s="414" t="b">
        <f>Wh_hp&gt;='2024'!Maxi_hp</f>
        <v>0</v>
      </c>
      <c r="I154" s="390">
        <f>IF(H154,Wh_hp,'2024'!Maxi_hp)</f>
        <v>43.678078338959317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5.5107828939565007E-2</v>
      </c>
      <c r="M154" s="850"/>
      <c r="N154" s="850"/>
      <c r="O154" s="48">
        <f>IF(t&lt;Tnet,'2024'!Resal+('2024'!Salim-'2024'!Resal)*(1-EXP(('2024'!Tnet-t)/('2024'!Tau_j))),Resal+(Salim-Resal)*(1-EXP((Tnet-t)/(Tau_j))))*Salcycl</f>
        <v>2.0988412939568591E-2</v>
      </c>
      <c r="P154" s="169">
        <f>(INDEX(Models!$BJ154:$BT154,,T154)*(1-R154)+INDEX(Models!$BJ154:$BT154,,T154+1)*R154-ERP_i)*Q154*Ramure*Pc/MaxiM</f>
        <v>0</v>
      </c>
      <c r="Q154" s="305">
        <f t="shared" si="53"/>
        <v>0.7</v>
      </c>
      <c r="R154" s="177">
        <f t="shared" si="54"/>
        <v>0.12405110063242408</v>
      </c>
      <c r="S154" s="817">
        <f t="shared" si="55"/>
        <v>-2</v>
      </c>
      <c r="T154" s="176">
        <f t="shared" si="56"/>
        <v>4</v>
      </c>
      <c r="U154" s="251">
        <f t="shared" si="57"/>
        <v>-1.8759488993675759</v>
      </c>
      <c r="V154" s="383">
        <f t="shared" si="58"/>
        <v>40.273258698342033</v>
      </c>
      <c r="W154" s="402">
        <f t="shared" si="59"/>
        <v>32.245918092308997</v>
      </c>
      <c r="X154" s="157">
        <f t="shared" si="60"/>
        <v>45797</v>
      </c>
      <c r="Y154" s="385">
        <f t="shared" si="61"/>
        <v>29.555018729397265</v>
      </c>
      <c r="Z154" s="385">
        <f t="shared" si="62"/>
        <v>31.278721143628712</v>
      </c>
      <c r="AA154" s="386">
        <f t="shared" si="63"/>
        <v>34.858176450271429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0.10268624670453312</v>
      </c>
      <c r="AD154" s="231">
        <f>(INDEX(Models!$BJ154:$BT154,,AH154)*(1-AF154)+INDEX(Models!$BJ154:$BT154,,AH154+1)*AF154-ERP_i)*AE154*Ramure*Pc/MaxiM</f>
        <v>0</v>
      </c>
      <c r="AE154" s="305">
        <f t="shared" si="65"/>
        <v>0.7</v>
      </c>
      <c r="AF154" s="177">
        <f t="shared" si="66"/>
        <v>0.74791447000847999</v>
      </c>
      <c r="AG154" s="817">
        <f t="shared" si="74"/>
        <v>0</v>
      </c>
      <c r="AH154" s="176">
        <f t="shared" si="67"/>
        <v>6</v>
      </c>
      <c r="AI154" s="225">
        <f t="shared" si="68"/>
        <v>0.74791447000847999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45798</v>
      </c>
      <c r="B155" s="411">
        <f>'2024'!Wh/'2024'!Env_an*'2025'!Env_an</f>
        <v>32.141943137973492</v>
      </c>
      <c r="C155" s="846"/>
      <c r="D155" s="393">
        <f t="shared" si="50"/>
        <v>34.017264751347014</v>
      </c>
      <c r="E155" s="385">
        <f t="shared" si="72"/>
        <v>34.753337080815953</v>
      </c>
      <c r="F155" s="385">
        <f t="shared" si="51"/>
        <v>34.753337080815953</v>
      </c>
      <c r="G155" s="110">
        <f t="shared" si="73"/>
        <v>0.79806237764452526</v>
      </c>
      <c r="H155" s="414" t="b">
        <f>Wh_hp&gt;='2024'!Maxi_hp</f>
        <v>0</v>
      </c>
      <c r="I155" s="390">
        <f>IF(H155,Wh_hp,'2024'!Maxi_hp)</f>
        <v>42.630970800856602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5.5128524503113119E-2</v>
      </c>
      <c r="M155" s="850"/>
      <c r="N155" s="850"/>
      <c r="O155" s="48">
        <f>IF(t&lt;Tnet,'2024'!Resal+('2024'!Salim-'2024'!Resal)*(1-EXP(('2024'!Tnet-t)/('2024'!Tau_j))),Resal+(Salim-Resal)*(1-EXP((Tnet-t)/(Tau_j))))*Salcycl</f>
        <v>2.1179903609177601E-2</v>
      </c>
      <c r="P155" s="169">
        <f>(INDEX(Models!$BJ155:$BT155,,T155)*(1-R155)+INDEX(Models!$BJ155:$BT155,,T155+1)*R155-ERP_i)*Q155*Ramure*Pc/MaxiM</f>
        <v>0</v>
      </c>
      <c r="Q155" s="305">
        <f t="shared" si="53"/>
        <v>0.7</v>
      </c>
      <c r="R155" s="177">
        <f t="shared" si="54"/>
        <v>0.12838186815336705</v>
      </c>
      <c r="S155" s="817">
        <f t="shared" si="55"/>
        <v>-2</v>
      </c>
      <c r="T155" s="176">
        <f t="shared" si="56"/>
        <v>4</v>
      </c>
      <c r="U155" s="251">
        <f t="shared" si="57"/>
        <v>-1.8716181318466329</v>
      </c>
      <c r="V155" s="383">
        <f t="shared" si="58"/>
        <v>40.274976039893247</v>
      </c>
      <c r="W155" s="402">
        <f t="shared" si="59"/>
        <v>32.141943137973492</v>
      </c>
      <c r="X155" s="157">
        <f t="shared" si="60"/>
        <v>45798</v>
      </c>
      <c r="Y155" s="385">
        <f t="shared" si="61"/>
        <v>29.461006677779885</v>
      </c>
      <c r="Z155" s="385">
        <f t="shared" si="62"/>
        <v>31.179909058305519</v>
      </c>
      <c r="AA155" s="386">
        <f t="shared" si="63"/>
        <v>34.753337080815953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0.10282258691304166</v>
      </c>
      <c r="AD155" s="231">
        <f>(INDEX(Models!$BJ155:$BT155,,AH155)*(1-AF155)+INDEX(Models!$BJ155:$BT155,,AH155+1)*AF155-ERP_i)*AE155*Ramure*Pc/MaxiM</f>
        <v>0</v>
      </c>
      <c r="AE155" s="305">
        <f t="shared" si="65"/>
        <v>0.7</v>
      </c>
      <c r="AF155" s="177">
        <f t="shared" si="66"/>
        <v>0.75224523752942285</v>
      </c>
      <c r="AG155" s="817">
        <f t="shared" si="74"/>
        <v>0</v>
      </c>
      <c r="AH155" s="176">
        <f t="shared" si="67"/>
        <v>6</v>
      </c>
      <c r="AI155" s="225">
        <f t="shared" si="68"/>
        <v>0.75224523752942285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45799</v>
      </c>
      <c r="B156" s="411">
        <f>'2024'!Wh/'2024'!Env_an*'2025'!Env_an</f>
        <v>24.022030863897442</v>
      </c>
      <c r="C156" s="846"/>
      <c r="D156" s="393">
        <f t="shared" si="50"/>
        <v>25.424153064749369</v>
      </c>
      <c r="E156" s="385">
        <f t="shared" si="72"/>
        <v>25.979370190920452</v>
      </c>
      <c r="F156" s="385">
        <f t="shared" si="51"/>
        <v>25.979370190920452</v>
      </c>
      <c r="G156" s="110">
        <f t="shared" si="73"/>
        <v>0.59646966170846183</v>
      </c>
      <c r="H156" s="414" t="b">
        <f>Wh_hp&gt;='2024'!Maxi_hp</f>
        <v>0</v>
      </c>
      <c r="I156" s="390">
        <f>IF(H156,Wh_hp,'2024'!Maxi_hp)</f>
        <v>42.922836576302252</v>
      </c>
      <c r="J156" s="85">
        <f>IF(H156,An,'2024'!An_max)</f>
        <v>2019</v>
      </c>
      <c r="K156" s="197">
        <f t="shared" si="52"/>
        <v>45799</v>
      </c>
      <c r="L156" s="147">
        <f>IF(t&lt;Tvie,1-EXP((T0-t)*PertePVj)+'2024'!Pspv,1-EXP((T0-t)*PertePVj)+Pspv)</f>
        <v>5.5149219613375156E-2</v>
      </c>
      <c r="M156" s="850"/>
      <c r="N156" s="850"/>
      <c r="O156" s="48">
        <f>IF(t&lt;Tnet,'2024'!Resal+('2024'!Salim-'2024'!Resal)*(1-EXP(('2024'!Tnet-t)/('2024'!Tau_j))),Resal+(Salim-Resal)*(1-EXP((Tnet-t)/(Tau_j))))*Salcycl</f>
        <v>2.1371462129021374E-2</v>
      </c>
      <c r="P156" s="169">
        <f>(INDEX(Models!$BJ156:$BT156,,T156)*(1-R156)+INDEX(Models!$BJ156:$BT156,,T156+1)*R156-ERP_i)*Q156*Ramure*Pc/MaxiM</f>
        <v>0</v>
      </c>
      <c r="Q156" s="305">
        <f t="shared" si="53"/>
        <v>0.7</v>
      </c>
      <c r="R156" s="177">
        <f t="shared" si="54"/>
        <v>0.13278246839892249</v>
      </c>
      <c r="S156" s="817">
        <f t="shared" si="55"/>
        <v>-2</v>
      </c>
      <c r="T156" s="176">
        <f t="shared" si="56"/>
        <v>4</v>
      </c>
      <c r="U156" s="251">
        <f t="shared" si="57"/>
        <v>-1.8672175316010775</v>
      </c>
      <c r="V156" s="383">
        <f t="shared" si="58"/>
        <v>40.273684323007117</v>
      </c>
      <c r="W156" s="402">
        <f t="shared" si="59"/>
        <v>24.022030863897442</v>
      </c>
      <c r="X156" s="157">
        <f t="shared" si="60"/>
        <v>45799</v>
      </c>
      <c r="Y156" s="385">
        <f t="shared" si="61"/>
        <v>22.019326034731527</v>
      </c>
      <c r="Z156" s="385">
        <f t="shared" si="62"/>
        <v>23.304554001343373</v>
      </c>
      <c r="AA156" s="386">
        <f t="shared" si="63"/>
        <v>25.979370190920452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0.10295923919325428</v>
      </c>
      <c r="AD156" s="231">
        <f>(INDEX(Models!$BJ156:$BT156,,AH156)*(1-AF156)+INDEX(Models!$BJ156:$BT156,,AH156+1)*AF156-ERP_i)*AE156*Ramure*Pc/MaxiM</f>
        <v>0</v>
      </c>
      <c r="AE156" s="305">
        <f t="shared" si="65"/>
        <v>0.7</v>
      </c>
      <c r="AF156" s="177">
        <f t="shared" si="66"/>
        <v>0.7566458377749784</v>
      </c>
      <c r="AG156" s="817">
        <f t="shared" si="74"/>
        <v>0</v>
      </c>
      <c r="AH156" s="176">
        <f t="shared" si="67"/>
        <v>6</v>
      </c>
      <c r="AI156" s="225">
        <f t="shared" si="68"/>
        <v>0.7566458377749784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45800</v>
      </c>
      <c r="B157" s="411">
        <f>'2024'!Wh/'2024'!Env_an*'2025'!Env_an</f>
        <v>12.504764558383441</v>
      </c>
      <c r="C157" s="846"/>
      <c r="D157" s="393">
        <f t="shared" si="50"/>
        <v>13.234934775311183</v>
      </c>
      <c r="E157" s="385">
        <f t="shared" si="72"/>
        <v>13.526610052219137</v>
      </c>
      <c r="F157" s="385">
        <f t="shared" si="51"/>
        <v>13.526610052219137</v>
      </c>
      <c r="G157" s="110">
        <f t="shared" si="73"/>
        <v>0.31052400158052912</v>
      </c>
      <c r="H157" s="414" t="b">
        <f>Wh_hp&gt;='2024'!Maxi_hp</f>
        <v>0</v>
      </c>
      <c r="I157" s="390">
        <f>IF(H157,Wh_hp,'2024'!Maxi_hp)</f>
        <v>39.13669865982753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5.5169914270361331E-2</v>
      </c>
      <c r="M157" s="850"/>
      <c r="N157" s="850"/>
      <c r="O157" s="48">
        <f>IF(t&lt;Tnet,'2024'!Resal+('2024'!Salim-'2024'!Resal)*(1-EXP(('2024'!Tnet-t)/('2024'!Tau_j))),Resal+(Salim-Resal)*(1-EXP((Tnet-t)/(Tau_j))))*Salcycl</f>
        <v>2.1563072771518515E-2</v>
      </c>
      <c r="P157" s="169">
        <f>(INDEX(Models!$BJ157:$BT157,,T157)*(1-R157)+INDEX(Models!$BJ157:$BT157,,T157+1)*R157-ERP_i)*Q157*Ramure*Pc/MaxiM</f>
        <v>0</v>
      </c>
      <c r="Q157" s="305">
        <f t="shared" si="53"/>
        <v>0.7</v>
      </c>
      <c r="R157" s="177">
        <f t="shared" si="54"/>
        <v>0.13725079973069487</v>
      </c>
      <c r="S157" s="817">
        <f t="shared" si="55"/>
        <v>-2</v>
      </c>
      <c r="T157" s="176">
        <f t="shared" si="56"/>
        <v>4</v>
      </c>
      <c r="U157" s="251">
        <f t="shared" si="57"/>
        <v>-1.8627492002693051</v>
      </c>
      <c r="V157" s="383">
        <f t="shared" si="58"/>
        <v>40.269880894023402</v>
      </c>
      <c r="W157" s="402">
        <f t="shared" si="59"/>
        <v>12.504764558383441</v>
      </c>
      <c r="X157" s="157">
        <f t="shared" si="60"/>
        <v>45800</v>
      </c>
      <c r="Y157" s="385">
        <f t="shared" si="61"/>
        <v>11.462743804039365</v>
      </c>
      <c r="Z157" s="385">
        <f t="shared" si="62"/>
        <v>12.132069011315762</v>
      </c>
      <c r="AA157" s="386">
        <f t="shared" si="63"/>
        <v>13.526610052219137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0.10309612205273784</v>
      </c>
      <c r="AD157" s="231">
        <f>(INDEX(Models!$BJ157:$BT157,,AH157)*(1-AF157)+INDEX(Models!$BJ157:$BT157,,AH157+1)*AF157-ERP_i)*AE157*Ramure*Pc/MaxiM</f>
        <v>0</v>
      </c>
      <c r="AE157" s="305">
        <f t="shared" si="65"/>
        <v>0.7</v>
      </c>
      <c r="AF157" s="177">
        <f t="shared" si="66"/>
        <v>0.76111416910675078</v>
      </c>
      <c r="AG157" s="817">
        <f t="shared" si="74"/>
        <v>0</v>
      </c>
      <c r="AH157" s="176">
        <f t="shared" si="67"/>
        <v>6</v>
      </c>
      <c r="AI157" s="225">
        <f t="shared" si="68"/>
        <v>0.76111416910675078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45801</v>
      </c>
      <c r="B158" s="411">
        <f>'2024'!Wh/'2024'!Env_an*'2025'!Env_an</f>
        <v>11.192300432043909</v>
      </c>
      <c r="C158" s="846"/>
      <c r="D158" s="393">
        <f t="shared" si="50"/>
        <v>11.846093542706781</v>
      </c>
      <c r="E158" s="385">
        <f t="shared" si="72"/>
        <v>12.109533029431791</v>
      </c>
      <c r="F158" s="385">
        <f t="shared" si="51"/>
        <v>12.109533029431791</v>
      </c>
      <c r="G158" s="110">
        <f t="shared" si="73"/>
        <v>0.27797245681638089</v>
      </c>
      <c r="H158" s="414" t="b">
        <f>Wh_hp&gt;='2024'!Maxi_hp</f>
        <v>0</v>
      </c>
      <c r="I158" s="390">
        <f>IF(H158,Wh_hp,'2024'!Maxi_hp)</f>
        <v>19.559062636800455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5.5190608474081193E-2</v>
      </c>
      <c r="M158" s="850"/>
      <c r="N158" s="850"/>
      <c r="O158" s="48">
        <f>IF(t&lt;Tnet,'2024'!Resal+('2024'!Salim-'2024'!Resal)*(1-EXP(('2024'!Tnet-t)/('2024'!Tau_j))),Resal+(Salim-Resal)*(1-EXP((Tnet-t)/(Tau_j))))*Salcycl</f>
        <v>2.1754718871878045E-2</v>
      </c>
      <c r="P158" s="169">
        <f>(INDEX(Models!$BJ158:$BT158,,T158)*(1-R158)+INDEX(Models!$BJ158:$BT158,,T158+1)*R158-ERP_i)*Q158*Ramure*Pc/MaxiM</f>
        <v>0</v>
      </c>
      <c r="Q158" s="305">
        <f t="shared" si="53"/>
        <v>0.7</v>
      </c>
      <c r="R158" s="177">
        <f t="shared" si="54"/>
        <v>0.14178457926152443</v>
      </c>
      <c r="S158" s="817">
        <f t="shared" si="55"/>
        <v>-2</v>
      </c>
      <c r="T158" s="176">
        <f t="shared" si="56"/>
        <v>4</v>
      </c>
      <c r="U158" s="251">
        <f t="shared" si="57"/>
        <v>-1.8582154207384756</v>
      </c>
      <c r="V158" s="383">
        <f t="shared" si="58"/>
        <v>40.264062706893156</v>
      </c>
      <c r="W158" s="402">
        <f t="shared" si="59"/>
        <v>11.192300432043909</v>
      </c>
      <c r="X158" s="157">
        <f t="shared" si="60"/>
        <v>45801</v>
      </c>
      <c r="Y158" s="385">
        <f t="shared" si="61"/>
        <v>10.260089339188804</v>
      </c>
      <c r="Z158" s="385">
        <f t="shared" si="62"/>
        <v>10.859427765232306</v>
      </c>
      <c r="AA158" s="386">
        <f t="shared" si="63"/>
        <v>12.109533029431791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0.10323315202668412</v>
      </c>
      <c r="AD158" s="231">
        <f>(INDEX(Models!$BJ158:$BT158,,AH158)*(1-AF158)+INDEX(Models!$BJ158:$BT158,,AH158+1)*AF158-ERP_i)*AE158*Ramure*Pc/MaxiM</f>
        <v>0</v>
      </c>
      <c r="AE158" s="305">
        <f t="shared" si="65"/>
        <v>0.7</v>
      </c>
      <c r="AF158" s="177">
        <f t="shared" si="66"/>
        <v>0.76564794863758023</v>
      </c>
      <c r="AG158" s="817">
        <f t="shared" si="74"/>
        <v>0</v>
      </c>
      <c r="AH158" s="176">
        <f t="shared" si="67"/>
        <v>6</v>
      </c>
      <c r="AI158" s="225">
        <f t="shared" si="68"/>
        <v>0.76564794863758023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45802</v>
      </c>
      <c r="B159" s="411">
        <f>'2024'!Wh/'2024'!Env_an*'2025'!Env_an</f>
        <v>27.569758728646967</v>
      </c>
      <c r="C159" s="846"/>
      <c r="D159" s="393">
        <f t="shared" si="50"/>
        <v>29.180872711074056</v>
      </c>
      <c r="E159" s="385">
        <f t="shared" si="72"/>
        <v>29.835657473081973</v>
      </c>
      <c r="F159" s="385">
        <f t="shared" si="51"/>
        <v>29.835657473081973</v>
      </c>
      <c r="G159" s="110">
        <f t="shared" si="73"/>
        <v>0.68484850226974292</v>
      </c>
      <c r="H159" s="414" t="b">
        <f>Wh_hp&gt;='2024'!Maxi_hp</f>
        <v>0</v>
      </c>
      <c r="I159" s="390">
        <f>IF(H159,Wh_hp,'2024'!Maxi_hp)</f>
        <v>41.574102486699203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5.5211302224545067E-2</v>
      </c>
      <c r="M159" s="850"/>
      <c r="N159" s="850"/>
      <c r="O159" s="48">
        <f>IF(t&lt;Tnet,'2024'!Resal+('2024'!Salim-'2024'!Resal)*(1-EXP(('2024'!Tnet-t)/('2024'!Tau_j))),Resal+(Salim-Resal)*(1-EXP((Tnet-t)/(Tau_j))))*Salcycl</f>
        <v>2.194638286750239E-2</v>
      </c>
      <c r="P159" s="169">
        <f>(INDEX(Models!$BJ159:$BT159,,T159)*(1-R159)+INDEX(Models!$BJ159:$BT159,,T159+1)*R159-ERP_i)*Q159*Ramure*Pc/MaxiM</f>
        <v>0</v>
      </c>
      <c r="Q159" s="305">
        <f t="shared" si="53"/>
        <v>0.7</v>
      </c>
      <c r="R159" s="177">
        <f t="shared" si="54"/>
        <v>0.14638134467924147</v>
      </c>
      <c r="S159" s="817">
        <f t="shared" si="55"/>
        <v>-2</v>
      </c>
      <c r="T159" s="176">
        <f t="shared" si="56"/>
        <v>4</v>
      </c>
      <c r="U159" s="251">
        <f t="shared" si="57"/>
        <v>-1.8536186553207585</v>
      </c>
      <c r="V159" s="383">
        <f t="shared" si="58"/>
        <v>40.256726323083932</v>
      </c>
      <c r="W159" s="402">
        <f t="shared" si="59"/>
        <v>27.569758728646967</v>
      </c>
      <c r="X159" s="157">
        <f t="shared" si="60"/>
        <v>45802</v>
      </c>
      <c r="Y159" s="385">
        <f t="shared" si="61"/>
        <v>25.274551017469292</v>
      </c>
      <c r="Z159" s="385">
        <f t="shared" si="62"/>
        <v>26.751538282559153</v>
      </c>
      <c r="AA159" s="386">
        <f t="shared" si="63"/>
        <v>29.835657473081973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0.10337024392056193</v>
      </c>
      <c r="AD159" s="231">
        <f>(INDEX(Models!$BJ159:$BT159,,AH159)*(1-AF159)+INDEX(Models!$BJ159:$BT159,,AH159+1)*AF159-ERP_i)*AE159*Ramure*Pc/MaxiM</f>
        <v>0</v>
      </c>
      <c r="AE159" s="305">
        <f t="shared" si="65"/>
        <v>0.7</v>
      </c>
      <c r="AF159" s="177">
        <f t="shared" si="66"/>
        <v>0.77024471405529737</v>
      </c>
      <c r="AG159" s="817">
        <f t="shared" si="74"/>
        <v>0</v>
      </c>
      <c r="AH159" s="176">
        <f t="shared" si="67"/>
        <v>6</v>
      </c>
      <c r="AI159" s="225">
        <f t="shared" si="68"/>
        <v>0.77024471405529737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45803</v>
      </c>
      <c r="B160" s="411">
        <f>'2024'!Wh/'2024'!Env_an*'2025'!Env_an</f>
        <v>14.76170107823145</v>
      </c>
      <c r="C160" s="846"/>
      <c r="D160" s="393">
        <f t="shared" si="50"/>
        <v>15.624683528930285</v>
      </c>
      <c r="E160" s="385">
        <f t="shared" si="72"/>
        <v>15.978414407576402</v>
      </c>
      <c r="F160" s="385">
        <f t="shared" si="51"/>
        <v>15.978414407576402</v>
      </c>
      <c r="G160" s="110">
        <f t="shared" si="73"/>
        <v>0.36676520926742368</v>
      </c>
      <c r="H160" s="414" t="b">
        <f>Wh_hp&gt;='2024'!Maxi_hp</f>
        <v>0</v>
      </c>
      <c r="I160" s="390">
        <f>IF(H160,Wh_hp,'2024'!Maxi_hp)</f>
        <v>43.15188461541296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5.5231995521762611E-2</v>
      </c>
      <c r="M160" s="850"/>
      <c r="N160" s="850"/>
      <c r="O160" s="48">
        <f>IF(t&lt;Tnet,'2024'!Resal+('2024'!Salim-'2024'!Resal)*(1-EXP(('2024'!Tnet-t)/('2024'!Tau_j))),Resal+(Salim-Resal)*(1-EXP((Tnet-t)/(Tau_j))))*Salcycl</f>
        <v>2.2138046343221085E-2</v>
      </c>
      <c r="P160" s="169">
        <f>(INDEX(Models!$BJ160:$BT160,,T160)*(1-R160)+INDEX(Models!$BJ160:$BT160,,T160+1)*R160-ERP_i)*Q160*Ramure*Pc/MaxiM</f>
        <v>0</v>
      </c>
      <c r="Q160" s="305">
        <f t="shared" si="53"/>
        <v>0.7</v>
      </c>
      <c r="R160" s="177">
        <f t="shared" si="54"/>
        <v>0.15103845702007379</v>
      </c>
      <c r="S160" s="817">
        <f t="shared" si="55"/>
        <v>-2</v>
      </c>
      <c r="T160" s="176">
        <f t="shared" si="56"/>
        <v>4</v>
      </c>
      <c r="U160" s="251">
        <f t="shared" si="57"/>
        <v>-1.8489615429799262</v>
      </c>
      <c r="V160" s="383">
        <f t="shared" si="58"/>
        <v>40.248367907404443</v>
      </c>
      <c r="W160" s="402">
        <f t="shared" si="59"/>
        <v>14.76170107823145</v>
      </c>
      <c r="X160" s="157">
        <f t="shared" si="60"/>
        <v>45803</v>
      </c>
      <c r="Y160" s="385">
        <f t="shared" si="61"/>
        <v>13.533359226558064</v>
      </c>
      <c r="Z160" s="385">
        <f t="shared" si="62"/>
        <v>14.324531697103851</v>
      </c>
      <c r="AA160" s="386">
        <f t="shared" si="63"/>
        <v>15.978414407576402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0.10350731106888428</v>
      </c>
      <c r="AD160" s="231">
        <f>(INDEX(Models!$BJ160:$BT160,,AH160)*(1-AF160)+INDEX(Models!$BJ160:$BT160,,AH160+1)*AF160-ERP_i)*AE160*Ramure*Pc/MaxiM</f>
        <v>0</v>
      </c>
      <c r="AE160" s="305">
        <f t="shared" si="65"/>
        <v>0.7</v>
      </c>
      <c r="AF160" s="177">
        <f t="shared" si="66"/>
        <v>0.7749018263961297</v>
      </c>
      <c r="AG160" s="817">
        <f t="shared" si="74"/>
        <v>0</v>
      </c>
      <c r="AH160" s="176">
        <f t="shared" si="67"/>
        <v>6</v>
      </c>
      <c r="AI160" s="225">
        <f t="shared" si="68"/>
        <v>0.7749018263961297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45804</v>
      </c>
      <c r="B161" s="411">
        <f>'2024'!Wh/'2024'!Env_an*'2025'!Env_an</f>
        <v>29.280145491237352</v>
      </c>
      <c r="C161" s="846"/>
      <c r="D161" s="393">
        <f t="shared" si="50"/>
        <v>30.992568203859246</v>
      </c>
      <c r="E161" s="385">
        <f t="shared" si="72"/>
        <v>31.700428957965595</v>
      </c>
      <c r="F161" s="385">
        <f t="shared" si="51"/>
        <v>31.700428957965595</v>
      </c>
      <c r="G161" s="110">
        <f t="shared" si="73"/>
        <v>0.72764715506818844</v>
      </c>
      <c r="H161" s="414" t="b">
        <f>Wh_hp&gt;='2024'!Maxi_hp</f>
        <v>0</v>
      </c>
      <c r="I161" s="390">
        <f>IF(H161,Wh_hp,'2024'!Maxi_hp)</f>
        <v>43.072441964376736</v>
      </c>
      <c r="J161" s="85">
        <f>IF(H161,An,'2024'!An_max)</f>
        <v>2021</v>
      </c>
      <c r="K161" s="197">
        <f t="shared" si="52"/>
        <v>45804</v>
      </c>
      <c r="L161" s="147">
        <f>IF(t&lt;Tvie,1-EXP((T0-t)*PertePVj)+'2024'!Pspv,1-EXP((T0-t)*PertePVj)+Pspv)</f>
        <v>5.5252688365743818E-2</v>
      </c>
      <c r="M161" s="850"/>
      <c r="N161" s="850"/>
      <c r="O161" s="48">
        <f>IF(t&lt;Tnet,'2024'!Resal+('2024'!Salim-'2024'!Resal)*(1-EXP(('2024'!Tnet-t)/('2024'!Tau_j))),Resal+(Salim-Resal)*(1-EXP((Tnet-t)/(Tau_j))))*Salcycl</f>
        <v>2.2329690082268705E-2</v>
      </c>
      <c r="P161" s="169">
        <f>(INDEX(Models!$BJ161:$BT161,,T161)*(1-R161)+INDEX(Models!$BJ161:$BT161,,T161+1)*R161-ERP_i)*Q161*Ramure*Pc/MaxiM</f>
        <v>0</v>
      </c>
      <c r="Q161" s="305">
        <f t="shared" si="53"/>
        <v>0.7</v>
      </c>
      <c r="R161" s="177">
        <f t="shared" si="54"/>
        <v>0.15575310441104961</v>
      </c>
      <c r="S161" s="817">
        <f t="shared" si="55"/>
        <v>-2</v>
      </c>
      <c r="T161" s="176">
        <f t="shared" si="56"/>
        <v>4</v>
      </c>
      <c r="U161" s="251">
        <f t="shared" si="57"/>
        <v>-1.8442468955889504</v>
      </c>
      <c r="V161" s="383">
        <f t="shared" si="58"/>
        <v>40.239483226583197</v>
      </c>
      <c r="W161" s="402">
        <f t="shared" si="59"/>
        <v>29.280145491237352</v>
      </c>
      <c r="X161" s="157">
        <f t="shared" si="60"/>
        <v>45804</v>
      </c>
      <c r="Y161" s="385">
        <f t="shared" si="61"/>
        <v>26.844863803916489</v>
      </c>
      <c r="Z161" s="385">
        <f t="shared" si="62"/>
        <v>28.41486127912799</v>
      </c>
      <c r="AA161" s="386">
        <f t="shared" si="63"/>
        <v>31.700428957965595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0.10364426560896796</v>
      </c>
      <c r="AD161" s="231">
        <f>(INDEX(Models!$BJ161:$BT161,,AH161)*(1-AF161)+INDEX(Models!$BJ161:$BT161,,AH161+1)*AF161-ERP_i)*AE161*Ramure*Pc/MaxiM</f>
        <v>0</v>
      </c>
      <c r="AE161" s="305">
        <f t="shared" si="65"/>
        <v>0.7</v>
      </c>
      <c r="AF161" s="177">
        <f t="shared" si="66"/>
        <v>0.77961647378710552</v>
      </c>
      <c r="AG161" s="817">
        <f t="shared" si="74"/>
        <v>0</v>
      </c>
      <c r="AH161" s="176">
        <f t="shared" si="67"/>
        <v>6</v>
      </c>
      <c r="AI161" s="225">
        <f t="shared" si="68"/>
        <v>0.77961647378710552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45805</v>
      </c>
      <c r="B162" s="411">
        <f>'2024'!Wh/'2024'!Env_an*'2025'!Env_an</f>
        <v>37.238621676215978</v>
      </c>
      <c r="C162" s="846"/>
      <c r="D162" s="393">
        <f t="shared" si="50"/>
        <v>39.417351980655688</v>
      </c>
      <c r="E162" s="385">
        <f t="shared" si="72"/>
        <v>40.325535220007588</v>
      </c>
      <c r="F162" s="385">
        <f t="shared" si="51"/>
        <v>40.325535220007588</v>
      </c>
      <c r="G162" s="110">
        <f t="shared" si="73"/>
        <v>0.92563003339562833</v>
      </c>
      <c r="H162" s="414" t="b">
        <f>Wh_hp&gt;='2024'!Maxi_hp</f>
        <v>0</v>
      </c>
      <c r="I162" s="390">
        <f>IF(H162,Wh_hp,'2024'!Maxi_hp)</f>
        <v>41.82650557784492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5.527338075649868E-2</v>
      </c>
      <c r="M162" s="850"/>
      <c r="N162" s="850"/>
      <c r="O162" s="48">
        <f>IF(t&lt;Tnet,'2024'!Resal+('2024'!Salim-'2024'!Resal)*(1-EXP(('2024'!Tnet-t)/('2024'!Tau_j))),Resal+(Salim-Resal)*(1-EXP((Tnet-t)/(Tau_j))))*Salcycl</f>
        <v>2.2521294122868799E-2</v>
      </c>
      <c r="P162" s="169">
        <f>(INDEX(Models!$BJ162:$BT162,,T162)*(1-R162)+INDEX(Models!$BJ162:$BT162,,T162+1)*R162-ERP_i)*Q162*Ramure*Pc/MaxiM</f>
        <v>0</v>
      </c>
      <c r="Q162" s="305">
        <f t="shared" si="53"/>
        <v>0.7</v>
      </c>
      <c r="R162" s="177">
        <f t="shared" si="54"/>
        <v>0.16052230679259205</v>
      </c>
      <c r="S162" s="817">
        <f t="shared" si="55"/>
        <v>-2</v>
      </c>
      <c r="T162" s="176">
        <f t="shared" si="56"/>
        <v>4</v>
      </c>
      <c r="U162" s="251">
        <f t="shared" si="57"/>
        <v>-1.8394776932074079</v>
      </c>
      <c r="V162" s="383">
        <f t="shared" si="58"/>
        <v>40.230567648726698</v>
      </c>
      <c r="W162" s="402">
        <f t="shared" si="59"/>
        <v>37.238621676215978</v>
      </c>
      <c r="X162" s="157">
        <f t="shared" si="60"/>
        <v>45805</v>
      </c>
      <c r="Y162" s="385">
        <f t="shared" si="61"/>
        <v>34.142901917417646</v>
      </c>
      <c r="Z162" s="385">
        <f t="shared" si="62"/>
        <v>36.140510092494161</v>
      </c>
      <c r="AA162" s="386">
        <f t="shared" si="63"/>
        <v>40.325535220007588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0.10378101876840104</v>
      </c>
      <c r="AD162" s="231">
        <f>(INDEX(Models!$BJ162:$BT162,,AH162)*(1-AF162)+INDEX(Models!$BJ162:$BT162,,AH162+1)*AF162-ERP_i)*AE162*Ramure*Pc/MaxiM</f>
        <v>0</v>
      </c>
      <c r="AE162" s="305">
        <f t="shared" si="65"/>
        <v>0.7</v>
      </c>
      <c r="AF162" s="177">
        <f t="shared" si="66"/>
        <v>0.78438567616864796</v>
      </c>
      <c r="AG162" s="817">
        <f t="shared" si="74"/>
        <v>0</v>
      </c>
      <c r="AH162" s="176">
        <f t="shared" si="67"/>
        <v>6</v>
      </c>
      <c r="AI162" s="225">
        <f t="shared" si="68"/>
        <v>0.78438567616864796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45806</v>
      </c>
      <c r="B163" s="411">
        <f>'2024'!Wh/'2024'!Env_an*'2025'!Env_an</f>
        <v>40.412071318474318</v>
      </c>
      <c r="C163" s="846"/>
      <c r="D163" s="393">
        <f t="shared" si="50"/>
        <v>42.777408451027974</v>
      </c>
      <c r="E163" s="385">
        <f t="shared" si="72"/>
        <v>43.771585370686971</v>
      </c>
      <c r="F163" s="385">
        <f t="shared" si="51"/>
        <v>43.771585370686971</v>
      </c>
      <c r="G163" s="110">
        <f t="shared" si="73"/>
        <v>1.0047588599605872</v>
      </c>
      <c r="H163" s="414" t="b">
        <f>Wh_hp&gt;='2024'!Maxi_hp</f>
        <v>1</v>
      </c>
      <c r="I163" s="390">
        <f>IF(H163,Wh_hp,'2024'!Maxi_hp)</f>
        <v>43.771585370686971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5.5294072694037077E-2</v>
      </c>
      <c r="M163" s="850"/>
      <c r="N163" s="850"/>
      <c r="O163" s="48">
        <f>IF(t&lt;Tnet,'2024'!Resal+('2024'!Salim-'2024'!Resal)*(1-EXP(('2024'!Tnet-t)/('2024'!Tau_j))),Resal+(Salim-Resal)*(1-EXP((Tnet-t)/(Tau_j))))*Salcycl</f>
        <v>2.271283782023539E-2</v>
      </c>
      <c r="P163" s="169">
        <f>(INDEX(Models!$BJ163:$BT163,,T163)*(1-R163)+INDEX(Models!$BJ163:$BT163,,T163+1)*R163-ERP_i)*Q163*Ramure*Pc/MaxiM</f>
        <v>0</v>
      </c>
      <c r="Q163" s="305">
        <f t="shared" si="53"/>
        <v>0.7</v>
      </c>
      <c r="R163" s="177">
        <f t="shared" si="54"/>
        <v>0.16534292162381403</v>
      </c>
      <c r="S163" s="817">
        <f t="shared" si="55"/>
        <v>-2</v>
      </c>
      <c r="T163" s="176">
        <f t="shared" si="56"/>
        <v>4</v>
      </c>
      <c r="U163" s="251">
        <f t="shared" si="57"/>
        <v>-1.834657078376186</v>
      </c>
      <c r="V163" s="383">
        <f t="shared" si="58"/>
        <v>40.220666797662794</v>
      </c>
      <c r="W163" s="402">
        <f t="shared" si="59"/>
        <v>40.412071318474318</v>
      </c>
      <c r="X163" s="157">
        <f t="shared" si="60"/>
        <v>45806</v>
      </c>
      <c r="Y163" s="385">
        <f t="shared" si="61"/>
        <v>37.054155687093726</v>
      </c>
      <c r="Z163" s="385">
        <f t="shared" si="62"/>
        <v>39.222952472376051</v>
      </c>
      <c r="AA163" s="386">
        <f t="shared" si="63"/>
        <v>43.771585370686971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0.1039174811647799</v>
      </c>
      <c r="AD163" s="231">
        <f>(INDEX(Models!$BJ163:$BT163,,AH163)*(1-AF163)+INDEX(Models!$BJ163:$BT163,,AH163+1)*AF163-ERP_i)*AE163*Ramure*Pc/MaxiM</f>
        <v>0</v>
      </c>
      <c r="AE163" s="305">
        <f t="shared" si="65"/>
        <v>0.7</v>
      </c>
      <c r="AF163" s="177">
        <f t="shared" si="66"/>
        <v>0.78920629099986994</v>
      </c>
      <c r="AG163" s="817">
        <f t="shared" si="74"/>
        <v>0</v>
      </c>
      <c r="AH163" s="176">
        <f t="shared" si="67"/>
        <v>6</v>
      </c>
      <c r="AI163" s="225">
        <f t="shared" si="68"/>
        <v>0.78920629099986994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45807</v>
      </c>
      <c r="B164" s="411">
        <f>'2024'!Wh/'2024'!Env_an*'2025'!Env_an</f>
        <v>33.467096414355296</v>
      </c>
      <c r="C164" s="846"/>
      <c r="D164" s="393">
        <f t="shared" si="50"/>
        <v>35.426716905602532</v>
      </c>
      <c r="E164" s="385">
        <f t="shared" si="72"/>
        <v>36.257161813807407</v>
      </c>
      <c r="F164" s="385">
        <f t="shared" si="51"/>
        <v>36.257161813807407</v>
      </c>
      <c r="G164" s="110">
        <f t="shared" si="73"/>
        <v>0.8323375255839105</v>
      </c>
      <c r="H164" s="414" t="b">
        <f>Wh_hp&gt;='2024'!Maxi_hp</f>
        <v>0</v>
      </c>
      <c r="I164" s="390">
        <f>IF(H164,Wh_hp,'2024'!Maxi_hp)</f>
        <v>42.658493741310721</v>
      </c>
      <c r="J164" s="85">
        <f>IF(H164,An,'2024'!An_max)</f>
        <v>2019</v>
      </c>
      <c r="K164" s="197">
        <f t="shared" si="52"/>
        <v>45807</v>
      </c>
      <c r="L164" s="147">
        <f>IF(t&lt;Tvie,1-EXP((T0-t)*PertePVj)+'2024'!Pspv,1-EXP((T0-t)*PertePVj)+Pspv)</f>
        <v>5.5314764178368891E-2</v>
      </c>
      <c r="M164" s="850"/>
      <c r="N164" s="850"/>
      <c r="O164" s="48">
        <f>IF(t&lt;Tnet,'2024'!Resal+('2024'!Salim-'2024'!Resal)*(1-EXP(('2024'!Tnet-t)/('2024'!Tau_j))),Resal+(Salim-Resal)*(1-EXP((Tnet-t)/(Tau_j))))*Salcycl</f>
        <v>2.2904299913751709E-2</v>
      </c>
      <c r="P164" s="169">
        <f>(INDEX(Models!$BJ164:$BT164,,T164)*(1-R164)+INDEX(Models!$BJ164:$BT164,,T164+1)*R164-ERP_i)*Q164*Ramure*Pc/MaxiM</f>
        <v>0</v>
      </c>
      <c r="Q164" s="305">
        <f t="shared" si="53"/>
        <v>0.7</v>
      </c>
      <c r="R164" s="177">
        <f t="shared" si="54"/>
        <v>0.17021165056390153</v>
      </c>
      <c r="S164" s="817">
        <f t="shared" si="55"/>
        <v>-2</v>
      </c>
      <c r="T164" s="176">
        <f t="shared" si="56"/>
        <v>4</v>
      </c>
      <c r="U164" s="251">
        <f t="shared" si="57"/>
        <v>-1.8297883494360985</v>
      </c>
      <c r="V164" s="383">
        <f t="shared" si="58"/>
        <v>40.208563696412817</v>
      </c>
      <c r="W164" s="402">
        <f t="shared" si="59"/>
        <v>33.467096414355296</v>
      </c>
      <c r="X164" s="157">
        <f t="shared" si="60"/>
        <v>45807</v>
      </c>
      <c r="Y164" s="385">
        <f t="shared" si="61"/>
        <v>30.687603867915637</v>
      </c>
      <c r="Z164" s="385">
        <f t="shared" si="62"/>
        <v>32.484474938602574</v>
      </c>
      <c r="AA164" s="386">
        <f t="shared" si="63"/>
        <v>36.257161813807407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0.10405356311613237</v>
      </c>
      <c r="AD164" s="231">
        <f>(INDEX(Models!$BJ164:$BT164,,AH164)*(1-AF164)+INDEX(Models!$BJ164:$BT164,,AH164+1)*AF164-ERP_i)*AE164*Ramure*Pc/MaxiM</f>
        <v>0</v>
      </c>
      <c r="AE164" s="305">
        <f t="shared" si="65"/>
        <v>0.7</v>
      </c>
      <c r="AF164" s="177">
        <f t="shared" si="66"/>
        <v>0.79407501993995744</v>
      </c>
      <c r="AG164" s="817">
        <f t="shared" si="74"/>
        <v>0</v>
      </c>
      <c r="AH164" s="176">
        <f t="shared" si="67"/>
        <v>6</v>
      </c>
      <c r="AI164" s="225">
        <f t="shared" si="68"/>
        <v>0.79407501993995744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45808</v>
      </c>
      <c r="B165" s="411">
        <f>'2024'!Wh/'2024'!Env_an*'2025'!Env_an</f>
        <v>36.620856319707599</v>
      </c>
      <c r="C165" s="846"/>
      <c r="D165" s="393">
        <f t="shared" si="50"/>
        <v>38.765990024352227</v>
      </c>
      <c r="E165" s="385">
        <f t="shared" si="72"/>
        <v>39.682483106542961</v>
      </c>
      <c r="F165" s="385">
        <f t="shared" si="51"/>
        <v>39.682483106542961</v>
      </c>
      <c r="G165" s="110">
        <f t="shared" si="73"/>
        <v>0.91109441255163215</v>
      </c>
      <c r="H165" s="414" t="b">
        <f>Wh_hp&gt;='2024'!Maxi_hp</f>
        <v>0</v>
      </c>
      <c r="I165" s="390">
        <f>IF(H165,Wh_hp,'2024'!Maxi_hp)</f>
        <v>43.393408345276015</v>
      </c>
      <c r="J165" s="85">
        <f>IF(H165,An,'2024'!An_max)</f>
        <v>2019</v>
      </c>
      <c r="K165" s="197">
        <f t="shared" si="52"/>
        <v>45808</v>
      </c>
      <c r="L165" s="147">
        <f>IF(t&lt;Tvie,1-EXP((T0-t)*PertePVj)+'2024'!Pspv,1-EXP((T0-t)*PertePVj)+Pspv)</f>
        <v>5.5335455209504225E-2</v>
      </c>
      <c r="M165" s="850"/>
      <c r="N165" s="850"/>
      <c r="O165" s="48">
        <f>IF(t&lt;Tnet,'2024'!Resal+('2024'!Salim-'2024'!Resal)*(1-EXP(('2024'!Tnet-t)/('2024'!Tau_j))),Resal+(Salim-Resal)*(1-EXP((Tnet-t)/(Tau_j))))*Salcycl</f>
        <v>2.3095658599036069E-2</v>
      </c>
      <c r="P165" s="169">
        <f>(INDEX(Models!$BJ165:$BT165,,T165)*(1-R165)+INDEX(Models!$BJ165:$BT165,,T165+1)*R165-ERP_i)*Q165*Ramure*Pc/MaxiM</f>
        <v>0</v>
      </c>
      <c r="Q165" s="305">
        <f t="shared" si="53"/>
        <v>0.7</v>
      </c>
      <c r="R165" s="177">
        <f t="shared" si="54"/>
        <v>0.17512504711352816</v>
      </c>
      <c r="S165" s="817">
        <f t="shared" si="55"/>
        <v>-2</v>
      </c>
      <c r="T165" s="176">
        <f t="shared" si="56"/>
        <v>4</v>
      </c>
      <c r="U165" s="251">
        <f t="shared" si="57"/>
        <v>-1.8248749528864718</v>
      </c>
      <c r="V165" s="383">
        <f t="shared" si="58"/>
        <v>40.194359459571679</v>
      </c>
      <c r="W165" s="402">
        <f t="shared" si="59"/>
        <v>36.620856319707599</v>
      </c>
      <c r="X165" s="157">
        <f t="shared" si="60"/>
        <v>45808</v>
      </c>
      <c r="Y165" s="385">
        <f t="shared" si="61"/>
        <v>33.580933283981032</v>
      </c>
      <c r="Z165" s="385">
        <f t="shared" si="62"/>
        <v>35.547997931295804</v>
      </c>
      <c r="AA165" s="386">
        <f t="shared" si="63"/>
        <v>39.682483106542961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0.1041891749603102</v>
      </c>
      <c r="AD165" s="231">
        <f>(INDEX(Models!$BJ165:$BT165,,AH165)*(1-AF165)+INDEX(Models!$BJ165:$BT165,,AH165+1)*AF165-ERP_i)*AE165*Ramure*Pc/MaxiM</f>
        <v>0</v>
      </c>
      <c r="AE165" s="305">
        <f t="shared" si="65"/>
        <v>0.7</v>
      </c>
      <c r="AF165" s="177">
        <f t="shared" si="66"/>
        <v>0.79898841648958419</v>
      </c>
      <c r="AG165" s="817">
        <f t="shared" si="74"/>
        <v>0</v>
      </c>
      <c r="AH165" s="176">
        <f t="shared" si="67"/>
        <v>6</v>
      </c>
      <c r="AI165" s="225">
        <f t="shared" si="68"/>
        <v>0.79898841648958419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45809</v>
      </c>
      <c r="B166" s="411">
        <f>'2024'!Wh/'2024'!Env_an*'2025'!Env_an</f>
        <v>37.451967237527789</v>
      </c>
      <c r="C166" s="846"/>
      <c r="D166" s="393">
        <f t="shared" si="50"/>
        <v>39.646653149241793</v>
      </c>
      <c r="E166" s="385">
        <f t="shared" si="72"/>
        <v>40.59191261840823</v>
      </c>
      <c r="F166" s="385">
        <f t="shared" si="51"/>
        <v>40.59191261840823</v>
      </c>
      <c r="G166" s="110">
        <f t="shared" si="73"/>
        <v>0.93214750939598023</v>
      </c>
      <c r="H166" s="414" t="b">
        <f>Wh_hp&gt;='2024'!Maxi_hp</f>
        <v>0</v>
      </c>
      <c r="I166" s="390">
        <f>IF(H166,Wh_hp,'2024'!Maxi_hp)</f>
        <v>43.566085731494503</v>
      </c>
      <c r="J166" s="85">
        <f>IF(H166,An,'2024'!An_max)</f>
        <v>2019</v>
      </c>
      <c r="K166" s="197">
        <f t="shared" si="52"/>
        <v>45809</v>
      </c>
      <c r="L166" s="147">
        <f>IF(t&lt;Tvie,1-EXP((T0-t)*PertePVj)+'2024'!Pspv,1-EXP((T0-t)*PertePVj)+Pspv)</f>
        <v>5.5356145787452737E-2</v>
      </c>
      <c r="M166" s="850"/>
      <c r="N166" s="850"/>
      <c r="O166" s="48">
        <f>IF(t&lt;Tnet,'2024'!Resal+('2024'!Salim-'2024'!Resal)*(1-EXP(('2024'!Tnet-t)/('2024'!Tau_j))),Resal+(Salim-Resal)*(1-EXP((Tnet-t)/(Tau_j))))*Salcycl</f>
        <v>2.3286891604554865E-2</v>
      </c>
      <c r="P166" s="169">
        <f>(INDEX(Models!$BJ166:$BT166,,T166)*(1-R166)+INDEX(Models!$BJ166:$BT166,,T166+1)*R166-ERP_i)*Q166*Ramure*Pc/MaxiM</f>
        <v>0</v>
      </c>
      <c r="Q166" s="305">
        <f t="shared" si="53"/>
        <v>0.7</v>
      </c>
      <c r="R166" s="177">
        <f t="shared" si="54"/>
        <v>0.18007952519061066</v>
      </c>
      <c r="S166" s="817">
        <f t="shared" si="55"/>
        <v>-2</v>
      </c>
      <c r="T166" s="176">
        <f t="shared" si="56"/>
        <v>4</v>
      </c>
      <c r="U166" s="251">
        <f t="shared" si="57"/>
        <v>-1.8199204748093893</v>
      </c>
      <c r="V166" s="383">
        <f t="shared" si="58"/>
        <v>40.178155131043795</v>
      </c>
      <c r="W166" s="402">
        <f t="shared" si="59"/>
        <v>37.451967237527789</v>
      </c>
      <c r="X166" s="157">
        <f t="shared" si="60"/>
        <v>45809</v>
      </c>
      <c r="Y166" s="385">
        <f t="shared" si="61"/>
        <v>34.344598637221928</v>
      </c>
      <c r="Z166" s="385">
        <f t="shared" si="62"/>
        <v>36.357192696554932</v>
      </c>
      <c r="AA166" s="386">
        <f t="shared" si="63"/>
        <v>40.59191261840823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0.10432422738151226</v>
      </c>
      <c r="AD166" s="231">
        <f>(INDEX(Models!$BJ166:$BT166,,AH166)*(1-AF166)+INDEX(Models!$BJ166:$BT166,,AH166+1)*AF166-ERP_i)*AE166*Ramure*Pc/MaxiM</f>
        <v>0</v>
      </c>
      <c r="AE166" s="305">
        <f t="shared" si="65"/>
        <v>0.7</v>
      </c>
      <c r="AF166" s="177">
        <f t="shared" si="66"/>
        <v>0.80394289456666645</v>
      </c>
      <c r="AG166" s="817">
        <f t="shared" si="74"/>
        <v>0</v>
      </c>
      <c r="AH166" s="176">
        <f t="shared" si="67"/>
        <v>6</v>
      </c>
      <c r="AI166" s="225">
        <f t="shared" si="68"/>
        <v>0.80394289456666645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45810</v>
      </c>
      <c r="B167" s="411">
        <f>'2024'!Wh/'2024'!Env_an*'2025'!Env_an</f>
        <v>29.904710337019999</v>
      </c>
      <c r="C167" s="846"/>
      <c r="D167" s="393">
        <f t="shared" si="50"/>
        <v>31.657820254597546</v>
      </c>
      <c r="E167" s="385">
        <f t="shared" si="72"/>
        <v>32.418951631784523</v>
      </c>
      <c r="F167" s="385">
        <f t="shared" si="51"/>
        <v>32.418951631784523</v>
      </c>
      <c r="G167" s="110">
        <f t="shared" si="73"/>
        <v>0.74463824331868678</v>
      </c>
      <c r="H167" s="414" t="b">
        <f>Wh_hp&gt;='2024'!Maxi_hp</f>
        <v>0</v>
      </c>
      <c r="I167" s="390">
        <f>IF(H167,Wh_hp,'2024'!Maxi_hp)</f>
        <v>42.879308484292096</v>
      </c>
      <c r="J167" s="85">
        <f>IF(H167,An,'2024'!An_max)</f>
        <v>2019</v>
      </c>
      <c r="K167" s="197">
        <f t="shared" si="52"/>
        <v>45810</v>
      </c>
      <c r="L167" s="147">
        <f>IF(t&lt;Tvie,1-EXP((T0-t)*PertePVj)+'2024'!Pspv,1-EXP((T0-t)*PertePVj)+Pspv)</f>
        <v>5.5376835912224531E-2</v>
      </c>
      <c r="M167" s="850"/>
      <c r="N167" s="850"/>
      <c r="O167" s="48">
        <f>IF(t&lt;Tnet,'2024'!Resal+('2024'!Salim-'2024'!Resal)*(1-EXP(('2024'!Tnet-t)/('2024'!Tau_j))),Resal+(Salim-Resal)*(1-EXP((Tnet-t)/(Tau_j))))*Salcycl</f>
        <v>2.3477976272395538E-2</v>
      </c>
      <c r="P167" s="169">
        <f>(INDEX(Models!$BJ167:$BT167,,T167)*(1-R167)+INDEX(Models!$BJ167:$BT167,,T167+1)*R167-ERP_i)*Q167*Ramure*Pc/MaxiM</f>
        <v>0</v>
      </c>
      <c r="Q167" s="305">
        <f t="shared" si="53"/>
        <v>0.7</v>
      </c>
      <c r="R167" s="177">
        <f t="shared" si="54"/>
        <v>0.18507136860502316</v>
      </c>
      <c r="S167" s="817">
        <f t="shared" si="55"/>
        <v>-2</v>
      </c>
      <c r="T167" s="176">
        <f t="shared" si="56"/>
        <v>4</v>
      </c>
      <c r="U167" s="251">
        <f t="shared" si="57"/>
        <v>-1.8149286313949768</v>
      </c>
      <c r="V167" s="383">
        <f t="shared" si="58"/>
        <v>40.160051683272897</v>
      </c>
      <c r="W167" s="402">
        <f t="shared" si="59"/>
        <v>29.904710337019999</v>
      </c>
      <c r="X167" s="157">
        <f t="shared" si="60"/>
        <v>45810</v>
      </c>
      <c r="Y167" s="385">
        <f t="shared" si="61"/>
        <v>27.424783631961041</v>
      </c>
      <c r="Z167" s="385">
        <f t="shared" si="62"/>
        <v>29.032512301818485</v>
      </c>
      <c r="AA167" s="386">
        <f t="shared" si="63"/>
        <v>32.418951631784523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0.10445863174199224</v>
      </c>
      <c r="AD167" s="231">
        <f>(INDEX(Models!$BJ167:$BT167,,AH167)*(1-AF167)+INDEX(Models!$BJ167:$BT167,,AH167+1)*AF167-ERP_i)*AE167*Ramure*Pc/MaxiM</f>
        <v>0</v>
      </c>
      <c r="AE167" s="305">
        <f t="shared" si="65"/>
        <v>0.7</v>
      </c>
      <c r="AF167" s="177">
        <f t="shared" si="66"/>
        <v>0.80893473798107907</v>
      </c>
      <c r="AG167" s="817">
        <f t="shared" si="74"/>
        <v>0</v>
      </c>
      <c r="AH167" s="176">
        <f t="shared" si="67"/>
        <v>6</v>
      </c>
      <c r="AI167" s="225">
        <f t="shared" si="68"/>
        <v>0.80893473798107907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45811</v>
      </c>
      <c r="B168" s="411">
        <f>'2024'!Wh/'2024'!Env_an*'2025'!Env_an</f>
        <v>36.215697703479535</v>
      </c>
      <c r="C168" s="846"/>
      <c r="D168" s="393">
        <f t="shared" si="50"/>
        <v>38.339617653302604</v>
      </c>
      <c r="E168" s="385">
        <f t="shared" si="72"/>
        <v>39.269073008719737</v>
      </c>
      <c r="F168" s="385">
        <f t="shared" si="51"/>
        <v>39.269073008719737</v>
      </c>
      <c r="G168" s="110">
        <f t="shared" si="73"/>
        <v>0.90223124954895295</v>
      </c>
      <c r="H168" s="414" t="b">
        <f>Wh_hp&gt;='2024'!Maxi_hp</f>
        <v>0</v>
      </c>
      <c r="I168" s="390">
        <f>IF(H168,Wh_hp,'2024'!Maxi_hp)</f>
        <v>40.900365987061008</v>
      </c>
      <c r="J168" s="85">
        <f>IF(H168,An,'2024'!An_max)</f>
        <v>2020</v>
      </c>
      <c r="K168" s="197">
        <f t="shared" si="52"/>
        <v>45811</v>
      </c>
      <c r="L168" s="147">
        <f>IF(t&lt;Tvie,1-EXP((T0-t)*PertePVj)+'2024'!Pspv,1-EXP((T0-t)*PertePVj)+Pspv)</f>
        <v>5.5397525583829488E-2</v>
      </c>
      <c r="M168" s="850"/>
      <c r="N168" s="850"/>
      <c r="O168" s="48">
        <f>IF(t&lt;Tnet,'2024'!Resal+('2024'!Salim-'2024'!Resal)*(1-EXP(('2024'!Tnet-t)/('2024'!Tau_j))),Resal+(Salim-Resal)*(1-EXP((Tnet-t)/(Tau_j))))*Salcycl</f>
        <v>2.3668889642766731E-2</v>
      </c>
      <c r="P168" s="169">
        <f>(INDEX(Models!$BJ168:$BT168,,T168)*(1-R168)+INDEX(Models!$BJ168:$BT168,,T168+1)*R168-ERP_i)*Q168*Ramure*Pc/MaxiM</f>
        <v>0</v>
      </c>
      <c r="Q168" s="305">
        <f t="shared" si="53"/>
        <v>0.7</v>
      </c>
      <c r="R168" s="177">
        <f t="shared" si="54"/>
        <v>0.19009674138729515</v>
      </c>
      <c r="S168" s="817">
        <f t="shared" si="55"/>
        <v>-2</v>
      </c>
      <c r="T168" s="176">
        <f t="shared" si="56"/>
        <v>4</v>
      </c>
      <c r="U168" s="251">
        <f t="shared" si="57"/>
        <v>-1.8099032586127048</v>
      </c>
      <c r="V168" s="383">
        <f t="shared" si="58"/>
        <v>40.140150013186336</v>
      </c>
      <c r="W168" s="402">
        <f t="shared" si="59"/>
        <v>36.215697703479535</v>
      </c>
      <c r="X168" s="157">
        <f t="shared" si="60"/>
        <v>45811</v>
      </c>
      <c r="Y168" s="385">
        <f t="shared" si="61"/>
        <v>33.213951932356196</v>
      </c>
      <c r="Z168" s="385">
        <f t="shared" si="62"/>
        <v>35.161830327498038</v>
      </c>
      <c r="AA168" s="386">
        <f t="shared" si="63"/>
        <v>39.269073008719737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0.10459230041691284</v>
      </c>
      <c r="AD168" s="231">
        <f>(INDEX(Models!$BJ168:$BT168,,AH168)*(1-AF168)+INDEX(Models!$BJ168:$BT168,,AH168+1)*AF168-ERP_i)*AE168*Ramure*Pc/MaxiM</f>
        <v>0</v>
      </c>
      <c r="AE168" s="305">
        <f t="shared" si="65"/>
        <v>0.7</v>
      </c>
      <c r="AF168" s="177">
        <f t="shared" si="66"/>
        <v>0.81396011076335095</v>
      </c>
      <c r="AG168" s="817">
        <f t="shared" si="74"/>
        <v>0</v>
      </c>
      <c r="AH168" s="176">
        <f t="shared" si="67"/>
        <v>6</v>
      </c>
      <c r="AI168" s="225">
        <f t="shared" si="68"/>
        <v>0.81396011076335095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45812</v>
      </c>
      <c r="B169" s="411">
        <f>'2024'!Wh/'2024'!Env_an*'2025'!Env_an</f>
        <v>17.990254239377538</v>
      </c>
      <c r="C169" s="846"/>
      <c r="D169" s="393">
        <f t="shared" si="50"/>
        <v>19.045734865204679</v>
      </c>
      <c r="E169" s="385">
        <f t="shared" si="72"/>
        <v>19.511266034952595</v>
      </c>
      <c r="F169" s="385">
        <f t="shared" si="51"/>
        <v>19.511266034952595</v>
      </c>
      <c r="G169" s="110">
        <f t="shared" si="73"/>
        <v>0.44842731902256799</v>
      </c>
      <c r="H169" s="414" t="b">
        <f>Wh_hp&gt;='2024'!Maxi_hp</f>
        <v>0</v>
      </c>
      <c r="I169" s="390">
        <f>IF(H169,Wh_hp,'2024'!Maxi_hp)</f>
        <v>39.208479410281221</v>
      </c>
      <c r="J169" s="85">
        <f>IF(H169,An,'2024'!An_max)</f>
        <v>2019</v>
      </c>
      <c r="K169" s="197">
        <f t="shared" si="52"/>
        <v>45812</v>
      </c>
      <c r="L169" s="147">
        <f>IF(t&lt;Tvie,1-EXP((T0-t)*PertePVj)+'2024'!Pspv,1-EXP((T0-t)*PertePVj)+Pspv)</f>
        <v>5.5418214802277599E-2</v>
      </c>
      <c r="M169" s="850"/>
      <c r="N169" s="850"/>
      <c r="O169" s="48">
        <f>IF(t&lt;Tnet,'2024'!Resal+('2024'!Salim-'2024'!Resal)*(1-EXP(('2024'!Tnet-t)/('2024'!Tau_j))),Resal+(Salim-Resal)*(1-EXP((Tnet-t)/(Tau_j))))*Salcycl</f>
        <v>2.3859608541750336E-2</v>
      </c>
      <c r="P169" s="169">
        <f>(INDEX(Models!$BJ169:$BT169,,T169)*(1-R169)+INDEX(Models!$BJ169:$BT169,,T169+1)*R169-ERP_i)*Q169*Ramure*Pc/MaxiM</f>
        <v>0</v>
      </c>
      <c r="Q169" s="305">
        <f t="shared" si="53"/>
        <v>0.7</v>
      </c>
      <c r="R169" s="177">
        <f t="shared" si="54"/>
        <v>0.19515169891695483</v>
      </c>
      <c r="S169" s="817">
        <f t="shared" si="55"/>
        <v>-2</v>
      </c>
      <c r="T169" s="176">
        <f t="shared" si="56"/>
        <v>4</v>
      </c>
      <c r="U169" s="251">
        <f t="shared" si="57"/>
        <v>-1.8048483010830452</v>
      </c>
      <c r="V169" s="383">
        <f t="shared" si="58"/>
        <v>40.11855093617109</v>
      </c>
      <c r="W169" s="402">
        <f t="shared" si="59"/>
        <v>17.990254239377538</v>
      </c>
      <c r="X169" s="157">
        <f t="shared" si="60"/>
        <v>45812</v>
      </c>
      <c r="Y169" s="385">
        <f t="shared" si="61"/>
        <v>16.499903454653133</v>
      </c>
      <c r="Z169" s="385">
        <f t="shared" si="62"/>
        <v>17.467945828745076</v>
      </c>
      <c r="AA169" s="386">
        <f t="shared" si="63"/>
        <v>19.511266034952595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0.10472514713023245</v>
      </c>
      <c r="AD169" s="231">
        <f>(INDEX(Models!$BJ169:$BT169,,AH169)*(1-AF169)+INDEX(Models!$BJ169:$BT169,,AH169+1)*AF169-ERP_i)*AE169*Ramure*Pc/MaxiM</f>
        <v>0</v>
      </c>
      <c r="AE169" s="305">
        <f t="shared" si="65"/>
        <v>0.7</v>
      </c>
      <c r="AF169" s="177">
        <f t="shared" si="66"/>
        <v>0.81901506829301074</v>
      </c>
      <c r="AG169" s="817">
        <f t="shared" si="74"/>
        <v>0</v>
      </c>
      <c r="AH169" s="176">
        <f t="shared" si="67"/>
        <v>6</v>
      </c>
      <c r="AI169" s="225">
        <f t="shared" si="68"/>
        <v>0.81901506829301074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45813</v>
      </c>
      <c r="B170" s="411">
        <f>'2024'!Wh/'2024'!Env_an*'2025'!Env_an</f>
        <v>22.070792737378412</v>
      </c>
      <c r="C170" s="846"/>
      <c r="D170" s="393">
        <f t="shared" si="50"/>
        <v>23.366188614732415</v>
      </c>
      <c r="E170" s="385">
        <f t="shared" ref="E170:E232" si="75">Wh_pvt/(1-Psa)</f>
        <v>23.941996250314073</v>
      </c>
      <c r="F170" s="385">
        <f t="shared" si="51"/>
        <v>23.941996250314073</v>
      </c>
      <c r="G170" s="110">
        <f t="shared" ref="G170:G232" si="76">+Wh_hp/MaxiM</f>
        <v>0.55045759380578763</v>
      </c>
      <c r="H170" s="414" t="b">
        <f>Wh_hp&gt;='2024'!Maxi_hp</f>
        <v>0</v>
      </c>
      <c r="I170" s="390">
        <f>IF(H170,Wh_hp,'2024'!Maxi_hp)</f>
        <v>31.965848154895578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5.5438903567578635E-2</v>
      </c>
      <c r="M170" s="850"/>
      <c r="N170" s="850"/>
      <c r="O170" s="48">
        <f>IF(t&lt;Tnet,'2024'!Resal+('2024'!Salim-'2024'!Resal)*(1-EXP(('2024'!Tnet-t)/('2024'!Tau_j))),Resal+(Salim-Resal)*(1-EXP((Tnet-t)/(Tau_j))))*Salcycl</f>
        <v>2.4050109671790765E-2</v>
      </c>
      <c r="P170" s="169">
        <f>(INDEX(Models!$BJ170:$BT170,,T170)*(1-R170)+INDEX(Models!$BJ170:$BT170,,T170+1)*R170-ERP_i)*Q170*Ramure*Pc/MaxiM</f>
        <v>0</v>
      </c>
      <c r="Q170" s="305">
        <f t="shared" si="53"/>
        <v>0.7</v>
      </c>
      <c r="R170" s="177">
        <f t="shared" si="54"/>
        <v>0.20023219978722673</v>
      </c>
      <c r="S170" s="817">
        <f t="shared" si="55"/>
        <v>-2</v>
      </c>
      <c r="T170" s="176">
        <f t="shared" si="56"/>
        <v>4</v>
      </c>
      <c r="U170" s="251">
        <f t="shared" si="57"/>
        <v>-1.7997678002127733</v>
      </c>
      <c r="V170" s="383">
        <f t="shared" si="58"/>
        <v>40.09535518400974</v>
      </c>
      <c r="W170" s="402">
        <f t="shared" si="59"/>
        <v>22.070792737378412</v>
      </c>
      <c r="X170" s="157">
        <f t="shared" si="60"/>
        <v>45813</v>
      </c>
      <c r="Y170" s="385">
        <f t="shared" si="61"/>
        <v>20.243368939898819</v>
      </c>
      <c r="Z170" s="385">
        <f t="shared" si="62"/>
        <v>21.431508259611167</v>
      </c>
      <c r="AA170" s="386">
        <f t="shared" si="63"/>
        <v>23.941996250314073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0.10485708728945155</v>
      </c>
      <c r="AD170" s="231">
        <f>(INDEX(Models!$BJ170:$BT170,,AH170)*(1-AF170)+INDEX(Models!$BJ170:$BT170,,AH170+1)*AF170-ERP_i)*AE170*Ramure*Pc/MaxiM</f>
        <v>0</v>
      </c>
      <c r="AE170" s="305">
        <f t="shared" si="65"/>
        <v>0.7</v>
      </c>
      <c r="AF170" s="177">
        <f t="shared" si="66"/>
        <v>0.82409556916328275</v>
      </c>
      <c r="AG170" s="817">
        <f t="shared" si="74"/>
        <v>0</v>
      </c>
      <c r="AH170" s="176">
        <f t="shared" si="67"/>
        <v>6</v>
      </c>
      <c r="AI170" s="225">
        <f t="shared" si="68"/>
        <v>0.82409556916328275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45814</v>
      </c>
      <c r="B171" s="411">
        <f>'2024'!Wh/'2024'!Env_an*'2025'!Env_an</f>
        <v>30.626256226541088</v>
      </c>
      <c r="C171" s="846"/>
      <c r="D171" s="393">
        <f t="shared" si="50"/>
        <v>32.424506101852025</v>
      </c>
      <c r="E171" s="385">
        <f t="shared" si="75"/>
        <v>33.230013924667368</v>
      </c>
      <c r="F171" s="385">
        <f t="shared" si="51"/>
        <v>33.230013924667368</v>
      </c>
      <c r="G171" s="110">
        <f t="shared" si="76"/>
        <v>0.7643061937850214</v>
      </c>
      <c r="H171" s="414" t="b">
        <f>Wh_hp&gt;='2024'!Maxi_hp</f>
        <v>0</v>
      </c>
      <c r="I171" s="390">
        <f>IF(H171,Wh_hp,'2024'!Maxi_hp)</f>
        <v>41.05414814635413</v>
      </c>
      <c r="J171" s="85">
        <f>IF(H171,An,'2024'!An_max)</f>
        <v>2019</v>
      </c>
      <c r="K171" s="197">
        <f t="shared" si="52"/>
        <v>45814</v>
      </c>
      <c r="L171" s="147">
        <f>IF(t&lt;Tvie,1-EXP((T0-t)*PertePVj)+'2024'!Pspv,1-EXP((T0-t)*PertePVj)+Pspv)</f>
        <v>5.5459591879742698E-2</v>
      </c>
      <c r="M171" s="850"/>
      <c r="N171" s="850"/>
      <c r="O171" s="48">
        <f>IF(t&lt;Tnet,'2024'!Resal+('2024'!Salim-'2024'!Resal)*(1-EXP(('2024'!Tnet-t)/('2024'!Tau_j))),Resal+(Salim-Resal)*(1-EXP((Tnet-t)/(Tau_j))))*Salcycl</f>
        <v>2.4240369704371222E-2</v>
      </c>
      <c r="P171" s="169">
        <f>(INDEX(Models!$BJ171:$BT171,,T171)*(1-R171)+INDEX(Models!$BJ171:$BT171,,T171+1)*R171-ERP_i)*Q171*Ramure*Pc/MaxiM</f>
        <v>0</v>
      </c>
      <c r="Q171" s="305">
        <f t="shared" si="53"/>
        <v>0.7</v>
      </c>
      <c r="R171" s="177">
        <f t="shared" si="54"/>
        <v>0.20533411833436666</v>
      </c>
      <c r="S171" s="817">
        <f t="shared" si="55"/>
        <v>-2</v>
      </c>
      <c r="T171" s="176">
        <f t="shared" si="56"/>
        <v>4</v>
      </c>
      <c r="U171" s="251">
        <f t="shared" si="57"/>
        <v>-1.7946658816656333</v>
      </c>
      <c r="V171" s="383">
        <f t="shared" si="58"/>
        <v>40.070663401107311</v>
      </c>
      <c r="W171" s="402">
        <f t="shared" si="59"/>
        <v>30.626256226541088</v>
      </c>
      <c r="X171" s="157">
        <f t="shared" si="60"/>
        <v>45814</v>
      </c>
      <c r="Y171" s="385">
        <f t="shared" si="61"/>
        <v>28.091821810682791</v>
      </c>
      <c r="Z171" s="385">
        <f t="shared" si="62"/>
        <v>29.741259949469718</v>
      </c>
      <c r="AA171" s="386">
        <f t="shared" si="63"/>
        <v>33.230013924667368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0.10498803831700688</v>
      </c>
      <c r="AD171" s="231">
        <f>(INDEX(Models!$BJ171:$BT171,,AH171)*(1-AF171)+INDEX(Models!$BJ171:$BT171,,AH171+1)*AF171-ERP_i)*AE171*Ramure*Pc/MaxiM</f>
        <v>0</v>
      </c>
      <c r="AE171" s="305">
        <f t="shared" si="65"/>
        <v>0.7</v>
      </c>
      <c r="AF171" s="177">
        <f t="shared" si="66"/>
        <v>0.82919748771042268</v>
      </c>
      <c r="AG171" s="817">
        <f t="shared" si="74"/>
        <v>0</v>
      </c>
      <c r="AH171" s="176">
        <f t="shared" si="67"/>
        <v>6</v>
      </c>
      <c r="AI171" s="225">
        <f t="shared" si="68"/>
        <v>0.82919748771042268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45815</v>
      </c>
      <c r="B172" s="411">
        <f>'2024'!Wh/'2024'!Env_an*'2025'!Env_an</f>
        <v>17.746330829518481</v>
      </c>
      <c r="C172" s="846"/>
      <c r="D172" s="393">
        <f t="shared" si="50"/>
        <v>18.788735109321465</v>
      </c>
      <c r="E172" s="385">
        <f t="shared" si="75"/>
        <v>19.259245514063288</v>
      </c>
      <c r="F172" s="385">
        <f t="shared" si="51"/>
        <v>19.259245514063288</v>
      </c>
      <c r="G172" s="110">
        <f t="shared" si="76"/>
        <v>0.44316440678776714</v>
      </c>
      <c r="H172" s="414" t="b">
        <f>Wh_hp&gt;='2024'!Maxi_hp</f>
        <v>0</v>
      </c>
      <c r="I172" s="390">
        <f>IF(H172,Wh_hp,'2024'!Maxi_hp)</f>
        <v>38.856191383459525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5.5480279738779559E-2</v>
      </c>
      <c r="M172" s="850"/>
      <c r="N172" s="850"/>
      <c r="O172" s="48">
        <f>IF(t&lt;Tnet,'2024'!Resal+('2024'!Salim-'2024'!Resal)*(1-EXP(('2024'!Tnet-t)/('2024'!Tau_j))),Resal+(Salim-Resal)*(1-EXP((Tnet-t)/(Tau_j))))*Salcycl</f>
        <v>2.4430365374295233E-2</v>
      </c>
      <c r="P172" s="169">
        <f>(INDEX(Models!$BJ172:$BT172,,T172)*(1-R172)+INDEX(Models!$BJ172:$BT172,,T172+1)*R172-ERP_i)*Q172*Ramure*Pc/MaxiM</f>
        <v>0</v>
      </c>
      <c r="Q172" s="305">
        <f t="shared" si="53"/>
        <v>0.7</v>
      </c>
      <c r="R172" s="177">
        <f t="shared" si="54"/>
        <v>0.2104532577521927</v>
      </c>
      <c r="S172" s="817">
        <f t="shared" si="55"/>
        <v>-2</v>
      </c>
      <c r="T172" s="176">
        <f t="shared" si="56"/>
        <v>4</v>
      </c>
      <c r="U172" s="251">
        <f t="shared" si="57"/>
        <v>-1.7895467422478073</v>
      </c>
      <c r="V172" s="383">
        <f t="shared" si="58"/>
        <v>40.044576138573461</v>
      </c>
      <c r="W172" s="402">
        <f t="shared" si="59"/>
        <v>17.746330829518481</v>
      </c>
      <c r="X172" s="157">
        <f t="shared" si="60"/>
        <v>45815</v>
      </c>
      <c r="Y172" s="385">
        <f t="shared" si="61"/>
        <v>16.278564729625991</v>
      </c>
      <c r="Z172" s="385">
        <f t="shared" si="62"/>
        <v>17.234753685316303</v>
      </c>
      <c r="AA172" s="386">
        <f t="shared" si="63"/>
        <v>19.259245514063288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0.10511791997608022</v>
      </c>
      <c r="AD172" s="231">
        <f>(INDEX(Models!$BJ172:$BT172,,AH172)*(1-AF172)+INDEX(Models!$BJ172:$BT172,,AH172+1)*AF172-ERP_i)*AE172*Ramure*Pc/MaxiM</f>
        <v>0</v>
      </c>
      <c r="AE172" s="305">
        <f t="shared" si="65"/>
        <v>0.7</v>
      </c>
      <c r="AF172" s="177">
        <f t="shared" si="66"/>
        <v>0.83431662712824861</v>
      </c>
      <c r="AG172" s="817">
        <f t="shared" si="74"/>
        <v>0</v>
      </c>
      <c r="AH172" s="176">
        <f t="shared" si="67"/>
        <v>6</v>
      </c>
      <c r="AI172" s="225">
        <f t="shared" si="68"/>
        <v>0.83431662712824861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45816</v>
      </c>
      <c r="B173" s="411">
        <f>'2024'!Wh/'2024'!Env_an*'2025'!Env_an</f>
        <v>15.663204757890865</v>
      </c>
      <c r="C173" s="846"/>
      <c r="D173" s="393">
        <f t="shared" si="50"/>
        <v>16.583611219314506</v>
      </c>
      <c r="E173" s="385">
        <f t="shared" si="75"/>
        <v>17.002206801709363</v>
      </c>
      <c r="F173" s="385">
        <f t="shared" si="51"/>
        <v>17.002206801709363</v>
      </c>
      <c r="G173" s="110">
        <f t="shared" si="76"/>
        <v>0.39141187199738953</v>
      </c>
      <c r="H173" s="414" t="b">
        <f>Wh_hp&gt;='2024'!Maxi_hp</f>
        <v>0</v>
      </c>
      <c r="I173" s="390">
        <f>IF(H173,Wh_hp,'2024'!Maxi_hp)</f>
        <v>43.845518262110815</v>
      </c>
      <c r="J173" s="85">
        <f>IF(H173,An,'2024'!An_max)</f>
        <v>2019</v>
      </c>
      <c r="K173" s="197">
        <f t="shared" si="52"/>
        <v>45816</v>
      </c>
      <c r="L173" s="147">
        <f>IF(t&lt;Tvie,1-EXP((T0-t)*PertePVj)+'2024'!Pspv,1-EXP((T0-t)*PertePVj)+Pspv)</f>
        <v>5.5500967144699209E-2</v>
      </c>
      <c r="M173" s="850"/>
      <c r="N173" s="850"/>
      <c r="O173" s="48">
        <f>IF(t&lt;Tnet,'2024'!Resal+('2024'!Salim-'2024'!Resal)*(1-EXP(('2024'!Tnet-t)/('2024'!Tau_j))),Resal+(Salim-Resal)*(1-EXP((Tnet-t)/(Tau_j))))*Salcycl</f>
        <v>2.4620073574965144E-2</v>
      </c>
      <c r="P173" s="169">
        <f>(INDEX(Models!$BJ173:$BT173,,T173)*(1-R173)+INDEX(Models!$BJ173:$BT173,,T173+1)*R173-ERP_i)*Q173*Ramure*Pc/MaxiM</f>
        <v>0</v>
      </c>
      <c r="Q173" s="305">
        <f t="shared" si="53"/>
        <v>0.7</v>
      </c>
      <c r="R173" s="177">
        <f t="shared" si="54"/>
        <v>0.21558536370545922</v>
      </c>
      <c r="S173" s="817">
        <f t="shared" si="55"/>
        <v>-2</v>
      </c>
      <c r="T173" s="176">
        <f t="shared" si="56"/>
        <v>4</v>
      </c>
      <c r="U173" s="251">
        <f t="shared" si="57"/>
        <v>-1.7844146362945408</v>
      </c>
      <c r="V173" s="383">
        <f t="shared" si="58"/>
        <v>40.017193852503617</v>
      </c>
      <c r="W173" s="402">
        <f t="shared" si="59"/>
        <v>15.663204757890865</v>
      </c>
      <c r="X173" s="157">
        <f t="shared" si="60"/>
        <v>45816</v>
      </c>
      <c r="Y173" s="385">
        <f t="shared" si="61"/>
        <v>14.36845733209543</v>
      </c>
      <c r="Z173" s="385">
        <f t="shared" si="62"/>
        <v>15.212781413505912</v>
      </c>
      <c r="AA173" s="386">
        <f t="shared" si="63"/>
        <v>17.002206801709363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0.10524665468858709</v>
      </c>
      <c r="AD173" s="231">
        <f>(INDEX(Models!$BJ173:$BT173,,AH173)*(1-AF173)+INDEX(Models!$BJ173:$BT173,,AH173+1)*AF173-ERP_i)*AE173*Ramure*Pc/MaxiM</f>
        <v>0</v>
      </c>
      <c r="AE173" s="305">
        <f t="shared" si="65"/>
        <v>0.7</v>
      </c>
      <c r="AF173" s="177">
        <f t="shared" si="66"/>
        <v>0.83944873308151513</v>
      </c>
      <c r="AG173" s="817">
        <f t="shared" si="74"/>
        <v>0</v>
      </c>
      <c r="AH173" s="176">
        <f t="shared" si="67"/>
        <v>6</v>
      </c>
      <c r="AI173" s="225">
        <f t="shared" si="68"/>
        <v>0.83944873308151513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45817</v>
      </c>
      <c r="B174" s="411">
        <f>'2024'!Wh/'2024'!Env_an*'2025'!Env_an</f>
        <v>30.656803694340052</v>
      </c>
      <c r="C174" s="846"/>
      <c r="D174" s="393">
        <f t="shared" si="50"/>
        <v>32.458979951569141</v>
      </c>
      <c r="E174" s="385">
        <f t="shared" si="75"/>
        <v>33.284757184799645</v>
      </c>
      <c r="F174" s="385">
        <f t="shared" si="51"/>
        <v>33.284757184799645</v>
      </c>
      <c r="G174" s="110">
        <f t="shared" si="76"/>
        <v>0.76663826039376781</v>
      </c>
      <c r="H174" s="414" t="b">
        <f>Wh_hp&gt;='2024'!Maxi_hp</f>
        <v>0</v>
      </c>
      <c r="I174" s="390">
        <f>IF(H174,Wh_hp,'2024'!Maxi_hp)</f>
        <v>42.32398609821027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5.5521654097511641E-2</v>
      </c>
      <c r="M174" s="850"/>
      <c r="N174" s="850"/>
      <c r="O174" s="48">
        <f>IF(t&lt;Tnet,'2024'!Resal+('2024'!Salim-'2024'!Resal)*(1-EXP(('2024'!Tnet-t)/('2024'!Tau_j))),Resal+(Salim-Resal)*(1-EXP((Tnet-t)/(Tau_j))))*Salcycl</f>
        <v>2.4809471454027041E-2</v>
      </c>
      <c r="P174" s="169">
        <f>(INDEX(Models!$BJ174:$BT174,,T174)*(1-R174)+INDEX(Models!$BJ174:$BT174,,T174+1)*R174-ERP_i)*Q174*Ramure*Pc/MaxiM</f>
        <v>0</v>
      </c>
      <c r="Q174" s="305">
        <f t="shared" si="53"/>
        <v>0.7</v>
      </c>
      <c r="R174" s="177">
        <f t="shared" si="54"/>
        <v>0.22072613834976518</v>
      </c>
      <c r="S174" s="817">
        <f t="shared" si="55"/>
        <v>-2</v>
      </c>
      <c r="T174" s="176">
        <f t="shared" si="56"/>
        <v>4</v>
      </c>
      <c r="U174" s="251">
        <f t="shared" si="57"/>
        <v>-1.7792738616502348</v>
      </c>
      <c r="V174" s="383">
        <f t="shared" si="58"/>
        <v>39.988616898136321</v>
      </c>
      <c r="W174" s="402">
        <f t="shared" si="59"/>
        <v>30.656803694340052</v>
      </c>
      <c r="X174" s="157">
        <f t="shared" si="60"/>
        <v>45817</v>
      </c>
      <c r="Y174" s="385">
        <f t="shared" si="61"/>
        <v>28.12411289228988</v>
      </c>
      <c r="Z174" s="385">
        <f t="shared" si="62"/>
        <v>29.777403594590748</v>
      </c>
      <c r="AA174" s="386">
        <f t="shared" si="63"/>
        <v>33.284757184799645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0.10537416784312981</v>
      </c>
      <c r="AD174" s="231">
        <f>(INDEX(Models!$BJ174:$BT174,,AH174)*(1-AF174)+INDEX(Models!$BJ174:$BT174,,AH174+1)*AF174-ERP_i)*AE174*Ramure*Pc/MaxiM</f>
        <v>0</v>
      </c>
      <c r="AE174" s="305">
        <f t="shared" si="65"/>
        <v>0.7</v>
      </c>
      <c r="AF174" s="177">
        <f t="shared" si="66"/>
        <v>0.84458950772582098</v>
      </c>
      <c r="AG174" s="817">
        <f t="shared" si="74"/>
        <v>0</v>
      </c>
      <c r="AH174" s="176">
        <f t="shared" si="67"/>
        <v>6</v>
      </c>
      <c r="AI174" s="225">
        <f t="shared" si="68"/>
        <v>0.84458950772582098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45818</v>
      </c>
      <c r="B175" s="411">
        <f>'2024'!Wh/'2024'!Env_an*'2025'!Env_an</f>
        <v>38.99534852582596</v>
      </c>
      <c r="C175" s="846"/>
      <c r="D175" s="393">
        <f t="shared" si="50"/>
        <v>41.288614833707442</v>
      </c>
      <c r="E175" s="385">
        <f t="shared" si="75"/>
        <v>42.347233701436771</v>
      </c>
      <c r="F175" s="385">
        <f t="shared" si="51"/>
        <v>42.347233701436771</v>
      </c>
      <c r="G175" s="110">
        <f t="shared" si="76"/>
        <v>0.97588532458920729</v>
      </c>
      <c r="H175" s="414" t="b">
        <f>Wh_hp&gt;='2024'!Maxi_hp</f>
        <v>1</v>
      </c>
      <c r="I175" s="390">
        <f>IF(H175,Wh_hp,'2024'!Maxi_hp)</f>
        <v>42.347233701436771</v>
      </c>
      <c r="J175" s="85">
        <f>IF(H175,An,'2024'!An_max)</f>
        <v>2025</v>
      </c>
      <c r="K175" s="197">
        <f t="shared" si="52"/>
        <v>45818</v>
      </c>
      <c r="L175" s="147">
        <f>IF(t&lt;Tvie,1-EXP((T0-t)*PertePVj)+'2024'!Pspv,1-EXP((T0-t)*PertePVj)+Pspv)</f>
        <v>5.5542340597226625E-2</v>
      </c>
      <c r="M175" s="850"/>
      <c r="N175" s="850"/>
      <c r="O175" s="48">
        <f>IF(t&lt;Tnet,'2024'!Resal+('2024'!Salim-'2024'!Resal)*(1-EXP(('2024'!Tnet-t)/('2024'!Tau_j))),Resal+(Salim-Resal)*(1-EXP((Tnet-t)/(Tau_j))))*Salcycl</f>
        <v>2.499853650873566E-2</v>
      </c>
      <c r="P175" s="169">
        <f>(INDEX(Models!$BJ175:$BT175,,T175)*(1-R175)+INDEX(Models!$BJ175:$BT175,,T175+1)*R175-ERP_i)*Q175*Ramure*Pc/MaxiM</f>
        <v>0</v>
      </c>
      <c r="Q175" s="305">
        <f t="shared" si="53"/>
        <v>0.7</v>
      </c>
      <c r="R175" s="177">
        <f t="shared" si="54"/>
        <v>0.22587125466077662</v>
      </c>
      <c r="S175" s="817">
        <f t="shared" si="55"/>
        <v>-2</v>
      </c>
      <c r="T175" s="176">
        <f t="shared" si="56"/>
        <v>4</v>
      </c>
      <c r="U175" s="251">
        <f t="shared" si="57"/>
        <v>-1.7741287453392234</v>
      </c>
      <c r="V175" s="383">
        <f t="shared" si="58"/>
        <v>39.958945526966303</v>
      </c>
      <c r="W175" s="402">
        <f t="shared" si="59"/>
        <v>38.99534852582596</v>
      </c>
      <c r="X175" s="157">
        <f t="shared" si="60"/>
        <v>45818</v>
      </c>
      <c r="Y175" s="385">
        <f t="shared" si="61"/>
        <v>35.775663348971236</v>
      </c>
      <c r="Z175" s="385">
        <f t="shared" si="62"/>
        <v>37.879584111366022</v>
      </c>
      <c r="AA175" s="386">
        <f t="shared" si="63"/>
        <v>42.347233701436771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0.10550038809073779</v>
      </c>
      <c r="AD175" s="231">
        <f>(INDEX(Models!$BJ175:$BT175,,AH175)*(1-AF175)+INDEX(Models!$BJ175:$BT175,,AH175+1)*AF175-ERP_i)*AE175*Ramure*Pc/MaxiM</f>
        <v>0</v>
      </c>
      <c r="AE175" s="305">
        <f t="shared" si="65"/>
        <v>0.7</v>
      </c>
      <c r="AF175" s="177">
        <f t="shared" si="66"/>
        <v>0.84973462403683253</v>
      </c>
      <c r="AG175" s="817">
        <f t="shared" si="74"/>
        <v>0</v>
      </c>
      <c r="AH175" s="176">
        <f t="shared" si="67"/>
        <v>6</v>
      </c>
      <c r="AI175" s="225">
        <f t="shared" si="68"/>
        <v>0.84973462403683253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45819</v>
      </c>
      <c r="B176" s="411">
        <f>'2024'!Wh/'2024'!Env_an*'2025'!Env_an</f>
        <v>36.945798199970014</v>
      </c>
      <c r="C176" s="846"/>
      <c r="D176" s="393">
        <f t="shared" si="50"/>
        <v>39.119389903467713</v>
      </c>
      <c r="E176" s="385">
        <f t="shared" si="75"/>
        <v>40.130158094722184</v>
      </c>
      <c r="F176" s="385">
        <f t="shared" si="51"/>
        <v>40.130158094722184</v>
      </c>
      <c r="G176" s="110">
        <f t="shared" si="76"/>
        <v>0.92530402780827692</v>
      </c>
      <c r="H176" s="414" t="b">
        <f>Wh_hp&gt;='2024'!Maxi_hp</f>
        <v>1</v>
      </c>
      <c r="I176" s="390">
        <f>IF(H176,Wh_hp,'2024'!Maxi_hp)</f>
        <v>40.130158094722184</v>
      </c>
      <c r="J176" s="85">
        <f>IF(H176,An,'2024'!An_max)</f>
        <v>2025</v>
      </c>
      <c r="K176" s="197">
        <f t="shared" si="52"/>
        <v>45819</v>
      </c>
      <c r="L176" s="147">
        <f>IF(t&lt;Tvie,1-EXP((T0-t)*PertePVj)+'2024'!Pspv,1-EXP((T0-t)*PertePVj)+Pspv)</f>
        <v>5.5563026643854263E-2</v>
      </c>
      <c r="M176" s="850"/>
      <c r="N176" s="850"/>
      <c r="O176" s="48">
        <f>IF(t&lt;Tnet,'2024'!Resal+('2024'!Salim-'2024'!Resal)*(1-EXP(('2024'!Tnet-t)/('2024'!Tau_j))),Resal+(Salim-Resal)*(1-EXP((Tnet-t)/(Tau_j))))*Salcycl</f>
        <v>2.5187246680381303E-2</v>
      </c>
      <c r="P176" s="169">
        <f>(INDEX(Models!$BJ176:$BT176,,T176)*(1-R176)+INDEX(Models!$BJ176:$BT176,,T176+1)*R176-ERP_i)*Q176*Ramure*Pc/MaxiM</f>
        <v>0</v>
      </c>
      <c r="Q176" s="305">
        <f t="shared" si="53"/>
        <v>0.7</v>
      </c>
      <c r="R176" s="177">
        <f t="shared" si="54"/>
        <v>0.23101637097178807</v>
      </c>
      <c r="S176" s="817">
        <f t="shared" si="55"/>
        <v>-2</v>
      </c>
      <c r="T176" s="176">
        <f t="shared" si="56"/>
        <v>4</v>
      </c>
      <c r="U176" s="251">
        <f t="shared" si="57"/>
        <v>-1.7689836290282119</v>
      </c>
      <c r="V176" s="383">
        <f t="shared" si="58"/>
        <v>39.928279883836396</v>
      </c>
      <c r="W176" s="402">
        <f t="shared" si="59"/>
        <v>36.945798199970014</v>
      </c>
      <c r="X176" s="157">
        <f t="shared" si="60"/>
        <v>45819</v>
      </c>
      <c r="Y176" s="385">
        <f t="shared" si="61"/>
        <v>33.897165382605095</v>
      </c>
      <c r="Z176" s="385">
        <f t="shared" si="62"/>
        <v>35.891400208685525</v>
      </c>
      <c r="AA176" s="386">
        <f t="shared" si="63"/>
        <v>40.130158094722184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0.1056252476262767</v>
      </c>
      <c r="AD176" s="231">
        <f>(INDEX(Models!$BJ176:$BT176,,AH176)*(1-AF176)+INDEX(Models!$BJ176:$BT176,,AH176+1)*AF176-ERP_i)*AE176*Ramure*Pc/MaxiM</f>
        <v>0</v>
      </c>
      <c r="AE176" s="305">
        <f t="shared" si="65"/>
        <v>0.7</v>
      </c>
      <c r="AF176" s="177">
        <f t="shared" si="66"/>
        <v>0.85487974034784409</v>
      </c>
      <c r="AG176" s="817">
        <f t="shared" si="74"/>
        <v>0</v>
      </c>
      <c r="AH176" s="176">
        <f t="shared" si="67"/>
        <v>6</v>
      </c>
      <c r="AI176" s="225">
        <f t="shared" si="68"/>
        <v>0.85487974034784409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45820</v>
      </c>
      <c r="B177" s="411">
        <f>'2024'!Wh/'2024'!Env_an*'2025'!Env_an</f>
        <v>29.247625813058558</v>
      </c>
      <c r="C177" s="846"/>
      <c r="D177" s="393">
        <f t="shared" si="50"/>
        <v>30.96899766770089</v>
      </c>
      <c r="E177" s="385">
        <f t="shared" si="75"/>
        <v>31.775314722678647</v>
      </c>
      <c r="F177" s="385">
        <f t="shared" si="51"/>
        <v>31.775314722678647</v>
      </c>
      <c r="G177" s="110">
        <f t="shared" si="76"/>
        <v>0.73309191471387936</v>
      </c>
      <c r="H177" s="414" t="b">
        <f>Wh_hp&gt;='2024'!Maxi_hp</f>
        <v>0</v>
      </c>
      <c r="I177" s="390">
        <f>IF(H177,Wh_hp,'2024'!Maxi_hp)</f>
        <v>42.346993291813639</v>
      </c>
      <c r="J177" s="85">
        <f>IF(H177,An,'2024'!An_max)</f>
        <v>2019</v>
      </c>
      <c r="K177" s="197">
        <f t="shared" si="52"/>
        <v>45820</v>
      </c>
      <c r="L177" s="147">
        <f>IF(t&lt;Tvie,1-EXP((T0-t)*PertePVj)+'2024'!Pspv,1-EXP((T0-t)*PertePVj)+Pspv)</f>
        <v>5.5583712237404326E-2</v>
      </c>
      <c r="M177" s="850"/>
      <c r="N177" s="850"/>
      <c r="O177" s="48">
        <f>IF(t&lt;Tnet,'2024'!Resal+('2024'!Salim-'2024'!Resal)*(1-EXP(('2024'!Tnet-t)/('2024'!Tau_j))),Resal+(Salim-Resal)*(1-EXP((Tnet-t)/(Tau_j))))*Salcycl</f>
        <v>2.5375580447115863E-2</v>
      </c>
      <c r="P177" s="169">
        <f>(INDEX(Models!$BJ177:$BT177,,T177)*(1-R177)+INDEX(Models!$BJ177:$BT177,,T177+1)*R177-ERP_i)*Q177*Ramure*Pc/MaxiM</f>
        <v>0</v>
      </c>
      <c r="Q177" s="305">
        <f t="shared" si="53"/>
        <v>0.7</v>
      </c>
      <c r="R177" s="177">
        <f t="shared" si="54"/>
        <v>0.23615714561609402</v>
      </c>
      <c r="S177" s="817">
        <f t="shared" si="55"/>
        <v>-2</v>
      </c>
      <c r="T177" s="176">
        <f t="shared" si="56"/>
        <v>4</v>
      </c>
      <c r="U177" s="251">
        <f t="shared" si="57"/>
        <v>-1.763842854383906</v>
      </c>
      <c r="V177" s="383">
        <f t="shared" si="58"/>
        <v>39.896260245174993</v>
      </c>
      <c r="W177" s="402">
        <f t="shared" si="59"/>
        <v>29.247625813058558</v>
      </c>
      <c r="X177" s="157">
        <f t="shared" si="60"/>
        <v>45820</v>
      </c>
      <c r="Y177" s="385">
        <f t="shared" si="61"/>
        <v>26.835699366565969</v>
      </c>
      <c r="Z177" s="385">
        <f t="shared" si="62"/>
        <v>28.415117056210534</v>
      </c>
      <c r="AA177" s="386">
        <f t="shared" si="63"/>
        <v>31.775314722678647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0.10574868245348566</v>
      </c>
      <c r="AD177" s="231">
        <f>(INDEX(Models!$BJ177:$BT177,,AH177)*(1-AF177)+INDEX(Models!$BJ177:$BT177,,AH177+1)*AF177-ERP_i)*AE177*Ramure*Pc/MaxiM</f>
        <v>0</v>
      </c>
      <c r="AE177" s="305">
        <f t="shared" si="65"/>
        <v>0.7</v>
      </c>
      <c r="AF177" s="177">
        <f t="shared" si="66"/>
        <v>0.86002051499214993</v>
      </c>
      <c r="AG177" s="817">
        <f t="shared" si="74"/>
        <v>0</v>
      </c>
      <c r="AH177" s="176">
        <f t="shared" si="67"/>
        <v>6</v>
      </c>
      <c r="AI177" s="225">
        <f t="shared" si="68"/>
        <v>0.86002051499214993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45821</v>
      </c>
      <c r="B178" s="411">
        <f>'2024'!Wh/'2024'!Env_an*'2025'!Env_an</f>
        <v>35.592824631559139</v>
      </c>
      <c r="C178" s="846"/>
      <c r="D178" s="393">
        <f t="shared" si="50"/>
        <v>37.688469252435858</v>
      </c>
      <c r="E178" s="385">
        <f t="shared" si="75"/>
        <v>38.677194364786104</v>
      </c>
      <c r="F178" s="385">
        <f t="shared" si="51"/>
        <v>38.677194364786104</v>
      </c>
      <c r="G178" s="110">
        <f t="shared" si="76"/>
        <v>0.8928893163767766</v>
      </c>
      <c r="H178" s="414" t="b">
        <f>Wh_hp&gt;='2024'!Maxi_hp</f>
        <v>0</v>
      </c>
      <c r="I178" s="390">
        <f>IF(H178,Wh_hp,'2024'!Maxi_hp)</f>
        <v>42.331938879997239</v>
      </c>
      <c r="J178" s="85">
        <f>IF(H178,An,'2024'!An_max)</f>
        <v>2019</v>
      </c>
      <c r="K178" s="197">
        <f t="shared" si="52"/>
        <v>45821</v>
      </c>
      <c r="L178" s="147">
        <f>IF(t&lt;Tvie,1-EXP((T0-t)*PertePVj)+'2024'!Pspv,1-EXP((T0-t)*PertePVj)+Pspv)</f>
        <v>5.5604397377886916E-2</v>
      </c>
      <c r="M178" s="850"/>
      <c r="N178" s="850"/>
      <c r="O178" s="48">
        <f>IF(t&lt;Tnet,'2024'!Resal+('2024'!Salim-'2024'!Resal)*(1-EXP(('2024'!Tnet-t)/('2024'!Tau_j))),Resal+(Salim-Resal)*(1-EXP((Tnet-t)/(Tau_j))))*Salcycl</f>
        <v>2.5563516914516259E-2</v>
      </c>
      <c r="P178" s="169">
        <f>(INDEX(Models!$BJ178:$BT178,,T178)*(1-R178)+INDEX(Models!$BJ178:$BT178,,T178+1)*R178-ERP_i)*Q178*Ramure*Pc/MaxiM</f>
        <v>0</v>
      </c>
      <c r="Q178" s="305">
        <f t="shared" si="53"/>
        <v>0.7</v>
      </c>
      <c r="R178" s="177">
        <f t="shared" si="54"/>
        <v>0.24128925156936054</v>
      </c>
      <c r="S178" s="817">
        <f t="shared" si="55"/>
        <v>-2</v>
      </c>
      <c r="T178" s="176">
        <f t="shared" si="56"/>
        <v>4</v>
      </c>
      <c r="U178" s="251">
        <f t="shared" si="57"/>
        <v>-1.7587107484306395</v>
      </c>
      <c r="V178" s="383">
        <f t="shared" si="58"/>
        <v>39.862527167409716</v>
      </c>
      <c r="W178" s="402">
        <f t="shared" si="59"/>
        <v>35.592824631559139</v>
      </c>
      <c r="X178" s="157">
        <f t="shared" si="60"/>
        <v>45821</v>
      </c>
      <c r="Y178" s="385">
        <f t="shared" si="61"/>
        <v>32.659480964727955</v>
      </c>
      <c r="Z178" s="385">
        <f t="shared" si="62"/>
        <v>34.58241532896696</v>
      </c>
      <c r="AA178" s="386">
        <f t="shared" si="63"/>
        <v>38.677194364786104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0.10587063263170053</v>
      </c>
      <c r="AD178" s="231">
        <f>(INDEX(Models!$BJ178:$BT178,,AH178)*(1-AF178)+INDEX(Models!$BJ178:$BT178,,AH178+1)*AF178-ERP_i)*AE178*Ramure*Pc/MaxiM</f>
        <v>0</v>
      </c>
      <c r="AE178" s="305">
        <f t="shared" si="65"/>
        <v>0.7</v>
      </c>
      <c r="AF178" s="177">
        <f t="shared" si="66"/>
        <v>0.86515262094541645</v>
      </c>
      <c r="AG178" s="817">
        <f t="shared" si="74"/>
        <v>0</v>
      </c>
      <c r="AH178" s="176">
        <f t="shared" si="67"/>
        <v>6</v>
      </c>
      <c r="AI178" s="225">
        <f t="shared" si="68"/>
        <v>0.86515262094541645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45822</v>
      </c>
      <c r="B179" s="411">
        <f>'2024'!Wh/'2024'!Env_an*'2025'!Env_an</f>
        <v>31.884256135167821</v>
      </c>
      <c r="C179" s="846"/>
      <c r="D179" s="393">
        <f t="shared" si="50"/>
        <v>33.76228606843717</v>
      </c>
      <c r="E179" s="385">
        <f t="shared" si="75"/>
        <v>34.654679976732957</v>
      </c>
      <c r="F179" s="385">
        <f t="shared" si="51"/>
        <v>34.654679976732957</v>
      </c>
      <c r="G179" s="110">
        <f t="shared" si="76"/>
        <v>0.8005652245803101</v>
      </c>
      <c r="H179" s="414" t="b">
        <f>Wh_hp&gt;='2024'!Maxi_hp</f>
        <v>0</v>
      </c>
      <c r="I179" s="390">
        <f>IF(H179,Wh_hp,'2024'!Maxi_hp)</f>
        <v>38.498125268407549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5.5625082065311693E-2</v>
      </c>
      <c r="M179" s="850"/>
      <c r="N179" s="850"/>
      <c r="O179" s="48">
        <f>IF(t&lt;Tnet,'2024'!Resal+('2024'!Salim-'2024'!Resal)*(1-EXP(('2024'!Tnet-t)/('2024'!Tau_j))),Resal+(Salim-Resal)*(1-EXP((Tnet-t)/(Tau_j))))*Salcycl</f>
        <v>2.5751035903229719E-2</v>
      </c>
      <c r="P179" s="169">
        <f>(INDEX(Models!$BJ179:$BT179,,T179)*(1-R179)+INDEX(Models!$BJ179:$BT179,,T179+1)*R179-ERP_i)*Q179*Ramure*Pc/MaxiM</f>
        <v>0</v>
      </c>
      <c r="Q179" s="305">
        <f t="shared" si="53"/>
        <v>0.7</v>
      </c>
      <c r="R179" s="177">
        <f t="shared" si="54"/>
        <v>0.24640839098718659</v>
      </c>
      <c r="S179" s="817">
        <f t="shared" si="55"/>
        <v>-2</v>
      </c>
      <c r="T179" s="176">
        <f t="shared" si="56"/>
        <v>4</v>
      </c>
      <c r="U179" s="251">
        <f t="shared" si="57"/>
        <v>-1.7535916090128134</v>
      </c>
      <c r="V179" s="383">
        <f t="shared" si="58"/>
        <v>39.827181041848135</v>
      </c>
      <c r="W179" s="402">
        <f t="shared" si="59"/>
        <v>31.884256135167821</v>
      </c>
      <c r="X179" s="157">
        <f t="shared" si="60"/>
        <v>45822</v>
      </c>
      <c r="Y179" s="385">
        <f t="shared" si="61"/>
        <v>29.258240591934953</v>
      </c>
      <c r="Z179" s="385">
        <f t="shared" si="62"/>
        <v>30.981594318410746</v>
      </c>
      <c r="AA179" s="386">
        <f t="shared" si="63"/>
        <v>34.654679976732957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0.10599104250243574</v>
      </c>
      <c r="AD179" s="231">
        <f>(INDEX(Models!$BJ179:$BT179,,AH179)*(1-AF179)+INDEX(Models!$BJ179:$BT179,,AH179+1)*AF179-ERP_i)*AE179*Ramure*Pc/MaxiM</f>
        <v>0</v>
      </c>
      <c r="AE179" s="305">
        <f t="shared" si="65"/>
        <v>0.7</v>
      </c>
      <c r="AF179" s="177">
        <f t="shared" si="66"/>
        <v>0.87027176036324239</v>
      </c>
      <c r="AG179" s="817">
        <f t="shared" si="74"/>
        <v>0</v>
      </c>
      <c r="AH179" s="176">
        <f t="shared" si="67"/>
        <v>6</v>
      </c>
      <c r="AI179" s="225">
        <f t="shared" si="68"/>
        <v>0.87027176036324239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45823</v>
      </c>
      <c r="B180" s="411">
        <f>'2024'!Wh/'2024'!Env_an*'2025'!Env_an</f>
        <v>36.13638500179772</v>
      </c>
      <c r="C180" s="846"/>
      <c r="D180" s="393">
        <f t="shared" si="50"/>
        <v>38.265709743474851</v>
      </c>
      <c r="E180" s="385">
        <f t="shared" si="75"/>
        <v>39.284680421129103</v>
      </c>
      <c r="F180" s="385">
        <f t="shared" si="51"/>
        <v>39.284680421129103</v>
      </c>
      <c r="G180" s="110">
        <f t="shared" si="76"/>
        <v>0.90817020478727073</v>
      </c>
      <c r="H180" s="414" t="b">
        <f>Wh_hp&gt;='2024'!Maxi_hp</f>
        <v>1</v>
      </c>
      <c r="I180" s="390">
        <f>IF(H180,Wh_hp,'2024'!Maxi_hp)</f>
        <v>39.284680421129103</v>
      </c>
      <c r="J180" s="85">
        <f>IF(H180,An,'2024'!An_max)</f>
        <v>2025</v>
      </c>
      <c r="K180" s="197">
        <f t="shared" si="52"/>
        <v>45823</v>
      </c>
      <c r="L180" s="147">
        <f>IF(t&lt;Tvie,1-EXP((T0-t)*PertePVj)+'2024'!Pspv,1-EXP((T0-t)*PertePVj)+Pspv)</f>
        <v>5.564576629968887E-2</v>
      </c>
      <c r="M180" s="850"/>
      <c r="N180" s="850"/>
      <c r="O180" s="48">
        <f>IF(t&lt;Tnet,'2024'!Resal+('2024'!Salim-'2024'!Resal)*(1-EXP(('2024'!Tnet-t)/('2024'!Tau_j))),Resal+(Salim-Resal)*(1-EXP((Tnet-t)/(Tau_j))))*Salcycl</f>
        <v>2.5938118033059072E-2</v>
      </c>
      <c r="P180" s="169">
        <f>(INDEX(Models!$BJ180:$BT180,,T180)*(1-R180)+INDEX(Models!$BJ180:$BT180,,T180+1)*R180-ERP_i)*Q180*Ramure*Pc/MaxiM</f>
        <v>0</v>
      </c>
      <c r="Q180" s="305">
        <f t="shared" si="53"/>
        <v>0.7</v>
      </c>
      <c r="R180" s="177">
        <f t="shared" si="54"/>
        <v>0.25151030953432651</v>
      </c>
      <c r="S180" s="817">
        <f t="shared" si="55"/>
        <v>-2</v>
      </c>
      <c r="T180" s="176">
        <f t="shared" si="56"/>
        <v>4</v>
      </c>
      <c r="U180" s="251">
        <f t="shared" si="57"/>
        <v>-1.7484896904656735</v>
      </c>
      <c r="V180" s="383">
        <f t="shared" si="58"/>
        <v>39.790322134893522</v>
      </c>
      <c r="W180" s="402">
        <f t="shared" si="59"/>
        <v>36.13638500179772</v>
      </c>
      <c r="X180" s="157">
        <f t="shared" si="60"/>
        <v>45823</v>
      </c>
      <c r="Y180" s="385">
        <f t="shared" si="61"/>
        <v>33.162121230749996</v>
      </c>
      <c r="Z180" s="385">
        <f t="shared" si="62"/>
        <v>35.116188446372682</v>
      </c>
      <c r="AA180" s="386">
        <f t="shared" si="63"/>
        <v>39.284680421129103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0.10610986089413144</v>
      </c>
      <c r="AD180" s="231">
        <f>(INDEX(Models!$BJ180:$BT180,,AH180)*(1-AF180)+INDEX(Models!$BJ180:$BT180,,AH180+1)*AF180-ERP_i)*AE180*Ramure*Pc/MaxiM</f>
        <v>0</v>
      </c>
      <c r="AE180" s="305">
        <f t="shared" si="65"/>
        <v>0.7</v>
      </c>
      <c r="AF180" s="177">
        <f t="shared" si="66"/>
        <v>0.87537367891038242</v>
      </c>
      <c r="AG180" s="817">
        <f t="shared" si="74"/>
        <v>0</v>
      </c>
      <c r="AH180" s="176">
        <f t="shared" si="67"/>
        <v>6</v>
      </c>
      <c r="AI180" s="225">
        <f t="shared" si="68"/>
        <v>0.87537367891038242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45824</v>
      </c>
      <c r="B181" s="411">
        <f>'2024'!Wh/'2024'!Env_an*'2025'!Env_an</f>
        <v>34.094312988319835</v>
      </c>
      <c r="C181" s="846"/>
      <c r="D181" s="393">
        <f t="shared" si="50"/>
        <v>36.104100072739428</v>
      </c>
      <c r="E181" s="385">
        <f t="shared" si="75"/>
        <v>37.072612616521518</v>
      </c>
      <c r="F181" s="385">
        <f t="shared" si="51"/>
        <v>37.072612616521518</v>
      </c>
      <c r="G181" s="110">
        <f t="shared" si="76"/>
        <v>0.85767432083089701</v>
      </c>
      <c r="H181" s="414" t="b">
        <f>Wh_hp&gt;='2024'!Maxi_hp</f>
        <v>0</v>
      </c>
      <c r="I181" s="390">
        <f>IF(H181,Wh_hp,'2024'!Maxi_hp)</f>
        <v>44.363595434270344</v>
      </c>
      <c r="J181" s="85">
        <f>IF(H181,An,'2024'!An_max)</f>
        <v>2019</v>
      </c>
      <c r="K181" s="197">
        <f t="shared" si="52"/>
        <v>45824</v>
      </c>
      <c r="L181" s="147">
        <f>IF(t&lt;Tvie,1-EXP((T0-t)*PertePVj)+'2024'!Pspv,1-EXP((T0-t)*PertePVj)+Pspv)</f>
        <v>5.5666450081028107E-2</v>
      </c>
      <c r="M181" s="850"/>
      <c r="N181" s="850"/>
      <c r="O181" s="48">
        <f>IF(t&lt;Tnet,'2024'!Resal+('2024'!Salim-'2024'!Resal)*(1-EXP(('2024'!Tnet-t)/('2024'!Tau_j))),Resal+(Salim-Resal)*(1-EXP((Tnet-t)/(Tau_j))))*Salcycl</f>
        <v>2.612474480286477E-2</v>
      </c>
      <c r="P181" s="169">
        <f>(INDEX(Models!$BJ181:$BT181,,T181)*(1-R181)+INDEX(Models!$BJ181:$BT181,,T181+1)*R181-ERP_i)*Q181*Ramure*Pc/MaxiM</f>
        <v>0</v>
      </c>
      <c r="Q181" s="305">
        <f t="shared" si="53"/>
        <v>0.7</v>
      </c>
      <c r="R181" s="177">
        <f t="shared" si="54"/>
        <v>0.25659081040459841</v>
      </c>
      <c r="S181" s="817">
        <f t="shared" si="55"/>
        <v>-2</v>
      </c>
      <c r="T181" s="176">
        <f t="shared" si="56"/>
        <v>4</v>
      </c>
      <c r="U181" s="251">
        <f t="shared" si="57"/>
        <v>-1.7434091895954016</v>
      </c>
      <c r="V181" s="383">
        <f t="shared" si="58"/>
        <v>39.75205058639272</v>
      </c>
      <c r="W181" s="402">
        <f t="shared" si="59"/>
        <v>34.094312988319835</v>
      </c>
      <c r="X181" s="157">
        <f t="shared" si="60"/>
        <v>45824</v>
      </c>
      <c r="Y181" s="385">
        <f t="shared" si="61"/>
        <v>31.290018748988544</v>
      </c>
      <c r="Z181" s="385">
        <f t="shared" si="62"/>
        <v>33.134498664876801</v>
      </c>
      <c r="AA181" s="386">
        <f t="shared" si="63"/>
        <v>37.072612616521518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0.10622704130352245</v>
      </c>
      <c r="AD181" s="231">
        <f>(INDEX(Models!$BJ181:$BT181,,AH181)*(1-AF181)+INDEX(Models!$BJ181:$BT181,,AH181+1)*AF181-ERP_i)*AE181*Ramure*Pc/MaxiM</f>
        <v>0</v>
      </c>
      <c r="AE181" s="305">
        <f t="shared" si="65"/>
        <v>0.7</v>
      </c>
      <c r="AF181" s="177">
        <f t="shared" si="66"/>
        <v>0.88045417978065432</v>
      </c>
      <c r="AG181" s="817">
        <f t="shared" si="74"/>
        <v>0</v>
      </c>
      <c r="AH181" s="176">
        <f t="shared" si="67"/>
        <v>6</v>
      </c>
      <c r="AI181" s="225">
        <f t="shared" si="68"/>
        <v>0.88045417978065432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45825</v>
      </c>
      <c r="B182" s="411">
        <f>'2024'!Wh/'2024'!Env_an*'2025'!Env_an</f>
        <v>34.714263059171238</v>
      </c>
      <c r="C182" s="846"/>
      <c r="D182" s="393">
        <f t="shared" si="50"/>
        <v>36.761400047955853</v>
      </c>
      <c r="E182" s="385">
        <f t="shared" si="75"/>
        <v>37.754761758737089</v>
      </c>
      <c r="F182" s="385">
        <f t="shared" si="51"/>
        <v>37.754761758737089</v>
      </c>
      <c r="G182" s="110">
        <f t="shared" si="76"/>
        <v>0.87414019324402259</v>
      </c>
      <c r="H182" s="414" t="b">
        <f>Wh_hp&gt;='2024'!Maxi_hp</f>
        <v>0</v>
      </c>
      <c r="I182" s="390">
        <f>IF(H182,Wh_hp,'2024'!Maxi_hp)</f>
        <v>42.925961898835723</v>
      </c>
      <c r="J182" s="85">
        <f>IF(H182,An,'2024'!An_max)</f>
        <v>2019</v>
      </c>
      <c r="K182" s="197">
        <f t="shared" si="52"/>
        <v>45825</v>
      </c>
      <c r="L182" s="147">
        <f>IF(t&lt;Tvie,1-EXP((T0-t)*PertePVj)+'2024'!Pspv,1-EXP((T0-t)*PertePVj)+Pspv)</f>
        <v>5.5687133409339507E-2</v>
      </c>
      <c r="M182" s="850"/>
      <c r="N182" s="850"/>
      <c r="O182" s="48">
        <f>IF(t&lt;Tnet,'2024'!Resal+('2024'!Salim-'2024'!Resal)*(1-EXP(('2024'!Tnet-t)/('2024'!Tau_j))),Resal+(Salim-Resal)*(1-EXP((Tnet-t)/(Tau_j))))*Salcycl</f>
        <v>2.6310898665685721E-2</v>
      </c>
      <c r="P182" s="169">
        <f>(INDEX(Models!$BJ182:$BT182,,T182)*(1-R182)+INDEX(Models!$BJ182:$BT182,,T182+1)*R182-ERP_i)*Q182*Ramure*Pc/MaxiM</f>
        <v>0</v>
      </c>
      <c r="Q182" s="305">
        <f t="shared" si="53"/>
        <v>0.7</v>
      </c>
      <c r="R182" s="177">
        <f t="shared" si="54"/>
        <v>0.26164576793425809</v>
      </c>
      <c r="S182" s="817">
        <f t="shared" si="55"/>
        <v>-2</v>
      </c>
      <c r="T182" s="176">
        <f t="shared" si="56"/>
        <v>4</v>
      </c>
      <c r="U182" s="251">
        <f t="shared" si="57"/>
        <v>-1.7383542320657419</v>
      </c>
      <c r="V182" s="383">
        <f t="shared" si="58"/>
        <v>39.712466406953666</v>
      </c>
      <c r="W182" s="402">
        <f t="shared" si="59"/>
        <v>34.714263059171238</v>
      </c>
      <c r="X182" s="157">
        <f t="shared" si="60"/>
        <v>45825</v>
      </c>
      <c r="Y182" s="385">
        <f t="shared" si="61"/>
        <v>31.860950315122043</v>
      </c>
      <c r="Z182" s="385">
        <f t="shared" si="62"/>
        <v>33.739824418735878</v>
      </c>
      <c r="AA182" s="386">
        <f t="shared" si="63"/>
        <v>37.754761758737089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0.10634254205225091</v>
      </c>
      <c r="AD182" s="231">
        <f>(INDEX(Models!$BJ182:$BT182,,AH182)*(1-AF182)+INDEX(Models!$BJ182:$BT182,,AH182+1)*AF182-ERP_i)*AE182*Ramure*Pc/MaxiM</f>
        <v>0</v>
      </c>
      <c r="AE182" s="305">
        <f t="shared" si="65"/>
        <v>0.7</v>
      </c>
      <c r="AF182" s="177">
        <f t="shared" si="66"/>
        <v>0.88550913731031411</v>
      </c>
      <c r="AG182" s="817">
        <f t="shared" si="74"/>
        <v>0</v>
      </c>
      <c r="AH182" s="176">
        <f t="shared" si="67"/>
        <v>6</v>
      </c>
      <c r="AI182" s="225">
        <f t="shared" si="68"/>
        <v>0.88550913731031411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45826</v>
      </c>
      <c r="B183" s="411">
        <f>'2024'!Wh/'2024'!Env_an*'2025'!Env_an</f>
        <v>35.990308547945538</v>
      </c>
      <c r="C183" s="846"/>
      <c r="D183" s="393">
        <f t="shared" si="50"/>
        <v>38.113530079577473</v>
      </c>
      <c r="E183" s="385">
        <f t="shared" si="75"/>
        <v>39.150894218603867</v>
      </c>
      <c r="F183" s="385">
        <f t="shared" si="51"/>
        <v>39.150894218603867</v>
      </c>
      <c r="G183" s="110">
        <f t="shared" si="76"/>
        <v>0.90720428516913176</v>
      </c>
      <c r="H183" s="414" t="b">
        <f>Wh_hp&gt;='2024'!Maxi_hp</f>
        <v>0</v>
      </c>
      <c r="I183" s="390">
        <f>IF(H183,Wh_hp,'2024'!Maxi_hp)</f>
        <v>41.455412731300569</v>
      </c>
      <c r="J183" s="85">
        <f>IF(H183,An,'2024'!An_max)</f>
        <v>2019</v>
      </c>
      <c r="K183" s="197">
        <f t="shared" si="52"/>
        <v>45826</v>
      </c>
      <c r="L183" s="147">
        <f>IF(t&lt;Tvie,1-EXP((T0-t)*PertePVj)+'2024'!Pspv,1-EXP((T0-t)*PertePVj)+Pspv)</f>
        <v>5.5707816284632949E-2</v>
      </c>
      <c r="M183" s="850"/>
      <c r="N183" s="850"/>
      <c r="O183" s="48">
        <f>IF(t&lt;Tnet,'2024'!Resal+('2024'!Salim-'2024'!Resal)*(1-EXP(('2024'!Tnet-t)/('2024'!Tau_j))),Resal+(Salim-Resal)*(1-EXP((Tnet-t)/(Tau_j))))*Salcycl</f>
        <v>2.6496563098511668E-2</v>
      </c>
      <c r="P183" s="169">
        <f>(INDEX(Models!$BJ183:$BT183,,T183)*(1-R183)+INDEX(Models!$BJ183:$BT183,,T183+1)*R183-ERP_i)*Q183*Ramure*Pc/MaxiM</f>
        <v>0</v>
      </c>
      <c r="Q183" s="305">
        <f t="shared" si="53"/>
        <v>0.7</v>
      </c>
      <c r="R183" s="177">
        <f t="shared" si="54"/>
        <v>0.26667114071653009</v>
      </c>
      <c r="S183" s="817">
        <f t="shared" si="55"/>
        <v>-2</v>
      </c>
      <c r="T183" s="176">
        <f t="shared" si="56"/>
        <v>4</v>
      </c>
      <c r="U183" s="251">
        <f t="shared" si="57"/>
        <v>-1.7333288592834699</v>
      </c>
      <c r="V183" s="383">
        <f t="shared" si="58"/>
        <v>39.671669475454252</v>
      </c>
      <c r="W183" s="402">
        <f t="shared" si="59"/>
        <v>35.990308547945538</v>
      </c>
      <c r="X183" s="157">
        <f t="shared" si="60"/>
        <v>45826</v>
      </c>
      <c r="Y183" s="385">
        <f t="shared" si="61"/>
        <v>33.03420542166235</v>
      </c>
      <c r="Z183" s="385">
        <f t="shared" si="62"/>
        <v>34.983033844130254</v>
      </c>
      <c r="AA183" s="386">
        <f t="shared" si="63"/>
        <v>39.150894218603867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0.10645632641752314</v>
      </c>
      <c r="AD183" s="231">
        <f>(INDEX(Models!$BJ183:$BT183,,AH183)*(1-AF183)+INDEX(Models!$BJ183:$BT183,,AH183+1)*AF183-ERP_i)*AE183*Ramure*Pc/MaxiM</f>
        <v>0</v>
      </c>
      <c r="AE183" s="305">
        <f t="shared" si="65"/>
        <v>0.7</v>
      </c>
      <c r="AF183" s="177">
        <f t="shared" si="66"/>
        <v>0.89053451009258611</v>
      </c>
      <c r="AG183" s="817">
        <f t="shared" si="74"/>
        <v>0</v>
      </c>
      <c r="AH183" s="176">
        <f t="shared" si="67"/>
        <v>6</v>
      </c>
      <c r="AI183" s="225">
        <f t="shared" si="68"/>
        <v>0.89053451009258611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45827</v>
      </c>
      <c r="B184" s="411">
        <f>'2024'!Wh/'2024'!Env_an*'2025'!Env_an</f>
        <v>36.848400921826475</v>
      </c>
      <c r="C184" s="846"/>
      <c r="D184" s="393">
        <f t="shared" si="50"/>
        <v>39.023099681994445</v>
      </c>
      <c r="E184" s="385">
        <f t="shared" si="75"/>
        <v>40.09284587657087</v>
      </c>
      <c r="F184" s="385">
        <f t="shared" si="51"/>
        <v>40.09284587657087</v>
      </c>
      <c r="G184" s="110">
        <f t="shared" si="76"/>
        <v>0.92981641456178798</v>
      </c>
      <c r="H184" s="414" t="b">
        <f>Wh_hp&gt;='2024'!Maxi_hp</f>
        <v>1</v>
      </c>
      <c r="I184" s="390">
        <f>IF(H184,Wh_hp,'2024'!Maxi_hp)</f>
        <v>40.09284587657087</v>
      </c>
      <c r="J184" s="85">
        <f>IF(H184,An,'2024'!An_max)</f>
        <v>2025</v>
      </c>
      <c r="K184" s="197">
        <f t="shared" si="52"/>
        <v>45827</v>
      </c>
      <c r="L184" s="147">
        <f>IF(t&lt;Tvie,1-EXP((T0-t)*PertePVj)+'2024'!Pspv,1-EXP((T0-t)*PertePVj)+Pspv)</f>
        <v>5.5728498706918317E-2</v>
      </c>
      <c r="M184" s="850"/>
      <c r="N184" s="850"/>
      <c r="O184" s="48">
        <f>IF(t&lt;Tnet,'2024'!Resal+('2024'!Salim-'2024'!Resal)*(1-EXP(('2024'!Tnet-t)/('2024'!Tau_j))),Resal+(Salim-Resal)*(1-EXP((Tnet-t)/(Tau_j))))*Salcycl</f>
        <v>2.6681722666176501E-2</v>
      </c>
      <c r="P184" s="169">
        <f>(INDEX(Models!$BJ184:$BT184,,T184)*(1-R184)+INDEX(Models!$BJ184:$BT184,,T184+1)*R184-ERP_i)*Q184*Ramure*Pc/MaxiM</f>
        <v>0</v>
      </c>
      <c r="Q184" s="305">
        <f t="shared" si="53"/>
        <v>0.7</v>
      </c>
      <c r="R184" s="177">
        <f t="shared" si="54"/>
        <v>0.27166298413094259</v>
      </c>
      <c r="S184" s="817">
        <f t="shared" si="55"/>
        <v>-2</v>
      </c>
      <c r="T184" s="176">
        <f t="shared" si="56"/>
        <v>4</v>
      </c>
      <c r="U184" s="251">
        <f t="shared" si="57"/>
        <v>-1.7283370158690574</v>
      </c>
      <c r="V184" s="383">
        <f t="shared" si="58"/>
        <v>39.629759536125967</v>
      </c>
      <c r="W184" s="402">
        <f t="shared" si="59"/>
        <v>36.848400921826475</v>
      </c>
      <c r="X184" s="157">
        <f t="shared" si="60"/>
        <v>45827</v>
      </c>
      <c r="Y184" s="385">
        <f t="shared" si="61"/>
        <v>33.824010020993065</v>
      </c>
      <c r="Z184" s="385">
        <f t="shared" si="62"/>
        <v>35.820216934085799</v>
      </c>
      <c r="AA184" s="386">
        <f t="shared" si="63"/>
        <v>40.09284587657087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0.1065683627358035</v>
      </c>
      <c r="AD184" s="231">
        <f>(INDEX(Models!$BJ184:$BT184,,AH184)*(1-AF184)+INDEX(Models!$BJ184:$BT184,,AH184+1)*AF184-ERP_i)*AE184*Ramure*Pc/MaxiM</f>
        <v>0</v>
      </c>
      <c r="AE184" s="305">
        <f t="shared" si="65"/>
        <v>0.7</v>
      </c>
      <c r="AF184" s="177">
        <f t="shared" si="66"/>
        <v>0.89552635350699861</v>
      </c>
      <c r="AG184" s="817">
        <f t="shared" si="74"/>
        <v>0</v>
      </c>
      <c r="AH184" s="176">
        <f t="shared" si="67"/>
        <v>6</v>
      </c>
      <c r="AI184" s="225">
        <f t="shared" si="68"/>
        <v>0.89552635350699861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45828</v>
      </c>
      <c r="B185" s="411">
        <f>'2024'!Wh/'2024'!Env_an*'2025'!Env_an</f>
        <v>20.709116203684264</v>
      </c>
      <c r="C185" s="846"/>
      <c r="D185" s="393">
        <f t="shared" si="50"/>
        <v>21.931795853261391</v>
      </c>
      <c r="E185" s="385">
        <f t="shared" si="75"/>
        <v>22.537290893212866</v>
      </c>
      <c r="F185" s="385">
        <f t="shared" si="51"/>
        <v>22.537290893212866</v>
      </c>
      <c r="G185" s="110">
        <f t="shared" si="76"/>
        <v>0.52313137883227312</v>
      </c>
      <c r="H185" s="414" t="b">
        <f>Wh_hp&gt;='2024'!Maxi_hp</f>
        <v>0</v>
      </c>
      <c r="I185" s="390">
        <f>IF(H185,Wh_hp,'2024'!Maxi_hp)</f>
        <v>39.022000068069346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5.5749180676205601E-2</v>
      </c>
      <c r="M185" s="850"/>
      <c r="N185" s="850"/>
      <c r="O185" s="48">
        <f>IF(t&lt;Tnet,'2024'!Resal+('2024'!Salim-'2024'!Resal)*(1-EXP(('2024'!Tnet-t)/('2024'!Tau_j))),Resal+(Salim-Resal)*(1-EXP((Tnet-t)/(Tau_j))))*Salcycl</f>
        <v>2.6866363078883623E-2</v>
      </c>
      <c r="P185" s="169">
        <f>(INDEX(Models!$BJ185:$BT185,,T185)*(1-R185)+INDEX(Models!$BJ185:$BT185,,T185+1)*R185-ERP_i)*Q185*Ramure*Pc/MaxiM</f>
        <v>0</v>
      </c>
      <c r="Q185" s="305">
        <f t="shared" si="53"/>
        <v>0.7</v>
      </c>
      <c r="R185" s="177">
        <f t="shared" si="54"/>
        <v>0.27661746220802508</v>
      </c>
      <c r="S185" s="817">
        <f t="shared" si="55"/>
        <v>-2</v>
      </c>
      <c r="T185" s="176">
        <f t="shared" si="56"/>
        <v>4</v>
      </c>
      <c r="U185" s="251">
        <f t="shared" si="57"/>
        <v>-1.7233825377919749</v>
      </c>
      <c r="V185" s="383">
        <f t="shared" si="58"/>
        <v>39.586836197650541</v>
      </c>
      <c r="W185" s="402">
        <f t="shared" si="59"/>
        <v>20.709116203684264</v>
      </c>
      <c r="X185" s="157">
        <f t="shared" si="60"/>
        <v>45828</v>
      </c>
      <c r="Y185" s="385">
        <f t="shared" si="61"/>
        <v>19.010643010384914</v>
      </c>
      <c r="Z185" s="385">
        <f t="shared" si="62"/>
        <v>20.133043701247715</v>
      </c>
      <c r="AA185" s="386">
        <f t="shared" si="63"/>
        <v>22.537290893212866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0.10667862447873851</v>
      </c>
      <c r="AD185" s="231">
        <f>(INDEX(Models!$BJ185:$BT185,,AH185)*(1-AF185)+INDEX(Models!$BJ185:$BT185,,AH185+1)*AF185-ERP_i)*AE185*Ramure*Pc/MaxiM</f>
        <v>0</v>
      </c>
      <c r="AE185" s="305">
        <f t="shared" si="65"/>
        <v>0.7</v>
      </c>
      <c r="AF185" s="177">
        <f t="shared" si="66"/>
        <v>0.90048083158408088</v>
      </c>
      <c r="AG185" s="817">
        <f t="shared" si="74"/>
        <v>0</v>
      </c>
      <c r="AH185" s="176">
        <f t="shared" si="67"/>
        <v>6</v>
      </c>
      <c r="AI185" s="225">
        <f t="shared" si="68"/>
        <v>0.90048083158408088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45829</v>
      </c>
      <c r="B186" s="411">
        <f>'2024'!Wh/'2024'!Env_an*'2025'!Env_an</f>
        <v>14.493975821992526</v>
      </c>
      <c r="C186" s="846"/>
      <c r="D186" s="393">
        <f t="shared" si="50"/>
        <v>15.350045758598187</v>
      </c>
      <c r="E186" s="385">
        <f t="shared" si="75"/>
        <v>15.776816067949106</v>
      </c>
      <c r="F186" s="385">
        <f t="shared" si="51"/>
        <v>15.776816067949106</v>
      </c>
      <c r="G186" s="110">
        <f t="shared" si="76"/>
        <v>0.36653709161787357</v>
      </c>
      <c r="H186" s="414" t="b">
        <f>Wh_hp&gt;='2024'!Maxi_hp</f>
        <v>0</v>
      </c>
      <c r="I186" s="390">
        <f>IF(H186,Wh_hp,'2024'!Maxi_hp)</f>
        <v>35.180212507104621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5.5769862192504571E-2</v>
      </c>
      <c r="M186" s="850"/>
      <c r="N186" s="850"/>
      <c r="O186" s="48">
        <f>IF(t&lt;Tnet,'2024'!Resal+('2024'!Salim-'2024'!Resal)*(1-EXP(('2024'!Tnet-t)/('2024'!Tau_j))),Resal+(Salim-Resal)*(1-EXP((Tnet-t)/(Tau_j))))*Salcycl</f>
        <v>2.7050471242921429E-2</v>
      </c>
      <c r="P186" s="169">
        <f>(INDEX(Models!$BJ186:$BT186,,T186)*(1-R186)+INDEX(Models!$BJ186:$BT186,,T186+1)*R186-ERP_i)*Q186*Ramure*Pc/MaxiM</f>
        <v>0</v>
      </c>
      <c r="Q186" s="305">
        <f t="shared" si="53"/>
        <v>0.7</v>
      </c>
      <c r="R186" s="177">
        <f t="shared" si="54"/>
        <v>0.28153085875765171</v>
      </c>
      <c r="S186" s="817">
        <f t="shared" si="55"/>
        <v>-2</v>
      </c>
      <c r="T186" s="176">
        <f t="shared" si="56"/>
        <v>4</v>
      </c>
      <c r="U186" s="251">
        <f t="shared" si="57"/>
        <v>-1.7184691412423483</v>
      </c>
      <c r="V186" s="383">
        <f t="shared" si="58"/>
        <v>39.542998930932079</v>
      </c>
      <c r="W186" s="402">
        <f t="shared" si="59"/>
        <v>14.493975821992526</v>
      </c>
      <c r="X186" s="157">
        <f t="shared" si="60"/>
        <v>45829</v>
      </c>
      <c r="Y186" s="385">
        <f t="shared" si="61"/>
        <v>13.30614377665766</v>
      </c>
      <c r="Z186" s="385">
        <f t="shared" si="62"/>
        <v>14.092055785843224</v>
      </c>
      <c r="AA186" s="386">
        <f t="shared" si="63"/>
        <v>15.776816067949106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0.1067870903007169</v>
      </c>
      <c r="AD186" s="231">
        <f>(INDEX(Models!$BJ186:$BT186,,AH186)*(1-AF186)+INDEX(Models!$BJ186:$BT186,,AH186+1)*AF186-ERP_i)*AE186*Ramure*Pc/MaxiM</f>
        <v>0</v>
      </c>
      <c r="AE186" s="305">
        <f t="shared" si="65"/>
        <v>0.7</v>
      </c>
      <c r="AF186" s="177">
        <f t="shared" si="66"/>
        <v>0.90539422813370751</v>
      </c>
      <c r="AG186" s="817">
        <f t="shared" si="74"/>
        <v>0</v>
      </c>
      <c r="AH186" s="176">
        <f t="shared" si="67"/>
        <v>6</v>
      </c>
      <c r="AI186" s="225">
        <f t="shared" si="68"/>
        <v>0.90539422813370751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45830</v>
      </c>
      <c r="B187" s="411">
        <f>'2024'!Wh/'2024'!Env_an*'2025'!Env_an</f>
        <v>30.240172060780463</v>
      </c>
      <c r="C187" s="846"/>
      <c r="D187" s="393">
        <f t="shared" si="50"/>
        <v>32.026974359115925</v>
      </c>
      <c r="E187" s="385">
        <f t="shared" si="75"/>
        <v>32.923617315425467</v>
      </c>
      <c r="F187" s="385">
        <f t="shared" si="51"/>
        <v>32.923617315425467</v>
      </c>
      <c r="G187" s="110">
        <f t="shared" si="76"/>
        <v>0.76560601404519057</v>
      </c>
      <c r="H187" s="414" t="b">
        <f>Wh_hp&gt;='2024'!Maxi_hp</f>
        <v>0</v>
      </c>
      <c r="I187" s="390">
        <f>IF(H187,Wh_hp,'2024'!Maxi_hp)</f>
        <v>43.398049823870345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5.5790543255825331E-2</v>
      </c>
      <c r="M187" s="850"/>
      <c r="N187" s="850"/>
      <c r="O187" s="48">
        <f>IF(t&lt;Tnet,'2024'!Resal+('2024'!Salim-'2024'!Resal)*(1-EXP(('2024'!Tnet-t)/('2024'!Tau_j))),Resal+(Salim-Resal)*(1-EXP((Tnet-t)/(Tau_j))))*Salcycl</f>
        <v>2.723403530417802E-2</v>
      </c>
      <c r="P187" s="169">
        <f>(INDEX(Models!$BJ187:$BT187,,T187)*(1-R187)+INDEX(Models!$BJ187:$BT187,,T187+1)*R187-ERP_i)*Q187*Ramure*Pc/MaxiM</f>
        <v>0</v>
      </c>
      <c r="Q187" s="305">
        <f t="shared" si="53"/>
        <v>0.7</v>
      </c>
      <c r="R187" s="177">
        <f t="shared" si="54"/>
        <v>0.28639958769773921</v>
      </c>
      <c r="S187" s="817">
        <f t="shared" si="55"/>
        <v>-2</v>
      </c>
      <c r="T187" s="176">
        <f t="shared" si="56"/>
        <v>4</v>
      </c>
      <c r="U187" s="251">
        <f t="shared" si="57"/>
        <v>-1.7136004123022608</v>
      </c>
      <c r="V187" s="383">
        <f t="shared" si="58"/>
        <v>39.498347068882225</v>
      </c>
      <c r="W187" s="402">
        <f t="shared" si="59"/>
        <v>30.240172060780463</v>
      </c>
      <c r="X187" s="157">
        <f t="shared" si="60"/>
        <v>45830</v>
      </c>
      <c r="Y187" s="385">
        <f t="shared" si="61"/>
        <v>27.763807358021744</v>
      </c>
      <c r="Z187" s="385">
        <f t="shared" si="62"/>
        <v>29.404288592657153</v>
      </c>
      <c r="AA187" s="386">
        <f t="shared" si="63"/>
        <v>32.923617315425467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0.10689374405768684</v>
      </c>
      <c r="AD187" s="231">
        <f>(INDEX(Models!$BJ187:$BT187,,AH187)*(1-AF187)+INDEX(Models!$BJ187:$BT187,,AH187+1)*AF187-ERP_i)*AE187*Ramure*Pc/MaxiM</f>
        <v>0</v>
      </c>
      <c r="AE187" s="305">
        <f t="shared" si="65"/>
        <v>0.7</v>
      </c>
      <c r="AF187" s="177">
        <f t="shared" si="66"/>
        <v>0.91026295707379523</v>
      </c>
      <c r="AG187" s="817">
        <f t="shared" si="74"/>
        <v>0</v>
      </c>
      <c r="AH187" s="176">
        <f t="shared" si="67"/>
        <v>6</v>
      </c>
      <c r="AI187" s="225">
        <f t="shared" si="68"/>
        <v>0.91026295707379523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45831</v>
      </c>
      <c r="B188" s="411">
        <f>'2024'!Wh/'2024'!Env_an*'2025'!Env_an</f>
        <v>27.167107521045693</v>
      </c>
      <c r="C188" s="846"/>
      <c r="D188" s="393">
        <f t="shared" si="50"/>
        <v>28.772961729419279</v>
      </c>
      <c r="E188" s="385">
        <f t="shared" si="75"/>
        <v>29.584069484411511</v>
      </c>
      <c r="F188" s="385">
        <f t="shared" si="51"/>
        <v>29.584069484411511</v>
      </c>
      <c r="G188" s="110">
        <f t="shared" si="76"/>
        <v>0.68859456638491046</v>
      </c>
      <c r="H188" s="414" t="b">
        <f>Wh_hp&gt;='2024'!Maxi_hp</f>
        <v>0</v>
      </c>
      <c r="I188" s="390">
        <f>IF(H188,Wh_hp,'2024'!Maxi_hp)</f>
        <v>43.321618231322205</v>
      </c>
      <c r="J188" s="85">
        <f>IF(H188,An,'2024'!An_max)</f>
        <v>2018</v>
      </c>
      <c r="K188" s="197">
        <f t="shared" si="52"/>
        <v>45831</v>
      </c>
      <c r="L188" s="147">
        <f>IF(t&lt;Tvie,1-EXP((T0-t)*PertePVj)+'2024'!Pspv,1-EXP((T0-t)*PertePVj)+Pspv)</f>
        <v>5.5811223866177762E-2</v>
      </c>
      <c r="M188" s="850"/>
      <c r="N188" s="850"/>
      <c r="O188" s="48">
        <f>IF(t&lt;Tnet,'2024'!Resal+('2024'!Salim-'2024'!Resal)*(1-EXP(('2024'!Tnet-t)/('2024'!Tau_j))),Resal+(Salim-Resal)*(1-EXP((Tnet-t)/(Tau_j))))*Salcycl</f>
        <v>2.7417044684120265E-2</v>
      </c>
      <c r="P188" s="169">
        <f>(INDEX(Models!$BJ188:$BT188,,T188)*(1-R188)+INDEX(Models!$BJ188:$BT188,,T188+1)*R188-ERP_i)*Q188*Ramure*Pc/MaxiM</f>
        <v>0</v>
      </c>
      <c r="Q188" s="305">
        <f t="shared" si="53"/>
        <v>0.7</v>
      </c>
      <c r="R188" s="177">
        <f t="shared" si="54"/>
        <v>0.29122020252896119</v>
      </c>
      <c r="S188" s="817">
        <f t="shared" si="55"/>
        <v>-2</v>
      </c>
      <c r="T188" s="176">
        <f t="shared" si="56"/>
        <v>4</v>
      </c>
      <c r="U188" s="251">
        <f t="shared" si="57"/>
        <v>-1.7087797974710388</v>
      </c>
      <c r="V188" s="383">
        <f t="shared" si="58"/>
        <v>39.452979804461357</v>
      </c>
      <c r="W188" s="402">
        <f t="shared" si="59"/>
        <v>27.167107521045693</v>
      </c>
      <c r="X188" s="157">
        <f t="shared" si="60"/>
        <v>45831</v>
      </c>
      <c r="Y188" s="385">
        <f t="shared" si="61"/>
        <v>24.944160909190046</v>
      </c>
      <c r="Z188" s="385">
        <f t="shared" si="62"/>
        <v>26.418616212881826</v>
      </c>
      <c r="AA188" s="386">
        <f t="shared" si="63"/>
        <v>29.584069484411511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0.10699857479707549</v>
      </c>
      <c r="AD188" s="231">
        <f>(INDEX(Models!$BJ188:$BT188,,AH188)*(1-AF188)+INDEX(Models!$BJ188:$BT188,,AH188+1)*AF188-ERP_i)*AE188*Ramure*Pc/MaxiM</f>
        <v>0</v>
      </c>
      <c r="AE188" s="305">
        <f t="shared" si="65"/>
        <v>0.7</v>
      </c>
      <c r="AF188" s="177">
        <f t="shared" si="66"/>
        <v>0.9150835719050171</v>
      </c>
      <c r="AG188" s="817">
        <f t="shared" si="74"/>
        <v>0</v>
      </c>
      <c r="AH188" s="176">
        <f t="shared" si="67"/>
        <v>6</v>
      </c>
      <c r="AI188" s="225">
        <f t="shared" si="68"/>
        <v>0.9150835719050171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45832</v>
      </c>
      <c r="B189" s="411">
        <f>'2024'!Wh/'2024'!Env_an*'2025'!Env_an</f>
        <v>30.830838714835959</v>
      </c>
      <c r="C189" s="846"/>
      <c r="D189" s="393">
        <f t="shared" si="50"/>
        <v>32.653972154133946</v>
      </c>
      <c r="E189" s="385">
        <f t="shared" si="75"/>
        <v>33.58078468897488</v>
      </c>
      <c r="F189" s="385">
        <f t="shared" si="51"/>
        <v>33.58078468897488</v>
      </c>
      <c r="G189" s="110">
        <f t="shared" si="76"/>
        <v>0.7823696727717907</v>
      </c>
      <c r="H189" s="414" t="b">
        <f>Wh_hp&gt;='2024'!Maxi_hp</f>
        <v>0</v>
      </c>
      <c r="I189" s="390">
        <f>IF(H189,Wh_hp,'2024'!Maxi_hp)</f>
        <v>42.706685617077156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5.5831904023571632E-2</v>
      </c>
      <c r="M189" s="850"/>
      <c r="N189" s="850"/>
      <c r="O189" s="48">
        <f>IF(t&lt;Tnet,'2024'!Resal+('2024'!Salim-'2024'!Resal)*(1-EXP(('2024'!Tnet-t)/('2024'!Tau_j))),Resal+(Salim-Resal)*(1-EXP((Tnet-t)/(Tau_j))))*Salcycl</f>
        <v>2.7599490107961127E-2</v>
      </c>
      <c r="P189" s="169">
        <f>(INDEX(Models!$BJ189:$BT189,,T189)*(1-R189)+INDEX(Models!$BJ189:$BT189,,T189+1)*R189-ERP_i)*Q189*Ramure*Pc/MaxiM</f>
        <v>0</v>
      </c>
      <c r="Q189" s="305">
        <f t="shared" si="53"/>
        <v>0.7</v>
      </c>
      <c r="R189" s="177">
        <f t="shared" si="54"/>
        <v>0.29598940491050363</v>
      </c>
      <c r="S189" s="817">
        <f t="shared" si="55"/>
        <v>-2</v>
      </c>
      <c r="T189" s="176">
        <f t="shared" si="56"/>
        <v>4</v>
      </c>
      <c r="U189" s="251">
        <f t="shared" si="57"/>
        <v>-1.7040105950894964</v>
      </c>
      <c r="V189" s="383">
        <f t="shared" si="58"/>
        <v>39.406996190954096</v>
      </c>
      <c r="W189" s="402">
        <f t="shared" si="59"/>
        <v>30.830838714835959</v>
      </c>
      <c r="X189" s="157">
        <f t="shared" si="60"/>
        <v>45832</v>
      </c>
      <c r="Y189" s="385">
        <f t="shared" si="61"/>
        <v>28.310153066423158</v>
      </c>
      <c r="Z189" s="385">
        <f t="shared" si="62"/>
        <v>29.984229701328456</v>
      </c>
      <c r="AA189" s="386">
        <f t="shared" si="63"/>
        <v>33.58078468897488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0.10710157671887981</v>
      </c>
      <c r="AD189" s="231">
        <f>(INDEX(Models!$BJ189:$BT189,,AH189)*(1-AF189)+INDEX(Models!$BJ189:$BT189,,AH189+1)*AF189-ERP_i)*AE189*Ramure*Pc/MaxiM</f>
        <v>0</v>
      </c>
      <c r="AE189" s="305">
        <f t="shared" si="65"/>
        <v>0.7</v>
      </c>
      <c r="AF189" s="177">
        <f t="shared" si="66"/>
        <v>0.91985277428655943</v>
      </c>
      <c r="AG189" s="817">
        <f t="shared" si="74"/>
        <v>0</v>
      </c>
      <c r="AH189" s="176">
        <f t="shared" si="67"/>
        <v>6</v>
      </c>
      <c r="AI189" s="225">
        <f t="shared" si="68"/>
        <v>0.91985277428655943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45833</v>
      </c>
      <c r="B190" s="411">
        <f>'2024'!Wh/'2024'!Env_an*'2025'!Env_an</f>
        <v>21.986041937707743</v>
      </c>
      <c r="C190" s="846"/>
      <c r="D190" s="393">
        <f t="shared" si="50"/>
        <v>23.286662187268188</v>
      </c>
      <c r="E190" s="385">
        <f t="shared" si="75"/>
        <v>23.952083735084258</v>
      </c>
      <c r="F190" s="385">
        <f t="shared" si="51"/>
        <v>23.952083735084258</v>
      </c>
      <c r="G190" s="110">
        <f t="shared" si="76"/>
        <v>0.55858143700897889</v>
      </c>
      <c r="H190" s="414" t="b">
        <f>Wh_hp&gt;='2024'!Maxi_hp</f>
        <v>0</v>
      </c>
      <c r="I190" s="390">
        <f>IF(H190,Wh_hp,'2024'!Maxi_hp)</f>
        <v>42.181442408546353</v>
      </c>
      <c r="J190" s="85">
        <f>IF(H190,An,'2024'!An_max)</f>
        <v>2018</v>
      </c>
      <c r="K190" s="197">
        <f t="shared" si="52"/>
        <v>45833</v>
      </c>
      <c r="L190" s="147">
        <f>IF(t&lt;Tvie,1-EXP((T0-t)*PertePVj)+'2024'!Pspv,1-EXP((T0-t)*PertePVj)+Pspv)</f>
        <v>5.5852583728017047E-2</v>
      </c>
      <c r="M190" s="850"/>
      <c r="N190" s="850"/>
      <c r="O190" s="48">
        <f>IF(t&lt;Tnet,'2024'!Resal+('2024'!Salim-'2024'!Resal)*(1-EXP(('2024'!Tnet-t)/('2024'!Tau_j))),Resal+(Salim-Resal)*(1-EXP((Tnet-t)/(Tau_j))))*Salcycl</f>
        <v>2.7781363624801561E-2</v>
      </c>
      <c r="P190" s="169">
        <f>(INDEX(Models!$BJ190:$BT190,,T190)*(1-R190)+INDEX(Models!$BJ190:$BT190,,T190+1)*R190-ERP_i)*Q190*Ramure*Pc/MaxiM</f>
        <v>0</v>
      </c>
      <c r="Q190" s="305">
        <f t="shared" si="53"/>
        <v>0.7</v>
      </c>
      <c r="R190" s="177">
        <f t="shared" si="54"/>
        <v>0.30070405230147945</v>
      </c>
      <c r="S190" s="817">
        <f t="shared" si="55"/>
        <v>-2</v>
      </c>
      <c r="T190" s="176">
        <f t="shared" si="56"/>
        <v>4</v>
      </c>
      <c r="U190" s="251">
        <f t="shared" si="57"/>
        <v>-1.6992959476985205</v>
      </c>
      <c r="V190" s="383">
        <f t="shared" si="58"/>
        <v>39.360495141828935</v>
      </c>
      <c r="W190" s="402">
        <f t="shared" si="59"/>
        <v>21.986041937707743</v>
      </c>
      <c r="X190" s="157">
        <f t="shared" si="60"/>
        <v>45833</v>
      </c>
      <c r="Y190" s="385">
        <f t="shared" si="61"/>
        <v>20.189983060972235</v>
      </c>
      <c r="Z190" s="385">
        <f t="shared" si="62"/>
        <v>21.384354511812862</v>
      </c>
      <c r="AA190" s="386">
        <f t="shared" si="63"/>
        <v>23.952083735084258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0.10720274910822333</v>
      </c>
      <c r="AD190" s="231">
        <f>(INDEX(Models!$BJ190:$BT190,,AH190)*(1-AF190)+INDEX(Models!$BJ190:$BT190,,AH190+1)*AF190-ERP_i)*AE190*Ramure*Pc/MaxiM</f>
        <v>0</v>
      </c>
      <c r="AE190" s="305">
        <f t="shared" si="65"/>
        <v>0.7</v>
      </c>
      <c r="AF190" s="177">
        <f t="shared" si="66"/>
        <v>0.92456742167753536</v>
      </c>
      <c r="AG190" s="817">
        <f t="shared" si="74"/>
        <v>0</v>
      </c>
      <c r="AH190" s="176">
        <f t="shared" si="67"/>
        <v>6</v>
      </c>
      <c r="AI190" s="225">
        <f t="shared" si="68"/>
        <v>0.92456742167753536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45834</v>
      </c>
      <c r="B191" s="411">
        <f>'2024'!Wh/'2024'!Env_an*'2025'!Env_an</f>
        <v>7.8437197398358007</v>
      </c>
      <c r="C191" s="846"/>
      <c r="D191" s="393">
        <f t="shared" si="50"/>
        <v>8.3079097670609521</v>
      </c>
      <c r="E191" s="385">
        <f t="shared" si="75"/>
        <v>8.5469039237348525</v>
      </c>
      <c r="F191" s="385">
        <f t="shared" si="51"/>
        <v>8.5469039237348525</v>
      </c>
      <c r="G191" s="110">
        <f t="shared" si="76"/>
        <v>0.19951483075107551</v>
      </c>
      <c r="H191" s="414" t="b">
        <f>Wh_hp&gt;='2024'!Maxi_hp</f>
        <v>0</v>
      </c>
      <c r="I191" s="390">
        <f>IF(H191,Wh_hp,'2024'!Maxi_hp)</f>
        <v>41.141814363893154</v>
      </c>
      <c r="J191" s="85">
        <f>IF(H191,An,'2024'!An_max)</f>
        <v>2021</v>
      </c>
      <c r="K191" s="197">
        <f t="shared" si="52"/>
        <v>45834</v>
      </c>
      <c r="L191" s="147">
        <f>IF(t&lt;Tvie,1-EXP((T0-t)*PertePVj)+'2024'!Pspv,1-EXP((T0-t)*PertePVj)+Pspv)</f>
        <v>5.5873262979523886E-2</v>
      </c>
      <c r="M191" s="850"/>
      <c r="N191" s="850"/>
      <c r="O191" s="48">
        <f>IF(t&lt;Tnet,'2024'!Resal+('2024'!Salim-'2024'!Resal)*(1-EXP(('2024'!Tnet-t)/('2024'!Tau_j))),Resal+(Salim-Resal)*(1-EXP((Tnet-t)/(Tau_j))))*Salcycl</f>
        <v>2.7962658619598017E-2</v>
      </c>
      <c r="P191" s="169">
        <f>(INDEX(Models!$BJ191:$BT191,,T191)*(1-R191)+INDEX(Models!$BJ191:$BT191,,T191+1)*R191-ERP_i)*Q191*Ramure*Pc/MaxiM</f>
        <v>0</v>
      </c>
      <c r="Q191" s="305">
        <f t="shared" si="53"/>
        <v>0.7</v>
      </c>
      <c r="R191" s="177">
        <f t="shared" si="54"/>
        <v>0.30536116464231178</v>
      </c>
      <c r="S191" s="817">
        <f t="shared" si="55"/>
        <v>-2</v>
      </c>
      <c r="T191" s="176">
        <f t="shared" si="56"/>
        <v>4</v>
      </c>
      <c r="U191" s="251">
        <f t="shared" si="57"/>
        <v>-1.6946388353576882</v>
      </c>
      <c r="V191" s="383">
        <f t="shared" si="58"/>
        <v>39.313968341641775</v>
      </c>
      <c r="W191" s="402">
        <f t="shared" si="59"/>
        <v>7.8437197398358007</v>
      </c>
      <c r="X191" s="157">
        <f t="shared" si="60"/>
        <v>45834</v>
      </c>
      <c r="Y191" s="385">
        <f t="shared" si="61"/>
        <v>7.2035012147675541</v>
      </c>
      <c r="Z191" s="385">
        <f t="shared" si="62"/>
        <v>7.6298032163570912</v>
      </c>
      <c r="AA191" s="386">
        <f t="shared" si="63"/>
        <v>8.5469039237348525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0.1073020962398983</v>
      </c>
      <c r="AD191" s="231">
        <f>(INDEX(Models!$BJ191:$BT191,,AH191)*(1-AF191)+INDEX(Models!$BJ191:$BT191,,AH191+1)*AF191-ERP_i)*AE191*Ramure*Pc/MaxiM</f>
        <v>0</v>
      </c>
      <c r="AE191" s="305">
        <f t="shared" si="65"/>
        <v>0.7</v>
      </c>
      <c r="AF191" s="177">
        <f t="shared" si="66"/>
        <v>0.92922453401836758</v>
      </c>
      <c r="AG191" s="817">
        <f t="shared" si="74"/>
        <v>0</v>
      </c>
      <c r="AH191" s="176">
        <f t="shared" si="67"/>
        <v>6</v>
      </c>
      <c r="AI191" s="225">
        <f t="shared" si="68"/>
        <v>0.92922453401836758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45835</v>
      </c>
      <c r="B192" s="411">
        <f>'2024'!Wh/'2024'!Env_an*'2025'!Env_an</f>
        <v>10.154622576705789</v>
      </c>
      <c r="C192" s="846"/>
      <c r="D192" s="393">
        <f t="shared" si="50"/>
        <v>10.755807028535237</v>
      </c>
      <c r="E192" s="385">
        <f t="shared" si="75"/>
        <v>11.06727751243362</v>
      </c>
      <c r="F192" s="385">
        <f t="shared" si="51"/>
        <v>11.06727751243362</v>
      </c>
      <c r="G192" s="110">
        <f t="shared" si="76"/>
        <v>0.25860024315056224</v>
      </c>
      <c r="H192" s="414" t="b">
        <f>Wh_hp&gt;='2024'!Maxi_hp</f>
        <v>0</v>
      </c>
      <c r="I192" s="390">
        <f>IF(H192,Wh_hp,'2024'!Maxi_hp)</f>
        <v>40.70663915680317</v>
      </c>
      <c r="J192" s="85">
        <f>IF(H192,An,'2024'!An_max)</f>
        <v>2019</v>
      </c>
      <c r="K192" s="197">
        <f t="shared" si="52"/>
        <v>45835</v>
      </c>
      <c r="L192" s="147">
        <f>IF(t&lt;Tvie,1-EXP((T0-t)*PertePVj)+'2024'!Pspv,1-EXP((T0-t)*PertePVj)+Pspv)</f>
        <v>5.589394177810203E-2</v>
      </c>
      <c r="M192" s="850"/>
      <c r="N192" s="850"/>
      <c r="O192" s="48">
        <f>IF(t&lt;Tnet,'2024'!Resal+('2024'!Salim-'2024'!Resal)*(1-EXP(('2024'!Tnet-t)/('2024'!Tau_j))),Resal+(Salim-Resal)*(1-EXP((Tnet-t)/(Tau_j))))*Salcycl</f>
        <v>2.8143369816873154E-2</v>
      </c>
      <c r="P192" s="169">
        <f>(INDEX(Models!$BJ192:$BT192,,T192)*(1-R192)+INDEX(Models!$BJ192:$BT192,,T192+1)*R192-ERP_i)*Q192*Ramure*Pc/MaxiM</f>
        <v>0</v>
      </c>
      <c r="Q192" s="305">
        <f t="shared" si="53"/>
        <v>0.7</v>
      </c>
      <c r="R192" s="177">
        <f t="shared" si="54"/>
        <v>0.30995793006002881</v>
      </c>
      <c r="S192" s="817">
        <f t="shared" si="55"/>
        <v>-2</v>
      </c>
      <c r="T192" s="176">
        <f t="shared" si="56"/>
        <v>4</v>
      </c>
      <c r="U192" s="251">
        <f t="shared" si="57"/>
        <v>-1.6900420699399712</v>
      </c>
      <c r="V192" s="383">
        <f t="shared" si="58"/>
        <v>39.267645122798903</v>
      </c>
      <c r="W192" s="402">
        <f t="shared" si="59"/>
        <v>10.154622576705789</v>
      </c>
      <c r="X192" s="157">
        <f t="shared" si="60"/>
        <v>45835</v>
      </c>
      <c r="Y192" s="385">
        <f t="shared" si="61"/>
        <v>9.3264990077168424</v>
      </c>
      <c r="Z192" s="385">
        <f t="shared" si="62"/>
        <v>9.878656032863617</v>
      </c>
      <c r="AA192" s="386">
        <f t="shared" si="63"/>
        <v>11.06727751243362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0.10739962725563147</v>
      </c>
      <c r="AD192" s="231">
        <f>(INDEX(Models!$BJ192:$BT192,,AH192)*(1-AF192)+INDEX(Models!$BJ192:$BT192,,AH192+1)*AF192-ERP_i)*AE192*Ramure*Pc/MaxiM</f>
        <v>0</v>
      </c>
      <c r="AE192" s="305">
        <f t="shared" si="65"/>
        <v>0.7</v>
      </c>
      <c r="AF192" s="177">
        <f t="shared" si="66"/>
        <v>0.93382129943608483</v>
      </c>
      <c r="AG192" s="817">
        <f t="shared" si="74"/>
        <v>0</v>
      </c>
      <c r="AH192" s="176">
        <f t="shared" si="67"/>
        <v>6</v>
      </c>
      <c r="AI192" s="225">
        <f t="shared" si="68"/>
        <v>0.93382129943608483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45836</v>
      </c>
      <c r="B193" s="411">
        <f>'2024'!Wh/'2024'!Env_an*'2025'!Env_an</f>
        <v>39.469881303733089</v>
      </c>
      <c r="C193" s="846"/>
      <c r="D193" s="393">
        <f t="shared" si="50"/>
        <v>41.807533667036822</v>
      </c>
      <c r="E193" s="385">
        <f t="shared" si="75"/>
        <v>43.026185543990657</v>
      </c>
      <c r="F193" s="385">
        <f t="shared" si="51"/>
        <v>43.026185543990657</v>
      </c>
      <c r="G193" s="110">
        <f t="shared" si="76"/>
        <v>1.0063396886575582</v>
      </c>
      <c r="H193" s="414" t="b">
        <f>Wh_hp&gt;='2024'!Maxi_hp</f>
        <v>1</v>
      </c>
      <c r="I193" s="390">
        <f>IF(H193,Wh_hp,'2024'!Maxi_hp)</f>
        <v>43.026185543990657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5.5914620123761472E-2</v>
      </c>
      <c r="M193" s="850"/>
      <c r="N193" s="850"/>
      <c r="O193" s="48">
        <f>IF(t&lt;Tnet,'2024'!Resal+('2024'!Salim-'2024'!Resal)*(1-EXP(('2024'!Tnet-t)/('2024'!Tau_j))),Resal+(Salim-Resal)*(1-EXP((Tnet-t)/(Tau_j))))*Salcycl</f>
        <v>2.8323493276155326E-2</v>
      </c>
      <c r="P193" s="169">
        <f>(INDEX(Models!$BJ193:$BT193,,T193)*(1-R193)+INDEX(Models!$BJ193:$BT193,,T193+1)*R193-ERP_i)*Q193*Ramure*Pc/MaxiM</f>
        <v>0</v>
      </c>
      <c r="Q193" s="305">
        <f t="shared" si="53"/>
        <v>0.7</v>
      </c>
      <c r="R193" s="177">
        <f t="shared" si="54"/>
        <v>0.31449170959085837</v>
      </c>
      <c r="S193" s="817">
        <f t="shared" si="55"/>
        <v>-2</v>
      </c>
      <c r="T193" s="176">
        <f t="shared" si="56"/>
        <v>4</v>
      </c>
      <c r="U193" s="251">
        <f t="shared" si="57"/>
        <v>-1.6855082904091416</v>
      </c>
      <c r="V193" s="383">
        <f t="shared" si="58"/>
        <v>39.22123091099121</v>
      </c>
      <c r="W193" s="402">
        <f t="shared" si="59"/>
        <v>39.469881303733089</v>
      </c>
      <c r="X193" s="157">
        <f t="shared" si="60"/>
        <v>45836</v>
      </c>
      <c r="Y193" s="385">
        <f t="shared" si="61"/>
        <v>36.25388914659549</v>
      </c>
      <c r="Z193" s="385">
        <f t="shared" si="62"/>
        <v>38.401070410970739</v>
      </c>
      <c r="AA193" s="386">
        <f t="shared" si="63"/>
        <v>43.026185543990657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0.10749535601502784</v>
      </c>
      <c r="AD193" s="231">
        <f>(INDEX(Models!$BJ193:$BT193,,AH193)*(1-AF193)+INDEX(Models!$BJ193:$BT193,,AH193+1)*AF193-ERP_i)*AE193*Ramure*Pc/MaxiM</f>
        <v>0</v>
      </c>
      <c r="AE193" s="305">
        <f t="shared" si="65"/>
        <v>0.7</v>
      </c>
      <c r="AF193" s="177">
        <f t="shared" si="66"/>
        <v>0.93835507896691428</v>
      </c>
      <c r="AG193" s="817">
        <f t="shared" si="74"/>
        <v>0</v>
      </c>
      <c r="AH193" s="176">
        <f t="shared" si="67"/>
        <v>6</v>
      </c>
      <c r="AI193" s="225">
        <f t="shared" si="68"/>
        <v>0.93835507896691428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45837</v>
      </c>
      <c r="B194" s="411">
        <f>'2024'!Wh/'2024'!Env_an*'2025'!Env_an</f>
        <v>38.131589240803144</v>
      </c>
      <c r="C194" s="846"/>
      <c r="D194" s="393">
        <f t="shared" si="50"/>
        <v>40.390864270942814</v>
      </c>
      <c r="E194" s="385">
        <f t="shared" si="75"/>
        <v>41.575903340599005</v>
      </c>
      <c r="F194" s="385">
        <f t="shared" si="51"/>
        <v>41.575903340599005</v>
      </c>
      <c r="G194" s="110">
        <f t="shared" si="76"/>
        <v>0.97337952215864754</v>
      </c>
      <c r="H194" s="414" t="b">
        <f>Wh_hp&gt;='2024'!Maxi_hp</f>
        <v>1</v>
      </c>
      <c r="I194" s="390">
        <f>IF(H194,Wh_hp,'2024'!Maxi_hp)</f>
        <v>41.575903340599005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5.5935298016511981E-2</v>
      </c>
      <c r="M194" s="850"/>
      <c r="N194" s="850"/>
      <c r="O194" s="48">
        <f>IF(t&lt;Tnet,'2024'!Resal+('2024'!Salim-'2024'!Resal)*(1-EXP(('2024'!Tnet-t)/('2024'!Tau_j))),Resal+(Salim-Resal)*(1-EXP((Tnet-t)/(Tau_j))))*Salcycl</f>
        <v>2.8503026379200741E-2</v>
      </c>
      <c r="P194" s="169">
        <f>(INDEX(Models!$BJ194:$BT194,,T194)*(1-R194)+INDEX(Models!$BJ194:$BT194,,T194+1)*R194-ERP_i)*Q194*Ramure*Pc/MaxiM</f>
        <v>0</v>
      </c>
      <c r="Q194" s="305">
        <f t="shared" si="53"/>
        <v>0.7</v>
      </c>
      <c r="R194" s="177">
        <f t="shared" si="54"/>
        <v>0.31896004092263075</v>
      </c>
      <c r="S194" s="817">
        <f t="shared" si="55"/>
        <v>-2</v>
      </c>
      <c r="T194" s="176">
        <f t="shared" si="56"/>
        <v>4</v>
      </c>
      <c r="U194" s="251">
        <f t="shared" si="57"/>
        <v>-1.6810399590773693</v>
      </c>
      <c r="V194" s="383">
        <f t="shared" si="58"/>
        <v>39.174431321751406</v>
      </c>
      <c r="W194" s="402">
        <f t="shared" si="59"/>
        <v>38.131589240803144</v>
      </c>
      <c r="X194" s="157">
        <f t="shared" si="60"/>
        <v>45837</v>
      </c>
      <c r="Y194" s="385">
        <f t="shared" si="61"/>
        <v>35.027425854491035</v>
      </c>
      <c r="Z194" s="385">
        <f t="shared" si="62"/>
        <v>37.102780965010254</v>
      </c>
      <c r="AA194" s="386">
        <f t="shared" si="63"/>
        <v>41.575903340599005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0.10758930092135206</v>
      </c>
      <c r="AD194" s="231">
        <f>(INDEX(Models!$BJ194:$BT194,,AH194)*(1-AF194)+INDEX(Models!$BJ194:$BT194,,AH194+1)*AF194-ERP_i)*AE194*Ramure*Pc/MaxiM</f>
        <v>0</v>
      </c>
      <c r="AE194" s="305">
        <f t="shared" si="65"/>
        <v>0.7</v>
      </c>
      <c r="AF194" s="177">
        <f t="shared" si="66"/>
        <v>0.94282341029868655</v>
      </c>
      <c r="AG194" s="817">
        <f t="shared" si="74"/>
        <v>0</v>
      </c>
      <c r="AH194" s="176">
        <f t="shared" si="67"/>
        <v>6</v>
      </c>
      <c r="AI194" s="225">
        <f t="shared" si="68"/>
        <v>0.94282341029868655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45838</v>
      </c>
      <c r="B195" s="411">
        <f>'2024'!Wh/'2024'!Env_an*'2025'!Env_an</f>
        <v>9.272593196461159</v>
      </c>
      <c r="C195" s="846"/>
      <c r="D195" s="393">
        <f t="shared" si="50"/>
        <v>9.8222042144100818</v>
      </c>
      <c r="E195" s="385">
        <f t="shared" si="75"/>
        <v>10.112243249778215</v>
      </c>
      <c r="F195" s="385">
        <f t="shared" si="51"/>
        <v>10.112243249778215</v>
      </c>
      <c r="G195" s="110">
        <f t="shared" si="76"/>
        <v>0.23698736253264643</v>
      </c>
      <c r="H195" s="414" t="b">
        <f>Wh_hp&gt;='2024'!Maxi_hp</f>
        <v>0</v>
      </c>
      <c r="I195" s="390">
        <f>IF(H195,Wh_hp,'2024'!Maxi_hp)</f>
        <v>39.940934900012763</v>
      </c>
      <c r="J195" s="85">
        <f>IF(H195,An,'2024'!An_max)</f>
        <v>2018</v>
      </c>
      <c r="K195" s="197">
        <f t="shared" si="52"/>
        <v>45838</v>
      </c>
      <c r="L195" s="147">
        <f>IF(t&lt;Tvie,1-EXP((T0-t)*PertePVj)+'2024'!Pspv,1-EXP((T0-t)*PertePVj)+Pspv)</f>
        <v>5.595597545636366E-2</v>
      </c>
      <c r="M195" s="850"/>
      <c r="N195" s="850"/>
      <c r="O195" s="48">
        <f>IF(t&lt;Tnet,'2024'!Resal+('2024'!Salim-'2024'!Resal)*(1-EXP(('2024'!Tnet-t)/('2024'!Tau_j))),Resal+(Salim-Resal)*(1-EXP((Tnet-t)/(Tau_j))))*Salcycl</f>
        <v>2.8681967809120395E-2</v>
      </c>
      <c r="P195" s="169">
        <f>(INDEX(Models!$BJ195:$BT195,,T195)*(1-R195)+INDEX(Models!$BJ195:$BT195,,T195+1)*R195-ERP_i)*Q195*Ramure*Pc/MaxiM</f>
        <v>0</v>
      </c>
      <c r="Q195" s="305">
        <f t="shared" si="53"/>
        <v>0.7</v>
      </c>
      <c r="R195" s="177">
        <f t="shared" si="54"/>
        <v>0.32336064116818619</v>
      </c>
      <c r="S195" s="817">
        <f t="shared" si="55"/>
        <v>-2</v>
      </c>
      <c r="T195" s="176">
        <f t="shared" si="56"/>
        <v>4</v>
      </c>
      <c r="U195" s="251">
        <f t="shared" si="57"/>
        <v>-1.6766393588318138</v>
      </c>
      <c r="V195" s="383">
        <f t="shared" si="58"/>
        <v>39.126952160513639</v>
      </c>
      <c r="W195" s="402">
        <f t="shared" si="59"/>
        <v>9.272593196461159</v>
      </c>
      <c r="X195" s="157">
        <f t="shared" si="60"/>
        <v>45838</v>
      </c>
      <c r="Y195" s="385">
        <f t="shared" si="61"/>
        <v>8.5184319858309401</v>
      </c>
      <c r="Z195" s="385">
        <f t="shared" si="62"/>
        <v>9.0233418827568617</v>
      </c>
      <c r="AA195" s="386">
        <f t="shared" si="63"/>
        <v>10.112243249778215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0.10768148472350439</v>
      </c>
      <c r="AD195" s="231">
        <f>(INDEX(Models!$BJ195:$BT195,,AH195)*(1-AF195)+INDEX(Models!$BJ195:$BT195,,AH195+1)*AF195-ERP_i)*AE195*Ramure*Pc/MaxiM</f>
        <v>0</v>
      </c>
      <c r="AE195" s="305">
        <f t="shared" si="65"/>
        <v>0.7</v>
      </c>
      <c r="AF195" s="177">
        <f t="shared" si="66"/>
        <v>0.94722401054424221</v>
      </c>
      <c r="AG195" s="817">
        <f t="shared" si="74"/>
        <v>0</v>
      </c>
      <c r="AH195" s="176">
        <f t="shared" si="67"/>
        <v>6</v>
      </c>
      <c r="AI195" s="225">
        <f t="shared" si="68"/>
        <v>0.94722401054424221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45839</v>
      </c>
      <c r="B196" s="411">
        <f>'2024'!Wh/'2024'!Env_an*'2025'!Env_an</f>
        <v>35.921357844120351</v>
      </c>
      <c r="C196" s="846"/>
      <c r="D196" s="393">
        <f t="shared" si="50"/>
        <v>38.051344743847913</v>
      </c>
      <c r="E196" s="385">
        <f t="shared" si="75"/>
        <v>39.182154153910098</v>
      </c>
      <c r="F196" s="385">
        <f t="shared" si="51"/>
        <v>39.182154153910098</v>
      </c>
      <c r="G196" s="110">
        <f t="shared" si="76"/>
        <v>0.91921026590989596</v>
      </c>
      <c r="H196" s="414" t="b">
        <f>Wh_hp&gt;='2024'!Maxi_hp</f>
        <v>0</v>
      </c>
      <c r="I196" s="390">
        <f>IF(H196,Wh_hp,'2024'!Maxi_hp)</f>
        <v>41.378085246589393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5.597665244332628E-2</v>
      </c>
      <c r="M196" s="850"/>
      <c r="N196" s="850"/>
      <c r="O196" s="48">
        <f>IF(t&lt;Tnet,'2024'!Resal+('2024'!Salim-'2024'!Resal)*(1-EXP(('2024'!Tnet-t)/('2024'!Tau_j))),Resal+(Salim-Resal)*(1-EXP((Tnet-t)/(Tau_j))))*Salcycl</f>
        <v>2.8860317521601585E-2</v>
      </c>
      <c r="P196" s="169">
        <f>(INDEX(Models!$BJ196:$BT196,,T196)*(1-R196)+INDEX(Models!$BJ196:$BT196,,T196+1)*R196-ERP_i)*Q196*Ramure*Pc/MaxiM</f>
        <v>0</v>
      </c>
      <c r="Q196" s="305">
        <f t="shared" si="53"/>
        <v>0.7</v>
      </c>
      <c r="R196" s="177">
        <f t="shared" si="54"/>
        <v>0.32769140868912916</v>
      </c>
      <c r="S196" s="817">
        <f t="shared" si="55"/>
        <v>-2</v>
      </c>
      <c r="T196" s="176">
        <f t="shared" si="56"/>
        <v>4</v>
      </c>
      <c r="U196" s="251">
        <f t="shared" si="57"/>
        <v>-1.6723085913108708</v>
      </c>
      <c r="V196" s="383">
        <f t="shared" si="58"/>
        <v>39.07849942098175</v>
      </c>
      <c r="W196" s="402">
        <f t="shared" si="59"/>
        <v>35.921357844120351</v>
      </c>
      <c r="X196" s="157">
        <f t="shared" si="60"/>
        <v>45839</v>
      </c>
      <c r="Y196" s="385">
        <f t="shared" si="61"/>
        <v>33.002506441644861</v>
      </c>
      <c r="Z196" s="385">
        <f t="shared" si="62"/>
        <v>34.959417610869608</v>
      </c>
      <c r="AA196" s="386">
        <f t="shared" si="63"/>
        <v>39.182154153910098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0.10777193429573322</v>
      </c>
      <c r="AD196" s="231">
        <f>(INDEX(Models!$BJ196:$BT196,,AH196)*(1-AF196)+INDEX(Models!$BJ196:$BT196,,AH196+1)*AF196-ERP_i)*AE196*Ramure*Pc/MaxiM</f>
        <v>0</v>
      </c>
      <c r="AE196" s="305">
        <f t="shared" si="65"/>
        <v>0.7</v>
      </c>
      <c r="AF196" s="177">
        <f t="shared" si="66"/>
        <v>0.95155477806518507</v>
      </c>
      <c r="AG196" s="817">
        <f t="shared" si="74"/>
        <v>0</v>
      </c>
      <c r="AH196" s="176">
        <f t="shared" si="67"/>
        <v>6</v>
      </c>
      <c r="AI196" s="225">
        <f t="shared" si="68"/>
        <v>0.95155477806518507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45840</v>
      </c>
      <c r="B197" s="411">
        <f>'2024'!Wh/'2024'!Env_an*'2025'!Env_an</f>
        <v>37.018796203839273</v>
      </c>
      <c r="C197" s="846"/>
      <c r="D197" s="393">
        <f t="shared" si="50"/>
        <v>39.214715530135834</v>
      </c>
      <c r="E197" s="385">
        <f t="shared" si="75"/>
        <v>40.387490579650738</v>
      </c>
      <c r="F197" s="385">
        <f t="shared" si="51"/>
        <v>40.387490579650738</v>
      </c>
      <c r="G197" s="110">
        <f t="shared" si="76"/>
        <v>0.94849997566787692</v>
      </c>
      <c r="H197" s="414" t="b">
        <f>Wh_hp&gt;='2024'!Maxi_hp</f>
        <v>1</v>
      </c>
      <c r="I197" s="390">
        <f>IF(H197,Wh_hp,'2024'!Maxi_hp)</f>
        <v>40.387490579650738</v>
      </c>
      <c r="J197" s="85">
        <f>IF(H197,An,'2024'!An_max)</f>
        <v>2025</v>
      </c>
      <c r="K197" s="197">
        <f t="shared" si="52"/>
        <v>45840</v>
      </c>
      <c r="L197" s="147">
        <f>IF(t&lt;Tvie,1-EXP((T0-t)*PertePVj)+'2024'!Pspv,1-EXP((T0-t)*PertePVj)+Pspv)</f>
        <v>5.5997328977409833E-2</v>
      </c>
      <c r="M197" s="850"/>
      <c r="N197" s="850"/>
      <c r="O197" s="48">
        <f>IF(t&lt;Tnet,'2024'!Resal+('2024'!Salim-'2024'!Resal)*(1-EXP(('2024'!Tnet-t)/('2024'!Tau_j))),Resal+(Salim-Resal)*(1-EXP((Tnet-t)/(Tau_j))))*Salcycl</f>
        <v>2.9038076708479819E-2</v>
      </c>
      <c r="P197" s="169">
        <f>(INDEX(Models!$BJ197:$BT197,,T197)*(1-R197)+INDEX(Models!$BJ197:$BT197,,T197+1)*R197-ERP_i)*Q197*Ramure*Pc/MaxiM</f>
        <v>0</v>
      </c>
      <c r="Q197" s="305">
        <f t="shared" si="53"/>
        <v>0.7</v>
      </c>
      <c r="R197" s="177">
        <f t="shared" si="54"/>
        <v>0.33195042399678987</v>
      </c>
      <c r="S197" s="817">
        <f t="shared" si="55"/>
        <v>-2</v>
      </c>
      <c r="T197" s="176">
        <f t="shared" si="56"/>
        <v>4</v>
      </c>
      <c r="U197" s="251">
        <f t="shared" si="57"/>
        <v>-1.6680495760032101</v>
      </c>
      <c r="V197" s="383">
        <f t="shared" si="58"/>
        <v>39.028779286760503</v>
      </c>
      <c r="W197" s="402">
        <f t="shared" si="59"/>
        <v>37.018796203839273</v>
      </c>
      <c r="X197" s="157">
        <f t="shared" si="60"/>
        <v>45840</v>
      </c>
      <c r="Y197" s="385">
        <f t="shared" si="61"/>
        <v>34.013613578034345</v>
      </c>
      <c r="Z197" s="385">
        <f t="shared" si="62"/>
        <v>36.031268366210369</v>
      </c>
      <c r="AA197" s="386">
        <f t="shared" si="63"/>
        <v>40.387490579650738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0.10786068039679719</v>
      </c>
      <c r="AD197" s="231">
        <f>(INDEX(Models!$BJ197:$BT197,,AH197)*(1-AF197)+INDEX(Models!$BJ197:$BT197,,AH197+1)*AF197-ERP_i)*AE197*Ramure*Pc/MaxiM</f>
        <v>0</v>
      </c>
      <c r="AE197" s="305">
        <f t="shared" si="65"/>
        <v>0.7</v>
      </c>
      <c r="AF197" s="177">
        <f t="shared" si="66"/>
        <v>0.95581379337284567</v>
      </c>
      <c r="AG197" s="817">
        <f t="shared" si="74"/>
        <v>0</v>
      </c>
      <c r="AH197" s="176">
        <f t="shared" si="67"/>
        <v>6</v>
      </c>
      <c r="AI197" s="225">
        <f t="shared" si="68"/>
        <v>0.95581379337284567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45841</v>
      </c>
      <c r="B198" s="411">
        <f>'2024'!Wh/'2024'!Env_an*'2025'!Env_an</f>
        <v>30.632689569555833</v>
      </c>
      <c r="C198" s="846"/>
      <c r="D198" s="393">
        <f t="shared" si="50"/>
        <v>32.450501952061295</v>
      </c>
      <c r="E198" s="385">
        <f t="shared" si="75"/>
        <v>33.427082447456463</v>
      </c>
      <c r="F198" s="385">
        <f t="shared" si="51"/>
        <v>33.427082447456463</v>
      </c>
      <c r="G198" s="110">
        <f t="shared" si="76"/>
        <v>0.78590702429233328</v>
      </c>
      <c r="H198" s="414" t="b">
        <f>Wh_hp&gt;='2024'!Maxi_hp</f>
        <v>0</v>
      </c>
      <c r="I198" s="390">
        <f>IF(H198,Wh_hp,'2024'!Maxi_hp)</f>
        <v>34.016353689339262</v>
      </c>
      <c r="J198" s="85">
        <f>IF(H198,An,'2024'!An_max)</f>
        <v>2019</v>
      </c>
      <c r="K198" s="197">
        <f t="shared" si="52"/>
        <v>45841</v>
      </c>
      <c r="L198" s="147">
        <f>IF(t&lt;Tvie,1-EXP((T0-t)*PertePVj)+'2024'!Pspv,1-EXP((T0-t)*PertePVj)+Pspv)</f>
        <v>5.6018005058624198E-2</v>
      </c>
      <c r="M198" s="850"/>
      <c r="N198" s="850"/>
      <c r="O198" s="48">
        <f>IF(t&lt;Tnet,'2024'!Resal+('2024'!Salim-'2024'!Resal)*(1-EXP(('2024'!Tnet-t)/('2024'!Tau_j))),Resal+(Salim-Resal)*(1-EXP((Tnet-t)/(Tau_j))))*Salcycl</f>
        <v>2.9215247753980347E-2</v>
      </c>
      <c r="P198" s="169">
        <f>(INDEX(Models!$BJ198:$BT198,,T198)*(1-R198)+INDEX(Models!$BJ198:$BT198,,T198+1)*R198-ERP_i)*Q198*Ramure*Pc/MaxiM</f>
        <v>0</v>
      </c>
      <c r="Q198" s="305">
        <f t="shared" si="53"/>
        <v>0.7</v>
      </c>
      <c r="R198" s="177">
        <f t="shared" si="54"/>
        <v>0.33613594976408634</v>
      </c>
      <c r="S198" s="817">
        <f t="shared" si="55"/>
        <v>-2</v>
      </c>
      <c r="T198" s="176">
        <f t="shared" si="56"/>
        <v>4</v>
      </c>
      <c r="U198" s="251">
        <f t="shared" si="57"/>
        <v>-1.6638640502359137</v>
      </c>
      <c r="V198" s="383">
        <f t="shared" si="58"/>
        <v>38.977498129806015</v>
      </c>
      <c r="W198" s="402">
        <f t="shared" si="59"/>
        <v>30.632689569555833</v>
      </c>
      <c r="X198" s="157">
        <f t="shared" si="60"/>
        <v>45841</v>
      </c>
      <c r="Y198" s="385">
        <f t="shared" si="61"/>
        <v>28.148319556781505</v>
      </c>
      <c r="Z198" s="385">
        <f t="shared" si="62"/>
        <v>29.818703860479459</v>
      </c>
      <c r="AA198" s="386">
        <f t="shared" si="63"/>
        <v>33.427082447456463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0.10794775741044592</v>
      </c>
      <c r="AD198" s="231">
        <f>(INDEX(Models!$BJ198:$BT198,,AH198)*(1-AF198)+INDEX(Models!$BJ198:$BT198,,AH198+1)*AF198-ERP_i)*AE198*Ramure*Pc/MaxiM</f>
        <v>0</v>
      </c>
      <c r="AE198" s="305">
        <f t="shared" si="65"/>
        <v>0.7</v>
      </c>
      <c r="AF198" s="177">
        <f t="shared" si="66"/>
        <v>0.95999931914014214</v>
      </c>
      <c r="AG198" s="817">
        <f t="shared" si="74"/>
        <v>0</v>
      </c>
      <c r="AH198" s="176">
        <f t="shared" si="67"/>
        <v>6</v>
      </c>
      <c r="AI198" s="225">
        <f t="shared" si="68"/>
        <v>0.95999931914014214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45842</v>
      </c>
      <c r="B199" s="411">
        <f>'2024'!Wh/'2024'!Env_an*'2025'!Env_an</f>
        <v>29.353756037312248</v>
      </c>
      <c r="C199" s="846"/>
      <c r="D199" s="393">
        <f t="shared" si="50"/>
        <v>31.09635473058875</v>
      </c>
      <c r="E199" s="385">
        <f t="shared" si="75"/>
        <v>32.038010626508658</v>
      </c>
      <c r="F199" s="385">
        <f t="shared" si="51"/>
        <v>32.038010626508658</v>
      </c>
      <c r="G199" s="110">
        <f t="shared" si="76"/>
        <v>0.75412297448543464</v>
      </c>
      <c r="H199" s="414" t="b">
        <f>Wh_hp&gt;='2024'!Maxi_hp</f>
        <v>0</v>
      </c>
      <c r="I199" s="390">
        <f>IF(H199,Wh_hp,'2024'!Maxi_hp)</f>
        <v>39.345572837234378</v>
      </c>
      <c r="J199" s="85">
        <f>IF(H199,An,'2024'!An_max)</f>
        <v>2019</v>
      </c>
      <c r="K199" s="197">
        <f t="shared" si="52"/>
        <v>45842</v>
      </c>
      <c r="L199" s="147">
        <f>IF(t&lt;Tvie,1-EXP((T0-t)*PertePVj)+'2024'!Pspv,1-EXP((T0-t)*PertePVj)+Pspv)</f>
        <v>5.603868068697937E-2</v>
      </c>
      <c r="M199" s="850"/>
      <c r="N199" s="850"/>
      <c r="O199" s="48">
        <f>IF(t&lt;Tnet,'2024'!Resal+('2024'!Salim-'2024'!Resal)*(1-EXP(('2024'!Tnet-t)/('2024'!Tau_j))),Resal+(Salim-Resal)*(1-EXP((Tnet-t)/(Tau_j))))*Salcycl</f>
        <v>2.9391834184010347E-2</v>
      </c>
      <c r="P199" s="169">
        <f>(INDEX(Models!$BJ199:$BT199,,T199)*(1-R199)+INDEX(Models!$BJ199:$BT199,,T199+1)*R199-ERP_i)*Q199*Ramure*Pc/MaxiM</f>
        <v>0</v>
      </c>
      <c r="Q199" s="305">
        <f t="shared" si="53"/>
        <v>0.7</v>
      </c>
      <c r="R199" s="177">
        <f t="shared" si="54"/>
        <v>0.34024642998804344</v>
      </c>
      <c r="S199" s="817">
        <f t="shared" si="55"/>
        <v>-2</v>
      </c>
      <c r="T199" s="176">
        <f t="shared" si="56"/>
        <v>4</v>
      </c>
      <c r="U199" s="251">
        <f t="shared" si="57"/>
        <v>-1.6597535700119566</v>
      </c>
      <c r="V199" s="383">
        <f t="shared" si="58"/>
        <v>38.924362511752641</v>
      </c>
      <c r="W199" s="402">
        <f t="shared" si="59"/>
        <v>29.353756037312248</v>
      </c>
      <c r="X199" s="157">
        <f t="shared" si="60"/>
        <v>45842</v>
      </c>
      <c r="Y199" s="385">
        <f t="shared" si="61"/>
        <v>26.97543321045217</v>
      </c>
      <c r="Z199" s="385">
        <f t="shared" si="62"/>
        <v>28.57684171856096</v>
      </c>
      <c r="AA199" s="386">
        <f t="shared" si="63"/>
        <v>32.038010626508658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0.1080332030692281</v>
      </c>
      <c r="AD199" s="231">
        <f>(INDEX(Models!$BJ199:$BT199,,AH199)*(1-AF199)+INDEX(Models!$BJ199:$BT199,,AH199+1)*AF199-ERP_i)*AE199*Ramure*Pc/MaxiM</f>
        <v>0</v>
      </c>
      <c r="AE199" s="305">
        <f t="shared" si="65"/>
        <v>0.7</v>
      </c>
      <c r="AF199" s="177">
        <f t="shared" si="66"/>
        <v>0.96410979936409924</v>
      </c>
      <c r="AG199" s="817">
        <f t="shared" si="74"/>
        <v>0</v>
      </c>
      <c r="AH199" s="176">
        <f t="shared" si="67"/>
        <v>6</v>
      </c>
      <c r="AI199" s="225">
        <f t="shared" si="68"/>
        <v>0.96410979936409924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45843</v>
      </c>
      <c r="B200" s="411">
        <f>'2024'!Wh/'2024'!Env_an*'2025'!Env_an</f>
        <v>36.628749134924277</v>
      </c>
      <c r="C200" s="846"/>
      <c r="D200" s="393">
        <f t="shared" si="50"/>
        <v>38.804080915905701</v>
      </c>
      <c r="E200" s="385">
        <f t="shared" si="75"/>
        <v>39.986392186605805</v>
      </c>
      <c r="F200" s="385">
        <f t="shared" si="51"/>
        <v>39.986392186605805</v>
      </c>
      <c r="G200" s="110">
        <f t="shared" si="76"/>
        <v>0.94236215268924417</v>
      </c>
      <c r="H200" s="414" t="b">
        <f>Wh_hp&gt;='2024'!Maxi_hp</f>
        <v>0</v>
      </c>
      <c r="I200" s="390">
        <f>IF(H200,Wh_hp,'2024'!Maxi_hp)</f>
        <v>42.685652702898089</v>
      </c>
      <c r="J200" s="85">
        <f>IF(H200,An,'2024'!An_max)</f>
        <v>2020</v>
      </c>
      <c r="K200" s="197">
        <f t="shared" si="52"/>
        <v>45843</v>
      </c>
      <c r="L200" s="147">
        <f>IF(t&lt;Tvie,1-EXP((T0-t)*PertePVj)+'2024'!Pspv,1-EXP((T0-t)*PertePVj)+Pspv)</f>
        <v>5.6059355862485116E-2</v>
      </c>
      <c r="M200" s="850"/>
      <c r="N200" s="850"/>
      <c r="O200" s="48">
        <f>IF(t&lt;Tnet,'2024'!Resal+('2024'!Salim-'2024'!Resal)*(1-EXP(('2024'!Tnet-t)/('2024'!Tau_j))),Resal+(Salim-Resal)*(1-EXP((Tnet-t)/(Tau_j))))*Salcycl</f>
        <v>2.9567840608939626E-2</v>
      </c>
      <c r="P200" s="169">
        <f>(INDEX(Models!$BJ200:$BT200,,T200)*(1-R200)+INDEX(Models!$BJ200:$BT200,,T200+1)*R200-ERP_i)*Q200*Ramure*Pc/MaxiM</f>
        <v>0</v>
      </c>
      <c r="Q200" s="305">
        <f t="shared" si="53"/>
        <v>0.7</v>
      </c>
      <c r="R200" s="177">
        <f t="shared" si="54"/>
        <v>0.34428048834801728</v>
      </c>
      <c r="S200" s="817">
        <f t="shared" si="55"/>
        <v>-2</v>
      </c>
      <c r="T200" s="176">
        <f t="shared" si="56"/>
        <v>4</v>
      </c>
      <c r="U200" s="251">
        <f t="shared" si="57"/>
        <v>-1.6557195116519827</v>
      </c>
      <c r="V200" s="383">
        <f t="shared" si="58"/>
        <v>38.869079186166196</v>
      </c>
      <c r="W200" s="402">
        <f t="shared" si="59"/>
        <v>36.628749134924277</v>
      </c>
      <c r="X200" s="157">
        <f t="shared" si="60"/>
        <v>45843</v>
      </c>
      <c r="Y200" s="385">
        <f t="shared" si="61"/>
        <v>33.663926136513567</v>
      </c>
      <c r="Z200" s="385">
        <f t="shared" si="62"/>
        <v>35.663181096807769</v>
      </c>
      <c r="AA200" s="386">
        <f t="shared" si="63"/>
        <v>39.986392186605805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0.10811705816375639</v>
      </c>
      <c r="AD200" s="231">
        <f>(INDEX(Models!$BJ200:$BT200,,AH200)*(1-AF200)+INDEX(Models!$BJ200:$BT200,,AH200+1)*AF200-ERP_i)*AE200*Ramure*Pc/MaxiM</f>
        <v>0</v>
      </c>
      <c r="AE200" s="305">
        <f t="shared" si="65"/>
        <v>0.7</v>
      </c>
      <c r="AF200" s="177">
        <f t="shared" si="66"/>
        <v>0.96814385772407308</v>
      </c>
      <c r="AG200" s="817">
        <f t="shared" si="74"/>
        <v>0</v>
      </c>
      <c r="AH200" s="176">
        <f t="shared" si="67"/>
        <v>6</v>
      </c>
      <c r="AI200" s="225">
        <f t="shared" si="68"/>
        <v>0.96814385772407308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45844</v>
      </c>
      <c r="B201" s="411">
        <f>'2024'!Wh/'2024'!Env_an*'2025'!Env_an</f>
        <v>29.256967889866569</v>
      </c>
      <c r="C201" s="846"/>
      <c r="D201" s="393">
        <f t="shared" si="50"/>
        <v>30.995178445057633</v>
      </c>
      <c r="E201" s="385">
        <f t="shared" si="75"/>
        <v>31.945337323291518</v>
      </c>
      <c r="F201" s="385">
        <f t="shared" si="51"/>
        <v>31.945337323291518</v>
      </c>
      <c r="G201" s="110">
        <f t="shared" si="76"/>
        <v>0.75382495193533128</v>
      </c>
      <c r="H201" s="414" t="b">
        <f>Wh_hp&gt;='2024'!Maxi_hp</f>
        <v>0</v>
      </c>
      <c r="I201" s="390">
        <f>IF(H201,Wh_hp,'2024'!Maxi_hp)</f>
        <v>42.389212353371924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5.6080030585151541E-2</v>
      </c>
      <c r="M201" s="850"/>
      <c r="N201" s="850"/>
      <c r="O201" s="48">
        <f>IF(t&lt;Tnet,'2024'!Resal+('2024'!Salim-'2024'!Resal)*(1-EXP(('2024'!Tnet-t)/('2024'!Tau_j))),Resal+(Salim-Resal)*(1-EXP((Tnet-t)/(Tau_j))))*Salcycl</f>
        <v>2.9743272660361551E-2</v>
      </c>
      <c r="P201" s="169">
        <f>(INDEX(Models!$BJ201:$BT201,,T201)*(1-R201)+INDEX(Models!$BJ201:$BT201,,T201+1)*R201-ERP_i)*Q201*Ramure*Pc/MaxiM</f>
        <v>0</v>
      </c>
      <c r="Q201" s="305">
        <f t="shared" si="53"/>
        <v>0.7</v>
      </c>
      <c r="R201" s="177">
        <f t="shared" si="54"/>
        <v>0.34823692580914334</v>
      </c>
      <c r="S201" s="817">
        <f t="shared" si="55"/>
        <v>-2</v>
      </c>
      <c r="T201" s="176">
        <f t="shared" si="56"/>
        <v>4</v>
      </c>
      <c r="U201" s="251">
        <f t="shared" si="57"/>
        <v>-1.6517630741908567</v>
      </c>
      <c r="V201" s="383">
        <f t="shared" si="58"/>
        <v>38.811355096105196</v>
      </c>
      <c r="W201" s="402">
        <f t="shared" si="59"/>
        <v>29.256967889866569</v>
      </c>
      <c r="X201" s="157">
        <f t="shared" si="60"/>
        <v>45844</v>
      </c>
      <c r="Y201" s="385">
        <f t="shared" si="61"/>
        <v>26.891215253543542</v>
      </c>
      <c r="Z201" s="385">
        <f t="shared" si="62"/>
        <v>28.488872070599218</v>
      </c>
      <c r="AA201" s="386">
        <f t="shared" si="63"/>
        <v>31.945337323291518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0.10819936623966003</v>
      </c>
      <c r="AD201" s="231">
        <f>(INDEX(Models!$BJ201:$BT201,,AH201)*(1-AF201)+INDEX(Models!$BJ201:$BT201,,AH201+1)*AF201-ERP_i)*AE201*Ramure*Pc/MaxiM</f>
        <v>0</v>
      </c>
      <c r="AE201" s="305">
        <f t="shared" si="65"/>
        <v>0.7</v>
      </c>
      <c r="AF201" s="177">
        <f t="shared" si="66"/>
        <v>0.97210029518519925</v>
      </c>
      <c r="AG201" s="817">
        <f t="shared" si="74"/>
        <v>0</v>
      </c>
      <c r="AH201" s="176">
        <f t="shared" si="67"/>
        <v>6</v>
      </c>
      <c r="AI201" s="225">
        <f t="shared" si="68"/>
        <v>0.97210029518519925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45845</v>
      </c>
      <c r="B202" s="411">
        <f>'2024'!Wh/'2024'!Env_an*'2025'!Env_an</f>
        <v>37.696032209751081</v>
      </c>
      <c r="C202" s="846"/>
      <c r="D202" s="393">
        <f t="shared" si="50"/>
        <v>39.936497890868573</v>
      </c>
      <c r="E202" s="385">
        <f t="shared" si="75"/>
        <v>41.168172925291458</v>
      </c>
      <c r="F202" s="385">
        <f t="shared" si="51"/>
        <v>41.168172925291458</v>
      </c>
      <c r="G202" s="110">
        <f t="shared" si="76"/>
        <v>0.9727783034594627</v>
      </c>
      <c r="H202" s="414" t="b">
        <f>Wh_hp&gt;='2024'!Maxi_hp</f>
        <v>1</v>
      </c>
      <c r="I202" s="390">
        <f>IF(H202,Wh_hp,'2024'!Maxi_hp)</f>
        <v>41.168172925291458</v>
      </c>
      <c r="J202" s="85">
        <f>IF(H202,An,'2024'!An_max)</f>
        <v>2025</v>
      </c>
      <c r="K202" s="197">
        <f t="shared" si="52"/>
        <v>45845</v>
      </c>
      <c r="L202" s="147">
        <f>IF(t&lt;Tvie,1-EXP((T0-t)*PertePVj)+'2024'!Pspv,1-EXP((T0-t)*PertePVj)+Pspv)</f>
        <v>5.6100704854988526E-2</v>
      </c>
      <c r="M202" s="850"/>
      <c r="N202" s="850"/>
      <c r="O202" s="48">
        <f>IF(t&lt;Tnet,'2024'!Resal+('2024'!Salim-'2024'!Resal)*(1-EXP(('2024'!Tnet-t)/('2024'!Tau_j))),Resal+(Salim-Resal)*(1-EXP((Tnet-t)/(Tau_j))))*Salcycl</f>
        <v>2.9918136922375101E-2</v>
      </c>
      <c r="P202" s="169">
        <f>(INDEX(Models!$BJ202:$BT202,,T202)*(1-R202)+INDEX(Models!$BJ202:$BT202,,T202+1)*R202-ERP_i)*Q202*Ramure*Pc/MaxiM</f>
        <v>0</v>
      </c>
      <c r="Q202" s="305">
        <f t="shared" si="53"/>
        <v>0.7</v>
      </c>
      <c r="R202" s="177">
        <f t="shared" si="54"/>
        <v>0.352114717524183</v>
      </c>
      <c r="S202" s="817">
        <f t="shared" si="55"/>
        <v>-2</v>
      </c>
      <c r="T202" s="176">
        <f t="shared" si="56"/>
        <v>4</v>
      </c>
      <c r="U202" s="251">
        <f t="shared" si="57"/>
        <v>-1.647885282475817</v>
      </c>
      <c r="V202" s="383">
        <f t="shared" si="58"/>
        <v>38.750897378872246</v>
      </c>
      <c r="W202" s="402">
        <f t="shared" si="59"/>
        <v>37.696032209751081</v>
      </c>
      <c r="X202" s="157">
        <f t="shared" si="60"/>
        <v>45845</v>
      </c>
      <c r="Y202" s="385">
        <f t="shared" si="61"/>
        <v>34.650992446448718</v>
      </c>
      <c r="Z202" s="385">
        <f t="shared" si="62"/>
        <v>36.710476027133041</v>
      </c>
      <c r="AA202" s="386">
        <f t="shared" si="63"/>
        <v>41.168172925291458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0.10828017328453873</v>
      </c>
      <c r="AD202" s="231">
        <f>(INDEX(Models!$BJ202:$BT202,,AH202)*(1-AF202)+INDEX(Models!$BJ202:$BT202,,AH202+1)*AF202-ERP_i)*AE202*Ramure*Pc/MaxiM</f>
        <v>0</v>
      </c>
      <c r="AE202" s="305">
        <f t="shared" si="65"/>
        <v>0.7</v>
      </c>
      <c r="AF202" s="177">
        <f t="shared" si="66"/>
        <v>0.97597808690023879</v>
      </c>
      <c r="AG202" s="817">
        <f t="shared" si="74"/>
        <v>0</v>
      </c>
      <c r="AH202" s="176">
        <f t="shared" si="67"/>
        <v>6</v>
      </c>
      <c r="AI202" s="225">
        <f t="shared" si="68"/>
        <v>0.97597808690023879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45846</v>
      </c>
      <c r="B203" s="411">
        <f>'2024'!Wh/'2024'!Env_an*'2025'!Env_an</f>
        <v>38.882558754568542</v>
      </c>
      <c r="C203" s="846"/>
      <c r="D203" s="393">
        <f t="shared" si="50"/>
        <v>41.194447968174714</v>
      </c>
      <c r="E203" s="385">
        <f t="shared" si="75"/>
        <v>42.472550687835628</v>
      </c>
      <c r="F203" s="385">
        <f t="shared" si="51"/>
        <v>42.472550687835628</v>
      </c>
      <c r="G203" s="110">
        <f t="shared" si="76"/>
        <v>1.0050441570188646</v>
      </c>
      <c r="H203" s="414" t="b">
        <f>Wh_hp&gt;='2024'!Maxi_hp</f>
        <v>0</v>
      </c>
      <c r="I203" s="390">
        <f>IF(H203,Wh_hp,'2024'!Maxi_hp)</f>
        <v>44.11830918893618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5.6121378672005839E-2</v>
      </c>
      <c r="M203" s="850"/>
      <c r="N203" s="850"/>
      <c r="O203" s="48">
        <f>IF(t&lt;Tnet,'2024'!Resal+('2024'!Salim-'2024'!Resal)*(1-EXP(('2024'!Tnet-t)/('2024'!Tau_j))),Resal+(Salim-Resal)*(1-EXP((Tnet-t)/(Tau_j))))*Salcycl</f>
        <v>3.0092440857971973E-2</v>
      </c>
      <c r="P203" s="169">
        <f>(INDEX(Models!$BJ203:$BT203,,T203)*(1-R203)+INDEX(Models!$BJ203:$BT203,,T203+1)*R203-ERP_i)*Q203*Ramure*Pc/MaxiM</f>
        <v>0</v>
      </c>
      <c r="Q203" s="305">
        <f t="shared" si="53"/>
        <v>0.7</v>
      </c>
      <c r="R203" s="177">
        <f t="shared" si="54"/>
        <v>0.35591300908978529</v>
      </c>
      <c r="S203" s="817">
        <f t="shared" si="55"/>
        <v>-2</v>
      </c>
      <c r="T203" s="176">
        <f t="shared" si="56"/>
        <v>4</v>
      </c>
      <c r="U203" s="251">
        <f t="shared" si="57"/>
        <v>-1.6440869909102147</v>
      </c>
      <c r="V203" s="383">
        <f t="shared" si="58"/>
        <v>38.687413366892216</v>
      </c>
      <c r="W203" s="402">
        <f t="shared" si="59"/>
        <v>38.882558754568542</v>
      </c>
      <c r="X203" s="157">
        <f t="shared" si="60"/>
        <v>45846</v>
      </c>
      <c r="Y203" s="385">
        <f t="shared" si="61"/>
        <v>35.744914798071541</v>
      </c>
      <c r="Z203" s="385">
        <f t="shared" si="62"/>
        <v>37.870245167519606</v>
      </c>
      <c r="AA203" s="386">
        <f t="shared" si="63"/>
        <v>42.472550687835628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0.1083595274072896</v>
      </c>
      <c r="AD203" s="231">
        <f>(INDEX(Models!$BJ203:$BT203,,AH203)*(1-AF203)+INDEX(Models!$BJ203:$BT203,,AH203+1)*AF203-ERP_i)*AE203*Ramure*Pc/MaxiM</f>
        <v>0</v>
      </c>
      <c r="AE203" s="305">
        <f t="shared" si="65"/>
        <v>0.7</v>
      </c>
      <c r="AF203" s="177">
        <f t="shared" si="66"/>
        <v>0.97977637846584131</v>
      </c>
      <c r="AG203" s="817">
        <f t="shared" si="74"/>
        <v>0</v>
      </c>
      <c r="AH203" s="176">
        <f t="shared" si="67"/>
        <v>6</v>
      </c>
      <c r="AI203" s="225">
        <f t="shared" si="68"/>
        <v>0.97977637846584131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45847</v>
      </c>
      <c r="B204" s="411">
        <f>'2024'!Wh/'2024'!Env_an*'2025'!Env_an</f>
        <v>38.139391440724069</v>
      </c>
      <c r="C204" s="846"/>
      <c r="D204" s="393">
        <f t="shared" si="50"/>
        <v>40.407978258808271</v>
      </c>
      <c r="E204" s="385">
        <f t="shared" si="75"/>
        <v>41.669144620844996</v>
      </c>
      <c r="F204" s="385">
        <f t="shared" si="51"/>
        <v>41.669144620844996</v>
      </c>
      <c r="G204" s="110">
        <f t="shared" si="76"/>
        <v>0.98753983585729654</v>
      </c>
      <c r="H204" s="414" t="b">
        <f>Wh_hp&gt;='2024'!Maxi_hp</f>
        <v>0</v>
      </c>
      <c r="I204" s="390">
        <f>IF(H204,Wh_hp,'2024'!Maxi_hp)</f>
        <v>42.583630575998079</v>
      </c>
      <c r="J204" s="85">
        <f>IF(H204,An,'2024'!An_max)</f>
        <v>2021</v>
      </c>
      <c r="K204" s="197">
        <f t="shared" si="52"/>
        <v>45847</v>
      </c>
      <c r="L204" s="147">
        <f>IF(t&lt;Tvie,1-EXP((T0-t)*PertePVj)+'2024'!Pspv,1-EXP((T0-t)*PertePVj)+Pspv)</f>
        <v>5.6142052036213586E-2</v>
      </c>
      <c r="M204" s="850"/>
      <c r="N204" s="850"/>
      <c r="O204" s="48">
        <f>IF(t&lt;Tnet,'2024'!Resal+('2024'!Salim-'2024'!Resal)*(1-EXP(('2024'!Tnet-t)/('2024'!Tau_j))),Resal+(Salim-Resal)*(1-EXP((Tnet-t)/(Tau_j))))*Salcycl</f>
        <v>3.0266192731151571E-2</v>
      </c>
      <c r="P204" s="169">
        <f>(INDEX(Models!$BJ204:$BT204,,T204)*(1-R204)+INDEX(Models!$BJ204:$BT204,,T204+1)*R204-ERP_i)*Q204*Ramure*Pc/MaxiM</f>
        <v>0</v>
      </c>
      <c r="Q204" s="305">
        <f t="shared" si="53"/>
        <v>0.7</v>
      </c>
      <c r="R204" s="177">
        <f t="shared" si="54"/>
        <v>0.35963111221523736</v>
      </c>
      <c r="S204" s="817">
        <f t="shared" si="55"/>
        <v>-2</v>
      </c>
      <c r="T204" s="176">
        <f t="shared" si="56"/>
        <v>4</v>
      </c>
      <c r="U204" s="251">
        <f t="shared" si="57"/>
        <v>-1.6403688877847626</v>
      </c>
      <c r="V204" s="383">
        <f t="shared" si="58"/>
        <v>38.620610587941258</v>
      </c>
      <c r="W204" s="402">
        <f t="shared" si="59"/>
        <v>38.139391440724069</v>
      </c>
      <c r="X204" s="157">
        <f t="shared" si="60"/>
        <v>45847</v>
      </c>
      <c r="Y204" s="385">
        <f t="shared" si="61"/>
        <v>35.064934053056355</v>
      </c>
      <c r="Z204" s="385">
        <f t="shared" si="62"/>
        <v>37.150647646399555</v>
      </c>
      <c r="AA204" s="386">
        <f t="shared" si="63"/>
        <v>41.669144620844996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0.10843747851221941</v>
      </c>
      <c r="AD204" s="231">
        <f>(INDEX(Models!$BJ204:$BT204,,AH204)*(1-AF204)+INDEX(Models!$BJ204:$BT204,,AH204+1)*AF204-ERP_i)*AE204*Ramure*Pc/MaxiM</f>
        <v>0</v>
      </c>
      <c r="AE204" s="305">
        <f t="shared" si="65"/>
        <v>0.7</v>
      </c>
      <c r="AF204" s="177">
        <f t="shared" si="66"/>
        <v>0.98349448159129338</v>
      </c>
      <c r="AG204" s="817">
        <f t="shared" si="74"/>
        <v>0</v>
      </c>
      <c r="AH204" s="176">
        <f t="shared" si="67"/>
        <v>6</v>
      </c>
      <c r="AI204" s="225">
        <f t="shared" si="68"/>
        <v>0.98349448159129338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45848</v>
      </c>
      <c r="B205" s="411">
        <f>'2024'!Wh/'2024'!Env_an*'2025'!Env_an</f>
        <v>37.68796278745031</v>
      </c>
      <c r="C205" s="846"/>
      <c r="D205" s="393">
        <f t="shared" si="50"/>
        <v>39.930572550611345</v>
      </c>
      <c r="E205" s="385">
        <f t="shared" si="75"/>
        <v>41.184194792398195</v>
      </c>
      <c r="F205" s="385">
        <f t="shared" si="51"/>
        <v>41.184194792398195</v>
      </c>
      <c r="G205" s="110">
        <f t="shared" si="76"/>
        <v>0.97763637188711305</v>
      </c>
      <c r="H205" s="414" t="b">
        <f>Wh_hp&gt;='2024'!Maxi_hp</f>
        <v>1</v>
      </c>
      <c r="I205" s="390">
        <f>IF(H205,Wh_hp,'2024'!Maxi_hp)</f>
        <v>41.184194792398195</v>
      </c>
      <c r="J205" s="85">
        <f>IF(H205,An,'2024'!An_max)</f>
        <v>2025</v>
      </c>
      <c r="K205" s="197">
        <f t="shared" si="52"/>
        <v>45848</v>
      </c>
      <c r="L205" s="147">
        <f>IF(t&lt;Tvie,1-EXP((T0-t)*PertePVj)+'2024'!Pspv,1-EXP((T0-t)*PertePVj)+Pspv)</f>
        <v>5.6162724947621534E-2</v>
      </c>
      <c r="M205" s="850"/>
      <c r="N205" s="850"/>
      <c r="O205" s="48">
        <f>IF(t&lt;Tnet,'2024'!Resal+('2024'!Salim-'2024'!Resal)*(1-EXP(('2024'!Tnet-t)/('2024'!Tau_j))),Resal+(Salim-Resal)*(1-EXP((Tnet-t)/(Tau_j))))*Salcycl</f>
        <v>3.04394015254183E-2</v>
      </c>
      <c r="P205" s="169">
        <f>(INDEX(Models!$BJ205:$BT205,,T205)*(1-R205)+INDEX(Models!$BJ205:$BT205,,T205+1)*R205-ERP_i)*Q205*Ramure*Pc/MaxiM</f>
        <v>0</v>
      </c>
      <c r="Q205" s="305">
        <f t="shared" si="53"/>
        <v>0.7</v>
      </c>
      <c r="R205" s="177">
        <f t="shared" si="54"/>
        <v>0.3632684998630662</v>
      </c>
      <c r="S205" s="817">
        <f t="shared" si="55"/>
        <v>-2</v>
      </c>
      <c r="T205" s="176">
        <f t="shared" si="56"/>
        <v>4</v>
      </c>
      <c r="U205" s="251">
        <f t="shared" si="57"/>
        <v>-1.6367315001369338</v>
      </c>
      <c r="V205" s="383">
        <f t="shared" si="58"/>
        <v>38.550082496114534</v>
      </c>
      <c r="W205" s="402">
        <f t="shared" si="59"/>
        <v>37.68796278745031</v>
      </c>
      <c r="X205" s="157">
        <f t="shared" si="60"/>
        <v>45848</v>
      </c>
      <c r="Y205" s="385">
        <f t="shared" si="61"/>
        <v>34.65310812738165</v>
      </c>
      <c r="Z205" s="385">
        <f t="shared" si="62"/>
        <v>36.71512986754901</v>
      </c>
      <c r="AA205" s="386">
        <f t="shared" si="63"/>
        <v>41.184194792398195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0.10851407797036948</v>
      </c>
      <c r="AD205" s="231">
        <f>(INDEX(Models!$BJ205:$BT205,,AH205)*(1-AF205)+INDEX(Models!$BJ205:$BT205,,AH205+1)*AF205-ERP_i)*AE205*Ramure*Pc/MaxiM</f>
        <v>0</v>
      </c>
      <c r="AE205" s="305">
        <f t="shared" si="65"/>
        <v>0.7</v>
      </c>
      <c r="AF205" s="177">
        <f t="shared" si="66"/>
        <v>0.987131869239122</v>
      </c>
      <c r="AG205" s="817">
        <f t="shared" si="74"/>
        <v>0</v>
      </c>
      <c r="AH205" s="176">
        <f t="shared" si="67"/>
        <v>6</v>
      </c>
      <c r="AI205" s="225">
        <f t="shared" si="68"/>
        <v>0.987131869239122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45849</v>
      </c>
      <c r="B206" s="411">
        <f>'2024'!Wh/'2024'!Env_an*'2025'!Env_an</f>
        <v>36.355374009219069</v>
      </c>
      <c r="C206" s="846"/>
      <c r="D206" s="393">
        <f t="shared" si="50"/>
        <v>38.51953219439946</v>
      </c>
      <c r="E206" s="385">
        <f t="shared" si="75"/>
        <v>39.735931586193558</v>
      </c>
      <c r="F206" s="385">
        <f t="shared" si="51"/>
        <v>39.735931586193558</v>
      </c>
      <c r="G206" s="110">
        <f t="shared" si="76"/>
        <v>0.94488739869950922</v>
      </c>
      <c r="H206" s="414" t="b">
        <f>Wh_hp&gt;='2024'!Maxi_hp</f>
        <v>0</v>
      </c>
      <c r="I206" s="390">
        <f>IF(H206,Wh_hp,'2024'!Maxi_hp)</f>
        <v>41.921892854152688</v>
      </c>
      <c r="J206" s="85">
        <f>IF(H206,An,'2024'!An_max)</f>
        <v>2019</v>
      </c>
      <c r="K206" s="197">
        <f t="shared" si="52"/>
        <v>45849</v>
      </c>
      <c r="L206" s="147">
        <f>IF(t&lt;Tvie,1-EXP((T0-t)*PertePVj)+'2024'!Pspv,1-EXP((T0-t)*PertePVj)+Pspv)</f>
        <v>5.6183397406239677E-2</v>
      </c>
      <c r="M206" s="850"/>
      <c r="N206" s="850"/>
      <c r="O206" s="48">
        <f>IF(t&lt;Tnet,'2024'!Resal+('2024'!Salim-'2024'!Resal)*(1-EXP(('2024'!Tnet-t)/('2024'!Tau_j))),Resal+(Salim-Resal)*(1-EXP((Tnet-t)/(Tau_j))))*Salcycl</f>
        <v>3.0612076859341617E-2</v>
      </c>
      <c r="P206" s="169">
        <f>(INDEX(Models!$BJ206:$BT206,,T206)*(1-R206)+INDEX(Models!$BJ206:$BT206,,T206+1)*R206-ERP_i)*Q206*Ramure*Pc/MaxiM</f>
        <v>0</v>
      </c>
      <c r="Q206" s="305">
        <f t="shared" si="53"/>
        <v>0.7</v>
      </c>
      <c r="R206" s="177">
        <f t="shared" si="54"/>
        <v>0.36682480092143033</v>
      </c>
      <c r="S206" s="817">
        <f t="shared" si="55"/>
        <v>-2</v>
      </c>
      <c r="T206" s="176">
        <f t="shared" si="56"/>
        <v>4</v>
      </c>
      <c r="U206" s="251">
        <f t="shared" si="57"/>
        <v>-1.6331751990785697</v>
      </c>
      <c r="V206" s="383">
        <f t="shared" si="58"/>
        <v>38.475879834207333</v>
      </c>
      <c r="W206" s="402">
        <f t="shared" si="59"/>
        <v>36.355374009219069</v>
      </c>
      <c r="X206" s="157">
        <f t="shared" si="60"/>
        <v>45849</v>
      </c>
      <c r="Y206" s="385">
        <f t="shared" si="61"/>
        <v>33.430957591306743</v>
      </c>
      <c r="Z206" s="385">
        <f t="shared" si="62"/>
        <v>35.421031479455941</v>
      </c>
      <c r="AA206" s="386">
        <f t="shared" si="63"/>
        <v>39.735931586193558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0.10858937829047523</v>
      </c>
      <c r="AD206" s="231">
        <f>(INDEX(Models!$BJ206:$BT206,,AH206)*(1-AF206)+INDEX(Models!$BJ206:$BT206,,AH206+1)*AF206-ERP_i)*AE206*Ramure*Pc/MaxiM</f>
        <v>0</v>
      </c>
      <c r="AE206" s="305">
        <f t="shared" si="65"/>
        <v>0.7</v>
      </c>
      <c r="AF206" s="177">
        <f t="shared" si="66"/>
        <v>0.99068817029748635</v>
      </c>
      <c r="AG206" s="817">
        <f t="shared" si="74"/>
        <v>0</v>
      </c>
      <c r="AH206" s="176">
        <f t="shared" si="67"/>
        <v>6</v>
      </c>
      <c r="AI206" s="225">
        <f t="shared" si="68"/>
        <v>0.99068817029748635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45850</v>
      </c>
      <c r="B207" s="411">
        <f>'2024'!Wh/'2024'!Env_an*'2025'!Env_an</f>
        <v>36.169935163085817</v>
      </c>
      <c r="C207" s="846"/>
      <c r="D207" s="393">
        <f t="shared" ref="D207:D270" si="77">Wh/(1-Ppv)</f>
        <v>38.323893959316344</v>
      </c>
      <c r="E207" s="385">
        <f t="shared" si="75"/>
        <v>39.541137383491275</v>
      </c>
      <c r="F207" s="385">
        <f t="shared" ref="F207:F270" si="78">Wh_sa/(1-Pvg*MEDIAN((-Sdif+Wh/Env_an)/Csdif,0,1))</f>
        <v>39.541137383491275</v>
      </c>
      <c r="G207" s="110">
        <f t="shared" si="76"/>
        <v>0.94196474269522568</v>
      </c>
      <c r="H207" s="414" t="b">
        <f>Wh_hp&gt;='2024'!Maxi_hp</f>
        <v>0</v>
      </c>
      <c r="I207" s="390">
        <f>IF(H207,Wh_hp,'2024'!Maxi_hp)</f>
        <v>42.496597456132768</v>
      </c>
      <c r="J207" s="85">
        <f>IF(H207,An,'2024'!An_max)</f>
        <v>2019</v>
      </c>
      <c r="K207" s="197">
        <f t="shared" ref="K207:K270" si="79">t</f>
        <v>45850</v>
      </c>
      <c r="L207" s="147">
        <f>IF(t&lt;Tvie,1-EXP((T0-t)*PertePVj)+'2024'!Pspv,1-EXP((T0-t)*PertePVj)+Pspv)</f>
        <v>5.6204069412077895E-2</v>
      </c>
      <c r="M207" s="850"/>
      <c r="N207" s="850"/>
      <c r="O207" s="48">
        <f>IF(t&lt;Tnet,'2024'!Resal+('2024'!Salim-'2024'!Resal)*(1-EXP(('2024'!Tnet-t)/('2024'!Tau_j))),Resal+(Salim-Resal)*(1-EXP((Tnet-t)/(Tau_j))))*Salcycl</f>
        <v>3.0784228899878266E-2</v>
      </c>
      <c r="P207" s="169">
        <f>(INDEX(Models!$BJ207:$BT207,,T207)*(1-R207)+INDEX(Models!$BJ207:$BT207,,T207+1)*R207-ERP_i)*Q207*Ramure*Pc/MaxiM</f>
        <v>0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0.37029979446814876</v>
      </c>
      <c r="S207" s="817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-1.6297002055318512</v>
      </c>
      <c r="V207" s="383">
        <f t="shared" ref="V207:V270" si="85">MaxiM*(1-Ppv)*(1-Pvg)*(1-Psa)</f>
        <v>38.398395952266185</v>
      </c>
      <c r="W207" s="402">
        <f t="shared" ref="W207:W270" si="86">Wh*(A207&gt;Tmaj)</f>
        <v>36.169935163085817</v>
      </c>
      <c r="X207" s="157">
        <f t="shared" ref="X207:X270" si="87">t</f>
        <v>45850</v>
      </c>
      <c r="Y207" s="385">
        <f t="shared" ref="Y207:Y270" si="88">Wh_pvt_s*(1-Ppv)</f>
        <v>33.263579489434555</v>
      </c>
      <c r="Z207" s="385">
        <f t="shared" ref="Z207:Z270" si="89">Wh_sa_s*(1-Psa_s)</f>
        <v>35.24446165890285</v>
      </c>
      <c r="AA207" s="386">
        <f t="shared" ref="AA207:AA270" si="90">Wh_hp*(1-Pvg_s*MEDIAN((-Sdif+Wh/Env_an)/Csdif,0,1))</f>
        <v>39.541137383491275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0.10866343279195416</v>
      </c>
      <c r="AD207" s="231">
        <f>(INDEX(Models!$BJ207:$BT207,,AH207)*(1-AF207)+INDEX(Models!$BJ207:$BT207,,AH207+1)*AF207-ERP_i)*AE207*Ramure*Pc/MaxiM</f>
        <v>0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0.99416316384420456</v>
      </c>
      <c r="AG207" s="817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0.99416316384420456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45851</v>
      </c>
      <c r="B208" s="411">
        <f>'2024'!Wh/'2024'!Env_an*'2025'!Env_an</f>
        <v>36.022626251697851</v>
      </c>
      <c r="C208" s="846"/>
      <c r="D208" s="393">
        <f t="shared" si="77"/>
        <v>38.168648634142173</v>
      </c>
      <c r="E208" s="385">
        <f t="shared" si="75"/>
        <v>39.387936405089441</v>
      </c>
      <c r="F208" s="385">
        <f t="shared" si="78"/>
        <v>39.387936405089441</v>
      </c>
      <c r="G208" s="110">
        <f t="shared" si="76"/>
        <v>0.9400961381139501</v>
      </c>
      <c r="H208" s="414" t="b">
        <f>Wh_hp&gt;='2024'!Maxi_hp</f>
        <v>1</v>
      </c>
      <c r="I208" s="390">
        <f>IF(H208,Wh_hp,'2024'!Maxi_hp)</f>
        <v>39.387936405089441</v>
      </c>
      <c r="J208" s="85">
        <f>IF(H208,An,'2024'!An_max)</f>
        <v>2025</v>
      </c>
      <c r="K208" s="197">
        <f t="shared" si="79"/>
        <v>45851</v>
      </c>
      <c r="L208" s="147">
        <f>IF(t&lt;Tvie,1-EXP((T0-t)*PertePVj)+'2024'!Pspv,1-EXP((T0-t)*PertePVj)+Pspv)</f>
        <v>5.622474096514618E-2</v>
      </c>
      <c r="M208" s="850"/>
      <c r="N208" s="850"/>
      <c r="O208" s="48">
        <f>IF(t&lt;Tnet,'2024'!Resal+('2024'!Salim-'2024'!Resal)*(1-EXP(('2024'!Tnet-t)/('2024'!Tau_j))),Resal+(Salim-Resal)*(1-EXP((Tnet-t)/(Tau_j))))*Salcycl</f>
        <v>3.0955868274168297E-2</v>
      </c>
      <c r="P208" s="169">
        <f>(INDEX(Models!$BJ208:$BT208,,T208)*(1-R208)+INDEX(Models!$BJ208:$BT208,,T208+1)*R208-ERP_i)*Q208*Ramure*Pc/MaxiM</f>
        <v>0</v>
      </c>
      <c r="Q208" s="305">
        <f t="shared" si="80"/>
        <v>0.7</v>
      </c>
      <c r="R208" s="177">
        <f t="shared" si="81"/>
        <v>0.3736934036854942</v>
      </c>
      <c r="S208" s="817">
        <f t="shared" si="82"/>
        <v>-2</v>
      </c>
      <c r="T208" s="176">
        <f t="shared" si="83"/>
        <v>4</v>
      </c>
      <c r="U208" s="251">
        <f t="shared" si="84"/>
        <v>-1.6263065963145058</v>
      </c>
      <c r="V208" s="383">
        <f t="shared" si="85"/>
        <v>38.318023860801681</v>
      </c>
      <c r="W208" s="402">
        <f t="shared" si="86"/>
        <v>36.022626251697851</v>
      </c>
      <c r="X208" s="157">
        <f t="shared" si="87"/>
        <v>45851</v>
      </c>
      <c r="Y208" s="385">
        <f t="shared" si="88"/>
        <v>33.131266446628722</v>
      </c>
      <c r="Z208" s="385">
        <f t="shared" si="89"/>
        <v>35.105038121586503</v>
      </c>
      <c r="AA208" s="386">
        <f t="shared" si="90"/>
        <v>39.387936405089441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0.10873629528226639</v>
      </c>
      <c r="AD208" s="231">
        <f>(INDEX(Models!$BJ208:$BT208,,AH208)*(1-AF208)+INDEX(Models!$BJ208:$BT208,,AH208+1)*AF208-ERP_i)*AE208*Ramure*Pc/MaxiM</f>
        <v>0</v>
      </c>
      <c r="AE208" s="305">
        <f t="shared" si="92"/>
        <v>0.7</v>
      </c>
      <c r="AF208" s="177">
        <f t="shared" si="93"/>
        <v>0.99755677306155</v>
      </c>
      <c r="AG208" s="817">
        <f t="shared" ref="AG208:AG271" si="99">INDEX(Echel_vg,AH208)</f>
        <v>0</v>
      </c>
      <c r="AH208" s="176">
        <f t="shared" si="94"/>
        <v>6</v>
      </c>
      <c r="AI208" s="225">
        <f t="shared" si="95"/>
        <v>0.99755677306155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45852</v>
      </c>
      <c r="B209" s="411">
        <f>'2024'!Wh/'2024'!Env_an*'2025'!Env_an</f>
        <v>35.385848959238103</v>
      </c>
      <c r="C209" s="846"/>
      <c r="D209" s="393">
        <f t="shared" si="77"/>
        <v>37.494757018010176</v>
      </c>
      <c r="E209" s="385">
        <f t="shared" si="75"/>
        <v>38.699351978486852</v>
      </c>
      <c r="F209" s="385">
        <f t="shared" si="78"/>
        <v>38.699351978486852</v>
      </c>
      <c r="G209" s="110">
        <f t="shared" si="76"/>
        <v>0.92547938709795596</v>
      </c>
      <c r="H209" s="414" t="b">
        <f>Wh_hp&gt;='2024'!Maxi_hp</f>
        <v>0</v>
      </c>
      <c r="I209" s="390">
        <f>IF(H209,Wh_hp,'2024'!Maxi_hp)</f>
        <v>42.613851519576691</v>
      </c>
      <c r="J209" s="85">
        <f>IF(H209,An,'2024'!An_max)</f>
        <v>2020</v>
      </c>
      <c r="K209" s="197">
        <f t="shared" si="79"/>
        <v>45852</v>
      </c>
      <c r="L209" s="147">
        <f>IF(t&lt;Tvie,1-EXP((T0-t)*PertePVj)+'2024'!Pspv,1-EXP((T0-t)*PertePVj)+Pspv)</f>
        <v>5.6245412065454414E-2</v>
      </c>
      <c r="M209" s="850"/>
      <c r="N209" s="850"/>
      <c r="O209" s="48">
        <f>IF(t&lt;Tnet,'2024'!Resal+('2024'!Salim-'2024'!Resal)*(1-EXP(('2024'!Tnet-t)/('2024'!Tau_j))),Resal+(Salim-Resal)*(1-EXP((Tnet-t)/(Tau_j))))*Salcycl</f>
        <v>3.1127005980521757E-2</v>
      </c>
      <c r="P209" s="169">
        <f>(INDEX(Models!$BJ209:$BT209,,T209)*(1-R209)+INDEX(Models!$BJ209:$BT209,,T209+1)*R209-ERP_i)*Q209*Ramure*Pc/MaxiM</f>
        <v>0</v>
      </c>
      <c r="Q209" s="305">
        <f t="shared" si="80"/>
        <v>0.7</v>
      </c>
      <c r="R209" s="177">
        <f t="shared" si="81"/>
        <v>0.37700568948362712</v>
      </c>
      <c r="S209" s="817">
        <f t="shared" si="82"/>
        <v>-2</v>
      </c>
      <c r="T209" s="176">
        <f t="shared" si="83"/>
        <v>4</v>
      </c>
      <c r="U209" s="251">
        <f t="shared" si="84"/>
        <v>-1.6229943105163729</v>
      </c>
      <c r="V209" s="383">
        <f t="shared" si="85"/>
        <v>38.235156236378437</v>
      </c>
      <c r="W209" s="402">
        <f t="shared" si="86"/>
        <v>35.385848959238103</v>
      </c>
      <c r="X209" s="157">
        <f t="shared" si="87"/>
        <v>45852</v>
      </c>
      <c r="Y209" s="385">
        <f t="shared" si="88"/>
        <v>32.548729221984985</v>
      </c>
      <c r="Z209" s="385">
        <f t="shared" si="89"/>
        <v>34.488552043195376</v>
      </c>
      <c r="AA209" s="386">
        <f t="shared" si="90"/>
        <v>38.699351887310705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0.10880801974092037</v>
      </c>
      <c r="AD209" s="231">
        <f>(INDEX(Models!$BJ209:$BT209,,AH209)*(1-AF209)+INDEX(Models!$BJ209:$BT209,,AH209+1)*AF209-ERP_i)*AE209*Ramure*Pc/MaxiM</f>
        <v>2.6367113705604841E-9</v>
      </c>
      <c r="AE209" s="305">
        <f t="shared" si="92"/>
        <v>0.7</v>
      </c>
      <c r="AF209" s="177">
        <f t="shared" si="93"/>
        <v>8.6905885968291408E-4</v>
      </c>
      <c r="AG209" s="817">
        <f t="shared" si="99"/>
        <v>1</v>
      </c>
      <c r="AH209" s="176">
        <f t="shared" si="94"/>
        <v>7</v>
      </c>
      <c r="AI209" s="225">
        <f t="shared" si="95"/>
        <v>1.0008690588596829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45853</v>
      </c>
      <c r="B210" s="411">
        <f>'2024'!Wh/'2024'!Env_an*'2025'!Env_an</f>
        <v>34.259687508859898</v>
      </c>
      <c r="C210" s="846"/>
      <c r="D210" s="393">
        <f t="shared" si="77"/>
        <v>36.302274275940427</v>
      </c>
      <c r="E210" s="385">
        <f t="shared" si="75"/>
        <v>37.475158803509274</v>
      </c>
      <c r="F210" s="385">
        <f t="shared" si="78"/>
        <v>37.475158803509274</v>
      </c>
      <c r="G210" s="110">
        <f t="shared" si="76"/>
        <v>0.89802152000179813</v>
      </c>
      <c r="H210" s="414" t="b">
        <f>Wh_hp&gt;='2024'!Maxi_hp</f>
        <v>0</v>
      </c>
      <c r="I210" s="390">
        <f>IF(H210,Wh_hp,'2024'!Maxi_hp)</f>
        <v>43.03729894617058</v>
      </c>
      <c r="J210" s="85">
        <f>IF(H210,An,'2024'!An_max)</f>
        <v>2019</v>
      </c>
      <c r="K210" s="197">
        <f t="shared" si="79"/>
        <v>45853</v>
      </c>
      <c r="L210" s="147">
        <f>IF(t&lt;Tvie,1-EXP((T0-t)*PertePVj)+'2024'!Pspv,1-EXP((T0-t)*PertePVj)+Pspv)</f>
        <v>5.6266082713012477E-2</v>
      </c>
      <c r="M210" s="850"/>
      <c r="N210" s="850"/>
      <c r="O210" s="48">
        <f>IF(t&lt;Tnet,'2024'!Resal+('2024'!Salim-'2024'!Resal)*(1-EXP(('2024'!Tnet-t)/('2024'!Tau_j))),Resal+(Salim-Resal)*(1-EXP((Tnet-t)/(Tau_j))))*Salcycl</f>
        <v>3.1297653299310772E-2</v>
      </c>
      <c r="P210" s="169">
        <f>(INDEX(Models!$BJ210:$BT210,,T210)*(1-R210)+INDEX(Models!$BJ210:$BT210,,T210+1)*R210-ERP_i)*Q210*Ramure*Pc/MaxiM</f>
        <v>0</v>
      </c>
      <c r="Q210" s="305">
        <f t="shared" si="80"/>
        <v>0.7</v>
      </c>
      <c r="R210" s="177">
        <f t="shared" si="81"/>
        <v>0.38023684388877932</v>
      </c>
      <c r="S210" s="817">
        <f t="shared" si="82"/>
        <v>-2</v>
      </c>
      <c r="T210" s="176">
        <f t="shared" si="83"/>
        <v>4</v>
      </c>
      <c r="U210" s="251">
        <f t="shared" si="84"/>
        <v>-1.6197631561112207</v>
      </c>
      <c r="V210" s="383">
        <f t="shared" si="85"/>
        <v>38.150185430735895</v>
      </c>
      <c r="W210" s="402">
        <f t="shared" si="86"/>
        <v>34.259687508859898</v>
      </c>
      <c r="X210" s="157">
        <f t="shared" si="87"/>
        <v>45853</v>
      </c>
      <c r="Y210" s="385">
        <f t="shared" si="88"/>
        <v>31.515912402478488</v>
      </c>
      <c r="Z210" s="385">
        <f t="shared" si="89"/>
        <v>33.394913359773383</v>
      </c>
      <c r="AA210" s="386">
        <f t="shared" si="90"/>
        <v>37.47515838890638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0.1088786600123044</v>
      </c>
      <c r="AD210" s="231">
        <f>(INDEX(Models!$BJ210:$BT210,,AH210)*(1-AF210)+INDEX(Models!$BJ210:$BT210,,AH210+1)*AF210-ERP_i)*AE210*Ramure*Pc/MaxiM</f>
        <v>1.295000923499255E-8</v>
      </c>
      <c r="AE210" s="305">
        <f t="shared" si="92"/>
        <v>0.7</v>
      </c>
      <c r="AF210" s="177">
        <f t="shared" si="93"/>
        <v>4.1002132648353395E-3</v>
      </c>
      <c r="AG210" s="817">
        <f t="shared" si="99"/>
        <v>1</v>
      </c>
      <c r="AH210" s="176">
        <f t="shared" si="94"/>
        <v>7</v>
      </c>
      <c r="AI210" s="225">
        <f t="shared" si="95"/>
        <v>1.0041002132648353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45854</v>
      </c>
      <c r="B211" s="411">
        <f>'2024'!Wh/'2024'!Env_an*'2025'!Env_an</f>
        <v>35.506508853547018</v>
      </c>
      <c r="C211" s="846"/>
      <c r="D211" s="393">
        <f t="shared" si="77"/>
        <v>37.624256057602217</v>
      </c>
      <c r="E211" s="385">
        <f t="shared" si="75"/>
        <v>38.84667634256131</v>
      </c>
      <c r="F211" s="385">
        <f t="shared" si="78"/>
        <v>38.84667634256131</v>
      </c>
      <c r="G211" s="110">
        <f t="shared" si="76"/>
        <v>0.93282293048919607</v>
      </c>
      <c r="H211" s="414" t="b">
        <f>Wh_hp&gt;='2024'!Maxi_hp</f>
        <v>0</v>
      </c>
      <c r="I211" s="390">
        <f>IF(H211,Wh_hp,'2024'!Maxi_hp)</f>
        <v>41.785421826741953</v>
      </c>
      <c r="J211" s="85">
        <f>IF(H211,An,'2024'!An_max)</f>
        <v>2019</v>
      </c>
      <c r="K211" s="197">
        <f t="shared" si="79"/>
        <v>45854</v>
      </c>
      <c r="L211" s="147">
        <f>IF(t&lt;Tvie,1-EXP((T0-t)*PertePVj)+'2024'!Pspv,1-EXP((T0-t)*PertePVj)+Pspv)</f>
        <v>5.6286752907830362E-2</v>
      </c>
      <c r="M211" s="850"/>
      <c r="N211" s="850"/>
      <c r="O211" s="48">
        <f>IF(t&lt;Tnet,'2024'!Resal+('2024'!Salim-'2024'!Resal)*(1-EXP(('2024'!Tnet-t)/('2024'!Tau_j))),Resal+(Salim-Resal)*(1-EXP((Tnet-t)/(Tau_j))))*Salcycl</f>
        <v>3.1467821704473133E-2</v>
      </c>
      <c r="P211" s="169">
        <f>(INDEX(Models!$BJ211:$BT211,,T211)*(1-R211)+INDEX(Models!$BJ211:$BT211,,T211+1)*R211-ERP_i)*Q211*Ramure*Pc/MaxiM</f>
        <v>0</v>
      </c>
      <c r="Q211" s="305">
        <f t="shared" si="80"/>
        <v>0.7</v>
      </c>
      <c r="R211" s="177">
        <f t="shared" si="81"/>
        <v>0.38338718325012078</v>
      </c>
      <c r="S211" s="817">
        <f t="shared" si="82"/>
        <v>-2</v>
      </c>
      <c r="T211" s="176">
        <f t="shared" si="83"/>
        <v>4</v>
      </c>
      <c r="U211" s="251">
        <f t="shared" si="84"/>
        <v>-1.6166128167498792</v>
      </c>
      <c r="V211" s="383">
        <f t="shared" si="85"/>
        <v>38.063503472118235</v>
      </c>
      <c r="W211" s="402">
        <f t="shared" si="86"/>
        <v>35.506508853547018</v>
      </c>
      <c r="X211" s="157">
        <f t="shared" si="87"/>
        <v>45854</v>
      </c>
      <c r="Y211" s="385">
        <f t="shared" si="88"/>
        <v>32.666065399475258</v>
      </c>
      <c r="Z211" s="385">
        <f t="shared" si="89"/>
        <v>34.614397434949709</v>
      </c>
      <c r="AA211" s="386">
        <f t="shared" si="90"/>
        <v>38.846675507708255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0.1089482695094139</v>
      </c>
      <c r="AD211" s="231">
        <f>(INDEX(Models!$BJ211:$BT211,,AH211)*(1-AF211)+INDEX(Models!$BJ211:$BT211,,AH211+1)*AF211-ERP_i)*AE211*Ramure*Pc/MaxiM</f>
        <v>2.3772343931519739E-8</v>
      </c>
      <c r="AE211" s="305">
        <f t="shared" si="92"/>
        <v>0.7</v>
      </c>
      <c r="AF211" s="177">
        <f t="shared" si="93"/>
        <v>7.2505526261767983E-3</v>
      </c>
      <c r="AG211" s="817">
        <f t="shared" si="99"/>
        <v>1</v>
      </c>
      <c r="AH211" s="176">
        <f t="shared" si="94"/>
        <v>7</v>
      </c>
      <c r="AI211" s="225">
        <f t="shared" si="95"/>
        <v>1.0072505526261768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45855</v>
      </c>
      <c r="B212" s="411">
        <f>'2024'!Wh/'2024'!Env_an*'2025'!Env_an</f>
        <v>34.808004597503853</v>
      </c>
      <c r="C212" s="846"/>
      <c r="D212" s="393">
        <f t="shared" si="77"/>
        <v>36.88489814685817</v>
      </c>
      <c r="E212" s="385">
        <f t="shared" si="75"/>
        <v>38.08997045466694</v>
      </c>
      <c r="F212" s="385">
        <f t="shared" si="78"/>
        <v>38.08997045466694</v>
      </c>
      <c r="G212" s="110">
        <f t="shared" si="76"/>
        <v>0.91659103096557981</v>
      </c>
      <c r="H212" s="414" t="b">
        <f>Wh_hp&gt;='2024'!Maxi_hp</f>
        <v>0</v>
      </c>
      <c r="I212" s="390">
        <f>IF(H212,Wh_hp,'2024'!Maxi_hp)</f>
        <v>41.903533821101661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5.6307422649917838E-2</v>
      </c>
      <c r="M212" s="850"/>
      <c r="N212" s="850"/>
      <c r="O212" s="48">
        <f>IF(t&lt;Tnet,'2024'!Resal+('2024'!Salim-'2024'!Resal)*(1-EXP(('2024'!Tnet-t)/('2024'!Tau_j))),Resal+(Salim-Resal)*(1-EXP((Tnet-t)/(Tau_j))))*Salcycl</f>
        <v>3.1637522776317192E-2</v>
      </c>
      <c r="P212" s="169">
        <f>(INDEX(Models!$BJ212:$BT212,,T212)*(1-R212)+INDEX(Models!$BJ212:$BT212,,T212+1)*R212-ERP_i)*Q212*Ramure*Pc/MaxiM</f>
        <v>0</v>
      </c>
      <c r="Q212" s="305">
        <f t="shared" si="80"/>
        <v>0.7</v>
      </c>
      <c r="R212" s="177">
        <f t="shared" si="81"/>
        <v>0.38645714131669706</v>
      </c>
      <c r="S212" s="817">
        <f t="shared" si="82"/>
        <v>-2</v>
      </c>
      <c r="T212" s="176">
        <f t="shared" si="83"/>
        <v>4</v>
      </c>
      <c r="U212" s="251">
        <f t="shared" si="84"/>
        <v>-1.6135428586833029</v>
      </c>
      <c r="V212" s="383">
        <f t="shared" si="85"/>
        <v>37.975502074066206</v>
      </c>
      <c r="W212" s="402">
        <f t="shared" si="86"/>
        <v>34.808004597503853</v>
      </c>
      <c r="X212" s="157">
        <f t="shared" si="87"/>
        <v>45855</v>
      </c>
      <c r="Y212" s="385">
        <f t="shared" si="88"/>
        <v>32.026584646864855</v>
      </c>
      <c r="Z212" s="385">
        <f t="shared" si="89"/>
        <v>33.937518865303034</v>
      </c>
      <c r="AA212" s="386">
        <f t="shared" si="90"/>
        <v>38.089969271855388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0.10901690093041359</v>
      </c>
      <c r="AD212" s="231">
        <f>(INDEX(Models!$BJ212:$BT212,,AH212)*(1-AF212)+INDEX(Models!$BJ212:$BT212,,AH212+1)*AF212-ERP_i)*AE212*Ramure*Pc/MaxiM</f>
        <v>3.5253785580325096E-8</v>
      </c>
      <c r="AE212" s="305">
        <f t="shared" si="92"/>
        <v>0.7</v>
      </c>
      <c r="AF212" s="177">
        <f t="shared" si="93"/>
        <v>1.0320510692753082E-2</v>
      </c>
      <c r="AG212" s="817">
        <f t="shared" si="99"/>
        <v>1</v>
      </c>
      <c r="AH212" s="176">
        <f t="shared" si="94"/>
        <v>7</v>
      </c>
      <c r="AI212" s="225">
        <f t="shared" si="95"/>
        <v>1.0103205106927531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45856</v>
      </c>
      <c r="B213" s="411">
        <f>'2024'!Wh/'2024'!Env_an*'2025'!Env_an</f>
        <v>34.734910917576272</v>
      </c>
      <c r="C213" s="846"/>
      <c r="D213" s="393">
        <f t="shared" si="77"/>
        <v>36.808249372345898</v>
      </c>
      <c r="E213" s="385">
        <f t="shared" si="75"/>
        <v>38.01746196958247</v>
      </c>
      <c r="F213" s="385">
        <f t="shared" si="78"/>
        <v>38.01746196958247</v>
      </c>
      <c r="G213" s="110">
        <f t="shared" si="76"/>
        <v>0.91681322685587774</v>
      </c>
      <c r="H213" s="414" t="b">
        <f>Wh_hp&gt;='2024'!Maxi_hp</f>
        <v>1</v>
      </c>
      <c r="I213" s="390">
        <f>IF(H213,Wh_hp,'2024'!Maxi_hp)</f>
        <v>38.01746196958247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5.6328091939285008E-2</v>
      </c>
      <c r="M213" s="850"/>
      <c r="N213" s="850"/>
      <c r="O213" s="48">
        <f>IF(t&lt;Tnet,'2024'!Resal+('2024'!Salim-'2024'!Resal)*(1-EXP(('2024'!Tnet-t)/('2024'!Tau_j))),Resal+(Salim-Resal)*(1-EXP((Tnet-t)/(Tau_j))))*Salcycl</f>
        <v>3.1806768116294924E-2</v>
      </c>
      <c r="P213" s="169">
        <f>(INDEX(Models!$BJ213:$BT213,,T213)*(1-R213)+INDEX(Models!$BJ213:$BT213,,T213+1)*R213-ERP_i)*Q213*Ramure*Pc/MaxiM</f>
        <v>0</v>
      </c>
      <c r="Q213" s="305">
        <f t="shared" si="80"/>
        <v>0.7</v>
      </c>
      <c r="R213" s="177">
        <f t="shared" si="81"/>
        <v>0.38944726223298742</v>
      </c>
      <c r="S213" s="817">
        <f t="shared" si="82"/>
        <v>-2</v>
      </c>
      <c r="T213" s="176">
        <f t="shared" si="83"/>
        <v>4</v>
      </c>
      <c r="U213" s="251">
        <f t="shared" si="84"/>
        <v>-1.6105527377670126</v>
      </c>
      <c r="V213" s="383">
        <f t="shared" si="85"/>
        <v>37.886572641077926</v>
      </c>
      <c r="W213" s="402">
        <f t="shared" si="86"/>
        <v>34.734910917576272</v>
      </c>
      <c r="X213" s="157">
        <f t="shared" si="87"/>
        <v>45856</v>
      </c>
      <c r="Y213" s="385">
        <f t="shared" si="88"/>
        <v>31.962489031620631</v>
      </c>
      <c r="Z213" s="385">
        <f t="shared" si="89"/>
        <v>33.870340696381305</v>
      </c>
      <c r="AA213" s="386">
        <f t="shared" si="90"/>
        <v>38.017460382994066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0.1090846059898269</v>
      </c>
      <c r="AD213" s="231">
        <f>(INDEX(Models!$BJ213:$BT213,,AH213)*(1-AF213)+INDEX(Models!$BJ213:$BT213,,AH213+1)*AF213-ERP_i)*AE213*Ramure*Pc/MaxiM</f>
        <v>4.7361507429307898E-8</v>
      </c>
      <c r="AE213" s="305">
        <f t="shared" si="92"/>
        <v>0.7</v>
      </c>
      <c r="AF213" s="177">
        <f t="shared" si="93"/>
        <v>1.3310631609043444E-2</v>
      </c>
      <c r="AG213" s="817">
        <f t="shared" si="99"/>
        <v>1</v>
      </c>
      <c r="AH213" s="176">
        <f t="shared" si="94"/>
        <v>7</v>
      </c>
      <c r="AI213" s="225">
        <f t="shared" si="95"/>
        <v>1.0133106316090434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45857</v>
      </c>
      <c r="B214" s="411">
        <f>'2024'!Wh/'2024'!Env_an*'2025'!Env_an</f>
        <v>26.964453284045884</v>
      </c>
      <c r="C214" s="846"/>
      <c r="D214" s="393">
        <f t="shared" si="77"/>
        <v>28.574596379715565</v>
      </c>
      <c r="E214" s="385">
        <f t="shared" si="75"/>
        <v>29.518466138299036</v>
      </c>
      <c r="F214" s="385">
        <f t="shared" si="78"/>
        <v>29.518466138299036</v>
      </c>
      <c r="G214" s="110">
        <f t="shared" si="76"/>
        <v>0.71339993834079896</v>
      </c>
      <c r="H214" s="414" t="b">
        <f>Wh_hp&gt;='2024'!Maxi_hp</f>
        <v>0</v>
      </c>
      <c r="I214" s="390">
        <f>IF(H214,Wh_hp,'2024'!Maxi_hp)</f>
        <v>42.433234679233138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5.6348760775941642E-2</v>
      </c>
      <c r="M214" s="850"/>
      <c r="N214" s="850"/>
      <c r="O214" s="48">
        <f>IF(t&lt;Tnet,'2024'!Resal+('2024'!Salim-'2024'!Resal)*(1-EXP(('2024'!Tnet-t)/('2024'!Tau_j))),Resal+(Salim-Resal)*(1-EXP((Tnet-t)/(Tau_j))))*Salcycl</f>
        <v>3.197556926438113E-2</v>
      </c>
      <c r="P214" s="169">
        <f>(INDEX(Models!$BJ214:$BT214,,T214)*(1-R214)+INDEX(Models!$BJ214:$BT214,,T214+1)*R214-ERP_i)*Q214*Ramure*Pc/MaxiM</f>
        <v>0</v>
      </c>
      <c r="Q214" s="305">
        <f t="shared" si="80"/>
        <v>0.7</v>
      </c>
      <c r="R214" s="177">
        <f t="shared" si="81"/>
        <v>0.39235819349855117</v>
      </c>
      <c r="S214" s="817">
        <f t="shared" si="82"/>
        <v>-2</v>
      </c>
      <c r="T214" s="176">
        <f t="shared" si="83"/>
        <v>4</v>
      </c>
      <c r="U214" s="251">
        <f t="shared" si="84"/>
        <v>-1.6076418065014488</v>
      </c>
      <c r="V214" s="383">
        <f t="shared" si="85"/>
        <v>37.797106272196885</v>
      </c>
      <c r="W214" s="402">
        <f t="shared" si="86"/>
        <v>26.964453284045884</v>
      </c>
      <c r="X214" s="157">
        <f t="shared" si="87"/>
        <v>45857</v>
      </c>
      <c r="Y214" s="385">
        <f t="shared" si="88"/>
        <v>24.814708073683413</v>
      </c>
      <c r="Z214" s="385">
        <f t="shared" si="89"/>
        <v>26.296482261908487</v>
      </c>
      <c r="AA214" s="386">
        <f t="shared" si="90"/>
        <v>29.51846509042538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0.10915143516598276</v>
      </c>
      <c r="AD214" s="231">
        <f>(INDEX(Models!$BJ214:$BT214,,AH214)*(1-AF214)+INDEX(Models!$BJ214:$BT214,,AH214+1)*AF214-ERP_i)*AE214*Ramure*Pc/MaxiM</f>
        <v>6.0109451928574315E-8</v>
      </c>
      <c r="AE214" s="305">
        <f t="shared" si="92"/>
        <v>0.7</v>
      </c>
      <c r="AF214" s="177">
        <f t="shared" si="93"/>
        <v>1.6221562874607187E-2</v>
      </c>
      <c r="AG214" s="817">
        <f t="shared" si="99"/>
        <v>1</v>
      </c>
      <c r="AH214" s="176">
        <f t="shared" si="94"/>
        <v>7</v>
      </c>
      <c r="AI214" s="225">
        <f t="shared" si="95"/>
        <v>1.0162215628746072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45858</v>
      </c>
      <c r="B215" s="411">
        <f>'2024'!Wh/'2024'!Env_an*'2025'!Env_an</f>
        <v>26.390143017446061</v>
      </c>
      <c r="C215" s="846"/>
      <c r="D215" s="393">
        <f t="shared" si="77"/>
        <v>27.966604551557982</v>
      </c>
      <c r="E215" s="385">
        <f t="shared" si="75"/>
        <v>28.895417034199351</v>
      </c>
      <c r="F215" s="385">
        <f t="shared" si="78"/>
        <v>28.895417034199351</v>
      </c>
      <c r="G215" s="110">
        <f t="shared" si="76"/>
        <v>0.69986467891079762</v>
      </c>
      <c r="H215" s="414" t="b">
        <f>Wh_hp&gt;='2024'!Maxi_hp</f>
        <v>0</v>
      </c>
      <c r="I215" s="390">
        <f>IF(H215,Wh_hp,'2024'!Maxi_hp)</f>
        <v>41.130665538224456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5.6369429159897733E-2</v>
      </c>
      <c r="M215" s="850"/>
      <c r="N215" s="850"/>
      <c r="O215" s="48">
        <f>IF(t&lt;Tnet,'2024'!Resal+('2024'!Salim-'2024'!Resal)*(1-EXP(('2024'!Tnet-t)/('2024'!Tau_j))),Resal+(Salim-Resal)*(1-EXP((Tnet-t)/(Tau_j))))*Salcycl</f>
        <v>3.2143937619660175E-2</v>
      </c>
      <c r="P215" s="169">
        <f>(INDEX(Models!$BJ215:$BT215,,T215)*(1-R215)+INDEX(Models!$BJ215:$BT215,,T215+1)*R215-ERP_i)*Q215*Ramure*Pc/MaxiM</f>
        <v>0</v>
      </c>
      <c r="Q215" s="305">
        <f t="shared" si="80"/>
        <v>0.7</v>
      </c>
      <c r="R215" s="177">
        <f t="shared" si="81"/>
        <v>0.39519067893398629</v>
      </c>
      <c r="S215" s="817">
        <f t="shared" si="82"/>
        <v>-2</v>
      </c>
      <c r="T215" s="176">
        <f t="shared" si="83"/>
        <v>4</v>
      </c>
      <c r="U215" s="251">
        <f t="shared" si="84"/>
        <v>-1.6048093210660137</v>
      </c>
      <c r="V215" s="383">
        <f t="shared" si="85"/>
        <v>37.707493766533773</v>
      </c>
      <c r="W215" s="402">
        <f t="shared" si="86"/>
        <v>26.390143017446061</v>
      </c>
      <c r="X215" s="157">
        <f t="shared" si="87"/>
        <v>45858</v>
      </c>
      <c r="Y215" s="385">
        <f t="shared" si="88"/>
        <v>24.288609793660957</v>
      </c>
      <c r="Z215" s="385">
        <f t="shared" si="89"/>
        <v>25.739532550367795</v>
      </c>
      <c r="AA215" s="386">
        <f t="shared" si="90"/>
        <v>28.895415820839371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0.10921743746617257</v>
      </c>
      <c r="AD215" s="231">
        <f>(INDEX(Models!$BJ215:$BT215,,AH215)*(1-AF215)+INDEX(Models!$BJ215:$BT215,,AH215+1)*AF215-ERP_i)*AE215*Ramure*Pc/MaxiM</f>
        <v>7.3509876985843755E-8</v>
      </c>
      <c r="AE215" s="305">
        <f t="shared" si="92"/>
        <v>0.7</v>
      </c>
      <c r="AF215" s="177">
        <f t="shared" si="93"/>
        <v>1.9054048310042315E-2</v>
      </c>
      <c r="AG215" s="817">
        <f t="shared" si="99"/>
        <v>1</v>
      </c>
      <c r="AH215" s="176">
        <f t="shared" si="94"/>
        <v>7</v>
      </c>
      <c r="AI215" s="225">
        <f t="shared" si="95"/>
        <v>1.0190540483100423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45859</v>
      </c>
      <c r="B216" s="411">
        <f>'2024'!Wh/'2024'!Env_an*'2025'!Env_an</f>
        <v>34.453807112942904</v>
      </c>
      <c r="C216" s="846"/>
      <c r="D216" s="393">
        <f t="shared" si="77"/>
        <v>36.512765504826973</v>
      </c>
      <c r="E216" s="385">
        <f t="shared" si="75"/>
        <v>37.731956107423237</v>
      </c>
      <c r="F216" s="385">
        <f t="shared" si="78"/>
        <v>37.731956107423237</v>
      </c>
      <c r="G216" s="110">
        <f t="shared" si="76"/>
        <v>0.91588314241112123</v>
      </c>
      <c r="H216" s="414" t="b">
        <f>Wh_hp&gt;='2024'!Maxi_hp</f>
        <v>1</v>
      </c>
      <c r="I216" s="390">
        <f>IF(H216,Wh_hp,'2024'!Maxi_hp)</f>
        <v>37.731956107423237</v>
      </c>
      <c r="J216" s="85">
        <f>IF(H216,An,'2024'!An_max)</f>
        <v>2025</v>
      </c>
      <c r="K216" s="197">
        <f t="shared" si="79"/>
        <v>45859</v>
      </c>
      <c r="L216" s="147">
        <f>IF(t&lt;Tvie,1-EXP((T0-t)*PertePVj)+'2024'!Pspv,1-EXP((T0-t)*PertePVj)+Pspv)</f>
        <v>5.639009709116316E-2</v>
      </c>
      <c r="M216" s="850"/>
      <c r="N216" s="850"/>
      <c r="O216" s="48">
        <f>IF(t&lt;Tnet,'2024'!Resal+('2024'!Salim-'2024'!Resal)*(1-EXP(('2024'!Tnet-t)/('2024'!Tau_j))),Resal+(Salim-Resal)*(1-EXP((Tnet-t)/(Tau_j))))*Salcycl</f>
        <v>3.2311884364680687E-2</v>
      </c>
      <c r="P216" s="169">
        <f>(INDEX(Models!$BJ216:$BT216,,T216)*(1-R216)+INDEX(Models!$BJ216:$BT216,,T216+1)*R216-ERP_i)*Q216*Ramure*Pc/MaxiM</f>
        <v>0</v>
      </c>
      <c r="Q216" s="305">
        <f t="shared" si="80"/>
        <v>0.7</v>
      </c>
      <c r="R216" s="177">
        <f t="shared" si="81"/>
        <v>0.39794555169204626</v>
      </c>
      <c r="S216" s="817">
        <f t="shared" si="82"/>
        <v>-2</v>
      </c>
      <c r="T216" s="176">
        <f t="shared" si="83"/>
        <v>4</v>
      </c>
      <c r="U216" s="251">
        <f t="shared" si="84"/>
        <v>-1.6020544483079537</v>
      </c>
      <c r="V216" s="383">
        <f t="shared" si="85"/>
        <v>37.618125629259914</v>
      </c>
      <c r="W216" s="402">
        <f t="shared" si="86"/>
        <v>34.453807112942904</v>
      </c>
      <c r="X216" s="157">
        <f t="shared" si="87"/>
        <v>45859</v>
      </c>
      <c r="Y216" s="385">
        <f t="shared" si="88"/>
        <v>31.71331812063065</v>
      </c>
      <c r="Z216" s="385">
        <f t="shared" si="89"/>
        <v>33.608504979514301</v>
      </c>
      <c r="AA216" s="386">
        <f t="shared" si="90"/>
        <v>37.731953200178552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0.10928266021078223</v>
      </c>
      <c r="AD216" s="231">
        <f>(INDEX(Models!$BJ216:$BT216,,AH216)*(1-AF216)+INDEX(Models!$BJ216:$BT216,,AH216+1)*AF216-ERP_i)*AE216*Ramure*Pc/MaxiM</f>
        <v>8.7573354955887679E-8</v>
      </c>
      <c r="AE216" s="305">
        <f t="shared" si="92"/>
        <v>0.7</v>
      </c>
      <c r="AF216" s="177">
        <f t="shared" si="93"/>
        <v>2.1808921068102283E-2</v>
      </c>
      <c r="AG216" s="817">
        <f t="shared" si="99"/>
        <v>1</v>
      </c>
      <c r="AH216" s="176">
        <f t="shared" si="94"/>
        <v>7</v>
      </c>
      <c r="AI216" s="225">
        <f t="shared" si="95"/>
        <v>1.0218089210681023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45860</v>
      </c>
      <c r="B217" s="411">
        <f>'2024'!Wh/'2024'!Env_an*'2025'!Env_an</f>
        <v>27.343888654142873</v>
      </c>
      <c r="C217" s="846"/>
      <c r="D217" s="393">
        <f t="shared" si="77"/>
        <v>28.978593255861774</v>
      </c>
      <c r="E217" s="385">
        <f t="shared" si="75"/>
        <v>29.951397279492866</v>
      </c>
      <c r="F217" s="385">
        <f t="shared" si="78"/>
        <v>29.951397279492866</v>
      </c>
      <c r="G217" s="110">
        <f t="shared" si="76"/>
        <v>0.72859929625709574</v>
      </c>
      <c r="H217" s="414" t="b">
        <f>Wh_hp&gt;='2024'!Maxi_hp</f>
        <v>0</v>
      </c>
      <c r="I217" s="390">
        <f>IF(H217,Wh_hp,'2024'!Maxi_hp)</f>
        <v>39.921621323756099</v>
      </c>
      <c r="J217" s="85">
        <f>IF(H217,An,'2024'!An_max)</f>
        <v>2018</v>
      </c>
      <c r="K217" s="197">
        <f t="shared" si="79"/>
        <v>45860</v>
      </c>
      <c r="L217" s="147">
        <f>IF(t&lt;Tvie,1-EXP((T0-t)*PertePVj)+'2024'!Pspv,1-EXP((T0-t)*PertePVj)+Pspv)</f>
        <v>5.6410764569747807E-2</v>
      </c>
      <c r="M217" s="850"/>
      <c r="N217" s="850"/>
      <c r="O217" s="48">
        <f>IF(t&lt;Tnet,'2024'!Resal+('2024'!Salim-'2024'!Resal)*(1-EXP(('2024'!Tnet-t)/('2024'!Tau_j))),Resal+(Salim-Resal)*(1-EXP((Tnet-t)/(Tau_j))))*Salcycl</f>
        <v>3.2479420394091345E-2</v>
      </c>
      <c r="P217" s="169">
        <f>(INDEX(Models!$BJ217:$BT217,,T217)*(1-R217)+INDEX(Models!$BJ217:$BT217,,T217+1)*R217-ERP_i)*Q217*Ramure*Pc/MaxiM</f>
        <v>0</v>
      </c>
      <c r="Q217" s="305">
        <f t="shared" si="80"/>
        <v>0.7</v>
      </c>
      <c r="R217" s="177">
        <f t="shared" si="81"/>
        <v>0.40062372734932561</v>
      </c>
      <c r="S217" s="817">
        <f t="shared" si="82"/>
        <v>-2</v>
      </c>
      <c r="T217" s="176">
        <f t="shared" si="83"/>
        <v>4</v>
      </c>
      <c r="U217" s="251">
        <f t="shared" si="84"/>
        <v>-1.5993762726506744</v>
      </c>
      <c r="V217" s="383">
        <f t="shared" si="85"/>
        <v>37.52939207409586</v>
      </c>
      <c r="W217" s="402">
        <f t="shared" si="86"/>
        <v>27.343888654142873</v>
      </c>
      <c r="X217" s="157">
        <f t="shared" si="87"/>
        <v>45860</v>
      </c>
      <c r="Y217" s="385">
        <f t="shared" si="88"/>
        <v>25.171465475207786</v>
      </c>
      <c r="Z217" s="385">
        <f t="shared" si="89"/>
        <v>26.676295712222966</v>
      </c>
      <c r="AA217" s="386">
        <f t="shared" si="90"/>
        <v>29.951395403274596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0.10934714883746489</v>
      </c>
      <c r="AD217" s="231">
        <f>(INDEX(Models!$BJ217:$BT217,,AH217)*(1-AF217)+INDEX(Models!$BJ217:$BT217,,AH217+1)*AF217-ERP_i)*AE217*Ramure*Pc/MaxiM</f>
        <v>1.0230876895076072E-7</v>
      </c>
      <c r="AE217" s="305">
        <f t="shared" si="92"/>
        <v>0.7</v>
      </c>
      <c r="AF217" s="177">
        <f t="shared" si="93"/>
        <v>2.4487096725381408E-2</v>
      </c>
      <c r="AG217" s="817">
        <f t="shared" si="99"/>
        <v>1</v>
      </c>
      <c r="AH217" s="176">
        <f t="shared" si="94"/>
        <v>7</v>
      </c>
      <c r="AI217" s="225">
        <f t="shared" si="95"/>
        <v>1.0244870967253814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45861</v>
      </c>
      <c r="B218" s="411">
        <f>'2024'!Wh/'2024'!Env_an*'2025'!Env_an</f>
        <v>32.006768865674218</v>
      </c>
      <c r="C218" s="846"/>
      <c r="D218" s="393">
        <f t="shared" si="77"/>
        <v>33.92097822821782</v>
      </c>
      <c r="E218" s="385">
        <f t="shared" si="75"/>
        <v>35.065754349983756</v>
      </c>
      <c r="F218" s="385">
        <f t="shared" si="78"/>
        <v>35.065754349983756</v>
      </c>
      <c r="G218" s="110">
        <f t="shared" si="76"/>
        <v>0.85484321954634557</v>
      </c>
      <c r="H218" s="414" t="b">
        <f>Wh_hp&gt;='2024'!Maxi_hp</f>
        <v>0</v>
      </c>
      <c r="I218" s="390">
        <f>IF(H218,Wh_hp,'2024'!Maxi_hp)</f>
        <v>40.234800142137267</v>
      </c>
      <c r="J218" s="85">
        <f>IF(H218,An,'2024'!An_max)</f>
        <v>2018</v>
      </c>
      <c r="K218" s="197">
        <f t="shared" si="79"/>
        <v>45861</v>
      </c>
      <c r="L218" s="147">
        <f>IF(t&lt;Tvie,1-EXP((T0-t)*PertePVj)+'2024'!Pspv,1-EXP((T0-t)*PertePVj)+Pspv)</f>
        <v>5.6431431595661663E-2</v>
      </c>
      <c r="M218" s="850"/>
      <c r="N218" s="850"/>
      <c r="O218" s="48">
        <f>IF(t&lt;Tnet,'2024'!Resal+('2024'!Salim-'2024'!Resal)*(1-EXP(('2024'!Tnet-t)/('2024'!Tau_j))),Resal+(Salim-Resal)*(1-EXP((Tnet-t)/(Tau_j))))*Salcycl</f>
        <v>3.2646556248018245E-2</v>
      </c>
      <c r="P218" s="169">
        <f>(INDEX(Models!$BJ218:$BT218,,T218)*(1-R218)+INDEX(Models!$BJ218:$BT218,,T218+1)*R218-ERP_i)*Q218*Ramure*Pc/MaxiM</f>
        <v>0</v>
      </c>
      <c r="Q218" s="305">
        <f t="shared" si="80"/>
        <v>0.7</v>
      </c>
      <c r="R218" s="177">
        <f t="shared" si="81"/>
        <v>0.4032261971104576</v>
      </c>
      <c r="S218" s="817">
        <f t="shared" si="82"/>
        <v>-2</v>
      </c>
      <c r="T218" s="176">
        <f t="shared" si="83"/>
        <v>4</v>
      </c>
      <c r="U218" s="251">
        <f t="shared" si="84"/>
        <v>-1.5967738028895424</v>
      </c>
      <c r="V218" s="383">
        <f t="shared" si="85"/>
        <v>37.44168302891822</v>
      </c>
      <c r="W218" s="402">
        <f t="shared" si="86"/>
        <v>32.006768865674218</v>
      </c>
      <c r="X218" s="157">
        <f t="shared" si="87"/>
        <v>45861</v>
      </c>
      <c r="Y218" s="385">
        <f t="shared" si="88"/>
        <v>29.46686705538005</v>
      </c>
      <c r="Z218" s="385">
        <f t="shared" si="89"/>
        <v>31.22917405484505</v>
      </c>
      <c r="AA218" s="386">
        <f t="shared" si="90"/>
        <v>35.065751077949209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0.10941094672621336</v>
      </c>
      <c r="AD218" s="231">
        <f>(INDEX(Models!$BJ218:$BT218,,AH218)*(1-AF218)+INDEX(Models!$BJ218:$BT218,,AH218+1)*AF218-ERP_i)*AE218*Ramure*Pc/MaxiM</f>
        <v>1.1772330643430766E-7</v>
      </c>
      <c r="AE218" s="305">
        <f t="shared" si="92"/>
        <v>0.7</v>
      </c>
      <c r="AF218" s="177">
        <f t="shared" si="93"/>
        <v>2.7089566486513394E-2</v>
      </c>
      <c r="AG218" s="817">
        <f t="shared" si="99"/>
        <v>1</v>
      </c>
      <c r="AH218" s="176">
        <f t="shared" si="94"/>
        <v>7</v>
      </c>
      <c r="AI218" s="225">
        <f t="shared" si="95"/>
        <v>1.0270895664865134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45862</v>
      </c>
      <c r="B219" s="411">
        <f>'2024'!Wh/'2024'!Env_an*'2025'!Env_an</f>
        <v>34.581568030109089</v>
      </c>
      <c r="C219" s="846"/>
      <c r="D219" s="393">
        <f t="shared" si="77"/>
        <v>36.650569582104701</v>
      </c>
      <c r="E219" s="385">
        <f t="shared" si="75"/>
        <v>37.893996743141429</v>
      </c>
      <c r="F219" s="385">
        <f t="shared" si="78"/>
        <v>37.893996743141429</v>
      </c>
      <c r="G219" s="110">
        <f t="shared" si="76"/>
        <v>0.92575883065534437</v>
      </c>
      <c r="H219" s="414" t="b">
        <f>Wh_hp&gt;='2024'!Maxi_hp</f>
        <v>1</v>
      </c>
      <c r="I219" s="390">
        <f>IF(H219,Wh_hp,'2024'!Maxi_hp)</f>
        <v>37.893996743141429</v>
      </c>
      <c r="J219" s="85">
        <f>IF(H219,An,'2024'!An_max)</f>
        <v>2025</v>
      </c>
      <c r="K219" s="197">
        <f t="shared" si="79"/>
        <v>45862</v>
      </c>
      <c r="L219" s="147">
        <f>IF(t&lt;Tvie,1-EXP((T0-t)*PertePVj)+'2024'!Pspv,1-EXP((T0-t)*PertePVj)+Pspv)</f>
        <v>5.6452098168914611E-2</v>
      </c>
      <c r="M219" s="850"/>
      <c r="N219" s="850"/>
      <c r="O219" s="48">
        <f>IF(t&lt;Tnet,'2024'!Resal+('2024'!Salim-'2024'!Resal)*(1-EXP(('2024'!Tnet-t)/('2024'!Tau_j))),Resal+(Salim-Resal)*(1-EXP((Tnet-t)/(Tau_j))))*Salcycl</f>
        <v>3.2813302050588807E-2</v>
      </c>
      <c r="P219" s="169">
        <f>(INDEX(Models!$BJ219:$BT219,,T219)*(1-R219)+INDEX(Models!$BJ219:$BT219,,T219+1)*R219-ERP_i)*Q219*Ramure*Pc/MaxiM</f>
        <v>0</v>
      </c>
      <c r="Q219" s="305">
        <f t="shared" si="80"/>
        <v>0.7</v>
      </c>
      <c r="R219" s="177">
        <f t="shared" si="81"/>
        <v>0.40575402115333481</v>
      </c>
      <c r="S219" s="817">
        <f t="shared" si="82"/>
        <v>-2</v>
      </c>
      <c r="T219" s="176">
        <f t="shared" si="83"/>
        <v>4</v>
      </c>
      <c r="U219" s="251">
        <f t="shared" si="84"/>
        <v>-1.5942459788466652</v>
      </c>
      <c r="V219" s="383">
        <f t="shared" si="85"/>
        <v>37.354834634014566</v>
      </c>
      <c r="W219" s="402">
        <f t="shared" si="86"/>
        <v>34.581568030109089</v>
      </c>
      <c r="X219" s="157">
        <f t="shared" si="87"/>
        <v>45862</v>
      </c>
      <c r="Y219" s="385">
        <f t="shared" si="88"/>
        <v>31.840572813815889</v>
      </c>
      <c r="Z219" s="385">
        <f t="shared" si="89"/>
        <v>33.745581704993299</v>
      </c>
      <c r="AA219" s="386">
        <f t="shared" si="90"/>
        <v>37.893992209845486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0.10947409504597835</v>
      </c>
      <c r="AD219" s="231">
        <f>(INDEX(Models!$BJ219:$BT219,,AH219)*(1-AF219)+INDEX(Models!$BJ219:$BT219,,AH219+1)*AF219-ERP_i)*AE219*Ramure*Pc/MaxiM</f>
        <v>1.3382421695886606E-7</v>
      </c>
      <c r="AE219" s="305">
        <f t="shared" si="92"/>
        <v>0.7</v>
      </c>
      <c r="AF219" s="177">
        <f t="shared" si="93"/>
        <v>2.961739052939083E-2</v>
      </c>
      <c r="AG219" s="817">
        <f t="shared" si="99"/>
        <v>1</v>
      </c>
      <c r="AH219" s="176">
        <f t="shared" si="94"/>
        <v>7</v>
      </c>
      <c r="AI219" s="225">
        <f t="shared" si="95"/>
        <v>1.0296173905293908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45863</v>
      </c>
      <c r="B220" s="411">
        <f>'2024'!Wh/'2024'!Env_an*'2025'!Env_an</f>
        <v>19.482701927502312</v>
      </c>
      <c r="C220" s="846"/>
      <c r="D220" s="393">
        <f t="shared" si="77"/>
        <v>20.648796547808907</v>
      </c>
      <c r="E220" s="385">
        <f t="shared" si="75"/>
        <v>21.353011775298441</v>
      </c>
      <c r="F220" s="385">
        <f t="shared" si="78"/>
        <v>21.353011775298441</v>
      </c>
      <c r="G220" s="110">
        <f t="shared" si="76"/>
        <v>0.52276883637109139</v>
      </c>
      <c r="H220" s="414" t="b">
        <f>Wh_hp&gt;='2024'!Maxi_hp</f>
        <v>0</v>
      </c>
      <c r="I220" s="390">
        <f>IF(H220,Wh_hp,'2024'!Maxi_hp)</f>
        <v>41.517040985591251</v>
      </c>
      <c r="J220" s="85">
        <f>IF(H220,An,'2024'!An_max)</f>
        <v>2020</v>
      </c>
      <c r="K220" s="197">
        <f t="shared" si="79"/>
        <v>45863</v>
      </c>
      <c r="L220" s="147">
        <f>IF(t&lt;Tvie,1-EXP((T0-t)*PertePVj)+'2024'!Pspv,1-EXP((T0-t)*PertePVj)+Pspv)</f>
        <v>5.647276428951653E-2</v>
      </c>
      <c r="M220" s="850"/>
      <c r="N220" s="850"/>
      <c r="O220" s="48">
        <f>IF(t&lt;Tnet,'2024'!Resal+('2024'!Salim-'2024'!Resal)*(1-EXP(('2024'!Tnet-t)/('2024'!Tau_j))),Resal+(Salim-Resal)*(1-EXP((Tnet-t)/(Tau_j))))*Salcycl</f>
        <v>3.2979667453945913E-2</v>
      </c>
      <c r="P220" s="169">
        <f>(INDEX(Models!$BJ220:$BT220,,T220)*(1-R220)+INDEX(Models!$BJ220:$BT220,,T220+1)*R220-ERP_i)*Q220*Ramure*Pc/MaxiM</f>
        <v>0</v>
      </c>
      <c r="Q220" s="305">
        <f t="shared" si="80"/>
        <v>0.7</v>
      </c>
      <c r="R220" s="177">
        <f t="shared" si="81"/>
        <v>0.40820832214046998</v>
      </c>
      <c r="S220" s="817">
        <f t="shared" si="82"/>
        <v>-2</v>
      </c>
      <c r="T220" s="176">
        <f t="shared" si="83"/>
        <v>4</v>
      </c>
      <c r="U220" s="251">
        <f t="shared" si="84"/>
        <v>-1.59179167785953</v>
      </c>
      <c r="V220" s="383">
        <f t="shared" si="85"/>
        <v>37.26829254541174</v>
      </c>
      <c r="W220" s="402">
        <f t="shared" si="86"/>
        <v>19.482701927502312</v>
      </c>
      <c r="X220" s="157">
        <f t="shared" si="87"/>
        <v>45863</v>
      </c>
      <c r="Y220" s="385">
        <f t="shared" si="88"/>
        <v>17.940296538091921</v>
      </c>
      <c r="Z220" s="385">
        <f t="shared" si="89"/>
        <v>19.014073848734991</v>
      </c>
      <c r="AA220" s="386">
        <f t="shared" si="90"/>
        <v>21.35301074175521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0.10953663262326255</v>
      </c>
      <c r="AD220" s="231">
        <f>(INDEX(Models!$BJ220:$BT220,,AH220)*(1-AF220)+INDEX(Models!$BJ220:$BT220,,AH220+1)*AF220-ERP_i)*AE220*Ramure*Pc/MaxiM</f>
        <v>1.5209436030162927E-7</v>
      </c>
      <c r="AE220" s="305">
        <f t="shared" si="92"/>
        <v>0.7</v>
      </c>
      <c r="AF220" s="177">
        <f t="shared" si="93"/>
        <v>3.207169151652578E-2</v>
      </c>
      <c r="AG220" s="817">
        <f t="shared" si="99"/>
        <v>1</v>
      </c>
      <c r="AH220" s="176">
        <f t="shared" si="94"/>
        <v>7</v>
      </c>
      <c r="AI220" s="225">
        <f t="shared" si="95"/>
        <v>1.0320716915165258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45864</v>
      </c>
      <c r="B221" s="411">
        <f>'2024'!Wh/'2024'!Env_an*'2025'!Env_an</f>
        <v>35.857394002088398</v>
      </c>
      <c r="C221" s="846"/>
      <c r="D221" s="393">
        <f t="shared" si="77"/>
        <v>38.004392487136947</v>
      </c>
      <c r="E221" s="385">
        <f t="shared" si="75"/>
        <v>39.307257543631842</v>
      </c>
      <c r="F221" s="385">
        <f t="shared" si="78"/>
        <v>39.307257543631842</v>
      </c>
      <c r="G221" s="110">
        <f t="shared" si="76"/>
        <v>0.96437868220477863</v>
      </c>
      <c r="H221" s="414" t="b">
        <f>Wh_hp&gt;='2024'!Maxi_hp</f>
        <v>0</v>
      </c>
      <c r="I221" s="390">
        <f>IF(H221,Wh_hp,'2024'!Maxi_hp)</f>
        <v>40.464552652725096</v>
      </c>
      <c r="J221" s="85">
        <f>IF(H221,An,'2024'!An_max)</f>
        <v>2020</v>
      </c>
      <c r="K221" s="197">
        <f t="shared" si="79"/>
        <v>45864</v>
      </c>
      <c r="L221" s="147">
        <f>IF(t&lt;Tvie,1-EXP((T0-t)*PertePVj)+'2024'!Pspv,1-EXP((T0-t)*PertePVj)+Pspv)</f>
        <v>5.6493429957477415E-2</v>
      </c>
      <c r="M221" s="850"/>
      <c r="N221" s="850"/>
      <c r="O221" s="48">
        <f>IF(t&lt;Tnet,'2024'!Resal+('2024'!Salim-'2024'!Resal)*(1-EXP(('2024'!Tnet-t)/('2024'!Tau_j))),Resal+(Salim-Resal)*(1-EXP((Tnet-t)/(Tau_j))))*Salcycl</f>
        <v>3.3145661588033344E-2</v>
      </c>
      <c r="P221" s="169">
        <f>(INDEX(Models!$BJ221:$BT221,,T221)*(1-R221)+INDEX(Models!$BJ221:$BT221,,T221+1)*R221-ERP_i)*Q221*Ramure*Pc/MaxiM</f>
        <v>0</v>
      </c>
      <c r="Q221" s="305">
        <f t="shared" si="80"/>
        <v>0.7</v>
      </c>
      <c r="R221" s="177">
        <f t="shared" si="81"/>
        <v>0.41059027891832889</v>
      </c>
      <c r="S221" s="817">
        <f t="shared" si="82"/>
        <v>-2</v>
      </c>
      <c r="T221" s="176">
        <f t="shared" si="83"/>
        <v>4</v>
      </c>
      <c r="U221" s="251">
        <f t="shared" si="84"/>
        <v>-1.5894097210816711</v>
      </c>
      <c r="V221" s="383">
        <f t="shared" si="85"/>
        <v>37.181860884886653</v>
      </c>
      <c r="W221" s="402">
        <f t="shared" si="86"/>
        <v>35.857394002088398</v>
      </c>
      <c r="X221" s="157">
        <f t="shared" si="87"/>
        <v>45864</v>
      </c>
      <c r="Y221" s="385">
        <f t="shared" si="88"/>
        <v>33.022004912788148</v>
      </c>
      <c r="Z221" s="385">
        <f t="shared" si="89"/>
        <v>34.999231548859157</v>
      </c>
      <c r="AA221" s="386">
        <f t="shared" si="90"/>
        <v>39.307251072451137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0.1095985958329021</v>
      </c>
      <c r="AD221" s="231">
        <f>(INDEX(Models!$BJ221:$BT221,,AH221)*(1-AF221)+INDEX(Models!$BJ221:$BT221,,AH221+1)*AF221-ERP_i)*AE221*Ramure*Pc/MaxiM</f>
        <v>1.7345752071555112E-7</v>
      </c>
      <c r="AE221" s="305">
        <f t="shared" si="92"/>
        <v>0.7</v>
      </c>
      <c r="AF221" s="177">
        <f t="shared" si="93"/>
        <v>3.4453648294384687E-2</v>
      </c>
      <c r="AG221" s="817">
        <f t="shared" si="99"/>
        <v>1</v>
      </c>
      <c r="AH221" s="176">
        <f t="shared" si="94"/>
        <v>7</v>
      </c>
      <c r="AI221" s="225">
        <f t="shared" si="95"/>
        <v>1.0344536482943847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45865</v>
      </c>
      <c r="B222" s="411">
        <f>'2024'!Wh/'2024'!Env_an*'2025'!Env_an</f>
        <v>37.642752224558642</v>
      </c>
      <c r="C222" s="846"/>
      <c r="D222" s="393">
        <f t="shared" si="77"/>
        <v>39.897524734567412</v>
      </c>
      <c r="E222" s="385">
        <f t="shared" si="75"/>
        <v>41.272360426201736</v>
      </c>
      <c r="F222" s="385">
        <f t="shared" si="78"/>
        <v>41.272360426201736</v>
      </c>
      <c r="G222" s="110">
        <f t="shared" si="76"/>
        <v>1.01475679197081</v>
      </c>
      <c r="H222" s="414" t="b">
        <f>Wh_hp&gt;='2024'!Maxi_hp</f>
        <v>1</v>
      </c>
      <c r="I222" s="390">
        <f>IF(H222,Wh_hp,'2024'!Maxi_hp)</f>
        <v>41.272360426201736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5.6514095172807144E-2</v>
      </c>
      <c r="M222" s="850"/>
      <c r="N222" s="850"/>
      <c r="O222" s="48">
        <f>IF(t&lt;Tnet,'2024'!Resal+('2024'!Salim-'2024'!Resal)*(1-EXP(('2024'!Tnet-t)/('2024'!Tau_j))),Resal+(Salim-Resal)*(1-EXP((Tnet-t)/(Tau_j))))*Salcycl</f>
        <v>3.3311293016367122E-2</v>
      </c>
      <c r="P222" s="169">
        <f>(INDEX(Models!$BJ222:$BT222,,T222)*(1-R222)+INDEX(Models!$BJ222:$BT222,,T222+1)*R222-ERP_i)*Q222*Ramure*Pc/MaxiM</f>
        <v>0</v>
      </c>
      <c r="Q222" s="305">
        <f t="shared" si="80"/>
        <v>0.7</v>
      </c>
      <c r="R222" s="177">
        <f t="shared" si="81"/>
        <v>0.41290112042329463</v>
      </c>
      <c r="S222" s="817">
        <f t="shared" si="82"/>
        <v>-2</v>
      </c>
      <c r="T222" s="176">
        <f t="shared" si="83"/>
        <v>4</v>
      </c>
      <c r="U222" s="251">
        <f t="shared" si="84"/>
        <v>-1.5870988795767054</v>
      </c>
      <c r="V222" s="383">
        <f t="shared" si="85"/>
        <v>37.095343950791175</v>
      </c>
      <c r="W222" s="402">
        <f t="shared" si="86"/>
        <v>37.642752224558642</v>
      </c>
      <c r="X222" s="157">
        <f t="shared" si="87"/>
        <v>45865</v>
      </c>
      <c r="Y222" s="385">
        <f t="shared" si="88"/>
        <v>34.669734350524799</v>
      </c>
      <c r="Z222" s="385">
        <f t="shared" si="89"/>
        <v>36.746425328818077</v>
      </c>
      <c r="AA222" s="386">
        <f t="shared" si="90"/>
        <v>41.272352239382535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0.10966001851103044</v>
      </c>
      <c r="AD222" s="231">
        <f>(INDEX(Models!$BJ222:$BT222,,AH222)*(1-AF222)+INDEX(Models!$BJ222:$BT222,,AH222+1)*AF222-ERP_i)*AE222*Ramure*Pc/MaxiM</f>
        <v>1.9836081862789815E-7</v>
      </c>
      <c r="AE222" s="305">
        <f t="shared" si="92"/>
        <v>0.7</v>
      </c>
      <c r="AF222" s="177">
        <f t="shared" si="93"/>
        <v>3.6764489799350653E-2</v>
      </c>
      <c r="AG222" s="817">
        <f t="shared" si="99"/>
        <v>1</v>
      </c>
      <c r="AH222" s="176">
        <f t="shared" si="94"/>
        <v>7</v>
      </c>
      <c r="AI222" s="225">
        <f t="shared" si="95"/>
        <v>1.0367644897993507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45866</v>
      </c>
      <c r="B223" s="411">
        <f>'2024'!Wh/'2024'!Env_an*'2025'!Env_an</f>
        <v>30.373498483039718</v>
      </c>
      <c r="C223" s="846"/>
      <c r="D223" s="393">
        <f t="shared" si="77"/>
        <v>32.193553289746781</v>
      </c>
      <c r="E223" s="385">
        <f t="shared" si="75"/>
        <v>33.30861133877076</v>
      </c>
      <c r="F223" s="385">
        <f t="shared" si="78"/>
        <v>33.30861133877076</v>
      </c>
      <c r="G223" s="110">
        <f t="shared" si="76"/>
        <v>0.82071579641018755</v>
      </c>
      <c r="H223" s="414" t="b">
        <f>Wh_hp&gt;='2024'!Maxi_hp</f>
        <v>0</v>
      </c>
      <c r="I223" s="390">
        <f>IF(H223,Wh_hp,'2024'!Maxi_hp)</f>
        <v>39.810455578458225</v>
      </c>
      <c r="J223" s="85">
        <f>IF(H223,An,'2024'!An_max)</f>
        <v>2019</v>
      </c>
      <c r="K223" s="197">
        <f t="shared" si="79"/>
        <v>45866</v>
      </c>
      <c r="L223" s="147">
        <f>IF(t&lt;Tvie,1-EXP((T0-t)*PertePVj)+'2024'!Pspv,1-EXP((T0-t)*PertePVj)+Pspv)</f>
        <v>5.6534759935515599E-2</v>
      </c>
      <c r="M223" s="850"/>
      <c r="N223" s="850"/>
      <c r="O223" s="48">
        <f>IF(t&lt;Tnet,'2024'!Resal+('2024'!Salim-'2024'!Resal)*(1-EXP(('2024'!Tnet-t)/('2024'!Tau_j))),Resal+(Salim-Resal)*(1-EXP((Tnet-t)/(Tau_j))))*Salcycl</f>
        <v>3.3476569697940654E-2</v>
      </c>
      <c r="P223" s="169">
        <f>(INDEX(Models!$BJ223:$BT223,,T223)*(1-R223)+INDEX(Models!$BJ223:$BT223,,T223+1)*R223-ERP_i)*Q223*Ramure*Pc/MaxiM</f>
        <v>0</v>
      </c>
      <c r="Q223" s="305">
        <f t="shared" si="80"/>
        <v>0.7</v>
      </c>
      <c r="R223" s="177">
        <f t="shared" si="81"/>
        <v>0.41514211980987614</v>
      </c>
      <c r="S223" s="817">
        <f t="shared" si="82"/>
        <v>-2</v>
      </c>
      <c r="T223" s="176">
        <f t="shared" si="83"/>
        <v>4</v>
      </c>
      <c r="U223" s="251">
        <f t="shared" si="84"/>
        <v>-1.5848578801901239</v>
      </c>
      <c r="V223" s="383">
        <f t="shared" si="85"/>
        <v>37.008546217696136</v>
      </c>
      <c r="W223" s="402">
        <f t="shared" si="86"/>
        <v>30.373498483039718</v>
      </c>
      <c r="X223" s="157">
        <f t="shared" si="87"/>
        <v>45866</v>
      </c>
      <c r="Y223" s="385">
        <f t="shared" si="88"/>
        <v>27.977475254306761</v>
      </c>
      <c r="Z223" s="385">
        <f t="shared" si="89"/>
        <v>29.653954450292776</v>
      </c>
      <c r="AA223" s="386">
        <f t="shared" si="90"/>
        <v>33.308605708596751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0.10972093189000499</v>
      </c>
      <c r="AD223" s="231">
        <f>(INDEX(Models!$BJ223:$BT223,,AH223)*(1-AF223)+INDEX(Models!$BJ223:$BT223,,AH223+1)*AF223-ERP_i)*AE223*Ramure*Pc/MaxiM</f>
        <v>2.2722838298566658E-7</v>
      </c>
      <c r="AE223" s="305">
        <f t="shared" si="92"/>
        <v>0.7</v>
      </c>
      <c r="AF223" s="177">
        <f t="shared" si="93"/>
        <v>3.9005489185932163E-2</v>
      </c>
      <c r="AG223" s="817">
        <f t="shared" si="99"/>
        <v>1</v>
      </c>
      <c r="AH223" s="176">
        <f t="shared" si="94"/>
        <v>7</v>
      </c>
      <c r="AI223" s="225">
        <f t="shared" si="95"/>
        <v>1.0390054891859322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45867</v>
      </c>
      <c r="B224" s="411">
        <f>'2024'!Wh/'2024'!Env_an*'2025'!Env_an</f>
        <v>19.368886667765654</v>
      </c>
      <c r="C224" s="846"/>
      <c r="D224" s="393">
        <f t="shared" si="77"/>
        <v>20.529967700835112</v>
      </c>
      <c r="E224" s="385">
        <f t="shared" si="75"/>
        <v>21.244670252956535</v>
      </c>
      <c r="F224" s="385">
        <f t="shared" si="78"/>
        <v>21.244670252956535</v>
      </c>
      <c r="G224" s="110">
        <f t="shared" si="76"/>
        <v>0.52459965330494807</v>
      </c>
      <c r="H224" s="414" t="b">
        <f>Wh_hp&gt;='2024'!Maxi_hp</f>
        <v>0</v>
      </c>
      <c r="I224" s="390">
        <f>IF(H224,Wh_hp,'2024'!Maxi_hp)</f>
        <v>38.323446514546944</v>
      </c>
      <c r="J224" s="85">
        <f>IF(H224,An,'2024'!An_max)</f>
        <v>2021</v>
      </c>
      <c r="K224" s="197">
        <f t="shared" si="79"/>
        <v>45867</v>
      </c>
      <c r="L224" s="147">
        <f>IF(t&lt;Tvie,1-EXP((T0-t)*PertePVj)+'2024'!Pspv,1-EXP((T0-t)*PertePVj)+Pspv)</f>
        <v>5.6555424245612773E-2</v>
      </c>
      <c r="M224" s="850"/>
      <c r="N224" s="850"/>
      <c r="O224" s="48">
        <f>IF(t&lt;Tnet,'2024'!Resal+('2024'!Salim-'2024'!Resal)*(1-EXP(('2024'!Tnet-t)/('2024'!Tau_j))),Resal+(Salim-Resal)*(1-EXP((Tnet-t)/(Tau_j))))*Salcycl</f>
        <v>3.3641498955341964E-2</v>
      </c>
      <c r="P224" s="169">
        <f>(INDEX(Models!$BJ224:$BT224,,T224)*(1-R224)+INDEX(Models!$BJ224:$BT224,,T224+1)*R224-ERP_i)*Q224*Ramure*Pc/MaxiM</f>
        <v>0</v>
      </c>
      <c r="Q224" s="305">
        <f t="shared" si="80"/>
        <v>0.7</v>
      </c>
      <c r="R224" s="177">
        <f t="shared" si="81"/>
        <v>0.41731458881390959</v>
      </c>
      <c r="S224" s="817">
        <f t="shared" si="82"/>
        <v>-2</v>
      </c>
      <c r="T224" s="176">
        <f t="shared" si="83"/>
        <v>4</v>
      </c>
      <c r="U224" s="251">
        <f t="shared" si="84"/>
        <v>-1.5826854111860904</v>
      </c>
      <c r="V224" s="383">
        <f t="shared" si="85"/>
        <v>36.921272337377211</v>
      </c>
      <c r="W224" s="402">
        <f t="shared" si="86"/>
        <v>19.368886667765654</v>
      </c>
      <c r="X224" s="157">
        <f t="shared" si="87"/>
        <v>45867</v>
      </c>
      <c r="Y224" s="385">
        <f t="shared" si="88"/>
        <v>17.842800989335355</v>
      </c>
      <c r="Z224" s="385">
        <f t="shared" si="89"/>
        <v>18.912399782539513</v>
      </c>
      <c r="AA224" s="386">
        <f t="shared" si="90"/>
        <v>21.244668477517152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0.1097813645548688</v>
      </c>
      <c r="AD224" s="231">
        <f>(INDEX(Models!$BJ224:$BT224,,AH224)*(1-AF224)+INDEX(Models!$BJ224:$BT224,,AH224+1)*AF224-ERP_i)*AE224*Ramure*Pc/MaxiM</f>
        <v>2.6046226508177097E-7</v>
      </c>
      <c r="AE224" s="305">
        <f t="shared" si="92"/>
        <v>0.7</v>
      </c>
      <c r="AF224" s="177">
        <f t="shared" si="93"/>
        <v>4.1177958189965391E-2</v>
      </c>
      <c r="AG224" s="817">
        <f t="shared" si="99"/>
        <v>1</v>
      </c>
      <c r="AH224" s="176">
        <f t="shared" si="94"/>
        <v>7</v>
      </c>
      <c r="AI224" s="225">
        <f t="shared" si="95"/>
        <v>1.0411779581899654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45868</v>
      </c>
      <c r="B225" s="411">
        <f>'2024'!Wh/'2024'!Env_an*'2025'!Env_an</f>
        <v>30.950460254453908</v>
      </c>
      <c r="C225" s="846"/>
      <c r="D225" s="393">
        <f t="shared" si="77"/>
        <v>32.80652510940017</v>
      </c>
      <c r="E225" s="385">
        <f t="shared" si="75"/>
        <v>33.954390193564478</v>
      </c>
      <c r="F225" s="385">
        <f t="shared" si="78"/>
        <v>33.954390193564478</v>
      </c>
      <c r="G225" s="110">
        <f t="shared" si="76"/>
        <v>0.84028413011667169</v>
      </c>
      <c r="H225" s="414" t="b">
        <f>Wh_hp&gt;='2024'!Maxi_hp</f>
        <v>0</v>
      </c>
      <c r="I225" s="390">
        <f>IF(H225,Wh_hp,'2024'!Maxi_hp)</f>
        <v>37.359921298844867</v>
      </c>
      <c r="J225" s="85">
        <f>IF(H225,An,'2024'!An_max)</f>
        <v>2018</v>
      </c>
      <c r="K225" s="197">
        <f t="shared" si="79"/>
        <v>45868</v>
      </c>
      <c r="L225" s="147">
        <f>IF(t&lt;Tvie,1-EXP((T0-t)*PertePVj)+'2024'!Pspv,1-EXP((T0-t)*PertePVj)+Pspv)</f>
        <v>5.6576088103108435E-2</v>
      </c>
      <c r="M225" s="850"/>
      <c r="N225" s="850"/>
      <c r="O225" s="48">
        <f>IF(t&lt;Tnet,'2024'!Resal+('2024'!Salim-'2024'!Resal)*(1-EXP(('2024'!Tnet-t)/('2024'!Tau_j))),Resal+(Salim-Resal)*(1-EXP((Tnet-t)/(Tau_j))))*Salcycl</f>
        <v>3.3806087449094226E-2</v>
      </c>
      <c r="P225" s="169">
        <f>(INDEX(Models!$BJ225:$BT225,,T225)*(1-R225)+INDEX(Models!$BJ225:$BT225,,T225+1)*R225-ERP_i)*Q225*Ramure*Pc/MaxiM</f>
        <v>0</v>
      </c>
      <c r="Q225" s="305">
        <f t="shared" si="80"/>
        <v>0.7</v>
      </c>
      <c r="R225" s="177">
        <f t="shared" si="81"/>
        <v>0.41941987236079203</v>
      </c>
      <c r="S225" s="817">
        <f t="shared" si="82"/>
        <v>-2</v>
      </c>
      <c r="T225" s="176">
        <f t="shared" si="83"/>
        <v>4</v>
      </c>
      <c r="U225" s="251">
        <f t="shared" si="84"/>
        <v>-1.580580127639208</v>
      </c>
      <c r="V225" s="383">
        <f t="shared" si="85"/>
        <v>36.833327139186245</v>
      </c>
      <c r="W225" s="402">
        <f t="shared" si="86"/>
        <v>30.950460254453908</v>
      </c>
      <c r="X225" s="157">
        <f t="shared" si="87"/>
        <v>45868</v>
      </c>
      <c r="Y225" s="385">
        <f t="shared" si="88"/>
        <v>28.514787194762121</v>
      </c>
      <c r="Z225" s="385">
        <f t="shared" si="89"/>
        <v>30.224787431377457</v>
      </c>
      <c r="AA225" s="386">
        <f t="shared" si="90"/>
        <v>33.954382372207021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0.10984134242071739</v>
      </c>
      <c r="AD225" s="231">
        <f>(INDEX(Models!$BJ225:$BT225,,AH225)*(1-AF225)+INDEX(Models!$BJ225:$BT225,,AH225+1)*AF225-ERP_i)*AE225*Ramure*Pc/MaxiM</f>
        <v>2.9844343393185554E-7</v>
      </c>
      <c r="AE225" s="305">
        <f t="shared" si="92"/>
        <v>0.7</v>
      </c>
      <c r="AF225" s="177">
        <f t="shared" si="93"/>
        <v>4.3283241736847833E-2</v>
      </c>
      <c r="AG225" s="817">
        <f t="shared" si="99"/>
        <v>1</v>
      </c>
      <c r="AH225" s="176">
        <f t="shared" si="94"/>
        <v>7</v>
      </c>
      <c r="AI225" s="225">
        <f t="shared" si="95"/>
        <v>1.0432832417368478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45869</v>
      </c>
      <c r="B226" s="411">
        <f>'2024'!Wh/'2024'!Env_an*'2025'!Env_an</f>
        <v>36.065849685578002</v>
      </c>
      <c r="C226" s="846"/>
      <c r="D226" s="393">
        <f t="shared" si="77"/>
        <v>38.229516109074879</v>
      </c>
      <c r="E226" s="385">
        <f t="shared" si="75"/>
        <v>39.573853410368145</v>
      </c>
      <c r="F226" s="385">
        <f t="shared" si="78"/>
        <v>39.573853410368145</v>
      </c>
      <c r="G226" s="110">
        <f t="shared" si="76"/>
        <v>0.98153014317355891</v>
      </c>
      <c r="H226" s="414" t="b">
        <f>Wh_hp&gt;='2024'!Maxi_hp</f>
        <v>1</v>
      </c>
      <c r="I226" s="390">
        <f>IF(H226,Wh_hp,'2024'!Maxi_hp)</f>
        <v>39.573853410368145</v>
      </c>
      <c r="J226" s="85">
        <f>IF(H226,An,'2024'!An_max)</f>
        <v>2025</v>
      </c>
      <c r="K226" s="197">
        <f t="shared" si="79"/>
        <v>45869</v>
      </c>
      <c r="L226" s="147">
        <f>IF(t&lt;Tvie,1-EXP((T0-t)*PertePVj)+'2024'!Pspv,1-EXP((T0-t)*PertePVj)+Pspv)</f>
        <v>5.6596751508012577E-2</v>
      </c>
      <c r="M226" s="850"/>
      <c r="N226" s="850"/>
      <c r="O226" s="48">
        <f>IF(t&lt;Tnet,'2024'!Resal+('2024'!Salim-'2024'!Resal)*(1-EXP(('2024'!Tnet-t)/('2024'!Tau_j))),Resal+(Salim-Resal)*(1-EXP((Tnet-t)/(Tau_j))))*Salcycl</f>
        <v>3.3970341158161124E-2</v>
      </c>
      <c r="P226" s="169">
        <f>(INDEX(Models!$BJ226:$BT226,,T226)*(1-R226)+INDEX(Models!$BJ226:$BT226,,T226+1)*R226-ERP_i)*Q226*Ramure*Pc/MaxiM</f>
        <v>0</v>
      </c>
      <c r="Q226" s="305">
        <f t="shared" si="80"/>
        <v>0.7</v>
      </c>
      <c r="R226" s="177">
        <f t="shared" si="81"/>
        <v>0.42145934342626501</v>
      </c>
      <c r="S226" s="817">
        <f t="shared" si="82"/>
        <v>-2</v>
      </c>
      <c r="T226" s="176">
        <f t="shared" si="83"/>
        <v>4</v>
      </c>
      <c r="U226" s="251">
        <f t="shared" si="84"/>
        <v>-1.578540656573735</v>
      </c>
      <c r="V226" s="383">
        <f t="shared" si="85"/>
        <v>36.744515628391326</v>
      </c>
      <c r="W226" s="402">
        <f t="shared" si="86"/>
        <v>36.065849685578002</v>
      </c>
      <c r="X226" s="157">
        <f t="shared" si="87"/>
        <v>45869</v>
      </c>
      <c r="Y226" s="385">
        <f t="shared" si="88"/>
        <v>33.231039771422502</v>
      </c>
      <c r="Z226" s="385">
        <f t="shared" si="89"/>
        <v>35.224639966569654</v>
      </c>
      <c r="AA226" s="386">
        <f t="shared" si="90"/>
        <v>39.573840171929618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0.10990088873014962</v>
      </c>
      <c r="AD226" s="231">
        <f>(INDEX(Models!$BJ226:$BT226,,AH226)*(1-AF226)+INDEX(Models!$BJ226:$BT226,,AH226+1)*AF226-ERP_i)*AE226*Ramure*Pc/MaxiM</f>
        <v>3.4359069466891806E-7</v>
      </c>
      <c r="AE226" s="305">
        <f t="shared" si="92"/>
        <v>0.7</v>
      </c>
      <c r="AF226" s="177">
        <f t="shared" si="93"/>
        <v>4.532271280232103E-2</v>
      </c>
      <c r="AG226" s="817">
        <f t="shared" si="99"/>
        <v>1</v>
      </c>
      <c r="AH226" s="176">
        <f t="shared" si="94"/>
        <v>7</v>
      </c>
      <c r="AI226" s="225">
        <f t="shared" si="95"/>
        <v>1.045322712802321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45870</v>
      </c>
      <c r="B227" s="411">
        <f>'2024'!Wh/'2024'!Env_an*'2025'!Env_an</f>
        <v>35.9607257296841</v>
      </c>
      <c r="C227" s="846"/>
      <c r="D227" s="393">
        <f t="shared" si="77"/>
        <v>38.118920447437198</v>
      </c>
      <c r="E227" s="385">
        <f t="shared" si="75"/>
        <v>39.466065603726236</v>
      </c>
      <c r="F227" s="385">
        <f t="shared" si="78"/>
        <v>39.466065603726236</v>
      </c>
      <c r="G227" s="110">
        <f t="shared" si="76"/>
        <v>0.98106877598447173</v>
      </c>
      <c r="H227" s="414" t="b">
        <f>Wh_hp&gt;='2024'!Maxi_hp</f>
        <v>1</v>
      </c>
      <c r="I227" s="390">
        <f>IF(H227,Wh_hp,'2024'!Maxi_hp)</f>
        <v>39.466065603726236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5.6617414460335191E-2</v>
      </c>
      <c r="M227" s="850"/>
      <c r="N227" s="850"/>
      <c r="O227" s="48">
        <f>IF(t&lt;Tnet,'2024'!Resal+('2024'!Salim-'2024'!Resal)*(1-EXP(('2024'!Tnet-t)/('2024'!Tau_j))),Resal+(Salim-Resal)*(1-EXP((Tnet-t)/(Tau_j))))*Salcycl</f>
        <v>3.4134265366493541E-2</v>
      </c>
      <c r="P227" s="169">
        <f>(INDEX(Models!$BJ227:$BT227,,T227)*(1-R227)+INDEX(Models!$BJ227:$BT227,,T227+1)*R227-ERP_i)*Q227*Ramure*Pc/MaxiM</f>
        <v>0</v>
      </c>
      <c r="Q227" s="305">
        <f t="shared" si="80"/>
        <v>0.7</v>
      </c>
      <c r="R227" s="177">
        <f t="shared" si="81"/>
        <v>0.42343439815493422</v>
      </c>
      <c r="S227" s="817">
        <f t="shared" si="82"/>
        <v>-2</v>
      </c>
      <c r="T227" s="176">
        <f t="shared" si="83"/>
        <v>4</v>
      </c>
      <c r="U227" s="251">
        <f t="shared" si="84"/>
        <v>-1.5765656018450658</v>
      </c>
      <c r="V227" s="383">
        <f t="shared" si="85"/>
        <v>36.654642987285619</v>
      </c>
      <c r="W227" s="402">
        <f t="shared" si="86"/>
        <v>35.9607257296841</v>
      </c>
      <c r="X227" s="157">
        <f t="shared" si="87"/>
        <v>45870</v>
      </c>
      <c r="Y227" s="385">
        <f t="shared" si="88"/>
        <v>33.137598736426384</v>
      </c>
      <c r="Z227" s="385">
        <f t="shared" si="89"/>
        <v>35.126362564208158</v>
      </c>
      <c r="AA227" s="386">
        <f t="shared" si="90"/>
        <v>39.466050418125185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0.10996002406980096</v>
      </c>
      <c r="AD227" s="231">
        <f>(INDEX(Models!$BJ227:$BT227,,AH227)*(1-AF227)+INDEX(Models!$BJ227:$BT227,,AH227+1)*AF227-ERP_i)*AE227*Ramure*Pc/MaxiM</f>
        <v>3.9547152847247341E-7</v>
      </c>
      <c r="AE227" s="305">
        <f t="shared" si="92"/>
        <v>0.7</v>
      </c>
      <c r="AF227" s="177">
        <f t="shared" si="93"/>
        <v>4.7297767530990242E-2</v>
      </c>
      <c r="AG227" s="817">
        <f t="shared" si="99"/>
        <v>1</v>
      </c>
      <c r="AH227" s="176">
        <f t="shared" si="94"/>
        <v>7</v>
      </c>
      <c r="AI227" s="225">
        <f t="shared" si="95"/>
        <v>1.0472977675309902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45871</v>
      </c>
      <c r="B228" s="411">
        <f>'2024'!Wh/'2024'!Env_an*'2025'!Env_an</f>
        <v>35.85149392750548</v>
      </c>
      <c r="C228" s="846"/>
      <c r="D228" s="393">
        <f t="shared" si="77"/>
        <v>38.003965447297993</v>
      </c>
      <c r="E228" s="385">
        <f t="shared" si="75"/>
        <v>39.353713796788711</v>
      </c>
      <c r="F228" s="385">
        <f t="shared" si="78"/>
        <v>39.353713796788711</v>
      </c>
      <c r="G228" s="110">
        <f t="shared" si="76"/>
        <v>0.9805264714162254</v>
      </c>
      <c r="H228" s="414" t="b">
        <f>Wh_hp&gt;='2024'!Maxi_hp</f>
        <v>1</v>
      </c>
      <c r="I228" s="390">
        <f>IF(H228,Wh_hp,'2024'!Maxi_hp)</f>
        <v>39.353713796788711</v>
      </c>
      <c r="J228" s="85">
        <f>IF(H228,An,'2024'!An_max)</f>
        <v>2025</v>
      </c>
      <c r="K228" s="197">
        <f t="shared" si="79"/>
        <v>45871</v>
      </c>
      <c r="L228" s="147">
        <f>IF(t&lt;Tvie,1-EXP((T0-t)*PertePVj)+'2024'!Pspv,1-EXP((T0-t)*PertePVj)+Pspv)</f>
        <v>5.6638076960086048E-2</v>
      </c>
      <c r="M228" s="850"/>
      <c r="N228" s="850"/>
      <c r="O228" s="48">
        <f>IF(t&lt;Tnet,'2024'!Resal+('2024'!Salim-'2024'!Resal)*(1-EXP(('2024'!Tnet-t)/('2024'!Tau_j))),Resal+(Salim-Resal)*(1-EXP((Tnet-t)/(Tau_j))))*Salcycl</f>
        <v>3.4297864655428251E-2</v>
      </c>
      <c r="P228" s="169">
        <f>(INDEX(Models!$BJ228:$BT228,,T228)*(1-R228)+INDEX(Models!$BJ228:$BT228,,T228+1)*R228-ERP_i)*Q228*Ramure*Pc/MaxiM</f>
        <v>0</v>
      </c>
      <c r="Q228" s="305">
        <f t="shared" si="80"/>
        <v>0.7</v>
      </c>
      <c r="R228" s="177">
        <f t="shared" si="81"/>
        <v>0.42534645123957104</v>
      </c>
      <c r="S228" s="817">
        <f t="shared" si="82"/>
        <v>-2</v>
      </c>
      <c r="T228" s="176">
        <f t="shared" si="83"/>
        <v>4</v>
      </c>
      <c r="U228" s="251">
        <f t="shared" si="84"/>
        <v>-1.574653548760429</v>
      </c>
      <c r="V228" s="383">
        <f t="shared" si="85"/>
        <v>36.563514573679278</v>
      </c>
      <c r="W228" s="402">
        <f t="shared" si="86"/>
        <v>35.85149392750548</v>
      </c>
      <c r="X228" s="157">
        <f t="shared" si="87"/>
        <v>45871</v>
      </c>
      <c r="Y228" s="385">
        <f t="shared" si="88"/>
        <v>33.04035636370552</v>
      </c>
      <c r="Z228" s="385">
        <f t="shared" si="89"/>
        <v>35.024051275289359</v>
      </c>
      <c r="AA228" s="386">
        <f t="shared" si="90"/>
        <v>39.353696407512501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0.11001876640479001</v>
      </c>
      <c r="AD228" s="231">
        <f>(INDEX(Models!$BJ228:$BT228,,AH228)*(1-AF228)+INDEX(Models!$BJ228:$BT228,,AH228+1)*AF228-ERP_i)*AE228*Ramure*Pc/MaxiM</f>
        <v>4.5451560614571144E-7</v>
      </c>
      <c r="AE228" s="305">
        <f t="shared" si="92"/>
        <v>0.7</v>
      </c>
      <c r="AF228" s="177">
        <f t="shared" si="93"/>
        <v>4.9209820615627065E-2</v>
      </c>
      <c r="AG228" s="817">
        <f t="shared" si="99"/>
        <v>1</v>
      </c>
      <c r="AH228" s="176">
        <f t="shared" si="94"/>
        <v>7</v>
      </c>
      <c r="AI228" s="225">
        <f t="shared" si="95"/>
        <v>1.0492098206156271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45872</v>
      </c>
      <c r="B229" s="411">
        <f>'2024'!Wh/'2024'!Env_an*'2025'!Env_an</f>
        <v>33.450164134348952</v>
      </c>
      <c r="C229" s="846"/>
      <c r="D229" s="393">
        <f t="shared" si="77"/>
        <v>35.459239956437067</v>
      </c>
      <c r="E229" s="385">
        <f t="shared" si="75"/>
        <v>36.724819198888646</v>
      </c>
      <c r="F229" s="385">
        <f t="shared" si="78"/>
        <v>36.724819198888646</v>
      </c>
      <c r="G229" s="110">
        <f t="shared" si="76"/>
        <v>0.91717317612526739</v>
      </c>
      <c r="H229" s="414" t="b">
        <f>Wh_hp&gt;='2024'!Maxi_hp</f>
        <v>0</v>
      </c>
      <c r="I229" s="390">
        <f>IF(H229,Wh_hp,'2024'!Maxi_hp)</f>
        <v>38.935712166326411</v>
      </c>
      <c r="J229" s="85">
        <f>IF(H229,An,'2024'!An_max)</f>
        <v>2019</v>
      </c>
      <c r="K229" s="197">
        <f t="shared" si="79"/>
        <v>45872</v>
      </c>
      <c r="L229" s="147">
        <f>IF(t&lt;Tvie,1-EXP((T0-t)*PertePVj)+'2024'!Pspv,1-EXP((T0-t)*PertePVj)+Pspv)</f>
        <v>5.6658739007275249E-2</v>
      </c>
      <c r="M229" s="850"/>
      <c r="N229" s="850"/>
      <c r="O229" s="48">
        <f>IF(t&lt;Tnet,'2024'!Resal+('2024'!Salim-'2024'!Resal)*(1-EXP(('2024'!Tnet-t)/('2024'!Tau_j))),Resal+(Salim-Resal)*(1-EXP((Tnet-t)/(Tau_j))))*Salcycl</f>
        <v>3.4461142901688696E-2</v>
      </c>
      <c r="P229" s="169">
        <f>(INDEX(Models!$BJ229:$BT229,,T229)*(1-R229)+INDEX(Models!$BJ229:$BT229,,T229+1)*R229-ERP_i)*Q229*Ramure*Pc/MaxiM</f>
        <v>0</v>
      </c>
      <c r="Q229" s="305">
        <f t="shared" si="80"/>
        <v>0.7</v>
      </c>
      <c r="R229" s="177">
        <f t="shared" si="81"/>
        <v>0.4271969315622941</v>
      </c>
      <c r="S229" s="817">
        <f t="shared" si="82"/>
        <v>-2</v>
      </c>
      <c r="T229" s="176">
        <f t="shared" si="83"/>
        <v>4</v>
      </c>
      <c r="U229" s="251">
        <f t="shared" si="84"/>
        <v>-1.5728030684377059</v>
      </c>
      <c r="V229" s="383">
        <f t="shared" si="85"/>
        <v>36.470935920372284</v>
      </c>
      <c r="W229" s="402">
        <f t="shared" si="86"/>
        <v>33.450164134348952</v>
      </c>
      <c r="X229" s="157">
        <f t="shared" si="87"/>
        <v>45872</v>
      </c>
      <c r="Y229" s="385">
        <f t="shared" si="88"/>
        <v>30.830506855612779</v>
      </c>
      <c r="Z229" s="385">
        <f t="shared" si="89"/>
        <v>32.682241443746783</v>
      </c>
      <c r="AA229" s="386">
        <f t="shared" si="90"/>
        <v>36.724802324989057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0.11007713112975831</v>
      </c>
      <c r="AD229" s="231">
        <f>(INDEX(Models!$BJ229:$BT229,,AH229)*(1-AF229)+INDEX(Models!$BJ229:$BT229,,AH229+1)*AF229-ERP_i)*AE229*Ramure*Pc/MaxiM</f>
        <v>5.2113086014429958E-7</v>
      </c>
      <c r="AE229" s="305">
        <f t="shared" si="92"/>
        <v>0.7</v>
      </c>
      <c r="AF229" s="177">
        <f t="shared" si="93"/>
        <v>5.1060300938349901E-2</v>
      </c>
      <c r="AG229" s="817">
        <f t="shared" si="99"/>
        <v>1</v>
      </c>
      <c r="AH229" s="176">
        <f t="shared" si="94"/>
        <v>7</v>
      </c>
      <c r="AI229" s="225">
        <f t="shared" si="95"/>
        <v>1.0510603009383499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45873</v>
      </c>
      <c r="B230" s="411">
        <f>'2024'!Wh/'2024'!Env_an*'2025'!Env_an</f>
        <v>32.884139721584539</v>
      </c>
      <c r="C230" s="846"/>
      <c r="D230" s="393">
        <f t="shared" si="77"/>
        <v>34.859982642769801</v>
      </c>
      <c r="E230" s="385">
        <f t="shared" si="75"/>
        <v>36.110268301949532</v>
      </c>
      <c r="F230" s="385">
        <f t="shared" si="78"/>
        <v>36.110268301949532</v>
      </c>
      <c r="G230" s="110">
        <f t="shared" si="76"/>
        <v>0.90398876780987703</v>
      </c>
      <c r="H230" s="414" t="b">
        <f>Wh_hp&gt;='2024'!Maxi_hp</f>
        <v>0</v>
      </c>
      <c r="I230" s="390">
        <f>IF(H230,Wh_hp,'2024'!Maxi_hp)</f>
        <v>36.542089306289583</v>
      </c>
      <c r="J230" s="85">
        <f>IF(H230,An,'2024'!An_max)</f>
        <v>2019</v>
      </c>
      <c r="K230" s="197">
        <f t="shared" si="79"/>
        <v>45873</v>
      </c>
      <c r="L230" s="147">
        <f>IF(t&lt;Tvie,1-EXP((T0-t)*PertePVj)+'2024'!Pspv,1-EXP((T0-t)*PertePVj)+Pspv)</f>
        <v>5.6679400601912455E-2</v>
      </c>
      <c r="M230" s="850"/>
      <c r="N230" s="850"/>
      <c r="O230" s="48">
        <f>IF(t&lt;Tnet,'2024'!Resal+('2024'!Salim-'2024'!Resal)*(1-EXP(('2024'!Tnet-t)/('2024'!Tau_j))),Resal+(Salim-Resal)*(1-EXP((Tnet-t)/(Tau_j))))*Salcycl</f>
        <v>3.4624103280679025E-2</v>
      </c>
      <c r="P230" s="169">
        <f>(INDEX(Models!$BJ230:$BT230,,T230)*(1-R230)+INDEX(Models!$BJ230:$BT230,,T230+1)*R230-ERP_i)*Q230*Ramure*Pc/MaxiM</f>
        <v>0</v>
      </c>
      <c r="Q230" s="305">
        <f t="shared" si="80"/>
        <v>0.7</v>
      </c>
      <c r="R230" s="177">
        <f t="shared" si="81"/>
        <v>0.42898727809697079</v>
      </c>
      <c r="S230" s="817">
        <f t="shared" si="82"/>
        <v>-2</v>
      </c>
      <c r="T230" s="176">
        <f t="shared" si="83"/>
        <v>4</v>
      </c>
      <c r="U230" s="251">
        <f t="shared" si="84"/>
        <v>-1.5710127219030292</v>
      </c>
      <c r="V230" s="383">
        <f t="shared" si="85"/>
        <v>36.376712734223474</v>
      </c>
      <c r="W230" s="402">
        <f t="shared" si="86"/>
        <v>32.884139721584539</v>
      </c>
      <c r="X230" s="157">
        <f t="shared" si="87"/>
        <v>45873</v>
      </c>
      <c r="Y230" s="385">
        <f t="shared" si="88"/>
        <v>30.311949717896155</v>
      </c>
      <c r="Z230" s="385">
        <f t="shared" si="89"/>
        <v>32.13324265073566</v>
      </c>
      <c r="AA230" s="386">
        <f t="shared" si="90"/>
        <v>36.110249741314632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0.11013513113504675</v>
      </c>
      <c r="AD230" s="231">
        <f>(INDEX(Models!$BJ230:$BT230,,AH230)*(1-AF230)+INDEX(Models!$BJ230:$BT230,,AH230+1)*AF230-ERP_i)*AE230*Ramure*Pc/MaxiM</f>
        <v>5.9570506179593834E-7</v>
      </c>
      <c r="AE230" s="305">
        <f t="shared" si="92"/>
        <v>0.7</v>
      </c>
      <c r="AF230" s="177">
        <f t="shared" si="93"/>
        <v>5.2850647473026813E-2</v>
      </c>
      <c r="AG230" s="817">
        <f t="shared" si="99"/>
        <v>1</v>
      </c>
      <c r="AH230" s="176">
        <f t="shared" si="94"/>
        <v>7</v>
      </c>
      <c r="AI230" s="225">
        <f t="shared" si="95"/>
        <v>1.0528506474730268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45874</v>
      </c>
      <c r="B231" s="411">
        <f>'2024'!Wh/'2024'!Env_an*'2025'!Env_an</f>
        <v>29.853462561758633</v>
      </c>
      <c r="C231" s="846"/>
      <c r="D231" s="393">
        <f t="shared" si="77"/>
        <v>31.647900472624663</v>
      </c>
      <c r="E231" s="385">
        <f t="shared" si="75"/>
        <v>32.78850597632696</v>
      </c>
      <c r="F231" s="385">
        <f t="shared" si="78"/>
        <v>32.78850597632696</v>
      </c>
      <c r="G231" s="110">
        <f t="shared" si="76"/>
        <v>0.82284804230311548</v>
      </c>
      <c r="H231" s="414" t="b">
        <f>Wh_hp&gt;='2024'!Maxi_hp</f>
        <v>0</v>
      </c>
      <c r="I231" s="390">
        <f>IF(H231,Wh_hp,'2024'!Maxi_hp)</f>
        <v>40.51327472097406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5.6700061744007768E-2</v>
      </c>
      <c r="M231" s="850"/>
      <c r="N231" s="850"/>
      <c r="O231" s="48">
        <f>IF(t&lt;Tnet,'2024'!Resal+('2024'!Salim-'2024'!Resal)*(1-EXP(('2024'!Tnet-t)/('2024'!Tau_j))),Resal+(Salim-Resal)*(1-EXP((Tnet-t)/(Tau_j))))*Salcycl</f>
        <v>3.4786748274709588E-2</v>
      </c>
      <c r="P231" s="169">
        <f>(INDEX(Models!$BJ231:$BT231,,T231)*(1-R231)+INDEX(Models!$BJ231:$BT231,,T231+1)*R231-ERP_i)*Q231*Ramure*Pc/MaxiM</f>
        <v>0</v>
      </c>
      <c r="Q231" s="305">
        <f t="shared" si="80"/>
        <v>0.7</v>
      </c>
      <c r="R231" s="177">
        <f t="shared" si="81"/>
        <v>0.43071893607061318</v>
      </c>
      <c r="S231" s="817">
        <f t="shared" si="82"/>
        <v>-2</v>
      </c>
      <c r="T231" s="176">
        <f t="shared" si="83"/>
        <v>4</v>
      </c>
      <c r="U231" s="251">
        <f t="shared" si="84"/>
        <v>-1.5692810639293868</v>
      </c>
      <c r="V231" s="383">
        <f t="shared" si="85"/>
        <v>36.280650894179807</v>
      </c>
      <c r="W231" s="402">
        <f t="shared" si="86"/>
        <v>29.853462561758633</v>
      </c>
      <c r="X231" s="157">
        <f t="shared" si="87"/>
        <v>45874</v>
      </c>
      <c r="Y231" s="385">
        <f t="shared" si="88"/>
        <v>27.521185717799355</v>
      </c>
      <c r="Z231" s="385">
        <f t="shared" si="89"/>
        <v>29.175434664695874</v>
      </c>
      <c r="AA231" s="386">
        <f t="shared" si="90"/>
        <v>32.788489356837097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0.11019277688643564</v>
      </c>
      <c r="AD231" s="231">
        <f>(INDEX(Models!$BJ231:$BT231,,AH231)*(1-AF231)+INDEX(Models!$BJ231:$BT231,,AH231+1)*AF231-ERP_i)*AE231*Ramure*Pc/MaxiM</f>
        <v>6.7860743634161922E-7</v>
      </c>
      <c r="AE231" s="305">
        <f t="shared" si="92"/>
        <v>0.7</v>
      </c>
      <c r="AF231" s="177">
        <f t="shared" si="93"/>
        <v>5.4582305446669199E-2</v>
      </c>
      <c r="AG231" s="817">
        <f t="shared" si="99"/>
        <v>1</v>
      </c>
      <c r="AH231" s="176">
        <f t="shared" si="94"/>
        <v>7</v>
      </c>
      <c r="AI231" s="225">
        <f t="shared" si="95"/>
        <v>1.0545823054466692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45875</v>
      </c>
      <c r="B232" s="411">
        <f>'2024'!Wh/'2024'!Env_an*'2025'!Env_an</f>
        <v>32.39544559554453</v>
      </c>
      <c r="C232" s="846"/>
      <c r="D232" s="393">
        <f t="shared" si="77"/>
        <v>34.343429741318715</v>
      </c>
      <c r="E232" s="385">
        <f t="shared" si="75"/>
        <v>35.587168530065938</v>
      </c>
      <c r="F232" s="385">
        <f t="shared" si="78"/>
        <v>35.587168530065938</v>
      </c>
      <c r="G232" s="110">
        <f t="shared" si="76"/>
        <v>0.89533324268037584</v>
      </c>
      <c r="H232" s="414" t="b">
        <f>Wh_hp&gt;='2024'!Maxi_hp</f>
        <v>0</v>
      </c>
      <c r="I232" s="390">
        <f>IF(H232,Wh_hp,'2024'!Maxi_hp)</f>
        <v>40.005159812023336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5.6720722433571069E-2</v>
      </c>
      <c r="M232" s="850"/>
      <c r="N232" s="850"/>
      <c r="O232" s="48">
        <f>IF(t&lt;Tnet,'2024'!Resal+('2024'!Salim-'2024'!Resal)*(1-EXP(('2024'!Tnet-t)/('2024'!Tau_j))),Resal+(Salim-Resal)*(1-EXP((Tnet-t)/(Tau_j))))*Salcycl</f>
        <v>3.4949079685742616E-2</v>
      </c>
      <c r="P232" s="169">
        <f>(INDEX(Models!$BJ232:$BT232,,T232)*(1-R232)+INDEX(Models!$BJ232:$BT232,,T232+1)*R232-ERP_i)*Q232*Ramure*Pc/MaxiM</f>
        <v>0</v>
      </c>
      <c r="Q232" s="305">
        <f t="shared" si="80"/>
        <v>0.7</v>
      </c>
      <c r="R232" s="177">
        <f t="shared" si="81"/>
        <v>0.43239335338014473</v>
      </c>
      <c r="S232" s="817">
        <f t="shared" si="82"/>
        <v>-2</v>
      </c>
      <c r="T232" s="176">
        <f t="shared" si="83"/>
        <v>4</v>
      </c>
      <c r="U232" s="251">
        <f t="shared" si="84"/>
        <v>-1.5676066466198553</v>
      </c>
      <c r="V232" s="383">
        <f t="shared" si="85"/>
        <v>36.182556450782144</v>
      </c>
      <c r="W232" s="402">
        <f t="shared" si="86"/>
        <v>32.39544559554453</v>
      </c>
      <c r="X232" s="157">
        <f t="shared" si="87"/>
        <v>45875</v>
      </c>
      <c r="Y232" s="385">
        <f t="shared" si="88"/>
        <v>29.867674080883432</v>
      </c>
      <c r="Z232" s="385">
        <f t="shared" si="89"/>
        <v>31.663659736000138</v>
      </c>
      <c r="AA232" s="386">
        <f t="shared" si="90"/>
        <v>35.587145219459174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0.11025007651677719</v>
      </c>
      <c r="AD232" s="231">
        <f>(INDEX(Models!$BJ232:$BT232,,AH232)*(1-AF232)+INDEX(Models!$BJ232:$BT232,,AH232+1)*AF232-ERP_i)*AE232*Ramure*Pc/MaxiM</f>
        <v>7.7019030828780003E-7</v>
      </c>
      <c r="AE232" s="305">
        <f t="shared" si="92"/>
        <v>0.7</v>
      </c>
      <c r="AF232" s="177">
        <f t="shared" si="93"/>
        <v>5.6256722756200528E-2</v>
      </c>
      <c r="AG232" s="817">
        <f t="shared" si="99"/>
        <v>1</v>
      </c>
      <c r="AH232" s="176">
        <f t="shared" si="94"/>
        <v>7</v>
      </c>
      <c r="AI232" s="225">
        <f t="shared" si="95"/>
        <v>1.0562567227562005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45876</v>
      </c>
      <c r="B233" s="411">
        <f>'2024'!Wh/'2024'!Env_an*'2025'!Env_an</f>
        <v>34.708681405810246</v>
      </c>
      <c r="C233" s="846"/>
      <c r="D233" s="393">
        <f t="shared" si="77"/>
        <v>36.79656964500321</v>
      </c>
      <c r="E233" s="385">
        <f t="shared" ref="E233:E296" si="100">Wh_pvt/(1-Psa)</f>
        <v>38.135550728798151</v>
      </c>
      <c r="F233" s="385">
        <f t="shared" si="78"/>
        <v>38.135550728798151</v>
      </c>
      <c r="G233" s="110">
        <f t="shared" ref="G233:G296" si="101">+Wh_hp/MaxiM</f>
        <v>0.96191968918351123</v>
      </c>
      <c r="H233" s="414" t="b">
        <f>Wh_hp&gt;='2024'!Maxi_hp</f>
        <v>0</v>
      </c>
      <c r="I233" s="390">
        <f>IF(H233,Wh_hp,'2024'!Maxi_hp)</f>
        <v>38.644291488995613</v>
      </c>
      <c r="J233" s="85">
        <f>IF(H233,An,'2024'!An_max)</f>
        <v>2020</v>
      </c>
      <c r="K233" s="197">
        <f t="shared" si="79"/>
        <v>45876</v>
      </c>
      <c r="L233" s="147">
        <f>IF(t&lt;Tvie,1-EXP((T0-t)*PertePVj)+'2024'!Pspv,1-EXP((T0-t)*PertePVj)+Pspv)</f>
        <v>5.6741382670612239E-2</v>
      </c>
      <c r="M233" s="850"/>
      <c r="N233" s="850"/>
      <c r="O233" s="48">
        <f>IF(t&lt;Tnet,'2024'!Resal+('2024'!Salim-'2024'!Resal)*(1-EXP(('2024'!Tnet-t)/('2024'!Tau_j))),Resal+(Salim-Resal)*(1-EXP((Tnet-t)/(Tau_j))))*Salcycl</f>
        <v>3.511109865220341E-2</v>
      </c>
      <c r="P233" s="169">
        <f>(INDEX(Models!$BJ233:$BT233,,T233)*(1-R233)+INDEX(Models!$BJ233:$BT233,,T233+1)*R233-ERP_i)*Q233*Ramure*Pc/MaxiM</f>
        <v>0</v>
      </c>
      <c r="Q233" s="305">
        <f t="shared" si="80"/>
        <v>0.7</v>
      </c>
      <c r="R233" s="177">
        <f t="shared" si="81"/>
        <v>0.43401197725970819</v>
      </c>
      <c r="S233" s="817">
        <f t="shared" si="82"/>
        <v>-2</v>
      </c>
      <c r="T233" s="176">
        <f t="shared" si="83"/>
        <v>4</v>
      </c>
      <c r="U233" s="251">
        <f t="shared" si="84"/>
        <v>-1.5659880227402918</v>
      </c>
      <c r="V233" s="383">
        <f t="shared" si="85"/>
        <v>36.082722701384128</v>
      </c>
      <c r="W233" s="402">
        <f t="shared" si="86"/>
        <v>34.708681405810246</v>
      </c>
      <c r="X233" s="157">
        <f t="shared" si="87"/>
        <v>45876</v>
      </c>
      <c r="Y233" s="385">
        <f t="shared" si="88"/>
        <v>32.003730345468114</v>
      </c>
      <c r="Z233" s="385">
        <f t="shared" si="89"/>
        <v>33.928903227069434</v>
      </c>
      <c r="AA233" s="386">
        <f t="shared" si="90"/>
        <v>38.135519327671027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0.11030703592777041</v>
      </c>
      <c r="AD233" s="231">
        <f>(INDEX(Models!$BJ233:$BT233,,AH233)*(1-AF233)+INDEX(Models!$BJ233:$BT233,,AH233+1)*AF233-ERP_i)*AE233*Ramure*Pc/MaxiM</f>
        <v>8.7077901618481062E-7</v>
      </c>
      <c r="AE233" s="305">
        <f t="shared" si="92"/>
        <v>0.7</v>
      </c>
      <c r="AF233" s="177">
        <f t="shared" si="93"/>
        <v>5.7875346635764213E-2</v>
      </c>
      <c r="AG233" s="817">
        <f t="shared" si="99"/>
        <v>1</v>
      </c>
      <c r="AH233" s="176">
        <f t="shared" si="94"/>
        <v>7</v>
      </c>
      <c r="AI233" s="225">
        <f t="shared" si="95"/>
        <v>1.0578753466357642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45877</v>
      </c>
      <c r="B234" s="411">
        <f>'2024'!Wh/'2024'!Env_an*'2025'!Env_an</f>
        <v>35.355807925770492</v>
      </c>
      <c r="C234" s="846"/>
      <c r="D234" s="393">
        <f t="shared" si="77"/>
        <v>37.483444811527349</v>
      </c>
      <c r="E234" s="385">
        <f t="shared" si="100"/>
        <v>38.853932004616944</v>
      </c>
      <c r="F234" s="385">
        <f t="shared" si="78"/>
        <v>38.853932004616944</v>
      </c>
      <c r="G234" s="110">
        <f t="shared" si="101"/>
        <v>0.98260874568327983</v>
      </c>
      <c r="H234" s="414" t="b">
        <f>Wh_hp&gt;='2024'!Maxi_hp</f>
        <v>1</v>
      </c>
      <c r="I234" s="390">
        <f>IF(H234,Wh_hp,'2024'!Maxi_hp)</f>
        <v>38.853932004616944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5.676204245514116E-2</v>
      </c>
      <c r="M234" s="850"/>
      <c r="N234" s="850"/>
      <c r="O234" s="48">
        <f>IF(t&lt;Tnet,'2024'!Resal+('2024'!Salim-'2024'!Resal)*(1-EXP(('2024'!Tnet-t)/('2024'!Tau_j))),Resal+(Salim-Resal)*(1-EXP((Tnet-t)/(Tau_j))))*Salcycl</f>
        <v>3.5272805669365498E-2</v>
      </c>
      <c r="P234" s="169">
        <f>(INDEX(Models!$BJ234:$BT234,,T234)*(1-R234)+INDEX(Models!$BJ234:$BT234,,T234+1)*R234-ERP_i)*Q234*Ramure*Pc/MaxiM</f>
        <v>0</v>
      </c>
      <c r="Q234" s="305">
        <f t="shared" si="80"/>
        <v>0.7</v>
      </c>
      <c r="R234" s="177">
        <f t="shared" si="81"/>
        <v>0.43557625119262977</v>
      </c>
      <c r="S234" s="817">
        <f t="shared" si="82"/>
        <v>-2</v>
      </c>
      <c r="T234" s="176">
        <f t="shared" si="83"/>
        <v>4</v>
      </c>
      <c r="U234" s="251">
        <f t="shared" si="84"/>
        <v>-1.5644237488073702</v>
      </c>
      <c r="V234" s="383">
        <f t="shared" si="85"/>
        <v>35.981572605671246</v>
      </c>
      <c r="W234" s="402">
        <f t="shared" si="86"/>
        <v>35.355807925770492</v>
      </c>
      <c r="X234" s="157">
        <f t="shared" si="87"/>
        <v>45877</v>
      </c>
      <c r="Y234" s="385">
        <f t="shared" si="88"/>
        <v>32.60380897642046</v>
      </c>
      <c r="Z234" s="385">
        <f t="shared" si="89"/>
        <v>34.565836452642841</v>
      </c>
      <c r="AA234" s="386">
        <f t="shared" si="90"/>
        <v>38.853894401285785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0.1103636589000726</v>
      </c>
      <c r="AD234" s="231">
        <f>(INDEX(Models!$BJ234:$BT234,,AH234)*(1-AF234)+INDEX(Models!$BJ234:$BT234,,AH234+1)*AF234-ERP_i)*AE234*Ramure*Pc/MaxiM</f>
        <v>9.9247033680681666E-7</v>
      </c>
      <c r="AE234" s="305">
        <f t="shared" si="92"/>
        <v>0.7</v>
      </c>
      <c r="AF234" s="177">
        <f t="shared" si="93"/>
        <v>5.9439620568685791E-2</v>
      </c>
      <c r="AG234" s="817">
        <f t="shared" si="99"/>
        <v>1</v>
      </c>
      <c r="AH234" s="176">
        <f t="shared" si="94"/>
        <v>7</v>
      </c>
      <c r="AI234" s="225">
        <f t="shared" si="95"/>
        <v>1.0594396205686858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45878</v>
      </c>
      <c r="B235" s="411">
        <f>'2024'!Wh/'2024'!Env_an*'2025'!Env_an</f>
        <v>33.268146595456315</v>
      </c>
      <c r="C235" s="846"/>
      <c r="D235" s="393">
        <f t="shared" si="77"/>
        <v>35.27092501218052</v>
      </c>
      <c r="E235" s="385">
        <f t="shared" si="100"/>
        <v>36.566634473861747</v>
      </c>
      <c r="F235" s="385">
        <f t="shared" si="78"/>
        <v>36.566634473861747</v>
      </c>
      <c r="G235" s="110">
        <f t="shared" si="101"/>
        <v>0.92722895070303679</v>
      </c>
      <c r="H235" s="414" t="b">
        <f>Wh_hp&gt;='2024'!Maxi_hp</f>
        <v>0</v>
      </c>
      <c r="I235" s="390">
        <f>IF(H235,Wh_hp,'2024'!Maxi_hp)</f>
        <v>38.382501503737309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5.6782701787167822E-2</v>
      </c>
      <c r="M235" s="850"/>
      <c r="N235" s="850"/>
      <c r="O235" s="48">
        <f>IF(t&lt;Tnet,'2024'!Resal+('2024'!Salim-'2024'!Resal)*(1-EXP(('2024'!Tnet-t)/('2024'!Tau_j))),Resal+(Salim-Resal)*(1-EXP((Tnet-t)/(Tau_j))))*Salcycl</f>
        <v>3.543420061278596E-2</v>
      </c>
      <c r="P235" s="169">
        <f>(INDEX(Models!$BJ235:$BT235,,T235)*(1-R235)+INDEX(Models!$BJ235:$BT235,,T235+1)*R235-ERP_i)*Q235*Ramure*Pc/MaxiM</f>
        <v>0</v>
      </c>
      <c r="Q235" s="305">
        <f t="shared" si="80"/>
        <v>0.7</v>
      </c>
      <c r="R235" s="177">
        <f t="shared" si="81"/>
        <v>0.43708761206125812</v>
      </c>
      <c r="S235" s="817">
        <f t="shared" si="82"/>
        <v>-2</v>
      </c>
      <c r="T235" s="176">
        <f t="shared" si="83"/>
        <v>4</v>
      </c>
      <c r="U235" s="251">
        <f t="shared" si="84"/>
        <v>-1.5629123879387419</v>
      </c>
      <c r="V235" s="383">
        <f t="shared" si="85"/>
        <v>35.879106848672038</v>
      </c>
      <c r="W235" s="402">
        <f t="shared" si="86"/>
        <v>33.268146595456315</v>
      </c>
      <c r="X235" s="157">
        <f t="shared" si="87"/>
        <v>45878</v>
      </c>
      <c r="Y235" s="385">
        <f t="shared" si="88"/>
        <v>30.681835888334</v>
      </c>
      <c r="Z235" s="385">
        <f t="shared" si="89"/>
        <v>32.528915602447739</v>
      </c>
      <c r="AA235" s="386">
        <f t="shared" si="90"/>
        <v>36.566597351664356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0.11041994720990458</v>
      </c>
      <c r="AD235" s="231">
        <f>(INDEX(Models!$BJ235:$BT235,,AH235)*(1-AF235)+INDEX(Models!$BJ235:$BT235,,AH235+1)*AF235-ERP_i)*AE235*Ramure*Pc/MaxiM</f>
        <v>1.1329757894211185E-6</v>
      </c>
      <c r="AE235" s="305">
        <f t="shared" si="92"/>
        <v>0.7</v>
      </c>
      <c r="AF235" s="177">
        <f t="shared" si="93"/>
        <v>6.0950981437314145E-2</v>
      </c>
      <c r="AG235" s="817">
        <f t="shared" si="99"/>
        <v>1</v>
      </c>
      <c r="AH235" s="176">
        <f t="shared" si="94"/>
        <v>7</v>
      </c>
      <c r="AI235" s="225">
        <f t="shared" si="95"/>
        <v>1.0609509814373141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45879</v>
      </c>
      <c r="B236" s="411">
        <f>'2024'!Wh/'2024'!Env_an*'2025'!Env_an</f>
        <v>32.008919489946031</v>
      </c>
      <c r="C236" s="846"/>
      <c r="D236" s="393">
        <f t="shared" si="77"/>
        <v>33.936634371992312</v>
      </c>
      <c r="E236" s="385">
        <f t="shared" si="100"/>
        <v>35.189204040046462</v>
      </c>
      <c r="F236" s="385">
        <f t="shared" si="78"/>
        <v>35.189204040046462</v>
      </c>
      <c r="G236" s="110">
        <f t="shared" si="101"/>
        <v>0.89472055039147258</v>
      </c>
      <c r="H236" s="414" t="b">
        <f>Wh_hp&gt;='2024'!Maxi_hp</f>
        <v>0</v>
      </c>
      <c r="I236" s="390">
        <f>IF(H236,Wh_hp,'2024'!Maxi_hp)</f>
        <v>35.976281897663725</v>
      </c>
      <c r="J236" s="85">
        <f>IF(H236,An,'2024'!An_max)</f>
        <v>2018</v>
      </c>
      <c r="K236" s="197">
        <f t="shared" si="79"/>
        <v>45879</v>
      </c>
      <c r="L236" s="147">
        <f>IF(t&lt;Tvie,1-EXP((T0-t)*PertePVj)+'2024'!Pspv,1-EXP((T0-t)*PertePVj)+Pspv)</f>
        <v>5.6803360666702107E-2</v>
      </c>
      <c r="M236" s="850"/>
      <c r="N236" s="850"/>
      <c r="O236" s="48">
        <f>IF(t&lt;Tnet,'2024'!Resal+('2024'!Salim-'2024'!Resal)*(1-EXP(('2024'!Tnet-t)/('2024'!Tau_j))),Resal+(Salim-Resal)*(1-EXP((Tnet-t)/(Tau_j))))*Salcycl</f>
        <v>3.5595282764244521E-2</v>
      </c>
      <c r="P236" s="169">
        <f>(INDEX(Models!$BJ236:$BT236,,T236)*(1-R236)+INDEX(Models!$BJ236:$BT236,,T236+1)*R236-ERP_i)*Q236*Ramure*Pc/MaxiM</f>
        <v>0</v>
      </c>
      <c r="Q236" s="305">
        <f t="shared" si="80"/>
        <v>0.7</v>
      </c>
      <c r="R236" s="177">
        <f t="shared" si="81"/>
        <v>0.43854748752715533</v>
      </c>
      <c r="S236" s="817">
        <f t="shared" si="82"/>
        <v>-2</v>
      </c>
      <c r="T236" s="176">
        <f t="shared" si="83"/>
        <v>4</v>
      </c>
      <c r="U236" s="251">
        <f t="shared" si="84"/>
        <v>-1.5614525124728447</v>
      </c>
      <c r="V236" s="383">
        <f t="shared" si="85"/>
        <v>35.775326135004917</v>
      </c>
      <c r="W236" s="402">
        <f t="shared" si="86"/>
        <v>32.008919489946031</v>
      </c>
      <c r="X236" s="157">
        <f t="shared" si="87"/>
        <v>45879</v>
      </c>
      <c r="Y236" s="385">
        <f t="shared" si="88"/>
        <v>29.523573971274647</v>
      </c>
      <c r="Z236" s="385">
        <f t="shared" si="89"/>
        <v>31.301610650503903</v>
      </c>
      <c r="AA236" s="386">
        <f t="shared" si="90"/>
        <v>35.18916539406424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0.11047590075029451</v>
      </c>
      <c r="AD236" s="231">
        <f>(INDEX(Models!$BJ236:$BT236,,AH236)*(1-AF236)+INDEX(Models!$BJ236:$BT236,,AH236+1)*AF236-ERP_i)*AE236*Ramure*Pc/MaxiM</f>
        <v>1.2926471726241235E-6</v>
      </c>
      <c r="AE236" s="305">
        <f t="shared" si="92"/>
        <v>0.7</v>
      </c>
      <c r="AF236" s="177">
        <f t="shared" si="93"/>
        <v>6.2410856903211132E-2</v>
      </c>
      <c r="AG236" s="817">
        <f t="shared" si="99"/>
        <v>1</v>
      </c>
      <c r="AH236" s="176">
        <f t="shared" si="94"/>
        <v>7</v>
      </c>
      <c r="AI236" s="225">
        <f t="shared" si="95"/>
        <v>1.0624108569032111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45880</v>
      </c>
      <c r="B237" s="411">
        <f>'2024'!Wh/'2024'!Env_an*'2025'!Env_an</f>
        <v>29.885709471436542</v>
      </c>
      <c r="C237" s="846"/>
      <c r="D237" s="393">
        <f t="shared" si="77"/>
        <v>31.686249519120491</v>
      </c>
      <c r="E237" s="385">
        <f t="shared" si="100"/>
        <v>32.861237601450838</v>
      </c>
      <c r="F237" s="385">
        <f t="shared" si="78"/>
        <v>32.861237601450838</v>
      </c>
      <c r="G237" s="110">
        <f t="shared" si="101"/>
        <v>0.83783335505649248</v>
      </c>
      <c r="H237" s="414" t="b">
        <f>Wh_hp&gt;='2024'!Maxi_hp</f>
        <v>0</v>
      </c>
      <c r="I237" s="390">
        <f>IF(H237,Wh_hp,'2024'!Maxi_hp)</f>
        <v>36.771034850041509</v>
      </c>
      <c r="J237" s="85">
        <f>IF(H237,An,'2024'!An_max)</f>
        <v>2018</v>
      </c>
      <c r="K237" s="197">
        <f t="shared" si="79"/>
        <v>45880</v>
      </c>
      <c r="L237" s="147">
        <f>IF(t&lt;Tvie,1-EXP((T0-t)*PertePVj)+'2024'!Pspv,1-EXP((T0-t)*PertePVj)+Pspv)</f>
        <v>5.6824019093753786E-2</v>
      </c>
      <c r="M237" s="850"/>
      <c r="N237" s="850"/>
      <c r="O237" s="48">
        <f>IF(t&lt;Tnet,'2024'!Resal+('2024'!Salim-'2024'!Resal)*(1-EXP(('2024'!Tnet-t)/('2024'!Tau_j))),Resal+(Salim-Resal)*(1-EXP((Tnet-t)/(Tau_j))))*Salcycl</f>
        <v>3.5756050839621224E-2</v>
      </c>
      <c r="P237" s="169">
        <f>(INDEX(Models!$BJ237:$BT237,,T237)*(1-R237)+INDEX(Models!$BJ237:$BT237,,T237+1)*R237-ERP_i)*Q237*Ramure*Pc/MaxiM</f>
        <v>0</v>
      </c>
      <c r="Q237" s="305">
        <f t="shared" si="80"/>
        <v>0.7</v>
      </c>
      <c r="R237" s="177">
        <f t="shared" si="81"/>
        <v>0.43995729363349767</v>
      </c>
      <c r="S237" s="817">
        <f t="shared" si="82"/>
        <v>-2</v>
      </c>
      <c r="T237" s="176">
        <f t="shared" si="83"/>
        <v>4</v>
      </c>
      <c r="U237" s="251">
        <f t="shared" si="84"/>
        <v>-1.5600427063665023</v>
      </c>
      <c r="V237" s="383">
        <f t="shared" si="85"/>
        <v>35.670231187467394</v>
      </c>
      <c r="W237" s="402">
        <f t="shared" si="86"/>
        <v>29.885709471436542</v>
      </c>
      <c r="X237" s="157">
        <f t="shared" si="87"/>
        <v>45880</v>
      </c>
      <c r="Y237" s="385">
        <f t="shared" si="88"/>
        <v>27.568092711130276</v>
      </c>
      <c r="Z237" s="385">
        <f t="shared" si="89"/>
        <v>29.229002083621346</v>
      </c>
      <c r="AA237" s="386">
        <f t="shared" si="90"/>
        <v>32.861200440251118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0.11053151765511143</v>
      </c>
      <c r="AD237" s="231">
        <f>(INDEX(Models!$BJ237:$BT237,,AH237)*(1-AF237)+INDEX(Models!$BJ237:$BT237,,AH237+1)*AF237-ERP_i)*AE237*Ramure*Pc/MaxiM</f>
        <v>1.4718248064187068E-6</v>
      </c>
      <c r="AE237" s="305">
        <f t="shared" si="92"/>
        <v>0.7</v>
      </c>
      <c r="AF237" s="177">
        <f t="shared" si="93"/>
        <v>6.3820663009553691E-2</v>
      </c>
      <c r="AG237" s="817">
        <f t="shared" si="99"/>
        <v>1</v>
      </c>
      <c r="AH237" s="176">
        <f t="shared" si="94"/>
        <v>7</v>
      </c>
      <c r="AI237" s="225">
        <f t="shared" si="95"/>
        <v>1.0638206630095537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45881</v>
      </c>
      <c r="B238" s="411">
        <f>'2024'!Wh/'2024'!Env_an*'2025'!Env_an</f>
        <v>31.163539174910817</v>
      </c>
      <c r="C238" s="846"/>
      <c r="D238" s="393">
        <f t="shared" si="77"/>
        <v>33.041789000398467</v>
      </c>
      <c r="E238" s="385">
        <f t="shared" si="100"/>
        <v>34.272746192459863</v>
      </c>
      <c r="F238" s="385">
        <f t="shared" si="78"/>
        <v>34.272746192459863</v>
      </c>
      <c r="G238" s="110">
        <f t="shared" si="101"/>
        <v>0.87627079344443659</v>
      </c>
      <c r="H238" s="414" t="b">
        <f>Wh_hp&gt;='2024'!Maxi_hp</f>
        <v>1</v>
      </c>
      <c r="I238" s="390">
        <f>IF(H238,Wh_hp,'2024'!Maxi_hp)</f>
        <v>34.272746192459863</v>
      </c>
      <c r="J238" s="85">
        <f>IF(H238,An,'2024'!An_max)</f>
        <v>2025</v>
      </c>
      <c r="K238" s="197">
        <f t="shared" si="79"/>
        <v>45881</v>
      </c>
      <c r="L238" s="147">
        <f>IF(t&lt;Tvie,1-EXP((T0-t)*PertePVj)+'2024'!Pspv,1-EXP((T0-t)*PertePVj)+Pspv)</f>
        <v>5.6844677068333072E-2</v>
      </c>
      <c r="M238" s="850"/>
      <c r="N238" s="850"/>
      <c r="O238" s="48">
        <f>IF(t&lt;Tnet,'2024'!Resal+('2024'!Salim-'2024'!Resal)*(1-EXP(('2024'!Tnet-t)/('2024'!Tau_j))),Resal+(Salim-Resal)*(1-EXP((Tnet-t)/(Tau_j))))*Salcycl</f>
        <v>3.591650301813893E-2</v>
      </c>
      <c r="P238" s="169">
        <f>(INDEX(Models!$BJ238:$BT238,,T238)*(1-R238)+INDEX(Models!$BJ238:$BT238,,T238+1)*R238-ERP_i)*Q238*Ramure*Pc/MaxiM</f>
        <v>0</v>
      </c>
      <c r="Q238" s="305">
        <f t="shared" si="80"/>
        <v>0.7</v>
      </c>
      <c r="R238" s="177">
        <f t="shared" si="81"/>
        <v>0.44131843262106374</v>
      </c>
      <c r="S238" s="817">
        <f t="shared" si="82"/>
        <v>-2</v>
      </c>
      <c r="T238" s="176">
        <f t="shared" si="83"/>
        <v>4</v>
      </c>
      <c r="U238" s="251">
        <f t="shared" si="84"/>
        <v>-1.5586815673789363</v>
      </c>
      <c r="V238" s="383">
        <f t="shared" si="85"/>
        <v>35.563822745265178</v>
      </c>
      <c r="W238" s="402">
        <f t="shared" si="86"/>
        <v>31.163539174910817</v>
      </c>
      <c r="X238" s="157">
        <f t="shared" si="87"/>
        <v>45881</v>
      </c>
      <c r="Y238" s="385">
        <f t="shared" si="88"/>
        <v>28.749818077072906</v>
      </c>
      <c r="Z238" s="385">
        <f t="shared" si="89"/>
        <v>30.482591125826552</v>
      </c>
      <c r="AA238" s="386">
        <f t="shared" si="90"/>
        <v>34.27269905003029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0.11058679442407059</v>
      </c>
      <c r="AD238" s="231">
        <f>(INDEX(Models!$BJ238:$BT238,,AH238)*(1-AF238)+INDEX(Models!$BJ238:$BT238,,AH238+1)*AF238-ERP_i)*AE238*Ramure*Pc/MaxiM</f>
        <v>1.6708385503580038E-6</v>
      </c>
      <c r="AE238" s="305">
        <f t="shared" si="92"/>
        <v>0.7</v>
      </c>
      <c r="AF238" s="177">
        <f t="shared" si="93"/>
        <v>6.5181801997119759E-2</v>
      </c>
      <c r="AG238" s="817">
        <f t="shared" si="99"/>
        <v>1</v>
      </c>
      <c r="AH238" s="176">
        <f t="shared" si="94"/>
        <v>7</v>
      </c>
      <c r="AI238" s="225">
        <f t="shared" si="95"/>
        <v>1.0651818019971198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45882</v>
      </c>
      <c r="B239" s="411">
        <f>'2024'!Wh/'2024'!Env_an*'2025'!Env_an</f>
        <v>22.426700228432136</v>
      </c>
      <c r="C239" s="846"/>
      <c r="D239" s="393">
        <f t="shared" si="77"/>
        <v>23.778895051740545</v>
      </c>
      <c r="E239" s="385">
        <f t="shared" si="100"/>
        <v>24.668864729093134</v>
      </c>
      <c r="F239" s="385">
        <f t="shared" si="78"/>
        <v>24.668864729093134</v>
      </c>
      <c r="G239" s="110">
        <f t="shared" si="101"/>
        <v>0.63252019370320156</v>
      </c>
      <c r="H239" s="414" t="b">
        <f>Wh_hp&gt;='2024'!Maxi_hp</f>
        <v>0</v>
      </c>
      <c r="I239" s="390">
        <f>IF(H239,Wh_hp,'2024'!Maxi_hp)</f>
        <v>34.50916616392346</v>
      </c>
      <c r="J239" s="85">
        <f>IF(H239,An,'2024'!An_max)</f>
        <v>2019</v>
      </c>
      <c r="K239" s="197">
        <f t="shared" si="79"/>
        <v>45882</v>
      </c>
      <c r="L239" s="147">
        <f>IF(t&lt;Tvie,1-EXP((T0-t)*PertePVj)+'2024'!Pspv,1-EXP((T0-t)*PertePVj)+Pspv)</f>
        <v>5.6865334590449512E-2</v>
      </c>
      <c r="M239" s="850"/>
      <c r="N239" s="850"/>
      <c r="O239" s="48">
        <f>IF(t&lt;Tnet,'2024'!Resal+('2024'!Salim-'2024'!Resal)*(1-EXP(('2024'!Tnet-t)/('2024'!Tau_j))),Resal+(Salim-Resal)*(1-EXP((Tnet-t)/(Tau_j))))*Salcycl</f>
        <v>3.6076636972394001E-2</v>
      </c>
      <c r="P239" s="169">
        <f>(INDEX(Models!$BJ239:$BT239,,T239)*(1-R239)+INDEX(Models!$BJ239:$BT239,,T239+1)*R239-ERP_i)*Q239*Ramure*Pc/MaxiM</f>
        <v>0</v>
      </c>
      <c r="Q239" s="305">
        <f t="shared" si="80"/>
        <v>0.7</v>
      </c>
      <c r="R239" s="177">
        <f t="shared" si="81"/>
        <v>0.44263229094880741</v>
      </c>
      <c r="S239" s="817">
        <f t="shared" si="82"/>
        <v>-2</v>
      </c>
      <c r="T239" s="176">
        <f t="shared" si="83"/>
        <v>4</v>
      </c>
      <c r="U239" s="251">
        <f t="shared" si="84"/>
        <v>-1.5573677090511926</v>
      </c>
      <c r="V239" s="383">
        <f t="shared" si="85"/>
        <v>35.456101562751762</v>
      </c>
      <c r="W239" s="402">
        <f t="shared" si="86"/>
        <v>22.426700228432136</v>
      </c>
      <c r="X239" s="157">
        <f t="shared" si="87"/>
        <v>45882</v>
      </c>
      <c r="Y239" s="385">
        <f t="shared" si="88"/>
        <v>20.691845704254352</v>
      </c>
      <c r="Z239" s="385">
        <f t="shared" si="89"/>
        <v>21.939439258410722</v>
      </c>
      <c r="AA239" s="386">
        <f t="shared" si="90"/>
        <v>24.668842581171898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0.1106417260469427</v>
      </c>
      <c r="AD239" s="231">
        <f>(INDEX(Models!$BJ239:$BT239,,AH239)*(1-AF239)+INDEX(Models!$BJ239:$BT239,,AH239+1)*AF239-ERP_i)*AE239*Ramure*Pc/MaxiM</f>
        <v>1.8900087816415596E-6</v>
      </c>
      <c r="AE239" s="305">
        <f t="shared" si="92"/>
        <v>0.7</v>
      </c>
      <c r="AF239" s="177">
        <f t="shared" si="93"/>
        <v>6.6495660324863426E-2</v>
      </c>
      <c r="AG239" s="817">
        <f t="shared" si="99"/>
        <v>1</v>
      </c>
      <c r="AH239" s="176">
        <f t="shared" si="94"/>
        <v>7</v>
      </c>
      <c r="AI239" s="225">
        <f t="shared" si="95"/>
        <v>1.0664956603248634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45883</v>
      </c>
      <c r="B240" s="411">
        <f>'2024'!Wh/'2024'!Env_an*'2025'!Env_an</f>
        <v>23.735684020097359</v>
      </c>
      <c r="C240" s="846"/>
      <c r="D240" s="393">
        <f t="shared" si="77"/>
        <v>25.167353904410792</v>
      </c>
      <c r="E240" s="385">
        <f t="shared" si="100"/>
        <v>26.113618741612473</v>
      </c>
      <c r="F240" s="385">
        <f t="shared" si="78"/>
        <v>26.113618741612473</v>
      </c>
      <c r="G240" s="110">
        <f t="shared" si="101"/>
        <v>0.6715036094729967</v>
      </c>
      <c r="H240" s="414" t="b">
        <f>Wh_hp&gt;='2024'!Maxi_hp</f>
        <v>0</v>
      </c>
      <c r="I240" s="390">
        <f>IF(H240,Wh_hp,'2024'!Maxi_hp)</f>
        <v>38.844476104478311</v>
      </c>
      <c r="J240" s="85">
        <f>IF(H240,An,'2024'!An_max)</f>
        <v>2019</v>
      </c>
      <c r="K240" s="197">
        <f t="shared" si="79"/>
        <v>45883</v>
      </c>
      <c r="L240" s="147">
        <f>IF(t&lt;Tvie,1-EXP((T0-t)*PertePVj)+'2024'!Pspv,1-EXP((T0-t)*PertePVj)+Pspv)</f>
        <v>5.6885991660113322E-2</v>
      </c>
      <c r="M240" s="850"/>
      <c r="N240" s="850"/>
      <c r="O240" s="48">
        <f>IF(t&lt;Tnet,'2024'!Resal+('2024'!Salim-'2024'!Resal)*(1-EXP(('2024'!Tnet-t)/('2024'!Tau_j))),Resal+(Salim-Resal)*(1-EXP((Tnet-t)/(Tau_j))))*Salcycl</f>
        <v>3.6236449898603786E-2</v>
      </c>
      <c r="P240" s="169">
        <f>(INDEX(Models!$BJ240:$BT240,,T240)*(1-R240)+INDEX(Models!$BJ240:$BT240,,T240+1)*R240-ERP_i)*Q240*Ramure*Pc/MaxiM</f>
        <v>0</v>
      </c>
      <c r="Q240" s="305">
        <f t="shared" si="80"/>
        <v>0.7</v>
      </c>
      <c r="R240" s="177">
        <f t="shared" si="81"/>
        <v>0.44390023750975649</v>
      </c>
      <c r="S240" s="817">
        <f t="shared" si="82"/>
        <v>-2</v>
      </c>
      <c r="T240" s="176">
        <f t="shared" si="83"/>
        <v>4</v>
      </c>
      <c r="U240" s="251">
        <f t="shared" si="84"/>
        <v>-1.5560997624902435</v>
      </c>
      <c r="V240" s="383">
        <f t="shared" si="85"/>
        <v>35.34706840775641</v>
      </c>
      <c r="W240" s="402">
        <f t="shared" si="86"/>
        <v>23.735684020097359</v>
      </c>
      <c r="X240" s="157">
        <f t="shared" si="87"/>
        <v>45883</v>
      </c>
      <c r="Y240" s="385">
        <f t="shared" si="88"/>
        <v>21.901853073018682</v>
      </c>
      <c r="Z240" s="385">
        <f t="shared" si="89"/>
        <v>23.22291141828266</v>
      </c>
      <c r="AA240" s="386">
        <f t="shared" si="90"/>
        <v>26.113589292651614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0.1106963061252707</v>
      </c>
      <c r="AD240" s="231">
        <f>(INDEX(Models!$BJ240:$BT240,,AH240)*(1-AF240)+INDEX(Models!$BJ240:$BT240,,AH240+1)*AF240-ERP_i)*AE240*Ramure*Pc/MaxiM</f>
        <v>2.1248971697669256E-6</v>
      </c>
      <c r="AE240" s="305">
        <f t="shared" si="92"/>
        <v>0.7</v>
      </c>
      <c r="AF240" s="177">
        <f t="shared" si="93"/>
        <v>6.7763606885812289E-2</v>
      </c>
      <c r="AG240" s="817">
        <f t="shared" si="99"/>
        <v>1</v>
      </c>
      <c r="AH240" s="176">
        <f t="shared" si="94"/>
        <v>7</v>
      </c>
      <c r="AI240" s="225">
        <f t="shared" si="95"/>
        <v>1.0677636068858123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45884</v>
      </c>
      <c r="B241" s="411">
        <f>'2024'!Wh/'2024'!Env_an*'2025'!Env_an</f>
        <v>22.680030532398845</v>
      </c>
      <c r="C241" s="846"/>
      <c r="D241" s="393">
        <f t="shared" si="77"/>
        <v>24.048553084348679</v>
      </c>
      <c r="E241" s="385">
        <f t="shared" si="100"/>
        <v>24.956882236542427</v>
      </c>
      <c r="F241" s="385">
        <f t="shared" si="78"/>
        <v>24.956882236542427</v>
      </c>
      <c r="G241" s="110">
        <f t="shared" si="101"/>
        <v>0.64364753355286675</v>
      </c>
      <c r="H241" s="414" t="b">
        <f>Wh_hp&gt;='2024'!Maxi_hp</f>
        <v>0</v>
      </c>
      <c r="I241" s="390">
        <f>IF(H241,Wh_hp,'2024'!Maxi_hp)</f>
        <v>38.017729507891737</v>
      </c>
      <c r="J241" s="85">
        <f>IF(H241,An,'2024'!An_max)</f>
        <v>2018</v>
      </c>
      <c r="K241" s="197">
        <f t="shared" si="79"/>
        <v>45884</v>
      </c>
      <c r="L241" s="147">
        <f>IF(t&lt;Tvie,1-EXP((T0-t)*PertePVj)+'2024'!Pspv,1-EXP((T0-t)*PertePVj)+Pspv)</f>
        <v>5.6906648277334271E-2</v>
      </c>
      <c r="M241" s="850"/>
      <c r="N241" s="850"/>
      <c r="O241" s="48">
        <f>IF(t&lt;Tnet,'2024'!Resal+('2024'!Salim-'2024'!Resal)*(1-EXP(('2024'!Tnet-t)/('2024'!Tau_j))),Resal+(Salim-Resal)*(1-EXP((Tnet-t)/(Tau_j))))*Salcycl</f>
        <v>3.6395938546512498E-2</v>
      </c>
      <c r="P241" s="169">
        <f>(INDEX(Models!$BJ241:$BT241,,T241)*(1-R241)+INDEX(Models!$BJ241:$BT241,,T241+1)*R241-ERP_i)*Q241*Ramure*Pc/MaxiM</f>
        <v>0</v>
      </c>
      <c r="Q241" s="305">
        <f t="shared" si="80"/>
        <v>0.7</v>
      </c>
      <c r="R241" s="177">
        <f t="shared" si="81"/>
        <v>0.44512362203279654</v>
      </c>
      <c r="S241" s="817">
        <f t="shared" si="82"/>
        <v>-2</v>
      </c>
      <c r="T241" s="176">
        <f t="shared" si="83"/>
        <v>4</v>
      </c>
      <c r="U241" s="251">
        <f t="shared" si="84"/>
        <v>-1.5548763779672035</v>
      </c>
      <c r="V241" s="383">
        <f t="shared" si="85"/>
        <v>35.236724061082718</v>
      </c>
      <c r="W241" s="402">
        <f t="shared" si="86"/>
        <v>22.680030532398845</v>
      </c>
      <c r="X241" s="157">
        <f t="shared" si="87"/>
        <v>45884</v>
      </c>
      <c r="Y241" s="385">
        <f t="shared" si="88"/>
        <v>20.929946767105204</v>
      </c>
      <c r="Z241" s="385">
        <f t="shared" si="89"/>
        <v>22.19286853085573</v>
      </c>
      <c r="AA241" s="386">
        <f t="shared" si="90"/>
        <v>24.956853171624974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0.11075052698998895</v>
      </c>
      <c r="AD241" s="231">
        <f>(INDEX(Models!$BJ241:$BT241,,AH241)*(1-AF241)+INDEX(Models!$BJ241:$BT241,,AH241+1)*AF241-ERP_i)*AE241*Ramure*Pc/MaxiM</f>
        <v>2.3722670295275993E-6</v>
      </c>
      <c r="AE241" s="305">
        <f t="shared" si="92"/>
        <v>0.7</v>
      </c>
      <c r="AF241" s="177">
        <f t="shared" si="93"/>
        <v>6.898699140885256E-2</v>
      </c>
      <c r="AG241" s="817">
        <f t="shared" si="99"/>
        <v>1</v>
      </c>
      <c r="AH241" s="176">
        <f t="shared" si="94"/>
        <v>7</v>
      </c>
      <c r="AI241" s="225">
        <f t="shared" si="95"/>
        <v>1.0689869914088526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45885</v>
      </c>
      <c r="B242" s="411">
        <f>'2024'!Wh/'2024'!Env_an*'2025'!Env_an</f>
        <v>22.432840516155988</v>
      </c>
      <c r="C242" s="846"/>
      <c r="D242" s="393">
        <f t="shared" si="77"/>
        <v>23.786968514538284</v>
      </c>
      <c r="E242" s="385">
        <f t="shared" si="100"/>
        <v>24.689495471907186</v>
      </c>
      <c r="F242" s="385">
        <f t="shared" si="78"/>
        <v>24.689495471907186</v>
      </c>
      <c r="G242" s="110">
        <f t="shared" si="101"/>
        <v>0.63865612094815283</v>
      </c>
      <c r="H242" s="414" t="b">
        <f>Wh_hp&gt;='2024'!Maxi_hp</f>
        <v>0</v>
      </c>
      <c r="I242" s="390">
        <f>IF(H242,Wh_hp,'2024'!Maxi_hp)</f>
        <v>38.177761326018796</v>
      </c>
      <c r="J242" s="85">
        <f>IF(H242,An,'2024'!An_max)</f>
        <v>2019</v>
      </c>
      <c r="K242" s="197">
        <f t="shared" si="79"/>
        <v>45885</v>
      </c>
      <c r="L242" s="147">
        <f>IF(t&lt;Tvie,1-EXP((T0-t)*PertePVj)+'2024'!Pspv,1-EXP((T0-t)*PertePVj)+Pspv)</f>
        <v>5.692730444212224E-2</v>
      </c>
      <c r="M242" s="850"/>
      <c r="N242" s="850"/>
      <c r="O242" s="48">
        <f>IF(t&lt;Tnet,'2024'!Resal+('2024'!Salim-'2024'!Resal)*(1-EXP(('2024'!Tnet-t)/('2024'!Tau_j))),Resal+(Salim-Resal)*(1-EXP((Tnet-t)/(Tau_j))))*Salcycl</f>
        <v>3.6555099248416718E-2</v>
      </c>
      <c r="P242" s="169">
        <f>(INDEX(Models!$BJ242:$BT242,,T242)*(1-R242)+INDEX(Models!$BJ242:$BT242,,T242+1)*R242-ERP_i)*Q242*Ramure*Pc/MaxiM</f>
        <v>0</v>
      </c>
      <c r="Q242" s="305">
        <f t="shared" si="80"/>
        <v>0.7</v>
      </c>
      <c r="R242" s="177">
        <f t="shared" si="81"/>
        <v>0.44630377366081531</v>
      </c>
      <c r="S242" s="817">
        <f t="shared" si="82"/>
        <v>-2</v>
      </c>
      <c r="T242" s="176">
        <f t="shared" si="83"/>
        <v>4</v>
      </c>
      <c r="U242" s="251">
        <f t="shared" si="84"/>
        <v>-1.5536962263391847</v>
      </c>
      <c r="V242" s="383">
        <f t="shared" si="85"/>
        <v>35.125069314065371</v>
      </c>
      <c r="W242" s="402">
        <f t="shared" si="86"/>
        <v>22.432840516155988</v>
      </c>
      <c r="X242" s="157">
        <f t="shared" si="87"/>
        <v>45885</v>
      </c>
      <c r="Y242" s="385">
        <f t="shared" si="88"/>
        <v>20.703994719023438</v>
      </c>
      <c r="Z242" s="385">
        <f t="shared" si="89"/>
        <v>21.953763285210925</v>
      </c>
      <c r="AA242" s="386">
        <f t="shared" si="90"/>
        <v>24.689464035602303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0.11080437981344954</v>
      </c>
      <c r="AD242" s="231">
        <f>(INDEX(Models!$BJ242:$BT242,,AH242)*(1-AF242)+INDEX(Models!$BJ242:$BT242,,AH242+1)*AF242-ERP_i)*AE242*Ramure*Pc/MaxiM</f>
        <v>2.6318333586494634E-6</v>
      </c>
      <c r="AE242" s="305">
        <f t="shared" si="92"/>
        <v>0.7</v>
      </c>
      <c r="AF242" s="177">
        <f t="shared" si="93"/>
        <v>7.0167143036871327E-2</v>
      </c>
      <c r="AG242" s="817">
        <f t="shared" si="99"/>
        <v>1</v>
      </c>
      <c r="AH242" s="176">
        <f t="shared" si="94"/>
        <v>7</v>
      </c>
      <c r="AI242" s="225">
        <f t="shared" si="95"/>
        <v>1.0701671430368713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45886</v>
      </c>
      <c r="B243" s="411">
        <f>'2024'!Wh/'2024'!Env_an*'2025'!Env_an</f>
        <v>17.818265683608299</v>
      </c>
      <c r="C243" s="846"/>
      <c r="D243" s="393">
        <f t="shared" si="77"/>
        <v>18.894254962353109</v>
      </c>
      <c r="E243" s="385">
        <f t="shared" si="100"/>
        <v>19.614375739992653</v>
      </c>
      <c r="F243" s="385">
        <f t="shared" si="78"/>
        <v>19.614375739992653</v>
      </c>
      <c r="G243" s="110">
        <f t="shared" si="101"/>
        <v>0.50891729303206334</v>
      </c>
      <c r="H243" s="414" t="b">
        <f>Wh_hp&gt;='2024'!Maxi_hp</f>
        <v>0</v>
      </c>
      <c r="I243" s="390">
        <f>IF(H243,Wh_hp,'2024'!Maxi_hp)</f>
        <v>37.316431373615615</v>
      </c>
      <c r="J243" s="85">
        <f>IF(H243,An,'2024'!An_max)</f>
        <v>2019</v>
      </c>
      <c r="K243" s="197">
        <f t="shared" si="79"/>
        <v>45886</v>
      </c>
      <c r="L243" s="147">
        <f>IF(t&lt;Tvie,1-EXP((T0-t)*PertePVj)+'2024'!Pspv,1-EXP((T0-t)*PertePVj)+Pspv)</f>
        <v>5.6947960154487332E-2</v>
      </c>
      <c r="M243" s="850"/>
      <c r="N243" s="850"/>
      <c r="O243" s="48">
        <f>IF(t&lt;Tnet,'2024'!Resal+('2024'!Salim-'2024'!Resal)*(1-EXP(('2024'!Tnet-t)/('2024'!Tau_j))),Resal+(Salim-Resal)*(1-EXP((Tnet-t)/(Tau_j))))*Salcycl</f>
        <v>3.6713927946799674E-2</v>
      </c>
      <c r="P243" s="169">
        <f>(INDEX(Models!$BJ243:$BT243,,T243)*(1-R243)+INDEX(Models!$BJ243:$BT243,,T243+1)*R243-ERP_i)*Q243*Ramure*Pc/MaxiM</f>
        <v>0</v>
      </c>
      <c r="Q243" s="305">
        <f t="shared" si="80"/>
        <v>0.7</v>
      </c>
      <c r="R243" s="177">
        <f t="shared" si="81"/>
        <v>0.447441999695668</v>
      </c>
      <c r="S243" s="817">
        <f t="shared" si="82"/>
        <v>-2</v>
      </c>
      <c r="T243" s="176">
        <f t="shared" si="83"/>
        <v>4</v>
      </c>
      <c r="U243" s="251">
        <f t="shared" si="84"/>
        <v>-1.552558000304332</v>
      </c>
      <c r="V243" s="383">
        <f t="shared" si="85"/>
        <v>35.012104967880695</v>
      </c>
      <c r="W243" s="402">
        <f t="shared" si="86"/>
        <v>17.818265683608299</v>
      </c>
      <c r="X243" s="157">
        <f t="shared" si="87"/>
        <v>45886</v>
      </c>
      <c r="Y243" s="385">
        <f t="shared" si="88"/>
        <v>16.446783262772541</v>
      </c>
      <c r="Z243" s="385">
        <f t="shared" si="89"/>
        <v>17.439953011995811</v>
      </c>
      <c r="AA243" s="386">
        <f t="shared" si="90"/>
        <v>19.614358743950497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0.11085785471448674</v>
      </c>
      <c r="AD243" s="231">
        <f>(INDEX(Models!$BJ243:$BT243,,AH243)*(1-AF243)+INDEX(Models!$BJ243:$BT243,,AH243+1)*AF243-ERP_i)*AE243*Ramure*Pc/MaxiM</f>
        <v>2.9033337265904243E-6</v>
      </c>
      <c r="AE243" s="305">
        <f t="shared" si="92"/>
        <v>0.7</v>
      </c>
      <c r="AF243" s="177">
        <f t="shared" si="93"/>
        <v>7.1305369071724023E-2</v>
      </c>
      <c r="AG243" s="817">
        <f t="shared" si="99"/>
        <v>1</v>
      </c>
      <c r="AH243" s="176">
        <f t="shared" si="94"/>
        <v>7</v>
      </c>
      <c r="AI243" s="225">
        <f t="shared" si="95"/>
        <v>1.071305369071724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45887</v>
      </c>
      <c r="B244" s="411">
        <f>'2024'!Wh/'2024'!Env_an*'2025'!Env_an</f>
        <v>26.435254549527581</v>
      </c>
      <c r="C244" s="846"/>
      <c r="D244" s="393">
        <f t="shared" si="77"/>
        <v>28.032210784952003</v>
      </c>
      <c r="E244" s="385">
        <f t="shared" si="100"/>
        <v>29.105397221994213</v>
      </c>
      <c r="F244" s="385">
        <f t="shared" si="78"/>
        <v>29.105397221994213</v>
      </c>
      <c r="G244" s="110">
        <f t="shared" si="101"/>
        <v>0.7575042104786045</v>
      </c>
      <c r="H244" s="414" t="b">
        <f>Wh_hp&gt;='2024'!Maxi_hp</f>
        <v>0</v>
      </c>
      <c r="I244" s="390">
        <f>IF(H244,Wh_hp,'2024'!Maxi_hp)</f>
        <v>36.873994716439007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5.6968615414439094E-2</v>
      </c>
      <c r="M244" s="850"/>
      <c r="N244" s="850"/>
      <c r="O244" s="48">
        <f>IF(t&lt;Tnet,'2024'!Resal+('2024'!Salim-'2024'!Resal)*(1-EXP(('2024'!Tnet-t)/('2024'!Tau_j))),Resal+(Salim-Resal)*(1-EXP((Tnet-t)/(Tau_j))))*Salcycl</f>
        <v>3.6872420220096895E-2</v>
      </c>
      <c r="P244" s="169">
        <f>(INDEX(Models!$BJ244:$BT244,,T244)*(1-R244)+INDEX(Models!$BJ244:$BT244,,T244+1)*R244-ERP_i)*Q244*Ramure*Pc/MaxiM</f>
        <v>0</v>
      </c>
      <c r="Q244" s="305">
        <f t="shared" si="80"/>
        <v>0.7</v>
      </c>
      <c r="R244" s="177">
        <f t="shared" si="81"/>
        <v>0.44853958450048159</v>
      </c>
      <c r="S244" s="817">
        <f t="shared" si="82"/>
        <v>-2</v>
      </c>
      <c r="T244" s="176">
        <f t="shared" si="83"/>
        <v>4</v>
      </c>
      <c r="U244" s="251">
        <f t="shared" si="84"/>
        <v>-1.5514604154995184</v>
      </c>
      <c r="V244" s="383">
        <f t="shared" si="85"/>
        <v>34.897831832281597</v>
      </c>
      <c r="W244" s="402">
        <f t="shared" si="86"/>
        <v>26.435254549527581</v>
      </c>
      <c r="X244" s="157">
        <f t="shared" si="87"/>
        <v>45887</v>
      </c>
      <c r="Y244" s="385">
        <f t="shared" si="88"/>
        <v>24.403046014008265</v>
      </c>
      <c r="Z244" s="385">
        <f t="shared" si="89"/>
        <v>25.877236338992898</v>
      </c>
      <c r="AA244" s="386">
        <f t="shared" si="90"/>
        <v>29.105336605858753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0.11091094085529501</v>
      </c>
      <c r="AD244" s="231">
        <f>(INDEX(Models!$BJ244:$BT244,,AH244)*(1-AF244)+INDEX(Models!$BJ244:$BT244,,AH244+1)*AF244-ERP_i)*AE244*Ramure*Pc/MaxiM</f>
        <v>3.1865274110310805E-6</v>
      </c>
      <c r="AE244" s="305">
        <f t="shared" si="92"/>
        <v>0.7</v>
      </c>
      <c r="AF244" s="177">
        <f t="shared" si="93"/>
        <v>7.2402953876537612E-2</v>
      </c>
      <c r="AG244" s="817">
        <f t="shared" si="99"/>
        <v>1</v>
      </c>
      <c r="AH244" s="176">
        <f t="shared" si="94"/>
        <v>7</v>
      </c>
      <c r="AI244" s="225">
        <f t="shared" si="95"/>
        <v>1.0724029538765376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45888</v>
      </c>
      <c r="B245" s="411">
        <f>'2024'!Wh/'2024'!Env_an*'2025'!Env_an</f>
        <v>26.647488898255848</v>
      </c>
      <c r="C245" s="846"/>
      <c r="D245" s="393">
        <f t="shared" si="77"/>
        <v>28.257885151029782</v>
      </c>
      <c r="E245" s="385">
        <f t="shared" si="100"/>
        <v>29.344529856319895</v>
      </c>
      <c r="F245" s="385">
        <f t="shared" si="78"/>
        <v>29.344529856319895</v>
      </c>
      <c r="G245" s="110">
        <f t="shared" si="101"/>
        <v>0.76612319051297284</v>
      </c>
      <c r="H245" s="414" t="b">
        <f>Wh_hp&gt;='2024'!Maxi_hp</f>
        <v>0</v>
      </c>
      <c r="I245" s="390">
        <f>IF(H245,Wh_hp,'2024'!Maxi_hp)</f>
        <v>35.384293693834039</v>
      </c>
      <c r="J245" s="85">
        <f>IF(H245,An,'2024'!An_max)</f>
        <v>2018</v>
      </c>
      <c r="K245" s="197">
        <f t="shared" si="79"/>
        <v>45888</v>
      </c>
      <c r="L245" s="147">
        <f>IF(t&lt;Tvie,1-EXP((T0-t)*PertePVj)+'2024'!Pspv,1-EXP((T0-t)*PertePVj)+Pspv)</f>
        <v>5.6989270221987853E-2</v>
      </c>
      <c r="M245" s="850"/>
      <c r="N245" s="850"/>
      <c r="O245" s="48">
        <f>IF(t&lt;Tnet,'2024'!Resal+('2024'!Salim-'2024'!Resal)*(1-EXP(('2024'!Tnet-t)/('2024'!Tau_j))),Resal+(Salim-Resal)*(1-EXP((Tnet-t)/(Tau_j))))*Salcycl</f>
        <v>3.7030571306157119E-2</v>
      </c>
      <c r="P245" s="169">
        <f>(INDEX(Models!$BJ245:$BT245,,T245)*(1-R245)+INDEX(Models!$BJ245:$BT245,,T245+1)*R245-ERP_i)*Q245*Ramure*Pc/MaxiM</f>
        <v>0</v>
      </c>
      <c r="Q245" s="305">
        <f t="shared" si="80"/>
        <v>0.7</v>
      </c>
      <c r="R245" s="177">
        <f t="shared" si="81"/>
        <v>0.44959778854992094</v>
      </c>
      <c r="S245" s="817">
        <f t="shared" si="82"/>
        <v>-2</v>
      </c>
      <c r="T245" s="176">
        <f t="shared" si="83"/>
        <v>4</v>
      </c>
      <c r="U245" s="251">
        <f t="shared" si="84"/>
        <v>-1.5504022114500791</v>
      </c>
      <c r="V245" s="383">
        <f t="shared" si="85"/>
        <v>34.782250724473563</v>
      </c>
      <c r="W245" s="402">
        <f t="shared" si="86"/>
        <v>26.647488898255848</v>
      </c>
      <c r="X245" s="157">
        <f t="shared" si="87"/>
        <v>45888</v>
      </c>
      <c r="Y245" s="385">
        <f t="shared" si="88"/>
        <v>24.601541097050937</v>
      </c>
      <c r="Z245" s="385">
        <f t="shared" si="89"/>
        <v>26.088293929425618</v>
      </c>
      <c r="AA245" s="386">
        <f t="shared" si="90"/>
        <v>29.34446183295346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0.11096362652905108</v>
      </c>
      <c r="AD245" s="231">
        <f>(INDEX(Models!$BJ245:$BT245,,AH245)*(1-AF245)+INDEX(Models!$BJ245:$BT245,,AH245+1)*AF245-ERP_i)*AE245*Ramure*Pc/MaxiM</f>
        <v>3.4811945489371242E-6</v>
      </c>
      <c r="AE245" s="305">
        <f t="shared" si="92"/>
        <v>0.7</v>
      </c>
      <c r="AF245" s="177">
        <f t="shared" si="93"/>
        <v>7.3461157925976739E-2</v>
      </c>
      <c r="AG245" s="817">
        <f t="shared" si="99"/>
        <v>1</v>
      </c>
      <c r="AH245" s="176">
        <f t="shared" si="94"/>
        <v>7</v>
      </c>
      <c r="AI245" s="225">
        <f t="shared" si="95"/>
        <v>1.0734611579259767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45889</v>
      </c>
      <c r="B246" s="411">
        <f>'2024'!Wh/'2024'!Env_an*'2025'!Env_an</f>
        <v>33.071846979517147</v>
      </c>
      <c r="C246" s="846"/>
      <c r="D246" s="393">
        <f t="shared" si="77"/>
        <v>35.071256677528687</v>
      </c>
      <c r="E246" s="385">
        <f t="shared" si="100"/>
        <v>36.425875849219473</v>
      </c>
      <c r="F246" s="385">
        <f t="shared" si="78"/>
        <v>36.425875849219473</v>
      </c>
      <c r="G246" s="110">
        <f t="shared" si="101"/>
        <v>0.95403147767658569</v>
      </c>
      <c r="H246" s="414" t="b">
        <f>Wh_hp&gt;='2024'!Maxi_hp</f>
        <v>0</v>
      </c>
      <c r="I246" s="390">
        <f>IF(H246,Wh_hp,'2024'!Maxi_hp)</f>
        <v>36.556455204531737</v>
      </c>
      <c r="J246" s="85">
        <f>IF(H246,An,'2024'!An_max)</f>
        <v>2021</v>
      </c>
      <c r="K246" s="197">
        <f t="shared" si="79"/>
        <v>45889</v>
      </c>
      <c r="L246" s="147">
        <f>IF(t&lt;Tvie,1-EXP((T0-t)*PertePVj)+'2024'!Pspv,1-EXP((T0-t)*PertePVj)+Pspv)</f>
        <v>5.7009924577143156E-2</v>
      </c>
      <c r="M246" s="850"/>
      <c r="N246" s="850"/>
      <c r="O246" s="48">
        <f>IF(t&lt;Tnet,'2024'!Resal+('2024'!Salim-'2024'!Resal)*(1-EXP(('2024'!Tnet-t)/('2024'!Tau_j))),Resal+(Salim-Resal)*(1-EXP((Tnet-t)/(Tau_j))))*Salcycl</f>
        <v>3.7188376123008522E-2</v>
      </c>
      <c r="P246" s="169">
        <f>(INDEX(Models!$BJ246:$BT246,,T246)*(1-R246)+INDEX(Models!$BJ246:$BT246,,T246+1)*R246-ERP_i)*Q246*Ramure*Pc/MaxiM</f>
        <v>0</v>
      </c>
      <c r="Q246" s="305">
        <f t="shared" si="80"/>
        <v>0.7</v>
      </c>
      <c r="R246" s="177">
        <f t="shared" si="81"/>
        <v>0.4506178476192062</v>
      </c>
      <c r="S246" s="817">
        <f t="shared" si="82"/>
        <v>-2</v>
      </c>
      <c r="T246" s="176">
        <f t="shared" si="83"/>
        <v>4</v>
      </c>
      <c r="U246" s="251">
        <f t="shared" si="84"/>
        <v>-1.5493821523807938</v>
      </c>
      <c r="V246" s="383">
        <f t="shared" si="85"/>
        <v>34.665362467975527</v>
      </c>
      <c r="W246" s="402">
        <f t="shared" si="86"/>
        <v>33.071846979517147</v>
      </c>
      <c r="X246" s="157">
        <f t="shared" si="87"/>
        <v>45889</v>
      </c>
      <c r="Y246" s="385">
        <f t="shared" si="88"/>
        <v>30.535819663241764</v>
      </c>
      <c r="Z246" s="385">
        <f t="shared" si="89"/>
        <v>32.38190990456485</v>
      </c>
      <c r="AA246" s="386">
        <f t="shared" si="90"/>
        <v>36.42574695856306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0.11101589923738203</v>
      </c>
      <c r="AD246" s="231">
        <f>(INDEX(Models!$BJ246:$BT246,,AH246)*(1-AF246)+INDEX(Models!$BJ246:$BT246,,AH246+1)*AF246-ERP_i)*AE246*Ramure*Pc/MaxiM</f>
        <v>3.7871353043118719E-6</v>
      </c>
      <c r="AE246" s="305">
        <f t="shared" si="92"/>
        <v>0.7</v>
      </c>
      <c r="AF246" s="177">
        <f t="shared" si="93"/>
        <v>7.4481216995262223E-2</v>
      </c>
      <c r="AG246" s="817">
        <f t="shared" si="99"/>
        <v>1</v>
      </c>
      <c r="AH246" s="176">
        <f t="shared" si="94"/>
        <v>7</v>
      </c>
      <c r="AI246" s="225">
        <f t="shared" si="95"/>
        <v>1.0744812169952622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45890</v>
      </c>
      <c r="B247" s="411">
        <f>'2024'!Wh/'2024'!Env_an*'2025'!Env_an</f>
        <v>20.729535641291722</v>
      </c>
      <c r="C247" s="846"/>
      <c r="D247" s="393">
        <f t="shared" si="77"/>
        <v>21.983253293489955</v>
      </c>
      <c r="E247" s="385">
        <f t="shared" si="100"/>
        <v>22.836085857498066</v>
      </c>
      <c r="F247" s="385">
        <f t="shared" si="78"/>
        <v>22.836085857498066</v>
      </c>
      <c r="G247" s="110">
        <f t="shared" si="101"/>
        <v>0.60001015234876909</v>
      </c>
      <c r="H247" s="414" t="b">
        <f>Wh_hp&gt;='2024'!Maxi_hp</f>
        <v>0</v>
      </c>
      <c r="I247" s="390">
        <f>IF(H247,Wh_hp,'2024'!Maxi_hp)</f>
        <v>36.591801967762351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5.7030578479915217E-2</v>
      </c>
      <c r="M247" s="850"/>
      <c r="N247" s="850"/>
      <c r="O247" s="48">
        <f>IF(t&lt;Tnet,'2024'!Resal+('2024'!Salim-'2024'!Resal)*(1-EXP(('2024'!Tnet-t)/('2024'!Tau_j))),Resal+(Salim-Resal)*(1-EXP((Tnet-t)/(Tau_j))))*Salcycl</f>
        <v>3.734582928659326E-2</v>
      </c>
      <c r="P247" s="169">
        <f>(INDEX(Models!$BJ247:$BT247,,T247)*(1-R247)+INDEX(Models!$BJ247:$BT247,,T247+1)*R247-ERP_i)*Q247*Ramure*Pc/MaxiM</f>
        <v>0</v>
      </c>
      <c r="Q247" s="305">
        <f t="shared" si="80"/>
        <v>0.7</v>
      </c>
      <c r="R247" s="177">
        <f t="shared" si="81"/>
        <v>0.45160097210287042</v>
      </c>
      <c r="S247" s="817">
        <f t="shared" si="82"/>
        <v>-2</v>
      </c>
      <c r="T247" s="176">
        <f t="shared" si="83"/>
        <v>4</v>
      </c>
      <c r="U247" s="251">
        <f t="shared" si="84"/>
        <v>-1.5483990278971296</v>
      </c>
      <c r="V247" s="383">
        <f t="shared" si="85"/>
        <v>34.548641485723103</v>
      </c>
      <c r="W247" s="402">
        <f t="shared" si="86"/>
        <v>20.729535641291722</v>
      </c>
      <c r="X247" s="157">
        <f t="shared" si="87"/>
        <v>45890</v>
      </c>
      <c r="Y247" s="385">
        <f t="shared" si="88"/>
        <v>19.141994078299195</v>
      </c>
      <c r="Z247" s="385">
        <f t="shared" si="89"/>
        <v>20.29969757390641</v>
      </c>
      <c r="AA247" s="386">
        <f t="shared" si="90"/>
        <v>22.836045690784818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0.11106774575695991</v>
      </c>
      <c r="AD247" s="231">
        <f>(INDEX(Models!$BJ247:$BT247,,AH247)*(1-AF247)+INDEX(Models!$BJ247:$BT247,,AH247+1)*AF247-ERP_i)*AE247*Ramure*Pc/MaxiM</f>
        <v>4.1039940001045504E-6</v>
      </c>
      <c r="AE247" s="305">
        <f t="shared" si="92"/>
        <v>0.7</v>
      </c>
      <c r="AF247" s="177">
        <f t="shared" si="93"/>
        <v>7.5464341478926222E-2</v>
      </c>
      <c r="AG247" s="817">
        <f t="shared" si="99"/>
        <v>1</v>
      </c>
      <c r="AH247" s="176">
        <f t="shared" si="94"/>
        <v>7</v>
      </c>
      <c r="AI247" s="225">
        <f t="shared" si="95"/>
        <v>1.0754643414789262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45891</v>
      </c>
      <c r="B248" s="411">
        <f>'2024'!Wh/'2024'!Env_an*'2025'!Env_an</f>
        <v>17.186669704819725</v>
      </c>
      <c r="C248" s="846"/>
      <c r="D248" s="393">
        <f t="shared" si="77"/>
        <v>18.226514829647229</v>
      </c>
      <c r="E248" s="385">
        <f t="shared" si="100"/>
        <v>18.936696334394476</v>
      </c>
      <c r="F248" s="385">
        <f t="shared" si="78"/>
        <v>18.936696334394476</v>
      </c>
      <c r="G248" s="110">
        <f t="shared" si="101"/>
        <v>0.49913210889415505</v>
      </c>
      <c r="H248" s="414" t="b">
        <f>Wh_hp&gt;='2024'!Maxi_hp</f>
        <v>0</v>
      </c>
      <c r="I248" s="390">
        <f>IF(H248,Wh_hp,'2024'!Maxi_hp)</f>
        <v>38.793135012494737</v>
      </c>
      <c r="J248" s="85">
        <f>IF(H248,An,'2024'!An_max)</f>
        <v>2019</v>
      </c>
      <c r="K248" s="197">
        <f t="shared" si="79"/>
        <v>45891</v>
      </c>
      <c r="L248" s="147">
        <f>IF(t&lt;Tvie,1-EXP((T0-t)*PertePVj)+'2024'!Pspv,1-EXP((T0-t)*PertePVj)+Pspv)</f>
        <v>5.7051231930313695E-2</v>
      </c>
      <c r="M248" s="850"/>
      <c r="N248" s="850"/>
      <c r="O248" s="48">
        <f>IF(t&lt;Tnet,'2024'!Resal+('2024'!Salim-'2024'!Resal)*(1-EXP(('2024'!Tnet-t)/('2024'!Tau_j))),Resal+(Salim-Resal)*(1-EXP((Tnet-t)/(Tau_j))))*Salcycl</f>
        <v>3.7502925125189594E-2</v>
      </c>
      <c r="P248" s="169">
        <f>(INDEX(Models!$BJ248:$BT248,,T248)*(1-R248)+INDEX(Models!$BJ248:$BT248,,T248+1)*R248-ERP_i)*Q248*Ramure*Pc/MaxiM</f>
        <v>0</v>
      </c>
      <c r="Q248" s="305">
        <f t="shared" si="80"/>
        <v>0.7</v>
      </c>
      <c r="R248" s="177">
        <f t="shared" si="81"/>
        <v>0.45254834645448883</v>
      </c>
      <c r="S248" s="817">
        <f t="shared" si="82"/>
        <v>-2</v>
      </c>
      <c r="T248" s="176">
        <f t="shared" si="83"/>
        <v>4</v>
      </c>
      <c r="U248" s="251">
        <f t="shared" si="84"/>
        <v>-1.5474516535455112</v>
      </c>
      <c r="V248" s="383">
        <f t="shared" si="85"/>
        <v>34.433107785626937</v>
      </c>
      <c r="W248" s="402">
        <f t="shared" si="86"/>
        <v>17.186669704819725</v>
      </c>
      <c r="X248" s="157">
        <f t="shared" si="87"/>
        <v>45891</v>
      </c>
      <c r="Y248" s="385">
        <f t="shared" si="88"/>
        <v>15.872133702107453</v>
      </c>
      <c r="Z248" s="385">
        <f t="shared" si="89"/>
        <v>16.832445451516261</v>
      </c>
      <c r="AA248" s="386">
        <f t="shared" si="90"/>
        <v>18.93667243824234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0.11111915219469187</v>
      </c>
      <c r="AD248" s="231">
        <f>(INDEX(Models!$BJ248:$BT248,,AH248)*(1-AF248)+INDEX(Models!$BJ248:$BT248,,AH248+1)*AF248-ERP_i)*AE248*Ramure*Pc/MaxiM</f>
        <v>4.4358873281353778E-6</v>
      </c>
      <c r="AE248" s="305">
        <f t="shared" si="92"/>
        <v>0.7</v>
      </c>
      <c r="AF248" s="177">
        <f t="shared" si="93"/>
        <v>7.6411715830544846E-2</v>
      </c>
      <c r="AG248" s="817">
        <f t="shared" si="99"/>
        <v>1</v>
      </c>
      <c r="AH248" s="176">
        <f t="shared" si="94"/>
        <v>7</v>
      </c>
      <c r="AI248" s="225">
        <f t="shared" si="95"/>
        <v>1.0764117158305448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45892</v>
      </c>
      <c r="B249" s="411">
        <f>'2024'!Wh/'2024'!Env_an*'2025'!Env_an</f>
        <v>30.776387298718703</v>
      </c>
      <c r="C249" s="846"/>
      <c r="D249" s="393">
        <f t="shared" si="77"/>
        <v>32.63916602633072</v>
      </c>
      <c r="E249" s="385">
        <f t="shared" si="100"/>
        <v>33.916447842136613</v>
      </c>
      <c r="F249" s="385">
        <f t="shared" si="78"/>
        <v>33.916447842136613</v>
      </c>
      <c r="G249" s="110">
        <f t="shared" si="101"/>
        <v>0.89679802720028423</v>
      </c>
      <c r="H249" s="414" t="b">
        <f>Wh_hp&gt;='2024'!Maxi_hp</f>
        <v>0</v>
      </c>
      <c r="I249" s="390">
        <f>IF(H249,Wh_hp,'2024'!Maxi_hp)</f>
        <v>36.458624208406086</v>
      </c>
      <c r="J249" s="85">
        <f>IF(H249,An,'2024'!An_max)</f>
        <v>2019</v>
      </c>
      <c r="K249" s="197">
        <f t="shared" si="79"/>
        <v>45892</v>
      </c>
      <c r="L249" s="147">
        <f>IF(t&lt;Tvie,1-EXP((T0-t)*PertePVj)+'2024'!Pspv,1-EXP((T0-t)*PertePVj)+Pspv)</f>
        <v>5.7071884928348693E-2</v>
      </c>
      <c r="M249" s="850"/>
      <c r="N249" s="850"/>
      <c r="O249" s="48">
        <f>IF(t&lt;Tnet,'2024'!Resal+('2024'!Salim-'2024'!Resal)*(1-EXP(('2024'!Tnet-t)/('2024'!Tau_j))),Resal+(Salim-Resal)*(1-EXP((Tnet-t)/(Tau_j))))*Salcycl</f>
        <v>3.76596576903033E-2</v>
      </c>
      <c r="P249" s="169">
        <f>(INDEX(Models!$BJ249:$BT249,,T249)*(1-R249)+INDEX(Models!$BJ249:$BT249,,T249+1)*R249-ERP_i)*Q249*Ramure*Pc/MaxiM</f>
        <v>0</v>
      </c>
      <c r="Q249" s="305">
        <f t="shared" si="80"/>
        <v>0.7</v>
      </c>
      <c r="R249" s="177">
        <f t="shared" si="81"/>
        <v>0.45346112873887501</v>
      </c>
      <c r="S249" s="817">
        <f t="shared" si="82"/>
        <v>-2</v>
      </c>
      <c r="T249" s="176">
        <f t="shared" si="83"/>
        <v>4</v>
      </c>
      <c r="U249" s="251">
        <f t="shared" si="84"/>
        <v>-1.546538871261125</v>
      </c>
      <c r="V249" s="383">
        <f t="shared" si="85"/>
        <v>34.318080956087265</v>
      </c>
      <c r="W249" s="402">
        <f t="shared" si="86"/>
        <v>30.776387298718703</v>
      </c>
      <c r="X249" s="157">
        <f t="shared" si="87"/>
        <v>45892</v>
      </c>
      <c r="Y249" s="385">
        <f t="shared" si="88"/>
        <v>28.425350870595672</v>
      </c>
      <c r="Z249" s="385">
        <f t="shared" si="89"/>
        <v>30.145830224222006</v>
      </c>
      <c r="AA249" s="386">
        <f t="shared" si="90"/>
        <v>33.916309927179988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0.11117010403116935</v>
      </c>
      <c r="AD249" s="231">
        <f>(INDEX(Models!$BJ249:$BT249,,AH249)*(1-AF249)+INDEX(Models!$BJ249:$BT249,,AH249+1)*AF249-ERP_i)*AE249*Ramure*Pc/MaxiM</f>
        <v>4.7694869755148339E-6</v>
      </c>
      <c r="AE249" s="305">
        <f t="shared" si="92"/>
        <v>0.7</v>
      </c>
      <c r="AF249" s="177">
        <f t="shared" si="93"/>
        <v>7.7324498114931028E-2</v>
      </c>
      <c r="AG249" s="817">
        <f t="shared" si="99"/>
        <v>1</v>
      </c>
      <c r="AH249" s="176">
        <f t="shared" si="94"/>
        <v>7</v>
      </c>
      <c r="AI249" s="225">
        <f t="shared" si="95"/>
        <v>1.077324498114931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45893</v>
      </c>
      <c r="B250" s="411">
        <f>'2024'!Wh/'2024'!Env_an*'2025'!Env_an</f>
        <v>30.242010937991694</v>
      </c>
      <c r="C250" s="846"/>
      <c r="D250" s="393">
        <f t="shared" si="77"/>
        <v>32.073148362805277</v>
      </c>
      <c r="E250" s="385">
        <f t="shared" si="100"/>
        <v>33.333696106921288</v>
      </c>
      <c r="F250" s="385">
        <f t="shared" si="78"/>
        <v>33.333696106921288</v>
      </c>
      <c r="G250" s="110">
        <f t="shared" si="101"/>
        <v>0.8841948387877393</v>
      </c>
      <c r="H250" s="414" t="b">
        <f>Wh_hp&gt;='2024'!Maxi_hp</f>
        <v>0</v>
      </c>
      <c r="I250" s="390">
        <f>IF(H250,Wh_hp,'2024'!Maxi_hp)</f>
        <v>36.227969880355467</v>
      </c>
      <c r="J250" s="85">
        <f>IF(H250,An,'2024'!An_max)</f>
        <v>2019</v>
      </c>
      <c r="K250" s="197">
        <f t="shared" si="79"/>
        <v>45893</v>
      </c>
      <c r="L250" s="147">
        <f>IF(t&lt;Tvie,1-EXP((T0-t)*PertePVj)+'2024'!Pspv,1-EXP((T0-t)*PertePVj)+Pspv)</f>
        <v>5.7092537474029981E-2</v>
      </c>
      <c r="M250" s="850"/>
      <c r="N250" s="850"/>
      <c r="O250" s="48">
        <f>IF(t&lt;Tnet,'2024'!Resal+('2024'!Salim-'2024'!Resal)*(1-EXP(('2024'!Tnet-t)/('2024'!Tau_j))),Resal+(Salim-Resal)*(1-EXP((Tnet-t)/(Tau_j))))*Salcycl</f>
        <v>3.7816020763874303E-2</v>
      </c>
      <c r="P250" s="169">
        <f>(INDEX(Models!$BJ250:$BT250,,T250)*(1-R250)+INDEX(Models!$BJ250:$BT250,,T250+1)*R250-ERP_i)*Q250*Ramure*Pc/MaxiM</f>
        <v>0</v>
      </c>
      <c r="Q250" s="305">
        <f t="shared" si="80"/>
        <v>0.7</v>
      </c>
      <c r="R250" s="177">
        <f t="shared" si="81"/>
        <v>0.45434045028853931</v>
      </c>
      <c r="S250" s="817">
        <f t="shared" si="82"/>
        <v>-2</v>
      </c>
      <c r="T250" s="176">
        <f t="shared" si="83"/>
        <v>4</v>
      </c>
      <c r="U250" s="251">
        <f t="shared" si="84"/>
        <v>-1.5456595497114607</v>
      </c>
      <c r="V250" s="383">
        <f t="shared" si="85"/>
        <v>34.202881097399867</v>
      </c>
      <c r="W250" s="402">
        <f t="shared" si="86"/>
        <v>30.242010937991694</v>
      </c>
      <c r="X250" s="157">
        <f t="shared" si="87"/>
        <v>45893</v>
      </c>
      <c r="Y250" s="385">
        <f t="shared" si="88"/>
        <v>27.934743076652357</v>
      </c>
      <c r="Z250" s="385">
        <f t="shared" si="89"/>
        <v>29.626176678904972</v>
      </c>
      <c r="AA250" s="386">
        <f t="shared" si="90"/>
        <v>33.333554105000445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0.11122058615223747</v>
      </c>
      <c r="AD250" s="231">
        <f>(INDEX(Models!$BJ250:$BT250,,AH250)*(1-AF250)+INDEX(Models!$BJ250:$BT250,,AH250+1)*AF250-ERP_i)*AE250*Ramure*Pc/MaxiM</f>
        <v>5.1044748873085835E-6</v>
      </c>
      <c r="AE250" s="305">
        <f t="shared" si="92"/>
        <v>0.7</v>
      </c>
      <c r="AF250" s="177">
        <f t="shared" si="93"/>
        <v>7.8203819664595331E-2</v>
      </c>
      <c r="AG250" s="817">
        <f t="shared" si="99"/>
        <v>1</v>
      </c>
      <c r="AH250" s="176">
        <f t="shared" si="94"/>
        <v>7</v>
      </c>
      <c r="AI250" s="225">
        <f t="shared" si="95"/>
        <v>1.0782038196645953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45894</v>
      </c>
      <c r="B251" s="411">
        <f>'2024'!Wh/'2024'!Env_an*'2025'!Env_an</f>
        <v>22.300045147445271</v>
      </c>
      <c r="C251" s="846"/>
      <c r="D251" s="393">
        <f t="shared" si="77"/>
        <v>23.650818847718483</v>
      </c>
      <c r="E251" s="385">
        <f t="shared" si="100"/>
        <v>24.584335425781227</v>
      </c>
      <c r="F251" s="385">
        <f t="shared" si="78"/>
        <v>24.584335425781227</v>
      </c>
      <c r="G251" s="110">
        <f t="shared" si="101"/>
        <v>0.65421295911940547</v>
      </c>
      <c r="H251" s="414" t="b">
        <f>Wh_hp&gt;='2024'!Maxi_hp</f>
        <v>0</v>
      </c>
      <c r="I251" s="390">
        <f>IF(H251,Wh_hp,'2024'!Maxi_hp)</f>
        <v>34.955028036144711</v>
      </c>
      <c r="J251" s="85">
        <f>IF(H251,An,'2024'!An_max)</f>
        <v>2020</v>
      </c>
      <c r="K251" s="197">
        <f t="shared" si="79"/>
        <v>45894</v>
      </c>
      <c r="L251" s="147">
        <f>IF(t&lt;Tvie,1-EXP((T0-t)*PertePVj)+'2024'!Pspv,1-EXP((T0-t)*PertePVj)+Pspv)</f>
        <v>5.7113189567367439E-2</v>
      </c>
      <c r="M251" s="850"/>
      <c r="N251" s="850"/>
      <c r="O251" s="48">
        <f>IF(t&lt;Tnet,'2024'!Resal+('2024'!Salim-'2024'!Resal)*(1-EXP(('2024'!Tnet-t)/('2024'!Tau_j))),Resal+(Salim-Resal)*(1-EXP((Tnet-t)/(Tau_j))))*Salcycl</f>
        <v>3.7972007861712516E-2</v>
      </c>
      <c r="P251" s="169">
        <f>(INDEX(Models!$BJ251:$BT251,,T251)*(1-R251)+INDEX(Models!$BJ251:$BT251,,T251+1)*R251-ERP_i)*Q251*Ramure*Pc/MaxiM</f>
        <v>0</v>
      </c>
      <c r="Q251" s="305">
        <f t="shared" si="80"/>
        <v>0.7</v>
      </c>
      <c r="R251" s="177">
        <f t="shared" si="81"/>
        <v>0.45518741545650387</v>
      </c>
      <c r="S251" s="817">
        <f t="shared" si="82"/>
        <v>-2</v>
      </c>
      <c r="T251" s="176">
        <f t="shared" si="83"/>
        <v>4</v>
      </c>
      <c r="U251" s="251">
        <f t="shared" si="84"/>
        <v>-1.5448125845434961</v>
      </c>
      <c r="V251" s="383">
        <f t="shared" si="85"/>
        <v>34.086828817120875</v>
      </c>
      <c r="W251" s="402">
        <f t="shared" si="86"/>
        <v>22.300045147445271</v>
      </c>
      <c r="X251" s="157">
        <f t="shared" si="87"/>
        <v>45894</v>
      </c>
      <c r="Y251" s="385">
        <f t="shared" si="88"/>
        <v>20.600909460235581</v>
      </c>
      <c r="Z251" s="385">
        <f t="shared" si="89"/>
        <v>21.848761942892271</v>
      </c>
      <c r="AA251" s="386">
        <f t="shared" si="90"/>
        <v>24.58426774418956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0.11127058286874621</v>
      </c>
      <c r="AD251" s="231">
        <f>(INDEX(Models!$BJ251:$BT251,,AH251)*(1-AF251)+INDEX(Models!$BJ251:$BT251,,AH251+1)*AF251-ERP_i)*AE251*Ramure*Pc/MaxiM</f>
        <v>5.4405860621814765E-6</v>
      </c>
      <c r="AE251" s="305">
        <f t="shared" si="92"/>
        <v>0.7</v>
      </c>
      <c r="AF251" s="177">
        <f t="shared" si="93"/>
        <v>7.9050784832559895E-2</v>
      </c>
      <c r="AG251" s="817">
        <f t="shared" si="99"/>
        <v>1</v>
      </c>
      <c r="AH251" s="176">
        <f t="shared" si="94"/>
        <v>7</v>
      </c>
      <c r="AI251" s="225">
        <f t="shared" si="95"/>
        <v>1.0790507848325599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45895</v>
      </c>
      <c r="B252" s="411">
        <f>'2024'!Wh/'2024'!Env_an*'2025'!Env_an</f>
        <v>27.139476496513673</v>
      </c>
      <c r="C252" s="846"/>
      <c r="D252" s="393">
        <f t="shared" si="77"/>
        <v>28.784018010886562</v>
      </c>
      <c r="E252" s="385">
        <f t="shared" si="100"/>
        <v>29.924986284005364</v>
      </c>
      <c r="F252" s="385">
        <f t="shared" si="78"/>
        <v>29.924986284005364</v>
      </c>
      <c r="G252" s="110">
        <f t="shared" si="101"/>
        <v>0.79894258213670954</v>
      </c>
      <c r="H252" s="414" t="b">
        <f>Wh_hp&gt;='2024'!Maxi_hp</f>
        <v>0</v>
      </c>
      <c r="I252" s="390">
        <f>IF(H252,Wh_hp,'2024'!Maxi_hp)</f>
        <v>36.589991055920372</v>
      </c>
      <c r="J252" s="85">
        <f>IF(H252,An,'2024'!An_max)</f>
        <v>2020</v>
      </c>
      <c r="K252" s="197">
        <f t="shared" si="79"/>
        <v>45895</v>
      </c>
      <c r="L252" s="147">
        <f>IF(t&lt;Tvie,1-EXP((T0-t)*PertePVj)+'2024'!Pspv,1-EXP((T0-t)*PertePVj)+Pspv)</f>
        <v>5.7133841208371172E-2</v>
      </c>
      <c r="M252" s="850"/>
      <c r="N252" s="850"/>
      <c r="O252" s="48">
        <f>IF(t&lt;Tnet,'2024'!Resal+('2024'!Salim-'2024'!Resal)*(1-EXP(('2024'!Tnet-t)/('2024'!Tau_j))),Resal+(Salim-Resal)*(1-EXP((Tnet-t)/(Tau_j))))*Salcycl</f>
        <v>3.8127612233147111E-2</v>
      </c>
      <c r="P252" s="169">
        <f>(INDEX(Models!$BJ252:$BT252,,T252)*(1-R252)+INDEX(Models!$BJ252:$BT252,,T252+1)*R252-ERP_i)*Q252*Ramure*Pc/MaxiM</f>
        <v>0</v>
      </c>
      <c r="Q252" s="305">
        <f t="shared" si="80"/>
        <v>0.7</v>
      </c>
      <c r="R252" s="177">
        <f t="shared" si="81"/>
        <v>0.45600310145790757</v>
      </c>
      <c r="S252" s="817">
        <f t="shared" si="82"/>
        <v>-2</v>
      </c>
      <c r="T252" s="176">
        <f t="shared" si="83"/>
        <v>4</v>
      </c>
      <c r="U252" s="251">
        <f t="shared" si="84"/>
        <v>-1.5439968985420924</v>
      </c>
      <c r="V252" s="383">
        <f t="shared" si="85"/>
        <v>33.969245229026676</v>
      </c>
      <c r="W252" s="402">
        <f t="shared" si="86"/>
        <v>27.139476496513673</v>
      </c>
      <c r="X252" s="157">
        <f t="shared" si="87"/>
        <v>45895</v>
      </c>
      <c r="Y252" s="385">
        <f t="shared" si="88"/>
        <v>25.074229016712071</v>
      </c>
      <c r="Z252" s="385">
        <f t="shared" si="89"/>
        <v>26.593624962472976</v>
      </c>
      <c r="AA252" s="386">
        <f t="shared" si="90"/>
        <v>29.924863048971773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0.11132007792474286</v>
      </c>
      <c r="AD252" s="231">
        <f>(INDEX(Models!$BJ252:$BT252,,AH252)*(1-AF252)+INDEX(Models!$BJ252:$BT252,,AH252+1)*AF252-ERP_i)*AE252*Ramure*Pc/MaxiM</f>
        <v>5.7776030122405733E-6</v>
      </c>
      <c r="AE252" s="305">
        <f t="shared" si="92"/>
        <v>0.7</v>
      </c>
      <c r="AF252" s="177">
        <f t="shared" si="93"/>
        <v>7.9866470833963588E-2</v>
      </c>
      <c r="AG252" s="817">
        <f t="shared" si="99"/>
        <v>1</v>
      </c>
      <c r="AH252" s="176">
        <f t="shared" si="94"/>
        <v>7</v>
      </c>
      <c r="AI252" s="225">
        <f t="shared" si="95"/>
        <v>1.0798664708339636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45896</v>
      </c>
      <c r="B253" s="411">
        <f>'2024'!Wh/'2024'!Env_an*'2025'!Env_an</f>
        <v>32.831297874566545</v>
      </c>
      <c r="C253" s="846"/>
      <c r="D253" s="393">
        <f t="shared" si="77"/>
        <v>34.821503215341679</v>
      </c>
      <c r="E253" s="385">
        <f t="shared" si="100"/>
        <v>36.207633790648686</v>
      </c>
      <c r="F253" s="385">
        <f t="shared" si="78"/>
        <v>36.207633790648686</v>
      </c>
      <c r="G253" s="110">
        <f t="shared" si="101"/>
        <v>0.96992110613832627</v>
      </c>
      <c r="H253" s="414" t="b">
        <f>Wh_hp&gt;='2024'!Maxi_hp</f>
        <v>1</v>
      </c>
      <c r="I253" s="390">
        <f>IF(H253,Wh_hp,'2024'!Maxi_hp)</f>
        <v>36.207633790648686</v>
      </c>
      <c r="J253" s="85">
        <f>IF(H253,An,'2024'!An_max)</f>
        <v>2025</v>
      </c>
      <c r="K253" s="197">
        <f t="shared" si="79"/>
        <v>45896</v>
      </c>
      <c r="L253" s="147">
        <f>IF(t&lt;Tvie,1-EXP((T0-t)*PertePVj)+'2024'!Pspv,1-EXP((T0-t)*PertePVj)+Pspv)</f>
        <v>5.7154492397050949E-2</v>
      </c>
      <c r="M253" s="850"/>
      <c r="N253" s="850"/>
      <c r="O253" s="48">
        <f>IF(t&lt;Tnet,'2024'!Resal+('2024'!Salim-'2024'!Resal)*(1-EXP(('2024'!Tnet-t)/('2024'!Tau_j))),Resal+(Salim-Resal)*(1-EXP((Tnet-t)/(Tau_j))))*Salcycl</f>
        <v>3.8282826856943078E-2</v>
      </c>
      <c r="P253" s="169">
        <f>(INDEX(Models!$BJ253:$BT253,,T253)*(1-R253)+INDEX(Models!$BJ253:$BT253,,T253+1)*R253-ERP_i)*Q253*Ramure*Pc/MaxiM</f>
        <v>0</v>
      </c>
      <c r="Q253" s="305">
        <f t="shared" si="80"/>
        <v>0.7</v>
      </c>
      <c r="R253" s="177">
        <f t="shared" si="81"/>
        <v>0.45678855829315479</v>
      </c>
      <c r="S253" s="817">
        <f t="shared" si="82"/>
        <v>-2</v>
      </c>
      <c r="T253" s="176">
        <f t="shared" si="83"/>
        <v>4</v>
      </c>
      <c r="U253" s="251">
        <f t="shared" si="84"/>
        <v>-1.5432114417068452</v>
      </c>
      <c r="V253" s="383">
        <f t="shared" si="85"/>
        <v>33.849451946954829</v>
      </c>
      <c r="W253" s="402">
        <f t="shared" si="86"/>
        <v>32.831297874566545</v>
      </c>
      <c r="X253" s="157">
        <f t="shared" si="87"/>
        <v>45896</v>
      </c>
      <c r="Y253" s="385">
        <f t="shared" si="88"/>
        <v>30.336087717513717</v>
      </c>
      <c r="Z253" s="385">
        <f t="shared" si="89"/>
        <v>32.175035541760089</v>
      </c>
      <c r="AA253" s="386">
        <f t="shared" si="90"/>
        <v>36.207421882499801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0.11136905449456179</v>
      </c>
      <c r="AD253" s="231">
        <f>(INDEX(Models!$BJ253:$BT253,,AH253)*(1-AF253)+INDEX(Models!$BJ253:$BT253,,AH253+1)*AF253-ERP_i)*AE253*Ramure*Pc/MaxiM</f>
        <v>6.1153580957558796E-6</v>
      </c>
      <c r="AE253" s="305">
        <f t="shared" si="92"/>
        <v>0.7</v>
      </c>
      <c r="AF253" s="177">
        <f t="shared" si="93"/>
        <v>8.065192766921081E-2</v>
      </c>
      <c r="AG253" s="817">
        <f t="shared" si="99"/>
        <v>1</v>
      </c>
      <c r="AH253" s="176">
        <f t="shared" si="94"/>
        <v>7</v>
      </c>
      <c r="AI253" s="225">
        <f t="shared" si="95"/>
        <v>1.0806519276692108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45897</v>
      </c>
      <c r="B254" s="411">
        <f>'2024'!Wh/'2024'!Env_an*'2025'!Env_an</f>
        <v>31.763560050191639</v>
      </c>
      <c r="C254" s="846"/>
      <c r="D254" s="393">
        <f t="shared" si="77"/>
        <v>33.689777925197845</v>
      </c>
      <c r="E254" s="385">
        <f t="shared" si="100"/>
        <v>35.036498392611868</v>
      </c>
      <c r="F254" s="385">
        <f t="shared" si="78"/>
        <v>35.036498392611868</v>
      </c>
      <c r="G254" s="110">
        <f t="shared" si="101"/>
        <v>0.94179072074431802</v>
      </c>
      <c r="H254" s="414" t="b">
        <f>Wh_hp&gt;='2024'!Maxi_hp</f>
        <v>0</v>
      </c>
      <c r="I254" s="390">
        <f>IF(H254,Wh_hp,'2024'!Maxi_hp)</f>
        <v>37.6474142668485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5.717514313341665E-2</v>
      </c>
      <c r="M254" s="850"/>
      <c r="N254" s="850"/>
      <c r="O254" s="48">
        <f>IF(t&lt;Tnet,'2024'!Resal+('2024'!Salim-'2024'!Resal)*(1-EXP(('2024'!Tnet-t)/('2024'!Tau_j))),Resal+(Salim-Resal)*(1-EXP((Tnet-t)/(Tau_j))))*Salcycl</f>
        <v>3.8437644433611695E-2</v>
      </c>
      <c r="P254" s="169">
        <f>(INDEX(Models!$BJ254:$BT254,,T254)*(1-R254)+INDEX(Models!$BJ254:$BT254,,T254+1)*R254-ERP_i)*Q254*Ramure*Pc/MaxiM</f>
        <v>0</v>
      </c>
      <c r="Q254" s="305">
        <f t="shared" si="80"/>
        <v>0.7</v>
      </c>
      <c r="R254" s="177">
        <f t="shared" si="81"/>
        <v>0.45754480874571479</v>
      </c>
      <c r="S254" s="817">
        <f t="shared" si="82"/>
        <v>-2</v>
      </c>
      <c r="T254" s="176">
        <f t="shared" si="83"/>
        <v>4</v>
      </c>
      <c r="U254" s="251">
        <f t="shared" si="84"/>
        <v>-1.5424551912542852</v>
      </c>
      <c r="V254" s="383">
        <f t="shared" si="85"/>
        <v>33.726771086774136</v>
      </c>
      <c r="W254" s="402">
        <f t="shared" si="86"/>
        <v>31.763560050191639</v>
      </c>
      <c r="X254" s="157">
        <f t="shared" si="87"/>
        <v>45897</v>
      </c>
      <c r="Y254" s="385">
        <f t="shared" si="88"/>
        <v>29.352618183972524</v>
      </c>
      <c r="Z254" s="385">
        <f t="shared" si="89"/>
        <v>31.132630806451186</v>
      </c>
      <c r="AA254" s="386">
        <f t="shared" si="90"/>
        <v>35.036286036701057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0.11141749516945754</v>
      </c>
      <c r="AD254" s="231">
        <f>(INDEX(Models!$BJ254:$BT254,,AH254)*(1-AF254)+INDEX(Models!$BJ254:$BT254,,AH254+1)*AF254-ERP_i)*AE254*Ramure*Pc/MaxiM</f>
        <v>6.6107124180269416E-6</v>
      </c>
      <c r="AE254" s="305">
        <f t="shared" si="92"/>
        <v>0.7</v>
      </c>
      <c r="AF254" s="177">
        <f t="shared" si="93"/>
        <v>8.1408178121770591E-2</v>
      </c>
      <c r="AG254" s="817">
        <f t="shared" si="99"/>
        <v>1</v>
      </c>
      <c r="AH254" s="176">
        <f t="shared" si="94"/>
        <v>7</v>
      </c>
      <c r="AI254" s="225">
        <f t="shared" si="95"/>
        <v>1.0814081781217706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45898</v>
      </c>
      <c r="B255" s="411">
        <f>'2024'!Wh/'2024'!Env_an*'2025'!Env_an</f>
        <v>21.771395665651834</v>
      </c>
      <c r="C255" s="846"/>
      <c r="D255" s="393">
        <f t="shared" si="77"/>
        <v>23.09217068999811</v>
      </c>
      <c r="E255" s="385">
        <f t="shared" si="100"/>
        <v>24.019117864713461</v>
      </c>
      <c r="F255" s="385">
        <f t="shared" si="78"/>
        <v>24.019117864713461</v>
      </c>
      <c r="G255" s="110">
        <f t="shared" si="101"/>
        <v>0.64794807511031594</v>
      </c>
      <c r="H255" s="414" t="b">
        <f>Wh_hp&gt;='2024'!Maxi_hp</f>
        <v>0</v>
      </c>
      <c r="I255" s="390">
        <f>IF(H255,Wh_hp,'2024'!Maxi_hp)</f>
        <v>37.163900184673778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5.7195793417478158E-2</v>
      </c>
      <c r="M255" s="850"/>
      <c r="N255" s="850"/>
      <c r="O255" s="48">
        <f>IF(t&lt;Tnet,'2024'!Resal+('2024'!Salim-'2024'!Resal)*(1-EXP(('2024'!Tnet-t)/('2024'!Tau_j))),Resal+(Salim-Resal)*(1-EXP((Tnet-t)/(Tau_j))))*Salcycl</f>
        <v>3.8592057374310734E-2</v>
      </c>
      <c r="P255" s="169">
        <f>(INDEX(Models!$BJ255:$BT255,,T255)*(1-R255)+INDEX(Models!$BJ255:$BT255,,T255+1)*R255-ERP_i)*Q255*Ramure*Pc/MaxiM</f>
        <v>0</v>
      </c>
      <c r="Q255" s="305">
        <f t="shared" si="80"/>
        <v>0.7</v>
      </c>
      <c r="R255" s="177">
        <f t="shared" si="81"/>
        <v>0.4582728484480092</v>
      </c>
      <c r="S255" s="817">
        <f t="shared" si="82"/>
        <v>-2</v>
      </c>
      <c r="T255" s="176">
        <f t="shared" si="83"/>
        <v>4</v>
      </c>
      <c r="U255" s="251">
        <f t="shared" si="84"/>
        <v>-1.5417271515519908</v>
      </c>
      <c r="V255" s="383">
        <f t="shared" si="85"/>
        <v>33.600525261140966</v>
      </c>
      <c r="W255" s="402">
        <f t="shared" si="86"/>
        <v>21.771395665651834</v>
      </c>
      <c r="X255" s="157">
        <f t="shared" si="87"/>
        <v>45898</v>
      </c>
      <c r="Y255" s="385">
        <f t="shared" si="88"/>
        <v>20.121082778761608</v>
      </c>
      <c r="Z255" s="385">
        <f t="shared" si="89"/>
        <v>21.341740563182828</v>
      </c>
      <c r="AA255" s="386">
        <f t="shared" si="90"/>
        <v>24.01903103072144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0.11146538193460988</v>
      </c>
      <c r="AD255" s="231">
        <f>(INDEX(Models!$BJ255:$BT255,,AH255)*(1-AF255)+INDEX(Models!$BJ255:$BT255,,AH255+1)*AF255-ERP_i)*AE255*Ramure*Pc/MaxiM</f>
        <v>7.2730456885171003E-6</v>
      </c>
      <c r="AE255" s="305">
        <f t="shared" si="92"/>
        <v>0.7</v>
      </c>
      <c r="AF255" s="177">
        <f t="shared" si="93"/>
        <v>8.2136217824065216E-2</v>
      </c>
      <c r="AG255" s="817">
        <f t="shared" si="99"/>
        <v>1</v>
      </c>
      <c r="AH255" s="176">
        <f t="shared" si="94"/>
        <v>7</v>
      </c>
      <c r="AI255" s="225">
        <f t="shared" si="95"/>
        <v>1.0821362178240652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45899</v>
      </c>
      <c r="B256" s="411">
        <f>'2024'!Wh/'2024'!Env_an*'2025'!Env_an</f>
        <v>31.384501220231879</v>
      </c>
      <c r="C256" s="846"/>
      <c r="D256" s="393">
        <f t="shared" si="77"/>
        <v>33.289190287107502</v>
      </c>
      <c r="E256" s="385">
        <f t="shared" si="100"/>
        <v>34.631005216431397</v>
      </c>
      <c r="F256" s="385">
        <f t="shared" si="78"/>
        <v>34.631005216431397</v>
      </c>
      <c r="G256" s="110">
        <f t="shared" si="101"/>
        <v>0.93768945288139072</v>
      </c>
      <c r="H256" s="414" t="b">
        <f>Wh_hp&gt;='2024'!Maxi_hp</f>
        <v>0</v>
      </c>
      <c r="I256" s="390">
        <f>IF(H256,Wh_hp,'2024'!Maxi_hp)</f>
        <v>35.748351799960105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5.7216443249245574E-2</v>
      </c>
      <c r="M256" s="850"/>
      <c r="N256" s="850"/>
      <c r="O256" s="48">
        <f>IF(t&lt;Tnet,'2024'!Resal+('2024'!Salim-'2024'!Resal)*(1-EXP(('2024'!Tnet-t)/('2024'!Tau_j))),Resal+(Salim-Resal)*(1-EXP((Tnet-t)/(Tau_j))))*Salcycl</f>
        <v>3.8746057786599966E-2</v>
      </c>
      <c r="P256" s="169">
        <f>(INDEX(Models!$BJ256:$BT256,,T256)*(1-R256)+INDEX(Models!$BJ256:$BT256,,T256+1)*R256-ERP_i)*Q256*Ramure*Pc/MaxiM</f>
        <v>0</v>
      </c>
      <c r="Q256" s="305">
        <f t="shared" si="80"/>
        <v>0.7</v>
      </c>
      <c r="R256" s="177">
        <f t="shared" si="81"/>
        <v>0.458973646009184</v>
      </c>
      <c r="S256" s="817">
        <f t="shared" si="82"/>
        <v>-2</v>
      </c>
      <c r="T256" s="176">
        <f t="shared" si="83"/>
        <v>4</v>
      </c>
      <c r="U256" s="251">
        <f t="shared" si="84"/>
        <v>-1.541026353990816</v>
      </c>
      <c r="V256" s="383">
        <f t="shared" si="85"/>
        <v>33.470037573518205</v>
      </c>
      <c r="W256" s="402">
        <f t="shared" si="86"/>
        <v>31.384501220231879</v>
      </c>
      <c r="X256" s="157">
        <f t="shared" si="87"/>
        <v>45899</v>
      </c>
      <c r="Y256" s="385">
        <f t="shared" si="88"/>
        <v>29.008489583613315</v>
      </c>
      <c r="Z256" s="385">
        <f t="shared" si="89"/>
        <v>30.768981253331667</v>
      </c>
      <c r="AA256" s="386">
        <f t="shared" si="90"/>
        <v>34.630749499256162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0.11151269613750182</v>
      </c>
      <c r="AD256" s="231">
        <f>(INDEX(Models!$BJ256:$BT256,,AH256)*(1-AF256)+INDEX(Models!$BJ256:$BT256,,AH256+1)*AF256-ERP_i)*AE256*Ramure*Pc/MaxiM</f>
        <v>8.1055708567431148E-6</v>
      </c>
      <c r="AE256" s="305">
        <f t="shared" si="92"/>
        <v>0.7</v>
      </c>
      <c r="AF256" s="177">
        <f t="shared" si="93"/>
        <v>8.2837015385239798E-2</v>
      </c>
      <c r="AG256" s="817">
        <f t="shared" si="99"/>
        <v>1</v>
      </c>
      <c r="AH256" s="176">
        <f t="shared" si="94"/>
        <v>7</v>
      </c>
      <c r="AI256" s="225">
        <f t="shared" si="95"/>
        <v>1.0828370153852398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45900</v>
      </c>
      <c r="B257" s="411">
        <f>'2024'!Wh/'2024'!Env_an*'2025'!Env_an</f>
        <v>14.705927919432501</v>
      </c>
      <c r="C257" s="846"/>
      <c r="D257" s="393">
        <f t="shared" si="77"/>
        <v>15.598755322732622</v>
      </c>
      <c r="E257" s="385">
        <f t="shared" si="100"/>
        <v>16.23010034193069</v>
      </c>
      <c r="F257" s="385">
        <f t="shared" si="78"/>
        <v>16.23010034193069</v>
      </c>
      <c r="G257" s="110">
        <f t="shared" si="101"/>
        <v>0.44116065497130502</v>
      </c>
      <c r="H257" s="414" t="b">
        <f>Wh_hp&gt;='2024'!Maxi_hp</f>
        <v>0</v>
      </c>
      <c r="I257" s="390">
        <f>IF(H257,Wh_hp,'2024'!Maxi_hp)</f>
        <v>35.974532803787852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5.723709262872867E-2</v>
      </c>
      <c r="M257" s="850"/>
      <c r="N257" s="850"/>
      <c r="O257" s="48">
        <f>IF(t&lt;Tnet,'2024'!Resal+('2024'!Salim-'2024'!Resal)*(1-EXP(('2024'!Tnet-t)/('2024'!Tau_j))),Resal+(Salim-Resal)*(1-EXP((Tnet-t)/(Tau_j))))*Salcycl</f>
        <v>3.8899637457384041E-2</v>
      </c>
      <c r="P257" s="169">
        <f>(INDEX(Models!$BJ257:$BT257,,T257)*(1-R257)+INDEX(Models!$BJ257:$BT257,,T257+1)*R257-ERP_i)*Q257*Ramure*Pc/MaxiM</f>
        <v>0</v>
      </c>
      <c r="Q257" s="305">
        <f t="shared" si="80"/>
        <v>0.7</v>
      </c>
      <c r="R257" s="177">
        <f t="shared" si="81"/>
        <v>0.45964814319888414</v>
      </c>
      <c r="S257" s="817">
        <f t="shared" si="82"/>
        <v>-2</v>
      </c>
      <c r="T257" s="176">
        <f t="shared" si="83"/>
        <v>4</v>
      </c>
      <c r="U257" s="251">
        <f t="shared" si="84"/>
        <v>-1.5403518568011159</v>
      </c>
      <c r="V257" s="383">
        <f t="shared" si="85"/>
        <v>33.33463162164594</v>
      </c>
      <c r="W257" s="402">
        <f t="shared" si="86"/>
        <v>14.705927919432501</v>
      </c>
      <c r="X257" s="157">
        <f t="shared" si="87"/>
        <v>45900</v>
      </c>
      <c r="Y257" s="385">
        <f t="shared" si="88"/>
        <v>13.594125707860076</v>
      </c>
      <c r="Z257" s="385">
        <f t="shared" si="89"/>
        <v>14.419453291565009</v>
      </c>
      <c r="AA257" s="386">
        <f t="shared" si="90"/>
        <v>16.230070520179819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0.11155941844883299</v>
      </c>
      <c r="AD257" s="231">
        <f>(INDEX(Models!$BJ257:$BT257,,AH257)*(1-AF257)+INDEX(Models!$BJ257:$BT257,,AH257+1)*AF257-ERP_i)*AE257*Ramure*Pc/MaxiM</f>
        <v>9.1116348752899874E-6</v>
      </c>
      <c r="AE257" s="305">
        <f t="shared" si="92"/>
        <v>0.7</v>
      </c>
      <c r="AF257" s="177">
        <f t="shared" si="93"/>
        <v>8.3511512574940161E-2</v>
      </c>
      <c r="AG257" s="817">
        <f t="shared" si="99"/>
        <v>1</v>
      </c>
      <c r="AH257" s="176">
        <f t="shared" si="94"/>
        <v>7</v>
      </c>
      <c r="AI257" s="225">
        <f t="shared" si="95"/>
        <v>1.0835115125749402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45901</v>
      </c>
      <c r="B258" s="411">
        <f>'2024'!Wh/'2024'!Env_an*'2025'!Env_an</f>
        <v>27.734315852108583</v>
      </c>
      <c r="C258" s="846"/>
      <c r="D258" s="393">
        <f t="shared" si="77"/>
        <v>29.418768071224836</v>
      </c>
      <c r="E258" s="385">
        <f t="shared" si="100"/>
        <v>30.614343533914806</v>
      </c>
      <c r="F258" s="385">
        <f t="shared" si="78"/>
        <v>30.614343533914806</v>
      </c>
      <c r="G258" s="110">
        <f t="shared" si="101"/>
        <v>0.83553123314336442</v>
      </c>
      <c r="H258" s="414" t="b">
        <f>Wh_hp&gt;='2024'!Maxi_hp</f>
        <v>0</v>
      </c>
      <c r="I258" s="390">
        <f>IF(H258,Wh_hp,'2024'!Maxi_hp)</f>
        <v>36.800779305473014</v>
      </c>
      <c r="J258" s="85">
        <f>IF(H258,An,'2024'!An_max)</f>
        <v>2018</v>
      </c>
      <c r="K258" s="197">
        <f t="shared" si="79"/>
        <v>45901</v>
      </c>
      <c r="L258" s="147">
        <f>IF(t&lt;Tvie,1-EXP((T0-t)*PertePVj)+'2024'!Pspv,1-EXP((T0-t)*PertePVj)+Pspv)</f>
        <v>5.7257741555937325E-2</v>
      </c>
      <c r="M258" s="850"/>
      <c r="N258" s="850"/>
      <c r="O258" s="48">
        <f>IF(t&lt;Tnet,'2024'!Resal+('2024'!Salim-'2024'!Resal)*(1-EXP(('2024'!Tnet-t)/('2024'!Tau_j))),Resal+(Salim-Resal)*(1-EXP((Tnet-t)/(Tau_j))))*Salcycl</f>
        <v>3.9052787833438303E-2</v>
      </c>
      <c r="P258" s="169">
        <f>(INDEX(Models!$BJ258:$BT258,,T258)*(1-R258)+INDEX(Models!$BJ258:$BT258,,T258+1)*R258-ERP_i)*Q258*Ramure*Pc/MaxiM</f>
        <v>0</v>
      </c>
      <c r="Q258" s="305">
        <f t="shared" si="80"/>
        <v>0.7</v>
      </c>
      <c r="R258" s="177">
        <f t="shared" si="81"/>
        <v>0.46029725518150566</v>
      </c>
      <c r="S258" s="817">
        <f t="shared" si="82"/>
        <v>-2</v>
      </c>
      <c r="T258" s="176">
        <f t="shared" si="83"/>
        <v>4</v>
      </c>
      <c r="U258" s="251">
        <f t="shared" si="84"/>
        <v>-1.5397027448184943</v>
      </c>
      <c r="V258" s="383">
        <f t="shared" si="85"/>
        <v>33.193631490912558</v>
      </c>
      <c r="W258" s="402">
        <f t="shared" si="86"/>
        <v>27.734315852108583</v>
      </c>
      <c r="X258" s="157">
        <f t="shared" si="87"/>
        <v>45901</v>
      </c>
      <c r="Y258" s="385">
        <f t="shared" si="88"/>
        <v>25.640137665568204</v>
      </c>
      <c r="Z258" s="385">
        <f t="shared" si="89"/>
        <v>27.197399327240994</v>
      </c>
      <c r="AA258" s="386">
        <f t="shared" si="90"/>
        <v>30.614102416725959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0.11160552881727664</v>
      </c>
      <c r="AD258" s="231">
        <f>(INDEX(Models!$BJ258:$BT258,,AH258)*(1-AF258)+INDEX(Models!$BJ258:$BT258,,AH258+1)*AF258-ERP_i)*AE258*Ramure*Pc/MaxiM</f>
        <v>1.0294765432977296E-5</v>
      </c>
      <c r="AE258" s="305">
        <f t="shared" si="92"/>
        <v>0.7</v>
      </c>
      <c r="AF258" s="177">
        <f t="shared" si="93"/>
        <v>8.4160624557561459E-2</v>
      </c>
      <c r="AG258" s="817">
        <f t="shared" si="99"/>
        <v>1</v>
      </c>
      <c r="AH258" s="176">
        <f t="shared" si="94"/>
        <v>7</v>
      </c>
      <c r="AI258" s="225">
        <f t="shared" si="95"/>
        <v>1.0841606245575615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45902</v>
      </c>
      <c r="B259" s="411">
        <f>'2024'!Wh/'2024'!Env_an*'2025'!Env_an</f>
        <v>27.347300213838185</v>
      </c>
      <c r="C259" s="846"/>
      <c r="D259" s="393">
        <f t="shared" si="77"/>
        <v>29.008882287883505</v>
      </c>
      <c r="E259" s="385">
        <f t="shared" si="100"/>
        <v>30.192598196474552</v>
      </c>
      <c r="F259" s="385">
        <f t="shared" si="78"/>
        <v>30.192598196474552</v>
      </c>
      <c r="G259" s="110">
        <f t="shared" si="101"/>
        <v>0.82754345005580532</v>
      </c>
      <c r="H259" s="414" t="b">
        <f>Wh_hp&gt;='2024'!Maxi_hp</f>
        <v>0</v>
      </c>
      <c r="I259" s="390">
        <f>IF(H259,Wh_hp,'2024'!Maxi_hp)</f>
        <v>34.771079559810111</v>
      </c>
      <c r="J259" s="85">
        <f>IF(H259,An,'2024'!An_max)</f>
        <v>2018</v>
      </c>
      <c r="K259" s="197">
        <f t="shared" si="79"/>
        <v>45902</v>
      </c>
      <c r="L259" s="147">
        <f>IF(t&lt;Tvie,1-EXP((T0-t)*PertePVj)+'2024'!Pspv,1-EXP((T0-t)*PertePVj)+Pspv)</f>
        <v>5.7278390030881421E-2</v>
      </c>
      <c r="M259" s="850"/>
      <c r="N259" s="850"/>
      <c r="O259" s="48">
        <f>IF(t&lt;Tnet,'2024'!Resal+('2024'!Salim-'2024'!Resal)*(1-EXP(('2024'!Tnet-t)/('2024'!Tau_j))),Resal+(Salim-Resal)*(1-EXP((Tnet-t)/(Tau_j))))*Salcycl</f>
        <v>3.9205499999972325E-2</v>
      </c>
      <c r="P259" s="169">
        <f>(INDEX(Models!$BJ259:$BT259,,T259)*(1-R259)+INDEX(Models!$BJ259:$BT259,,T259+1)*R259-ERP_i)*Q259*Ramure*Pc/MaxiM</f>
        <v>0</v>
      </c>
      <c r="Q259" s="305">
        <f t="shared" si="80"/>
        <v>0.7</v>
      </c>
      <c r="R259" s="177">
        <f t="shared" si="81"/>
        <v>0.46092187079571234</v>
      </c>
      <c r="S259" s="817">
        <f t="shared" si="82"/>
        <v>-2</v>
      </c>
      <c r="T259" s="176">
        <f t="shared" si="83"/>
        <v>4</v>
      </c>
      <c r="U259" s="251">
        <f t="shared" si="84"/>
        <v>-1.5390781292042877</v>
      </c>
      <c r="V259" s="383">
        <f t="shared" si="85"/>
        <v>33.046361749336576</v>
      </c>
      <c r="W259" s="402">
        <f t="shared" si="86"/>
        <v>27.347300213838185</v>
      </c>
      <c r="X259" s="157">
        <f t="shared" si="87"/>
        <v>45902</v>
      </c>
      <c r="Y259" s="385">
        <f t="shared" si="88"/>
        <v>25.28504603817008</v>
      </c>
      <c r="Z259" s="385">
        <f t="shared" si="89"/>
        <v>26.821328556368151</v>
      </c>
      <c r="AA259" s="386">
        <f t="shared" si="90"/>
        <v>30.192332912164517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0.11165100641952003</v>
      </c>
      <c r="AD259" s="231">
        <f>(INDEX(Models!$BJ259:$BT259,,AH259)*(1-AF259)+INDEX(Models!$BJ259:$BT259,,AH259+1)*AF259-ERP_i)*AE259*Ramure*Pc/MaxiM</f>
        <v>1.1658720266479652E-5</v>
      </c>
      <c r="AE259" s="305">
        <f t="shared" si="92"/>
        <v>0.7</v>
      </c>
      <c r="AF259" s="177">
        <f t="shared" si="93"/>
        <v>8.4785240171768139E-2</v>
      </c>
      <c r="AG259" s="817">
        <f t="shared" si="99"/>
        <v>1</v>
      </c>
      <c r="AH259" s="176">
        <f t="shared" si="94"/>
        <v>7</v>
      </c>
      <c r="AI259" s="225">
        <f t="shared" si="95"/>
        <v>1.0847852401717681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45903</v>
      </c>
      <c r="B260" s="411">
        <f>'2024'!Wh/'2024'!Env_an*'2025'!Env_an</f>
        <v>26.565862290616057</v>
      </c>
      <c r="C260" s="846"/>
      <c r="D260" s="393">
        <f t="shared" si="77"/>
        <v>28.180582563281309</v>
      </c>
      <c r="E260" s="385">
        <f t="shared" si="100"/>
        <v>29.335148431446054</v>
      </c>
      <c r="F260" s="385">
        <f t="shared" si="78"/>
        <v>29.335148431446054</v>
      </c>
      <c r="G260" s="110">
        <f t="shared" si="101"/>
        <v>0.80766579107169045</v>
      </c>
      <c r="H260" s="414" t="b">
        <f>Wh_hp&gt;='2024'!Maxi_hp</f>
        <v>0</v>
      </c>
      <c r="I260" s="390">
        <f>IF(H260,Wh_hp,'2024'!Maxi_hp)</f>
        <v>37.558631129408738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5.729903805357095E-2</v>
      </c>
      <c r="M260" s="850"/>
      <c r="N260" s="850"/>
      <c r="O260" s="48">
        <f>IF(t&lt;Tnet,'2024'!Resal+('2024'!Salim-'2024'!Resal)*(1-EXP(('2024'!Tnet-t)/('2024'!Tau_j))),Resal+(Salim-Resal)*(1-EXP((Tnet-t)/(Tau_j))))*Salcycl</f>
        <v>3.9357764657740685E-2</v>
      </c>
      <c r="P260" s="169">
        <f>(INDEX(Models!$BJ260:$BT260,,T260)*(1-R260)+INDEX(Models!$BJ260:$BT260,,T260+1)*R260-ERP_i)*Q260*Ramure*Pc/MaxiM</f>
        <v>0</v>
      </c>
      <c r="Q260" s="305">
        <f t="shared" si="80"/>
        <v>0.7</v>
      </c>
      <c r="R260" s="177">
        <f t="shared" si="81"/>
        <v>0.46152285287433781</v>
      </c>
      <c r="S260" s="817">
        <f t="shared" si="82"/>
        <v>-2</v>
      </c>
      <c r="T260" s="176">
        <f t="shared" si="83"/>
        <v>4</v>
      </c>
      <c r="U260" s="251">
        <f t="shared" si="84"/>
        <v>-1.5384771471256622</v>
      </c>
      <c r="V260" s="383">
        <f t="shared" si="85"/>
        <v>32.892147450452065</v>
      </c>
      <c r="W260" s="402">
        <f t="shared" si="86"/>
        <v>26.565862290616057</v>
      </c>
      <c r="X260" s="157">
        <f t="shared" si="87"/>
        <v>45903</v>
      </c>
      <c r="Y260" s="385">
        <f t="shared" si="88"/>
        <v>24.565170417828423</v>
      </c>
      <c r="Z260" s="385">
        <f t="shared" si="89"/>
        <v>26.058285086617307</v>
      </c>
      <c r="AA260" s="386">
        <f t="shared" si="90"/>
        <v>29.334867441962857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0.11169582960714093</v>
      </c>
      <c r="AD260" s="231">
        <f>(INDEX(Models!$BJ260:$BT260,,AH260)*(1-AF260)+INDEX(Models!$BJ260:$BT260,,AH260+1)*AF260-ERP_i)*AE260*Ramure*Pc/MaxiM</f>
        <v>1.3207539431804806E-5</v>
      </c>
      <c r="AE260" s="305">
        <f t="shared" si="92"/>
        <v>0.7</v>
      </c>
      <c r="AF260" s="177">
        <f t="shared" si="93"/>
        <v>8.5386222250393606E-2</v>
      </c>
      <c r="AG260" s="817">
        <f t="shared" si="99"/>
        <v>1</v>
      </c>
      <c r="AH260" s="176">
        <f t="shared" si="94"/>
        <v>7</v>
      </c>
      <c r="AI260" s="225">
        <f t="shared" si="95"/>
        <v>1.0853862222503936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45904</v>
      </c>
      <c r="B261" s="411">
        <f>'2024'!Wh/'2024'!Env_an*'2025'!Env_an</f>
        <v>29.433097198857325</v>
      </c>
      <c r="C261" s="846"/>
      <c r="D261" s="393">
        <f t="shared" si="77"/>
        <v>31.222776958422894</v>
      </c>
      <c r="E261" s="385">
        <f t="shared" si="100"/>
        <v>32.50711933346777</v>
      </c>
      <c r="F261" s="385">
        <f t="shared" si="78"/>
        <v>32.50711933346777</v>
      </c>
      <c r="G261" s="110">
        <f t="shared" si="101"/>
        <v>0.89924908523218827</v>
      </c>
      <c r="H261" s="414" t="b">
        <f>Wh_hp&gt;='2024'!Maxi_hp</f>
        <v>0</v>
      </c>
      <c r="I261" s="390">
        <f>IF(H261,Wh_hp,'2024'!Maxi_hp)</f>
        <v>36.263260924320456</v>
      </c>
      <c r="J261" s="85">
        <f>IF(H261,An,'2024'!An_max)</f>
        <v>2019</v>
      </c>
      <c r="K261" s="197">
        <f t="shared" si="79"/>
        <v>45904</v>
      </c>
      <c r="L261" s="147">
        <f>IF(t&lt;Tvie,1-EXP((T0-t)*PertePVj)+'2024'!Pspv,1-EXP((T0-t)*PertePVj)+Pspv)</f>
        <v>5.7319685624015904E-2</v>
      </c>
      <c r="M261" s="850"/>
      <c r="N261" s="850"/>
      <c r="O261" s="48">
        <f>IF(t&lt;Tnet,'2024'!Resal+('2024'!Salim-'2024'!Resal)*(1-EXP(('2024'!Tnet-t)/('2024'!Tau_j))),Resal+(Salim-Resal)*(1-EXP((Tnet-t)/(Tau_j))))*Salcycl</f>
        <v>3.9509572099259413E-2</v>
      </c>
      <c r="P261" s="169">
        <f>(INDEX(Models!$BJ261:$BT261,,T261)*(1-R261)+INDEX(Models!$BJ261:$BT261,,T261+1)*R261-ERP_i)*Q261*Ramure*Pc/MaxiM</f>
        <v>0</v>
      </c>
      <c r="Q261" s="305">
        <f t="shared" si="80"/>
        <v>0.7</v>
      </c>
      <c r="R261" s="177">
        <f t="shared" si="81"/>
        <v>0.46210103860010188</v>
      </c>
      <c r="S261" s="817">
        <f t="shared" si="82"/>
        <v>-2</v>
      </c>
      <c r="T261" s="176">
        <f t="shared" si="83"/>
        <v>4</v>
      </c>
      <c r="U261" s="251">
        <f t="shared" si="84"/>
        <v>-1.5378989613998981</v>
      </c>
      <c r="V261" s="383">
        <f t="shared" si="85"/>
        <v>32.730750225069876</v>
      </c>
      <c r="W261" s="402">
        <f t="shared" si="86"/>
        <v>29.433097198857325</v>
      </c>
      <c r="X261" s="157">
        <f t="shared" si="87"/>
        <v>45904</v>
      </c>
      <c r="Y261" s="385">
        <f t="shared" si="88"/>
        <v>27.219333344256931</v>
      </c>
      <c r="Z261" s="385">
        <f t="shared" si="89"/>
        <v>28.874405171253649</v>
      </c>
      <c r="AA261" s="386">
        <f t="shared" si="90"/>
        <v>32.506703427240595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0.1117399758519679</v>
      </c>
      <c r="AD261" s="231">
        <f>(INDEX(Models!$BJ261:$BT261,,AH261)*(1-AF261)+INDEX(Models!$BJ261:$BT261,,AH261+1)*AF261-ERP_i)*AE261*Ramure*Pc/MaxiM</f>
        <v>1.4945401878897622E-5</v>
      </c>
      <c r="AE261" s="305">
        <f t="shared" si="92"/>
        <v>0.7</v>
      </c>
      <c r="AF261" s="177">
        <f t="shared" si="93"/>
        <v>8.5964407976157897E-2</v>
      </c>
      <c r="AG261" s="817">
        <f t="shared" si="99"/>
        <v>1</v>
      </c>
      <c r="AH261" s="176">
        <f t="shared" si="94"/>
        <v>7</v>
      </c>
      <c r="AI261" s="225">
        <f t="shared" si="95"/>
        <v>1.0859644079761579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45905</v>
      </c>
      <c r="B262" s="411">
        <f>'2024'!Wh/'2024'!Env_an*'2025'!Env_an</f>
        <v>26.088940104162479</v>
      </c>
      <c r="C262" s="846"/>
      <c r="D262" s="393">
        <f t="shared" si="77"/>
        <v>27.675884532172685</v>
      </c>
      <c r="E262" s="385">
        <f t="shared" si="100"/>
        <v>28.818867089055072</v>
      </c>
      <c r="F262" s="385">
        <f t="shared" si="78"/>
        <v>28.818867089055072</v>
      </c>
      <c r="G262" s="110">
        <f t="shared" si="101"/>
        <v>0.80118917405635737</v>
      </c>
      <c r="H262" s="414" t="b">
        <f>Wh_hp&gt;='2024'!Maxi_hp</f>
        <v>0</v>
      </c>
      <c r="I262" s="390">
        <f>IF(H262,Wh_hp,'2024'!Maxi_hp)</f>
        <v>35.661957440699879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5.7340332742225941E-2</v>
      </c>
      <c r="M262" s="850"/>
      <c r="N262" s="850"/>
      <c r="O262" s="48">
        <f>IF(t&lt;Tnet,'2024'!Resal+('2024'!Salim-'2024'!Resal)*(1-EXP(('2024'!Tnet-t)/('2024'!Tau_j))),Resal+(Salim-Resal)*(1-EXP((Tnet-t)/(Tau_j))))*Salcycl</f>
        <v>3.9660912184728933E-2</v>
      </c>
      <c r="P262" s="169">
        <f>(INDEX(Models!$BJ262:$BT262,,T262)*(1-R262)+INDEX(Models!$BJ262:$BT262,,T262+1)*R262-ERP_i)*Q262*Ramure*Pc/MaxiM</f>
        <v>0</v>
      </c>
      <c r="Q262" s="305">
        <f t="shared" si="80"/>
        <v>0.7</v>
      </c>
      <c r="R262" s="177">
        <f t="shared" si="81"/>
        <v>0.46265723989287388</v>
      </c>
      <c r="S262" s="817">
        <f t="shared" si="82"/>
        <v>-2</v>
      </c>
      <c r="T262" s="176">
        <f t="shared" si="83"/>
        <v>4</v>
      </c>
      <c r="U262" s="251">
        <f t="shared" si="84"/>
        <v>-1.5373427601071261</v>
      </c>
      <c r="V262" s="383">
        <f t="shared" si="85"/>
        <v>32.562771626176925</v>
      </c>
      <c r="W262" s="402">
        <f t="shared" si="86"/>
        <v>26.088940104162479</v>
      </c>
      <c r="X262" s="157">
        <f t="shared" si="87"/>
        <v>45905</v>
      </c>
      <c r="Y262" s="385">
        <f t="shared" si="88"/>
        <v>24.129311303027499</v>
      </c>
      <c r="Z262" s="385">
        <f t="shared" si="89"/>
        <v>25.597054951147328</v>
      </c>
      <c r="AA262" s="386">
        <f t="shared" si="90"/>
        <v>28.818483662957508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0.11178342169164565</v>
      </c>
      <c r="AD262" s="231">
        <f>(INDEX(Models!$BJ262:$BT262,,AH262)*(1-AF262)+INDEX(Models!$BJ262:$BT262,,AH262+1)*AF262-ERP_i)*AE262*Ramure*Pc/MaxiM</f>
        <v>1.8582370885952659E-5</v>
      </c>
      <c r="AE262" s="305">
        <f t="shared" si="92"/>
        <v>0.7</v>
      </c>
      <c r="AF262" s="177">
        <f t="shared" si="93"/>
        <v>8.6520609268929682E-2</v>
      </c>
      <c r="AG262" s="817">
        <f t="shared" si="99"/>
        <v>1</v>
      </c>
      <c r="AH262" s="176">
        <f t="shared" si="94"/>
        <v>7</v>
      </c>
      <c r="AI262" s="225">
        <f t="shared" si="95"/>
        <v>1.0865206092689297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45906</v>
      </c>
      <c r="B263" s="411">
        <f>'2024'!Wh/'2024'!Env_an*'2025'!Env_an</f>
        <v>29.83293046795006</v>
      </c>
      <c r="C263" s="846"/>
      <c r="D263" s="393">
        <f t="shared" si="77"/>
        <v>31.648308436479688</v>
      </c>
      <c r="E263" s="385">
        <f t="shared" si="100"/>
        <v>32.960525436573128</v>
      </c>
      <c r="F263" s="385">
        <f t="shared" si="78"/>
        <v>32.960525436573128</v>
      </c>
      <c r="G263" s="110">
        <f t="shared" si="101"/>
        <v>0.92108795590526926</v>
      </c>
      <c r="H263" s="414" t="b">
        <f>Wh_hp&gt;='2024'!Maxi_hp</f>
        <v>0</v>
      </c>
      <c r="I263" s="390">
        <f>IF(H263,Wh_hp,'2024'!Maxi_hp)</f>
        <v>37.214641888290501</v>
      </c>
      <c r="J263" s="85">
        <f>IF(H263,An,'2024'!An_max)</f>
        <v>2019</v>
      </c>
      <c r="K263" s="197">
        <f t="shared" si="79"/>
        <v>45906</v>
      </c>
      <c r="L263" s="147">
        <f>IF(t&lt;Tvie,1-EXP((T0-t)*PertePVj)+'2024'!Pspv,1-EXP((T0-t)*PertePVj)+Pspv)</f>
        <v>5.7360979408211166E-2</v>
      </c>
      <c r="M263" s="850"/>
      <c r="N263" s="850"/>
      <c r="O263" s="48">
        <f>IF(t&lt;Tnet,'2024'!Resal+('2024'!Salim-'2024'!Resal)*(1-EXP(('2024'!Tnet-t)/('2024'!Tau_j))),Resal+(Salim-Resal)*(1-EXP((Tnet-t)/(Tau_j))))*Salcycl</f>
        <v>3.9811774318300172E-2</v>
      </c>
      <c r="P263" s="169">
        <f>(INDEX(Models!$BJ263:$BT263,,T263)*(1-R263)+INDEX(Models!$BJ263:$BT263,,T263+1)*R263-ERP_i)*Q263*Ramure*Pc/MaxiM</f>
        <v>0</v>
      </c>
      <c r="Q263" s="305">
        <f t="shared" si="80"/>
        <v>0.7</v>
      </c>
      <c r="R263" s="177">
        <f t="shared" si="81"/>
        <v>0.46319224382450552</v>
      </c>
      <c r="S263" s="817">
        <f t="shared" si="82"/>
        <v>-2</v>
      </c>
      <c r="T263" s="176">
        <f t="shared" si="83"/>
        <v>4</v>
      </c>
      <c r="U263" s="251">
        <f t="shared" si="84"/>
        <v>-1.5368077561754945</v>
      </c>
      <c r="V263" s="383">
        <f t="shared" si="85"/>
        <v>32.388796614574638</v>
      </c>
      <c r="W263" s="402">
        <f t="shared" si="86"/>
        <v>29.83293046795006</v>
      </c>
      <c r="X263" s="157">
        <f t="shared" si="87"/>
        <v>45906</v>
      </c>
      <c r="Y263" s="385">
        <f t="shared" si="88"/>
        <v>27.594861073326772</v>
      </c>
      <c r="Z263" s="385">
        <f t="shared" si="89"/>
        <v>29.2740492070896</v>
      </c>
      <c r="AA263" s="386">
        <f t="shared" si="90"/>
        <v>32.959818582511517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0.11182614267718054</v>
      </c>
      <c r="AD263" s="231">
        <f>(INDEX(Models!$BJ263:$BT263,,AH263)*(1-AF263)+INDEX(Models!$BJ263:$BT263,,AH263+1)*AF263-ERP_i)*AE263*Ramure*Pc/MaxiM</f>
        <v>2.4170217804369952E-5</v>
      </c>
      <c r="AE263" s="305">
        <f t="shared" si="92"/>
        <v>0.7</v>
      </c>
      <c r="AF263" s="177">
        <f t="shared" si="93"/>
        <v>8.7055613200561321E-2</v>
      </c>
      <c r="AG263" s="817">
        <f t="shared" si="99"/>
        <v>1</v>
      </c>
      <c r="AH263" s="176">
        <f t="shared" si="94"/>
        <v>7</v>
      </c>
      <c r="AI263" s="225">
        <f t="shared" si="95"/>
        <v>1.0870556132005613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45907</v>
      </c>
      <c r="B264" s="411">
        <f>'2024'!Wh/'2024'!Env_an*'2025'!Env_an</f>
        <v>22.659519087609695</v>
      </c>
      <c r="C264" s="846"/>
      <c r="D264" s="393">
        <f t="shared" si="77"/>
        <v>24.038910871604269</v>
      </c>
      <c r="E264" s="385">
        <f t="shared" si="100"/>
        <v>25.039544854545234</v>
      </c>
      <c r="F264" s="385">
        <f t="shared" si="78"/>
        <v>25.039544854545234</v>
      </c>
      <c r="G264" s="110">
        <f t="shared" si="101"/>
        <v>0.70350618906948148</v>
      </c>
      <c r="H264" s="414" t="b">
        <f>Wh_hp&gt;='2024'!Maxi_hp</f>
        <v>0</v>
      </c>
      <c r="I264" s="390">
        <f>IF(H264,Wh_hp,'2024'!Maxi_hp)</f>
        <v>35.695847850032024</v>
      </c>
      <c r="J264" s="85">
        <f>IF(H264,An,'2024'!An_max)</f>
        <v>2019</v>
      </c>
      <c r="K264" s="197">
        <f t="shared" si="79"/>
        <v>45907</v>
      </c>
      <c r="L264" s="147">
        <f>IF(t&lt;Tvie,1-EXP((T0-t)*PertePVj)+'2024'!Pspv,1-EXP((T0-t)*PertePVj)+Pspv)</f>
        <v>5.7381625621981347E-2</v>
      </c>
      <c r="M264" s="850"/>
      <c r="N264" s="850"/>
      <c r="O264" s="48">
        <f>IF(t&lt;Tnet,'2024'!Resal+('2024'!Salim-'2024'!Resal)*(1-EXP(('2024'!Tnet-t)/('2024'!Tau_j))),Resal+(Salim-Resal)*(1-EXP((Tnet-t)/(Tau_j))))*Salcycl</f>
        <v>3.9962147425348551E-2</v>
      </c>
      <c r="P264" s="169">
        <f>(INDEX(Models!$BJ264:$BT264,,T264)*(1-R264)+INDEX(Models!$BJ264:$BT264,,T264+1)*R264-ERP_i)*Q264*Ramure*Pc/MaxiM</f>
        <v>0</v>
      </c>
      <c r="Q264" s="305">
        <f t="shared" si="80"/>
        <v>0.7</v>
      </c>
      <c r="R264" s="177">
        <f t="shared" si="81"/>
        <v>0.46370681305754324</v>
      </c>
      <c r="S264" s="817">
        <f t="shared" si="82"/>
        <v>-2</v>
      </c>
      <c r="T264" s="176">
        <f t="shared" si="83"/>
        <v>4</v>
      </c>
      <c r="U264" s="251">
        <f t="shared" si="84"/>
        <v>-1.5362931869424568</v>
      </c>
      <c r="V264" s="383">
        <f t="shared" si="85"/>
        <v>32.209409724712089</v>
      </c>
      <c r="W264" s="402">
        <f t="shared" si="86"/>
        <v>22.659519087609695</v>
      </c>
      <c r="X264" s="157">
        <f t="shared" si="87"/>
        <v>45907</v>
      </c>
      <c r="Y264" s="385">
        <f t="shared" si="88"/>
        <v>20.961957782586516</v>
      </c>
      <c r="Z264" s="385">
        <f t="shared" si="89"/>
        <v>22.238011004631801</v>
      </c>
      <c r="AA264" s="386">
        <f t="shared" si="90"/>
        <v>25.039086354469838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0.11186811332427095</v>
      </c>
      <c r="AD264" s="231">
        <f>(INDEX(Models!$BJ264:$BT264,,AH264)*(1-AF264)+INDEX(Models!$BJ264:$BT264,,AH264+1)*AF264-ERP_i)*AE264*Ramure*Pc/MaxiM</f>
        <v>3.1765874854249338E-5</v>
      </c>
      <c r="AE264" s="305">
        <f t="shared" si="92"/>
        <v>0.7</v>
      </c>
      <c r="AF264" s="177">
        <f t="shared" si="93"/>
        <v>8.7570182433599042E-2</v>
      </c>
      <c r="AG264" s="817">
        <f t="shared" si="99"/>
        <v>1</v>
      </c>
      <c r="AH264" s="176">
        <f t="shared" si="94"/>
        <v>7</v>
      </c>
      <c r="AI264" s="225">
        <f t="shared" si="95"/>
        <v>1.087570182433599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45908</v>
      </c>
      <c r="B265" s="411">
        <f>'2024'!Wh/'2024'!Env_an*'2025'!Env_an</f>
        <v>25.066178423252914</v>
      </c>
      <c r="C265" s="846"/>
      <c r="D265" s="393">
        <f t="shared" si="77"/>
        <v>26.592657357709843</v>
      </c>
      <c r="E265" s="385">
        <f t="shared" si="100"/>
        <v>27.703917446502967</v>
      </c>
      <c r="F265" s="385">
        <f t="shared" si="78"/>
        <v>27.703917446502967</v>
      </c>
      <c r="G265" s="110">
        <f t="shared" si="101"/>
        <v>0.78270181862256105</v>
      </c>
      <c r="H265" s="414" t="b">
        <f>Wh_hp&gt;='2024'!Maxi_hp</f>
        <v>0</v>
      </c>
      <c r="I265" s="390">
        <f>IF(H265,Wh_hp,'2024'!Maxi_hp)</f>
        <v>32.004308101052679</v>
      </c>
      <c r="J265" s="85">
        <f>IF(H265,An,'2024'!An_max)</f>
        <v>2018</v>
      </c>
      <c r="K265" s="197">
        <f t="shared" si="79"/>
        <v>45908</v>
      </c>
      <c r="L265" s="147">
        <f>IF(t&lt;Tvie,1-EXP((T0-t)*PertePVj)+'2024'!Pspv,1-EXP((T0-t)*PertePVj)+Pspv)</f>
        <v>5.7402271383546588E-2</v>
      </c>
      <c r="M265" s="850"/>
      <c r="N265" s="850"/>
      <c r="O265" s="48">
        <f>IF(t&lt;Tnet,'2024'!Resal+('2024'!Salim-'2024'!Resal)*(1-EXP(('2024'!Tnet-t)/('2024'!Tau_j))),Resal+(Salim-Resal)*(1-EXP((Tnet-t)/(Tau_j))))*Salcycl</f>
        <v>4.011201993144102E-2</v>
      </c>
      <c r="P265" s="169">
        <f>(INDEX(Models!$BJ265:$BT265,,T265)*(1-R265)+INDEX(Models!$BJ265:$BT265,,T265+1)*R265-ERP_i)*Q265*Ramure*Pc/MaxiM</f>
        <v>0</v>
      </c>
      <c r="Q265" s="305">
        <f t="shared" si="80"/>
        <v>0.7</v>
      </c>
      <c r="R265" s="177">
        <f t="shared" si="81"/>
        <v>0.46420168630438896</v>
      </c>
      <c r="S265" s="817">
        <f t="shared" si="82"/>
        <v>-2</v>
      </c>
      <c r="T265" s="176">
        <f t="shared" si="83"/>
        <v>4</v>
      </c>
      <c r="U265" s="251">
        <f t="shared" si="84"/>
        <v>-1.535798313695611</v>
      </c>
      <c r="V265" s="383">
        <f t="shared" si="85"/>
        <v>32.025195070283175</v>
      </c>
      <c r="W265" s="402">
        <f t="shared" si="86"/>
        <v>25.066178423252914</v>
      </c>
      <c r="X265" s="157">
        <f t="shared" si="87"/>
        <v>45908</v>
      </c>
      <c r="Y265" s="385">
        <f t="shared" si="88"/>
        <v>23.190626719292069</v>
      </c>
      <c r="Z265" s="385">
        <f t="shared" si="89"/>
        <v>24.602888395807309</v>
      </c>
      <c r="AA265" s="386">
        <f t="shared" si="90"/>
        <v>27.70312603394559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0.11190930707023664</v>
      </c>
      <c r="AD265" s="231">
        <f>(INDEX(Models!$BJ265:$BT265,,AH265)*(1-AF265)+INDEX(Models!$BJ265:$BT265,,AH265+1)*AF265-ERP_i)*AE265*Ramure*Pc/MaxiM</f>
        <v>4.1426749428287697E-5</v>
      </c>
      <c r="AE265" s="305">
        <f t="shared" si="92"/>
        <v>0.7</v>
      </c>
      <c r="AF265" s="177">
        <f t="shared" si="93"/>
        <v>8.8065055680444981E-2</v>
      </c>
      <c r="AG265" s="817">
        <f t="shared" si="99"/>
        <v>1</v>
      </c>
      <c r="AH265" s="176">
        <f t="shared" si="94"/>
        <v>7</v>
      </c>
      <c r="AI265" s="225">
        <f t="shared" si="95"/>
        <v>1.088065055680445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45909</v>
      </c>
      <c r="B266" s="411">
        <f>'2024'!Wh/'2024'!Env_an*'2025'!Env_an</f>
        <v>13.976542811411813</v>
      </c>
      <c r="C266" s="846"/>
      <c r="D266" s="393">
        <f t="shared" si="77"/>
        <v>14.828010418388642</v>
      </c>
      <c r="E266" s="385">
        <f t="shared" si="100"/>
        <v>15.45005077989742</v>
      </c>
      <c r="F266" s="385">
        <f t="shared" si="78"/>
        <v>15.45005077989742</v>
      </c>
      <c r="G266" s="110">
        <f t="shared" si="101"/>
        <v>0.43900677073193295</v>
      </c>
      <c r="H266" s="414" t="b">
        <f>Wh_hp&gt;='2024'!Maxi_hp</f>
        <v>0</v>
      </c>
      <c r="I266" s="390">
        <f>IF(H266,Wh_hp,'2024'!Maxi_hp)</f>
        <v>33.483412316512208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5.7422916692916548E-2</v>
      </c>
      <c r="M266" s="850"/>
      <c r="N266" s="850"/>
      <c r="O266" s="48">
        <f>IF(t&lt;Tnet,'2024'!Resal+('2024'!Salim-'2024'!Resal)*(1-EXP(('2024'!Tnet-t)/('2024'!Tau_j))),Resal+(Salim-Resal)*(1-EXP((Tnet-t)/(Tau_j))))*Salcycl</f>
        <v>4.026137974369226E-2</v>
      </c>
      <c r="P266" s="169">
        <f>(INDEX(Models!$BJ266:$BT266,,T266)*(1-R266)+INDEX(Models!$BJ266:$BT266,,T266+1)*R266-ERP_i)*Q266*Ramure*Pc/MaxiM</f>
        <v>0</v>
      </c>
      <c r="Q266" s="305">
        <f t="shared" si="80"/>
        <v>0.7</v>
      </c>
      <c r="R266" s="177">
        <f t="shared" si="81"/>
        <v>0.46467757880374405</v>
      </c>
      <c r="S266" s="817">
        <f t="shared" si="82"/>
        <v>-2</v>
      </c>
      <c r="T266" s="176">
        <f t="shared" si="83"/>
        <v>4</v>
      </c>
      <c r="U266" s="251">
        <f t="shared" si="84"/>
        <v>-1.5353224211962559</v>
      </c>
      <c r="V266" s="383">
        <f t="shared" si="85"/>
        <v>31.836736340328997</v>
      </c>
      <c r="W266" s="402">
        <f t="shared" si="86"/>
        <v>13.976542811411813</v>
      </c>
      <c r="X266" s="157">
        <f t="shared" si="87"/>
        <v>45909</v>
      </c>
      <c r="Y266" s="385">
        <f t="shared" si="88"/>
        <v>12.932418968858446</v>
      </c>
      <c r="Z266" s="385">
        <f t="shared" si="89"/>
        <v>13.720277309824194</v>
      </c>
      <c r="AA266" s="386">
        <f t="shared" si="90"/>
        <v>15.449887525185281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0.11194969623834498</v>
      </c>
      <c r="AD266" s="231">
        <f>(INDEX(Models!$BJ266:$BT266,,AH266)*(1-AF266)+INDEX(Models!$BJ266:$BT266,,AH266+1)*AF266-ERP_i)*AE266*Ramure*Pc/MaxiM</f>
        <v>5.3210568628195786E-5</v>
      </c>
      <c r="AE266" s="305">
        <f t="shared" si="92"/>
        <v>0.7</v>
      </c>
      <c r="AF266" s="177">
        <f t="shared" si="93"/>
        <v>8.8540948179800072E-2</v>
      </c>
      <c r="AG266" s="817">
        <f t="shared" si="99"/>
        <v>1</v>
      </c>
      <c r="AH266" s="176">
        <f t="shared" si="94"/>
        <v>7</v>
      </c>
      <c r="AI266" s="225">
        <f t="shared" si="95"/>
        <v>1.0885409481798001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45910</v>
      </c>
      <c r="B267" s="411">
        <f>'2024'!Wh/'2024'!Env_an*'2025'!Env_an</f>
        <v>29.957594781804637</v>
      </c>
      <c r="C267" s="846"/>
      <c r="D267" s="393">
        <f t="shared" si="77"/>
        <v>31.783343213985191</v>
      </c>
      <c r="E267" s="385">
        <f t="shared" si="100"/>
        <v>33.121802342501994</v>
      </c>
      <c r="F267" s="385">
        <f t="shared" si="78"/>
        <v>33.121802342501994</v>
      </c>
      <c r="G267" s="110">
        <f t="shared" si="101"/>
        <v>0.94668849885609985</v>
      </c>
      <c r="H267" s="414" t="b">
        <f>Wh_hp&gt;='2024'!Maxi_hp</f>
        <v>1</v>
      </c>
      <c r="I267" s="390">
        <f>IF(H267,Wh_hp,'2024'!Maxi_hp)</f>
        <v>33.121802342501994</v>
      </c>
      <c r="J267" s="85">
        <f>IF(H267,An,'2024'!An_max)</f>
        <v>2025</v>
      </c>
      <c r="K267" s="197">
        <f t="shared" si="79"/>
        <v>45910</v>
      </c>
      <c r="L267" s="147">
        <f>IF(t&lt;Tvie,1-EXP((T0-t)*PertePVj)+'2024'!Pspv,1-EXP((T0-t)*PertePVj)+Pspv)</f>
        <v>5.744356155010133E-2</v>
      </c>
      <c r="M267" s="850"/>
      <c r="N267" s="850"/>
      <c r="O267" s="48">
        <f>IF(t&lt;Tnet,'2024'!Resal+('2024'!Salim-'2024'!Resal)*(1-EXP(('2024'!Tnet-t)/('2024'!Tau_j))),Resal+(Salim-Resal)*(1-EXP((Tnet-t)/(Tau_j))))*Salcycl</f>
        <v>4.04102142352104E-2</v>
      </c>
      <c r="P267" s="169">
        <f>(INDEX(Models!$BJ267:$BT267,,T267)*(1-R267)+INDEX(Models!$BJ267:$BT267,,T267+1)*R267-ERP_i)*Q267*Ramure*Pc/MaxiM</f>
        <v>0</v>
      </c>
      <c r="Q267" s="305">
        <f t="shared" si="80"/>
        <v>0.7</v>
      </c>
      <c r="R267" s="177">
        <f t="shared" si="81"/>
        <v>0.46513518281140898</v>
      </c>
      <c r="S267" s="817">
        <f t="shared" si="82"/>
        <v>-2</v>
      </c>
      <c r="T267" s="176">
        <f t="shared" si="83"/>
        <v>4</v>
      </c>
      <c r="U267" s="251">
        <f t="shared" si="84"/>
        <v>-1.534864817188591</v>
      </c>
      <c r="V267" s="383">
        <f t="shared" si="85"/>
        <v>31.644616806904192</v>
      </c>
      <c r="W267" s="402">
        <f t="shared" si="86"/>
        <v>29.957594781804637</v>
      </c>
      <c r="X267" s="157">
        <f t="shared" si="87"/>
        <v>45910</v>
      </c>
      <c r="Y267" s="385">
        <f t="shared" si="88"/>
        <v>27.721236308696582</v>
      </c>
      <c r="Z267" s="385">
        <f t="shared" si="89"/>
        <v>29.410691156368454</v>
      </c>
      <c r="AA267" s="386">
        <f t="shared" si="90"/>
        <v>33.119746830747289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0.11198925201129462</v>
      </c>
      <c r="AD267" s="231">
        <f>(INDEX(Models!$BJ267:$BT267,,AH267)*(1-AF267)+INDEX(Models!$BJ267:$BT267,,AH267+1)*AF267-ERP_i)*AE267*Ramure*Pc/MaxiM</f>
        <v>6.7175190441203016E-5</v>
      </c>
      <c r="AE267" s="305">
        <f t="shared" si="92"/>
        <v>0.7</v>
      </c>
      <c r="AF267" s="177">
        <f t="shared" si="93"/>
        <v>8.8998552187464997E-2</v>
      </c>
      <c r="AG267" s="817">
        <f t="shared" si="99"/>
        <v>1</v>
      </c>
      <c r="AH267" s="176">
        <f t="shared" si="94"/>
        <v>7</v>
      </c>
      <c r="AI267" s="225">
        <f t="shared" si="95"/>
        <v>1.088998552187465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45911</v>
      </c>
      <c r="B268" s="411">
        <f>'2024'!Wh/'2024'!Env_an*'2025'!Env_an</f>
        <v>29.844921763453915</v>
      </c>
      <c r="C268" s="846"/>
      <c r="D268" s="393">
        <f t="shared" si="77"/>
        <v>31.664496936900964</v>
      </c>
      <c r="E268" s="385">
        <f t="shared" si="100"/>
        <v>33.003051540538877</v>
      </c>
      <c r="F268" s="385">
        <f t="shared" si="78"/>
        <v>33.003051543676364</v>
      </c>
      <c r="G268" s="110">
        <f t="shared" si="101"/>
        <v>0.94898164751004477</v>
      </c>
      <c r="H268" s="414" t="b">
        <f>Wh_hp&gt;='2024'!Maxi_hp</f>
        <v>1</v>
      </c>
      <c r="I268" s="390">
        <f>IF(H268,Wh_hp,'2024'!Maxi_hp)</f>
        <v>33.003051543676364</v>
      </c>
      <c r="J268" s="85">
        <f>IF(H268,An,'2024'!An_max)</f>
        <v>2025</v>
      </c>
      <c r="K268" s="197">
        <f t="shared" si="79"/>
        <v>45911</v>
      </c>
      <c r="L268" s="147">
        <f>IF(t&lt;Tvie,1-EXP((T0-t)*PertePVj)+'2024'!Pspv,1-EXP((T0-t)*PertePVj)+Pspv)</f>
        <v>5.7464205955110703E-2</v>
      </c>
      <c r="M268" s="850"/>
      <c r="N268" s="850"/>
      <c r="O268" s="48">
        <f>IF(t&lt;Tnet,'2024'!Resal+('2024'!Salim-'2024'!Resal)*(1-EXP(('2024'!Tnet-t)/('2024'!Tau_j))),Resal+(Salim-Resal)*(1-EXP((Tnet-t)/(Tau_j))))*Salcycl</f>
        <v>4.055851023332542E-2</v>
      </c>
      <c r="P268" s="169">
        <f>(INDEX(Models!$BJ268:$BT268,,T268)*(1-R268)+INDEX(Models!$BJ268:$BT268,,T268+1)*R268-ERP_i)*Q268*Ramure*Pc/MaxiM</f>
        <v>1.025400855818719E-10</v>
      </c>
      <c r="Q268" s="305">
        <f t="shared" si="80"/>
        <v>0.7</v>
      </c>
      <c r="R268" s="177">
        <f t="shared" si="81"/>
        <v>0.4655751681027458</v>
      </c>
      <c r="S268" s="817">
        <f t="shared" si="82"/>
        <v>-2</v>
      </c>
      <c r="T268" s="176">
        <f t="shared" si="83"/>
        <v>4</v>
      </c>
      <c r="U268" s="251">
        <f t="shared" si="84"/>
        <v>-1.5344248318972542</v>
      </c>
      <c r="V268" s="383">
        <f t="shared" si="85"/>
        <v>31.449419323902109</v>
      </c>
      <c r="W268" s="402">
        <f t="shared" si="86"/>
        <v>29.844921763453915</v>
      </c>
      <c r="X268" s="157">
        <f t="shared" si="87"/>
        <v>45911</v>
      </c>
      <c r="Y268" s="385">
        <f t="shared" si="88"/>
        <v>27.618907226557639</v>
      </c>
      <c r="Z268" s="385">
        <f t="shared" si="89"/>
        <v>29.302767492819754</v>
      </c>
      <c r="AA268" s="386">
        <f t="shared" si="90"/>
        <v>32.999650505367846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0.11202794441555505</v>
      </c>
      <c r="AD268" s="231">
        <f>(INDEX(Models!$BJ268:$BT268,,AH268)*(1-AF268)+INDEX(Models!$BJ268:$BT268,,AH268+1)*AF268-ERP_i)*AE268*Ramure*Pc/MaxiM</f>
        <v>1.1115347649866106E-4</v>
      </c>
      <c r="AE268" s="305">
        <f t="shared" si="92"/>
        <v>0.7</v>
      </c>
      <c r="AF268" s="177">
        <f t="shared" si="93"/>
        <v>8.9438537478801594E-2</v>
      </c>
      <c r="AG268" s="817">
        <f t="shared" si="99"/>
        <v>1</v>
      </c>
      <c r="AH268" s="176">
        <f t="shared" si="94"/>
        <v>7</v>
      </c>
      <c r="AI268" s="225">
        <f t="shared" si="95"/>
        <v>1.0894385374788016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45912</v>
      </c>
      <c r="B269" s="411">
        <f>'2024'!Wh/'2024'!Env_an*'2025'!Env_an</f>
        <v>20.953365993228807</v>
      </c>
      <c r="C269" s="846"/>
      <c r="D269" s="393">
        <f t="shared" si="77"/>
        <v>22.231330701880509</v>
      </c>
      <c r="E269" s="385">
        <f t="shared" si="100"/>
        <v>23.174685329560237</v>
      </c>
      <c r="F269" s="385">
        <f t="shared" si="78"/>
        <v>23.174685333357939</v>
      </c>
      <c r="G269" s="110">
        <f t="shared" si="101"/>
        <v>0.67047067312772179</v>
      </c>
      <c r="H269" s="414" t="b">
        <f>Wh_hp&gt;='2024'!Maxi_hp</f>
        <v>0</v>
      </c>
      <c r="I269" s="390">
        <f>IF(H269,Wh_hp,'2024'!Maxi_hp)</f>
        <v>34.361918081315721</v>
      </c>
      <c r="J269" s="85">
        <f>IF(H269,An,'2024'!An_max)</f>
        <v>2019</v>
      </c>
      <c r="K269" s="197">
        <f t="shared" si="79"/>
        <v>45912</v>
      </c>
      <c r="L269" s="147">
        <f>IF(t&lt;Tvie,1-EXP((T0-t)*PertePVj)+'2024'!Pspv,1-EXP((T0-t)*PertePVj)+Pspv)</f>
        <v>5.7484849907954549E-2</v>
      </c>
      <c r="M269" s="850"/>
      <c r="N269" s="850"/>
      <c r="O269" s="48">
        <f>IF(t&lt;Tnet,'2024'!Resal+('2024'!Salim-'2024'!Resal)*(1-EXP(('2024'!Tnet-t)/('2024'!Tau_j))),Resal+(Salim-Resal)*(1-EXP((Tnet-t)/(Tau_j))))*Salcycl</f>
        <v>4.0706254012279557E-2</v>
      </c>
      <c r="P269" s="169">
        <f>(INDEX(Models!$BJ269:$BT269,,T269)*(1-R269)+INDEX(Models!$BJ269:$BT269,,T269+1)*R269-ERP_i)*Q269*Ramure*Pc/MaxiM</f>
        <v>3.0963576452227107E-10</v>
      </c>
      <c r="Q269" s="305">
        <f t="shared" si="80"/>
        <v>0.7</v>
      </c>
      <c r="R269" s="177">
        <f t="shared" si="81"/>
        <v>0.46599818248433267</v>
      </c>
      <c r="S269" s="817">
        <f t="shared" si="82"/>
        <v>-2</v>
      </c>
      <c r="T269" s="176">
        <f t="shared" si="83"/>
        <v>4</v>
      </c>
      <c r="U269" s="251">
        <f t="shared" si="84"/>
        <v>-1.5340018175156673</v>
      </c>
      <c r="V269" s="383">
        <f t="shared" si="85"/>
        <v>31.25172633193317</v>
      </c>
      <c r="W269" s="402">
        <f t="shared" si="86"/>
        <v>20.953365993228807</v>
      </c>
      <c r="X269" s="157">
        <f t="shared" si="87"/>
        <v>45912</v>
      </c>
      <c r="Y269" s="385">
        <f t="shared" si="88"/>
        <v>19.392792580562446</v>
      </c>
      <c r="Z269" s="385">
        <f t="shared" si="89"/>
        <v>20.575576507888023</v>
      </c>
      <c r="AA269" s="386">
        <f t="shared" si="90"/>
        <v>23.172409815120538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0.11206574231817794</v>
      </c>
      <c r="AD269" s="231">
        <f>(INDEX(Models!$BJ269:$BT269,,AH269)*(1-AF269)+INDEX(Models!$BJ269:$BT269,,AH269+1)*AF269-ERP_i)*AE269*Ramure*Pc/MaxiM</f>
        <v>1.8552851995513045E-4</v>
      </c>
      <c r="AE269" s="305">
        <f t="shared" si="92"/>
        <v>0.7</v>
      </c>
      <c r="AF269" s="177">
        <f t="shared" si="93"/>
        <v>8.9861551860388689E-2</v>
      </c>
      <c r="AG269" s="817">
        <f t="shared" si="99"/>
        <v>1</v>
      </c>
      <c r="AH269" s="176">
        <f t="shared" si="94"/>
        <v>7</v>
      </c>
      <c r="AI269" s="225">
        <f t="shared" si="95"/>
        <v>1.0898615518603887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45913</v>
      </c>
      <c r="B270" s="411">
        <f>'2024'!Wh/'2024'!Env_an*'2025'!Env_an</f>
        <v>7.8824220491071557</v>
      </c>
      <c r="C270" s="846"/>
      <c r="D270" s="393">
        <f t="shared" si="77"/>
        <v>8.3633612652182645</v>
      </c>
      <c r="E270" s="385">
        <f t="shared" si="100"/>
        <v>8.7195862843731451</v>
      </c>
      <c r="F270" s="385">
        <f t="shared" si="78"/>
        <v>8.7195862843731451</v>
      </c>
      <c r="G270" s="110">
        <f t="shared" si="101"/>
        <v>0.25384489301515495</v>
      </c>
      <c r="H270" s="414" t="b">
        <f>Wh_hp&gt;='2024'!Maxi_hp</f>
        <v>0</v>
      </c>
      <c r="I270" s="390">
        <f>IF(H270,Wh_hp,'2024'!Maxi_hp)</f>
        <v>32.643598753916862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5.7505493408642971E-2</v>
      </c>
      <c r="M270" s="850"/>
      <c r="N270" s="850"/>
      <c r="O270" s="48">
        <f>IF(t&lt;Tnet,'2024'!Resal+('2024'!Salim-'2024'!Resal)*(1-EXP(('2024'!Tnet-t)/('2024'!Tau_j))),Resal+(Salim-Resal)*(1-EXP((Tnet-t)/(Tau_j))))*Salcycl</f>
        <v>4.0853431291034061E-2</v>
      </c>
      <c r="P270" s="169">
        <f>(INDEX(Models!$BJ270:$BT270,,T270)*(1-R270)+INDEX(Models!$BJ270:$BT270,,T270+1)*R270-ERP_i)*Q270*Ramure*Pc/MaxiM</f>
        <v>6.2335651497619001E-10</v>
      </c>
      <c r="Q270" s="305">
        <f t="shared" si="80"/>
        <v>0.7</v>
      </c>
      <c r="R270" s="177">
        <f t="shared" si="81"/>
        <v>0.46640485231254281</v>
      </c>
      <c r="S270" s="817">
        <f t="shared" si="82"/>
        <v>-2</v>
      </c>
      <c r="T270" s="176">
        <f t="shared" si="83"/>
        <v>4</v>
      </c>
      <c r="U270" s="251">
        <f t="shared" si="84"/>
        <v>-1.5335951476874572</v>
      </c>
      <c r="V270" s="383">
        <f t="shared" si="85"/>
        <v>31.052119861725963</v>
      </c>
      <c r="W270" s="402">
        <f t="shared" si="86"/>
        <v>7.8824220491071557</v>
      </c>
      <c r="X270" s="157">
        <f t="shared" si="87"/>
        <v>45913</v>
      </c>
      <c r="Y270" s="385">
        <f t="shared" si="88"/>
        <v>7.2968847155494707</v>
      </c>
      <c r="Z270" s="385">
        <f t="shared" si="89"/>
        <v>7.7420978738003665</v>
      </c>
      <c r="AA270" s="386">
        <f t="shared" si="90"/>
        <v>8.7195862843731451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0.11210261343758818</v>
      </c>
      <c r="AD270" s="231">
        <f>(INDEX(Models!$BJ270:$BT270,,AH270)*(1-AF270)+INDEX(Models!$BJ270:$BT270,,AH270+1)*AF270-ERP_i)*AE270*Ramure*Pc/MaxiM</f>
        <v>2.9086965266200221E-4</v>
      </c>
      <c r="AE270" s="305">
        <f t="shared" si="92"/>
        <v>0.7</v>
      </c>
      <c r="AF270" s="177">
        <f t="shared" si="93"/>
        <v>9.0268221688598604E-2</v>
      </c>
      <c r="AG270" s="817">
        <f t="shared" si="99"/>
        <v>1</v>
      </c>
      <c r="AH270" s="176">
        <f t="shared" si="94"/>
        <v>7</v>
      </c>
      <c r="AI270" s="225">
        <f t="shared" si="95"/>
        <v>1.0902682216885986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45914</v>
      </c>
      <c r="B271" s="411">
        <f>'2024'!Wh/'2024'!Env_an*'2025'!Env_an</f>
        <v>23.384522430025743</v>
      </c>
      <c r="C271" s="846"/>
      <c r="D271" s="393">
        <f t="shared" ref="D271:D334" si="102">Wh/(1-Ppv)</f>
        <v>24.811852439198642</v>
      </c>
      <c r="E271" s="385">
        <f t="shared" si="100"/>
        <v>25.872631015523137</v>
      </c>
      <c r="F271" s="385">
        <f t="shared" ref="F271:F334" si="103">Wh_sa/(1-Pvg*MEDIAN((-Sdif+Wh/Env_an)/Csdif,0,1))</f>
        <v>25.872631033225851</v>
      </c>
      <c r="G271" s="110">
        <f t="shared" si="101"/>
        <v>0.75797817967458647</v>
      </c>
      <c r="H271" s="414" t="b">
        <f>Wh_hp&gt;='2024'!Maxi_hp</f>
        <v>0</v>
      </c>
      <c r="I271" s="390">
        <f>IF(H271,Wh_hp,'2024'!Maxi_hp)</f>
        <v>31.813436700328825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5.7526136457185739E-2</v>
      </c>
      <c r="M271" s="850"/>
      <c r="N271" s="850"/>
      <c r="O271" s="48">
        <f>IF(t&lt;Tnet,'2024'!Resal+('2024'!Salim-'2024'!Resal)*(1-EXP(('2024'!Tnet-t)/('2024'!Tau_j))),Resal+(Salim-Resal)*(1-EXP((Tnet-t)/(Tau_j))))*Salcycl</f>
        <v>4.100002723681434E-2</v>
      </c>
      <c r="P271" s="169">
        <f>(INDEX(Models!$BJ271:$BT271,,T271)*(1-R271)+INDEX(Models!$BJ271:$BT271,,T271+1)*R271-ERP_i)*Q271*Ramure*Pc/MaxiM</f>
        <v>1.0458093482661731E-9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0.46679578301697844</v>
      </c>
      <c r="S271" s="817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-1.5332042169830216</v>
      </c>
      <c r="V271" s="383">
        <f t="shared" ref="V271:V334" si="110">MaxiM*(1-Ppv)*(1-Pvg)*(1-Psa)</f>
        <v>30.851181536135609</v>
      </c>
      <c r="W271" s="402">
        <f t="shared" ref="W271:W334" si="111">Wh*(A271&gt;Tmaj)</f>
        <v>23.384522430025743</v>
      </c>
      <c r="X271" s="157">
        <f t="shared" ref="X271:X334" si="112">t</f>
        <v>45914</v>
      </c>
      <c r="Y271" s="385">
        <f t="shared" ref="Y271:Y334" si="113">Wh_pvt_s*(1-Ppv)</f>
        <v>21.643802534799796</v>
      </c>
      <c r="Z271" s="385">
        <f t="shared" ref="Z271:Z334" si="114">Wh_sa_s*(1-Psa_s)</f>
        <v>22.964883560207685</v>
      </c>
      <c r="AA271" s="386">
        <f t="shared" ref="AA271:AA334" si="115">Wh_hp*(1-Pvg_s*MEDIAN((-Sdif+Wh/Env_an)/Csdif,0,1))</f>
        <v>25.865390255732994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0.11213852436973831</v>
      </c>
      <c r="AD271" s="231">
        <f>(INDEX(Models!$BJ271:$BT271,,AH271)*(1-AF271)+INDEX(Models!$BJ271:$BT271,,AH271+1)*AF271-ERP_i)*AE271*Ramure*Pc/MaxiM</f>
        <v>4.2775772366620879E-4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9.0659152393034237E-2</v>
      </c>
      <c r="AG271" s="817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1.0906591523930342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45915</v>
      </c>
      <c r="B272" s="411">
        <f>'2024'!Wh/'2024'!Env_an*'2025'!Env_an</f>
        <v>28.368633046928959</v>
      </c>
      <c r="C272" s="846"/>
      <c r="D272" s="393">
        <f t="shared" si="102"/>
        <v>30.100839401282226</v>
      </c>
      <c r="E272" s="385">
        <f t="shared" si="100"/>
        <v>31.392516725589374</v>
      </c>
      <c r="F272" s="385">
        <f t="shared" si="103"/>
        <v>31.392516769891856</v>
      </c>
      <c r="G272" s="110">
        <f t="shared" si="101"/>
        <v>0.92558247016398998</v>
      </c>
      <c r="H272" s="414" t="b">
        <f>Wh_hp&gt;='2024'!Maxi_hp</f>
        <v>0</v>
      </c>
      <c r="I272" s="390">
        <f>IF(H272,Wh_hp,'2024'!Maxi_hp)</f>
        <v>32.156591580426863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5.7546779053592734E-2</v>
      </c>
      <c r="M272" s="850"/>
      <c r="N272" s="850"/>
      <c r="O272" s="48">
        <f>IF(t&lt;Tnet,'2024'!Resal+('2024'!Salim-'2024'!Resal)*(1-EXP(('2024'!Tnet-t)/('2024'!Tau_j))),Resal+(Salim-Resal)*(1-EXP((Tnet-t)/(Tau_j))))*Salcycl</f>
        <v>4.1146026474973403E-2</v>
      </c>
      <c r="P272" s="169">
        <f>(INDEX(Models!$BJ272:$BT272,,T272)*(1-R272)+INDEX(Models!$BJ272:$BT272,,T272+1)*R272-ERP_i)*Q272*Ramure*Pc/MaxiM</f>
        <v>1.5791208601070303E-9</v>
      </c>
      <c r="Q272" s="305">
        <f t="shared" si="105"/>
        <v>0.7</v>
      </c>
      <c r="R272" s="177">
        <f t="shared" si="106"/>
        <v>0.4671715596268764</v>
      </c>
      <c r="S272" s="817">
        <f t="shared" si="107"/>
        <v>-2</v>
      </c>
      <c r="T272" s="176">
        <f t="shared" si="108"/>
        <v>4</v>
      </c>
      <c r="U272" s="251">
        <f t="shared" si="109"/>
        <v>-1.5328284403731236</v>
      </c>
      <c r="V272" s="383">
        <f t="shared" si="110"/>
        <v>30.649492569949274</v>
      </c>
      <c r="W272" s="402">
        <f t="shared" si="111"/>
        <v>28.368633046928959</v>
      </c>
      <c r="X272" s="157">
        <f t="shared" si="112"/>
        <v>45915</v>
      </c>
      <c r="Y272" s="385">
        <f t="shared" si="113"/>
        <v>26.253208292570015</v>
      </c>
      <c r="Z272" s="385">
        <f t="shared" si="114"/>
        <v>27.8562454974759</v>
      </c>
      <c r="AA272" s="386">
        <f t="shared" si="115"/>
        <v>31.375774021977485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0.11217344063086047</v>
      </c>
      <c r="AD272" s="231">
        <f>(INDEX(Models!$BJ272:$BT272,,AH272)*(1-AF272)+INDEX(Models!$BJ272:$BT272,,AH272+1)*AF272-ERP_i)*AE272*Ramure*Pc/MaxiM</f>
        <v>5.9677974255620823E-4</v>
      </c>
      <c r="AE272" s="305">
        <f t="shared" si="117"/>
        <v>0.7</v>
      </c>
      <c r="AF272" s="177">
        <f t="shared" si="118"/>
        <v>9.1034929002932419E-2</v>
      </c>
      <c r="AG272" s="817">
        <f t="shared" ref="AG272:AG335" si="124">INDEX(Echel_vg,AH272)</f>
        <v>1</v>
      </c>
      <c r="AH272" s="176">
        <f t="shared" si="119"/>
        <v>7</v>
      </c>
      <c r="AI272" s="225">
        <f t="shared" si="120"/>
        <v>1.0910349290029324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45916</v>
      </c>
      <c r="B273" s="411">
        <f>'2024'!Wh/'2024'!Env_an*'2025'!Env_an</f>
        <v>21.223275575081097</v>
      </c>
      <c r="C273" s="846"/>
      <c r="D273" s="393">
        <f t="shared" si="102"/>
        <v>22.519675202715113</v>
      </c>
      <c r="E273" s="385">
        <f t="shared" si="100"/>
        <v>23.489593720722596</v>
      </c>
      <c r="F273" s="385">
        <f t="shared" si="103"/>
        <v>23.489593750372638</v>
      </c>
      <c r="G273" s="110">
        <f t="shared" si="101"/>
        <v>0.69704186905659404</v>
      </c>
      <c r="H273" s="414" t="b">
        <f>Wh_hp&gt;='2024'!Maxi_hp</f>
        <v>0</v>
      </c>
      <c r="I273" s="390">
        <f>IF(H273,Wh_hp,'2024'!Maxi_hp)</f>
        <v>31.548663581663206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5.7567421197873836E-2</v>
      </c>
      <c r="M273" s="850"/>
      <c r="N273" s="850"/>
      <c r="O273" s="48">
        <f>IF(t&lt;Tnet,'2024'!Resal+('2024'!Salim-'2024'!Resal)*(1-EXP(('2024'!Tnet-t)/('2024'!Tau_j))),Resal+(Salim-Resal)*(1-EXP((Tnet-t)/(Tau_j))))*Salcycl</f>
        <v>4.129141310570289E-2</v>
      </c>
      <c r="P273" s="169">
        <f>(INDEX(Models!$BJ273:$BT273,,T273)*(1-R273)+INDEX(Models!$BJ273:$BT273,,T273+1)*R273-ERP_i)*Q273*Ramure*Pc/MaxiM</f>
        <v>2.2254176702271898E-9</v>
      </c>
      <c r="Q273" s="305">
        <f t="shared" si="105"/>
        <v>0.7</v>
      </c>
      <c r="R273" s="177">
        <f t="shared" si="106"/>
        <v>0.46753274729877203</v>
      </c>
      <c r="S273" s="817">
        <f t="shared" si="107"/>
        <v>-2</v>
      </c>
      <c r="T273" s="176">
        <f t="shared" si="108"/>
        <v>4</v>
      </c>
      <c r="U273" s="251">
        <f t="shared" si="109"/>
        <v>-1.532467252701228</v>
      </c>
      <c r="V273" s="383">
        <f t="shared" si="110"/>
        <v>30.447633774660162</v>
      </c>
      <c r="W273" s="402">
        <f t="shared" si="111"/>
        <v>21.223275575081097</v>
      </c>
      <c r="X273" s="157">
        <f t="shared" si="112"/>
        <v>45916</v>
      </c>
      <c r="Y273" s="385">
        <f t="shared" si="113"/>
        <v>19.644483107257802</v>
      </c>
      <c r="Z273" s="385">
        <f t="shared" si="114"/>
        <v>20.844443994313966</v>
      </c>
      <c r="AA273" s="386">
        <f t="shared" si="115"/>
        <v>23.478954739796826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0.11220732671788684</v>
      </c>
      <c r="AD273" s="231">
        <f>(INDEX(Models!$BJ273:$BT273,,AH273)*(1-AF273)+INDEX(Models!$BJ273:$BT273,,AH273+1)*AF273-ERP_i)*AE273*Ramure*Pc/MaxiM</f>
        <v>7.9852306946563679E-4</v>
      </c>
      <c r="AE273" s="305">
        <f t="shared" si="117"/>
        <v>0.7</v>
      </c>
      <c r="AF273" s="177">
        <f t="shared" si="118"/>
        <v>9.1396116674828054E-2</v>
      </c>
      <c r="AG273" s="817">
        <f t="shared" si="124"/>
        <v>1</v>
      </c>
      <c r="AH273" s="176">
        <f t="shared" si="119"/>
        <v>7</v>
      </c>
      <c r="AI273" s="225">
        <f t="shared" si="120"/>
        <v>1.0913961166748281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45917</v>
      </c>
      <c r="B274" s="411">
        <f>'2024'!Wh/'2024'!Env_an*'2025'!Env_an</f>
        <v>29.931939162919303</v>
      </c>
      <c r="C274" s="846"/>
      <c r="D274" s="393">
        <f t="shared" si="102"/>
        <v>31.760993239017978</v>
      </c>
      <c r="E274" s="385">
        <f t="shared" si="100"/>
        <v>33.133936696882856</v>
      </c>
      <c r="F274" s="385">
        <f t="shared" si="103"/>
        <v>33.133936794378606</v>
      </c>
      <c r="G274" s="110">
        <f t="shared" si="101"/>
        <v>0.98961037920247874</v>
      </c>
      <c r="H274" s="414" t="b">
        <f>Wh_hp&gt;='2024'!Maxi_hp</f>
        <v>1</v>
      </c>
      <c r="I274" s="390">
        <f>IF(H274,Wh_hp,'2024'!Maxi_hp)</f>
        <v>33.133936794378606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5.7588062890039149E-2</v>
      </c>
      <c r="M274" s="850"/>
      <c r="N274" s="850"/>
      <c r="O274" s="48">
        <f>IF(t&lt;Tnet,'2024'!Resal+('2024'!Salim-'2024'!Resal)*(1-EXP(('2024'!Tnet-t)/('2024'!Tau_j))),Resal+(Salim-Resal)*(1-EXP((Tnet-t)/(Tau_j))))*Salcycl</f>
        <v>4.1436170728063201E-2</v>
      </c>
      <c r="P274" s="169">
        <f>(INDEX(Models!$BJ274:$BT274,,T274)*(1-R274)+INDEX(Models!$BJ274:$BT274,,T274+1)*R274-ERP_i)*Q274*Ramure*Pc/MaxiM</f>
        <v>2.986805165695832E-9</v>
      </c>
      <c r="Q274" s="305">
        <f t="shared" si="105"/>
        <v>0.7</v>
      </c>
      <c r="R274" s="177">
        <f t="shared" si="106"/>
        <v>0.46787989184387047</v>
      </c>
      <c r="S274" s="817">
        <f t="shared" si="107"/>
        <v>-2</v>
      </c>
      <c r="T274" s="176">
        <f t="shared" si="108"/>
        <v>4</v>
      </c>
      <c r="U274" s="251">
        <f t="shared" si="109"/>
        <v>-1.5321201081561295</v>
      </c>
      <c r="V274" s="383">
        <f t="shared" si="110"/>
        <v>30.246185560133643</v>
      </c>
      <c r="W274" s="402">
        <f t="shared" si="111"/>
        <v>29.931939162919303</v>
      </c>
      <c r="X274" s="157">
        <f t="shared" si="112"/>
        <v>45917</v>
      </c>
      <c r="Y274" s="385">
        <f t="shared" si="113"/>
        <v>27.692800889015668</v>
      </c>
      <c r="Z274" s="385">
        <f t="shared" si="114"/>
        <v>29.385027712976079</v>
      </c>
      <c r="AA274" s="386">
        <f t="shared" si="115"/>
        <v>33.100198873354216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0.1122401461874256</v>
      </c>
      <c r="AD274" s="231">
        <f>(INDEX(Models!$BJ274:$BT274,,AH274)*(1-AF274)+INDEX(Models!$BJ274:$BT274,,AH274+1)*AF274-ERP_i)*AE274*Ramure*Pc/MaxiM</f>
        <v>1.0335691272383544E-3</v>
      </c>
      <c r="AE274" s="305">
        <f t="shared" si="117"/>
        <v>0.7</v>
      </c>
      <c r="AF274" s="177">
        <f t="shared" si="118"/>
        <v>9.1743261219926264E-2</v>
      </c>
      <c r="AG274" s="817">
        <f t="shared" si="124"/>
        <v>1</v>
      </c>
      <c r="AH274" s="176">
        <f t="shared" si="119"/>
        <v>7</v>
      </c>
      <c r="AI274" s="225">
        <f t="shared" si="120"/>
        <v>1.0917432612199263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45918</v>
      </c>
      <c r="B275" s="411">
        <f>'2024'!Wh/'2024'!Env_an*'2025'!Env_an</f>
        <v>30.050277572840596</v>
      </c>
      <c r="C275" s="846"/>
      <c r="D275" s="393">
        <f t="shared" si="102"/>
        <v>31.88726137915123</v>
      </c>
      <c r="E275" s="385">
        <f t="shared" si="100"/>
        <v>33.270665029083048</v>
      </c>
      <c r="F275" s="385">
        <f t="shared" si="103"/>
        <v>33.270665157690047</v>
      </c>
      <c r="G275" s="110">
        <f t="shared" si="101"/>
        <v>1.0001857505520066</v>
      </c>
      <c r="H275" s="414" t="b">
        <f>Wh_hp&gt;='2024'!Maxi_hp</f>
        <v>0</v>
      </c>
      <c r="I275" s="390">
        <f>IF(H275,Wh_hp,'2024'!Maxi_hp)</f>
        <v>33.270665157690054</v>
      </c>
      <c r="J275" s="85">
        <f>IF(H275,An,'2024'!An_max)</f>
        <v>2023</v>
      </c>
      <c r="K275" s="197">
        <f t="shared" si="104"/>
        <v>45918</v>
      </c>
      <c r="L275" s="147">
        <f>IF(t&lt;Tvie,1-EXP((T0-t)*PertePVj)+'2024'!Pspv,1-EXP((T0-t)*PertePVj)+Pspv)</f>
        <v>5.7608704130098332E-2</v>
      </c>
      <c r="M275" s="850"/>
      <c r="N275" s="850"/>
      <c r="O275" s="48">
        <f>IF(t&lt;Tnet,'2024'!Resal+('2024'!Salim-'2024'!Resal)*(1-EXP(('2024'!Tnet-t)/('2024'!Tau_j))),Resal+(Salim-Resal)*(1-EXP((Tnet-t)/(Tau_j))))*Salcycl</f>
        <v>4.1580282471737132E-2</v>
      </c>
      <c r="P275" s="169">
        <f>(INDEX(Models!$BJ275:$BT275,,T275)*(1-R275)+INDEX(Models!$BJ275:$BT275,,T275+1)*R275-ERP_i)*Q275*Ramure*Pc/MaxiM</f>
        <v>3.8654771464658006E-9</v>
      </c>
      <c r="Q275" s="305">
        <f t="shared" si="105"/>
        <v>0.7</v>
      </c>
      <c r="R275" s="177">
        <f t="shared" si="106"/>
        <v>0.46821352025372831</v>
      </c>
      <c r="S275" s="817">
        <f t="shared" si="107"/>
        <v>-2</v>
      </c>
      <c r="T275" s="176">
        <f t="shared" si="108"/>
        <v>4</v>
      </c>
      <c r="U275" s="251">
        <f t="shared" si="109"/>
        <v>-1.5317864797462717</v>
      </c>
      <c r="V275" s="383">
        <f t="shared" si="110"/>
        <v>30.044696753833698</v>
      </c>
      <c r="W275" s="402">
        <f t="shared" si="111"/>
        <v>30.050277572840596</v>
      </c>
      <c r="X275" s="157">
        <f t="shared" si="112"/>
        <v>45918</v>
      </c>
      <c r="Y275" s="385">
        <f t="shared" si="113"/>
        <v>27.797560538977162</v>
      </c>
      <c r="Z275" s="385">
        <f t="shared" si="114"/>
        <v>29.496834977999043</v>
      </c>
      <c r="AA275" s="386">
        <f t="shared" si="115"/>
        <v>33.227329074280796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0.112271861753983</v>
      </c>
      <c r="AD275" s="231">
        <f>(INDEX(Models!$BJ275:$BT275,,AH275)*(1-AF275)+INDEX(Models!$BJ275:$BT275,,AH275+1)*AF275-ERP_i)*AE275*Ramure*Pc/MaxiM</f>
        <v>1.3025313201240098E-3</v>
      </c>
      <c r="AE275" s="305">
        <f t="shared" si="117"/>
        <v>0.7</v>
      </c>
      <c r="AF275" s="177">
        <f t="shared" si="118"/>
        <v>9.2076889629784109E-2</v>
      </c>
      <c r="AG275" s="817">
        <f t="shared" si="124"/>
        <v>1</v>
      </c>
      <c r="AH275" s="176">
        <f t="shared" si="119"/>
        <v>7</v>
      </c>
      <c r="AI275" s="225">
        <f t="shared" si="120"/>
        <v>1.0920768896297841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45919</v>
      </c>
      <c r="B276" s="411">
        <f>'2024'!Wh/'2024'!Env_an*'2025'!Env_an</f>
        <v>29.45114432376538</v>
      </c>
      <c r="C276" s="846"/>
      <c r="D276" s="393">
        <f t="shared" si="102"/>
        <v>31.25218741154946</v>
      </c>
      <c r="E276" s="385">
        <f t="shared" si="100"/>
        <v>32.612920118917081</v>
      </c>
      <c r="F276" s="385">
        <f t="shared" si="103"/>
        <v>32.613027266121748</v>
      </c>
      <c r="G276" s="110">
        <f t="shared" si="101"/>
        <v>0.98689908794277303</v>
      </c>
      <c r="H276" s="414" t="b">
        <f>Wh_hp&gt;='2024'!Maxi_hp</f>
        <v>1</v>
      </c>
      <c r="I276" s="390">
        <f>IF(H276,Wh_hp,'2024'!Maxi_hp)</f>
        <v>32.613027266121748</v>
      </c>
      <c r="J276" s="85">
        <f>IF(H276,An,'2024'!An_max)</f>
        <v>2025</v>
      </c>
      <c r="K276" s="197">
        <f t="shared" si="104"/>
        <v>45919</v>
      </c>
      <c r="L276" s="147">
        <f>IF(t&lt;Tvie,1-EXP((T0-t)*PertePVj)+'2024'!Pspv,1-EXP((T0-t)*PertePVj)+Pspv)</f>
        <v>5.7629344918061376E-2</v>
      </c>
      <c r="M276" s="850"/>
      <c r="N276" s="850"/>
      <c r="O276" s="48">
        <f>IF(t&lt;Tnet,'2024'!Resal+('2024'!Salim-'2024'!Resal)*(1-EXP(('2024'!Tnet-t)/('2024'!Tau_j))),Resal+(Salim-Resal)*(1-EXP((Tnet-t)/(Tau_j))))*Salcycl</f>
        <v>4.1723731036839344E-2</v>
      </c>
      <c r="P276" s="169">
        <f>(INDEX(Models!$BJ276:$BT276,,T276)*(1-R276)+INDEX(Models!$BJ276:$BT276,,T276+1)*R276-ERP_i)*Q276*Ramure*Pc/MaxiM</f>
        <v>3.3480720314279685E-6</v>
      </c>
      <c r="Q276" s="305">
        <f t="shared" si="105"/>
        <v>0.7</v>
      </c>
      <c r="R276" s="177">
        <f t="shared" si="106"/>
        <v>0.46853414122298975</v>
      </c>
      <c r="S276" s="817">
        <f t="shared" si="107"/>
        <v>-2</v>
      </c>
      <c r="T276" s="176">
        <f t="shared" si="108"/>
        <v>4</v>
      </c>
      <c r="U276" s="251">
        <f t="shared" si="109"/>
        <v>-1.5314658587770102</v>
      </c>
      <c r="V276" s="383">
        <f t="shared" si="110"/>
        <v>29.842101222038576</v>
      </c>
      <c r="W276" s="402">
        <f t="shared" si="111"/>
        <v>29.45114432376538</v>
      </c>
      <c r="X276" s="157">
        <f t="shared" si="112"/>
        <v>45919</v>
      </c>
      <c r="Y276" s="385">
        <f t="shared" si="113"/>
        <v>27.237449158520342</v>
      </c>
      <c r="Z276" s="385">
        <f t="shared" si="114"/>
        <v>28.903116848595058</v>
      </c>
      <c r="AA276" s="386">
        <f t="shared" si="115"/>
        <v>32.559644186786173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0.11230243540791085</v>
      </c>
      <c r="AD276" s="231">
        <f>(INDEX(Models!$BJ276:$BT276,,AH276)*(1-AF276)+INDEX(Models!$BJ276:$BT276,,AH276+1)*AF276-ERP_i)*AE276*Ramure*Pc/MaxiM</f>
        <v>1.668082666602861E-3</v>
      </c>
      <c r="AE276" s="305">
        <f t="shared" si="117"/>
        <v>0.7</v>
      </c>
      <c r="AF276" s="177">
        <f t="shared" si="118"/>
        <v>9.2397510599045773E-2</v>
      </c>
      <c r="AG276" s="817">
        <f t="shared" si="124"/>
        <v>1</v>
      </c>
      <c r="AH276" s="176">
        <f t="shared" si="119"/>
        <v>7</v>
      </c>
      <c r="AI276" s="225">
        <f t="shared" si="120"/>
        <v>1.0923975105990458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45920</v>
      </c>
      <c r="B277" s="411">
        <f>'2024'!Wh/'2024'!Env_an*'2025'!Env_an</f>
        <v>30.725142239082132</v>
      </c>
      <c r="C277" s="846"/>
      <c r="D277" s="393">
        <f t="shared" si="102"/>
        <v>32.604808996964614</v>
      </c>
      <c r="E277" s="385">
        <f t="shared" si="100"/>
        <v>34.029505235081153</v>
      </c>
      <c r="F277" s="385">
        <f t="shared" si="103"/>
        <v>34.029849011308073</v>
      </c>
      <c r="G277" s="110">
        <f t="shared" si="101"/>
        <v>1.0366734671014806</v>
      </c>
      <c r="H277" s="414" t="b">
        <f>Wh_hp&gt;='2024'!Maxi_hp</f>
        <v>1</v>
      </c>
      <c r="I277" s="390">
        <f>IF(H277,Wh_hp,'2024'!Maxi_hp)</f>
        <v>34.029849011308073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5.7649985253938163E-2</v>
      </c>
      <c r="M277" s="850"/>
      <c r="N277" s="850"/>
      <c r="O277" s="48">
        <f>IF(t&lt;Tnet,'2024'!Resal+('2024'!Salim-'2024'!Resal)*(1-EXP(('2024'!Tnet-t)/('2024'!Tau_j))),Resal+(Salim-Resal)*(1-EXP((Tnet-t)/(Tau_j))))*Salcycl</f>
        <v>4.1866498742033235E-2</v>
      </c>
      <c r="P277" s="169">
        <f>(INDEX(Models!$BJ277:$BT277,,T277)*(1-R277)+INDEX(Models!$BJ277:$BT277,,T277+1)*R277-ERP_i)*Q277*Ramure*Pc/MaxiM</f>
        <v>1.0102196657131512E-5</v>
      </c>
      <c r="Q277" s="305">
        <f t="shared" si="105"/>
        <v>0.7</v>
      </c>
      <c r="R277" s="177">
        <f t="shared" si="106"/>
        <v>0.46884224566804855</v>
      </c>
      <c r="S277" s="817">
        <f t="shared" si="107"/>
        <v>-2</v>
      </c>
      <c r="T277" s="176">
        <f t="shared" si="108"/>
        <v>4</v>
      </c>
      <c r="U277" s="251">
        <f t="shared" si="109"/>
        <v>-1.5311577543319514</v>
      </c>
      <c r="V277" s="383">
        <f t="shared" si="110"/>
        <v>29.638206449895019</v>
      </c>
      <c r="W277" s="402">
        <f t="shared" si="111"/>
        <v>30.725142239082132</v>
      </c>
      <c r="X277" s="157">
        <f t="shared" si="112"/>
        <v>45920</v>
      </c>
      <c r="Y277" s="385">
        <f t="shared" si="113"/>
        <v>28.405135358223639</v>
      </c>
      <c r="Z277" s="385">
        <f t="shared" si="114"/>
        <v>30.14287145300047</v>
      </c>
      <c r="AA277" s="386">
        <f t="shared" si="115"/>
        <v>33.957364274845652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0.11233182855333726</v>
      </c>
      <c r="AD277" s="231">
        <f>(INDEX(Models!$BJ277:$BT277,,AH277)*(1-AF277)+INDEX(Models!$BJ277:$BT277,,AH277+1)*AF277-ERP_i)*AE277*Ramure*Pc/MaxiM</f>
        <v>2.130034030957087E-3</v>
      </c>
      <c r="AE277" s="305">
        <f t="shared" si="117"/>
        <v>0.7</v>
      </c>
      <c r="AF277" s="177">
        <f t="shared" si="118"/>
        <v>9.2705615044104572E-2</v>
      </c>
      <c r="AG277" s="817">
        <f t="shared" si="124"/>
        <v>1</v>
      </c>
      <c r="AH277" s="176">
        <f t="shared" si="119"/>
        <v>7</v>
      </c>
      <c r="AI277" s="225">
        <f t="shared" si="120"/>
        <v>1.0927056150441046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45921</v>
      </c>
      <c r="B278" s="411">
        <f>'2024'!Wh/'2024'!Env_an*'2025'!Env_an</f>
        <v>29.651226045709077</v>
      </c>
      <c r="C278" s="846"/>
      <c r="D278" s="393">
        <f t="shared" si="102"/>
        <v>31.465883200386433</v>
      </c>
      <c r="E278" s="385">
        <f t="shared" si="100"/>
        <v>32.84568330735145</v>
      </c>
      <c r="F278" s="385">
        <f t="shared" si="103"/>
        <v>32.846351220278976</v>
      </c>
      <c r="G278" s="110">
        <f t="shared" si="101"/>
        <v>1.0074204906842537</v>
      </c>
      <c r="H278" s="414" t="b">
        <f>Wh_hp&gt;='2024'!Maxi_hp</f>
        <v>1</v>
      </c>
      <c r="I278" s="390">
        <f>IF(H278,Wh_hp,'2024'!Maxi_hp)</f>
        <v>32.846351220278976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5.7670625137738685E-2</v>
      </c>
      <c r="M278" s="850"/>
      <c r="N278" s="850"/>
      <c r="O278" s="48">
        <f>IF(t&lt;Tnet,'2024'!Resal+('2024'!Salim-'2024'!Resal)*(1-EXP(('2024'!Tnet-t)/('2024'!Tau_j))),Resal+(Salim-Resal)*(1-EXP((Tnet-t)/(Tau_j))))*Salcycl</f>
        <v>4.2008567581122529E-2</v>
      </c>
      <c r="P278" s="169">
        <f>(INDEX(Models!$BJ278:$BT278,,T278)*(1-R278)+INDEX(Models!$BJ278:$BT278,,T278+1)*R278-ERP_i)*Q278*Ramure*Pc/MaxiM</f>
        <v>2.0334463424861252E-5</v>
      </c>
      <c r="Q278" s="305">
        <f t="shared" si="105"/>
        <v>0.7</v>
      </c>
      <c r="R278" s="177">
        <f t="shared" si="106"/>
        <v>0.46913830724063632</v>
      </c>
      <c r="S278" s="817">
        <f t="shared" si="107"/>
        <v>-2</v>
      </c>
      <c r="T278" s="176">
        <f t="shared" si="108"/>
        <v>4</v>
      </c>
      <c r="U278" s="251">
        <f t="shared" si="109"/>
        <v>-1.5308616927593637</v>
      </c>
      <c r="V278" s="383">
        <f t="shared" si="110"/>
        <v>29.432820078505209</v>
      </c>
      <c r="W278" s="402">
        <f t="shared" si="111"/>
        <v>29.651226045709077</v>
      </c>
      <c r="X278" s="157">
        <f t="shared" si="112"/>
        <v>45921</v>
      </c>
      <c r="Y278" s="385">
        <f t="shared" si="113"/>
        <v>27.400394924954735</v>
      </c>
      <c r="Z278" s="385">
        <f t="shared" si="114"/>
        <v>29.077301054060641</v>
      </c>
      <c r="AA278" s="386">
        <f t="shared" si="115"/>
        <v>32.757988739824668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0.11236000216610752</v>
      </c>
      <c r="AD278" s="231">
        <f>(INDEX(Models!$BJ278:$BT278,,AH278)*(1-AF278)+INDEX(Models!$BJ278:$BT278,,AH278+1)*AF278-ERP_i)*AE278*Ramure*Pc/MaxiM</f>
        <v>2.6901764479628078E-3</v>
      </c>
      <c r="AE278" s="305">
        <f t="shared" si="117"/>
        <v>0.7</v>
      </c>
      <c r="AF278" s="177">
        <f t="shared" si="118"/>
        <v>9.3001676616692119E-2</v>
      </c>
      <c r="AG278" s="817">
        <f t="shared" si="124"/>
        <v>1</v>
      </c>
      <c r="AH278" s="176">
        <f t="shared" si="119"/>
        <v>7</v>
      </c>
      <c r="AI278" s="225">
        <f t="shared" si="120"/>
        <v>1.0930016766166921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45922</v>
      </c>
      <c r="B279" s="411">
        <f>'2024'!Wh/'2024'!Env_an*'2025'!Env_an</f>
        <v>28.545089546074582</v>
      </c>
      <c r="C279" s="846"/>
      <c r="D279" s="393">
        <f t="shared" si="102"/>
        <v>30.292714556055497</v>
      </c>
      <c r="E279" s="385">
        <f t="shared" si="100"/>
        <v>31.625736810027835</v>
      </c>
      <c r="F279" s="385">
        <f t="shared" si="103"/>
        <v>31.626779860957342</v>
      </c>
      <c r="G279" s="110">
        <f t="shared" si="101"/>
        <v>0.97670914318576085</v>
      </c>
      <c r="H279" s="414" t="b">
        <f>Wh_hp&gt;='2024'!Maxi_hp</f>
        <v>1</v>
      </c>
      <c r="I279" s="390">
        <f>IF(H279,Wh_hp,'2024'!Maxi_hp)</f>
        <v>31.626779860957342</v>
      </c>
      <c r="J279" s="85">
        <f>IF(H279,An,'2024'!An_max)</f>
        <v>2025</v>
      </c>
      <c r="K279" s="197">
        <f t="shared" si="104"/>
        <v>45922</v>
      </c>
      <c r="L279" s="147">
        <f>IF(t&lt;Tvie,1-EXP((T0-t)*PertePVj)+'2024'!Pspv,1-EXP((T0-t)*PertePVj)+Pspv)</f>
        <v>5.7691264569472711E-2</v>
      </c>
      <c r="M279" s="850"/>
      <c r="N279" s="850"/>
      <c r="O279" s="48">
        <f>IF(t&lt;Tnet,'2024'!Resal+('2024'!Salim-'2024'!Resal)*(1-EXP(('2024'!Tnet-t)/('2024'!Tau_j))),Resal+(Salim-Resal)*(1-EXP((Tnet-t)/(Tau_j))))*Salcycl</f>
        <v>4.2149919288194018E-2</v>
      </c>
      <c r="P279" s="169">
        <f>(INDEX(Models!$BJ279:$BT279,,T279)*(1-R279)+INDEX(Models!$BJ279:$BT279,,T279+1)*R279-ERP_i)*Q279*Ramure*Pc/MaxiM</f>
        <v>3.4115035134753642E-5</v>
      </c>
      <c r="Q279" s="305">
        <f t="shared" si="105"/>
        <v>0.7</v>
      </c>
      <c r="R279" s="177">
        <f t="shared" si="106"/>
        <v>0.46942278283544647</v>
      </c>
      <c r="S279" s="817">
        <f t="shared" si="107"/>
        <v>-2</v>
      </c>
      <c r="T279" s="176">
        <f t="shared" si="108"/>
        <v>4</v>
      </c>
      <c r="U279" s="251">
        <f t="shared" si="109"/>
        <v>-1.5305772171645535</v>
      </c>
      <c r="V279" s="383">
        <f t="shared" si="110"/>
        <v>29.225749901322946</v>
      </c>
      <c r="W279" s="402">
        <f t="shared" si="111"/>
        <v>28.545089546074582</v>
      </c>
      <c r="X279" s="157">
        <f t="shared" si="112"/>
        <v>45922</v>
      </c>
      <c r="Y279" s="385">
        <f t="shared" si="113"/>
        <v>26.367136518294011</v>
      </c>
      <c r="Z279" s="385">
        <f t="shared" si="114"/>
        <v>27.981420023923736</v>
      </c>
      <c r="AA279" s="386">
        <f t="shared" si="115"/>
        <v>31.524343837354309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0.11238691697152593</v>
      </c>
      <c r="AD279" s="231">
        <f>(INDEX(Models!$BJ279:$BT279,,AH279)*(1-AF279)+INDEX(Models!$BJ279:$BT279,,AH279+1)*AF279-ERP_i)*AE279*Ramure*Pc/MaxiM</f>
        <v>3.3503719189732547E-3</v>
      </c>
      <c r="AE279" s="305">
        <f t="shared" si="117"/>
        <v>0.7</v>
      </c>
      <c r="AF279" s="177">
        <f t="shared" si="118"/>
        <v>9.3286152211502271E-2</v>
      </c>
      <c r="AG279" s="817">
        <f t="shared" si="124"/>
        <v>1</v>
      </c>
      <c r="AH279" s="176">
        <f t="shared" si="119"/>
        <v>7</v>
      </c>
      <c r="AI279" s="225">
        <f t="shared" si="120"/>
        <v>1.0932861522115023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45923</v>
      </c>
      <c r="B280" s="411">
        <f>'2024'!Wh/'2024'!Env_an*'2025'!Env_an</f>
        <v>17.662199593942209</v>
      </c>
      <c r="C280" s="846"/>
      <c r="D280" s="393">
        <f t="shared" si="102"/>
        <v>18.74394854447095</v>
      </c>
      <c r="E280" s="385">
        <f t="shared" si="100"/>
        <v>19.571643841403052</v>
      </c>
      <c r="F280" s="385">
        <f t="shared" si="103"/>
        <v>19.572088479975257</v>
      </c>
      <c r="G280" s="110">
        <f t="shared" si="101"/>
        <v>0.60867113497673442</v>
      </c>
      <c r="H280" s="414" t="b">
        <f>Wh_hp&gt;='2024'!Maxi_hp</f>
        <v>0</v>
      </c>
      <c r="I280" s="390">
        <f>IF(H280,Wh_hp,'2024'!Maxi_hp)</f>
        <v>30.447289439965701</v>
      </c>
      <c r="J280" s="85">
        <f>IF(H280,An,'2024'!An_max)</f>
        <v>2018</v>
      </c>
      <c r="K280" s="197">
        <f t="shared" si="104"/>
        <v>45923</v>
      </c>
      <c r="L280" s="147">
        <f>IF(t&lt;Tvie,1-EXP((T0-t)*PertePVj)+'2024'!Pspv,1-EXP((T0-t)*PertePVj)+Pspv)</f>
        <v>5.7711903549150234E-2</v>
      </c>
      <c r="M280" s="850"/>
      <c r="N280" s="850"/>
      <c r="O280" s="48">
        <f>IF(t&lt;Tnet,'2024'!Resal+('2024'!Salim-'2024'!Resal)*(1-EXP(('2024'!Tnet-t)/('2024'!Tau_j))),Resal+(Salim-Resal)*(1-EXP((Tnet-t)/(Tau_j))))*Salcycl</f>
        <v>4.2290535411294627E-2</v>
      </c>
      <c r="P280" s="169">
        <f>(INDEX(Models!$BJ280:$BT280,,T280)*(1-R280)+INDEX(Models!$BJ280:$BT280,,T280+1)*R280-ERP_i)*Q280*Ramure*Pc/MaxiM</f>
        <v>5.1516615368786519E-5</v>
      </c>
      <c r="Q280" s="305">
        <f t="shared" si="105"/>
        <v>0.7</v>
      </c>
      <c r="R280" s="177">
        <f t="shared" si="106"/>
        <v>0.46969611309101156</v>
      </c>
      <c r="S280" s="817">
        <f t="shared" si="107"/>
        <v>-2</v>
      </c>
      <c r="T280" s="176">
        <f t="shared" si="108"/>
        <v>4</v>
      </c>
      <c r="U280" s="251">
        <f t="shared" si="109"/>
        <v>-1.5303038869089884</v>
      </c>
      <c r="V280" s="383">
        <f t="shared" si="110"/>
        <v>29.016803854265419</v>
      </c>
      <c r="W280" s="402">
        <f t="shared" si="111"/>
        <v>17.662199593942209</v>
      </c>
      <c r="X280" s="157">
        <f t="shared" si="112"/>
        <v>45923</v>
      </c>
      <c r="Y280" s="385">
        <f t="shared" si="113"/>
        <v>16.339685457586054</v>
      </c>
      <c r="Z280" s="385">
        <f t="shared" si="114"/>
        <v>17.340434967957105</v>
      </c>
      <c r="AA280" s="386">
        <f t="shared" si="115"/>
        <v>19.536592871346624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0.11241253364144763</v>
      </c>
      <c r="AD280" s="231">
        <f>(INDEX(Models!$BJ280:$BT280,,AH280)*(1-AF280)+INDEX(Models!$BJ280:$BT280,,AH280+1)*AF280-ERP_i)*AE280*Ramure*Pc/MaxiM</f>
        <v>4.1125843129907001E-3</v>
      </c>
      <c r="AE280" s="305">
        <f t="shared" si="117"/>
        <v>0.7</v>
      </c>
      <c r="AF280" s="177">
        <f t="shared" si="118"/>
        <v>9.3559482467067578E-2</v>
      </c>
      <c r="AG280" s="817">
        <f t="shared" si="124"/>
        <v>1</v>
      </c>
      <c r="AH280" s="176">
        <f t="shared" si="119"/>
        <v>7</v>
      </c>
      <c r="AI280" s="225">
        <f t="shared" si="120"/>
        <v>1.0935594824670676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45924</v>
      </c>
      <c r="B281" s="411">
        <f>'2024'!Wh/'2024'!Env_an*'2025'!Env_an</f>
        <v>11.026497459570061</v>
      </c>
      <c r="C281" s="846"/>
      <c r="D281" s="393">
        <f t="shared" si="102"/>
        <v>11.702088793210306</v>
      </c>
      <c r="E281" s="385">
        <f t="shared" si="100"/>
        <v>12.220614315001059</v>
      </c>
      <c r="F281" s="385">
        <f t="shared" si="103"/>
        <v>12.220719266523988</v>
      </c>
      <c r="G281" s="110">
        <f t="shared" si="101"/>
        <v>0.38276302987977334</v>
      </c>
      <c r="H281" s="414" t="b">
        <f>Wh_hp&gt;='2024'!Maxi_hp</f>
        <v>0</v>
      </c>
      <c r="I281" s="390">
        <f>IF(H281,Wh_hp,'2024'!Maxi_hp)</f>
        <v>26.744687251171772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5.7732542076781246E-2</v>
      </c>
      <c r="M281" s="850"/>
      <c r="N281" s="850"/>
      <c r="O281" s="48">
        <f>IF(t&lt;Tnet,'2024'!Resal+('2024'!Salim-'2024'!Resal)*(1-EXP(('2024'!Tnet-t)/('2024'!Tau_j))),Resal+(Salim-Resal)*(1-EXP((Tnet-t)/(Tau_j))))*Salcycl</f>
        <v>4.2430397394527981E-2</v>
      </c>
      <c r="P281" s="169">
        <f>(INDEX(Models!$BJ281:$BT281,,T281)*(1-R281)+INDEX(Models!$BJ281:$BT281,,T281+1)*R281-ERP_i)*Q281*Ramure*Pc/MaxiM</f>
        <v>7.261478335462797E-5</v>
      </c>
      <c r="Q281" s="305">
        <f t="shared" si="105"/>
        <v>0.7</v>
      </c>
      <c r="R281" s="177">
        <f t="shared" si="106"/>
        <v>0.46995872288314766</v>
      </c>
      <c r="S281" s="817">
        <f t="shared" si="107"/>
        <v>-2</v>
      </c>
      <c r="T281" s="176">
        <f t="shared" si="108"/>
        <v>4</v>
      </c>
      <c r="U281" s="251">
        <f t="shared" si="109"/>
        <v>-1.5300412771168523</v>
      </c>
      <c r="V281" s="383">
        <f t="shared" si="110"/>
        <v>28.805790010057727</v>
      </c>
      <c r="W281" s="402">
        <f t="shared" si="111"/>
        <v>11.026497459570061</v>
      </c>
      <c r="X281" s="157">
        <f t="shared" si="112"/>
        <v>45924</v>
      </c>
      <c r="Y281" s="385">
        <f t="shared" si="113"/>
        <v>10.214437031953738</v>
      </c>
      <c r="Z281" s="385">
        <f t="shared" si="114"/>
        <v>10.840273582690221</v>
      </c>
      <c r="AA281" s="386">
        <f t="shared" si="115"/>
        <v>12.213523207799174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0.11243681301002795</v>
      </c>
      <c r="AD281" s="231">
        <f>(INDEX(Models!$BJ281:$BT281,,AH281)*(1-AF281)+INDEX(Models!$BJ281:$BT281,,AH281+1)*AF281-ERP_i)*AE281*Ramure*Pc/MaxiM</f>
        <v>4.9788724425487343E-3</v>
      </c>
      <c r="AE281" s="305">
        <f t="shared" si="117"/>
        <v>0.7</v>
      </c>
      <c r="AF281" s="177">
        <f t="shared" si="118"/>
        <v>9.3822092259203682E-2</v>
      </c>
      <c r="AG281" s="817">
        <f t="shared" si="124"/>
        <v>1</v>
      </c>
      <c r="AH281" s="176">
        <f t="shared" si="119"/>
        <v>7</v>
      </c>
      <c r="AI281" s="225">
        <f t="shared" si="120"/>
        <v>1.0938220922592037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45925</v>
      </c>
      <c r="B282" s="411">
        <f>'2024'!Wh/'2024'!Env_an*'2025'!Env_an</f>
        <v>20.606021762007753</v>
      </c>
      <c r="C282" s="846"/>
      <c r="D282" s="393">
        <f t="shared" si="102"/>
        <v>21.869027655980897</v>
      </c>
      <c r="E282" s="385">
        <f t="shared" si="100"/>
        <v>22.841373187367527</v>
      </c>
      <c r="F282" s="385">
        <f t="shared" si="103"/>
        <v>22.842828276130017</v>
      </c>
      <c r="G282" s="110">
        <f t="shared" si="101"/>
        <v>0.7206544908530389</v>
      </c>
      <c r="H282" s="414" t="b">
        <f>Wh_hp&gt;='2024'!Maxi_hp</f>
        <v>0</v>
      </c>
      <c r="I282" s="390">
        <f>IF(H282,Wh_hp,'2024'!Maxi_hp)</f>
        <v>31.944717903389673</v>
      </c>
      <c r="J282" s="85">
        <f>IF(H282,An,'2024'!An_max)</f>
        <v>2018</v>
      </c>
      <c r="K282" s="197">
        <f t="shared" si="104"/>
        <v>45925</v>
      </c>
      <c r="L282" s="147">
        <f>IF(t&lt;Tvie,1-EXP((T0-t)*PertePVj)+'2024'!Pspv,1-EXP((T0-t)*PertePVj)+Pspv)</f>
        <v>5.7753180152375405E-2</v>
      </c>
      <c r="M282" s="850"/>
      <c r="N282" s="850"/>
      <c r="O282" s="48">
        <f>IF(t&lt;Tnet,'2024'!Resal+('2024'!Salim-'2024'!Resal)*(1-EXP(('2024'!Tnet-t)/('2024'!Tau_j))),Resal+(Salim-Resal)*(1-EXP((Tnet-t)/(Tau_j))))*Salcycl</f>
        <v>4.2569486668357921E-2</v>
      </c>
      <c r="P282" s="169">
        <f>(INDEX(Models!$BJ282:$BT282,,T282)*(1-R282)+INDEX(Models!$BJ282:$BT282,,T282+1)*R282-ERP_i)*Q282*Ramure*Pc/MaxiM</f>
        <v>1.0599384635729372E-4</v>
      </c>
      <c r="Q282" s="305">
        <f t="shared" si="105"/>
        <v>0.7</v>
      </c>
      <c r="R282" s="177">
        <f t="shared" si="106"/>
        <v>0.47021102181036589</v>
      </c>
      <c r="S282" s="817">
        <f t="shared" si="107"/>
        <v>-2</v>
      </c>
      <c r="T282" s="176">
        <f t="shared" si="108"/>
        <v>4</v>
      </c>
      <c r="U282" s="251">
        <f t="shared" si="109"/>
        <v>-1.5297889781896341</v>
      </c>
      <c r="V282" s="383">
        <f t="shared" si="110"/>
        <v>28.592273357962199</v>
      </c>
      <c r="W282" s="402">
        <f t="shared" si="111"/>
        <v>20.606021762007753</v>
      </c>
      <c r="X282" s="157">
        <f t="shared" si="112"/>
        <v>45925</v>
      </c>
      <c r="Y282" s="385">
        <f t="shared" si="113"/>
        <v>19.034295331604401</v>
      </c>
      <c r="Z282" s="385">
        <f t="shared" si="114"/>
        <v>20.200965321042453</v>
      </c>
      <c r="AA282" s="386">
        <f t="shared" si="115"/>
        <v>22.760617959775242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0.11245971630719573</v>
      </c>
      <c r="AD282" s="231">
        <f>(INDEX(Models!$BJ282:$BT282,,AH282)*(1-AF282)+INDEX(Models!$BJ282:$BT282,,AH282+1)*AF282-ERP_i)*AE282*Ramure*Pc/MaxiM</f>
        <v>5.9884921561578573E-3</v>
      </c>
      <c r="AE282" s="305">
        <f t="shared" si="117"/>
        <v>0.7</v>
      </c>
      <c r="AF282" s="177">
        <f t="shared" si="118"/>
        <v>9.4074391186421913E-2</v>
      </c>
      <c r="AG282" s="817">
        <f t="shared" si="124"/>
        <v>1</v>
      </c>
      <c r="AH282" s="176">
        <f t="shared" si="119"/>
        <v>7</v>
      </c>
      <c r="AI282" s="225">
        <f t="shared" si="120"/>
        <v>1.0940743911864219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45926</v>
      </c>
      <c r="B283" s="411">
        <f>'2024'!Wh/'2024'!Env_an*'2025'!Env_an</f>
        <v>19.645360401925561</v>
      </c>
      <c r="C283" s="846"/>
      <c r="D283" s="393">
        <f t="shared" si="102"/>
        <v>20.849941099656242</v>
      </c>
      <c r="E283" s="385">
        <f t="shared" si="100"/>
        <v>21.780121855648229</v>
      </c>
      <c r="F283" s="385">
        <f t="shared" si="103"/>
        <v>21.781976415894913</v>
      </c>
      <c r="G283" s="110">
        <f t="shared" si="101"/>
        <v>0.69227534327847595</v>
      </c>
      <c r="H283" s="414" t="b">
        <f>Wh_hp&gt;='2024'!Maxi_hp</f>
        <v>0</v>
      </c>
      <c r="I283" s="390">
        <f>IF(H283,Wh_hp,'2024'!Maxi_hp)</f>
        <v>30.905032154620368</v>
      </c>
      <c r="J283" s="85">
        <f>IF(H283,An,'2024'!An_max)</f>
        <v>2018</v>
      </c>
      <c r="K283" s="197">
        <f t="shared" si="104"/>
        <v>45926</v>
      </c>
      <c r="L283" s="147">
        <f>IF(t&lt;Tvie,1-EXP((T0-t)*PertePVj)+'2024'!Pspv,1-EXP((T0-t)*PertePVj)+Pspv)</f>
        <v>5.7773817775942815E-2</v>
      </c>
      <c r="M283" s="850"/>
      <c r="N283" s="850"/>
      <c r="O283" s="48">
        <f>IF(t&lt;Tnet,'2024'!Resal+('2024'!Salim-'2024'!Resal)*(1-EXP(('2024'!Tnet-t)/('2024'!Tau_j))),Resal+(Salim-Resal)*(1-EXP((Tnet-t)/(Tau_j))))*Salcycl</f>
        <v>4.270778474780506E-2</v>
      </c>
      <c r="P283" s="169">
        <f>(INDEX(Models!$BJ283:$BT283,,T283)*(1-R283)+INDEX(Models!$BJ283:$BT283,,T283+1)*R283-ERP_i)*Q283*Ramure*Pc/MaxiM</f>
        <v>1.5191459858083199E-4</v>
      </c>
      <c r="Q283" s="305">
        <f t="shared" si="105"/>
        <v>0.7</v>
      </c>
      <c r="R283" s="177">
        <f t="shared" si="106"/>
        <v>0.47045340467074404</v>
      </c>
      <c r="S283" s="817">
        <f t="shared" si="107"/>
        <v>-2</v>
      </c>
      <c r="T283" s="176">
        <f t="shared" si="108"/>
        <v>4</v>
      </c>
      <c r="U283" s="251">
        <f t="shared" si="109"/>
        <v>-1.529546595329256</v>
      </c>
      <c r="V283" s="383">
        <f t="shared" si="110"/>
        <v>28.376062658425678</v>
      </c>
      <c r="W283" s="402">
        <f t="shared" si="111"/>
        <v>19.645360401925561</v>
      </c>
      <c r="X283" s="157">
        <f t="shared" si="112"/>
        <v>45926</v>
      </c>
      <c r="Y283" s="385">
        <f t="shared" si="113"/>
        <v>18.142410501996348</v>
      </c>
      <c r="Z283" s="385">
        <f t="shared" si="114"/>
        <v>19.254835881521029</v>
      </c>
      <c r="AA283" s="386">
        <f t="shared" si="115"/>
        <v>21.695130287790015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0.11248120540868008</v>
      </c>
      <c r="AD283" s="231">
        <f>(INDEX(Models!$BJ283:$BT283,,AH283)*(1-AF283)+INDEX(Models!$BJ283:$BT283,,AH283+1)*AF283-ERP_i)*AE283*Ramure*Pc/MaxiM</f>
        <v>7.1139207868501798E-3</v>
      </c>
      <c r="AE283" s="305">
        <f t="shared" si="117"/>
        <v>0.7</v>
      </c>
      <c r="AF283" s="177">
        <f t="shared" si="118"/>
        <v>9.4316774046799834E-2</v>
      </c>
      <c r="AG283" s="817">
        <f t="shared" si="124"/>
        <v>1</v>
      </c>
      <c r="AH283" s="176">
        <f t="shared" si="119"/>
        <v>7</v>
      </c>
      <c r="AI283" s="225">
        <f t="shared" si="120"/>
        <v>1.0943167740467998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45927</v>
      </c>
      <c r="B284" s="411">
        <f>'2024'!Wh/'2024'!Env_an*'2025'!Env_an</f>
        <v>9.8620863626686202</v>
      </c>
      <c r="C284" s="846"/>
      <c r="D284" s="393">
        <f t="shared" si="102"/>
        <v>10.467022205986943</v>
      </c>
      <c r="E284" s="385">
        <f t="shared" si="100"/>
        <v>10.935559230315034</v>
      </c>
      <c r="F284" s="385">
        <f t="shared" si="103"/>
        <v>10.93572460857296</v>
      </c>
      <c r="G284" s="110">
        <f t="shared" si="101"/>
        <v>0.35018537608208539</v>
      </c>
      <c r="H284" s="414" t="b">
        <f>Wh_hp&gt;='2024'!Maxi_hp</f>
        <v>0</v>
      </c>
      <c r="I284" s="390">
        <f>IF(H284,Wh_hp,'2024'!Maxi_hp)</f>
        <v>30.281766812625989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5.7794454947493246E-2</v>
      </c>
      <c r="M284" s="850"/>
      <c r="N284" s="850"/>
      <c r="O284" s="48">
        <f>IF(t&lt;Tnet,'2024'!Resal+('2024'!Salim-'2024'!Resal)*(1-EXP(('2024'!Tnet-t)/('2024'!Tau_j))),Resal+(Salim-Resal)*(1-EXP((Tnet-t)/(Tau_j))))*Salcycl</f>
        <v>4.2845273338123976E-2</v>
      </c>
      <c r="P284" s="169">
        <f>(INDEX(Models!$BJ284:$BT284,,T284)*(1-R284)+INDEX(Models!$BJ284:$BT284,,T284+1)*R284-ERP_i)*Q284*Ramure*Pc/MaxiM</f>
        <v>2.1064902538244829E-4</v>
      </c>
      <c r="Q284" s="305">
        <f t="shared" si="105"/>
        <v>0.7</v>
      </c>
      <c r="R284" s="177">
        <f t="shared" si="106"/>
        <v>0.47068625192981317</v>
      </c>
      <c r="S284" s="817">
        <f t="shared" si="107"/>
        <v>-2</v>
      </c>
      <c r="T284" s="176">
        <f t="shared" si="108"/>
        <v>4</v>
      </c>
      <c r="U284" s="251">
        <f t="shared" si="109"/>
        <v>-1.5293137480701868</v>
      </c>
      <c r="V284" s="383">
        <f t="shared" si="110"/>
        <v>28.156966880900089</v>
      </c>
      <c r="W284" s="402">
        <f t="shared" si="111"/>
        <v>9.8620863626686202</v>
      </c>
      <c r="X284" s="157">
        <f t="shared" si="112"/>
        <v>45927</v>
      </c>
      <c r="Y284" s="385">
        <f t="shared" si="113"/>
        <v>9.1390344826814935</v>
      </c>
      <c r="Z284" s="385">
        <f t="shared" si="114"/>
        <v>9.6996186561099016</v>
      </c>
      <c r="AA284" s="386">
        <f t="shared" si="115"/>
        <v>10.929163089763991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0.11250124310118984</v>
      </c>
      <c r="AD284" s="231">
        <f>(INDEX(Models!$BJ284:$BT284,,AH284)*(1-AF284)+INDEX(Models!$BJ284:$BT284,,AH284+1)*AF284-ERP_i)*AE284*Ramure*Pc/MaxiM</f>
        <v>8.3576738531252297E-3</v>
      </c>
      <c r="AE284" s="305">
        <f t="shared" si="117"/>
        <v>0.7</v>
      </c>
      <c r="AF284" s="177">
        <f t="shared" si="118"/>
        <v>9.4549621305869191E-2</v>
      </c>
      <c r="AG284" s="817">
        <f t="shared" si="124"/>
        <v>1</v>
      </c>
      <c r="AH284" s="176">
        <f t="shared" si="119"/>
        <v>7</v>
      </c>
      <c r="AI284" s="225">
        <f t="shared" si="120"/>
        <v>1.0945496213058692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45928</v>
      </c>
      <c r="B285" s="411">
        <f>'2024'!Wh/'2024'!Env_an*'2025'!Env_an</f>
        <v>11.169129270996271</v>
      </c>
      <c r="C285" s="846"/>
      <c r="D285" s="393">
        <f t="shared" si="102"/>
        <v>11.854498169322362</v>
      </c>
      <c r="E285" s="385">
        <f t="shared" si="100"/>
        <v>12.386911591348024</v>
      </c>
      <c r="F285" s="385">
        <f t="shared" si="103"/>
        <v>12.387410622196063</v>
      </c>
      <c r="G285" s="110">
        <f t="shared" si="101"/>
        <v>0.39973173090617292</v>
      </c>
      <c r="H285" s="414" t="b">
        <f>Wh_hp&gt;='2024'!Maxi_hp</f>
        <v>0</v>
      </c>
      <c r="I285" s="390">
        <f>IF(H285,Wh_hp,'2024'!Maxi_hp)</f>
        <v>29.367871929004963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5.7815091667036689E-2</v>
      </c>
      <c r="M285" s="850"/>
      <c r="N285" s="850"/>
      <c r="O285" s="48">
        <f>IF(t&lt;Tnet,'2024'!Resal+('2024'!Salim-'2024'!Resal)*(1-EXP(('2024'!Tnet-t)/('2024'!Tau_j))),Resal+(Salim-Resal)*(1-EXP((Tnet-t)/(Tau_j))))*Salcycl</f>
        <v>4.2981934447448737E-2</v>
      </c>
      <c r="P285" s="169">
        <f>(INDEX(Models!$BJ285:$BT285,,T285)*(1-R285)+INDEX(Models!$BJ285:$BT285,,T285+1)*R285-ERP_i)*Q285*Ramure*Pc/MaxiM</f>
        <v>2.8248151972425003E-4</v>
      </c>
      <c r="Q285" s="305">
        <f t="shared" si="105"/>
        <v>0.7</v>
      </c>
      <c r="R285" s="177">
        <f t="shared" si="106"/>
        <v>0.47090993017909977</v>
      </c>
      <c r="S285" s="817">
        <f t="shared" si="107"/>
        <v>-2</v>
      </c>
      <c r="T285" s="176">
        <f t="shared" si="108"/>
        <v>4</v>
      </c>
      <c r="U285" s="251">
        <f t="shared" si="109"/>
        <v>-1.5290900698209002</v>
      </c>
      <c r="V285" s="383">
        <f t="shared" si="110"/>
        <v>27.934795208977569</v>
      </c>
      <c r="W285" s="402">
        <f t="shared" si="111"/>
        <v>11.169129270996271</v>
      </c>
      <c r="X285" s="157">
        <f t="shared" si="112"/>
        <v>45928</v>
      </c>
      <c r="Y285" s="385">
        <f t="shared" si="113"/>
        <v>10.343625094151234</v>
      </c>
      <c r="Z285" s="385">
        <f t="shared" si="114"/>
        <v>10.978338755661589</v>
      </c>
      <c r="AA285" s="386">
        <f t="shared" si="115"/>
        <v>12.370235046975829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0.11251979336112278</v>
      </c>
      <c r="AD285" s="231">
        <f>(INDEX(Models!$BJ285:$BT285,,AH285)*(1-AF285)+INDEX(Models!$BJ285:$BT285,,AH285+1)*AF285-ERP_i)*AE285*Ramure*Pc/MaxiM</f>
        <v>9.7224101664644003E-3</v>
      </c>
      <c r="AE285" s="305">
        <f t="shared" si="117"/>
        <v>0.7</v>
      </c>
      <c r="AF285" s="177">
        <f t="shared" si="118"/>
        <v>9.4773299555155788E-2</v>
      </c>
      <c r="AG285" s="817">
        <f t="shared" si="124"/>
        <v>1</v>
      </c>
      <c r="AH285" s="176">
        <f t="shared" si="119"/>
        <v>7</v>
      </c>
      <c r="AI285" s="225">
        <f t="shared" si="120"/>
        <v>1.0947732995551558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45929</v>
      </c>
      <c r="B286" s="411">
        <f>'2024'!Wh/'2024'!Env_an*'2025'!Env_an</f>
        <v>15.205295926338307</v>
      </c>
      <c r="C286" s="846"/>
      <c r="D286" s="393">
        <f t="shared" si="102"/>
        <v>16.13868873737399</v>
      </c>
      <c r="E286" s="385">
        <f t="shared" si="100"/>
        <v>16.865908784393017</v>
      </c>
      <c r="F286" s="385">
        <f t="shared" si="103"/>
        <v>16.868112846933723</v>
      </c>
      <c r="G286" s="110">
        <f t="shared" si="101"/>
        <v>0.54861219188829635</v>
      </c>
      <c r="H286" s="414" t="b">
        <f>Wh_hp&gt;='2024'!Maxi_hp</f>
        <v>0</v>
      </c>
      <c r="I286" s="390">
        <f>IF(H286,Wh_hp,'2024'!Maxi_hp)</f>
        <v>29.816399783631852</v>
      </c>
      <c r="J286" s="85">
        <f>IF(H286,An,'2024'!An_max)</f>
        <v>2018</v>
      </c>
      <c r="K286" s="197">
        <f t="shared" si="104"/>
        <v>45929</v>
      </c>
      <c r="L286" s="147">
        <f>IF(t&lt;Tvie,1-EXP((T0-t)*PertePVj)+'2024'!Pspv,1-EXP((T0-t)*PertePVj)+Pspv)</f>
        <v>5.7835727934583026E-2</v>
      </c>
      <c r="M286" s="850"/>
      <c r="N286" s="850"/>
      <c r="O286" s="48">
        <f>IF(t&lt;Tnet,'2024'!Resal+('2024'!Salim-'2024'!Resal)*(1-EXP(('2024'!Tnet-t)/('2024'!Tau_j))),Resal+(Salim-Resal)*(1-EXP((Tnet-t)/(Tau_j))))*Salcycl</f>
        <v>4.3117750505799371E-2</v>
      </c>
      <c r="P286" s="169">
        <f>(INDEX(Models!$BJ286:$BT286,,T286)*(1-R286)+INDEX(Models!$BJ286:$BT286,,T286+1)*R286-ERP_i)*Q286*Ramure*Pc/MaxiM</f>
        <v>3.6771033335169378E-4</v>
      </c>
      <c r="Q286" s="305">
        <f t="shared" si="105"/>
        <v>0.7</v>
      </c>
      <c r="R286" s="177">
        <f t="shared" si="106"/>
        <v>0.47112479258501017</v>
      </c>
      <c r="S286" s="817">
        <f t="shared" si="107"/>
        <v>-2</v>
      </c>
      <c r="T286" s="176">
        <f t="shared" si="108"/>
        <v>4</v>
      </c>
      <c r="U286" s="251">
        <f t="shared" si="109"/>
        <v>-1.5288752074149898</v>
      </c>
      <c r="V286" s="383">
        <f t="shared" si="110"/>
        <v>27.709357041547968</v>
      </c>
      <c r="W286" s="402">
        <f t="shared" si="111"/>
        <v>15.205295926338307</v>
      </c>
      <c r="X286" s="157">
        <f t="shared" si="112"/>
        <v>45929</v>
      </c>
      <c r="Y286" s="385">
        <f t="shared" si="113"/>
        <v>14.047850890270928</v>
      </c>
      <c r="Z286" s="385">
        <f t="shared" si="114"/>
        <v>14.910192741097221</v>
      </c>
      <c r="AA286" s="386">
        <f t="shared" si="115"/>
        <v>16.800914229178805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0.11253682164497293</v>
      </c>
      <c r="AD286" s="231">
        <f>(INDEX(Models!$BJ286:$BT286,,AH286)*(1-AF286)+INDEX(Models!$BJ286:$BT286,,AH286+1)*AF286-ERP_i)*AE286*Ramure*Pc/MaxiM</f>
        <v>1.1210946004977254E-2</v>
      </c>
      <c r="AE286" s="305">
        <f t="shared" si="117"/>
        <v>0.7</v>
      </c>
      <c r="AF286" s="177">
        <f t="shared" si="118"/>
        <v>9.4988161961065964E-2</v>
      </c>
      <c r="AG286" s="817">
        <f t="shared" si="124"/>
        <v>1</v>
      </c>
      <c r="AH286" s="176">
        <f t="shared" si="119"/>
        <v>7</v>
      </c>
      <c r="AI286" s="225">
        <f t="shared" si="120"/>
        <v>1.094988161961066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45930</v>
      </c>
      <c r="B287" s="411">
        <f>'2024'!Wh/'2024'!Env_an*'2025'!Env_an</f>
        <v>18.961706401966527</v>
      </c>
      <c r="C287" s="846"/>
      <c r="D287" s="393">
        <f t="shared" si="102"/>
        <v>20.126131167687319</v>
      </c>
      <c r="E287" s="385">
        <f t="shared" si="100"/>
        <v>21.035994835975632</v>
      </c>
      <c r="F287" s="385">
        <f t="shared" si="103"/>
        <v>21.041465507644503</v>
      </c>
      <c r="G287" s="110">
        <f t="shared" si="101"/>
        <v>0.68986419769727825</v>
      </c>
      <c r="H287" s="414" t="b">
        <f>Wh_hp&gt;='2024'!Maxi_hp</f>
        <v>0</v>
      </c>
      <c r="I287" s="390">
        <f>IF(H287,Wh_hp,'2024'!Maxi_hp)</f>
        <v>27.899503681565321</v>
      </c>
      <c r="J287" s="85">
        <f>IF(H287,An,'2024'!An_max)</f>
        <v>2018</v>
      </c>
      <c r="K287" s="197">
        <f t="shared" si="104"/>
        <v>45930</v>
      </c>
      <c r="L287" s="147">
        <f>IF(t&lt;Tvie,1-EXP((T0-t)*PertePVj)+'2024'!Pspv,1-EXP((T0-t)*PertePVj)+Pspv)</f>
        <v>5.7856363750142137E-2</v>
      </c>
      <c r="M287" s="850"/>
      <c r="N287" s="850"/>
      <c r="O287" s="48">
        <f>IF(t&lt;Tnet,'2024'!Resal+('2024'!Salim-'2024'!Resal)*(1-EXP(('2024'!Tnet-t)/('2024'!Tau_j))),Resal+(Salim-Resal)*(1-EXP((Tnet-t)/(Tau_j))))*Salcycl</f>
        <v>4.3252704489747669E-2</v>
      </c>
      <c r="P287" s="169">
        <f>(INDEX(Models!$BJ287:$BT287,,T287)*(1-R287)+INDEX(Models!$BJ287:$BT287,,T287+1)*R287-ERP_i)*Q287*Ramure*Pc/MaxiM</f>
        <v>4.6664916821629102E-4</v>
      </c>
      <c r="Q287" s="305">
        <f t="shared" si="105"/>
        <v>0.7</v>
      </c>
      <c r="R287" s="177">
        <f t="shared" si="106"/>
        <v>0.47133117932781898</v>
      </c>
      <c r="S287" s="817">
        <f t="shared" si="107"/>
        <v>-2</v>
      </c>
      <c r="T287" s="176">
        <f t="shared" si="108"/>
        <v>4</v>
      </c>
      <c r="U287" s="251">
        <f t="shared" si="109"/>
        <v>-1.528668820672181</v>
      </c>
      <c r="V287" s="383">
        <f t="shared" si="110"/>
        <v>27.480461990602311</v>
      </c>
      <c r="W287" s="402">
        <f t="shared" si="111"/>
        <v>18.961706401966527</v>
      </c>
      <c r="X287" s="157">
        <f t="shared" si="112"/>
        <v>45930</v>
      </c>
      <c r="Y287" s="385">
        <f t="shared" si="113"/>
        <v>17.467115044606714</v>
      </c>
      <c r="Z287" s="385">
        <f t="shared" si="114"/>
        <v>18.539758028970446</v>
      </c>
      <c r="AA287" s="386">
        <f t="shared" si="115"/>
        <v>20.89109919206718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0.11255229518940738</v>
      </c>
      <c r="AD287" s="231">
        <f>(INDEX(Models!$BJ287:$BT287,,AH287)*(1-AF287)+INDEX(Models!$BJ287:$BT287,,AH287+1)*AF287-ERP_i)*AE287*Ramure*Pc/MaxiM</f>
        <v>1.28262707651079E-2</v>
      </c>
      <c r="AE287" s="305">
        <f t="shared" si="117"/>
        <v>0.7</v>
      </c>
      <c r="AF287" s="177">
        <f t="shared" si="118"/>
        <v>9.5194548703875004E-2</v>
      </c>
      <c r="AG287" s="817">
        <f t="shared" si="124"/>
        <v>1</v>
      </c>
      <c r="AH287" s="176">
        <f t="shared" si="119"/>
        <v>7</v>
      </c>
      <c r="AI287" s="225">
        <f t="shared" si="120"/>
        <v>1.095194548703875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45931</v>
      </c>
      <c r="B288" s="411">
        <f>'2024'!Wh/'2024'!Env_an*'2025'!Env_an</f>
        <v>24.308144751291188</v>
      </c>
      <c r="C288" s="846"/>
      <c r="D288" s="393">
        <f t="shared" si="102"/>
        <v>25.801455572599306</v>
      </c>
      <c r="E288" s="385">
        <f t="shared" si="100"/>
        <v>26.971669463234647</v>
      </c>
      <c r="F288" s="385">
        <f t="shared" si="103"/>
        <v>26.984899934016301</v>
      </c>
      <c r="G288" s="110">
        <f t="shared" si="101"/>
        <v>0.89203037024627219</v>
      </c>
      <c r="H288" s="414" t="b">
        <f>Wh_hp&gt;='2024'!Maxi_hp</f>
        <v>0</v>
      </c>
      <c r="I288" s="390">
        <f>IF(H288,Wh_hp,'2024'!Maxi_hp)</f>
        <v>29.54290748735184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5.7876999113723904E-2</v>
      </c>
      <c r="M288" s="850"/>
      <c r="N288" s="850"/>
      <c r="O288" s="48">
        <f>IF(t&lt;Tnet,'2024'!Resal+('2024'!Salim-'2024'!Resal)*(1-EXP(('2024'!Tnet-t)/('2024'!Tau_j))),Resal+(Salim-Resal)*(1-EXP((Tnet-t)/(Tau_j))))*Salcycl</f>
        <v>4.3386780051953081E-2</v>
      </c>
      <c r="P288" s="169">
        <f>(INDEX(Models!$BJ288:$BT288,,T288)*(1-R288)+INDEX(Models!$BJ288:$BT288,,T288+1)*R288-ERP_i)*Q288*Ramure*Pc/MaxiM</f>
        <v>5.7962892665695126E-4</v>
      </c>
      <c r="Q288" s="305">
        <f t="shared" si="105"/>
        <v>0.7</v>
      </c>
      <c r="R288" s="177">
        <f t="shared" si="106"/>
        <v>0.47152941803056736</v>
      </c>
      <c r="S288" s="817">
        <f t="shared" si="107"/>
        <v>-2</v>
      </c>
      <c r="T288" s="176">
        <f t="shared" si="108"/>
        <v>4</v>
      </c>
      <c r="U288" s="251">
        <f t="shared" si="109"/>
        <v>-1.5284705819694326</v>
      </c>
      <c r="V288" s="383">
        <f t="shared" si="110"/>
        <v>27.24791988368931</v>
      </c>
      <c r="W288" s="402">
        <f t="shared" si="111"/>
        <v>24.308144751291188</v>
      </c>
      <c r="X288" s="157">
        <f t="shared" si="112"/>
        <v>45931</v>
      </c>
      <c r="Y288" s="385">
        <f t="shared" si="113"/>
        <v>22.283230781758096</v>
      </c>
      <c r="Z288" s="385">
        <f t="shared" si="114"/>
        <v>23.652146015749285</v>
      </c>
      <c r="AA288" s="386">
        <f t="shared" si="115"/>
        <v>26.652292904729546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0.11256618331880466</v>
      </c>
      <c r="AD288" s="231">
        <f>(INDEX(Models!$BJ288:$BT288,,AH288)*(1-AF288)+INDEX(Models!$BJ288:$BT288,,AH288+1)*AF288-ERP_i)*AE288*Ramure*Pc/MaxiM</f>
        <v>1.4571564275050141E-2</v>
      </c>
      <c r="AE288" s="305">
        <f t="shared" si="117"/>
        <v>0.7</v>
      </c>
      <c r="AF288" s="177">
        <f t="shared" si="118"/>
        <v>9.5392787406623158E-2</v>
      </c>
      <c r="AG288" s="817">
        <f t="shared" si="124"/>
        <v>1</v>
      </c>
      <c r="AH288" s="176">
        <f t="shared" si="119"/>
        <v>7</v>
      </c>
      <c r="AI288" s="225">
        <f t="shared" si="120"/>
        <v>1.0953927874066232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45932</v>
      </c>
      <c r="B289" s="411">
        <f>'2024'!Wh/'2024'!Env_an*'2025'!Env_an</f>
        <v>25.531095836735485</v>
      </c>
      <c r="C289" s="846"/>
      <c r="D289" s="393">
        <f t="shared" si="102"/>
        <v>27.100129199147084</v>
      </c>
      <c r="E289" s="385">
        <f t="shared" si="100"/>
        <v>28.333188475140471</v>
      </c>
      <c r="F289" s="385">
        <f t="shared" si="103"/>
        <v>28.351662845516163</v>
      </c>
      <c r="G289" s="110">
        <f t="shared" si="101"/>
        <v>0.9451228887126496</v>
      </c>
      <c r="H289" s="414" t="b">
        <f>Wh_hp&gt;='2024'!Maxi_hp</f>
        <v>0</v>
      </c>
      <c r="I289" s="390">
        <f>IF(H289,Wh_hp,'2024'!Maxi_hp)</f>
        <v>29.656559533352279</v>
      </c>
      <c r="J289" s="85">
        <f>IF(H289,An,'2024'!An_max)</f>
        <v>2018</v>
      </c>
      <c r="K289" s="197">
        <f t="shared" si="104"/>
        <v>45932</v>
      </c>
      <c r="L289" s="147">
        <f>IF(t&lt;Tvie,1-EXP((T0-t)*PertePVj)+'2024'!Pspv,1-EXP((T0-t)*PertePVj)+Pspv)</f>
        <v>5.7897634025338207E-2</v>
      </c>
      <c r="M289" s="850"/>
      <c r="N289" s="850"/>
      <c r="O289" s="48">
        <f>IF(t&lt;Tnet,'2024'!Resal+('2024'!Salim-'2024'!Resal)*(1-EXP(('2024'!Tnet-t)/('2024'!Tau_j))),Resal+(Salim-Resal)*(1-EXP((Tnet-t)/(Tau_j))))*Salcycl</f>
        <v>4.3519961654695981E-2</v>
      </c>
      <c r="P289" s="169">
        <f>(INDEX(Models!$BJ289:$BT289,,T289)*(1-R289)+INDEX(Models!$BJ289:$BT289,,T289+1)*R289-ERP_i)*Q289*Ramure*Pc/MaxiM</f>
        <v>7.0698702851558905E-4</v>
      </c>
      <c r="Q289" s="305">
        <f t="shared" si="105"/>
        <v>0.7</v>
      </c>
      <c r="R289" s="177">
        <f t="shared" si="106"/>
        <v>0.47171982417772362</v>
      </c>
      <c r="S289" s="817">
        <f t="shared" si="107"/>
        <v>-2</v>
      </c>
      <c r="T289" s="176">
        <f t="shared" si="108"/>
        <v>4</v>
      </c>
      <c r="U289" s="251">
        <f t="shared" si="109"/>
        <v>-1.5282801758222764</v>
      </c>
      <c r="V289" s="383">
        <f t="shared" si="110"/>
        <v>27.012023000079466</v>
      </c>
      <c r="W289" s="402">
        <f t="shared" si="111"/>
        <v>25.531095836735485</v>
      </c>
      <c r="X289" s="157">
        <f t="shared" si="112"/>
        <v>45932</v>
      </c>
      <c r="Y289" s="385">
        <f t="shared" si="113"/>
        <v>23.3438021862132</v>
      </c>
      <c r="Z289" s="385">
        <f t="shared" si="114"/>
        <v>24.77841371522576</v>
      </c>
      <c r="AA289" s="386">
        <f t="shared" si="115"/>
        <v>27.921807772010908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0.11257845775788623</v>
      </c>
      <c r="AD289" s="231">
        <f>(INDEX(Models!$BJ289:$BT289,,AH289)*(1-AF289)+INDEX(Models!$BJ289:$BT289,,AH289+1)*AF289-ERP_i)*AE289*Ramure*Pc/MaxiM</f>
        <v>1.6449922510469901E-2</v>
      </c>
      <c r="AE289" s="305">
        <f t="shared" si="117"/>
        <v>0.7</v>
      </c>
      <c r="AF289" s="177">
        <f t="shared" si="118"/>
        <v>9.5583193553779644E-2</v>
      </c>
      <c r="AG289" s="817">
        <f t="shared" si="124"/>
        <v>1</v>
      </c>
      <c r="AH289" s="176">
        <f t="shared" si="119"/>
        <v>7</v>
      </c>
      <c r="AI289" s="225">
        <f t="shared" si="120"/>
        <v>1.0955831935537796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45933</v>
      </c>
      <c r="B290" s="411">
        <f>'2024'!Wh/'2024'!Env_an*'2025'!Env_an</f>
        <v>23.599023053835587</v>
      </c>
      <c r="C290" s="846"/>
      <c r="D290" s="393">
        <f t="shared" si="102"/>
        <v>25.049868036274212</v>
      </c>
      <c r="E290" s="385">
        <f t="shared" si="100"/>
        <v>26.193262477677685</v>
      </c>
      <c r="F290" s="385">
        <f t="shared" si="103"/>
        <v>26.211815851568353</v>
      </c>
      <c r="G290" s="110">
        <f t="shared" si="101"/>
        <v>0.88131767844736408</v>
      </c>
      <c r="H290" s="414" t="b">
        <f>Wh_hp&gt;='2024'!Maxi_hp</f>
        <v>0</v>
      </c>
      <c r="I290" s="390">
        <f>IF(H290,Wh_hp,'2024'!Maxi_hp)</f>
        <v>28.585247689548495</v>
      </c>
      <c r="J290" s="85">
        <f>IF(H290,An,'2024'!An_max)</f>
        <v>2018</v>
      </c>
      <c r="K290" s="197">
        <f t="shared" si="104"/>
        <v>45933</v>
      </c>
      <c r="L290" s="147">
        <f>IF(t&lt;Tvie,1-EXP((T0-t)*PertePVj)+'2024'!Pspv,1-EXP((T0-t)*PertePVj)+Pspv)</f>
        <v>5.7918268484995039E-2</v>
      </c>
      <c r="M290" s="850"/>
      <c r="N290" s="850"/>
      <c r="O290" s="48">
        <f>IF(t&lt;Tnet,'2024'!Resal+('2024'!Salim-'2024'!Resal)*(1-EXP(('2024'!Tnet-t)/('2024'!Tau_j))),Resal+(Salim-Resal)*(1-EXP((Tnet-t)/(Tau_j))))*Salcycl</f>
        <v>4.3652234706459042E-2</v>
      </c>
      <c r="P290" s="169">
        <f>(INDEX(Models!$BJ290:$BT290,,T290)*(1-R290)+INDEX(Models!$BJ290:$BT290,,T290+1)*R290-ERP_i)*Q290*Ramure*Pc/MaxiM</f>
        <v>8.5214833895872605E-4</v>
      </c>
      <c r="Q290" s="305">
        <f t="shared" si="105"/>
        <v>0.7</v>
      </c>
      <c r="R290" s="177">
        <f t="shared" si="106"/>
        <v>0.47190270152351177</v>
      </c>
      <c r="S290" s="817">
        <f t="shared" si="107"/>
        <v>-2</v>
      </c>
      <c r="T290" s="176">
        <f t="shared" si="108"/>
        <v>4</v>
      </c>
      <c r="U290" s="251">
        <f t="shared" si="109"/>
        <v>-1.5280972984764882</v>
      </c>
      <c r="V290" s="383">
        <f t="shared" si="110"/>
        <v>26.773109543107928</v>
      </c>
      <c r="W290" s="402">
        <f t="shared" si="111"/>
        <v>23.599023053835587</v>
      </c>
      <c r="X290" s="157">
        <f t="shared" si="112"/>
        <v>45933</v>
      </c>
      <c r="Y290" s="385">
        <f t="shared" si="113"/>
        <v>21.577742611554235</v>
      </c>
      <c r="Z290" s="385">
        <f t="shared" si="114"/>
        <v>22.904321238513006</v>
      </c>
      <c r="AA290" s="386">
        <f t="shared" si="115"/>
        <v>25.810276903823613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0.11258909294693036</v>
      </c>
      <c r="AD290" s="231">
        <f>(INDEX(Models!$BJ290:$BT290,,AH290)*(1-AF290)+INDEX(Models!$BJ290:$BT290,,AH290+1)*AF290-ERP_i)*AE290*Ramure*Pc/MaxiM</f>
        <v>1.8442508050787249E-2</v>
      </c>
      <c r="AE290" s="305">
        <f t="shared" si="117"/>
        <v>0.7</v>
      </c>
      <c r="AF290" s="177">
        <f t="shared" si="118"/>
        <v>9.576607089956779E-2</v>
      </c>
      <c r="AG290" s="817">
        <f t="shared" si="124"/>
        <v>1</v>
      </c>
      <c r="AH290" s="176">
        <f t="shared" si="119"/>
        <v>7</v>
      </c>
      <c r="AI290" s="225">
        <f t="shared" si="120"/>
        <v>1.0957660708995678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45934</v>
      </c>
      <c r="B291" s="411">
        <f>'2024'!Wh/'2024'!Env_an*'2025'!Env_an</f>
        <v>26.40680474212251</v>
      </c>
      <c r="C291" s="846"/>
      <c r="D291" s="393">
        <f t="shared" si="102"/>
        <v>28.030883359895885</v>
      </c>
      <c r="E291" s="385">
        <f t="shared" si="100"/>
        <v>29.314371663899657</v>
      </c>
      <c r="F291" s="385">
        <f t="shared" si="103"/>
        <v>29.343863683607928</v>
      </c>
      <c r="G291" s="110">
        <f t="shared" si="101"/>
        <v>0.99530154971646412</v>
      </c>
      <c r="H291" s="414" t="b">
        <f>Wh_hp&gt;='2024'!Maxi_hp</f>
        <v>1</v>
      </c>
      <c r="I291" s="390">
        <f>IF(H291,Wh_hp,'2024'!Maxi_hp)</f>
        <v>29.343863683607928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5.7938902492704281E-2</v>
      </c>
      <c r="M291" s="850"/>
      <c r="N291" s="850"/>
      <c r="O291" s="48">
        <f>IF(t&lt;Tnet,'2024'!Resal+('2024'!Salim-'2024'!Resal)*(1-EXP(('2024'!Tnet-t)/('2024'!Tau_j))),Resal+(Salim-Resal)*(1-EXP((Tnet-t)/(Tau_j))))*Salcycl</f>
        <v>4.3783585700537961E-2</v>
      </c>
      <c r="P291" s="169">
        <f>(INDEX(Models!$BJ291:$BT291,,T291)*(1-R291)+INDEX(Models!$BJ291:$BT291,,T291+1)*R291-ERP_i)*Q291*Ramure*Pc/MaxiM</f>
        <v>1.0118306746130169E-3</v>
      </c>
      <c r="Q291" s="305">
        <f t="shared" si="105"/>
        <v>0.7</v>
      </c>
      <c r="R291" s="177">
        <f t="shared" si="106"/>
        <v>0.47207834248984226</v>
      </c>
      <c r="S291" s="817">
        <f t="shared" si="107"/>
        <v>-2</v>
      </c>
      <c r="T291" s="176">
        <f t="shared" si="108"/>
        <v>4</v>
      </c>
      <c r="U291" s="251">
        <f t="shared" si="109"/>
        <v>-1.5279216575101577</v>
      </c>
      <c r="V291" s="383">
        <f t="shared" si="110"/>
        <v>26.53128138511433</v>
      </c>
      <c r="W291" s="402">
        <f t="shared" si="111"/>
        <v>26.40680474212251</v>
      </c>
      <c r="X291" s="157">
        <f t="shared" si="112"/>
        <v>45934</v>
      </c>
      <c r="Y291" s="385">
        <f t="shared" si="113"/>
        <v>24.031963472651704</v>
      </c>
      <c r="Z291" s="385">
        <f t="shared" si="114"/>
        <v>25.509983945033447</v>
      </c>
      <c r="AA291" s="386">
        <f t="shared" si="115"/>
        <v>28.746820327860966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0.11259806635693993</v>
      </c>
      <c r="AD291" s="231">
        <f>(INDEX(Models!$BJ291:$BT291,,AH291)*(1-AF291)+INDEX(Models!$BJ291:$BT291,,AH291+1)*AF291-ERP_i)*AE291*Ramure*Pc/MaxiM</f>
        <v>2.0483737207364322E-2</v>
      </c>
      <c r="AE291" s="305">
        <f t="shared" si="117"/>
        <v>0.7</v>
      </c>
      <c r="AF291" s="177">
        <f t="shared" si="118"/>
        <v>9.5941711865898061E-2</v>
      </c>
      <c r="AG291" s="817">
        <f t="shared" si="124"/>
        <v>1</v>
      </c>
      <c r="AH291" s="176">
        <f t="shared" si="119"/>
        <v>7</v>
      </c>
      <c r="AI291" s="225">
        <f t="shared" si="120"/>
        <v>1.0959417118658981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45935</v>
      </c>
      <c r="B292" s="411">
        <f>'2024'!Wh/'2024'!Env_an*'2025'!Env_an</f>
        <v>26.55676241040106</v>
      </c>
      <c r="C292" s="846"/>
      <c r="D292" s="393">
        <f t="shared" si="102"/>
        <v>28.190681214482971</v>
      </c>
      <c r="E292" s="385">
        <f t="shared" si="100"/>
        <v>29.485507876811948</v>
      </c>
      <c r="F292" s="385">
        <f t="shared" si="103"/>
        <v>29.520531135154272</v>
      </c>
      <c r="G292" s="110">
        <f t="shared" si="101"/>
        <v>1.0102798254760541</v>
      </c>
      <c r="H292" s="414" t="b">
        <f>Wh_hp&gt;='2024'!Maxi_hp</f>
        <v>1</v>
      </c>
      <c r="I292" s="390">
        <f>IF(H292,Wh_hp,'2024'!Maxi_hp)</f>
        <v>29.520531135154272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5.7959536048475702E-2</v>
      </c>
      <c r="M292" s="850"/>
      <c r="N292" s="850"/>
      <c r="O292" s="48">
        <f>IF(t&lt;Tnet,'2024'!Resal+('2024'!Salim-'2024'!Resal)*(1-EXP(('2024'!Tnet-t)/('2024'!Tau_j))),Resal+(Salim-Resal)*(1-EXP((Tnet-t)/(Tau_j))))*Salcycl</f>
        <v>4.3914002354602778E-2</v>
      </c>
      <c r="P292" s="169">
        <f>(INDEX(Models!$BJ292:$BT292,,T292)*(1-R292)+INDEX(Models!$BJ292:$BT292,,T292+1)*R292-ERP_i)*Q292*Ramure*Pc/MaxiM</f>
        <v>1.1864033943690187E-3</v>
      </c>
      <c r="Q292" s="305">
        <f t="shared" si="105"/>
        <v>0.7</v>
      </c>
      <c r="R292" s="177">
        <f t="shared" si="106"/>
        <v>0.47224702855382383</v>
      </c>
      <c r="S292" s="817">
        <f t="shared" si="107"/>
        <v>-2</v>
      </c>
      <c r="T292" s="176">
        <f t="shared" si="108"/>
        <v>4</v>
      </c>
      <c r="U292" s="251">
        <f t="shared" si="109"/>
        <v>-1.5277529714461762</v>
      </c>
      <c r="V292" s="383">
        <f t="shared" si="110"/>
        <v>26.286541352923923</v>
      </c>
      <c r="W292" s="402">
        <f t="shared" si="111"/>
        <v>26.55676241040106</v>
      </c>
      <c r="X292" s="157">
        <f t="shared" si="112"/>
        <v>45935</v>
      </c>
      <c r="Y292" s="385">
        <f t="shared" si="113"/>
        <v>24.120923009600713</v>
      </c>
      <c r="Z292" s="385">
        <f t="shared" si="114"/>
        <v>25.604975510735525</v>
      </c>
      <c r="AA292" s="386">
        <f t="shared" si="115"/>
        <v>28.854102021812416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0.11260535880204123</v>
      </c>
      <c r="AD292" s="231">
        <f>(INDEX(Models!$BJ292:$BT292,,AH292)*(1-AF292)+INDEX(Models!$BJ292:$BT292,,AH292+1)*AF292-ERP_i)*AE292*Ramure*Pc/MaxiM</f>
        <v>2.257510578961917E-2</v>
      </c>
      <c r="AE292" s="305">
        <f t="shared" si="117"/>
        <v>0.7</v>
      </c>
      <c r="AF292" s="177">
        <f t="shared" si="118"/>
        <v>9.6110397929879854E-2</v>
      </c>
      <c r="AG292" s="817">
        <f t="shared" si="124"/>
        <v>1</v>
      </c>
      <c r="AH292" s="176">
        <f t="shared" si="119"/>
        <v>7</v>
      </c>
      <c r="AI292" s="225">
        <f t="shared" si="120"/>
        <v>1.0961103979298799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45936</v>
      </c>
      <c r="B293" s="411">
        <f>'2024'!Wh/'2024'!Env_an*'2025'!Env_an</f>
        <v>8.7457204913596609</v>
      </c>
      <c r="C293" s="846"/>
      <c r="D293" s="393">
        <f t="shared" si="102"/>
        <v>9.2840088976574808</v>
      </c>
      <c r="E293" s="385">
        <f t="shared" si="100"/>
        <v>9.7117480164890875</v>
      </c>
      <c r="F293" s="385">
        <f t="shared" si="103"/>
        <v>9.7124329951554387</v>
      </c>
      <c r="G293" s="110">
        <f t="shared" si="101"/>
        <v>0.3354328611551245</v>
      </c>
      <c r="H293" s="414" t="b">
        <f>Wh_hp&gt;='2024'!Maxi_hp</f>
        <v>0</v>
      </c>
      <c r="I293" s="390">
        <f>IF(H293,Wh_hp,'2024'!Maxi_hp)</f>
        <v>25.825303664148674</v>
      </c>
      <c r="J293" s="85">
        <f>IF(H293,An,'2024'!An_max)</f>
        <v>2018</v>
      </c>
      <c r="K293" s="197">
        <f t="shared" si="104"/>
        <v>45936</v>
      </c>
      <c r="L293" s="147">
        <f>IF(t&lt;Tvie,1-EXP((T0-t)*PertePVj)+'2024'!Pspv,1-EXP((T0-t)*PertePVj)+Pspv)</f>
        <v>5.7980169152319405E-2</v>
      </c>
      <c r="M293" s="850"/>
      <c r="N293" s="850"/>
      <c r="O293" s="48">
        <f>IF(t&lt;Tnet,'2024'!Resal+('2024'!Salim-'2024'!Resal)*(1-EXP(('2024'!Tnet-t)/('2024'!Tau_j))),Resal+(Salim-Resal)*(1-EXP((Tnet-t)/(Tau_j))))*Salcycl</f>
        <v>4.4043473750077798E-2</v>
      </c>
      <c r="P293" s="169">
        <f>(INDEX(Models!$BJ293:$BT293,,T293)*(1-R293)+INDEX(Models!$BJ293:$BT293,,T293+1)*R293-ERP_i)*Q293*Ramure*Pc/MaxiM</f>
        <v>1.3762525528415572E-3</v>
      </c>
      <c r="Q293" s="305">
        <f t="shared" si="105"/>
        <v>0.7</v>
      </c>
      <c r="R293" s="177">
        <f t="shared" si="106"/>
        <v>0.47240903062486295</v>
      </c>
      <c r="S293" s="817">
        <f t="shared" si="107"/>
        <v>-2</v>
      </c>
      <c r="T293" s="176">
        <f t="shared" si="108"/>
        <v>4</v>
      </c>
      <c r="U293" s="251">
        <f t="shared" si="109"/>
        <v>-1.5275909693751371</v>
      </c>
      <c r="V293" s="383">
        <f t="shared" si="110"/>
        <v>26.0388923614635</v>
      </c>
      <c r="W293" s="402">
        <f t="shared" si="111"/>
        <v>8.7457204913596609</v>
      </c>
      <c r="X293" s="157">
        <f t="shared" si="112"/>
        <v>45936</v>
      </c>
      <c r="Y293" s="385">
        <f t="shared" si="113"/>
        <v>8.108708397938738</v>
      </c>
      <c r="Z293" s="385">
        <f t="shared" si="114"/>
        <v>8.6077894885101109</v>
      </c>
      <c r="AA293" s="386">
        <f t="shared" si="115"/>
        <v>9.7001304383348224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0.11261095474631877</v>
      </c>
      <c r="AD293" s="231">
        <f>(INDEX(Models!$BJ293:$BT293,,AH293)*(1-AF293)+INDEX(Models!$BJ293:$BT293,,AH293+1)*AF293-ERP_i)*AE293*Ramure*Pc/MaxiM</f>
        <v>2.4718178919442467E-2</v>
      </c>
      <c r="AE293" s="305">
        <f t="shared" si="117"/>
        <v>0.7</v>
      </c>
      <c r="AF293" s="177">
        <f t="shared" si="118"/>
        <v>9.6272400000918967E-2</v>
      </c>
      <c r="AG293" s="817">
        <f t="shared" si="124"/>
        <v>1</v>
      </c>
      <c r="AH293" s="176">
        <f t="shared" si="119"/>
        <v>7</v>
      </c>
      <c r="AI293" s="225">
        <f t="shared" si="120"/>
        <v>1.096272400000919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45937</v>
      </c>
      <c r="B294" s="411">
        <f>'2024'!Wh/'2024'!Env_an*'2025'!Env_an</f>
        <v>18.21786760207824</v>
      </c>
      <c r="C294" s="846"/>
      <c r="D294" s="393">
        <f t="shared" si="102"/>
        <v>19.339578671586537</v>
      </c>
      <c r="E294" s="385">
        <f t="shared" si="100"/>
        <v>20.233324906537938</v>
      </c>
      <c r="F294" s="385">
        <f t="shared" si="103"/>
        <v>20.251924757531491</v>
      </c>
      <c r="G294" s="110">
        <f t="shared" si="101"/>
        <v>0.70596918425759281</v>
      </c>
      <c r="H294" s="414" t="b">
        <f>Wh_hp&gt;='2024'!Maxi_hp</f>
        <v>0</v>
      </c>
      <c r="I294" s="390">
        <f>IF(H294,Wh_hp,'2024'!Maxi_hp)</f>
        <v>28.972781254005142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5.8000801804245161E-2</v>
      </c>
      <c r="M294" s="850"/>
      <c r="N294" s="850"/>
      <c r="O294" s="48">
        <f>IF(t&lt;Tnet,'2024'!Resal+('2024'!Salim-'2024'!Resal)*(1-EXP(('2024'!Tnet-t)/('2024'!Tau_j))),Resal+(Salim-Resal)*(1-EXP((Tnet-t)/(Tau_j))))*Salcycl</f>
        <v>4.4171990470167705E-2</v>
      </c>
      <c r="P294" s="169">
        <f>(INDEX(Models!$BJ294:$BT294,,T294)*(1-R294)+INDEX(Models!$BJ294:$BT294,,T294+1)*R294-ERP_i)*Q294*Ramure*Pc/MaxiM</f>
        <v>1.5817820446220379E-3</v>
      </c>
      <c r="Q294" s="305">
        <f t="shared" si="105"/>
        <v>0.7</v>
      </c>
      <c r="R294" s="177">
        <f t="shared" si="106"/>
        <v>0.47256460941138601</v>
      </c>
      <c r="S294" s="817">
        <f t="shared" si="107"/>
        <v>-2</v>
      </c>
      <c r="T294" s="176">
        <f t="shared" si="108"/>
        <v>4</v>
      </c>
      <c r="U294" s="251">
        <f t="shared" si="109"/>
        <v>-1.527435390588614</v>
      </c>
      <c r="V294" s="383">
        <f t="shared" si="110"/>
        <v>25.788337405110578</v>
      </c>
      <c r="W294" s="402">
        <f t="shared" si="111"/>
        <v>18.21786760207824</v>
      </c>
      <c r="X294" s="157">
        <f t="shared" si="112"/>
        <v>45937</v>
      </c>
      <c r="Y294" s="385">
        <f t="shared" si="113"/>
        <v>16.664356664376349</v>
      </c>
      <c r="Z294" s="385">
        <f t="shared" si="114"/>
        <v>17.690414913615843</v>
      </c>
      <c r="AA294" s="386">
        <f t="shared" si="115"/>
        <v>19.935441522926599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0.11261484260225083</v>
      </c>
      <c r="AD294" s="231">
        <f>(INDEX(Models!$BJ294:$BT294,,AH294)*(1-AF294)+INDEX(Models!$BJ294:$BT294,,AH294+1)*AF294-ERP_i)*AE294*Ramure*Pc/MaxiM</f>
        <v>2.6914597224218281E-2</v>
      </c>
      <c r="AE294" s="305">
        <f t="shared" si="117"/>
        <v>0.7</v>
      </c>
      <c r="AF294" s="177">
        <f t="shared" si="118"/>
        <v>9.6427978787441804E-2</v>
      </c>
      <c r="AG294" s="817">
        <f t="shared" si="124"/>
        <v>1</v>
      </c>
      <c r="AH294" s="176">
        <f t="shared" si="119"/>
        <v>7</v>
      </c>
      <c r="AI294" s="225">
        <f t="shared" si="120"/>
        <v>1.0964279787874418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45938</v>
      </c>
      <c r="B295" s="411">
        <f>'2024'!Wh/'2024'!Env_an*'2025'!Env_an</f>
        <v>11.556975134331765</v>
      </c>
      <c r="C295" s="846"/>
      <c r="D295" s="393">
        <f t="shared" si="102"/>
        <v>12.268830259545487</v>
      </c>
      <c r="E295" s="385">
        <f t="shared" si="100"/>
        <v>12.837526854737876</v>
      </c>
      <c r="F295" s="385">
        <f t="shared" si="103"/>
        <v>12.842575697729329</v>
      </c>
      <c r="G295" s="110">
        <f t="shared" si="101"/>
        <v>0.45195710075929924</v>
      </c>
      <c r="H295" s="414" t="b">
        <f>Wh_hp&gt;='2024'!Maxi_hp</f>
        <v>0</v>
      </c>
      <c r="I295" s="390">
        <f>IF(H295,Wh_hp,'2024'!Maxi_hp)</f>
        <v>28.425909994617459</v>
      </c>
      <c r="J295" s="85">
        <f>IF(H295,An,'2024'!An_max)</f>
        <v>2021</v>
      </c>
      <c r="K295" s="197">
        <f t="shared" si="104"/>
        <v>45938</v>
      </c>
      <c r="L295" s="147">
        <f>IF(t&lt;Tvie,1-EXP((T0-t)*PertePVj)+'2024'!Pspv,1-EXP((T0-t)*PertePVj)+Pspv)</f>
        <v>5.8021434004262851E-2</v>
      </c>
      <c r="M295" s="850"/>
      <c r="N295" s="850"/>
      <c r="O295" s="48">
        <f>IF(t&lt;Tnet,'2024'!Resal+('2024'!Salim-'2024'!Resal)*(1-EXP(('2024'!Tnet-t)/('2024'!Tau_j))),Resal+(Salim-Resal)*(1-EXP((Tnet-t)/(Tau_j))))*Salcycl</f>
        <v>4.4299544735324423E-2</v>
      </c>
      <c r="P295" s="169">
        <f>(INDEX(Models!$BJ295:$BT295,,T295)*(1-R295)+INDEX(Models!$BJ295:$BT295,,T295+1)*R295-ERP_i)*Q295*Ramure*Pc/MaxiM</f>
        <v>1.8034148789512884E-3</v>
      </c>
      <c r="Q295" s="305">
        <f t="shared" si="105"/>
        <v>0.7</v>
      </c>
      <c r="R295" s="177">
        <f t="shared" si="106"/>
        <v>0.47271401577724714</v>
      </c>
      <c r="S295" s="817">
        <f t="shared" si="107"/>
        <v>-2</v>
      </c>
      <c r="T295" s="176">
        <f t="shared" si="108"/>
        <v>4</v>
      </c>
      <c r="U295" s="251">
        <f t="shared" si="109"/>
        <v>-1.5272859842227529</v>
      </c>
      <c r="V295" s="383">
        <f t="shared" si="110"/>
        <v>25.534879559830085</v>
      </c>
      <c r="W295" s="402">
        <f t="shared" si="111"/>
        <v>11.556975134331765</v>
      </c>
      <c r="X295" s="157">
        <f t="shared" si="112"/>
        <v>45938</v>
      </c>
      <c r="Y295" s="385">
        <f t="shared" si="113"/>
        <v>10.666800726663944</v>
      </c>
      <c r="Z295" s="385">
        <f t="shared" si="114"/>
        <v>11.323825309537048</v>
      </c>
      <c r="AA295" s="386">
        <f t="shared" si="115"/>
        <v>12.760922286294843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0.11261701501789011</v>
      </c>
      <c r="AD295" s="231">
        <f>(INDEX(Models!$BJ295:$BT295,,AH295)*(1-AF295)+INDEX(Models!$BJ295:$BT295,,AH295+1)*AF295-ERP_i)*AE295*Ramure*Pc/MaxiM</f>
        <v>2.916608366458865E-2</v>
      </c>
      <c r="AE295" s="305">
        <f t="shared" si="117"/>
        <v>0.7</v>
      </c>
      <c r="AF295" s="177">
        <f t="shared" si="118"/>
        <v>9.6577385153302941E-2</v>
      </c>
      <c r="AG295" s="817">
        <f t="shared" si="124"/>
        <v>1</v>
      </c>
      <c r="AH295" s="176">
        <f t="shared" si="119"/>
        <v>7</v>
      </c>
      <c r="AI295" s="225">
        <f t="shared" si="120"/>
        <v>1.0965773851533029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45939</v>
      </c>
      <c r="B296" s="411">
        <f>'2024'!Wh/'2024'!Env_an*'2025'!Env_an</f>
        <v>24.123538295194184</v>
      </c>
      <c r="C296" s="846"/>
      <c r="D296" s="393">
        <f t="shared" si="102"/>
        <v>25.609995327936478</v>
      </c>
      <c r="E296" s="385">
        <f t="shared" si="100"/>
        <v>26.800644247705264</v>
      </c>
      <c r="F296" s="385">
        <f t="shared" si="103"/>
        <v>26.851906542221055</v>
      </c>
      <c r="G296" s="110">
        <f t="shared" si="101"/>
        <v>0.95418297601342272</v>
      </c>
      <c r="H296" s="414" t="b">
        <f>Wh_hp&gt;='2024'!Maxi_hp</f>
        <v>1</v>
      </c>
      <c r="I296" s="390">
        <f>IF(H296,Wh_hp,'2024'!Maxi_hp)</f>
        <v>26.851906542221055</v>
      </c>
      <c r="J296" s="85">
        <f>IF(H296,An,'2024'!An_max)</f>
        <v>2025</v>
      </c>
      <c r="K296" s="197">
        <f t="shared" si="104"/>
        <v>45939</v>
      </c>
      <c r="L296" s="147">
        <f>IF(t&lt;Tvie,1-EXP((T0-t)*PertePVj)+'2024'!Pspv,1-EXP((T0-t)*PertePVj)+Pspv)</f>
        <v>5.8042065752382355E-2</v>
      </c>
      <c r="M296" s="850"/>
      <c r="N296" s="850"/>
      <c r="O296" s="48">
        <f>IF(t&lt;Tnet,'2024'!Resal+('2024'!Salim-'2024'!Resal)*(1-EXP(('2024'!Tnet-t)/('2024'!Tau_j))),Resal+(Salim-Resal)*(1-EXP((Tnet-t)/(Tau_j))))*Salcycl</f>
        <v>4.4426130534930344E-2</v>
      </c>
      <c r="P296" s="169">
        <f>(INDEX(Models!$BJ296:$BT296,,T296)*(1-R296)+INDEX(Models!$BJ296:$BT296,,T296+1)*R296-ERP_i)*Q296*Ramure*Pc/MaxiM</f>
        <v>2.0423826240104489E-3</v>
      </c>
      <c r="Q296" s="305">
        <f t="shared" si="105"/>
        <v>0.7</v>
      </c>
      <c r="R296" s="177">
        <f t="shared" si="106"/>
        <v>0.47285749108790975</v>
      </c>
      <c r="S296" s="817">
        <f t="shared" si="107"/>
        <v>-2</v>
      </c>
      <c r="T296" s="176">
        <f t="shared" si="108"/>
        <v>4</v>
      </c>
      <c r="U296" s="251">
        <f t="shared" si="109"/>
        <v>-1.5271425089120902</v>
      </c>
      <c r="V296" s="383">
        <f t="shared" si="110"/>
        <v>25.278502017801451</v>
      </c>
      <c r="W296" s="402">
        <f t="shared" si="111"/>
        <v>24.123538295194184</v>
      </c>
      <c r="X296" s="157">
        <f t="shared" si="112"/>
        <v>45939</v>
      </c>
      <c r="Y296" s="385">
        <f t="shared" si="113"/>
        <v>21.785311845313064</v>
      </c>
      <c r="Z296" s="385">
        <f t="shared" si="114"/>
        <v>23.127690795145678</v>
      </c>
      <c r="AA296" s="386">
        <f t="shared" si="115"/>
        <v>26.062819574542388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0.11261746914994886</v>
      </c>
      <c r="AD296" s="231">
        <f>(INDEX(Models!$BJ296:$BT296,,AH296)*(1-AF296)+INDEX(Models!$BJ296:$BT296,,AH296+1)*AF296-ERP_i)*AE296*Ramure*Pc/MaxiM</f>
        <v>3.1438653436076235E-2</v>
      </c>
      <c r="AE296" s="305">
        <f t="shared" si="117"/>
        <v>0.7</v>
      </c>
      <c r="AF296" s="177">
        <f t="shared" si="118"/>
        <v>9.6720860463965552E-2</v>
      </c>
      <c r="AG296" s="817">
        <f t="shared" si="124"/>
        <v>1</v>
      </c>
      <c r="AH296" s="176">
        <f t="shared" si="119"/>
        <v>7</v>
      </c>
      <c r="AI296" s="225">
        <f t="shared" si="120"/>
        <v>1.0967208604639656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45940</v>
      </c>
      <c r="B297" s="411">
        <f>'2024'!Wh/'2024'!Env_an*'2025'!Env_an</f>
        <v>19.307847937526667</v>
      </c>
      <c r="C297" s="846"/>
      <c r="D297" s="393">
        <f t="shared" si="102"/>
        <v>20.498018155804104</v>
      </c>
      <c r="E297" s="385">
        <f t="shared" ref="E297:E360" si="125">Wh_pvt/(1-Psa)</f>
        <v>21.453823398392043</v>
      </c>
      <c r="F297" s="385">
        <f t="shared" si="103"/>
        <v>21.486976063332172</v>
      </c>
      <c r="G297" s="110">
        <f t="shared" ref="G297:G360" si="126">+Wh_hp/MaxiM</f>
        <v>0.77113646839694028</v>
      </c>
      <c r="H297" s="414" t="b">
        <f>Wh_hp&gt;='2024'!Maxi_hp</f>
        <v>1</v>
      </c>
      <c r="I297" s="390">
        <f>IF(H297,Wh_hp,'2024'!Maxi_hp)</f>
        <v>21.486976063332172</v>
      </c>
      <c r="J297" s="85">
        <f>IF(H297,An,'2024'!An_max)</f>
        <v>2025</v>
      </c>
      <c r="K297" s="197">
        <f t="shared" si="104"/>
        <v>45940</v>
      </c>
      <c r="L297" s="147">
        <f>IF(t&lt;Tvie,1-EXP((T0-t)*PertePVj)+'2024'!Pspv,1-EXP((T0-t)*PertePVj)+Pspv)</f>
        <v>5.8062697048613776E-2</v>
      </c>
      <c r="M297" s="850"/>
      <c r="N297" s="850"/>
      <c r="O297" s="48">
        <f>IF(t&lt;Tnet,'2024'!Resal+('2024'!Salim-'2024'!Resal)*(1-EXP(('2024'!Tnet-t)/('2024'!Tau_j))),Resal+(Salim-Resal)*(1-EXP((Tnet-t)/(Tau_j))))*Salcycl</f>
        <v>4.4551743753962932E-2</v>
      </c>
      <c r="P297" s="169">
        <f>(INDEX(Models!$BJ297:$BT297,,T297)*(1-R297)+INDEX(Models!$BJ297:$BT297,,T297+1)*R297-ERP_i)*Q297*Ramure*Pc/MaxiM</f>
        <v>2.2896167357677865E-3</v>
      </c>
      <c r="Q297" s="305">
        <f t="shared" si="105"/>
        <v>0.7</v>
      </c>
      <c r="R297" s="177">
        <f t="shared" si="106"/>
        <v>0.47299526754650079</v>
      </c>
      <c r="S297" s="817">
        <f t="shared" si="107"/>
        <v>-2</v>
      </c>
      <c r="T297" s="176">
        <f t="shared" si="108"/>
        <v>4</v>
      </c>
      <c r="U297" s="251">
        <f t="shared" si="109"/>
        <v>-1.5270047324534992</v>
      </c>
      <c r="V297" s="383">
        <f t="shared" si="110"/>
        <v>25.019447690822933</v>
      </c>
      <c r="W297" s="402">
        <f t="shared" si="111"/>
        <v>19.307847937526667</v>
      </c>
      <c r="X297" s="157">
        <f t="shared" si="112"/>
        <v>45940</v>
      </c>
      <c r="Y297" s="385">
        <f t="shared" si="113"/>
        <v>17.552332434677979</v>
      </c>
      <c r="Z297" s="385">
        <f t="shared" si="114"/>
        <v>18.634289543137314</v>
      </c>
      <c r="AA297" s="386">
        <f t="shared" si="115"/>
        <v>20.999132155050553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0.11261620691998299</v>
      </c>
      <c r="AD297" s="231">
        <f>(INDEX(Models!$BJ297:$BT297,,AH297)*(1-AF297)+INDEX(Models!$BJ297:$BT297,,AH297+1)*AF297-ERP_i)*AE297*Ramure*Pc/MaxiM</f>
        <v>3.3691879034794515E-2</v>
      </c>
      <c r="AE297" s="305">
        <f t="shared" si="117"/>
        <v>0.7</v>
      </c>
      <c r="AF297" s="177">
        <f t="shared" si="118"/>
        <v>9.6858636922556585E-2</v>
      </c>
      <c r="AG297" s="817">
        <f t="shared" si="124"/>
        <v>1</v>
      </c>
      <c r="AH297" s="176">
        <f t="shared" si="119"/>
        <v>7</v>
      </c>
      <c r="AI297" s="225">
        <f t="shared" si="120"/>
        <v>1.0968586369225566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45941</v>
      </c>
      <c r="B298" s="411">
        <f>'2024'!Wh/'2024'!Env_an*'2025'!Env_an</f>
        <v>15.171390457689466</v>
      </c>
      <c r="C298" s="846"/>
      <c r="D298" s="393">
        <f t="shared" si="102"/>
        <v>16.106934835065207</v>
      </c>
      <c r="E298" s="385">
        <f t="shared" si="125"/>
        <v>16.860186994782485</v>
      </c>
      <c r="F298" s="385">
        <f t="shared" si="103"/>
        <v>16.879385603407883</v>
      </c>
      <c r="G298" s="110">
        <f t="shared" si="126"/>
        <v>0.61193057582056165</v>
      </c>
      <c r="H298" s="414" t="b">
        <f>Wh_hp&gt;='2024'!Maxi_hp</f>
        <v>0</v>
      </c>
      <c r="I298" s="390">
        <f>IF(H298,Wh_hp,'2024'!Maxi_hp)</f>
        <v>28.014827724061675</v>
      </c>
      <c r="J298" s="85">
        <f>IF(H298,An,'2024'!An_max)</f>
        <v>2021</v>
      </c>
      <c r="K298" s="197">
        <f t="shared" si="104"/>
        <v>45941</v>
      </c>
      <c r="L298" s="147">
        <f>IF(t&lt;Tvie,1-EXP((T0-t)*PertePVj)+'2024'!Pspv,1-EXP((T0-t)*PertePVj)+Pspv)</f>
        <v>5.8083327892966774E-2</v>
      </c>
      <c r="M298" s="850"/>
      <c r="N298" s="850"/>
      <c r="O298" s="48">
        <f>IF(t&lt;Tnet,'2024'!Resal+('2024'!Salim-'2024'!Resal)*(1-EXP(('2024'!Tnet-t)/('2024'!Tau_j))),Resal+(Salim-Resal)*(1-EXP((Tnet-t)/(Tau_j))))*Salcycl</f>
        <v>4.467638229340979E-2</v>
      </c>
      <c r="P298" s="169">
        <f>(INDEX(Models!$BJ298:$BT298,,T298)*(1-R298)+INDEX(Models!$BJ298:$BT298,,T298+1)*R298-ERP_i)*Q298*Ramure*Pc/MaxiM</f>
        <v>2.5453777769422858E-3</v>
      </c>
      <c r="Q298" s="305">
        <f t="shared" si="105"/>
        <v>0.7</v>
      </c>
      <c r="R298" s="177">
        <f t="shared" si="106"/>
        <v>0.47312756851986704</v>
      </c>
      <c r="S298" s="817">
        <f t="shared" si="107"/>
        <v>-2</v>
      </c>
      <c r="T298" s="176">
        <f t="shared" si="108"/>
        <v>4</v>
      </c>
      <c r="U298" s="251">
        <f t="shared" si="109"/>
        <v>-1.526872431480133</v>
      </c>
      <c r="V298" s="383">
        <f t="shared" si="110"/>
        <v>24.757718845838092</v>
      </c>
      <c r="W298" s="402">
        <f t="shared" si="111"/>
        <v>15.171390457689466</v>
      </c>
      <c r="X298" s="157">
        <f t="shared" si="112"/>
        <v>45941</v>
      </c>
      <c r="Y298" s="385">
        <f t="shared" si="113"/>
        <v>13.882049689017885</v>
      </c>
      <c r="Z298" s="385">
        <f t="shared" si="114"/>
        <v>14.738086818194063</v>
      </c>
      <c r="AA298" s="386">
        <f t="shared" si="115"/>
        <v>16.608414057608559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0.1126132352509403</v>
      </c>
      <c r="AD298" s="231">
        <f>(INDEX(Models!$BJ298:$BT298,,AH298)*(1-AF298)+INDEX(Models!$BJ298:$BT298,,AH298+1)*AF298-ERP_i)*AE298*Ramure*Pc/MaxiM</f>
        <v>3.5925777972720931E-2</v>
      </c>
      <c r="AE298" s="305">
        <f t="shared" si="117"/>
        <v>0.7</v>
      </c>
      <c r="AF298" s="177">
        <f t="shared" si="118"/>
        <v>9.6990937895923057E-2</v>
      </c>
      <c r="AG298" s="817">
        <f t="shared" si="124"/>
        <v>1</v>
      </c>
      <c r="AH298" s="176">
        <f t="shared" si="119"/>
        <v>7</v>
      </c>
      <c r="AI298" s="225">
        <f t="shared" si="120"/>
        <v>1.0969909378959231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45942</v>
      </c>
      <c r="B299" s="411">
        <f>'2024'!Wh/'2024'!Env_an*'2025'!Env_an</f>
        <v>18.39684499989227</v>
      </c>
      <c r="C299" s="846"/>
      <c r="D299" s="393">
        <f t="shared" si="102"/>
        <v>19.531714950626814</v>
      </c>
      <c r="E299" s="385">
        <f t="shared" si="125"/>
        <v>20.44777627195446</v>
      </c>
      <c r="F299" s="385">
        <f t="shared" si="103"/>
        <v>20.484870113200301</v>
      </c>
      <c r="G299" s="110">
        <f t="shared" si="126"/>
        <v>0.75034467288722706</v>
      </c>
      <c r="H299" s="414" t="b">
        <f>Wh_hp&gt;='2024'!Maxi_hp</f>
        <v>0</v>
      </c>
      <c r="I299" s="390">
        <f>IF(H299,Wh_hp,'2024'!Maxi_hp)</f>
        <v>26.927218477967962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5.8103958285451229E-2</v>
      </c>
      <c r="M299" s="850"/>
      <c r="N299" s="850"/>
      <c r="O299" s="48">
        <f>IF(t&lt;Tnet,'2024'!Resal+('2024'!Salim-'2024'!Resal)*(1-EXP(('2024'!Tnet-t)/('2024'!Tau_j))),Resal+(Salim-Resal)*(1-EXP((Tnet-t)/(Tau_j))))*Salcycl</f>
        <v>4.480004618321691E-2</v>
      </c>
      <c r="P299" s="169">
        <f>(INDEX(Models!$BJ299:$BT299,,T299)*(1-R299)+INDEX(Models!$BJ299:$BT299,,T299+1)*R299-ERP_i)*Q299*Ramure*Pc/MaxiM</f>
        <v>2.8099408962809773E-3</v>
      </c>
      <c r="Q299" s="305">
        <f t="shared" si="105"/>
        <v>0.7</v>
      </c>
      <c r="R299" s="177">
        <f t="shared" si="106"/>
        <v>0.47325460885476844</v>
      </c>
      <c r="S299" s="817">
        <f t="shared" si="107"/>
        <v>-2</v>
      </c>
      <c r="T299" s="176">
        <f t="shared" si="108"/>
        <v>4</v>
      </c>
      <c r="U299" s="251">
        <f t="shared" si="109"/>
        <v>-1.5267453911452316</v>
      </c>
      <c r="V299" s="383">
        <f t="shared" si="110"/>
        <v>24.493317716241979</v>
      </c>
      <c r="W299" s="402">
        <f t="shared" si="111"/>
        <v>18.39684499989227</v>
      </c>
      <c r="X299" s="157">
        <f t="shared" si="112"/>
        <v>45942</v>
      </c>
      <c r="Y299" s="385">
        <f t="shared" si="113"/>
        <v>16.701047663495135</v>
      </c>
      <c r="Z299" s="385">
        <f t="shared" si="114"/>
        <v>17.731306772554163</v>
      </c>
      <c r="AA299" s="386">
        <f t="shared" si="115"/>
        <v>19.981381495032025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0.11260856628143051</v>
      </c>
      <c r="AD299" s="231">
        <f>(INDEX(Models!$BJ299:$BT299,,AH299)*(1-AF299)+INDEX(Models!$BJ299:$BT299,,AH299+1)*AF299-ERP_i)*AE299*Ramure*Pc/MaxiM</f>
        <v>3.8140381569721896E-2</v>
      </c>
      <c r="AE299" s="305">
        <f t="shared" si="117"/>
        <v>0.7</v>
      </c>
      <c r="AF299" s="177">
        <f t="shared" si="118"/>
        <v>9.7117978230824464E-2</v>
      </c>
      <c r="AG299" s="817">
        <f t="shared" si="124"/>
        <v>1</v>
      </c>
      <c r="AH299" s="176">
        <f t="shared" si="119"/>
        <v>7</v>
      </c>
      <c r="AI299" s="225">
        <f t="shared" si="120"/>
        <v>1.0971179782308245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45943</v>
      </c>
      <c r="B300" s="411">
        <f>'2024'!Wh/'2024'!Env_an*'2025'!Env_an</f>
        <v>14.24077608299692</v>
      </c>
      <c r="C300" s="846"/>
      <c r="D300" s="393">
        <f t="shared" si="102"/>
        <v>15.119596397761276</v>
      </c>
      <c r="E300" s="385">
        <f t="shared" si="125"/>
        <v>15.830757357931535</v>
      </c>
      <c r="F300" s="385">
        <f t="shared" si="103"/>
        <v>15.850854750658907</v>
      </c>
      <c r="G300" s="110">
        <f t="shared" si="126"/>
        <v>0.58675562508016388</v>
      </c>
      <c r="H300" s="414" t="b">
        <f>Wh_hp&gt;='2024'!Maxi_hp</f>
        <v>0</v>
      </c>
      <c r="I300" s="390">
        <f>IF(H300,Wh_hp,'2024'!Maxi_hp)</f>
        <v>25.635281069099932</v>
      </c>
      <c r="J300" s="85">
        <f>IF(H300,An,'2024'!An_max)</f>
        <v>2021</v>
      </c>
      <c r="K300" s="197">
        <f t="shared" si="104"/>
        <v>45943</v>
      </c>
      <c r="L300" s="147">
        <f>IF(t&lt;Tvie,1-EXP((T0-t)*PertePVj)+'2024'!Pspv,1-EXP((T0-t)*PertePVj)+Pspv)</f>
        <v>5.8124588226077356E-2</v>
      </c>
      <c r="M300" s="850"/>
      <c r="N300" s="850"/>
      <c r="O300" s="48">
        <f>IF(t&lt;Tnet,'2024'!Resal+('2024'!Salim-'2024'!Resal)*(1-EXP(('2024'!Tnet-t)/('2024'!Tau_j))),Resal+(Salim-Resal)*(1-EXP((Tnet-t)/(Tau_j))))*Salcycl</f>
        <v>4.4922737686580297E-2</v>
      </c>
      <c r="P300" s="169">
        <f>(INDEX(Models!$BJ300:$BT300,,T300)*(1-R300)+INDEX(Models!$BJ300:$BT300,,T300+1)*R300-ERP_i)*Q300*Ramure*Pc/MaxiM</f>
        <v>3.0835971439771193E-3</v>
      </c>
      <c r="Q300" s="305">
        <f t="shared" si="105"/>
        <v>0.7</v>
      </c>
      <c r="R300" s="177">
        <f t="shared" si="106"/>
        <v>0.4733765951843627</v>
      </c>
      <c r="S300" s="817">
        <f t="shared" si="107"/>
        <v>-2</v>
      </c>
      <c r="T300" s="176">
        <f t="shared" si="108"/>
        <v>4</v>
      </c>
      <c r="U300" s="251">
        <f t="shared" si="109"/>
        <v>-1.5266234048156373</v>
      </c>
      <c r="V300" s="383">
        <f t="shared" si="110"/>
        <v>24.226246494627098</v>
      </c>
      <c r="W300" s="402">
        <f t="shared" si="111"/>
        <v>14.24077608299692</v>
      </c>
      <c r="X300" s="157">
        <f t="shared" si="112"/>
        <v>45943</v>
      </c>
      <c r="Y300" s="385">
        <f t="shared" si="113"/>
        <v>13.028704884131866</v>
      </c>
      <c r="Z300" s="385">
        <f t="shared" si="114"/>
        <v>13.832726410803822</v>
      </c>
      <c r="AA300" s="386">
        <f t="shared" si="115"/>
        <v>15.587965943180887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0.11260221755519759</v>
      </c>
      <c r="AD300" s="231">
        <f>(INDEX(Models!$BJ300:$BT300,,AH300)*(1-AF300)+INDEX(Models!$BJ300:$BT300,,AH300+1)*AF300-ERP_i)*AE300*Ramure*Pc/MaxiM</f>
        <v>4.0335738417384658E-2</v>
      </c>
      <c r="AE300" s="305">
        <f t="shared" si="117"/>
        <v>0.7</v>
      </c>
      <c r="AF300" s="177">
        <f t="shared" si="118"/>
        <v>9.7239964560418501E-2</v>
      </c>
      <c r="AG300" s="817">
        <f t="shared" si="124"/>
        <v>1</v>
      </c>
      <c r="AH300" s="176">
        <f t="shared" si="119"/>
        <v>7</v>
      </c>
      <c r="AI300" s="225">
        <f t="shared" si="120"/>
        <v>1.0972399645604185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45944</v>
      </c>
      <c r="B301" s="411">
        <f>'2024'!Wh/'2024'!Env_an*'2025'!Env_an</f>
        <v>11.260998530756103</v>
      </c>
      <c r="C301" s="846"/>
      <c r="D301" s="393">
        <f t="shared" si="102"/>
        <v>11.956194036021628</v>
      </c>
      <c r="E301" s="385">
        <f t="shared" si="125"/>
        <v>12.520157800728718</v>
      </c>
      <c r="F301" s="385">
        <f t="shared" si="103"/>
        <v>12.530406486683356</v>
      </c>
      <c r="G301" s="110">
        <f t="shared" si="126"/>
        <v>0.4688610662889332</v>
      </c>
      <c r="H301" s="414" t="b">
        <f>Wh_hp&gt;='2024'!Maxi_hp</f>
        <v>0</v>
      </c>
      <c r="I301" s="390">
        <f>IF(H301,Wh_hp,'2024'!Maxi_hp)</f>
        <v>27.876049215110069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5.8145217714854702E-2</v>
      </c>
      <c r="M301" s="850"/>
      <c r="N301" s="850"/>
      <c r="O301" s="48">
        <f>IF(t&lt;Tnet,'2024'!Resal+('2024'!Salim-'2024'!Resal)*(1-EXP(('2024'!Tnet-t)/('2024'!Tau_j))),Resal+(Salim-Resal)*(1-EXP((Tnet-t)/(Tau_j))))*Salcycl</f>
        <v>4.5044461394429476E-2</v>
      </c>
      <c r="P301" s="169">
        <f>(INDEX(Models!$BJ301:$BT301,,T301)*(1-R301)+INDEX(Models!$BJ301:$BT301,,T301+1)*R301-ERP_i)*Q301*Ramure*Pc/MaxiM</f>
        <v>3.3666549190050415E-3</v>
      </c>
      <c r="Q301" s="305">
        <f t="shared" si="105"/>
        <v>0.7</v>
      </c>
      <c r="R301" s="177">
        <f t="shared" si="106"/>
        <v>0.47349372622514352</v>
      </c>
      <c r="S301" s="817">
        <f t="shared" si="107"/>
        <v>-2</v>
      </c>
      <c r="T301" s="176">
        <f t="shared" si="108"/>
        <v>4</v>
      </c>
      <c r="U301" s="251">
        <f t="shared" si="109"/>
        <v>-1.5265062737748565</v>
      </c>
      <c r="V301" s="383">
        <f t="shared" si="110"/>
        <v>23.956507328958626</v>
      </c>
      <c r="W301" s="402">
        <f t="shared" si="111"/>
        <v>11.260998530756103</v>
      </c>
      <c r="X301" s="157">
        <f t="shared" si="112"/>
        <v>45944</v>
      </c>
      <c r="Y301" s="385">
        <f t="shared" si="113"/>
        <v>10.364841346862013</v>
      </c>
      <c r="Z301" s="385">
        <f t="shared" si="114"/>
        <v>11.004712766563276</v>
      </c>
      <c r="AA301" s="386">
        <f t="shared" si="115"/>
        <v>12.400992778782637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0.11259421218342397</v>
      </c>
      <c r="AD301" s="231">
        <f>(INDEX(Models!$BJ301:$BT301,,AH301)*(1-AF301)+INDEX(Models!$BJ301:$BT301,,AH301+1)*AF301-ERP_i)*AE301*Ramure*Pc/MaxiM</f>
        <v>4.2511917939437593E-2</v>
      </c>
      <c r="AE301" s="305">
        <f t="shared" si="117"/>
        <v>0.7</v>
      </c>
      <c r="AF301" s="177">
        <f t="shared" si="118"/>
        <v>9.7357095601199317E-2</v>
      </c>
      <c r="AG301" s="817">
        <f t="shared" si="124"/>
        <v>1</v>
      </c>
      <c r="AH301" s="176">
        <f t="shared" si="119"/>
        <v>7</v>
      </c>
      <c r="AI301" s="225">
        <f t="shared" si="120"/>
        <v>1.0973570956011993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45945</v>
      </c>
      <c r="B302" s="411">
        <f>'2024'!Wh/'2024'!Env_an*'2025'!Env_an</f>
        <v>23.270696382554799</v>
      </c>
      <c r="C302" s="846"/>
      <c r="D302" s="393">
        <f t="shared" si="102"/>
        <v>24.707849362118157</v>
      </c>
      <c r="E302" s="385">
        <f t="shared" si="125"/>
        <v>25.876570471825882</v>
      </c>
      <c r="F302" s="385">
        <f t="shared" si="103"/>
        <v>25.969233652123496</v>
      </c>
      <c r="G302" s="110">
        <f t="shared" si="126"/>
        <v>0.98245502409613661</v>
      </c>
      <c r="H302" s="414" t="b">
        <f>Wh_hp&gt;='2024'!Maxi_hp</f>
        <v>1</v>
      </c>
      <c r="I302" s="390">
        <f>IF(H302,Wh_hp,'2024'!Maxi_hp)</f>
        <v>25.969233652123496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5.816584675179326E-2</v>
      </c>
      <c r="M302" s="850"/>
      <c r="N302" s="850"/>
      <c r="O302" s="48">
        <f>IF(t&lt;Tnet,'2024'!Resal+('2024'!Salim-'2024'!Resal)*(1-EXP(('2024'!Tnet-t)/('2024'!Tau_j))),Resal+(Salim-Resal)*(1-EXP((Tnet-t)/(Tau_j))))*Salcycl</f>
        <v>4.5165224309002397E-2</v>
      </c>
      <c r="P302" s="169">
        <f>(INDEX(Models!$BJ302:$BT302,,T302)*(1-R302)+INDEX(Models!$BJ302:$BT302,,T302+1)*R302-ERP_i)*Q302*Ramure*Pc/MaxiM</f>
        <v>3.6594415610827847E-3</v>
      </c>
      <c r="Q302" s="305">
        <f t="shared" si="105"/>
        <v>0.7</v>
      </c>
      <c r="R302" s="177">
        <f t="shared" si="106"/>
        <v>0.47360619306450946</v>
      </c>
      <c r="S302" s="817">
        <f t="shared" si="107"/>
        <v>-2</v>
      </c>
      <c r="T302" s="176">
        <f t="shared" si="108"/>
        <v>4</v>
      </c>
      <c r="U302" s="251">
        <f t="shared" si="109"/>
        <v>-1.5263938069354905</v>
      </c>
      <c r="V302" s="383">
        <f t="shared" si="110"/>
        <v>23.684102313853277</v>
      </c>
      <c r="W302" s="402">
        <f t="shared" si="111"/>
        <v>23.270696382554799</v>
      </c>
      <c r="X302" s="157">
        <f t="shared" si="112"/>
        <v>45945</v>
      </c>
      <c r="Y302" s="385">
        <f t="shared" si="113"/>
        <v>20.75967109502195</v>
      </c>
      <c r="Z302" s="385">
        <f t="shared" si="114"/>
        <v>22.041748033266575</v>
      </c>
      <c r="AA302" s="386">
        <f t="shared" si="115"/>
        <v>24.838139512916939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0.11258457897766924</v>
      </c>
      <c r="AD302" s="231">
        <f>(INDEX(Models!$BJ302:$BT302,,AH302)*(1-AF302)+INDEX(Models!$BJ302:$BT302,,AH302+1)*AF302-ERP_i)*AE302*Ramure*Pc/MaxiM</f>
        <v>4.4669014048681642E-2</v>
      </c>
      <c r="AE302" s="305">
        <f t="shared" si="117"/>
        <v>0.7</v>
      </c>
      <c r="AF302" s="177">
        <f t="shared" si="118"/>
        <v>9.7469562440565483E-2</v>
      </c>
      <c r="AG302" s="817">
        <f t="shared" si="124"/>
        <v>1</v>
      </c>
      <c r="AH302" s="176">
        <f t="shared" si="119"/>
        <v>7</v>
      </c>
      <c r="AI302" s="225">
        <f t="shared" si="120"/>
        <v>1.0974695624405655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45946</v>
      </c>
      <c r="B303" s="411">
        <f>'2024'!Wh/'2024'!Env_an*'2025'!Env_an</f>
        <v>20.709838758809973</v>
      </c>
      <c r="C303" s="846"/>
      <c r="D303" s="393">
        <f t="shared" si="102"/>
        <v>21.989319771361576</v>
      </c>
      <c r="E303" s="385">
        <f t="shared" si="125"/>
        <v>23.03234012095648</v>
      </c>
      <c r="F303" s="385">
        <f t="shared" si="103"/>
        <v>23.108826792044006</v>
      </c>
      <c r="G303" s="110">
        <f t="shared" si="126"/>
        <v>0.88413870139497674</v>
      </c>
      <c r="H303" s="414" t="b">
        <f>Wh_hp&gt;='2024'!Maxi_hp</f>
        <v>0</v>
      </c>
      <c r="I303" s="390">
        <f>IF(H303,Wh_hp,'2024'!Maxi_hp)</f>
        <v>25.248209273651742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5.8186475336903021E-2</v>
      </c>
      <c r="M303" s="850"/>
      <c r="N303" s="850"/>
      <c r="O303" s="48">
        <f>IF(t&lt;Tnet,'2024'!Resal+('2024'!Salim-'2024'!Resal)*(1-EXP(('2024'!Tnet-t)/('2024'!Tau_j))),Resal+(Salim-Resal)*(1-EXP((Tnet-t)/(Tau_j))))*Salcycl</f>
        <v>4.5285035915473074E-2</v>
      </c>
      <c r="P303" s="169">
        <f>(INDEX(Models!$BJ303:$BT303,,T303)*(1-R303)+INDEX(Models!$BJ303:$BT303,,T303+1)*R303-ERP_i)*Q303*Ramure*Pc/MaxiM</f>
        <v>3.9624105674677798E-3</v>
      </c>
      <c r="Q303" s="305">
        <f t="shared" si="105"/>
        <v>0.7</v>
      </c>
      <c r="R303" s="177">
        <f t="shared" si="106"/>
        <v>0.4737141794391424</v>
      </c>
      <c r="S303" s="817">
        <f t="shared" si="107"/>
        <v>-2</v>
      </c>
      <c r="T303" s="176">
        <f t="shared" si="108"/>
        <v>4</v>
      </c>
      <c r="U303" s="251">
        <f t="shared" si="109"/>
        <v>-1.5262858205608576</v>
      </c>
      <c r="V303" s="383">
        <f t="shared" si="110"/>
        <v>23.408407924608102</v>
      </c>
      <c r="W303" s="402">
        <f t="shared" si="111"/>
        <v>20.709838758809973</v>
      </c>
      <c r="X303" s="157">
        <f t="shared" si="112"/>
        <v>45946</v>
      </c>
      <c r="Y303" s="385">
        <f t="shared" si="113"/>
        <v>18.558961336393573</v>
      </c>
      <c r="Z303" s="385">
        <f t="shared" si="114"/>
        <v>19.705558319554218</v>
      </c>
      <c r="AA303" s="386">
        <f t="shared" si="115"/>
        <v>22.20528127728614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0.11257335255144452</v>
      </c>
      <c r="AD303" s="231">
        <f>(INDEX(Models!$BJ303:$BT303,,AH303)*(1-AF303)+INDEX(Models!$BJ303:$BT303,,AH303+1)*AF303-ERP_i)*AE303*Ramure*Pc/MaxiM</f>
        <v>4.6808394782507493E-2</v>
      </c>
      <c r="AE303" s="305">
        <f t="shared" si="117"/>
        <v>0.7</v>
      </c>
      <c r="AF303" s="177">
        <f t="shared" si="118"/>
        <v>9.7577548815198423E-2</v>
      </c>
      <c r="AG303" s="817">
        <f t="shared" si="124"/>
        <v>1</v>
      </c>
      <c r="AH303" s="176">
        <f t="shared" si="119"/>
        <v>7</v>
      </c>
      <c r="AI303" s="225">
        <f t="shared" si="120"/>
        <v>1.0975775488151984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45947</v>
      </c>
      <c r="B304" s="411">
        <f>'2024'!Wh/'2024'!Env_an*'2025'!Env_an</f>
        <v>12.198993505041281</v>
      </c>
      <c r="C304" s="846"/>
      <c r="D304" s="393">
        <f t="shared" si="102"/>
        <v>12.952947033249581</v>
      </c>
      <c r="E304" s="385">
        <f t="shared" si="125"/>
        <v>13.569034217788525</v>
      </c>
      <c r="F304" s="385">
        <f t="shared" si="103"/>
        <v>13.587928139273448</v>
      </c>
      <c r="G304" s="110">
        <f t="shared" si="126"/>
        <v>0.52590891021518171</v>
      </c>
      <c r="H304" s="414" t="b">
        <f>Wh_hp&gt;='2024'!Maxi_hp</f>
        <v>0</v>
      </c>
      <c r="I304" s="390">
        <f>IF(H304,Wh_hp,'2024'!Maxi_hp)</f>
        <v>23.457499941196161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5.8207103470193866E-2</v>
      </c>
      <c r="M304" s="850"/>
      <c r="N304" s="850"/>
      <c r="O304" s="48">
        <f>IF(t&lt;Tnet,'2024'!Resal+('2024'!Salim-'2024'!Resal)*(1-EXP(('2024'!Tnet-t)/('2024'!Tau_j))),Resal+(Salim-Resal)*(1-EXP((Tnet-t)/(Tau_j))))*Salcycl</f>
        <v>4.5403908240667354E-2</v>
      </c>
      <c r="P304" s="169">
        <f>(INDEX(Models!$BJ304:$BT304,,T304)*(1-R304)+INDEX(Models!$BJ304:$BT304,,T304+1)*R304-ERP_i)*Q304*Ramure*Pc/MaxiM</f>
        <v>4.2796655459938181E-3</v>
      </c>
      <c r="Q304" s="305">
        <f t="shared" si="105"/>
        <v>0.7</v>
      </c>
      <c r="R304" s="177">
        <f t="shared" si="106"/>
        <v>0.47381786200438736</v>
      </c>
      <c r="S304" s="817">
        <f t="shared" si="107"/>
        <v>-2</v>
      </c>
      <c r="T304" s="176">
        <f t="shared" si="108"/>
        <v>4</v>
      </c>
      <c r="U304" s="251">
        <f t="shared" si="109"/>
        <v>-1.5261821379956126</v>
      </c>
      <c r="V304" s="383">
        <f t="shared" si="110"/>
        <v>23.128909204144261</v>
      </c>
      <c r="W304" s="402">
        <f t="shared" si="111"/>
        <v>12.198993505041281</v>
      </c>
      <c r="X304" s="157">
        <f t="shared" si="112"/>
        <v>45947</v>
      </c>
      <c r="Y304" s="385">
        <f t="shared" si="113"/>
        <v>11.176159840670984</v>
      </c>
      <c r="Z304" s="385">
        <f t="shared" si="114"/>
        <v>11.866897575731796</v>
      </c>
      <c r="AA304" s="386">
        <f t="shared" si="115"/>
        <v>13.372064864240889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0.11256057338864395</v>
      </c>
      <c r="AD304" s="231">
        <f>(INDEX(Models!$BJ304:$BT304,,AH304)*(1-AF304)+INDEX(Models!$BJ304:$BT304,,AH304+1)*AF304-ERP_i)*AE304*Ramure*Pc/MaxiM</f>
        <v>4.8895229163485709E-2</v>
      </c>
      <c r="AE304" s="305">
        <f t="shared" si="117"/>
        <v>0.7</v>
      </c>
      <c r="AF304" s="177">
        <f t="shared" si="118"/>
        <v>9.7681231380443156E-2</v>
      </c>
      <c r="AG304" s="817">
        <f t="shared" si="124"/>
        <v>1</v>
      </c>
      <c r="AH304" s="176">
        <f t="shared" si="119"/>
        <v>7</v>
      </c>
      <c r="AI304" s="225">
        <f t="shared" si="120"/>
        <v>1.0976812313804432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45948</v>
      </c>
      <c r="B305" s="411">
        <f>'2024'!Wh/'2024'!Env_an*'2025'!Env_an</f>
        <v>20.95386277567275</v>
      </c>
      <c r="C305" s="846"/>
      <c r="D305" s="393">
        <f t="shared" si="102"/>
        <v>22.24939453918816</v>
      </c>
      <c r="E305" s="385">
        <f t="shared" si="125"/>
        <v>23.310533275877869</v>
      </c>
      <c r="F305" s="385">
        <f t="shared" si="103"/>
        <v>23.405629737644883</v>
      </c>
      <c r="G305" s="110">
        <f t="shared" si="126"/>
        <v>0.91667738828363243</v>
      </c>
      <c r="H305" s="414" t="b">
        <f>Wh_hp&gt;='2024'!Maxi_hp</f>
        <v>0</v>
      </c>
      <c r="I305" s="390">
        <f>IF(H305,Wh_hp,'2024'!Maxi_hp)</f>
        <v>25.579002164286386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5.8227731151675677E-2</v>
      </c>
      <c r="M305" s="850"/>
      <c r="N305" s="850"/>
      <c r="O305" s="48">
        <f>IF(t&lt;Tnet,'2024'!Resal+('2024'!Salim-'2024'!Resal)*(1-EXP(('2024'!Tnet-t)/('2024'!Tau_j))),Resal+(Salim-Resal)*(1-EXP((Tnet-t)/(Tau_j))))*Salcycl</f>
        <v>4.5521855897985533E-2</v>
      </c>
      <c r="P305" s="169">
        <f>(INDEX(Models!$BJ305:$BT305,,T305)*(1-R305)+INDEX(Models!$BJ305:$BT305,,T305+1)*R305-ERP_i)*Q305*Ramure*Pc/MaxiM</f>
        <v>4.608192172214187E-3</v>
      </c>
      <c r="Q305" s="305">
        <f t="shared" si="105"/>
        <v>0.7</v>
      </c>
      <c r="R305" s="177">
        <f t="shared" si="106"/>
        <v>0.47391741059482784</v>
      </c>
      <c r="S305" s="817">
        <f t="shared" si="107"/>
        <v>-2</v>
      </c>
      <c r="T305" s="176">
        <f t="shared" si="108"/>
        <v>4</v>
      </c>
      <c r="U305" s="251">
        <f t="shared" si="109"/>
        <v>-1.5260825894051722</v>
      </c>
      <c r="V305" s="383">
        <f t="shared" si="110"/>
        <v>22.845978320286918</v>
      </c>
      <c r="W305" s="402">
        <f t="shared" si="111"/>
        <v>20.95386277567275</v>
      </c>
      <c r="X305" s="157">
        <f t="shared" si="112"/>
        <v>45948</v>
      </c>
      <c r="Y305" s="385">
        <f t="shared" si="113"/>
        <v>18.68312551428793</v>
      </c>
      <c r="Z305" s="385">
        <f t="shared" si="114"/>
        <v>19.838262531487761</v>
      </c>
      <c r="AA305" s="386">
        <f t="shared" si="115"/>
        <v>22.354137754448658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0.11254628787729541</v>
      </c>
      <c r="AD305" s="231">
        <f>(INDEX(Models!$BJ305:$BT305,,AH305)*(1-AF305)+INDEX(Models!$BJ305:$BT305,,AH305+1)*AF305-ERP_i)*AE305*Ramure*Pc/MaxiM</f>
        <v>5.0953285075761703E-2</v>
      </c>
      <c r="AE305" s="305">
        <f t="shared" si="117"/>
        <v>0.7</v>
      </c>
      <c r="AF305" s="177">
        <f t="shared" si="118"/>
        <v>9.7780779970883636E-2</v>
      </c>
      <c r="AG305" s="817">
        <f t="shared" si="124"/>
        <v>1</v>
      </c>
      <c r="AH305" s="176">
        <f t="shared" si="119"/>
        <v>7</v>
      </c>
      <c r="AI305" s="225">
        <f t="shared" si="120"/>
        <v>1.0977807799708836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45949</v>
      </c>
      <c r="B306" s="411">
        <f>'2024'!Wh/'2024'!Env_an*'2025'!Env_an</f>
        <v>9.7893696085633604</v>
      </c>
      <c r="C306" s="846"/>
      <c r="D306" s="393">
        <f t="shared" si="102"/>
        <v>10.394852714817484</v>
      </c>
      <c r="E306" s="385">
        <f t="shared" si="125"/>
        <v>10.891949255404652</v>
      </c>
      <c r="F306" s="385">
        <f t="shared" si="103"/>
        <v>10.90227103440731</v>
      </c>
      <c r="G306" s="110">
        <f t="shared" si="126"/>
        <v>0.4321896930731759</v>
      </c>
      <c r="H306" s="414" t="b">
        <f>Wh_hp&gt;='2024'!Maxi_hp</f>
        <v>0</v>
      </c>
      <c r="I306" s="390">
        <f>IF(H306,Wh_hp,'2024'!Maxi_hp)</f>
        <v>24.959587812927008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5.8248358381358223E-2</v>
      </c>
      <c r="M306" s="850"/>
      <c r="N306" s="850"/>
      <c r="O306" s="48">
        <f>IF(t&lt;Tnet,'2024'!Resal+('2024'!Salim-'2024'!Resal)*(1-EXP(('2024'!Tnet-t)/('2024'!Tau_j))),Resal+(Salim-Resal)*(1-EXP((Tnet-t)/(Tau_j))))*Salcycl</f>
        <v>4.563889611774552E-2</v>
      </c>
      <c r="P306" s="169">
        <f>(INDEX(Models!$BJ306:$BT306,,T306)*(1-R306)+INDEX(Models!$BJ306:$BT306,,T306+1)*R306-ERP_i)*Q306*Ramure*Pc/MaxiM</f>
        <v>4.9484023216952314E-3</v>
      </c>
      <c r="Q306" s="305">
        <f t="shared" si="105"/>
        <v>0.7</v>
      </c>
      <c r="R306" s="177">
        <f t="shared" si="106"/>
        <v>0.47401298847625783</v>
      </c>
      <c r="S306" s="817">
        <f t="shared" si="107"/>
        <v>-2</v>
      </c>
      <c r="T306" s="176">
        <f t="shared" si="108"/>
        <v>4</v>
      </c>
      <c r="U306" s="251">
        <f t="shared" si="109"/>
        <v>-1.5259870115237422</v>
      </c>
      <c r="V306" s="383">
        <f t="shared" si="110"/>
        <v>22.559906070546596</v>
      </c>
      <c r="W306" s="402">
        <f t="shared" si="111"/>
        <v>9.7893696085633604</v>
      </c>
      <c r="X306" s="157">
        <f t="shared" si="112"/>
        <v>45949</v>
      </c>
      <c r="Y306" s="385">
        <f t="shared" si="113"/>
        <v>9.0194893540015357</v>
      </c>
      <c r="Z306" s="385">
        <f t="shared" si="114"/>
        <v>9.5773545331964911</v>
      </c>
      <c r="AA306" s="386">
        <f t="shared" si="115"/>
        <v>10.791756848565159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0.11253054830735282</v>
      </c>
      <c r="AD306" s="231">
        <f>(INDEX(Models!$BJ306:$BT306,,AH306)*(1-AF306)+INDEX(Models!$BJ306:$BT306,,AH306+1)*AF306-ERP_i)*AE306*Ramure*Pc/MaxiM</f>
        <v>5.2982015373586926E-2</v>
      </c>
      <c r="AE306" s="305">
        <f t="shared" si="117"/>
        <v>0.7</v>
      </c>
      <c r="AF306" s="177">
        <f t="shared" si="118"/>
        <v>9.7876357852313856E-2</v>
      </c>
      <c r="AG306" s="817">
        <f t="shared" si="124"/>
        <v>1</v>
      </c>
      <c r="AH306" s="176">
        <f t="shared" si="119"/>
        <v>7</v>
      </c>
      <c r="AI306" s="225">
        <f t="shared" si="120"/>
        <v>1.0978763578523139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45950</v>
      </c>
      <c r="B307" s="411">
        <f>'2024'!Wh/'2024'!Env_an*'2025'!Env_an</f>
        <v>4.7489684718731233</v>
      </c>
      <c r="C307" s="846"/>
      <c r="D307" s="393">
        <f t="shared" si="102"/>
        <v>5.0428077625501144</v>
      </c>
      <c r="E307" s="385">
        <f t="shared" si="125"/>
        <v>5.2846051278648778</v>
      </c>
      <c r="F307" s="385">
        <f t="shared" si="103"/>
        <v>5.2846051278648778</v>
      </c>
      <c r="G307" s="110">
        <f t="shared" si="126"/>
        <v>0.2121053889430872</v>
      </c>
      <c r="H307" s="414" t="b">
        <f>Wh_hp&gt;='2024'!Maxi_hp</f>
        <v>0</v>
      </c>
      <c r="I307" s="390">
        <f>IF(H307,Wh_hp,'2024'!Maxi_hp)</f>
        <v>20.300420803339481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5.8268985159251607E-2</v>
      </c>
      <c r="M307" s="850"/>
      <c r="N307" s="850"/>
      <c r="O307" s="48">
        <f>IF(t&lt;Tnet,'2024'!Resal+('2024'!Salim-'2024'!Resal)*(1-EXP(('2024'!Tnet-t)/('2024'!Tau_j))),Resal+(Salim-Resal)*(1-EXP((Tnet-t)/(Tau_j))))*Salcycl</f>
        <v>4.5755048762263086E-2</v>
      </c>
      <c r="P307" s="169">
        <f>(INDEX(Models!$BJ307:$BT307,,T307)*(1-R307)+INDEX(Models!$BJ307:$BT307,,T307+1)*R307-ERP_i)*Q307*Ramure*Pc/MaxiM</f>
        <v>5.3007216592170251E-3</v>
      </c>
      <c r="Q307" s="305">
        <f t="shared" si="105"/>
        <v>0.7</v>
      </c>
      <c r="R307" s="177">
        <f t="shared" si="106"/>
        <v>0.47410475258925122</v>
      </c>
      <c r="S307" s="817">
        <f t="shared" si="107"/>
        <v>-2</v>
      </c>
      <c r="T307" s="176">
        <f t="shared" si="108"/>
        <v>4</v>
      </c>
      <c r="U307" s="251">
        <f t="shared" si="109"/>
        <v>-1.5258952474107488</v>
      </c>
      <c r="V307" s="383">
        <f t="shared" si="110"/>
        <v>22.270983002241547</v>
      </c>
      <c r="W307" s="402">
        <f t="shared" si="111"/>
        <v>4.7489684718731233</v>
      </c>
      <c r="X307" s="157">
        <f t="shared" si="112"/>
        <v>45950</v>
      </c>
      <c r="Y307" s="385">
        <f t="shared" si="113"/>
        <v>4.4167336868867917</v>
      </c>
      <c r="Z307" s="385">
        <f t="shared" si="114"/>
        <v>4.6900161694618117</v>
      </c>
      <c r="AA307" s="386">
        <f t="shared" si="115"/>
        <v>5.2846051278648778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0.1125134128315272</v>
      </c>
      <c r="AD307" s="231">
        <f>(INDEX(Models!$BJ307:$BT307,,AH307)*(1-AF307)+INDEX(Models!$BJ307:$BT307,,AH307+1)*AF307-ERP_i)*AE307*Ramure*Pc/MaxiM</f>
        <v>5.4980766525903974E-2</v>
      </c>
      <c r="AE307" s="305">
        <f t="shared" si="117"/>
        <v>0.7</v>
      </c>
      <c r="AF307" s="177">
        <f t="shared" si="118"/>
        <v>9.7968121965307242E-2</v>
      </c>
      <c r="AG307" s="817">
        <f t="shared" si="124"/>
        <v>1</v>
      </c>
      <c r="AH307" s="176">
        <f t="shared" si="119"/>
        <v>7</v>
      </c>
      <c r="AI307" s="225">
        <f t="shared" si="120"/>
        <v>1.0979681219653072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45951</v>
      </c>
      <c r="B308" s="411">
        <f>'2024'!Wh/'2024'!Env_an*'2025'!Env_an</f>
        <v>10.198378440329632</v>
      </c>
      <c r="C308" s="846"/>
      <c r="D308" s="393">
        <f t="shared" si="102"/>
        <v>10.829633573879965</v>
      </c>
      <c r="E308" s="385">
        <f t="shared" si="125"/>
        <v>11.350274481739536</v>
      </c>
      <c r="F308" s="385">
        <f t="shared" si="103"/>
        <v>11.36536002577016</v>
      </c>
      <c r="G308" s="110">
        <f t="shared" si="126"/>
        <v>0.46197941970696482</v>
      </c>
      <c r="H308" s="414" t="b">
        <f>Wh_hp&gt;='2024'!Maxi_hp</f>
        <v>0</v>
      </c>
      <c r="I308" s="390">
        <f>IF(H308,Wh_hp,'2024'!Maxi_hp)</f>
        <v>15.02935928669431</v>
      </c>
      <c r="J308" s="85">
        <f>IF(H308,An,'2024'!An_max)</f>
        <v>2019</v>
      </c>
      <c r="K308" s="197">
        <f t="shared" si="104"/>
        <v>45951</v>
      </c>
      <c r="L308" s="147">
        <f>IF(t&lt;Tvie,1-EXP((T0-t)*PertePVj)+'2024'!Pspv,1-EXP((T0-t)*PertePVj)+Pspv)</f>
        <v>5.8289611485365489E-2</v>
      </c>
      <c r="M308" s="850"/>
      <c r="N308" s="850"/>
      <c r="O308" s="48">
        <f>IF(t&lt;Tnet,'2024'!Resal+('2024'!Salim-'2024'!Resal)*(1-EXP(('2024'!Tnet-t)/('2024'!Tau_j))),Resal+(Salim-Resal)*(1-EXP((Tnet-t)/(Tau_j))))*Salcycl</f>
        <v>4.5870336325098057E-2</v>
      </c>
      <c r="P308" s="169">
        <f>(INDEX(Models!$BJ308:$BT308,,T308)*(1-R308)+INDEX(Models!$BJ308:$BT308,,T308+1)*R308-ERP_i)*Q308*Ramure*Pc/MaxiM</f>
        <v>5.6655899441000858E-3</v>
      </c>
      <c r="Q308" s="305">
        <f t="shared" si="105"/>
        <v>0.7</v>
      </c>
      <c r="R308" s="177">
        <f t="shared" si="106"/>
        <v>0.47419285378453657</v>
      </c>
      <c r="S308" s="817">
        <f t="shared" si="107"/>
        <v>-2</v>
      </c>
      <c r="T308" s="176">
        <f t="shared" si="108"/>
        <v>4</v>
      </c>
      <c r="U308" s="251">
        <f t="shared" si="109"/>
        <v>-1.5258071462154634</v>
      </c>
      <c r="V308" s="383">
        <f t="shared" si="110"/>
        <v>21.979499414792642</v>
      </c>
      <c r="W308" s="402">
        <f t="shared" si="111"/>
        <v>10.198378440329632</v>
      </c>
      <c r="X308" s="157">
        <f t="shared" si="112"/>
        <v>45951</v>
      </c>
      <c r="Y308" s="385">
        <f t="shared" si="113"/>
        <v>9.3721253500944037</v>
      </c>
      <c r="Z308" s="385">
        <f t="shared" si="114"/>
        <v>9.9522374016465012</v>
      </c>
      <c r="AA308" s="386">
        <f t="shared" si="115"/>
        <v>11.213724755632416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0.11249494538844444</v>
      </c>
      <c r="AD308" s="231">
        <f>(INDEX(Models!$BJ308:$BT308,,AH308)*(1-AF308)+INDEX(Models!$BJ308:$BT308,,AH308+1)*AF308-ERP_i)*AE308*Ramure*Pc/MaxiM</f>
        <v>5.6948775590679401E-2</v>
      </c>
      <c r="AE308" s="305">
        <f t="shared" si="117"/>
        <v>0.7</v>
      </c>
      <c r="AF308" s="177">
        <f t="shared" si="118"/>
        <v>9.8056223160592371E-2</v>
      </c>
      <c r="AG308" s="817">
        <f t="shared" si="124"/>
        <v>1</v>
      </c>
      <c r="AH308" s="176">
        <f t="shared" si="119"/>
        <v>7</v>
      </c>
      <c r="AI308" s="225">
        <f t="shared" si="120"/>
        <v>1.0980562231605924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45952</v>
      </c>
      <c r="B309" s="411">
        <f>'2024'!Wh/'2024'!Env_an*'2025'!Env_an</f>
        <v>19.891675580077472</v>
      </c>
      <c r="C309" s="846"/>
      <c r="D309" s="393">
        <f t="shared" si="102"/>
        <v>21.123385183996913</v>
      </c>
      <c r="E309" s="385">
        <f t="shared" si="125"/>
        <v>22.141560037856944</v>
      </c>
      <c r="F309" s="385">
        <f t="shared" si="103"/>
        <v>22.26018920017524</v>
      </c>
      <c r="G309" s="110">
        <f t="shared" si="126"/>
        <v>0.91661095451111252</v>
      </c>
      <c r="H309" s="414" t="b">
        <f>Wh_hp&gt;='2024'!Maxi_hp</f>
        <v>1</v>
      </c>
      <c r="I309" s="390">
        <f>IF(H309,Wh_hp,'2024'!Maxi_hp)</f>
        <v>22.26018920017524</v>
      </c>
      <c r="J309" s="85">
        <f>IF(H309,An,'2024'!An_max)</f>
        <v>2025</v>
      </c>
      <c r="K309" s="197">
        <f t="shared" si="104"/>
        <v>45952</v>
      </c>
      <c r="L309" s="147">
        <f>IF(t&lt;Tvie,1-EXP((T0-t)*PertePVj)+'2024'!Pspv,1-EXP((T0-t)*PertePVj)+Pspv)</f>
        <v>5.8310237359709971E-2</v>
      </c>
      <c r="M309" s="850"/>
      <c r="N309" s="850"/>
      <c r="O309" s="48">
        <f>IF(t&lt;Tnet,'2024'!Resal+('2024'!Salim-'2024'!Resal)*(1-EXP(('2024'!Tnet-t)/('2024'!Tau_j))),Resal+(Salim-Resal)*(1-EXP((Tnet-t)/(Tau_j))))*Salcycl</f>
        <v>4.5984783914014504E-2</v>
      </c>
      <c r="P309" s="169">
        <f>(INDEX(Models!$BJ309:$BT309,,T309)*(1-R309)+INDEX(Models!$BJ309:$BT309,,T309+1)*R309-ERP_i)*Q309*Ramure*Pc/MaxiM</f>
        <v>6.0434612765434296E-3</v>
      </c>
      <c r="Q309" s="305">
        <f t="shared" si="105"/>
        <v>0.7</v>
      </c>
      <c r="R309" s="177">
        <f t="shared" si="106"/>
        <v>0.47427743705038239</v>
      </c>
      <c r="S309" s="817">
        <f t="shared" si="107"/>
        <v>-2</v>
      </c>
      <c r="T309" s="176">
        <f t="shared" si="108"/>
        <v>4</v>
      </c>
      <c r="U309" s="251">
        <f t="shared" si="109"/>
        <v>-1.5257225629496176</v>
      </c>
      <c r="V309" s="383">
        <f t="shared" si="110"/>
        <v>21.685745355712889</v>
      </c>
      <c r="W309" s="402">
        <f t="shared" si="111"/>
        <v>19.891675580077472</v>
      </c>
      <c r="X309" s="157">
        <f t="shared" si="112"/>
        <v>45952</v>
      </c>
      <c r="Y309" s="385">
        <f t="shared" si="113"/>
        <v>17.638414383358196</v>
      </c>
      <c r="Z309" s="385">
        <f t="shared" si="114"/>
        <v>18.730600122384232</v>
      </c>
      <c r="AA309" s="386">
        <f t="shared" si="115"/>
        <v>21.104312185250823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0.11247521558771804</v>
      </c>
      <c r="AD309" s="231">
        <f>(INDEX(Models!$BJ309:$BT309,,AH309)*(1-AF309)+INDEX(Models!$BJ309:$BT309,,AH309+1)*AF309-ERP_i)*AE309*Ramure*Pc/MaxiM</f>
        <v>5.8885166544457211E-2</v>
      </c>
      <c r="AE309" s="305">
        <f t="shared" si="117"/>
        <v>0.7</v>
      </c>
      <c r="AF309" s="177">
        <f t="shared" si="118"/>
        <v>9.8140806426438409E-2</v>
      </c>
      <c r="AG309" s="817">
        <f t="shared" si="124"/>
        <v>1</v>
      </c>
      <c r="AH309" s="176">
        <f t="shared" si="119"/>
        <v>7</v>
      </c>
      <c r="AI309" s="225">
        <f t="shared" si="120"/>
        <v>1.0981408064264384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45953</v>
      </c>
      <c r="B310" s="411">
        <f>'2024'!Wh/'2024'!Env_an*'2025'!Env_an</f>
        <v>12.89325439101164</v>
      </c>
      <c r="C310" s="846"/>
      <c r="D310" s="393">
        <f t="shared" si="102"/>
        <v>13.691915643648029</v>
      </c>
      <c r="E310" s="385">
        <f t="shared" si="125"/>
        <v>14.353593619599506</v>
      </c>
      <c r="F310" s="385">
        <f t="shared" si="103"/>
        <v>14.393589555783688</v>
      </c>
      <c r="G310" s="110">
        <f t="shared" si="126"/>
        <v>0.60055998130070132</v>
      </c>
      <c r="H310" s="414" t="b">
        <f>Wh_hp&gt;='2024'!Maxi_hp</f>
        <v>0</v>
      </c>
      <c r="I310" s="390">
        <f>IF(H310,Wh_hp,'2024'!Maxi_hp)</f>
        <v>23.868421011205619</v>
      </c>
      <c r="J310" s="85">
        <f>IF(H310,An,'2024'!An_max)</f>
        <v>2018</v>
      </c>
      <c r="K310" s="197">
        <f t="shared" si="104"/>
        <v>45953</v>
      </c>
      <c r="L310" s="147">
        <f>IF(t&lt;Tvie,1-EXP((T0-t)*PertePVj)+'2024'!Pspv,1-EXP((T0-t)*PertePVj)+Pspv)</f>
        <v>5.8330862782294823E-2</v>
      </c>
      <c r="M310" s="850"/>
      <c r="N310" s="850"/>
      <c r="O310" s="48">
        <f>IF(t&lt;Tnet,'2024'!Resal+('2024'!Salim-'2024'!Resal)*(1-EXP(('2024'!Tnet-t)/('2024'!Tau_j))),Resal+(Salim-Resal)*(1-EXP((Tnet-t)/(Tau_j))))*Salcycl</f>
        <v>4.6098419217329031E-2</v>
      </c>
      <c r="P310" s="169">
        <f>(INDEX(Models!$BJ310:$BT310,,T310)*(1-R310)+INDEX(Models!$BJ310:$BT310,,T310+1)*R310-ERP_i)*Q310*Ramure*Pc/MaxiM</f>
        <v>6.4245254135522943E-3</v>
      </c>
      <c r="Q310" s="305">
        <f t="shared" si="105"/>
        <v>0.7</v>
      </c>
      <c r="R310" s="177">
        <f t="shared" si="106"/>
        <v>0.47435864173220432</v>
      </c>
      <c r="S310" s="817">
        <f t="shared" si="107"/>
        <v>-2</v>
      </c>
      <c r="T310" s="176">
        <f t="shared" si="108"/>
        <v>4</v>
      </c>
      <c r="U310" s="251">
        <f t="shared" si="109"/>
        <v>-1.5256413582677957</v>
      </c>
      <c r="V310" s="383">
        <f t="shared" si="110"/>
        <v>21.390231908623299</v>
      </c>
      <c r="W310" s="402">
        <f t="shared" si="111"/>
        <v>12.89325439101164</v>
      </c>
      <c r="X310" s="157">
        <f t="shared" si="112"/>
        <v>45953</v>
      </c>
      <c r="Y310" s="385">
        <f t="shared" si="113"/>
        <v>11.71387028976002</v>
      </c>
      <c r="Z310" s="385">
        <f t="shared" si="114"/>
        <v>12.439475636177596</v>
      </c>
      <c r="AA310" s="386">
        <f t="shared" si="115"/>
        <v>14.015588849059588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0.11245429855683481</v>
      </c>
      <c r="AD310" s="231">
        <f>(INDEX(Models!$BJ310:$BT310,,AH310)*(1-AF310)+INDEX(Models!$BJ310:$BT310,,AH310+1)*AF310-ERP_i)*AE310*Ramure*Pc/MaxiM</f>
        <v>6.0718047341273666E-2</v>
      </c>
      <c r="AE310" s="305">
        <f t="shared" si="117"/>
        <v>0.7</v>
      </c>
      <c r="AF310" s="177">
        <f t="shared" si="118"/>
        <v>9.8222011108260121E-2</v>
      </c>
      <c r="AG310" s="817">
        <f t="shared" si="124"/>
        <v>1</v>
      </c>
      <c r="AH310" s="176">
        <f t="shared" si="119"/>
        <v>7</v>
      </c>
      <c r="AI310" s="225">
        <f t="shared" si="120"/>
        <v>1.0982220111082601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45954</v>
      </c>
      <c r="B311" s="411">
        <f>'2024'!Wh/'2024'!Env_an*'2025'!Env_an</f>
        <v>15.727265153679953</v>
      </c>
      <c r="C311" s="846"/>
      <c r="D311" s="393">
        <f t="shared" si="102"/>
        <v>16.701842512502978</v>
      </c>
      <c r="E311" s="385">
        <f t="shared" si="125"/>
        <v>17.511050435105805</v>
      </c>
      <c r="F311" s="385">
        <f t="shared" si="103"/>
        <v>17.587271843468088</v>
      </c>
      <c r="G311" s="110">
        <f t="shared" si="126"/>
        <v>0.74375321975432807</v>
      </c>
      <c r="H311" s="414" t="b">
        <f>Wh_hp&gt;='2024'!Maxi_hp</f>
        <v>0</v>
      </c>
      <c r="I311" s="390">
        <f>IF(H311,Wh_hp,'2024'!Maxi_hp)</f>
        <v>24.436721996898605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5.8351487753130038E-2</v>
      </c>
      <c r="M311" s="850"/>
      <c r="N311" s="850"/>
      <c r="O311" s="48">
        <f>IF(t&lt;Tnet,'2024'!Resal+('2024'!Salim-'2024'!Resal)*(1-EXP(('2024'!Tnet-t)/('2024'!Tau_j))),Resal+(Salim-Resal)*(1-EXP((Tnet-t)/(Tau_j))))*Salcycl</f>
        <v>4.6211272453452724E-2</v>
      </c>
      <c r="P311" s="169">
        <f>(INDEX(Models!$BJ311:$BT311,,T311)*(1-R311)+INDEX(Models!$BJ311:$BT311,,T311+1)*R311-ERP_i)*Q311*Ramure*Pc/MaxiM</f>
        <v>6.8080929684129037E-3</v>
      </c>
      <c r="Q311" s="305">
        <f t="shared" si="105"/>
        <v>0.7</v>
      </c>
      <c r="R311" s="177">
        <f t="shared" si="106"/>
        <v>0.4744366017445969</v>
      </c>
      <c r="S311" s="817">
        <f t="shared" si="107"/>
        <v>-2</v>
      </c>
      <c r="T311" s="176">
        <f t="shared" si="108"/>
        <v>4</v>
      </c>
      <c r="U311" s="251">
        <f t="shared" si="109"/>
        <v>-1.5255633982554031</v>
      </c>
      <c r="V311" s="383">
        <f t="shared" si="110"/>
        <v>21.093264553651178</v>
      </c>
      <c r="W311" s="402">
        <f t="shared" si="111"/>
        <v>15.727265153679953</v>
      </c>
      <c r="X311" s="157">
        <f t="shared" si="112"/>
        <v>45954</v>
      </c>
      <c r="Y311" s="385">
        <f t="shared" si="113"/>
        <v>14.114345139849807</v>
      </c>
      <c r="Z311" s="385">
        <f t="shared" si="114"/>
        <v>14.988974077144274</v>
      </c>
      <c r="AA311" s="386">
        <f t="shared" si="115"/>
        <v>16.887696173183262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0.11243227475006662</v>
      </c>
      <c r="AD311" s="231">
        <f>(INDEX(Models!$BJ311:$BT311,,AH311)*(1-AF311)+INDEX(Models!$BJ311:$BT311,,AH311+1)*AF311-ERP_i)*AE311*Ramure*Pc/MaxiM</f>
        <v>6.248606925630721E-2</v>
      </c>
      <c r="AE311" s="305">
        <f t="shared" si="117"/>
        <v>0.7</v>
      </c>
      <c r="AF311" s="177">
        <f t="shared" si="118"/>
        <v>9.8299971120652918E-2</v>
      </c>
      <c r="AG311" s="817">
        <f t="shared" si="124"/>
        <v>1</v>
      </c>
      <c r="AH311" s="176">
        <f t="shared" si="119"/>
        <v>7</v>
      </c>
      <c r="AI311" s="225">
        <f t="shared" si="120"/>
        <v>1.0982999711206529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45955</v>
      </c>
      <c r="B312" s="411">
        <f>'2024'!Wh/'2024'!Env_an*'2025'!Env_an</f>
        <v>13.674735883976988</v>
      </c>
      <c r="C312" s="846"/>
      <c r="D312" s="393">
        <f t="shared" si="102"/>
        <v>14.522441467802372</v>
      </c>
      <c r="E312" s="385">
        <f t="shared" si="125"/>
        <v>15.227846742760313</v>
      </c>
      <c r="F312" s="385">
        <f t="shared" si="103"/>
        <v>15.284018745595043</v>
      </c>
      <c r="G312" s="110">
        <f t="shared" si="126"/>
        <v>0.65527052308967237</v>
      </c>
      <c r="H312" s="414" t="b">
        <f>Wh_hp&gt;='2024'!Maxi_hp</f>
        <v>0</v>
      </c>
      <c r="I312" s="390">
        <f>IF(H312,Wh_hp,'2024'!Maxi_hp)</f>
        <v>22.975160579894975</v>
      </c>
      <c r="J312" s="85">
        <f>IF(H312,An,'2024'!An_max)</f>
        <v>2018</v>
      </c>
      <c r="K312" s="197">
        <f t="shared" si="104"/>
        <v>45955</v>
      </c>
      <c r="L312" s="147">
        <f>IF(t&lt;Tvie,1-EXP((T0-t)*PertePVj)+'2024'!Pspv,1-EXP((T0-t)*PertePVj)+Pspv)</f>
        <v>5.8372112272225496E-2</v>
      </c>
      <c r="M312" s="850"/>
      <c r="N312" s="850"/>
      <c r="O312" s="48">
        <f>IF(t&lt;Tnet,'2024'!Resal+('2024'!Salim-'2024'!Resal)*(1-EXP(('2024'!Tnet-t)/('2024'!Tau_j))),Resal+(Salim-Resal)*(1-EXP((Tnet-t)/(Tau_j))))*Salcycl</f>
        <v>4.632337630356749E-2</v>
      </c>
      <c r="P312" s="169">
        <f>(INDEX(Models!$BJ312:$BT312,,T312)*(1-R312)+INDEX(Models!$BJ312:$BT312,,T312+1)*R312-ERP_i)*Q312*Ramure*Pc/MaxiM</f>
        <v>7.1943426123922362E-3</v>
      </c>
      <c r="Q312" s="305">
        <f t="shared" si="105"/>
        <v>0.7</v>
      </c>
      <c r="R312" s="177">
        <f t="shared" si="106"/>
        <v>0.47451144577600513</v>
      </c>
      <c r="S312" s="817">
        <f t="shared" si="107"/>
        <v>-2</v>
      </c>
      <c r="T312" s="176">
        <f t="shared" si="108"/>
        <v>4</v>
      </c>
      <c r="U312" s="251">
        <f t="shared" si="109"/>
        <v>-1.5254885542239949</v>
      </c>
      <c r="V312" s="383">
        <f t="shared" si="110"/>
        <v>20.795129189013196</v>
      </c>
      <c r="W312" s="402">
        <f t="shared" si="111"/>
        <v>13.674735883976988</v>
      </c>
      <c r="X312" s="157">
        <f t="shared" si="112"/>
        <v>45955</v>
      </c>
      <c r="Y312" s="385">
        <f t="shared" si="113"/>
        <v>12.355218132127344</v>
      </c>
      <c r="Z312" s="385">
        <f t="shared" si="114"/>
        <v>13.121125970410139</v>
      </c>
      <c r="AA312" s="386">
        <f t="shared" si="115"/>
        <v>14.782855353791089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0.1124092297199402</v>
      </c>
      <c r="AD312" s="231">
        <f>(INDEX(Models!$BJ312:$BT312,,AH312)*(1-AF312)+INDEX(Models!$BJ312:$BT312,,AH312+1)*AF312-ERP_i)*AE312*Ramure*Pc/MaxiM</f>
        <v>6.418751270155823E-2</v>
      </c>
      <c r="AE312" s="305">
        <f t="shared" si="117"/>
        <v>0.7</v>
      </c>
      <c r="AF312" s="177">
        <f t="shared" si="118"/>
        <v>9.8374815152061146E-2</v>
      </c>
      <c r="AG312" s="817">
        <f t="shared" si="124"/>
        <v>1</v>
      </c>
      <c r="AH312" s="176">
        <f t="shared" si="119"/>
        <v>7</v>
      </c>
      <c r="AI312" s="225">
        <f t="shared" si="120"/>
        <v>1.0983748151520611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45956</v>
      </c>
      <c r="B313" s="411">
        <f>'2024'!Wh/'2024'!Env_an*'2025'!Env_an</f>
        <v>9.1723839254462778</v>
      </c>
      <c r="C313" s="846"/>
      <c r="D313" s="393">
        <f t="shared" si="102"/>
        <v>9.7411992020850651</v>
      </c>
      <c r="E313" s="385">
        <f t="shared" si="125"/>
        <v>10.215556160180908</v>
      </c>
      <c r="F313" s="385">
        <f t="shared" si="103"/>
        <v>10.231908052747228</v>
      </c>
      <c r="G313" s="110">
        <f t="shared" si="126"/>
        <v>0.44483542277686544</v>
      </c>
      <c r="H313" s="414" t="b">
        <f>Wh_hp&gt;='2024'!Maxi_hp</f>
        <v>0</v>
      </c>
      <c r="I313" s="390">
        <f>IF(H313,Wh_hp,'2024'!Maxi_hp)</f>
        <v>22.259943902038003</v>
      </c>
      <c r="J313" s="85">
        <f>IF(H313,An,'2024'!An_max)</f>
        <v>2019</v>
      </c>
      <c r="K313" s="197">
        <f t="shared" si="104"/>
        <v>45956</v>
      </c>
      <c r="L313" s="147">
        <f>IF(t&lt;Tvie,1-EXP((T0-t)*PertePVj)+'2024'!Pspv,1-EXP((T0-t)*PertePVj)+Pspv)</f>
        <v>5.8392736339590967E-2</v>
      </c>
      <c r="M313" s="850"/>
      <c r="N313" s="850"/>
      <c r="O313" s="48">
        <f>IF(t&lt;Tnet,'2024'!Resal+('2024'!Salim-'2024'!Resal)*(1-EXP(('2024'!Tnet-t)/('2024'!Tau_j))),Resal+(Salim-Resal)*(1-EXP((Tnet-t)/(Tau_j))))*Salcycl</f>
        <v>4.6434765827516336E-2</v>
      </c>
      <c r="P313" s="169">
        <f>(INDEX(Models!$BJ313:$BT313,,T313)*(1-R313)+INDEX(Models!$BJ313:$BT313,,T313+1)*R313-ERP_i)*Q313*Ramure*Pc/MaxiM</f>
        <v>7.5833962912668623E-3</v>
      </c>
      <c r="Q313" s="305">
        <f t="shared" si="105"/>
        <v>0.7</v>
      </c>
      <c r="R313" s="177">
        <f t="shared" si="106"/>
        <v>0.47458329748623473</v>
      </c>
      <c r="S313" s="817">
        <f t="shared" si="107"/>
        <v>-2</v>
      </c>
      <c r="T313" s="176">
        <f t="shared" si="108"/>
        <v>4</v>
      </c>
      <c r="U313" s="251">
        <f t="shared" si="109"/>
        <v>-1.5254167025137653</v>
      </c>
      <c r="V313" s="383">
        <f t="shared" si="110"/>
        <v>20.496112490308395</v>
      </c>
      <c r="W313" s="402">
        <f t="shared" si="111"/>
        <v>9.1723839254462778</v>
      </c>
      <c r="X313" s="157">
        <f t="shared" si="112"/>
        <v>45956</v>
      </c>
      <c r="Y313" s="385">
        <f t="shared" si="113"/>
        <v>8.4330505320660727</v>
      </c>
      <c r="Z313" s="385">
        <f t="shared" si="114"/>
        <v>8.9560168634249777</v>
      </c>
      <c r="AA313" s="386">
        <f t="shared" si="115"/>
        <v>10.089982058424255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0.11238525385211316</v>
      </c>
      <c r="AD313" s="231">
        <f>(INDEX(Models!$BJ313:$BT313,,AH313)*(1-AF313)+INDEX(Models!$BJ313:$BT313,,AH313+1)*AF313-ERP_i)*AE313*Ramure*Pc/MaxiM</f>
        <v>6.5819968827344075E-2</v>
      </c>
      <c r="AE313" s="305">
        <f t="shared" si="117"/>
        <v>0.7</v>
      </c>
      <c r="AF313" s="177">
        <f t="shared" si="118"/>
        <v>9.8446666862290533E-2</v>
      </c>
      <c r="AG313" s="817">
        <f t="shared" si="124"/>
        <v>1</v>
      </c>
      <c r="AH313" s="176">
        <f t="shared" si="119"/>
        <v>7</v>
      </c>
      <c r="AI313" s="225">
        <f t="shared" si="120"/>
        <v>1.0984466668622905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45957</v>
      </c>
      <c r="B314" s="411">
        <f>'2024'!Wh/'2024'!Env_an*'2025'!Env_an</f>
        <v>8.5040158214886485</v>
      </c>
      <c r="C314" s="846"/>
      <c r="D314" s="393">
        <f t="shared" si="102"/>
        <v>9.0315808018307937</v>
      </c>
      <c r="E314" s="385">
        <f t="shared" si="125"/>
        <v>9.4724820081880239</v>
      </c>
      <c r="F314" s="385">
        <f t="shared" si="103"/>
        <v>9.4855657007977161</v>
      </c>
      <c r="G314" s="110">
        <f t="shared" si="126"/>
        <v>0.4182826307299044</v>
      </c>
      <c r="H314" s="414" t="b">
        <f>Wh_hp&gt;='2024'!Maxi_hp</f>
        <v>0</v>
      </c>
      <c r="I314" s="390">
        <f>IF(H314,Wh_hp,'2024'!Maxi_hp)</f>
        <v>20.509460885058797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5.8413359955236444E-2</v>
      </c>
      <c r="M314" s="850"/>
      <c r="N314" s="850"/>
      <c r="O314" s="48">
        <f>IF(t&lt;Tnet,'2024'!Resal+('2024'!Salim-'2024'!Resal)*(1-EXP(('2024'!Tnet-t)/('2024'!Tau_j))),Resal+(Salim-Resal)*(1-EXP((Tnet-t)/(Tau_j))))*Salcycl</f>
        <v>4.6545478363127481E-2</v>
      </c>
      <c r="P314" s="169">
        <f>(INDEX(Models!$BJ314:$BT314,,T314)*(1-R314)+INDEX(Models!$BJ314:$BT314,,T314+1)*R314-ERP_i)*Q314*Ramure*Pc/MaxiM</f>
        <v>7.9753684681666479E-3</v>
      </c>
      <c r="Q314" s="305">
        <f t="shared" si="105"/>
        <v>0.7</v>
      </c>
      <c r="R314" s="177">
        <f t="shared" si="106"/>
        <v>0.47465227569701196</v>
      </c>
      <c r="S314" s="817">
        <f t="shared" si="107"/>
        <v>-2</v>
      </c>
      <c r="T314" s="176">
        <f t="shared" si="108"/>
        <v>4</v>
      </c>
      <c r="U314" s="251">
        <f t="shared" si="109"/>
        <v>-1.525347724302988</v>
      </c>
      <c r="V314" s="383">
        <f t="shared" si="110"/>
        <v>20.196500831737804</v>
      </c>
      <c r="W314" s="402">
        <f t="shared" si="111"/>
        <v>8.5040158214886485</v>
      </c>
      <c r="X314" s="157">
        <f t="shared" si="112"/>
        <v>45957</v>
      </c>
      <c r="Y314" s="385">
        <f t="shared" si="113"/>
        <v>7.8355492691465569</v>
      </c>
      <c r="Z314" s="385">
        <f t="shared" si="114"/>
        <v>8.3216444837981669</v>
      </c>
      <c r="AA314" s="386">
        <f t="shared" si="115"/>
        <v>9.3750266190884091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0.11236044206482146</v>
      </c>
      <c r="AD314" s="231">
        <f>(INDEX(Models!$BJ314:$BT314,,AH314)*(1-AF314)+INDEX(Models!$BJ314:$BT314,,AH314+1)*AF314-ERP_i)*AE314*Ramure*Pc/MaxiM</f>
        <v>6.7380817714370461E-2</v>
      </c>
      <c r="AE314" s="305">
        <f t="shared" si="117"/>
        <v>0.7</v>
      </c>
      <c r="AF314" s="177">
        <f t="shared" si="118"/>
        <v>9.8515645073067759E-2</v>
      </c>
      <c r="AG314" s="817">
        <f t="shared" si="124"/>
        <v>1</v>
      </c>
      <c r="AH314" s="176">
        <f t="shared" si="119"/>
        <v>7</v>
      </c>
      <c r="AI314" s="225">
        <f t="shared" si="120"/>
        <v>1.0985156450730678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45958</v>
      </c>
      <c r="B315" s="411">
        <f>'2024'!Wh/'2024'!Env_an*'2025'!Env_an</f>
        <v>11.161569448886981</v>
      </c>
      <c r="C315" s="846"/>
      <c r="D315" s="393">
        <f t="shared" si="102"/>
        <v>11.854261144494636</v>
      </c>
      <c r="E315" s="385">
        <f t="shared" si="125"/>
        <v>12.434394711048688</v>
      </c>
      <c r="F315" s="385">
        <f t="shared" si="103"/>
        <v>12.473320236272889</v>
      </c>
      <c r="G315" s="110">
        <f t="shared" si="126"/>
        <v>0.55802511716125613</v>
      </c>
      <c r="H315" s="414" t="b">
        <f>Wh_hp&gt;='2024'!Maxi_hp</f>
        <v>0</v>
      </c>
      <c r="I315" s="390">
        <f>IF(H315,Wh_hp,'2024'!Maxi_hp)</f>
        <v>22.111247290077316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5.8433983119171917E-2</v>
      </c>
      <c r="M315" s="850"/>
      <c r="N315" s="850"/>
      <c r="O315" s="48">
        <f>IF(t&lt;Tnet,'2024'!Resal+('2024'!Salim-'2024'!Resal)*(1-EXP(('2024'!Tnet-t)/('2024'!Tau_j))),Resal+(Salim-Resal)*(1-EXP((Tnet-t)/(Tau_j))))*Salcycl</f>
        <v>4.6655553409332313E-2</v>
      </c>
      <c r="P315" s="169">
        <f>(INDEX(Models!$BJ315:$BT315,,T315)*(1-R315)+INDEX(Models!$BJ315:$BT315,,T315+1)*R315-ERP_i)*Q315*Ramure*Pc/MaxiM</f>
        <v>8.3703651983616754E-3</v>
      </c>
      <c r="Q315" s="305">
        <f t="shared" si="105"/>
        <v>0.7</v>
      </c>
      <c r="R315" s="177">
        <f t="shared" si="106"/>
        <v>0.47471849457579407</v>
      </c>
      <c r="S315" s="817">
        <f t="shared" si="107"/>
        <v>-2</v>
      </c>
      <c r="T315" s="176">
        <f t="shared" si="108"/>
        <v>4</v>
      </c>
      <c r="U315" s="251">
        <f t="shared" si="109"/>
        <v>-1.5252815054242059</v>
      </c>
      <c r="V315" s="383">
        <f t="shared" si="110"/>
        <v>19.896580292701216</v>
      </c>
      <c r="W315" s="402">
        <f t="shared" si="111"/>
        <v>11.161569448886981</v>
      </c>
      <c r="X315" s="157">
        <f t="shared" si="112"/>
        <v>45958</v>
      </c>
      <c r="Y315" s="385">
        <f t="shared" si="113"/>
        <v>10.157470660486471</v>
      </c>
      <c r="Z315" s="385">
        <f t="shared" si="114"/>
        <v>10.787847562867256</v>
      </c>
      <c r="AA315" s="386">
        <f t="shared" si="115"/>
        <v>12.15306029668271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0.11233489347437049</v>
      </c>
      <c r="AD315" s="231">
        <f>(INDEX(Models!$BJ315:$BT315,,AH315)*(1-AF315)+INDEX(Models!$BJ315:$BT315,,AH315+1)*AF315-ERP_i)*AE315*Ramure*Pc/MaxiM</f>
        <v>6.8867218549651082E-2</v>
      </c>
      <c r="AE315" s="305">
        <f t="shared" si="117"/>
        <v>0.7</v>
      </c>
      <c r="AF315" s="177">
        <f t="shared" si="118"/>
        <v>9.8581863951849868E-2</v>
      </c>
      <c r="AG315" s="817">
        <f t="shared" si="124"/>
        <v>1</v>
      </c>
      <c r="AH315" s="176">
        <f t="shared" si="119"/>
        <v>7</v>
      </c>
      <c r="AI315" s="225">
        <f t="shared" si="120"/>
        <v>1.0985818639518499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45959</v>
      </c>
      <c r="B316" s="411">
        <f>'2024'!Wh/'2024'!Env_an*'2025'!Env_an</f>
        <v>16.225190365256037</v>
      </c>
      <c r="C316" s="846"/>
      <c r="D316" s="393">
        <f t="shared" si="102"/>
        <v>17.232509941364288</v>
      </c>
      <c r="E316" s="385">
        <f t="shared" si="125"/>
        <v>18.077924676266331</v>
      </c>
      <c r="F316" s="385">
        <f t="shared" si="103"/>
        <v>18.198277423801116</v>
      </c>
      <c r="G316" s="110">
        <f t="shared" si="126"/>
        <v>0.82616172619545292</v>
      </c>
      <c r="H316" s="414" t="b">
        <f>Wh_hp&gt;='2024'!Maxi_hp</f>
        <v>1</v>
      </c>
      <c r="I316" s="390">
        <f>IF(H316,Wh_hp,'2024'!Maxi_hp)</f>
        <v>18.198277423801116</v>
      </c>
      <c r="J316" s="85">
        <f>IF(H316,An,'2024'!An_max)</f>
        <v>2025</v>
      </c>
      <c r="K316" s="197">
        <f t="shared" si="104"/>
        <v>45959</v>
      </c>
      <c r="L316" s="147">
        <f>IF(t&lt;Tvie,1-EXP((T0-t)*PertePVj)+'2024'!Pspv,1-EXP((T0-t)*PertePVj)+Pspv)</f>
        <v>5.8454605831407047E-2</v>
      </c>
      <c r="M316" s="850"/>
      <c r="N316" s="850"/>
      <c r="O316" s="48">
        <f>IF(t&lt;Tnet,'2024'!Resal+('2024'!Salim-'2024'!Resal)*(1-EXP(('2024'!Tnet-t)/('2024'!Tau_j))),Resal+(Salim-Resal)*(1-EXP((Tnet-t)/(Tau_j))))*Salcycl</f>
        <v>4.6765032493577607E-2</v>
      </c>
      <c r="P316" s="169">
        <f>(INDEX(Models!$BJ316:$BT316,,T316)*(1-R316)+INDEX(Models!$BJ316:$BT316,,T316+1)*R316-ERP_i)*Q316*Ramure*Pc/MaxiM</f>
        <v>8.7684830302996956E-3</v>
      </c>
      <c r="Q316" s="305">
        <f t="shared" si="105"/>
        <v>0.7</v>
      </c>
      <c r="R316" s="177">
        <f t="shared" si="106"/>
        <v>0.47478206381303023</v>
      </c>
      <c r="S316" s="817">
        <f t="shared" si="107"/>
        <v>-2</v>
      </c>
      <c r="T316" s="176">
        <f t="shared" si="108"/>
        <v>4</v>
      </c>
      <c r="U316" s="251">
        <f t="shared" si="109"/>
        <v>-1.5252179361869698</v>
      </c>
      <c r="V316" s="383">
        <f t="shared" si="110"/>
        <v>19.596636668287829</v>
      </c>
      <c r="W316" s="402">
        <f t="shared" si="111"/>
        <v>16.225190365256037</v>
      </c>
      <c r="X316" s="157">
        <f t="shared" si="112"/>
        <v>45959</v>
      </c>
      <c r="Y316" s="385">
        <f t="shared" si="113"/>
        <v>14.403950909208428</v>
      </c>
      <c r="Z316" s="385">
        <f t="shared" si="114"/>
        <v>15.298201232164127</v>
      </c>
      <c r="AA316" s="386">
        <f t="shared" si="115"/>
        <v>17.233695342316572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0.11230871102844248</v>
      </c>
      <c r="AD316" s="231">
        <f>(INDEX(Models!$BJ316:$BT316,,AH316)*(1-AF316)+INDEX(Models!$BJ316:$BT316,,AH316+1)*AF316-ERP_i)*AE316*Ramure*Pc/MaxiM</f>
        <v>7.0276099100967965E-2</v>
      </c>
      <c r="AE316" s="305">
        <f t="shared" si="117"/>
        <v>0.7</v>
      </c>
      <c r="AF316" s="177">
        <f t="shared" si="118"/>
        <v>9.8645433189086251E-2</v>
      </c>
      <c r="AG316" s="817">
        <f t="shared" si="124"/>
        <v>1</v>
      </c>
      <c r="AH316" s="176">
        <f t="shared" si="119"/>
        <v>7</v>
      </c>
      <c r="AI316" s="225">
        <f t="shared" si="120"/>
        <v>1.0986454331890863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45960</v>
      </c>
      <c r="B317" s="411">
        <f>'2024'!Wh/'2024'!Env_an*'2025'!Env_an</f>
        <v>13.629337601173091</v>
      </c>
      <c r="C317" s="846"/>
      <c r="D317" s="393">
        <f t="shared" si="102"/>
        <v>14.475814134504972</v>
      </c>
      <c r="E317" s="385">
        <f t="shared" si="125"/>
        <v>15.187722832212547</v>
      </c>
      <c r="F317" s="385">
        <f t="shared" si="103"/>
        <v>15.269038949289206</v>
      </c>
      <c r="G317" s="110">
        <f t="shared" si="126"/>
        <v>0.70371886493667524</v>
      </c>
      <c r="H317" s="414" t="b">
        <f>Wh_hp&gt;='2024'!Maxi_hp</f>
        <v>0</v>
      </c>
      <c r="I317" s="390">
        <f>IF(H317,Wh_hp,'2024'!Maxi_hp)</f>
        <v>19.915918764671726</v>
      </c>
      <c r="J317" s="85">
        <f>IF(H317,An,'2024'!An_max)</f>
        <v>2018</v>
      </c>
      <c r="K317" s="197">
        <f t="shared" si="104"/>
        <v>45960</v>
      </c>
      <c r="L317" s="147">
        <f>IF(t&lt;Tvie,1-EXP((T0-t)*PertePVj)+'2024'!Pspv,1-EXP((T0-t)*PertePVj)+Pspv)</f>
        <v>5.8475228091951936E-2</v>
      </c>
      <c r="M317" s="850"/>
      <c r="N317" s="850"/>
      <c r="O317" s="48">
        <f>IF(t&lt;Tnet,'2024'!Resal+('2024'!Salim-'2024'!Resal)*(1-EXP(('2024'!Tnet-t)/('2024'!Tau_j))),Resal+(Salim-Resal)*(1-EXP((Tnet-t)/(Tau_j))))*Salcycl</f>
        <v>4.6873959024169493E-2</v>
      </c>
      <c r="P317" s="169">
        <f>(INDEX(Models!$BJ317:$BT317,,T317)*(1-R317)+INDEX(Models!$BJ317:$BT317,,T317+1)*R317-ERP_i)*Q317*Ramure*Pc/MaxiM</f>
        <v>9.1718131045927659E-3</v>
      </c>
      <c r="Q317" s="305">
        <f t="shared" si="105"/>
        <v>0.7</v>
      </c>
      <c r="R317" s="177">
        <f t="shared" si="106"/>
        <v>0.4748430887930728</v>
      </c>
      <c r="S317" s="817">
        <f t="shared" si="107"/>
        <v>-2</v>
      </c>
      <c r="T317" s="176">
        <f t="shared" si="108"/>
        <v>4</v>
      </c>
      <c r="U317" s="251">
        <f t="shared" si="109"/>
        <v>-1.5251569112069272</v>
      </c>
      <c r="V317" s="383">
        <f t="shared" si="110"/>
        <v>19.292697220411107</v>
      </c>
      <c r="W317" s="402">
        <f t="shared" si="111"/>
        <v>13.629337601173091</v>
      </c>
      <c r="X317" s="157">
        <f t="shared" si="112"/>
        <v>45960</v>
      </c>
      <c r="Y317" s="385">
        <f t="shared" si="113"/>
        <v>12.231277360260313</v>
      </c>
      <c r="Z317" s="385">
        <f t="shared" si="114"/>
        <v>12.990924641815853</v>
      </c>
      <c r="AA317" s="386">
        <f t="shared" si="115"/>
        <v>14.634066965014949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0.11228200110928051</v>
      </c>
      <c r="AD317" s="231">
        <f>(INDEX(Models!$BJ317:$BT317,,AH317)*(1-AF317)+INDEX(Models!$BJ317:$BT317,,AH317+1)*AF317-ERP_i)*AE317*Ramure*Pc/MaxiM</f>
        <v>7.1619803991940026E-2</v>
      </c>
      <c r="AE317" s="305">
        <f t="shared" si="117"/>
        <v>0.7</v>
      </c>
      <c r="AF317" s="177">
        <f t="shared" si="118"/>
        <v>9.8706458169128819E-2</v>
      </c>
      <c r="AG317" s="817">
        <f t="shared" si="124"/>
        <v>1</v>
      </c>
      <c r="AH317" s="176">
        <f t="shared" si="119"/>
        <v>7</v>
      </c>
      <c r="AI317" s="225">
        <f t="shared" si="120"/>
        <v>1.0987064581691288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45961</v>
      </c>
      <c r="B318" s="411">
        <f>'2024'!Wh/'2024'!Env_an*'2025'!Env_an</f>
        <v>12.927436155509699</v>
      </c>
      <c r="C318" s="846"/>
      <c r="D318" s="393">
        <f t="shared" si="102"/>
        <v>13.73062046954105</v>
      </c>
      <c r="E318" s="385">
        <f t="shared" si="125"/>
        <v>14.407520023160529</v>
      </c>
      <c r="F318" s="385">
        <f t="shared" si="103"/>
        <v>14.482938319876629</v>
      </c>
      <c r="G318" s="110">
        <f t="shared" si="126"/>
        <v>0.67805253869718884</v>
      </c>
      <c r="H318" s="414" t="b">
        <f>Wh_hp&gt;='2024'!Maxi_hp</f>
        <v>0</v>
      </c>
      <c r="I318" s="390">
        <f>IF(H318,Wh_hp,'2024'!Maxi_hp)</f>
        <v>21.044547034866937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5.8495849900816355E-2</v>
      </c>
      <c r="M318" s="850"/>
      <c r="N318" s="850"/>
      <c r="O318" s="48">
        <f>IF(t&lt;Tnet,'2024'!Resal+('2024'!Salim-'2024'!Resal)*(1-EXP(('2024'!Tnet-t)/('2024'!Tau_j))),Resal+(Salim-Resal)*(1-EXP((Tnet-t)/(Tau_j))))*Salcycl</f>
        <v>4.6982378128320776E-2</v>
      </c>
      <c r="P318" s="169">
        <f>(INDEX(Models!$BJ318:$BT318,,T318)*(1-R318)+INDEX(Models!$BJ318:$BT318,,T318+1)*R318-ERP_i)*Q318*Ramure*Pc/MaxiM</f>
        <v>9.5664586161287191E-3</v>
      </c>
      <c r="Q318" s="305">
        <f t="shared" si="105"/>
        <v>0.7</v>
      </c>
      <c r="R318" s="177">
        <f t="shared" si="106"/>
        <v>0.47490167075893375</v>
      </c>
      <c r="S318" s="817">
        <f t="shared" si="107"/>
        <v>-2</v>
      </c>
      <c r="T318" s="176">
        <f t="shared" si="108"/>
        <v>4</v>
      </c>
      <c r="U318" s="251">
        <f t="shared" si="109"/>
        <v>-1.5250983292410663</v>
      </c>
      <c r="V318" s="383">
        <f t="shared" si="110"/>
        <v>18.981994533975001</v>
      </c>
      <c r="W318" s="402">
        <f t="shared" si="111"/>
        <v>12.927436155509699</v>
      </c>
      <c r="X318" s="157">
        <f t="shared" si="112"/>
        <v>45961</v>
      </c>
      <c r="Y318" s="385">
        <f t="shared" si="113"/>
        <v>11.625017602697172</v>
      </c>
      <c r="Z318" s="385">
        <f t="shared" si="114"/>
        <v>12.347282379448378</v>
      </c>
      <c r="AA318" s="386">
        <f t="shared" si="115"/>
        <v>13.908589307261344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0.11225487310908266</v>
      </c>
      <c r="AD318" s="231">
        <f>(INDEX(Models!$BJ318:$BT318,,AH318)*(1-AF318)+INDEX(Models!$BJ318:$BT318,,AH318+1)*AF318-ERP_i)*AE318*Ramure*Pc/MaxiM</f>
        <v>7.2853489135158017E-2</v>
      </c>
      <c r="AE318" s="305">
        <f t="shared" si="117"/>
        <v>0.7</v>
      </c>
      <c r="AF318" s="177">
        <f t="shared" si="118"/>
        <v>9.8765040134989768E-2</v>
      </c>
      <c r="AG318" s="817">
        <f t="shared" si="124"/>
        <v>1</v>
      </c>
      <c r="AH318" s="176">
        <f t="shared" si="119"/>
        <v>7</v>
      </c>
      <c r="AI318" s="225">
        <f t="shared" si="120"/>
        <v>1.0987650401349898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45962</v>
      </c>
      <c r="B319" s="411">
        <f>'2024'!Wh/'2024'!Env_an*'2025'!Env_an</f>
        <v>13.80370107923806</v>
      </c>
      <c r="C319" s="846"/>
      <c r="D319" s="393">
        <f t="shared" si="102"/>
        <v>14.661649044123548</v>
      </c>
      <c r="E319" s="385">
        <f t="shared" si="125"/>
        <v>15.386189903788946</v>
      </c>
      <c r="F319" s="385">
        <f t="shared" si="103"/>
        <v>15.482890239477934</v>
      </c>
      <c r="G319" s="110">
        <f t="shared" si="126"/>
        <v>0.73674615675972444</v>
      </c>
      <c r="H319" s="414" t="b">
        <f>Wh_hp&gt;='2024'!Maxi_hp</f>
        <v>0</v>
      </c>
      <c r="I319" s="390">
        <f>IF(H319,Wh_hp,'2024'!Maxi_hp)</f>
        <v>19.702358339343263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5.8516471258010183E-2</v>
      </c>
      <c r="M319" s="850"/>
      <c r="N319" s="850"/>
      <c r="O319" s="48">
        <f>IF(t&lt;Tnet,'2024'!Resal+('2024'!Salim-'2024'!Resal)*(1-EXP(('2024'!Tnet-t)/('2024'!Tau_j))),Resal+(Salim-Resal)*(1-EXP((Tnet-t)/(Tau_j))))*Salcycl</f>
        <v>4.7090336476802178E-2</v>
      </c>
      <c r="P319" s="169">
        <f>(INDEX(Models!$BJ319:$BT319,,T319)*(1-R319)+INDEX(Models!$BJ319:$BT319,,T319+1)*R319-ERP_i)*Q319*Ramure*Pc/MaxiM</f>
        <v>9.9475060552942952E-3</v>
      </c>
      <c r="Q319" s="305">
        <f t="shared" si="105"/>
        <v>0.7</v>
      </c>
      <c r="R319" s="177">
        <f t="shared" si="106"/>
        <v>0.47495790697107543</v>
      </c>
      <c r="S319" s="817">
        <f t="shared" si="107"/>
        <v>-2</v>
      </c>
      <c r="T319" s="176">
        <f t="shared" si="108"/>
        <v>4</v>
      </c>
      <c r="U319" s="251">
        <f t="shared" si="109"/>
        <v>-1.5250420930289246</v>
      </c>
      <c r="V319" s="383">
        <f t="shared" si="110"/>
        <v>18.666239581654153</v>
      </c>
      <c r="W319" s="402">
        <f t="shared" si="111"/>
        <v>13.80370107923806</v>
      </c>
      <c r="X319" s="157">
        <f t="shared" si="112"/>
        <v>45962</v>
      </c>
      <c r="Y319" s="385">
        <f t="shared" si="113"/>
        <v>12.33961010772463</v>
      </c>
      <c r="Z319" s="385">
        <f t="shared" si="114"/>
        <v>13.106559733671405</v>
      </c>
      <c r="AA319" s="386">
        <f t="shared" si="115"/>
        <v>14.763420620497214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0.11222743898019541</v>
      </c>
      <c r="AD319" s="231">
        <f>(INDEX(Models!$BJ319:$BT319,,AH319)*(1-AF319)+INDEX(Models!$BJ319:$BT319,,AH319+1)*AF319-ERP_i)*AE319*Ramure*Pc/MaxiM</f>
        <v>7.4011412064062948E-2</v>
      </c>
      <c r="AE319" s="305">
        <f t="shared" si="117"/>
        <v>0.7</v>
      </c>
      <c r="AF319" s="177">
        <f t="shared" si="118"/>
        <v>9.8821276347131448E-2</v>
      </c>
      <c r="AG319" s="817">
        <f t="shared" si="124"/>
        <v>1</v>
      </c>
      <c r="AH319" s="176">
        <f t="shared" si="119"/>
        <v>7</v>
      </c>
      <c r="AI319" s="225">
        <f t="shared" si="120"/>
        <v>1.0988212763471314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45963</v>
      </c>
      <c r="B320" s="411">
        <f>'2024'!Wh/'2024'!Env_an*'2025'!Env_an</f>
        <v>16.001182775513499</v>
      </c>
      <c r="C320" s="846"/>
      <c r="D320" s="393">
        <f t="shared" si="102"/>
        <v>16.996084117944982</v>
      </c>
      <c r="E320" s="385">
        <f t="shared" si="125"/>
        <v>17.837999935744662</v>
      </c>
      <c r="F320" s="385">
        <f t="shared" si="103"/>
        <v>17.989653305074373</v>
      </c>
      <c r="G320" s="110">
        <f t="shared" si="126"/>
        <v>0.87048174123954469</v>
      </c>
      <c r="H320" s="414" t="b">
        <f>Wh_hp&gt;='2024'!Maxi_hp</f>
        <v>0</v>
      </c>
      <c r="I320" s="390">
        <f>IF(H320,Wh_hp,'2024'!Maxi_hp)</f>
        <v>18.470798370056769</v>
      </c>
      <c r="J320" s="85">
        <f>IF(H320,An,'2024'!An_max)</f>
        <v>2020</v>
      </c>
      <c r="K320" s="197">
        <f t="shared" si="104"/>
        <v>45963</v>
      </c>
      <c r="L320" s="147">
        <f>IF(t&lt;Tvie,1-EXP((T0-t)*PertePVj)+'2024'!Pspv,1-EXP((T0-t)*PertePVj)+Pspv)</f>
        <v>5.8537092163543414E-2</v>
      </c>
      <c r="M320" s="850"/>
      <c r="N320" s="850"/>
      <c r="O320" s="48">
        <f>IF(t&lt;Tnet,'2024'!Resal+('2024'!Salim-'2024'!Resal)*(1-EXP(('2024'!Tnet-t)/('2024'!Tau_j))),Resal+(Salim-Resal)*(1-EXP((Tnet-t)/(Tau_j))))*Salcycl</f>
        <v>4.7197882096221416E-2</v>
      </c>
      <c r="P320" s="169">
        <f>(INDEX(Models!$BJ320:$BT320,,T320)*(1-R320)+INDEX(Models!$BJ320:$BT320,,T320+1)*R320-ERP_i)*Q320*Ramure*Pc/MaxiM</f>
        <v>1.031397168711725E-2</v>
      </c>
      <c r="Q320" s="305">
        <f t="shared" si="105"/>
        <v>0.7</v>
      </c>
      <c r="R320" s="177">
        <f t="shared" si="106"/>
        <v>0.47501189086042972</v>
      </c>
      <c r="S320" s="817">
        <f t="shared" si="107"/>
        <v>-2</v>
      </c>
      <c r="T320" s="176">
        <f t="shared" si="108"/>
        <v>4</v>
      </c>
      <c r="U320" s="251">
        <f t="shared" si="109"/>
        <v>-1.5249881091395703</v>
      </c>
      <c r="V320" s="383">
        <f t="shared" si="110"/>
        <v>18.347060580569217</v>
      </c>
      <c r="W320" s="402">
        <f t="shared" si="111"/>
        <v>16.001182775513499</v>
      </c>
      <c r="X320" s="157">
        <f t="shared" si="112"/>
        <v>45963</v>
      </c>
      <c r="Y320" s="385">
        <f t="shared" si="113"/>
        <v>14.11352159274931</v>
      </c>
      <c r="Z320" s="385">
        <f t="shared" si="114"/>
        <v>14.991054321176717</v>
      </c>
      <c r="AA320" s="386">
        <f t="shared" si="115"/>
        <v>16.885617435867548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0.11219981276293159</v>
      </c>
      <c r="AD320" s="231">
        <f>(INDEX(Models!$BJ320:$BT320,,AH320)*(1-AF320)+INDEX(Models!$BJ320:$BT320,,AH320+1)*AF320-ERP_i)*AE320*Ramure*Pc/MaxiM</f>
        <v>7.508566902858857E-2</v>
      </c>
      <c r="AE320" s="305">
        <f t="shared" si="117"/>
        <v>0.7</v>
      </c>
      <c r="AF320" s="177">
        <f t="shared" si="118"/>
        <v>9.8875260236485518E-2</v>
      </c>
      <c r="AG320" s="817">
        <f t="shared" si="124"/>
        <v>1</v>
      </c>
      <c r="AH320" s="176">
        <f t="shared" si="119"/>
        <v>7</v>
      </c>
      <c r="AI320" s="225">
        <f t="shared" si="120"/>
        <v>1.0988752602364855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45964</v>
      </c>
      <c r="B321" s="411">
        <f>'2024'!Wh/'2024'!Env_an*'2025'!Env_an</f>
        <v>6.0232018169418797</v>
      </c>
      <c r="C321" s="846"/>
      <c r="D321" s="393">
        <f t="shared" si="102"/>
        <v>6.397844984940888</v>
      </c>
      <c r="E321" s="385">
        <f t="shared" si="125"/>
        <v>6.7155232428809617</v>
      </c>
      <c r="F321" s="385">
        <f t="shared" si="103"/>
        <v>6.7190178157120624</v>
      </c>
      <c r="G321" s="110">
        <f t="shared" si="126"/>
        <v>0.33074665870167047</v>
      </c>
      <c r="H321" s="414" t="b">
        <f>Wh_hp&gt;='2024'!Maxi_hp</f>
        <v>0</v>
      </c>
      <c r="I321" s="390">
        <f>IF(H321,Wh_hp,'2024'!Maxi_hp)</f>
        <v>19.194337554419008</v>
      </c>
      <c r="J321" s="85">
        <f>IF(H321,An,'2024'!An_max)</f>
        <v>2020</v>
      </c>
      <c r="K321" s="197">
        <f t="shared" si="104"/>
        <v>45964</v>
      </c>
      <c r="L321" s="147">
        <f>IF(t&lt;Tvie,1-EXP((T0-t)*PertePVj)+'2024'!Pspv,1-EXP((T0-t)*PertePVj)+Pspv)</f>
        <v>5.8557712617425928E-2</v>
      </c>
      <c r="M321" s="850"/>
      <c r="N321" s="850"/>
      <c r="O321" s="48">
        <f>IF(t&lt;Tnet,'2024'!Resal+('2024'!Salim-'2024'!Resal)*(1-EXP(('2024'!Tnet-t)/('2024'!Tau_j))),Resal+(Salim-Resal)*(1-EXP((Tnet-t)/(Tau_j))))*Salcycl</f>
        <v>4.7305064170069001E-2</v>
      </c>
      <c r="P321" s="169">
        <f>(INDEX(Models!$BJ321:$BT321,,T321)*(1-R321)+INDEX(Models!$BJ321:$BT321,,T321+1)*R321-ERP_i)*Q321*Ramure*Pc/MaxiM</f>
        <v>1.0664657903023221E-2</v>
      </c>
      <c r="Q321" s="305">
        <f t="shared" si="105"/>
        <v>0.7</v>
      </c>
      <c r="R321" s="177">
        <f t="shared" si="106"/>
        <v>0.47506371217582277</v>
      </c>
      <c r="S321" s="817">
        <f t="shared" si="107"/>
        <v>-2</v>
      </c>
      <c r="T321" s="176">
        <f t="shared" si="108"/>
        <v>4</v>
      </c>
      <c r="U321" s="251">
        <f t="shared" si="109"/>
        <v>-1.5249362878241772</v>
      </c>
      <c r="V321" s="383">
        <f t="shared" si="110"/>
        <v>18.026084783582963</v>
      </c>
      <c r="W321" s="402">
        <f t="shared" si="111"/>
        <v>6.0232018169418797</v>
      </c>
      <c r="X321" s="157">
        <f t="shared" si="112"/>
        <v>45964</v>
      </c>
      <c r="Y321" s="385">
        <f t="shared" si="113"/>
        <v>5.5951814824367521</v>
      </c>
      <c r="Z321" s="385">
        <f t="shared" si="114"/>
        <v>5.9432017845646623</v>
      </c>
      <c r="AA321" s="386">
        <f t="shared" si="115"/>
        <v>6.694092235820901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0.11217211009405166</v>
      </c>
      <c r="AD321" s="231">
        <f>(INDEX(Models!$BJ321:$BT321,,AH321)*(1-AF321)+INDEX(Models!$BJ321:$BT321,,AH321+1)*AF321-ERP_i)*AE321*Ramure*Pc/MaxiM</f>
        <v>7.6067317930233941E-2</v>
      </c>
      <c r="AE321" s="305">
        <f t="shared" si="117"/>
        <v>0.7</v>
      </c>
      <c r="AF321" s="177">
        <f t="shared" si="118"/>
        <v>9.8927081551878793E-2</v>
      </c>
      <c r="AG321" s="817">
        <f t="shared" si="124"/>
        <v>1</v>
      </c>
      <c r="AH321" s="176">
        <f t="shared" si="119"/>
        <v>7</v>
      </c>
      <c r="AI321" s="225">
        <f t="shared" si="120"/>
        <v>1.0989270815518788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45965</v>
      </c>
      <c r="B322" s="411">
        <f>'2024'!Wh/'2024'!Env_an*'2025'!Env_an</f>
        <v>8.6229354009450958</v>
      </c>
      <c r="C322" s="846"/>
      <c r="D322" s="393">
        <f t="shared" si="102"/>
        <v>9.1594826205136055</v>
      </c>
      <c r="E322" s="385">
        <f t="shared" si="125"/>
        <v>9.6153656928780915</v>
      </c>
      <c r="F322" s="385">
        <f t="shared" si="103"/>
        <v>9.6437050243829887</v>
      </c>
      <c r="G322" s="110">
        <f t="shared" si="126"/>
        <v>0.48309876562456344</v>
      </c>
      <c r="H322" s="414" t="b">
        <f>Wh_hp&gt;='2024'!Maxi_hp</f>
        <v>0</v>
      </c>
      <c r="I322" s="390">
        <f>IF(H322,Wh_hp,'2024'!Maxi_hp)</f>
        <v>14.185805406628766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5.8578332619667495E-2</v>
      </c>
      <c r="M322" s="850"/>
      <c r="N322" s="850"/>
      <c r="O322" s="48">
        <f>IF(t&lt;Tnet,'2024'!Resal+('2024'!Salim-'2024'!Resal)*(1-EXP(('2024'!Tnet-t)/('2024'!Tau_j))),Resal+(Salim-Resal)*(1-EXP((Tnet-t)/(Tau_j))))*Salcycl</f>
        <v>4.7411932829777695E-2</v>
      </c>
      <c r="P322" s="169">
        <f>(INDEX(Models!$BJ322:$BT322,,T322)*(1-R322)+INDEX(Models!$BJ322:$BT322,,T322+1)*R322-ERP_i)*Q322*Ramure*Pc/MaxiM</f>
        <v>1.0998144970873369E-2</v>
      </c>
      <c r="Q322" s="305">
        <f t="shared" si="105"/>
        <v>0.7</v>
      </c>
      <c r="R322" s="177">
        <f t="shared" si="106"/>
        <v>0.47511345712599518</v>
      </c>
      <c r="S322" s="817">
        <f t="shared" si="107"/>
        <v>-2</v>
      </c>
      <c r="T322" s="176">
        <f t="shared" si="108"/>
        <v>4</v>
      </c>
      <c r="U322" s="251">
        <f t="shared" si="109"/>
        <v>-1.5248865428740048</v>
      </c>
      <c r="V322" s="383">
        <f t="shared" si="110"/>
        <v>17.704938515044223</v>
      </c>
      <c r="W322" s="402">
        <f t="shared" si="111"/>
        <v>8.6229354009450958</v>
      </c>
      <c r="X322" s="157">
        <f t="shared" si="112"/>
        <v>45965</v>
      </c>
      <c r="Y322" s="385">
        <f t="shared" si="113"/>
        <v>7.8949329364248779</v>
      </c>
      <c r="Z322" s="385">
        <f t="shared" si="114"/>
        <v>8.3861814636090593</v>
      </c>
      <c r="AA322" s="386">
        <f t="shared" si="115"/>
        <v>9.4454344987497247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0.1121444476991372</v>
      </c>
      <c r="AD322" s="231">
        <f>(INDEX(Models!$BJ322:$BT322,,AH322)*(1-AF322)+INDEX(Models!$BJ322:$BT322,,AH322+1)*AF322-ERP_i)*AE322*Ramure*Pc/MaxiM</f>
        <v>7.6946345187749191E-2</v>
      </c>
      <c r="AE322" s="305">
        <f t="shared" si="117"/>
        <v>0.7</v>
      </c>
      <c r="AF322" s="177">
        <f t="shared" si="118"/>
        <v>9.8976826502051196E-2</v>
      </c>
      <c r="AG322" s="817">
        <f t="shared" si="124"/>
        <v>1</v>
      </c>
      <c r="AH322" s="176">
        <f t="shared" si="119"/>
        <v>7</v>
      </c>
      <c r="AI322" s="225">
        <f t="shared" si="120"/>
        <v>1.0989768265020512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45966</v>
      </c>
      <c r="B323" s="411">
        <f>'2024'!Wh/'2024'!Env_an*'2025'!Env_an</f>
        <v>17.708259584893188</v>
      </c>
      <c r="C323" s="846"/>
      <c r="D323" s="393">
        <f t="shared" si="102"/>
        <v>18.810537364194872</v>
      </c>
      <c r="E323" s="385">
        <f t="shared" si="125"/>
        <v>19.748980041253979</v>
      </c>
      <c r="F323" s="385">
        <f t="shared" si="103"/>
        <v>19.974952359032535</v>
      </c>
      <c r="G323" s="110">
        <f t="shared" si="126"/>
        <v>1.0185796826480091</v>
      </c>
      <c r="H323" s="414" t="b">
        <f>Wh_hp&gt;='2024'!Maxi_hp</f>
        <v>1</v>
      </c>
      <c r="I323" s="390">
        <f>IF(H323,Wh_hp,'2024'!Maxi_hp)</f>
        <v>19.974952359032535</v>
      </c>
      <c r="J323" s="85">
        <f>IF(H323,An,'2024'!An_max)</f>
        <v>2025</v>
      </c>
      <c r="K323" s="197">
        <f t="shared" si="104"/>
        <v>45966</v>
      </c>
      <c r="L323" s="147">
        <f>IF(t&lt;Tvie,1-EXP((T0-t)*PertePVj)+'2024'!Pspv,1-EXP((T0-t)*PertePVj)+Pspv)</f>
        <v>5.8598952170278107E-2</v>
      </c>
      <c r="M323" s="850"/>
      <c r="N323" s="850"/>
      <c r="O323" s="48">
        <f>IF(t&lt;Tnet,'2024'!Resal+('2024'!Salim-'2024'!Resal)*(1-EXP(('2024'!Tnet-t)/('2024'!Tau_j))),Resal+(Salim-Resal)*(1-EXP((Tnet-t)/(Tau_j))))*Salcycl</f>
        <v>4.7518538937138997E-2</v>
      </c>
      <c r="P323" s="169">
        <f>(INDEX(Models!$BJ323:$BT323,,T323)*(1-R323)+INDEX(Models!$BJ323:$BT323,,T323+1)*R323-ERP_i)*Q323*Ramure*Pc/MaxiM</f>
        <v>1.1312783816296421E-2</v>
      </c>
      <c r="Q323" s="305">
        <f t="shared" si="105"/>
        <v>0.7</v>
      </c>
      <c r="R323" s="177">
        <f t="shared" si="106"/>
        <v>0.47516120851638455</v>
      </c>
      <c r="S323" s="817">
        <f t="shared" si="107"/>
        <v>-2</v>
      </c>
      <c r="T323" s="176">
        <f t="shared" si="108"/>
        <v>4</v>
      </c>
      <c r="U323" s="251">
        <f t="shared" si="109"/>
        <v>-1.5248387914836155</v>
      </c>
      <c r="V323" s="383">
        <f t="shared" si="110"/>
        <v>17.385247208992912</v>
      </c>
      <c r="W323" s="402">
        <f t="shared" si="111"/>
        <v>17.708259584893188</v>
      </c>
      <c r="X323" s="157">
        <f t="shared" si="112"/>
        <v>45966</v>
      </c>
      <c r="Y323" s="385">
        <f t="shared" si="113"/>
        <v>15.39865978235264</v>
      </c>
      <c r="Z323" s="385">
        <f t="shared" si="114"/>
        <v>16.357172979414305</v>
      </c>
      <c r="AA323" s="386">
        <f t="shared" si="115"/>
        <v>18.42266596721506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0.11211694287224797</v>
      </c>
      <c r="AD323" s="231">
        <f>(INDEX(Models!$BJ323:$BT323,,AH323)*(1-AF323)+INDEX(Models!$BJ323:$BT323,,AH323+1)*AF323-ERP_i)*AE323*Ramure*Pc/MaxiM</f>
        <v>7.771164425909334E-2</v>
      </c>
      <c r="AE323" s="305">
        <f t="shared" si="117"/>
        <v>0.7</v>
      </c>
      <c r="AF323" s="177">
        <f t="shared" si="118"/>
        <v>9.9024577892440568E-2</v>
      </c>
      <c r="AG323" s="817">
        <f t="shared" si="124"/>
        <v>1</v>
      </c>
      <c r="AH323" s="176">
        <f t="shared" si="119"/>
        <v>7</v>
      </c>
      <c r="AI323" s="225">
        <f t="shared" si="120"/>
        <v>1.0990245778924406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45967</v>
      </c>
      <c r="B324" s="411">
        <f>'2024'!Wh/'2024'!Env_an*'2025'!Env_an</f>
        <v>16.870200141541503</v>
      </c>
      <c r="C324" s="846"/>
      <c r="D324" s="393">
        <f t="shared" si="102"/>
        <v>17.920704134764811</v>
      </c>
      <c r="E324" s="385">
        <f t="shared" si="125"/>
        <v>18.816855640066919</v>
      </c>
      <c r="F324" s="385">
        <f t="shared" si="103"/>
        <v>19.034017394824041</v>
      </c>
      <c r="G324" s="110">
        <f t="shared" si="126"/>
        <v>0.98817676446800518</v>
      </c>
      <c r="H324" s="414" t="b">
        <f>Wh_hp&gt;='2024'!Maxi_hp</f>
        <v>1</v>
      </c>
      <c r="I324" s="390">
        <f>IF(H324,Wh_hp,'2024'!Maxi_hp)</f>
        <v>19.034017394824041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5.8619571269267756E-2</v>
      </c>
      <c r="M324" s="850"/>
      <c r="N324" s="850"/>
      <c r="O324" s="48">
        <f>IF(t&lt;Tnet,'2024'!Resal+('2024'!Salim-'2024'!Resal)*(1-EXP(('2024'!Tnet-t)/('2024'!Tau_j))),Resal+(Salim-Resal)*(1-EXP((Tnet-t)/(Tau_j))))*Salcycl</f>
        <v>4.7624933859508493E-2</v>
      </c>
      <c r="P324" s="169">
        <f>(INDEX(Models!$BJ324:$BT324,,T324)*(1-R324)+INDEX(Models!$BJ324:$BT324,,T324+1)*R324-ERP_i)*Q324*Ramure*Pc/MaxiM</f>
        <v>1.1601905106171314E-2</v>
      </c>
      <c r="Q324" s="305">
        <f t="shared" si="105"/>
        <v>0.7</v>
      </c>
      <c r="R324" s="177">
        <f t="shared" si="106"/>
        <v>0.47520704588085372</v>
      </c>
      <c r="S324" s="817">
        <f t="shared" si="107"/>
        <v>-2</v>
      </c>
      <c r="T324" s="176">
        <f t="shared" si="108"/>
        <v>4</v>
      </c>
      <c r="U324" s="251">
        <f t="shared" si="109"/>
        <v>-1.5247929541191463</v>
      </c>
      <c r="V324" s="383">
        <f t="shared" si="110"/>
        <v>17.068718086265108</v>
      </c>
      <c r="W324" s="402">
        <f t="shared" si="111"/>
        <v>16.870200141541503</v>
      </c>
      <c r="X324" s="157">
        <f t="shared" si="112"/>
        <v>45967</v>
      </c>
      <c r="Y324" s="385">
        <f t="shared" si="113"/>
        <v>14.683814479553666</v>
      </c>
      <c r="Z324" s="385">
        <f t="shared" si="114"/>
        <v>15.598172674305459</v>
      </c>
      <c r="AA324" s="386">
        <f t="shared" si="115"/>
        <v>17.567284557616215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0.11208971294639027</v>
      </c>
      <c r="AD324" s="231">
        <f>(INDEX(Models!$BJ324:$BT324,,AH324)*(1-AF324)+INDEX(Models!$BJ324:$BT324,,AH324+1)*AF324-ERP_i)*AE324*Ramure*Pc/MaxiM</f>
        <v>7.8360460903545134E-2</v>
      </c>
      <c r="AE324" s="305">
        <f t="shared" si="117"/>
        <v>0.7</v>
      </c>
      <c r="AF324" s="177">
        <f t="shared" si="118"/>
        <v>9.9070415256909738E-2</v>
      </c>
      <c r="AG324" s="817">
        <f t="shared" si="124"/>
        <v>1</v>
      </c>
      <c r="AH324" s="176">
        <f t="shared" si="119"/>
        <v>7</v>
      </c>
      <c r="AI324" s="225">
        <f t="shared" si="120"/>
        <v>1.0990704152569097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45968</v>
      </c>
      <c r="B325" s="411">
        <f>'2024'!Wh/'2024'!Env_an*'2025'!Env_an</f>
        <v>16.200446535842666</v>
      </c>
      <c r="C325" s="846"/>
      <c r="D325" s="393">
        <f t="shared" si="102"/>
        <v>17.209622040703199</v>
      </c>
      <c r="E325" s="385">
        <f t="shared" si="125"/>
        <v>18.072230744920791</v>
      </c>
      <c r="F325" s="385">
        <f t="shared" si="103"/>
        <v>18.279011260916313</v>
      </c>
      <c r="G325" s="110">
        <f t="shared" si="126"/>
        <v>0.96624978421733709</v>
      </c>
      <c r="H325" s="414" t="b">
        <f>Wh_hp&gt;='2024'!Maxi_hp</f>
        <v>1</v>
      </c>
      <c r="I325" s="390">
        <f>IF(H325,Wh_hp,'2024'!Maxi_hp)</f>
        <v>18.279011260916313</v>
      </c>
      <c r="J325" s="85">
        <f>IF(H325,An,'2024'!An_max)</f>
        <v>2025</v>
      </c>
      <c r="K325" s="197">
        <f t="shared" si="104"/>
        <v>45968</v>
      </c>
      <c r="L325" s="147">
        <f>IF(t&lt;Tvie,1-EXP((T0-t)*PertePVj)+'2024'!Pspv,1-EXP((T0-t)*PertePVj)+Pspv)</f>
        <v>5.8640189916646102E-2</v>
      </c>
      <c r="M325" s="850"/>
      <c r="N325" s="850"/>
      <c r="O325" s="48">
        <f>IF(t&lt;Tnet,'2024'!Resal+('2024'!Salim-'2024'!Resal)*(1-EXP(('2024'!Tnet-t)/('2024'!Tau_j))),Resal+(Salim-Resal)*(1-EXP((Tnet-t)/(Tau_j))))*Salcycl</f>
        <v>4.7731169239305461E-2</v>
      </c>
      <c r="P325" s="169">
        <f>(INDEX(Models!$BJ325:$BT325,,T325)*(1-R325)+INDEX(Models!$BJ325:$BT325,,T325+1)*R325-ERP_i)*Q325*Ramure*Pc/MaxiM</f>
        <v>1.1875694112308452E-2</v>
      </c>
      <c r="Q325" s="305">
        <f t="shared" si="105"/>
        <v>0.7</v>
      </c>
      <c r="R325" s="177">
        <f t="shared" si="106"/>
        <v>0.47525104560852482</v>
      </c>
      <c r="S325" s="817">
        <f t="shared" si="107"/>
        <v>-2</v>
      </c>
      <c r="T325" s="176">
        <f t="shared" si="108"/>
        <v>4</v>
      </c>
      <c r="U325" s="251">
        <f t="shared" si="109"/>
        <v>-1.5247489543914752</v>
      </c>
      <c r="V325" s="383">
        <f t="shared" si="110"/>
        <v>16.75676175278182</v>
      </c>
      <c r="W325" s="402">
        <f t="shared" si="111"/>
        <v>16.200446535842666</v>
      </c>
      <c r="X325" s="157">
        <f t="shared" si="112"/>
        <v>45968</v>
      </c>
      <c r="Y325" s="385">
        <f t="shared" si="113"/>
        <v>14.129556087594757</v>
      </c>
      <c r="Z325" s="385">
        <f t="shared" si="114"/>
        <v>15.009729474581709</v>
      </c>
      <c r="AA325" s="386">
        <f t="shared" si="115"/>
        <v>16.904045396793371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0.11206287475842944</v>
      </c>
      <c r="AD325" s="231">
        <f>(INDEX(Models!$BJ325:$BT325,,AH325)*(1-AF325)+INDEX(Models!$BJ325:$BT325,,AH325+1)*AF325-ERP_i)*AE325*Ramure*Pc/MaxiM</f>
        <v>7.8966211775694878E-2</v>
      </c>
      <c r="AE325" s="305">
        <f t="shared" si="117"/>
        <v>0.7</v>
      </c>
      <c r="AF325" s="177">
        <f t="shared" si="118"/>
        <v>9.9114414984580845E-2</v>
      </c>
      <c r="AG325" s="817">
        <f t="shared" si="124"/>
        <v>1</v>
      </c>
      <c r="AH325" s="176">
        <f t="shared" si="119"/>
        <v>7</v>
      </c>
      <c r="AI325" s="225">
        <f t="shared" si="120"/>
        <v>1.0991144149845808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45969</v>
      </c>
      <c r="B326" s="411">
        <f>'2024'!Wh/'2024'!Env_an*'2025'!Env_an</f>
        <v>11.805639721059931</v>
      </c>
      <c r="C326" s="846"/>
      <c r="D326" s="393">
        <f t="shared" si="102"/>
        <v>12.54132391682027</v>
      </c>
      <c r="E326" s="385">
        <f t="shared" si="125"/>
        <v>13.171408493670993</v>
      </c>
      <c r="F326" s="385">
        <f t="shared" si="103"/>
        <v>13.267439739132058</v>
      </c>
      <c r="G326" s="110">
        <f t="shared" si="126"/>
        <v>0.71408666101088492</v>
      </c>
      <c r="H326" s="414" t="b">
        <f>Wh_hp&gt;='2024'!Maxi_hp</f>
        <v>0</v>
      </c>
      <c r="I326" s="390">
        <f>IF(H326,Wh_hp,'2024'!Maxi_hp)</f>
        <v>16.798255579370284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5.8660808112423246E-2</v>
      </c>
      <c r="M326" s="850"/>
      <c r="N326" s="850"/>
      <c r="O326" s="48">
        <f>IF(t&lt;Tnet,'2024'!Resal+('2024'!Salim-'2024'!Resal)*(1-EXP(('2024'!Tnet-t)/('2024'!Tau_j))),Resal+(Salim-Resal)*(1-EXP((Tnet-t)/(Tau_j))))*Salcycl</f>
        <v>4.7837296759377382E-2</v>
      </c>
      <c r="P326" s="169">
        <f>(INDEX(Models!$BJ326:$BT326,,T326)*(1-R326)+INDEX(Models!$BJ326:$BT326,,T326+1)*R326-ERP_i)*Q326*Ramure*Pc/MaxiM</f>
        <v>1.2132147197713319E-2</v>
      </c>
      <c r="Q326" s="305">
        <f t="shared" si="105"/>
        <v>0.7</v>
      </c>
      <c r="R326" s="177">
        <f t="shared" si="106"/>
        <v>0.47529328106589097</v>
      </c>
      <c r="S326" s="817">
        <f t="shared" si="107"/>
        <v>-2</v>
      </c>
      <c r="T326" s="176">
        <f t="shared" si="108"/>
        <v>4</v>
      </c>
      <c r="U326" s="251">
        <f t="shared" si="109"/>
        <v>-1.524706718934109</v>
      </c>
      <c r="V326" s="383">
        <f t="shared" si="110"/>
        <v>16.45100227536431</v>
      </c>
      <c r="W326" s="402">
        <f t="shared" si="111"/>
        <v>11.805639721059931</v>
      </c>
      <c r="X326" s="157">
        <f t="shared" si="112"/>
        <v>45969</v>
      </c>
      <c r="Y326" s="385">
        <f t="shared" si="113"/>
        <v>10.56379580852826</v>
      </c>
      <c r="Z326" s="385">
        <f t="shared" si="114"/>
        <v>11.222092843436911</v>
      </c>
      <c r="AA326" s="386">
        <f t="shared" si="115"/>
        <v>12.638012036448425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0.11203654411215602</v>
      </c>
      <c r="AD326" s="231">
        <f>(INDEX(Models!$BJ326:$BT326,,AH326)*(1-AF326)+INDEX(Models!$BJ326:$BT326,,AH326+1)*AF326-ERP_i)*AE326*Ramure*Pc/MaxiM</f>
        <v>7.95190096995292E-2</v>
      </c>
      <c r="AE326" s="305">
        <f t="shared" si="117"/>
        <v>0.7</v>
      </c>
      <c r="AF326" s="177">
        <f t="shared" si="118"/>
        <v>9.915665044194677E-2</v>
      </c>
      <c r="AG326" s="817">
        <f t="shared" si="124"/>
        <v>1</v>
      </c>
      <c r="AH326" s="176">
        <f t="shared" si="119"/>
        <v>7</v>
      </c>
      <c r="AI326" s="225">
        <f t="shared" si="120"/>
        <v>1.0991566504419468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45970</v>
      </c>
      <c r="B327" s="411">
        <f>'2024'!Wh/'2024'!Env_an*'2025'!Env_an</f>
        <v>6.5423656173330098</v>
      </c>
      <c r="C327" s="846"/>
      <c r="D327" s="393">
        <f t="shared" si="102"/>
        <v>6.9502140901518112</v>
      </c>
      <c r="E327" s="385">
        <f t="shared" si="125"/>
        <v>7.3002107814364603</v>
      </c>
      <c r="F327" s="385">
        <f t="shared" si="103"/>
        <v>7.3137834555021568</v>
      </c>
      <c r="G327" s="110">
        <f t="shared" si="126"/>
        <v>0.40075718605571614</v>
      </c>
      <c r="H327" s="414" t="b">
        <f>Wh_hp&gt;='2024'!Maxi_hp</f>
        <v>0</v>
      </c>
      <c r="I327" s="390">
        <f>IF(H327,Wh_hp,'2024'!Maxi_hp)</f>
        <v>13.987292778156712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5.8681425856608849E-2</v>
      </c>
      <c r="M327" s="850"/>
      <c r="N327" s="850"/>
      <c r="O327" s="48">
        <f>IF(t&lt;Tnet,'2024'!Resal+('2024'!Salim-'2024'!Resal)*(1-EXP(('2024'!Tnet-t)/('2024'!Tau_j))),Resal+(Salim-Resal)*(1-EXP((Tnet-t)/(Tau_j))))*Salcycl</f>
        <v>4.7943367905848452E-2</v>
      </c>
      <c r="P327" s="169">
        <f>(INDEX(Models!$BJ327:$BT327,,T327)*(1-R327)+INDEX(Models!$BJ327:$BT327,,T327+1)*R327-ERP_i)*Q327*Ramure*Pc/MaxiM</f>
        <v>1.236904074507127E-2</v>
      </c>
      <c r="Q327" s="305">
        <f t="shared" si="105"/>
        <v>0.7</v>
      </c>
      <c r="R327" s="177">
        <f t="shared" si="106"/>
        <v>0.47533382271436042</v>
      </c>
      <c r="S327" s="817">
        <f t="shared" si="107"/>
        <v>-2</v>
      </c>
      <c r="T327" s="176">
        <f t="shared" si="108"/>
        <v>4</v>
      </c>
      <c r="U327" s="251">
        <f t="shared" si="109"/>
        <v>-1.5246661772856396</v>
      </c>
      <c r="V327" s="383">
        <f t="shared" si="110"/>
        <v>16.153062947687598</v>
      </c>
      <c r="W327" s="402">
        <f t="shared" si="111"/>
        <v>6.5423656173330098</v>
      </c>
      <c r="X327" s="157">
        <f t="shared" si="112"/>
        <v>45970</v>
      </c>
      <c r="Y327" s="385">
        <f t="shared" si="113"/>
        <v>6.0400653437401424</v>
      </c>
      <c r="Z327" s="385">
        <f t="shared" si="114"/>
        <v>6.4166006171042138</v>
      </c>
      <c r="AA327" s="386">
        <f t="shared" si="115"/>
        <v>7.2259897662850436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0.11201083524325908</v>
      </c>
      <c r="AD327" s="231">
        <f>(INDEX(Models!$BJ327:$BT327,,AH327)*(1-AF327)+INDEX(Models!$BJ327:$BT327,,AH327+1)*AF327-ERP_i)*AE327*Ramure*Pc/MaxiM</f>
        <v>8.0008089329365747E-2</v>
      </c>
      <c r="AE327" s="305">
        <f t="shared" si="117"/>
        <v>0.7</v>
      </c>
      <c r="AF327" s="177">
        <f t="shared" si="118"/>
        <v>9.919719209041622E-2</v>
      </c>
      <c r="AG327" s="817">
        <f t="shared" si="124"/>
        <v>1</v>
      </c>
      <c r="AH327" s="176">
        <f t="shared" si="119"/>
        <v>7</v>
      </c>
      <c r="AI327" s="225">
        <f t="shared" si="120"/>
        <v>1.0991971920904162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45971</v>
      </c>
      <c r="B328" s="411">
        <f>'2024'!Wh/'2024'!Env_an*'2025'!Env_an</f>
        <v>12.558657908698486</v>
      </c>
      <c r="C328" s="846"/>
      <c r="D328" s="393">
        <f t="shared" si="102"/>
        <v>13.341851873040095</v>
      </c>
      <c r="E328" s="385">
        <f t="shared" si="125"/>
        <v>14.015278046756782</v>
      </c>
      <c r="F328" s="385">
        <f t="shared" si="103"/>
        <v>14.140247033170127</v>
      </c>
      <c r="G328" s="110">
        <f t="shared" si="126"/>
        <v>0.78862491371426047</v>
      </c>
      <c r="H328" s="414" t="b">
        <f>Wh_hp&gt;='2024'!Maxi_hp</f>
        <v>1</v>
      </c>
      <c r="I328" s="390">
        <f>IF(H328,Wh_hp,'2024'!Maxi_hp)</f>
        <v>14.140247033170127</v>
      </c>
      <c r="J328" s="85">
        <f>IF(H328,An,'2024'!An_max)</f>
        <v>2025</v>
      </c>
      <c r="K328" s="197">
        <f t="shared" si="104"/>
        <v>45971</v>
      </c>
      <c r="L328" s="147">
        <f>IF(t&lt;Tvie,1-EXP((T0-t)*PertePVj)+'2024'!Pspv,1-EXP((T0-t)*PertePVj)+Pspv)</f>
        <v>5.8702043149213123E-2</v>
      </c>
      <c r="M328" s="850"/>
      <c r="N328" s="850"/>
      <c r="O328" s="48">
        <f>IF(t&lt;Tnet,'2024'!Resal+('2024'!Salim-'2024'!Resal)*(1-EXP(('2024'!Tnet-t)/('2024'!Tau_j))),Resal+(Salim-Resal)*(1-EXP((Tnet-t)/(Tau_j))))*Salcycl</f>
        <v>4.8049433730108629E-2</v>
      </c>
      <c r="P328" s="169">
        <f>(INDEX(Models!$BJ328:$BT328,,T328)*(1-R328)+INDEX(Models!$BJ328:$BT328,,T328+1)*R328-ERP_i)*Q328*Ramure*Pc/MaxiM</f>
        <v>1.2583937033992285E-2</v>
      </c>
      <c r="Q328" s="305">
        <f t="shared" si="105"/>
        <v>0.7</v>
      </c>
      <c r="R328" s="177">
        <f t="shared" si="106"/>
        <v>0.47537273822339565</v>
      </c>
      <c r="S328" s="817">
        <f t="shared" si="107"/>
        <v>-2</v>
      </c>
      <c r="T328" s="176">
        <f t="shared" si="108"/>
        <v>4</v>
      </c>
      <c r="U328" s="251">
        <f t="shared" si="109"/>
        <v>-1.5246272617766043</v>
      </c>
      <c r="V328" s="383">
        <f t="shared" si="110"/>
        <v>15.864566311399962</v>
      </c>
      <c r="W328" s="402">
        <f t="shared" si="111"/>
        <v>12.558657908698486</v>
      </c>
      <c r="X328" s="157">
        <f t="shared" si="112"/>
        <v>45971</v>
      </c>
      <c r="Y328" s="385">
        <f t="shared" si="113"/>
        <v>11.152047963465471</v>
      </c>
      <c r="Z328" s="385">
        <f t="shared" si="114"/>
        <v>11.847521693105382</v>
      </c>
      <c r="AA328" s="386">
        <f t="shared" si="115"/>
        <v>13.34159126900172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0.11198586028997211</v>
      </c>
      <c r="AD328" s="231">
        <f>(INDEX(Models!$BJ328:$BT328,,AH328)*(1-AF328)+INDEX(Models!$BJ328:$BT328,,AH328+1)*AF328-ERP_i)*AE328*Ramure*Pc/MaxiM</f>
        <v>8.0421824138736581E-2</v>
      </c>
      <c r="AE328" s="305">
        <f t="shared" si="117"/>
        <v>0.7</v>
      </c>
      <c r="AF328" s="177">
        <f t="shared" si="118"/>
        <v>9.9236107599451451E-2</v>
      </c>
      <c r="AG328" s="817">
        <f t="shared" si="124"/>
        <v>1</v>
      </c>
      <c r="AH328" s="176">
        <f t="shared" si="119"/>
        <v>7</v>
      </c>
      <c r="AI328" s="225">
        <f t="shared" si="120"/>
        <v>1.0992361075994515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45972</v>
      </c>
      <c r="B329" s="411">
        <f>'2024'!Wh/'2024'!Env_an*'2025'!Env_an</f>
        <v>14.635043268443759</v>
      </c>
      <c r="C329" s="846"/>
      <c r="D329" s="393">
        <f t="shared" si="102"/>
        <v>15.548067127901005</v>
      </c>
      <c r="E329" s="385">
        <f t="shared" si="125"/>
        <v>16.334672161910095</v>
      </c>
      <c r="F329" s="385">
        <f t="shared" si="103"/>
        <v>16.527373461334747</v>
      </c>
      <c r="G329" s="110">
        <f t="shared" si="126"/>
        <v>0.9378592214398499</v>
      </c>
      <c r="H329" s="414" t="b">
        <f>Wh_hp&gt;='2024'!Maxi_hp</f>
        <v>1</v>
      </c>
      <c r="I329" s="390">
        <f>IF(H329,Wh_hp,'2024'!Maxi_hp)</f>
        <v>16.527373461334747</v>
      </c>
      <c r="J329" s="85">
        <f>IF(H329,An,'2024'!An_max)</f>
        <v>2025</v>
      </c>
      <c r="K329" s="197">
        <f t="shared" si="104"/>
        <v>45972</v>
      </c>
      <c r="L329" s="147">
        <f>IF(t&lt;Tvie,1-EXP((T0-t)*PertePVj)+'2024'!Pspv,1-EXP((T0-t)*PertePVj)+Pspv)</f>
        <v>5.8722659990245618E-2</v>
      </c>
      <c r="M329" s="850"/>
      <c r="N329" s="850"/>
      <c r="O329" s="48">
        <f>IF(t&lt;Tnet,'2024'!Resal+('2024'!Salim-'2024'!Resal)*(1-EXP(('2024'!Tnet-t)/('2024'!Tau_j))),Resal+(Salim-Resal)*(1-EXP((Tnet-t)/(Tau_j))))*Salcycl</f>
        <v>4.8155544611622511E-2</v>
      </c>
      <c r="P329" s="169">
        <f>(INDEX(Models!$BJ329:$BT329,,T329)*(1-R329)+INDEX(Models!$BJ329:$BT329,,T329+1)*R329-ERP_i)*Q329*Ramure*Pc/MaxiM</f>
        <v>1.2774197114109943E-2</v>
      </c>
      <c r="Q329" s="305">
        <f t="shared" si="105"/>
        <v>0.7</v>
      </c>
      <c r="R329" s="177">
        <f t="shared" si="106"/>
        <v>0.47541009257939271</v>
      </c>
      <c r="S329" s="817">
        <f t="shared" si="107"/>
        <v>-2</v>
      </c>
      <c r="T329" s="176">
        <f t="shared" si="108"/>
        <v>4</v>
      </c>
      <c r="U329" s="251">
        <f t="shared" si="109"/>
        <v>-1.5245899074206073</v>
      </c>
      <c r="V329" s="383">
        <f t="shared" si="110"/>
        <v>15.5871341761083</v>
      </c>
      <c r="W329" s="402">
        <f t="shared" si="111"/>
        <v>14.635043268443759</v>
      </c>
      <c r="X329" s="157">
        <f t="shared" si="112"/>
        <v>45972</v>
      </c>
      <c r="Y329" s="385">
        <f t="shared" si="113"/>
        <v>12.796876380923278</v>
      </c>
      <c r="Z329" s="385">
        <f t="shared" si="114"/>
        <v>13.595224103440826</v>
      </c>
      <c r="AA329" s="386">
        <f t="shared" si="115"/>
        <v>15.309277250696038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0.11196172877313876</v>
      </c>
      <c r="AD329" s="231">
        <f>(INDEX(Models!$BJ329:$BT329,,AH329)*(1-AF329)+INDEX(Models!$BJ329:$BT329,,AH329+1)*AF329-ERP_i)*AE329*Ramure*Pc/MaxiM</f>
        <v>8.0747774639337258E-2</v>
      </c>
      <c r="AE329" s="305">
        <f t="shared" si="117"/>
        <v>0.7</v>
      </c>
      <c r="AF329" s="177">
        <f t="shared" si="118"/>
        <v>9.9273461955448727E-2</v>
      </c>
      <c r="AG329" s="817">
        <f t="shared" si="124"/>
        <v>1</v>
      </c>
      <c r="AH329" s="176">
        <f t="shared" si="119"/>
        <v>7</v>
      </c>
      <c r="AI329" s="225">
        <f t="shared" si="120"/>
        <v>1.0992734619554487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45973</v>
      </c>
      <c r="B330" s="411">
        <f>'2024'!Wh/'2024'!Env_an*'2025'!Env_an</f>
        <v>14.420572742034336</v>
      </c>
      <c r="C330" s="846"/>
      <c r="D330" s="393">
        <f t="shared" si="102"/>
        <v>15.320552172599196</v>
      </c>
      <c r="E330" s="385">
        <f t="shared" si="125"/>
        <v>16.097442939771913</v>
      </c>
      <c r="F330" s="385">
        <f t="shared" si="103"/>
        <v>16.290472965777397</v>
      </c>
      <c r="G330" s="110">
        <f t="shared" si="126"/>
        <v>0.94010797160675519</v>
      </c>
      <c r="H330" s="414" t="b">
        <f>Wh_hp&gt;='2024'!Maxi_hp</f>
        <v>1</v>
      </c>
      <c r="I330" s="390">
        <f>IF(H330,Wh_hp,'2024'!Maxi_hp)</f>
        <v>16.290472965777397</v>
      </c>
      <c r="J330" s="85">
        <f>IF(H330,An,'2024'!An_max)</f>
        <v>2025</v>
      </c>
      <c r="K330" s="197">
        <f t="shared" si="104"/>
        <v>45973</v>
      </c>
      <c r="L330" s="147">
        <f>IF(t&lt;Tvie,1-EXP((T0-t)*PertePVj)+'2024'!Pspv,1-EXP((T0-t)*PertePVj)+Pspv)</f>
        <v>5.8743276379716436E-2</v>
      </c>
      <c r="M330" s="850"/>
      <c r="N330" s="850"/>
      <c r="O330" s="48">
        <f>IF(t&lt;Tnet,'2024'!Resal+('2024'!Salim-'2024'!Resal)*(1-EXP(('2024'!Tnet-t)/('2024'!Tau_j))),Resal+(Salim-Resal)*(1-EXP((Tnet-t)/(Tau_j))))*Salcycl</f>
        <v>4.8261750023244676E-2</v>
      </c>
      <c r="P330" s="169">
        <f>(INDEX(Models!$BJ330:$BT330,,T330)*(1-R330)+INDEX(Models!$BJ330:$BT330,,T330+1)*R330-ERP_i)*Q330*Ramure*Pc/MaxiM</f>
        <v>1.293700223242198E-2</v>
      </c>
      <c r="Q330" s="305">
        <f t="shared" si="105"/>
        <v>0.7</v>
      </c>
      <c r="R330" s="177">
        <f t="shared" si="106"/>
        <v>0.47544594819045605</v>
      </c>
      <c r="S330" s="817">
        <f t="shared" si="107"/>
        <v>-2</v>
      </c>
      <c r="T330" s="176">
        <f t="shared" si="108"/>
        <v>4</v>
      </c>
      <c r="U330" s="251">
        <f t="shared" si="109"/>
        <v>-1.524554051809544</v>
      </c>
      <c r="V330" s="383">
        <f t="shared" si="110"/>
        <v>15.322387635478275</v>
      </c>
      <c r="W330" s="402">
        <f t="shared" si="111"/>
        <v>14.420572742034336</v>
      </c>
      <c r="X330" s="157">
        <f t="shared" si="112"/>
        <v>45973</v>
      </c>
      <c r="Y330" s="385">
        <f t="shared" si="113"/>
        <v>12.607198652325708</v>
      </c>
      <c r="Z330" s="385">
        <f t="shared" si="114"/>
        <v>13.394006476613104</v>
      </c>
      <c r="AA330" s="386">
        <f t="shared" si="115"/>
        <v>15.082296875643518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0.11193854708939226</v>
      </c>
      <c r="AD330" s="231">
        <f>(INDEX(Models!$BJ330:$BT330,,AH330)*(1-AF330)+INDEX(Models!$BJ330:$BT330,,AH330+1)*AF330-ERP_i)*AE330*Ramure*Pc/MaxiM</f>
        <v>8.0972774540146814E-2</v>
      </c>
      <c r="AE330" s="305">
        <f t="shared" si="117"/>
        <v>0.7</v>
      </c>
      <c r="AF330" s="177">
        <f t="shared" si="118"/>
        <v>9.9309317566511845E-2</v>
      </c>
      <c r="AG330" s="817">
        <f t="shared" si="124"/>
        <v>1</v>
      </c>
      <c r="AH330" s="176">
        <f t="shared" si="119"/>
        <v>7</v>
      </c>
      <c r="AI330" s="225">
        <f t="shared" si="120"/>
        <v>1.0993093175665118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45974</v>
      </c>
      <c r="B331" s="411">
        <f>'2024'!Wh/'2024'!Env_an*'2025'!Env_an</f>
        <v>14.445013319918941</v>
      </c>
      <c r="C331" s="846"/>
      <c r="D331" s="393">
        <f t="shared" si="102"/>
        <v>15.346854208013072</v>
      </c>
      <c r="E331" s="385">
        <f t="shared" si="125"/>
        <v>16.126880761993188</v>
      </c>
      <c r="F331" s="385">
        <f t="shared" si="103"/>
        <v>16.327726236406381</v>
      </c>
      <c r="G331" s="110">
        <f t="shared" si="126"/>
        <v>0.95791379917337749</v>
      </c>
      <c r="H331" s="414" t="b">
        <f>Wh_hp&gt;='2024'!Maxi_hp</f>
        <v>0</v>
      </c>
      <c r="I331" s="390">
        <f>IF(H331,Wh_hp,'2024'!Maxi_hp)</f>
        <v>17.166565954887307</v>
      </c>
      <c r="J331" s="85">
        <f>IF(H331,An,'2024'!An_max)</f>
        <v>2020</v>
      </c>
      <c r="K331" s="197">
        <f t="shared" si="104"/>
        <v>45974</v>
      </c>
      <c r="L331" s="147">
        <f>IF(t&lt;Tvie,1-EXP((T0-t)*PertePVj)+'2024'!Pspv,1-EXP((T0-t)*PertePVj)+Pspv)</f>
        <v>5.8763892317635458E-2</v>
      </c>
      <c r="M331" s="850"/>
      <c r="N331" s="850"/>
      <c r="O331" s="48">
        <f>IF(t&lt;Tnet,'2024'!Resal+('2024'!Salim-'2024'!Resal)*(1-EXP(('2024'!Tnet-t)/('2024'!Tau_j))),Resal+(Salim-Resal)*(1-EXP((Tnet-t)/(Tau_j))))*Salcycl</f>
        <v>4.8368098300722501E-2</v>
      </c>
      <c r="P331" s="169">
        <f>(INDEX(Models!$BJ331:$BT331,,T331)*(1-R331)+INDEX(Models!$BJ331:$BT331,,T331+1)*R331-ERP_i)*Q331*Ramure*Pc/MaxiM</f>
        <v>1.3072873264579645E-2</v>
      </c>
      <c r="Q331" s="305">
        <f t="shared" si="105"/>
        <v>0.7</v>
      </c>
      <c r="R331" s="177">
        <f t="shared" si="106"/>
        <v>0.47548036498720658</v>
      </c>
      <c r="S331" s="817">
        <f t="shared" si="107"/>
        <v>-2</v>
      </c>
      <c r="T331" s="176">
        <f t="shared" si="108"/>
        <v>4</v>
      </c>
      <c r="U331" s="251">
        <f t="shared" si="109"/>
        <v>-1.5245196350127934</v>
      </c>
      <c r="V331" s="383">
        <f t="shared" si="110"/>
        <v>15.067872562176706</v>
      </c>
      <c r="W331" s="402">
        <f t="shared" si="111"/>
        <v>14.445013319918941</v>
      </c>
      <c r="X331" s="157">
        <f t="shared" si="112"/>
        <v>45974</v>
      </c>
      <c r="Y331" s="385">
        <f t="shared" si="113"/>
        <v>12.606714145970553</v>
      </c>
      <c r="Z331" s="385">
        <f t="shared" si="114"/>
        <v>13.39378509077012</v>
      </c>
      <c r="AA331" s="386">
        <f t="shared" si="115"/>
        <v>15.081671773420695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0.11191641802106018</v>
      </c>
      <c r="AD331" s="231">
        <f>(INDEX(Models!$BJ331:$BT331,,AH331)*(1-AF331)+INDEX(Models!$BJ331:$BT331,,AH331+1)*AF331-ERP_i)*AE331*Ramure*Pc/MaxiM</f>
        <v>8.1104700631013188E-2</v>
      </c>
      <c r="AE331" s="305">
        <f t="shared" si="117"/>
        <v>0.7</v>
      </c>
      <c r="AF331" s="177">
        <f t="shared" si="118"/>
        <v>9.9343734363262604E-2</v>
      </c>
      <c r="AG331" s="817">
        <f t="shared" si="124"/>
        <v>1</v>
      </c>
      <c r="AH331" s="176">
        <f t="shared" si="119"/>
        <v>7</v>
      </c>
      <c r="AI331" s="225">
        <f t="shared" si="120"/>
        <v>1.0993437343632626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45975</v>
      </c>
      <c r="B332" s="411">
        <f>'2024'!Wh/'2024'!Env_an*'2025'!Env_an</f>
        <v>6.4938900778195467</v>
      </c>
      <c r="C332" s="846"/>
      <c r="D332" s="393">
        <f t="shared" si="102"/>
        <v>6.8994721524062381</v>
      </c>
      <c r="E332" s="385">
        <f t="shared" si="125"/>
        <v>7.2509597920055855</v>
      </c>
      <c r="F332" s="385">
        <f t="shared" si="103"/>
        <v>7.2698792855645795</v>
      </c>
      <c r="G332" s="110">
        <f t="shared" si="126"/>
        <v>0.43353420150096267</v>
      </c>
      <c r="H332" s="414" t="b">
        <f>Wh_hp&gt;='2024'!Maxi_hp</f>
        <v>0</v>
      </c>
      <c r="I332" s="390">
        <f>IF(H332,Wh_hp,'2024'!Maxi_hp)</f>
        <v>12.052084330395068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5.8784507804012454E-2</v>
      </c>
      <c r="M332" s="850"/>
      <c r="N332" s="850"/>
      <c r="O332" s="48">
        <f>IF(t&lt;Tnet,'2024'!Resal+('2024'!Salim-'2024'!Resal)*(1-EXP(('2024'!Tnet-t)/('2024'!Tau_j))),Resal+(Salim-Resal)*(1-EXP((Tnet-t)/(Tau_j))))*Salcycl</f>
        <v>4.84746364180468E-2</v>
      </c>
      <c r="P332" s="169">
        <f>(INDEX(Models!$BJ332:$BT332,,T332)*(1-R332)+INDEX(Models!$BJ332:$BT332,,T332+1)*R332-ERP_i)*Q332*Ramure*Pc/MaxiM</f>
        <v>1.3183379049723878E-2</v>
      </c>
      <c r="Q332" s="305">
        <f t="shared" si="105"/>
        <v>0.7</v>
      </c>
      <c r="R332" s="177">
        <f t="shared" si="106"/>
        <v>0.47551340051976831</v>
      </c>
      <c r="S332" s="817">
        <f t="shared" si="107"/>
        <v>-2</v>
      </c>
      <c r="T332" s="176">
        <f t="shared" si="108"/>
        <v>4</v>
      </c>
      <c r="U332" s="251">
        <f t="shared" si="109"/>
        <v>-1.5244865994802317</v>
      </c>
      <c r="V332" s="383">
        <f t="shared" si="110"/>
        <v>14.82005197632029</v>
      </c>
      <c r="W332" s="402">
        <f t="shared" si="111"/>
        <v>6.4938900778195467</v>
      </c>
      <c r="X332" s="157">
        <f t="shared" si="112"/>
        <v>45975</v>
      </c>
      <c r="Y332" s="385">
        <f t="shared" si="113"/>
        <v>5.9795118542463719</v>
      </c>
      <c r="Z332" s="385">
        <f t="shared" si="114"/>
        <v>6.3529679481744754</v>
      </c>
      <c r="AA332" s="386">
        <f t="shared" si="115"/>
        <v>7.1534008901827502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0.11189544026629075</v>
      </c>
      <c r="AD332" s="231">
        <f>(INDEX(Models!$BJ332:$BT332,,AH332)*(1-AF332)+INDEX(Models!$BJ332:$BT332,,AH332+1)*AF332-ERP_i)*AE332*Ramure*Pc/MaxiM</f>
        <v>8.1163844721003395E-2</v>
      </c>
      <c r="AE332" s="305">
        <f t="shared" si="117"/>
        <v>0.7</v>
      </c>
      <c r="AF332" s="177">
        <f t="shared" si="118"/>
        <v>9.9376769895824335E-2</v>
      </c>
      <c r="AG332" s="817">
        <f t="shared" si="124"/>
        <v>1</v>
      </c>
      <c r="AH332" s="176">
        <f t="shared" si="119"/>
        <v>7</v>
      </c>
      <c r="AI332" s="225">
        <f t="shared" si="120"/>
        <v>1.0993767698958243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45976</v>
      </c>
      <c r="B333" s="411">
        <f>'2024'!Wh/'2024'!Env_an*'2025'!Env_an</f>
        <v>8.0351845075220272</v>
      </c>
      <c r="C333" s="846"/>
      <c r="D333" s="393">
        <f t="shared" si="102"/>
        <v>8.5372165770365935</v>
      </c>
      <c r="E333" s="385">
        <f t="shared" si="125"/>
        <v>8.9731445913572383</v>
      </c>
      <c r="F333" s="385">
        <f t="shared" si="103"/>
        <v>9.0161290639207365</v>
      </c>
      <c r="G333" s="110">
        <f t="shared" si="126"/>
        <v>0.54644377395152977</v>
      </c>
      <c r="H333" s="414" t="b">
        <f>Wh_hp&gt;='2024'!Maxi_hp</f>
        <v>0</v>
      </c>
      <c r="I333" s="390">
        <f>IF(H333,Wh_hp,'2024'!Maxi_hp)</f>
        <v>15.011200511504091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5.8805122838857415E-2</v>
      </c>
      <c r="M333" s="850"/>
      <c r="N333" s="850"/>
      <c r="O333" s="48">
        <f>IF(t&lt;Tnet,'2024'!Resal+('2024'!Salim-'2024'!Resal)*(1-EXP(('2024'!Tnet-t)/('2024'!Tau_j))),Resal+(Salim-Resal)*(1-EXP((Tnet-t)/(Tau_j))))*Salcycl</f>
        <v>4.858140977027401E-2</v>
      </c>
      <c r="P333" s="169">
        <f>(INDEX(Models!$BJ333:$BT333,,T333)*(1-R333)+INDEX(Models!$BJ333:$BT333,,T333+1)*R333-ERP_i)*Q333*Ramure*Pc/MaxiM</f>
        <v>1.3287263012881644E-2</v>
      </c>
      <c r="Q333" s="305">
        <f t="shared" si="105"/>
        <v>0.7</v>
      </c>
      <c r="R333" s="177">
        <f t="shared" si="106"/>
        <v>0.47554511005106348</v>
      </c>
      <c r="S333" s="817">
        <f t="shared" si="107"/>
        <v>-2</v>
      </c>
      <c r="T333" s="176">
        <f t="shared" si="108"/>
        <v>4</v>
      </c>
      <c r="U333" s="251">
        <f t="shared" si="109"/>
        <v>-1.5244548899489365</v>
      </c>
      <c r="V333" s="383">
        <f t="shared" si="110"/>
        <v>14.578624831624142</v>
      </c>
      <c r="W333" s="402">
        <f t="shared" si="111"/>
        <v>8.0351845075220272</v>
      </c>
      <c r="X333" s="157">
        <f t="shared" si="112"/>
        <v>45976</v>
      </c>
      <c r="Y333" s="385">
        <f t="shared" si="113"/>
        <v>7.3169447089072364</v>
      </c>
      <c r="Z333" s="385">
        <f t="shared" si="114"/>
        <v>7.7741017152333027</v>
      </c>
      <c r="AA333" s="386">
        <f t="shared" si="115"/>
        <v>8.7533938494836931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0.11187570799275209</v>
      </c>
      <c r="AD333" s="231">
        <f>(INDEX(Models!$BJ333:$BT333,,AH333)*(1-AF333)+INDEX(Models!$BJ333:$BT333,,AH333+1)*AF333-ERP_i)*AE333*Ramure*Pc/MaxiM</f>
        <v>8.1216115698841268E-2</v>
      </c>
      <c r="AE333" s="305">
        <f t="shared" si="117"/>
        <v>0.7</v>
      </c>
      <c r="AF333" s="177">
        <f t="shared" si="118"/>
        <v>9.9408479427119278E-2</v>
      </c>
      <c r="AG333" s="817">
        <f t="shared" si="124"/>
        <v>1</v>
      </c>
      <c r="AH333" s="176">
        <f t="shared" si="119"/>
        <v>7</v>
      </c>
      <c r="AI333" s="225">
        <f t="shared" si="120"/>
        <v>1.0994084794271193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45977</v>
      </c>
      <c r="B334" s="411">
        <f>'2024'!Wh/'2024'!Env_an*'2025'!Env_an</f>
        <v>12.923615905864629</v>
      </c>
      <c r="C334" s="846"/>
      <c r="D334" s="393">
        <f t="shared" si="102"/>
        <v>13.731374113936798</v>
      </c>
      <c r="E334" s="385">
        <f t="shared" si="125"/>
        <v>14.434150711874699</v>
      </c>
      <c r="F334" s="385">
        <f t="shared" si="103"/>
        <v>14.601945997401224</v>
      </c>
      <c r="G334" s="110">
        <f t="shared" si="126"/>
        <v>0.89927778767433808</v>
      </c>
      <c r="H334" s="414" t="b">
        <f>Wh_hp&gt;='2024'!Maxi_hp</f>
        <v>1</v>
      </c>
      <c r="I334" s="390">
        <f>IF(H334,Wh_hp,'2024'!Maxi_hp)</f>
        <v>14.601945997401224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5.8825737422180224E-2</v>
      </c>
      <c r="M334" s="850"/>
      <c r="N334" s="850"/>
      <c r="O334" s="48">
        <f>IF(t&lt;Tnet,'2024'!Resal+('2024'!Salim-'2024'!Resal)*(1-EXP(('2024'!Tnet-t)/('2024'!Tau_j))),Resal+(Salim-Resal)*(1-EXP((Tnet-t)/(Tau_j))))*Salcycl</f>
        <v>4.8688461965395682E-2</v>
      </c>
      <c r="P334" s="169">
        <f>(INDEX(Models!$BJ334:$BT334,,T334)*(1-R334)+INDEX(Models!$BJ334:$BT334,,T334+1)*R334-ERP_i)*Q334*Ramure*Pc/MaxiM</f>
        <v>1.338413680472976E-2</v>
      </c>
      <c r="Q334" s="305">
        <f t="shared" si="105"/>
        <v>0.7</v>
      </c>
      <c r="R334" s="177">
        <f t="shared" si="106"/>
        <v>0.47557554664655299</v>
      </c>
      <c r="S334" s="817">
        <f t="shared" si="107"/>
        <v>-2</v>
      </c>
      <c r="T334" s="176">
        <f t="shared" si="108"/>
        <v>4</v>
      </c>
      <c r="U334" s="251">
        <f t="shared" si="109"/>
        <v>-1.524424453353447</v>
      </c>
      <c r="V334" s="383">
        <f t="shared" si="110"/>
        <v>14.343587003863188</v>
      </c>
      <c r="W334" s="402">
        <f t="shared" si="111"/>
        <v>12.923615905864629</v>
      </c>
      <c r="X334" s="157">
        <f t="shared" si="112"/>
        <v>45977</v>
      </c>
      <c r="Y334" s="385">
        <f t="shared" si="113"/>
        <v>11.35414483308066</v>
      </c>
      <c r="Z334" s="385">
        <f t="shared" si="114"/>
        <v>12.063807186973365</v>
      </c>
      <c r="AA334" s="386">
        <f t="shared" si="115"/>
        <v>13.583185819670774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0.1118573104180825</v>
      </c>
      <c r="AD334" s="231">
        <f>(INDEX(Models!$BJ334:$BT334,,AH334)*(1-AF334)+INDEX(Models!$BJ334:$BT334,,AH334+1)*AF334-ERP_i)*AE334*Ramure*Pc/MaxiM</f>
        <v>8.1261076836391402E-2</v>
      </c>
      <c r="AE334" s="305">
        <f t="shared" si="117"/>
        <v>0.7</v>
      </c>
      <c r="AF334" s="177">
        <f t="shared" si="118"/>
        <v>9.9438916022609014E-2</v>
      </c>
      <c r="AG334" s="817">
        <f t="shared" si="124"/>
        <v>1</v>
      </c>
      <c r="AH334" s="176">
        <f t="shared" si="119"/>
        <v>7</v>
      </c>
      <c r="AI334" s="225">
        <f t="shared" si="120"/>
        <v>1.099438916022609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45978</v>
      </c>
      <c r="B335" s="411">
        <f>'2024'!Wh/'2024'!Env_an*'2025'!Env_an</f>
        <v>9.7549707956441694</v>
      </c>
      <c r="C335" s="846"/>
      <c r="D335" s="393">
        <f t="shared" ref="D335:D379" si="127">Wh/(1-Ppv)</f>
        <v>10.3649078041095</v>
      </c>
      <c r="E335" s="385">
        <f t="shared" si="125"/>
        <v>10.896617341916825</v>
      </c>
      <c r="F335" s="385">
        <f t="shared" ref="F335:F379" si="128">Wh_sa/(1-Pvg*MEDIAN((-Sdif+Wh/Env_an)/Csdif,0,1))</f>
        <v>10.979270194468773</v>
      </c>
      <c r="G335" s="110">
        <f t="shared" si="126"/>
        <v>0.68696971429856801</v>
      </c>
      <c r="H335" s="414" t="b">
        <f>Wh_hp&gt;='2024'!Maxi_hp</f>
        <v>0</v>
      </c>
      <c r="I335" s="390">
        <f>IF(H335,Wh_hp,'2024'!Maxi_hp)</f>
        <v>16.318890198291346</v>
      </c>
      <c r="J335" s="85">
        <f>IF(H335,An,'2024'!An_max)</f>
        <v>2018</v>
      </c>
      <c r="K335" s="197">
        <f t="shared" ref="K335:K379" si="129">t</f>
        <v>45978</v>
      </c>
      <c r="L335" s="147">
        <f>IF(t&lt;Tvie,1-EXP((T0-t)*PertePVj)+'2024'!Pspv,1-EXP((T0-t)*PertePVj)+Pspv)</f>
        <v>5.8846351553990761E-2</v>
      </c>
      <c r="M335" s="850"/>
      <c r="N335" s="850"/>
      <c r="O335" s="48">
        <f>IF(t&lt;Tnet,'2024'!Resal+('2024'!Salim-'2024'!Resal)*(1-EXP(('2024'!Tnet-t)/('2024'!Tau_j))),Resal+(Salim-Resal)*(1-EXP((Tnet-t)/(Tau_j))))*Salcycl</f>
        <v>4.8795834626766045E-2</v>
      </c>
      <c r="P335" s="169">
        <f>(INDEX(Models!$BJ335:$BT335,,T335)*(1-R335)+INDEX(Models!$BJ335:$BT335,,T335+1)*R335-ERP_i)*Q335*Ramure*Pc/MaxiM</f>
        <v>1.3473599034956249E-2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0.47560476126054718</v>
      </c>
      <c r="S335" s="817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-1.5243952387394528</v>
      </c>
      <c r="V335" s="383">
        <f t="shared" ref="V335:V379" si="135">MaxiM*(1-Ppv)*(1-Pvg)*(1-Psa)</f>
        <v>14.11493451051701</v>
      </c>
      <c r="W335" s="402">
        <f t="shared" ref="W335:W379" si="136">Wh*(A335&gt;Tmaj)</f>
        <v>9.7549707956441694</v>
      </c>
      <c r="X335" s="157">
        <f t="shared" ref="X335:X379" si="137">t</f>
        <v>45978</v>
      </c>
      <c r="Y335" s="385">
        <f t="shared" ref="Y335:Y379" si="138">Wh_pvt_s*(1-Ppv)</f>
        <v>8.760637769879656</v>
      </c>
      <c r="Z335" s="385">
        <f t="shared" ref="Z335:Z379" si="139">Wh_sa_s*(1-Psa_s)</f>
        <v>9.3084033455587498</v>
      </c>
      <c r="AA335" s="386">
        <f t="shared" ref="AA335:AA379" si="140">Wh_hp*(1-Pvg_s*MEDIAN((-Sdif+Wh/Env_an)/Csdif,0,1))</f>
        <v>10.480551723815426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0.1118403314200673</v>
      </c>
      <c r="AD335" s="231">
        <f>(INDEX(Models!$BJ335:$BT335,,AH335)*(1-AF335)+INDEX(Models!$BJ335:$BT335,,AH335+1)*AF335-ERP_i)*AE335*Ramure*Pc/MaxiM</f>
        <v>8.1298255262108973E-2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9.9468130636603203E-2</v>
      </c>
      <c r="AG335" s="817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1.0994681306366032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45979</v>
      </c>
      <c r="B336" s="411">
        <f>'2024'!Wh/'2024'!Env_an*'2025'!Env_an</f>
        <v>8.1363045626321622</v>
      </c>
      <c r="C336" s="846"/>
      <c r="D336" s="393">
        <f t="shared" si="127"/>
        <v>8.6452225796725202</v>
      </c>
      <c r="E336" s="385">
        <f t="shared" si="125"/>
        <v>9.0897434598609692</v>
      </c>
      <c r="F336" s="385">
        <f t="shared" si="128"/>
        <v>9.1403039342970249</v>
      </c>
      <c r="G336" s="110">
        <f t="shared" si="126"/>
        <v>0.58092954292999599</v>
      </c>
      <c r="H336" s="414" t="b">
        <f>Wh_hp&gt;='2024'!Maxi_hp</f>
        <v>0</v>
      </c>
      <c r="I336" s="390">
        <f>IF(H336,Wh_hp,'2024'!Maxi_hp)</f>
        <v>14.520944266694507</v>
      </c>
      <c r="J336" s="85">
        <f>IF(H336,An,'2024'!An_max)</f>
        <v>2018</v>
      </c>
      <c r="K336" s="197">
        <f t="shared" si="129"/>
        <v>45979</v>
      </c>
      <c r="L336" s="147">
        <f>IF(t&lt;Tvie,1-EXP((T0-t)*PertePVj)+'2024'!Pspv,1-EXP((T0-t)*PertePVj)+Pspv)</f>
        <v>5.8866965234298907E-2</v>
      </c>
      <c r="M336" s="850"/>
      <c r="N336" s="850"/>
      <c r="O336" s="48">
        <f>IF(t&lt;Tnet,'2024'!Resal+('2024'!Salim-'2024'!Resal)*(1-EXP(('2024'!Tnet-t)/('2024'!Tau_j))),Resal+(Salim-Resal)*(1-EXP((Tnet-t)/(Tau_j))))*Salcycl</f>
        <v>4.890356720752248E-2</v>
      </c>
      <c r="P336" s="169">
        <f>(INDEX(Models!$BJ336:$BT336,,T336)*(1-R336)+INDEX(Models!$BJ336:$BT336,,T336+1)*R336-ERP_i)*Q336*Ramure*Pc/MaxiM</f>
        <v>1.3555235680179571E-2</v>
      </c>
      <c r="Q336" s="305">
        <f t="shared" si="130"/>
        <v>0.7</v>
      </c>
      <c r="R336" s="177">
        <f t="shared" si="131"/>
        <v>0.47563280281921072</v>
      </c>
      <c r="S336" s="817">
        <f t="shared" si="132"/>
        <v>-2</v>
      </c>
      <c r="T336" s="176">
        <f t="shared" si="133"/>
        <v>4</v>
      </c>
      <c r="U336" s="251">
        <f t="shared" si="134"/>
        <v>-1.5243671971807893</v>
      </c>
      <c r="V336" s="383">
        <f t="shared" si="135"/>
        <v>13.892663513520162</v>
      </c>
      <c r="W336" s="402">
        <f t="shared" si="136"/>
        <v>8.1363045626321622</v>
      </c>
      <c r="X336" s="157">
        <f t="shared" si="137"/>
        <v>45979</v>
      </c>
      <c r="Y336" s="385">
        <f t="shared" si="138"/>
        <v>7.3867326241562283</v>
      </c>
      <c r="Z336" s="385">
        <f t="shared" si="139"/>
        <v>7.8487656381068227</v>
      </c>
      <c r="AA336" s="386">
        <f t="shared" si="140"/>
        <v>8.8369570245849118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0.11182484917929157</v>
      </c>
      <c r="AD336" s="231">
        <f>(INDEX(Models!$BJ336:$BT336,,AH336)*(1-AF336)+INDEX(Models!$BJ336:$BT336,,AH336+1)*AF336-ERP_i)*AE336*Ramure*Pc/MaxiM</f>
        <v>8.1327141405728998E-2</v>
      </c>
      <c r="AE336" s="305">
        <f t="shared" si="142"/>
        <v>0.7</v>
      </c>
      <c r="AF336" s="177">
        <f t="shared" si="143"/>
        <v>9.9496172195266519E-2</v>
      </c>
      <c r="AG336" s="817">
        <f t="shared" ref="AG336:AG379" si="149">INDEX(Echel_vg,AH336)</f>
        <v>1</v>
      </c>
      <c r="AH336" s="176">
        <f t="shared" si="144"/>
        <v>7</v>
      </c>
      <c r="AI336" s="225">
        <f t="shared" si="145"/>
        <v>1.0994961721952665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45980</v>
      </c>
      <c r="B337" s="411">
        <f>'2024'!Wh/'2024'!Env_an*'2025'!Env_an</f>
        <v>5.5312156457244619</v>
      </c>
      <c r="C337" s="846"/>
      <c r="D337" s="393">
        <f t="shared" si="127"/>
        <v>5.8773165874186422</v>
      </c>
      <c r="E337" s="385">
        <f t="shared" si="125"/>
        <v>6.180219638617328</v>
      </c>
      <c r="F337" s="385">
        <f t="shared" si="128"/>
        <v>6.1928101220293295</v>
      </c>
      <c r="G337" s="110">
        <f t="shared" si="126"/>
        <v>0.39972503922057973</v>
      </c>
      <c r="H337" s="414" t="b">
        <f>Wh_hp&gt;='2024'!Maxi_hp</f>
        <v>0</v>
      </c>
      <c r="I337" s="390">
        <f>IF(H337,Wh_hp,'2024'!Maxi_hp)</f>
        <v>15.038910963249226</v>
      </c>
      <c r="J337" s="85">
        <f>IF(H337,An,'2024'!An_max)</f>
        <v>2020</v>
      </c>
      <c r="K337" s="197">
        <f t="shared" si="129"/>
        <v>45980</v>
      </c>
      <c r="L337" s="147">
        <f>IF(t&lt;Tvie,1-EXP((T0-t)*PertePVj)+'2024'!Pspv,1-EXP((T0-t)*PertePVj)+Pspv)</f>
        <v>5.8887578463114543E-2</v>
      </c>
      <c r="M337" s="850"/>
      <c r="N337" s="850"/>
      <c r="O337" s="48">
        <f>IF(t&lt;Tnet,'2024'!Resal+('2024'!Salim-'2024'!Resal)*(1-EXP(('2024'!Tnet-t)/('2024'!Tau_j))),Resal+(Salim-Resal)*(1-EXP((Tnet-t)/(Tau_j))))*Salcycl</f>
        <v>4.9011696818343671E-2</v>
      </c>
      <c r="P337" s="169">
        <f>(INDEX(Models!$BJ337:$BT337,,T337)*(1-R337)+INDEX(Models!$BJ337:$BT337,,T337+1)*R337-ERP_i)*Q337*Ramure*Pc/MaxiM</f>
        <v>1.3628620671610645E-2</v>
      </c>
      <c r="Q337" s="305">
        <f t="shared" si="130"/>
        <v>0.7</v>
      </c>
      <c r="R337" s="177">
        <f t="shared" si="131"/>
        <v>0.47565971830038123</v>
      </c>
      <c r="S337" s="817">
        <f t="shared" si="132"/>
        <v>-2</v>
      </c>
      <c r="T337" s="176">
        <f t="shared" si="133"/>
        <v>4</v>
      </c>
      <c r="U337" s="251">
        <f t="shared" si="134"/>
        <v>-1.5243402816996188</v>
      </c>
      <c r="V337" s="383">
        <f t="shared" si="135"/>
        <v>13.676770318534304</v>
      </c>
      <c r="W337" s="402">
        <f t="shared" si="136"/>
        <v>5.5312156457244619</v>
      </c>
      <c r="X337" s="157">
        <f t="shared" si="137"/>
        <v>45980</v>
      </c>
      <c r="Y337" s="385">
        <f t="shared" si="138"/>
        <v>5.1136643982066508</v>
      </c>
      <c r="Z337" s="385">
        <f t="shared" si="139"/>
        <v>5.4336381936769795</v>
      </c>
      <c r="AA337" s="386">
        <f t="shared" si="140"/>
        <v>6.1176594185139921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0.11181093585676677</v>
      </c>
      <c r="AD337" s="231">
        <f>(INDEX(Models!$BJ337:$BT337,,AH337)*(1-AF337)+INDEX(Models!$BJ337:$BT337,,AH337+1)*AF337-ERP_i)*AE337*Ramure*Pc/MaxiM</f>
        <v>8.1347188817146421E-2</v>
      </c>
      <c r="AE337" s="305">
        <f t="shared" si="142"/>
        <v>0.7</v>
      </c>
      <c r="AF337" s="177">
        <f t="shared" si="143"/>
        <v>9.9523087676437028E-2</v>
      </c>
      <c r="AG337" s="817">
        <f t="shared" si="149"/>
        <v>1</v>
      </c>
      <c r="AH337" s="176">
        <f t="shared" si="144"/>
        <v>7</v>
      </c>
      <c r="AI337" s="225">
        <f t="shared" si="145"/>
        <v>1.099523087676437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45981</v>
      </c>
      <c r="B338" s="411">
        <f>'2024'!Wh/'2024'!Env_an*'2025'!Env_an</f>
        <v>10.547183180017722</v>
      </c>
      <c r="C338" s="846"/>
      <c r="D338" s="393">
        <f t="shared" si="127"/>
        <v>11.207390269308476</v>
      </c>
      <c r="E338" s="385">
        <f t="shared" si="125"/>
        <v>11.786338245631724</v>
      </c>
      <c r="F338" s="385">
        <f t="shared" si="128"/>
        <v>11.898778860976385</v>
      </c>
      <c r="G338" s="110">
        <f t="shared" si="126"/>
        <v>0.77981752480881128</v>
      </c>
      <c r="H338" s="414" t="b">
        <f>Wh_hp&gt;='2024'!Maxi_hp</f>
        <v>0</v>
      </c>
      <c r="I338" s="390">
        <f>IF(H338,Wh_hp,'2024'!Maxi_hp)</f>
        <v>14.953005209630511</v>
      </c>
      <c r="J338" s="85">
        <f>IF(H338,An,'2024'!An_max)</f>
        <v>2019</v>
      </c>
      <c r="K338" s="197">
        <f t="shared" si="129"/>
        <v>45981</v>
      </c>
      <c r="L338" s="147">
        <f>IF(t&lt;Tvie,1-EXP((T0-t)*PertePVj)+'2024'!Pspv,1-EXP((T0-t)*PertePVj)+Pspv)</f>
        <v>5.8908191240447549E-2</v>
      </c>
      <c r="M338" s="850"/>
      <c r="N338" s="850"/>
      <c r="O338" s="48">
        <f>IF(t&lt;Tnet,'2024'!Resal+('2024'!Salim-'2024'!Resal)*(1-EXP(('2024'!Tnet-t)/('2024'!Tau_j))),Resal+(Salim-Resal)*(1-EXP((Tnet-t)/(Tau_j))))*Salcycl</f>
        <v>4.9120258069788404E-2</v>
      </c>
      <c r="P338" s="169">
        <f>(INDEX(Models!$BJ338:$BT338,,T338)*(1-R338)+INDEX(Models!$BJ338:$BT338,,T338+1)*R338-ERP_i)*Q338*Ramure*Pc/MaxiM</f>
        <v>1.3690475424189949E-2</v>
      </c>
      <c r="Q338" s="305">
        <f t="shared" si="130"/>
        <v>0.7</v>
      </c>
      <c r="R338" s="177">
        <f t="shared" si="131"/>
        <v>0.4756855528103201</v>
      </c>
      <c r="S338" s="817">
        <f t="shared" si="132"/>
        <v>-2</v>
      </c>
      <c r="T338" s="176">
        <f t="shared" si="133"/>
        <v>4</v>
      </c>
      <c r="U338" s="251">
        <f t="shared" si="134"/>
        <v>-1.5243144471896799</v>
      </c>
      <c r="V338" s="383">
        <f t="shared" si="135"/>
        <v>13.467290174763759</v>
      </c>
      <c r="W338" s="402">
        <f t="shared" si="136"/>
        <v>10.547183180017722</v>
      </c>
      <c r="X338" s="157">
        <f t="shared" si="137"/>
        <v>45981</v>
      </c>
      <c r="Y338" s="385">
        <f t="shared" si="138"/>
        <v>9.387635533403202</v>
      </c>
      <c r="Z338" s="385">
        <f t="shared" si="139"/>
        <v>9.9752600607341257</v>
      </c>
      <c r="AA338" s="386">
        <f t="shared" si="140"/>
        <v>11.230854516059562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0.11179865730875595</v>
      </c>
      <c r="AD338" s="231">
        <f>(INDEX(Models!$BJ338:$BT338,,AH338)*(1-AF338)+INDEX(Models!$BJ338:$BT338,,AH338+1)*AF338-ERP_i)*AE338*Ramure*Pc/MaxiM</f>
        <v>8.1324722399219576E-2</v>
      </c>
      <c r="AE338" s="305">
        <f t="shared" si="142"/>
        <v>0.7</v>
      </c>
      <c r="AF338" s="177">
        <f t="shared" si="143"/>
        <v>9.9548922186376121E-2</v>
      </c>
      <c r="AG338" s="817">
        <f t="shared" si="149"/>
        <v>1</v>
      </c>
      <c r="AH338" s="176">
        <f t="shared" si="144"/>
        <v>7</v>
      </c>
      <c r="AI338" s="225">
        <f t="shared" si="145"/>
        <v>1.0995489221863761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45982</v>
      </c>
      <c r="B339" s="411">
        <f>'2024'!Wh/'2024'!Env_an*'2025'!Env_an</f>
        <v>2.0742315635327442</v>
      </c>
      <c r="C339" s="846"/>
      <c r="D339" s="393">
        <f t="shared" si="127"/>
        <v>2.2041175751561686</v>
      </c>
      <c r="E339" s="385">
        <f t="shared" si="125"/>
        <v>2.3182430165176124</v>
      </c>
      <c r="F339" s="385">
        <f t="shared" si="128"/>
        <v>2.3182430165176124</v>
      </c>
      <c r="G339" s="110">
        <f t="shared" si="126"/>
        <v>0.15422928832926139</v>
      </c>
      <c r="H339" s="414" t="b">
        <f>Wh_hp&gt;='2024'!Maxi_hp</f>
        <v>0</v>
      </c>
      <c r="I339" s="390">
        <f>IF(H339,Wh_hp,'2024'!Maxi_hp)</f>
        <v>14.614708080024094</v>
      </c>
      <c r="J339" s="85">
        <f>IF(H339,An,'2024'!An_max)</f>
        <v>2018</v>
      </c>
      <c r="K339" s="197">
        <f t="shared" si="129"/>
        <v>45982</v>
      </c>
      <c r="L339" s="147">
        <f>IF(t&lt;Tvie,1-EXP((T0-t)*PertePVj)+'2024'!Pspv,1-EXP((T0-t)*PertePVj)+Pspv)</f>
        <v>5.8928803566307808E-2</v>
      </c>
      <c r="M339" s="850"/>
      <c r="N339" s="850"/>
      <c r="O339" s="48">
        <f>IF(t&lt;Tnet,'2024'!Resal+('2024'!Salim-'2024'!Resal)*(1-EXP(('2024'!Tnet-t)/('2024'!Tau_j))),Resal+(Salim-Resal)*(1-EXP((Tnet-t)/(Tau_j))))*Salcycl</f>
        <v>4.9229282930345883E-2</v>
      </c>
      <c r="P339" s="169">
        <f>(INDEX(Models!$BJ339:$BT339,,T339)*(1-R339)+INDEX(Models!$BJ339:$BT339,,T339+1)*R339-ERP_i)*Q339*Ramure*Pc/MaxiM</f>
        <v>1.3746147512642571E-2</v>
      </c>
      <c r="Q339" s="305">
        <f t="shared" si="130"/>
        <v>0.7</v>
      </c>
      <c r="R339" s="177">
        <f t="shared" si="131"/>
        <v>0.47571034965750525</v>
      </c>
      <c r="S339" s="817">
        <f t="shared" si="132"/>
        <v>-2</v>
      </c>
      <c r="T339" s="176">
        <f t="shared" si="133"/>
        <v>4</v>
      </c>
      <c r="U339" s="251">
        <f t="shared" si="134"/>
        <v>-1.5242896503424948</v>
      </c>
      <c r="V339" s="383">
        <f t="shared" si="135"/>
        <v>13.264139986937334</v>
      </c>
      <c r="W339" s="402">
        <f t="shared" si="136"/>
        <v>2.0742315635327442</v>
      </c>
      <c r="X339" s="157">
        <f t="shared" si="137"/>
        <v>45982</v>
      </c>
      <c r="Y339" s="385">
        <f t="shared" si="138"/>
        <v>1.9377513225252472</v>
      </c>
      <c r="Z339" s="385">
        <f t="shared" si="139"/>
        <v>2.059091097324623</v>
      </c>
      <c r="AA339" s="386">
        <f t="shared" si="140"/>
        <v>2.3182430165176124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0.11178807284073208</v>
      </c>
      <c r="AD339" s="231">
        <f>(INDEX(Models!$BJ339:$BT339,,AH339)*(1-AF339)+INDEX(Models!$BJ339:$BT339,,AH339+1)*AF339-ERP_i)*AE339*Ramure*Pc/MaxiM</f>
        <v>8.1246202457176078E-2</v>
      </c>
      <c r="AE339" s="305">
        <f t="shared" si="142"/>
        <v>0.7</v>
      </c>
      <c r="AF339" s="177">
        <f t="shared" si="143"/>
        <v>9.9573719033561048E-2</v>
      </c>
      <c r="AG339" s="817">
        <f t="shared" si="149"/>
        <v>1</v>
      </c>
      <c r="AH339" s="176">
        <f t="shared" si="144"/>
        <v>7</v>
      </c>
      <c r="AI339" s="225">
        <f t="shared" si="145"/>
        <v>1.099573719033561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45983</v>
      </c>
      <c r="B340" s="411">
        <f>'2024'!Wh/'2024'!Env_an*'2025'!Env_an</f>
        <v>6.0091796781570146</v>
      </c>
      <c r="C340" s="846"/>
      <c r="D340" s="393">
        <f t="shared" si="127"/>
        <v>6.3856075079866041</v>
      </c>
      <c r="E340" s="385">
        <f t="shared" si="125"/>
        <v>6.7170170740374244</v>
      </c>
      <c r="F340" s="385">
        <f t="shared" si="128"/>
        <v>6.7382460295357971</v>
      </c>
      <c r="G340" s="110">
        <f t="shared" si="126"/>
        <v>0.45495270563533446</v>
      </c>
      <c r="H340" s="414" t="b">
        <f>Wh_hp&gt;='2024'!Maxi_hp</f>
        <v>0</v>
      </c>
      <c r="I340" s="390">
        <f>IF(H340,Wh_hp,'2024'!Maxi_hp)</f>
        <v>15.138714921882022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5.8949415440705311E-2</v>
      </c>
      <c r="M340" s="850"/>
      <c r="N340" s="850"/>
      <c r="O340" s="48">
        <f>IF(t&lt;Tnet,'2024'!Resal+('2024'!Salim-'2024'!Resal)*(1-EXP(('2024'!Tnet-t)/('2024'!Tau_j))),Resal+(Salim-Resal)*(1-EXP((Tnet-t)/(Tau_j))))*Salcycl</f>
        <v>4.9338800601204824E-2</v>
      </c>
      <c r="P340" s="169">
        <f>(INDEX(Models!$BJ340:$BT340,,T340)*(1-R340)+INDEX(Models!$BJ340:$BT340,,T340+1)*R340-ERP_i)*Q340*Ramure*Pc/MaxiM</f>
        <v>1.3795294488718067E-2</v>
      </c>
      <c r="Q340" s="305">
        <f t="shared" si="130"/>
        <v>0.7</v>
      </c>
      <c r="R340" s="177">
        <f t="shared" si="131"/>
        <v>0.47573415042357392</v>
      </c>
      <c r="S340" s="817">
        <f t="shared" si="132"/>
        <v>-2</v>
      </c>
      <c r="T340" s="176">
        <f t="shared" si="133"/>
        <v>4</v>
      </c>
      <c r="U340" s="251">
        <f t="shared" si="134"/>
        <v>-1.5242658495764261</v>
      </c>
      <c r="V340" s="383">
        <f t="shared" si="135"/>
        <v>13.06731679372391</v>
      </c>
      <c r="W340" s="402">
        <f t="shared" si="136"/>
        <v>6.0091796781570146</v>
      </c>
      <c r="X340" s="157">
        <f t="shared" si="137"/>
        <v>45983</v>
      </c>
      <c r="Y340" s="385">
        <f t="shared" si="138"/>
        <v>5.5279065680443198</v>
      </c>
      <c r="Z340" s="385">
        <f t="shared" si="139"/>
        <v>5.8741864239243897</v>
      </c>
      <c r="AA340" s="386">
        <f t="shared" si="140"/>
        <v>6.6134306418047304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0.11177923500209402</v>
      </c>
      <c r="AD340" s="231">
        <f>(INDEX(Models!$BJ340:$BT340,,AH340)*(1-AF340)+INDEX(Models!$BJ340:$BT340,,AH340+1)*AF340-ERP_i)*AE340*Ramure*Pc/MaxiM</f>
        <v>8.1109267509913624E-2</v>
      </c>
      <c r="AE340" s="305">
        <f t="shared" si="142"/>
        <v>0.7</v>
      </c>
      <c r="AF340" s="177">
        <f t="shared" si="143"/>
        <v>9.9597519799629719E-2</v>
      </c>
      <c r="AG340" s="817">
        <f t="shared" si="149"/>
        <v>1</v>
      </c>
      <c r="AH340" s="176">
        <f t="shared" si="144"/>
        <v>7</v>
      </c>
      <c r="AI340" s="225">
        <f t="shared" si="145"/>
        <v>1.0995975197996297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45984</v>
      </c>
      <c r="B341" s="411">
        <f>'2024'!Wh/'2024'!Env_an*'2025'!Env_an</f>
        <v>7.9702906874301478</v>
      </c>
      <c r="C341" s="846"/>
      <c r="D341" s="393">
        <f t="shared" si="127"/>
        <v>8.4697522023300049</v>
      </c>
      <c r="E341" s="385">
        <f t="shared" si="125"/>
        <v>8.9103591007556613</v>
      </c>
      <c r="F341" s="385">
        <f t="shared" si="128"/>
        <v>8.9668974573446061</v>
      </c>
      <c r="G341" s="110">
        <f t="shared" si="126"/>
        <v>0.61427248580339278</v>
      </c>
      <c r="H341" s="414" t="b">
        <f>Wh_hp&gt;='2024'!Maxi_hp</f>
        <v>0</v>
      </c>
      <c r="I341" s="390">
        <f>IF(H341,Wh_hp,'2024'!Maxi_hp)</f>
        <v>14.559641419504979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5.8970026863649827E-2</v>
      </c>
      <c r="M341" s="850"/>
      <c r="N341" s="850"/>
      <c r="O341" s="48">
        <f>IF(t&lt;Tnet,'2024'!Resal+('2024'!Salim-'2024'!Resal)*(1-EXP(('2024'!Tnet-t)/('2024'!Tau_j))),Resal+(Salim-Resal)*(1-EXP((Tnet-t)/(Tau_j))))*Salcycl</f>
        <v>4.9448837408616934E-2</v>
      </c>
      <c r="P341" s="169">
        <f>(INDEX(Models!$BJ341:$BT341,,T341)*(1-R341)+INDEX(Models!$BJ341:$BT341,,T341+1)*R341-ERP_i)*Q341*Ramure*Pc/MaxiM</f>
        <v>1.3837479559519023E-2</v>
      </c>
      <c r="Q341" s="305">
        <f t="shared" si="130"/>
        <v>0.7</v>
      </c>
      <c r="R341" s="177">
        <f t="shared" si="131"/>
        <v>0.47575699503152347</v>
      </c>
      <c r="S341" s="817">
        <f t="shared" si="132"/>
        <v>-2</v>
      </c>
      <c r="T341" s="176">
        <f t="shared" si="133"/>
        <v>4</v>
      </c>
      <c r="U341" s="251">
        <f t="shared" si="134"/>
        <v>-1.5242430049684765</v>
      </c>
      <c r="V341" s="383">
        <f t="shared" si="135"/>
        <v>12.876818879881435</v>
      </c>
      <c r="W341" s="402">
        <f t="shared" si="136"/>
        <v>7.9702906874301478</v>
      </c>
      <c r="X341" s="157">
        <f t="shared" si="137"/>
        <v>45984</v>
      </c>
      <c r="Y341" s="385">
        <f t="shared" si="138"/>
        <v>7.2186461960412744</v>
      </c>
      <c r="Z341" s="385">
        <f t="shared" si="139"/>
        <v>7.6710056024914008</v>
      </c>
      <c r="AA341" s="386">
        <f t="shared" si="140"/>
        <v>8.6363042354052908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0.11177218942294354</v>
      </c>
      <c r="AD341" s="231">
        <f>(INDEX(Models!$BJ341:$BT341,,AH341)*(1-AF341)+INDEX(Models!$BJ341:$BT341,,AH341+1)*AF341-ERP_i)*AE341*Ramure*Pc/MaxiM</f>
        <v>8.0911035040507631E-2</v>
      </c>
      <c r="AE341" s="305">
        <f t="shared" si="142"/>
        <v>0.7</v>
      </c>
      <c r="AF341" s="177">
        <f t="shared" si="143"/>
        <v>9.9620364407579487E-2</v>
      </c>
      <c r="AG341" s="817">
        <f t="shared" si="149"/>
        <v>1</v>
      </c>
      <c r="AH341" s="176">
        <f t="shared" si="144"/>
        <v>7</v>
      </c>
      <c r="AI341" s="225">
        <f t="shared" si="145"/>
        <v>1.0996203644075795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45985</v>
      </c>
      <c r="B342" s="411">
        <f>'2024'!Wh/'2024'!Env_an*'2025'!Env_an</f>
        <v>7.7220852232998558</v>
      </c>
      <c r="C342" s="846"/>
      <c r="D342" s="393">
        <f t="shared" si="127"/>
        <v>8.2061725778527155</v>
      </c>
      <c r="E342" s="385">
        <f t="shared" si="125"/>
        <v>8.6340721578683599</v>
      </c>
      <c r="F342" s="385">
        <f t="shared" si="128"/>
        <v>8.6871642799353666</v>
      </c>
      <c r="G342" s="110">
        <f t="shared" si="126"/>
        <v>0.60363999636724974</v>
      </c>
      <c r="H342" s="414" t="b">
        <f>Wh_hp&gt;='2024'!Maxi_hp</f>
        <v>0</v>
      </c>
      <c r="I342" s="390">
        <f>IF(H342,Wh_hp,'2024'!Maxi_hp)</f>
        <v>14.017853674238541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5.8990637835151238E-2</v>
      </c>
      <c r="M342" s="850"/>
      <c r="N342" s="850"/>
      <c r="O342" s="48">
        <f>IF(t&lt;Tnet,'2024'!Resal+('2024'!Salim-'2024'!Resal)*(1-EXP(('2024'!Tnet-t)/('2024'!Tau_j))),Resal+(Salim-Resal)*(1-EXP((Tnet-t)/(Tau_j))))*Salcycl</f>
        <v>4.9559416714590868E-2</v>
      </c>
      <c r="P342" s="169">
        <f>(INDEX(Models!$BJ342:$BT342,,T342)*(1-R342)+INDEX(Models!$BJ342:$BT342,,T342+1)*R342-ERP_i)*Q342*Ramure*Pc/MaxiM</f>
        <v>1.3872315474100613E-2</v>
      </c>
      <c r="Q342" s="305">
        <f t="shared" si="130"/>
        <v>0.7</v>
      </c>
      <c r="R342" s="177">
        <f t="shared" si="131"/>
        <v>0.47577892181127157</v>
      </c>
      <c r="S342" s="817">
        <f t="shared" si="132"/>
        <v>-2</v>
      </c>
      <c r="T342" s="176">
        <f t="shared" si="133"/>
        <v>4</v>
      </c>
      <c r="U342" s="251">
        <f t="shared" si="134"/>
        <v>-1.5242210781887284</v>
      </c>
      <c r="V342" s="383">
        <f t="shared" si="135"/>
        <v>12.69264385694887</v>
      </c>
      <c r="W342" s="402">
        <f t="shared" si="136"/>
        <v>7.7220852232998558</v>
      </c>
      <c r="X342" s="157">
        <f t="shared" si="137"/>
        <v>45985</v>
      </c>
      <c r="Y342" s="385">
        <f t="shared" si="138"/>
        <v>7.0030523686157027</v>
      </c>
      <c r="Z342" s="385">
        <f t="shared" si="139"/>
        <v>7.4420645002986561</v>
      </c>
      <c r="AA342" s="386">
        <f t="shared" si="140"/>
        <v>8.3785046133968581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0.11176697469389418</v>
      </c>
      <c r="AD342" s="231">
        <f>(INDEX(Models!$BJ342:$BT342,,AH342)*(1-AF342)+INDEX(Models!$BJ342:$BT342,,AH342+1)*AF342-ERP_i)*AE342*Ramure*Pc/MaxiM</f>
        <v>8.0648956976119748E-2</v>
      </c>
      <c r="AE342" s="305">
        <f t="shared" si="142"/>
        <v>0.7</v>
      </c>
      <c r="AF342" s="177">
        <f t="shared" si="143"/>
        <v>9.964229118732737E-2</v>
      </c>
      <c r="AG342" s="817">
        <f t="shared" si="149"/>
        <v>1</v>
      </c>
      <c r="AH342" s="176">
        <f t="shared" si="144"/>
        <v>7</v>
      </c>
      <c r="AI342" s="225">
        <f t="shared" si="145"/>
        <v>1.0996422911873274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45986</v>
      </c>
      <c r="B343" s="411">
        <f>'2024'!Wh/'2024'!Env_an*'2025'!Env_an</f>
        <v>3.2555634943976002</v>
      </c>
      <c r="C343" s="846"/>
      <c r="D343" s="393">
        <f t="shared" si="127"/>
        <v>3.4597262599654992</v>
      </c>
      <c r="E343" s="385">
        <f t="shared" si="125"/>
        <v>3.6405546436256264</v>
      </c>
      <c r="F343" s="385">
        <f t="shared" si="128"/>
        <v>3.6405546436256264</v>
      </c>
      <c r="G343" s="110">
        <f t="shared" si="126"/>
        <v>0.25652154224195273</v>
      </c>
      <c r="H343" s="414" t="b">
        <f>Wh_hp&gt;='2024'!Maxi_hp</f>
        <v>0</v>
      </c>
      <c r="I343" s="390">
        <f>IF(H343,Wh_hp,'2024'!Maxi_hp)</f>
        <v>14.256922771094214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5.9011248355219537E-2</v>
      </c>
      <c r="M343" s="850"/>
      <c r="N343" s="850"/>
      <c r="O343" s="48">
        <f>IF(t&lt;Tnet,'2024'!Resal+('2024'!Salim-'2024'!Resal)*(1-EXP(('2024'!Tnet-t)/('2024'!Tau_j))),Resal+(Salim-Resal)*(1-EXP((Tnet-t)/(Tau_j))))*Salcycl</f>
        <v>4.9670558846505987E-2</v>
      </c>
      <c r="P343" s="169">
        <f>(INDEX(Models!$BJ343:$BT343,,T343)*(1-R343)+INDEX(Models!$BJ343:$BT343,,T343+1)*R343-ERP_i)*Q343*Ramure*Pc/MaxiM</f>
        <v>1.3899480515707536E-2</v>
      </c>
      <c r="Q343" s="305">
        <f t="shared" si="130"/>
        <v>0.7</v>
      </c>
      <c r="R343" s="177">
        <f t="shared" si="131"/>
        <v>0.47579996756266896</v>
      </c>
      <c r="S343" s="817">
        <f t="shared" si="132"/>
        <v>-2</v>
      </c>
      <c r="T343" s="176">
        <f t="shared" si="133"/>
        <v>4</v>
      </c>
      <c r="U343" s="251">
        <f t="shared" si="134"/>
        <v>-1.524200032437331</v>
      </c>
      <c r="V343" s="383">
        <f t="shared" si="135"/>
        <v>12.514788524121631</v>
      </c>
      <c r="W343" s="402">
        <f t="shared" si="136"/>
        <v>3.2555634943976002</v>
      </c>
      <c r="X343" s="157">
        <f t="shared" si="137"/>
        <v>45986</v>
      </c>
      <c r="Y343" s="385">
        <f t="shared" si="138"/>
        <v>3.0428499849065189</v>
      </c>
      <c r="Z343" s="385">
        <f t="shared" si="139"/>
        <v>3.2336730695110187</v>
      </c>
      <c r="AA343" s="386">
        <f t="shared" si="140"/>
        <v>3.6405546436256264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0.11176362228954066</v>
      </c>
      <c r="AD343" s="231">
        <f>(INDEX(Models!$BJ343:$BT343,,AH343)*(1-AF343)+INDEX(Models!$BJ343:$BT343,,AH343+1)*AF343-ERP_i)*AE343*Ramure*Pc/MaxiM</f>
        <v>8.0320908179113915E-2</v>
      </c>
      <c r="AE343" s="305">
        <f t="shared" si="142"/>
        <v>0.7</v>
      </c>
      <c r="AF343" s="177">
        <f t="shared" si="143"/>
        <v>9.9663336938724756E-2</v>
      </c>
      <c r="AG343" s="817">
        <f t="shared" si="149"/>
        <v>1</v>
      </c>
      <c r="AH343" s="176">
        <f t="shared" si="144"/>
        <v>7</v>
      </c>
      <c r="AI343" s="225">
        <f t="shared" si="145"/>
        <v>1.0996633369387248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45987</v>
      </c>
      <c r="B344" s="411">
        <f>'2024'!Wh/'2024'!Env_an*'2025'!Env_an</f>
        <v>6.4344119867409404</v>
      </c>
      <c r="C344" s="846"/>
      <c r="D344" s="393">
        <f t="shared" si="127"/>
        <v>6.8380763412066274</v>
      </c>
      <c r="E344" s="385">
        <f t="shared" si="125"/>
        <v>7.1963258575461895</v>
      </c>
      <c r="F344" s="385">
        <f t="shared" si="128"/>
        <v>7.2281302202296613</v>
      </c>
      <c r="G344" s="110">
        <f t="shared" si="126"/>
        <v>0.51630607942733631</v>
      </c>
      <c r="H344" s="414" t="b">
        <f>Wh_hp&gt;='2024'!Maxi_hp</f>
        <v>0</v>
      </c>
      <c r="I344" s="390">
        <f>IF(H344,Wh_hp,'2024'!Maxi_hp)</f>
        <v>13.332457203646875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5.9031858423864492E-2</v>
      </c>
      <c r="M344" s="850"/>
      <c r="N344" s="850"/>
      <c r="O344" s="48">
        <f>IF(t&lt;Tnet,'2024'!Resal+('2024'!Salim-'2024'!Resal)*(1-EXP(('2024'!Tnet-t)/('2024'!Tau_j))),Resal+(Salim-Resal)*(1-EXP((Tnet-t)/(Tau_j))))*Salcycl</f>
        <v>4.9782281046083461E-2</v>
      </c>
      <c r="P344" s="169">
        <f>(INDEX(Models!$BJ344:$BT344,,T344)*(1-R344)+INDEX(Models!$BJ344:$BT344,,T344+1)*R344-ERP_i)*Q344*Ramure*Pc/MaxiM</f>
        <v>1.3918649333609685E-2</v>
      </c>
      <c r="Q344" s="305">
        <f t="shared" si="130"/>
        <v>0.7</v>
      </c>
      <c r="R344" s="177">
        <f t="shared" si="131"/>
        <v>0.47582016761606738</v>
      </c>
      <c r="S344" s="817">
        <f t="shared" si="132"/>
        <v>-2</v>
      </c>
      <c r="T344" s="176">
        <f t="shared" si="133"/>
        <v>4</v>
      </c>
      <c r="U344" s="251">
        <f t="shared" si="134"/>
        <v>-1.5241798323839326</v>
      </c>
      <c r="V344" s="383">
        <f t="shared" si="135"/>
        <v>12.34324981663244</v>
      </c>
      <c r="W344" s="402">
        <f t="shared" si="136"/>
        <v>6.4344119867409404</v>
      </c>
      <c r="X344" s="157">
        <f t="shared" si="137"/>
        <v>45987</v>
      </c>
      <c r="Y344" s="385">
        <f t="shared" si="138"/>
        <v>5.8886542048941015</v>
      </c>
      <c r="Z344" s="385">
        <f t="shared" si="139"/>
        <v>6.2580803161205001</v>
      </c>
      <c r="AA344" s="386">
        <f t="shared" si="140"/>
        <v>7.0455006642297437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0.11176215653587333</v>
      </c>
      <c r="AD344" s="231">
        <f>(INDEX(Models!$BJ344:$BT344,,AH344)*(1-AF344)+INDEX(Models!$BJ344:$BT344,,AH344+1)*AF344-ERP_i)*AE344*Ramure*Pc/MaxiM</f>
        <v>7.9924781804752459E-2</v>
      </c>
      <c r="AE344" s="305">
        <f t="shared" si="142"/>
        <v>0.7</v>
      </c>
      <c r="AF344" s="177">
        <f t="shared" si="143"/>
        <v>9.9683536992123178E-2</v>
      </c>
      <c r="AG344" s="817">
        <f t="shared" si="149"/>
        <v>1</v>
      </c>
      <c r="AH344" s="176">
        <f t="shared" si="144"/>
        <v>7</v>
      </c>
      <c r="AI344" s="225">
        <f t="shared" si="145"/>
        <v>1.0996835369921232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45988</v>
      </c>
      <c r="B345" s="411">
        <f>'2024'!Wh/'2024'!Env_an*'2025'!Env_an</f>
        <v>8.8563053822567177</v>
      </c>
      <c r="C345" s="846"/>
      <c r="D345" s="393">
        <f t="shared" si="127"/>
        <v>9.4121139398913041</v>
      </c>
      <c r="E345" s="385">
        <f t="shared" si="125"/>
        <v>9.9063892432472311</v>
      </c>
      <c r="F345" s="385">
        <f t="shared" si="128"/>
        <v>9.9913756966072373</v>
      </c>
      <c r="G345" s="110">
        <f t="shared" si="126"/>
        <v>0.723392170163906</v>
      </c>
      <c r="H345" s="414" t="b">
        <f>Wh_hp&gt;='2024'!Maxi_hp</f>
        <v>0</v>
      </c>
      <c r="I345" s="390">
        <f>IF(H345,Wh_hp,'2024'!Maxi_hp)</f>
        <v>14.406333862137721</v>
      </c>
      <c r="J345" s="85">
        <f>IF(H345,An,'2024'!An_max)</f>
        <v>2018</v>
      </c>
      <c r="K345" s="197">
        <f t="shared" si="129"/>
        <v>45988</v>
      </c>
      <c r="L345" s="147">
        <f>IF(t&lt;Tvie,1-EXP((T0-t)*PertePVj)+'2024'!Pspv,1-EXP((T0-t)*PertePVj)+Pspv)</f>
        <v>5.9052468041096096E-2</v>
      </c>
      <c r="M345" s="850"/>
      <c r="N345" s="850"/>
      <c r="O345" s="48">
        <f>IF(t&lt;Tnet,'2024'!Resal+('2024'!Salim-'2024'!Resal)*(1-EXP(('2024'!Tnet-t)/('2024'!Tau_j))),Resal+(Salim-Resal)*(1-EXP((Tnet-t)/(Tau_j))))*Salcycl</f>
        <v>4.9894597437997311E-2</v>
      </c>
      <c r="P345" s="169">
        <f>(INDEX(Models!$BJ345:$BT345,,T345)*(1-R345)+INDEX(Models!$BJ345:$BT345,,T345+1)*R345-ERP_i)*Q345*Ramure*Pc/MaxiM</f>
        <v>1.3932067202625707E-2</v>
      </c>
      <c r="Q345" s="305">
        <f t="shared" si="130"/>
        <v>0.7</v>
      </c>
      <c r="R345" s="177">
        <f t="shared" si="131"/>
        <v>0.47583955589052795</v>
      </c>
      <c r="S345" s="817">
        <f t="shared" si="132"/>
        <v>-2</v>
      </c>
      <c r="T345" s="176">
        <f t="shared" si="133"/>
        <v>4</v>
      </c>
      <c r="U345" s="251">
        <f t="shared" si="134"/>
        <v>-1.524160444109472</v>
      </c>
      <c r="V345" s="383">
        <f t="shared" si="135"/>
        <v>12.175744234154712</v>
      </c>
      <c r="W345" s="402">
        <f t="shared" si="136"/>
        <v>8.8563053822567177</v>
      </c>
      <c r="X345" s="157">
        <f t="shared" si="137"/>
        <v>45988</v>
      </c>
      <c r="Y345" s="385">
        <f t="shared" si="138"/>
        <v>7.9454587695598633</v>
      </c>
      <c r="Z345" s="385">
        <f t="shared" si="139"/>
        <v>8.4441039480901505</v>
      </c>
      <c r="AA345" s="386">
        <f t="shared" si="140"/>
        <v>9.5065844975224891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0.11176259462157323</v>
      </c>
      <c r="AD345" s="231">
        <f>(INDEX(Models!$BJ345:$BT345,,AH345)*(1-AF345)+INDEX(Models!$BJ345:$BT345,,AH345+1)*AF345-ERP_i)*AE345*Ramure*Pc/MaxiM</f>
        <v>7.9473178346193024E-2</v>
      </c>
      <c r="AE345" s="305">
        <f t="shared" si="142"/>
        <v>0.7</v>
      </c>
      <c r="AF345" s="177">
        <f t="shared" si="143"/>
        <v>9.9702925266583753E-2</v>
      </c>
      <c r="AG345" s="817">
        <f t="shared" si="149"/>
        <v>1</v>
      </c>
      <c r="AH345" s="176">
        <f t="shared" si="144"/>
        <v>7</v>
      </c>
      <c r="AI345" s="225">
        <f t="shared" si="145"/>
        <v>1.0997029252665838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45989</v>
      </c>
      <c r="B346" s="411">
        <f>'2024'!Wh/'2024'!Env_an*'2025'!Env_an</f>
        <v>5.9060072201801148</v>
      </c>
      <c r="C346" s="846"/>
      <c r="D346" s="393">
        <f t="shared" si="127"/>
        <v>6.2767969298280306</v>
      </c>
      <c r="E346" s="385">
        <f t="shared" si="125"/>
        <v>6.6072069574081231</v>
      </c>
      <c r="F346" s="385">
        <f t="shared" si="128"/>
        <v>6.632532002492912</v>
      </c>
      <c r="G346" s="110">
        <f t="shared" si="126"/>
        <v>0.48673230738454426</v>
      </c>
      <c r="H346" s="414" t="b">
        <f>Wh_hp&gt;='2024'!Maxi_hp</f>
        <v>0</v>
      </c>
      <c r="I346" s="390">
        <f>IF(H346,Wh_hp,'2024'!Maxi_hp)</f>
        <v>11.673950035161885</v>
      </c>
      <c r="J346" s="85">
        <f>IF(H346,An,'2024'!An_max)</f>
        <v>2018</v>
      </c>
      <c r="K346" s="197">
        <f t="shared" si="129"/>
        <v>45989</v>
      </c>
      <c r="L346" s="147">
        <f>IF(t&lt;Tvie,1-EXP((T0-t)*PertePVj)+'2024'!Pspv,1-EXP((T0-t)*PertePVj)+Pspv)</f>
        <v>5.9073077206924229E-2</v>
      </c>
      <c r="M346" s="850"/>
      <c r="N346" s="850"/>
      <c r="O346" s="48">
        <f>IF(t&lt;Tnet,'2024'!Resal+('2024'!Salim-'2024'!Resal)*(1-EXP(('2024'!Tnet-t)/('2024'!Tau_j))),Resal+(Salim-Resal)*(1-EXP((Tnet-t)/(Tau_j))))*Salcycl</f>
        <v>5.0007519018248806E-2</v>
      </c>
      <c r="P346" s="169">
        <f>(INDEX(Models!$BJ346:$BT346,,T346)*(1-R346)+INDEX(Models!$BJ346:$BT346,,T346+1)*R346-ERP_i)*Q346*Ramure*Pc/MaxiM</f>
        <v>1.3940602278827534E-2</v>
      </c>
      <c r="Q346" s="305">
        <f t="shared" si="130"/>
        <v>0.7</v>
      </c>
      <c r="R346" s="177">
        <f t="shared" si="131"/>
        <v>0.47585816494976263</v>
      </c>
      <c r="S346" s="817">
        <f t="shared" si="132"/>
        <v>-2</v>
      </c>
      <c r="T346" s="176">
        <f t="shared" si="133"/>
        <v>4</v>
      </c>
      <c r="U346" s="251">
        <f t="shared" si="134"/>
        <v>-1.5241418350502374</v>
      </c>
      <c r="V346" s="383">
        <f t="shared" si="135"/>
        <v>12.010700012516995</v>
      </c>
      <c r="W346" s="402">
        <f t="shared" si="136"/>
        <v>5.9060072201801148</v>
      </c>
      <c r="X346" s="157">
        <f t="shared" si="137"/>
        <v>45989</v>
      </c>
      <c r="Y346" s="385">
        <f t="shared" si="138"/>
        <v>5.423302262995751</v>
      </c>
      <c r="Z346" s="385">
        <f t="shared" si="139"/>
        <v>5.7637868910128081</v>
      </c>
      <c r="AA346" s="386">
        <f t="shared" si="140"/>
        <v>6.489033358110083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0.11176494665277868</v>
      </c>
      <c r="AD346" s="231">
        <f>(INDEX(Models!$BJ346:$BT346,,AH346)*(1-AF346)+INDEX(Models!$BJ346:$BT346,,AH346+1)*AF346-ERP_i)*AE346*Ramure*Pc/MaxiM</f>
        <v>7.8991272165335177E-2</v>
      </c>
      <c r="AE346" s="305">
        <f t="shared" si="142"/>
        <v>0.7</v>
      </c>
      <c r="AF346" s="177">
        <f t="shared" si="143"/>
        <v>9.9721534325818428E-2</v>
      </c>
      <c r="AG346" s="817">
        <f t="shared" si="149"/>
        <v>1</v>
      </c>
      <c r="AH346" s="176">
        <f t="shared" si="144"/>
        <v>7</v>
      </c>
      <c r="AI346" s="225">
        <f t="shared" si="145"/>
        <v>1.0997215343258184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45990</v>
      </c>
      <c r="B347" s="411">
        <f>'2024'!Wh/'2024'!Env_an*'2025'!Env_an</f>
        <v>6.6014848610221026</v>
      </c>
      <c r="C347" s="846"/>
      <c r="D347" s="393">
        <f t="shared" si="127"/>
        <v>7.0160915728219333</v>
      </c>
      <c r="E347" s="385">
        <f t="shared" si="125"/>
        <v>7.3863007490297132</v>
      </c>
      <c r="F347" s="385">
        <f t="shared" si="128"/>
        <v>7.4243251658607541</v>
      </c>
      <c r="G347" s="110">
        <f t="shared" si="126"/>
        <v>0.55218657884928768</v>
      </c>
      <c r="H347" s="414" t="b">
        <f>Wh_hp&gt;='2024'!Maxi_hp</f>
        <v>0</v>
      </c>
      <c r="I347" s="390">
        <f>IF(H347,Wh_hp,'2024'!Maxi_hp)</f>
        <v>13.75945482004663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5.9093685921358663E-2</v>
      </c>
      <c r="M347" s="850"/>
      <c r="N347" s="850"/>
      <c r="O347" s="48">
        <f>IF(t&lt;Tnet,'2024'!Resal+('2024'!Salim-'2024'!Resal)*(1-EXP(('2024'!Tnet-t)/('2024'!Tau_j))),Resal+(Salim-Resal)*(1-EXP((Tnet-t)/(Tau_j))))*Salcycl</f>
        <v>5.0121053662269453E-2</v>
      </c>
      <c r="P347" s="169">
        <f>(INDEX(Models!$BJ347:$BT347,,T347)*(1-R347)+INDEX(Models!$BJ347:$BT347,,T347+1)*R347-ERP_i)*Q347*Ramure*Pc/MaxiM</f>
        <v>1.3943016373092832E-2</v>
      </c>
      <c r="Q347" s="305">
        <f t="shared" si="130"/>
        <v>0.7</v>
      </c>
      <c r="R347" s="177">
        <f t="shared" si="131"/>
        <v>0.47587602605589163</v>
      </c>
      <c r="S347" s="817">
        <f t="shared" si="132"/>
        <v>-2</v>
      </c>
      <c r="T347" s="176">
        <f t="shared" si="133"/>
        <v>4</v>
      </c>
      <c r="U347" s="251">
        <f t="shared" si="134"/>
        <v>-1.5241239739441084</v>
      </c>
      <c r="V347" s="383">
        <f t="shared" si="135"/>
        <v>11.849166332383831</v>
      </c>
      <c r="W347" s="402">
        <f t="shared" si="136"/>
        <v>6.6014848610221026</v>
      </c>
      <c r="X347" s="157">
        <f t="shared" si="137"/>
        <v>45990</v>
      </c>
      <c r="Y347" s="385">
        <f t="shared" si="138"/>
        <v>6.0259855367320636</v>
      </c>
      <c r="Z347" s="385">
        <f t="shared" si="139"/>
        <v>6.4044479737951994</v>
      </c>
      <c r="AA347" s="386">
        <f t="shared" si="140"/>
        <v>7.2103422751859227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0.11176921575057178</v>
      </c>
      <c r="AD347" s="231">
        <f>(INDEX(Models!$BJ347:$BT347,,AH347)*(1-AF347)+INDEX(Models!$BJ347:$BT347,,AH347+1)*AF347-ERP_i)*AE347*Ramure*Pc/MaxiM</f>
        <v>7.8464502466880623E-2</v>
      </c>
      <c r="AE347" s="305">
        <f t="shared" si="142"/>
        <v>0.7</v>
      </c>
      <c r="AF347" s="177">
        <f t="shared" si="143"/>
        <v>9.9739395431947653E-2</v>
      </c>
      <c r="AG347" s="817">
        <f t="shared" si="149"/>
        <v>1</v>
      </c>
      <c r="AH347" s="176">
        <f t="shared" si="144"/>
        <v>7</v>
      </c>
      <c r="AI347" s="225">
        <f t="shared" si="145"/>
        <v>1.0997393954319477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45991</v>
      </c>
      <c r="B348" s="411">
        <f>'2024'!Wh/'2024'!Env_an*'2025'!Env_an</f>
        <v>2.4528880696984059</v>
      </c>
      <c r="C348" s="846"/>
      <c r="D348" s="393">
        <f t="shared" si="127"/>
        <v>2.606998973985009</v>
      </c>
      <c r="E348" s="385">
        <f t="shared" si="125"/>
        <v>2.7448890408163149</v>
      </c>
      <c r="F348" s="385">
        <f t="shared" si="128"/>
        <v>2.7448890408163149</v>
      </c>
      <c r="G348" s="110">
        <f t="shared" si="126"/>
        <v>0.20686452347472939</v>
      </c>
      <c r="H348" s="414" t="b">
        <f>Wh_hp&gt;='2024'!Maxi_hp</f>
        <v>0</v>
      </c>
      <c r="I348" s="390">
        <f>IF(H348,Wh_hp,'2024'!Maxi_hp)</f>
        <v>12.01500433375004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5.9114294184409388E-2</v>
      </c>
      <c r="M348" s="850"/>
      <c r="N348" s="850"/>
      <c r="O348" s="48">
        <f>IF(t&lt;Tnet,'2024'!Resal+('2024'!Salim-'2024'!Resal)*(1-EXP(('2024'!Tnet-t)/('2024'!Tau_j))),Resal+(Salim-Resal)*(1-EXP((Tnet-t)/(Tau_j))))*Salcycl</f>
        <v>5.0235206152558401E-2</v>
      </c>
      <c r="P348" s="169">
        <f>(INDEX(Models!$BJ348:$BT348,,T348)*(1-R348)+INDEX(Models!$BJ348:$BT348,,T348+1)*R348-ERP_i)*Q348*Ramure*Pc/MaxiM</f>
        <v>1.3937836310831783E-2</v>
      </c>
      <c r="Q348" s="305">
        <f t="shared" si="130"/>
        <v>0.7</v>
      </c>
      <c r="R348" s="177">
        <f t="shared" si="131"/>
        <v>0.47589316922110081</v>
      </c>
      <c r="S348" s="817">
        <f t="shared" si="132"/>
        <v>-2</v>
      </c>
      <c r="T348" s="176">
        <f t="shared" si="133"/>
        <v>4</v>
      </c>
      <c r="U348" s="251">
        <f t="shared" si="134"/>
        <v>-1.5241068307788992</v>
      </c>
      <c r="V348" s="383">
        <f t="shared" si="135"/>
        <v>11.692193889348195</v>
      </c>
      <c r="W348" s="402">
        <f t="shared" si="136"/>
        <v>2.4528880696984059</v>
      </c>
      <c r="X348" s="157">
        <f t="shared" si="137"/>
        <v>45991</v>
      </c>
      <c r="Y348" s="385">
        <f t="shared" si="138"/>
        <v>2.2939527166155234</v>
      </c>
      <c r="Z348" s="385">
        <f t="shared" si="139"/>
        <v>2.4380779752914301</v>
      </c>
      <c r="AA348" s="386">
        <f t="shared" si="140"/>
        <v>2.7448890408163149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0.11177539819009989</v>
      </c>
      <c r="AD348" s="231">
        <f>(INDEX(Models!$BJ348:$BT348,,AH348)*(1-AF348)+INDEX(Models!$BJ348:$BT348,,AH348+1)*AF348-ERP_i)*AE348*Ramure*Pc/MaxiM</f>
        <v>7.7884540803969629E-2</v>
      </c>
      <c r="AE348" s="305">
        <f t="shared" si="142"/>
        <v>0.7</v>
      </c>
      <c r="AF348" s="177">
        <f t="shared" si="143"/>
        <v>9.975653859715683E-2</v>
      </c>
      <c r="AG348" s="817">
        <f t="shared" si="149"/>
        <v>1</v>
      </c>
      <c r="AH348" s="176">
        <f t="shared" si="144"/>
        <v>7</v>
      </c>
      <c r="AI348" s="225">
        <f t="shared" si="145"/>
        <v>1.0997565385971568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45992</v>
      </c>
      <c r="B349" s="411">
        <f>'2024'!Wh/'2024'!Env_an*'2025'!Env_an</f>
        <v>2.2696553914486639</v>
      </c>
      <c r="C349" s="846"/>
      <c r="D349" s="393">
        <f t="shared" si="127"/>
        <v>2.4123069250457232</v>
      </c>
      <c r="E349" s="385">
        <f t="shared" si="125"/>
        <v>2.5402062546559367</v>
      </c>
      <c r="F349" s="385">
        <f t="shared" si="128"/>
        <v>2.5402062546559367</v>
      </c>
      <c r="G349" s="110">
        <f t="shared" si="126"/>
        <v>0.19392480777272297</v>
      </c>
      <c r="H349" s="414" t="b">
        <f>Wh_hp&gt;='2024'!Maxi_hp</f>
        <v>0</v>
      </c>
      <c r="I349" s="390">
        <f>IF(H349,Wh_hp,'2024'!Maxi_hp)</f>
        <v>12.606497833534238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5.9134901996086287E-2</v>
      </c>
      <c r="M349" s="850"/>
      <c r="N349" s="850"/>
      <c r="O349" s="48">
        <f>IF(t&lt;Tnet,'2024'!Resal+('2024'!Salim-'2024'!Resal)*(1-EXP(('2024'!Tnet-t)/('2024'!Tau_j))),Resal+(Salim-Resal)*(1-EXP((Tnet-t)/(Tau_j))))*Salcycl</f>
        <v>5.0349978225503217E-2</v>
      </c>
      <c r="P349" s="169">
        <f>(INDEX(Models!$BJ349:$BT349,,T349)*(1-R349)+INDEX(Models!$BJ349:$BT349,,T349+1)*R349-ERP_i)*Q349*Ramure*Pc/MaxiM</f>
        <v>1.3923519287006247E-2</v>
      </c>
      <c r="Q349" s="305">
        <f t="shared" si="130"/>
        <v>0.7</v>
      </c>
      <c r="R349" s="177">
        <f t="shared" si="131"/>
        <v>0.47590962325727637</v>
      </c>
      <c r="S349" s="817">
        <f t="shared" si="132"/>
        <v>-2</v>
      </c>
      <c r="T349" s="176">
        <f t="shared" si="133"/>
        <v>4</v>
      </c>
      <c r="U349" s="251">
        <f t="shared" si="134"/>
        <v>-1.5240903767427236</v>
      </c>
      <c r="V349" s="383">
        <f t="shared" si="135"/>
        <v>11.540832895675408</v>
      </c>
      <c r="W349" s="402">
        <f t="shared" si="136"/>
        <v>2.2696553914486639</v>
      </c>
      <c r="X349" s="157">
        <f t="shared" si="137"/>
        <v>45992</v>
      </c>
      <c r="Y349" s="385">
        <f t="shared" si="138"/>
        <v>2.1228298415658693</v>
      </c>
      <c r="Z349" s="385">
        <f t="shared" si="139"/>
        <v>2.256253150498988</v>
      </c>
      <c r="AA349" s="386">
        <f t="shared" si="140"/>
        <v>2.5402062546559367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0.11178348357992275</v>
      </c>
      <c r="AD349" s="231">
        <f>(INDEX(Models!$BJ349:$BT349,,AH349)*(1-AF349)+INDEX(Models!$BJ349:$BT349,,AH349+1)*AF349-ERP_i)*AE349*Ramure*Pc/MaxiM</f>
        <v>7.7242881991010828E-2</v>
      </c>
      <c r="AE349" s="305">
        <f t="shared" si="142"/>
        <v>0.7</v>
      </c>
      <c r="AF349" s="177">
        <f t="shared" si="143"/>
        <v>9.9772992633332169E-2</v>
      </c>
      <c r="AG349" s="817">
        <f t="shared" si="149"/>
        <v>1</v>
      </c>
      <c r="AH349" s="176">
        <f t="shared" si="144"/>
        <v>7</v>
      </c>
      <c r="AI349" s="225">
        <f t="shared" si="145"/>
        <v>1.0997729926333322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45993</v>
      </c>
      <c r="B350" s="411">
        <f>'2024'!Wh/'2024'!Env_an*'2025'!Env_an</f>
        <v>3.5060188779881236</v>
      </c>
      <c r="C350" s="846"/>
      <c r="D350" s="393">
        <f t="shared" si="127"/>
        <v>3.7264594870399583</v>
      </c>
      <c r="E350" s="385">
        <f t="shared" si="125"/>
        <v>3.9245114016435352</v>
      </c>
      <c r="F350" s="385">
        <f t="shared" si="128"/>
        <v>3.9251075776145568</v>
      </c>
      <c r="G350" s="110">
        <f t="shared" si="126"/>
        <v>0.3034200975768731</v>
      </c>
      <c r="H350" s="414" t="b">
        <f>Wh_hp&gt;='2024'!Maxi_hp</f>
        <v>0</v>
      </c>
      <c r="I350" s="390">
        <f>IF(H350,Wh_hp,'2024'!Maxi_hp)</f>
        <v>5.9138462610467215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5.9155509356399127E-2</v>
      </c>
      <c r="M350" s="850"/>
      <c r="N350" s="850"/>
      <c r="O350" s="48">
        <f>IF(t&lt;Tnet,'2024'!Resal+('2024'!Salim-'2024'!Resal)*(1-EXP(('2024'!Tnet-t)/('2024'!Tau_j))),Resal+(Salim-Resal)*(1-EXP((Tnet-t)/(Tau_j))))*Salcycl</f>
        <v>5.0465368636879386E-2</v>
      </c>
      <c r="P350" s="169">
        <f>(INDEX(Models!$BJ350:$BT350,,T350)*(1-R350)+INDEX(Models!$BJ350:$BT350,,T350+1)*R350-ERP_i)*Q350*Ramure*Pc/MaxiM</f>
        <v>1.389846284671245E-2</v>
      </c>
      <c r="Q350" s="305">
        <f t="shared" si="130"/>
        <v>0.7</v>
      </c>
      <c r="R350" s="177">
        <f t="shared" si="131"/>
        <v>0.47592541582369829</v>
      </c>
      <c r="S350" s="817">
        <f t="shared" si="132"/>
        <v>-2</v>
      </c>
      <c r="T350" s="176">
        <f t="shared" si="133"/>
        <v>4</v>
      </c>
      <c r="U350" s="251">
        <f t="shared" si="134"/>
        <v>-1.5240745841763017</v>
      </c>
      <c r="V350" s="383">
        <f t="shared" si="135"/>
        <v>11.396133059532243</v>
      </c>
      <c r="W350" s="402">
        <f t="shared" si="136"/>
        <v>3.5060188779881236</v>
      </c>
      <c r="X350" s="157">
        <f t="shared" si="137"/>
        <v>45993</v>
      </c>
      <c r="Y350" s="385">
        <f t="shared" si="138"/>
        <v>3.2773286985440868</v>
      </c>
      <c r="Z350" s="385">
        <f t="shared" si="139"/>
        <v>3.4833904339517083</v>
      </c>
      <c r="AA350" s="386">
        <f t="shared" si="140"/>
        <v>3.9218247758632923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0.11179345507986739</v>
      </c>
      <c r="AD350" s="231">
        <f>(INDEX(Models!$BJ350:$BT350,,AH350)*(1-AF350)+INDEX(Models!$BJ350:$BT350,,AH350+1)*AF350-ERP_i)*AE350*Ramure*Pc/MaxiM</f>
        <v>7.6530924409581119E-2</v>
      </c>
      <c r="AE350" s="305">
        <f t="shared" si="142"/>
        <v>0.7</v>
      </c>
      <c r="AF350" s="177">
        <f t="shared" si="143"/>
        <v>9.9788785199754093E-2</v>
      </c>
      <c r="AG350" s="817">
        <f t="shared" si="149"/>
        <v>1</v>
      </c>
      <c r="AH350" s="176">
        <f t="shared" si="144"/>
        <v>7</v>
      </c>
      <c r="AI350" s="225">
        <f t="shared" si="145"/>
        <v>1.0997887851997541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45994</v>
      </c>
      <c r="B351" s="411">
        <f>'2024'!Wh/'2024'!Env_an*'2025'!Env_an</f>
        <v>6.1099143270142804</v>
      </c>
      <c r="C351" s="846"/>
      <c r="D351" s="393">
        <f t="shared" si="127"/>
        <v>6.494216858909561</v>
      </c>
      <c r="E351" s="385">
        <f t="shared" si="125"/>
        <v>6.8402037582816213</v>
      </c>
      <c r="F351" s="385">
        <f t="shared" si="128"/>
        <v>6.8732301071019801</v>
      </c>
      <c r="G351" s="110">
        <f t="shared" si="126"/>
        <v>0.53772438886005491</v>
      </c>
      <c r="H351" s="414" t="b">
        <f>Wh_hp&gt;='2024'!Maxi_hp</f>
        <v>0</v>
      </c>
      <c r="I351" s="390">
        <f>IF(H351,Wh_hp,'2024'!Maxi_hp)</f>
        <v>10.154627758831777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5.9176116265358014E-2</v>
      </c>
      <c r="M351" s="850"/>
      <c r="N351" s="850"/>
      <c r="O351" s="48">
        <f>IF(t&lt;Tnet,'2024'!Resal+('2024'!Salim-'2024'!Resal)*(1-EXP(('2024'!Tnet-t)/('2024'!Tau_j))),Resal+(Salim-Resal)*(1-EXP((Tnet-t)/(Tau_j))))*Salcycl</f>
        <v>5.0581373245375129E-2</v>
      </c>
      <c r="P351" s="169">
        <f>(INDEX(Models!$BJ351:$BT351,,T351)*(1-R351)+INDEX(Models!$BJ351:$BT351,,T351+1)*R351-ERP_i)*Q351*Ramure*Pc/MaxiM</f>
        <v>1.386101901551577E-2</v>
      </c>
      <c r="Q351" s="305">
        <f t="shared" si="130"/>
        <v>0.7</v>
      </c>
      <c r="R351" s="177">
        <f t="shared" si="131"/>
        <v>0.47594057347286078</v>
      </c>
      <c r="S351" s="817">
        <f t="shared" si="132"/>
        <v>-2</v>
      </c>
      <c r="T351" s="176">
        <f t="shared" si="133"/>
        <v>4</v>
      </c>
      <c r="U351" s="251">
        <f t="shared" si="134"/>
        <v>-1.5240594265271392</v>
      </c>
      <c r="V351" s="383">
        <f t="shared" si="135"/>
        <v>11.259143575796436</v>
      </c>
      <c r="W351" s="402">
        <f t="shared" si="136"/>
        <v>6.1099143270142804</v>
      </c>
      <c r="X351" s="157">
        <f t="shared" si="137"/>
        <v>45994</v>
      </c>
      <c r="Y351" s="385">
        <f t="shared" si="138"/>
        <v>5.5927080570714329</v>
      </c>
      <c r="Z351" s="385">
        <f t="shared" si="139"/>
        <v>5.9444792524515124</v>
      </c>
      <c r="AA351" s="386">
        <f t="shared" si="140"/>
        <v>6.6927658802933347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0.11180528965537732</v>
      </c>
      <c r="AD351" s="231">
        <f>(INDEX(Models!$BJ351:$BT351,,AH351)*(1-AF351)+INDEX(Models!$BJ351:$BT351,,AH351+1)*AF351-ERP_i)*AE351*Ramure*Pc/MaxiM</f>
        <v>7.5740073267590649E-2</v>
      </c>
      <c r="AE351" s="305">
        <f t="shared" si="142"/>
        <v>0.7</v>
      </c>
      <c r="AF351" s="177">
        <f t="shared" si="143"/>
        <v>9.9803942848916805E-2</v>
      </c>
      <c r="AG351" s="817">
        <f t="shared" si="149"/>
        <v>1</v>
      </c>
      <c r="AH351" s="176">
        <f t="shared" si="144"/>
        <v>7</v>
      </c>
      <c r="AI351" s="225">
        <f t="shared" si="145"/>
        <v>1.0998039428489168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45995</v>
      </c>
      <c r="B352" s="411">
        <f>'2024'!Wh/'2024'!Env_an*'2025'!Env_an</f>
        <v>8.786953107882189</v>
      </c>
      <c r="C352" s="846"/>
      <c r="D352" s="393">
        <f t="shared" si="127"/>
        <v>9.3398410912367567</v>
      </c>
      <c r="E352" s="385">
        <f t="shared" si="125"/>
        <v>9.8386403323413472</v>
      </c>
      <c r="F352" s="385">
        <f t="shared" si="128"/>
        <v>9.9346026351631416</v>
      </c>
      <c r="G352" s="110">
        <f t="shared" si="126"/>
        <v>0.78611076151450543</v>
      </c>
      <c r="H352" s="414" t="b">
        <f>Wh_hp&gt;='2024'!Maxi_hp</f>
        <v>1</v>
      </c>
      <c r="I352" s="390">
        <f>IF(H352,Wh_hp,'2024'!Maxi_hp)</f>
        <v>9.9346026351631416</v>
      </c>
      <c r="J352" s="85">
        <f>IF(H352,An,'2024'!An_max)</f>
        <v>2025</v>
      </c>
      <c r="K352" s="197">
        <f t="shared" si="129"/>
        <v>45995</v>
      </c>
      <c r="L352" s="147">
        <f>IF(t&lt;Tvie,1-EXP((T0-t)*PertePVj)+'2024'!Pspv,1-EXP((T0-t)*PertePVj)+Pspv)</f>
        <v>5.9196722722972606E-2</v>
      </c>
      <c r="M352" s="850"/>
      <c r="N352" s="850"/>
      <c r="O352" s="48">
        <f>IF(t&lt;Tnet,'2024'!Resal+('2024'!Salim-'2024'!Resal)*(1-EXP(('2024'!Tnet-t)/('2024'!Tau_j))),Resal+(Salim-Resal)*(1-EXP((Tnet-t)/(Tau_j))))*Salcycl</f>
        <v>5.0697985113344335E-2</v>
      </c>
      <c r="P352" s="169">
        <f>(INDEX(Models!$BJ352:$BT352,,T352)*(1-R352)+INDEX(Models!$BJ352:$BT352,,T352+1)*R352-ERP_i)*Q352*Ramure*Pc/MaxiM</f>
        <v>1.3815394534054953E-2</v>
      </c>
      <c r="Q352" s="305">
        <f t="shared" si="130"/>
        <v>0.7</v>
      </c>
      <c r="R352" s="177">
        <f t="shared" si="131"/>
        <v>0.47595512169449572</v>
      </c>
      <c r="S352" s="817">
        <f t="shared" si="132"/>
        <v>-2</v>
      </c>
      <c r="T352" s="176">
        <f t="shared" si="133"/>
        <v>4</v>
      </c>
      <c r="U352" s="251">
        <f t="shared" si="134"/>
        <v>-1.5240448783055043</v>
      </c>
      <c r="V352" s="383">
        <f t="shared" si="135"/>
        <v>11.130846722147204</v>
      </c>
      <c r="W352" s="402">
        <f t="shared" si="136"/>
        <v>8.786953107882189</v>
      </c>
      <c r="X352" s="157">
        <f t="shared" si="137"/>
        <v>45995</v>
      </c>
      <c r="Y352" s="385">
        <f t="shared" si="138"/>
        <v>7.8664290588831962</v>
      </c>
      <c r="Z352" s="385">
        <f t="shared" si="139"/>
        <v>8.3613963183153963</v>
      </c>
      <c r="AA352" s="386">
        <f t="shared" si="140"/>
        <v>9.4140675452084164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0.11181895836606889</v>
      </c>
      <c r="AD352" s="231">
        <f>(INDEX(Models!$BJ352:$BT352,,AH352)*(1-AF352)+INDEX(Models!$BJ352:$BT352,,AH352+1)*AF352-ERP_i)*AE352*Ramure*Pc/MaxiM</f>
        <v>7.4939819336130475E-2</v>
      </c>
      <c r="AE352" s="305">
        <f t="shared" si="142"/>
        <v>0.7</v>
      </c>
      <c r="AF352" s="177">
        <f t="shared" si="143"/>
        <v>9.981849107055174E-2</v>
      </c>
      <c r="AG352" s="817">
        <f t="shared" si="149"/>
        <v>1</v>
      </c>
      <c r="AH352" s="176">
        <f t="shared" si="144"/>
        <v>7</v>
      </c>
      <c r="AI352" s="225">
        <f t="shared" si="145"/>
        <v>1.0998184910705517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45996</v>
      </c>
      <c r="B353" s="411">
        <f>'2024'!Wh/'2024'!Env_an*'2025'!Env_an</f>
        <v>10.23320999143457</v>
      </c>
      <c r="C353" s="846"/>
      <c r="D353" s="393">
        <f t="shared" si="127"/>
        <v>10.877336821704239</v>
      </c>
      <c r="E353" s="385">
        <f t="shared" si="125"/>
        <v>11.459661764595733</v>
      </c>
      <c r="F353" s="385">
        <f t="shared" si="128"/>
        <v>11.60322248058047</v>
      </c>
      <c r="G353" s="110">
        <f t="shared" si="126"/>
        <v>0.92794793553755406</v>
      </c>
      <c r="H353" s="414" t="b">
        <f>Wh_hp&gt;='2024'!Maxi_hp</f>
        <v>1</v>
      </c>
      <c r="I353" s="390">
        <f>IF(H353,Wh_hp,'2024'!Maxi_hp)</f>
        <v>11.60322248058047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5.9217328729253005E-2</v>
      </c>
      <c r="M353" s="850"/>
      <c r="N353" s="850"/>
      <c r="O353" s="48">
        <f>IF(t&lt;Tnet,'2024'!Resal+('2024'!Salim-'2024'!Resal)*(1-EXP(('2024'!Tnet-t)/('2024'!Tau_j))),Resal+(Salim-Resal)*(1-EXP((Tnet-t)/(Tau_j))))*Salcycl</f>
        <v>5.0815194623856072E-2</v>
      </c>
      <c r="P353" s="169">
        <f>(INDEX(Models!$BJ353:$BT353,,T353)*(1-R353)+INDEX(Models!$BJ353:$BT353,,T353+1)*R353-ERP_i)*Q353*Ramure*Pc/MaxiM</f>
        <v>1.3763446433871588E-2</v>
      </c>
      <c r="Q353" s="305">
        <f t="shared" si="130"/>
        <v>0.7</v>
      </c>
      <c r="R353" s="177">
        <f t="shared" si="131"/>
        <v>0.47596908495786483</v>
      </c>
      <c r="S353" s="817">
        <f t="shared" si="132"/>
        <v>-2</v>
      </c>
      <c r="T353" s="176">
        <f t="shared" si="133"/>
        <v>4</v>
      </c>
      <c r="U353" s="251">
        <f t="shared" si="134"/>
        <v>-1.5240309150421352</v>
      </c>
      <c r="V353" s="383">
        <f t="shared" si="135"/>
        <v>11.012253275437407</v>
      </c>
      <c r="W353" s="402">
        <f t="shared" si="136"/>
        <v>10.23320999143457</v>
      </c>
      <c r="X353" s="157">
        <f t="shared" si="137"/>
        <v>45996</v>
      </c>
      <c r="Y353" s="385">
        <f t="shared" si="138"/>
        <v>9.0489435894072372</v>
      </c>
      <c r="Z353" s="385">
        <f t="shared" si="139"/>
        <v>9.6185270687272784</v>
      </c>
      <c r="AA353" s="386">
        <f t="shared" si="140"/>
        <v>10.829655368015771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0.11183442668595253</v>
      </c>
      <c r="AD353" s="231">
        <f>(INDEX(Models!$BJ353:$BT353,,AH353)*(1-AF353)+INDEX(Models!$BJ353:$BT353,,AH353+1)*AF353-ERP_i)*AE353*Ramure*Pc/MaxiM</f>
        <v>7.4163391034639911E-2</v>
      </c>
      <c r="AE353" s="305">
        <f t="shared" si="142"/>
        <v>0.7</v>
      </c>
      <c r="AF353" s="177">
        <f t="shared" si="143"/>
        <v>9.9832454333920628E-2</v>
      </c>
      <c r="AG353" s="817">
        <f t="shared" si="149"/>
        <v>1</v>
      </c>
      <c r="AH353" s="176">
        <f t="shared" si="144"/>
        <v>7</v>
      </c>
      <c r="AI353" s="225">
        <f t="shared" si="145"/>
        <v>1.0998324543339206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45997</v>
      </c>
      <c r="B354" s="411">
        <f>'2024'!Wh/'2024'!Env_an*'2025'!Env_an</f>
        <v>7.418207389599262</v>
      </c>
      <c r="C354" s="846"/>
      <c r="D354" s="393">
        <f t="shared" si="127"/>
        <v>7.8853172974773615</v>
      </c>
      <c r="E354" s="385">
        <f t="shared" si="125"/>
        <v>8.308493721915184</v>
      </c>
      <c r="F354" s="385">
        <f t="shared" si="128"/>
        <v>8.3708138877489464</v>
      </c>
      <c r="G354" s="110">
        <f t="shared" si="126"/>
        <v>0.67600440046096566</v>
      </c>
      <c r="H354" s="414" t="b">
        <f>Wh_hp&gt;='2024'!Maxi_hp</f>
        <v>0</v>
      </c>
      <c r="I354" s="390">
        <f>IF(H354,Wh_hp,'2024'!Maxi_hp)</f>
        <v>11.896832592856089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5.9237934284208871E-2</v>
      </c>
      <c r="M354" s="850"/>
      <c r="N354" s="850"/>
      <c r="O354" s="48">
        <f>IF(t&lt;Tnet,'2024'!Resal+('2024'!Salim-'2024'!Resal)*(1-EXP(('2024'!Tnet-t)/('2024'!Tau_j))),Resal+(Salim-Resal)*(1-EXP((Tnet-t)/(Tau_j))))*Salcycl</f>
        <v>5.0932989612980775E-2</v>
      </c>
      <c r="P354" s="169">
        <f>(INDEX(Models!$BJ354:$BT354,,T354)*(1-R354)+INDEX(Models!$BJ354:$BT354,,T354+1)*R354-ERP_i)*Q354*Ramure*Pc/MaxiM</f>
        <v>1.3703745571280604E-2</v>
      </c>
      <c r="Q354" s="305">
        <f t="shared" si="130"/>
        <v>0.7</v>
      </c>
      <c r="R354" s="177">
        <f t="shared" si="131"/>
        <v>0.47598248675238786</v>
      </c>
      <c r="S354" s="817">
        <f t="shared" si="132"/>
        <v>-2</v>
      </c>
      <c r="T354" s="176">
        <f t="shared" si="133"/>
        <v>4</v>
      </c>
      <c r="U354" s="251">
        <f t="shared" si="134"/>
        <v>-1.5240175132476121</v>
      </c>
      <c r="V354" s="383">
        <f t="shared" si="135"/>
        <v>10.904411236746331</v>
      </c>
      <c r="W354" s="402">
        <f t="shared" si="136"/>
        <v>7.418207389599262</v>
      </c>
      <c r="X354" s="157">
        <f t="shared" si="137"/>
        <v>45997</v>
      </c>
      <c r="Y354" s="385">
        <f t="shared" si="138"/>
        <v>6.7151948460320368</v>
      </c>
      <c r="Z354" s="385">
        <f t="shared" si="139"/>
        <v>7.1380374387467391</v>
      </c>
      <c r="AA354" s="386">
        <f t="shared" si="140"/>
        <v>8.0369878272549844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0.11185165485254688</v>
      </c>
      <c r="AD354" s="231">
        <f>(INDEX(Models!$BJ354:$BT354,,AH354)*(1-AF354)+INDEX(Models!$BJ354:$BT354,,AH354+1)*AF354-ERP_i)*AE354*Ramure*Pc/MaxiM</f>
        <v>7.3405892568948E-2</v>
      </c>
      <c r="AE354" s="305">
        <f t="shared" si="142"/>
        <v>0.7</v>
      </c>
      <c r="AF354" s="177">
        <f t="shared" si="143"/>
        <v>9.9845856128443655E-2</v>
      </c>
      <c r="AG354" s="817">
        <f t="shared" si="149"/>
        <v>1</v>
      </c>
      <c r="AH354" s="176">
        <f t="shared" si="144"/>
        <v>7</v>
      </c>
      <c r="AI354" s="225">
        <f t="shared" si="145"/>
        <v>1.0998458561284437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45998</v>
      </c>
      <c r="B355" s="411">
        <f>'2024'!Wh/'2024'!Env_an*'2025'!Env_an</f>
        <v>8.6518394023386218</v>
      </c>
      <c r="C355" s="846"/>
      <c r="D355" s="393">
        <f t="shared" si="127"/>
        <v>9.1968301223896134</v>
      </c>
      <c r="E355" s="385">
        <f t="shared" si="125"/>
        <v>9.6915994093566624</v>
      </c>
      <c r="F355" s="385">
        <f t="shared" si="128"/>
        <v>9.7870077116953649</v>
      </c>
      <c r="G355" s="110">
        <f t="shared" si="126"/>
        <v>0.79733442145812905</v>
      </c>
      <c r="H355" s="414" t="b">
        <f>Wh_hp&gt;='2024'!Maxi_hp</f>
        <v>0</v>
      </c>
      <c r="I355" s="390">
        <f>IF(H355,Wh_hp,'2024'!Maxi_hp)</f>
        <v>11.718067390953806</v>
      </c>
      <c r="J355" s="85">
        <f>IF(H355,An,'2024'!An_max)</f>
        <v>2018</v>
      </c>
      <c r="K355" s="197">
        <f t="shared" si="129"/>
        <v>45998</v>
      </c>
      <c r="L355" s="147">
        <f>IF(t&lt;Tvie,1-EXP((T0-t)*PertePVj)+'2024'!Pspv,1-EXP((T0-t)*PertePVj)+Pspv)</f>
        <v>5.9258539387850195E-2</v>
      </c>
      <c r="M355" s="850"/>
      <c r="N355" s="850"/>
      <c r="O355" s="48">
        <f>IF(t&lt;Tnet,'2024'!Resal+('2024'!Salim-'2024'!Resal)*(1-EXP(('2024'!Tnet-t)/('2024'!Tau_j))),Resal+(Salim-Resal)*(1-EXP((Tnet-t)/(Tau_j))))*Salcycl</f>
        <v>5.105135551613698E-2</v>
      </c>
      <c r="P355" s="169">
        <f>(INDEX(Models!$BJ355:$BT355,,T355)*(1-R355)+INDEX(Models!$BJ355:$BT355,,T355+1)*R355-ERP_i)*Q355*Ramure*Pc/MaxiM</f>
        <v>1.3634870053191205E-2</v>
      </c>
      <c r="Q355" s="305">
        <f t="shared" si="130"/>
        <v>0.7</v>
      </c>
      <c r="R355" s="177">
        <f t="shared" si="131"/>
        <v>0.47599534962667267</v>
      </c>
      <c r="S355" s="817">
        <f t="shared" si="132"/>
        <v>-2</v>
      </c>
      <c r="T355" s="176">
        <f t="shared" si="133"/>
        <v>4</v>
      </c>
      <c r="U355" s="251">
        <f t="shared" si="134"/>
        <v>-1.5240046503733273</v>
      </c>
      <c r="V355" s="383">
        <f t="shared" si="135"/>
        <v>10.808367986588197</v>
      </c>
      <c r="W355" s="402">
        <f t="shared" si="136"/>
        <v>8.6518394023386218</v>
      </c>
      <c r="X355" s="157">
        <f t="shared" si="137"/>
        <v>45998</v>
      </c>
      <c r="Y355" s="385">
        <f t="shared" si="138"/>
        <v>7.7522394315483174</v>
      </c>
      <c r="Z355" s="385">
        <f t="shared" si="139"/>
        <v>8.2405631686561982</v>
      </c>
      <c r="AA355" s="386">
        <f t="shared" si="140"/>
        <v>9.2785613811947112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0.11187059824190763</v>
      </c>
      <c r="AD355" s="231">
        <f>(INDEX(Models!$BJ355:$BT355,,AH355)*(1-AF355)+INDEX(Models!$BJ355:$BT355,,AH355+1)*AF355-ERP_i)*AE355*Ramure*Pc/MaxiM</f>
        <v>7.2662435820179949E-2</v>
      </c>
      <c r="AE355" s="305">
        <f t="shared" si="142"/>
        <v>0.7</v>
      </c>
      <c r="AF355" s="177">
        <f t="shared" si="143"/>
        <v>9.9858719002728691E-2</v>
      </c>
      <c r="AG355" s="817">
        <f t="shared" si="149"/>
        <v>1</v>
      </c>
      <c r="AH355" s="176">
        <f t="shared" si="144"/>
        <v>7</v>
      </c>
      <c r="AI355" s="225">
        <f t="shared" si="145"/>
        <v>1.0998587190027287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45999</v>
      </c>
      <c r="B356" s="411">
        <f>'2024'!Wh/'2024'!Env_an*'2025'!Env_an</f>
        <v>2.8470338528157964</v>
      </c>
      <c r="C356" s="846"/>
      <c r="D356" s="393">
        <f t="shared" si="127"/>
        <v>3.0264385388915196</v>
      </c>
      <c r="E356" s="385">
        <f t="shared" si="125"/>
        <v>3.1896540136041316</v>
      </c>
      <c r="F356" s="385">
        <f t="shared" si="128"/>
        <v>3.1896540136041316</v>
      </c>
      <c r="G356" s="110">
        <f t="shared" si="126"/>
        <v>0.26185515162223422</v>
      </c>
      <c r="H356" s="414" t="b">
        <f>Wh_hp&gt;='2024'!Maxi_hp</f>
        <v>0</v>
      </c>
      <c r="I356" s="390">
        <f>IF(H356,Wh_hp,'2024'!Maxi_hp)</f>
        <v>10.360105711351219</v>
      </c>
      <c r="J356" s="85">
        <f>IF(H356,An,'2024'!An_max)</f>
        <v>2018</v>
      </c>
      <c r="K356" s="197">
        <f t="shared" si="129"/>
        <v>45999</v>
      </c>
      <c r="L356" s="147">
        <f>IF(t&lt;Tvie,1-EXP((T0-t)*PertePVj)+'2024'!Pspv,1-EXP((T0-t)*PertePVj)+Pspv)</f>
        <v>5.9279144040186971E-2</v>
      </c>
      <c r="M356" s="850"/>
      <c r="N356" s="850"/>
      <c r="O356" s="48">
        <f>IF(t&lt;Tnet,'2024'!Resal+('2024'!Salim-'2024'!Resal)*(1-EXP(('2024'!Tnet-t)/('2024'!Tau_j))),Resal+(Salim-Resal)*(1-EXP((Tnet-t)/(Tau_j))))*Salcycl</f>
        <v>5.1170275527215439E-2</v>
      </c>
      <c r="P356" s="169">
        <f>(INDEX(Models!$BJ356:$BT356,,T356)*(1-R356)+INDEX(Models!$BJ356:$BT356,,T356+1)*R356-ERP_i)*Q356*Ramure*Pc/MaxiM</f>
        <v>1.355542905916534E-2</v>
      </c>
      <c r="Q356" s="305">
        <f t="shared" si="130"/>
        <v>0.7</v>
      </c>
      <c r="R356" s="177">
        <f t="shared" si="131"/>
        <v>0.47600769522600683</v>
      </c>
      <c r="S356" s="817">
        <f t="shared" si="132"/>
        <v>-2</v>
      </c>
      <c r="T356" s="176">
        <f t="shared" si="133"/>
        <v>4</v>
      </c>
      <c r="U356" s="251">
        <f t="shared" si="134"/>
        <v>-1.5239923047739932</v>
      </c>
      <c r="V356" s="383">
        <f t="shared" si="135"/>
        <v>10.725170270648377</v>
      </c>
      <c r="W356" s="402">
        <f t="shared" si="136"/>
        <v>2.8470338528157964</v>
      </c>
      <c r="X356" s="157">
        <f t="shared" si="137"/>
        <v>45999</v>
      </c>
      <c r="Y356" s="385">
        <f t="shared" si="138"/>
        <v>2.6648361990106366</v>
      </c>
      <c r="Z356" s="385">
        <f t="shared" si="139"/>
        <v>2.8327597736649697</v>
      </c>
      <c r="AA356" s="386">
        <f t="shared" si="140"/>
        <v>3.1896540136041316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0.11189120776641581</v>
      </c>
      <c r="AD356" s="231">
        <f>(INDEX(Models!$BJ356:$BT356,,AH356)*(1-AF356)+INDEX(Models!$BJ356:$BT356,,AH356+1)*AF356-ERP_i)*AE356*Ramure*Pc/MaxiM</f>
        <v>7.1928178728578276E-2</v>
      </c>
      <c r="AE356" s="305">
        <f t="shared" si="142"/>
        <v>0.7</v>
      </c>
      <c r="AF356" s="177">
        <f t="shared" si="143"/>
        <v>9.9871064602062631E-2</v>
      </c>
      <c r="AG356" s="817">
        <f t="shared" si="149"/>
        <v>1</v>
      </c>
      <c r="AH356" s="176">
        <f t="shared" si="144"/>
        <v>7</v>
      </c>
      <c r="AI356" s="225">
        <f t="shared" si="145"/>
        <v>1.0998710646020626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46000</v>
      </c>
      <c r="B357" s="411">
        <f>'2024'!Wh/'2024'!Env_an*'2025'!Env_an</f>
        <v>4.0533997554259633</v>
      </c>
      <c r="C357" s="846"/>
      <c r="D357" s="393">
        <f t="shared" si="127"/>
        <v>4.3089174770045657</v>
      </c>
      <c r="E357" s="385">
        <f t="shared" si="125"/>
        <v>4.5418686998062432</v>
      </c>
      <c r="F357" s="385">
        <f t="shared" si="128"/>
        <v>4.5489025891959489</v>
      </c>
      <c r="G357" s="110">
        <f t="shared" si="126"/>
        <v>0.37585100871943738</v>
      </c>
      <c r="H357" s="414" t="b">
        <f>Wh_hp&gt;='2024'!Maxi_hp</f>
        <v>0</v>
      </c>
      <c r="I357" s="390">
        <f>IF(H357,Wh_hp,'2024'!Maxi_hp)</f>
        <v>6.3586080107423522</v>
      </c>
      <c r="J357" s="85">
        <f>IF(H357,An,'2024'!An_max)</f>
        <v>2019</v>
      </c>
      <c r="K357" s="197">
        <f t="shared" si="129"/>
        <v>46000</v>
      </c>
      <c r="L357" s="147">
        <f>IF(t&lt;Tvie,1-EXP((T0-t)*PertePVj)+'2024'!Pspv,1-EXP((T0-t)*PertePVj)+Pspv)</f>
        <v>5.9299748241228967E-2</v>
      </c>
      <c r="M357" s="850"/>
      <c r="N357" s="850"/>
      <c r="O357" s="48">
        <f>IF(t&lt;Tnet,'2024'!Resal+('2024'!Salim-'2024'!Resal)*(1-EXP(('2024'!Tnet-t)/('2024'!Tau_j))),Resal+(Salim-Resal)*(1-EXP((Tnet-t)/(Tau_j))))*Salcycl</f>
        <v>5.1289730769102773E-2</v>
      </c>
      <c r="P357" s="169">
        <f>(INDEX(Models!$BJ357:$BT357,,T357)*(1-R357)+INDEX(Models!$BJ357:$BT357,,T357+1)*R357-ERP_i)*Q357*Ramure*Pc/MaxiM</f>
        <v>1.3464090193340718E-2</v>
      </c>
      <c r="Q357" s="305">
        <f t="shared" si="130"/>
        <v>0.7</v>
      </c>
      <c r="R357" s="177">
        <f t="shared" si="131"/>
        <v>0.47601954432836679</v>
      </c>
      <c r="S357" s="817">
        <f t="shared" si="132"/>
        <v>-2</v>
      </c>
      <c r="T357" s="176">
        <f t="shared" si="133"/>
        <v>4</v>
      </c>
      <c r="U357" s="251">
        <f t="shared" si="134"/>
        <v>-1.5239804556716332</v>
      </c>
      <c r="V357" s="383">
        <f t="shared" si="135"/>
        <v>10.655864189792963</v>
      </c>
      <c r="W357" s="402">
        <f t="shared" si="136"/>
        <v>4.0533997554259633</v>
      </c>
      <c r="X357" s="157">
        <f t="shared" si="137"/>
        <v>46000</v>
      </c>
      <c r="Y357" s="385">
        <f t="shared" si="138"/>
        <v>3.7691851722789282</v>
      </c>
      <c r="Z357" s="385">
        <f t="shared" si="139"/>
        <v>4.0067866094772571</v>
      </c>
      <c r="AA357" s="386">
        <f t="shared" si="140"/>
        <v>4.5117072435795986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0.11191343029201879</v>
      </c>
      <c r="AD357" s="231">
        <f>(INDEX(Models!$BJ357:$BT357,,AH357)*(1-AF357)+INDEX(Models!$BJ357:$BT357,,AH357+1)*AF357-ERP_i)*AE357*Ramure*Pc/MaxiM</f>
        <v>7.1198374100676129E-2</v>
      </c>
      <c r="AE357" s="305">
        <f t="shared" si="142"/>
        <v>0.7</v>
      </c>
      <c r="AF357" s="177">
        <f t="shared" si="143"/>
        <v>9.9882913704422815E-2</v>
      </c>
      <c r="AG357" s="817">
        <f t="shared" si="149"/>
        <v>1</v>
      </c>
      <c r="AH357" s="176">
        <f t="shared" si="144"/>
        <v>7</v>
      </c>
      <c r="AI357" s="225">
        <f t="shared" si="145"/>
        <v>1.0998829137044228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46001</v>
      </c>
      <c r="B358" s="411">
        <f>'2024'!Wh/'2024'!Env_an*'2025'!Env_an</f>
        <v>6.978243927650901</v>
      </c>
      <c r="C358" s="846"/>
      <c r="D358" s="393">
        <f t="shared" si="127"/>
        <v>7.418300100805447</v>
      </c>
      <c r="E358" s="385">
        <f t="shared" si="125"/>
        <v>7.8203415157349001</v>
      </c>
      <c r="F358" s="385">
        <f t="shared" si="128"/>
        <v>7.8741765908609853</v>
      </c>
      <c r="G358" s="110">
        <f t="shared" si="126"/>
        <v>0.65390904873199074</v>
      </c>
      <c r="H358" s="414" t="b">
        <f>Wh_hp&gt;='2024'!Maxi_hp</f>
        <v>0</v>
      </c>
      <c r="I358" s="390">
        <f>IF(H358,Wh_hp,'2024'!Maxi_hp)</f>
        <v>11.203024909325297</v>
      </c>
      <c r="J358" s="85">
        <f>IF(H358,An,'2024'!An_max)</f>
        <v>2019</v>
      </c>
      <c r="K358" s="197">
        <f t="shared" si="129"/>
        <v>46001</v>
      </c>
      <c r="L358" s="147">
        <f>IF(t&lt;Tvie,1-EXP((T0-t)*PertePVj)+'2024'!Pspv,1-EXP((T0-t)*PertePVj)+Pspv)</f>
        <v>5.9320351990985953E-2</v>
      </c>
      <c r="M358" s="850"/>
      <c r="N358" s="850"/>
      <c r="O358" s="48">
        <f>IF(t&lt;Tnet,'2024'!Resal+('2024'!Salim-'2024'!Resal)*(1-EXP(('2024'!Tnet-t)/('2024'!Tau_j))),Resal+(Salim-Resal)*(1-EXP((Tnet-t)/(Tau_j))))*Salcycl</f>
        <v>5.1409700474145011E-2</v>
      </c>
      <c r="P358" s="169">
        <f>(INDEX(Models!$BJ358:$BT358,,T358)*(1-R358)+INDEX(Models!$BJ358:$BT358,,T358+1)*R358-ERP_i)*Q358*Ramure*Pc/MaxiM</f>
        <v>1.3359609775596875E-2</v>
      </c>
      <c r="Q358" s="305">
        <f t="shared" si="130"/>
        <v>0.7</v>
      </c>
      <c r="R358" s="177">
        <f t="shared" si="131"/>
        <v>0.47603091687901156</v>
      </c>
      <c r="S358" s="817">
        <f t="shared" si="132"/>
        <v>-2</v>
      </c>
      <c r="T358" s="176">
        <f t="shared" si="133"/>
        <v>4</v>
      </c>
      <c r="U358" s="251">
        <f t="shared" si="134"/>
        <v>-1.5239690831209884</v>
      </c>
      <c r="V358" s="383">
        <f t="shared" si="135"/>
        <v>10.601495188436401</v>
      </c>
      <c r="W358" s="402">
        <f t="shared" si="136"/>
        <v>6.978243927650901</v>
      </c>
      <c r="X358" s="157">
        <f t="shared" si="137"/>
        <v>46001</v>
      </c>
      <c r="Y358" s="385">
        <f t="shared" si="138"/>
        <v>6.3407299234873529</v>
      </c>
      <c r="Z358" s="385">
        <f t="shared" si="139"/>
        <v>6.740583722532703</v>
      </c>
      <c r="AA358" s="386">
        <f t="shared" si="140"/>
        <v>7.5902107276504491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0.11193720907149937</v>
      </c>
      <c r="AD358" s="231">
        <f>(INDEX(Models!$BJ358:$BT358,,AH358)*(1-AF358)+INDEX(Models!$BJ358:$BT358,,AH358+1)*AF358-ERP_i)*AE358*Ramure*Pc/MaxiM</f>
        <v>7.0468428124197305E-2</v>
      </c>
      <c r="AE358" s="305">
        <f t="shared" si="142"/>
        <v>0.7</v>
      </c>
      <c r="AF358" s="177">
        <f t="shared" si="143"/>
        <v>9.9894286255067355E-2</v>
      </c>
      <c r="AG358" s="817">
        <f t="shared" si="149"/>
        <v>1</v>
      </c>
      <c r="AH358" s="176">
        <f t="shared" si="144"/>
        <v>7</v>
      </c>
      <c r="AI358" s="225">
        <f t="shared" si="145"/>
        <v>1.0998942862550674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46002</v>
      </c>
      <c r="B359" s="411">
        <f>'2024'!Wh/'2024'!Env_an*'2025'!Env_an</f>
        <v>8.1333468938542755</v>
      </c>
      <c r="C359" s="846"/>
      <c r="D359" s="393">
        <f t="shared" si="127"/>
        <v>8.6464345817853072</v>
      </c>
      <c r="E359" s="385">
        <f t="shared" si="125"/>
        <v>9.1161935118516766</v>
      </c>
      <c r="F359" s="385">
        <f t="shared" si="128"/>
        <v>9.1979696418012686</v>
      </c>
      <c r="G359" s="110">
        <f t="shared" si="126"/>
        <v>0.76662359459461804</v>
      </c>
      <c r="H359" s="414" t="b">
        <f>Wh_hp&gt;='2024'!Maxi_hp</f>
        <v>0</v>
      </c>
      <c r="I359" s="390">
        <f>IF(H359,Wh_hp,'2024'!Maxi_hp)</f>
        <v>10.504365744752464</v>
      </c>
      <c r="J359" s="85">
        <f>IF(H359,An,'2024'!An_max)</f>
        <v>2021</v>
      </c>
      <c r="K359" s="197">
        <f t="shared" si="129"/>
        <v>46002</v>
      </c>
      <c r="L359" s="147">
        <f>IF(t&lt;Tvie,1-EXP((T0-t)*PertePVj)+'2024'!Pspv,1-EXP((T0-t)*PertePVj)+Pspv)</f>
        <v>5.9340955289468034E-2</v>
      </c>
      <c r="M359" s="850"/>
      <c r="N359" s="850"/>
      <c r="O359" s="48">
        <f>IF(t&lt;Tnet,'2024'!Resal+('2024'!Salim-'2024'!Resal)*(1-EXP(('2024'!Tnet-t)/('2024'!Tau_j))),Resal+(Salim-Resal)*(1-EXP((Tnet-t)/(Tau_j))))*Salcycl</f>
        <v>5.1530162173022191E-2</v>
      </c>
      <c r="P359" s="169">
        <f>(INDEX(Models!$BJ359:$BT359,,T359)*(1-R359)+INDEX(Models!$BJ359:$BT359,,T359+1)*R359-ERP_i)*Q359*Ramure*Pc/MaxiM</f>
        <v>1.324132299134886E-2</v>
      </c>
      <c r="Q359" s="305">
        <f t="shared" si="130"/>
        <v>0.7</v>
      </c>
      <c r="R359" s="177">
        <f t="shared" si="131"/>
        <v>0.47604183202370276</v>
      </c>
      <c r="S359" s="817">
        <f t="shared" si="132"/>
        <v>-2</v>
      </c>
      <c r="T359" s="176">
        <f t="shared" si="133"/>
        <v>4</v>
      </c>
      <c r="U359" s="251">
        <f t="shared" si="134"/>
        <v>-1.5239581679762972</v>
      </c>
      <c r="V359" s="383">
        <f t="shared" si="135"/>
        <v>10.562737925743887</v>
      </c>
      <c r="W359" s="402">
        <f t="shared" si="136"/>
        <v>8.1333468938542755</v>
      </c>
      <c r="X359" s="157">
        <f t="shared" si="137"/>
        <v>46002</v>
      </c>
      <c r="Y359" s="385">
        <f t="shared" si="138"/>
        <v>7.3236724166242784</v>
      </c>
      <c r="Z359" s="385">
        <f t="shared" si="139"/>
        <v>7.7856822382205282</v>
      </c>
      <c r="AA359" s="386">
        <f t="shared" si="140"/>
        <v>8.7672897818075608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0.11196248419025727</v>
      </c>
      <c r="AD359" s="231">
        <f>(INDEX(Models!$BJ359:$BT359,,AH359)*(1-AF359)+INDEX(Models!$BJ359:$BT359,,AH359+1)*AF359-ERP_i)*AE359*Ramure*Pc/MaxiM</f>
        <v>6.9736378275186847E-2</v>
      </c>
      <c r="AE359" s="305">
        <f t="shared" si="142"/>
        <v>0.7</v>
      </c>
      <c r="AF359" s="177">
        <f t="shared" si="143"/>
        <v>9.9905201399758781E-2</v>
      </c>
      <c r="AG359" s="817">
        <f t="shared" si="149"/>
        <v>1</v>
      </c>
      <c r="AH359" s="176">
        <f t="shared" si="144"/>
        <v>7</v>
      </c>
      <c r="AI359" s="225">
        <f t="shared" si="145"/>
        <v>1.0999052013997588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46003</v>
      </c>
      <c r="B360" s="411">
        <f>'2024'!Wh/'2024'!Env_an*'2025'!Env_an</f>
        <v>3.2759956523026665</v>
      </c>
      <c r="C360" s="846"/>
      <c r="D360" s="393">
        <f t="shared" si="127"/>
        <v>3.4827363060064096</v>
      </c>
      <c r="E360" s="385">
        <f t="shared" si="125"/>
        <v>3.6724208529421292</v>
      </c>
      <c r="F360" s="385">
        <f t="shared" si="128"/>
        <v>3.6731671988269206</v>
      </c>
      <c r="G360" s="110">
        <f t="shared" si="126"/>
        <v>0.30683577142459623</v>
      </c>
      <c r="H360" s="414" t="b">
        <f>Wh_hp&gt;='2024'!Maxi_hp</f>
        <v>0</v>
      </c>
      <c r="I360" s="390">
        <f>IF(H360,Wh_hp,'2024'!Maxi_hp)</f>
        <v>10.718459481317785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5.9361558136684978E-2</v>
      </c>
      <c r="M360" s="850"/>
      <c r="N360" s="850"/>
      <c r="O360" s="48">
        <f>IF(t&lt;Tnet,'2024'!Resal+('2024'!Salim-'2024'!Resal)*(1-EXP(('2024'!Tnet-t)/('2024'!Tau_j))),Resal+(Salim-Resal)*(1-EXP((Tnet-t)/(Tau_j))))*Salcycl</f>
        <v>5.16510918904503E-2</v>
      </c>
      <c r="P360" s="169">
        <f>(INDEX(Models!$BJ360:$BT360,,T360)*(1-R360)+INDEX(Models!$BJ360:$BT360,,T360+1)*R360-ERP_i)*Q360*Ramure*Pc/MaxiM</f>
        <v>1.3110416023941774E-2</v>
      </c>
      <c r="Q360" s="305">
        <f t="shared" si="130"/>
        <v>0.7</v>
      </c>
      <c r="R360" s="177">
        <f t="shared" si="131"/>
        <v>0.47605230814061761</v>
      </c>
      <c r="S360" s="817">
        <f t="shared" si="132"/>
        <v>-2</v>
      </c>
      <c r="T360" s="176">
        <f t="shared" si="133"/>
        <v>4</v>
      </c>
      <c r="U360" s="251">
        <f t="shared" si="134"/>
        <v>-1.5239476918593824</v>
      </c>
      <c r="V360" s="383">
        <f t="shared" si="135"/>
        <v>10.538872384891521</v>
      </c>
      <c r="W360" s="402">
        <f t="shared" si="136"/>
        <v>3.2759956523026665</v>
      </c>
      <c r="X360" s="157">
        <f t="shared" si="137"/>
        <v>46003</v>
      </c>
      <c r="Y360" s="385">
        <f t="shared" si="138"/>
        <v>3.0649044081959085</v>
      </c>
      <c r="Z360" s="385">
        <f t="shared" si="139"/>
        <v>3.2583235723649837</v>
      </c>
      <c r="AA360" s="386">
        <f t="shared" si="140"/>
        <v>3.669238647500094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0.11198919302102982</v>
      </c>
      <c r="AD360" s="231">
        <f>(INDEX(Models!$BJ360:$BT360,,AH360)*(1-AF360)+INDEX(Models!$BJ360:$BT360,,AH360+1)*AF360-ERP_i)*AE360*Ramure*Pc/MaxiM</f>
        <v>6.9009481147594337E-2</v>
      </c>
      <c r="AE360" s="305">
        <f t="shared" si="142"/>
        <v>0.7</v>
      </c>
      <c r="AF360" s="177">
        <f t="shared" si="143"/>
        <v>9.9915677516673407E-2</v>
      </c>
      <c r="AG360" s="817">
        <f t="shared" si="149"/>
        <v>1</v>
      </c>
      <c r="AH360" s="176">
        <f t="shared" si="144"/>
        <v>7</v>
      </c>
      <c r="AI360" s="225">
        <f t="shared" si="145"/>
        <v>1.0999156775166734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46004</v>
      </c>
      <c r="B361" s="411">
        <f>'2024'!Wh/'2024'!Env_an*'2025'!Env_an</f>
        <v>3.2494223511084881</v>
      </c>
      <c r="C361" s="846"/>
      <c r="D361" s="393">
        <f t="shared" si="127"/>
        <v>3.4545616878248335</v>
      </c>
      <c r="E361" s="385">
        <f t="shared" ref="E361:E379" si="150">Wh_pvt/(1-Psa)</f>
        <v>3.6431779904414099</v>
      </c>
      <c r="F361" s="385">
        <f t="shared" si="128"/>
        <v>3.6437604916369573</v>
      </c>
      <c r="G361" s="110">
        <f t="shared" ref="G361:G379" si="151">+Wh_hp/MaxiM</f>
        <v>0.30466710409858622</v>
      </c>
      <c r="H361" s="414" t="b">
        <f>Wh_hp&gt;='2024'!Maxi_hp</f>
        <v>0</v>
      </c>
      <c r="I361" s="390">
        <f>IF(H361,Wh_hp,'2024'!Maxi_hp)</f>
        <v>11.207179441431046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5.9382160532646777E-2</v>
      </c>
      <c r="M361" s="850"/>
      <c r="N361" s="850"/>
      <c r="O361" s="48">
        <f>IF(t&lt;Tnet,'2024'!Resal+('2024'!Salim-'2024'!Resal)*(1-EXP(('2024'!Tnet-t)/('2024'!Tau_j))),Resal+(Salim-Resal)*(1-EXP((Tnet-t)/(Tau_j))))*Salcycl</f>
        <v>5.1772464346086816E-2</v>
      </c>
      <c r="P361" s="169">
        <f>(INDEX(Models!$BJ361:$BT361,,T361)*(1-R361)+INDEX(Models!$BJ361:$BT361,,T361+1)*R361-ERP_i)*Q361*Ramure*Pc/MaxiM</f>
        <v>1.2976836299248026E-2</v>
      </c>
      <c r="Q361" s="305">
        <f t="shared" si="130"/>
        <v>0.7</v>
      </c>
      <c r="R361" s="177">
        <f t="shared" si="131"/>
        <v>0.47606236287099346</v>
      </c>
      <c r="S361" s="817">
        <f t="shared" si="132"/>
        <v>-2</v>
      </c>
      <c r="T361" s="176">
        <f t="shared" si="133"/>
        <v>4</v>
      </c>
      <c r="U361" s="251">
        <f t="shared" si="134"/>
        <v>-1.5239376371290065</v>
      </c>
      <c r="V361" s="383">
        <f t="shared" si="135"/>
        <v>10.528763651569195</v>
      </c>
      <c r="W361" s="402">
        <f t="shared" si="136"/>
        <v>3.2494223511084881</v>
      </c>
      <c r="X361" s="157">
        <f t="shared" si="137"/>
        <v>46004</v>
      </c>
      <c r="Y361" s="385">
        <f t="shared" si="138"/>
        <v>3.040898919047399</v>
      </c>
      <c r="Z361" s="385">
        <f t="shared" si="139"/>
        <v>3.2328739594917515</v>
      </c>
      <c r="AA361" s="386">
        <f t="shared" si="140"/>
        <v>3.6406946360114611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0.11201727068395249</v>
      </c>
      <c r="AD361" s="231">
        <f>(INDEX(Models!$BJ361:$BT361,,AH361)*(1-AF361)+INDEX(Models!$BJ361:$BT361,,AH361+1)*AF361-ERP_i)*AE361*Ramure*Pc/MaxiM</f>
        <v>6.8300471953207126E-2</v>
      </c>
      <c r="AE361" s="305">
        <f t="shared" si="142"/>
        <v>0.7</v>
      </c>
      <c r="AF361" s="177">
        <f t="shared" si="143"/>
        <v>9.9925732247049259E-2</v>
      </c>
      <c r="AG361" s="817">
        <f t="shared" si="149"/>
        <v>1</v>
      </c>
      <c r="AH361" s="176">
        <f t="shared" si="144"/>
        <v>7</v>
      </c>
      <c r="AI361" s="225">
        <f t="shared" si="145"/>
        <v>1.0999257322470493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46005</v>
      </c>
      <c r="B362" s="411">
        <f>'2024'!Wh/'2024'!Env_an*'2025'!Env_an</f>
        <v>7.6531895326345083</v>
      </c>
      <c r="C362" s="846"/>
      <c r="D362" s="393">
        <f t="shared" si="127"/>
        <v>8.1365213795350133</v>
      </c>
      <c r="E362" s="385">
        <f t="shared" si="150"/>
        <v>8.5818711748610905</v>
      </c>
      <c r="F362" s="385">
        <f t="shared" si="128"/>
        <v>8.6495832692809476</v>
      </c>
      <c r="G362" s="110">
        <f t="shared" si="151"/>
        <v>0.72303198128942014</v>
      </c>
      <c r="H362" s="414" t="b">
        <f>Wh_hp&gt;='2024'!Maxi_hp</f>
        <v>0</v>
      </c>
      <c r="I362" s="390">
        <f>IF(H362,Wh_hp,'2024'!Maxi_hp)</f>
        <v>10.863458902037726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5.9402762477363091E-2</v>
      </c>
      <c r="M362" s="850"/>
      <c r="N362" s="850"/>
      <c r="O362" s="48">
        <f>IF(t&lt;Tnet,'2024'!Resal+('2024'!Salim-'2024'!Resal)*(1-EXP(('2024'!Tnet-t)/('2024'!Tau_j))),Resal+(Salim-Resal)*(1-EXP((Tnet-t)/(Tau_j))))*Salcycl</f>
        <v>5.1894253158989594E-2</v>
      </c>
      <c r="P362" s="169">
        <f>(INDEX(Models!$BJ362:$BT362,,T362)*(1-R362)+INDEX(Models!$BJ362:$BT362,,T362+1)*R362-ERP_i)*Q362*Ramure*Pc/MaxiM</f>
        <v>1.284227665047516E-2</v>
      </c>
      <c r="Q362" s="305">
        <f t="shared" si="130"/>
        <v>0.7</v>
      </c>
      <c r="R362" s="177">
        <f t="shared" si="131"/>
        <v>0.47607201314856273</v>
      </c>
      <c r="S362" s="817">
        <f t="shared" si="132"/>
        <v>-2</v>
      </c>
      <c r="T362" s="176">
        <f t="shared" si="133"/>
        <v>4</v>
      </c>
      <c r="U362" s="251">
        <f t="shared" si="134"/>
        <v>-1.5239279868514373</v>
      </c>
      <c r="V362" s="383">
        <f t="shared" si="135"/>
        <v>10.531365900329169</v>
      </c>
      <c r="W362" s="402">
        <f t="shared" si="136"/>
        <v>7.6531895326345083</v>
      </c>
      <c r="X362" s="157">
        <f t="shared" si="137"/>
        <v>46005</v>
      </c>
      <c r="Y362" s="385">
        <f t="shared" si="138"/>
        <v>6.9264169941035956</v>
      </c>
      <c r="Z362" s="385">
        <f t="shared" si="139"/>
        <v>7.3638500282506953</v>
      </c>
      <c r="AA362" s="386">
        <f t="shared" si="140"/>
        <v>8.2930595762340342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0.11204665050836442</v>
      </c>
      <c r="AD362" s="231">
        <f>(INDEX(Models!$BJ362:$BT362,,AH362)*(1-AF362)+INDEX(Models!$BJ362:$BT362,,AH362+1)*AF362-ERP_i)*AE362*Ramure*Pc/MaxiM</f>
        <v>6.7618287955583556E-2</v>
      </c>
      <c r="AE362" s="305">
        <f t="shared" si="142"/>
        <v>0.7</v>
      </c>
      <c r="AF362" s="177">
        <f t="shared" si="143"/>
        <v>9.9935382524618532E-2</v>
      </c>
      <c r="AG362" s="817">
        <f t="shared" si="149"/>
        <v>1</v>
      </c>
      <c r="AH362" s="176">
        <f t="shared" si="144"/>
        <v>7</v>
      </c>
      <c r="AI362" s="225">
        <f t="shared" si="145"/>
        <v>1.0999353825246185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46006</v>
      </c>
      <c r="B363" s="411">
        <f>'2024'!Wh/'2024'!Env_an*'2025'!Env_an</f>
        <v>3.8089694234983118</v>
      </c>
      <c r="C363" s="846"/>
      <c r="D363" s="393">
        <f t="shared" si="127"/>
        <v>4.0496109275887235</v>
      </c>
      <c r="E363" s="385">
        <f t="shared" si="150"/>
        <v>4.2718155253377246</v>
      </c>
      <c r="F363" s="385">
        <f t="shared" si="128"/>
        <v>4.2765662825000685</v>
      </c>
      <c r="G363" s="110">
        <f t="shared" si="151"/>
        <v>0.35699568027600931</v>
      </c>
      <c r="H363" s="414" t="b">
        <f>Wh_hp&gt;='2024'!Maxi_hp</f>
        <v>0</v>
      </c>
      <c r="I363" s="390">
        <f>IF(H363,Wh_hp,'2024'!Maxi_hp)</f>
        <v>11.20513204000641</v>
      </c>
      <c r="J363" s="85">
        <f>IF(H363,An,'2024'!An_max)</f>
        <v>2021</v>
      </c>
      <c r="K363" s="197">
        <f t="shared" si="129"/>
        <v>46006</v>
      </c>
      <c r="L363" s="147">
        <f>IF(t&lt;Tvie,1-EXP((T0-t)*PertePVj)+'2024'!Pspv,1-EXP((T0-t)*PertePVj)+Pspv)</f>
        <v>5.9423363970844023E-2</v>
      </c>
      <c r="M363" s="850"/>
      <c r="N363" s="850"/>
      <c r="O363" s="48">
        <f>IF(t&lt;Tnet,'2024'!Resal+('2024'!Salim-'2024'!Resal)*(1-EXP(('2024'!Tnet-t)/('2024'!Tau_j))),Resal+(Salim-Resal)*(1-EXP((Tnet-t)/(Tau_j))))*Salcycl</f>
        <v>5.2016431053968311E-2</v>
      </c>
      <c r="P363" s="169">
        <f>(INDEX(Models!$BJ363:$BT363,,T363)*(1-R363)+INDEX(Models!$BJ363:$BT363,,T363+1)*R363-ERP_i)*Q363*Ramure*Pc/MaxiM</f>
        <v>1.2708393063900498E-2</v>
      </c>
      <c r="Q363" s="305">
        <f t="shared" si="130"/>
        <v>0.7</v>
      </c>
      <c r="R363" s="177">
        <f t="shared" si="131"/>
        <v>0.47608127522781918</v>
      </c>
      <c r="S363" s="817">
        <f t="shared" si="132"/>
        <v>-2</v>
      </c>
      <c r="T363" s="176">
        <f t="shared" si="133"/>
        <v>4</v>
      </c>
      <c r="U363" s="251">
        <f t="shared" si="134"/>
        <v>-1.5239187247721808</v>
      </c>
      <c r="V363" s="383">
        <f t="shared" si="135"/>
        <v>10.545633844383886</v>
      </c>
      <c r="W363" s="402">
        <f t="shared" si="136"/>
        <v>3.8089694234983118</v>
      </c>
      <c r="X363" s="157">
        <f t="shared" si="137"/>
        <v>46006</v>
      </c>
      <c r="Y363" s="385">
        <f t="shared" si="138"/>
        <v>3.5507055368203928</v>
      </c>
      <c r="Z363" s="385">
        <f t="shared" si="139"/>
        <v>3.7750305512695386</v>
      </c>
      <c r="AA363" s="386">
        <f t="shared" si="140"/>
        <v>4.2515304545199708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0.11207726449280074</v>
      </c>
      <c r="AD363" s="231">
        <f>(INDEX(Models!$BJ363:$BT363,,AH363)*(1-AF363)+INDEX(Models!$BJ363:$BT363,,AH363+1)*AF363-ERP_i)*AE363*Ramure*Pc/MaxiM</f>
        <v>6.6971459870257044E-2</v>
      </c>
      <c r="AE363" s="305">
        <f t="shared" si="142"/>
        <v>0.7</v>
      </c>
      <c r="AF363" s="177">
        <f t="shared" si="143"/>
        <v>9.9944644603875199E-2</v>
      </c>
      <c r="AG363" s="817">
        <f t="shared" si="149"/>
        <v>1</v>
      </c>
      <c r="AH363" s="176">
        <f t="shared" si="144"/>
        <v>7</v>
      </c>
      <c r="AI363" s="225">
        <f t="shared" si="145"/>
        <v>1.0999446446038752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46007</v>
      </c>
      <c r="B364" s="411">
        <f>'2024'!Wh/'2024'!Env_an*'2025'!Env_an</f>
        <v>3.1819181801410878</v>
      </c>
      <c r="C364" s="846"/>
      <c r="D364" s="393">
        <f t="shared" si="127"/>
        <v>3.3830181953863101</v>
      </c>
      <c r="E364" s="385">
        <f t="shared" si="150"/>
        <v>3.5691078001483207</v>
      </c>
      <c r="F364" s="385">
        <f t="shared" si="128"/>
        <v>3.5691730846081069</v>
      </c>
      <c r="G364" s="110">
        <f t="shared" si="151"/>
        <v>0.29723765077260084</v>
      </c>
      <c r="H364" s="414" t="b">
        <f>Wh_hp&gt;='2024'!Maxi_hp</f>
        <v>0</v>
      </c>
      <c r="I364" s="390">
        <f>IF(H364,Wh_hp,'2024'!Maxi_hp)</f>
        <v>11.238528761899044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5.9443965013099342E-2</v>
      </c>
      <c r="M364" s="850"/>
      <c r="N364" s="850"/>
      <c r="O364" s="48">
        <f>IF(t&lt;Tnet,'2024'!Resal+('2024'!Salim-'2024'!Resal)*(1-EXP(('2024'!Tnet-t)/('2024'!Tau_j))),Resal+(Salim-Resal)*(1-EXP((Tnet-t)/(Tau_j))))*Salcycl</f>
        <v>5.2138970068171454E-2</v>
      </c>
      <c r="P364" s="169">
        <f>(INDEX(Models!$BJ364:$BT364,,T364)*(1-R364)+INDEX(Models!$BJ364:$BT364,,T364+1)*R364-ERP_i)*Q364*Ramure*Pc/MaxiM</f>
        <v>1.257678562500741E-2</v>
      </c>
      <c r="Q364" s="305">
        <f t="shared" si="130"/>
        <v>0.7</v>
      </c>
      <c r="R364" s="177">
        <f t="shared" si="131"/>
        <v>0.47609016471116439</v>
      </c>
      <c r="S364" s="817">
        <f t="shared" si="132"/>
        <v>-2</v>
      </c>
      <c r="T364" s="176">
        <f t="shared" si="133"/>
        <v>4</v>
      </c>
      <c r="U364" s="251">
        <f t="shared" si="134"/>
        <v>-1.5239098352888356</v>
      </c>
      <c r="V364" s="383">
        <f t="shared" si="135"/>
        <v>10.570522742719549</v>
      </c>
      <c r="W364" s="402">
        <f t="shared" si="136"/>
        <v>3.1819181801410878</v>
      </c>
      <c r="X364" s="157">
        <f t="shared" si="137"/>
        <v>46007</v>
      </c>
      <c r="Y364" s="385">
        <f t="shared" si="138"/>
        <v>2.9803687056654851</v>
      </c>
      <c r="Z364" s="385">
        <f t="shared" si="139"/>
        <v>3.1687306176361871</v>
      </c>
      <c r="AA364" s="386">
        <f t="shared" si="140"/>
        <v>3.5688285767137926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0.11210904375968066</v>
      </c>
      <c r="AD364" s="231">
        <f>(INDEX(Models!$BJ364:$BT364,,AH364)*(1-AF364)+INDEX(Models!$BJ364:$BT364,,AH364+1)*AF364-ERP_i)*AE364*Ramure*Pc/MaxiM</f>
        <v>6.6368044510406357E-2</v>
      </c>
      <c r="AE364" s="305">
        <f t="shared" si="142"/>
        <v>0.7</v>
      </c>
      <c r="AF364" s="177">
        <f t="shared" si="143"/>
        <v>9.9953534087220408E-2</v>
      </c>
      <c r="AG364" s="817">
        <f t="shared" si="149"/>
        <v>1</v>
      </c>
      <c r="AH364" s="176">
        <f t="shared" si="144"/>
        <v>7</v>
      </c>
      <c r="AI364" s="225">
        <f t="shared" si="145"/>
        <v>1.0999535340872204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46008</v>
      </c>
      <c r="B365" s="411">
        <f>'2024'!Wh/'2024'!Env_an*'2025'!Env_an</f>
        <v>1.8592004066927801</v>
      </c>
      <c r="C365" s="846"/>
      <c r="D365" s="393">
        <f t="shared" si="127"/>
        <v>1.9767467962406009</v>
      </c>
      <c r="E365" s="385">
        <f t="shared" si="150"/>
        <v>2.0857520392591833</v>
      </c>
      <c r="F365" s="385">
        <f t="shared" si="128"/>
        <v>2.0857520392591833</v>
      </c>
      <c r="G365" s="110">
        <f t="shared" si="151"/>
        <v>0.17313128330543964</v>
      </c>
      <c r="H365" s="414" t="b">
        <f>Wh_hp&gt;='2024'!Maxi_hp</f>
        <v>0</v>
      </c>
      <c r="I365" s="390">
        <f>IF(H365,Wh_hp,'2024'!Maxi_hp)</f>
        <v>12.021783785395716</v>
      </c>
      <c r="J365" s="85">
        <f>IF(H365,An,'2024'!An_max)</f>
        <v>2018</v>
      </c>
      <c r="K365" s="197">
        <f t="shared" si="129"/>
        <v>46008</v>
      </c>
      <c r="L365" s="147">
        <f>IF(t&lt;Tvie,1-EXP((T0-t)*PertePVj)+'2024'!Pspv,1-EXP((T0-t)*PertePVj)+Pspv)</f>
        <v>5.9464565604139041E-2</v>
      </c>
      <c r="M365" s="850"/>
      <c r="N365" s="850"/>
      <c r="O365" s="48">
        <f>IF(t&lt;Tnet,'2024'!Resal+('2024'!Salim-'2024'!Resal)*(1-EXP(('2024'!Tnet-t)/('2024'!Tau_j))),Resal+(Salim-Resal)*(1-EXP((Tnet-t)/(Tau_j))))*Salcycl</f>
        <v>5.2261841756270681E-2</v>
      </c>
      <c r="P365" s="169">
        <f>(INDEX(Models!$BJ365:$BT365,,T365)*(1-R365)+INDEX(Models!$BJ365:$BT365,,T365+1)*R365-ERP_i)*Q365*Ramure*Pc/MaxiM</f>
        <v>1.2448983598235807E-2</v>
      </c>
      <c r="Q365" s="305">
        <f t="shared" si="130"/>
        <v>0.7</v>
      </c>
      <c r="R365" s="177">
        <f t="shared" si="131"/>
        <v>0.47609869657497694</v>
      </c>
      <c r="S365" s="817">
        <f t="shared" si="132"/>
        <v>-2</v>
      </c>
      <c r="T365" s="176">
        <f t="shared" si="133"/>
        <v>4</v>
      </c>
      <c r="U365" s="251">
        <f t="shared" si="134"/>
        <v>-1.5239013034250231</v>
      </c>
      <c r="V365" s="383">
        <f t="shared" si="135"/>
        <v>10.604988401113188</v>
      </c>
      <c r="W365" s="402">
        <f t="shared" si="136"/>
        <v>1.8592004066927801</v>
      </c>
      <c r="X365" s="157">
        <f t="shared" si="137"/>
        <v>46008</v>
      </c>
      <c r="Y365" s="385">
        <f t="shared" si="138"/>
        <v>1.7417322399862134</v>
      </c>
      <c r="Z365" s="385">
        <f t="shared" si="139"/>
        <v>1.8518518030157889</v>
      </c>
      <c r="AA365" s="386">
        <f t="shared" si="140"/>
        <v>2.0857520392591833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0.11214191900129741</v>
      </c>
      <c r="AD365" s="231">
        <f>(INDEX(Models!$BJ365:$BT365,,AH365)*(1-AF365)+INDEX(Models!$BJ365:$BT365,,AH365+1)*AF365-ERP_i)*AE365*Ramure*Pc/MaxiM</f>
        <v>6.5815581479932897E-2</v>
      </c>
      <c r="AE365" s="305">
        <f t="shared" si="142"/>
        <v>0.7</v>
      </c>
      <c r="AF365" s="177">
        <f t="shared" si="143"/>
        <v>9.9962065951032741E-2</v>
      </c>
      <c r="AG365" s="817">
        <f t="shared" si="149"/>
        <v>1</v>
      </c>
      <c r="AH365" s="176">
        <f t="shared" si="144"/>
        <v>7</v>
      </c>
      <c r="AI365" s="225">
        <f t="shared" si="145"/>
        <v>1.0999620659510327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46009</v>
      </c>
      <c r="B366" s="411">
        <f>'2024'!Wh/'2024'!Env_an*'2025'!Env_an</f>
        <v>9.915181933774381</v>
      </c>
      <c r="C366" s="846"/>
      <c r="D366" s="393">
        <f t="shared" si="127"/>
        <v>10.542291915701213</v>
      </c>
      <c r="E366" s="385">
        <f t="shared" si="150"/>
        <v>11.125079393208935</v>
      </c>
      <c r="F366" s="385">
        <f t="shared" si="128"/>
        <v>11.250196422829179</v>
      </c>
      <c r="G366" s="110">
        <f t="shared" si="151"/>
        <v>0.93004419069590416</v>
      </c>
      <c r="H366" s="414" t="b">
        <f>Wh_hp&gt;='2024'!Maxi_hp</f>
        <v>0</v>
      </c>
      <c r="I366" s="390">
        <f>IF(H366,Wh_hp,'2024'!Maxi_hp)</f>
        <v>11.681754622743613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5.948516574397289E-2</v>
      </c>
      <c r="M366" s="850"/>
      <c r="N366" s="850"/>
      <c r="O366" s="48">
        <f>IF(t&lt;Tnet,'2024'!Resal+('2024'!Salim-'2024'!Resal)*(1-EXP(('2024'!Tnet-t)/('2024'!Tau_j))),Resal+(Salim-Resal)*(1-EXP((Tnet-t)/(Tau_j))))*Salcycl</f>
        <v>5.2385017392637449E-2</v>
      </c>
      <c r="P366" s="169">
        <f>(INDEX(Models!$BJ366:$BT366,,T366)*(1-R366)+INDEX(Models!$BJ366:$BT366,,T366+1)*R366-ERP_i)*Q366*Ramure*Pc/MaxiM</f>
        <v>1.2333804100520988E-2</v>
      </c>
      <c r="Q366" s="305">
        <f t="shared" si="130"/>
        <v>0.7</v>
      </c>
      <c r="R366" s="177">
        <f t="shared" si="131"/>
        <v>0.47610688519464617</v>
      </c>
      <c r="S366" s="817">
        <f t="shared" si="132"/>
        <v>-2</v>
      </c>
      <c r="T366" s="176">
        <f t="shared" si="133"/>
        <v>4</v>
      </c>
      <c r="U366" s="251">
        <f t="shared" si="134"/>
        <v>-1.5238931148053538</v>
      </c>
      <c r="V366" s="383">
        <f t="shared" si="135"/>
        <v>10.64790772729439</v>
      </c>
      <c r="W366" s="402">
        <f t="shared" si="136"/>
        <v>9.915181933774381</v>
      </c>
      <c r="X366" s="157">
        <f t="shared" si="137"/>
        <v>46009</v>
      </c>
      <c r="Y366" s="385">
        <f t="shared" si="138"/>
        <v>8.8405562452049207</v>
      </c>
      <c r="Z366" s="385">
        <f t="shared" si="139"/>
        <v>9.3996988917224709</v>
      </c>
      <c r="AA366" s="386">
        <f t="shared" si="140"/>
        <v>10.587342756758019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0.11217582091384184</v>
      </c>
      <c r="AD366" s="231">
        <f>(INDEX(Models!$BJ366:$BT366,,AH366)*(1-AF366)+INDEX(Models!$BJ366:$BT366,,AH366+1)*AF366-ERP_i)*AE366*Ramure*Pc/MaxiM</f>
        <v>6.5342881696026034E-2</v>
      </c>
      <c r="AE366" s="305">
        <f t="shared" si="142"/>
        <v>0.7</v>
      </c>
      <c r="AF366" s="177">
        <f t="shared" si="143"/>
        <v>9.9970254570702188E-2</v>
      </c>
      <c r="AG366" s="817">
        <f t="shared" si="149"/>
        <v>1</v>
      </c>
      <c r="AH366" s="176">
        <f t="shared" si="144"/>
        <v>7</v>
      </c>
      <c r="AI366" s="225">
        <f t="shared" si="145"/>
        <v>1.0999702545707022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46010</v>
      </c>
      <c r="B367" s="411">
        <f>'2024'!Wh/'2024'!Env_an*'2025'!Env_an</f>
        <v>9.9001604585752396</v>
      </c>
      <c r="C367" s="846"/>
      <c r="D367" s="393">
        <f t="shared" si="127"/>
        <v>10.526550928968893</v>
      </c>
      <c r="E367" s="385">
        <f t="shared" si="150"/>
        <v>11.109915577425934</v>
      </c>
      <c r="F367" s="385">
        <f t="shared" si="128"/>
        <v>11.232613759881048</v>
      </c>
      <c r="G367" s="110">
        <f t="shared" si="151"/>
        <v>0.92417622225668339</v>
      </c>
      <c r="H367" s="414" t="b">
        <f>Wh_hp&gt;='2024'!Maxi_hp</f>
        <v>0</v>
      </c>
      <c r="I367" s="390">
        <f>IF(H367,Wh_hp,'2024'!Maxi_hp)</f>
        <v>11.859161695286367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5.9505765432610769E-2</v>
      </c>
      <c r="M367" s="850"/>
      <c r="N367" s="850"/>
      <c r="O367" s="48">
        <f>IF(t&lt;Tnet,'2024'!Resal+('2024'!Salim-'2024'!Resal)*(1-EXP(('2024'!Tnet-t)/('2024'!Tau_j))),Resal+(Salim-Resal)*(1-EXP((Tnet-t)/(Tau_j))))*Salcycl</f>
        <v>5.2508468168954457E-2</v>
      </c>
      <c r="P367" s="169">
        <f>(INDEX(Models!$BJ367:$BT367,,T367)*(1-R367)+INDEX(Models!$BJ367:$BT367,,T367+1)*R367-ERP_i)*Q367*Ramure*Pc/MaxiM</f>
        <v>1.2226458103675496E-2</v>
      </c>
      <c r="Q367" s="305">
        <f t="shared" si="130"/>
        <v>0.7</v>
      </c>
      <c r="R367" s="177">
        <f t="shared" si="131"/>
        <v>0.47611474436861245</v>
      </c>
      <c r="S367" s="817">
        <f t="shared" si="132"/>
        <v>-2</v>
      </c>
      <c r="T367" s="176">
        <f t="shared" si="133"/>
        <v>4</v>
      </c>
      <c r="U367" s="251">
        <f t="shared" si="134"/>
        <v>-1.5238852556313875</v>
      </c>
      <c r="V367" s="383">
        <f t="shared" si="135"/>
        <v>10.698303125101425</v>
      </c>
      <c r="W367" s="402">
        <f t="shared" si="136"/>
        <v>9.9001604585752396</v>
      </c>
      <c r="X367" s="157">
        <f t="shared" si="137"/>
        <v>46010</v>
      </c>
      <c r="Y367" s="385">
        <f t="shared" si="138"/>
        <v>8.8351803213303519</v>
      </c>
      <c r="Z367" s="385">
        <f t="shared" si="139"/>
        <v>9.3941887112092495</v>
      </c>
      <c r="AA367" s="386">
        <f t="shared" si="140"/>
        <v>10.581551845804066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0.11221068061634508</v>
      </c>
      <c r="AD367" s="231">
        <f>(INDEX(Models!$BJ367:$BT367,,AH367)*(1-AF367)+INDEX(Models!$BJ367:$BT367,,AH367+1)*AF367-ERP_i)*AE367*Ramure*Pc/MaxiM</f>
        <v>6.4876113533898452E-2</v>
      </c>
      <c r="AE367" s="305">
        <f t="shared" si="142"/>
        <v>0.7</v>
      </c>
      <c r="AF367" s="177">
        <f t="shared" si="143"/>
        <v>9.9978113744668251E-2</v>
      </c>
      <c r="AG367" s="817">
        <f t="shared" si="149"/>
        <v>1</v>
      </c>
      <c r="AH367" s="176">
        <f t="shared" si="144"/>
        <v>7</v>
      </c>
      <c r="AI367" s="225">
        <f t="shared" si="145"/>
        <v>1.0999781137446683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46011</v>
      </c>
      <c r="B368" s="411">
        <f>'2024'!Wh/'2024'!Env_an*'2025'!Env_an</f>
        <v>2.5534962190922164</v>
      </c>
      <c r="C368" s="846"/>
      <c r="D368" s="393">
        <f t="shared" si="127"/>
        <v>2.715117280450289</v>
      </c>
      <c r="E368" s="385">
        <f t="shared" si="150"/>
        <v>2.8659589034452244</v>
      </c>
      <c r="F368" s="385">
        <f t="shared" si="128"/>
        <v>2.8659589034452244</v>
      </c>
      <c r="G368" s="110">
        <f t="shared" si="151"/>
        <v>0.23454169946757084</v>
      </c>
      <c r="H368" s="414" t="b">
        <f>Wh_hp&gt;='2024'!Maxi_hp</f>
        <v>0</v>
      </c>
      <c r="I368" s="390">
        <f>IF(H368,Wh_hp,'2024'!Maxi_hp)</f>
        <v>10.857367407751404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5.952636467006267E-2</v>
      </c>
      <c r="M368" s="850"/>
      <c r="N368" s="850"/>
      <c r="O368" s="48">
        <f>IF(t&lt;Tnet,'2024'!Resal+('2024'!Salim-'2024'!Resal)*(1-EXP(('2024'!Tnet-t)/('2024'!Tau_j))),Resal+(Salim-Resal)*(1-EXP((Tnet-t)/(Tau_j))))*Salcycl</f>
        <v>5.2632165385765164E-2</v>
      </c>
      <c r="P368" s="169">
        <f>(INDEX(Models!$BJ368:$BT368,,T368)*(1-R368)+INDEX(Models!$BJ368:$BT368,,T368+1)*R368-ERP_i)*Q368*Ramure*Pc/MaxiM</f>
        <v>1.2128181565160948E-2</v>
      </c>
      <c r="Q368" s="305">
        <f t="shared" si="130"/>
        <v>0.7</v>
      </c>
      <c r="R368" s="177">
        <f t="shared" si="131"/>
        <v>0.47612228734145079</v>
      </c>
      <c r="S368" s="817">
        <f t="shared" si="132"/>
        <v>-2</v>
      </c>
      <c r="T368" s="176">
        <f t="shared" si="133"/>
        <v>4</v>
      </c>
      <c r="U368" s="251">
        <f t="shared" si="134"/>
        <v>-1.5238777126585492</v>
      </c>
      <c r="V368" s="383">
        <f t="shared" si="135"/>
        <v>10.755132068401737</v>
      </c>
      <c r="W368" s="402">
        <f t="shared" si="136"/>
        <v>2.5534962190922164</v>
      </c>
      <c r="X368" s="157">
        <f t="shared" si="137"/>
        <v>46011</v>
      </c>
      <c r="Y368" s="385">
        <f t="shared" si="138"/>
        <v>2.3928143868974736</v>
      </c>
      <c r="Z368" s="385">
        <f t="shared" si="139"/>
        <v>2.5442652478588892</v>
      </c>
      <c r="AA368" s="386">
        <f t="shared" si="140"/>
        <v>2.8659589034452244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0.11224643005160378</v>
      </c>
      <c r="AD368" s="231">
        <f>(INDEX(Models!$BJ368:$BT368,,AH368)*(1-AF368)+INDEX(Models!$BJ368:$BT368,,AH368+1)*AF368-ERP_i)*AE368*Ramure*Pc/MaxiM</f>
        <v>6.4422186139804272E-2</v>
      </c>
      <c r="AE368" s="305">
        <f t="shared" si="142"/>
        <v>0.7</v>
      </c>
      <c r="AF368" s="177">
        <f t="shared" si="143"/>
        <v>9.9985656717506588E-2</v>
      </c>
      <c r="AG368" s="817">
        <f t="shared" si="149"/>
        <v>1</v>
      </c>
      <c r="AH368" s="176">
        <f t="shared" si="144"/>
        <v>7</v>
      </c>
      <c r="AI368" s="225">
        <f t="shared" si="145"/>
        <v>1.0999856567175066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46012</v>
      </c>
      <c r="B369" s="411">
        <f>'2024'!Wh/'2024'!Env_an*'2025'!Env_an</f>
        <v>9.0253209876575955</v>
      </c>
      <c r="C369" s="846"/>
      <c r="D369" s="393">
        <f t="shared" si="127"/>
        <v>9.5967801016702694</v>
      </c>
      <c r="E369" s="385">
        <f t="shared" si="150"/>
        <v>10.131265987032377</v>
      </c>
      <c r="F369" s="385">
        <f t="shared" si="128"/>
        <v>10.225243067448613</v>
      </c>
      <c r="G369" s="110">
        <f t="shared" si="151"/>
        <v>0.83193788669321145</v>
      </c>
      <c r="H369" s="414" t="b">
        <f>Wh_hp&gt;='2024'!Maxi_hp</f>
        <v>0</v>
      </c>
      <c r="I369" s="390">
        <f>IF(H369,Wh_hp,'2024'!Maxi_hp)</f>
        <v>10.896065094329265</v>
      </c>
      <c r="J369" s="85">
        <f>IF(H369,An,'2024'!An_max)</f>
        <v>2021</v>
      </c>
      <c r="K369" s="197">
        <f t="shared" si="129"/>
        <v>46012</v>
      </c>
      <c r="L369" s="147">
        <f>IF(t&lt;Tvie,1-EXP((T0-t)*PertePVj)+'2024'!Pspv,1-EXP((T0-t)*PertePVj)+Pspv)</f>
        <v>5.9546963456338253E-2</v>
      </c>
      <c r="M369" s="850"/>
      <c r="N369" s="850"/>
      <c r="O369" s="48">
        <f>IF(t&lt;Tnet,'2024'!Resal+('2024'!Salim-'2024'!Resal)*(1-EXP(('2024'!Tnet-t)/('2024'!Tau_j))),Resal+(Salim-Resal)*(1-EXP((Tnet-t)/(Tau_j))))*Salcycl</f>
        <v>5.2756080636539263E-2</v>
      </c>
      <c r="P369" s="169">
        <f>(INDEX(Models!$BJ369:$BT369,,T369)*(1-R369)+INDEX(Models!$BJ369:$BT369,,T369+1)*R369-ERP_i)*Q369*Ramure*Pc/MaxiM</f>
        <v>1.2040120640134697E-2</v>
      </c>
      <c r="Q369" s="305">
        <f t="shared" si="130"/>
        <v>0.7</v>
      </c>
      <c r="R369" s="177">
        <f t="shared" si="131"/>
        <v>0.47612952682603771</v>
      </c>
      <c r="S369" s="817">
        <f t="shared" si="132"/>
        <v>-2</v>
      </c>
      <c r="T369" s="176">
        <f t="shared" si="133"/>
        <v>4</v>
      </c>
      <c r="U369" s="251">
        <f t="shared" si="134"/>
        <v>-1.5238704731739623</v>
      </c>
      <c r="V369" s="383">
        <f t="shared" si="135"/>
        <v>10.817352584124588</v>
      </c>
      <c r="W369" s="402">
        <f t="shared" si="136"/>
        <v>9.0253209876575955</v>
      </c>
      <c r="X369" s="157">
        <f t="shared" si="137"/>
        <v>46012</v>
      </c>
      <c r="Y369" s="385">
        <f t="shared" si="138"/>
        <v>8.1196425322151455</v>
      </c>
      <c r="Z369" s="385">
        <f t="shared" si="139"/>
        <v>8.6337565159620606</v>
      </c>
      <c r="AA369" s="386">
        <f t="shared" si="140"/>
        <v>9.7257983557561278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0.11228300236635606</v>
      </c>
      <c r="AD369" s="231">
        <f>(INDEX(Models!$BJ369:$BT369,,AH369)*(1-AF369)+INDEX(Models!$BJ369:$BT369,,AH369+1)*AF369-ERP_i)*AE369*Ramure*Pc/MaxiM</f>
        <v>6.3987671836801541E-2</v>
      </c>
      <c r="AE369" s="305">
        <f t="shared" si="142"/>
        <v>0.7</v>
      </c>
      <c r="AF369" s="177">
        <f t="shared" si="143"/>
        <v>9.9992896202093506E-2</v>
      </c>
      <c r="AG369" s="817">
        <f t="shared" si="149"/>
        <v>1</v>
      </c>
      <c r="AH369" s="176">
        <f t="shared" si="144"/>
        <v>7</v>
      </c>
      <c r="AI369" s="225">
        <f t="shared" si="145"/>
        <v>1.0999928962020935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46013</v>
      </c>
      <c r="B370" s="411">
        <f>'2024'!Wh/'2024'!Env_an*'2025'!Env_an</f>
        <v>10.17099879603448</v>
      </c>
      <c r="C370" s="846"/>
      <c r="D370" s="393">
        <f t="shared" si="127"/>
        <v>10.815236036954882</v>
      </c>
      <c r="E370" s="385">
        <f t="shared" si="150"/>
        <v>11.419079061479559</v>
      </c>
      <c r="F370" s="385">
        <f t="shared" si="128"/>
        <v>11.544263521225997</v>
      </c>
      <c r="G370" s="110">
        <f t="shared" si="151"/>
        <v>0.93343986444430949</v>
      </c>
      <c r="H370" s="414" t="b">
        <f>Wh_hp&gt;='2024'!Maxi_hp</f>
        <v>0</v>
      </c>
      <c r="I370" s="390">
        <f>IF(H370,Wh_hp,'2024'!Maxi_hp)</f>
        <v>12.677093484896854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5.9567561791447732E-2</v>
      </c>
      <c r="M370" s="850"/>
      <c r="N370" s="850"/>
      <c r="O370" s="48">
        <f>IF(t&lt;Tnet,'2024'!Resal+('2024'!Salim-'2024'!Resal)*(1-EXP(('2024'!Tnet-t)/('2024'!Tau_j))),Resal+(Salim-Resal)*(1-EXP((Tnet-t)/(Tau_j))))*Salcycl</f>
        <v>5.288018598291748E-2</v>
      </c>
      <c r="P370" s="169">
        <f>(INDEX(Models!$BJ370:$BT370,,T370)*(1-R370)+INDEX(Models!$BJ370:$BT370,,T370+1)*R370-ERP_i)*Q370*Ramure*Pc/MaxiM</f>
        <v>1.1963336806260902E-2</v>
      </c>
      <c r="Q370" s="305">
        <f t="shared" si="130"/>
        <v>0.7</v>
      </c>
      <c r="R370" s="177">
        <f t="shared" si="131"/>
        <v>0.47613647502483492</v>
      </c>
      <c r="S370" s="817">
        <f t="shared" si="132"/>
        <v>-2</v>
      </c>
      <c r="T370" s="176">
        <f t="shared" si="133"/>
        <v>4</v>
      </c>
      <c r="U370" s="251">
        <f t="shared" si="134"/>
        <v>-1.5238635249751651</v>
      </c>
      <c r="V370" s="383">
        <f t="shared" si="135"/>
        <v>10.883923255378601</v>
      </c>
      <c r="W370" s="402">
        <f t="shared" si="136"/>
        <v>10.17099879603448</v>
      </c>
      <c r="X370" s="157">
        <f t="shared" si="137"/>
        <v>46013</v>
      </c>
      <c r="Y370" s="385">
        <f t="shared" si="138"/>
        <v>9.0817978501944818</v>
      </c>
      <c r="Z370" s="385">
        <f t="shared" si="139"/>
        <v>9.6570444416980905</v>
      </c>
      <c r="AA370" s="386">
        <f t="shared" si="140"/>
        <v>10.878974468767279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0.11232033226819854</v>
      </c>
      <c r="AD370" s="231">
        <f>(INDEX(Models!$BJ370:$BT370,,AH370)*(1-AF370)+INDEX(Models!$BJ370:$BT370,,AH370+1)*AF370-ERP_i)*AE370*Ramure*Pc/MaxiM</f>
        <v>6.3578794238541611E-2</v>
      </c>
      <c r="AE370" s="305">
        <f t="shared" si="142"/>
        <v>0.7</v>
      </c>
      <c r="AF370" s="177">
        <f t="shared" si="143"/>
        <v>9.9999844400890936E-2</v>
      </c>
      <c r="AG370" s="817">
        <f t="shared" si="149"/>
        <v>1</v>
      </c>
      <c r="AH370" s="176">
        <f t="shared" si="144"/>
        <v>7</v>
      </c>
      <c r="AI370" s="225">
        <f t="shared" si="145"/>
        <v>1.0999998444008909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46014</v>
      </c>
      <c r="B371" s="411">
        <f>'2024'!Wh/'2024'!Env_an*'2025'!Env_an</f>
        <v>10.019346641836343</v>
      </c>
      <c r="C371" s="846"/>
      <c r="D371" s="393">
        <f t="shared" si="127"/>
        <v>10.654211497781645</v>
      </c>
      <c r="E371" s="385">
        <f t="shared" si="150"/>
        <v>11.250540241855107</v>
      </c>
      <c r="F371" s="385">
        <f t="shared" si="128"/>
        <v>11.369333475850754</v>
      </c>
      <c r="G371" s="110">
        <f t="shared" si="151"/>
        <v>0.91335059368048066</v>
      </c>
      <c r="H371" s="414" t="b">
        <f>Wh_hp&gt;='2024'!Maxi_hp</f>
        <v>0</v>
      </c>
      <c r="I371" s="390">
        <f>IF(H371,Wh_hp,'2024'!Maxi_hp)</f>
        <v>11.766325638958318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5.9588159675400654E-2</v>
      </c>
      <c r="M371" s="850"/>
      <c r="N371" s="850"/>
      <c r="O371" s="48">
        <f>IF(t&lt;Tnet,'2024'!Resal+('2024'!Salim-'2024'!Resal)*(1-EXP(('2024'!Tnet-t)/('2024'!Tau_j))),Resal+(Salim-Resal)*(1-EXP((Tnet-t)/(Tau_j))))*Salcycl</f>
        <v>5.3004454119896897E-2</v>
      </c>
      <c r="P371" s="169">
        <f>(INDEX(Models!$BJ371:$BT371,,T371)*(1-R371)+INDEX(Models!$BJ371:$BT371,,T371+1)*R371-ERP_i)*Q371*Ramure*Pc/MaxiM</f>
        <v>1.1898655713945876E-2</v>
      </c>
      <c r="Q371" s="305">
        <f t="shared" si="130"/>
        <v>0.7</v>
      </c>
      <c r="R371" s="177">
        <f t="shared" si="131"/>
        <v>0.47613647502483492</v>
      </c>
      <c r="S371" s="817">
        <f t="shared" si="132"/>
        <v>-2</v>
      </c>
      <c r="T371" s="176">
        <f t="shared" si="133"/>
        <v>4</v>
      </c>
      <c r="U371" s="251">
        <f t="shared" si="134"/>
        <v>-1.5238635249751651</v>
      </c>
      <c r="V371" s="383">
        <f t="shared" si="135"/>
        <v>10.953804981812613</v>
      </c>
      <c r="W371" s="402">
        <f t="shared" si="136"/>
        <v>10.019346641836343</v>
      </c>
      <c r="X371" s="157">
        <f t="shared" si="137"/>
        <v>46014</v>
      </c>
      <c r="Y371" s="385">
        <f t="shared" si="138"/>
        <v>8.9638211234182084</v>
      </c>
      <c r="Z371" s="385">
        <f t="shared" si="139"/>
        <v>9.5318037683619448</v>
      </c>
      <c r="AA371" s="386">
        <f t="shared" si="140"/>
        <v>10.738346760345699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0.11235835635698103</v>
      </c>
      <c r="AD371" s="231">
        <f>(INDEX(Models!$BJ371:$BT371,,AH371)*(1-AF371)+INDEX(Models!$BJ371:$BT371,,AH371+1)*AF371-ERP_i)*AE371*Ramure*Pc/MaxiM</f>
        <v>6.3201357815911768E-2</v>
      </c>
      <c r="AE371" s="305">
        <f t="shared" si="142"/>
        <v>0.7</v>
      </c>
      <c r="AF371" s="177">
        <f t="shared" si="143"/>
        <v>9.9999844400890936E-2</v>
      </c>
      <c r="AG371" s="817">
        <f t="shared" si="149"/>
        <v>1</v>
      </c>
      <c r="AH371" s="176">
        <f t="shared" si="144"/>
        <v>7</v>
      </c>
      <c r="AI371" s="225">
        <f t="shared" si="145"/>
        <v>1.0999998444008909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46015</v>
      </c>
      <c r="B372" s="411">
        <f>'2024'!Wh/'2024'!Env_an*'2025'!Env_an</f>
        <v>10.23839487975607</v>
      </c>
      <c r="C372" s="846"/>
      <c r="D372" s="393">
        <f t="shared" si="127"/>
        <v>10.887377947365852</v>
      </c>
      <c r="E372" s="385">
        <f t="shared" si="150"/>
        <v>11.498267790125487</v>
      </c>
      <c r="F372" s="385">
        <f t="shared" si="128"/>
        <v>11.621904660823359</v>
      </c>
      <c r="G372" s="110">
        <f t="shared" si="151"/>
        <v>0.92743748890108968</v>
      </c>
      <c r="H372" s="414" t="b">
        <f>Wh_hp&gt;='2024'!Maxi_hp</f>
        <v>1</v>
      </c>
      <c r="I372" s="390">
        <f>IF(H372,Wh_hp,'2024'!Maxi_hp)</f>
        <v>11.621904660823359</v>
      </c>
      <c r="J372" s="85">
        <f>IF(H372,An,'2024'!An_max)</f>
        <v>2025</v>
      </c>
      <c r="K372" s="197">
        <f t="shared" si="129"/>
        <v>46015</v>
      </c>
      <c r="L372" s="147">
        <f>IF(t&lt;Tvie,1-EXP((T0-t)*PertePVj)+'2024'!Pspv,1-EXP((T0-t)*PertePVj)+Pspv)</f>
        <v>5.9608757108207122E-2</v>
      </c>
      <c r="M372" s="850"/>
      <c r="N372" s="850"/>
      <c r="O372" s="48">
        <f>IF(t&lt;Tnet,'2024'!Resal+('2024'!Salim-'2024'!Resal)*(1-EXP(('2024'!Tnet-t)/('2024'!Tau_j))),Resal+(Salim-Resal)*(1-EXP((Tnet-t)/(Tau_j))))*Salcycl</f>
        <v>5.3128858529826191E-2</v>
      </c>
      <c r="P372" s="169">
        <f>(INDEX(Models!$BJ372:$BT372,,T372)*(1-R372)+INDEX(Models!$BJ372:$BT372,,T372+1)*R372-ERP_i)*Q372*Ramure*Pc/MaxiM</f>
        <v>1.1847143282053808E-2</v>
      </c>
      <c r="Q372" s="305">
        <f t="shared" si="130"/>
        <v>0.7</v>
      </c>
      <c r="R372" s="177">
        <f t="shared" si="131"/>
        <v>0.47613647502483492</v>
      </c>
      <c r="S372" s="817">
        <f t="shared" si="132"/>
        <v>-2</v>
      </c>
      <c r="T372" s="176">
        <f t="shared" si="133"/>
        <v>4</v>
      </c>
      <c r="U372" s="251">
        <f t="shared" si="134"/>
        <v>-1.5238635249751651</v>
      </c>
      <c r="V372" s="383">
        <f t="shared" si="135"/>
        <v>11.025955836517847</v>
      </c>
      <c r="W372" s="402">
        <f t="shared" si="136"/>
        <v>10.23839487975607</v>
      </c>
      <c r="X372" s="157">
        <f t="shared" si="137"/>
        <v>46015</v>
      </c>
      <c r="Y372" s="385">
        <f t="shared" si="138"/>
        <v>9.1531616882956381</v>
      </c>
      <c r="Z372" s="385">
        <f t="shared" si="139"/>
        <v>9.7333548748803658</v>
      </c>
      <c r="AA372" s="386">
        <f t="shared" si="140"/>
        <v>10.965887927528094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0.11239701342867567</v>
      </c>
      <c r="AD372" s="231">
        <f>(INDEX(Models!$BJ372:$BT372,,AH372)*(1-AF372)+INDEX(Models!$BJ372:$BT372,,AH372+1)*AF372-ERP_i)*AE372*Ramure*Pc/MaxiM</f>
        <v>6.2860894091746625E-2</v>
      </c>
      <c r="AE372" s="305">
        <f t="shared" si="142"/>
        <v>0.7</v>
      </c>
      <c r="AF372" s="177">
        <f t="shared" si="143"/>
        <v>9.9999844400890936E-2</v>
      </c>
      <c r="AG372" s="817">
        <f t="shared" si="149"/>
        <v>1</v>
      </c>
      <c r="AH372" s="176">
        <f t="shared" si="144"/>
        <v>7</v>
      </c>
      <c r="AI372" s="225">
        <f t="shared" si="145"/>
        <v>1.0999998444008909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46016</v>
      </c>
      <c r="B373" s="411">
        <f>'2024'!Wh/'2024'!Env_an*'2025'!Env_an</f>
        <v>6.1029050849882607</v>
      </c>
      <c r="C373" s="846"/>
      <c r="D373" s="393">
        <f t="shared" si="127"/>
        <v>6.4898932261774931</v>
      </c>
      <c r="E373" s="385">
        <f t="shared" si="150"/>
        <v>6.8549420144449318</v>
      </c>
      <c r="F373" s="385">
        <f t="shared" si="128"/>
        <v>6.8839297187474084</v>
      </c>
      <c r="G373" s="110">
        <f t="shared" si="151"/>
        <v>0.54548134999865161</v>
      </c>
      <c r="H373" s="414" t="b">
        <f>Wh_hp&gt;='2024'!Maxi_hp</f>
        <v>0</v>
      </c>
      <c r="I373" s="390">
        <f>IF(H373,Wh_hp,'2024'!Maxi_hp)</f>
        <v>7.2647215358617787</v>
      </c>
      <c r="J373" s="85">
        <f>IF(H373,An,'2024'!An_max)</f>
        <v>2018</v>
      </c>
      <c r="K373" s="197">
        <f t="shared" si="129"/>
        <v>46016</v>
      </c>
      <c r="L373" s="147">
        <f>IF(t&lt;Tvie,1-EXP((T0-t)*PertePVj)+'2024'!Pspv,1-EXP((T0-t)*PertePVj)+Pspv)</f>
        <v>5.9629354089877018E-2</v>
      </c>
      <c r="M373" s="850"/>
      <c r="N373" s="850"/>
      <c r="O373" s="48">
        <f>IF(t&lt;Tnet,'2024'!Resal+('2024'!Salim-'2024'!Resal)*(1-EXP(('2024'!Tnet-t)/('2024'!Tau_j))),Resal+(Salim-Resal)*(1-EXP((Tnet-t)/(Tau_j))))*Salcycl</f>
        <v>5.3253373624196534E-2</v>
      </c>
      <c r="P373" s="169">
        <f>(INDEX(Models!$BJ373:$BT373,,T373)*(1-R373)+INDEX(Models!$BJ373:$BT373,,T373+1)*R373-ERP_i)*Q373*Ramure*Pc/MaxiM</f>
        <v>1.1805990788966188E-2</v>
      </c>
      <c r="Q373" s="305">
        <f t="shared" si="130"/>
        <v>0.7</v>
      </c>
      <c r="R373" s="177">
        <f t="shared" si="131"/>
        <v>0.47613647502483492</v>
      </c>
      <c r="S373" s="817">
        <f t="shared" si="132"/>
        <v>-2</v>
      </c>
      <c r="T373" s="176">
        <f t="shared" si="133"/>
        <v>4</v>
      </c>
      <c r="U373" s="251">
        <f t="shared" si="134"/>
        <v>-1.5238635249751651</v>
      </c>
      <c r="V373" s="383">
        <f t="shared" si="135"/>
        <v>11.102775746162203</v>
      </c>
      <c r="W373" s="402">
        <f t="shared" si="136"/>
        <v>6.1029050849882607</v>
      </c>
      <c r="X373" s="157">
        <f t="shared" si="137"/>
        <v>46016</v>
      </c>
      <c r="Y373" s="385">
        <f t="shared" si="138"/>
        <v>5.6174244183733935</v>
      </c>
      <c r="Z373" s="385">
        <f t="shared" si="139"/>
        <v>5.973627997433562</v>
      </c>
      <c r="AA373" s="386">
        <f t="shared" si="140"/>
        <v>6.7303649592483881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0.11243624474999263</v>
      </c>
      <c r="AD373" s="231">
        <f>(INDEX(Models!$BJ373:$BT373,,AH373)*(1-AF373)+INDEX(Models!$BJ373:$BT373,,AH373+1)*AF373-ERP_i)*AE373*Ramure*Pc/MaxiM</f>
        <v>6.2543212019737213E-2</v>
      </c>
      <c r="AE373" s="305">
        <f t="shared" si="142"/>
        <v>0.7</v>
      </c>
      <c r="AF373" s="177">
        <f t="shared" si="143"/>
        <v>9.9999844400890936E-2</v>
      </c>
      <c r="AG373" s="817">
        <f t="shared" si="149"/>
        <v>1</v>
      </c>
      <c r="AH373" s="176">
        <f t="shared" si="144"/>
        <v>7</v>
      </c>
      <c r="AI373" s="225">
        <f t="shared" si="145"/>
        <v>1.0999998444008909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46017</v>
      </c>
      <c r="B374" s="411">
        <f>'2024'!Wh/'2024'!Env_an*'2025'!Env_an</f>
        <v>10.554344288269398</v>
      </c>
      <c r="C374" s="846"/>
      <c r="D374" s="393">
        <f t="shared" si="127"/>
        <v>11.223846157325028</v>
      </c>
      <c r="E374" s="385">
        <f t="shared" si="150"/>
        <v>11.856734641063724</v>
      </c>
      <c r="F374" s="385">
        <f t="shared" si="128"/>
        <v>11.986437413768192</v>
      </c>
      <c r="G374" s="110">
        <f t="shared" si="151"/>
        <v>0.94253028732621058</v>
      </c>
      <c r="H374" s="414" t="b">
        <f>Wh_hp&gt;='2024'!Maxi_hp</f>
        <v>0</v>
      </c>
      <c r="I374" s="390">
        <f>IF(H374,Wh_hp,'2024'!Maxi_hp)</f>
        <v>12.958648457601393</v>
      </c>
      <c r="J374" s="85">
        <f>IF(H374,An,'2024'!An_max)</f>
        <v>2018</v>
      </c>
      <c r="K374" s="197">
        <f t="shared" si="129"/>
        <v>46017</v>
      </c>
      <c r="L374" s="147">
        <f>IF(t&lt;Tvie,1-EXP((T0-t)*PertePVj)+'2024'!Pspv,1-EXP((T0-t)*PertePVj)+Pspv)</f>
        <v>5.9649950620420111E-2</v>
      </c>
      <c r="M374" s="850"/>
      <c r="N374" s="850"/>
      <c r="O374" s="48">
        <f>IF(t&lt;Tnet,'2024'!Resal+('2024'!Salim-'2024'!Resal)*(1-EXP(('2024'!Tnet-t)/('2024'!Tau_j))),Resal+(Salim-Resal)*(1-EXP((Tnet-t)/(Tau_j))))*Salcycl</f>
        <v>5.3377974872339549E-2</v>
      </c>
      <c r="P374" s="169">
        <f>(INDEX(Models!$BJ374:$BT374,,T374)*(1-R374)+INDEX(Models!$BJ374:$BT374,,T374+1)*R374-ERP_i)*Q374*Ramure*Pc/MaxiM</f>
        <v>1.1772014691674623E-2</v>
      </c>
      <c r="Q374" s="305">
        <f t="shared" si="130"/>
        <v>0.7</v>
      </c>
      <c r="R374" s="177">
        <f t="shared" si="131"/>
        <v>0.47613647502483492</v>
      </c>
      <c r="S374" s="817">
        <f t="shared" si="132"/>
        <v>-2</v>
      </c>
      <c r="T374" s="176">
        <f t="shared" si="133"/>
        <v>4</v>
      </c>
      <c r="U374" s="251">
        <f t="shared" si="134"/>
        <v>-1.5238635249751651</v>
      </c>
      <c r="V374" s="383">
        <f t="shared" si="135"/>
        <v>11.187115255480293</v>
      </c>
      <c r="W374" s="402">
        <f t="shared" si="136"/>
        <v>10.554344288269398</v>
      </c>
      <c r="X374" s="157">
        <f t="shared" si="137"/>
        <v>46017</v>
      </c>
      <c r="Y374" s="385">
        <f t="shared" si="138"/>
        <v>9.4314325273486403</v>
      </c>
      <c r="Z374" s="385">
        <f t="shared" si="139"/>
        <v>10.029703867800368</v>
      </c>
      <c r="AA374" s="386">
        <f t="shared" si="140"/>
        <v>11.300769109806616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0.11247599430230272</v>
      </c>
      <c r="AD374" s="231">
        <f>(INDEX(Models!$BJ374:$BT374,,AH374)*(1-AF374)+INDEX(Models!$BJ374:$BT374,,AH374+1)*AF374-ERP_i)*AE374*Ramure*Pc/MaxiM</f>
        <v>6.223226519793057E-2</v>
      </c>
      <c r="AE374" s="305">
        <f t="shared" si="142"/>
        <v>0.7</v>
      </c>
      <c r="AF374" s="177">
        <f t="shared" si="143"/>
        <v>9.9999844400890936E-2</v>
      </c>
      <c r="AG374" s="817">
        <f t="shared" si="149"/>
        <v>1</v>
      </c>
      <c r="AH374" s="176">
        <f t="shared" si="144"/>
        <v>7</v>
      </c>
      <c r="AI374" s="225">
        <f t="shared" si="145"/>
        <v>1.0999998444008909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46018</v>
      </c>
      <c r="B375" s="411">
        <f>'2024'!Wh/'2024'!Env_an*'2025'!Env_an</f>
        <v>4.0891005698040592</v>
      </c>
      <c r="C375" s="846"/>
      <c r="D375" s="393">
        <f t="shared" si="127"/>
        <v>4.3485828881070008</v>
      </c>
      <c r="E375" s="385">
        <f t="shared" si="150"/>
        <v>4.5943951530175848</v>
      </c>
      <c r="F375" s="385">
        <f t="shared" si="128"/>
        <v>4.5992250055739712</v>
      </c>
      <c r="G375" s="110">
        <f t="shared" si="151"/>
        <v>0.35867186057562472</v>
      </c>
      <c r="H375" s="414" t="b">
        <f>Wh_hp&gt;='2024'!Maxi_hp</f>
        <v>0</v>
      </c>
      <c r="I375" s="390">
        <f>IF(H375,Wh_hp,'2024'!Maxi_hp)</f>
        <v>13.195050919032267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5.9670546699846283E-2</v>
      </c>
      <c r="M375" s="850"/>
      <c r="N375" s="850"/>
      <c r="O375" s="48">
        <f>IF(t&lt;Tnet,'2024'!Resal+('2024'!Salim-'2024'!Resal)*(1-EXP(('2024'!Tnet-t)/('2024'!Tau_j))),Resal+(Salim-Resal)*(1-EXP((Tnet-t)/(Tau_j))))*Salcycl</f>
        <v>5.3502638916275089E-2</v>
      </c>
      <c r="P375" s="169">
        <f>(INDEX(Models!$BJ375:$BT375,,T375)*(1-R375)+INDEX(Models!$BJ375:$BT375,,T375+1)*R375-ERP_i)*Q375*Ramure*Pc/MaxiM</f>
        <v>1.1751158916152528E-2</v>
      </c>
      <c r="Q375" s="305">
        <f t="shared" si="130"/>
        <v>0.7</v>
      </c>
      <c r="R375" s="177">
        <f t="shared" si="131"/>
        <v>0.47613647502483492</v>
      </c>
      <c r="S375" s="817">
        <f t="shared" si="132"/>
        <v>-2</v>
      </c>
      <c r="T375" s="176">
        <f t="shared" si="133"/>
        <v>4</v>
      </c>
      <c r="U375" s="251">
        <f t="shared" si="134"/>
        <v>-1.5238635249751651</v>
      </c>
      <c r="V375" s="383">
        <f t="shared" si="135"/>
        <v>11.278545912810481</v>
      </c>
      <c r="W375" s="402">
        <f t="shared" si="136"/>
        <v>4.0891005698040592</v>
      </c>
      <c r="X375" s="157">
        <f t="shared" si="137"/>
        <v>46018</v>
      </c>
      <c r="Y375" s="385">
        <f t="shared" si="138"/>
        <v>3.8169101155523979</v>
      </c>
      <c r="Z375" s="385">
        <f t="shared" si="139"/>
        <v>4.0591200266637166</v>
      </c>
      <c r="AA375" s="386">
        <f t="shared" si="140"/>
        <v>4.5737399012789473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0.11251620899372271</v>
      </c>
      <c r="AD375" s="231">
        <f>(INDEX(Models!$BJ375:$BT375,,AH375)*(1-AF375)+INDEX(Models!$BJ375:$BT375,,AH375+1)*AF375-ERP_i)*AE375*Ramure*Pc/MaxiM</f>
        <v>6.2005932286597253E-2</v>
      </c>
      <c r="AE375" s="305">
        <f t="shared" si="142"/>
        <v>0.7</v>
      </c>
      <c r="AF375" s="177">
        <f t="shared" si="143"/>
        <v>9.9999844400890936E-2</v>
      </c>
      <c r="AG375" s="817">
        <f t="shared" si="149"/>
        <v>1</v>
      </c>
      <c r="AH375" s="176">
        <f t="shared" si="144"/>
        <v>7</v>
      </c>
      <c r="AI375" s="225">
        <f t="shared" si="145"/>
        <v>1.0999998444008909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46019</v>
      </c>
      <c r="B376" s="411">
        <f>'2024'!Wh/'2024'!Env_an*'2025'!Env_an</f>
        <v>11.113625281406105</v>
      </c>
      <c r="C376" s="846"/>
      <c r="D376" s="393">
        <f t="shared" si="127"/>
        <v>11.819122186004902</v>
      </c>
      <c r="E376" s="385">
        <f t="shared" si="150"/>
        <v>12.488866945768121</v>
      </c>
      <c r="F376" s="385">
        <f t="shared" si="128"/>
        <v>12.632226999078489</v>
      </c>
      <c r="G376" s="110">
        <f t="shared" si="151"/>
        <v>0.97648559556429126</v>
      </c>
      <c r="H376" s="414" t="b">
        <f>Wh_hp&gt;='2024'!Maxi_hp</f>
        <v>1</v>
      </c>
      <c r="I376" s="390">
        <f>IF(H376,Wh_hp,'2024'!Maxi_hp)</f>
        <v>12.632226999078489</v>
      </c>
      <c r="J376" s="85">
        <f>IF(H376,An,'2024'!An_max)</f>
        <v>2025</v>
      </c>
      <c r="K376" s="197">
        <f t="shared" si="129"/>
        <v>46019</v>
      </c>
      <c r="L376" s="147">
        <f>IF(t&lt;Tvie,1-EXP((T0-t)*PertePVj)+'2024'!Pspv,1-EXP((T0-t)*PertePVj)+Pspv)</f>
        <v>5.9691142328165525E-2</v>
      </c>
      <c r="M376" s="850"/>
      <c r="N376" s="850"/>
      <c r="O376" s="48">
        <f>IF(t&lt;Tnet,'2024'!Resal+('2024'!Salim-'2024'!Resal)*(1-EXP(('2024'!Tnet-t)/('2024'!Tau_j))),Resal+(Salim-Resal)*(1-EXP((Tnet-t)/(Tau_j))))*Salcycl</f>
        <v>5.3627343671089643E-2</v>
      </c>
      <c r="P376" s="169">
        <f>(INDEX(Models!$BJ376:$BT376,,T376)*(1-R376)+INDEX(Models!$BJ376:$BT376,,T376+1)*R376-ERP_i)*Q376*Ramure*Pc/MaxiM</f>
        <v>1.173658569506434E-2</v>
      </c>
      <c r="Q376" s="305">
        <f t="shared" si="130"/>
        <v>0.7</v>
      </c>
      <c r="R376" s="177">
        <f t="shared" si="131"/>
        <v>0.47613647502483492</v>
      </c>
      <c r="S376" s="817">
        <f t="shared" si="132"/>
        <v>-2</v>
      </c>
      <c r="T376" s="176">
        <f t="shared" si="133"/>
        <v>4</v>
      </c>
      <c r="U376" s="251">
        <f t="shared" si="134"/>
        <v>-1.5238635249751651</v>
      </c>
      <c r="V376" s="383">
        <f t="shared" si="135"/>
        <v>11.376783900799213</v>
      </c>
      <c r="W376" s="402">
        <f t="shared" si="136"/>
        <v>11.113625281406105</v>
      </c>
      <c r="X376" s="157">
        <f t="shared" si="137"/>
        <v>46019</v>
      </c>
      <c r="Y376" s="385">
        <f t="shared" si="138"/>
        <v>9.9108544798966847</v>
      </c>
      <c r="Z376" s="385">
        <f t="shared" si="139"/>
        <v>10.539999064175092</v>
      </c>
      <c r="AA376" s="386">
        <f t="shared" si="140"/>
        <v>11.876815919546253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0.11255683883852208</v>
      </c>
      <c r="AD376" s="231">
        <f>(INDEX(Models!$BJ376:$BT376,,AH376)*(1-AF376)+INDEX(Models!$BJ376:$BT376,,AH376+1)*AF376-ERP_i)*AE376*Ramure*Pc/MaxiM</f>
        <v>6.1843914432264217E-2</v>
      </c>
      <c r="AE376" s="305">
        <f t="shared" si="142"/>
        <v>0.7</v>
      </c>
      <c r="AF376" s="177">
        <f t="shared" si="143"/>
        <v>9.9999844400890936E-2</v>
      </c>
      <c r="AG376" s="817">
        <f t="shared" si="149"/>
        <v>1</v>
      </c>
      <c r="AH376" s="176">
        <f t="shared" si="144"/>
        <v>7</v>
      </c>
      <c r="AI376" s="225">
        <f t="shared" si="145"/>
        <v>1.0999998444008909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46020</v>
      </c>
      <c r="B377" s="411">
        <f>'2024'!Wh/'2024'!Env_an*'2025'!Env_an</f>
        <v>6.342664193615307</v>
      </c>
      <c r="C377" s="846"/>
      <c r="D377" s="393">
        <f t="shared" si="127"/>
        <v>6.7454465259281582</v>
      </c>
      <c r="E377" s="385">
        <f t="shared" si="150"/>
        <v>7.1286248569085462</v>
      </c>
      <c r="F377" s="385">
        <f t="shared" si="128"/>
        <v>7.1589026964722606</v>
      </c>
      <c r="G377" s="110">
        <f t="shared" si="151"/>
        <v>0.54826603263431706</v>
      </c>
      <c r="H377" s="414" t="b">
        <f>Wh_hp&gt;='2024'!Maxi_hp</f>
        <v>0</v>
      </c>
      <c r="I377" s="390">
        <f>IF(H377,Wh_hp,'2024'!Maxi_hp)</f>
        <v>12.09881611457118</v>
      </c>
      <c r="J377" s="85">
        <f>IF(H377,An,'2024'!An_max)</f>
        <v>2019</v>
      </c>
      <c r="K377" s="197">
        <f t="shared" si="129"/>
        <v>46020</v>
      </c>
      <c r="L377" s="147">
        <f>IF(t&lt;Tvie,1-EXP((T0-t)*PertePVj)+'2024'!Pspv,1-EXP((T0-t)*PertePVj)+Pspv)</f>
        <v>5.9711737505387608E-2</v>
      </c>
      <c r="M377" s="850"/>
      <c r="N377" s="850"/>
      <c r="O377" s="48">
        <f>IF(t&lt;Tnet,'2024'!Resal+('2024'!Salim-'2024'!Resal)*(1-EXP(('2024'!Tnet-t)/('2024'!Tau_j))),Resal+(Salim-Resal)*(1-EXP((Tnet-t)/(Tau_j))))*Salcycl</f>
        <v>5.375206841036663E-2</v>
      </c>
      <c r="P377" s="169">
        <f>(INDEX(Models!$BJ377:$BT377,,T377)*(1-R377)+INDEX(Models!$BJ377:$BT377,,T377+1)*R377-ERP_i)*Q377*Ramure*Pc/MaxiM</f>
        <v>1.1728482575169751E-2</v>
      </c>
      <c r="Q377" s="305">
        <f t="shared" si="130"/>
        <v>0.7</v>
      </c>
      <c r="R377" s="177">
        <f t="shared" si="131"/>
        <v>0.47613647502483492</v>
      </c>
      <c r="S377" s="817">
        <f t="shared" si="132"/>
        <v>-2</v>
      </c>
      <c r="T377" s="176">
        <f t="shared" si="133"/>
        <v>4</v>
      </c>
      <c r="U377" s="251">
        <f t="shared" si="134"/>
        <v>-1.5238635249751651</v>
      </c>
      <c r="V377" s="383">
        <f t="shared" si="135"/>
        <v>11.481466319882379</v>
      </c>
      <c r="W377" s="402">
        <f t="shared" si="136"/>
        <v>6.342664193615307</v>
      </c>
      <c r="X377" s="157">
        <f t="shared" si="137"/>
        <v>46020</v>
      </c>
      <c r="Y377" s="385">
        <f t="shared" si="138"/>
        <v>5.8404796551146845</v>
      </c>
      <c r="Z377" s="385">
        <f t="shared" si="139"/>
        <v>6.2113714358400269</v>
      </c>
      <c r="AA377" s="386">
        <f t="shared" si="140"/>
        <v>6.9994999962189404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0.11259783710331484</v>
      </c>
      <c r="AD377" s="231">
        <f>(INDEX(Models!$BJ377:$BT377,,AH377)*(1-AF377)+INDEX(Models!$BJ377:$BT377,,AH377+1)*AF377-ERP_i)*AE377*Ramure*Pc/MaxiM</f>
        <v>6.1746538699432099E-2</v>
      </c>
      <c r="AE377" s="305">
        <f t="shared" si="142"/>
        <v>0.7</v>
      </c>
      <c r="AF377" s="177">
        <f t="shared" si="143"/>
        <v>9.9999844400890936E-2</v>
      </c>
      <c r="AG377" s="817">
        <f t="shared" si="149"/>
        <v>1</v>
      </c>
      <c r="AH377" s="176">
        <f t="shared" si="144"/>
        <v>7</v>
      </c>
      <c r="AI377" s="225">
        <f t="shared" si="145"/>
        <v>1.0999998444008909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46021</v>
      </c>
      <c r="B378" s="411">
        <f>'2024'!Wh/'2024'!Env_an*'2025'!Env_an</f>
        <v>8.0860229973966238</v>
      </c>
      <c r="C378" s="846"/>
      <c r="D378" s="393">
        <f t="shared" si="127"/>
        <v>8.5997033340379065</v>
      </c>
      <c r="E378" s="385">
        <f t="shared" si="150"/>
        <v>9.0894116939673637</v>
      </c>
      <c r="F378" s="385">
        <f t="shared" si="128"/>
        <v>9.1503521752826007</v>
      </c>
      <c r="G378" s="110">
        <f t="shared" si="151"/>
        <v>0.69397995540897173</v>
      </c>
      <c r="H378" s="414" t="b">
        <f>Wh_hp&gt;='2024'!Maxi_hp</f>
        <v>0</v>
      </c>
      <c r="I378" s="390">
        <f>IF(H378,Wh_hp,'2024'!Maxi_hp)</f>
        <v>12.623938379603631</v>
      </c>
      <c r="J378" s="85">
        <f>IF(H378,An,'2024'!An_max)</f>
        <v>2019</v>
      </c>
      <c r="K378" s="197">
        <f t="shared" si="129"/>
        <v>46021</v>
      </c>
      <c r="L378" s="147">
        <f>IF(t&lt;Tvie,1-EXP((T0-t)*PertePVj)+'2024'!Pspv,1-EXP((T0-t)*PertePVj)+Pspv)</f>
        <v>5.9732332231522411E-2</v>
      </c>
      <c r="M378" s="850"/>
      <c r="N378" s="850"/>
      <c r="O378" s="48">
        <f>IF(t&lt;Tnet,'2024'!Resal+('2024'!Salim-'2024'!Resal)*(1-EXP(('2024'!Tnet-t)/('2024'!Tau_j))),Resal+(Salim-Resal)*(1-EXP((Tnet-t)/(Tau_j))))*Salcycl</f>
        <v>5.38767938363355E-2</v>
      </c>
      <c r="P378" s="169">
        <f>(INDEX(Models!$BJ378:$BT378,,T378)*(1-R378)+INDEX(Models!$BJ378:$BT378,,T378+1)*R378-ERP_i)*Q378*Ramure*Pc/MaxiM</f>
        <v>1.1727010037149311E-2</v>
      </c>
      <c r="Q378" s="305">
        <f t="shared" si="130"/>
        <v>0.7</v>
      </c>
      <c r="R378" s="177">
        <f t="shared" si="131"/>
        <v>0.47613647502483492</v>
      </c>
      <c r="S378" s="817">
        <f t="shared" si="132"/>
        <v>-2</v>
      </c>
      <c r="T378" s="176">
        <f t="shared" si="133"/>
        <v>4</v>
      </c>
      <c r="U378" s="251">
        <f t="shared" si="134"/>
        <v>-1.5238635249751651</v>
      </c>
      <c r="V378" s="383">
        <f t="shared" si="135"/>
        <v>11.592230448992513</v>
      </c>
      <c r="W378" s="402">
        <f t="shared" si="136"/>
        <v>8.0860229973966238</v>
      </c>
      <c r="X378" s="157">
        <f t="shared" si="137"/>
        <v>46021</v>
      </c>
      <c r="Y378" s="385">
        <f t="shared" si="138"/>
        <v>7.3670778644909305</v>
      </c>
      <c r="Z378" s="385">
        <f t="shared" si="139"/>
        <v>7.8350858133568497</v>
      </c>
      <c r="AA378" s="386">
        <f t="shared" si="140"/>
        <v>8.8296501985185625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0.11263916041980694</v>
      </c>
      <c r="AD378" s="231">
        <f>(INDEX(Models!$BJ378:$BT378,,AH378)*(1-AF378)+INDEX(Models!$BJ378:$BT378,,AH378+1)*AF378-ERP_i)*AE378*Ramure*Pc/MaxiM</f>
        <v>6.1713908706939873E-2</v>
      </c>
      <c r="AE378" s="305">
        <f t="shared" si="142"/>
        <v>0.7</v>
      </c>
      <c r="AF378" s="177">
        <f t="shared" si="143"/>
        <v>9.9999844400890936E-2</v>
      </c>
      <c r="AG378" s="817">
        <f t="shared" si="149"/>
        <v>1</v>
      </c>
      <c r="AH378" s="176">
        <f t="shared" si="144"/>
        <v>7</v>
      </c>
      <c r="AI378" s="225">
        <f t="shared" si="145"/>
        <v>1.0999998444008909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46022</v>
      </c>
      <c r="B379" s="411">
        <f>'2024'!Wh/'2024'!Env_an*'2025'!Env_an</f>
        <v>7.6022939815300763</v>
      </c>
      <c r="C379" s="846"/>
      <c r="D379" s="393">
        <f t="shared" si="127"/>
        <v>8.0854215831635639</v>
      </c>
      <c r="E379" s="385">
        <f t="shared" si="150"/>
        <v>8.5469708476361266</v>
      </c>
      <c r="F379" s="385">
        <f t="shared" si="128"/>
        <v>8.5973009132956495</v>
      </c>
      <c r="G379" s="110">
        <f t="shared" si="151"/>
        <v>0.64544609274231424</v>
      </c>
      <c r="H379" s="414" t="b">
        <f>Wh_hp&gt;='2024'!Maxi_hp</f>
        <v>0</v>
      </c>
      <c r="I379" s="390">
        <f>IF(H379,Wh_hp,'2024'!Maxi_hp)</f>
        <v>12.634141180813497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5.9752926506579929E-2</v>
      </c>
      <c r="M379" s="850"/>
      <c r="N379" s="850"/>
      <c r="O379" s="48">
        <f>IF(t&lt;Tnet,'2024'!Resal+('2024'!Salim-'2024'!Resal)*(1-EXP(('2024'!Tnet-t)/('2024'!Tau_j))),Resal+(Salim-Resal)*(1-EXP((Tnet-t)/(Tau_j))))*Salcycl</f>
        <v>5.400150213455035E-2</v>
      </c>
      <c r="P379" s="169">
        <f>(INDEX(Models!$BJ379:$BT379,,T379)*(1-R379)+INDEX(Models!$BJ379:$BT379,,T379+1)*R379-ERP_i)*Q379*Ramure*Pc/MaxiM</f>
        <v>1.1732303400318353E-2</v>
      </c>
      <c r="Q379" s="306">
        <f t="shared" si="130"/>
        <v>0.7</v>
      </c>
      <c r="R379" s="177">
        <f t="shared" si="131"/>
        <v>0.47613647502483492</v>
      </c>
      <c r="S379" s="817">
        <f t="shared" si="132"/>
        <v>-2</v>
      </c>
      <c r="T379" s="176">
        <f t="shared" si="133"/>
        <v>4</v>
      </c>
      <c r="U379" s="307">
        <f t="shared" si="134"/>
        <v>-1.5238635249751651</v>
      </c>
      <c r="V379" s="383">
        <f t="shared" si="135"/>
        <v>11.708713748255816</v>
      </c>
      <c r="W379" s="402">
        <f t="shared" si="136"/>
        <v>7.6022939815300763</v>
      </c>
      <c r="X379" s="157">
        <f t="shared" si="137"/>
        <v>46022</v>
      </c>
      <c r="Y379" s="385">
        <f t="shared" si="138"/>
        <v>6.9517313006489712</v>
      </c>
      <c r="Z379" s="385">
        <f t="shared" si="139"/>
        <v>7.3935154882432297</v>
      </c>
      <c r="AA379" s="386">
        <f t="shared" si="140"/>
        <v>8.3324188508559995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0.11268076886417144</v>
      </c>
      <c r="AD379" s="231">
        <f>(INDEX(Models!$BJ379:$BT379,,AH379)*(1-AF379)+INDEX(Models!$BJ379:$BT379,,AH379+1)*AF379-ERP_i)*AE379*Ramure*Pc/MaxiM</f>
        <v>6.1745930213306398E-2</v>
      </c>
      <c r="AE379" s="306">
        <f t="shared" si="142"/>
        <v>0.7</v>
      </c>
      <c r="AF379" s="177">
        <f t="shared" si="143"/>
        <v>9.9999844400890936E-2</v>
      </c>
      <c r="AG379" s="817">
        <f t="shared" si="149"/>
        <v>1</v>
      </c>
      <c r="AH379" s="176">
        <f t="shared" si="144"/>
        <v>7</v>
      </c>
      <c r="AI379" s="222">
        <f t="shared" si="145"/>
        <v>1.0999998444008909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54"/>
      <c r="D380" s="401"/>
      <c r="E380" s="387"/>
      <c r="F380" s="387"/>
      <c r="G380" s="122"/>
      <c r="H380" s="414" t="b">
        <f>Wh_hp&gt;='2024'!Maxi_hp</f>
        <v>0</v>
      </c>
      <c r="I380" s="390">
        <f>IF(H380,Wh_hp,'2024'!Maxi_hp)</f>
        <v>9.8304510021791351</v>
      </c>
      <c r="J380" s="85">
        <f>IF(H380,An,'2024'!An_max)</f>
        <v>2020</v>
      </c>
      <c r="K380" s="234"/>
      <c r="L380" s="214"/>
      <c r="M380" s="855"/>
      <c r="N380" s="855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0.84612740135315356</v>
      </c>
      <c r="C381" s="375"/>
      <c r="D381" s="373">
        <f>MIN(D15:D380)</f>
        <v>0.89292897171708829</v>
      </c>
      <c r="E381" s="373">
        <f>MIN(E15:E380)</f>
        <v>0.98265354831074758</v>
      </c>
      <c r="F381" s="374">
        <f>MIN(F15:F380)</f>
        <v>0.98265354831074758</v>
      </c>
      <c r="G381" s="125">
        <f>+MIN(G15:G380)</f>
        <v>6.5748404480078793E-2</v>
      </c>
      <c r="H381" s="94"/>
      <c r="I381" s="374">
        <f>MIN(I15:I380)</f>
        <v>5.9138462610467215</v>
      </c>
      <c r="J381" s="57">
        <f>MIN(J15:J380)</f>
        <v>2018</v>
      </c>
      <c r="K381" s="200" t="s">
        <v>7</v>
      </c>
      <c r="L381" s="146">
        <f t="shared" ref="L381:T381" si="152">MIN(L15:L380)</f>
        <v>5.222673059027505E-2</v>
      </c>
      <c r="M381" s="852"/>
      <c r="N381" s="852"/>
      <c r="O381" s="47">
        <f t="shared" si="152"/>
        <v>1.7188084241429463E-2</v>
      </c>
      <c r="P381" s="168">
        <f t="shared" si="152"/>
        <v>0</v>
      </c>
      <c r="Q381" s="310">
        <f t="shared" si="152"/>
        <v>0.7</v>
      </c>
      <c r="R381" s="311">
        <f t="shared" si="152"/>
        <v>1.1246617023470407E-3</v>
      </c>
      <c r="S381" s="817">
        <f t="shared" si="152"/>
        <v>-2</v>
      </c>
      <c r="T381" s="176">
        <f t="shared" si="152"/>
        <v>4</v>
      </c>
      <c r="U381" s="252">
        <f>MIN(U15:U380)</f>
        <v>-1.998875338297653</v>
      </c>
      <c r="V381" s="57">
        <f>MIN(V15:V380)</f>
        <v>10.528763651569195</v>
      </c>
      <c r="W381" s="58"/>
      <c r="X381" s="112" t="s">
        <v>7</v>
      </c>
      <c r="Y381" s="373">
        <f>MIN(Y15:Y380)</f>
        <v>0.81241663483817628</v>
      </c>
      <c r="Z381" s="373">
        <f>MIN(Z15:Z380)</f>
        <v>0.85735357251375965</v>
      </c>
      <c r="AA381" s="373">
        <f>MIN(AA15:AA380)</f>
        <v>0.98265354831074758</v>
      </c>
      <c r="AB381" s="200" t="s">
        <v>7</v>
      </c>
      <c r="AC381" s="47">
        <f t="shared" ref="AC381:AH381" si="153">MIN(AC15:AC380)</f>
        <v>0.10012591482077833</v>
      </c>
      <c r="AD381" s="168">
        <f t="shared" si="153"/>
        <v>0</v>
      </c>
      <c r="AE381" s="310">
        <f t="shared" si="153"/>
        <v>0.7</v>
      </c>
      <c r="AF381" s="311">
        <f t="shared" si="153"/>
        <v>8.6905885968291408E-4</v>
      </c>
      <c r="AG381" s="817">
        <f t="shared" si="153"/>
        <v>0</v>
      </c>
      <c r="AH381" s="176">
        <f t="shared" si="153"/>
        <v>6</v>
      </c>
      <c r="AI381" s="226">
        <f>MIN(AI15:AI380)</f>
        <v>0.60000111743706197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19.562412871297582</v>
      </c>
      <c r="C382" s="375"/>
      <c r="D382" s="375">
        <f>AVERAGE(D15:D380)</f>
        <v>20.721129526149213</v>
      </c>
      <c r="E382" s="375">
        <f>AVERAGE(E15:E380)</f>
        <v>21.806963394937185</v>
      </c>
      <c r="F382" s="376">
        <f>AVERAGE(F15:F380)</f>
        <v>21.902752658878978</v>
      </c>
      <c r="G382" s="126">
        <f>AVERAGE(G15:G380)</f>
        <v>0.69110109451578894</v>
      </c>
      <c r="H382" s="94"/>
      <c r="I382" s="376">
        <f>AVERAGE(I15:I380)</f>
        <v>29.003993099731066</v>
      </c>
      <c r="J382" s="59">
        <f>AVERAGE(J15:J380)</f>
        <v>2020.7349726775956</v>
      </c>
      <c r="K382" s="200" t="s">
        <v>8</v>
      </c>
      <c r="L382" s="147">
        <f t="shared" ref="L382:V382" si="154">AVERAGE(L15:L380)</f>
        <v>5.599481509868684E-2</v>
      </c>
      <c r="M382" s="850"/>
      <c r="N382" s="850"/>
      <c r="O382" s="48">
        <f t="shared" si="154"/>
        <v>5.6323379599374404E-2</v>
      </c>
      <c r="P382" s="169">
        <f t="shared" si="154"/>
        <v>1.1504715274800027E-2</v>
      </c>
      <c r="Q382" s="312">
        <f t="shared" si="154"/>
        <v>0.69999999999999529</v>
      </c>
      <c r="R382" s="177">
        <f t="shared" si="154"/>
        <v>0.40814145430527066</v>
      </c>
      <c r="S382" s="817">
        <f t="shared" si="154"/>
        <v>-1.5123287671232877</v>
      </c>
      <c r="T382" s="176">
        <f t="shared" si="154"/>
        <v>4.4876712328767123</v>
      </c>
      <c r="U382" s="251">
        <f>AVERAGE(U15:U380)</f>
        <v>-1.1041873128180182</v>
      </c>
      <c r="V382" s="59">
        <f t="shared" si="154"/>
        <v>27.418562833611638</v>
      </c>
      <c r="X382" s="112" t="s">
        <v>8</v>
      </c>
      <c r="Y382" s="375">
        <f>AVERAGE(Y15:Y380)</f>
        <v>18.159928549624535</v>
      </c>
      <c r="Z382" s="375">
        <f>AVERAGE(Z15:Z380)</f>
        <v>19.23494889268872</v>
      </c>
      <c r="AA382" s="375">
        <f>AVERAGE(AA15:AA380)</f>
        <v>21.709559434832826</v>
      </c>
      <c r="AB382" s="200" t="s">
        <v>8</v>
      </c>
      <c r="AC382" s="48">
        <f t="shared" ref="AC382:AH382" si="155">AVERAGE(AC15:AC380)</f>
        <v>0.11586700936931676</v>
      </c>
      <c r="AD382" s="169">
        <f t="shared" si="155"/>
        <v>2.5367077871380369E-2</v>
      </c>
      <c r="AE382" s="312">
        <f t="shared" si="155"/>
        <v>0.69999999999999529</v>
      </c>
      <c r="AF382" s="177">
        <f t="shared" si="155"/>
        <v>0.41139156375127406</v>
      </c>
      <c r="AG382" s="817">
        <f t="shared" si="155"/>
        <v>0.46849315068493153</v>
      </c>
      <c r="AH382" s="176">
        <f t="shared" si="155"/>
        <v>6.4684931506849317</v>
      </c>
      <c r="AI382" s="225">
        <f>AVERAGE(AI15:AI380)</f>
        <v>0.87988471443620475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40.412071318474318</v>
      </c>
      <c r="C383" s="377"/>
      <c r="D383" s="377">
        <f>MAX(D15:D380)</f>
        <v>42.777408451027974</v>
      </c>
      <c r="E383" s="377">
        <f>MAX(E15:E380)</f>
        <v>43.771585370686971</v>
      </c>
      <c r="F383" s="378">
        <f>MAX(F15:F380)</f>
        <v>43.771585370686971</v>
      </c>
      <c r="G383" s="127">
        <f>+MAX(G15:G380)</f>
        <v>1.0412989230211518</v>
      </c>
      <c r="H383" s="94"/>
      <c r="I383" s="378">
        <f>MAX(I15:I380)</f>
        <v>45.292153927540518</v>
      </c>
      <c r="J383" s="60">
        <f>MAX(J15:J380)</f>
        <v>2025</v>
      </c>
      <c r="K383" s="200" t="s">
        <v>9</v>
      </c>
      <c r="L383" s="148">
        <f t="shared" ref="L383:T383" si="156">MAX(L15:L380)</f>
        <v>5.9752926506579929E-2</v>
      </c>
      <c r="M383" s="853"/>
      <c r="N383" s="853"/>
      <c r="O383" s="49">
        <f t="shared" si="156"/>
        <v>0.10000984710921829</v>
      </c>
      <c r="P383" s="170">
        <f t="shared" si="156"/>
        <v>5.9216804027366544E-2</v>
      </c>
      <c r="Q383" s="313">
        <f t="shared" si="156"/>
        <v>0.7</v>
      </c>
      <c r="R383" s="314">
        <f t="shared" si="156"/>
        <v>0.62400490659473873</v>
      </c>
      <c r="S383" s="818">
        <f t="shared" si="156"/>
        <v>0</v>
      </c>
      <c r="T383" s="233">
        <f t="shared" si="156"/>
        <v>6</v>
      </c>
      <c r="U383" s="253">
        <f>MAX(U15:U380)</f>
        <v>0.62400490659473873</v>
      </c>
      <c r="V383" s="60">
        <f>MAX(V15:V380)</f>
        <v>40.274976039893247</v>
      </c>
      <c r="X383" s="112" t="s">
        <v>9</v>
      </c>
      <c r="Y383" s="377">
        <f>MAX(Y15:Y380)</f>
        <v>37.054155687093726</v>
      </c>
      <c r="Z383" s="377">
        <f>MAX(Z15:Z380)</f>
        <v>39.222952472376051</v>
      </c>
      <c r="AA383" s="377">
        <f>MAX(AA15:AA380)</f>
        <v>43.771585370686971</v>
      </c>
      <c r="AB383" s="200" t="s">
        <v>9</v>
      </c>
      <c r="AC383" s="49">
        <f t="shared" ref="AC383:AH383" si="157">MAX(AC15:AC380)</f>
        <v>0.1315122389242728</v>
      </c>
      <c r="AD383" s="170">
        <f t="shared" si="157"/>
        <v>8.1347188817146421E-2</v>
      </c>
      <c r="AE383" s="313">
        <f t="shared" si="157"/>
        <v>0.7</v>
      </c>
      <c r="AF383" s="314">
        <f t="shared" si="157"/>
        <v>0.99755677306155</v>
      </c>
      <c r="AG383" s="818">
        <f t="shared" si="157"/>
        <v>1</v>
      </c>
      <c r="AH383" s="233">
        <f t="shared" si="157"/>
        <v>7</v>
      </c>
      <c r="AI383" s="227">
        <f>MAX(AI15:AI380)</f>
        <v>1.0999998444008909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65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67</v>
      </c>
      <c r="H384" s="404"/>
      <c r="I384" s="405" t="s">
        <v>6</v>
      </c>
      <c r="J384" s="405" t="s">
        <v>113</v>
      </c>
      <c r="K384" s="406"/>
      <c r="L384" s="405" t="s">
        <v>66</v>
      </c>
      <c r="M384" s="407"/>
      <c r="N384" s="407"/>
      <c r="O384" s="407" t="s">
        <v>66</v>
      </c>
      <c r="P384" s="407" t="s">
        <v>66</v>
      </c>
      <c r="Q384" s="405" t="s">
        <v>66</v>
      </c>
      <c r="R384" s="405" t="s">
        <v>67</v>
      </c>
      <c r="S384" s="405" t="s">
        <v>81</v>
      </c>
      <c r="T384" s="405" t="s">
        <v>67</v>
      </c>
      <c r="U384" s="408" t="s">
        <v>81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66</v>
      </c>
      <c r="AD384" s="405" t="s">
        <v>66</v>
      </c>
      <c r="AE384" s="405" t="s">
        <v>66</v>
      </c>
      <c r="AF384" s="405" t="s">
        <v>67</v>
      </c>
      <c r="AG384" s="405" t="s">
        <v>81</v>
      </c>
      <c r="AH384" s="405" t="s">
        <v>67</v>
      </c>
      <c r="AI384" s="408" t="s">
        <v>81</v>
      </c>
      <c r="AJ384" s="835"/>
      <c r="AK384" s="835"/>
      <c r="AL384" s="835"/>
      <c r="AM384" s="835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6" priority="3" stopIfTrue="1" operator="lessThan">
      <formula>0.01</formula>
    </cfRule>
    <cfRule type="cellIs" dxfId="5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39">
        <f>'2025'!An+1</f>
        <v>2026</v>
      </c>
      <c r="K1" s="1240"/>
      <c r="L1" s="113" t="str">
        <f>"Calcul pertes et enveloppes en "&amp;TEXT(An,0)</f>
        <v>Calcul pertes et enveloppes en 2026</v>
      </c>
      <c r="M1" s="243"/>
      <c r="N1" s="243"/>
      <c r="V1" s="458"/>
      <c r="W1" s="456"/>
      <c r="X1" s="486" t="str">
        <f>"Prévision sans nettoyage ni taille végétation en "&amp;TEXT(An,0)</f>
        <v>Prévision sans nettoyage ni taille végétation en 2026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4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91"/>
      <c r="R2" s="18"/>
      <c r="S2" s="494"/>
      <c r="T2" s="494"/>
      <c r="U2" s="294" t="s">
        <v>75</v>
      </c>
      <c r="V2" s="495">
        <f>PertePVan</f>
        <v>8.0000000000000002E-3</v>
      </c>
      <c r="W2" s="451" t="s">
        <v>14</v>
      </c>
      <c r="X2" s="496"/>
      <c r="Y2" s="497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40" t="s">
        <v>272</v>
      </c>
      <c r="AK2" s="840" t="s">
        <v>274</v>
      </c>
      <c r="AL2" s="840" t="s">
        <v>273</v>
      </c>
      <c r="AM2" s="840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49">
        <f>Tmaj</f>
        <v>44926</v>
      </c>
      <c r="F3" s="1249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51"/>
      <c r="U3" s="209" t="s">
        <v>164</v>
      </c>
      <c r="V3" s="634">
        <f>Salim_i</f>
        <v>0.14000000000000001</v>
      </c>
      <c r="W3" s="451"/>
      <c r="X3" s="501" t="s">
        <v>92</v>
      </c>
      <c r="Y3" s="502"/>
      <c r="Z3" s="503"/>
      <c r="AA3" s="497"/>
      <c r="AB3" s="497"/>
      <c r="AC3" s="429"/>
      <c r="AD3" s="429"/>
      <c r="AE3" s="429"/>
      <c r="AF3" s="429"/>
      <c r="AG3" s="429"/>
      <c r="AH3" s="429"/>
      <c r="AI3" s="429"/>
      <c r="AJ3" s="838">
        <f>AL11-AJ11</f>
        <v>0</v>
      </c>
      <c r="AK3" s="839">
        <f>AM11-AK11</f>
        <v>0</v>
      </c>
      <c r="AL3" s="838"/>
      <c r="AM3" s="839"/>
      <c r="AN3" s="837" t="s">
        <v>281</v>
      </c>
    </row>
    <row r="4" spans="1:40" s="19" customFormat="1" ht="16.5" customHeight="1" x14ac:dyDescent="0.3">
      <c r="A4" s="35"/>
      <c r="B4" s="28"/>
      <c r="C4" s="28"/>
      <c r="D4" s="83" t="s">
        <v>128</v>
      </c>
      <c r="E4" s="1188" t="str">
        <f>Station</f>
        <v>Donneville</v>
      </c>
      <c r="F4" s="1189"/>
      <c r="G4" s="1189"/>
      <c r="H4" s="1189"/>
      <c r="I4" s="1190"/>
      <c r="J4" s="158"/>
      <c r="K4" s="191"/>
      <c r="L4" s="505"/>
      <c r="M4" s="504"/>
      <c r="N4" s="504"/>
      <c r="O4" s="429"/>
      <c r="P4" s="34"/>
      <c r="Q4" s="504"/>
      <c r="R4" s="34"/>
      <c r="S4" s="494"/>
      <c r="T4" s="409"/>
      <c r="U4" s="295" t="s">
        <v>78</v>
      </c>
      <c r="V4" s="633">
        <f>Persistant</f>
        <v>0.8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9"/>
      <c r="AD4" s="429"/>
      <c r="AE4" s="429"/>
      <c r="AF4" s="429"/>
      <c r="AG4" s="429"/>
      <c r="AH4" s="429"/>
      <c r="AI4" s="429"/>
      <c r="AJ4" s="838">
        <f>AL12-AJ12</f>
        <v>347.91939891767822</v>
      </c>
      <c r="AK4" s="839">
        <f>AM12-AK12</f>
        <v>55.337574856388592</v>
      </c>
      <c r="AL4" s="838"/>
      <c r="AM4" s="839"/>
      <c r="AN4" s="837" t="s">
        <v>282</v>
      </c>
    </row>
    <row r="5" spans="1:40" s="35" customFormat="1" ht="16.5" customHeight="1" x14ac:dyDescent="0.25">
      <c r="D5" s="161" t="s">
        <v>20</v>
      </c>
      <c r="E5" s="1250">
        <f>T0</f>
        <v>43209</v>
      </c>
      <c r="F5" s="1250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347.91939891767822</v>
      </c>
      <c r="AA5" s="237">
        <f>Wh_Pvg_s-Wh_Pvg</f>
        <v>55.337574856388592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7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51">
        <f>Tservice</f>
        <v>43249</v>
      </c>
      <c r="F6" s="1251"/>
      <c r="G6" s="95"/>
      <c r="H6" s="35"/>
      <c r="I6" s="35"/>
      <c r="J6" s="8"/>
      <c r="K6" s="193"/>
      <c r="L6" s="154" t="s">
        <v>79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2"/>
      <c r="X6" s="496"/>
      <c r="Y6" s="497"/>
      <c r="Z6" s="462"/>
      <c r="AA6" s="462"/>
      <c r="AB6" s="515"/>
      <c r="AC6" s="462"/>
      <c r="AD6" s="462"/>
      <c r="AE6" s="462"/>
      <c r="AF6" s="462"/>
      <c r="AG6" s="462"/>
      <c r="AH6" s="462"/>
      <c r="AI6" s="462"/>
      <c r="AJ6" s="515">
        <f>SUMIF(AJ15:AJ380,"FAUX",Wh)</f>
        <v>6914.0346649798785</v>
      </c>
      <c r="AK6" s="515">
        <f>SUMIF(AK15:AK380,"FAUX",Wh)</f>
        <v>6914.0346649798785</v>
      </c>
      <c r="AL6" s="515">
        <f>SUMIF(AJ15:AJ380,"FAUX",Wh_s)</f>
        <v>6502.1090266816709</v>
      </c>
      <c r="AM6" s="515">
        <f>SUMIF(AK15:AK380,"FAUX",Wh_s)</f>
        <v>6502.1090266816709</v>
      </c>
      <c r="AN6" s="837" t="s">
        <v>279</v>
      </c>
    </row>
    <row r="7" spans="1:40" s="40" customFormat="1" ht="15" customHeight="1" x14ac:dyDescent="0.25">
      <c r="A7" s="183"/>
      <c r="B7" s="178"/>
      <c r="C7" s="178"/>
      <c r="D7" s="22" t="s">
        <v>108</v>
      </c>
      <c r="E7" s="320" t="b">
        <f>AND(YEAR(Tnet)=An,Resal_2026="I")</f>
        <v>0</v>
      </c>
      <c r="F7" s="320" t="b">
        <f>YEAR(Tnet)=An</f>
        <v>0</v>
      </c>
      <c r="J7" s="178"/>
      <c r="K7" s="191"/>
      <c r="L7" s="189" t="s">
        <v>77</v>
      </c>
      <c r="M7" s="848"/>
      <c r="N7" s="848"/>
      <c r="O7" s="18"/>
      <c r="P7" s="118"/>
      <c r="Q7" s="118"/>
      <c r="R7" s="141"/>
      <c r="S7" s="141"/>
      <c r="T7" s="141"/>
      <c r="U7" s="141"/>
      <c r="V7" s="429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7" t="s">
        <v>270</v>
      </c>
    </row>
    <row r="8" spans="1:40" s="6" customFormat="1" ht="15" customHeight="1" x14ac:dyDescent="0.25">
      <c r="A8" s="34"/>
      <c r="B8" s="210"/>
      <c r="C8" s="210"/>
      <c r="D8" s="22" t="s">
        <v>80</v>
      </c>
      <c r="E8" s="320" t="b">
        <f>AND(YEAR(Tnet)=An,Resal_2026&lt;&gt;"I")</f>
        <v>0</v>
      </c>
      <c r="F8" s="321" t="b">
        <f>YEAR(Ttai)=An</f>
        <v>0</v>
      </c>
      <c r="H8" s="179" t="s">
        <v>72</v>
      </c>
      <c r="I8" s="98"/>
      <c r="J8" s="158"/>
      <c r="K8" s="191"/>
      <c r="L8" s="114"/>
      <c r="M8" s="114"/>
      <c r="N8" s="114"/>
      <c r="O8" s="115" t="s">
        <v>59</v>
      </c>
      <c r="P8" s="18"/>
      <c r="Q8" s="18"/>
      <c r="R8" s="18"/>
      <c r="S8" s="18"/>
      <c r="T8" s="18"/>
      <c r="U8" s="18"/>
      <c r="V8" s="517"/>
      <c r="W8" s="404"/>
      <c r="X8" s="1237" t="s">
        <v>98</v>
      </c>
      <c r="Y8" s="1238"/>
      <c r="Z8" s="497"/>
      <c r="AA8" s="497"/>
      <c r="AB8" s="462"/>
      <c r="AC8" s="519" t="s">
        <v>59</v>
      </c>
      <c r="AD8" s="462"/>
      <c r="AE8" s="462"/>
      <c r="AF8" s="462"/>
      <c r="AG8" s="462"/>
      <c r="AH8" s="462"/>
      <c r="AI8" s="462"/>
      <c r="AJ8" s="515">
        <f>SUMIF(AJ15:AJ380,"FAUX",Wh_pvt)</f>
        <v>7381.8611894475525</v>
      </c>
      <c r="AK8" s="515">
        <f>SUMIF(AK15:AK380,"FAUX",Wh_sa)</f>
        <v>7985.8570417439778</v>
      </c>
      <c r="AL8" s="515">
        <f>SUMIF(AJ15:AJ380,"FAUX",Wh_pvt_s)</f>
        <v>6942.1161373881851</v>
      </c>
      <c r="AM8" s="515">
        <f>SUMIF(AK15:AK380,"FAUX",Wh_sa_s)</f>
        <v>7917.5801944225341</v>
      </c>
      <c r="AN8" s="837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7381.8611894475525</v>
      </c>
      <c r="E9" s="184">
        <f>SUM(E$15:E$380)</f>
        <v>7985.8570417439778</v>
      </c>
      <c r="F9" s="184">
        <f>SUM(F$15:F$380)</f>
        <v>8002.3071884701394</v>
      </c>
      <c r="H9" s="1241">
        <f>+SUM(Wh)</f>
        <v>6914.0346649798785</v>
      </c>
      <c r="I9" s="1242"/>
      <c r="J9" s="1243"/>
      <c r="K9" s="191"/>
      <c r="L9" s="232"/>
      <c r="M9" s="232"/>
      <c r="N9" s="232"/>
      <c r="O9" s="223">
        <f>Tnet_2026</f>
        <v>45777</v>
      </c>
      <c r="P9" s="244" t="s">
        <v>87</v>
      </c>
      <c r="Q9" s="245"/>
      <c r="R9" s="245"/>
      <c r="S9" s="245"/>
      <c r="T9" s="245"/>
      <c r="U9" s="246"/>
      <c r="V9" s="462"/>
      <c r="W9" s="520"/>
      <c r="X9" s="1235">
        <f>+SUM(Wh_s)</f>
        <v>6502.1090266816709</v>
      </c>
      <c r="Y9" s="1236"/>
      <c r="Z9" s="515">
        <f>SUM(Z$15:Z$380)</f>
        <v>6942.1161373881851</v>
      </c>
      <c r="AA9" s="515">
        <f>SUM(AA$15:AA$380)</f>
        <v>7917.5801944225341</v>
      </c>
      <c r="AB9" s="515">
        <f>F9</f>
        <v>8002.3071884701394</v>
      </c>
      <c r="AC9" s="325">
        <f>IF(An_Tnet,Tnet,'2025'!Tnet_s)</f>
        <v>45777</v>
      </c>
      <c r="AD9" s="316" t="s">
        <v>87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7" t="s">
        <v>276</v>
      </c>
    </row>
    <row r="10" spans="1:40" s="19" customFormat="1" ht="15" customHeight="1" x14ac:dyDescent="0.25">
      <c r="A10" s="206"/>
      <c r="B10" s="207"/>
      <c r="C10" s="844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IF(Inflex,'2025'!Resal+('2025'!Salim-'2025'!Resal)*(1-EXP(-(Tnet-'2025'!Tnet)/('2025'!Tau_j))),IF(An_Tnet,Resal_2026,'2025'!Resal))</f>
        <v>1.7000000000000001E-2</v>
      </c>
      <c r="P10" s="422" t="b">
        <f>NOT(Acti_tai)</f>
        <v>1</v>
      </c>
      <c r="Q10" s="257">
        <f>IF(Acti_tai,'2025'!PousD,Dens-Dd)</f>
        <v>0</v>
      </c>
      <c r="R10" s="274"/>
      <c r="S10" s="275"/>
      <c r="T10" s="276"/>
      <c r="U10" s="266">
        <f>IF(Acti_tai,'2025'!PousH,Hdtf-Hdd)</f>
        <v>0.5</v>
      </c>
      <c r="V10" s="429"/>
      <c r="W10" s="504"/>
      <c r="X10" s="505"/>
      <c r="Y10" s="521" t="s">
        <v>26</v>
      </c>
      <c r="Z10" s="511" t="s">
        <v>27</v>
      </c>
      <c r="AA10" s="511" t="s">
        <v>28</v>
      </c>
      <c r="AB10" s="429"/>
      <c r="AC10" s="318">
        <f>IF(OR(Inflex,GainD),'2025'!Resal_s+('2025'!Salim-'2025'!Resal_s)*(1-EXP(('2025'!Tnet_s-Tnet)/('2025'!Tau_j))),IF(Acti_net,'2025'!Resal+('2025'!Salim-'2025'!Resal)*(1-EXP(('2025'!Tnet-Tnet)/'2025'!Tau_j)),'2025'!Resal_s))</f>
        <v>9.9030265854205032E-2</v>
      </c>
      <c r="AD10" s="429"/>
      <c r="AE10" s="429"/>
      <c r="AF10" s="260"/>
      <c r="AG10" s="261"/>
      <c r="AH10" s="262"/>
      <c r="AI10" s="472"/>
      <c r="AJ10" s="515">
        <f>SUMIF(AJ15:AJ380,"FAUX",Wh_sa)</f>
        <v>7985.8570417439778</v>
      </c>
      <c r="AK10" s="515">
        <f>SUMIF(AK15:AK380,"FAUX",Wh_hp)</f>
        <v>8002.3071884701394</v>
      </c>
      <c r="AL10" s="515">
        <f>SUMIF(AJ15:AJ380,"FAUX",Wh_sa_s)</f>
        <v>7917.5801944225341</v>
      </c>
      <c r="AM10" s="515">
        <f>SUMIF(AK15:AK380,"FAUX",Wh_hp)</f>
        <v>8002.3071884701394</v>
      </c>
      <c r="AN10" s="837" t="s">
        <v>277</v>
      </c>
    </row>
    <row r="11" spans="1:40" s="40" customFormat="1" ht="15" customHeight="1" x14ac:dyDescent="0.25">
      <c r="A11" s="216"/>
      <c r="B11" s="217" t="s">
        <v>43</v>
      </c>
      <c r="C11" s="845"/>
      <c r="D11" s="50">
        <f>D$9-Prod_an</f>
        <v>467.82652446767406</v>
      </c>
      <c r="E11" s="51">
        <f>(E$9-D$9)*Prod_an/D$9</f>
        <v>565.7175274781996</v>
      </c>
      <c r="F11" s="186">
        <f>(F$9-E$9)*Prod_an/E$9</f>
        <v>14.242289101114245</v>
      </c>
      <c r="G11" s="185" t="s">
        <v>6</v>
      </c>
      <c r="K11" s="194"/>
      <c r="L11" s="211">
        <f>Tvie_2026</f>
        <v>43209</v>
      </c>
      <c r="M11" s="849"/>
      <c r="N11" s="849"/>
      <c r="O11" s="202">
        <f>IF(An_Tnet,Salim_2026,'2025'!Salim)</f>
        <v>0.14666666666666667</v>
      </c>
      <c r="P11" s="256">
        <f>Ttai_2026</f>
        <v>45747</v>
      </c>
      <c r="Q11" s="272">
        <f>Dens_2026</f>
        <v>0.7</v>
      </c>
      <c r="R11" s="277"/>
      <c r="S11" s="230"/>
      <c r="T11" s="230"/>
      <c r="U11" s="266">
        <f>Htf_2026</f>
        <v>-1.0238635249751651</v>
      </c>
      <c r="V11" s="429"/>
      <c r="W11" s="518"/>
      <c r="X11" s="525" t="s">
        <v>43</v>
      </c>
      <c r="Y11" s="50">
        <f>Z$9-Prod_an_s</f>
        <v>440.00711070651414</v>
      </c>
      <c r="Z11" s="51">
        <f>(AA$9-Z$9)*Prod_an_s/Z$9</f>
        <v>913.63692639587782</v>
      </c>
      <c r="AA11" s="186">
        <f>(AB$9-AA$9)*Prod_an_s/AA$9</f>
        <v>69.579863957502837</v>
      </c>
      <c r="AB11" s="526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8">
        <f>IF($AJ7=0,0,($AJ9-$AJ7)*$AJ5/$AJ7)</f>
        <v>0</v>
      </c>
      <c r="AK11" s="839">
        <f>IF($AK7=0,0,($AK9-$AK7)*$AK5/$AK7)</f>
        <v>0</v>
      </c>
      <c r="AL11" s="838">
        <f>IF($AL7=0,0,($AL9-$AL7)*$AL5/$AL7)</f>
        <v>0</v>
      </c>
      <c r="AM11" s="839">
        <f>IF($AM7=0,0,($AM9-$AM7)*$AM5/$AM7)</f>
        <v>0</v>
      </c>
      <c r="AN11" s="837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4.1298923021151568E-2</v>
      </c>
      <c r="K12" s="191"/>
      <c r="L12" s="212">
        <f>Pspv_2026</f>
        <v>0</v>
      </c>
      <c r="M12" s="212"/>
      <c r="N12" s="212"/>
      <c r="O12" s="205">
        <f>IF(An_Tnet,Tau_2026*365,'2025'!Tau_j)</f>
        <v>730</v>
      </c>
      <c r="P12" s="281">
        <f>INDEX(Croivg,MIN(MAX(Ttai-$A$15,0)+1,366))</f>
        <v>2.3909964587625958E-6</v>
      </c>
      <c r="Q12" s="280">
        <f>'2025'!Df</f>
        <v>0.7</v>
      </c>
      <c r="R12" s="278"/>
      <c r="S12" s="279"/>
      <c r="T12" s="279"/>
      <c r="U12" s="267">
        <f>'2025'!Hdf</f>
        <v>-1.5238635249751651</v>
      </c>
      <c r="V12" s="40"/>
      <c r="W12" s="34"/>
      <c r="X12" s="54"/>
      <c r="Y12" s="34"/>
      <c r="AB12" s="319" t="s">
        <v>102</v>
      </c>
      <c r="AC12" s="318" t="b">
        <f>NOT(An_Tnet)</f>
        <v>1</v>
      </c>
      <c r="AE12" s="296">
        <f>'2025'!Df_s</f>
        <v>0.7</v>
      </c>
      <c r="AF12" s="203"/>
      <c r="AG12" s="203"/>
      <c r="AH12" s="203"/>
      <c r="AI12" s="297">
        <f>'2025'!Hdf_s</f>
        <v>1.0999998444008909</v>
      </c>
      <c r="AJ12" s="838">
        <f>IF($AJ8=0,0,($AJ10-$AJ8)*$AJ6/$AJ8)</f>
        <v>565.7175274781996</v>
      </c>
      <c r="AK12" s="839">
        <f>IF($AK8=0,0,($AK10-$AK8)*$AK6/$AK8)</f>
        <v>14.242289101114245</v>
      </c>
      <c r="AL12" s="838">
        <f>IF($AL8=0,0,($AL10-$AL8)*$AL6/$AL8)</f>
        <v>913.63692639587782</v>
      </c>
      <c r="AM12" s="839">
        <f>IF($AM8=0,0,($AM10-$AM8)*$AM6/$AM8)</f>
        <v>69.579863957502837</v>
      </c>
      <c r="AN12" s="837" t="s">
        <v>284</v>
      </c>
    </row>
    <row r="13" spans="1:40" s="37" customFormat="1" ht="11.25" x14ac:dyDescent="0.2">
      <c r="A13" s="130" t="s">
        <v>64</v>
      </c>
      <c r="B13" s="124" t="s">
        <v>34</v>
      </c>
      <c r="C13" s="124"/>
      <c r="D13" s="124" t="s">
        <v>68</v>
      </c>
      <c r="E13" s="124" t="s">
        <v>69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42" t="s">
        <v>46</v>
      </c>
      <c r="X13" s="259"/>
      <c r="Y13" s="124" t="s">
        <v>96</v>
      </c>
      <c r="Z13" s="124" t="s">
        <v>97</v>
      </c>
      <c r="AA13" s="124" t="s">
        <v>70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565.7175274781996</v>
      </c>
      <c r="AK13" s="73">
        <f>+AK11+AK12</f>
        <v>14.242289101114245</v>
      </c>
      <c r="AL13" s="73">
        <f>+AL11+AL12</f>
        <v>913.63692639587782</v>
      </c>
      <c r="AM13" s="73">
        <f>+AM11+AM12</f>
        <v>69.579863957502837</v>
      </c>
      <c r="AN13" s="836" t="s">
        <v>285</v>
      </c>
    </row>
    <row r="14" spans="1:40" s="46" customFormat="1" ht="40.5" customHeight="1" thickBot="1" x14ac:dyDescent="0.25">
      <c r="A14" s="45" t="s">
        <v>2</v>
      </c>
      <c r="B14" s="416" t="s">
        <v>187</v>
      </c>
      <c r="C14" s="416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3" t="s">
        <v>112</v>
      </c>
      <c r="I14" s="415" t="s">
        <v>3</v>
      </c>
      <c r="J14" s="79" t="s">
        <v>31</v>
      </c>
      <c r="K14" s="196"/>
      <c r="L14" s="23" t="s">
        <v>63</v>
      </c>
      <c r="M14" s="23"/>
      <c r="N14" s="23"/>
      <c r="O14" s="23" t="s">
        <v>61</v>
      </c>
      <c r="P14" s="23" t="s">
        <v>83</v>
      </c>
      <c r="Q14" s="23" t="s">
        <v>84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2026</v>
      </c>
      <c r="W14" s="372" t="s">
        <v>111</v>
      </c>
      <c r="X14" s="258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131</v>
      </c>
      <c r="AD14" s="23" t="s">
        <v>132</v>
      </c>
      <c r="AE14" s="23" t="s">
        <v>95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7" t="s">
        <v>268</v>
      </c>
      <c r="AK14" s="697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46023</v>
      </c>
      <c r="B15" s="410">
        <f>'2025'!Wh/'2025'!Env_an*'2026'!Env_an</f>
        <v>11.539395928764026</v>
      </c>
      <c r="C15" s="846"/>
      <c r="D15" s="393">
        <f t="shared" ref="D15:D78" si="0">Wh/(1-Ppv)</f>
        <v>12.272996111342355</v>
      </c>
      <c r="E15" s="400">
        <f t="shared" ref="E15:E79" si="1">Wh_pvt/(1-Psa)</f>
        <v>12.975299467095795</v>
      </c>
      <c r="F15" s="400">
        <f t="shared" ref="F15:F78" si="2">Wh_sa/(1-Pvg*MEDIAN((-Sdif+Wh/Env_an)/Csdif,0,1))</f>
        <v>13.124015434171136</v>
      </c>
      <c r="G15" s="123">
        <f>+Wh_hp/MaxiM</f>
        <v>0.97498198401821268</v>
      </c>
      <c r="H15" s="414" t="b">
        <f>Wh_hp&gt;='2025'!Maxi_hp</f>
        <v>1</v>
      </c>
      <c r="I15" s="396">
        <f>IF(H15,Wh_hp,'2025'!Maxi_hp)</f>
        <v>13.124015434171136</v>
      </c>
      <c r="J15" s="84">
        <f>IF(H15,An,'2025'!An_max)</f>
        <v>2026</v>
      </c>
      <c r="K15" s="197">
        <f t="shared" ref="K15:K78" si="3">t</f>
        <v>46023</v>
      </c>
      <c r="L15" s="146">
        <f>IF(t&lt;Tvie,1-EXP((T0-t)*PertePVj)+'2025'!Pspv,1-EXP((T0-t)*PertePVj)+Pspv)</f>
        <v>5.9773520330569929E-2</v>
      </c>
      <c r="M15" s="850"/>
      <c r="N15" s="850"/>
      <c r="O15" s="48">
        <f>IF(t&lt;Tnet,'2025'!Resal+('2025'!Salim-'2025'!Resal)*(1-EXP(('2025'!Tnet-t)/('2025'!Tau_j))),Resal+(Salim-Resal)*(1-EXP((Tnet-t)/(Tau_j))))*Salcycl</f>
        <v>5.4126177013056095E-2</v>
      </c>
      <c r="P15" s="302">
        <f>(INDEX(Models!$BJ15:$BT15,,T15)*(1-R15)+INDEX(Models!$BJ15:$BT15,,T15+1)*R15-ERP_i)*Q15*Ramure*Pc/MaxiM</f>
        <v>1.174450447365474E-2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0.47613767052306422</v>
      </c>
      <c r="S15" s="816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-1.5238623294769358</v>
      </c>
      <c r="V15" s="382">
        <f t="shared" ref="V15:V78" si="9">MaxiM*(1-Ppv)*(1-Pvg)*(1-Psa)</f>
        <v>11.830553515138762</v>
      </c>
      <c r="W15" s="402">
        <f t="shared" ref="W15:W78" si="10">Wh*(A15&gt;Tmaj)</f>
        <v>11.539395928764026</v>
      </c>
      <c r="X15" s="156">
        <f t="shared" ref="X15:X78" si="11">t</f>
        <v>46023</v>
      </c>
      <c r="Y15" s="385">
        <f t="shared" ref="Y15:Y78" si="12">Wh_pvt_s*(1-Ppv)</f>
        <v>10.295318521630362</v>
      </c>
      <c r="Z15" s="385">
        <f>Wh_sa_s*(1-Psa_s)</f>
        <v>10.949828306526792</v>
      </c>
      <c r="AA15" s="386">
        <f t="shared" ref="AA15:AA78" si="13">Wh_hp*(1-Pvg_s*MEDIAN((-Sdif+Wh/Env_an)/Csdif,0,1))</f>
        <v>12.340930387084388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0.11272262600342338</v>
      </c>
      <c r="AD15" s="231">
        <f>(INDEX(Models!$BJ15:$BT15,,AH15)*(1-AF15)+INDEX(Models!$BJ15:$BT15,,AH15+1)*AF15-ERP_i)*AE15*Ramure*Pc/MaxiM</f>
        <v>6.1842356403487016E-2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0.10000103989912024</v>
      </c>
      <c r="AG15" s="816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1.1000010398991202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46024</v>
      </c>
      <c r="B16" s="411">
        <f>'2025'!Wh/'2025'!Env_an*'2026'!Env_an</f>
        <v>9.0093351410172513</v>
      </c>
      <c r="C16" s="846"/>
      <c r="D16" s="393">
        <f t="shared" si="0"/>
        <v>9.582300294359273</v>
      </c>
      <c r="E16" s="385">
        <f t="shared" si="1"/>
        <v>10.131967684574761</v>
      </c>
      <c r="F16" s="385">
        <f t="shared" si="2"/>
        <v>10.209725631873367</v>
      </c>
      <c r="G16" s="110">
        <f t="shared" ref="G16:G79" si="21">+Wh_hp/MaxiM</f>
        <v>0.75030443212857323</v>
      </c>
      <c r="H16" s="414" t="b">
        <f>Wh_hp&gt;='2025'!Maxi_hp</f>
        <v>0</v>
      </c>
      <c r="I16" s="390">
        <f>IF(H16,Wh_hp,'2025'!Maxi_hp)</f>
        <v>13.53519224964062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5.9794113703502294E-2</v>
      </c>
      <c r="M16" s="850"/>
      <c r="N16" s="850"/>
      <c r="O16" s="48">
        <f>IF(t&lt;Tnet,'2025'!Resal+('2025'!Salim-'2025'!Resal)*(1-EXP(('2025'!Tnet-t)/('2025'!Tau_j))),Resal+(Salim-Resal)*(1-EXP((Tnet-t)/(Tau_j))))*Salcycl</f>
        <v>5.4250803726142834E-2</v>
      </c>
      <c r="P16" s="169">
        <f>(INDEX(Models!$BJ16:$BT16,,T16)*(1-R16)+INDEX(Models!$BJ16:$BT16,,T16+1)*R16-ERP_i)*Q16*Ramure*Pc/MaxiM</f>
        <v>1.1757116963710434E-2</v>
      </c>
      <c r="Q16" s="305">
        <f t="shared" si="4"/>
        <v>0.7</v>
      </c>
      <c r="R16" s="177">
        <f t="shared" si="5"/>
        <v>0.47616688513705863</v>
      </c>
      <c r="S16" s="817">
        <f t="shared" si="6"/>
        <v>-2</v>
      </c>
      <c r="T16" s="176">
        <f t="shared" si="7"/>
        <v>4</v>
      </c>
      <c r="U16" s="251">
        <f t="shared" si="8"/>
        <v>-1.5238331148629414</v>
      </c>
      <c r="V16" s="383">
        <f t="shared" si="9"/>
        <v>11.957467291741704</v>
      </c>
      <c r="W16" s="402">
        <f t="shared" si="10"/>
        <v>9.0093351410172513</v>
      </c>
      <c r="X16" s="157">
        <f t="shared" si="11"/>
        <v>46024</v>
      </c>
      <c r="Y16" s="385">
        <f t="shared" si="12"/>
        <v>8.1747312902183946</v>
      </c>
      <c r="Z16" s="385">
        <f t="shared" ref="Z16:Z78" si="22">Wh_sa_s*(1-Psa_s)</f>
        <v>8.6946182845322664</v>
      </c>
      <c r="AA16" s="386">
        <f t="shared" si="13"/>
        <v>9.7996757724194108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0.11276469890945386</v>
      </c>
      <c r="AD16" s="231">
        <f>(INDEX(Models!$BJ16:$BT16,,AH16)*(1-AF16)+INDEX(Models!$BJ16:$BT16,,AH16+1)*AF16-ERP_i)*AE16*Ramure*Pc/MaxiM</f>
        <v>6.200014694368871E-2</v>
      </c>
      <c r="AE16" s="305">
        <f t="shared" si="15"/>
        <v>0.7</v>
      </c>
      <c r="AF16" s="177">
        <f t="shared" ref="AF16:AF78" si="23">(Hp_vg_s-AG16)/(INDEX(Echel_vg,AH16+1)-AG16)</f>
        <v>0.10003025451311465</v>
      </c>
      <c r="AG16" s="817">
        <f t="shared" ref="AG16:AG79" si="24">INDEX(Echel_vg,AH16)</f>
        <v>1</v>
      </c>
      <c r="AH16" s="176">
        <f t="shared" si="16"/>
        <v>7</v>
      </c>
      <c r="AI16" s="225">
        <f t="shared" si="17"/>
        <v>1.1000302545131146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46025</v>
      </c>
      <c r="B17" s="411">
        <f>'2025'!Wh/'2025'!Env_an*'2026'!Env_an</f>
        <v>10.336773430493478</v>
      </c>
      <c r="C17" s="846"/>
      <c r="D17" s="393">
        <f t="shared" si="0"/>
        <v>10.994400256349078</v>
      </c>
      <c r="E17" s="385">
        <f t="shared" si="1"/>
        <v>11.626600975575988</v>
      </c>
      <c r="F17" s="385">
        <f t="shared" si="2"/>
        <v>11.736129372399597</v>
      </c>
      <c r="G17" s="110">
        <f t="shared" si="21"/>
        <v>0.85294541820491243</v>
      </c>
      <c r="H17" s="414" t="b">
        <f>Wh_hp&gt;='2025'!Maxi_hp</f>
        <v>0</v>
      </c>
      <c r="I17" s="390">
        <f>IF(H17,Wh_hp,'2025'!Maxi_hp)</f>
        <v>14.124165439868252</v>
      </c>
      <c r="J17" s="85">
        <f>IF(H17,An,'2025'!An_max)</f>
        <v>2019</v>
      </c>
      <c r="K17" s="197">
        <f t="shared" si="3"/>
        <v>46025</v>
      </c>
      <c r="L17" s="147">
        <f>IF(t&lt;Tvie,1-EXP((T0-t)*PertePVj)+'2025'!Pspv,1-EXP((T0-t)*PertePVj)+Pspv)</f>
        <v>5.9814706625387015E-2</v>
      </c>
      <c r="M17" s="850"/>
      <c r="N17" s="850"/>
      <c r="O17" s="48">
        <f>IF(t&lt;Tnet,'2025'!Resal+('2025'!Salim-'2025'!Resal)*(1-EXP(('2025'!Tnet-t)/('2025'!Tau_j))),Resal+(Salim-Resal)*(1-EXP((Tnet-t)/(Tau_j))))*Salcycl</f>
        <v>5.4375369082931044E-2</v>
      </c>
      <c r="P17" s="169">
        <f>(INDEX(Models!$BJ17:$BT17,,T17)*(1-R17)+INDEX(Models!$BJ17:$BT17,,T17+1)*R17-ERP_i)*Q17*Ramure*Pc/MaxiM</f>
        <v>1.1769786231801185E-2</v>
      </c>
      <c r="Q17" s="305">
        <f t="shared" si="4"/>
        <v>0.7</v>
      </c>
      <c r="R17" s="177">
        <f t="shared" si="5"/>
        <v>0.47619732173254814</v>
      </c>
      <c r="S17" s="817">
        <f t="shared" si="6"/>
        <v>-2</v>
      </c>
      <c r="T17" s="176">
        <f t="shared" si="7"/>
        <v>4</v>
      </c>
      <c r="U17" s="251">
        <f t="shared" si="8"/>
        <v>-1.5238026782674519</v>
      </c>
      <c r="V17" s="383">
        <f t="shared" si="9"/>
        <v>12.089100966755829</v>
      </c>
      <c r="W17" s="402">
        <f t="shared" si="10"/>
        <v>10.336773430493478</v>
      </c>
      <c r="X17" s="157">
        <f t="shared" si="11"/>
        <v>46025</v>
      </c>
      <c r="Y17" s="385">
        <f t="shared" si="12"/>
        <v>9.3064515444910789</v>
      </c>
      <c r="Z17" s="385">
        <f t="shared" si="22"/>
        <v>9.8985291623605107</v>
      </c>
      <c r="AA17" s="386">
        <f t="shared" si="13"/>
        <v>11.157131193935887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0.1128069581416638</v>
      </c>
      <c r="AD17" s="231">
        <f>(INDEX(Models!$BJ17:$BT17,,AH17)*(1-AF17)+INDEX(Models!$BJ17:$BT17,,AH17+1)*AF17-ERP_i)*AE17*Ramure*Pc/MaxiM</f>
        <v>6.2218429071821998E-2</v>
      </c>
      <c r="AE17" s="305">
        <f t="shared" si="15"/>
        <v>0.7</v>
      </c>
      <c r="AF17" s="177">
        <f>(Hp_vg_s-AG17)/(INDEX(Echel_vg,AH17+1)-AG17)</f>
        <v>0.10006069110860416</v>
      </c>
      <c r="AG17" s="817">
        <f>INDEX(Echel_vg,AH17)</f>
        <v>1</v>
      </c>
      <c r="AH17" s="176">
        <f t="shared" si="16"/>
        <v>7</v>
      </c>
      <c r="AI17" s="225">
        <f t="shared" si="17"/>
        <v>1.1000606911086042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46026</v>
      </c>
      <c r="B18" s="411">
        <f>'2025'!Wh/'2025'!Env_an*'2026'!Env_an</f>
        <v>10.840849718805924</v>
      </c>
      <c r="C18" s="846"/>
      <c r="D18" s="393">
        <f t="shared" si="0"/>
        <v>11.530798495609098</v>
      </c>
      <c r="E18" s="385">
        <f t="shared" si="1"/>
        <v>12.195448763428821</v>
      </c>
      <c r="F18" s="385">
        <f t="shared" si="2"/>
        <v>12.317103083664534</v>
      </c>
      <c r="G18" s="110">
        <f t="shared" si="21"/>
        <v>0.88506334502801287</v>
      </c>
      <c r="H18" s="414" t="b">
        <f>Wh_hp&gt;='2025'!Maxi_hp</f>
        <v>0</v>
      </c>
      <c r="I18" s="390">
        <f>IF(H18,Wh_hp,'2025'!Maxi_hp)</f>
        <v>14.134069142951605</v>
      </c>
      <c r="J18" s="85">
        <f>IF(H18,An,'2025'!An_max)</f>
        <v>2019</v>
      </c>
      <c r="K18" s="197">
        <f t="shared" si="3"/>
        <v>46026</v>
      </c>
      <c r="L18" s="147">
        <f>IF(t&lt;Tvie,1-EXP((T0-t)*PertePVj)+'2025'!Pspv,1-EXP((T0-t)*PertePVj)+Pspv)</f>
        <v>5.9835299096233863E-2</v>
      </c>
      <c r="M18" s="850"/>
      <c r="N18" s="850"/>
      <c r="O18" s="48">
        <f>IF(t&lt;Tnet,'2025'!Resal+('2025'!Salim-'2025'!Resal)*(1-EXP(('2025'!Tnet-t)/('2025'!Tau_j))),Resal+(Salim-Resal)*(1-EXP((Tnet-t)/(Tau_j))))*Salcycl</f>
        <v>5.4499861441167141E-2</v>
      </c>
      <c r="P18" s="169">
        <f>(INDEX(Models!$BJ18:$BT18,,T18)*(1-R18)+INDEX(Models!$BJ18:$BT18,,T18+1)*R18-ERP_i)*Q18*Ramure*Pc/MaxiM</f>
        <v>1.1782809199768181E-2</v>
      </c>
      <c r="Q18" s="305">
        <f t="shared" si="4"/>
        <v>0.7</v>
      </c>
      <c r="R18" s="177">
        <f t="shared" si="5"/>
        <v>0.47622903126384331</v>
      </c>
      <c r="S18" s="817">
        <f t="shared" si="6"/>
        <v>-2</v>
      </c>
      <c r="T18" s="176">
        <f t="shared" si="7"/>
        <v>4</v>
      </c>
      <c r="U18" s="251">
        <f t="shared" si="8"/>
        <v>-1.5237709687361567</v>
      </c>
      <c r="V18" s="383">
        <f t="shared" si="9"/>
        <v>12.225092784311975</v>
      </c>
      <c r="W18" s="402">
        <f t="shared" si="10"/>
        <v>10.840849718805924</v>
      </c>
      <c r="X18" s="157">
        <f t="shared" si="11"/>
        <v>46026</v>
      </c>
      <c r="Y18" s="385">
        <f t="shared" si="12"/>
        <v>9.7351062372586288</v>
      </c>
      <c r="Z18" s="385">
        <f>Wh_sa_s*(1-Psa_s)</f>
        <v>10.354681714704261</v>
      </c>
      <c r="AA18" s="386">
        <f t="shared" si="13"/>
        <v>11.671841798241704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0.11284937769940175</v>
      </c>
      <c r="AD18" s="231">
        <f>(INDEX(Models!$BJ18:$BT18,,AH18)*(1-AF18)+INDEX(Models!$BJ18:$BT18,,AH18+1)*AF18-ERP_i)*AE18*Ramure*Pc/MaxiM</f>
        <v>6.2496675789261949E-2</v>
      </c>
      <c r="AE18" s="305">
        <f t="shared" si="15"/>
        <v>0.7</v>
      </c>
      <c r="AF18" s="177">
        <f t="shared" si="23"/>
        <v>0.10009240063989933</v>
      </c>
      <c r="AG18" s="817">
        <f t="shared" si="24"/>
        <v>1</v>
      </c>
      <c r="AH18" s="176">
        <f t="shared" si="16"/>
        <v>7</v>
      </c>
      <c r="AI18" s="225">
        <f t="shared" si="17"/>
        <v>1.1000924006398993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46027</v>
      </c>
      <c r="B19" s="411">
        <f>'2025'!Wh/'2025'!Env_an*'2026'!Env_an</f>
        <v>8.9687123086083762</v>
      </c>
      <c r="C19" s="846"/>
      <c r="D19" s="393">
        <f t="shared" si="0"/>
        <v>9.5397207979691618</v>
      </c>
      <c r="E19" s="385">
        <f t="shared" si="1"/>
        <v>10.090930518069266</v>
      </c>
      <c r="F19" s="385">
        <f t="shared" si="2"/>
        <v>10.163780771000269</v>
      </c>
      <c r="G19" s="110">
        <f t="shared" si="21"/>
        <v>0.72194413817448866</v>
      </c>
      <c r="H19" s="414" t="b">
        <f>Wh_hp&gt;='2025'!Maxi_hp</f>
        <v>0</v>
      </c>
      <c r="I19" s="390">
        <f>IF(H19,Wh_hp,'2025'!Maxi_hp)</f>
        <v>14.283254951142144</v>
      </c>
      <c r="J19" s="85">
        <f>IF(H19,An,'2025'!An_max)</f>
        <v>2019</v>
      </c>
      <c r="K19" s="197">
        <f t="shared" si="3"/>
        <v>46027</v>
      </c>
      <c r="L19" s="147">
        <f>IF(t&lt;Tvie,1-EXP((T0-t)*PertePVj)+'2025'!Pspv,1-EXP((T0-t)*PertePVj)+Pspv)</f>
        <v>5.9855891116052717E-2</v>
      </c>
      <c r="M19" s="850"/>
      <c r="N19" s="850"/>
      <c r="O19" s="48">
        <f>IF(t&lt;Tnet,'2025'!Resal+('2025'!Salim-'2025'!Resal)*(1-EXP(('2025'!Tnet-t)/('2025'!Tau_j))),Resal+(Salim-Resal)*(1-EXP((Tnet-t)/(Tau_j))))*Salcycl</f>
        <v>5.4624270686740237E-2</v>
      </c>
      <c r="P19" s="169">
        <f>(INDEX(Models!$BJ19:$BT19,,T19)*(1-R19)+INDEX(Models!$BJ19:$BT19,,T19+1)*R19-ERP_i)*Q19*Ramure*Pc/MaxiM</f>
        <v>1.1796470767007924E-2</v>
      </c>
      <c r="Q19" s="305">
        <f t="shared" si="4"/>
        <v>0.7</v>
      </c>
      <c r="R19" s="177">
        <f t="shared" si="5"/>
        <v>0.47626206679640481</v>
      </c>
      <c r="S19" s="817">
        <f t="shared" si="6"/>
        <v>-2</v>
      </c>
      <c r="T19" s="176">
        <f t="shared" si="7"/>
        <v>4</v>
      </c>
      <c r="U19" s="251">
        <f t="shared" si="8"/>
        <v>-1.5237379332035952</v>
      </c>
      <c r="V19" s="383">
        <f t="shared" si="9"/>
        <v>12.365081194040744</v>
      </c>
      <c r="W19" s="402">
        <f t="shared" si="10"/>
        <v>8.9687123086083762</v>
      </c>
      <c r="X19" s="157">
        <f t="shared" si="11"/>
        <v>46027</v>
      </c>
      <c r="Y19" s="385">
        <f t="shared" si="12"/>
        <v>8.1530605279198394</v>
      </c>
      <c r="Z19" s="385">
        <f t="shared" si="22"/>
        <v>8.6721391442833209</v>
      </c>
      <c r="AA19" s="386">
        <f t="shared" si="13"/>
        <v>9.7757415200053615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0.11289193494566079</v>
      </c>
      <c r="AD19" s="231">
        <f>(INDEX(Models!$BJ19:$BT19,,AH19)*(1-AF19)+INDEX(Models!$BJ19:$BT19,,AH19+1)*AF19-ERP_i)*AE19*Ramure*Pc/MaxiM</f>
        <v>6.2834286727164193E-2</v>
      </c>
      <c r="AE19" s="305">
        <f t="shared" si="15"/>
        <v>0.7</v>
      </c>
      <c r="AF19" s="177">
        <f t="shared" si="23"/>
        <v>0.10012543617246084</v>
      </c>
      <c r="AG19" s="817">
        <f t="shared" si="24"/>
        <v>1</v>
      </c>
      <c r="AH19" s="176">
        <f t="shared" si="16"/>
        <v>7</v>
      </c>
      <c r="AI19" s="225">
        <f t="shared" si="17"/>
        <v>1.1001254361724608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46028</v>
      </c>
      <c r="B20" s="411">
        <f>'2025'!Wh/'2025'!Env_an*'2026'!Env_an</f>
        <v>12.851941408544628</v>
      </c>
      <c r="C20" s="846"/>
      <c r="D20" s="393">
        <f t="shared" si="0"/>
        <v>13.670481773765079</v>
      </c>
      <c r="E20" s="385">
        <f t="shared" si="1"/>
        <v>14.46227067540325</v>
      </c>
      <c r="F20" s="385">
        <f t="shared" si="2"/>
        <v>14.635126795331706</v>
      </c>
      <c r="G20" s="110">
        <f t="shared" si="21"/>
        <v>1.0274398158824205</v>
      </c>
      <c r="H20" s="414" t="b">
        <f>Wh_hp&gt;='2025'!Maxi_hp</f>
        <v>1</v>
      </c>
      <c r="I20" s="390">
        <f>IF(H20,Wh_hp,'2025'!Maxi_hp)</f>
        <v>14.635126795331706</v>
      </c>
      <c r="J20" s="85">
        <f>IF(H20,An,'2025'!An_max)</f>
        <v>2026</v>
      </c>
      <c r="K20" s="197">
        <f t="shared" si="3"/>
        <v>46028</v>
      </c>
      <c r="L20" s="147">
        <f>IF(t&lt;Tvie,1-EXP((T0-t)*PertePVj)+'2025'!Pspv,1-EXP((T0-t)*PertePVj)+Pspv)</f>
        <v>5.9876482684853571E-2</v>
      </c>
      <c r="M20" s="850"/>
      <c r="N20" s="850"/>
      <c r="O20" s="48">
        <f>IF(t&lt;Tnet,'2025'!Resal+('2025'!Salim-'2025'!Resal)*(1-EXP(('2025'!Tnet-t)/('2025'!Tau_j))),Resal+(Salim-Resal)*(1-EXP((Tnet-t)/(Tau_j))))*Salcycl</f>
        <v>5.4748588199556261E-2</v>
      </c>
      <c r="P20" s="169">
        <f>(INDEX(Models!$BJ20:$BT20,,T20)*(1-R20)+INDEX(Models!$BJ20:$BT20,,T20+1)*R20-ERP_i)*Q20*Ramure*Pc/MaxiM</f>
        <v>1.181104354924987E-2</v>
      </c>
      <c r="Q20" s="305">
        <f t="shared" si="4"/>
        <v>0.7</v>
      </c>
      <c r="R20" s="177">
        <f t="shared" si="5"/>
        <v>0.47629648359315557</v>
      </c>
      <c r="S20" s="817">
        <f t="shared" si="6"/>
        <v>-2</v>
      </c>
      <c r="T20" s="176">
        <f t="shared" si="7"/>
        <v>4</v>
      </c>
      <c r="U20" s="251">
        <f t="shared" si="8"/>
        <v>-1.5237035164068444</v>
      </c>
      <c r="V20" s="383">
        <f t="shared" si="9"/>
        <v>12.508704850518848</v>
      </c>
      <c r="W20" s="402">
        <f t="shared" si="10"/>
        <v>12.851941408544628</v>
      </c>
      <c r="X20" s="157">
        <f t="shared" si="11"/>
        <v>46028</v>
      </c>
      <c r="Y20" s="385">
        <f t="shared" si="12"/>
        <v>11.433250866240337</v>
      </c>
      <c r="Z20" s="385">
        <f t="shared" si="22"/>
        <v>12.161434806877303</v>
      </c>
      <c r="AA20" s="386">
        <f t="shared" si="13"/>
        <v>13.709738820700922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0.11293461050372218</v>
      </c>
      <c r="AD20" s="231">
        <f>(INDEX(Models!$BJ20:$BT20,,AH20)*(1-AF20)+INDEX(Models!$BJ20:$BT20,,AH20+1)*AF20-ERP_i)*AE20*Ramure*Pc/MaxiM</f>
        <v>6.3230608628957227E-2</v>
      </c>
      <c r="AE20" s="305">
        <f t="shared" si="15"/>
        <v>0.7</v>
      </c>
      <c r="AF20" s="177">
        <f t="shared" si="23"/>
        <v>0.10015985296921159</v>
      </c>
      <c r="AG20" s="817">
        <f t="shared" si="24"/>
        <v>1</v>
      </c>
      <c r="AH20" s="176">
        <f t="shared" si="16"/>
        <v>7</v>
      </c>
      <c r="AI20" s="225">
        <f t="shared" si="17"/>
        <v>1.1001598529692116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46029</v>
      </c>
      <c r="B21" s="411">
        <f>'2025'!Wh/'2025'!Env_an*'2026'!Env_an</f>
        <v>5.7253863259679045</v>
      </c>
      <c r="C21" s="846"/>
      <c r="D21" s="393">
        <f t="shared" si="0"/>
        <v>6.0901696680454611</v>
      </c>
      <c r="E21" s="385">
        <f t="shared" si="1"/>
        <v>6.4437566836559501</v>
      </c>
      <c r="F21" s="385">
        <f t="shared" si="2"/>
        <v>6.4603912193239239</v>
      </c>
      <c r="G21" s="110">
        <f t="shared" si="21"/>
        <v>0.44820296843589641</v>
      </c>
      <c r="H21" s="414" t="b">
        <f>Wh_hp&gt;='2025'!Maxi_hp</f>
        <v>0</v>
      </c>
      <c r="I21" s="390">
        <f>IF(H21,Wh_hp,'2025'!Maxi_hp)</f>
        <v>8.971852492930589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5.9897073802646195E-2</v>
      </c>
      <c r="M21" s="850"/>
      <c r="N21" s="850"/>
      <c r="O21" s="48">
        <f>IF(t&lt;Tnet,'2025'!Resal+('2025'!Salim-'2025'!Resal)*(1-EXP(('2025'!Tnet-t)/('2025'!Tau_j))),Resal+(Salim-Resal)*(1-EXP((Tnet-t)/(Tau_j))))*Salcycl</f>
        <v>5.4872806806522165E-2</v>
      </c>
      <c r="P21" s="169">
        <f>(INDEX(Models!$BJ21:$BT21,,T21)*(1-R21)+INDEX(Models!$BJ21:$BT21,,T21+1)*R21-ERP_i)*Q21*Ramure*Pc/MaxiM</f>
        <v>1.1826787838716412E-2</v>
      </c>
      <c r="Q21" s="305">
        <f t="shared" si="4"/>
        <v>0.7</v>
      </c>
      <c r="R21" s="177">
        <f t="shared" si="5"/>
        <v>0.47633233920421869</v>
      </c>
      <c r="S21" s="817">
        <f t="shared" si="6"/>
        <v>-2</v>
      </c>
      <c r="T21" s="176">
        <f t="shared" si="7"/>
        <v>4</v>
      </c>
      <c r="U21" s="251">
        <f t="shared" si="8"/>
        <v>-1.5236676607957813</v>
      </c>
      <c r="V21" s="383">
        <f t="shared" si="9"/>
        <v>12.655602618524894</v>
      </c>
      <c r="W21" s="402">
        <f t="shared" si="10"/>
        <v>5.7253863259679045</v>
      </c>
      <c r="X21" s="157">
        <f t="shared" si="11"/>
        <v>46029</v>
      </c>
      <c r="Y21" s="385">
        <f t="shared" si="12"/>
        <v>5.3125772507597482</v>
      </c>
      <c r="Z21" s="385">
        <f t="shared" si="22"/>
        <v>5.6510591582229477</v>
      </c>
      <c r="AA21" s="386">
        <f t="shared" si="13"/>
        <v>6.370817477021113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0.11297738812864445</v>
      </c>
      <c r="AD21" s="231">
        <f>(INDEX(Models!$BJ21:$BT21,,AH21)*(1-AF21)+INDEX(Models!$BJ21:$BT21,,AH21+1)*AF21-ERP_i)*AE21*Ramure*Pc/MaxiM</f>
        <v>6.368495443938392E-2</v>
      </c>
      <c r="AE21" s="305">
        <f t="shared" si="15"/>
        <v>0.7</v>
      </c>
      <c r="AF21" s="177">
        <f t="shared" si="23"/>
        <v>0.10019570858027471</v>
      </c>
      <c r="AG21" s="817">
        <f t="shared" si="24"/>
        <v>1</v>
      </c>
      <c r="AH21" s="176">
        <f t="shared" si="16"/>
        <v>7</v>
      </c>
      <c r="AI21" s="225">
        <f t="shared" si="17"/>
        <v>1.1001957085802747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46030</v>
      </c>
      <c r="B22" s="411">
        <f>'2025'!Wh/'2025'!Env_an*'2026'!Env_an</f>
        <v>4.6156989325725233</v>
      </c>
      <c r="C22" s="846"/>
      <c r="D22" s="393">
        <f t="shared" si="0"/>
        <v>4.9098879514287814</v>
      </c>
      <c r="E22" s="385">
        <f t="shared" si="1"/>
        <v>5.1956316959121818</v>
      </c>
      <c r="F22" s="385">
        <f t="shared" si="2"/>
        <v>5.2009511948064802</v>
      </c>
      <c r="G22" s="110">
        <f t="shared" si="21"/>
        <v>0.35654456301084542</v>
      </c>
      <c r="H22" s="414" t="b">
        <f>Wh_hp&gt;='2025'!Maxi_hp</f>
        <v>0</v>
      </c>
      <c r="I22" s="390">
        <f>IF(H22,Wh_hp,'2025'!Maxi_hp)</f>
        <v>12.341431159322497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5.9917664469440468E-2</v>
      </c>
      <c r="M22" s="850"/>
      <c r="N22" s="850"/>
      <c r="O22" s="48">
        <f>IF(t&lt;Tnet,'2025'!Resal+('2025'!Salim-'2025'!Resal)*(1-EXP(('2025'!Tnet-t)/('2025'!Tau_j))),Resal+(Salim-Resal)*(1-EXP((Tnet-t)/(Tau_j))))*Salcycl</f>
        <v>5.499692072250191E-2</v>
      </c>
      <c r="P22" s="169">
        <f>(INDEX(Models!$BJ22:$BT22,,T22)*(1-R22)+INDEX(Models!$BJ22:$BT22,,T22+1)*R22-ERP_i)*Q22*Ramure*Pc/MaxiM</f>
        <v>1.184395176800466E-2</v>
      </c>
      <c r="Q22" s="305">
        <f t="shared" si="4"/>
        <v>0.7</v>
      </c>
      <c r="R22" s="177">
        <f t="shared" si="5"/>
        <v>0.47636969356021597</v>
      </c>
      <c r="S22" s="817">
        <f t="shared" si="6"/>
        <v>-2</v>
      </c>
      <c r="T22" s="176">
        <f t="shared" si="7"/>
        <v>4</v>
      </c>
      <c r="U22" s="251">
        <f t="shared" si="8"/>
        <v>-1.523630306439784</v>
      </c>
      <c r="V22" s="383">
        <f t="shared" si="9"/>
        <v>12.805413570766738</v>
      </c>
      <c r="W22" s="402">
        <f t="shared" si="10"/>
        <v>4.6156989325725233</v>
      </c>
      <c r="X22" s="157">
        <f t="shared" si="11"/>
        <v>46030</v>
      </c>
      <c r="Y22" s="385">
        <f t="shared" si="12"/>
        <v>4.3126881521820177</v>
      </c>
      <c r="Z22" s="385">
        <f t="shared" si="22"/>
        <v>4.5875642900449156</v>
      </c>
      <c r="AA22" s="386">
        <f t="shared" si="13"/>
        <v>5.1721184317990083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0.11302025455568869</v>
      </c>
      <c r="AD22" s="231">
        <f>(INDEX(Models!$BJ22:$BT22,,AH22)*(1-AF22)+INDEX(Models!$BJ22:$BT22,,AH22+1)*AF22-ERP_i)*AE22*Ramure*Pc/MaxiM</f>
        <v>6.4196620994664375E-2</v>
      </c>
      <c r="AE22" s="305">
        <f t="shared" si="15"/>
        <v>0.7</v>
      </c>
      <c r="AF22" s="177">
        <f t="shared" si="23"/>
        <v>0.10023306293627199</v>
      </c>
      <c r="AG22" s="817">
        <f t="shared" si="24"/>
        <v>1</v>
      </c>
      <c r="AH22" s="176">
        <f t="shared" si="16"/>
        <v>7</v>
      </c>
      <c r="AI22" s="225">
        <f t="shared" si="17"/>
        <v>1.100233062936272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46031</v>
      </c>
      <c r="B23" s="411">
        <f>'2025'!Wh/'2025'!Env_an*'2026'!Env_an</f>
        <v>1.2733222681033765</v>
      </c>
      <c r="C23" s="846"/>
      <c r="D23" s="393">
        <f t="shared" si="0"/>
        <v>1.3545091845823805</v>
      </c>
      <c r="E23" s="385">
        <f t="shared" si="1"/>
        <v>1.4335264914939139</v>
      </c>
      <c r="F23" s="385">
        <f t="shared" si="2"/>
        <v>1.4335264914939139</v>
      </c>
      <c r="G23" s="110">
        <f t="shared" si="21"/>
        <v>9.7095668518942413E-2</v>
      </c>
      <c r="H23" s="414" t="b">
        <f>Wh_hp&gt;='2025'!Maxi_hp</f>
        <v>0</v>
      </c>
      <c r="I23" s="390">
        <f>IF(H23,Wh_hp,'2025'!Maxi_hp)</f>
        <v>13.592706813048993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5.9938254685246273E-2</v>
      </c>
      <c r="M23" s="850"/>
      <c r="N23" s="850"/>
      <c r="O23" s="48">
        <f>IF(t&lt;Tnet,'2025'!Resal+('2025'!Salim-'2025'!Resal)*(1-EXP(('2025'!Tnet-t)/('2025'!Tau_j))),Resal+(Salim-Resal)*(1-EXP((Tnet-t)/(Tau_j))))*Salcycl</f>
        <v>5.5120925480203399E-2</v>
      </c>
      <c r="P23" s="169">
        <f>(INDEX(Models!$BJ23:$BT23,,T23)*(1-R23)+INDEX(Models!$BJ23:$BT23,,T23+1)*R23-ERP_i)*Q23*Ramure*Pc/MaxiM</f>
        <v>1.186208226942794E-2</v>
      </c>
      <c r="Q23" s="305">
        <f t="shared" si="4"/>
        <v>0.7</v>
      </c>
      <c r="R23" s="177">
        <f t="shared" si="5"/>
        <v>0.47640860906925098</v>
      </c>
      <c r="S23" s="817">
        <f t="shared" si="6"/>
        <v>-2</v>
      </c>
      <c r="T23" s="176">
        <f t="shared" si="7"/>
        <v>4</v>
      </c>
      <c r="U23" s="251">
        <f t="shared" si="8"/>
        <v>-1.523591390930749</v>
      </c>
      <c r="V23" s="383">
        <f t="shared" si="9"/>
        <v>12.958539075902996</v>
      </c>
      <c r="W23" s="402">
        <f t="shared" si="10"/>
        <v>1.2733222681033765</v>
      </c>
      <c r="X23" s="157">
        <f t="shared" si="11"/>
        <v>46031</v>
      </c>
      <c r="Y23" s="385">
        <f t="shared" si="12"/>
        <v>1.1952390619615112</v>
      </c>
      <c r="Z23" s="385">
        <f t="shared" si="22"/>
        <v>1.2714474000442582</v>
      </c>
      <c r="AA23" s="386">
        <f t="shared" si="13"/>
        <v>1.4335264914939139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0.11306319932793782</v>
      </c>
      <c r="AD23" s="231">
        <f>(INDEX(Models!$BJ23:$BT23,,AH23)*(1-AF23)+INDEX(Models!$BJ23:$BT23,,AH23+1)*AF23-ERP_i)*AE23*Ramure*Pc/MaxiM</f>
        <v>6.4761141615781614E-2</v>
      </c>
      <c r="AE23" s="305">
        <f t="shared" si="15"/>
        <v>0.7</v>
      </c>
      <c r="AF23" s="177">
        <f t="shared" si="23"/>
        <v>0.100271978445307</v>
      </c>
      <c r="AG23" s="817">
        <f t="shared" si="24"/>
        <v>1</v>
      </c>
      <c r="AH23" s="176">
        <f t="shared" si="16"/>
        <v>7</v>
      </c>
      <c r="AI23" s="225">
        <f t="shared" si="17"/>
        <v>1.100271978445307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46032</v>
      </c>
      <c r="B24" s="411">
        <f>'2025'!Wh/'2025'!Env_an*'2026'!Env_an</f>
        <v>0.91442029206145692</v>
      </c>
      <c r="C24" s="846"/>
      <c r="D24" s="393">
        <f t="shared" si="0"/>
        <v>0.97274495554029083</v>
      </c>
      <c r="E24" s="385">
        <f t="shared" si="1"/>
        <v>1.0296264830499675</v>
      </c>
      <c r="F24" s="385">
        <f t="shared" si="2"/>
        <v>1.0296264830499675</v>
      </c>
      <c r="G24" s="110">
        <f t="shared" si="21"/>
        <v>6.8891318397358944E-2</v>
      </c>
      <c r="H24" s="414" t="b">
        <f>Wh_hp&gt;='2025'!Maxi_hp</f>
        <v>0</v>
      </c>
      <c r="I24" s="390">
        <f>IF(H24,Wh_hp,'2025'!Maxi_hp)</f>
        <v>10.238443369739281</v>
      </c>
      <c r="J24" s="85">
        <f>IF(H24,An,'2025'!An_max)</f>
        <v>2019</v>
      </c>
      <c r="K24" s="197">
        <f t="shared" si="3"/>
        <v>46032</v>
      </c>
      <c r="L24" s="147">
        <f>IF(t&lt;Tvie,1-EXP((T0-t)*PertePVj)+'2025'!Pspv,1-EXP((T0-t)*PertePVj)+Pspv)</f>
        <v>5.995884445007349E-2</v>
      </c>
      <c r="M24" s="850"/>
      <c r="N24" s="850"/>
      <c r="O24" s="48">
        <f>IF(t&lt;Tnet,'2025'!Resal+('2025'!Salim-'2025'!Resal)*(1-EXP(('2025'!Tnet-t)/('2025'!Tau_j))),Resal+(Salim-Resal)*(1-EXP((Tnet-t)/(Tau_j))))*Salcycl</f>
        <v>5.5244817850043731E-2</v>
      </c>
      <c r="P24" s="169">
        <f>(INDEX(Models!$BJ24:$BT24,,T24)*(1-R24)+INDEX(Models!$BJ24:$BT24,,T24+1)*R24-ERP_i)*Q24*Ramure*Pc/MaxiM</f>
        <v>1.1877677031686473E-2</v>
      </c>
      <c r="Q24" s="305">
        <f t="shared" si="4"/>
        <v>0.7</v>
      </c>
      <c r="R24" s="177">
        <f t="shared" si="5"/>
        <v>0.47644915071772065</v>
      </c>
      <c r="S24" s="817">
        <f t="shared" si="6"/>
        <v>-2</v>
      </c>
      <c r="T24" s="176">
        <f t="shared" si="7"/>
        <v>4</v>
      </c>
      <c r="U24" s="251">
        <f t="shared" si="8"/>
        <v>-1.5235508492822794</v>
      </c>
      <c r="V24" s="383">
        <f t="shared" si="9"/>
        <v>13.115717976966019</v>
      </c>
      <c r="W24" s="402">
        <f t="shared" si="10"/>
        <v>0.91442029206145692</v>
      </c>
      <c r="X24" s="157">
        <f t="shared" si="11"/>
        <v>46032</v>
      </c>
      <c r="Y24" s="385">
        <f t="shared" si="12"/>
        <v>0.85841675133483963</v>
      </c>
      <c r="Z24" s="385">
        <f t="shared" si="22"/>
        <v>0.9131693290946008</v>
      </c>
      <c r="AA24" s="386">
        <f t="shared" si="13"/>
        <v>1.0296264830499675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0.11310621460551054</v>
      </c>
      <c r="AD24" s="231">
        <f>(INDEX(Models!$BJ24:$BT24,,AH24)*(1-AF24)+INDEX(Models!$BJ24:$BT24,,AH24+1)*AF24-ERP_i)*AE24*Ramure*Pc/MaxiM</f>
        <v>6.534009996103983E-2</v>
      </c>
      <c r="AE24" s="305">
        <f t="shared" si="15"/>
        <v>0.7</v>
      </c>
      <c r="AF24" s="177">
        <f t="shared" si="23"/>
        <v>0.10031252009377667</v>
      </c>
      <c r="AG24" s="817">
        <f t="shared" si="24"/>
        <v>1</v>
      </c>
      <c r="AH24" s="176">
        <f t="shared" si="16"/>
        <v>7</v>
      </c>
      <c r="AI24" s="225">
        <f t="shared" si="17"/>
        <v>1.1003125200937767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46033</v>
      </c>
      <c r="B25" s="411">
        <f>'2025'!Wh/'2025'!Env_an*'2026'!Env_an</f>
        <v>13.223471219721807</v>
      </c>
      <c r="C25" s="846"/>
      <c r="D25" s="393">
        <f t="shared" si="0"/>
        <v>14.067214797937718</v>
      </c>
      <c r="E25" s="385">
        <f t="shared" si="1"/>
        <v>14.89175008862124</v>
      </c>
      <c r="F25" s="385">
        <f t="shared" si="2"/>
        <v>15.069833990447261</v>
      </c>
      <c r="G25" s="110">
        <f t="shared" si="21"/>
        <v>0.99589127018621793</v>
      </c>
      <c r="H25" s="414" t="b">
        <f>Wh_hp&gt;='2025'!Maxi_hp</f>
        <v>1</v>
      </c>
      <c r="I25" s="390">
        <f>IF(H25,Wh_hp,'2025'!Maxi_hp)</f>
        <v>15.069833990447261</v>
      </c>
      <c r="J25" s="85">
        <f>IF(H25,An,'2025'!An_max)</f>
        <v>2026</v>
      </c>
      <c r="K25" s="197">
        <f t="shared" si="3"/>
        <v>46033</v>
      </c>
      <c r="L25" s="147">
        <f>IF(t&lt;Tvie,1-EXP((T0-t)*PertePVj)+'2025'!Pspv,1-EXP((T0-t)*PertePVj)+Pspv)</f>
        <v>5.9979433763932111E-2</v>
      </c>
      <c r="M25" s="850"/>
      <c r="N25" s="850"/>
      <c r="O25" s="48">
        <f>IF(t&lt;Tnet,'2025'!Resal+('2025'!Salim-'2025'!Resal)*(1-EXP(('2025'!Tnet-t)/('2025'!Tau_j))),Resal+(Salim-Resal)*(1-EXP((Tnet-t)/(Tau_j))))*Salcycl</f>
        <v>5.5368595751116564E-2</v>
      </c>
      <c r="P25" s="169">
        <f>(INDEX(Models!$BJ25:$BT25,,T25)*(1-R25)+INDEX(Models!$BJ25:$BT25,,T25+1)*R25-ERP_i)*Q25*Ramure*Pc/MaxiM</f>
        <v>1.1885835201048736E-2</v>
      </c>
      <c r="Q25" s="305">
        <f t="shared" si="4"/>
        <v>0.7</v>
      </c>
      <c r="R25" s="177">
        <f t="shared" si="5"/>
        <v>0.47649138617508657</v>
      </c>
      <c r="S25" s="817">
        <f t="shared" si="6"/>
        <v>-2</v>
      </c>
      <c r="T25" s="176">
        <f t="shared" si="7"/>
        <v>4</v>
      </c>
      <c r="U25" s="251">
        <f t="shared" si="8"/>
        <v>-1.5235086138249134</v>
      </c>
      <c r="V25" s="383">
        <f t="shared" si="9"/>
        <v>13.27710539505779</v>
      </c>
      <c r="W25" s="402">
        <f t="shared" si="10"/>
        <v>13.223471219721807</v>
      </c>
      <c r="X25" s="157">
        <f t="shared" si="11"/>
        <v>46033</v>
      </c>
      <c r="Y25" s="385">
        <f t="shared" si="12"/>
        <v>11.740363575584178</v>
      </c>
      <c r="Z25" s="385">
        <f t="shared" si="22"/>
        <v>12.48947522775349</v>
      </c>
      <c r="AA25" s="386">
        <f t="shared" si="13"/>
        <v>14.082951230415432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0.1131492949588903</v>
      </c>
      <c r="AD25" s="231">
        <f>(INDEX(Models!$BJ25:$BT25,,AH25)*(1-AF25)+INDEX(Models!$BJ25:$BT25,,AH25+1)*AF25-ERP_i)*AE25*Ramure*Pc/MaxiM</f>
        <v>6.5867412653357091E-2</v>
      </c>
      <c r="AE25" s="305">
        <f t="shared" si="15"/>
        <v>0.7</v>
      </c>
      <c r="AF25" s="177">
        <f t="shared" si="23"/>
        <v>0.10035475555114259</v>
      </c>
      <c r="AG25" s="817">
        <f t="shared" si="24"/>
        <v>1</v>
      </c>
      <c r="AH25" s="176">
        <f t="shared" si="16"/>
        <v>7</v>
      </c>
      <c r="AI25" s="225">
        <f t="shared" si="17"/>
        <v>1.1003547555511426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46034</v>
      </c>
      <c r="B26" s="411">
        <f>'2025'!Wh/'2025'!Env_an*'2026'!Env_an</f>
        <v>10.784054580126805</v>
      </c>
      <c r="C26" s="846"/>
      <c r="D26" s="393">
        <f t="shared" si="0"/>
        <v>11.472398765649833</v>
      </c>
      <c r="E26" s="385">
        <f t="shared" si="1"/>
        <v>12.146431688567182</v>
      </c>
      <c r="F26" s="385">
        <f t="shared" si="2"/>
        <v>12.250909580591387</v>
      </c>
      <c r="G26" s="110">
        <f t="shared" si="21"/>
        <v>0.7995009693444759</v>
      </c>
      <c r="H26" s="414" t="b">
        <f>Wh_hp&gt;='2025'!Maxi_hp</f>
        <v>0</v>
      </c>
      <c r="I26" s="390">
        <f>IF(H26,Wh_hp,'2025'!Maxi_hp)</f>
        <v>15.033013193258533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6.0000022626831906E-2</v>
      </c>
      <c r="M26" s="850"/>
      <c r="N26" s="850"/>
      <c r="O26" s="48">
        <f>IF(t&lt;Tnet,'2025'!Resal+('2025'!Salim-'2025'!Resal)*(1-EXP(('2025'!Tnet-t)/('2025'!Tau_j))),Resal+(Salim-Resal)*(1-EXP((Tnet-t)/(Tau_j))))*Salcycl</f>
        <v>5.5492258154448776E-2</v>
      </c>
      <c r="P26" s="169">
        <f>(INDEX(Models!$BJ26:$BT26,,T26)*(1-R26)+INDEX(Models!$BJ26:$BT26,,T26+1)*R26-ERP_i)*Q26*Ramure*Pc/MaxiM</f>
        <v>1.1886704610148796E-2</v>
      </c>
      <c r="Q26" s="305">
        <f t="shared" si="4"/>
        <v>0.7</v>
      </c>
      <c r="R26" s="177">
        <f t="shared" si="5"/>
        <v>0.47653538590275768</v>
      </c>
      <c r="S26" s="817">
        <f t="shared" si="6"/>
        <v>-2</v>
      </c>
      <c r="T26" s="176">
        <f t="shared" si="7"/>
        <v>4</v>
      </c>
      <c r="U26" s="251">
        <f t="shared" si="8"/>
        <v>-1.5234646140972423</v>
      </c>
      <c r="V26" s="383">
        <f t="shared" si="9"/>
        <v>13.442791044315648</v>
      </c>
      <c r="W26" s="402">
        <f t="shared" si="10"/>
        <v>10.784054580126805</v>
      </c>
      <c r="X26" s="157">
        <f t="shared" si="11"/>
        <v>46034</v>
      </c>
      <c r="Y26" s="385">
        <f t="shared" si="12"/>
        <v>9.7262527184700822</v>
      </c>
      <c r="Z26" s="385">
        <f t="shared" si="22"/>
        <v>10.347077609140072</v>
      </c>
      <c r="AA26" s="386">
        <f t="shared" si="13"/>
        <v>11.667782326838724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0.1131924371489782</v>
      </c>
      <c r="AD26" s="231">
        <f>(INDEX(Models!$BJ26:$BT26,,AH26)*(1-AF26)+INDEX(Models!$BJ26:$BT26,,AH26+1)*AF26-ERP_i)*AE26*Ramure*Pc/MaxiM</f>
        <v>6.6343809979237944E-2</v>
      </c>
      <c r="AE26" s="305">
        <f t="shared" si="15"/>
        <v>0.7</v>
      </c>
      <c r="AF26" s="177">
        <f t="shared" si="23"/>
        <v>0.1003987552788137</v>
      </c>
      <c r="AG26" s="817">
        <f t="shared" si="24"/>
        <v>1</v>
      </c>
      <c r="AH26" s="176">
        <f t="shared" si="16"/>
        <v>7</v>
      </c>
      <c r="AI26" s="225">
        <f t="shared" si="17"/>
        <v>1.1003987552788137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46035</v>
      </c>
      <c r="B27" s="411">
        <f>'2025'!Wh/'2025'!Env_an*'2026'!Env_an</f>
        <v>3.2882387372555115</v>
      </c>
      <c r="C27" s="846"/>
      <c r="D27" s="393">
        <f t="shared" si="0"/>
        <v>3.4982030200570504</v>
      </c>
      <c r="E27" s="385">
        <f t="shared" si="1"/>
        <v>3.7042159732270554</v>
      </c>
      <c r="F27" s="385">
        <f t="shared" si="2"/>
        <v>3.7042159732270554</v>
      </c>
      <c r="G27" s="110">
        <f t="shared" si="21"/>
        <v>0.23868400355918024</v>
      </c>
      <c r="H27" s="414" t="b">
        <f>Wh_hp&gt;='2025'!Maxi_hp</f>
        <v>0</v>
      </c>
      <c r="I27" s="390">
        <f>IF(H27,Wh_hp,'2025'!Maxi_hp)</f>
        <v>10.493774411231749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6.0020611038782645E-2</v>
      </c>
      <c r="M27" s="850"/>
      <c r="N27" s="850"/>
      <c r="O27" s="48">
        <f>IF(t&lt;Tnet,'2025'!Resal+('2025'!Salim-'2025'!Resal)*(1-EXP(('2025'!Tnet-t)/('2025'!Tau_j))),Resal+(Salim-Resal)*(1-EXP((Tnet-t)/(Tau_j))))*Salcycl</f>
        <v>5.5615804979786257E-2</v>
      </c>
      <c r="P27" s="169">
        <f>(INDEX(Models!$BJ27:$BT27,,T27)*(1-R27)+INDEX(Models!$BJ27:$BT27,,T27+1)*R27-ERP_i)*Q27*Ramure*Pc/MaxiM</f>
        <v>1.1880439213915038E-2</v>
      </c>
      <c r="Q27" s="305">
        <f t="shared" si="4"/>
        <v>0.7</v>
      </c>
      <c r="R27" s="177">
        <f t="shared" si="5"/>
        <v>0.47658122326722685</v>
      </c>
      <c r="S27" s="817">
        <f t="shared" si="6"/>
        <v>-2</v>
      </c>
      <c r="T27" s="176">
        <f t="shared" si="7"/>
        <v>4</v>
      </c>
      <c r="U27" s="251">
        <f t="shared" si="8"/>
        <v>-1.5234187767327731</v>
      </c>
      <c r="V27" s="383">
        <f t="shared" si="9"/>
        <v>13.612864575614907</v>
      </c>
      <c r="W27" s="402">
        <f t="shared" si="10"/>
        <v>3.2882387372555115</v>
      </c>
      <c r="X27" s="157">
        <f t="shared" si="11"/>
        <v>46035</v>
      </c>
      <c r="Y27" s="385">
        <f t="shared" si="12"/>
        <v>3.0876130022986623</v>
      </c>
      <c r="Z27" s="385">
        <f t="shared" si="22"/>
        <v>3.2847667071836768</v>
      </c>
      <c r="AA27" s="386">
        <f t="shared" si="13"/>
        <v>3.7042159732270554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0.11323563989654764</v>
      </c>
      <c r="AD27" s="231">
        <f>(INDEX(Models!$BJ27:$BT27,,AH27)*(1-AF27)+INDEX(Models!$BJ27:$BT27,,AH27+1)*AF27-ERP_i)*AE27*Ramure*Pc/MaxiM</f>
        <v>6.6770062632271018E-2</v>
      </c>
      <c r="AE27" s="305">
        <f t="shared" si="15"/>
        <v>0.7</v>
      </c>
      <c r="AF27" s="177">
        <f t="shared" si="23"/>
        <v>0.10044459264328287</v>
      </c>
      <c r="AG27" s="817">
        <f t="shared" si="24"/>
        <v>1</v>
      </c>
      <c r="AH27" s="176">
        <f t="shared" si="16"/>
        <v>7</v>
      </c>
      <c r="AI27" s="225">
        <f t="shared" si="17"/>
        <v>1.1004445926432829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46036</v>
      </c>
      <c r="B28" s="411">
        <f>'2025'!Wh/'2025'!Env_an*'2026'!Env_an</f>
        <v>13.739866202021515</v>
      </c>
      <c r="C28" s="846"/>
      <c r="D28" s="393">
        <f t="shared" si="0"/>
        <v>14.617519605541212</v>
      </c>
      <c r="E28" s="385">
        <f t="shared" si="1"/>
        <v>15.480384421461821</v>
      </c>
      <c r="F28" s="385">
        <f t="shared" si="2"/>
        <v>15.665372601124893</v>
      </c>
      <c r="G28" s="110">
        <f t="shared" si="21"/>
        <v>0.99649228622319108</v>
      </c>
      <c r="H28" s="414" t="b">
        <f>Wh_hp&gt;='2025'!Maxi_hp</f>
        <v>1</v>
      </c>
      <c r="I28" s="390">
        <f>IF(H28,Wh_hp,'2025'!Maxi_hp)</f>
        <v>15.665372601124893</v>
      </c>
      <c r="J28" s="85">
        <f>IF(H28,An,'2025'!An_max)</f>
        <v>2026</v>
      </c>
      <c r="K28" s="197">
        <f t="shared" si="3"/>
        <v>46036</v>
      </c>
      <c r="L28" s="147">
        <f>IF(t&lt;Tvie,1-EXP((T0-t)*PertePVj)+'2025'!Pspv,1-EXP((T0-t)*PertePVj)+Pspv)</f>
        <v>6.0041198999794432E-2</v>
      </c>
      <c r="M28" s="850"/>
      <c r="N28" s="850"/>
      <c r="O28" s="48">
        <f>IF(t&lt;Tnet,'2025'!Resal+('2025'!Salim-'2025'!Resal)*(1-EXP(('2025'!Tnet-t)/('2025'!Tau_j))),Resal+(Salim-Resal)*(1-EXP((Tnet-t)/(Tau_j))))*Salcycl</f>
        <v>5.5739236987186441E-2</v>
      </c>
      <c r="P28" s="169">
        <f>(INDEX(Models!$BJ28:$BT28,,T28)*(1-R28)+INDEX(Models!$BJ28:$BT28,,T28+1)*R28-ERP_i)*Q28*Ramure*Pc/MaxiM</f>
        <v>1.1867198727691531E-2</v>
      </c>
      <c r="Q28" s="305">
        <f t="shared" si="4"/>
        <v>0.7</v>
      </c>
      <c r="R28" s="177">
        <f t="shared" si="5"/>
        <v>0.47662897465761644</v>
      </c>
      <c r="S28" s="817">
        <f t="shared" si="6"/>
        <v>-2</v>
      </c>
      <c r="T28" s="176">
        <f t="shared" si="7"/>
        <v>4</v>
      </c>
      <c r="U28" s="251">
        <f t="shared" si="8"/>
        <v>-1.5233710253423836</v>
      </c>
      <c r="V28" s="383">
        <f t="shared" si="9"/>
        <v>13.78741557869955</v>
      </c>
      <c r="W28" s="402">
        <f t="shared" si="10"/>
        <v>13.739866202021515</v>
      </c>
      <c r="X28" s="157">
        <f t="shared" si="11"/>
        <v>46036</v>
      </c>
      <c r="Y28" s="385">
        <f t="shared" si="12"/>
        <v>12.184390168410166</v>
      </c>
      <c r="Z28" s="385">
        <f t="shared" si="22"/>
        <v>12.962685338383785</v>
      </c>
      <c r="AA28" s="386">
        <f t="shared" si="13"/>
        <v>14.618672535988484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0.11327890364381317</v>
      </c>
      <c r="AD28" s="231">
        <f>(INDEX(Models!$BJ28:$BT28,,AH28)*(1-AF28)+INDEX(Models!$BJ28:$BT28,,AH28+1)*AF28-ERP_i)*AE28*Ramure*Pc/MaxiM</f>
        <v>6.7146980438886422E-2</v>
      </c>
      <c r="AE28" s="305">
        <f t="shared" si="15"/>
        <v>0.7</v>
      </c>
      <c r="AF28" s="177">
        <f t="shared" si="23"/>
        <v>0.10049234403367246</v>
      </c>
      <c r="AG28" s="817">
        <f t="shared" si="24"/>
        <v>1</v>
      </c>
      <c r="AH28" s="176">
        <f t="shared" si="16"/>
        <v>7</v>
      </c>
      <c r="AI28" s="225">
        <f t="shared" si="17"/>
        <v>1.1004923440336725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46037</v>
      </c>
      <c r="B29" s="411">
        <f>'2025'!Wh/'2025'!Env_an*'2026'!Env_an</f>
        <v>14.042713081966689</v>
      </c>
      <c r="C29" s="846"/>
      <c r="D29" s="393">
        <f t="shared" si="0"/>
        <v>14.94003848383195</v>
      </c>
      <c r="E29" s="385">
        <f t="shared" si="1"/>
        <v>15.824008012255574</v>
      </c>
      <c r="F29" s="385">
        <f t="shared" si="2"/>
        <v>16.01372498587039</v>
      </c>
      <c r="G29" s="110">
        <f t="shared" si="21"/>
        <v>1.0054544313032809</v>
      </c>
      <c r="H29" s="414" t="b">
        <f>Wh_hp&gt;='2025'!Maxi_hp</f>
        <v>1</v>
      </c>
      <c r="I29" s="390">
        <f>IF(H29,Wh_hp,'2025'!Maxi_hp)</f>
        <v>16.01372498587039</v>
      </c>
      <c r="J29" s="85">
        <f>IF(H29,An,'2025'!An_max)</f>
        <v>2026</v>
      </c>
      <c r="K29" s="197">
        <f t="shared" si="3"/>
        <v>46037</v>
      </c>
      <c r="L29" s="147">
        <f>IF(t&lt;Tvie,1-EXP((T0-t)*PertePVj)+'2025'!Pspv,1-EXP((T0-t)*PertePVj)+Pspv)</f>
        <v>6.0061786509877035E-2</v>
      </c>
      <c r="M29" s="850"/>
      <c r="N29" s="850"/>
      <c r="O29" s="48">
        <f>IF(t&lt;Tnet,'2025'!Resal+('2025'!Salim-'2025'!Resal)*(1-EXP(('2025'!Tnet-t)/('2025'!Tau_j))),Resal+(Salim-Resal)*(1-EXP((Tnet-t)/(Tau_j))))*Salcycl</f>
        <v>5.5862555664721356E-2</v>
      </c>
      <c r="P29" s="169">
        <f>(INDEX(Models!$BJ29:$BT29,,T29)*(1-R29)+INDEX(Models!$BJ29:$BT29,,T29+1)*R29-ERP_i)*Q29*Ramure*Pc/MaxiM</f>
        <v>1.1847148229547536E-2</v>
      </c>
      <c r="Q29" s="305">
        <f t="shared" si="4"/>
        <v>0.7</v>
      </c>
      <c r="R29" s="177">
        <f t="shared" si="5"/>
        <v>0.47667871960778863</v>
      </c>
      <c r="S29" s="817">
        <f t="shared" si="6"/>
        <v>-2</v>
      </c>
      <c r="T29" s="176">
        <f t="shared" si="7"/>
        <v>4</v>
      </c>
      <c r="U29" s="251">
        <f t="shared" si="8"/>
        <v>-1.5233212803922114</v>
      </c>
      <c r="V29" s="383">
        <f t="shared" si="9"/>
        <v>13.966533583987861</v>
      </c>
      <c r="W29" s="402">
        <f t="shared" si="10"/>
        <v>14.042713081966689</v>
      </c>
      <c r="X29" s="157">
        <f t="shared" si="11"/>
        <v>46037</v>
      </c>
      <c r="Y29" s="385">
        <f t="shared" si="12"/>
        <v>12.445655765410345</v>
      </c>
      <c r="Z29" s="385">
        <f t="shared" si="22"/>
        <v>13.240929655575842</v>
      </c>
      <c r="AA29" s="386">
        <f t="shared" si="13"/>
        <v>14.933192314292102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0.11332223031083903</v>
      </c>
      <c r="AD29" s="231">
        <f>(INDEX(Models!$BJ29:$BT29,,AH29)*(1-AF29)+INDEX(Models!$BJ29:$BT29,,AH29+1)*AF29-ERP_i)*AE29*Ramure*Pc/MaxiM</f>
        <v>6.7475410782418824E-2</v>
      </c>
      <c r="AE29" s="305">
        <f t="shared" si="15"/>
        <v>0.7</v>
      </c>
      <c r="AF29" s="177">
        <f t="shared" si="23"/>
        <v>0.10054208898384465</v>
      </c>
      <c r="AG29" s="817">
        <f t="shared" si="24"/>
        <v>1</v>
      </c>
      <c r="AH29" s="176">
        <f t="shared" si="16"/>
        <v>7</v>
      </c>
      <c r="AI29" s="225">
        <f t="shared" si="17"/>
        <v>1.1005420889838446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46038</v>
      </c>
      <c r="B30" s="411">
        <f>'2025'!Wh/'2025'!Env_an*'2026'!Env_an</f>
        <v>14.120176022163758</v>
      </c>
      <c r="C30" s="846"/>
      <c r="D30" s="393">
        <f t="shared" si="0"/>
        <v>15.022780321484838</v>
      </c>
      <c r="E30" s="385">
        <f t="shared" si="1"/>
        <v>15.913722202997615</v>
      </c>
      <c r="F30" s="385">
        <f t="shared" si="2"/>
        <v>16.103491584734822</v>
      </c>
      <c r="G30" s="110">
        <f t="shared" si="21"/>
        <v>0.99783412579621411</v>
      </c>
      <c r="H30" s="414" t="b">
        <f>Wh_hp&gt;='2025'!Maxi_hp</f>
        <v>1</v>
      </c>
      <c r="I30" s="390">
        <f>IF(H30,Wh_hp,'2025'!Maxi_hp)</f>
        <v>16.103491584734822</v>
      </c>
      <c r="J30" s="85">
        <f>IF(H30,An,'2025'!An_max)</f>
        <v>2026</v>
      </c>
      <c r="K30" s="197">
        <f t="shared" si="3"/>
        <v>46038</v>
      </c>
      <c r="L30" s="147">
        <f>IF(t&lt;Tvie,1-EXP((T0-t)*PertePVj)+'2025'!Pspv,1-EXP((T0-t)*PertePVj)+Pspv)</f>
        <v>6.0082373569040337E-2</v>
      </c>
      <c r="M30" s="850"/>
      <c r="N30" s="850"/>
      <c r="O30" s="48">
        <f>IF(t&lt;Tnet,'2025'!Resal+('2025'!Salim-'2025'!Resal)*(1-EXP(('2025'!Tnet-t)/('2025'!Tau_j))),Resal+(Salim-Resal)*(1-EXP((Tnet-t)/(Tau_j))))*Salcycl</f>
        <v>5.5985763113607249E-2</v>
      </c>
      <c r="P30" s="169">
        <f>(INDEX(Models!$BJ30:$BT30,,T30)*(1-R30)+INDEX(Models!$BJ30:$BT30,,T30+1)*R30-ERP_i)*Q30*Ramure*Pc/MaxiM</f>
        <v>1.1820322630865951E-2</v>
      </c>
      <c r="Q30" s="305">
        <f t="shared" si="4"/>
        <v>0.7</v>
      </c>
      <c r="R30" s="177">
        <f t="shared" si="5"/>
        <v>0.4767305409231819</v>
      </c>
      <c r="S30" s="817">
        <f t="shared" si="6"/>
        <v>-2</v>
      </c>
      <c r="T30" s="176">
        <f t="shared" si="7"/>
        <v>4</v>
      </c>
      <c r="U30" s="251">
        <f t="shared" si="8"/>
        <v>-1.5232694590768181</v>
      </c>
      <c r="V30" s="383">
        <f t="shared" si="9"/>
        <v>14.150309994612876</v>
      </c>
      <c r="W30" s="402">
        <f t="shared" si="10"/>
        <v>14.120176022163758</v>
      </c>
      <c r="X30" s="157">
        <f t="shared" si="11"/>
        <v>46038</v>
      </c>
      <c r="Y30" s="385">
        <f t="shared" si="12"/>
        <v>12.513459085340193</v>
      </c>
      <c r="Z30" s="385">
        <f t="shared" si="22"/>
        <v>13.313357185199411</v>
      </c>
      <c r="AA30" s="386">
        <f t="shared" si="13"/>
        <v>15.015611317699507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0.11336562304949784</v>
      </c>
      <c r="AD30" s="231">
        <f>(INDEX(Models!$BJ30:$BT30,,AH30)*(1-AF30)+INDEX(Models!$BJ30:$BT30,,AH30+1)*AF30-ERP_i)*AE30*Ramure*Pc/MaxiM</f>
        <v>6.7761699081241591E-2</v>
      </c>
      <c r="AE30" s="305">
        <f t="shared" si="15"/>
        <v>0.7</v>
      </c>
      <c r="AF30" s="177">
        <f t="shared" si="23"/>
        <v>0.10059391029923792</v>
      </c>
      <c r="AG30" s="817">
        <f t="shared" si="24"/>
        <v>1</v>
      </c>
      <c r="AH30" s="176">
        <f t="shared" si="16"/>
        <v>7</v>
      </c>
      <c r="AI30" s="225">
        <f t="shared" si="17"/>
        <v>1.1005939102992379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46039</v>
      </c>
      <c r="B31" s="411">
        <f>'2025'!Wh/'2025'!Env_an*'2026'!Env_an</f>
        <v>10.233923526941789</v>
      </c>
      <c r="C31" s="846"/>
      <c r="D31" s="393">
        <f t="shared" si="0"/>
        <v>10.888345311601608</v>
      </c>
      <c r="E31" s="385">
        <f t="shared" si="1"/>
        <v>11.535594384209654</v>
      </c>
      <c r="F31" s="385">
        <f t="shared" si="2"/>
        <v>11.616523941152511</v>
      </c>
      <c r="G31" s="110">
        <f t="shared" si="21"/>
        <v>0.71025638173097561</v>
      </c>
      <c r="H31" s="414" t="b">
        <f>Wh_hp&gt;='2025'!Maxi_hp</f>
        <v>1</v>
      </c>
      <c r="I31" s="390">
        <f>IF(H31,Wh_hp,'2025'!Maxi_hp)</f>
        <v>11.616523941152511</v>
      </c>
      <c r="J31" s="85">
        <f>IF(H31,An,'2025'!An_max)</f>
        <v>2026</v>
      </c>
      <c r="K31" s="197">
        <f t="shared" si="3"/>
        <v>46039</v>
      </c>
      <c r="L31" s="147">
        <f>IF(t&lt;Tvie,1-EXP((T0-t)*PertePVj)+'2025'!Pspv,1-EXP((T0-t)*PertePVj)+Pspv)</f>
        <v>6.0102960177294107E-2</v>
      </c>
      <c r="M31" s="850"/>
      <c r="N31" s="850"/>
      <c r="O31" s="48">
        <f>IF(t&lt;Tnet,'2025'!Resal+('2025'!Salim-'2025'!Resal)*(1-EXP(('2025'!Tnet-t)/('2025'!Tau_j))),Resal+(Salim-Resal)*(1-EXP((Tnet-t)/(Tau_j))))*Salcycl</f>
        <v>5.6108861932075614E-2</v>
      </c>
      <c r="P31" s="169">
        <f>(INDEX(Models!$BJ31:$BT31,,T31)*(1-R31)+INDEX(Models!$BJ31:$BT31,,T31+1)*R31-ERP_i)*Q31*Ramure*Pc/MaxiM</f>
        <v>1.1787487962529312E-2</v>
      </c>
      <c r="Q31" s="305">
        <f t="shared" si="4"/>
        <v>0.7</v>
      </c>
      <c r="R31" s="177">
        <f t="shared" si="5"/>
        <v>0.47678452481253597</v>
      </c>
      <c r="S31" s="817">
        <f t="shared" si="6"/>
        <v>-2</v>
      </c>
      <c r="T31" s="176">
        <f t="shared" si="7"/>
        <v>4</v>
      </c>
      <c r="U31" s="251">
        <f t="shared" si="8"/>
        <v>-1.523215475187464</v>
      </c>
      <c r="V31" s="383">
        <f t="shared" si="9"/>
        <v>14.338825713367878</v>
      </c>
      <c r="W31" s="402">
        <f t="shared" si="10"/>
        <v>10.233923526941789</v>
      </c>
      <c r="X31" s="157">
        <f t="shared" si="11"/>
        <v>46039</v>
      </c>
      <c r="Y31" s="385">
        <f t="shared" si="12"/>
        <v>9.2910949047758837</v>
      </c>
      <c r="Z31" s="385">
        <f t="shared" si="22"/>
        <v>9.8852262653454854</v>
      </c>
      <c r="AA31" s="386">
        <f t="shared" si="13"/>
        <v>11.149704005785971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0.11340908599764651</v>
      </c>
      <c r="AD31" s="231">
        <f>(INDEX(Models!$BJ31:$BT31,,AH31)*(1-AF31)+INDEX(Models!$BJ31:$BT31,,AH31+1)*AF31-ERP_i)*AE31*Ramure*Pc/MaxiM</f>
        <v>6.7992888836486298E-2</v>
      </c>
      <c r="AE31" s="305">
        <f t="shared" si="15"/>
        <v>0.7</v>
      </c>
      <c r="AF31" s="177">
        <f t="shared" si="23"/>
        <v>0.10064789418859199</v>
      </c>
      <c r="AG31" s="817">
        <f t="shared" si="24"/>
        <v>1</v>
      </c>
      <c r="AH31" s="176">
        <f t="shared" si="16"/>
        <v>7</v>
      </c>
      <c r="AI31" s="225">
        <f t="shared" si="17"/>
        <v>1.100647894188592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46040</v>
      </c>
      <c r="B32" s="411">
        <f>'2025'!Wh/'2025'!Env_an*'2026'!Env_an</f>
        <v>2.478566472001916</v>
      </c>
      <c r="C32" s="846"/>
      <c r="D32" s="393">
        <f t="shared" si="0"/>
        <v>2.6371194451525475</v>
      </c>
      <c r="E32" s="385">
        <f t="shared" si="1"/>
        <v>2.794245026600235</v>
      </c>
      <c r="F32" s="385">
        <f t="shared" si="2"/>
        <v>2.794245026600235</v>
      </c>
      <c r="G32" s="110">
        <f t="shared" si="21"/>
        <v>0.16855337245686328</v>
      </c>
      <c r="H32" s="414" t="b">
        <f>Wh_hp&gt;='2025'!Maxi_hp</f>
        <v>0</v>
      </c>
      <c r="I32" s="390">
        <f>IF(H32,Wh_hp,'2025'!Maxi_hp)</f>
        <v>16.33584148224859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6.0123546334648448E-2</v>
      </c>
      <c r="M32" s="850"/>
      <c r="N32" s="850"/>
      <c r="O32" s="48">
        <f>IF(t&lt;Tnet,'2025'!Resal+('2025'!Salim-'2025'!Resal)*(1-EXP(('2025'!Tnet-t)/('2025'!Tau_j))),Resal+(Salim-Resal)*(1-EXP((Tnet-t)/(Tau_j))))*Salcycl</f>
        <v>5.6231855099287006E-2</v>
      </c>
      <c r="P32" s="169">
        <f>(INDEX(Models!$BJ32:$BT32,,T32)*(1-R32)+INDEX(Models!$BJ32:$BT32,,T32+1)*R32-ERP_i)*Q32*Ramure*Pc/MaxiM</f>
        <v>1.1748804906877925E-2</v>
      </c>
      <c r="Q32" s="305">
        <f t="shared" si="4"/>
        <v>0.7</v>
      </c>
      <c r="R32" s="177">
        <f t="shared" si="5"/>
        <v>0.47684076102467765</v>
      </c>
      <c r="S32" s="817">
        <f t="shared" si="6"/>
        <v>-2</v>
      </c>
      <c r="T32" s="176">
        <f t="shared" si="7"/>
        <v>4</v>
      </c>
      <c r="U32" s="251">
        <f t="shared" si="8"/>
        <v>-1.5231592389753223</v>
      </c>
      <c r="V32" s="383">
        <f t="shared" si="9"/>
        <v>14.532170091704968</v>
      </c>
      <c r="W32" s="402">
        <f t="shared" si="10"/>
        <v>2.478566472001916</v>
      </c>
      <c r="X32" s="157">
        <f t="shared" si="11"/>
        <v>46040</v>
      </c>
      <c r="Y32" s="385">
        <f t="shared" si="12"/>
        <v>2.3282907076043706</v>
      </c>
      <c r="Z32" s="385">
        <f t="shared" si="22"/>
        <v>2.4772305961325549</v>
      </c>
      <c r="AA32" s="386">
        <f t="shared" si="13"/>
        <v>2.794245026600235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0.11345262403612197</v>
      </c>
      <c r="AD32" s="231">
        <f>(INDEX(Models!$BJ32:$BT32,,AH32)*(1-AF32)+INDEX(Models!$BJ32:$BT32,,AH32+1)*AF32-ERP_i)*AE32*Ramure*Pc/MaxiM</f>
        <v>6.8170249075545503E-2</v>
      </c>
      <c r="AE32" s="305">
        <f t="shared" si="15"/>
        <v>0.7</v>
      </c>
      <c r="AF32" s="177">
        <f t="shared" si="23"/>
        <v>0.10070413040073367</v>
      </c>
      <c r="AG32" s="817">
        <f t="shared" si="24"/>
        <v>1</v>
      </c>
      <c r="AH32" s="176">
        <f t="shared" si="16"/>
        <v>7</v>
      </c>
      <c r="AI32" s="225">
        <f t="shared" si="17"/>
        <v>1.1007041304007337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46041</v>
      </c>
      <c r="B33" s="411">
        <f>'2025'!Wh/'2025'!Env_an*'2026'!Env_an</f>
        <v>7.4285263263654526</v>
      </c>
      <c r="C33" s="846"/>
      <c r="D33" s="393">
        <f t="shared" si="0"/>
        <v>7.9038995016312503</v>
      </c>
      <c r="E33" s="385">
        <f t="shared" si="1"/>
        <v>8.375922484598572</v>
      </c>
      <c r="F33" s="385">
        <f t="shared" si="2"/>
        <v>8.4046326158455908</v>
      </c>
      <c r="G33" s="110">
        <f t="shared" si="21"/>
        <v>0.50010373805901764</v>
      </c>
      <c r="H33" s="414" t="b">
        <f>Wh_hp&gt;='2025'!Maxi_hp</f>
        <v>0</v>
      </c>
      <c r="I33" s="390">
        <f>IF(H33,Wh_hp,'2025'!Maxi_hp)</f>
        <v>16.836051106728092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6.0144132041113019E-2</v>
      </c>
      <c r="M33" s="850"/>
      <c r="N33" s="850"/>
      <c r="O33" s="48">
        <f>IF(t&lt;Tnet,'2025'!Resal+('2025'!Salim-'2025'!Resal)*(1-EXP(('2025'!Tnet-t)/('2025'!Tau_j))),Resal+(Salim-Resal)*(1-EXP((Tnet-t)/(Tau_j))))*Salcycl</f>
        <v>5.6354745860562251E-2</v>
      </c>
      <c r="P33" s="169">
        <f>(INDEX(Models!$BJ33:$BT33,,T33)*(1-R33)+INDEX(Models!$BJ33:$BT33,,T33+1)*R33-ERP_i)*Q33*Ramure*Pc/MaxiM</f>
        <v>1.1704437690356322E-2</v>
      </c>
      <c r="Q33" s="305">
        <f t="shared" si="4"/>
        <v>0.7</v>
      </c>
      <c r="R33" s="177">
        <f t="shared" si="5"/>
        <v>0.4768993429905386</v>
      </c>
      <c r="S33" s="817">
        <f t="shared" si="6"/>
        <v>-2</v>
      </c>
      <c r="T33" s="176">
        <f t="shared" si="7"/>
        <v>4</v>
      </c>
      <c r="U33" s="251">
        <f t="shared" si="8"/>
        <v>-1.5231006570094614</v>
      </c>
      <c r="V33" s="383">
        <f t="shared" si="9"/>
        <v>14.73043242556875</v>
      </c>
      <c r="W33" s="402">
        <f t="shared" si="10"/>
        <v>7.4285263263654526</v>
      </c>
      <c r="X33" s="157">
        <f t="shared" si="11"/>
        <v>46041</v>
      </c>
      <c r="Y33" s="385">
        <f t="shared" si="12"/>
        <v>6.8630425555935091</v>
      </c>
      <c r="Z33" s="385">
        <f t="shared" si="22"/>
        <v>7.3022287667343964</v>
      </c>
      <c r="AA33" s="386">
        <f t="shared" si="13"/>
        <v>8.2371097757643099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0.11349624255106733</v>
      </c>
      <c r="AD33" s="231">
        <f>(INDEX(Models!$BJ33:$BT33,,AH33)*(1-AF33)+INDEX(Models!$BJ33:$BT33,,AH33+1)*AF33-ERP_i)*AE33*Ramure*Pc/MaxiM</f>
        <v>6.8295077670414622E-2</v>
      </c>
      <c r="AE33" s="305">
        <f t="shared" si="15"/>
        <v>0.7</v>
      </c>
      <c r="AF33" s="177">
        <f t="shared" si="23"/>
        <v>0.10076271236659462</v>
      </c>
      <c r="AG33" s="817">
        <f t="shared" si="24"/>
        <v>1</v>
      </c>
      <c r="AH33" s="176">
        <f t="shared" si="16"/>
        <v>7</v>
      </c>
      <c r="AI33" s="225">
        <f t="shared" si="17"/>
        <v>1.1007627123665946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46042</v>
      </c>
      <c r="B34" s="411">
        <f>'2025'!Wh/'2025'!Env_an*'2026'!Env_an</f>
        <v>3.9600104827020424</v>
      </c>
      <c r="C34" s="846"/>
      <c r="D34" s="393">
        <f t="shared" si="0"/>
        <v>4.2135154484854374</v>
      </c>
      <c r="E34" s="385">
        <f t="shared" si="1"/>
        <v>4.4657288156504702</v>
      </c>
      <c r="F34" s="385">
        <f t="shared" si="2"/>
        <v>4.4657288156504702</v>
      </c>
      <c r="G34" s="110">
        <f t="shared" si="21"/>
        <v>0.26208225786470846</v>
      </c>
      <c r="H34" s="414" t="b">
        <f>Wh_hp&gt;='2025'!Maxi_hp</f>
        <v>0</v>
      </c>
      <c r="I34" s="390">
        <f>IF(H34,Wh_hp,'2025'!Maxi_hp)</f>
        <v>7.5521238527845549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6.0164717296697812E-2</v>
      </c>
      <c r="M34" s="850"/>
      <c r="N34" s="850"/>
      <c r="O34" s="48">
        <f>IF(t&lt;Tnet,'2025'!Resal+('2025'!Salim-'2025'!Resal)*(1-EXP(('2025'!Tnet-t)/('2025'!Tau_j))),Resal+(Salim-Resal)*(1-EXP((Tnet-t)/(Tau_j))))*Salcycl</f>
        <v>5.6477537615166613E-2</v>
      </c>
      <c r="P34" s="169">
        <f>(INDEX(Models!$BJ34:$BT34,,T34)*(1-R34)+INDEX(Models!$BJ34:$BT34,,T34+1)*R34-ERP_i)*Q34*Ramure*Pc/MaxiM</f>
        <v>1.1654618624938089E-2</v>
      </c>
      <c r="Q34" s="305">
        <f t="shared" si="4"/>
        <v>0.7</v>
      </c>
      <c r="R34" s="177">
        <f t="shared" si="5"/>
        <v>0.47696036797058139</v>
      </c>
      <c r="S34" s="817">
        <f t="shared" si="6"/>
        <v>-2</v>
      </c>
      <c r="T34" s="176">
        <f t="shared" si="7"/>
        <v>4</v>
      </c>
      <c r="U34" s="251">
        <f t="shared" si="8"/>
        <v>-1.5230396320294186</v>
      </c>
      <c r="V34" s="383">
        <f t="shared" si="9"/>
        <v>14.933700978704923</v>
      </c>
      <c r="W34" s="402">
        <f t="shared" si="10"/>
        <v>3.9600104827020424</v>
      </c>
      <c r="X34" s="157">
        <f t="shared" si="11"/>
        <v>46042</v>
      </c>
      <c r="Y34" s="385">
        <f t="shared" si="12"/>
        <v>3.7205167248440598</v>
      </c>
      <c r="Z34" s="385">
        <f t="shared" si="22"/>
        <v>3.9586902016941989</v>
      </c>
      <c r="AA34" s="386">
        <f t="shared" si="13"/>
        <v>4.4657288156504702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0.11353994720398558</v>
      </c>
      <c r="AD34" s="231">
        <f>(INDEX(Models!$BJ34:$BT34,,AH34)*(1-AF34)+INDEX(Models!$BJ34:$BT34,,AH34+1)*AF34-ERP_i)*AE34*Ramure*Pc/MaxiM</f>
        <v>6.8369079736889812E-2</v>
      </c>
      <c r="AE34" s="305">
        <f t="shared" si="15"/>
        <v>0.7</v>
      </c>
      <c r="AF34" s="177">
        <f t="shared" si="23"/>
        <v>0.10082373734663741</v>
      </c>
      <c r="AG34" s="817">
        <f t="shared" si="24"/>
        <v>1</v>
      </c>
      <c r="AH34" s="176">
        <f t="shared" si="16"/>
        <v>7</v>
      </c>
      <c r="AI34" s="225">
        <f t="shared" si="17"/>
        <v>1.1008237373466374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46043</v>
      </c>
      <c r="B35" s="411">
        <f>'2025'!Wh/'2025'!Env_an*'2026'!Env_an</f>
        <v>10.853584671134877</v>
      </c>
      <c r="C35" s="846"/>
      <c r="D35" s="393">
        <f t="shared" si="0"/>
        <v>11.54864325425357</v>
      </c>
      <c r="E35" s="385">
        <f t="shared" si="1"/>
        <v>12.241515917337152</v>
      </c>
      <c r="F35" s="385">
        <f t="shared" si="2"/>
        <v>12.326649551477209</v>
      </c>
      <c r="G35" s="110">
        <f t="shared" si="21"/>
        <v>0.71339636369251513</v>
      </c>
      <c r="H35" s="414" t="b">
        <f>Wh_hp&gt;='2025'!Maxi_hp</f>
        <v>1</v>
      </c>
      <c r="I35" s="390">
        <f>IF(H35,Wh_hp,'2025'!Maxi_hp)</f>
        <v>12.326649551477209</v>
      </c>
      <c r="J35" s="85">
        <f>IF(H35,An,'2025'!An_max)</f>
        <v>2026</v>
      </c>
      <c r="K35" s="197">
        <f t="shared" si="3"/>
        <v>46043</v>
      </c>
      <c r="L35" s="147">
        <f>IF(t&lt;Tvie,1-EXP((T0-t)*PertePVj)+'2025'!Pspv,1-EXP((T0-t)*PertePVj)+Pspv)</f>
        <v>6.0185302101412708E-2</v>
      </c>
      <c r="M35" s="850"/>
      <c r="N35" s="850"/>
      <c r="O35" s="48">
        <f>IF(t&lt;Tnet,'2025'!Resal+('2025'!Salim-'2025'!Resal)*(1-EXP(('2025'!Tnet-t)/('2025'!Tau_j))),Resal+(Salim-Resal)*(1-EXP((Tnet-t)/(Tau_j))))*Salcycl</f>
        <v>5.660023380783219E-2</v>
      </c>
      <c r="P35" s="169">
        <f>(INDEX(Models!$BJ35:$BT35,,T35)*(1-R35)+INDEX(Models!$BJ35:$BT35,,T35+1)*R35-ERP_i)*Q35*Ramure*Pc/MaxiM</f>
        <v>1.1599610635148921E-2</v>
      </c>
      <c r="Q35" s="305">
        <f t="shared" si="4"/>
        <v>0.7</v>
      </c>
      <c r="R35" s="177">
        <f t="shared" si="5"/>
        <v>0.47702393720781755</v>
      </c>
      <c r="S35" s="817">
        <f t="shared" si="6"/>
        <v>-2</v>
      </c>
      <c r="T35" s="176">
        <f t="shared" si="7"/>
        <v>4</v>
      </c>
      <c r="U35" s="251">
        <f t="shared" si="8"/>
        <v>-1.5229760627921825</v>
      </c>
      <c r="V35" s="383">
        <f t="shared" si="9"/>
        <v>15.142063481681609</v>
      </c>
      <c r="W35" s="402">
        <f t="shared" si="10"/>
        <v>10.853584671134877</v>
      </c>
      <c r="X35" s="157">
        <f t="shared" si="11"/>
        <v>46043</v>
      </c>
      <c r="Y35" s="385">
        <f t="shared" si="12"/>
        <v>9.8507515971482782</v>
      </c>
      <c r="Z35" s="385">
        <f t="shared" si="22"/>
        <v>10.481589210271368</v>
      </c>
      <c r="AA35" s="386">
        <f t="shared" si="13"/>
        <v>11.824680713959395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0.11358374371178306</v>
      </c>
      <c r="AD35" s="231">
        <f>(INDEX(Models!$BJ35:$BT35,,AH35)*(1-AF35)+INDEX(Models!$BJ35:$BT35,,AH35+1)*AF35-ERP_i)*AE35*Ramure*Pc/MaxiM</f>
        <v>6.8394156140520385E-2</v>
      </c>
      <c r="AE35" s="305">
        <f t="shared" si="15"/>
        <v>0.7</v>
      </c>
      <c r="AF35" s="177">
        <f t="shared" si="23"/>
        <v>0.10088730658387357</v>
      </c>
      <c r="AG35" s="817">
        <f t="shared" si="24"/>
        <v>1</v>
      </c>
      <c r="AH35" s="176">
        <f t="shared" si="16"/>
        <v>7</v>
      </c>
      <c r="AI35" s="225">
        <f t="shared" si="17"/>
        <v>1.1008873065838736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46044</v>
      </c>
      <c r="B36" s="411">
        <f>'2025'!Wh/'2025'!Env_an*'2026'!Env_an</f>
        <v>15.605229294867975</v>
      </c>
      <c r="C36" s="846"/>
      <c r="D36" s="393">
        <f t="shared" si="0"/>
        <v>16.604944710717422</v>
      </c>
      <c r="E36" s="385">
        <f t="shared" si="1"/>
        <v>17.603463092896671</v>
      </c>
      <c r="F36" s="385">
        <f t="shared" si="2"/>
        <v>17.808971984336942</v>
      </c>
      <c r="G36" s="110">
        <f t="shared" si="21"/>
        <v>1.0162560121867494</v>
      </c>
      <c r="H36" s="414" t="b">
        <f>Wh_hp&gt;='2025'!Maxi_hp</f>
        <v>1</v>
      </c>
      <c r="I36" s="390">
        <f>IF(H36,Wh_hp,'2025'!Maxi_hp)</f>
        <v>17.808971984336942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6.0205886455267477E-2</v>
      </c>
      <c r="M36" s="850"/>
      <c r="N36" s="850"/>
      <c r="O36" s="48">
        <f>IF(t&lt;Tnet,'2025'!Resal+('2025'!Salim-'2025'!Resal)*(1-EXP(('2025'!Tnet-t)/('2025'!Tau_j))),Resal+(Salim-Resal)*(1-EXP((Tnet-t)/(Tau_j))))*Salcycl</f>
        <v>5.6722837825141828E-2</v>
      </c>
      <c r="P36" s="169">
        <f>(INDEX(Models!$BJ36:$BT36,,T36)*(1-R36)+INDEX(Models!$BJ36:$BT36,,T36+1)*R36-ERP_i)*Q36*Ramure*Pc/MaxiM</f>
        <v>1.1539626858923487E-2</v>
      </c>
      <c r="Q36" s="305">
        <f t="shared" si="4"/>
        <v>0.7</v>
      </c>
      <c r="R36" s="177">
        <f t="shared" si="5"/>
        <v>0.47709015608659966</v>
      </c>
      <c r="S36" s="817">
        <f t="shared" si="6"/>
        <v>-2</v>
      </c>
      <c r="T36" s="176">
        <f t="shared" si="7"/>
        <v>4</v>
      </c>
      <c r="U36" s="251">
        <f t="shared" si="8"/>
        <v>-1.5229098439134003</v>
      </c>
      <c r="V36" s="383">
        <f t="shared" si="9"/>
        <v>15.355608338581053</v>
      </c>
      <c r="W36" s="402">
        <f t="shared" si="10"/>
        <v>15.605229294867975</v>
      </c>
      <c r="X36" s="157">
        <f t="shared" si="11"/>
        <v>46044</v>
      </c>
      <c r="Y36" s="385">
        <f t="shared" si="12"/>
        <v>13.820709628303439</v>
      </c>
      <c r="Z36" s="385">
        <f t="shared" si="22"/>
        <v>14.706103633884483</v>
      </c>
      <c r="AA36" s="386">
        <f t="shared" si="13"/>
        <v>16.591338198667255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0.11362763763891032</v>
      </c>
      <c r="AD36" s="231">
        <f>(INDEX(Models!$BJ36:$BT36,,AH36)*(1-AF36)+INDEX(Models!$BJ36:$BT36,,AH36+1)*AF36-ERP_i)*AE36*Ramure*Pc/MaxiM</f>
        <v>6.8371929987907309E-2</v>
      </c>
      <c r="AE36" s="305">
        <f t="shared" si="15"/>
        <v>0.7</v>
      </c>
      <c r="AF36" s="177">
        <f t="shared" si="23"/>
        <v>0.10095352546265568</v>
      </c>
      <c r="AG36" s="817">
        <f t="shared" si="24"/>
        <v>1</v>
      </c>
      <c r="AH36" s="176">
        <f t="shared" si="16"/>
        <v>7</v>
      </c>
      <c r="AI36" s="225">
        <f t="shared" si="17"/>
        <v>1.1009535254626557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46045</v>
      </c>
      <c r="B37" s="411">
        <f>'2025'!Wh/'2025'!Env_an*'2026'!Env_an</f>
        <v>15.659000074427903</v>
      </c>
      <c r="C37" s="846"/>
      <c r="D37" s="393">
        <f t="shared" si="0"/>
        <v>16.662525151562441</v>
      </c>
      <c r="E37" s="385">
        <f t="shared" si="1"/>
        <v>17.666800670237649</v>
      </c>
      <c r="F37" s="385">
        <f t="shared" si="2"/>
        <v>17.871865098354341</v>
      </c>
      <c r="G37" s="110">
        <f t="shared" si="21"/>
        <v>1.0053655173674532</v>
      </c>
      <c r="H37" s="414" t="b">
        <f>Wh_hp&gt;='2025'!Maxi_hp</f>
        <v>1</v>
      </c>
      <c r="I37" s="390">
        <f>IF(H37,Wh_hp,'2025'!Maxi_hp)</f>
        <v>17.871865098354341</v>
      </c>
      <c r="J37" s="85">
        <f>IF(H37,An,'2025'!An_max)</f>
        <v>2026</v>
      </c>
      <c r="K37" s="197">
        <f t="shared" si="3"/>
        <v>46045</v>
      </c>
      <c r="L37" s="147">
        <f>IF(t&lt;Tvie,1-EXP((T0-t)*PertePVj)+'2025'!Pspv,1-EXP((T0-t)*PertePVj)+Pspv)</f>
        <v>6.0226470358272111E-2</v>
      </c>
      <c r="M37" s="850"/>
      <c r="N37" s="850"/>
      <c r="O37" s="48">
        <f>IF(t&lt;Tnet,'2025'!Resal+('2025'!Salim-'2025'!Resal)*(1-EXP(('2025'!Tnet-t)/('2025'!Tau_j))),Resal+(Salim-Resal)*(1-EXP((Tnet-t)/(Tau_j))))*Salcycl</f>
        <v>5.6845352897825864E-2</v>
      </c>
      <c r="P37" s="169">
        <f>(INDEX(Models!$BJ37:$BT37,,T37)*(1-R37)+INDEX(Models!$BJ37:$BT37,,T37+1)*R37-ERP_i)*Q37*Ramure*Pc/MaxiM</f>
        <v>1.1474148164624113E-2</v>
      </c>
      <c r="Q37" s="305">
        <f t="shared" si="4"/>
        <v>0.7</v>
      </c>
      <c r="R37" s="177">
        <f t="shared" si="5"/>
        <v>0.47715913429737689</v>
      </c>
      <c r="S37" s="817">
        <f t="shared" si="6"/>
        <v>-2</v>
      </c>
      <c r="T37" s="176">
        <f t="shared" si="7"/>
        <v>4</v>
      </c>
      <c r="U37" s="251">
        <f t="shared" si="8"/>
        <v>-1.5228408657026231</v>
      </c>
      <c r="V37" s="383">
        <f t="shared" si="9"/>
        <v>15.575429835141904</v>
      </c>
      <c r="W37" s="402">
        <f t="shared" si="10"/>
        <v>15.659000074427903</v>
      </c>
      <c r="X37" s="157">
        <f t="shared" si="11"/>
        <v>46045</v>
      </c>
      <c r="Y37" s="385">
        <f t="shared" si="12"/>
        <v>13.869601434997175</v>
      </c>
      <c r="Z37" s="385">
        <f t="shared" si="22"/>
        <v>14.75845083685717</v>
      </c>
      <c r="AA37" s="386">
        <f t="shared" si="13"/>
        <v>16.651222511190923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0.11367163420353446</v>
      </c>
      <c r="AD37" s="231">
        <f>(INDEX(Models!$BJ37:$BT37,,AH37)*(1-AF37)+INDEX(Models!$BJ37:$BT37,,AH37+1)*AF37-ERP_i)*AE37*Ramure*Pc/MaxiM</f>
        <v>6.829967552048137E-2</v>
      </c>
      <c r="AE37" s="305">
        <f t="shared" si="15"/>
        <v>0.7</v>
      </c>
      <c r="AF37" s="177">
        <f t="shared" si="23"/>
        <v>0.10102250367343291</v>
      </c>
      <c r="AG37" s="817">
        <f t="shared" si="24"/>
        <v>1</v>
      </c>
      <c r="AH37" s="176">
        <f t="shared" si="16"/>
        <v>7</v>
      </c>
      <c r="AI37" s="225">
        <f t="shared" si="17"/>
        <v>1.1010225036734329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46046</v>
      </c>
      <c r="B38" s="411">
        <f>'2025'!Wh/'2025'!Env_an*'2026'!Env_an</f>
        <v>15.936298673823341</v>
      </c>
      <c r="C38" s="846"/>
      <c r="D38" s="393">
        <f t="shared" si="0"/>
        <v>16.957966174451055</v>
      </c>
      <c r="E38" s="385">
        <f t="shared" si="1"/>
        <v>17.982382628023675</v>
      </c>
      <c r="F38" s="385">
        <f t="shared" si="2"/>
        <v>18.189713580371084</v>
      </c>
      <c r="G38" s="110">
        <f t="shared" si="21"/>
        <v>1.0084823817632182</v>
      </c>
      <c r="H38" s="414" t="b">
        <f>Wh_hp&gt;='2025'!Maxi_hp</f>
        <v>1</v>
      </c>
      <c r="I38" s="390">
        <f>IF(H38,Wh_hp,'2025'!Maxi_hp)</f>
        <v>18.189713580371084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6.0247053810436491E-2</v>
      </c>
      <c r="M38" s="850"/>
      <c r="N38" s="850"/>
      <c r="O38" s="48">
        <f>IF(t&lt;Tnet,'2025'!Resal+('2025'!Salim-'2025'!Resal)*(1-EXP(('2025'!Tnet-t)/('2025'!Tau_j))),Resal+(Salim-Resal)*(1-EXP((Tnet-t)/(Tau_j))))*Salcycl</f>
        <v>5.6967782009941959E-2</v>
      </c>
      <c r="P38" s="169">
        <f>(INDEX(Models!$BJ38:$BT38,,T38)*(1-R38)+INDEX(Models!$BJ38:$BT38,,T38+1)*R38-ERP_i)*Q38*Ramure*Pc/MaxiM</f>
        <v>1.1398252722964557E-2</v>
      </c>
      <c r="Q38" s="305">
        <f t="shared" si="4"/>
        <v>0.7</v>
      </c>
      <c r="R38" s="177">
        <f t="shared" si="5"/>
        <v>0.47723098600760627</v>
      </c>
      <c r="S38" s="817">
        <f t="shared" si="6"/>
        <v>-2</v>
      </c>
      <c r="T38" s="176">
        <f t="shared" si="7"/>
        <v>4</v>
      </c>
      <c r="U38" s="251">
        <f t="shared" si="8"/>
        <v>-1.5227690139923937</v>
      </c>
      <c r="V38" s="383">
        <f t="shared" si="9"/>
        <v>15.802257889682226</v>
      </c>
      <c r="W38" s="402">
        <f t="shared" si="10"/>
        <v>15.936298673823341</v>
      </c>
      <c r="X38" s="157">
        <f t="shared" si="11"/>
        <v>46046</v>
      </c>
      <c r="Y38" s="385">
        <f t="shared" si="12"/>
        <v>14.116977186648818</v>
      </c>
      <c r="Z38" s="385">
        <f t="shared" si="22"/>
        <v>15.022008969367139</v>
      </c>
      <c r="AA38" s="386">
        <f t="shared" si="13"/>
        <v>16.949425387690624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0.11371573809949061</v>
      </c>
      <c r="AD38" s="231">
        <f>(INDEX(Models!$BJ38:$BT38,,AH38)*(1-AF38)+INDEX(Models!$BJ38:$BT38,,AH38+1)*AF38-ERP_i)*AE38*Ramure*Pc/MaxiM</f>
        <v>6.8186240932286202E-2</v>
      </c>
      <c r="AE38" s="305">
        <f t="shared" si="15"/>
        <v>0.7</v>
      </c>
      <c r="AF38" s="177">
        <f t="shared" si="23"/>
        <v>0.10109435538366229</v>
      </c>
      <c r="AG38" s="817">
        <f t="shared" si="24"/>
        <v>1</v>
      </c>
      <c r="AH38" s="176">
        <f t="shared" si="16"/>
        <v>7</v>
      </c>
      <c r="AI38" s="225">
        <f t="shared" si="17"/>
        <v>1.1010943553836623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46047</v>
      </c>
      <c r="B39" s="411">
        <f>'2025'!Wh/'2025'!Env_an*'2026'!Env_an</f>
        <v>15.114813468442449</v>
      </c>
      <c r="C39" s="846"/>
      <c r="D39" s="393">
        <f t="shared" si="0"/>
        <v>16.084168280809685</v>
      </c>
      <c r="E39" s="385">
        <f t="shared" si="1"/>
        <v>17.058012388344046</v>
      </c>
      <c r="F39" s="385">
        <f t="shared" si="2"/>
        <v>17.237055511632921</v>
      </c>
      <c r="G39" s="110">
        <f t="shared" si="21"/>
        <v>0.94170151384490253</v>
      </c>
      <c r="H39" s="414" t="b">
        <f>Wh_hp&gt;='2025'!Maxi_hp</f>
        <v>1</v>
      </c>
      <c r="I39" s="390">
        <f>IF(H39,Wh_hp,'2025'!Maxi_hp)</f>
        <v>17.237055511632921</v>
      </c>
      <c r="J39" s="85">
        <f>IF(H39,An,'2025'!An_max)</f>
        <v>2026</v>
      </c>
      <c r="K39" s="197">
        <f t="shared" si="3"/>
        <v>46047</v>
      </c>
      <c r="L39" s="147">
        <f>IF(t&lt;Tvie,1-EXP((T0-t)*PertePVj)+'2025'!Pspv,1-EXP((T0-t)*PertePVj)+Pspv)</f>
        <v>6.0267636811770386E-2</v>
      </c>
      <c r="M39" s="850"/>
      <c r="N39" s="850"/>
      <c r="O39" s="48">
        <f>IF(t&lt;Tnet,'2025'!Resal+('2025'!Salim-'2025'!Resal)*(1-EXP(('2025'!Tnet-t)/('2025'!Tau_j))),Resal+(Salim-Resal)*(1-EXP((Tnet-t)/(Tau_j))))*Salcycl</f>
        <v>5.7090127815817578E-2</v>
      </c>
      <c r="P39" s="169">
        <f>(INDEX(Models!$BJ39:$BT39,,T39)*(1-R39)+INDEX(Models!$BJ39:$BT39,,T39+1)*R39-ERP_i)*Q39*Ramure*Pc/MaxiM</f>
        <v>1.1315185811322792E-2</v>
      </c>
      <c r="Q39" s="305">
        <f t="shared" si="4"/>
        <v>0.7</v>
      </c>
      <c r="R39" s="177">
        <f t="shared" si="5"/>
        <v>0.4773058300390145</v>
      </c>
      <c r="S39" s="817">
        <f t="shared" si="6"/>
        <v>-2</v>
      </c>
      <c r="T39" s="176">
        <f t="shared" si="7"/>
        <v>4</v>
      </c>
      <c r="U39" s="251">
        <f t="shared" si="8"/>
        <v>-1.5226941699609855</v>
      </c>
      <c r="V39" s="383">
        <f t="shared" si="9"/>
        <v>16.035482853718062</v>
      </c>
      <c r="W39" s="402">
        <f t="shared" si="10"/>
        <v>15.114813468442449</v>
      </c>
      <c r="X39" s="157">
        <f t="shared" si="11"/>
        <v>46047</v>
      </c>
      <c r="Y39" s="385">
        <f t="shared" si="12"/>
        <v>13.458577275028066</v>
      </c>
      <c r="Z39" s="385">
        <f t="shared" si="22"/>
        <v>14.321713077292726</v>
      </c>
      <c r="AA39" s="386">
        <f t="shared" si="13"/>
        <v>16.160083412158571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0.11375995333555552</v>
      </c>
      <c r="AD39" s="231">
        <f>(INDEX(Models!$BJ39:$BT39,,AH39)*(1-AF39)+INDEX(Models!$BJ39:$BT39,,AH39+1)*AF39-ERP_i)*AE39*Ramure*Pc/MaxiM</f>
        <v>6.8062594057305484E-2</v>
      </c>
      <c r="AE39" s="305">
        <f t="shared" si="15"/>
        <v>0.7</v>
      </c>
      <c r="AF39" s="177">
        <f t="shared" si="23"/>
        <v>0.10116919941507052</v>
      </c>
      <c r="AG39" s="817">
        <f t="shared" si="24"/>
        <v>1</v>
      </c>
      <c r="AH39" s="176">
        <f t="shared" si="16"/>
        <v>7</v>
      </c>
      <c r="AI39" s="225">
        <f t="shared" si="17"/>
        <v>1.1011691994150705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46048</v>
      </c>
      <c r="B40" s="411">
        <f>'2025'!Wh/'2025'!Env_an*'2026'!Env_an</f>
        <v>16.428698022924742</v>
      </c>
      <c r="C40" s="846"/>
      <c r="D40" s="393">
        <f t="shared" si="0"/>
        <v>17.482698803430708</v>
      </c>
      <c r="E40" s="385">
        <f t="shared" si="1"/>
        <v>18.543623893195928</v>
      </c>
      <c r="F40" s="385">
        <f t="shared" si="2"/>
        <v>18.754153438721254</v>
      </c>
      <c r="G40" s="110">
        <f t="shared" si="21"/>
        <v>1.0094728002838942</v>
      </c>
      <c r="H40" s="414" t="b">
        <f>Wh_hp&gt;='2025'!Maxi_hp</f>
        <v>1</v>
      </c>
      <c r="I40" s="390">
        <f>IF(H40,Wh_hp,'2025'!Maxi_hp)</f>
        <v>18.754153438721254</v>
      </c>
      <c r="J40" s="85">
        <f>IF(H40,An,'2025'!An_max)</f>
        <v>2026</v>
      </c>
      <c r="K40" s="197">
        <f t="shared" si="3"/>
        <v>46048</v>
      </c>
      <c r="L40" s="147">
        <f>IF(t&lt;Tvie,1-EXP((T0-t)*PertePVj)+'2025'!Pspv,1-EXP((T0-t)*PertePVj)+Pspv)</f>
        <v>6.028821936228379E-2</v>
      </c>
      <c r="M40" s="850"/>
      <c r="N40" s="850"/>
      <c r="O40" s="48">
        <f>IF(t&lt;Tnet,'2025'!Resal+('2025'!Salim-'2025'!Resal)*(1-EXP(('2025'!Tnet-t)/('2025'!Tau_j))),Resal+(Salim-Resal)*(1-EXP((Tnet-t)/(Tau_j))))*Salcycl</f>
        <v>5.7212392565538332E-2</v>
      </c>
      <c r="P40" s="169">
        <f>(INDEX(Models!$BJ40:$BT40,,T40)*(1-R40)+INDEX(Models!$BJ40:$BT40,,T40+1)*R40-ERP_i)*Q40*Ramure*Pc/MaxiM</f>
        <v>1.1225755735294869E-2</v>
      </c>
      <c r="Q40" s="305">
        <f t="shared" si="4"/>
        <v>0.7</v>
      </c>
      <c r="R40" s="177">
        <f t="shared" si="5"/>
        <v>0.4773837900514073</v>
      </c>
      <c r="S40" s="817">
        <f t="shared" si="6"/>
        <v>-2</v>
      </c>
      <c r="T40" s="176">
        <f t="shared" si="7"/>
        <v>4</v>
      </c>
      <c r="U40" s="251">
        <f t="shared" si="8"/>
        <v>-1.5226162099485927</v>
      </c>
      <c r="V40" s="383">
        <f t="shared" si="9"/>
        <v>16.274532625648256</v>
      </c>
      <c r="W40" s="402">
        <f t="shared" si="10"/>
        <v>16.428698022924742</v>
      </c>
      <c r="X40" s="157">
        <f t="shared" si="11"/>
        <v>46048</v>
      </c>
      <c r="Y40" s="385">
        <f t="shared" si="12"/>
        <v>14.556920355176404</v>
      </c>
      <c r="Z40" s="385">
        <f t="shared" si="22"/>
        <v>15.490835227475436</v>
      </c>
      <c r="AA40" s="386">
        <f t="shared" si="13"/>
        <v>17.480151316402321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0.11380428309337526</v>
      </c>
      <c r="AD40" s="231">
        <f>(INDEX(Models!$BJ40:$BT40,,AH40)*(1-AF40)+INDEX(Models!$BJ40:$BT40,,AH40+1)*AF40-ERP_i)*AE40*Ramure*Pc/MaxiM</f>
        <v>6.7931731841786636E-2</v>
      </c>
      <c r="AE40" s="305">
        <f t="shared" si="15"/>
        <v>0.7</v>
      </c>
      <c r="AF40" s="177">
        <f t="shared" si="23"/>
        <v>0.10124715942746332</v>
      </c>
      <c r="AG40" s="817">
        <f t="shared" si="24"/>
        <v>1</v>
      </c>
      <c r="AH40" s="176">
        <f t="shared" si="16"/>
        <v>7</v>
      </c>
      <c r="AI40" s="225">
        <f t="shared" si="17"/>
        <v>1.1012471594274633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46049</v>
      </c>
      <c r="B41" s="411">
        <f>'2025'!Wh/'2025'!Env_an*'2026'!Env_an</f>
        <v>14.032526486571831</v>
      </c>
      <c r="C41" s="846"/>
      <c r="D41" s="393">
        <f t="shared" si="0"/>
        <v>14.933125380341817</v>
      </c>
      <c r="E41" s="385">
        <f t="shared" si="1"/>
        <v>15.841384474766594</v>
      </c>
      <c r="F41" s="385">
        <f t="shared" si="2"/>
        <v>15.98101708179443</v>
      </c>
      <c r="G41" s="110">
        <f t="shared" si="21"/>
        <v>0.84743541043042092</v>
      </c>
      <c r="H41" s="414" t="b">
        <f>Wh_hp&gt;='2025'!Maxi_hp</f>
        <v>1</v>
      </c>
      <c r="I41" s="390">
        <f>IF(H41,Wh_hp,'2025'!Maxi_hp)</f>
        <v>15.98101708179443</v>
      </c>
      <c r="J41" s="85">
        <f>IF(H41,An,'2025'!An_max)</f>
        <v>2026</v>
      </c>
      <c r="K41" s="197">
        <f t="shared" si="3"/>
        <v>46049</v>
      </c>
      <c r="L41" s="147">
        <f>IF(t&lt;Tvie,1-EXP((T0-t)*PertePVj)+'2025'!Pspv,1-EXP((T0-t)*PertePVj)+Pspv)</f>
        <v>6.0308801461986472E-2</v>
      </c>
      <c r="M41" s="850"/>
      <c r="N41" s="850"/>
      <c r="O41" s="48">
        <f>IF(t&lt;Tnet,'2025'!Resal+('2025'!Salim-'2025'!Resal)*(1-EXP(('2025'!Tnet-t)/('2025'!Tau_j))),Resal+(Salim-Resal)*(1-EXP((Tnet-t)/(Tau_j))))*Salcycl</f>
        <v>5.7334578039660786E-2</v>
      </c>
      <c r="P41" s="169">
        <f>(INDEX(Models!$BJ41:$BT41,,T41)*(1-R41)+INDEX(Models!$BJ41:$BT41,,T41+1)*R41-ERP_i)*Q41*Ramure*Pc/MaxiM</f>
        <v>1.1130726276255472E-2</v>
      </c>
      <c r="Q41" s="305">
        <f t="shared" si="4"/>
        <v>0.7</v>
      </c>
      <c r="R41" s="177">
        <f t="shared" si="5"/>
        <v>0.47746499473322901</v>
      </c>
      <c r="S41" s="817">
        <f t="shared" si="6"/>
        <v>-2</v>
      </c>
      <c r="T41" s="176">
        <f t="shared" si="7"/>
        <v>4</v>
      </c>
      <c r="U41" s="251">
        <f t="shared" si="8"/>
        <v>-1.522535005266771</v>
      </c>
      <c r="V41" s="383">
        <f t="shared" si="9"/>
        <v>16.518835457388484</v>
      </c>
      <c r="W41" s="402">
        <f t="shared" si="10"/>
        <v>14.032526486571831</v>
      </c>
      <c r="X41" s="157">
        <f t="shared" si="11"/>
        <v>46049</v>
      </c>
      <c r="Y41" s="385">
        <f t="shared" si="12"/>
        <v>12.599317194927151</v>
      </c>
      <c r="Z41" s="385">
        <f t="shared" si="22"/>
        <v>13.407933600452328</v>
      </c>
      <c r="AA41" s="386">
        <f t="shared" si="13"/>
        <v>15.13052460498997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0.11384872960515474</v>
      </c>
      <c r="AD41" s="231">
        <f>(INDEX(Models!$BJ41:$BT41,,AH41)*(1-AF41)+INDEX(Models!$BJ41:$BT41,,AH41+1)*AF41-ERP_i)*AE41*Ramure*Pc/MaxiM</f>
        <v>6.7796477920358977E-2</v>
      </c>
      <c r="AE41" s="305">
        <f t="shared" si="15"/>
        <v>0.7</v>
      </c>
      <c r="AF41" s="177">
        <f t="shared" si="23"/>
        <v>0.10132836410928503</v>
      </c>
      <c r="AG41" s="817">
        <f t="shared" si="24"/>
        <v>1</v>
      </c>
      <c r="AH41" s="176">
        <f t="shared" si="16"/>
        <v>7</v>
      </c>
      <c r="AI41" s="225">
        <f t="shared" si="17"/>
        <v>1.101328364109285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46050</v>
      </c>
      <c r="B42" s="411">
        <f>'2025'!Wh/'2025'!Env_an*'2026'!Env_an</f>
        <v>2.6238226415736952</v>
      </c>
      <c r="C42" s="846"/>
      <c r="D42" s="393">
        <f t="shared" si="0"/>
        <v>2.7922791182512054</v>
      </c>
      <c r="E42" s="385">
        <f t="shared" si="1"/>
        <v>2.9624942167393642</v>
      </c>
      <c r="F42" s="385">
        <f t="shared" si="2"/>
        <v>2.9624942167393642</v>
      </c>
      <c r="G42" s="110">
        <f t="shared" si="21"/>
        <v>0.15475355452591058</v>
      </c>
      <c r="H42" s="414" t="b">
        <f>Wh_hp&gt;='2025'!Maxi_hp</f>
        <v>0</v>
      </c>
      <c r="I42" s="390">
        <f>IF(H42,Wh_hp,'2025'!Maxi_hp)</f>
        <v>11.238202055607671</v>
      </c>
      <c r="J42" s="85">
        <f>IF(H42,An,'2025'!An_max)</f>
        <v>2020</v>
      </c>
      <c r="K42" s="197">
        <f t="shared" si="3"/>
        <v>46050</v>
      </c>
      <c r="L42" s="147">
        <f>IF(t&lt;Tvie,1-EXP((T0-t)*PertePVj)+'2025'!Pspv,1-EXP((T0-t)*PertePVj)+Pspv)</f>
        <v>6.0329383110888313E-2</v>
      </c>
      <c r="M42" s="850"/>
      <c r="N42" s="850"/>
      <c r="O42" s="48">
        <f>IF(t&lt;Tnet,'2025'!Resal+('2025'!Salim-'2025'!Resal)*(1-EXP(('2025'!Tnet-t)/('2025'!Tau_j))),Resal+(Salim-Resal)*(1-EXP((Tnet-t)/(Tau_j))))*Salcycl</f>
        <v>5.7456685493720148E-2</v>
      </c>
      <c r="P42" s="169">
        <f>(INDEX(Models!$BJ42:$BT42,,T42)*(1-R42)+INDEX(Models!$BJ42:$BT42,,T42+1)*R42-ERP_i)*Q42*Ramure*Pc/MaxiM</f>
        <v>1.1030815249845017E-2</v>
      </c>
      <c r="Q42" s="305">
        <f t="shared" si="4"/>
        <v>0.7</v>
      </c>
      <c r="R42" s="177">
        <f t="shared" si="5"/>
        <v>0.47754957799907505</v>
      </c>
      <c r="S42" s="817">
        <f t="shared" si="6"/>
        <v>-2</v>
      </c>
      <c r="T42" s="176">
        <f t="shared" si="7"/>
        <v>4</v>
      </c>
      <c r="U42" s="251">
        <f t="shared" si="8"/>
        <v>-1.522450422000925</v>
      </c>
      <c r="V42" s="383">
        <f t="shared" si="9"/>
        <v>16.76781994905113</v>
      </c>
      <c r="W42" s="402">
        <f t="shared" si="10"/>
        <v>2.6238226415736952</v>
      </c>
      <c r="X42" s="157">
        <f t="shared" si="11"/>
        <v>46050</v>
      </c>
      <c r="Y42" s="385">
        <f t="shared" si="12"/>
        <v>2.4667161732875309</v>
      </c>
      <c r="Z42" s="385">
        <f t="shared" si="22"/>
        <v>2.6250859917849514</v>
      </c>
      <c r="AA42" s="386">
        <f t="shared" si="13"/>
        <v>2.9624942167393642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0.11389329405198879</v>
      </c>
      <c r="AD42" s="231">
        <f>(INDEX(Models!$BJ42:$BT42,,AH42)*(1-AF42)+INDEX(Models!$BJ42:$BT42,,AH42+1)*AF42-ERP_i)*AE42*Ramure*Pc/MaxiM</f>
        <v>6.7659483573452292E-2</v>
      </c>
      <c r="AE42" s="305">
        <f t="shared" si="15"/>
        <v>0.7</v>
      </c>
      <c r="AF42" s="177">
        <f t="shared" si="23"/>
        <v>0.10141294737513107</v>
      </c>
      <c r="AG42" s="817">
        <f t="shared" si="24"/>
        <v>1</v>
      </c>
      <c r="AH42" s="176">
        <f t="shared" si="16"/>
        <v>7</v>
      </c>
      <c r="AI42" s="225">
        <f t="shared" si="17"/>
        <v>1.1014129473751311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46051</v>
      </c>
      <c r="B43" s="411">
        <f>'2025'!Wh/'2025'!Env_an*'2026'!Env_an</f>
        <v>4.4840169465442736</v>
      </c>
      <c r="C43" s="846"/>
      <c r="D43" s="393">
        <f t="shared" si="0"/>
        <v>4.7720074242819699</v>
      </c>
      <c r="E43" s="385">
        <f t="shared" si="1"/>
        <v>5.0635607486156058</v>
      </c>
      <c r="F43" s="385">
        <f t="shared" si="2"/>
        <v>5.0635607486156058</v>
      </c>
      <c r="G43" s="110">
        <f t="shared" si="21"/>
        <v>0.26056304555007936</v>
      </c>
      <c r="H43" s="414" t="b">
        <f>Wh_hp&gt;='2025'!Maxi_hp</f>
        <v>0</v>
      </c>
      <c r="I43" s="390">
        <f>IF(H43,Wh_hp,'2025'!Maxi_hp)</f>
        <v>14.430567184560136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6.0349964308999193E-2</v>
      </c>
      <c r="M43" s="850"/>
      <c r="N43" s="850"/>
      <c r="O43" s="48">
        <f>IF(t&lt;Tnet,'2025'!Resal+('2025'!Salim-'2025'!Resal)*(1-EXP(('2025'!Tnet-t)/('2025'!Tau_j))),Resal+(Salim-Resal)*(1-EXP((Tnet-t)/(Tau_j))))*Salcycl</f>
        <v>5.7578715612989745E-2</v>
      </c>
      <c r="P43" s="169">
        <f>(INDEX(Models!$BJ43:$BT43,,T43)*(1-R43)+INDEX(Models!$BJ43:$BT43,,T43+1)*R43-ERP_i)*Q43*Ramure*Pc/MaxiM</f>
        <v>1.0926693888146552E-2</v>
      </c>
      <c r="Q43" s="305">
        <f t="shared" si="4"/>
        <v>0.7</v>
      </c>
      <c r="R43" s="177">
        <f t="shared" si="5"/>
        <v>0.47763767919436018</v>
      </c>
      <c r="S43" s="817">
        <f t="shared" si="6"/>
        <v>-2</v>
      </c>
      <c r="T43" s="176">
        <f t="shared" si="7"/>
        <v>4</v>
      </c>
      <c r="U43" s="251">
        <f t="shared" si="8"/>
        <v>-1.5223623208056398</v>
      </c>
      <c r="V43" s="383">
        <f t="shared" si="9"/>
        <v>17.020915059605898</v>
      </c>
      <c r="W43" s="402">
        <f t="shared" si="10"/>
        <v>4.4840169465442736</v>
      </c>
      <c r="X43" s="157">
        <f t="shared" si="11"/>
        <v>46051</v>
      </c>
      <c r="Y43" s="385">
        <f t="shared" si="12"/>
        <v>4.2158609901533213</v>
      </c>
      <c r="Z43" s="385">
        <f t="shared" si="22"/>
        <v>4.4866288831171675</v>
      </c>
      <c r="AA43" s="386">
        <f t="shared" si="13"/>
        <v>5.0635607486156058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0.11393797648348011</v>
      </c>
      <c r="AD43" s="231">
        <f>(INDEX(Models!$BJ43:$BT43,,AH43)*(1-AF43)+INDEX(Models!$BJ43:$BT43,,AH43+1)*AF43-ERP_i)*AE43*Ramure*Pc/MaxiM</f>
        <v>6.7523231170871362E-2</v>
      </c>
      <c r="AE43" s="305">
        <f t="shared" si="15"/>
        <v>0.7</v>
      </c>
      <c r="AF43" s="177">
        <f t="shared" si="23"/>
        <v>0.1015010485704162</v>
      </c>
      <c r="AG43" s="817">
        <f t="shared" si="24"/>
        <v>1</v>
      </c>
      <c r="AH43" s="176">
        <f t="shared" si="16"/>
        <v>7</v>
      </c>
      <c r="AI43" s="225">
        <f t="shared" si="17"/>
        <v>1.1015010485704162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46052</v>
      </c>
      <c r="B44" s="411">
        <f>'2025'!Wh/'2025'!Env_an*'2026'!Env_an</f>
        <v>2.9082239811417643</v>
      </c>
      <c r="C44" s="846"/>
      <c r="D44" s="393">
        <f t="shared" si="0"/>
        <v>3.095075368104661</v>
      </c>
      <c r="E44" s="385">
        <f t="shared" si="1"/>
        <v>3.2845989215602613</v>
      </c>
      <c r="F44" s="385">
        <f t="shared" si="2"/>
        <v>3.2845989215602613</v>
      </c>
      <c r="G44" s="110">
        <f t="shared" si="21"/>
        <v>0.1665027695609172</v>
      </c>
      <c r="H44" s="414" t="b">
        <f>Wh_hp&gt;='2025'!Maxi_hp</f>
        <v>0</v>
      </c>
      <c r="I44" s="390">
        <f>IF(H44,Wh_hp,'2025'!Maxi_hp)</f>
        <v>7.5125643185257411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6.0370545056329106E-2</v>
      </c>
      <c r="M44" s="850"/>
      <c r="N44" s="850"/>
      <c r="O44" s="48">
        <f>IF(t&lt;Tnet,'2025'!Resal+('2025'!Salim-'2025'!Resal)*(1-EXP(('2025'!Tnet-t)/('2025'!Tau_j))),Resal+(Salim-Resal)*(1-EXP((Tnet-t)/(Tau_j))))*Salcycl</f>
        <v>5.7700668477834213E-2</v>
      </c>
      <c r="P44" s="169">
        <f>(INDEX(Models!$BJ44:$BT44,,T44)*(1-R44)+INDEX(Models!$BJ44:$BT44,,T44+1)*R44-ERP_i)*Q44*Ramure*Pc/MaxiM</f>
        <v>1.0803022076919392E-2</v>
      </c>
      <c r="Q44" s="305">
        <f t="shared" si="4"/>
        <v>0.7</v>
      </c>
      <c r="R44" s="177">
        <f t="shared" si="5"/>
        <v>0.47772944330735378</v>
      </c>
      <c r="S44" s="817">
        <f t="shared" si="6"/>
        <v>-2</v>
      </c>
      <c r="T44" s="176">
        <f t="shared" si="7"/>
        <v>4</v>
      </c>
      <c r="U44" s="251">
        <f t="shared" si="8"/>
        <v>-1.5222705566926462</v>
      </c>
      <c r="V44" s="383">
        <f t="shared" si="9"/>
        <v>17.277828956570875</v>
      </c>
      <c r="W44" s="402">
        <f t="shared" si="10"/>
        <v>2.9082239811417643</v>
      </c>
      <c r="X44" s="157">
        <f t="shared" si="11"/>
        <v>46052</v>
      </c>
      <c r="Y44" s="385">
        <f t="shared" si="12"/>
        <v>2.7345201816919289</v>
      </c>
      <c r="Z44" s="385">
        <f t="shared" si="22"/>
        <v>2.9102112192256238</v>
      </c>
      <c r="AA44" s="386">
        <f t="shared" si="13"/>
        <v>3.2845989215602613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0.11398277575905515</v>
      </c>
      <c r="AD44" s="231">
        <f>(INDEX(Models!$BJ44:$BT44,,AH44)*(1-AF44)+INDEX(Models!$BJ44:$BT44,,AH44+1)*AF44-ERP_i)*AE44*Ramure*Pc/MaxiM</f>
        <v>6.733499915894571E-2</v>
      </c>
      <c r="AE44" s="305">
        <f t="shared" si="15"/>
        <v>0.7</v>
      </c>
      <c r="AF44" s="177">
        <f t="shared" si="23"/>
        <v>0.10159281268340981</v>
      </c>
      <c r="AG44" s="817">
        <f t="shared" si="24"/>
        <v>1</v>
      </c>
      <c r="AH44" s="176">
        <f t="shared" si="16"/>
        <v>7</v>
      </c>
      <c r="AI44" s="225">
        <f t="shared" si="17"/>
        <v>1.1015928126834098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46053</v>
      </c>
      <c r="B45" s="411">
        <f>'2025'!Wh/'2025'!Env_an*'2026'!Env_an</f>
        <v>6.8241051857054122</v>
      </c>
      <c r="C45" s="846"/>
      <c r="D45" s="393">
        <f t="shared" si="0"/>
        <v>7.2627083138910686</v>
      </c>
      <c r="E45" s="385">
        <f t="shared" si="1"/>
        <v>7.7084293028809956</v>
      </c>
      <c r="F45" s="385">
        <f t="shared" si="2"/>
        <v>7.7189044817584742</v>
      </c>
      <c r="G45" s="110">
        <f t="shared" si="21"/>
        <v>0.3854790038179734</v>
      </c>
      <c r="H45" s="414" t="b">
        <f>Wh_hp&gt;='2025'!Maxi_hp</f>
        <v>0</v>
      </c>
      <c r="I45" s="390">
        <f>IF(H45,Wh_hp,'2025'!Maxi_hp)</f>
        <v>13.77882589725804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6.039112535288782E-2</v>
      </c>
      <c r="M45" s="850"/>
      <c r="N45" s="850"/>
      <c r="O45" s="48">
        <f>IF(t&lt;Tnet,'2025'!Resal+('2025'!Salim-'2025'!Resal)*(1-EXP(('2025'!Tnet-t)/('2025'!Tau_j))),Resal+(Salim-Resal)*(1-EXP((Tnet-t)/(Tau_j))))*Salcycl</f>
        <v>5.7822543539880492E-2</v>
      </c>
      <c r="P45" s="169">
        <f>(INDEX(Models!$BJ45:$BT45,,T45)*(1-R45)+INDEX(Models!$BJ45:$BT45,,T45+1)*R45-ERP_i)*Q45*Ramure*Pc/MaxiM</f>
        <v>1.0661190116709667E-2</v>
      </c>
      <c r="Q45" s="305">
        <f t="shared" si="4"/>
        <v>0.7</v>
      </c>
      <c r="R45" s="177">
        <f t="shared" si="5"/>
        <v>0.47782502118878378</v>
      </c>
      <c r="S45" s="817">
        <f t="shared" si="6"/>
        <v>-2</v>
      </c>
      <c r="T45" s="176">
        <f t="shared" si="7"/>
        <v>4</v>
      </c>
      <c r="U45" s="251">
        <f t="shared" si="8"/>
        <v>-1.5221749788112162</v>
      </c>
      <c r="V45" s="383">
        <f t="shared" si="9"/>
        <v>17.537989406766933</v>
      </c>
      <c r="W45" s="402">
        <f t="shared" si="10"/>
        <v>6.8241051857054122</v>
      </c>
      <c r="X45" s="157">
        <f t="shared" si="11"/>
        <v>46053</v>
      </c>
      <c r="Y45" s="385">
        <f t="shared" si="12"/>
        <v>6.3708567937368414</v>
      </c>
      <c r="Z45" s="385">
        <f t="shared" si="22"/>
        <v>6.7803284596790734</v>
      </c>
      <c r="AA45" s="386">
        <f t="shared" si="13"/>
        <v>7.6529800981454432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0.11402768951115404</v>
      </c>
      <c r="AD45" s="231">
        <f>(INDEX(Models!$BJ45:$BT45,,AH45)*(1-AF45)+INDEX(Models!$BJ45:$BT45,,AH45+1)*AF45-ERP_i)*AE45*Ramure*Pc/MaxiM</f>
        <v>6.7095024843583109E-2</v>
      </c>
      <c r="AE45" s="305">
        <f t="shared" si="15"/>
        <v>0.7</v>
      </c>
      <c r="AF45" s="177">
        <f t="shared" si="23"/>
        <v>0.1016883905648398</v>
      </c>
      <c r="AG45" s="817">
        <f t="shared" si="24"/>
        <v>1</v>
      </c>
      <c r="AH45" s="176">
        <f t="shared" si="16"/>
        <v>7</v>
      </c>
      <c r="AI45" s="225">
        <f t="shared" si="17"/>
        <v>1.1016883905648398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46054</v>
      </c>
      <c r="B46" s="411">
        <f>'2025'!Wh/'2025'!Env_an*'2026'!Env_an</f>
        <v>8.4989485337826167</v>
      </c>
      <c r="C46" s="846"/>
      <c r="D46" s="393">
        <f t="shared" si="0"/>
        <v>9.0453963515794999</v>
      </c>
      <c r="E46" s="385">
        <f t="shared" si="1"/>
        <v>9.6017642395209428</v>
      </c>
      <c r="F46" s="385">
        <f t="shared" si="2"/>
        <v>9.6273953629323472</v>
      </c>
      <c r="G46" s="110">
        <f t="shared" si="21"/>
        <v>0.47369363188654579</v>
      </c>
      <c r="H46" s="414" t="b">
        <f>Wh_hp&gt;='2025'!Maxi_hp</f>
        <v>0</v>
      </c>
      <c r="I46" s="390">
        <f>IF(H46,Wh_hp,'2025'!Maxi_hp)</f>
        <v>16.408521217221892</v>
      </c>
      <c r="J46" s="85">
        <f>IF(H46,An,'2025'!An_max)</f>
        <v>2019</v>
      </c>
      <c r="K46" s="197">
        <f t="shared" si="3"/>
        <v>46054</v>
      </c>
      <c r="L46" s="147">
        <f>IF(t&lt;Tvie,1-EXP((T0-t)*PertePVj)+'2025'!Pspv,1-EXP((T0-t)*PertePVj)+Pspv)</f>
        <v>6.0411705198685217E-2</v>
      </c>
      <c r="M46" s="850"/>
      <c r="N46" s="850"/>
      <c r="O46" s="48">
        <f>IF(t&lt;Tnet,'2025'!Resal+('2025'!Salim-'2025'!Resal)*(1-EXP(('2025'!Tnet-t)/('2025'!Tau_j))),Resal+(Salim-Resal)*(1-EXP((Tnet-t)/(Tau_j))))*Salcycl</f>
        <v>5.7944339609113438E-2</v>
      </c>
      <c r="P46" s="169">
        <f>(INDEX(Models!$BJ46:$BT46,,T46)*(1-R46)+INDEX(Models!$BJ46:$BT46,,T46+1)*R46-ERP_i)*Q46*Ramure*Pc/MaxiM</f>
        <v>1.0502400608573992E-2</v>
      </c>
      <c r="Q46" s="305">
        <f t="shared" si="4"/>
        <v>0.7</v>
      </c>
      <c r="R46" s="177">
        <f t="shared" si="5"/>
        <v>0.47792456977922426</v>
      </c>
      <c r="S46" s="817">
        <f t="shared" si="6"/>
        <v>-2</v>
      </c>
      <c r="T46" s="176">
        <f t="shared" si="7"/>
        <v>4</v>
      </c>
      <c r="U46" s="251">
        <f t="shared" si="8"/>
        <v>-1.5220754302207757</v>
      </c>
      <c r="V46" s="383">
        <f t="shared" si="9"/>
        <v>17.800826484780419</v>
      </c>
      <c r="W46" s="402">
        <f t="shared" si="10"/>
        <v>8.4989485337826167</v>
      </c>
      <c r="X46" s="157">
        <f t="shared" si="11"/>
        <v>46054</v>
      </c>
      <c r="Y46" s="385">
        <f t="shared" si="12"/>
        <v>7.878190837756109</v>
      </c>
      <c r="Z46" s="385">
        <f t="shared" si="22"/>
        <v>8.3847264608825611</v>
      </c>
      <c r="AA46" s="386">
        <f t="shared" si="13"/>
        <v>9.4643506240479276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0.11407271413023887</v>
      </c>
      <c r="AD46" s="231">
        <f>(INDEX(Models!$BJ46:$BT46,,AH46)*(1-AF46)+INDEX(Models!$BJ46:$BT46,,AH46+1)*AF46-ERP_i)*AE46*Ramure*Pc/MaxiM</f>
        <v>6.6807885764484223E-2</v>
      </c>
      <c r="AE46" s="305">
        <f t="shared" si="15"/>
        <v>0.7</v>
      </c>
      <c r="AF46" s="177">
        <f t="shared" si="23"/>
        <v>0.10178793915528028</v>
      </c>
      <c r="AG46" s="817">
        <f t="shared" si="24"/>
        <v>1</v>
      </c>
      <c r="AH46" s="176">
        <f t="shared" si="16"/>
        <v>7</v>
      </c>
      <c r="AI46" s="225">
        <f t="shared" si="17"/>
        <v>1.1017879391552803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46055</v>
      </c>
      <c r="B47" s="411">
        <f>'2025'!Wh/'2025'!Env_an*'2026'!Env_an</f>
        <v>3.7426178208691407</v>
      </c>
      <c r="C47" s="846"/>
      <c r="D47" s="393">
        <f t="shared" si="0"/>
        <v>3.9833401675054723</v>
      </c>
      <c r="E47" s="385">
        <f t="shared" si="1"/>
        <v>4.2288954422160847</v>
      </c>
      <c r="F47" s="385">
        <f t="shared" si="2"/>
        <v>4.2288954422160847</v>
      </c>
      <c r="G47" s="110">
        <f t="shared" si="21"/>
        <v>0.20502667505559358</v>
      </c>
      <c r="H47" s="414" t="b">
        <f>Wh_hp&gt;='2025'!Maxi_hp</f>
        <v>0</v>
      </c>
      <c r="I47" s="390">
        <f>IF(H47,Wh_hp,'2025'!Maxi_hp)</f>
        <v>18.666071177776274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6.0432284593731178E-2</v>
      </c>
      <c r="M47" s="850"/>
      <c r="N47" s="850"/>
      <c r="O47" s="48">
        <f>IF(t&lt;Tnet,'2025'!Resal+('2025'!Salim-'2025'!Resal)*(1-EXP(('2025'!Tnet-t)/('2025'!Tau_j))),Resal+(Salim-Resal)*(1-EXP((Tnet-t)/(Tau_j))))*Salcycl</f>
        <v>5.8066054851886505E-2</v>
      </c>
      <c r="P47" s="169">
        <f>(INDEX(Models!$BJ47:$BT47,,T47)*(1-R47)+INDEX(Models!$BJ47:$BT47,,T47+1)*R47-ERP_i)*Q47*Ramure*Pc/MaxiM</f>
        <v>1.0327780449632364E-2</v>
      </c>
      <c r="Q47" s="305">
        <f t="shared" si="4"/>
        <v>0.7</v>
      </c>
      <c r="R47" s="177">
        <f t="shared" si="5"/>
        <v>0.478028252344469</v>
      </c>
      <c r="S47" s="817">
        <f t="shared" si="6"/>
        <v>-2</v>
      </c>
      <c r="T47" s="176">
        <f t="shared" si="7"/>
        <v>4</v>
      </c>
      <c r="U47" s="251">
        <f t="shared" si="8"/>
        <v>-1.521971747655531</v>
      </c>
      <c r="V47" s="383">
        <f t="shared" si="9"/>
        <v>18.065770635474539</v>
      </c>
      <c r="W47" s="402">
        <f t="shared" si="10"/>
        <v>3.7426178208691407</v>
      </c>
      <c r="X47" s="157">
        <f t="shared" si="11"/>
        <v>46055</v>
      </c>
      <c r="Y47" s="385">
        <f t="shared" si="12"/>
        <v>3.5199053589977614</v>
      </c>
      <c r="Z47" s="385">
        <f t="shared" si="22"/>
        <v>3.746303008587045</v>
      </c>
      <c r="AA47" s="386">
        <f t="shared" si="13"/>
        <v>4.2288954422160847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0.11411784477133932</v>
      </c>
      <c r="AD47" s="231">
        <f>(INDEX(Models!$BJ47:$BT47,,AH47)*(1-AF47)+INDEX(Models!$BJ47:$BT47,,AH47+1)*AF47-ERP_i)*AE47*Ramure*Pc/MaxiM</f>
        <v>6.6477900991770325E-2</v>
      </c>
      <c r="AE47" s="305">
        <f t="shared" si="15"/>
        <v>0.7</v>
      </c>
      <c r="AF47" s="177">
        <f t="shared" si="23"/>
        <v>0.10189162172052502</v>
      </c>
      <c r="AG47" s="817">
        <f t="shared" si="24"/>
        <v>1</v>
      </c>
      <c r="AH47" s="176">
        <f t="shared" si="16"/>
        <v>7</v>
      </c>
      <c r="AI47" s="225">
        <f t="shared" si="17"/>
        <v>1.101891621720525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46056</v>
      </c>
      <c r="B48" s="411">
        <f>'2025'!Wh/'2025'!Env_an*'2026'!Env_an</f>
        <v>7.9806621795844643</v>
      </c>
      <c r="C48" s="846"/>
      <c r="D48" s="393">
        <f t="shared" si="0"/>
        <v>8.4941583768081053</v>
      </c>
      <c r="E48" s="385">
        <f t="shared" si="1"/>
        <v>9.0189502279333826</v>
      </c>
      <c r="F48" s="385">
        <f t="shared" si="2"/>
        <v>9.0366630248667548</v>
      </c>
      <c r="G48" s="110">
        <f t="shared" si="21"/>
        <v>0.4317672287596569</v>
      </c>
      <c r="H48" s="414" t="b">
        <f>Wh_hp&gt;='2025'!Maxi_hp</f>
        <v>0</v>
      </c>
      <c r="I48" s="390">
        <f>IF(H48,Wh_hp,'2025'!Maxi_hp)</f>
        <v>16.889504299779531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6.0452863538035473E-2</v>
      </c>
      <c r="M48" s="850"/>
      <c r="N48" s="850"/>
      <c r="O48" s="48">
        <f>IF(t&lt;Tnet,'2025'!Resal+('2025'!Salim-'2025'!Resal)*(1-EXP(('2025'!Tnet-t)/('2025'!Tau_j))),Resal+(Salim-Resal)*(1-EXP((Tnet-t)/(Tau_j))))*Salcycl</f>
        <v>5.8187686799722887E-2</v>
      </c>
      <c r="P48" s="169">
        <f>(INDEX(Models!$BJ48:$BT48,,T48)*(1-R48)+INDEX(Models!$BJ48:$BT48,,T48+1)*R48-ERP_i)*Q48*Ramure*Pc/MaxiM</f>
        <v>1.0138379683707538E-2</v>
      </c>
      <c r="Q48" s="305">
        <f t="shared" si="4"/>
        <v>0.7</v>
      </c>
      <c r="R48" s="177">
        <f t="shared" si="5"/>
        <v>0.47813623871910216</v>
      </c>
      <c r="S48" s="817">
        <f t="shared" si="6"/>
        <v>-2</v>
      </c>
      <c r="T48" s="176">
        <f t="shared" si="7"/>
        <v>4</v>
      </c>
      <c r="U48" s="251">
        <f t="shared" si="8"/>
        <v>-1.5218637612808978</v>
      </c>
      <c r="V48" s="383">
        <f t="shared" si="9"/>
        <v>18.332252684708291</v>
      </c>
      <c r="W48" s="402">
        <f t="shared" si="10"/>
        <v>7.9806621795844643</v>
      </c>
      <c r="X48" s="157">
        <f t="shared" si="11"/>
        <v>46056</v>
      </c>
      <c r="Y48" s="385">
        <f t="shared" si="12"/>
        <v>7.4249554693163935</v>
      </c>
      <c r="Z48" s="385">
        <f t="shared" si="22"/>
        <v>7.9026960768316661</v>
      </c>
      <c r="AA48" s="386">
        <f t="shared" si="13"/>
        <v>8.9211635428680012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0.11416307538163516</v>
      </c>
      <c r="AD48" s="231">
        <f>(INDEX(Models!$BJ48:$BT48,,AH48)*(1-AF48)+INDEX(Models!$BJ48:$BT48,,AH48+1)*AF48-ERP_i)*AE48*Ramure*Pc/MaxiM</f>
        <v>6.6109130375043637E-2</v>
      </c>
      <c r="AE48" s="305">
        <f t="shared" si="15"/>
        <v>0.7</v>
      </c>
      <c r="AF48" s="177">
        <f t="shared" si="23"/>
        <v>0.10199960809515818</v>
      </c>
      <c r="AG48" s="817">
        <f t="shared" si="24"/>
        <v>1</v>
      </c>
      <c r="AH48" s="176">
        <f t="shared" si="16"/>
        <v>7</v>
      </c>
      <c r="AI48" s="225">
        <f t="shared" si="17"/>
        <v>1.1019996080951582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46057</v>
      </c>
      <c r="B49" s="411">
        <f>'2025'!Wh/'2025'!Env_an*'2026'!Env_an</f>
        <v>7.740867812652418</v>
      </c>
      <c r="C49" s="846"/>
      <c r="D49" s="393">
        <f t="shared" si="0"/>
        <v>8.239115485347293</v>
      </c>
      <c r="E49" s="385">
        <f t="shared" si="1"/>
        <v>8.7492792417105925</v>
      </c>
      <c r="F49" s="385">
        <f t="shared" si="2"/>
        <v>8.7637305231726099</v>
      </c>
      <c r="G49" s="110">
        <f t="shared" si="21"/>
        <v>0.41272805631201753</v>
      </c>
      <c r="H49" s="414" t="b">
        <f>Wh_hp&gt;='2025'!Maxi_hp</f>
        <v>0</v>
      </c>
      <c r="I49" s="390">
        <f>IF(H49,Wh_hp,'2025'!Maxi_hp)</f>
        <v>17.966121132529384</v>
      </c>
      <c r="J49" s="85">
        <f>IF(H49,An,'2025'!An_max)</f>
        <v>2019</v>
      </c>
      <c r="K49" s="197">
        <f t="shared" si="3"/>
        <v>46057</v>
      </c>
      <c r="L49" s="147">
        <f>IF(t&lt;Tvie,1-EXP((T0-t)*PertePVj)+'2025'!Pspv,1-EXP((T0-t)*PertePVj)+Pspv)</f>
        <v>6.0473442031608204E-2</v>
      </c>
      <c r="M49" s="850"/>
      <c r="N49" s="850"/>
      <c r="O49" s="48">
        <f>IF(t&lt;Tnet,'2025'!Resal+('2025'!Salim-'2025'!Resal)*(1-EXP(('2025'!Tnet-t)/('2025'!Tau_j))),Resal+(Salim-Resal)*(1-EXP((Tnet-t)/(Tau_j))))*Salcycl</f>
        <v>5.8309232368671776E-2</v>
      </c>
      <c r="P49" s="169">
        <f>(INDEX(Models!$BJ49:$BT49,,T49)*(1-R49)+INDEX(Models!$BJ49:$BT49,,T49+1)*R49-ERP_i)*Q49*Ramure*Pc/MaxiM</f>
        <v>9.9351712443936143E-3</v>
      </c>
      <c r="Q49" s="305">
        <f t="shared" si="4"/>
        <v>0.7</v>
      </c>
      <c r="R49" s="177">
        <f t="shared" si="5"/>
        <v>0.4782487055584681</v>
      </c>
      <c r="S49" s="817">
        <f t="shared" si="6"/>
        <v>-2</v>
      </c>
      <c r="T49" s="176">
        <f t="shared" si="7"/>
        <v>4</v>
      </c>
      <c r="U49" s="251">
        <f t="shared" si="8"/>
        <v>-1.5217512944415319</v>
      </c>
      <c r="V49" s="383">
        <f t="shared" si="9"/>
        <v>18.599703841771635</v>
      </c>
      <c r="W49" s="402">
        <f t="shared" si="10"/>
        <v>7.740867812652418</v>
      </c>
      <c r="X49" s="157">
        <f t="shared" si="11"/>
        <v>46057</v>
      </c>
      <c r="Y49" s="385">
        <f t="shared" si="12"/>
        <v>7.2138556960431641</v>
      </c>
      <c r="Z49" s="385">
        <f t="shared" si="22"/>
        <v>7.678181776619728</v>
      </c>
      <c r="AA49" s="386">
        <f t="shared" si="13"/>
        <v>8.6681582505076502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0.11420839874836662</v>
      </c>
      <c r="AD49" s="231">
        <f>(INDEX(Models!$BJ49:$BT49,,AH49)*(1-AF49)+INDEX(Models!$BJ49:$BT49,,AH49+1)*AF49-ERP_i)*AE49*Ramure*Pc/MaxiM</f>
        <v>6.5705376899470314E-2</v>
      </c>
      <c r="AE49" s="305">
        <f t="shared" si="15"/>
        <v>0.7</v>
      </c>
      <c r="AF49" s="177">
        <f t="shared" si="23"/>
        <v>0.10211207493452412</v>
      </c>
      <c r="AG49" s="817">
        <f t="shared" si="24"/>
        <v>1</v>
      </c>
      <c r="AH49" s="176">
        <f t="shared" si="16"/>
        <v>7</v>
      </c>
      <c r="AI49" s="225">
        <f t="shared" si="17"/>
        <v>1.1021120749345241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46058</v>
      </c>
      <c r="B50" s="411">
        <f>'2025'!Wh/'2025'!Env_an*'2026'!Env_an</f>
        <v>7.1814711588380371</v>
      </c>
      <c r="C50" s="846"/>
      <c r="D50" s="393">
        <f t="shared" si="0"/>
        <v>7.6438802011746567</v>
      </c>
      <c r="E50" s="385">
        <f t="shared" si="1"/>
        <v>8.1182342105394962</v>
      </c>
      <c r="F50" s="385">
        <f t="shared" si="2"/>
        <v>8.1273322077215795</v>
      </c>
      <c r="G50" s="110">
        <f t="shared" si="21"/>
        <v>0.37734850997778407</v>
      </c>
      <c r="H50" s="414" t="b">
        <f>Wh_hp&gt;='2025'!Maxi_hp</f>
        <v>0</v>
      </c>
      <c r="I50" s="390">
        <f>IF(H50,Wh_hp,'2025'!Maxi_hp)</f>
        <v>21.61065608350567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6.0494020074459032E-2</v>
      </c>
      <c r="M50" s="850"/>
      <c r="N50" s="850"/>
      <c r="O50" s="48">
        <f>IF(t&lt;Tnet,'2025'!Resal+('2025'!Salim-'2025'!Resal)*(1-EXP(('2025'!Tnet-t)/('2025'!Tau_j))),Resal+(Salim-Resal)*(1-EXP((Tnet-t)/(Tau_j))))*Salcycl</f>
        <v>5.8430687888877349E-2</v>
      </c>
      <c r="P50" s="169">
        <f>(INDEX(Models!$BJ50:$BT50,,T50)*(1-R50)+INDEX(Models!$BJ50:$BT50,,T50+1)*R50-ERP_i)*Q50*Ramure*Pc/MaxiM</f>
        <v>9.7190514183279047E-3</v>
      </c>
      <c r="Q50" s="305">
        <f t="shared" si="4"/>
        <v>0.7</v>
      </c>
      <c r="R50" s="177">
        <f t="shared" si="5"/>
        <v>0.47836583659924892</v>
      </c>
      <c r="S50" s="817">
        <f t="shared" si="6"/>
        <v>-2</v>
      </c>
      <c r="T50" s="176">
        <f t="shared" si="7"/>
        <v>4</v>
      </c>
      <c r="U50" s="251">
        <f t="shared" si="8"/>
        <v>-1.5216341634007511</v>
      </c>
      <c r="V50" s="383">
        <f t="shared" si="9"/>
        <v>18.867555699152792</v>
      </c>
      <c r="W50" s="402">
        <f t="shared" si="10"/>
        <v>7.1814711588380371</v>
      </c>
      <c r="X50" s="157">
        <f t="shared" si="11"/>
        <v>46058</v>
      </c>
      <c r="Y50" s="385">
        <f t="shared" si="12"/>
        <v>6.7124273277765001</v>
      </c>
      <c r="Z50" s="385">
        <f t="shared" si="22"/>
        <v>7.1446350222363488</v>
      </c>
      <c r="AA50" s="386">
        <f t="shared" si="13"/>
        <v>8.0662328274178066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0.1142538065661667</v>
      </c>
      <c r="AD50" s="231">
        <f>(INDEX(Models!$BJ50:$BT50,,AH50)*(1-AF50)+INDEX(Models!$BJ50:$BT50,,AH50+1)*AF50-ERP_i)*AE50*Ramure*Pc/MaxiM</f>
        <v>6.5270191550481804E-2</v>
      </c>
      <c r="AE50" s="305">
        <f t="shared" si="15"/>
        <v>0.7</v>
      </c>
      <c r="AF50" s="177">
        <f t="shared" si="23"/>
        <v>0.10222920597530494</v>
      </c>
      <c r="AG50" s="817">
        <f t="shared" si="24"/>
        <v>1</v>
      </c>
      <c r="AH50" s="176">
        <f t="shared" si="16"/>
        <v>7</v>
      </c>
      <c r="AI50" s="225">
        <f t="shared" si="17"/>
        <v>1.1022292059753049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46059</v>
      </c>
      <c r="B51" s="411">
        <f>'2025'!Wh/'2025'!Env_an*'2026'!Env_an</f>
        <v>14.714154902256285</v>
      </c>
      <c r="C51" s="846"/>
      <c r="D51" s="393">
        <f t="shared" si="0"/>
        <v>15.661930313883222</v>
      </c>
      <c r="E51" s="385">
        <f t="shared" si="1"/>
        <v>16.636002340481397</v>
      </c>
      <c r="F51" s="385">
        <f t="shared" si="2"/>
        <v>16.742413259059468</v>
      </c>
      <c r="G51" s="110">
        <f t="shared" si="21"/>
        <v>0.76641639907394332</v>
      </c>
      <c r="H51" s="414" t="b">
        <f>Wh_hp&gt;='2025'!Maxi_hp</f>
        <v>0</v>
      </c>
      <c r="I51" s="390">
        <f>IF(H51,Wh_hp,'2025'!Maxi_hp)</f>
        <v>22.282786270723793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6.0514597666597947E-2</v>
      </c>
      <c r="M51" s="850"/>
      <c r="N51" s="850"/>
      <c r="O51" s="48">
        <f>IF(t&lt;Tnet,'2025'!Resal+('2025'!Salim-'2025'!Resal)*(1-EXP(('2025'!Tnet-t)/('2025'!Tau_j))),Resal+(Salim-Resal)*(1-EXP((Tnet-t)/(Tau_j))))*Salcycl</f>
        <v>5.8552049143916436E-2</v>
      </c>
      <c r="P51" s="169">
        <f>(INDEX(Models!$BJ51:$BT51,,T51)*(1-R51)+INDEX(Models!$BJ51:$BT51,,T51+1)*R51-ERP_i)*Q51*Ramure*Pc/MaxiM</f>
        <v>9.4894380619047307E-3</v>
      </c>
      <c r="Q51" s="305">
        <f t="shared" si="4"/>
        <v>0.7</v>
      </c>
      <c r="R51" s="177">
        <f t="shared" si="5"/>
        <v>0.47848782292884295</v>
      </c>
      <c r="S51" s="817">
        <f t="shared" si="6"/>
        <v>-2</v>
      </c>
      <c r="T51" s="176">
        <f t="shared" si="7"/>
        <v>4</v>
      </c>
      <c r="U51" s="251">
        <f t="shared" si="8"/>
        <v>-1.521512177071157</v>
      </c>
      <c r="V51" s="383">
        <f t="shared" si="9"/>
        <v>19.138096079325578</v>
      </c>
      <c r="W51" s="402">
        <f t="shared" si="10"/>
        <v>14.714154902256285</v>
      </c>
      <c r="X51" s="157">
        <f t="shared" si="11"/>
        <v>46059</v>
      </c>
      <c r="Y51" s="385">
        <f t="shared" si="12"/>
        <v>13.326794418348308</v>
      </c>
      <c r="Z51" s="385">
        <f t="shared" si="22"/>
        <v>14.185206481387064</v>
      </c>
      <c r="AA51" s="386">
        <f t="shared" si="13"/>
        <v>16.015801177062531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0.11429928952272478</v>
      </c>
      <c r="AD51" s="231">
        <f>(INDEX(Models!$BJ51:$BT51,,AH51)*(1-AF51)+INDEX(Models!$BJ51:$BT51,,AH51+1)*AF51-ERP_i)*AE51*Ramure*Pc/MaxiM</f>
        <v>6.4797301247642186E-2</v>
      </c>
      <c r="AE51" s="305">
        <f t="shared" si="15"/>
        <v>0.7</v>
      </c>
      <c r="AF51" s="177">
        <f t="shared" si="23"/>
        <v>0.10235119230489897</v>
      </c>
      <c r="AG51" s="817">
        <f t="shared" si="24"/>
        <v>1</v>
      </c>
      <c r="AH51" s="176">
        <f t="shared" si="16"/>
        <v>7</v>
      </c>
      <c r="AI51" s="225">
        <f t="shared" si="17"/>
        <v>1.102351192304899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46060</v>
      </c>
      <c r="B52" s="411">
        <f>'2025'!Wh/'2025'!Env_an*'2026'!Env_an</f>
        <v>8.6292646613184463</v>
      </c>
      <c r="C52" s="846"/>
      <c r="D52" s="393">
        <f t="shared" si="0"/>
        <v>9.1852982995453694</v>
      </c>
      <c r="E52" s="385">
        <f t="shared" si="1"/>
        <v>9.7578220303041618</v>
      </c>
      <c r="F52" s="385">
        <f t="shared" si="2"/>
        <v>9.7764603568062043</v>
      </c>
      <c r="G52" s="110">
        <f t="shared" si="21"/>
        <v>0.44122842772718024</v>
      </c>
      <c r="H52" s="414" t="b">
        <f>Wh_hp&gt;='2025'!Maxi_hp</f>
        <v>0</v>
      </c>
      <c r="I52" s="390">
        <f>IF(H52,Wh_hp,'2025'!Maxi_hp)</f>
        <v>15.348596284444294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6.053517480803472E-2</v>
      </c>
      <c r="M52" s="850"/>
      <c r="N52" s="850"/>
      <c r="O52" s="48">
        <f>IF(t&lt;Tnet,'2025'!Resal+('2025'!Salim-'2025'!Resal)*(1-EXP(('2025'!Tnet-t)/('2025'!Tau_j))),Resal+(Salim-Resal)*(1-EXP((Tnet-t)/(Tau_j))))*Salcycl</f>
        <v>5.8673311419366582E-2</v>
      </c>
      <c r="P52" s="169">
        <f>(INDEX(Models!$BJ52:$BT52,,T52)*(1-R52)+INDEX(Models!$BJ52:$BT52,,T52+1)*R52-ERP_i)*Q52*Ramure*Pc/MaxiM</f>
        <v>9.2358725907685374E-3</v>
      </c>
      <c r="Q52" s="305">
        <f t="shared" si="4"/>
        <v>0.7</v>
      </c>
      <c r="R52" s="177">
        <f t="shared" si="5"/>
        <v>0.47861486326374458</v>
      </c>
      <c r="S52" s="817">
        <f t="shared" si="6"/>
        <v>-2</v>
      </c>
      <c r="T52" s="176">
        <f t="shared" si="7"/>
        <v>4</v>
      </c>
      <c r="U52" s="251">
        <f t="shared" si="8"/>
        <v>-1.5213851367362554</v>
      </c>
      <c r="V52" s="383">
        <f t="shared" si="9"/>
        <v>19.413745310921779</v>
      </c>
      <c r="W52" s="402">
        <f t="shared" si="10"/>
        <v>8.6292646613184463</v>
      </c>
      <c r="X52" s="157">
        <f t="shared" si="11"/>
        <v>46060</v>
      </c>
      <c r="Y52" s="385">
        <f t="shared" si="12"/>
        <v>8.0266058129472633</v>
      </c>
      <c r="Z52" s="385">
        <f t="shared" si="22"/>
        <v>8.5438066415175786</v>
      </c>
      <c r="AA52" s="386">
        <f t="shared" si="13"/>
        <v>9.6468772523725743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0.11434483740152331</v>
      </c>
      <c r="AD52" s="231">
        <f>(INDEX(Models!$BJ52:$BT52,,AH52)*(1-AF52)+INDEX(Models!$BJ52:$BT52,,AH52+1)*AF52-ERP_i)*AE52*Ramure*Pc/MaxiM</f>
        <v>6.4212473278334403E-2</v>
      </c>
      <c r="AE52" s="305">
        <f t="shared" si="15"/>
        <v>0.7</v>
      </c>
      <c r="AF52" s="177">
        <f t="shared" si="23"/>
        <v>0.1024782326398006</v>
      </c>
      <c r="AG52" s="817">
        <f t="shared" si="24"/>
        <v>1</v>
      </c>
      <c r="AH52" s="176">
        <f t="shared" si="16"/>
        <v>7</v>
      </c>
      <c r="AI52" s="225">
        <f t="shared" si="17"/>
        <v>1.1024782326398006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46061</v>
      </c>
      <c r="B53" s="411">
        <f>'2025'!Wh/'2025'!Env_an*'2026'!Env_an</f>
        <v>20.507093817380991</v>
      </c>
      <c r="C53" s="846"/>
      <c r="D53" s="393">
        <f t="shared" si="0"/>
        <v>21.828963081202307</v>
      </c>
      <c r="E53" s="385">
        <f t="shared" si="1"/>
        <v>23.192557178236143</v>
      </c>
      <c r="F53" s="385">
        <f t="shared" si="2"/>
        <v>23.402327715383752</v>
      </c>
      <c r="G53" s="110">
        <f t="shared" si="21"/>
        <v>1.0412989230211516</v>
      </c>
      <c r="H53" s="414" t="b">
        <f>Wh_hp&gt;='2025'!Maxi_hp</f>
        <v>1</v>
      </c>
      <c r="I53" s="390">
        <f>IF(H53,Wh_hp,'2025'!Maxi_hp)</f>
        <v>23.402327715383752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6.0555751498779342E-2</v>
      </c>
      <c r="M53" s="850"/>
      <c r="N53" s="850"/>
      <c r="O53" s="48">
        <f>IF(t&lt;Tnet,'2025'!Resal+('2025'!Salim-'2025'!Resal)*(1-EXP(('2025'!Tnet-t)/('2025'!Tau_j))),Resal+(Salim-Resal)*(1-EXP((Tnet-t)/(Tau_j))))*Salcycl</f>
        <v>5.8794469559977289E-2</v>
      </c>
      <c r="P53" s="169">
        <f>(INDEX(Models!$BJ53:$BT53,,T53)*(1-R53)+INDEX(Models!$BJ53:$BT53,,T53+1)*R53-ERP_i)*Q53*Ramure*Pc/MaxiM</f>
        <v>8.9636612092102094E-3</v>
      </c>
      <c r="Q53" s="305">
        <f t="shared" si="4"/>
        <v>0.7</v>
      </c>
      <c r="R53" s="177">
        <f t="shared" si="5"/>
        <v>0.47874716423711083</v>
      </c>
      <c r="S53" s="817">
        <f t="shared" si="6"/>
        <v>-2</v>
      </c>
      <c r="T53" s="176">
        <f t="shared" si="7"/>
        <v>4</v>
      </c>
      <c r="U53" s="251">
        <f t="shared" si="8"/>
        <v>-1.5212528357628892</v>
      </c>
      <c r="V53" s="383">
        <f t="shared" si="9"/>
        <v>19.693762630506853</v>
      </c>
      <c r="W53" s="402">
        <f t="shared" si="10"/>
        <v>20.507093817380991</v>
      </c>
      <c r="X53" s="157">
        <f t="shared" si="11"/>
        <v>46061</v>
      </c>
      <c r="Y53" s="385">
        <f t="shared" si="12"/>
        <v>18.233624074864416</v>
      </c>
      <c r="Z53" s="385">
        <f t="shared" si="22"/>
        <v>19.408947475014237</v>
      </c>
      <c r="AA53" s="386">
        <f t="shared" si="13"/>
        <v>21.915919084575687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0.1143904392002362</v>
      </c>
      <c r="AD53" s="231">
        <f>(INDEX(Models!$BJ53:$BT53,,AH53)*(1-AF53)+INDEX(Models!$BJ53:$BT53,,AH53+1)*AF53-ERP_i)*AE53*Ramure*Pc/MaxiM</f>
        <v>6.3515418162055762E-2</v>
      </c>
      <c r="AE53" s="305">
        <f t="shared" si="15"/>
        <v>0.7</v>
      </c>
      <c r="AF53" s="177">
        <f t="shared" si="23"/>
        <v>0.10261053361316685</v>
      </c>
      <c r="AG53" s="817">
        <f t="shared" si="24"/>
        <v>1</v>
      </c>
      <c r="AH53" s="176">
        <f t="shared" si="16"/>
        <v>7</v>
      </c>
      <c r="AI53" s="225">
        <f t="shared" si="17"/>
        <v>1.1026105336131669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46062</v>
      </c>
      <c r="B54" s="411">
        <f>'2025'!Wh/'2025'!Env_an*'2026'!Env_an</f>
        <v>20.537299727576965</v>
      </c>
      <c r="C54" s="846"/>
      <c r="D54" s="393">
        <f t="shared" si="0"/>
        <v>21.861594862884857</v>
      </c>
      <c r="E54" s="385">
        <f t="shared" si="1"/>
        <v>23.230215014523896</v>
      </c>
      <c r="F54" s="385">
        <f t="shared" si="2"/>
        <v>23.433477340738428</v>
      </c>
      <c r="G54" s="110">
        <f t="shared" si="21"/>
        <v>1.0280223278458309</v>
      </c>
      <c r="H54" s="414" t="b">
        <f>Wh_hp&gt;='2025'!Maxi_hp</f>
        <v>1</v>
      </c>
      <c r="I54" s="390">
        <f>IF(H54,Wh_hp,'2025'!Maxi_hp)</f>
        <v>23.433477340738428</v>
      </c>
      <c r="J54" s="85">
        <f>IF(H54,An,'2025'!An_max)</f>
        <v>2026</v>
      </c>
      <c r="K54" s="197">
        <f t="shared" si="3"/>
        <v>46062</v>
      </c>
      <c r="L54" s="147">
        <f>IF(t&lt;Tvie,1-EXP((T0-t)*PertePVj)+'2025'!Pspv,1-EXP((T0-t)*PertePVj)+Pspv)</f>
        <v>6.0576327738841695E-2</v>
      </c>
      <c r="M54" s="850"/>
      <c r="N54" s="850"/>
      <c r="O54" s="48">
        <f>IF(t&lt;Tnet,'2025'!Resal+('2025'!Salim-'2025'!Resal)*(1-EXP(('2025'!Tnet-t)/('2025'!Tau_j))),Resal+(Salim-Resal)*(1-EXP((Tnet-t)/(Tau_j))))*Salcycl</f>
        <v>5.8915518034738754E-2</v>
      </c>
      <c r="P54" s="169">
        <f>(INDEX(Models!$BJ54:$BT54,,T54)*(1-R54)+INDEX(Models!$BJ54:$BT54,,T54+1)*R54-ERP_i)*Q54*Ramure*Pc/MaxiM</f>
        <v>8.6740146696523569E-3</v>
      </c>
      <c r="Q54" s="305">
        <f t="shared" si="4"/>
        <v>0.7</v>
      </c>
      <c r="R54" s="177">
        <f t="shared" si="5"/>
        <v>0.47888494069570187</v>
      </c>
      <c r="S54" s="817">
        <f t="shared" si="6"/>
        <v>-2</v>
      </c>
      <c r="T54" s="176">
        <f t="shared" si="7"/>
        <v>4</v>
      </c>
      <c r="U54" s="251">
        <f t="shared" si="8"/>
        <v>-1.5211150593042981</v>
      </c>
      <c r="V54" s="383">
        <f t="shared" si="9"/>
        <v>19.977484118085105</v>
      </c>
      <c r="W54" s="402">
        <f t="shared" si="10"/>
        <v>20.537299727576965</v>
      </c>
      <c r="X54" s="157">
        <f t="shared" si="11"/>
        <v>46062</v>
      </c>
      <c r="Y54" s="385">
        <f t="shared" si="12"/>
        <v>18.272188912564374</v>
      </c>
      <c r="Z54" s="385">
        <f t="shared" si="22"/>
        <v>19.450424182503177</v>
      </c>
      <c r="AA54" s="386">
        <f t="shared" si="13"/>
        <v>21.963885175196268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0.11443608326324405</v>
      </c>
      <c r="AD54" s="231">
        <f>(INDEX(Models!$BJ54:$BT54,,AH54)*(1-AF54)+INDEX(Models!$BJ54:$BT54,,AH54+1)*AF54-ERP_i)*AE54*Ramure*Pc/MaxiM</f>
        <v>6.2713362774687934E-2</v>
      </c>
      <c r="AE54" s="305">
        <f t="shared" si="15"/>
        <v>0.7</v>
      </c>
      <c r="AF54" s="177">
        <f t="shared" si="23"/>
        <v>0.10274831007175789</v>
      </c>
      <c r="AG54" s="817">
        <f t="shared" si="24"/>
        <v>1</v>
      </c>
      <c r="AH54" s="176">
        <f t="shared" si="16"/>
        <v>7</v>
      </c>
      <c r="AI54" s="225">
        <f t="shared" si="17"/>
        <v>1.1027483100717579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46063</v>
      </c>
      <c r="B55" s="411">
        <f>'2025'!Wh/'2025'!Env_an*'2026'!Env_an</f>
        <v>19.471322153484326</v>
      </c>
      <c r="C55" s="846"/>
      <c r="D55" s="393">
        <f t="shared" si="0"/>
        <v>20.727334438874173</v>
      </c>
      <c r="E55" s="385">
        <f t="shared" si="1"/>
        <v>22.02777616742091</v>
      </c>
      <c r="F55" s="385">
        <f t="shared" si="2"/>
        <v>22.203187789262444</v>
      </c>
      <c r="G55" s="110">
        <f t="shared" si="21"/>
        <v>0.96041773823040077</v>
      </c>
      <c r="H55" s="414" t="b">
        <f>Wh_hp&gt;='2025'!Maxi_hp</f>
        <v>1</v>
      </c>
      <c r="I55" s="390">
        <f>IF(H55,Wh_hp,'2025'!Maxi_hp)</f>
        <v>22.203187789262444</v>
      </c>
      <c r="J55" s="85">
        <f>IF(H55,An,'2025'!An_max)</f>
        <v>2026</v>
      </c>
      <c r="K55" s="197">
        <f t="shared" si="3"/>
        <v>46063</v>
      </c>
      <c r="L55" s="147">
        <f>IF(t&lt;Tvie,1-EXP((T0-t)*PertePVj)+'2025'!Pspv,1-EXP((T0-t)*PertePVj)+Pspv)</f>
        <v>6.0596903528231438E-2</v>
      </c>
      <c r="M55" s="850"/>
      <c r="N55" s="850"/>
      <c r="O55" s="48">
        <f>IF(t&lt;Tnet,'2025'!Resal+('2025'!Salim-'2025'!Resal)*(1-EXP(('2025'!Tnet-t)/('2025'!Tau_j))),Resal+(Salim-Resal)*(1-EXP((Tnet-t)/(Tau_j))))*Salcycl</f>
        <v>5.903645100907149E-2</v>
      </c>
      <c r="P55" s="169">
        <f>(INDEX(Models!$BJ55:$BT55,,T55)*(1-R55)+INDEX(Models!$BJ55:$BT55,,T55+1)*R55-ERP_i)*Q55*Ramure*Pc/MaxiM</f>
        <v>8.3680549295147479E-3</v>
      </c>
      <c r="Q55" s="305">
        <f t="shared" si="4"/>
        <v>0.7</v>
      </c>
      <c r="R55" s="177">
        <f t="shared" si="5"/>
        <v>0.47902841600636448</v>
      </c>
      <c r="S55" s="817">
        <f t="shared" si="6"/>
        <v>-2</v>
      </c>
      <c r="T55" s="176">
        <f t="shared" si="7"/>
        <v>4</v>
      </c>
      <c r="U55" s="251">
        <f t="shared" si="8"/>
        <v>-1.5209715839936355</v>
      </c>
      <c r="V55" s="383">
        <f t="shared" si="9"/>
        <v>20.264246325052184</v>
      </c>
      <c r="W55" s="402">
        <f t="shared" si="10"/>
        <v>19.471322153484326</v>
      </c>
      <c r="X55" s="157">
        <f t="shared" si="11"/>
        <v>46063</v>
      </c>
      <c r="Y55" s="385">
        <f t="shared" si="12"/>
        <v>17.392047804591765</v>
      </c>
      <c r="Z55" s="385">
        <f t="shared" si="22"/>
        <v>18.513934933696955</v>
      </c>
      <c r="AA55" s="386">
        <f t="shared" si="13"/>
        <v>20.907457400192939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0.11448175742660595</v>
      </c>
      <c r="AD55" s="231">
        <f>(INDEX(Models!$BJ55:$BT55,,AH55)*(1-AF55)+INDEX(Models!$BJ55:$BT55,,AH55+1)*AF55-ERP_i)*AE55*Ramure*Pc/MaxiM</f>
        <v>6.1813139606966119E-2</v>
      </c>
      <c r="AE55" s="305">
        <f t="shared" si="15"/>
        <v>0.7</v>
      </c>
      <c r="AF55" s="177">
        <f t="shared" si="23"/>
        <v>0.1028917853824205</v>
      </c>
      <c r="AG55" s="817">
        <f t="shared" si="24"/>
        <v>1</v>
      </c>
      <c r="AH55" s="176">
        <f t="shared" si="16"/>
        <v>7</v>
      </c>
      <c r="AI55" s="225">
        <f t="shared" si="17"/>
        <v>1.1028917853824205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46064</v>
      </c>
      <c r="B56" s="411">
        <f>'2025'!Wh/'2025'!Env_an*'2026'!Env_an</f>
        <v>10.549305223236001</v>
      </c>
      <c r="C56" s="846"/>
      <c r="D56" s="393">
        <f t="shared" si="0"/>
        <v>11.230042060514283</v>
      </c>
      <c r="E56" s="385">
        <f t="shared" si="1"/>
        <v>11.936152145298092</v>
      </c>
      <c r="F56" s="385">
        <f t="shared" si="2"/>
        <v>11.965486262989394</v>
      </c>
      <c r="G56" s="110">
        <f t="shared" si="21"/>
        <v>0.51038471170743227</v>
      </c>
      <c r="H56" s="414" t="b">
        <f>Wh_hp&gt;='2025'!Maxi_hp</f>
        <v>0</v>
      </c>
      <c r="I56" s="390">
        <f>IF(H56,Wh_hp,'2025'!Maxi_hp)</f>
        <v>19.987799360241688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6.0617478866958674E-2</v>
      </c>
      <c r="M56" s="850"/>
      <c r="N56" s="850"/>
      <c r="O56" s="48">
        <f>IF(t&lt;Tnet,'2025'!Resal+('2025'!Salim-'2025'!Resal)*(1-EXP(('2025'!Tnet-t)/('2025'!Tau_j))),Resal+(Salim-Resal)*(1-EXP((Tnet-t)/(Tau_j))))*Salcycl</f>
        <v>5.9157262423297843E-2</v>
      </c>
      <c r="P56" s="169">
        <f>(INDEX(Models!$BJ56:$BT56,,T56)*(1-R56)+INDEX(Models!$BJ56:$BT56,,T56+1)*R56-ERP_i)*Q56*Ramure*Pc/MaxiM</f>
        <v>8.0468139945785704E-3</v>
      </c>
      <c r="Q56" s="305">
        <f t="shared" si="4"/>
        <v>0.7</v>
      </c>
      <c r="R56" s="177">
        <f t="shared" si="5"/>
        <v>0.47917782237222561</v>
      </c>
      <c r="S56" s="817">
        <f t="shared" si="6"/>
        <v>-2</v>
      </c>
      <c r="T56" s="176">
        <f t="shared" si="7"/>
        <v>4</v>
      </c>
      <c r="U56" s="251">
        <f t="shared" si="8"/>
        <v>-1.5208221776277744</v>
      </c>
      <c r="V56" s="383">
        <f t="shared" si="9"/>
        <v>20.553386274826451</v>
      </c>
      <c r="W56" s="402">
        <f t="shared" si="10"/>
        <v>10.549305223236001</v>
      </c>
      <c r="X56" s="157">
        <f t="shared" si="11"/>
        <v>46064</v>
      </c>
      <c r="Y56" s="385">
        <f t="shared" si="12"/>
        <v>9.7684351155709219</v>
      </c>
      <c r="Z56" s="385">
        <f t="shared" si="22"/>
        <v>10.398783132337476</v>
      </c>
      <c r="AA56" s="386">
        <f t="shared" si="13"/>
        <v>11.743766786033031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0.11452744917373156</v>
      </c>
      <c r="AD56" s="231">
        <f>(INDEX(Models!$BJ56:$BT56,,AH56)*(1-AF56)+INDEX(Models!$BJ56:$BT56,,AH56+1)*AF56-ERP_i)*AE56*Ramure*Pc/MaxiM</f>
        <v>6.0821171061576404E-2</v>
      </c>
      <c r="AE56" s="305">
        <f t="shared" si="15"/>
        <v>0.7</v>
      </c>
      <c r="AF56" s="177">
        <f t="shared" si="23"/>
        <v>0.10304119174828164</v>
      </c>
      <c r="AG56" s="817">
        <f t="shared" si="24"/>
        <v>1</v>
      </c>
      <c r="AH56" s="176">
        <f t="shared" si="16"/>
        <v>7</v>
      </c>
      <c r="AI56" s="225">
        <f t="shared" si="17"/>
        <v>1.1030411917482816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46065</v>
      </c>
      <c r="B57" s="411">
        <f>'2025'!Wh/'2025'!Env_an*'2026'!Env_an</f>
        <v>16.761183824525457</v>
      </c>
      <c r="C57" s="846"/>
      <c r="D57" s="393">
        <f t="shared" si="0"/>
        <v>17.843158211301947</v>
      </c>
      <c r="E57" s="385">
        <f t="shared" si="1"/>
        <v>18.967513450846649</v>
      </c>
      <c r="F57" s="385">
        <f t="shared" si="2"/>
        <v>19.073435176873414</v>
      </c>
      <c r="G57" s="110">
        <f t="shared" si="21"/>
        <v>0.80237092937014609</v>
      </c>
      <c r="H57" s="414" t="b">
        <f>Wh_hp&gt;='2025'!Maxi_hp</f>
        <v>0</v>
      </c>
      <c r="I57" s="390">
        <f>IF(H57,Wh_hp,'2025'!Maxi_hp)</f>
        <v>24.323485541278668</v>
      </c>
      <c r="J57" s="85">
        <f>IF(H57,An,'2025'!An_max)</f>
        <v>2019</v>
      </c>
      <c r="K57" s="197">
        <f t="shared" si="3"/>
        <v>46065</v>
      </c>
      <c r="L57" s="147">
        <f>IF(t&lt;Tvie,1-EXP((T0-t)*PertePVj)+'2025'!Pspv,1-EXP((T0-t)*PertePVj)+Pspv)</f>
        <v>6.0638053755033172E-2</v>
      </c>
      <c r="M57" s="850"/>
      <c r="N57" s="850"/>
      <c r="O57" s="48">
        <f>IF(t&lt;Tnet,'2025'!Resal+('2025'!Salim-'2025'!Resal)*(1-EXP(('2025'!Tnet-t)/('2025'!Tau_j))),Resal+(Salim-Resal)*(1-EXP((Tnet-t)/(Tau_j))))*Salcycl</f>
        <v>5.9277946076506591E-2</v>
      </c>
      <c r="P57" s="169">
        <f>(INDEX(Models!$BJ57:$BT57,,T57)*(1-R57)+INDEX(Models!$BJ57:$BT57,,T57+1)*R57-ERP_i)*Q57*Ramure*Pc/MaxiM</f>
        <v>7.711233698833639E-3</v>
      </c>
      <c r="Q57" s="305">
        <f t="shared" si="4"/>
        <v>0.7</v>
      </c>
      <c r="R57" s="177">
        <f t="shared" si="5"/>
        <v>0.47933340115874845</v>
      </c>
      <c r="S57" s="817">
        <f t="shared" si="6"/>
        <v>-2</v>
      </c>
      <c r="T57" s="176">
        <f t="shared" si="7"/>
        <v>4</v>
      </c>
      <c r="U57" s="251">
        <f t="shared" si="8"/>
        <v>-1.5206665988412515</v>
      </c>
      <c r="V57" s="383">
        <f t="shared" si="9"/>
        <v>20.84424146168438</v>
      </c>
      <c r="W57" s="402">
        <f t="shared" si="10"/>
        <v>16.761183824525457</v>
      </c>
      <c r="X57" s="157">
        <f t="shared" si="11"/>
        <v>46065</v>
      </c>
      <c r="Y57" s="385">
        <f t="shared" si="12"/>
        <v>15.181513968450489</v>
      </c>
      <c r="Z57" s="385">
        <f t="shared" si="22"/>
        <v>16.161516898930728</v>
      </c>
      <c r="AA57" s="386">
        <f t="shared" si="13"/>
        <v>18.252797305918108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0.11457314579992206</v>
      </c>
      <c r="AD57" s="231">
        <f>(INDEX(Models!$BJ57:$BT57,,AH57)*(1-AF57)+INDEX(Models!$BJ57:$BT57,,AH57+1)*AF57-ERP_i)*AE57*Ramure*Pc/MaxiM</f>
        <v>5.9743460028688335E-2</v>
      </c>
      <c r="AE57" s="305">
        <f t="shared" si="15"/>
        <v>0.7</v>
      </c>
      <c r="AF57" s="177">
        <f t="shared" si="23"/>
        <v>0.10319677053480447</v>
      </c>
      <c r="AG57" s="817">
        <f t="shared" si="24"/>
        <v>1</v>
      </c>
      <c r="AH57" s="176">
        <f t="shared" si="16"/>
        <v>7</v>
      </c>
      <c r="AI57" s="225">
        <f t="shared" si="17"/>
        <v>1.1031967705348045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46066</v>
      </c>
      <c r="B58" s="411">
        <f>'2025'!Wh/'2025'!Env_an*'2026'!Env_an</f>
        <v>19.226595510127659</v>
      </c>
      <c r="C58" s="846"/>
      <c r="D58" s="393">
        <f t="shared" si="0"/>
        <v>20.468166405926237</v>
      </c>
      <c r="E58" s="385">
        <f t="shared" si="1"/>
        <v>21.760720467359373</v>
      </c>
      <c r="F58" s="385">
        <f t="shared" si="2"/>
        <v>21.901217385542605</v>
      </c>
      <c r="G58" s="110">
        <f t="shared" si="21"/>
        <v>0.90878744793305866</v>
      </c>
      <c r="H58" s="414" t="b">
        <f>Wh_hp&gt;='2025'!Maxi_hp</f>
        <v>0</v>
      </c>
      <c r="I58" s="390">
        <f>IF(H58,Wh_hp,'2025'!Maxi_hp)</f>
        <v>24.939074122850123</v>
      </c>
      <c r="J58" s="85">
        <f>IF(H58,An,'2025'!An_max)</f>
        <v>2019</v>
      </c>
      <c r="K58" s="197">
        <f t="shared" si="3"/>
        <v>46066</v>
      </c>
      <c r="L58" s="147">
        <f>IF(t&lt;Tvie,1-EXP((T0-t)*PertePVj)+'2025'!Pspv,1-EXP((T0-t)*PertePVj)+Pspv)</f>
        <v>6.0658628192464814E-2</v>
      </c>
      <c r="M58" s="850"/>
      <c r="N58" s="850"/>
      <c r="O58" s="48">
        <f>IF(t&lt;Tnet,'2025'!Resal+('2025'!Salim-'2025'!Resal)*(1-EXP(('2025'!Tnet-t)/('2025'!Tau_j))),Resal+(Salim-Resal)*(1-EXP((Tnet-t)/(Tau_j))))*Salcycl</f>
        <v>5.939849571487954E-2</v>
      </c>
      <c r="P58" s="169">
        <f>(INDEX(Models!$BJ58:$BT58,,T58)*(1-R58)+INDEX(Models!$BJ58:$BT58,,T58+1)*R58-ERP_i)*Q58*Ramure*Pc/MaxiM</f>
        <v>7.3656397560624143E-3</v>
      </c>
      <c r="Q58" s="305">
        <f t="shared" si="4"/>
        <v>0.7</v>
      </c>
      <c r="R58" s="177">
        <f t="shared" si="5"/>
        <v>0.47949540322978756</v>
      </c>
      <c r="S58" s="817">
        <f t="shared" si="6"/>
        <v>-2</v>
      </c>
      <c r="T58" s="176">
        <f t="shared" si="7"/>
        <v>4</v>
      </c>
      <c r="U58" s="251">
        <f t="shared" si="8"/>
        <v>-1.5205045967702124</v>
      </c>
      <c r="V58" s="383">
        <f t="shared" si="9"/>
        <v>21.136075896959198</v>
      </c>
      <c r="W58" s="402">
        <f t="shared" si="10"/>
        <v>19.226595510127659</v>
      </c>
      <c r="X58" s="157">
        <f t="shared" si="11"/>
        <v>46066</v>
      </c>
      <c r="Y58" s="385">
        <f t="shared" si="12"/>
        <v>17.285848471123092</v>
      </c>
      <c r="Z58" s="385">
        <f t="shared" si="22"/>
        <v>18.402094265113288</v>
      </c>
      <c r="AA58" s="386">
        <f t="shared" si="13"/>
        <v>20.784375118782663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0.11461883458389514</v>
      </c>
      <c r="AD58" s="231">
        <f>(INDEX(Models!$BJ58:$BT58,,AH58)*(1-AF58)+INDEX(Models!$BJ58:$BT58,,AH58+1)*AF58-ERP_i)*AE58*Ramure*Pc/MaxiM</f>
        <v>5.8551161887902929E-2</v>
      </c>
      <c r="AE58" s="305">
        <f t="shared" si="15"/>
        <v>0.7</v>
      </c>
      <c r="AF58" s="177">
        <f t="shared" si="23"/>
        <v>0.10335877260584359</v>
      </c>
      <c r="AG58" s="817">
        <f t="shared" si="24"/>
        <v>1</v>
      </c>
      <c r="AH58" s="176">
        <f t="shared" si="16"/>
        <v>7</v>
      </c>
      <c r="AI58" s="225">
        <f t="shared" si="17"/>
        <v>1.1033587726058436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46067</v>
      </c>
      <c r="B59" s="411">
        <f>'2025'!Wh/'2025'!Env_an*'2026'!Env_an</f>
        <v>10.632999808044113</v>
      </c>
      <c r="C59" s="846"/>
      <c r="D59" s="393">
        <f t="shared" si="0"/>
        <v>11.319881165958549</v>
      </c>
      <c r="E59" s="385">
        <f t="shared" si="1"/>
        <v>12.036266574231622</v>
      </c>
      <c r="F59" s="385">
        <f t="shared" si="2"/>
        <v>12.060010641006015</v>
      </c>
      <c r="G59" s="110">
        <f t="shared" si="21"/>
        <v>0.49370784410256047</v>
      </c>
      <c r="H59" s="414" t="b">
        <f>Wh_hp&gt;='2025'!Maxi_hp</f>
        <v>0</v>
      </c>
      <c r="I59" s="390">
        <f>IF(H59,Wh_hp,'2025'!Maxi_hp)</f>
        <v>25.04355830581331</v>
      </c>
      <c r="J59" s="85">
        <f>IF(H59,An,'2025'!An_max)</f>
        <v>2019</v>
      </c>
      <c r="K59" s="197">
        <f t="shared" si="3"/>
        <v>46067</v>
      </c>
      <c r="L59" s="147">
        <f>IF(t&lt;Tvie,1-EXP((T0-t)*PertePVj)+'2025'!Pspv,1-EXP((T0-t)*PertePVj)+Pspv)</f>
        <v>6.0679202179263481E-2</v>
      </c>
      <c r="M59" s="850"/>
      <c r="N59" s="850"/>
      <c r="O59" s="48">
        <f>IF(t&lt;Tnet,'2025'!Resal+('2025'!Salim-'2025'!Resal)*(1-EXP(('2025'!Tnet-t)/('2025'!Tau_j))),Resal+(Salim-Resal)*(1-EXP((Tnet-t)/(Tau_j))))*Salcycl</f>
        <v>5.9518905123518866E-2</v>
      </c>
      <c r="P59" s="169">
        <f>(INDEX(Models!$BJ59:$BT59,,T59)*(1-R59)+INDEX(Models!$BJ59:$BT59,,T59+1)*R59-ERP_i)*Q59*Ramure*Pc/MaxiM</f>
        <v>7.0236004402926509E-3</v>
      </c>
      <c r="Q59" s="305">
        <f t="shared" si="4"/>
        <v>0.7</v>
      </c>
      <c r="R59" s="177">
        <f t="shared" si="5"/>
        <v>0.47966408929376936</v>
      </c>
      <c r="S59" s="817">
        <f t="shared" si="6"/>
        <v>-2</v>
      </c>
      <c r="T59" s="176">
        <f t="shared" si="7"/>
        <v>4</v>
      </c>
      <c r="U59" s="251">
        <f t="shared" si="8"/>
        <v>-1.5203359107062306</v>
      </c>
      <c r="V59" s="383">
        <f t="shared" si="9"/>
        <v>21.427948724024791</v>
      </c>
      <c r="W59" s="402">
        <f t="shared" si="10"/>
        <v>10.632999808044113</v>
      </c>
      <c r="X59" s="157">
        <f t="shared" si="11"/>
        <v>46067</v>
      </c>
      <c r="Y59" s="385">
        <f t="shared" si="12"/>
        <v>9.86819658817606</v>
      </c>
      <c r="Z59" s="385">
        <f t="shared" si="22"/>
        <v>10.505672408266365</v>
      </c>
      <c r="AA59" s="386">
        <f t="shared" si="13"/>
        <v>11.866317846107567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0.11466450296437368</v>
      </c>
      <c r="AD59" s="231">
        <f>(INDEX(Models!$BJ59:$BT59,,AH59)*(1-AF59)+INDEX(Models!$BJ59:$BT59,,AH59+1)*AF59-ERP_i)*AE59*Ramure*Pc/MaxiM</f>
        <v>5.7295189255338566E-2</v>
      </c>
      <c r="AE59" s="305">
        <f t="shared" si="15"/>
        <v>0.7</v>
      </c>
      <c r="AF59" s="177">
        <f t="shared" si="23"/>
        <v>0.10352745866982538</v>
      </c>
      <c r="AG59" s="817">
        <f t="shared" si="24"/>
        <v>1</v>
      </c>
      <c r="AH59" s="176">
        <f t="shared" si="16"/>
        <v>7</v>
      </c>
      <c r="AI59" s="225">
        <f t="shared" si="17"/>
        <v>1.1035274586698254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46068</v>
      </c>
      <c r="B60" s="411">
        <f>'2025'!Wh/'2025'!Env_an*'2026'!Env_an</f>
        <v>13.427811117858333</v>
      </c>
      <c r="C60" s="846"/>
      <c r="D60" s="393">
        <f t="shared" si="0"/>
        <v>14.295547654197492</v>
      </c>
      <c r="E60" s="385">
        <f t="shared" si="1"/>
        <v>15.202193850577187</v>
      </c>
      <c r="F60" s="385">
        <f t="shared" si="2"/>
        <v>15.248539130519086</v>
      </c>
      <c r="G60" s="110">
        <f t="shared" si="21"/>
        <v>0.61598526061152514</v>
      </c>
      <c r="H60" s="414" t="b">
        <f>Wh_hp&gt;='2025'!Maxi_hp</f>
        <v>0</v>
      </c>
      <c r="I60" s="390">
        <f>IF(H60,Wh_hp,'2025'!Maxi_hp)</f>
        <v>25.359879246140192</v>
      </c>
      <c r="J60" s="85">
        <f>IF(H60,An,'2025'!An_max)</f>
        <v>2019</v>
      </c>
      <c r="K60" s="197">
        <f t="shared" si="3"/>
        <v>46068</v>
      </c>
      <c r="L60" s="147">
        <f>IF(t&lt;Tvie,1-EXP((T0-t)*PertePVj)+'2025'!Pspv,1-EXP((T0-t)*PertePVj)+Pspv)</f>
        <v>6.0699775715439053E-2</v>
      </c>
      <c r="M60" s="850"/>
      <c r="N60" s="850"/>
      <c r="O60" s="48">
        <f>IF(t&lt;Tnet,'2025'!Resal+('2025'!Salim-'2025'!Resal)*(1-EXP(('2025'!Tnet-t)/('2025'!Tau_j))),Resal+(Salim-Resal)*(1-EXP((Tnet-t)/(Tau_j))))*Salcycl</f>
        <v>5.9639168220794188E-2</v>
      </c>
      <c r="P60" s="169">
        <f>(INDEX(Models!$BJ60:$BT60,,T60)*(1-R60)+INDEX(Models!$BJ60:$BT60,,T60+1)*R60-ERP_i)*Q60*Ramure*Pc/MaxiM</f>
        <v>6.6851651636585484E-3</v>
      </c>
      <c r="Q60" s="305">
        <f t="shared" si="4"/>
        <v>0.7</v>
      </c>
      <c r="R60" s="177">
        <f t="shared" si="5"/>
        <v>0.47983973026009985</v>
      </c>
      <c r="S60" s="817">
        <f t="shared" si="6"/>
        <v>-2</v>
      </c>
      <c r="T60" s="176">
        <f t="shared" si="7"/>
        <v>4</v>
      </c>
      <c r="U60" s="251">
        <f t="shared" si="8"/>
        <v>-1.5201602697399001</v>
      </c>
      <c r="V60" s="383">
        <f t="shared" si="9"/>
        <v>21.719198634470903</v>
      </c>
      <c r="W60" s="402">
        <f t="shared" si="10"/>
        <v>13.427811117858333</v>
      </c>
      <c r="X60" s="157">
        <f t="shared" si="11"/>
        <v>46068</v>
      </c>
      <c r="Y60" s="385">
        <f t="shared" si="12"/>
        <v>12.357256343864346</v>
      </c>
      <c r="Z60" s="385">
        <f t="shared" si="22"/>
        <v>13.155811128733124</v>
      </c>
      <c r="AA60" s="386">
        <f t="shared" si="13"/>
        <v>14.860456110622202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0.11471013871980713</v>
      </c>
      <c r="AD60" s="231">
        <f>(INDEX(Models!$BJ60:$BT60,,AH60)*(1-AF60)+INDEX(Models!$BJ60:$BT60,,AH60+1)*AF60-ERP_i)*AE60*Ramure*Pc/MaxiM</f>
        <v>5.597979100513472E-2</v>
      </c>
      <c r="AE60" s="305">
        <f t="shared" si="15"/>
        <v>0.7</v>
      </c>
      <c r="AF60" s="177">
        <f t="shared" si="23"/>
        <v>0.10370309963615587</v>
      </c>
      <c r="AG60" s="817">
        <f t="shared" si="24"/>
        <v>1</v>
      </c>
      <c r="AH60" s="176">
        <f t="shared" si="16"/>
        <v>7</v>
      </c>
      <c r="AI60" s="225">
        <f t="shared" si="17"/>
        <v>1.1037030996361559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46069</v>
      </c>
      <c r="B61" s="411">
        <f>'2025'!Wh/'2025'!Env_an*'2026'!Env_an</f>
        <v>5.8683719580031761</v>
      </c>
      <c r="C61" s="846"/>
      <c r="D61" s="393">
        <f t="shared" si="0"/>
        <v>6.2477367102674357</v>
      </c>
      <c r="E61" s="385">
        <f t="shared" si="1"/>
        <v>6.6448267680295414</v>
      </c>
      <c r="F61" s="385">
        <f t="shared" si="2"/>
        <v>6.6448267680295414</v>
      </c>
      <c r="G61" s="110">
        <f t="shared" si="21"/>
        <v>0.26493989531914203</v>
      </c>
      <c r="H61" s="414" t="b">
        <f>Wh_hp&gt;='2025'!Maxi_hp</f>
        <v>0</v>
      </c>
      <c r="I61" s="390">
        <f>IF(H61,Wh_hp,'2025'!Maxi_hp)</f>
        <v>25.832581952942551</v>
      </c>
      <c r="J61" s="85">
        <f>IF(H61,An,'2025'!An_max)</f>
        <v>2019</v>
      </c>
      <c r="K61" s="197">
        <f t="shared" si="3"/>
        <v>46069</v>
      </c>
      <c r="L61" s="147">
        <f>IF(t&lt;Tvie,1-EXP((T0-t)*PertePVj)+'2025'!Pspv,1-EXP((T0-t)*PertePVj)+Pspv)</f>
        <v>6.0720348801001411E-2</v>
      </c>
      <c r="M61" s="850"/>
      <c r="N61" s="850"/>
      <c r="O61" s="48">
        <f>IF(t&lt;Tnet,'2025'!Resal+('2025'!Salim-'2025'!Resal)*(1-EXP(('2025'!Tnet-t)/('2025'!Tau_j))),Resal+(Salim-Resal)*(1-EXP((Tnet-t)/(Tau_j))))*Salcycl</f>
        <v>5.975927915421924E-2</v>
      </c>
      <c r="P61" s="169">
        <f>(INDEX(Models!$BJ61:$BT61,,T61)*(1-R61)+INDEX(Models!$BJ61:$BT61,,T61+1)*R61-ERP_i)*Q61*Ramure*Pc/MaxiM</f>
        <v>6.3503391076741239E-3</v>
      </c>
      <c r="Q61" s="305">
        <f t="shared" si="4"/>
        <v>0.7</v>
      </c>
      <c r="R61" s="177">
        <f t="shared" si="5"/>
        <v>0.48002260760588777</v>
      </c>
      <c r="S61" s="817">
        <f t="shared" si="6"/>
        <v>-2</v>
      </c>
      <c r="T61" s="176">
        <f t="shared" si="7"/>
        <v>4</v>
      </c>
      <c r="U61" s="251">
        <f t="shared" si="8"/>
        <v>-1.5199773923941122</v>
      </c>
      <c r="V61" s="383">
        <f t="shared" si="9"/>
        <v>22.009164754276973</v>
      </c>
      <c r="W61" s="402">
        <f t="shared" si="10"/>
        <v>5.8683719580031761</v>
      </c>
      <c r="X61" s="157">
        <f t="shared" si="11"/>
        <v>46069</v>
      </c>
      <c r="Y61" s="385">
        <f t="shared" si="12"/>
        <v>5.5251198272946498</v>
      </c>
      <c r="Z61" s="385">
        <f t="shared" si="22"/>
        <v>5.8822948205486902</v>
      </c>
      <c r="AA61" s="386">
        <f t="shared" si="13"/>
        <v>6.6448267680295414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0.11475573014930114</v>
      </c>
      <c r="AD61" s="231">
        <f>(INDEX(Models!$BJ61:$BT61,,AH61)*(1-AF61)+INDEX(Models!$BJ61:$BT61,,AH61+1)*AF61-ERP_i)*AE61*Ramure*Pc/MaxiM</f>
        <v>5.4608824906977362E-2</v>
      </c>
      <c r="AE61" s="305">
        <f t="shared" si="15"/>
        <v>0.7</v>
      </c>
      <c r="AF61" s="177">
        <f t="shared" si="23"/>
        <v>0.1038859769819438</v>
      </c>
      <c r="AG61" s="817">
        <f t="shared" si="24"/>
        <v>1</v>
      </c>
      <c r="AH61" s="176">
        <f t="shared" si="16"/>
        <v>7</v>
      </c>
      <c r="AI61" s="225">
        <f t="shared" si="17"/>
        <v>1.1038859769819438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46070</v>
      </c>
      <c r="B62" s="411">
        <f>'2025'!Wh/'2025'!Env_an*'2026'!Env_an</f>
        <v>10.02101393588466</v>
      </c>
      <c r="C62" s="846"/>
      <c r="D62" s="393">
        <f t="shared" si="0"/>
        <v>10.669062630946311</v>
      </c>
      <c r="E62" s="385">
        <f t="shared" si="1"/>
        <v>11.348608602857952</v>
      </c>
      <c r="F62" s="385">
        <f t="shared" si="2"/>
        <v>11.36320917899889</v>
      </c>
      <c r="G62" s="110">
        <f t="shared" si="21"/>
        <v>0.44729910083677948</v>
      </c>
      <c r="H62" s="414" t="b">
        <f>Wh_hp&gt;='2025'!Maxi_hp</f>
        <v>0</v>
      </c>
      <c r="I62" s="390">
        <f>IF(H62,Wh_hp,'2025'!Maxi_hp)</f>
        <v>26.057323912775445</v>
      </c>
      <c r="J62" s="85">
        <f>IF(H62,An,'2025'!An_max)</f>
        <v>2019</v>
      </c>
      <c r="K62" s="197">
        <f t="shared" si="3"/>
        <v>46070</v>
      </c>
      <c r="L62" s="147">
        <f>IF(t&lt;Tvie,1-EXP((T0-t)*PertePVj)+'2025'!Pspv,1-EXP((T0-t)*PertePVj)+Pspv)</f>
        <v>6.0740921435960327E-2</v>
      </c>
      <c r="M62" s="850"/>
      <c r="N62" s="850"/>
      <c r="O62" s="48">
        <f>IF(t&lt;Tnet,'2025'!Resal+('2025'!Salim-'2025'!Resal)*(1-EXP(('2025'!Tnet-t)/('2025'!Tau_j))),Resal+(Salim-Resal)*(1-EXP((Tnet-t)/(Tau_j))))*Salcycl</f>
        <v>5.9879232396869306E-2</v>
      </c>
      <c r="P62" s="169">
        <f>(INDEX(Models!$BJ62:$BT62,,T62)*(1-R62)+INDEX(Models!$BJ62:$BT62,,T62+1)*R62-ERP_i)*Q62*Ramure*Pc/MaxiM</f>
        <v>6.0190870538424923E-3</v>
      </c>
      <c r="Q62" s="305">
        <f t="shared" si="4"/>
        <v>0.7</v>
      </c>
      <c r="R62" s="177">
        <f t="shared" si="5"/>
        <v>0.48021301375304426</v>
      </c>
      <c r="S62" s="817">
        <f t="shared" si="6"/>
        <v>-2</v>
      </c>
      <c r="T62" s="176">
        <f t="shared" si="7"/>
        <v>4</v>
      </c>
      <c r="U62" s="251">
        <f t="shared" si="8"/>
        <v>-1.5197869862469557</v>
      </c>
      <c r="V62" s="383">
        <f t="shared" si="9"/>
        <v>22.297186640894228</v>
      </c>
      <c r="W62" s="402">
        <f t="shared" si="10"/>
        <v>10.02101393588466</v>
      </c>
      <c r="X62" s="157">
        <f t="shared" si="11"/>
        <v>46070</v>
      </c>
      <c r="Y62" s="385">
        <f t="shared" si="12"/>
        <v>9.3404580414433305</v>
      </c>
      <c r="Z62" s="385">
        <f t="shared" si="22"/>
        <v>9.9444958846958738</v>
      </c>
      <c r="AA62" s="386">
        <f t="shared" si="13"/>
        <v>11.23419578629508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0.11480126625285894</v>
      </c>
      <c r="AD62" s="231">
        <f>(INDEX(Models!$BJ62:$BT62,,AH62)*(1-AF62)+INDEX(Models!$BJ62:$BT62,,AH62+1)*AF62-ERP_i)*AE62*Ramure*Pc/MaxiM</f>
        <v>5.3185767075216717E-2</v>
      </c>
      <c r="AE62" s="305">
        <f t="shared" si="15"/>
        <v>0.7</v>
      </c>
      <c r="AF62" s="177">
        <f t="shared" si="23"/>
        <v>0.10407638312910028</v>
      </c>
      <c r="AG62" s="817">
        <f t="shared" si="24"/>
        <v>1</v>
      </c>
      <c r="AH62" s="176">
        <f t="shared" si="16"/>
        <v>7</v>
      </c>
      <c r="AI62" s="225">
        <f t="shared" si="17"/>
        <v>1.1040763831291003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46071</v>
      </c>
      <c r="B63" s="411">
        <f>'2025'!Wh/'2025'!Env_an*'2026'!Env_an</f>
        <v>18.899982389887708</v>
      </c>
      <c r="C63" s="846"/>
      <c r="D63" s="393">
        <f t="shared" si="0"/>
        <v>20.122665607842585</v>
      </c>
      <c r="E63" s="385">
        <f t="shared" si="1"/>
        <v>21.407068818918304</v>
      </c>
      <c r="F63" s="385">
        <f t="shared" si="2"/>
        <v>21.500930522705264</v>
      </c>
      <c r="G63" s="110">
        <f t="shared" si="21"/>
        <v>0.83581209018743052</v>
      </c>
      <c r="H63" s="414" t="b">
        <f>Wh_hp&gt;='2025'!Maxi_hp</f>
        <v>0</v>
      </c>
      <c r="I63" s="390">
        <f>IF(H63,Wh_hp,'2025'!Maxi_hp)</f>
        <v>25.702210502087123</v>
      </c>
      <c r="J63" s="85">
        <f>IF(H63,An,'2025'!An_max)</f>
        <v>2019</v>
      </c>
      <c r="K63" s="197">
        <f t="shared" si="3"/>
        <v>46071</v>
      </c>
      <c r="L63" s="147">
        <f>IF(t&lt;Tvie,1-EXP((T0-t)*PertePVj)+'2025'!Pspv,1-EXP((T0-t)*PertePVj)+Pspv)</f>
        <v>6.076149362032579E-2</v>
      </c>
      <c r="M63" s="850"/>
      <c r="N63" s="850"/>
      <c r="O63" s="48">
        <f>IF(t&lt;Tnet,'2025'!Resal+('2025'!Salim-'2025'!Resal)*(1-EXP(('2025'!Tnet-t)/('2025'!Tau_j))),Resal+(Salim-Resal)*(1-EXP((Tnet-t)/(Tau_j))))*Salcycl</f>
        <v>5.9999022843362788E-2</v>
      </c>
      <c r="P63" s="169">
        <f>(INDEX(Models!$BJ63:$BT63,,T63)*(1-R63)+INDEX(Models!$BJ63:$BT63,,T63+1)*R63-ERP_i)*Q63*Ramure*Pc/MaxiM</f>
        <v>5.6913368605609957E-3</v>
      </c>
      <c r="Q63" s="305">
        <f t="shared" si="4"/>
        <v>0.7</v>
      </c>
      <c r="R63" s="177">
        <f t="shared" si="5"/>
        <v>0.48041125245579241</v>
      </c>
      <c r="S63" s="817">
        <f t="shared" si="6"/>
        <v>-2</v>
      </c>
      <c r="T63" s="176">
        <f t="shared" si="7"/>
        <v>4</v>
      </c>
      <c r="U63" s="251">
        <f t="shared" si="8"/>
        <v>-1.5195887475442076</v>
      </c>
      <c r="V63" s="383">
        <f t="shared" si="9"/>
        <v>22.582604284024868</v>
      </c>
      <c r="W63" s="402">
        <f t="shared" si="10"/>
        <v>18.899982389887708</v>
      </c>
      <c r="X63" s="157">
        <f t="shared" si="11"/>
        <v>46071</v>
      </c>
      <c r="Y63" s="385">
        <f t="shared" si="12"/>
        <v>17.166183399287149</v>
      </c>
      <c r="Z63" s="385">
        <f t="shared" si="22"/>
        <v>18.276703183150751</v>
      </c>
      <c r="AA63" s="386">
        <f t="shared" si="13"/>
        <v>20.648066210962561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0.11484673690908623</v>
      </c>
      <c r="AD63" s="231">
        <f>(INDEX(Models!$BJ63:$BT63,,AH63)*(1-AF63)+INDEX(Models!$BJ63:$BT63,,AH63+1)*AF63-ERP_i)*AE63*Ramure*Pc/MaxiM</f>
        <v>5.1713722409038876E-2</v>
      </c>
      <c r="AE63" s="305">
        <f t="shared" si="15"/>
        <v>0.7</v>
      </c>
      <c r="AF63" s="177">
        <f t="shared" si="23"/>
        <v>0.10427462183184844</v>
      </c>
      <c r="AG63" s="817">
        <f t="shared" si="24"/>
        <v>1</v>
      </c>
      <c r="AH63" s="176">
        <f t="shared" si="16"/>
        <v>7</v>
      </c>
      <c r="AI63" s="225">
        <f t="shared" si="17"/>
        <v>1.1042746218318484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46072</v>
      </c>
      <c r="B64" s="411">
        <f>'2025'!Wh/'2025'!Env_an*'2026'!Env_an</f>
        <v>12.180417682836852</v>
      </c>
      <c r="C64" s="846"/>
      <c r="D64" s="393">
        <f t="shared" si="0"/>
        <v>12.968680892394969</v>
      </c>
      <c r="E64" s="385">
        <f t="shared" si="1"/>
        <v>13.798210631462938</v>
      </c>
      <c r="F64" s="385">
        <f t="shared" si="2"/>
        <v>13.822874225011148</v>
      </c>
      <c r="G64" s="110">
        <f t="shared" si="21"/>
        <v>0.53080380566975804</v>
      </c>
      <c r="H64" s="414" t="b">
        <f>Wh_hp&gt;='2025'!Maxi_hp</f>
        <v>0</v>
      </c>
      <c r="I64" s="390">
        <f>IF(H64,Wh_hp,'2025'!Maxi_hp)</f>
        <v>25.212086475297145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6.0782065354107573E-2</v>
      </c>
      <c r="M64" s="850"/>
      <c r="N64" s="850"/>
      <c r="O64" s="48">
        <f>IF(t&lt;Tnet,'2025'!Resal+('2025'!Salim-'2025'!Resal)*(1-EXP(('2025'!Tnet-t)/('2025'!Tau_j))),Resal+(Salim-Resal)*(1-EXP((Tnet-t)/(Tau_j))))*Salcycl</f>
        <v>6.0118645904452303E-2</v>
      </c>
      <c r="P64" s="169">
        <f>(INDEX(Models!$BJ64:$BT64,,T64)*(1-R64)+INDEX(Models!$BJ64:$BT64,,T64+1)*R64-ERP_i)*Q64*Ramure*Pc/MaxiM</f>
        <v>5.3669825849220103E-3</v>
      </c>
      <c r="Q64" s="305">
        <f t="shared" si="4"/>
        <v>0.7</v>
      </c>
      <c r="R64" s="177">
        <f t="shared" si="5"/>
        <v>0.48061763919860145</v>
      </c>
      <c r="S64" s="817">
        <f t="shared" si="6"/>
        <v>-2</v>
      </c>
      <c r="T64" s="176">
        <f t="shared" si="7"/>
        <v>4</v>
      </c>
      <c r="U64" s="251">
        <f t="shared" si="8"/>
        <v>-1.5193823608013985</v>
      </c>
      <c r="V64" s="383">
        <f t="shared" si="9"/>
        <v>22.864758100865551</v>
      </c>
      <c r="W64" s="402">
        <f t="shared" si="10"/>
        <v>12.180417682836852</v>
      </c>
      <c r="X64" s="157">
        <f t="shared" si="11"/>
        <v>46072</v>
      </c>
      <c r="Y64" s="385">
        <f t="shared" si="12"/>
        <v>11.299324503692324</v>
      </c>
      <c r="Z64" s="385">
        <f t="shared" si="22"/>
        <v>12.030567227139288</v>
      </c>
      <c r="AA64" s="386">
        <f t="shared" si="13"/>
        <v>13.592204607305261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0.11489213304857517</v>
      </c>
      <c r="AD64" s="231">
        <f>(INDEX(Models!$BJ64:$BT64,,AH64)*(1-AF64)+INDEX(Models!$BJ64:$BT64,,AH64+1)*AF64-ERP_i)*AE64*Ramure*Pc/MaxiM</f>
        <v>5.0195435579093999E-2</v>
      </c>
      <c r="AE64" s="305">
        <f t="shared" si="15"/>
        <v>0.7</v>
      </c>
      <c r="AF64" s="177">
        <f t="shared" si="23"/>
        <v>0.10448100857465747</v>
      </c>
      <c r="AG64" s="817">
        <f t="shared" si="24"/>
        <v>1</v>
      </c>
      <c r="AH64" s="176">
        <f t="shared" si="16"/>
        <v>7</v>
      </c>
      <c r="AI64" s="225">
        <f t="shared" si="17"/>
        <v>1.1044810085746575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46073</v>
      </c>
      <c r="B65" s="411">
        <f>'2025'!Wh/'2025'!Env_an*'2026'!Env_an</f>
        <v>13.676551298340323</v>
      </c>
      <c r="C65" s="846"/>
      <c r="D65" s="393">
        <f t="shared" si="0"/>
        <v>14.561956657728528</v>
      </c>
      <c r="E65" s="385">
        <f t="shared" si="1"/>
        <v>15.495368157113873</v>
      </c>
      <c r="F65" s="385">
        <f t="shared" si="2"/>
        <v>15.527928617600812</v>
      </c>
      <c r="G65" s="110">
        <f t="shared" si="21"/>
        <v>0.58917045873080531</v>
      </c>
      <c r="H65" s="414" t="b">
        <f>Wh_hp&gt;='2025'!Maxi_hp</f>
        <v>0</v>
      </c>
      <c r="I65" s="390">
        <f>IF(H65,Wh_hp,'2025'!Maxi_hp)</f>
        <v>26.392814303463727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6.0802636637315555E-2</v>
      </c>
      <c r="M65" s="850"/>
      <c r="N65" s="850"/>
      <c r="O65" s="48">
        <f>IF(t&lt;Tnet,'2025'!Resal+('2025'!Salim-'2025'!Resal)*(1-EXP(('2025'!Tnet-t)/('2025'!Tau_j))),Resal+(Salim-Resal)*(1-EXP((Tnet-t)/(Tau_j))))*Salcycl</f>
        <v>6.0238097599302175E-2</v>
      </c>
      <c r="P65" s="169">
        <f>(INDEX(Models!$BJ65:$BT65,,T65)*(1-R65)+INDEX(Models!$BJ65:$BT65,,T65+1)*R65-ERP_i)*Q65*Ramure*Pc/MaxiM</f>
        <v>5.0455286365742773E-3</v>
      </c>
      <c r="Q65" s="305">
        <f t="shared" si="4"/>
        <v>0.7</v>
      </c>
      <c r="R65" s="177">
        <f t="shared" si="5"/>
        <v>0.48083250160451163</v>
      </c>
      <c r="S65" s="817">
        <f t="shared" si="6"/>
        <v>-2</v>
      </c>
      <c r="T65" s="176">
        <f t="shared" si="7"/>
        <v>4</v>
      </c>
      <c r="U65" s="251">
        <f t="shared" si="8"/>
        <v>-1.5191674983954884</v>
      </c>
      <c r="V65" s="383">
        <f t="shared" si="9"/>
        <v>23.144642164704148</v>
      </c>
      <c r="W65" s="402">
        <f t="shared" si="10"/>
        <v>13.676551298340323</v>
      </c>
      <c r="X65" s="157">
        <f t="shared" si="11"/>
        <v>46073</v>
      </c>
      <c r="Y65" s="385">
        <f t="shared" si="12"/>
        <v>12.646700008404922</v>
      </c>
      <c r="Z65" s="385">
        <f t="shared" si="22"/>
        <v>13.46543389253662</v>
      </c>
      <c r="AA65" s="386">
        <f t="shared" si="13"/>
        <v>15.214104183003851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0.11493744682126769</v>
      </c>
      <c r="AD65" s="231">
        <f>(INDEX(Models!$BJ65:$BT65,,AH65)*(1-AF65)+INDEX(Models!$BJ65:$BT65,,AH65+1)*AF65-ERP_i)*AE65*Ramure*Pc/MaxiM</f>
        <v>4.8629845768025266E-2</v>
      </c>
      <c r="AE65" s="305">
        <f t="shared" si="15"/>
        <v>0.7</v>
      </c>
      <c r="AF65" s="177">
        <f t="shared" si="23"/>
        <v>0.10469587098056765</v>
      </c>
      <c r="AG65" s="817">
        <f t="shared" si="24"/>
        <v>1</v>
      </c>
      <c r="AH65" s="176">
        <f t="shared" si="16"/>
        <v>7</v>
      </c>
      <c r="AI65" s="225">
        <f t="shared" si="17"/>
        <v>1.1046958709805677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46074</v>
      </c>
      <c r="B66" s="411">
        <f>'2025'!Wh/'2025'!Env_an*'2026'!Env_an</f>
        <v>14.155017355199822</v>
      </c>
      <c r="C66" s="846"/>
      <c r="D66" s="393">
        <f t="shared" si="0"/>
        <v>15.071728206856287</v>
      </c>
      <c r="E66" s="385">
        <f t="shared" si="1"/>
        <v>16.039851535210261</v>
      </c>
      <c r="F66" s="385">
        <f t="shared" si="2"/>
        <v>16.072881464862721</v>
      </c>
      <c r="G66" s="110">
        <f t="shared" si="21"/>
        <v>0.60268576254733153</v>
      </c>
      <c r="H66" s="414" t="b">
        <f>Wh_hp&gt;='2025'!Maxi_hp</f>
        <v>0</v>
      </c>
      <c r="I66" s="390">
        <f>IF(H66,Wh_hp,'2025'!Maxi_hp)</f>
        <v>25.140056728294933</v>
      </c>
      <c r="J66" s="85">
        <f>IF(H66,An,'2025'!An_max)</f>
        <v>2019</v>
      </c>
      <c r="K66" s="197">
        <f t="shared" si="3"/>
        <v>46074</v>
      </c>
      <c r="L66" s="147">
        <f>IF(t&lt;Tvie,1-EXP((T0-t)*PertePVj)+'2025'!Pspv,1-EXP((T0-t)*PertePVj)+Pspv)</f>
        <v>6.0823207469959728E-2</v>
      </c>
      <c r="M66" s="850"/>
      <c r="N66" s="850"/>
      <c r="O66" s="48">
        <f>IF(t&lt;Tnet,'2025'!Resal+('2025'!Salim-'2025'!Resal)*(1-EXP(('2025'!Tnet-t)/('2025'!Tau_j))),Resal+(Salim-Resal)*(1-EXP((Tnet-t)/(Tau_j))))*Salcycl</f>
        <v>6.0357374644570347E-2</v>
      </c>
      <c r="P66" s="169">
        <f>(INDEX(Models!$BJ66:$BT66,,T66)*(1-R66)+INDEX(Models!$BJ66:$BT66,,T66+1)*R66-ERP_i)*Q66*Ramure*Pc/MaxiM</f>
        <v>4.7272048261767091E-3</v>
      </c>
      <c r="Q66" s="305">
        <f t="shared" si="4"/>
        <v>0.7</v>
      </c>
      <c r="R66" s="177">
        <f t="shared" si="5"/>
        <v>0.48105617985379845</v>
      </c>
      <c r="S66" s="817">
        <f t="shared" si="6"/>
        <v>-2</v>
      </c>
      <c r="T66" s="176">
        <f t="shared" si="7"/>
        <v>4</v>
      </c>
      <c r="U66" s="251">
        <f t="shared" si="8"/>
        <v>-1.5189438201462016</v>
      </c>
      <c r="V66" s="383">
        <f t="shared" si="9"/>
        <v>23.423673455395011</v>
      </c>
      <c r="W66" s="402">
        <f t="shared" si="10"/>
        <v>14.155017355199822</v>
      </c>
      <c r="X66" s="157">
        <f t="shared" si="11"/>
        <v>46074</v>
      </c>
      <c r="Y66" s="385">
        <f t="shared" si="12"/>
        <v>13.086724838845081</v>
      </c>
      <c r="Z66" s="385">
        <f t="shared" si="22"/>
        <v>13.934250657526221</v>
      </c>
      <c r="AA66" s="386">
        <f t="shared" si="13"/>
        <v>15.744607718785389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0.11498267175619591</v>
      </c>
      <c r="AD66" s="231">
        <f>(INDEX(Models!$BJ66:$BT66,,AH66)*(1-AF66)+INDEX(Models!$BJ66:$BT66,,AH66+1)*AF66-ERP_i)*AE66*Ramure*Pc/MaxiM</f>
        <v>4.6982153855365083E-2</v>
      </c>
      <c r="AE66" s="305">
        <f t="shared" si="15"/>
        <v>0.7</v>
      </c>
      <c r="AF66" s="177">
        <f t="shared" si="23"/>
        <v>0.10491954922985447</v>
      </c>
      <c r="AG66" s="817">
        <f t="shared" si="24"/>
        <v>1</v>
      </c>
      <c r="AH66" s="176">
        <f t="shared" si="16"/>
        <v>7</v>
      </c>
      <c r="AI66" s="225">
        <f t="shared" si="17"/>
        <v>1.1049195492298545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46075</v>
      </c>
      <c r="B67" s="411">
        <f>'2025'!Wh/'2025'!Env_an*'2026'!Env_an</f>
        <v>22.050107314560538</v>
      </c>
      <c r="C67" s="846"/>
      <c r="D67" s="393">
        <f t="shared" si="0"/>
        <v>23.478636242359762</v>
      </c>
      <c r="E67" s="385">
        <f t="shared" si="1"/>
        <v>24.989939694007067</v>
      </c>
      <c r="F67" s="385">
        <f t="shared" si="2"/>
        <v>25.089800247496914</v>
      </c>
      <c r="G67" s="110">
        <f t="shared" si="21"/>
        <v>0.92990829684986887</v>
      </c>
      <c r="H67" s="414" t="b">
        <f>Wh_hp&gt;='2025'!Maxi_hp</f>
        <v>0</v>
      </c>
      <c r="I67" s="390">
        <f>IF(H67,Wh_hp,'2025'!Maxi_hp)</f>
        <v>26.553607822777124</v>
      </c>
      <c r="J67" s="85">
        <f>IF(H67,An,'2025'!An_max)</f>
        <v>2019</v>
      </c>
      <c r="K67" s="197">
        <f t="shared" si="3"/>
        <v>46075</v>
      </c>
      <c r="L67" s="147">
        <f>IF(t&lt;Tvie,1-EXP((T0-t)*PertePVj)+'2025'!Pspv,1-EXP((T0-t)*PertePVj)+Pspv)</f>
        <v>6.0843777852049863E-2</v>
      </c>
      <c r="M67" s="850"/>
      <c r="N67" s="850"/>
      <c r="O67" s="48">
        <f>IF(t&lt;Tnet,'2025'!Resal+('2025'!Salim-'2025'!Resal)*(1-EXP(('2025'!Tnet-t)/('2025'!Tau_j))),Resal+(Salim-Resal)*(1-EXP((Tnet-t)/(Tau_j))))*Salcycl</f>
        <v>6.047647453946179E-2</v>
      </c>
      <c r="P67" s="169">
        <f>(INDEX(Models!$BJ67:$BT67,,T67)*(1-R67)+INDEX(Models!$BJ67:$BT67,,T67+1)*R67-ERP_i)*Q67*Ramure*Pc/MaxiM</f>
        <v>4.420121639228506E-3</v>
      </c>
      <c r="Q67" s="305">
        <f t="shared" si="4"/>
        <v>0.7</v>
      </c>
      <c r="R67" s="177">
        <f t="shared" si="5"/>
        <v>0.48128902711286758</v>
      </c>
      <c r="S67" s="817">
        <f t="shared" si="6"/>
        <v>-2</v>
      </c>
      <c r="T67" s="176">
        <f t="shared" si="7"/>
        <v>4</v>
      </c>
      <c r="U67" s="251">
        <f t="shared" si="8"/>
        <v>-1.5187109728871324</v>
      </c>
      <c r="V67" s="383">
        <f t="shared" si="9"/>
        <v>23.701656020887793</v>
      </c>
      <c r="W67" s="402">
        <f t="shared" si="10"/>
        <v>22.050107314560538</v>
      </c>
      <c r="X67" s="157">
        <f t="shared" si="11"/>
        <v>46075</v>
      </c>
      <c r="Y67" s="385">
        <f t="shared" si="12"/>
        <v>20.00200311390261</v>
      </c>
      <c r="Z67" s="385">
        <f t="shared" si="22"/>
        <v>21.297844429072622</v>
      </c>
      <c r="AA67" s="386">
        <f t="shared" si="13"/>
        <v>24.066116991195692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0.1150278029121112</v>
      </c>
      <c r="AD67" s="231">
        <f>(INDEX(Models!$BJ67:$BT67,,AH67)*(1-AF67)+INDEX(Models!$BJ67:$BT67,,AH67+1)*AF67-ERP_i)*AE67*Ramure*Pc/MaxiM</f>
        <v>4.5311230057953088E-2</v>
      </c>
      <c r="AE67" s="305">
        <f t="shared" si="15"/>
        <v>0.7</v>
      </c>
      <c r="AF67" s="177">
        <f t="shared" si="23"/>
        <v>0.10515239648892361</v>
      </c>
      <c r="AG67" s="817">
        <f t="shared" si="24"/>
        <v>1</v>
      </c>
      <c r="AH67" s="176">
        <f t="shared" si="16"/>
        <v>7</v>
      </c>
      <c r="AI67" s="225">
        <f t="shared" si="17"/>
        <v>1.1051523964889236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46076</v>
      </c>
      <c r="B68" s="411">
        <f>'2025'!Wh/'2025'!Env_an*'2026'!Env_an</f>
        <v>22.541317290342651</v>
      </c>
      <c r="C68" s="846"/>
      <c r="D68" s="393">
        <f t="shared" si="0"/>
        <v>24.002195249583043</v>
      </c>
      <c r="E68" s="385">
        <f t="shared" si="1"/>
        <v>25.550433900723814</v>
      </c>
      <c r="F68" s="385">
        <f t="shared" si="2"/>
        <v>25.647141836169236</v>
      </c>
      <c r="G68" s="110">
        <f t="shared" si="21"/>
        <v>0.93972690779137158</v>
      </c>
      <c r="H68" s="414" t="b">
        <f>Wh_hp&gt;='2025'!Maxi_hp</f>
        <v>0</v>
      </c>
      <c r="I68" s="390">
        <f>IF(H68,Wh_hp,'2025'!Maxi_hp)</f>
        <v>27.261868971635646</v>
      </c>
      <c r="J68" s="85">
        <f>IF(H68,An,'2025'!An_max)</f>
        <v>2019</v>
      </c>
      <c r="K68" s="197">
        <f t="shared" si="3"/>
        <v>46076</v>
      </c>
      <c r="L68" s="147">
        <f>IF(t&lt;Tvie,1-EXP((T0-t)*PertePVj)+'2025'!Pspv,1-EXP((T0-t)*PertePVj)+Pspv)</f>
        <v>6.0864347783595729E-2</v>
      </c>
      <c r="M68" s="850"/>
      <c r="N68" s="850"/>
      <c r="O68" s="48">
        <f>IF(t&lt;Tnet,'2025'!Resal+('2025'!Salim-'2025'!Resal)*(1-EXP(('2025'!Tnet-t)/('2025'!Tau_j))),Resal+(Salim-Resal)*(1-EXP((Tnet-t)/(Tau_j))))*Salcycl</f>
        <v>6.0595395645978115E-2</v>
      </c>
      <c r="P68" s="169">
        <f>(INDEX(Models!$BJ68:$BT68,,T68)*(1-R68)+INDEX(Models!$BJ68:$BT68,,T68+1)*R68-ERP_i)*Q68*Ramure*Pc/MaxiM</f>
        <v>4.123826765113343E-3</v>
      </c>
      <c r="Q68" s="305">
        <f t="shared" si="4"/>
        <v>0.7</v>
      </c>
      <c r="R68" s="177">
        <f t="shared" si="5"/>
        <v>0.48153140997324551</v>
      </c>
      <c r="S68" s="817">
        <f t="shared" si="6"/>
        <v>-2</v>
      </c>
      <c r="T68" s="176">
        <f t="shared" si="7"/>
        <v>4</v>
      </c>
      <c r="U68" s="251">
        <f t="shared" si="8"/>
        <v>-1.5184685900267545</v>
      </c>
      <c r="V68" s="383">
        <f t="shared" si="9"/>
        <v>23.97859129092906</v>
      </c>
      <c r="W68" s="402">
        <f t="shared" si="10"/>
        <v>22.541317290342651</v>
      </c>
      <c r="X68" s="157">
        <f t="shared" si="11"/>
        <v>46076</v>
      </c>
      <c r="Y68" s="385">
        <f t="shared" si="12"/>
        <v>20.464409513519207</v>
      </c>
      <c r="Z68" s="385">
        <f t="shared" si="22"/>
        <v>21.790685366083419</v>
      </c>
      <c r="AA68" s="386">
        <f t="shared" si="13"/>
        <v>24.624269971152206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0.11507283701764093</v>
      </c>
      <c r="AD68" s="231">
        <f>(INDEX(Models!$BJ68:$BT68,,AH68)*(1-AF68)+INDEX(Models!$BJ68:$BT68,,AH68+1)*AF68-ERP_i)*AE68*Ramure*Pc/MaxiM</f>
        <v>4.3617375914504382E-2</v>
      </c>
      <c r="AE68" s="305">
        <f t="shared" si="15"/>
        <v>0.7</v>
      </c>
      <c r="AF68" s="177">
        <f t="shared" si="23"/>
        <v>0.10539477934930153</v>
      </c>
      <c r="AG68" s="817">
        <f t="shared" si="24"/>
        <v>1</v>
      </c>
      <c r="AH68" s="176">
        <f t="shared" si="16"/>
        <v>7</v>
      </c>
      <c r="AI68" s="225">
        <f t="shared" si="17"/>
        <v>1.1053947793493015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46077</v>
      </c>
      <c r="B69" s="411">
        <f>'2025'!Wh/'2025'!Env_an*'2026'!Env_an</f>
        <v>14.562272467374463</v>
      </c>
      <c r="C69" s="846"/>
      <c r="D69" s="393">
        <f t="shared" si="0"/>
        <v>15.506376944728046</v>
      </c>
      <c r="E69" s="385">
        <f t="shared" si="1"/>
        <v>16.508687674223609</v>
      </c>
      <c r="F69" s="385">
        <f t="shared" si="2"/>
        <v>16.53592212887488</v>
      </c>
      <c r="G69" s="110">
        <f t="shared" si="21"/>
        <v>0.59907756841594328</v>
      </c>
      <c r="H69" s="414" t="b">
        <f>Wh_hp&gt;='2025'!Maxi_hp</f>
        <v>0</v>
      </c>
      <c r="I69" s="390">
        <f>IF(H69,Wh_hp,'2025'!Maxi_hp)</f>
        <v>27.125715294135134</v>
      </c>
      <c r="J69" s="85">
        <f>IF(H69,An,'2025'!An_max)</f>
        <v>2019</v>
      </c>
      <c r="K69" s="197">
        <f t="shared" si="3"/>
        <v>46077</v>
      </c>
      <c r="L69" s="147">
        <f>IF(t&lt;Tvie,1-EXP((T0-t)*PertePVj)+'2025'!Pspv,1-EXP((T0-t)*PertePVj)+Pspv)</f>
        <v>6.088491726460743E-2</v>
      </c>
      <c r="M69" s="850"/>
      <c r="N69" s="850"/>
      <c r="O69" s="48">
        <f>IF(t&lt;Tnet,'2025'!Resal+('2025'!Salim-'2025'!Resal)*(1-EXP(('2025'!Tnet-t)/('2025'!Tau_j))),Resal+(Salim-Resal)*(1-EXP((Tnet-t)/(Tau_j))))*Salcycl</f>
        <v>6.071413726365138E-2</v>
      </c>
      <c r="P69" s="169">
        <f>(INDEX(Models!$BJ69:$BT69,,T69)*(1-R69)+INDEX(Models!$BJ69:$BT69,,T69+1)*R69-ERP_i)*Q69*Ramure*Pc/MaxiM</f>
        <v>3.8379151813568526E-3</v>
      </c>
      <c r="Q69" s="305">
        <f t="shared" si="4"/>
        <v>0.7</v>
      </c>
      <c r="R69" s="177">
        <f t="shared" si="5"/>
        <v>0.48178370890046374</v>
      </c>
      <c r="S69" s="817">
        <f t="shared" si="6"/>
        <v>-2</v>
      </c>
      <c r="T69" s="176">
        <f t="shared" si="7"/>
        <v>4</v>
      </c>
      <c r="U69" s="251">
        <f t="shared" si="8"/>
        <v>-1.5182162910995363</v>
      </c>
      <c r="V69" s="383">
        <f t="shared" si="9"/>
        <v>24.2544800737553</v>
      </c>
      <c r="W69" s="402">
        <f t="shared" si="10"/>
        <v>14.562272467374463</v>
      </c>
      <c r="X69" s="157">
        <f t="shared" si="11"/>
        <v>46077</v>
      </c>
      <c r="Y69" s="385">
        <f t="shared" si="12"/>
        <v>13.494365760897916</v>
      </c>
      <c r="Z69" s="385">
        <f t="shared" si="22"/>
        <v>14.36923547388081</v>
      </c>
      <c r="AA69" s="386">
        <f t="shared" si="13"/>
        <v>16.238585236474947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0.11511777259974731</v>
      </c>
      <c r="AD69" s="231">
        <f>(INDEX(Models!$BJ69:$BT69,,AH69)*(1-AF69)+INDEX(Models!$BJ69:$BT69,,AH69+1)*AF69-ERP_i)*AE69*Ramure*Pc/MaxiM</f>
        <v>4.1901106077994799E-2</v>
      </c>
      <c r="AE69" s="305">
        <f t="shared" si="15"/>
        <v>0.7</v>
      </c>
      <c r="AF69" s="177">
        <f t="shared" si="23"/>
        <v>0.10564707827651976</v>
      </c>
      <c r="AG69" s="817">
        <f t="shared" si="24"/>
        <v>1</v>
      </c>
      <c r="AH69" s="176">
        <f t="shared" si="16"/>
        <v>7</v>
      </c>
      <c r="AI69" s="225">
        <f t="shared" si="17"/>
        <v>1.1056470782765198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46078</v>
      </c>
      <c r="B70" s="411">
        <f>'2025'!Wh/'2025'!Env_an*'2026'!Env_an</f>
        <v>20.30808749498209</v>
      </c>
      <c r="C70" s="846"/>
      <c r="D70" s="393">
        <f t="shared" si="0"/>
        <v>21.625179573100525</v>
      </c>
      <c r="E70" s="385">
        <f t="shared" si="1"/>
        <v>23.025907701587879</v>
      </c>
      <c r="F70" s="385">
        <f t="shared" si="2"/>
        <v>23.087929105305516</v>
      </c>
      <c r="G70" s="110">
        <f t="shared" si="21"/>
        <v>0.82718368937685427</v>
      </c>
      <c r="H70" s="414" t="b">
        <f>Wh_hp&gt;='2025'!Maxi_hp</f>
        <v>0</v>
      </c>
      <c r="I70" s="390">
        <f>IF(H70,Wh_hp,'2025'!Maxi_hp)</f>
        <v>27.521029362463523</v>
      </c>
      <c r="J70" s="85">
        <f>IF(H70,An,'2025'!An_max)</f>
        <v>2019</v>
      </c>
      <c r="K70" s="197">
        <f t="shared" si="3"/>
        <v>46078</v>
      </c>
      <c r="L70" s="147">
        <f>IF(t&lt;Tvie,1-EXP((T0-t)*PertePVj)+'2025'!Pspv,1-EXP((T0-t)*PertePVj)+Pspv)</f>
        <v>6.0905486295094624E-2</v>
      </c>
      <c r="M70" s="850"/>
      <c r="N70" s="850"/>
      <c r="O70" s="48">
        <f>IF(t&lt;Tnet,'2025'!Resal+('2025'!Salim-'2025'!Resal)*(1-EXP(('2025'!Tnet-t)/('2025'!Tau_j))),Resal+(Salim-Resal)*(1-EXP((Tnet-t)/(Tau_j))))*Salcycl</f>
        <v>6.0832699698121356E-2</v>
      </c>
      <c r="P70" s="169">
        <f>(INDEX(Models!$BJ70:$BT70,,T70)*(1-R70)+INDEX(Models!$BJ70:$BT70,,T70+1)*R70-ERP_i)*Q70*Ramure*Pc/MaxiM</f>
        <v>3.5620026645579229E-3</v>
      </c>
      <c r="Q70" s="305">
        <f t="shared" si="4"/>
        <v>0.7</v>
      </c>
      <c r="R70" s="177">
        <f t="shared" si="5"/>
        <v>0.48204631869259984</v>
      </c>
      <c r="S70" s="817">
        <f t="shared" si="6"/>
        <v>-2</v>
      </c>
      <c r="T70" s="176">
        <f t="shared" si="7"/>
        <v>4</v>
      </c>
      <c r="U70" s="251">
        <f t="shared" si="8"/>
        <v>-1.5179536813074002</v>
      </c>
      <c r="V70" s="383">
        <f t="shared" si="9"/>
        <v>24.529323138201701</v>
      </c>
      <c r="W70" s="402">
        <f t="shared" si="10"/>
        <v>20.30808749498209</v>
      </c>
      <c r="X70" s="157">
        <f t="shared" si="11"/>
        <v>46078</v>
      </c>
      <c r="Y70" s="385">
        <f t="shared" si="12"/>
        <v>18.603728402764677</v>
      </c>
      <c r="Z70" s="385">
        <f t="shared" si="22"/>
        <v>19.810283343440535</v>
      </c>
      <c r="AA70" s="386">
        <f t="shared" si="13"/>
        <v>22.38861464213922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0.11516261009941282</v>
      </c>
      <c r="AD70" s="231">
        <f>(INDEX(Models!$BJ70:$BT70,,AH70)*(1-AF70)+INDEX(Models!$BJ70:$BT70,,AH70+1)*AF70-ERP_i)*AE70*Ramure*Pc/MaxiM</f>
        <v>4.016290880004509E-2</v>
      </c>
      <c r="AE70" s="305">
        <f t="shared" si="15"/>
        <v>0.7</v>
      </c>
      <c r="AF70" s="177">
        <f t="shared" si="23"/>
        <v>0.10590968806865586</v>
      </c>
      <c r="AG70" s="817">
        <f t="shared" si="24"/>
        <v>1</v>
      </c>
      <c r="AH70" s="176">
        <f t="shared" si="16"/>
        <v>7</v>
      </c>
      <c r="AI70" s="225">
        <f t="shared" si="17"/>
        <v>1.1059096880686559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46079</v>
      </c>
      <c r="B71" s="411">
        <f>'2025'!Wh/'2025'!Env_an*'2026'!Env_an</f>
        <v>25.437606322472906</v>
      </c>
      <c r="C71" s="846"/>
      <c r="D71" s="393">
        <f t="shared" si="0"/>
        <v>27.087969434705947</v>
      </c>
      <c r="E71" s="385">
        <f t="shared" si="1"/>
        <v>28.846175084688543</v>
      </c>
      <c r="F71" s="385">
        <f t="shared" si="2"/>
        <v>28.941558485562069</v>
      </c>
      <c r="G71" s="110">
        <f t="shared" si="21"/>
        <v>1.02558085752066</v>
      </c>
      <c r="H71" s="414" t="b">
        <f>Wh_hp&gt;='2025'!Maxi_hp</f>
        <v>1</v>
      </c>
      <c r="I71" s="390">
        <f>IF(H71,Wh_hp,'2025'!Maxi_hp)</f>
        <v>28.941558485562069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6.0926054875067304E-2</v>
      </c>
      <c r="M71" s="850"/>
      <c r="N71" s="850"/>
      <c r="O71" s="48">
        <f>IF(t&lt;Tnet,'2025'!Resal+('2025'!Salim-'2025'!Resal)*(1-EXP(('2025'!Tnet-t)/('2025'!Tau_j))),Resal+(Salim-Resal)*(1-EXP((Tnet-t)/(Tau_j))))*Salcycl</f>
        <v>6.0951084322990387E-2</v>
      </c>
      <c r="P71" s="169">
        <f>(INDEX(Models!$BJ71:$BT71,,T71)*(1-R71)+INDEX(Models!$BJ71:$BT71,,T71+1)*R71-ERP_i)*Q71*Ramure*Pc/MaxiM</f>
        <v>3.295724413773648E-3</v>
      </c>
      <c r="Q71" s="305">
        <f t="shared" si="4"/>
        <v>0.7</v>
      </c>
      <c r="R71" s="177">
        <f t="shared" si="5"/>
        <v>0.48231964894816515</v>
      </c>
      <c r="S71" s="817">
        <f t="shared" si="6"/>
        <v>-2</v>
      </c>
      <c r="T71" s="176">
        <f t="shared" si="7"/>
        <v>4</v>
      </c>
      <c r="U71" s="251">
        <f t="shared" si="8"/>
        <v>-1.5176803510518349</v>
      </c>
      <c r="V71" s="383">
        <f t="shared" si="9"/>
        <v>24.803121212664088</v>
      </c>
      <c r="W71" s="402">
        <f t="shared" si="10"/>
        <v>25.437606322472906</v>
      </c>
      <c r="X71" s="157">
        <f t="shared" si="11"/>
        <v>46079</v>
      </c>
      <c r="Y71" s="385">
        <f t="shared" si="12"/>
        <v>23.123639944937363</v>
      </c>
      <c r="Z71" s="385">
        <f t="shared" si="22"/>
        <v>24.623875537150628</v>
      </c>
      <c r="AA71" s="386">
        <f t="shared" si="13"/>
        <v>27.830108661138802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0.11520735197362957</v>
      </c>
      <c r="AD71" s="231">
        <f>(INDEX(Models!$BJ71:$BT71,,AH71)*(1-AF71)+INDEX(Models!$BJ71:$BT71,,AH71+1)*AF71-ERP_i)*AE71*Ramure*Pc/MaxiM</f>
        <v>3.8403247184415783E-2</v>
      </c>
      <c r="AE71" s="305">
        <f t="shared" si="15"/>
        <v>0.7</v>
      </c>
      <c r="AF71" s="177">
        <f t="shared" si="23"/>
        <v>0.10618301832422117</v>
      </c>
      <c r="AG71" s="817">
        <f t="shared" si="24"/>
        <v>1</v>
      </c>
      <c r="AH71" s="176">
        <f t="shared" si="16"/>
        <v>7</v>
      </c>
      <c r="AI71" s="225">
        <f t="shared" si="17"/>
        <v>1.1061830183242212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46080</v>
      </c>
      <c r="B72" s="411">
        <f>'2025'!Wh/'2025'!Env_an*'2026'!Env_an</f>
        <v>17.197231662411479</v>
      </c>
      <c r="C72" s="846"/>
      <c r="D72" s="393">
        <f t="shared" si="0"/>
        <v>18.313369701554819</v>
      </c>
      <c r="E72" s="385">
        <f t="shared" si="1"/>
        <v>19.504495462123419</v>
      </c>
      <c r="F72" s="385">
        <f t="shared" si="2"/>
        <v>19.537247357738838</v>
      </c>
      <c r="G72" s="110">
        <f t="shared" si="21"/>
        <v>0.68487195993903383</v>
      </c>
      <c r="H72" s="414" t="b">
        <f>Wh_hp&gt;='2025'!Maxi_hp</f>
        <v>0</v>
      </c>
      <c r="I72" s="390">
        <f>IF(H72,Wh_hp,'2025'!Maxi_hp)</f>
        <v>28.603433631443369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6.094662300453535E-2</v>
      </c>
      <c r="M72" s="850"/>
      <c r="N72" s="850"/>
      <c r="O72" s="48">
        <f>IF(t&lt;Tnet,'2025'!Resal+('2025'!Salim-'2025'!Resal)*(1-EXP(('2025'!Tnet-t)/('2025'!Tau_j))),Resal+(Salim-Resal)*(1-EXP((Tnet-t)/(Tau_j))))*Salcycl</f>
        <v>6.1069293634469744E-2</v>
      </c>
      <c r="P72" s="169">
        <f>(INDEX(Models!$BJ72:$BT72,,T72)*(1-R72)+INDEX(Models!$BJ72:$BT72,,T72+1)*R72-ERP_i)*Q72*Ramure*Pc/MaxiM</f>
        <v>3.0415703138702023E-3</v>
      </c>
      <c r="Q72" s="305">
        <f t="shared" si="4"/>
        <v>0.7</v>
      </c>
      <c r="R72" s="177">
        <f t="shared" si="5"/>
        <v>0.4826041245429753</v>
      </c>
      <c r="S72" s="817">
        <f t="shared" si="6"/>
        <v>-2</v>
      </c>
      <c r="T72" s="176">
        <f t="shared" si="7"/>
        <v>4</v>
      </c>
      <c r="U72" s="251">
        <f t="shared" si="8"/>
        <v>-1.5173958754570247</v>
      </c>
      <c r="V72" s="383">
        <f t="shared" si="9"/>
        <v>25.075803637930978</v>
      </c>
      <c r="W72" s="402">
        <f t="shared" si="10"/>
        <v>17.197231662411479</v>
      </c>
      <c r="X72" s="157">
        <f t="shared" si="11"/>
        <v>46080</v>
      </c>
      <c r="Y72" s="385">
        <f t="shared" si="12"/>
        <v>15.904582298309764</v>
      </c>
      <c r="Z72" s="385">
        <f t="shared" si="22"/>
        <v>16.936824559640105</v>
      </c>
      <c r="AA72" s="386">
        <f t="shared" si="13"/>
        <v>19.143105848121792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0.11525200278293156</v>
      </c>
      <c r="AD72" s="231">
        <f>(INDEX(Models!$BJ72:$BT72,,AH72)*(1-AF72)+INDEX(Models!$BJ72:$BT72,,AH72+1)*AF72-ERP_i)*AE72*Ramure*Pc/MaxiM</f>
        <v>3.6602739859454898E-2</v>
      </c>
      <c r="AE72" s="305">
        <f t="shared" si="15"/>
        <v>0.7</v>
      </c>
      <c r="AF72" s="177">
        <f t="shared" si="23"/>
        <v>0.10646749391903132</v>
      </c>
      <c r="AG72" s="817">
        <f t="shared" si="24"/>
        <v>1</v>
      </c>
      <c r="AH72" s="176">
        <f t="shared" si="16"/>
        <v>7</v>
      </c>
      <c r="AI72" s="225">
        <f t="shared" si="17"/>
        <v>1.1064674939190313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46081</v>
      </c>
      <c r="B73" s="411">
        <f>'2025'!Wh/'2025'!Env_an*'2026'!Env_an</f>
        <v>22.47906764961914</v>
      </c>
      <c r="C73" s="846"/>
      <c r="D73" s="393">
        <f t="shared" si="0"/>
        <v>23.93853273985318</v>
      </c>
      <c r="E73" s="385">
        <f t="shared" si="1"/>
        <v>25.498732109102356</v>
      </c>
      <c r="F73" s="385">
        <f t="shared" si="2"/>
        <v>25.558645788295358</v>
      </c>
      <c r="G73" s="110">
        <f t="shared" si="21"/>
        <v>0.88643577925056061</v>
      </c>
      <c r="H73" s="414" t="b">
        <f>Wh_hp&gt;='2025'!Maxi_hp</f>
        <v>1</v>
      </c>
      <c r="I73" s="390">
        <f>IF(H73,Wh_hp,'2025'!Maxi_hp)</f>
        <v>25.558645788295358</v>
      </c>
      <c r="J73" s="85">
        <f>IF(H73,An,'2025'!An_max)</f>
        <v>2026</v>
      </c>
      <c r="K73" s="197">
        <f t="shared" si="3"/>
        <v>46081</v>
      </c>
      <c r="L73" s="147">
        <f>IF(t&lt;Tvie,1-EXP((T0-t)*PertePVj)+'2025'!Pspv,1-EXP((T0-t)*PertePVj)+Pspv)</f>
        <v>6.0967190683508532E-2</v>
      </c>
      <c r="M73" s="850"/>
      <c r="N73" s="850"/>
      <c r="O73" s="48">
        <f>IF(t&lt;Tnet,'2025'!Resal+('2025'!Salim-'2025'!Resal)*(1-EXP(('2025'!Tnet-t)/('2025'!Tau_j))),Resal+(Salim-Resal)*(1-EXP((Tnet-t)/(Tau_j))))*Salcycl</f>
        <v>6.1187331298414957E-2</v>
      </c>
      <c r="P73" s="169">
        <f>(INDEX(Models!$BJ73:$BT73,,T73)*(1-R73)+INDEX(Models!$BJ73:$BT73,,T73+1)*R73-ERP_i)*Q73*Ramure*Pc/MaxiM</f>
        <v>2.7962001577542671E-3</v>
      </c>
      <c r="Q73" s="305">
        <f t="shared" si="4"/>
        <v>0.7</v>
      </c>
      <c r="R73" s="177">
        <f t="shared" si="5"/>
        <v>0.48290018611556285</v>
      </c>
      <c r="S73" s="817">
        <f t="shared" si="6"/>
        <v>-2</v>
      </c>
      <c r="T73" s="176">
        <f t="shared" si="7"/>
        <v>4</v>
      </c>
      <c r="U73" s="251">
        <f t="shared" si="8"/>
        <v>-1.5170998138844372</v>
      </c>
      <c r="V73" s="383">
        <f t="shared" si="9"/>
        <v>25.347445317080574</v>
      </c>
      <c r="W73" s="402">
        <f t="shared" si="10"/>
        <v>22.47906764961914</v>
      </c>
      <c r="X73" s="157">
        <f t="shared" si="11"/>
        <v>46081</v>
      </c>
      <c r="Y73" s="385">
        <f t="shared" si="12"/>
        <v>20.613933637701308</v>
      </c>
      <c r="Z73" s="385">
        <f t="shared" si="22"/>
        <v>21.952303937820762</v>
      </c>
      <c r="AA73" s="386">
        <f t="shared" si="13"/>
        <v>24.813178264218017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0.11529656926387355</v>
      </c>
      <c r="AD73" s="231">
        <f>(INDEX(Models!$BJ73:$BT73,,AH73)*(1-AF73)+INDEX(Models!$BJ73:$BT73,,AH73+1)*AF73-ERP_i)*AE73*Ramure*Pc/MaxiM</f>
        <v>3.4791327064239423E-2</v>
      </c>
      <c r="AE73" s="305">
        <f t="shared" si="15"/>
        <v>0.7</v>
      </c>
      <c r="AF73" s="177">
        <f t="shared" si="23"/>
        <v>0.10676355549161887</v>
      </c>
      <c r="AG73" s="817">
        <f t="shared" si="24"/>
        <v>1</v>
      </c>
      <c r="AH73" s="176">
        <f t="shared" si="16"/>
        <v>7</v>
      </c>
      <c r="AI73" s="225">
        <f t="shared" si="17"/>
        <v>1.1067635554916189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46082</v>
      </c>
      <c r="B74" s="411">
        <f>'2025'!Wh/'2025'!Env_an*'2026'!Env_an</f>
        <v>25.22056304397924</v>
      </c>
      <c r="C74" s="846"/>
      <c r="D74" s="393">
        <f t="shared" si="0"/>
        <v>26.858609412693465</v>
      </c>
      <c r="E74" s="385">
        <f t="shared" si="1"/>
        <v>28.612717866700724</v>
      </c>
      <c r="F74" s="385">
        <f t="shared" si="2"/>
        <v>28.684503067174212</v>
      </c>
      <c r="G74" s="110">
        <f t="shared" si="21"/>
        <v>0.98442823868671869</v>
      </c>
      <c r="H74" s="414" t="b">
        <f>Wh_hp&gt;='2025'!Maxi_hp</f>
        <v>1</v>
      </c>
      <c r="I74" s="390">
        <f>IF(H74,Wh_hp,'2025'!Maxi_hp)</f>
        <v>28.684503067174212</v>
      </c>
      <c r="J74" s="85">
        <f>IF(H74,An,'2025'!An_max)</f>
        <v>2026</v>
      </c>
      <c r="K74" s="197">
        <f t="shared" si="3"/>
        <v>46082</v>
      </c>
      <c r="L74" s="147">
        <f>IF(t&lt;Tvie,1-EXP((T0-t)*PertePVj)+'2025'!Pspv,1-EXP((T0-t)*PertePVj)+Pspv)</f>
        <v>6.0987757911996732E-2</v>
      </c>
      <c r="M74" s="850"/>
      <c r="N74" s="850"/>
      <c r="O74" s="48">
        <f>IF(t&lt;Tnet,'2025'!Resal+('2025'!Salim-'2025'!Resal)*(1-EXP(('2025'!Tnet-t)/('2025'!Tau_j))),Resal+(Salim-Resal)*(1-EXP((Tnet-t)/(Tau_j))))*Salcycl</f>
        <v>6.1305202189431925E-2</v>
      </c>
      <c r="P74" s="169">
        <f>(INDEX(Models!$BJ74:$BT74,,T74)*(1-R74)+INDEX(Models!$BJ74:$BT74,,T74+1)*R74-ERP_i)*Q74*Ramure*Pc/MaxiM</f>
        <v>2.5593058090105894E-3</v>
      </c>
      <c r="Q74" s="305">
        <f t="shared" si="4"/>
        <v>0.7</v>
      </c>
      <c r="R74" s="177">
        <f t="shared" si="5"/>
        <v>0.48320829056062164</v>
      </c>
      <c r="S74" s="817">
        <f t="shared" si="6"/>
        <v>-2</v>
      </c>
      <c r="T74" s="176">
        <f t="shared" si="7"/>
        <v>4</v>
      </c>
      <c r="U74" s="251">
        <f t="shared" si="8"/>
        <v>-1.5167917094393784</v>
      </c>
      <c r="V74" s="383">
        <f t="shared" si="9"/>
        <v>25.618046853013595</v>
      </c>
      <c r="W74" s="402">
        <f t="shared" si="10"/>
        <v>25.22056304397924</v>
      </c>
      <c r="X74" s="157">
        <f t="shared" si="11"/>
        <v>46082</v>
      </c>
      <c r="Y74" s="385">
        <f t="shared" si="12"/>
        <v>23.060189150343174</v>
      </c>
      <c r="Z74" s="385">
        <f t="shared" si="22"/>
        <v>24.557921736000111</v>
      </c>
      <c r="AA74" s="386">
        <f t="shared" si="13"/>
        <v>27.759762136938434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0.1153410603860256</v>
      </c>
      <c r="AD74" s="231">
        <f>(INDEX(Models!$BJ74:$BT74,,AH74)*(1-AF74)+INDEX(Models!$BJ74:$BT74,,AH74+1)*AF74-ERP_i)*AE74*Ramure*Pc/MaxiM</f>
        <v>3.2969119247028299E-2</v>
      </c>
      <c r="AE74" s="305">
        <f t="shared" si="15"/>
        <v>0.7</v>
      </c>
      <c r="AF74" s="177">
        <f t="shared" si="23"/>
        <v>0.10707165993667767</v>
      </c>
      <c r="AG74" s="817">
        <f t="shared" si="24"/>
        <v>1</v>
      </c>
      <c r="AH74" s="176">
        <f t="shared" si="16"/>
        <v>7</v>
      </c>
      <c r="AI74" s="225">
        <f t="shared" si="17"/>
        <v>1.1070716599366777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46083</v>
      </c>
      <c r="B75" s="411">
        <f>'2025'!Wh/'2025'!Env_an*'2026'!Env_an</f>
        <v>9.2736477462189804</v>
      </c>
      <c r="C75" s="846"/>
      <c r="D75" s="393">
        <f t="shared" si="0"/>
        <v>9.8761767436942005</v>
      </c>
      <c r="E75" s="385">
        <f t="shared" si="1"/>
        <v>10.522499296438012</v>
      </c>
      <c r="F75" s="385">
        <f t="shared" si="2"/>
        <v>10.524539615794884</v>
      </c>
      <c r="G75" s="110">
        <f t="shared" si="21"/>
        <v>0.35746169858916282</v>
      </c>
      <c r="H75" s="414" t="b">
        <f>Wh_hp&gt;='2025'!Maxi_hp</f>
        <v>0</v>
      </c>
      <c r="I75" s="390">
        <f>IF(H75,Wh_hp,'2025'!Maxi_hp)</f>
        <v>19.932639932535867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6.100832469000983E-2</v>
      </c>
      <c r="M75" s="850"/>
      <c r="N75" s="850"/>
      <c r="O75" s="48">
        <f>IF(t&lt;Tnet,'2025'!Resal+('2025'!Salim-'2025'!Resal)*(1-EXP(('2025'!Tnet-t)/('2025'!Tau_j))),Resal+(Salim-Resal)*(1-EXP((Tnet-t)/(Tau_j))))*Salcycl</f>
        <v>6.1422912421823427E-2</v>
      </c>
      <c r="P75" s="169">
        <f>(INDEX(Models!$BJ75:$BT75,,T75)*(1-R75)+INDEX(Models!$BJ75:$BT75,,T75+1)*R75-ERP_i)*Q75*Ramure*Pc/MaxiM</f>
        <v>2.330593672245061E-3</v>
      </c>
      <c r="Q75" s="305">
        <f t="shared" si="4"/>
        <v>0.7</v>
      </c>
      <c r="R75" s="177">
        <f t="shared" si="5"/>
        <v>0.48352891152988331</v>
      </c>
      <c r="S75" s="817">
        <f t="shared" si="6"/>
        <v>-2</v>
      </c>
      <c r="T75" s="176">
        <f t="shared" si="7"/>
        <v>4</v>
      </c>
      <c r="U75" s="251">
        <f t="shared" si="8"/>
        <v>-1.5164710884701167</v>
      </c>
      <c r="V75" s="383">
        <f t="shared" si="9"/>
        <v>25.887608807971084</v>
      </c>
      <c r="W75" s="402">
        <f t="shared" si="10"/>
        <v>9.2736477462189804</v>
      </c>
      <c r="X75" s="157">
        <f t="shared" si="11"/>
        <v>46083</v>
      </c>
      <c r="Y75" s="385">
        <f t="shared" si="12"/>
        <v>8.7195212677414755</v>
      </c>
      <c r="Z75" s="385">
        <f t="shared" si="22"/>
        <v>9.2860474666752424</v>
      </c>
      <c r="AA75" s="386">
        <f t="shared" si="13"/>
        <v>10.497281396968203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0.11538548739322037</v>
      </c>
      <c r="AD75" s="231">
        <f>(INDEX(Models!$BJ75:$BT75,,AH75)*(1-AF75)+INDEX(Models!$BJ75:$BT75,,AH75+1)*AF75-ERP_i)*AE75*Ramure*Pc/MaxiM</f>
        <v>3.1136219974660068E-2</v>
      </c>
      <c r="AE75" s="305">
        <f t="shared" si="15"/>
        <v>0.7</v>
      </c>
      <c r="AF75" s="177">
        <f t="shared" si="23"/>
        <v>0.10739228090593933</v>
      </c>
      <c r="AG75" s="817">
        <f t="shared" si="24"/>
        <v>1</v>
      </c>
      <c r="AH75" s="176">
        <f t="shared" si="16"/>
        <v>7</v>
      </c>
      <c r="AI75" s="225">
        <f t="shared" si="17"/>
        <v>1.1073922809059393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46084</v>
      </c>
      <c r="B76" s="411">
        <f>'2025'!Wh/'2025'!Env_an*'2026'!Env_an</f>
        <v>23.784918437878844</v>
      </c>
      <c r="C76" s="846"/>
      <c r="D76" s="393">
        <f t="shared" si="0"/>
        <v>25.330830959915716</v>
      </c>
      <c r="E76" s="385">
        <f t="shared" si="1"/>
        <v>26.991926804740331</v>
      </c>
      <c r="F76" s="385">
        <f t="shared" si="2"/>
        <v>27.041589991679619</v>
      </c>
      <c r="G76" s="110">
        <f t="shared" si="21"/>
        <v>0.90909496359759234</v>
      </c>
      <c r="H76" s="414" t="b">
        <f>Wh_hp&gt;='2025'!Maxi_hp</f>
        <v>1</v>
      </c>
      <c r="I76" s="390">
        <f>IF(H76,Wh_hp,'2025'!Maxi_hp)</f>
        <v>27.041589991679619</v>
      </c>
      <c r="J76" s="85">
        <f>IF(H76,An,'2025'!An_max)</f>
        <v>2026</v>
      </c>
      <c r="K76" s="197">
        <f t="shared" si="3"/>
        <v>46084</v>
      </c>
      <c r="L76" s="147">
        <f>IF(t&lt;Tvie,1-EXP((T0-t)*PertePVj)+'2025'!Pspv,1-EXP((T0-t)*PertePVj)+Pspv)</f>
        <v>6.1028891017557707E-2</v>
      </c>
      <c r="M76" s="850"/>
      <c r="N76" s="850"/>
      <c r="O76" s="48">
        <f>IF(t&lt;Tnet,'2025'!Resal+('2025'!Salim-'2025'!Resal)*(1-EXP(('2025'!Tnet-t)/('2025'!Tau_j))),Resal+(Salim-Resal)*(1-EXP((Tnet-t)/(Tau_j))))*Salcycl</f>
        <v>6.1540469372230684E-2</v>
      </c>
      <c r="P76" s="169">
        <f>(INDEX(Models!$BJ76:$BT76,,T76)*(1-R76)+INDEX(Models!$BJ76:$BT76,,T76+1)*R76-ERP_i)*Q76*Ramure*Pc/MaxiM</f>
        <v>2.1097837544941595E-3</v>
      </c>
      <c r="Q76" s="305">
        <f t="shared" si="4"/>
        <v>0.7</v>
      </c>
      <c r="R76" s="177">
        <f t="shared" si="5"/>
        <v>0.48386253993974115</v>
      </c>
      <c r="S76" s="817">
        <f t="shared" si="6"/>
        <v>-2</v>
      </c>
      <c r="T76" s="176">
        <f t="shared" si="7"/>
        <v>4</v>
      </c>
      <c r="U76" s="251">
        <f t="shared" si="8"/>
        <v>-1.5161374600602588</v>
      </c>
      <c r="V76" s="383">
        <f t="shared" si="9"/>
        <v>26.156131702700794</v>
      </c>
      <c r="W76" s="402">
        <f t="shared" si="10"/>
        <v>23.784918437878844</v>
      </c>
      <c r="X76" s="157">
        <f t="shared" si="11"/>
        <v>46084</v>
      </c>
      <c r="Y76" s="385">
        <f t="shared" si="12"/>
        <v>21.887642582251797</v>
      </c>
      <c r="Z76" s="385">
        <f t="shared" si="22"/>
        <v>23.310240722924171</v>
      </c>
      <c r="AA76" s="386">
        <f t="shared" si="13"/>
        <v>26.352054822724337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0.11542986382895271</v>
      </c>
      <c r="AD76" s="231">
        <f>(INDEX(Models!$BJ76:$BT76,,AH76)*(1-AF76)+INDEX(Models!$BJ76:$BT76,,AH76+1)*AF76-ERP_i)*AE76*Ramure*Pc/MaxiM</f>
        <v>2.9292725402272707E-2</v>
      </c>
      <c r="AE76" s="305">
        <f t="shared" si="15"/>
        <v>0.7</v>
      </c>
      <c r="AF76" s="177">
        <f t="shared" si="23"/>
        <v>0.10772590931579717</v>
      </c>
      <c r="AG76" s="817">
        <f t="shared" si="24"/>
        <v>1</v>
      </c>
      <c r="AH76" s="176">
        <f t="shared" si="16"/>
        <v>7</v>
      </c>
      <c r="AI76" s="225">
        <f t="shared" si="17"/>
        <v>1.1077259093157972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46085</v>
      </c>
      <c r="B77" s="411">
        <f>'2025'!Wh/'2025'!Env_an*'2026'!Env_an</f>
        <v>3.6299945064002688</v>
      </c>
      <c r="C77" s="846"/>
      <c r="D77" s="393">
        <f t="shared" si="0"/>
        <v>3.8660124679143886</v>
      </c>
      <c r="E77" s="385">
        <f t="shared" si="1"/>
        <v>4.1200457620866304</v>
      </c>
      <c r="F77" s="385">
        <f t="shared" si="2"/>
        <v>4.1200457620866304</v>
      </c>
      <c r="G77" s="110">
        <f t="shared" si="21"/>
        <v>0.13711635170463057</v>
      </c>
      <c r="H77" s="414" t="b">
        <f>Wh_hp&gt;='2025'!Maxi_hp</f>
        <v>0</v>
      </c>
      <c r="I77" s="390">
        <f>IF(H77,Wh_hp,'2025'!Maxi_hp)</f>
        <v>21.87797527558812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6.1049456894650245E-2</v>
      </c>
      <c r="M77" s="850"/>
      <c r="N77" s="850"/>
      <c r="O77" s="48">
        <f>IF(t&lt;Tnet,'2025'!Resal+('2025'!Salim-'2025'!Resal)*(1-EXP(('2025'!Tnet-t)/('2025'!Tau_j))),Resal+(Salim-Resal)*(1-EXP((Tnet-t)/(Tau_j))))*Salcycl</f>
        <v>6.1657881693912231E-2</v>
      </c>
      <c r="P77" s="169">
        <f>(INDEX(Models!$BJ77:$BT77,,T77)*(1-R77)+INDEX(Models!$BJ77:$BT77,,T77+1)*R77-ERP_i)*Q77*Ramure*Pc/MaxiM</f>
        <v>1.8966087932670754E-3</v>
      </c>
      <c r="Q77" s="305">
        <f t="shared" si="4"/>
        <v>0.7</v>
      </c>
      <c r="R77" s="177">
        <f t="shared" si="5"/>
        <v>0.48420968448483936</v>
      </c>
      <c r="S77" s="817">
        <f t="shared" si="6"/>
        <v>-2</v>
      </c>
      <c r="T77" s="176">
        <f t="shared" si="7"/>
        <v>4</v>
      </c>
      <c r="U77" s="251">
        <f t="shared" si="8"/>
        <v>-1.5157903155151606</v>
      </c>
      <c r="V77" s="383">
        <f t="shared" si="9"/>
        <v>26.423616015576663</v>
      </c>
      <c r="W77" s="402">
        <f t="shared" si="10"/>
        <v>3.6299945064002688</v>
      </c>
      <c r="X77" s="157">
        <f t="shared" si="11"/>
        <v>46085</v>
      </c>
      <c r="Y77" s="385">
        <f t="shared" si="12"/>
        <v>3.4218050239859368</v>
      </c>
      <c r="Z77" s="385">
        <f t="shared" si="22"/>
        <v>3.6442867508965402</v>
      </c>
      <c r="AA77" s="386">
        <f t="shared" si="13"/>
        <v>4.1200457620866304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0.11547420554599334</v>
      </c>
      <c r="AD77" s="231">
        <f>(INDEX(Models!$BJ77:$BT77,,AH77)*(1-AF77)+INDEX(Models!$BJ77:$BT77,,AH77+1)*AF77-ERP_i)*AE77*Ramure*Pc/MaxiM</f>
        <v>2.743872366256838E-2</v>
      </c>
      <c r="AE77" s="305">
        <f t="shared" si="15"/>
        <v>0.7</v>
      </c>
      <c r="AF77" s="177">
        <f t="shared" si="23"/>
        <v>0.10807305386089539</v>
      </c>
      <c r="AG77" s="817">
        <f t="shared" si="24"/>
        <v>1</v>
      </c>
      <c r="AH77" s="176">
        <f t="shared" si="16"/>
        <v>7</v>
      </c>
      <c r="AI77" s="225">
        <f t="shared" si="17"/>
        <v>1.1080730538608954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46086</v>
      </c>
      <c r="B78" s="411">
        <f>'2025'!Wh/'2025'!Env_an*'2026'!Env_an</f>
        <v>9.3021824141856086</v>
      </c>
      <c r="C78" s="846"/>
      <c r="D78" s="393">
        <f t="shared" si="0"/>
        <v>9.9072163370299489</v>
      </c>
      <c r="E78" s="385">
        <f t="shared" si="1"/>
        <v>10.559533181702816</v>
      </c>
      <c r="F78" s="385">
        <f t="shared" si="2"/>
        <v>10.560771032719115</v>
      </c>
      <c r="G78" s="110">
        <f t="shared" si="21"/>
        <v>0.34797756211987718</v>
      </c>
      <c r="H78" s="414" t="b">
        <f>Wh_hp&gt;='2025'!Maxi_hp</f>
        <v>0</v>
      </c>
      <c r="I78" s="390">
        <f>IF(H78,Wh_hp,'2025'!Maxi_hp)</f>
        <v>29.771929629009751</v>
      </c>
      <c r="J78" s="85">
        <f>IF(H78,An,'2025'!An_max)</f>
        <v>2019</v>
      </c>
      <c r="K78" s="197">
        <f t="shared" si="3"/>
        <v>46086</v>
      </c>
      <c r="L78" s="147">
        <f>IF(t&lt;Tvie,1-EXP((T0-t)*PertePVj)+'2025'!Pspv,1-EXP((T0-t)*PertePVj)+Pspv)</f>
        <v>6.1070022321297324E-2</v>
      </c>
      <c r="M78" s="850"/>
      <c r="N78" s="850"/>
      <c r="O78" s="48">
        <f>IF(t&lt;Tnet,'2025'!Resal+('2025'!Salim-'2025'!Resal)*(1-EXP(('2025'!Tnet-t)/('2025'!Tau_j))),Resal+(Salim-Resal)*(1-EXP((Tnet-t)/(Tau_j))))*Salcycl</f>
        <v>6.1775159322684695E-2</v>
      </c>
      <c r="P78" s="169">
        <f>(INDEX(Models!$BJ78:$BT78,,T78)*(1-R78)+INDEX(Models!$BJ78:$BT78,,T78+1)*R78-ERP_i)*Q78*Ramure*Pc/MaxiM</f>
        <v>1.6908134466948035E-3</v>
      </c>
      <c r="Q78" s="305">
        <f t="shared" si="4"/>
        <v>0.7</v>
      </c>
      <c r="R78" s="177">
        <f t="shared" si="5"/>
        <v>0.484570872156735</v>
      </c>
      <c r="S78" s="817">
        <f t="shared" si="6"/>
        <v>-2</v>
      </c>
      <c r="T78" s="176">
        <f t="shared" si="7"/>
        <v>4</v>
      </c>
      <c r="U78" s="251">
        <f t="shared" si="8"/>
        <v>-1.515429127843265</v>
      </c>
      <c r="V78" s="383">
        <f t="shared" si="9"/>
        <v>26.690062185763214</v>
      </c>
      <c r="W78" s="402">
        <f t="shared" si="10"/>
        <v>9.3021824141856086</v>
      </c>
      <c r="X78" s="157">
        <f t="shared" si="11"/>
        <v>46086</v>
      </c>
      <c r="Y78" s="385">
        <f t="shared" si="12"/>
        <v>8.7548141815506586</v>
      </c>
      <c r="Z78" s="385">
        <f t="shared" si="22"/>
        <v>9.3242460989423375</v>
      </c>
      <c r="AA78" s="386">
        <f t="shared" si="13"/>
        <v>10.542047993754268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0.1155185307004321</v>
      </c>
      <c r="AD78" s="231">
        <f>(INDEX(Models!$BJ78:$BT78,,AH78)*(1-AF78)+INDEX(Models!$BJ78:$BT78,,AH78+1)*AF78-ERP_i)*AE78*Ramure*Pc/MaxiM</f>
        <v>2.5574294182357692E-2</v>
      </c>
      <c r="AE78" s="305">
        <f t="shared" si="15"/>
        <v>0.7</v>
      </c>
      <c r="AF78" s="177">
        <f t="shared" si="23"/>
        <v>0.10843424153279102</v>
      </c>
      <c r="AG78" s="817">
        <f t="shared" si="24"/>
        <v>1</v>
      </c>
      <c r="AH78" s="176">
        <f t="shared" si="16"/>
        <v>7</v>
      </c>
      <c r="AI78" s="225">
        <f t="shared" si="17"/>
        <v>1.108434241532791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46087</v>
      </c>
      <c r="B79" s="411">
        <f>'2025'!Wh/'2025'!Env_an*'2026'!Env_an</f>
        <v>12.647318339746175</v>
      </c>
      <c r="C79" s="846"/>
      <c r="D79" s="393">
        <f t="shared" ref="D79:D142" si="25">Wh/(1-Ppv)</f>
        <v>13.470222120090389</v>
      </c>
      <c r="E79" s="385">
        <f t="shared" si="1"/>
        <v>14.358929484931947</v>
      </c>
      <c r="F79" s="385">
        <f t="shared" ref="F79:F142" si="26">Wh_sa/(1-Pvg*MEDIAN((-Sdif+Wh/Env_an)/Csdif,0,1))</f>
        <v>14.364109451324156</v>
      </c>
      <c r="G79" s="110">
        <f t="shared" si="21"/>
        <v>0.46864772427520757</v>
      </c>
      <c r="H79" s="414" t="b">
        <f>Wh_hp&gt;='2025'!Maxi_hp</f>
        <v>0</v>
      </c>
      <c r="I79" s="390">
        <f>IF(H79,Wh_hp,'2025'!Maxi_hp)</f>
        <v>15.983360810169867</v>
      </c>
      <c r="J79" s="85">
        <f>IF(H79,An,'2025'!An_max)</f>
        <v>2019</v>
      </c>
      <c r="K79" s="197">
        <f t="shared" ref="K79:K142" si="27">t</f>
        <v>46087</v>
      </c>
      <c r="L79" s="147">
        <f>IF(t&lt;Tvie,1-EXP((T0-t)*PertePVj)+'2025'!Pspv,1-EXP((T0-t)*PertePVj)+Pspv)</f>
        <v>6.1090587297508714E-2</v>
      </c>
      <c r="M79" s="850"/>
      <c r="N79" s="850"/>
      <c r="O79" s="48">
        <f>IF(t&lt;Tnet,'2025'!Resal+('2025'!Salim-'2025'!Resal)*(1-EXP(('2025'!Tnet-t)/('2025'!Tau_j))),Resal+(Salim-Resal)*(1-EXP((Tnet-t)/(Tau_j))))*Salcycl</f>
        <v>6.1892313474632928E-2</v>
      </c>
      <c r="P79" s="169">
        <f>(INDEX(Models!$BJ79:$BT79,,T79)*(1-R79)+INDEX(Models!$BJ79:$BT79,,T79+1)*R79-ERP_i)*Q79*Ramure*Pc/MaxiM</f>
        <v>1.4921083826416742E-3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0.48494664876663318</v>
      </c>
      <c r="S79" s="817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-1.5150533512333668</v>
      </c>
      <c r="V79" s="383">
        <f t="shared" ref="V79:V142" si="33">MaxiM*(1-Ppv)*(1-Pvg)*(1-Psa)</f>
        <v>26.956287660561355</v>
      </c>
      <c r="W79" s="402">
        <f t="shared" ref="W79:W142" si="34">Wh*(A79&gt;Tmaj)</f>
        <v>12.647318339746175</v>
      </c>
      <c r="X79" s="157">
        <f t="shared" ref="X79:X142" si="35">t</f>
        <v>46087</v>
      </c>
      <c r="Y79" s="385">
        <f t="shared" ref="Y79:Y142" si="36">Wh_pvt_s*(1-Ppv)</f>
        <v>11.859728486574349</v>
      </c>
      <c r="Z79" s="385">
        <f t="shared" ref="Z79:Z142" si="37">Wh_sa_s*(1-Psa_s)</f>
        <v>12.631387358699637</v>
      </c>
      <c r="AA79" s="386">
        <f t="shared" ref="AA79:AA142" si="38">Wh_hp*(1-Pvg_s*MEDIAN((-Sdif+Wh/Env_an)/Csdif,0,1))</f>
        <v>14.281837321814519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0.11556285973051471</v>
      </c>
      <c r="AD79" s="231">
        <f>(INDEX(Models!$BJ79:$BT79,,AH79)*(1-AF79)+INDEX(Models!$BJ79:$BT79,,AH79+1)*AF79-ERP_i)*AE79*Ramure*Pc/MaxiM</f>
        <v>2.3698789683993818E-2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0.1088100181426892</v>
      </c>
      <c r="AG79" s="817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1.1088100181426892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46088</v>
      </c>
      <c r="B80" s="411">
        <f>'2025'!Wh/'2025'!Env_an*'2026'!Env_an</f>
        <v>23.962486639146114</v>
      </c>
      <c r="C80" s="846"/>
      <c r="D80" s="393">
        <f t="shared" si="25"/>
        <v>25.522176225312034</v>
      </c>
      <c r="E80" s="385">
        <f t="shared" ref="E80:E143" si="47">Wh_pvt/(1-Psa)</f>
        <v>27.209414513745457</v>
      </c>
      <c r="F80" s="385">
        <f t="shared" si="26"/>
        <v>27.2389465373078</v>
      </c>
      <c r="G80" s="110">
        <f t="shared" ref="G80:G143" si="48">+Wh_hp/MaxiM</f>
        <v>0.88004365652561745</v>
      </c>
      <c r="H80" s="414" t="b">
        <f>Wh_hp&gt;='2025'!Maxi_hp</f>
        <v>0</v>
      </c>
      <c r="I80" s="390">
        <f>IF(H80,Wh_hp,'2025'!Maxi_hp)</f>
        <v>29.519413340694289</v>
      </c>
      <c r="J80" s="85">
        <f>IF(H80,An,'2025'!An_max)</f>
        <v>2019</v>
      </c>
      <c r="K80" s="197">
        <f t="shared" si="27"/>
        <v>46088</v>
      </c>
      <c r="L80" s="147">
        <f>IF(t&lt;Tvie,1-EXP((T0-t)*PertePVj)+'2025'!Pspv,1-EXP((T0-t)*PertePVj)+Pspv)</f>
        <v>6.1111151823294407E-2</v>
      </c>
      <c r="M80" s="850"/>
      <c r="N80" s="850"/>
      <c r="O80" s="48">
        <f>IF(t&lt;Tnet,'2025'!Resal+('2025'!Salim-'2025'!Resal)*(1-EXP(('2025'!Tnet-t)/('2025'!Tau_j))),Resal+(Salim-Resal)*(1-EXP((Tnet-t)/(Tau_j))))*Salcycl</f>
        <v>6.2009356635773089E-2</v>
      </c>
      <c r="P80" s="169">
        <f>(INDEX(Models!$BJ80:$BT80,,T80)*(1-R80)+INDEX(Models!$BJ80:$BT80,,T80+1)*R80-ERP_i)*Q80*Ramure*Pc/MaxiM</f>
        <v>1.3079545228199647E-3</v>
      </c>
      <c r="Q80" s="305">
        <f t="shared" si="28"/>
        <v>0.7</v>
      </c>
      <c r="R80" s="177">
        <f t="shared" si="29"/>
        <v>0.48533757947106881</v>
      </c>
      <c r="S80" s="817">
        <f t="shared" si="30"/>
        <v>-2</v>
      </c>
      <c r="T80" s="176">
        <f t="shared" si="31"/>
        <v>4</v>
      </c>
      <c r="U80" s="251">
        <f t="shared" si="32"/>
        <v>-1.5146624205289312</v>
      </c>
      <c r="V80" s="383">
        <f t="shared" si="33"/>
        <v>27.222648033251723</v>
      </c>
      <c r="W80" s="402">
        <f t="shared" si="34"/>
        <v>23.962486639146114</v>
      </c>
      <c r="X80" s="157">
        <f t="shared" si="35"/>
        <v>46088</v>
      </c>
      <c r="Y80" s="385">
        <f t="shared" si="36"/>
        <v>22.208218299657688</v>
      </c>
      <c r="Z80" s="385">
        <f t="shared" si="37"/>
        <v>23.653724658446407</v>
      </c>
      <c r="AA80" s="386">
        <f t="shared" si="38"/>
        <v>26.745723244480995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0.11560721532077567</v>
      </c>
      <c r="AD80" s="231">
        <f>(INDEX(Models!$BJ80:$BT80,,AH80)*(1-AF80)+INDEX(Models!$BJ80:$BT80,,AH80+1)*AF80-ERP_i)*AE80*Ramure*Pc/MaxiM</f>
        <v>2.1844545642161945E-2</v>
      </c>
      <c r="AE80" s="305">
        <f t="shared" si="40"/>
        <v>0.7</v>
      </c>
      <c r="AF80" s="177">
        <f t="shared" si="41"/>
        <v>0.10920094884712483</v>
      </c>
      <c r="AG80" s="817">
        <f t="shared" ref="AG80:AG143" si="49">INDEX(Echel_vg,AH80)</f>
        <v>1</v>
      </c>
      <c r="AH80" s="176">
        <f t="shared" si="42"/>
        <v>7</v>
      </c>
      <c r="AI80" s="225">
        <f t="shared" si="43"/>
        <v>1.1092009488471248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46089</v>
      </c>
      <c r="B81" s="411">
        <f>'2025'!Wh/'2025'!Env_an*'2026'!Env_an</f>
        <v>19.883427109397967</v>
      </c>
      <c r="C81" s="846"/>
      <c r="D81" s="393">
        <f t="shared" si="25"/>
        <v>21.178079445329171</v>
      </c>
      <c r="E81" s="385">
        <f t="shared" si="47"/>
        <v>22.580950401715548</v>
      </c>
      <c r="F81" s="385">
        <f t="shared" si="26"/>
        <v>22.596492480241718</v>
      </c>
      <c r="G81" s="110">
        <f t="shared" si="48"/>
        <v>0.72300337327461384</v>
      </c>
      <c r="H81" s="414" t="b">
        <f>Wh_hp&gt;='2025'!Maxi_hp</f>
        <v>1</v>
      </c>
      <c r="I81" s="390">
        <f>IF(H81,Wh_hp,'2025'!Maxi_hp)</f>
        <v>22.596492480241718</v>
      </c>
      <c r="J81" s="85">
        <f>IF(H81,An,'2025'!An_max)</f>
        <v>2026</v>
      </c>
      <c r="K81" s="197">
        <f t="shared" si="27"/>
        <v>46089</v>
      </c>
      <c r="L81" s="147">
        <f>IF(t&lt;Tvie,1-EXP((T0-t)*PertePVj)+'2025'!Pspv,1-EXP((T0-t)*PertePVj)+Pspv)</f>
        <v>6.1131715898664174E-2</v>
      </c>
      <c r="M81" s="850"/>
      <c r="N81" s="850"/>
      <c r="O81" s="48">
        <f>IF(t&lt;Tnet,'2025'!Resal+('2025'!Salim-'2025'!Resal)*(1-EXP(('2025'!Tnet-t)/('2025'!Tau_j))),Resal+(Salim-Resal)*(1-EXP((Tnet-t)/(Tau_j))))*Salcycl</f>
        <v>6.2126302543926364E-2</v>
      </c>
      <c r="P81" s="169">
        <f>(INDEX(Models!$BJ81:$BT81,,T81)*(1-R81)+INDEX(Models!$BJ81:$BT81,,T81+1)*R81-ERP_i)*Q81*Ramure*Pc/MaxiM</f>
        <v>1.1373348356862002E-3</v>
      </c>
      <c r="Q81" s="305">
        <f t="shared" si="28"/>
        <v>0.7</v>
      </c>
      <c r="R81" s="177">
        <f t="shared" si="29"/>
        <v>0.48574424929927895</v>
      </c>
      <c r="S81" s="817">
        <f t="shared" si="30"/>
        <v>-2</v>
      </c>
      <c r="T81" s="176">
        <f t="shared" si="31"/>
        <v>4</v>
      </c>
      <c r="U81" s="251">
        <f t="shared" si="32"/>
        <v>-1.514255750700721</v>
      </c>
      <c r="V81" s="383">
        <f t="shared" si="33"/>
        <v>27.48878301903871</v>
      </c>
      <c r="W81" s="402">
        <f t="shared" si="34"/>
        <v>19.883427109397967</v>
      </c>
      <c r="X81" s="157">
        <f t="shared" si="35"/>
        <v>46089</v>
      </c>
      <c r="Y81" s="385">
        <f t="shared" si="36"/>
        <v>18.534192457461295</v>
      </c>
      <c r="Z81" s="385">
        <f t="shared" si="37"/>
        <v>19.740993248272112</v>
      </c>
      <c r="AA81" s="386">
        <f t="shared" si="38"/>
        <v>22.322643142940073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0.11565162235209821</v>
      </c>
      <c r="AD81" s="231">
        <f>(INDEX(Models!$BJ81:$BT81,,AH81)*(1-AF81)+INDEX(Models!$BJ81:$BT81,,AH81+1)*AF81-ERP_i)*AE81*Ramure*Pc/MaxiM</f>
        <v>2.0039687131827952E-2</v>
      </c>
      <c r="AE81" s="305">
        <f t="shared" si="40"/>
        <v>0.7</v>
      </c>
      <c r="AF81" s="177">
        <f t="shared" si="41"/>
        <v>0.10960761867533497</v>
      </c>
      <c r="AG81" s="817">
        <f t="shared" si="49"/>
        <v>1</v>
      </c>
      <c r="AH81" s="176">
        <f t="shared" si="42"/>
        <v>7</v>
      </c>
      <c r="AI81" s="225">
        <f t="shared" si="43"/>
        <v>1.109607618675335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46090</v>
      </c>
      <c r="B82" s="411">
        <f>'2025'!Wh/'2025'!Env_an*'2026'!Env_an</f>
        <v>22.33586721337814</v>
      </c>
      <c r="C82" s="846"/>
      <c r="D82" s="393">
        <f t="shared" si="25"/>
        <v>23.790724231662303</v>
      </c>
      <c r="E82" s="385">
        <f t="shared" si="47"/>
        <v>25.369822296385252</v>
      </c>
      <c r="F82" s="385">
        <f t="shared" si="26"/>
        <v>25.387761283652694</v>
      </c>
      <c r="G82" s="110">
        <f t="shared" si="48"/>
        <v>0.80455088537349617</v>
      </c>
      <c r="H82" s="414" t="b">
        <f>Wh_hp&gt;='2025'!Maxi_hp</f>
        <v>0</v>
      </c>
      <c r="I82" s="390">
        <f>IF(H82,Wh_hp,'2025'!Maxi_hp)</f>
        <v>30.249266737760252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6.1152279523627895E-2</v>
      </c>
      <c r="M82" s="850"/>
      <c r="N82" s="850"/>
      <c r="O82" s="48">
        <f>IF(t&lt;Tnet,'2025'!Resal+('2025'!Salim-'2025'!Resal)*(1-EXP(('2025'!Tnet-t)/('2025'!Tau_j))),Resal+(Salim-Resal)*(1-EXP((Tnet-t)/(Tau_j))))*Salcycl</f>
        <v>6.2243166163128409E-2</v>
      </c>
      <c r="P82" s="169">
        <f>(INDEX(Models!$BJ82:$BT82,,T82)*(1-R82)+INDEX(Models!$BJ82:$BT82,,T82+1)*R82-ERP_i)*Q82*Ramure*Pc/MaxiM</f>
        <v>9.7988967078373158E-4</v>
      </c>
      <c r="Q82" s="305">
        <f t="shared" si="28"/>
        <v>0.7</v>
      </c>
      <c r="R82" s="177">
        <f t="shared" si="29"/>
        <v>0.48616726368086582</v>
      </c>
      <c r="S82" s="817">
        <f t="shared" si="30"/>
        <v>-2</v>
      </c>
      <c r="T82" s="176">
        <f t="shared" si="31"/>
        <v>4</v>
      </c>
      <c r="U82" s="251">
        <f t="shared" si="32"/>
        <v>-1.5138327363191342</v>
      </c>
      <c r="V82" s="383">
        <f t="shared" si="33"/>
        <v>27.75431503091351</v>
      </c>
      <c r="W82" s="402">
        <f t="shared" si="34"/>
        <v>22.33586721337814</v>
      </c>
      <c r="X82" s="157">
        <f t="shared" si="35"/>
        <v>46090</v>
      </c>
      <c r="Y82" s="385">
        <f t="shared" si="36"/>
        <v>20.799711585295395</v>
      </c>
      <c r="Z82" s="385">
        <f t="shared" si="37"/>
        <v>22.154510397854089</v>
      </c>
      <c r="AA82" s="386">
        <f t="shared" si="38"/>
        <v>25.053050873383203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0.1156961078384499</v>
      </c>
      <c r="AD82" s="231">
        <f>(INDEX(Models!$BJ82:$BT82,,AH82)*(1-AF82)+INDEX(Models!$BJ82:$BT82,,AH82+1)*AF82-ERP_i)*AE82*Ramure*Pc/MaxiM</f>
        <v>1.8283042896302375E-2</v>
      </c>
      <c r="AE82" s="305">
        <f t="shared" si="40"/>
        <v>0.7</v>
      </c>
      <c r="AF82" s="177">
        <f t="shared" si="41"/>
        <v>0.11003063305692184</v>
      </c>
      <c r="AG82" s="817">
        <f t="shared" si="49"/>
        <v>1</v>
      </c>
      <c r="AH82" s="176">
        <f t="shared" si="42"/>
        <v>7</v>
      </c>
      <c r="AI82" s="225">
        <f t="shared" si="43"/>
        <v>1.1100306330569218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46091</v>
      </c>
      <c r="B83" s="411">
        <f>'2025'!Wh/'2025'!Env_an*'2026'!Env_an</f>
        <v>15.447207269016664</v>
      </c>
      <c r="C83" s="846"/>
      <c r="D83" s="393">
        <f t="shared" si="25"/>
        <v>16.453728621796628</v>
      </c>
      <c r="E83" s="385">
        <f t="shared" si="47"/>
        <v>17.548022678152453</v>
      </c>
      <c r="F83" s="385">
        <f t="shared" si="26"/>
        <v>17.553286519093387</v>
      </c>
      <c r="G83" s="110">
        <f t="shared" si="48"/>
        <v>0.55101923806978736</v>
      </c>
      <c r="H83" s="414" t="b">
        <f>Wh_hp&gt;='2025'!Maxi_hp</f>
        <v>0</v>
      </c>
      <c r="I83" s="390">
        <f>IF(H83,Wh_hp,'2025'!Maxi_hp)</f>
        <v>30.500189061416798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6.1172842698195562E-2</v>
      </c>
      <c r="M83" s="850"/>
      <c r="N83" s="850"/>
      <c r="O83" s="48">
        <f>IF(t&lt;Tnet,'2025'!Resal+('2025'!Salim-'2025'!Resal)*(1-EXP(('2025'!Tnet-t)/('2025'!Tau_j))),Resal+(Salim-Resal)*(1-EXP((Tnet-t)/(Tau_j))))*Salcycl</f>
        <v>6.2359963650960901E-2</v>
      </c>
      <c r="P83" s="169">
        <f>(INDEX(Models!$BJ83:$BT83,,T83)*(1-R83)+INDEX(Models!$BJ83:$BT83,,T83+1)*R83-ERP_i)*Q83*Ramure*Pc/MaxiM</f>
        <v>8.3526603107382232E-4</v>
      </c>
      <c r="Q83" s="305">
        <f t="shared" si="28"/>
        <v>0.7</v>
      </c>
      <c r="R83" s="177">
        <f t="shared" si="29"/>
        <v>0.48660724897220264</v>
      </c>
      <c r="S83" s="817">
        <f t="shared" si="30"/>
        <v>-2</v>
      </c>
      <c r="T83" s="176">
        <f t="shared" si="31"/>
        <v>4</v>
      </c>
      <c r="U83" s="251">
        <f t="shared" si="32"/>
        <v>-1.5133927510277974</v>
      </c>
      <c r="V83" s="383">
        <f t="shared" si="33"/>
        <v>28.018866617637961</v>
      </c>
      <c r="W83" s="402">
        <f t="shared" si="34"/>
        <v>15.447207269016664</v>
      </c>
      <c r="X83" s="157">
        <f t="shared" si="35"/>
        <v>46091</v>
      </c>
      <c r="Y83" s="385">
        <f t="shared" si="36"/>
        <v>14.485445893449704</v>
      </c>
      <c r="Z83" s="385">
        <f t="shared" si="37"/>
        <v>15.42930003759262</v>
      </c>
      <c r="AA83" s="386">
        <f t="shared" si="38"/>
        <v>17.448841140199647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0.11574070085114659</v>
      </c>
      <c r="AD83" s="231">
        <f>(INDEX(Models!$BJ83:$BT83,,AH83)*(1-AF83)+INDEX(Models!$BJ83:$BT83,,AH83+1)*AF83-ERP_i)*AE83*Ramure*Pc/MaxiM</f>
        <v>1.6573387773593677E-2</v>
      </c>
      <c r="AE83" s="305">
        <f t="shared" si="40"/>
        <v>0.7</v>
      </c>
      <c r="AF83" s="177">
        <f t="shared" si="41"/>
        <v>0.11047061834825866</v>
      </c>
      <c r="AG83" s="817">
        <f t="shared" si="49"/>
        <v>1</v>
      </c>
      <c r="AH83" s="176">
        <f t="shared" si="42"/>
        <v>7</v>
      </c>
      <c r="AI83" s="225">
        <f t="shared" si="43"/>
        <v>1.1104706183482587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46092</v>
      </c>
      <c r="B84" s="411">
        <f>'2025'!Wh/'2025'!Env_an*'2026'!Env_an</f>
        <v>10.000584515444103</v>
      </c>
      <c r="C84" s="846"/>
      <c r="D84" s="393">
        <f t="shared" si="25"/>
        <v>10.652443829437999</v>
      </c>
      <c r="E84" s="385">
        <f t="shared" si="47"/>
        <v>11.362324509069044</v>
      </c>
      <c r="F84" s="385">
        <f t="shared" si="26"/>
        <v>11.362936295616619</v>
      </c>
      <c r="G84" s="110">
        <f t="shared" si="48"/>
        <v>0.35337209659192031</v>
      </c>
      <c r="H84" s="414" t="b">
        <f>Wh_hp&gt;='2025'!Maxi_hp</f>
        <v>0</v>
      </c>
      <c r="I84" s="390">
        <f>IF(H84,Wh_hp,'2025'!Maxi_hp)</f>
        <v>23.683748695587767</v>
      </c>
      <c r="J84" s="85">
        <f>IF(H84,An,'2025'!An_max)</f>
        <v>2020</v>
      </c>
      <c r="K84" s="197">
        <f t="shared" si="27"/>
        <v>46092</v>
      </c>
      <c r="L84" s="147">
        <f>IF(t&lt;Tvie,1-EXP((T0-t)*PertePVj)+'2025'!Pspv,1-EXP((T0-t)*PertePVj)+Pspv)</f>
        <v>6.1193405422376834E-2</v>
      </c>
      <c r="M84" s="850"/>
      <c r="N84" s="850"/>
      <c r="O84" s="48">
        <f>IF(t&lt;Tnet,'2025'!Resal+('2025'!Salim-'2025'!Resal)*(1-EXP(('2025'!Tnet-t)/('2025'!Tau_j))),Resal+(Salim-Resal)*(1-EXP((Tnet-t)/(Tau_j))))*Salcycl</f>
        <v>6.2476712319247729E-2</v>
      </c>
      <c r="P84" s="169">
        <f>(INDEX(Models!$BJ84:$BT84,,T84)*(1-R84)+INDEX(Models!$BJ84:$BT84,,T84+1)*R84-ERP_i)*Q84*Ramure*Pc/MaxiM</f>
        <v>7.0311905625931187E-4</v>
      </c>
      <c r="Q84" s="305">
        <f t="shared" si="28"/>
        <v>0.7</v>
      </c>
      <c r="R84" s="177">
        <f t="shared" si="29"/>
        <v>0.48706485297986735</v>
      </c>
      <c r="S84" s="817">
        <f t="shared" si="30"/>
        <v>-2</v>
      </c>
      <c r="T84" s="176">
        <f t="shared" si="31"/>
        <v>4</v>
      </c>
      <c r="U84" s="251">
        <f t="shared" si="32"/>
        <v>-1.5129351470201327</v>
      </c>
      <c r="V84" s="383">
        <f t="shared" si="33"/>
        <v>28.282060461118135</v>
      </c>
      <c r="W84" s="402">
        <f t="shared" si="34"/>
        <v>10.000584515444103</v>
      </c>
      <c r="X84" s="157">
        <f t="shared" si="35"/>
        <v>46092</v>
      </c>
      <c r="Y84" s="385">
        <f t="shared" si="36"/>
        <v>9.4216781239939369</v>
      </c>
      <c r="Z84" s="385">
        <f t="shared" si="37"/>
        <v>10.035803091298936</v>
      </c>
      <c r="AA84" s="386">
        <f t="shared" si="38"/>
        <v>11.349963526270976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0.11578543243158837</v>
      </c>
      <c r="AD84" s="231">
        <f>(INDEX(Models!$BJ84:$BT84,,AH84)*(1-AF84)+INDEX(Models!$BJ84:$BT84,,AH84+1)*AF84-ERP_i)*AE84*Ramure*Pc/MaxiM</f>
        <v>1.4909450649942639E-2</v>
      </c>
      <c r="AE84" s="305">
        <f t="shared" si="40"/>
        <v>0.7</v>
      </c>
      <c r="AF84" s="177">
        <f t="shared" si="41"/>
        <v>0.11092822235592337</v>
      </c>
      <c r="AG84" s="817">
        <f t="shared" si="49"/>
        <v>1</v>
      </c>
      <c r="AH84" s="176">
        <f t="shared" si="42"/>
        <v>7</v>
      </c>
      <c r="AI84" s="225">
        <f t="shared" si="43"/>
        <v>1.1109282223559234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46093</v>
      </c>
      <c r="B85" s="411">
        <f>'2025'!Wh/'2025'!Env_an*'2026'!Env_an</f>
        <v>10.072505863392367</v>
      </c>
      <c r="C85" s="846"/>
      <c r="D85" s="393">
        <f t="shared" si="25"/>
        <v>10.729288162366494</v>
      </c>
      <c r="E85" s="385">
        <f t="shared" si="47"/>
        <v>11.44571471171095</v>
      </c>
      <c r="F85" s="385">
        <f t="shared" si="26"/>
        <v>11.446218941180504</v>
      </c>
      <c r="G85" s="110">
        <f t="shared" si="48"/>
        <v>0.35269217492089461</v>
      </c>
      <c r="H85" s="414" t="b">
        <f>Wh_hp&gt;='2025'!Maxi_hp</f>
        <v>0</v>
      </c>
      <c r="I85" s="390">
        <f>IF(H85,Wh_hp,'2025'!Maxi_hp)</f>
        <v>29.411637891813143</v>
      </c>
      <c r="J85" s="85">
        <f>IF(H85,An,'2025'!An_max)</f>
        <v>2020</v>
      </c>
      <c r="K85" s="197">
        <f t="shared" si="27"/>
        <v>46093</v>
      </c>
      <c r="L85" s="147">
        <f>IF(t&lt;Tvie,1-EXP((T0-t)*PertePVj)+'2025'!Pspv,1-EXP((T0-t)*PertePVj)+Pspv)</f>
        <v>6.1213967696181704E-2</v>
      </c>
      <c r="M85" s="850"/>
      <c r="N85" s="850"/>
      <c r="O85" s="48">
        <f>IF(t&lt;Tnet,'2025'!Resal+('2025'!Salim-'2025'!Resal)*(1-EXP(('2025'!Tnet-t)/('2025'!Tau_j))),Resal+(Salim-Resal)*(1-EXP((Tnet-t)/(Tau_j))))*Salcycl</f>
        <v>6.2593430588605253E-2</v>
      </c>
      <c r="P85" s="169">
        <f>(INDEX(Models!$BJ85:$BT85,,T85)*(1-R85)+INDEX(Models!$BJ85:$BT85,,T85+1)*R85-ERP_i)*Q85*Ramure*Pc/MaxiM</f>
        <v>5.8311335549116777E-4</v>
      </c>
      <c r="Q85" s="305">
        <f t="shared" si="28"/>
        <v>0.7</v>
      </c>
      <c r="R85" s="177">
        <f t="shared" si="29"/>
        <v>0.48754074547922266</v>
      </c>
      <c r="S85" s="817">
        <f t="shared" si="30"/>
        <v>-2</v>
      </c>
      <c r="T85" s="176">
        <f t="shared" si="31"/>
        <v>4</v>
      </c>
      <c r="U85" s="251">
        <f t="shared" si="32"/>
        <v>-1.5124592545207773</v>
      </c>
      <c r="V85" s="383">
        <f t="shared" si="33"/>
        <v>28.543519368818767</v>
      </c>
      <c r="W85" s="402">
        <f t="shared" si="34"/>
        <v>10.072505863392367</v>
      </c>
      <c r="X85" s="157">
        <f t="shared" si="35"/>
        <v>46093</v>
      </c>
      <c r="Y85" s="385">
        <f t="shared" si="36"/>
        <v>9.4913508143451626</v>
      </c>
      <c r="Z85" s="385">
        <f t="shared" si="37"/>
        <v>10.110238635584521</v>
      </c>
      <c r="AA85" s="386">
        <f t="shared" si="38"/>
        <v>11.434726887205995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0.1158303354934876</v>
      </c>
      <c r="AD85" s="231">
        <f>(INDEX(Models!$BJ85:$BT85,,AH85)*(1-AF85)+INDEX(Models!$BJ85:$BT85,,AH85+1)*AF85-ERP_i)*AE85*Ramure*Pc/MaxiM</f>
        <v>1.3289921670942104E-2</v>
      </c>
      <c r="AE85" s="305">
        <f t="shared" si="40"/>
        <v>0.7</v>
      </c>
      <c r="AF85" s="177">
        <f t="shared" si="41"/>
        <v>0.11140411485527868</v>
      </c>
      <c r="AG85" s="817">
        <f t="shared" si="49"/>
        <v>1</v>
      </c>
      <c r="AH85" s="176">
        <f t="shared" si="42"/>
        <v>7</v>
      </c>
      <c r="AI85" s="225">
        <f t="shared" si="43"/>
        <v>1.1114041148552787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46094</v>
      </c>
      <c r="B86" s="411">
        <f>'2025'!Wh/'2025'!Env_an*'2026'!Env_an</f>
        <v>5.500066690515693</v>
      </c>
      <c r="C86" s="846"/>
      <c r="D86" s="393">
        <f t="shared" si="25"/>
        <v>5.8588293492529377</v>
      </c>
      <c r="E86" s="385">
        <f t="shared" si="47"/>
        <v>6.2508190757124513</v>
      </c>
      <c r="F86" s="385">
        <f t="shared" si="26"/>
        <v>6.2508190757124513</v>
      </c>
      <c r="G86" s="110">
        <f t="shared" si="48"/>
        <v>0.19086484392519557</v>
      </c>
      <c r="H86" s="414" t="b">
        <f>Wh_hp&gt;='2025'!Maxi_hp</f>
        <v>0</v>
      </c>
      <c r="I86" s="390">
        <f>IF(H86,Wh_hp,'2025'!Maxi_hp)</f>
        <v>29.39742528369991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6.123452951961994E-2</v>
      </c>
      <c r="M86" s="850"/>
      <c r="N86" s="850"/>
      <c r="O86" s="48">
        <f>IF(t&lt;Tnet,'2025'!Resal+('2025'!Salim-'2025'!Resal)*(1-EXP(('2025'!Tnet-t)/('2025'!Tau_j))),Resal+(Salim-Resal)*(1-EXP((Tnet-t)/(Tau_j))))*Salcycl</f>
        <v>6.2710137937376731E-2</v>
      </c>
      <c r="P86" s="169">
        <f>(INDEX(Models!$BJ86:$BT86,,T86)*(1-R86)+INDEX(Models!$BJ86:$BT86,,T86+1)*R86-ERP_i)*Q86*Ramure*Pc/MaxiM</f>
        <v>4.7792209349935711E-4</v>
      </c>
      <c r="Q86" s="305">
        <f t="shared" si="28"/>
        <v>0.7</v>
      </c>
      <c r="R86" s="177">
        <f t="shared" si="29"/>
        <v>0.48803561872606838</v>
      </c>
      <c r="S86" s="817">
        <f t="shared" si="30"/>
        <v>-2</v>
      </c>
      <c r="T86" s="176">
        <f t="shared" si="31"/>
        <v>4</v>
      </c>
      <c r="U86" s="251">
        <f t="shared" si="32"/>
        <v>-1.5119643812739316</v>
      </c>
      <c r="V86" s="383">
        <f t="shared" si="33"/>
        <v>28.802779883775511</v>
      </c>
      <c r="W86" s="402">
        <f t="shared" si="34"/>
        <v>5.500066690515693</v>
      </c>
      <c r="X86" s="157">
        <f t="shared" si="35"/>
        <v>46094</v>
      </c>
      <c r="Y86" s="385">
        <f t="shared" si="36"/>
        <v>5.1880898467046936</v>
      </c>
      <c r="Z86" s="385">
        <f t="shared" si="37"/>
        <v>5.5265026354770717</v>
      </c>
      <c r="AA86" s="386">
        <f t="shared" si="38"/>
        <v>6.2508190757124513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0.11587544471567096</v>
      </c>
      <c r="AD86" s="231">
        <f>(INDEX(Models!$BJ86:$BT86,,AH86)*(1-AF86)+INDEX(Models!$BJ86:$BT86,,AH86+1)*AF86-ERP_i)*AE86*Ramure*Pc/MaxiM</f>
        <v>1.1766877879948802E-2</v>
      </c>
      <c r="AE86" s="305">
        <f t="shared" si="40"/>
        <v>0.7</v>
      </c>
      <c r="AF86" s="177">
        <f t="shared" si="41"/>
        <v>0.1118989881021244</v>
      </c>
      <c r="AG86" s="817">
        <f t="shared" si="49"/>
        <v>1</v>
      </c>
      <c r="AH86" s="176">
        <f t="shared" si="42"/>
        <v>7</v>
      </c>
      <c r="AI86" s="225">
        <f t="shared" si="43"/>
        <v>1.1118989881021244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46095</v>
      </c>
      <c r="B87" s="411">
        <f>'2025'!Wh/'2025'!Env_an*'2026'!Env_an</f>
        <v>7.8699454504609125</v>
      </c>
      <c r="C87" s="846"/>
      <c r="D87" s="393">
        <f t="shared" si="25"/>
        <v>8.3834760371109276</v>
      </c>
      <c r="E87" s="385">
        <f t="shared" si="47"/>
        <v>8.9454932425843001</v>
      </c>
      <c r="F87" s="385">
        <f t="shared" si="26"/>
        <v>8.9454932425843001</v>
      </c>
      <c r="G87" s="110">
        <f t="shared" si="48"/>
        <v>0.2707172536490603</v>
      </c>
      <c r="H87" s="414" t="b">
        <f>Wh_hp&gt;='2025'!Maxi_hp</f>
        <v>0</v>
      </c>
      <c r="I87" s="390">
        <f>IF(H87,Wh_hp,'2025'!Maxi_hp)</f>
        <v>27.041870864735497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6.1255090892701536E-2</v>
      </c>
      <c r="M87" s="850"/>
      <c r="N87" s="850"/>
      <c r="O87" s="48">
        <f>IF(t&lt;Tnet,'2025'!Resal+('2025'!Salim-'2025'!Resal)*(1-EXP(('2025'!Tnet-t)/('2025'!Tau_j))),Resal+(Salim-Resal)*(1-EXP((Tnet-t)/(Tau_j))))*Salcycl</f>
        <v>6.2826854845514285E-2</v>
      </c>
      <c r="P87" s="169">
        <f>(INDEX(Models!$BJ87:$BT87,,T87)*(1-R87)+INDEX(Models!$BJ87:$BT87,,T87+1)*R87-ERP_i)*Q87*Ramure*Pc/MaxiM</f>
        <v>3.8468064791298507E-4</v>
      </c>
      <c r="Q87" s="305">
        <f t="shared" si="28"/>
        <v>0.7</v>
      </c>
      <c r="R87" s="177">
        <f t="shared" si="29"/>
        <v>0.4885501879591061</v>
      </c>
      <c r="S87" s="817">
        <f t="shared" si="30"/>
        <v>-2</v>
      </c>
      <c r="T87" s="176">
        <f t="shared" si="31"/>
        <v>4</v>
      </c>
      <c r="U87" s="251">
        <f t="shared" si="32"/>
        <v>-1.5114498120408939</v>
      </c>
      <c r="V87" s="383">
        <f t="shared" si="33"/>
        <v>29.059536947519913</v>
      </c>
      <c r="W87" s="402">
        <f t="shared" si="34"/>
        <v>7.8699454504609125</v>
      </c>
      <c r="X87" s="157">
        <f t="shared" si="35"/>
        <v>46095</v>
      </c>
      <c r="Y87" s="385">
        <f t="shared" si="36"/>
        <v>7.4240871518600757</v>
      </c>
      <c r="Z87" s="385">
        <f t="shared" si="37"/>
        <v>7.9085245414753063</v>
      </c>
      <c r="AA87" s="386">
        <f t="shared" si="38"/>
        <v>8.9454932425843001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0.11592079642658355</v>
      </c>
      <c r="AD87" s="231">
        <f>(INDEX(Models!$BJ87:$BT87,,AH87)*(1-AF87)+INDEX(Models!$BJ87:$BT87,,AH87+1)*AF87-ERP_i)*AE87*Ramure*Pc/MaxiM</f>
        <v>1.0354723028516335E-2</v>
      </c>
      <c r="AE87" s="305">
        <f t="shared" si="40"/>
        <v>0.7</v>
      </c>
      <c r="AF87" s="177">
        <f t="shared" si="41"/>
        <v>0.11241355733516212</v>
      </c>
      <c r="AG87" s="817">
        <f t="shared" si="49"/>
        <v>1</v>
      </c>
      <c r="AH87" s="176">
        <f t="shared" si="42"/>
        <v>7</v>
      </c>
      <c r="AI87" s="225">
        <f t="shared" si="43"/>
        <v>1.1124135573351621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46096</v>
      </c>
      <c r="B88" s="411">
        <f>'2025'!Wh/'2025'!Env_an*'2026'!Env_an</f>
        <v>8.0533695190372239</v>
      </c>
      <c r="C88" s="846"/>
      <c r="D88" s="393">
        <f t="shared" si="25"/>
        <v>8.5790568174906241</v>
      </c>
      <c r="E88" s="385">
        <f t="shared" si="47"/>
        <v>9.1553260214873191</v>
      </c>
      <c r="F88" s="385">
        <f t="shared" si="26"/>
        <v>9.1553260214873191</v>
      </c>
      <c r="G88" s="110">
        <f t="shared" si="48"/>
        <v>0.27464998773055249</v>
      </c>
      <c r="H88" s="414" t="b">
        <f>Wh_hp&gt;='2025'!Maxi_hp</f>
        <v>0</v>
      </c>
      <c r="I88" s="390">
        <f>IF(H88,Wh_hp,'2025'!Maxi_hp)</f>
        <v>29.113438237494268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6.1275651815436261E-2</v>
      </c>
      <c r="M88" s="850"/>
      <c r="N88" s="850"/>
      <c r="O88" s="48">
        <f>IF(t&lt;Tnet,'2025'!Resal+('2025'!Salim-'2025'!Resal)*(1-EXP(('2025'!Tnet-t)/('2025'!Tau_j))),Resal+(Salim-Resal)*(1-EXP((Tnet-t)/(Tau_j))))*Salcycl</f>
        <v>6.2943602733994047E-2</v>
      </c>
      <c r="P88" s="169">
        <f>(INDEX(Models!$BJ88:$BT88,,T88)*(1-R88)+INDEX(Models!$BJ88:$BT88,,T88+1)*R88-ERP_i)*Q88*Ramure*Pc/MaxiM</f>
        <v>3.0308008776107413E-4</v>
      </c>
      <c r="Q88" s="305">
        <f t="shared" si="28"/>
        <v>0.7</v>
      </c>
      <c r="R88" s="177">
        <f t="shared" si="29"/>
        <v>0.48908519189073774</v>
      </c>
      <c r="S88" s="817">
        <f t="shared" si="30"/>
        <v>-2</v>
      </c>
      <c r="T88" s="176">
        <f t="shared" si="31"/>
        <v>4</v>
      </c>
      <c r="U88" s="251">
        <f t="shared" si="32"/>
        <v>-1.5109148081092623</v>
      </c>
      <c r="V88" s="383">
        <f t="shared" si="33"/>
        <v>29.313413663775759</v>
      </c>
      <c r="W88" s="402">
        <f t="shared" si="34"/>
        <v>8.0533695190372239</v>
      </c>
      <c r="X88" s="157">
        <f t="shared" si="35"/>
        <v>46096</v>
      </c>
      <c r="Y88" s="385">
        <f t="shared" si="36"/>
        <v>7.597673992134796</v>
      </c>
      <c r="Z88" s="385">
        <f t="shared" si="37"/>
        <v>8.0936155611902887</v>
      </c>
      <c r="AA88" s="386">
        <f t="shared" si="38"/>
        <v>9.1553260214873191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0.11596642848165345</v>
      </c>
      <c r="AD88" s="231">
        <f>(INDEX(Models!$BJ88:$BT88,,AH88)*(1-AF88)+INDEX(Models!$BJ88:$BT88,,AH88+1)*AF88-ERP_i)*AE88*Ramure*Pc/MaxiM</f>
        <v>9.0503133012623544E-3</v>
      </c>
      <c r="AE88" s="305">
        <f t="shared" si="40"/>
        <v>0.7</v>
      </c>
      <c r="AF88" s="177">
        <f t="shared" si="41"/>
        <v>0.11294856126679376</v>
      </c>
      <c r="AG88" s="817">
        <f t="shared" si="49"/>
        <v>1</v>
      </c>
      <c r="AH88" s="176">
        <f t="shared" si="42"/>
        <v>7</v>
      </c>
      <c r="AI88" s="225">
        <f t="shared" si="43"/>
        <v>1.1129485612667938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46097</v>
      </c>
      <c r="B89" s="411">
        <f>'2025'!Wh/'2025'!Env_an*'2026'!Env_an</f>
        <v>6.1864603729997176</v>
      </c>
      <c r="C89" s="846"/>
      <c r="D89" s="393">
        <f t="shared" si="25"/>
        <v>6.5904286889877426</v>
      </c>
      <c r="E89" s="385">
        <f t="shared" si="47"/>
        <v>7.0339952718648231</v>
      </c>
      <c r="F89" s="385">
        <f t="shared" si="26"/>
        <v>7.0339952718648231</v>
      </c>
      <c r="G89" s="110">
        <f t="shared" si="48"/>
        <v>0.2092075852476438</v>
      </c>
      <c r="H89" s="414" t="b">
        <f>Wh_hp&gt;='2025'!Maxi_hp</f>
        <v>0</v>
      </c>
      <c r="I89" s="390">
        <f>IF(H89,Wh_hp,'2025'!Maxi_hp)</f>
        <v>33.759513299417414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6.1296212287834106E-2</v>
      </c>
      <c r="M89" s="850"/>
      <c r="N89" s="850"/>
      <c r="O89" s="48">
        <f>IF(t&lt;Tnet,'2025'!Resal+('2025'!Salim-'2025'!Resal)*(1-EXP(('2025'!Tnet-t)/('2025'!Tau_j))),Resal+(Salim-Resal)*(1-EXP((Tnet-t)/(Tau_j))))*Salcycl</f>
        <v>6.3060403900368781E-2</v>
      </c>
      <c r="P89" s="169">
        <f>(INDEX(Models!$BJ89:$BT89,,T89)*(1-R89)+INDEX(Models!$BJ89:$BT89,,T89+1)*R89-ERP_i)*Q89*Ramure*Pc/MaxiM</f>
        <v>2.3282596022183307E-4</v>
      </c>
      <c r="Q89" s="305">
        <f t="shared" si="28"/>
        <v>0.7</v>
      </c>
      <c r="R89" s="177">
        <f t="shared" si="29"/>
        <v>0.48964139318350952</v>
      </c>
      <c r="S89" s="817">
        <f t="shared" si="30"/>
        <v>-2</v>
      </c>
      <c r="T89" s="176">
        <f t="shared" si="31"/>
        <v>4</v>
      </c>
      <c r="U89" s="251">
        <f t="shared" si="32"/>
        <v>-1.5103586068164905</v>
      </c>
      <c r="V89" s="383">
        <f t="shared" si="33"/>
        <v>29.564033240485287</v>
      </c>
      <c r="W89" s="402">
        <f t="shared" si="34"/>
        <v>6.1864603729997176</v>
      </c>
      <c r="X89" s="157">
        <f t="shared" si="35"/>
        <v>46097</v>
      </c>
      <c r="Y89" s="385">
        <f t="shared" si="36"/>
        <v>5.8368270519090544</v>
      </c>
      <c r="Z89" s="385">
        <f t="shared" si="37"/>
        <v>6.2179647385196199</v>
      </c>
      <c r="AA89" s="386">
        <f t="shared" si="38"/>
        <v>7.0339952718648231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0.11601238013469124</v>
      </c>
      <c r="AD89" s="231">
        <f>(INDEX(Models!$BJ89:$BT89,,AH89)*(1-AF89)+INDEX(Models!$BJ89:$BT89,,AH89+1)*AF89-ERP_i)*AE89*Ramure*Pc/MaxiM</f>
        <v>7.8505977483121457E-3</v>
      </c>
      <c r="AE89" s="305">
        <f t="shared" si="40"/>
        <v>0.7</v>
      </c>
      <c r="AF89" s="177">
        <f t="shared" si="41"/>
        <v>0.11350476255956554</v>
      </c>
      <c r="AG89" s="817">
        <f t="shared" si="49"/>
        <v>1</v>
      </c>
      <c r="AH89" s="176">
        <f t="shared" si="42"/>
        <v>7</v>
      </c>
      <c r="AI89" s="225">
        <f t="shared" si="43"/>
        <v>1.1135047625595655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46098</v>
      </c>
      <c r="B90" s="411">
        <f>'2025'!Wh/'2025'!Env_an*'2026'!Env_an</f>
        <v>7.2542523057805957</v>
      </c>
      <c r="C90" s="846"/>
      <c r="D90" s="393">
        <f t="shared" si="25"/>
        <v>7.7281153980260262</v>
      </c>
      <c r="E90" s="385">
        <f t="shared" si="47"/>
        <v>8.2492826497592731</v>
      </c>
      <c r="F90" s="385">
        <f t="shared" si="26"/>
        <v>8.2492826497592731</v>
      </c>
      <c r="G90" s="110">
        <f t="shared" si="48"/>
        <v>0.24329905289114179</v>
      </c>
      <c r="H90" s="414" t="b">
        <f>Wh_hp&gt;='2025'!Maxi_hp</f>
        <v>0</v>
      </c>
      <c r="I90" s="390">
        <f>IF(H90,Wh_hp,'2025'!Maxi_hp)</f>
        <v>18.204761461001336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6.1316772309904732E-2</v>
      </c>
      <c r="M90" s="850"/>
      <c r="N90" s="850"/>
      <c r="O90" s="48">
        <f>IF(t&lt;Tnet,'2025'!Resal+('2025'!Salim-'2025'!Resal)*(1-EXP(('2025'!Tnet-t)/('2025'!Tau_j))),Resal+(Salim-Resal)*(1-EXP((Tnet-t)/(Tau_j))))*Salcycl</f>
        <v>6.3177281451067116E-2</v>
      </c>
      <c r="P90" s="169">
        <f>(INDEX(Models!$BJ90:$BT90,,T90)*(1-R90)+INDEX(Models!$BJ90:$BT90,,T90+1)*R90-ERP_i)*Q90*Ramure*Pc/MaxiM</f>
        <v>1.7363910119574084E-4</v>
      </c>
      <c r="Q90" s="305">
        <f t="shared" si="28"/>
        <v>0.7</v>
      </c>
      <c r="R90" s="177">
        <f t="shared" si="29"/>
        <v>0.49021957890927381</v>
      </c>
      <c r="S90" s="817">
        <f t="shared" si="30"/>
        <v>-2</v>
      </c>
      <c r="T90" s="176">
        <f t="shared" si="31"/>
        <v>4</v>
      </c>
      <c r="U90" s="251">
        <f t="shared" si="32"/>
        <v>-1.5097804210907262</v>
      </c>
      <c r="V90" s="383">
        <f t="shared" si="33"/>
        <v>29.811018981547566</v>
      </c>
      <c r="W90" s="402">
        <f t="shared" si="34"/>
        <v>7.2542523057805957</v>
      </c>
      <c r="X90" s="157">
        <f t="shared" si="35"/>
        <v>46098</v>
      </c>
      <c r="Y90" s="385">
        <f t="shared" si="36"/>
        <v>6.8447670465963197</v>
      </c>
      <c r="Z90" s="385">
        <f t="shared" si="37"/>
        <v>7.291881696277744</v>
      </c>
      <c r="AA90" s="386">
        <f t="shared" si="38"/>
        <v>8.2492826497592731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0.11605869190449759</v>
      </c>
      <c r="AD90" s="231">
        <f>(INDEX(Models!$BJ90:$BT90,,AH90)*(1-AF90)+INDEX(Models!$BJ90:$BT90,,AH90+1)*AF90-ERP_i)*AE90*Ramure*Pc/MaxiM</f>
        <v>6.7526255673469185E-3</v>
      </c>
      <c r="AE90" s="305">
        <f t="shared" si="40"/>
        <v>0.7</v>
      </c>
      <c r="AF90" s="177">
        <f t="shared" si="41"/>
        <v>0.11408294828532983</v>
      </c>
      <c r="AG90" s="817">
        <f t="shared" si="49"/>
        <v>1</v>
      </c>
      <c r="AH90" s="176">
        <f t="shared" si="42"/>
        <v>7</v>
      </c>
      <c r="AI90" s="225">
        <f t="shared" si="43"/>
        <v>1.1140829482853298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46099</v>
      </c>
      <c r="B91" s="411">
        <f>'2025'!Wh/'2025'!Env_an*'2026'!Env_an</f>
        <v>9.0516427732637172</v>
      </c>
      <c r="C91" s="846"/>
      <c r="D91" s="393">
        <f t="shared" si="25"/>
        <v>9.643126418789814</v>
      </c>
      <c r="E91" s="385">
        <f t="shared" si="47"/>
        <v>10.294723304325741</v>
      </c>
      <c r="F91" s="385">
        <f t="shared" si="26"/>
        <v>10.29472547684219</v>
      </c>
      <c r="G91" s="110">
        <f t="shared" si="48"/>
        <v>0.30114169923476608</v>
      </c>
      <c r="H91" s="414" t="b">
        <f>Wh_hp&gt;='2025'!Maxi_hp</f>
        <v>0</v>
      </c>
      <c r="I91" s="390">
        <f>IF(H91,Wh_hp,'2025'!Maxi_hp)</f>
        <v>22.615966613904025</v>
      </c>
      <c r="J91" s="85">
        <f>IF(H91,An,'2025'!An_max)</f>
        <v>2019</v>
      </c>
      <c r="K91" s="197">
        <f t="shared" si="27"/>
        <v>46099</v>
      </c>
      <c r="L91" s="147">
        <f>IF(t&lt;Tvie,1-EXP((T0-t)*PertePVj)+'2025'!Pspv,1-EXP((T0-t)*PertePVj)+Pspv)</f>
        <v>6.133733188165813E-2</v>
      </c>
      <c r="M91" s="850"/>
      <c r="N91" s="850"/>
      <c r="O91" s="48">
        <f>IF(t&lt;Tnet,'2025'!Resal+('2025'!Salim-'2025'!Resal)*(1-EXP(('2025'!Tnet-t)/('2025'!Tau_j))),Resal+(Salim-Resal)*(1-EXP((Tnet-t)/(Tau_j))))*Salcycl</f>
        <v>6.3294259231050254E-2</v>
      </c>
      <c r="P91" s="169">
        <f>(INDEX(Models!$BJ91:$BT91,,T91)*(1-R91)+INDEX(Models!$BJ91:$BT91,,T91+1)*R91-ERP_i)*Q91*Ramure*Pc/MaxiM</f>
        <v>1.252563731380137E-4</v>
      </c>
      <c r="Q91" s="305">
        <f t="shared" si="28"/>
        <v>0.7</v>
      </c>
      <c r="R91" s="177">
        <f t="shared" si="29"/>
        <v>0.49082056098789928</v>
      </c>
      <c r="S91" s="817">
        <f t="shared" si="30"/>
        <v>-2</v>
      </c>
      <c r="T91" s="176">
        <f t="shared" si="31"/>
        <v>4</v>
      </c>
      <c r="U91" s="251">
        <f t="shared" si="32"/>
        <v>-1.5091794390121007</v>
      </c>
      <c r="V91" s="383">
        <f t="shared" si="33"/>
        <v>30.053994283304835</v>
      </c>
      <c r="W91" s="402">
        <f t="shared" si="34"/>
        <v>9.0516427732637172</v>
      </c>
      <c r="X91" s="157">
        <f t="shared" si="35"/>
        <v>46099</v>
      </c>
      <c r="Y91" s="385">
        <f t="shared" si="36"/>
        <v>8.5412332858605122</v>
      </c>
      <c r="Z91" s="385">
        <f t="shared" si="37"/>
        <v>9.0993639951425838</v>
      </c>
      <c r="AA91" s="386">
        <f t="shared" si="38"/>
        <v>10.294625684016054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0.11610540543783859</v>
      </c>
      <c r="AD91" s="231">
        <f>(INDEX(Models!$BJ91:$BT91,,AH91)*(1-AF91)+INDEX(Models!$BJ91:$BT91,,AH91+1)*AF91-ERP_i)*AE91*Ramure*Pc/MaxiM</f>
        <v>5.7535525071270785E-3</v>
      </c>
      <c r="AE91" s="305">
        <f t="shared" si="40"/>
        <v>0.7</v>
      </c>
      <c r="AF91" s="177">
        <f t="shared" si="41"/>
        <v>0.1146839303639553</v>
      </c>
      <c r="AG91" s="817">
        <f t="shared" si="49"/>
        <v>1</v>
      </c>
      <c r="AH91" s="176">
        <f t="shared" si="42"/>
        <v>7</v>
      </c>
      <c r="AI91" s="225">
        <f t="shared" si="43"/>
        <v>1.1146839303639553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46100</v>
      </c>
      <c r="B92" s="411">
        <f>'2025'!Wh/'2025'!Env_an*'2026'!Env_an</f>
        <v>18.176906491239308</v>
      </c>
      <c r="C92" s="846"/>
      <c r="D92" s="393">
        <f t="shared" si="25"/>
        <v>19.365108721432208</v>
      </c>
      <c r="E92" s="385">
        <f t="shared" si="47"/>
        <v>20.676215715839874</v>
      </c>
      <c r="F92" s="385">
        <f t="shared" si="26"/>
        <v>20.67699061025467</v>
      </c>
      <c r="G92" s="110">
        <f t="shared" si="48"/>
        <v>0.60001481712805793</v>
      </c>
      <c r="H92" s="414" t="b">
        <f>Wh_hp&gt;='2025'!Maxi_hp</f>
        <v>0</v>
      </c>
      <c r="I92" s="390">
        <f>IF(H92,Wh_hp,'2025'!Maxi_hp)</f>
        <v>31.49075258123468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6.1357891003104181E-2</v>
      </c>
      <c r="M92" s="850"/>
      <c r="N92" s="850"/>
      <c r="O92" s="48">
        <f>IF(t&lt;Tnet,'2025'!Resal+('2025'!Salim-'2025'!Resal)*(1-EXP(('2025'!Tnet-t)/('2025'!Tau_j))),Resal+(Salim-Resal)*(1-EXP((Tnet-t)/(Tau_j))))*Salcycl</f>
        <v>6.3411361751427239E-2</v>
      </c>
      <c r="P92" s="169">
        <f>(INDEX(Models!$BJ92:$BT92,,T92)*(1-R92)+INDEX(Models!$BJ92:$BT92,,T92+1)*R92-ERP_i)*Q92*Ramure*Pc/MaxiM</f>
        <v>8.7431342075187292E-5</v>
      </c>
      <c r="Q92" s="305">
        <f t="shared" si="28"/>
        <v>0.7</v>
      </c>
      <c r="R92" s="177">
        <f t="shared" si="29"/>
        <v>0.49144517660210574</v>
      </c>
      <c r="S92" s="817">
        <f t="shared" si="30"/>
        <v>-2</v>
      </c>
      <c r="T92" s="176">
        <f t="shared" si="31"/>
        <v>4</v>
      </c>
      <c r="U92" s="251">
        <f t="shared" si="32"/>
        <v>-1.5085548233978943</v>
      </c>
      <c r="V92" s="383">
        <f t="shared" si="33"/>
        <v>30.292582629400972</v>
      </c>
      <c r="W92" s="402">
        <f t="shared" si="34"/>
        <v>18.176906491239308</v>
      </c>
      <c r="X92" s="157">
        <f t="shared" si="35"/>
        <v>46100</v>
      </c>
      <c r="Y92" s="385">
        <f t="shared" si="36"/>
        <v>17.11830513545021</v>
      </c>
      <c r="Z92" s="385">
        <f t="shared" si="37"/>
        <v>18.237307884838163</v>
      </c>
      <c r="AA92" s="386">
        <f t="shared" si="38"/>
        <v>20.633999861303025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0.11615256336991721</v>
      </c>
      <c r="AD92" s="231">
        <f>(INDEX(Models!$BJ92:$BT92,,AH92)*(1-AF92)+INDEX(Models!$BJ92:$BT92,,AH92+1)*AF92-ERP_i)*AE92*Ramure*Pc/MaxiM</f>
        <v>4.8506464956758009E-3</v>
      </c>
      <c r="AE92" s="305">
        <f t="shared" si="40"/>
        <v>0.7</v>
      </c>
      <c r="AF92" s="177">
        <f t="shared" si="41"/>
        <v>0.11530854597816176</v>
      </c>
      <c r="AG92" s="817">
        <f t="shared" si="49"/>
        <v>1</v>
      </c>
      <c r="AH92" s="176">
        <f t="shared" si="42"/>
        <v>7</v>
      </c>
      <c r="AI92" s="225">
        <f t="shared" si="43"/>
        <v>1.1153085459781618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46101</v>
      </c>
      <c r="B93" s="411">
        <f>'2025'!Wh/'2025'!Env_an*'2026'!Env_an</f>
        <v>20.26304291660815</v>
      </c>
      <c r="C93" s="846"/>
      <c r="D93" s="393">
        <f t="shared" si="25"/>
        <v>21.58808617762493</v>
      </c>
      <c r="E93" s="385">
        <f t="shared" si="47"/>
        <v>23.05258495136777</v>
      </c>
      <c r="F93" s="385">
        <f t="shared" si="26"/>
        <v>23.053302884129245</v>
      </c>
      <c r="G93" s="110">
        <f t="shared" si="48"/>
        <v>0.66372561428910493</v>
      </c>
      <c r="H93" s="414" t="b">
        <f>Wh_hp&gt;='2025'!Maxi_hp</f>
        <v>0</v>
      </c>
      <c r="I93" s="390">
        <f>IF(H93,Wh_hp,'2025'!Maxi_hp)</f>
        <v>35.290557656198175</v>
      </c>
      <c r="J93" s="85">
        <f>IF(H93,An,'2025'!An_max)</f>
        <v>2019</v>
      </c>
      <c r="K93" s="197">
        <f t="shared" si="27"/>
        <v>46101</v>
      </c>
      <c r="L93" s="147">
        <f>IF(t&lt;Tvie,1-EXP((T0-t)*PertePVj)+'2025'!Pspv,1-EXP((T0-t)*PertePVj)+Pspv)</f>
        <v>6.1378449674252655E-2</v>
      </c>
      <c r="M93" s="850"/>
      <c r="N93" s="850"/>
      <c r="O93" s="48">
        <f>IF(t&lt;Tnet,'2025'!Resal+('2025'!Salim-'2025'!Resal)*(1-EXP(('2025'!Tnet-t)/('2025'!Tau_j))),Resal+(Salim-Resal)*(1-EXP((Tnet-t)/(Tau_j))))*Salcycl</f>
        <v>6.3528614115613391E-2</v>
      </c>
      <c r="P93" s="169">
        <f>(INDEX(Models!$BJ93:$BT93,,T93)*(1-R93)+INDEX(Models!$BJ93:$BT93,,T93+1)*R93-ERP_i)*Q93*Ramure*Pc/MaxiM</f>
        <v>5.9931059272923022E-5</v>
      </c>
      <c r="Q93" s="305">
        <f t="shared" si="28"/>
        <v>0.7</v>
      </c>
      <c r="R93" s="177">
        <f t="shared" si="29"/>
        <v>0.49209428858472726</v>
      </c>
      <c r="S93" s="817">
        <f t="shared" si="30"/>
        <v>-2</v>
      </c>
      <c r="T93" s="176">
        <f t="shared" si="31"/>
        <v>4</v>
      </c>
      <c r="U93" s="251">
        <f t="shared" si="32"/>
        <v>-1.5079057114152727</v>
      </c>
      <c r="V93" s="383">
        <f t="shared" si="33"/>
        <v>30.52836761796414</v>
      </c>
      <c r="W93" s="402">
        <f t="shared" si="34"/>
        <v>20.26304291660815</v>
      </c>
      <c r="X93" s="157">
        <f t="shared" si="35"/>
        <v>46101</v>
      </c>
      <c r="Y93" s="385">
        <f t="shared" si="36"/>
        <v>19.083791097671153</v>
      </c>
      <c r="Z93" s="385">
        <f t="shared" si="37"/>
        <v>20.331720586479342</v>
      </c>
      <c r="AA93" s="386">
        <f t="shared" si="38"/>
        <v>23.004894092240264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0.11620020918342773</v>
      </c>
      <c r="AD93" s="231">
        <f>(INDEX(Models!$BJ93:$BT93,,AH93)*(1-AF93)+INDEX(Models!$BJ93:$BT93,,AH93+1)*AF93-ERP_i)*AE93*Ramure*Pc/MaxiM</f>
        <v>4.041033271803043E-3</v>
      </c>
      <c r="AE93" s="305">
        <f t="shared" si="40"/>
        <v>0.7</v>
      </c>
      <c r="AF93" s="177">
        <f t="shared" si="41"/>
        <v>0.11595765796078328</v>
      </c>
      <c r="AG93" s="817">
        <f t="shared" si="49"/>
        <v>1</v>
      </c>
      <c r="AH93" s="176">
        <f t="shared" si="42"/>
        <v>7</v>
      </c>
      <c r="AI93" s="225">
        <f t="shared" si="43"/>
        <v>1.1159576579607833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46102</v>
      </c>
      <c r="B94" s="411">
        <f>'2025'!Wh/'2025'!Env_an*'2026'!Env_an</f>
        <v>29.018010974838891</v>
      </c>
      <c r="C94" s="846"/>
      <c r="D94" s="393">
        <f t="shared" si="25"/>
        <v>30.916237271136612</v>
      </c>
      <c r="E94" s="385">
        <f t="shared" si="47"/>
        <v>33.01768204765493</v>
      </c>
      <c r="F94" s="385">
        <f t="shared" si="26"/>
        <v>33.018973024021804</v>
      </c>
      <c r="G94" s="110">
        <f t="shared" si="48"/>
        <v>0.94327713358730791</v>
      </c>
      <c r="H94" s="414" t="b">
        <f>Wh_hp&gt;='2025'!Maxi_hp</f>
        <v>0</v>
      </c>
      <c r="I94" s="390">
        <f>IF(H94,Wh_hp,'2025'!Maxi_hp)</f>
        <v>35.232626438185896</v>
      </c>
      <c r="J94" s="85">
        <f>IF(H94,An,'2025'!An_max)</f>
        <v>2019</v>
      </c>
      <c r="K94" s="197">
        <f t="shared" si="27"/>
        <v>46102</v>
      </c>
      <c r="L94" s="147">
        <f>IF(t&lt;Tvie,1-EXP((T0-t)*PertePVj)+'2025'!Pspv,1-EXP((T0-t)*PertePVj)+Pspv)</f>
        <v>6.1399007895113544E-2</v>
      </c>
      <c r="M94" s="850"/>
      <c r="N94" s="850"/>
      <c r="O94" s="48">
        <f>IF(t&lt;Tnet,'2025'!Resal+('2025'!Salim-'2025'!Resal)*(1-EXP(('2025'!Tnet-t)/('2025'!Tau_j))),Resal+(Salim-Resal)*(1-EXP((Tnet-t)/(Tau_j))))*Salcycl</f>
        <v>6.3646041944593959E-2</v>
      </c>
      <c r="P94" s="169">
        <f>(INDEX(Models!$BJ94:$BT94,,T94)*(1-R94)+INDEX(Models!$BJ94:$BT94,,T94+1)*R94-ERP_i)*Q94*Ramure*Pc/MaxiM</f>
        <v>4.2545385306252683E-5</v>
      </c>
      <c r="Q94" s="305">
        <f t="shared" si="28"/>
        <v>0.7</v>
      </c>
      <c r="R94" s="177">
        <f t="shared" si="29"/>
        <v>0.49276878577442762</v>
      </c>
      <c r="S94" s="817">
        <f t="shared" si="30"/>
        <v>-2</v>
      </c>
      <c r="T94" s="176">
        <f t="shared" si="31"/>
        <v>4</v>
      </c>
      <c r="U94" s="251">
        <f t="shared" si="32"/>
        <v>-1.5072312142255724</v>
      </c>
      <c r="V94" s="383">
        <f t="shared" si="33"/>
        <v>30.762869046553462</v>
      </c>
      <c r="W94" s="402">
        <f t="shared" si="34"/>
        <v>29.018010974838891</v>
      </c>
      <c r="X94" s="157">
        <f t="shared" si="35"/>
        <v>46102</v>
      </c>
      <c r="Y94" s="385">
        <f t="shared" si="36"/>
        <v>27.304690867562648</v>
      </c>
      <c r="Z94" s="385">
        <f t="shared" si="37"/>
        <v>29.090839555080517</v>
      </c>
      <c r="AA94" s="386">
        <f t="shared" si="38"/>
        <v>32.917438711699795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0.11624838706722332</v>
      </c>
      <c r="AD94" s="231">
        <f>(INDEX(Models!$BJ94:$BT94,,AH94)*(1-AF94)+INDEX(Models!$BJ94:$BT94,,AH94+1)*AF94-ERP_i)*AE94*Ramure*Pc/MaxiM</f>
        <v>3.3461622926475041E-3</v>
      </c>
      <c r="AE94" s="305">
        <f t="shared" si="40"/>
        <v>0.7</v>
      </c>
      <c r="AF94" s="177">
        <f t="shared" si="41"/>
        <v>0.11663215515048364</v>
      </c>
      <c r="AG94" s="817">
        <f t="shared" si="49"/>
        <v>1</v>
      </c>
      <c r="AH94" s="176">
        <f t="shared" si="42"/>
        <v>7</v>
      </c>
      <c r="AI94" s="225">
        <f t="shared" si="43"/>
        <v>1.1166321551504836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46103</v>
      </c>
      <c r="B95" s="411">
        <f>'2025'!Wh/'2025'!Env_an*'2026'!Env_an</f>
        <v>26.786958470014437</v>
      </c>
      <c r="C95" s="846"/>
      <c r="D95" s="393">
        <f t="shared" si="25"/>
        <v>28.539864555149531</v>
      </c>
      <c r="E95" s="385">
        <f t="shared" si="47"/>
        <v>30.483611541579247</v>
      </c>
      <c r="F95" s="385">
        <f t="shared" si="26"/>
        <v>30.484304327297529</v>
      </c>
      <c r="G95" s="110">
        <f t="shared" si="48"/>
        <v>0.86420700425377461</v>
      </c>
      <c r="H95" s="414" t="b">
        <f>Wh_hp&gt;='2025'!Maxi_hp</f>
        <v>0</v>
      </c>
      <c r="I95" s="390">
        <f>IF(H95,Wh_hp,'2025'!Maxi_hp)</f>
        <v>34.33751568572859</v>
      </c>
      <c r="J95" s="85">
        <f>IF(H95,An,'2025'!An_max)</f>
        <v>2019</v>
      </c>
      <c r="K95" s="197">
        <f t="shared" si="27"/>
        <v>46103</v>
      </c>
      <c r="L95" s="147">
        <f>IF(t&lt;Tvie,1-EXP((T0-t)*PertePVj)+'2025'!Pspv,1-EXP((T0-t)*PertePVj)+Pspv)</f>
        <v>6.1419565665696618E-2</v>
      </c>
      <c r="M95" s="850"/>
      <c r="N95" s="850"/>
      <c r="O95" s="48">
        <f>IF(t&lt;Tnet,'2025'!Resal+('2025'!Salim-'2025'!Resal)*(1-EXP(('2025'!Tnet-t)/('2025'!Tau_j))),Resal+(Salim-Resal)*(1-EXP((Tnet-t)/(Tau_j))))*Salcycl</f>
        <v>6.376367130182295E-2</v>
      </c>
      <c r="P95" s="169">
        <f>(INDEX(Models!$BJ95:$BT95,,T95)*(1-R95)+INDEX(Models!$BJ95:$BT95,,T95+1)*R95-ERP_i)*Q95*Ramure*Pc/MaxiM</f>
        <v>2.8195419842782488E-5</v>
      </c>
      <c r="Q95" s="305">
        <f t="shared" si="28"/>
        <v>0.7</v>
      </c>
      <c r="R95" s="177">
        <f t="shared" si="29"/>
        <v>0.4934695833356022</v>
      </c>
      <c r="S95" s="817">
        <f t="shared" si="30"/>
        <v>-2</v>
      </c>
      <c r="T95" s="176">
        <f t="shared" si="31"/>
        <v>4</v>
      </c>
      <c r="U95" s="251">
        <f t="shared" si="32"/>
        <v>-1.5065304166643978</v>
      </c>
      <c r="V95" s="383">
        <f t="shared" si="33"/>
        <v>30.99582834344324</v>
      </c>
      <c r="W95" s="402">
        <f t="shared" si="34"/>
        <v>26.786958470014437</v>
      </c>
      <c r="X95" s="157">
        <f t="shared" si="35"/>
        <v>46103</v>
      </c>
      <c r="Y95" s="385">
        <f t="shared" si="36"/>
        <v>25.228746551191026</v>
      </c>
      <c r="Z95" s="385">
        <f t="shared" si="37"/>
        <v>26.879685137571339</v>
      </c>
      <c r="AA95" s="386">
        <f t="shared" si="38"/>
        <v>30.417107840500513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0.11629714177555955</v>
      </c>
      <c r="AD95" s="231">
        <f>(INDEX(Models!$BJ95:$BT95,,AH95)*(1-AF95)+INDEX(Models!$BJ95:$BT95,,AH95+1)*AF95-ERP_i)*AE95*Ramure*Pc/MaxiM</f>
        <v>2.7348040053359521E-3</v>
      </c>
      <c r="AE95" s="305">
        <f t="shared" si="40"/>
        <v>0.7</v>
      </c>
      <c r="AF95" s="177">
        <f t="shared" si="41"/>
        <v>0.11733295271165822</v>
      </c>
      <c r="AG95" s="817">
        <f t="shared" si="49"/>
        <v>1</v>
      </c>
      <c r="AH95" s="176">
        <f t="shared" si="42"/>
        <v>7</v>
      </c>
      <c r="AI95" s="225">
        <f t="shared" si="43"/>
        <v>1.1173329527116582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46104</v>
      </c>
      <c r="B96" s="411">
        <f>'2025'!Wh/'2025'!Env_an*'2026'!Env_an</f>
        <v>30.082077952079292</v>
      </c>
      <c r="C96" s="846"/>
      <c r="D96" s="393">
        <f t="shared" si="25"/>
        <v>32.051314667088576</v>
      </c>
      <c r="E96" s="385">
        <f t="shared" si="47"/>
        <v>34.23852391223469</v>
      </c>
      <c r="F96" s="385">
        <f t="shared" si="26"/>
        <v>34.239069690266952</v>
      </c>
      <c r="G96" s="110">
        <f t="shared" si="48"/>
        <v>0.96334161455580258</v>
      </c>
      <c r="H96" s="414" t="b">
        <f>Wh_hp&gt;='2025'!Maxi_hp</f>
        <v>0</v>
      </c>
      <c r="I96" s="390">
        <f>IF(H96,Wh_hp,'2025'!Maxi_hp)</f>
        <v>36.330998993590491</v>
      </c>
      <c r="J96" s="85">
        <f>IF(H96,An,'2025'!An_max)</f>
        <v>2021</v>
      </c>
      <c r="K96" s="197">
        <f t="shared" si="27"/>
        <v>46104</v>
      </c>
      <c r="L96" s="147">
        <f>IF(t&lt;Tvie,1-EXP((T0-t)*PertePVj)+'2025'!Pspv,1-EXP((T0-t)*PertePVj)+Pspv)</f>
        <v>6.1440122986011647E-2</v>
      </c>
      <c r="M96" s="850"/>
      <c r="N96" s="850"/>
      <c r="O96" s="48">
        <f>IF(t&lt;Tnet,'2025'!Resal+('2025'!Salim-'2025'!Resal)*(1-EXP(('2025'!Tnet-t)/('2025'!Tau_j))),Resal+(Salim-Resal)*(1-EXP((Tnet-t)/(Tau_j))))*Salcycl</f>
        <v>6.3881528618251665E-2</v>
      </c>
      <c r="P96" s="169">
        <f>(INDEX(Models!$BJ96:$BT96,,T96)*(1-R96)+INDEX(Models!$BJ96:$BT96,,T96+1)*R96-ERP_i)*Q96*Ramure*Pc/MaxiM</f>
        <v>1.6821097811816034E-5</v>
      </c>
      <c r="Q96" s="305">
        <f t="shared" si="28"/>
        <v>0.7</v>
      </c>
      <c r="R96" s="177">
        <f t="shared" si="29"/>
        <v>0.49419762303789683</v>
      </c>
      <c r="S96" s="817">
        <f t="shared" si="30"/>
        <v>-2</v>
      </c>
      <c r="T96" s="176">
        <f t="shared" si="31"/>
        <v>4</v>
      </c>
      <c r="U96" s="251">
        <f t="shared" si="32"/>
        <v>-1.5058023769621032</v>
      </c>
      <c r="V96" s="383">
        <f t="shared" si="33"/>
        <v>31.226774591954555</v>
      </c>
      <c r="W96" s="402">
        <f t="shared" si="34"/>
        <v>30.082077952079292</v>
      </c>
      <c r="X96" s="157">
        <f t="shared" si="35"/>
        <v>46104</v>
      </c>
      <c r="Y96" s="385">
        <f t="shared" si="36"/>
        <v>28.337236900903449</v>
      </c>
      <c r="Z96" s="385">
        <f t="shared" si="37"/>
        <v>30.19225261478028</v>
      </c>
      <c r="AA96" s="386">
        <f t="shared" si="38"/>
        <v>34.167525219440392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0.11634651848879848</v>
      </c>
      <c r="AD96" s="231">
        <f>(INDEX(Models!$BJ96:$BT96,,AH96)*(1-AF96)+INDEX(Models!$BJ96:$BT96,,AH96+1)*AF96-ERP_i)*AE96*Ramure*Pc/MaxiM</f>
        <v>2.2050292802589279E-3</v>
      </c>
      <c r="AE96" s="305">
        <f t="shared" si="40"/>
        <v>0.7</v>
      </c>
      <c r="AF96" s="177">
        <f t="shared" si="41"/>
        <v>0.11806099241395285</v>
      </c>
      <c r="AG96" s="817">
        <f t="shared" si="49"/>
        <v>1</v>
      </c>
      <c r="AH96" s="176">
        <f t="shared" si="42"/>
        <v>7</v>
      </c>
      <c r="AI96" s="225">
        <f t="shared" si="43"/>
        <v>1.1180609924139528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46105</v>
      </c>
      <c r="B97" s="411">
        <f>'2025'!Wh/'2025'!Env_an*'2026'!Env_an</f>
        <v>29.777994061729743</v>
      </c>
      <c r="C97" s="846"/>
      <c r="D97" s="393">
        <f t="shared" si="25"/>
        <v>31.728019724483243</v>
      </c>
      <c r="E97" s="385">
        <f t="shared" si="47"/>
        <v>33.897443955502069</v>
      </c>
      <c r="F97" s="385">
        <f t="shared" si="26"/>
        <v>33.89770593120987</v>
      </c>
      <c r="G97" s="110">
        <f t="shared" si="48"/>
        <v>0.94667781421969799</v>
      </c>
      <c r="H97" s="414" t="b">
        <f>Wh_hp&gt;='2025'!Maxi_hp</f>
        <v>0</v>
      </c>
      <c r="I97" s="390">
        <f>IF(H97,Wh_hp,'2025'!Maxi_hp)</f>
        <v>35.972058370872873</v>
      </c>
      <c r="J97" s="85">
        <f>IF(H97,An,'2025'!An_max)</f>
        <v>2021</v>
      </c>
      <c r="K97" s="197">
        <f t="shared" si="27"/>
        <v>46105</v>
      </c>
      <c r="L97" s="147">
        <f>IF(t&lt;Tvie,1-EXP((T0-t)*PertePVj)+'2025'!Pspv,1-EXP((T0-t)*PertePVj)+Pspv)</f>
        <v>6.1460679856068734E-2</v>
      </c>
      <c r="M97" s="850"/>
      <c r="N97" s="850"/>
      <c r="O97" s="48">
        <f>IF(t&lt;Tnet,'2025'!Resal+('2025'!Salim-'2025'!Resal)*(1-EXP(('2025'!Tnet-t)/('2025'!Tau_j))),Resal+(Salim-Resal)*(1-EXP((Tnet-t)/(Tau_j))))*Salcycl</f>
        <v>6.3999640617937989E-2</v>
      </c>
      <c r="P97" s="169">
        <f>(INDEX(Models!$BJ97:$BT97,,T97)*(1-R97)+INDEX(Models!$BJ97:$BT97,,T97+1)*R97-ERP_i)*Q97*Ramure*Pc/MaxiM</f>
        <v>8.3656634269186296E-6</v>
      </c>
      <c r="Q97" s="305">
        <f t="shared" si="28"/>
        <v>0.7</v>
      </c>
      <c r="R97" s="177">
        <f t="shared" si="29"/>
        <v>0.49495387349045661</v>
      </c>
      <c r="S97" s="817">
        <f t="shared" si="30"/>
        <v>-2</v>
      </c>
      <c r="T97" s="176">
        <f t="shared" si="31"/>
        <v>4</v>
      </c>
      <c r="U97" s="251">
        <f t="shared" si="32"/>
        <v>-1.5050461265095434</v>
      </c>
      <c r="V97" s="383">
        <f t="shared" si="33"/>
        <v>31.45523708115639</v>
      </c>
      <c r="W97" s="402">
        <f t="shared" si="34"/>
        <v>29.777994061729743</v>
      </c>
      <c r="X97" s="157">
        <f t="shared" si="35"/>
        <v>46105</v>
      </c>
      <c r="Y97" s="385">
        <f t="shared" si="36"/>
        <v>28.065674762976339</v>
      </c>
      <c r="Z97" s="385">
        <f t="shared" si="37"/>
        <v>29.903568407418756</v>
      </c>
      <c r="AA97" s="386">
        <f t="shared" si="38"/>
        <v>33.842747939046632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0.11639656267637127</v>
      </c>
      <c r="AD97" s="231">
        <f>(INDEX(Models!$BJ97:$BT97,,AH97)*(1-AF97)+INDEX(Models!$BJ97:$BT97,,AH97+1)*AF97-ERP_i)*AE97*Ramure*Pc/MaxiM</f>
        <v>1.7549721266627068E-3</v>
      </c>
      <c r="AE97" s="305">
        <f t="shared" si="40"/>
        <v>0.7</v>
      </c>
      <c r="AF97" s="177">
        <f t="shared" si="41"/>
        <v>0.11881724286651263</v>
      </c>
      <c r="AG97" s="817">
        <f t="shared" si="49"/>
        <v>1</v>
      </c>
      <c r="AH97" s="176">
        <f t="shared" si="42"/>
        <v>7</v>
      </c>
      <c r="AI97" s="225">
        <f t="shared" si="43"/>
        <v>1.1188172428665126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46106</v>
      </c>
      <c r="B98" s="411">
        <f>'2025'!Wh/'2025'!Env_an*'2026'!Env_an</f>
        <v>26.591134172793254</v>
      </c>
      <c r="C98" s="846"/>
      <c r="D98" s="393">
        <f t="shared" si="25"/>
        <v>28.333087414552445</v>
      </c>
      <c r="E98" s="385">
        <f t="shared" si="47"/>
        <v>30.274210265056798</v>
      </c>
      <c r="F98" s="385">
        <f t="shared" si="26"/>
        <v>30.274275019638871</v>
      </c>
      <c r="G98" s="110">
        <f t="shared" si="48"/>
        <v>0.83934632761356331</v>
      </c>
      <c r="H98" s="414" t="b">
        <f>Wh_hp&gt;='2025'!Maxi_hp</f>
        <v>0</v>
      </c>
      <c r="I98" s="390">
        <f>IF(H98,Wh_hp,'2025'!Maxi_hp)</f>
        <v>33.539793588319633</v>
      </c>
      <c r="J98" s="85">
        <f>IF(H98,An,'2025'!An_max)</f>
        <v>2020</v>
      </c>
      <c r="K98" s="197">
        <f t="shared" si="27"/>
        <v>46106</v>
      </c>
      <c r="L98" s="147">
        <f>IF(t&lt;Tvie,1-EXP((T0-t)*PertePVj)+'2025'!Pspv,1-EXP((T0-t)*PertePVj)+Pspv)</f>
        <v>6.1481236275877538E-2</v>
      </c>
      <c r="M98" s="850"/>
      <c r="N98" s="850"/>
      <c r="O98" s="48">
        <f>IF(t&lt;Tnet,'2025'!Resal+('2025'!Salim-'2025'!Resal)*(1-EXP(('2025'!Tnet-t)/('2025'!Tau_j))),Resal+(Salim-Resal)*(1-EXP((Tnet-t)/(Tau_j))))*Salcycl</f>
        <v>6.4118034244640312E-2</v>
      </c>
      <c r="P98" s="169">
        <f>(INDEX(Models!$BJ98:$BT98,,T98)*(1-R98)+INDEX(Models!$BJ98:$BT98,,T98+1)*R98-ERP_i)*Q98*Ramure*Pc/MaxiM</f>
        <v>2.7760458600838775E-6</v>
      </c>
      <c r="Q98" s="305">
        <f t="shared" si="28"/>
        <v>0.7</v>
      </c>
      <c r="R98" s="177">
        <f t="shared" si="29"/>
        <v>0.49573933032570383</v>
      </c>
      <c r="S98" s="817">
        <f t="shared" si="30"/>
        <v>-2</v>
      </c>
      <c r="T98" s="176">
        <f t="shared" si="31"/>
        <v>4</v>
      </c>
      <c r="U98" s="251">
        <f t="shared" si="32"/>
        <v>-1.5042606696742962</v>
      </c>
      <c r="V98" s="383">
        <f t="shared" si="33"/>
        <v>31.680745308973364</v>
      </c>
      <c r="W98" s="402">
        <f t="shared" si="34"/>
        <v>26.591134172793254</v>
      </c>
      <c r="X98" s="157">
        <f t="shared" si="35"/>
        <v>46106</v>
      </c>
      <c r="Y98" s="385">
        <f t="shared" si="36"/>
        <v>25.077612373195493</v>
      </c>
      <c r="Z98" s="385">
        <f t="shared" si="37"/>
        <v>26.720416620851978</v>
      </c>
      <c r="AA98" s="386">
        <f t="shared" si="38"/>
        <v>30.242018641971629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0.11644731996270137</v>
      </c>
      <c r="AD98" s="231">
        <f>(INDEX(Models!$BJ98:$BT98,,AH98)*(1-AF98)+INDEX(Models!$BJ98:$BT98,,AH98+1)*AF98-ERP_i)*AE98*Ramure*Pc/MaxiM</f>
        <v>1.3828393422657315E-3</v>
      </c>
      <c r="AE98" s="305">
        <f t="shared" si="40"/>
        <v>0.7</v>
      </c>
      <c r="AF98" s="177">
        <f t="shared" si="41"/>
        <v>0.11960269970175985</v>
      </c>
      <c r="AG98" s="817">
        <f t="shared" si="49"/>
        <v>1</v>
      </c>
      <c r="AH98" s="176">
        <f t="shared" si="42"/>
        <v>7</v>
      </c>
      <c r="AI98" s="225">
        <f t="shared" si="43"/>
        <v>1.1196026997017599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46107</v>
      </c>
      <c r="B99" s="411">
        <f>'2025'!Wh/'2025'!Env_an*'2026'!Env_an</f>
        <v>28.293362321081318</v>
      </c>
      <c r="C99" s="846"/>
      <c r="D99" s="393">
        <f t="shared" si="25"/>
        <v>30.147486790386029</v>
      </c>
      <c r="E99" s="385">
        <f t="shared" si="47"/>
        <v>32.217001852068812</v>
      </c>
      <c r="F99" s="385">
        <f t="shared" si="26"/>
        <v>32.217001938764724</v>
      </c>
      <c r="G99" s="110">
        <f t="shared" si="48"/>
        <v>0.88686060807542877</v>
      </c>
      <c r="H99" s="414" t="b">
        <f>Wh_hp&gt;='2025'!Maxi_hp</f>
        <v>0</v>
      </c>
      <c r="I99" s="390">
        <f>IF(H99,Wh_hp,'2025'!Maxi_hp)</f>
        <v>37.971121713669092</v>
      </c>
      <c r="J99" s="85">
        <f>IF(H99,An,'2025'!An_max)</f>
        <v>2019</v>
      </c>
      <c r="K99" s="197">
        <f t="shared" si="27"/>
        <v>46107</v>
      </c>
      <c r="L99" s="147">
        <f>IF(t&lt;Tvie,1-EXP((T0-t)*PertePVj)+'2025'!Pspv,1-EXP((T0-t)*PertePVj)+Pspv)</f>
        <v>6.150179224544805E-2</v>
      </c>
      <c r="M99" s="850"/>
      <c r="N99" s="850"/>
      <c r="O99" s="48">
        <f>IF(t&lt;Tnet,'2025'!Resal+('2025'!Salim-'2025'!Resal)*(1-EXP(('2025'!Tnet-t)/('2025'!Tau_j))),Resal+(Salim-Resal)*(1-EXP((Tnet-t)/(Tau_j))))*Salcycl</f>
        <v>6.4236736589748433E-2</v>
      </c>
      <c r="P99" s="169">
        <f>(INDEX(Models!$BJ99:$BT99,,T99)*(1-R99)+INDEX(Models!$BJ99:$BT99,,T99+1)*R99-ERP_i)*Q99*Ramure*Pc/MaxiM</f>
        <v>3.2097896616944622E-9</v>
      </c>
      <c r="Q99" s="305">
        <f t="shared" si="28"/>
        <v>0.7</v>
      </c>
      <c r="R99" s="177">
        <f t="shared" si="29"/>
        <v>0.49655501632710752</v>
      </c>
      <c r="S99" s="817">
        <f t="shared" si="30"/>
        <v>-2</v>
      </c>
      <c r="T99" s="176">
        <f t="shared" si="31"/>
        <v>4</v>
      </c>
      <c r="U99" s="251">
        <f t="shared" si="32"/>
        <v>-1.5034449836728925</v>
      </c>
      <c r="V99" s="383">
        <f t="shared" si="33"/>
        <v>31.902828977602521</v>
      </c>
      <c r="W99" s="402">
        <f t="shared" si="34"/>
        <v>28.293362321081318</v>
      </c>
      <c r="X99" s="157">
        <f t="shared" si="35"/>
        <v>46107</v>
      </c>
      <c r="Y99" s="385">
        <f t="shared" si="36"/>
        <v>26.688844333388737</v>
      </c>
      <c r="Z99" s="385">
        <f t="shared" si="37"/>
        <v>28.437821311608456</v>
      </c>
      <c r="AA99" s="386">
        <f t="shared" si="38"/>
        <v>32.187644420015609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0.11649883599668939</v>
      </c>
      <c r="AD99" s="231">
        <f>(INDEX(Models!$BJ99:$BT99,,AH99)*(1-AF99)+INDEX(Models!$BJ99:$BT99,,AH99+1)*AF99-ERP_i)*AE99*Ramure*Pc/MaxiM</f>
        <v>1.086919309139528E-3</v>
      </c>
      <c r="AE99" s="305">
        <f t="shared" si="40"/>
        <v>0.7</v>
      </c>
      <c r="AF99" s="177">
        <f t="shared" si="41"/>
        <v>0.12041838570316354</v>
      </c>
      <c r="AG99" s="817">
        <f t="shared" si="49"/>
        <v>1</v>
      </c>
      <c r="AH99" s="176">
        <f t="shared" si="42"/>
        <v>7</v>
      </c>
      <c r="AI99" s="225">
        <f t="shared" si="43"/>
        <v>1.1204183857031635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46108</v>
      </c>
      <c r="B100" s="411">
        <f>'2025'!Wh/'2025'!Env_an*'2026'!Env_an</f>
        <v>28.219817511732746</v>
      </c>
      <c r="C100" s="846"/>
      <c r="D100" s="393">
        <f t="shared" si="25"/>
        <v>30.069781037961285</v>
      </c>
      <c r="E100" s="385">
        <f t="shared" si="47"/>
        <v>32.138050157083846</v>
      </c>
      <c r="F100" s="385">
        <f t="shared" si="26"/>
        <v>32.138050223075062</v>
      </c>
      <c r="G100" s="110">
        <f t="shared" si="48"/>
        <v>0.87854679763877708</v>
      </c>
      <c r="H100" s="414" t="b">
        <f>Wh_hp&gt;='2025'!Maxi_hp</f>
        <v>0</v>
      </c>
      <c r="I100" s="390">
        <f>IF(H100,Wh_hp,'2025'!Maxi_hp)</f>
        <v>37.339002876856433</v>
      </c>
      <c r="J100" s="85">
        <f>IF(H100,An,'2025'!An_max)</f>
        <v>2019</v>
      </c>
      <c r="K100" s="197">
        <f t="shared" si="27"/>
        <v>46108</v>
      </c>
      <c r="L100" s="147">
        <f>IF(t&lt;Tvie,1-EXP((T0-t)*PertePVj)+'2025'!Pspv,1-EXP((T0-t)*PertePVj)+Pspv)</f>
        <v>6.1522347764789931E-2</v>
      </c>
      <c r="M100" s="850"/>
      <c r="N100" s="850"/>
      <c r="O100" s="48">
        <f>IF(t&lt;Tnet,'2025'!Resal+('2025'!Salim-'2025'!Resal)*(1-EXP(('2025'!Tnet-t)/('2025'!Tau_j))),Resal+(Salim-Resal)*(1-EXP((Tnet-t)/(Tau_j))))*Salcycl</f>
        <v>6.4355774821848608E-2</v>
      </c>
      <c r="P100" s="169">
        <f>(INDEX(Models!$BJ100:$BT100,,T100)*(1-R100)+INDEX(Models!$BJ100:$BT100,,T100+1)*R100-ERP_i)*Q100*Ramure*Pc/MaxiM</f>
        <v>2.4844265102040765E-9</v>
      </c>
      <c r="Q100" s="305">
        <f t="shared" si="28"/>
        <v>0.7</v>
      </c>
      <c r="R100" s="177">
        <f t="shared" si="29"/>
        <v>0.49740198149507209</v>
      </c>
      <c r="S100" s="817">
        <f t="shared" si="30"/>
        <v>-2</v>
      </c>
      <c r="T100" s="176">
        <f t="shared" si="31"/>
        <v>4</v>
      </c>
      <c r="U100" s="251">
        <f t="shared" si="32"/>
        <v>-1.5025980185049279</v>
      </c>
      <c r="V100" s="383">
        <f t="shared" si="33"/>
        <v>32.121017998600877</v>
      </c>
      <c r="W100" s="402">
        <f t="shared" si="34"/>
        <v>28.219817511732746</v>
      </c>
      <c r="X100" s="157">
        <f t="shared" si="35"/>
        <v>46108</v>
      </c>
      <c r="Y100" s="385">
        <f t="shared" si="36"/>
        <v>26.626456145562795</v>
      </c>
      <c r="Z100" s="385">
        <f t="shared" si="37"/>
        <v>28.371966111441751</v>
      </c>
      <c r="AA100" s="386">
        <f t="shared" si="38"/>
        <v>32.115007353937209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0.11655115632525526</v>
      </c>
      <c r="AD100" s="231">
        <f>(INDEX(Models!$BJ100:$BT100,,AH100)*(1-AF100)+INDEX(Models!$BJ100:$BT100,,AH100+1)*AF100-ERP_i)*AE100*Ramure*Pc/MaxiM</f>
        <v>8.6751416350218456E-4</v>
      </c>
      <c r="AE100" s="305">
        <f t="shared" si="40"/>
        <v>0.7</v>
      </c>
      <c r="AF100" s="177">
        <f t="shared" si="41"/>
        <v>0.12126535087112811</v>
      </c>
      <c r="AG100" s="817">
        <f t="shared" si="49"/>
        <v>1</v>
      </c>
      <c r="AH100" s="176">
        <f t="shared" si="42"/>
        <v>7</v>
      </c>
      <c r="AI100" s="225">
        <f t="shared" si="43"/>
        <v>1.1212653508711281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46109</v>
      </c>
      <c r="B101" s="411">
        <f>'2025'!Wh/'2025'!Env_an*'2026'!Env_an</f>
        <v>21.802616672338846</v>
      </c>
      <c r="C101" s="846"/>
      <c r="D101" s="393">
        <f t="shared" si="25"/>
        <v>23.23240640214398</v>
      </c>
      <c r="E101" s="385">
        <f t="shared" si="47"/>
        <v>24.8335541816455</v>
      </c>
      <c r="F101" s="385">
        <f t="shared" si="26"/>
        <v>24.833554206273686</v>
      </c>
      <c r="G101" s="110">
        <f t="shared" si="48"/>
        <v>0.67427441746779515</v>
      </c>
      <c r="H101" s="414" t="b">
        <f>Wh_hp&gt;='2025'!Maxi_hp</f>
        <v>0</v>
      </c>
      <c r="I101" s="390">
        <f>IF(H101,Wh_hp,'2025'!Maxi_hp)</f>
        <v>36.534422327632868</v>
      </c>
      <c r="J101" s="85">
        <f>IF(H101,An,'2025'!An_max)</f>
        <v>2019</v>
      </c>
      <c r="K101" s="197">
        <f t="shared" si="27"/>
        <v>46109</v>
      </c>
      <c r="L101" s="147">
        <f>IF(t&lt;Tvie,1-EXP((T0-t)*PertePVj)+'2025'!Pspv,1-EXP((T0-t)*PertePVj)+Pspv)</f>
        <v>6.1542902833913393E-2</v>
      </c>
      <c r="M101" s="850"/>
      <c r="N101" s="850"/>
      <c r="O101" s="48">
        <f>IF(t&lt;Tnet,'2025'!Resal+('2025'!Salim-'2025'!Resal)*(1-EXP(('2025'!Tnet-t)/('2025'!Tau_j))),Resal+(Salim-Resal)*(1-EXP((Tnet-t)/(Tau_j))))*Salcycl</f>
        <v>6.4475176118162295E-2</v>
      </c>
      <c r="P101" s="169">
        <f>(INDEX(Models!$BJ101:$BT101,,T101)*(1-R101)+INDEX(Models!$BJ101:$BT101,,T101+1)*R101-ERP_i)*Q101*Ramure*Pc/MaxiM</f>
        <v>1.8548186550367135E-9</v>
      </c>
      <c r="Q101" s="305">
        <f t="shared" si="28"/>
        <v>0.7</v>
      </c>
      <c r="R101" s="177">
        <f t="shared" si="29"/>
        <v>0.49828130304473639</v>
      </c>
      <c r="S101" s="817">
        <f t="shared" si="30"/>
        <v>-2</v>
      </c>
      <c r="T101" s="176">
        <f t="shared" si="31"/>
        <v>4</v>
      </c>
      <c r="U101" s="251">
        <f t="shared" si="32"/>
        <v>-1.5017186969552636</v>
      </c>
      <c r="V101" s="383">
        <f t="shared" si="33"/>
        <v>32.334930836320218</v>
      </c>
      <c r="W101" s="402">
        <f t="shared" si="34"/>
        <v>21.802616672338846</v>
      </c>
      <c r="X101" s="157">
        <f t="shared" si="35"/>
        <v>46109</v>
      </c>
      <c r="Y101" s="385">
        <f t="shared" si="36"/>
        <v>20.580300419548802</v>
      </c>
      <c r="Z101" s="385">
        <f t="shared" si="37"/>
        <v>21.929932099929054</v>
      </c>
      <c r="AA101" s="386">
        <f t="shared" si="38"/>
        <v>24.82458625517847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0.11660432627132243</v>
      </c>
      <c r="AD101" s="231">
        <f>(INDEX(Models!$BJ101:$BT101,,AH101)*(1-AF101)+INDEX(Models!$BJ101:$BT101,,AH101+1)*AF101-ERP_i)*AE101*Ramure*Pc/MaxiM</f>
        <v>6.7540185142485364E-4</v>
      </c>
      <c r="AE101" s="305">
        <f t="shared" si="40"/>
        <v>0.7</v>
      </c>
      <c r="AF101" s="177">
        <f t="shared" si="41"/>
        <v>0.12214467242079241</v>
      </c>
      <c r="AG101" s="817">
        <f t="shared" si="49"/>
        <v>1</v>
      </c>
      <c r="AH101" s="176">
        <f t="shared" si="42"/>
        <v>7</v>
      </c>
      <c r="AI101" s="225">
        <f t="shared" si="43"/>
        <v>1.1221446724207924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46110</v>
      </c>
      <c r="B102" s="411">
        <f>'2025'!Wh/'2025'!Env_an*'2026'!Env_an</f>
        <v>17.537520162639154</v>
      </c>
      <c r="C102" s="846"/>
      <c r="D102" s="393">
        <f t="shared" si="25"/>
        <v>18.688019239998429</v>
      </c>
      <c r="E102" s="385">
        <f t="shared" si="47"/>
        <v>19.978531858023878</v>
      </c>
      <c r="F102" s="385">
        <f t="shared" si="26"/>
        <v>19.978531867018187</v>
      </c>
      <c r="G102" s="110">
        <f t="shared" si="48"/>
        <v>0.53888480585838316</v>
      </c>
      <c r="H102" s="414" t="b">
        <f>Wh_hp&gt;='2025'!Maxi_hp</f>
        <v>0</v>
      </c>
      <c r="I102" s="390">
        <f>IF(H102,Wh_hp,'2025'!Maxi_hp)</f>
        <v>36.692193713560719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6.1563457452827985E-2</v>
      </c>
      <c r="M102" s="850"/>
      <c r="N102" s="850"/>
      <c r="O102" s="48">
        <f>IF(t&lt;Tnet,'2025'!Resal+('2025'!Salim-'2025'!Resal)*(1-EXP(('2025'!Tnet-t)/('2025'!Tau_j))),Resal+(Salim-Resal)*(1-EXP((Tnet-t)/(Tau_j))))*Salcycl</f>
        <v>6.4594967598039288E-2</v>
      </c>
      <c r="P102" s="169">
        <f>(INDEX(Models!$BJ102:$BT102,,T102)*(1-R102)+INDEX(Models!$BJ102:$BT102,,T102+1)*R102-ERP_i)*Q102*Ramure*Pc/MaxiM</f>
        <v>1.3192094559690437E-9</v>
      </c>
      <c r="Q102" s="305">
        <f t="shared" si="28"/>
        <v>0.7</v>
      </c>
      <c r="R102" s="177">
        <f t="shared" si="29"/>
        <v>0.49919408532912279</v>
      </c>
      <c r="S102" s="817">
        <f t="shared" si="30"/>
        <v>-2</v>
      </c>
      <c r="T102" s="176">
        <f t="shared" si="31"/>
        <v>4</v>
      </c>
      <c r="U102" s="251">
        <f t="shared" si="32"/>
        <v>-1.5008059146708772</v>
      </c>
      <c r="V102" s="383">
        <f t="shared" si="33"/>
        <v>32.544098398661575</v>
      </c>
      <c r="W102" s="402">
        <f t="shared" si="34"/>
        <v>17.537520162639154</v>
      </c>
      <c r="X102" s="157">
        <f t="shared" si="35"/>
        <v>46110</v>
      </c>
      <c r="Y102" s="385">
        <f t="shared" si="36"/>
        <v>16.55852206903641</v>
      </c>
      <c r="Z102" s="385">
        <f t="shared" si="37"/>
        <v>17.644796763872897</v>
      </c>
      <c r="AA102" s="386">
        <f t="shared" si="38"/>
        <v>19.97505447545139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0.11665839081652045</v>
      </c>
      <c r="AD102" s="231">
        <f>(INDEX(Models!$BJ102:$BT102,,AH102)*(1-AF102)+INDEX(Models!$BJ102:$BT102,,AH102+1)*AF102-ERP_i)*AE102*Ramure*Pc/MaxiM</f>
        <v>5.1003448075288816E-4</v>
      </c>
      <c r="AE102" s="305">
        <f t="shared" si="40"/>
        <v>0.7</v>
      </c>
      <c r="AF102" s="177">
        <f t="shared" si="41"/>
        <v>0.12305745470517881</v>
      </c>
      <c r="AG102" s="817">
        <f t="shared" si="49"/>
        <v>1</v>
      </c>
      <c r="AH102" s="176">
        <f t="shared" si="42"/>
        <v>7</v>
      </c>
      <c r="AI102" s="225">
        <f t="shared" si="43"/>
        <v>1.1230574547051788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46111</v>
      </c>
      <c r="B103" s="411">
        <f>'2025'!Wh/'2025'!Env_an*'2026'!Env_an</f>
        <v>4.3364943023446445</v>
      </c>
      <c r="C103" s="846"/>
      <c r="D103" s="393">
        <f t="shared" si="25"/>
        <v>4.6210788776499063</v>
      </c>
      <c r="E103" s="385">
        <f t="shared" si="47"/>
        <v>4.9408252548827116</v>
      </c>
      <c r="F103" s="385">
        <f t="shared" si="26"/>
        <v>4.9408252548827116</v>
      </c>
      <c r="G103" s="110">
        <f t="shared" si="48"/>
        <v>0.13241991663304906</v>
      </c>
      <c r="H103" s="414" t="b">
        <f>Wh_hp&gt;='2025'!Maxi_hp</f>
        <v>0</v>
      </c>
      <c r="I103" s="390">
        <f>IF(H103,Wh_hp,'2025'!Maxi_hp)</f>
        <v>36.462755841463355</v>
      </c>
      <c r="J103" s="85">
        <f>IF(H103,An,'2025'!An_max)</f>
        <v>2019</v>
      </c>
      <c r="K103" s="197">
        <f t="shared" si="27"/>
        <v>46111</v>
      </c>
      <c r="L103" s="147">
        <f>IF(t&lt;Tvie,1-EXP((T0-t)*PertePVj)+'2025'!Pspv,1-EXP((T0-t)*PertePVj)+Pspv)</f>
        <v>6.1584011621543588E-2</v>
      </c>
      <c r="M103" s="850"/>
      <c r="N103" s="850"/>
      <c r="O103" s="48">
        <f>IF(t&lt;Tnet,'2025'!Resal+('2025'!Salim-'2025'!Resal)*(1-EXP(('2025'!Tnet-t)/('2025'!Tau_j))),Resal+(Salim-Resal)*(1-EXP((Tnet-t)/(Tau_j))))*Salcycl</f>
        <v>6.4715176258625981E-2</v>
      </c>
      <c r="P103" s="169">
        <f>(INDEX(Models!$BJ103:$BT103,,T103)*(1-R103)+INDEX(Models!$BJ103:$BT103,,T103+1)*R103-ERP_i)*Q103*Ramure*Pc/MaxiM</f>
        <v>8.759823172796962E-10</v>
      </c>
      <c r="Q103" s="305">
        <f t="shared" si="28"/>
        <v>0.7</v>
      </c>
      <c r="R103" s="177">
        <f t="shared" si="29"/>
        <v>0.50014145968074097</v>
      </c>
      <c r="S103" s="817">
        <f t="shared" si="30"/>
        <v>-2</v>
      </c>
      <c r="T103" s="176">
        <f t="shared" si="31"/>
        <v>4</v>
      </c>
      <c r="U103" s="251">
        <f t="shared" si="32"/>
        <v>-1.499858540319259</v>
      </c>
      <c r="V103" s="383">
        <f t="shared" si="33"/>
        <v>32.748051870194736</v>
      </c>
      <c r="W103" s="402">
        <f t="shared" si="34"/>
        <v>4.3364943023446445</v>
      </c>
      <c r="X103" s="157">
        <f t="shared" si="35"/>
        <v>46111</v>
      </c>
      <c r="Y103" s="385">
        <f t="shared" si="36"/>
        <v>4.0954019940303992</v>
      </c>
      <c r="Z103" s="385">
        <f t="shared" si="37"/>
        <v>4.3641647678095108</v>
      </c>
      <c r="AA103" s="386">
        <f t="shared" si="38"/>
        <v>4.9408252548827116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0.11671339448876955</v>
      </c>
      <c r="AD103" s="231">
        <f>(INDEX(Models!$BJ103:$BT103,,AH103)*(1-AF103)+INDEX(Models!$BJ103:$BT103,,AH103+1)*AF103-ERP_i)*AE103*Ramure*Pc/MaxiM</f>
        <v>3.7090093776230327E-4</v>
      </c>
      <c r="AE103" s="305">
        <f t="shared" si="40"/>
        <v>0.7</v>
      </c>
      <c r="AF103" s="177">
        <f t="shared" si="41"/>
        <v>0.12400482905679699</v>
      </c>
      <c r="AG103" s="817">
        <f t="shared" si="49"/>
        <v>1</v>
      </c>
      <c r="AH103" s="176">
        <f t="shared" si="42"/>
        <v>7</v>
      </c>
      <c r="AI103" s="225">
        <f t="shared" si="43"/>
        <v>1.124004829056797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46112</v>
      </c>
      <c r="B104" s="411">
        <f>'2025'!Wh/'2025'!Env_an*'2026'!Env_an</f>
        <v>18.713910572989164</v>
      </c>
      <c r="C104" s="846"/>
      <c r="D104" s="393">
        <f t="shared" si="25"/>
        <v>19.942456966205295</v>
      </c>
      <c r="E104" s="385">
        <f t="shared" si="47"/>
        <v>21.325086634809811</v>
      </c>
      <c r="F104" s="385">
        <f t="shared" si="26"/>
        <v>21.325086639085491</v>
      </c>
      <c r="G104" s="110">
        <f t="shared" si="48"/>
        <v>0.56801211878083713</v>
      </c>
      <c r="H104" s="414" t="b">
        <f>Wh_hp&gt;='2025'!Maxi_hp</f>
        <v>0</v>
      </c>
      <c r="I104" s="390">
        <f>IF(H104,Wh_hp,'2025'!Maxi_hp)</f>
        <v>33.190656549107899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6.1604565340070194E-2</v>
      </c>
      <c r="M104" s="850"/>
      <c r="N104" s="850"/>
      <c r="O104" s="48">
        <f>IF(t&lt;Tnet,'2025'!Resal+('2025'!Salim-'2025'!Resal)*(1-EXP(('2025'!Tnet-t)/('2025'!Tau_j))),Resal+(Salim-Resal)*(1-EXP((Tnet-t)/(Tau_j))))*Salcycl</f>
        <v>6.4835828912769428E-2</v>
      </c>
      <c r="P104" s="169">
        <f>(INDEX(Models!$BJ104:$BT104,,T104)*(1-R104)+INDEX(Models!$BJ104:$BT104,,T104+1)*R104-ERP_i)*Q104*Ramure*Pc/MaxiM</f>
        <v>5.2367043045250912E-10</v>
      </c>
      <c r="Q104" s="305">
        <f t="shared" si="28"/>
        <v>0.7</v>
      </c>
      <c r="R104" s="177">
        <f t="shared" si="29"/>
        <v>0.50112458416440542</v>
      </c>
      <c r="S104" s="817">
        <f t="shared" si="30"/>
        <v>-2</v>
      </c>
      <c r="T104" s="176">
        <f t="shared" si="31"/>
        <v>4</v>
      </c>
      <c r="U104" s="251">
        <f t="shared" si="32"/>
        <v>-1.4988754158355946</v>
      </c>
      <c r="V104" s="383">
        <f t="shared" si="33"/>
        <v>32.946322707178005</v>
      </c>
      <c r="W104" s="402">
        <f t="shared" si="34"/>
        <v>18.713910572989164</v>
      </c>
      <c r="X104" s="157">
        <f t="shared" si="35"/>
        <v>46112</v>
      </c>
      <c r="Y104" s="385">
        <f t="shared" si="36"/>
        <v>17.672906613763221</v>
      </c>
      <c r="Z104" s="385">
        <f t="shared" si="37"/>
        <v>18.833112311727945</v>
      </c>
      <c r="AA104" s="386">
        <f t="shared" si="38"/>
        <v>21.322983954614362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0.11676938125480332</v>
      </c>
      <c r="AD104" s="231">
        <f>(INDEX(Models!$BJ104:$BT104,,AH104)*(1-AF104)+INDEX(Models!$BJ104:$BT104,,AH104+1)*AF104-ERP_i)*AE104*Ramure*Pc/MaxiM</f>
        <v>2.5752945613446591E-4</v>
      </c>
      <c r="AE104" s="305">
        <f t="shared" si="40"/>
        <v>0.7</v>
      </c>
      <c r="AF104" s="177">
        <f t="shared" si="41"/>
        <v>0.12498795354046144</v>
      </c>
      <c r="AG104" s="817">
        <f t="shared" si="49"/>
        <v>1</v>
      </c>
      <c r="AH104" s="176">
        <f t="shared" si="42"/>
        <v>7</v>
      </c>
      <c r="AI104" s="225">
        <f t="shared" si="43"/>
        <v>1.1249879535404614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46113</v>
      </c>
      <c r="B105" s="411">
        <f>'2025'!Wh/'2025'!Env_an*'2026'!Env_an</f>
        <v>20.603299732707075</v>
      </c>
      <c r="C105" s="846"/>
      <c r="D105" s="393">
        <f t="shared" si="25"/>
        <v>21.956363220371998</v>
      </c>
      <c r="E105" s="385">
        <f t="shared" si="47"/>
        <v>23.481660304697435</v>
      </c>
      <c r="F105" s="385">
        <f t="shared" si="26"/>
        <v>23.481660307513948</v>
      </c>
      <c r="G105" s="110">
        <f t="shared" si="48"/>
        <v>0.62173409726049811</v>
      </c>
      <c r="H105" s="414" t="b">
        <f>Wh_hp&gt;='2025'!Maxi_hp</f>
        <v>0</v>
      </c>
      <c r="I105" s="390">
        <f>IF(H105,Wh_hp,'2025'!Maxi_hp)</f>
        <v>33.527563379735113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6.1625118608417684E-2</v>
      </c>
      <c r="M105" s="850"/>
      <c r="N105" s="850"/>
      <c r="O105" s="48">
        <f>IF(t&lt;Tnet,'2025'!Resal+('2025'!Salim-'2025'!Resal)*(1-EXP(('2025'!Tnet-t)/('2025'!Tau_j))),Resal+(Salim-Resal)*(1-EXP((Tnet-t)/(Tau_j))))*Salcycl</f>
        <v>6.4956952129160361E-2</v>
      </c>
      <c r="P105" s="169">
        <f>(INDEX(Models!$BJ105:$BT105,,T105)*(1-R105)+INDEX(Models!$BJ105:$BT105,,T105+1)*R105-ERP_i)*Q105*Ramure*Pc/MaxiM</f>
        <v>2.6096613986010453E-10</v>
      </c>
      <c r="Q105" s="305">
        <f t="shared" si="28"/>
        <v>0.7</v>
      </c>
      <c r="R105" s="177">
        <f t="shared" si="29"/>
        <v>0.50214464323369068</v>
      </c>
      <c r="S105" s="817">
        <f t="shared" si="30"/>
        <v>-2</v>
      </c>
      <c r="T105" s="176">
        <f t="shared" si="31"/>
        <v>4</v>
      </c>
      <c r="U105" s="251">
        <f t="shared" si="32"/>
        <v>-1.4978553567663093</v>
      </c>
      <c r="V105" s="383">
        <f t="shared" si="33"/>
        <v>33.138442656731236</v>
      </c>
      <c r="W105" s="402">
        <f t="shared" si="34"/>
        <v>20.603299732707075</v>
      </c>
      <c r="X105" s="157">
        <f t="shared" si="35"/>
        <v>46113</v>
      </c>
      <c r="Y105" s="385">
        <f t="shared" si="36"/>
        <v>19.45886132778158</v>
      </c>
      <c r="Z105" s="385">
        <f t="shared" si="37"/>
        <v>20.736767057239067</v>
      </c>
      <c r="AA105" s="386">
        <f t="shared" si="38"/>
        <v>23.479831061712879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0.11682639441757989</v>
      </c>
      <c r="AD105" s="231">
        <f>(INDEX(Models!$BJ105:$BT105,,AH105)*(1-AF105)+INDEX(Models!$BJ105:$BT105,,AH105+1)*AF105-ERP_i)*AE105*Ramure*Pc/MaxiM</f>
        <v>1.6949005314353306E-4</v>
      </c>
      <c r="AE105" s="305">
        <f t="shared" si="40"/>
        <v>0.7</v>
      </c>
      <c r="AF105" s="177">
        <f t="shared" si="41"/>
        <v>0.1260080126097467</v>
      </c>
      <c r="AG105" s="817">
        <f t="shared" si="49"/>
        <v>1</v>
      </c>
      <c r="AH105" s="176">
        <f t="shared" si="42"/>
        <v>7</v>
      </c>
      <c r="AI105" s="225">
        <f t="shared" si="43"/>
        <v>1.1260080126097467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46114</v>
      </c>
      <c r="B106" s="411">
        <f>'2025'!Wh/'2025'!Env_an*'2026'!Env_an</f>
        <v>12.715944524874338</v>
      </c>
      <c r="C106" s="846"/>
      <c r="D106" s="393">
        <f t="shared" si="25"/>
        <v>13.551325056715624</v>
      </c>
      <c r="E106" s="385">
        <f t="shared" si="47"/>
        <v>14.494613828925164</v>
      </c>
      <c r="F106" s="385">
        <f t="shared" si="26"/>
        <v>14.494613829071683</v>
      </c>
      <c r="G106" s="110">
        <f t="shared" si="48"/>
        <v>0.38158582367418808</v>
      </c>
      <c r="H106" s="414" t="b">
        <f>Wh_hp&gt;='2025'!Maxi_hp</f>
        <v>0</v>
      </c>
      <c r="I106" s="390">
        <f>IF(H106,Wh_hp,'2025'!Maxi_hp)</f>
        <v>29.015475964814325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6.1645671426595827E-2</v>
      </c>
      <c r="M106" s="850"/>
      <c r="N106" s="850"/>
      <c r="O106" s="48">
        <f>IF(t&lt;Tnet,'2025'!Resal+('2025'!Salim-'2025'!Resal)*(1-EXP(('2025'!Tnet-t)/('2025'!Tau_j))),Resal+(Salim-Resal)*(1-EXP((Tnet-t)/(Tau_j))))*Salcycl</f>
        <v>6.5078572174660648E-2</v>
      </c>
      <c r="P106" s="169">
        <f>(INDEX(Models!$BJ106:$BT106,,T106)*(1-R106)+INDEX(Models!$BJ106:$BT106,,T106+1)*R106-ERP_i)*Q106*Ramure*Pc/MaxiM</f>
        <v>8.6730051209098649E-11</v>
      </c>
      <c r="Q106" s="305">
        <f t="shared" si="28"/>
        <v>0.7</v>
      </c>
      <c r="R106" s="177">
        <f t="shared" si="29"/>
        <v>0.50320284728313003</v>
      </c>
      <c r="S106" s="817">
        <f t="shared" si="30"/>
        <v>-2</v>
      </c>
      <c r="T106" s="176">
        <f t="shared" si="31"/>
        <v>4</v>
      </c>
      <c r="U106" s="251">
        <f t="shared" si="32"/>
        <v>-1.49679715271687</v>
      </c>
      <c r="V106" s="383">
        <f t="shared" si="33"/>
        <v>33.323943749957962</v>
      </c>
      <c r="W106" s="402">
        <f t="shared" si="34"/>
        <v>12.715944524874338</v>
      </c>
      <c r="X106" s="157">
        <f t="shared" si="35"/>
        <v>46114</v>
      </c>
      <c r="Y106" s="385">
        <f t="shared" si="36"/>
        <v>12.011179138989617</v>
      </c>
      <c r="Z106" s="385">
        <f t="shared" si="37"/>
        <v>12.800259745431573</v>
      </c>
      <c r="AA106" s="386">
        <f t="shared" si="38"/>
        <v>14.494434086005198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0.11688447651843124</v>
      </c>
      <c r="AD106" s="231">
        <f>(INDEX(Models!$BJ106:$BT106,,AH106)*(1-AF106)+INDEX(Models!$BJ106:$BT106,,AH106+1)*AF106-ERP_i)*AE106*Ramure*Pc/MaxiM</f>
        <v>1.0639686579878254E-4</v>
      </c>
      <c r="AE106" s="305">
        <f t="shared" si="40"/>
        <v>0.7</v>
      </c>
      <c r="AF106" s="177">
        <f t="shared" si="41"/>
        <v>0.12706621665918605</v>
      </c>
      <c r="AG106" s="817">
        <f t="shared" si="49"/>
        <v>1</v>
      </c>
      <c r="AH106" s="176">
        <f t="shared" si="42"/>
        <v>7</v>
      </c>
      <c r="AI106" s="225">
        <f t="shared" si="43"/>
        <v>1.127066216659186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46115</v>
      </c>
      <c r="B107" s="411">
        <f>'2025'!Wh/'2025'!Env_an*'2026'!Env_an</f>
        <v>15.112304752667916</v>
      </c>
      <c r="C107" s="846"/>
      <c r="D107" s="393">
        <f t="shared" si="25"/>
        <v>16.105468156312096</v>
      </c>
      <c r="E107" s="385">
        <f t="shared" si="47"/>
        <v>17.228798111030521</v>
      </c>
      <c r="F107" s="385">
        <f t="shared" si="26"/>
        <v>17.228798111030521</v>
      </c>
      <c r="G107" s="110">
        <f t="shared" si="48"/>
        <v>0.4510797128160543</v>
      </c>
      <c r="H107" s="414" t="b">
        <f>Wh_hp&gt;='2025'!Maxi_hp</f>
        <v>0</v>
      </c>
      <c r="I107" s="390">
        <f>IF(H107,Wh_hp,'2025'!Maxi_hp)</f>
        <v>37.337963589482051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6.1666223794614505E-2</v>
      </c>
      <c r="M107" s="850"/>
      <c r="N107" s="850"/>
      <c r="O107" s="48">
        <f>IF(t&lt;Tnet,'2025'!Resal+('2025'!Salim-'2025'!Resal)*(1-EXP(('2025'!Tnet-t)/('2025'!Tau_j))),Resal+(Salim-Resal)*(1-EXP((Tnet-t)/(Tau_j))))*Salcycl</f>
        <v>6.5200714958707884E-2</v>
      </c>
      <c r="P107" s="169">
        <f>(INDEX(Models!$BJ107:$BT107,,T107)*(1-R107)+INDEX(Models!$BJ107:$BT107,,T107+1)*R107-ERP_i)*Q107*Ramure*Pc/MaxiM</f>
        <v>0</v>
      </c>
      <c r="Q107" s="305">
        <f t="shared" si="28"/>
        <v>0.7</v>
      </c>
      <c r="R107" s="177">
        <f t="shared" si="29"/>
        <v>0.5043004320879434</v>
      </c>
      <c r="S107" s="817">
        <f t="shared" si="30"/>
        <v>-2</v>
      </c>
      <c r="T107" s="176">
        <f t="shared" si="31"/>
        <v>4</v>
      </c>
      <c r="U107" s="251">
        <f t="shared" si="32"/>
        <v>-1.4956995679120566</v>
      </c>
      <c r="V107" s="383">
        <f t="shared" si="33"/>
        <v>33.502514795717616</v>
      </c>
      <c r="W107" s="402">
        <f t="shared" si="34"/>
        <v>15.112304752667916</v>
      </c>
      <c r="X107" s="157">
        <f t="shared" si="35"/>
        <v>46115</v>
      </c>
      <c r="Y107" s="385">
        <f t="shared" si="36"/>
        <v>14.275600121835758</v>
      </c>
      <c r="Z107" s="385">
        <f t="shared" si="37"/>
        <v>15.213776253015398</v>
      </c>
      <c r="AA107" s="386">
        <f t="shared" si="38"/>
        <v>17.2285455900481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0.1169436692437064</v>
      </c>
      <c r="AD107" s="231">
        <f>(INDEX(Models!$BJ107:$BT107,,AH107)*(1-AF107)+INDEX(Models!$BJ107:$BT107,,AH107+1)*AF107-ERP_i)*AE107*Ramure*Pc/MaxiM</f>
        <v>6.7910101213599356E-5</v>
      </c>
      <c r="AE107" s="305">
        <f t="shared" si="40"/>
        <v>0.7</v>
      </c>
      <c r="AF107" s="177">
        <f t="shared" si="41"/>
        <v>0.12816380146399942</v>
      </c>
      <c r="AG107" s="817">
        <f t="shared" si="49"/>
        <v>1</v>
      </c>
      <c r="AH107" s="176">
        <f t="shared" si="42"/>
        <v>7</v>
      </c>
      <c r="AI107" s="225">
        <f t="shared" si="43"/>
        <v>1.1281638014639994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46116</v>
      </c>
      <c r="B108" s="411">
        <f>'2025'!Wh/'2025'!Env_an*'2026'!Env_an</f>
        <v>27.520494713034171</v>
      </c>
      <c r="C108" s="846"/>
      <c r="D108" s="393">
        <f t="shared" si="25"/>
        <v>29.329752582279905</v>
      </c>
      <c r="E108" s="385">
        <f t="shared" si="47"/>
        <v>31.379573180625716</v>
      </c>
      <c r="F108" s="385">
        <f t="shared" si="26"/>
        <v>31.379573180625716</v>
      </c>
      <c r="G108" s="110">
        <f t="shared" si="48"/>
        <v>0.81725099802161627</v>
      </c>
      <c r="H108" s="414" t="b">
        <f>Wh_hp&gt;='2025'!Maxi_hp</f>
        <v>0</v>
      </c>
      <c r="I108" s="390">
        <f>IF(H108,Wh_hp,'2025'!Maxi_hp)</f>
        <v>39.674347557533999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6.1686775712483488E-2</v>
      </c>
      <c r="M108" s="850"/>
      <c r="N108" s="850"/>
      <c r="O108" s="48">
        <f>IF(t&lt;Tnet,'2025'!Resal+('2025'!Salim-'2025'!Resal)*(1-EXP(('2025'!Tnet-t)/('2025'!Tau_j))),Resal+(Salim-Resal)*(1-EXP((Tnet-t)/(Tau_j))))*Salcycl</f>
        <v>6.5323405979639163E-2</v>
      </c>
      <c r="P108" s="169">
        <f>(INDEX(Models!$BJ108:$BT108,,T108)*(1-R108)+INDEX(Models!$BJ108:$BT108,,T108+1)*R108-ERP_i)*Q108*Ramure*Pc/MaxiM</f>
        <v>0</v>
      </c>
      <c r="Q108" s="305">
        <f t="shared" si="28"/>
        <v>0.7</v>
      </c>
      <c r="R108" s="177">
        <f t="shared" si="29"/>
        <v>0.50543865812279609</v>
      </c>
      <c r="S108" s="817">
        <f t="shared" si="30"/>
        <v>-2</v>
      </c>
      <c r="T108" s="176">
        <f t="shared" si="31"/>
        <v>4</v>
      </c>
      <c r="U108" s="251">
        <f t="shared" si="32"/>
        <v>-1.4945613418772039</v>
      </c>
      <c r="V108" s="383">
        <f t="shared" si="33"/>
        <v>33.674470608974715</v>
      </c>
      <c r="W108" s="402">
        <f t="shared" si="34"/>
        <v>27.520494713034171</v>
      </c>
      <c r="X108" s="157">
        <f t="shared" si="35"/>
        <v>46116</v>
      </c>
      <c r="Y108" s="385">
        <f t="shared" si="36"/>
        <v>25.997782382366964</v>
      </c>
      <c r="Z108" s="385">
        <f t="shared" si="37"/>
        <v>27.706933792932201</v>
      </c>
      <c r="AA108" s="386">
        <f t="shared" si="38"/>
        <v>31.378323584002949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0.11700401333557751</v>
      </c>
      <c r="AD108" s="231">
        <f>(INDEX(Models!$BJ108:$BT108,,AH108)*(1-AF108)+INDEX(Models!$BJ108:$BT108,,AH108+1)*AF108-ERP_i)*AE108*Ramure*Pc/MaxiM</f>
        <v>5.3891405892753865E-5</v>
      </c>
      <c r="AE108" s="305">
        <f t="shared" si="40"/>
        <v>0.7</v>
      </c>
      <c r="AF108" s="177">
        <f t="shared" si="41"/>
        <v>0.12930202749885211</v>
      </c>
      <c r="AG108" s="817">
        <f t="shared" si="49"/>
        <v>1</v>
      </c>
      <c r="AH108" s="176">
        <f t="shared" si="42"/>
        <v>7</v>
      </c>
      <c r="AI108" s="225">
        <f t="shared" si="43"/>
        <v>1.1293020274988521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46117</v>
      </c>
      <c r="B109" s="411">
        <f>'2025'!Wh/'2025'!Env_an*'2026'!Env_an</f>
        <v>33.926126079156219</v>
      </c>
      <c r="C109" s="846"/>
      <c r="D109" s="393">
        <f t="shared" si="25"/>
        <v>36.157296184782453</v>
      </c>
      <c r="E109" s="385">
        <f t="shared" si="47"/>
        <v>38.689387790565419</v>
      </c>
      <c r="F109" s="385">
        <f t="shared" si="26"/>
        <v>38.689387790565419</v>
      </c>
      <c r="G109" s="110">
        <f t="shared" si="48"/>
        <v>1.0025367346454541</v>
      </c>
      <c r="H109" s="414" t="b">
        <f>Wh_hp&gt;='2025'!Maxi_hp</f>
        <v>0</v>
      </c>
      <c r="I109" s="390">
        <f>IF(H109,Wh_hp,'2025'!Maxi_hp)</f>
        <v>39.549856186864908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6.1707327180212879E-2</v>
      </c>
      <c r="M109" s="850"/>
      <c r="N109" s="850"/>
      <c r="O109" s="48">
        <f>IF(t&lt;Tnet,'2025'!Resal+('2025'!Salim-'2025'!Resal)*(1-EXP(('2025'!Tnet-t)/('2025'!Tau_j))),Resal+(Salim-Resal)*(1-EXP((Tnet-t)/(Tau_j))))*Salcycl</f>
        <v>6.5446670272731225E-2</v>
      </c>
      <c r="P109" s="169">
        <f>(INDEX(Models!$BJ109:$BT109,,T109)*(1-R109)+INDEX(Models!$BJ109:$BT109,,T109+1)*R109-ERP_i)*Q109*Ramure*Pc/MaxiM</f>
        <v>0</v>
      </c>
      <c r="Q109" s="305">
        <f t="shared" si="28"/>
        <v>0.7</v>
      </c>
      <c r="R109" s="177">
        <f t="shared" si="29"/>
        <v>0.50661880975081486</v>
      </c>
      <c r="S109" s="817">
        <f t="shared" si="30"/>
        <v>-2</v>
      </c>
      <c r="T109" s="176">
        <f t="shared" si="31"/>
        <v>4</v>
      </c>
      <c r="U109" s="251">
        <f t="shared" si="32"/>
        <v>-1.4933811902491851</v>
      </c>
      <c r="V109" s="383">
        <f t="shared" si="33"/>
        <v>33.840282262728408</v>
      </c>
      <c r="W109" s="402">
        <f t="shared" si="34"/>
        <v>33.926126079156219</v>
      </c>
      <c r="X109" s="157">
        <f t="shared" si="35"/>
        <v>46117</v>
      </c>
      <c r="Y109" s="385">
        <f t="shared" si="36"/>
        <v>32.050915322142345</v>
      </c>
      <c r="Z109" s="385">
        <f t="shared" si="37"/>
        <v>34.158761173975613</v>
      </c>
      <c r="AA109" s="386">
        <f t="shared" si="38"/>
        <v>38.687765684303443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0.11706554850660082</v>
      </c>
      <c r="AD109" s="231">
        <f>(INDEX(Models!$BJ109:$BT109,,AH109)*(1-AF109)+INDEX(Models!$BJ109:$BT109,,AH109+1)*AF109-ERP_i)*AE109*Ramure*Pc/MaxiM</f>
        <v>4.1926387431097591E-5</v>
      </c>
      <c r="AE109" s="305">
        <f t="shared" si="40"/>
        <v>0.7</v>
      </c>
      <c r="AF109" s="177">
        <f t="shared" si="41"/>
        <v>0.13048217912687088</v>
      </c>
      <c r="AG109" s="817">
        <f t="shared" si="49"/>
        <v>1</v>
      </c>
      <c r="AH109" s="176">
        <f t="shared" si="42"/>
        <v>7</v>
      </c>
      <c r="AI109" s="225">
        <f t="shared" si="43"/>
        <v>1.1304821791268709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46118</v>
      </c>
      <c r="B110" s="411">
        <f>'2025'!Wh/'2025'!Env_an*'2026'!Env_an</f>
        <v>7.8028321203129289</v>
      </c>
      <c r="C110" s="846"/>
      <c r="D110" s="393">
        <f t="shared" si="25"/>
        <v>8.3161717576406566</v>
      </c>
      <c r="E110" s="385">
        <f t="shared" si="47"/>
        <v>8.8997319173179239</v>
      </c>
      <c r="F110" s="385">
        <f t="shared" si="26"/>
        <v>8.8997319173179239</v>
      </c>
      <c r="G110" s="110">
        <f t="shared" si="48"/>
        <v>0.22949222364073599</v>
      </c>
      <c r="H110" s="414" t="b">
        <f>Wh_hp&gt;='2025'!Maxi_hp</f>
        <v>0</v>
      </c>
      <c r="I110" s="390">
        <f>IF(H110,Wh_hp,'2025'!Maxi_hp)</f>
        <v>39.474372462150207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6.1727878197812225E-2</v>
      </c>
      <c r="M110" s="850"/>
      <c r="N110" s="850"/>
      <c r="O110" s="48">
        <f>IF(t&lt;Tnet,'2025'!Resal+('2025'!Salim-'2025'!Resal)*(1-EXP(('2025'!Tnet-t)/('2025'!Tau_j))),Resal+(Salim-Resal)*(1-EXP((Tnet-t)/(Tau_j))))*Salcycl</f>
        <v>6.5570532359713246E-2</v>
      </c>
      <c r="P110" s="169">
        <f>(INDEX(Models!$BJ110:$BT110,,T110)*(1-R110)+INDEX(Models!$BJ110:$BT110,,T110+1)*R110-ERP_i)*Q110*Ramure*Pc/MaxiM</f>
        <v>0</v>
      </c>
      <c r="Q110" s="305">
        <f t="shared" si="28"/>
        <v>0.7</v>
      </c>
      <c r="R110" s="177">
        <f t="shared" si="29"/>
        <v>0.50784219427385513</v>
      </c>
      <c r="S110" s="817">
        <f t="shared" si="30"/>
        <v>-2</v>
      </c>
      <c r="T110" s="176">
        <f t="shared" si="31"/>
        <v>4</v>
      </c>
      <c r="U110" s="251">
        <f t="shared" si="32"/>
        <v>-1.4921578057261449</v>
      </c>
      <c r="V110" s="383">
        <f t="shared" si="33"/>
        <v>34.000420565570252</v>
      </c>
      <c r="W110" s="402">
        <f t="shared" si="34"/>
        <v>7.8028321203129289</v>
      </c>
      <c r="X110" s="157">
        <f t="shared" si="35"/>
        <v>46118</v>
      </c>
      <c r="Y110" s="385">
        <f t="shared" si="36"/>
        <v>7.3723055545808451</v>
      </c>
      <c r="Z110" s="385">
        <f t="shared" si="37"/>
        <v>7.8573213285080632</v>
      </c>
      <c r="AA110" s="386">
        <f t="shared" si="38"/>
        <v>8.8997319173179239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0.11712831335755652</v>
      </c>
      <c r="AD110" s="231">
        <f>(INDEX(Models!$BJ110:$BT110,,AH110)*(1-AF110)+INDEX(Models!$BJ110:$BT110,,AH110+1)*AF110-ERP_i)*AE110*Ramure*Pc/MaxiM</f>
        <v>3.2020854925175583E-5</v>
      </c>
      <c r="AE110" s="305">
        <f t="shared" si="40"/>
        <v>0.7</v>
      </c>
      <c r="AF110" s="177">
        <f t="shared" si="41"/>
        <v>0.13170556364991115</v>
      </c>
      <c r="AG110" s="817">
        <f t="shared" si="49"/>
        <v>1</v>
      </c>
      <c r="AH110" s="176">
        <f t="shared" si="42"/>
        <v>7</v>
      </c>
      <c r="AI110" s="225">
        <f t="shared" si="43"/>
        <v>1.1317055636499112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46119</v>
      </c>
      <c r="B111" s="411">
        <f>'2025'!Wh/'2025'!Env_an*'2026'!Env_an</f>
        <v>25.222352304683209</v>
      </c>
      <c r="C111" s="846"/>
      <c r="D111" s="393">
        <f t="shared" si="25"/>
        <v>26.882291570789931</v>
      </c>
      <c r="E111" s="385">
        <f t="shared" si="47"/>
        <v>28.772501524544257</v>
      </c>
      <c r="F111" s="385">
        <f t="shared" si="26"/>
        <v>28.772501524544257</v>
      </c>
      <c r="G111" s="110">
        <f t="shared" si="48"/>
        <v>0.73845965076129028</v>
      </c>
      <c r="H111" s="414" t="b">
        <f>Wh_hp&gt;='2025'!Maxi_hp</f>
        <v>0</v>
      </c>
      <c r="I111" s="390">
        <f>IF(H111,Wh_hp,'2025'!Maxi_hp)</f>
        <v>39.698812303963905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6.174842876529163E-2</v>
      </c>
      <c r="M111" s="850"/>
      <c r="N111" s="850"/>
      <c r="O111" s="48">
        <f>IF(t&lt;Tnet,'2025'!Resal+('2025'!Salim-'2025'!Resal)*(1-EXP(('2025'!Tnet-t)/('2025'!Tau_j))),Resal+(Salim-Resal)*(1-EXP((Tnet-t)/(Tau_j))))*Salcycl</f>
        <v>6.5695016199474085E-2</v>
      </c>
      <c r="P111" s="169">
        <f>(INDEX(Models!$BJ111:$BT111,,T111)*(1-R111)+INDEX(Models!$BJ111:$BT111,,T111+1)*R111-ERP_i)*Q111*Ramure*Pc/MaxiM</f>
        <v>0</v>
      </c>
      <c r="Q111" s="305">
        <f t="shared" si="28"/>
        <v>0.7</v>
      </c>
      <c r="R111" s="177">
        <f t="shared" si="29"/>
        <v>0.50911014083480421</v>
      </c>
      <c r="S111" s="817">
        <f t="shared" si="30"/>
        <v>-2</v>
      </c>
      <c r="T111" s="176">
        <f t="shared" si="31"/>
        <v>4</v>
      </c>
      <c r="U111" s="251">
        <f t="shared" si="32"/>
        <v>-1.4908898591651958</v>
      </c>
      <c r="V111" s="383">
        <f t="shared" si="33"/>
        <v>34.155356055921359</v>
      </c>
      <c r="W111" s="402">
        <f t="shared" si="34"/>
        <v>25.222352304683209</v>
      </c>
      <c r="X111" s="157">
        <f t="shared" si="35"/>
        <v>46119</v>
      </c>
      <c r="Y111" s="385">
        <f t="shared" si="36"/>
        <v>23.831777343806024</v>
      </c>
      <c r="Z111" s="385">
        <f t="shared" si="37"/>
        <v>25.400199769923312</v>
      </c>
      <c r="AA111" s="386">
        <f t="shared" si="38"/>
        <v>28.772065618867369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0.11719234529803615</v>
      </c>
      <c r="AD111" s="231">
        <f>(INDEX(Models!$BJ111:$BT111,,AH111)*(1-AF111)+INDEX(Models!$BJ111:$BT111,,AH111+1)*AF111-ERP_i)*AE111*Ramure*Pc/MaxiM</f>
        <v>2.4187072679880252E-5</v>
      </c>
      <c r="AE111" s="305">
        <f t="shared" si="40"/>
        <v>0.7</v>
      </c>
      <c r="AF111" s="177">
        <f t="shared" si="41"/>
        <v>0.13297351021086024</v>
      </c>
      <c r="AG111" s="817">
        <f t="shared" si="49"/>
        <v>1</v>
      </c>
      <c r="AH111" s="176">
        <f t="shared" si="42"/>
        <v>7</v>
      </c>
      <c r="AI111" s="225">
        <f t="shared" si="43"/>
        <v>1.1329735102108602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46120</v>
      </c>
      <c r="B112" s="411">
        <f>'2025'!Wh/'2025'!Env_an*'2026'!Env_an</f>
        <v>19.886825363285887</v>
      </c>
      <c r="C112" s="846"/>
      <c r="D112" s="393">
        <f t="shared" si="25"/>
        <v>21.196085948642661</v>
      </c>
      <c r="E112" s="385">
        <f t="shared" si="47"/>
        <v>22.689512986566626</v>
      </c>
      <c r="F112" s="385">
        <f t="shared" si="26"/>
        <v>22.689512986566626</v>
      </c>
      <c r="G112" s="110">
        <f t="shared" si="48"/>
        <v>0.57969687525148894</v>
      </c>
      <c r="H112" s="414" t="b">
        <f>Wh_hp&gt;='2025'!Maxi_hp</f>
        <v>0</v>
      </c>
      <c r="I112" s="390">
        <f>IF(H112,Wh_hp,'2025'!Maxi_hp)</f>
        <v>36.829222658134903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6.1768978882660863E-2</v>
      </c>
      <c r="M112" s="850"/>
      <c r="N112" s="850"/>
      <c r="O112" s="48">
        <f>IF(t&lt;Tnet,'2025'!Resal+('2025'!Salim-'2025'!Resal)*(1-EXP(('2025'!Tnet-t)/('2025'!Tau_j))),Resal+(Salim-Resal)*(1-EXP((Tnet-t)/(Tau_j))))*Salcycl</f>
        <v>6.5820145139657685E-2</v>
      </c>
      <c r="P112" s="169">
        <f>(INDEX(Models!$BJ112:$BT112,,T112)*(1-R112)+INDEX(Models!$BJ112:$BT112,,T112+1)*R112-ERP_i)*Q112*Ramure*Pc/MaxiM</f>
        <v>0</v>
      </c>
      <c r="Q112" s="305">
        <f t="shared" si="28"/>
        <v>0.7</v>
      </c>
      <c r="R112" s="177">
        <f t="shared" si="29"/>
        <v>0.51042399916254766</v>
      </c>
      <c r="S112" s="817">
        <f t="shared" si="30"/>
        <v>-2</v>
      </c>
      <c r="T112" s="176">
        <f t="shared" si="31"/>
        <v>4</v>
      </c>
      <c r="U112" s="251">
        <f t="shared" si="32"/>
        <v>-1.4895760008374523</v>
      </c>
      <c r="V112" s="383">
        <f t="shared" si="33"/>
        <v>34.305559012472543</v>
      </c>
      <c r="W112" s="402">
        <f t="shared" si="34"/>
        <v>19.886825363285887</v>
      </c>
      <c r="X112" s="157">
        <f t="shared" si="35"/>
        <v>46120</v>
      </c>
      <c r="Y112" s="385">
        <f t="shared" si="36"/>
        <v>18.791684371869387</v>
      </c>
      <c r="Z112" s="385">
        <f t="shared" si="37"/>
        <v>20.028845720204789</v>
      </c>
      <c r="AA112" s="386">
        <f t="shared" si="38"/>
        <v>22.689345777429867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0.11725768046920074</v>
      </c>
      <c r="AD112" s="231">
        <f>(INDEX(Models!$BJ112:$BT112,,AH112)*(1-AF112)+INDEX(Models!$BJ112:$BT112,,AH112+1)*AF112-ERP_i)*AE112*Ramure*Pc/MaxiM</f>
        <v>1.8443581370420998E-5</v>
      </c>
      <c r="AE112" s="305">
        <f t="shared" si="40"/>
        <v>0.7</v>
      </c>
      <c r="AF112" s="177">
        <f t="shared" si="41"/>
        <v>0.13428736853860368</v>
      </c>
      <c r="AG112" s="817">
        <f t="shared" si="49"/>
        <v>1</v>
      </c>
      <c r="AH112" s="176">
        <f t="shared" si="42"/>
        <v>7</v>
      </c>
      <c r="AI112" s="225">
        <f t="shared" si="43"/>
        <v>1.1342873685386037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46121</v>
      </c>
      <c r="B113" s="411">
        <f>'2025'!Wh/'2025'!Env_an*'2026'!Env_an</f>
        <v>24.003874157069859</v>
      </c>
      <c r="C113" s="846"/>
      <c r="D113" s="393">
        <f t="shared" si="25"/>
        <v>25.584743389156792</v>
      </c>
      <c r="E113" s="385">
        <f t="shared" si="47"/>
        <v>27.391073532024208</v>
      </c>
      <c r="F113" s="385">
        <f t="shared" si="26"/>
        <v>27.391073532024208</v>
      </c>
      <c r="G113" s="110">
        <f t="shared" si="48"/>
        <v>0.69674396015527773</v>
      </c>
      <c r="H113" s="414" t="b">
        <f>Wh_hp&gt;='2025'!Maxi_hp</f>
        <v>0</v>
      </c>
      <c r="I113" s="390">
        <f>IF(H113,Wh_hp,'2025'!Maxi_hp)</f>
        <v>33.294727279888392</v>
      </c>
      <c r="J113" s="85">
        <f>IF(H113,An,'2025'!An_max)</f>
        <v>2020</v>
      </c>
      <c r="K113" s="197">
        <f t="shared" si="27"/>
        <v>46121</v>
      </c>
      <c r="L113" s="147">
        <f>IF(t&lt;Tvie,1-EXP((T0-t)*PertePVj)+'2025'!Pspv,1-EXP((T0-t)*PertePVj)+Pspv)</f>
        <v>6.1789528549929806E-2</v>
      </c>
      <c r="M113" s="850"/>
      <c r="N113" s="850"/>
      <c r="O113" s="48">
        <f>IF(t&lt;Tnet,'2025'!Resal+('2025'!Salim-'2025'!Resal)*(1-EXP(('2025'!Tnet-t)/('2025'!Tau_j))),Resal+(Salim-Resal)*(1-EXP((Tnet-t)/(Tau_j))))*Salcycl</f>
        <v>6.5945941868819122E-2</v>
      </c>
      <c r="P113" s="169">
        <f>(INDEX(Models!$BJ113:$BT113,,T113)*(1-R113)+INDEX(Models!$BJ113:$BT113,,T113+1)*R113-ERP_i)*Q113*Ramure*Pc/MaxiM</f>
        <v>0</v>
      </c>
      <c r="Q113" s="305">
        <f t="shared" si="28"/>
        <v>0.7</v>
      </c>
      <c r="R113" s="177">
        <f t="shared" si="29"/>
        <v>0.51178513815011373</v>
      </c>
      <c r="S113" s="817">
        <f t="shared" si="30"/>
        <v>-2</v>
      </c>
      <c r="T113" s="176">
        <f t="shared" si="31"/>
        <v>4</v>
      </c>
      <c r="U113" s="251">
        <f t="shared" si="32"/>
        <v>-1.4882148618498863</v>
      </c>
      <c r="V113" s="383">
        <f t="shared" si="33"/>
        <v>34.451499445679175</v>
      </c>
      <c r="W113" s="402">
        <f t="shared" si="34"/>
        <v>24.003874157069859</v>
      </c>
      <c r="X113" s="157">
        <f t="shared" si="35"/>
        <v>46121</v>
      </c>
      <c r="Y113" s="385">
        <f t="shared" si="36"/>
        <v>22.683330844428838</v>
      </c>
      <c r="Z113" s="385">
        <f t="shared" si="37"/>
        <v>24.177230519896199</v>
      </c>
      <c r="AA113" s="386">
        <f t="shared" si="38"/>
        <v>27.390843533939815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0.11732435366810263</v>
      </c>
      <c r="AD113" s="231">
        <f>(INDEX(Models!$BJ113:$BT113,,AH113)*(1-AF113)+INDEX(Models!$BJ113:$BT113,,AH113+1)*AF113-ERP_i)*AE113*Ramure*Pc/MaxiM</f>
        <v>1.4815041798790401E-5</v>
      </c>
      <c r="AE113" s="305">
        <f t="shared" si="40"/>
        <v>0.7</v>
      </c>
      <c r="AF113" s="177">
        <f t="shared" si="41"/>
        <v>0.13564850752616975</v>
      </c>
      <c r="AG113" s="817">
        <f t="shared" si="49"/>
        <v>1</v>
      </c>
      <c r="AH113" s="176">
        <f t="shared" si="42"/>
        <v>7</v>
      </c>
      <c r="AI113" s="225">
        <f t="shared" si="43"/>
        <v>1.1356485075261697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46122</v>
      </c>
      <c r="B114" s="411">
        <f>'2025'!Wh/'2025'!Env_an*'2026'!Env_an</f>
        <v>33.97991771970613</v>
      </c>
      <c r="C114" s="846"/>
      <c r="D114" s="393">
        <f t="shared" si="25"/>
        <v>36.218591688593214</v>
      </c>
      <c r="E114" s="385">
        <f t="shared" si="47"/>
        <v>38.780942750553663</v>
      </c>
      <c r="F114" s="385">
        <f t="shared" si="26"/>
        <v>38.780942750553663</v>
      </c>
      <c r="G114" s="110">
        <f t="shared" si="48"/>
        <v>0.98225889903610542</v>
      </c>
      <c r="H114" s="414" t="b">
        <f>Wh_hp&gt;='2025'!Maxi_hp</f>
        <v>1</v>
      </c>
      <c r="I114" s="390">
        <f>IF(H114,Wh_hp,'2025'!Maxi_hp)</f>
        <v>38.780942750553663</v>
      </c>
      <c r="J114" s="85">
        <f>IF(H114,An,'2025'!An_max)</f>
        <v>2026</v>
      </c>
      <c r="K114" s="197">
        <f t="shared" si="27"/>
        <v>46122</v>
      </c>
      <c r="L114" s="147">
        <f>IF(t&lt;Tvie,1-EXP((T0-t)*PertePVj)+'2025'!Pspv,1-EXP((T0-t)*PertePVj)+Pspv)</f>
        <v>6.1810077767108229E-2</v>
      </c>
      <c r="M114" s="850"/>
      <c r="N114" s="850"/>
      <c r="O114" s="48">
        <f>IF(t&lt;Tnet,'2025'!Resal+('2025'!Salim-'2025'!Resal)*(1-EXP(('2025'!Tnet-t)/('2025'!Tau_j))),Resal+(Salim-Resal)*(1-EXP((Tnet-t)/(Tau_j))))*Salcycl</f>
        <v>6.6072428368799035E-2</v>
      </c>
      <c r="P114" s="169">
        <f>(INDEX(Models!$BJ114:$BT114,,T114)*(1-R114)+INDEX(Models!$BJ114:$BT114,,T114+1)*R114-ERP_i)*Q114*Ramure*Pc/MaxiM</f>
        <v>0</v>
      </c>
      <c r="Q114" s="305">
        <f t="shared" si="28"/>
        <v>0.7</v>
      </c>
      <c r="R114" s="177">
        <f t="shared" si="29"/>
        <v>0.51319494425645629</v>
      </c>
      <c r="S114" s="817">
        <f t="shared" si="30"/>
        <v>-2</v>
      </c>
      <c r="T114" s="176">
        <f t="shared" si="31"/>
        <v>4</v>
      </c>
      <c r="U114" s="251">
        <f t="shared" si="32"/>
        <v>-1.4868050557435437</v>
      </c>
      <c r="V114" s="383">
        <f t="shared" si="33"/>
        <v>34.593647105718006</v>
      </c>
      <c r="W114" s="402">
        <f t="shared" si="34"/>
        <v>33.97991771970613</v>
      </c>
      <c r="X114" s="157">
        <f t="shared" si="35"/>
        <v>46122</v>
      </c>
      <c r="Y114" s="385">
        <f t="shared" si="36"/>
        <v>32.112280216240123</v>
      </c>
      <c r="Z114" s="385">
        <f t="shared" si="37"/>
        <v>34.227909994825893</v>
      </c>
      <c r="AA114" s="386">
        <f t="shared" si="38"/>
        <v>38.780438699881948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0.11739239827294455</v>
      </c>
      <c r="AD114" s="231">
        <f>(INDEX(Models!$BJ114:$BT114,,AH114)*(1-AF114)+INDEX(Models!$BJ114:$BT114,,AH114+1)*AF114-ERP_i)*AE114*Ramure*Pc/MaxiM</f>
        <v>1.3335357604659941E-5</v>
      </c>
      <c r="AE114" s="305">
        <f t="shared" si="40"/>
        <v>0.7</v>
      </c>
      <c r="AF114" s="177">
        <f t="shared" si="41"/>
        <v>0.13705831363251231</v>
      </c>
      <c r="AG114" s="817">
        <f t="shared" si="49"/>
        <v>1</v>
      </c>
      <c r="AH114" s="176">
        <f t="shared" si="42"/>
        <v>7</v>
      </c>
      <c r="AI114" s="225">
        <f t="shared" si="43"/>
        <v>1.1370583136325123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46123</v>
      </c>
      <c r="B115" s="411">
        <f>'2025'!Wh/'2025'!Env_an*'2026'!Env_an</f>
        <v>27.233519600999774</v>
      </c>
      <c r="C115" s="846"/>
      <c r="D115" s="393">
        <f t="shared" si="25"/>
        <v>29.028361371884756</v>
      </c>
      <c r="E115" s="385">
        <f t="shared" si="47"/>
        <v>31.086260164369232</v>
      </c>
      <c r="F115" s="385">
        <f t="shared" si="26"/>
        <v>31.086260164369232</v>
      </c>
      <c r="G115" s="110">
        <f t="shared" si="48"/>
        <v>0.7840939168425749</v>
      </c>
      <c r="H115" s="414" t="b">
        <f>Wh_hp&gt;='2025'!Maxi_hp</f>
        <v>0</v>
      </c>
      <c r="I115" s="390">
        <f>IF(H115,Wh_hp,'2025'!Maxi_hp)</f>
        <v>39.310121110453636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6.1830626534206123E-2</v>
      </c>
      <c r="M115" s="850"/>
      <c r="N115" s="850"/>
      <c r="O115" s="48">
        <f>IF(t&lt;Tnet,'2025'!Resal+('2025'!Salim-'2025'!Resal)*(1-EXP(('2025'!Tnet-t)/('2025'!Tau_j))),Resal+(Salim-Resal)*(1-EXP((Tnet-t)/(Tau_j))))*Salcycl</f>
        <v>6.6199625866968065E-2</v>
      </c>
      <c r="P115" s="169">
        <f>(INDEX(Models!$BJ115:$BT115,,T115)*(1-R115)+INDEX(Models!$BJ115:$BT115,,T115+1)*R115-ERP_i)*Q115*Ramure*Pc/MaxiM</f>
        <v>0</v>
      </c>
      <c r="Q115" s="305">
        <f t="shared" si="28"/>
        <v>0.7</v>
      </c>
      <c r="R115" s="177">
        <f t="shared" si="29"/>
        <v>0.51465481972235327</v>
      </c>
      <c r="S115" s="817">
        <f t="shared" si="30"/>
        <v>-2</v>
      </c>
      <c r="T115" s="176">
        <f t="shared" si="31"/>
        <v>4</v>
      </c>
      <c r="U115" s="251">
        <f t="shared" si="32"/>
        <v>-1.4853451802776467</v>
      </c>
      <c r="V115" s="383">
        <f t="shared" si="33"/>
        <v>34.732471475693821</v>
      </c>
      <c r="W115" s="402">
        <f t="shared" si="34"/>
        <v>27.233519600999774</v>
      </c>
      <c r="X115" s="157">
        <f t="shared" si="35"/>
        <v>46123</v>
      </c>
      <c r="Y115" s="385">
        <f t="shared" si="36"/>
        <v>25.738285269812337</v>
      </c>
      <c r="Z115" s="385">
        <f t="shared" si="37"/>
        <v>27.434582707309797</v>
      </c>
      <c r="AA115" s="386">
        <f t="shared" si="38"/>
        <v>31.086001877888521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0.11746184616864412</v>
      </c>
      <c r="AD115" s="231">
        <f>(INDEX(Models!$BJ115:$BT115,,AH115)*(1-AF115)+INDEX(Models!$BJ115:$BT115,,AH115+1)*AF115-ERP_i)*AE115*Ramure*Pc/MaxiM</f>
        <v>1.2014386865369631E-5</v>
      </c>
      <c r="AE115" s="305">
        <f t="shared" si="40"/>
        <v>0.7</v>
      </c>
      <c r="AF115" s="177">
        <f t="shared" si="41"/>
        <v>0.13851818909840929</v>
      </c>
      <c r="AG115" s="817">
        <f t="shared" si="49"/>
        <v>1</v>
      </c>
      <c r="AH115" s="176">
        <f t="shared" si="42"/>
        <v>7</v>
      </c>
      <c r="AI115" s="225">
        <f t="shared" si="43"/>
        <v>1.1385181890984093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46124</v>
      </c>
      <c r="B116" s="411">
        <f>'2025'!Wh/'2025'!Env_an*'2026'!Env_an</f>
        <v>23.104901114728925</v>
      </c>
      <c r="C116" s="846"/>
      <c r="D116" s="393">
        <f t="shared" si="25"/>
        <v>24.628183178788365</v>
      </c>
      <c r="E116" s="385">
        <f t="shared" si="47"/>
        <v>26.377755180721994</v>
      </c>
      <c r="F116" s="385">
        <f t="shared" si="26"/>
        <v>26.377755180721994</v>
      </c>
      <c r="G116" s="110">
        <f t="shared" si="48"/>
        <v>0.66263073247368276</v>
      </c>
      <c r="H116" s="414" t="b">
        <f>Wh_hp&gt;='2025'!Maxi_hp</f>
        <v>0</v>
      </c>
      <c r="I116" s="390">
        <f>IF(H116,Wh_hp,'2025'!Maxi_hp)</f>
        <v>40.636382536630947</v>
      </c>
      <c r="J116" s="85">
        <f>IF(H116,An,'2025'!An_max)</f>
        <v>2019</v>
      </c>
      <c r="K116" s="197">
        <f t="shared" si="27"/>
        <v>46124</v>
      </c>
      <c r="L116" s="147">
        <f>IF(t&lt;Tvie,1-EXP((T0-t)*PertePVj)+'2025'!Pspv,1-EXP((T0-t)*PertePVj)+Pspv)</f>
        <v>6.1851174851233259E-2</v>
      </c>
      <c r="M116" s="850"/>
      <c r="N116" s="850"/>
      <c r="O116" s="48">
        <f>IF(t&lt;Tnet,'2025'!Resal+('2025'!Salim-'2025'!Resal)*(1-EXP(('2025'!Tnet-t)/('2025'!Tau_j))),Resal+(Salim-Resal)*(1-EXP((Tnet-t)/(Tau_j))))*Salcycl</f>
        <v>6.6327554787993945E-2</v>
      </c>
      <c r="P116" s="169">
        <f>(INDEX(Models!$BJ116:$BT116,,T116)*(1-R116)+INDEX(Models!$BJ116:$BT116,,T116+1)*R116-ERP_i)*Q116*Ramure*Pc/MaxiM</f>
        <v>0</v>
      </c>
      <c r="Q116" s="305">
        <f t="shared" si="28"/>
        <v>0.7</v>
      </c>
      <c r="R116" s="177">
        <f t="shared" si="29"/>
        <v>0.51616618059098163</v>
      </c>
      <c r="S116" s="817">
        <f t="shared" si="30"/>
        <v>-2</v>
      </c>
      <c r="T116" s="176">
        <f t="shared" si="31"/>
        <v>4</v>
      </c>
      <c r="U116" s="251">
        <f t="shared" si="32"/>
        <v>-1.4838338194090184</v>
      </c>
      <c r="V116" s="383">
        <f t="shared" si="33"/>
        <v>34.868441776727536</v>
      </c>
      <c r="W116" s="402">
        <f t="shared" si="34"/>
        <v>23.104901114728925</v>
      </c>
      <c r="X116" s="157">
        <f t="shared" si="35"/>
        <v>46124</v>
      </c>
      <c r="Y116" s="385">
        <f t="shared" si="36"/>
        <v>21.837641829298672</v>
      </c>
      <c r="Z116" s="385">
        <f t="shared" si="37"/>
        <v>23.277374808667243</v>
      </c>
      <c r="AA116" s="386">
        <f t="shared" si="38"/>
        <v>26.377606896698104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0.11753272767208248</v>
      </c>
      <c r="AD116" s="231">
        <f>(INDEX(Models!$BJ116:$BT116,,AH116)*(1-AF116)+INDEX(Models!$BJ116:$BT116,,AH116+1)*AF116-ERP_i)*AE116*Ramure*Pc/MaxiM</f>
        <v>1.085150468801827E-5</v>
      </c>
      <c r="AE116" s="305">
        <f t="shared" si="40"/>
        <v>0.7</v>
      </c>
      <c r="AF116" s="177">
        <f t="shared" si="41"/>
        <v>0.14002954996703765</v>
      </c>
      <c r="AG116" s="817">
        <f t="shared" si="49"/>
        <v>1</v>
      </c>
      <c r="AH116" s="176">
        <f t="shared" si="42"/>
        <v>7</v>
      </c>
      <c r="AI116" s="225">
        <f t="shared" si="43"/>
        <v>1.1400295499670376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46125</v>
      </c>
      <c r="B117" s="411">
        <f>'2025'!Wh/'2025'!Env_an*'2026'!Env_an</f>
        <v>4.487964452046894</v>
      </c>
      <c r="C117" s="846"/>
      <c r="D117" s="393">
        <f t="shared" si="25"/>
        <v>4.7839560545500674</v>
      </c>
      <c r="E117" s="385">
        <f t="shared" si="47"/>
        <v>5.1245118144378274</v>
      </c>
      <c r="F117" s="385">
        <f t="shared" si="26"/>
        <v>5.1245118144378274</v>
      </c>
      <c r="G117" s="110">
        <f t="shared" si="48"/>
        <v>0.12822013013163752</v>
      </c>
      <c r="H117" s="414" t="b">
        <f>Wh_hp&gt;='2025'!Maxi_hp</f>
        <v>0</v>
      </c>
      <c r="I117" s="390">
        <f>IF(H117,Wh_hp,'2025'!Maxi_hp)</f>
        <v>40.953213285754423</v>
      </c>
      <c r="J117" s="85">
        <f>IF(H117,An,'2025'!An_max)</f>
        <v>2019</v>
      </c>
      <c r="K117" s="197">
        <f t="shared" si="27"/>
        <v>46125</v>
      </c>
      <c r="L117" s="147">
        <f>IF(t&lt;Tvie,1-EXP((T0-t)*PertePVj)+'2025'!Pspv,1-EXP((T0-t)*PertePVj)+Pspv)</f>
        <v>6.1871722718199518E-2</v>
      </c>
      <c r="M117" s="850"/>
      <c r="N117" s="850"/>
      <c r="O117" s="48">
        <f>IF(t&lt;Tnet,'2025'!Resal+('2025'!Salim-'2025'!Resal)*(1-EXP(('2025'!Tnet-t)/('2025'!Tau_j))),Resal+(Salim-Resal)*(1-EXP((Tnet-t)/(Tau_j))))*Salcycl</f>
        <v>6.6456234704792144E-2</v>
      </c>
      <c r="P117" s="169">
        <f>(INDEX(Models!$BJ117:$BT117,,T117)*(1-R117)+INDEX(Models!$BJ117:$BT117,,T117+1)*R117-ERP_i)*Q117*Ramure*Pc/MaxiM</f>
        <v>0</v>
      </c>
      <c r="Q117" s="305">
        <f t="shared" si="28"/>
        <v>0.7</v>
      </c>
      <c r="R117" s="177">
        <f t="shared" si="29"/>
        <v>0.51773045452390321</v>
      </c>
      <c r="S117" s="817">
        <f t="shared" si="30"/>
        <v>-2</v>
      </c>
      <c r="T117" s="176">
        <f t="shared" si="31"/>
        <v>4</v>
      </c>
      <c r="U117" s="251">
        <f t="shared" si="32"/>
        <v>-1.4822695454760968</v>
      </c>
      <c r="V117" s="383">
        <f t="shared" si="33"/>
        <v>35.002026962843615</v>
      </c>
      <c r="W117" s="402">
        <f t="shared" si="34"/>
        <v>4.487964452046894</v>
      </c>
      <c r="X117" s="157">
        <f t="shared" si="35"/>
        <v>46125</v>
      </c>
      <c r="Y117" s="385">
        <f t="shared" si="36"/>
        <v>4.2420690054286689</v>
      </c>
      <c r="Z117" s="385">
        <f t="shared" si="37"/>
        <v>4.5218432363215202</v>
      </c>
      <c r="AA117" s="386">
        <f t="shared" si="38"/>
        <v>5.1245118144378274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0.11760507145643531</v>
      </c>
      <c r="AD117" s="231">
        <f>(INDEX(Models!$BJ117:$BT117,,AH117)*(1-AF117)+INDEX(Models!$BJ117:$BT117,,AH117+1)*AF117-ERP_i)*AE117*Ramure*Pc/MaxiM</f>
        <v>9.8464166096037353E-6</v>
      </c>
      <c r="AE117" s="305">
        <f t="shared" si="40"/>
        <v>0.7</v>
      </c>
      <c r="AF117" s="177">
        <f t="shared" si="41"/>
        <v>0.14159382389995923</v>
      </c>
      <c r="AG117" s="817">
        <f t="shared" si="49"/>
        <v>1</v>
      </c>
      <c r="AH117" s="176">
        <f t="shared" si="42"/>
        <v>7</v>
      </c>
      <c r="AI117" s="225">
        <f t="shared" si="43"/>
        <v>1.1415938238999592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46126</v>
      </c>
      <c r="B118" s="411">
        <f>'2025'!Wh/'2025'!Env_an*'2026'!Env_an</f>
        <v>25.442219016473338</v>
      </c>
      <c r="C118" s="846"/>
      <c r="D118" s="393">
        <f t="shared" si="25"/>
        <v>27.120786031832136</v>
      </c>
      <c r="E118" s="385">
        <f t="shared" si="47"/>
        <v>29.05546398348784</v>
      </c>
      <c r="F118" s="385">
        <f t="shared" si="26"/>
        <v>29.05546398348784</v>
      </c>
      <c r="G118" s="110">
        <f t="shared" si="48"/>
        <v>0.72415436210744599</v>
      </c>
      <c r="H118" s="414" t="b">
        <f>Wh_hp&gt;='2025'!Maxi_hp</f>
        <v>1</v>
      </c>
      <c r="I118" s="390">
        <f>IF(H118,Wh_hp,'2025'!Maxi_hp)</f>
        <v>29.05546398348784</v>
      </c>
      <c r="J118" s="85">
        <f>IF(H118,An,'2025'!An_max)</f>
        <v>2026</v>
      </c>
      <c r="K118" s="197">
        <f t="shared" si="27"/>
        <v>46126</v>
      </c>
      <c r="L118" s="147">
        <f>IF(t&lt;Tvie,1-EXP((T0-t)*PertePVj)+'2025'!Pspv,1-EXP((T0-t)*PertePVj)+Pspv)</f>
        <v>6.1892270135114669E-2</v>
      </c>
      <c r="M118" s="850"/>
      <c r="N118" s="850"/>
      <c r="O118" s="48">
        <f>IF(t&lt;Tnet,'2025'!Resal+('2025'!Salim-'2025'!Resal)*(1-EXP(('2025'!Tnet-t)/('2025'!Tau_j))),Resal+(Salim-Resal)*(1-EXP((Tnet-t)/(Tau_j))))*Salcycl</f>
        <v>6.6585684288338234E-2</v>
      </c>
      <c r="P118" s="169">
        <f>(INDEX(Models!$BJ118:$BT118,,T118)*(1-R118)+INDEX(Models!$BJ118:$BT118,,T118+1)*R118-ERP_i)*Q118*Ramure*Pc/MaxiM</f>
        <v>0</v>
      </c>
      <c r="Q118" s="305">
        <f t="shared" si="28"/>
        <v>0.7</v>
      </c>
      <c r="R118" s="177">
        <f t="shared" si="29"/>
        <v>0.51934907840346689</v>
      </c>
      <c r="S118" s="817">
        <f t="shared" si="30"/>
        <v>-2</v>
      </c>
      <c r="T118" s="176">
        <f t="shared" si="31"/>
        <v>4</v>
      </c>
      <c r="U118" s="251">
        <f t="shared" si="32"/>
        <v>-1.4806509215965331</v>
      </c>
      <c r="V118" s="383">
        <f t="shared" si="33"/>
        <v>35.133695725357462</v>
      </c>
      <c r="W118" s="402">
        <f t="shared" si="34"/>
        <v>25.442219016473338</v>
      </c>
      <c r="X118" s="157">
        <f t="shared" si="35"/>
        <v>46126</v>
      </c>
      <c r="Y118" s="385">
        <f t="shared" si="36"/>
        <v>24.049432036467106</v>
      </c>
      <c r="Z118" s="385">
        <f t="shared" si="37"/>
        <v>25.636109021221817</v>
      </c>
      <c r="AA118" s="386">
        <f t="shared" si="38"/>
        <v>29.055305547170878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0.1176789044740226</v>
      </c>
      <c r="AD118" s="231">
        <f>(INDEX(Models!$BJ118:$BT118,,AH118)*(1-AF118)+INDEX(Models!$BJ118:$BT118,,AH118+1)*AF118-ERP_i)*AE118*Ramure*Pc/MaxiM</f>
        <v>8.9991403561705927E-6</v>
      </c>
      <c r="AE118" s="305">
        <f t="shared" si="40"/>
        <v>0.7</v>
      </c>
      <c r="AF118" s="177">
        <f t="shared" si="41"/>
        <v>0.14321244777952291</v>
      </c>
      <c r="AG118" s="817">
        <f t="shared" si="49"/>
        <v>1</v>
      </c>
      <c r="AH118" s="176">
        <f t="shared" si="42"/>
        <v>7</v>
      </c>
      <c r="AI118" s="225">
        <f t="shared" si="43"/>
        <v>1.1432124477795229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46127</v>
      </c>
      <c r="B119" s="411">
        <f>'2025'!Wh/'2025'!Env_an*'2026'!Env_an</f>
        <v>28.216445418031832</v>
      </c>
      <c r="C119" s="846"/>
      <c r="D119" s="393">
        <f t="shared" si="25"/>
        <v>30.078702632801587</v>
      </c>
      <c r="E119" s="385">
        <f t="shared" si="47"/>
        <v>32.228882199814755</v>
      </c>
      <c r="F119" s="385">
        <f t="shared" si="26"/>
        <v>32.228882199814755</v>
      </c>
      <c r="G119" s="110">
        <f t="shared" si="48"/>
        <v>0.80015064202106501</v>
      </c>
      <c r="H119" s="414" t="b">
        <f>Wh_hp&gt;='2025'!Maxi_hp</f>
        <v>0</v>
      </c>
      <c r="I119" s="390">
        <f>IF(H119,Wh_hp,'2025'!Maxi_hp)</f>
        <v>39.087125925166902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6.1912817101988815E-2</v>
      </c>
      <c r="M119" s="850"/>
      <c r="N119" s="850"/>
      <c r="O119" s="48">
        <f>IF(t&lt;Tnet,'2025'!Resal+('2025'!Salim-'2025'!Resal)*(1-EXP(('2025'!Tnet-t)/('2025'!Tau_j))),Resal+(Salim-Resal)*(1-EXP((Tnet-t)/(Tau_j))))*Salcycl</f>
        <v>6.6715921256044142E-2</v>
      </c>
      <c r="P119" s="169">
        <f>(INDEX(Models!$BJ119:$BT119,,T119)*(1-R119)+INDEX(Models!$BJ119:$BT119,,T119+1)*R119-ERP_i)*Q119*Ramure*Pc/MaxiM</f>
        <v>0</v>
      </c>
      <c r="Q119" s="305">
        <f t="shared" si="28"/>
        <v>0.7</v>
      </c>
      <c r="R119" s="177">
        <f t="shared" si="29"/>
        <v>0.52102349571299822</v>
      </c>
      <c r="S119" s="817">
        <f t="shared" si="30"/>
        <v>-2</v>
      </c>
      <c r="T119" s="176">
        <f t="shared" si="31"/>
        <v>4</v>
      </c>
      <c r="U119" s="251">
        <f t="shared" si="32"/>
        <v>-1.4789765042870018</v>
      </c>
      <c r="V119" s="383">
        <f t="shared" si="33"/>
        <v>35.263916487976772</v>
      </c>
      <c r="W119" s="402">
        <f t="shared" si="34"/>
        <v>28.216445418031832</v>
      </c>
      <c r="X119" s="157">
        <f t="shared" si="35"/>
        <v>46127</v>
      </c>
      <c r="Y119" s="385">
        <f t="shared" si="36"/>
        <v>26.673219609265644</v>
      </c>
      <c r="Z119" s="385">
        <f t="shared" si="37"/>
        <v>28.433625462043601</v>
      </c>
      <c r="AA119" s="386">
        <f t="shared" si="38"/>
        <v>32.228690841006625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0.11775425187716024</v>
      </c>
      <c r="AD119" s="231">
        <f>(INDEX(Models!$BJ119:$BT119,,AH119)*(1-AF119)+INDEX(Models!$BJ119:$BT119,,AH119+1)*AF119-ERP_i)*AE119*Ramure*Pc/MaxiM</f>
        <v>8.3099885170304244E-6</v>
      </c>
      <c r="AE119" s="305">
        <f t="shared" si="40"/>
        <v>0.7</v>
      </c>
      <c r="AF119" s="177">
        <f t="shared" si="41"/>
        <v>0.14488686508905424</v>
      </c>
      <c r="AG119" s="817">
        <f t="shared" si="49"/>
        <v>1</v>
      </c>
      <c r="AH119" s="176">
        <f t="shared" si="42"/>
        <v>7</v>
      </c>
      <c r="AI119" s="225">
        <f t="shared" si="43"/>
        <v>1.1448868650890542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46128</v>
      </c>
      <c r="B120" s="411">
        <f>'2025'!Wh/'2025'!Env_an*'2026'!Env_an</f>
        <v>28.404892969904623</v>
      </c>
      <c r="C120" s="846"/>
      <c r="D120" s="393">
        <f t="shared" si="25"/>
        <v>30.28025075007864</v>
      </c>
      <c r="E120" s="385">
        <f t="shared" si="47"/>
        <v>32.449394180091119</v>
      </c>
      <c r="F120" s="385">
        <f t="shared" si="26"/>
        <v>32.449394180091119</v>
      </c>
      <c r="G120" s="110">
        <f t="shared" si="48"/>
        <v>0.80255323488474939</v>
      </c>
      <c r="H120" s="414" t="b">
        <f>Wh_hp&gt;='2025'!Maxi_hp</f>
        <v>0</v>
      </c>
      <c r="I120" s="390">
        <f>IF(H120,Wh_hp,'2025'!Maxi_hp)</f>
        <v>34.469326384256924</v>
      </c>
      <c r="J120" s="85">
        <f>IF(H120,An,'2025'!An_max)</f>
        <v>2020</v>
      </c>
      <c r="K120" s="197">
        <f t="shared" si="27"/>
        <v>46128</v>
      </c>
      <c r="L120" s="147">
        <f>IF(t&lt;Tvie,1-EXP((T0-t)*PertePVj)+'2025'!Pspv,1-EXP((T0-t)*PertePVj)+Pspv)</f>
        <v>6.1933363618831505E-2</v>
      </c>
      <c r="M120" s="850"/>
      <c r="N120" s="850"/>
      <c r="O120" s="48">
        <f>IF(t&lt;Tnet,'2025'!Resal+('2025'!Salim-'2025'!Resal)*(1-EXP(('2025'!Tnet-t)/('2025'!Tau_j))),Resal+(Salim-Resal)*(1-EXP((Tnet-t)/(Tau_j))))*Salcycl</f>
        <v>6.6846962318431347E-2</v>
      </c>
      <c r="P120" s="169">
        <f>(INDEX(Models!$BJ120:$BT120,,T120)*(1-R120)+INDEX(Models!$BJ120:$BT120,,T120+1)*R120-ERP_i)*Q120*Ramure*Pc/MaxiM</f>
        <v>0</v>
      </c>
      <c r="Q120" s="305">
        <f t="shared" si="28"/>
        <v>0.7</v>
      </c>
      <c r="R120" s="177">
        <f t="shared" si="29"/>
        <v>0.52275515368664061</v>
      </c>
      <c r="S120" s="817">
        <f t="shared" si="30"/>
        <v>-2</v>
      </c>
      <c r="T120" s="176">
        <f t="shared" si="31"/>
        <v>4</v>
      </c>
      <c r="U120" s="251">
        <f t="shared" si="32"/>
        <v>-1.4772448463133594</v>
      </c>
      <c r="V120" s="383">
        <f t="shared" si="33"/>
        <v>35.39315740716404</v>
      </c>
      <c r="W120" s="402">
        <f t="shared" si="34"/>
        <v>28.404892969904623</v>
      </c>
      <c r="X120" s="157">
        <f t="shared" si="35"/>
        <v>46128</v>
      </c>
      <c r="Y120" s="385">
        <f t="shared" si="36"/>
        <v>26.852800314020801</v>
      </c>
      <c r="Z120" s="385">
        <f t="shared" si="37"/>
        <v>28.62568528991963</v>
      </c>
      <c r="AA120" s="386">
        <f t="shared" si="38"/>
        <v>32.449212943781959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0.11783113693655881</v>
      </c>
      <c r="AD120" s="231">
        <f>(INDEX(Models!$BJ120:$BT120,,AH120)*(1-AF120)+INDEX(Models!$BJ120:$BT120,,AH120+1)*AF120-ERP_i)*AE120*Ramure*Pc/MaxiM</f>
        <v>7.7795519161985442E-6</v>
      </c>
      <c r="AE120" s="305">
        <f t="shared" si="40"/>
        <v>0.7</v>
      </c>
      <c r="AF120" s="177">
        <f t="shared" si="41"/>
        <v>0.14661852306269663</v>
      </c>
      <c r="AG120" s="817">
        <f t="shared" si="49"/>
        <v>1</v>
      </c>
      <c r="AH120" s="176">
        <f t="shared" si="42"/>
        <v>7</v>
      </c>
      <c r="AI120" s="225">
        <f t="shared" si="43"/>
        <v>1.1466185230626966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46129</v>
      </c>
      <c r="B121" s="411">
        <f>'2025'!Wh/'2025'!Env_an*'2026'!Env_an</f>
        <v>35.217575319483167</v>
      </c>
      <c r="C121" s="846"/>
      <c r="D121" s="393">
        <f t="shared" si="25"/>
        <v>37.54354469691512</v>
      </c>
      <c r="E121" s="385">
        <f t="shared" si="47"/>
        <v>40.23868442366517</v>
      </c>
      <c r="F121" s="385">
        <f t="shared" si="26"/>
        <v>40.23868442366517</v>
      </c>
      <c r="G121" s="110">
        <f t="shared" si="48"/>
        <v>0.99145449222032611</v>
      </c>
      <c r="H121" s="414" t="b">
        <f>Wh_hp&gt;='2025'!Maxi_hp</f>
        <v>1</v>
      </c>
      <c r="I121" s="390">
        <f>IF(H121,Wh_hp,'2025'!Maxi_hp)</f>
        <v>40.23868442366517</v>
      </c>
      <c r="J121" s="85">
        <f>IF(H121,An,'2025'!An_max)</f>
        <v>2026</v>
      </c>
      <c r="K121" s="197">
        <f t="shared" si="27"/>
        <v>46129</v>
      </c>
      <c r="L121" s="147">
        <f>IF(t&lt;Tvie,1-EXP((T0-t)*PertePVj)+'2025'!Pspv,1-EXP((T0-t)*PertePVj)+Pspv)</f>
        <v>6.1953909685652842E-2</v>
      </c>
      <c r="M121" s="850"/>
      <c r="N121" s="850"/>
      <c r="O121" s="48">
        <f>IF(t&lt;Tnet,'2025'!Resal+('2025'!Salim-'2025'!Resal)*(1-EXP(('2025'!Tnet-t)/('2025'!Tau_j))),Resal+(Salim-Resal)*(1-EXP((Tnet-t)/(Tau_j))))*Salcycl</f>
        <v>6.6978823123873904E-2</v>
      </c>
      <c r="P121" s="169">
        <f>(INDEX(Models!$BJ121:$BT121,,T121)*(1-R121)+INDEX(Models!$BJ121:$BT121,,T121+1)*R121-ERP_i)*Q121*Ramure*Pc/MaxiM</f>
        <v>0</v>
      </c>
      <c r="Q121" s="305">
        <f t="shared" si="28"/>
        <v>0.7</v>
      </c>
      <c r="R121" s="177">
        <f t="shared" si="29"/>
        <v>0.52454550022131752</v>
      </c>
      <c r="S121" s="817">
        <f t="shared" si="30"/>
        <v>-2</v>
      </c>
      <c r="T121" s="176">
        <f t="shared" si="31"/>
        <v>4</v>
      </c>
      <c r="U121" s="251">
        <f t="shared" si="32"/>
        <v>-1.4754544997786825</v>
      </c>
      <c r="V121" s="383">
        <f t="shared" si="33"/>
        <v>35.521121338221683</v>
      </c>
      <c r="W121" s="402">
        <f t="shared" si="34"/>
        <v>35.217575319483167</v>
      </c>
      <c r="X121" s="157">
        <f t="shared" si="35"/>
        <v>46129</v>
      </c>
      <c r="Y121" s="385">
        <f t="shared" si="36"/>
        <v>33.294912478436906</v>
      </c>
      <c r="Z121" s="385">
        <f t="shared" si="37"/>
        <v>35.493898244679535</v>
      </c>
      <c r="AA121" s="386">
        <f t="shared" si="38"/>
        <v>40.238389941002993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0.11790958095688647</v>
      </c>
      <c r="AD121" s="231">
        <f>(INDEX(Models!$BJ121:$BT121,,AH121)*(1-AF121)+INDEX(Models!$BJ121:$BT121,,AH121+1)*AF121-ERP_i)*AE121*Ramure*Pc/MaxiM</f>
        <v>7.4088430508853436E-6</v>
      </c>
      <c r="AE121" s="305">
        <f t="shared" si="40"/>
        <v>0.7</v>
      </c>
      <c r="AF121" s="177">
        <f t="shared" si="41"/>
        <v>0.14840886959737354</v>
      </c>
      <c r="AG121" s="817">
        <f t="shared" si="49"/>
        <v>1</v>
      </c>
      <c r="AH121" s="176">
        <f t="shared" si="42"/>
        <v>7</v>
      </c>
      <c r="AI121" s="225">
        <f t="shared" si="43"/>
        <v>1.1484088695973735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46130</v>
      </c>
      <c r="B122" s="411">
        <f>'2025'!Wh/'2025'!Env_an*'2026'!Env_an</f>
        <v>25.219147724303941</v>
      </c>
      <c r="C122" s="846"/>
      <c r="D122" s="393">
        <f t="shared" si="25"/>
        <v>26.885352820999938</v>
      </c>
      <c r="E122" s="385">
        <f t="shared" si="47"/>
        <v>28.819471293246419</v>
      </c>
      <c r="F122" s="385">
        <f t="shared" si="26"/>
        <v>28.819471293246419</v>
      </c>
      <c r="G122" s="110">
        <f t="shared" si="48"/>
        <v>0.7074675337003189</v>
      </c>
      <c r="H122" s="414" t="b">
        <f>Wh_hp&gt;='2025'!Maxi_hp</f>
        <v>1</v>
      </c>
      <c r="I122" s="390">
        <f>IF(H122,Wh_hp,'2025'!Maxi_hp)</f>
        <v>28.819471293246419</v>
      </c>
      <c r="J122" s="85">
        <f>IF(H122,An,'2025'!An_max)</f>
        <v>2026</v>
      </c>
      <c r="K122" s="197">
        <f t="shared" si="27"/>
        <v>46130</v>
      </c>
      <c r="L122" s="147">
        <f>IF(t&lt;Tvie,1-EXP((T0-t)*PertePVj)+'2025'!Pspv,1-EXP((T0-t)*PertePVj)+Pspv)</f>
        <v>6.1974455302462594E-2</v>
      </c>
      <c r="M122" s="850"/>
      <c r="N122" s="850"/>
      <c r="O122" s="48">
        <f>IF(t&lt;Tnet,'2025'!Resal+('2025'!Salim-'2025'!Resal)*(1-EXP(('2025'!Tnet-t)/('2025'!Tau_j))),Resal+(Salim-Resal)*(1-EXP((Tnet-t)/(Tau_j))))*Salcycl</f>
        <v>6.7111518201228348E-2</v>
      </c>
      <c r="P122" s="169">
        <f>(INDEX(Models!$BJ122:$BT122,,T122)*(1-R122)+INDEX(Models!$BJ122:$BT122,,T122+1)*R122-ERP_i)*Q122*Ramure*Pc/MaxiM</f>
        <v>0</v>
      </c>
      <c r="Q122" s="305">
        <f t="shared" si="28"/>
        <v>0.7</v>
      </c>
      <c r="R122" s="177">
        <f t="shared" si="29"/>
        <v>0.52639598054404035</v>
      </c>
      <c r="S122" s="817">
        <f t="shared" si="30"/>
        <v>-2</v>
      </c>
      <c r="T122" s="176">
        <f t="shared" si="31"/>
        <v>4</v>
      </c>
      <c r="U122" s="251">
        <f t="shared" si="32"/>
        <v>-1.4736040194559596</v>
      </c>
      <c r="V122" s="383">
        <f t="shared" si="33"/>
        <v>35.647074279717678</v>
      </c>
      <c r="W122" s="402">
        <f t="shared" si="34"/>
        <v>25.219147724303941</v>
      </c>
      <c r="X122" s="157">
        <f t="shared" si="35"/>
        <v>46130</v>
      </c>
      <c r="Y122" s="385">
        <f t="shared" si="36"/>
        <v>23.843640323167225</v>
      </c>
      <c r="Z122" s="385">
        <f t="shared" si="37"/>
        <v>25.418966954525221</v>
      </c>
      <c r="AA122" s="386">
        <f t="shared" si="38"/>
        <v>28.819350708830438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0.11798960318919742</v>
      </c>
      <c r="AD122" s="231">
        <f>(INDEX(Models!$BJ122:$BT122,,AH122)*(1-AF122)+INDEX(Models!$BJ122:$BT122,,AH122+1)*AF122-ERP_i)*AE122*Ramure*Pc/MaxiM</f>
        <v>7.1880353540858347E-6</v>
      </c>
      <c r="AE122" s="305">
        <f t="shared" si="40"/>
        <v>0.7</v>
      </c>
      <c r="AF122" s="177">
        <f t="shared" si="41"/>
        <v>0.15025934992009637</v>
      </c>
      <c r="AG122" s="817">
        <f t="shared" si="49"/>
        <v>1</v>
      </c>
      <c r="AH122" s="176">
        <f t="shared" si="42"/>
        <v>7</v>
      </c>
      <c r="AI122" s="225">
        <f t="shared" si="43"/>
        <v>1.1502593499200964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46131</v>
      </c>
      <c r="B123" s="411">
        <f>'2025'!Wh/'2025'!Env_an*'2026'!Env_an</f>
        <v>6.1785717134764608</v>
      </c>
      <c r="C123" s="846"/>
      <c r="D123" s="393">
        <f t="shared" si="25"/>
        <v>6.5869283389401039</v>
      </c>
      <c r="E123" s="385">
        <f t="shared" si="47"/>
        <v>7.0617994746801047</v>
      </c>
      <c r="F123" s="385">
        <f t="shared" si="26"/>
        <v>7.0617994746801047</v>
      </c>
      <c r="G123" s="110">
        <f t="shared" si="48"/>
        <v>0.1727265450862363</v>
      </c>
      <c r="H123" s="414" t="b">
        <f>Wh_hp&gt;='2025'!Maxi_hp</f>
        <v>0</v>
      </c>
      <c r="I123" s="390">
        <f>IF(H123,Wh_hp,'2025'!Maxi_hp)</f>
        <v>38.947990013439039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6.1995000469270534E-2</v>
      </c>
      <c r="M123" s="850"/>
      <c r="N123" s="850"/>
      <c r="O123" s="48">
        <f>IF(t&lt;Tnet,'2025'!Resal+('2025'!Salim-'2025'!Resal)*(1-EXP(('2025'!Tnet-t)/('2025'!Tau_j))),Resal+(Salim-Resal)*(1-EXP((Tnet-t)/(Tau_j))))*Salcycl</f>
        <v>6.7245060900219408E-2</v>
      </c>
      <c r="P123" s="169">
        <f>(INDEX(Models!$BJ123:$BT123,,T123)*(1-R123)+INDEX(Models!$BJ123:$BT123,,T123+1)*R123-ERP_i)*Q123*Ramure*Pc/MaxiM</f>
        <v>0</v>
      </c>
      <c r="Q123" s="305">
        <f t="shared" si="28"/>
        <v>0.7</v>
      </c>
      <c r="R123" s="177">
        <f t="shared" si="29"/>
        <v>0.52830803362867718</v>
      </c>
      <c r="S123" s="817">
        <f t="shared" si="30"/>
        <v>-2</v>
      </c>
      <c r="T123" s="176">
        <f t="shared" si="31"/>
        <v>4</v>
      </c>
      <c r="U123" s="251">
        <f t="shared" si="32"/>
        <v>-1.4716919663713228</v>
      </c>
      <c r="V123" s="383">
        <f t="shared" si="33"/>
        <v>35.770829031471195</v>
      </c>
      <c r="W123" s="402">
        <f t="shared" si="34"/>
        <v>6.1785717134764608</v>
      </c>
      <c r="X123" s="157">
        <f t="shared" si="35"/>
        <v>46131</v>
      </c>
      <c r="Y123" s="385">
        <f t="shared" si="36"/>
        <v>5.8418990673965636</v>
      </c>
      <c r="Z123" s="385">
        <f t="shared" si="37"/>
        <v>6.2280041900834027</v>
      </c>
      <c r="AA123" s="386">
        <f t="shared" si="38"/>
        <v>7.0617994746801047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0.11807122074001866</v>
      </c>
      <c r="AD123" s="231">
        <f>(INDEX(Models!$BJ123:$BT123,,AH123)*(1-AF123)+INDEX(Models!$BJ123:$BT123,,AH123+1)*AF123-ERP_i)*AE123*Ramure*Pc/MaxiM</f>
        <v>6.9604674690780475E-6</v>
      </c>
      <c r="AE123" s="305">
        <f t="shared" si="40"/>
        <v>0.7</v>
      </c>
      <c r="AF123" s="177">
        <f t="shared" si="41"/>
        <v>0.1521714030047332</v>
      </c>
      <c r="AG123" s="817">
        <f t="shared" si="49"/>
        <v>1</v>
      </c>
      <c r="AH123" s="176">
        <f t="shared" si="42"/>
        <v>7</v>
      </c>
      <c r="AI123" s="225">
        <f t="shared" si="43"/>
        <v>1.1521714030047332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46132</v>
      </c>
      <c r="B124" s="411">
        <f>'2025'!Wh/'2025'!Env_an*'2026'!Env_an</f>
        <v>6.318415024014814</v>
      </c>
      <c r="C124" s="846"/>
      <c r="D124" s="393">
        <f t="shared" si="25"/>
        <v>6.7361617685533215</v>
      </c>
      <c r="E124" s="385">
        <f t="shared" si="47"/>
        <v>7.2228323350049655</v>
      </c>
      <c r="F124" s="385">
        <f t="shared" si="26"/>
        <v>7.2228323350049655</v>
      </c>
      <c r="G124" s="110">
        <f t="shared" si="48"/>
        <v>0.17603867347887311</v>
      </c>
      <c r="H124" s="414" t="b">
        <f>Wh_hp&gt;='2025'!Maxi_hp</f>
        <v>0</v>
      </c>
      <c r="I124" s="390">
        <f>IF(H124,Wh_hp,'2025'!Maxi_hp)</f>
        <v>34.517360529046911</v>
      </c>
      <c r="J124" s="85">
        <f>IF(H124,An,'2025'!An_max)</f>
        <v>2019</v>
      </c>
      <c r="K124" s="197">
        <f t="shared" si="27"/>
        <v>46132</v>
      </c>
      <c r="L124" s="147">
        <f>IF(t&lt;Tvie,1-EXP((T0-t)*PertePVj)+'2025'!Pspv,1-EXP((T0-t)*PertePVj)+Pspv)</f>
        <v>6.2015545186086651E-2</v>
      </c>
      <c r="M124" s="850"/>
      <c r="N124" s="850"/>
      <c r="O124" s="48">
        <f>IF(t&lt;Tnet,'2025'!Resal+('2025'!Salim-'2025'!Resal)*(1-EXP(('2025'!Tnet-t)/('2025'!Tau_j))),Resal+(Salim-Resal)*(1-EXP((Tnet-t)/(Tau_j))))*Salcycl</f>
        <v>6.7379463329506978E-2</v>
      </c>
      <c r="P124" s="169">
        <f>(INDEX(Models!$BJ124:$BT124,,T124)*(1-R124)+INDEX(Models!$BJ124:$BT124,,T124+1)*R124-ERP_i)*Q124*Ramure*Pc/MaxiM</f>
        <v>0</v>
      </c>
      <c r="Q124" s="305">
        <f t="shared" si="28"/>
        <v>0.7</v>
      </c>
      <c r="R124" s="177">
        <f t="shared" si="29"/>
        <v>0.53028308835734639</v>
      </c>
      <c r="S124" s="817">
        <f t="shared" si="30"/>
        <v>-2</v>
      </c>
      <c r="T124" s="176">
        <f t="shared" si="31"/>
        <v>4</v>
      </c>
      <c r="U124" s="251">
        <f t="shared" si="32"/>
        <v>-1.4697169116426536</v>
      </c>
      <c r="V124" s="383">
        <f t="shared" si="33"/>
        <v>35.892198567226217</v>
      </c>
      <c r="W124" s="402">
        <f t="shared" si="34"/>
        <v>6.318415024014814</v>
      </c>
      <c r="X124" s="157">
        <f t="shared" si="35"/>
        <v>46132</v>
      </c>
      <c r="Y124" s="385">
        <f t="shared" si="36"/>
        <v>5.9744193511923704</v>
      </c>
      <c r="Z124" s="385">
        <f t="shared" si="37"/>
        <v>6.3694225640206747</v>
      </c>
      <c r="AA124" s="386">
        <f t="shared" si="38"/>
        <v>7.2228323350049655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0.11815444847699133</v>
      </c>
      <c r="AD124" s="231">
        <f>(INDEX(Models!$BJ124:$BT124,,AH124)*(1-AF124)+INDEX(Models!$BJ124:$BT124,,AH124+1)*AF124-ERP_i)*AE124*Ramure*Pc/MaxiM</f>
        <v>6.7254966340302362E-6</v>
      </c>
      <c r="AE124" s="305">
        <f t="shared" si="40"/>
        <v>0.7</v>
      </c>
      <c r="AF124" s="177">
        <f t="shared" si="41"/>
        <v>0.15414645773340241</v>
      </c>
      <c r="AG124" s="817">
        <f t="shared" si="49"/>
        <v>1</v>
      </c>
      <c r="AH124" s="176">
        <f t="shared" si="42"/>
        <v>7</v>
      </c>
      <c r="AI124" s="225">
        <f t="shared" si="43"/>
        <v>1.1541464577334024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46133</v>
      </c>
      <c r="B125" s="411">
        <f>'2025'!Wh/'2025'!Env_an*'2026'!Env_an</f>
        <v>6.7495655790615041</v>
      </c>
      <c r="C125" s="846"/>
      <c r="D125" s="393">
        <f t="shared" si="25"/>
        <v>7.1959757760026557</v>
      </c>
      <c r="E125" s="385">
        <f t="shared" si="47"/>
        <v>7.7169860544404978</v>
      </c>
      <c r="F125" s="385">
        <f t="shared" si="26"/>
        <v>7.7169860544404978</v>
      </c>
      <c r="G125" s="110">
        <f t="shared" si="48"/>
        <v>0.18743068287766881</v>
      </c>
      <c r="H125" s="414" t="b">
        <f>Wh_hp&gt;='2025'!Maxi_hp</f>
        <v>0</v>
      </c>
      <c r="I125" s="390">
        <f>IF(H125,Wh_hp,'2025'!Maxi_hp)</f>
        <v>37.760094952186769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6.2036089452920717E-2</v>
      </c>
      <c r="M125" s="850"/>
      <c r="N125" s="850"/>
      <c r="O125" s="48">
        <f>IF(t&lt;Tnet,'2025'!Resal+('2025'!Salim-'2025'!Resal)*(1-EXP(('2025'!Tnet-t)/('2025'!Tau_j))),Resal+(Salim-Resal)*(1-EXP((Tnet-t)/(Tau_j))))*Salcycl</f>
        <v>6.7514736292421176E-2</v>
      </c>
      <c r="P125" s="169">
        <f>(INDEX(Models!$BJ125:$BT125,,T125)*(1-R125)+INDEX(Models!$BJ125:$BT125,,T125+1)*R125-ERP_i)*Q125*Ramure*Pc/MaxiM</f>
        <v>0</v>
      </c>
      <c r="Q125" s="305">
        <f t="shared" si="28"/>
        <v>0.7</v>
      </c>
      <c r="R125" s="177">
        <f t="shared" si="29"/>
        <v>0.53232255942281959</v>
      </c>
      <c r="S125" s="817">
        <f t="shared" si="30"/>
        <v>-2</v>
      </c>
      <c r="T125" s="176">
        <f t="shared" si="31"/>
        <v>4</v>
      </c>
      <c r="U125" s="251">
        <f t="shared" si="32"/>
        <v>-1.4676774405771804</v>
      </c>
      <c r="V125" s="383">
        <f t="shared" si="33"/>
        <v>36.010996040956492</v>
      </c>
      <c r="W125" s="402">
        <f t="shared" si="34"/>
        <v>6.7495655790615041</v>
      </c>
      <c r="X125" s="157">
        <f t="shared" si="35"/>
        <v>46133</v>
      </c>
      <c r="Y125" s="385">
        <f t="shared" si="36"/>
        <v>6.3824082894787129</v>
      </c>
      <c r="Z125" s="385">
        <f t="shared" si="37"/>
        <v>6.8045350335026136</v>
      </c>
      <c r="AA125" s="386">
        <f t="shared" si="38"/>
        <v>7.7169860544404978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0.11823929893106938</v>
      </c>
      <c r="AD125" s="231">
        <f>(INDEX(Models!$BJ125:$BT125,,AH125)*(1-AF125)+INDEX(Models!$BJ125:$BT125,,AH125+1)*AF125-ERP_i)*AE125*Ramure*Pc/MaxiM</f>
        <v>6.4824514437030114E-6</v>
      </c>
      <c r="AE125" s="305">
        <f t="shared" si="40"/>
        <v>0.7</v>
      </c>
      <c r="AF125" s="177">
        <f t="shared" si="41"/>
        <v>0.15618592879887561</v>
      </c>
      <c r="AG125" s="817">
        <f t="shared" si="49"/>
        <v>1</v>
      </c>
      <c r="AH125" s="176">
        <f t="shared" si="42"/>
        <v>7</v>
      </c>
      <c r="AI125" s="225">
        <f t="shared" si="43"/>
        <v>1.1561859287988756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46134</v>
      </c>
      <c r="B126" s="411">
        <f>'2025'!Wh/'2025'!Env_an*'2026'!Env_an</f>
        <v>17.794976646008443</v>
      </c>
      <c r="C126" s="846"/>
      <c r="D126" s="393">
        <f t="shared" si="25"/>
        <v>18.972335939688829</v>
      </c>
      <c r="E126" s="385">
        <f t="shared" si="47"/>
        <v>20.348961263903767</v>
      </c>
      <c r="F126" s="385">
        <f t="shared" si="26"/>
        <v>20.348961263903767</v>
      </c>
      <c r="G126" s="110">
        <f t="shared" si="48"/>
        <v>0.49256676467485072</v>
      </c>
      <c r="H126" s="414" t="b">
        <f>Wh_hp&gt;='2025'!Maxi_hp</f>
        <v>0</v>
      </c>
      <c r="I126" s="390">
        <f>IF(H126,Wh_hp,'2025'!Maxi_hp)</f>
        <v>41.180654227850937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6.2056633269782613E-2</v>
      </c>
      <c r="M126" s="850"/>
      <c r="N126" s="850"/>
      <c r="O126" s="48">
        <f>IF(t&lt;Tnet,'2025'!Resal+('2025'!Salim-'2025'!Resal)*(1-EXP(('2025'!Tnet-t)/('2025'!Tau_j))),Resal+(Salim-Resal)*(1-EXP((Tnet-t)/(Tau_j))))*Salcycl</f>
        <v>6.7650889220418384E-2</v>
      </c>
      <c r="P126" s="169">
        <f>(INDEX(Models!$BJ126:$BT126,,T126)*(1-R126)+INDEX(Models!$BJ126:$BT126,,T126+1)*R126-ERP_i)*Q126*Ramure*Pc/MaxiM</f>
        <v>0</v>
      </c>
      <c r="Q126" s="305">
        <f t="shared" si="28"/>
        <v>0.7</v>
      </c>
      <c r="R126" s="177">
        <f t="shared" si="29"/>
        <v>0.53442784296970203</v>
      </c>
      <c r="S126" s="817">
        <f t="shared" si="30"/>
        <v>-2</v>
      </c>
      <c r="T126" s="176">
        <f t="shared" si="31"/>
        <v>4</v>
      </c>
      <c r="U126" s="251">
        <f t="shared" si="32"/>
        <v>-1.465572157030298</v>
      </c>
      <c r="V126" s="383">
        <f t="shared" si="33"/>
        <v>36.1270347944712</v>
      </c>
      <c r="W126" s="402">
        <f t="shared" si="34"/>
        <v>17.794976646008443</v>
      </c>
      <c r="X126" s="157">
        <f t="shared" si="35"/>
        <v>46134</v>
      </c>
      <c r="Y126" s="385">
        <f t="shared" si="36"/>
        <v>16.827758016881202</v>
      </c>
      <c r="Z126" s="385">
        <f t="shared" si="37"/>
        <v>17.941123754139632</v>
      </c>
      <c r="AA126" s="386">
        <f t="shared" si="38"/>
        <v>20.348926385545838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0.11832578219539414</v>
      </c>
      <c r="AD126" s="231">
        <f>(INDEX(Models!$BJ126:$BT126,,AH126)*(1-AF126)+INDEX(Models!$BJ126:$BT126,,AH126+1)*AF126-ERP_i)*AE126*Ramure*Pc/MaxiM</f>
        <v>6.2306089024243504E-6</v>
      </c>
      <c r="AE126" s="305">
        <f t="shared" si="40"/>
        <v>0.7</v>
      </c>
      <c r="AF126" s="177">
        <f t="shared" si="41"/>
        <v>0.15829121234575805</v>
      </c>
      <c r="AG126" s="817">
        <f t="shared" si="49"/>
        <v>1</v>
      </c>
      <c r="AH126" s="176">
        <f t="shared" si="42"/>
        <v>7</v>
      </c>
      <c r="AI126" s="225">
        <f t="shared" si="43"/>
        <v>1.158291212345758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46135</v>
      </c>
      <c r="B127" s="411">
        <f>'2025'!Wh/'2025'!Env_an*'2026'!Env_an</f>
        <v>5.5523280204888925</v>
      </c>
      <c r="C127" s="846"/>
      <c r="D127" s="393">
        <f t="shared" si="25"/>
        <v>5.9198133174525802</v>
      </c>
      <c r="E127" s="385">
        <f t="shared" si="47"/>
        <v>6.3502860653964861</v>
      </c>
      <c r="F127" s="385">
        <f t="shared" si="26"/>
        <v>6.3502860653964861</v>
      </c>
      <c r="G127" s="110">
        <f t="shared" si="48"/>
        <v>0.15320939168221789</v>
      </c>
      <c r="H127" s="414" t="b">
        <f>Wh_hp&gt;='2025'!Maxi_hp</f>
        <v>0</v>
      </c>
      <c r="I127" s="390">
        <f>IF(H127,Wh_hp,'2025'!Maxi_hp)</f>
        <v>41.263564610244281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6.2077176636682219E-2</v>
      </c>
      <c r="M127" s="850"/>
      <c r="N127" s="850"/>
      <c r="O127" s="48">
        <f>IF(t&lt;Tnet,'2025'!Resal+('2025'!Salim-'2025'!Resal)*(1-EXP(('2025'!Tnet-t)/('2025'!Tau_j))),Resal+(Salim-Resal)*(1-EXP((Tnet-t)/(Tau_j))))*Salcycl</f>
        <v>6.778793010437853E-2</v>
      </c>
      <c r="P127" s="169">
        <f>(INDEX(Models!$BJ127:$BT127,,T127)*(1-R127)+INDEX(Models!$BJ127:$BT127,,T127+1)*R127-ERP_i)*Q127*Ramure*Pc/MaxiM</f>
        <v>0</v>
      </c>
      <c r="Q127" s="305">
        <f t="shared" si="28"/>
        <v>0.7</v>
      </c>
      <c r="R127" s="177">
        <f t="shared" si="29"/>
        <v>0.53660031197373548</v>
      </c>
      <c r="S127" s="817">
        <f t="shared" si="30"/>
        <v>-2</v>
      </c>
      <c r="T127" s="176">
        <f t="shared" si="31"/>
        <v>4</v>
      </c>
      <c r="U127" s="251">
        <f t="shared" si="32"/>
        <v>-1.4633996880262645</v>
      </c>
      <c r="V127" s="383">
        <f t="shared" si="33"/>
        <v>36.240128359789828</v>
      </c>
      <c r="W127" s="402">
        <f t="shared" si="34"/>
        <v>5.5523280204888925</v>
      </c>
      <c r="X127" s="157">
        <f t="shared" si="35"/>
        <v>46135</v>
      </c>
      <c r="Y127" s="385">
        <f t="shared" si="36"/>
        <v>5.2507957483655456</v>
      </c>
      <c r="Z127" s="385">
        <f t="shared" si="37"/>
        <v>5.5983238893117067</v>
      </c>
      <c r="AA127" s="386">
        <f t="shared" si="38"/>
        <v>6.3502860653964861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0.11841390582108054</v>
      </c>
      <c r="AD127" s="231">
        <f>(INDEX(Models!$BJ127:$BT127,,AH127)*(1-AF127)+INDEX(Models!$BJ127:$BT127,,AH127+1)*AF127-ERP_i)*AE127*Ramure*Pc/MaxiM</f>
        <v>5.9691747234517297E-6</v>
      </c>
      <c r="AE127" s="305">
        <f t="shared" si="40"/>
        <v>0.7</v>
      </c>
      <c r="AF127" s="177">
        <f t="shared" si="41"/>
        <v>0.1604636813497915</v>
      </c>
      <c r="AG127" s="817">
        <f t="shared" si="49"/>
        <v>1</v>
      </c>
      <c r="AH127" s="176">
        <f t="shared" si="42"/>
        <v>7</v>
      </c>
      <c r="AI127" s="225">
        <f t="shared" si="43"/>
        <v>1.1604636813497915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46136</v>
      </c>
      <c r="B128" s="411">
        <f>'2025'!Wh/'2025'!Env_an*'2026'!Env_an</f>
        <v>21.824848072980782</v>
      </c>
      <c r="C128" s="846"/>
      <c r="D128" s="393">
        <f t="shared" si="25"/>
        <v>23.269852870593088</v>
      </c>
      <c r="E128" s="385">
        <f t="shared" si="47"/>
        <v>24.965667437147509</v>
      </c>
      <c r="F128" s="385">
        <f t="shared" si="26"/>
        <v>24.965667437147509</v>
      </c>
      <c r="G128" s="110">
        <f t="shared" si="48"/>
        <v>0.6004069809341348</v>
      </c>
      <c r="H128" s="414" t="b">
        <f>Wh_hp&gt;='2025'!Maxi_hp</f>
        <v>0</v>
      </c>
      <c r="I128" s="390">
        <f>IF(H128,Wh_hp,'2025'!Maxi_hp)</f>
        <v>38.769139149526289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6.2097719553629305E-2</v>
      </c>
      <c r="M128" s="850"/>
      <c r="N128" s="850"/>
      <c r="O128" s="48">
        <f>IF(t&lt;Tnet,'2025'!Resal+('2025'!Salim-'2025'!Resal)*(1-EXP(('2025'!Tnet-t)/('2025'!Tau_j))),Resal+(Salim-Resal)*(1-EXP((Tnet-t)/(Tau_j))))*Salcycl</f>
        <v>6.792586542393593E-2</v>
      </c>
      <c r="P128" s="169">
        <f>(INDEX(Models!$BJ128:$BT128,,T128)*(1-R128)+INDEX(Models!$BJ128:$BT128,,T128+1)*R128-ERP_i)*Q128*Ramure*Pc/MaxiM</f>
        <v>0</v>
      </c>
      <c r="Q128" s="305">
        <f t="shared" si="28"/>
        <v>0.7</v>
      </c>
      <c r="R128" s="177">
        <f t="shared" si="29"/>
        <v>0.53884131136031699</v>
      </c>
      <c r="S128" s="817">
        <f t="shared" si="30"/>
        <v>-2</v>
      </c>
      <c r="T128" s="176">
        <f t="shared" si="31"/>
        <v>4</v>
      </c>
      <c r="U128" s="251">
        <f t="shared" si="32"/>
        <v>-1.461158688639683</v>
      </c>
      <c r="V128" s="383">
        <f t="shared" si="33"/>
        <v>36.350090465345517</v>
      </c>
      <c r="W128" s="402">
        <f t="shared" si="34"/>
        <v>21.824848072980782</v>
      </c>
      <c r="X128" s="157">
        <f t="shared" si="35"/>
        <v>46136</v>
      </c>
      <c r="Y128" s="385">
        <f t="shared" si="36"/>
        <v>20.640500051258073</v>
      </c>
      <c r="Z128" s="385">
        <f t="shared" si="37"/>
        <v>22.007090164483611</v>
      </c>
      <c r="AA128" s="386">
        <f t="shared" si="38"/>
        <v>24.965606246004917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0.11850367471027226</v>
      </c>
      <c r="AD128" s="231">
        <f>(INDEX(Models!$BJ128:$BT128,,AH128)*(1-AF128)+INDEX(Models!$BJ128:$BT128,,AH128+1)*AF128-ERP_i)*AE128*Ramure*Pc/MaxiM</f>
        <v>5.7112793237717075E-6</v>
      </c>
      <c r="AE128" s="305">
        <f t="shared" si="40"/>
        <v>0.7</v>
      </c>
      <c r="AF128" s="177">
        <f t="shared" si="41"/>
        <v>0.16270468073637301</v>
      </c>
      <c r="AG128" s="817">
        <f t="shared" si="49"/>
        <v>1</v>
      </c>
      <c r="AH128" s="176">
        <f t="shared" si="42"/>
        <v>7</v>
      </c>
      <c r="AI128" s="225">
        <f t="shared" si="43"/>
        <v>1.162704680736373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46137</v>
      </c>
      <c r="B129" s="411">
        <f>'2025'!Wh/'2025'!Env_an*'2026'!Env_an</f>
        <v>30.250554462734133</v>
      </c>
      <c r="C129" s="846"/>
      <c r="D129" s="393">
        <f t="shared" si="25"/>
        <v>32.254124627597406</v>
      </c>
      <c r="E129" s="385">
        <f t="shared" si="47"/>
        <v>34.609832496093716</v>
      </c>
      <c r="F129" s="385">
        <f t="shared" si="26"/>
        <v>34.609832496093716</v>
      </c>
      <c r="G129" s="110">
        <f t="shared" si="48"/>
        <v>0.82976586975157329</v>
      </c>
      <c r="H129" s="414" t="b">
        <f>Wh_hp&gt;='2025'!Maxi_hp</f>
        <v>0</v>
      </c>
      <c r="I129" s="390">
        <f>IF(H129,Wh_hp,'2025'!Maxi_hp)</f>
        <v>37.502516618915408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6.2118262020633863E-2</v>
      </c>
      <c r="M129" s="850"/>
      <c r="N129" s="850"/>
      <c r="O129" s="48">
        <f>IF(t&lt;Tnet,'2025'!Resal+('2025'!Salim-'2025'!Resal)*(1-EXP(('2025'!Tnet-t)/('2025'!Tau_j))),Resal+(Salim-Resal)*(1-EXP((Tnet-t)/(Tau_j))))*Salcycl</f>
        <v>6.8064700075106968E-2</v>
      </c>
      <c r="P129" s="169">
        <f>(INDEX(Models!$BJ129:$BT129,,T129)*(1-R129)+INDEX(Models!$BJ129:$BT129,,T129+1)*R129-ERP_i)*Q129*Ramure*Pc/MaxiM</f>
        <v>0</v>
      </c>
      <c r="Q129" s="305">
        <f t="shared" si="28"/>
        <v>0.7</v>
      </c>
      <c r="R129" s="177">
        <f t="shared" si="29"/>
        <v>0.54115215286528273</v>
      </c>
      <c r="S129" s="817">
        <f t="shared" si="30"/>
        <v>-2</v>
      </c>
      <c r="T129" s="176">
        <f t="shared" si="31"/>
        <v>4</v>
      </c>
      <c r="U129" s="251">
        <f t="shared" si="32"/>
        <v>-1.4588478471347173</v>
      </c>
      <c r="V129" s="383">
        <f t="shared" si="33"/>
        <v>36.456735044779506</v>
      </c>
      <c r="W129" s="402">
        <f t="shared" si="34"/>
        <v>30.250554462734133</v>
      </c>
      <c r="X129" s="157">
        <f t="shared" si="35"/>
        <v>46137</v>
      </c>
      <c r="Y129" s="385">
        <f t="shared" si="36"/>
        <v>28.610223440444159</v>
      </c>
      <c r="Z129" s="385">
        <f t="shared" si="37"/>
        <v>30.505150363716325</v>
      </c>
      <c r="AA129" s="386">
        <f t="shared" si="38"/>
        <v>34.609689658486644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0.11859509100694426</v>
      </c>
      <c r="AD129" s="231">
        <f>(INDEX(Models!$BJ129:$BT129,,AH129)*(1-AF129)+INDEX(Models!$BJ129:$BT129,,AH129+1)*AF129-ERP_i)*AE129*Ramure*Pc/MaxiM</f>
        <v>5.4532716618124515E-6</v>
      </c>
      <c r="AE129" s="305">
        <f t="shared" si="40"/>
        <v>0.7</v>
      </c>
      <c r="AF129" s="177">
        <f t="shared" si="41"/>
        <v>0.16501552224133875</v>
      </c>
      <c r="AG129" s="817">
        <f t="shared" si="49"/>
        <v>1</v>
      </c>
      <c r="AH129" s="176">
        <f t="shared" si="42"/>
        <v>7</v>
      </c>
      <c r="AI129" s="225">
        <f t="shared" si="43"/>
        <v>1.1650155222413388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46138</v>
      </c>
      <c r="B130" s="411">
        <f>'2025'!Wh/'2025'!Env_an*'2026'!Env_an</f>
        <v>34.937827694707174</v>
      </c>
      <c r="C130" s="846"/>
      <c r="D130" s="393">
        <f t="shared" si="25"/>
        <v>37.252663661874976</v>
      </c>
      <c r="E130" s="385">
        <f t="shared" si="47"/>
        <v>39.97943878783088</v>
      </c>
      <c r="F130" s="385">
        <f t="shared" si="26"/>
        <v>39.97943878783088</v>
      </c>
      <c r="G130" s="110">
        <f t="shared" si="48"/>
        <v>0.95563309531538743</v>
      </c>
      <c r="H130" s="414" t="b">
        <f>Wh_hp&gt;='2025'!Maxi_hp</f>
        <v>1</v>
      </c>
      <c r="I130" s="390">
        <f>IF(H130,Wh_hp,'2025'!Maxi_hp)</f>
        <v>39.97943878783088</v>
      </c>
      <c r="J130" s="85">
        <f>IF(H130,An,'2025'!An_max)</f>
        <v>2026</v>
      </c>
      <c r="K130" s="197">
        <f t="shared" si="27"/>
        <v>46138</v>
      </c>
      <c r="L130" s="147">
        <f>IF(t&lt;Tvie,1-EXP((T0-t)*PertePVj)+'2025'!Pspv,1-EXP((T0-t)*PertePVj)+Pspv)</f>
        <v>6.2138804037705553E-2</v>
      </c>
      <c r="M130" s="850"/>
      <c r="N130" s="850"/>
      <c r="O130" s="48">
        <f>IF(t&lt;Tnet,'2025'!Resal+('2025'!Salim-'2025'!Resal)*(1-EXP(('2025'!Tnet-t)/('2025'!Tau_j))),Resal+(Salim-Resal)*(1-EXP((Tnet-t)/(Tau_j))))*Salcycl</f>
        <v>6.8204437296550804E-2</v>
      </c>
      <c r="P130" s="169">
        <f>(INDEX(Models!$BJ130:$BT130,,T130)*(1-R130)+INDEX(Models!$BJ130:$BT130,,T130+1)*R130-ERP_i)*Q130*Ramure*Pc/MaxiM</f>
        <v>0</v>
      </c>
      <c r="Q130" s="305">
        <f t="shared" si="28"/>
        <v>0.7</v>
      </c>
      <c r="R130" s="177">
        <f t="shared" si="29"/>
        <v>0.54353410964314164</v>
      </c>
      <c r="S130" s="817">
        <f t="shared" si="30"/>
        <v>-2</v>
      </c>
      <c r="T130" s="176">
        <f t="shared" si="31"/>
        <v>4</v>
      </c>
      <c r="U130" s="251">
        <f t="shared" si="32"/>
        <v>-1.4564658903568584</v>
      </c>
      <c r="V130" s="383">
        <f t="shared" si="33"/>
        <v>36.559876239088027</v>
      </c>
      <c r="W130" s="402">
        <f t="shared" si="34"/>
        <v>34.937827694707174</v>
      </c>
      <c r="X130" s="157">
        <f t="shared" si="35"/>
        <v>46138</v>
      </c>
      <c r="Y130" s="385">
        <f t="shared" si="36"/>
        <v>33.044771671659539</v>
      </c>
      <c r="Z130" s="385">
        <f t="shared" si="37"/>
        <v>35.234181576042161</v>
      </c>
      <c r="AA130" s="386">
        <f t="shared" si="38"/>
        <v>39.97924427704168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0.11868815398605212</v>
      </c>
      <c r="AD130" s="231">
        <f>(INDEX(Models!$BJ130:$BT130,,AH130)*(1-AF130)+INDEX(Models!$BJ130:$BT130,,AH130+1)*AF130-ERP_i)*AE130*Ramure*Pc/MaxiM</f>
        <v>5.1945050712785259E-6</v>
      </c>
      <c r="AE130" s="305">
        <f t="shared" si="40"/>
        <v>0.7</v>
      </c>
      <c r="AF130" s="177">
        <f t="shared" si="41"/>
        <v>0.16739747901919766</v>
      </c>
      <c r="AG130" s="817">
        <f t="shared" si="49"/>
        <v>1</v>
      </c>
      <c r="AH130" s="176">
        <f t="shared" si="42"/>
        <v>7</v>
      </c>
      <c r="AI130" s="225">
        <f t="shared" si="43"/>
        <v>1.1673974790191977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46139</v>
      </c>
      <c r="B131" s="411">
        <f>'2025'!Wh/'2025'!Env_an*'2026'!Env_an</f>
        <v>25.346022587179551</v>
      </c>
      <c r="C131" s="846"/>
      <c r="D131" s="393">
        <f t="shared" si="25"/>
        <v>27.02593715509839</v>
      </c>
      <c r="E131" s="385">
        <f t="shared" si="47"/>
        <v>29.00852722844812</v>
      </c>
      <c r="F131" s="385">
        <f t="shared" si="26"/>
        <v>29.00852722844812</v>
      </c>
      <c r="G131" s="110">
        <f t="shared" si="48"/>
        <v>0.69139353311522522</v>
      </c>
      <c r="H131" s="414" t="b">
        <f>Wh_hp&gt;='2025'!Maxi_hp</f>
        <v>1</v>
      </c>
      <c r="I131" s="390">
        <f>IF(H131,Wh_hp,'2025'!Maxi_hp)</f>
        <v>29.00852722844812</v>
      </c>
      <c r="J131" s="85">
        <f>IF(H131,An,'2025'!An_max)</f>
        <v>2026</v>
      </c>
      <c r="K131" s="197">
        <f t="shared" si="27"/>
        <v>46139</v>
      </c>
      <c r="L131" s="147">
        <f>IF(t&lt;Tvie,1-EXP((T0-t)*PertePVj)+'2025'!Pspv,1-EXP((T0-t)*PertePVj)+Pspv)</f>
        <v>6.2159345604854477E-2</v>
      </c>
      <c r="M131" s="850"/>
      <c r="N131" s="850"/>
      <c r="O131" s="48">
        <f>IF(t&lt;Tnet,'2025'!Resal+('2025'!Salim-'2025'!Resal)*(1-EXP(('2025'!Tnet-t)/('2025'!Tau_j))),Resal+(Salim-Resal)*(1-EXP((Tnet-t)/(Tau_j))))*Salcycl</f>
        <v>6.8345078594870587E-2</v>
      </c>
      <c r="P131" s="169">
        <f>(INDEX(Models!$BJ131:$BT131,,T131)*(1-R131)+INDEX(Models!$BJ131:$BT131,,T131+1)*R131-ERP_i)*Q131*Ramure*Pc/MaxiM</f>
        <v>0</v>
      </c>
      <c r="Q131" s="305">
        <f t="shared" si="28"/>
        <v>0.7</v>
      </c>
      <c r="R131" s="177">
        <f t="shared" si="29"/>
        <v>0.54598841063027659</v>
      </c>
      <c r="S131" s="817">
        <f t="shared" si="30"/>
        <v>-2</v>
      </c>
      <c r="T131" s="176">
        <f t="shared" si="31"/>
        <v>4</v>
      </c>
      <c r="U131" s="251">
        <f t="shared" si="32"/>
        <v>-1.4540115893697234</v>
      </c>
      <c r="V131" s="383">
        <f t="shared" si="33"/>
        <v>36.659328404443535</v>
      </c>
      <c r="W131" s="402">
        <f t="shared" si="34"/>
        <v>25.346022587179551</v>
      </c>
      <c r="X131" s="157">
        <f t="shared" si="35"/>
        <v>46139</v>
      </c>
      <c r="Y131" s="385">
        <f t="shared" si="36"/>
        <v>23.9737776307507</v>
      </c>
      <c r="Z131" s="385">
        <f t="shared" si="37"/>
        <v>25.562740875434152</v>
      </c>
      <c r="AA131" s="386">
        <f t="shared" si="38"/>
        <v>29.008447195823148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0.11878285994174594</v>
      </c>
      <c r="AD131" s="231">
        <f>(INDEX(Models!$BJ131:$BT131,,AH131)*(1-AF131)+INDEX(Models!$BJ131:$BT131,,AH131+1)*AF131-ERP_i)*AE131*Ramure*Pc/MaxiM</f>
        <v>4.9343025579195332E-6</v>
      </c>
      <c r="AE131" s="305">
        <f t="shared" si="40"/>
        <v>0.7</v>
      </c>
      <c r="AF131" s="177">
        <f t="shared" si="41"/>
        <v>0.16985178000633261</v>
      </c>
      <c r="AG131" s="817">
        <f t="shared" si="49"/>
        <v>1</v>
      </c>
      <c r="AH131" s="176">
        <f t="shared" si="42"/>
        <v>7</v>
      </c>
      <c r="AI131" s="225">
        <f t="shared" si="43"/>
        <v>1.1698517800063326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46140</v>
      </c>
      <c r="B132" s="411">
        <f>'2025'!Wh/'2025'!Env_an*'2026'!Env_an</f>
        <v>16.220260439737096</v>
      </c>
      <c r="C132" s="846"/>
      <c r="D132" s="393">
        <f t="shared" si="25"/>
        <v>17.295705445091528</v>
      </c>
      <c r="E132" s="385">
        <f t="shared" si="47"/>
        <v>18.567318392381061</v>
      </c>
      <c r="F132" s="385">
        <f t="shared" si="26"/>
        <v>18.567318392381061</v>
      </c>
      <c r="G132" s="110">
        <f t="shared" si="48"/>
        <v>0.44130871640097452</v>
      </c>
      <c r="H132" s="414" t="b">
        <f>Wh_hp&gt;='2025'!Maxi_hp</f>
        <v>0</v>
      </c>
      <c r="I132" s="390">
        <f>IF(H132,Wh_hp,'2025'!Maxi_hp)</f>
        <v>31.162451823892468</v>
      </c>
      <c r="J132" s="85">
        <f>IF(H132,An,'2025'!An_max)</f>
        <v>2019</v>
      </c>
      <c r="K132" s="197">
        <f t="shared" si="27"/>
        <v>46140</v>
      </c>
      <c r="L132" s="147">
        <f>IF(t&lt;Tvie,1-EXP((T0-t)*PertePVj)+'2025'!Pspv,1-EXP((T0-t)*PertePVj)+Pspv)</f>
        <v>6.2179886722090294E-2</v>
      </c>
      <c r="M132" s="850"/>
      <c r="N132" s="850"/>
      <c r="O132" s="48">
        <f>IF(t&lt;Tnet,'2025'!Resal+('2025'!Salim-'2025'!Resal)*(1-EXP(('2025'!Tnet-t)/('2025'!Tau_j))),Resal+(Salim-Resal)*(1-EXP((Tnet-t)/(Tau_j))))*Salcycl</f>
        <v>6.8486623669432506E-2</v>
      </c>
      <c r="P132" s="169">
        <f>(INDEX(Models!$BJ132:$BT132,,T132)*(1-R132)+INDEX(Models!$BJ132:$BT132,,T132+1)*R132-ERP_i)*Q132*Ramure*Pc/MaxiM</f>
        <v>0</v>
      </c>
      <c r="Q132" s="305">
        <f t="shared" si="28"/>
        <v>0.7</v>
      </c>
      <c r="R132" s="177">
        <f t="shared" si="29"/>
        <v>0.54851623467315402</v>
      </c>
      <c r="S132" s="817">
        <f t="shared" si="30"/>
        <v>-2</v>
      </c>
      <c r="T132" s="176">
        <f t="shared" si="31"/>
        <v>4</v>
      </c>
      <c r="U132" s="251">
        <f t="shared" si="32"/>
        <v>-1.451483765326846</v>
      </c>
      <c r="V132" s="383">
        <f t="shared" si="33"/>
        <v>36.754906116559262</v>
      </c>
      <c r="W132" s="402">
        <f t="shared" si="34"/>
        <v>16.220260439737096</v>
      </c>
      <c r="X132" s="157">
        <f t="shared" si="35"/>
        <v>46140</v>
      </c>
      <c r="Y132" s="385">
        <f t="shared" si="36"/>
        <v>15.342769846571324</v>
      </c>
      <c r="Z132" s="385">
        <f t="shared" si="37"/>
        <v>16.360034967627861</v>
      </c>
      <c r="AA132" s="386">
        <f t="shared" si="38"/>
        <v>18.567300881064114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0.11887920207547978</v>
      </c>
      <c r="AD132" s="231">
        <f>(INDEX(Models!$BJ132:$BT132,,AH132)*(1-AF132)+INDEX(Models!$BJ132:$BT132,,AH132+1)*AF132-ERP_i)*AE132*Ramure*Pc/MaxiM</f>
        <v>4.6719556615403218E-6</v>
      </c>
      <c r="AE132" s="305">
        <f t="shared" si="40"/>
        <v>0.7</v>
      </c>
      <c r="AF132" s="177">
        <f t="shared" si="41"/>
        <v>0.17237960404921004</v>
      </c>
      <c r="AG132" s="817">
        <f t="shared" si="49"/>
        <v>1</v>
      </c>
      <c r="AH132" s="176">
        <f t="shared" si="42"/>
        <v>7</v>
      </c>
      <c r="AI132" s="225">
        <f t="shared" si="43"/>
        <v>1.17237960404921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46141</v>
      </c>
      <c r="B133" s="411">
        <f>'2025'!Wh/'2025'!Env_an*'2026'!Env_an</f>
        <v>27.611620835327734</v>
      </c>
      <c r="C133" s="846"/>
      <c r="D133" s="393">
        <f t="shared" si="25"/>
        <v>29.442987224300548</v>
      </c>
      <c r="E133" s="385">
        <f t="shared" si="47"/>
        <v>31.612525457458464</v>
      </c>
      <c r="F133" s="385">
        <f t="shared" si="26"/>
        <v>31.612525457458464</v>
      </c>
      <c r="G133" s="110">
        <f t="shared" si="48"/>
        <v>0.74937043282633198</v>
      </c>
      <c r="H133" s="414" t="b">
        <f>Wh_hp&gt;='2025'!Maxi_hp</f>
        <v>0</v>
      </c>
      <c r="I133" s="390">
        <f>IF(H133,Wh_hp,'2025'!Maxi_hp)</f>
        <v>39.72311913554482</v>
      </c>
      <c r="J133" s="85">
        <f>IF(H133,An,'2025'!An_max)</f>
        <v>2019</v>
      </c>
      <c r="K133" s="197">
        <f t="shared" si="27"/>
        <v>46141</v>
      </c>
      <c r="L133" s="147">
        <f>IF(t&lt;Tvie,1-EXP((T0-t)*PertePVj)+'2025'!Pspv,1-EXP((T0-t)*PertePVj)+Pspv)</f>
        <v>6.2200427389422996E-2</v>
      </c>
      <c r="M133" s="850"/>
      <c r="N133" s="850"/>
      <c r="O133" s="48">
        <f>IF(t&lt;Tnet,'2025'!Resal+('2025'!Salim-'2025'!Resal)*(1-EXP(('2025'!Tnet-t)/('2025'!Tau_j))),Resal+(Salim-Resal)*(1-EXP((Tnet-t)/(Tau_j))))*Salcycl</f>
        <v>6.862907033724662E-2</v>
      </c>
      <c r="P133" s="169">
        <f>(INDEX(Models!$BJ133:$BT133,,T133)*(1-R133)+INDEX(Models!$BJ133:$BT133,,T133+1)*R133-ERP_i)*Q133*Ramure*Pc/MaxiM</f>
        <v>0</v>
      </c>
      <c r="Q133" s="305">
        <f t="shared" si="28"/>
        <v>0.7</v>
      </c>
      <c r="R133" s="177">
        <f t="shared" si="29"/>
        <v>0.55111870443428601</v>
      </c>
      <c r="S133" s="817">
        <f t="shared" si="30"/>
        <v>-2</v>
      </c>
      <c r="T133" s="176">
        <f t="shared" si="31"/>
        <v>4</v>
      </c>
      <c r="U133" s="251">
        <f t="shared" si="32"/>
        <v>-1.448881295565714</v>
      </c>
      <c r="V133" s="383">
        <f t="shared" si="33"/>
        <v>36.846424179277406</v>
      </c>
      <c r="W133" s="402">
        <f t="shared" si="34"/>
        <v>27.611620835327734</v>
      </c>
      <c r="X133" s="157">
        <f t="shared" si="35"/>
        <v>46141</v>
      </c>
      <c r="Y133" s="385">
        <f t="shared" si="36"/>
        <v>26.11891645525743</v>
      </c>
      <c r="Z133" s="385">
        <f t="shared" si="37"/>
        <v>27.851277840263378</v>
      </c>
      <c r="AA133" s="386">
        <f t="shared" si="38"/>
        <v>31.612436027830039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0.11897717038495617</v>
      </c>
      <c r="AD133" s="231">
        <f>(INDEX(Models!$BJ133:$BT133,,AH133)*(1-AF133)+INDEX(Models!$BJ133:$BT133,,AH133+1)*AF133-ERP_i)*AE133*Ramure*Pc/MaxiM</f>
        <v>4.4067232855568718E-6</v>
      </c>
      <c r="AE133" s="305">
        <f t="shared" si="40"/>
        <v>0.7</v>
      </c>
      <c r="AF133" s="177">
        <f t="shared" si="41"/>
        <v>0.17498207381034203</v>
      </c>
      <c r="AG133" s="817">
        <f t="shared" si="49"/>
        <v>1</v>
      </c>
      <c r="AH133" s="176">
        <f t="shared" si="42"/>
        <v>7</v>
      </c>
      <c r="AI133" s="225">
        <f t="shared" si="43"/>
        <v>1.174982073810342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46142</v>
      </c>
      <c r="B134" s="411">
        <f>'2025'!Wh/'2025'!Env_an*'2026'!Env_an</f>
        <v>29.058565481264949</v>
      </c>
      <c r="C134" s="846"/>
      <c r="D134" s="393">
        <f t="shared" si="25"/>
        <v>30.986580502988851</v>
      </c>
      <c r="E134" s="385">
        <f t="shared" si="47"/>
        <v>33.274981308646524</v>
      </c>
      <c r="F134" s="385">
        <f t="shared" si="26"/>
        <v>33.274981308646524</v>
      </c>
      <c r="G134" s="110">
        <f t="shared" si="48"/>
        <v>0.78677650351398998</v>
      </c>
      <c r="H134" s="414" t="b">
        <f>Wh_hp&gt;='2025'!Maxi_hp</f>
        <v>0</v>
      </c>
      <c r="I134" s="390">
        <f>IF(H134,Wh_hp,'2025'!Maxi_hp)</f>
        <v>43.204941551644787</v>
      </c>
      <c r="J134" s="85">
        <f>IF(H134,An,'2025'!An_max)</f>
        <v>2019</v>
      </c>
      <c r="K134" s="197">
        <f t="shared" si="27"/>
        <v>46142</v>
      </c>
      <c r="L134" s="147">
        <f>IF(t&lt;Tvie,1-EXP((T0-t)*PertePVj)+'2025'!Pspv,1-EXP((T0-t)*PertePVj)+Pspv)</f>
        <v>6.2220967606862354E-2</v>
      </c>
      <c r="M134" s="850"/>
      <c r="N134" s="850"/>
      <c r="O134" s="48">
        <f>IF(t&lt;Tnet,'2025'!Resal+('2025'!Salim-'2025'!Resal)*(1-EXP(('2025'!Tnet-t)/('2025'!Tau_j))),Resal+(Salim-Resal)*(1-EXP((Tnet-t)/(Tau_j))))*Salcycl</f>
        <v>6.8772414458517769E-2</v>
      </c>
      <c r="P134" s="169">
        <f>(INDEX(Models!$BJ134:$BT134,,T134)*(1-R134)+INDEX(Models!$BJ134:$BT134,,T134+1)*R134-ERP_i)*Q134*Ramure*Pc/MaxiM</f>
        <v>0</v>
      </c>
      <c r="Q134" s="305">
        <f t="shared" si="28"/>
        <v>0.7</v>
      </c>
      <c r="R134" s="177">
        <f t="shared" si="29"/>
        <v>0.55379688009156514</v>
      </c>
      <c r="S134" s="817">
        <f t="shared" si="30"/>
        <v>-2</v>
      </c>
      <c r="T134" s="176">
        <f t="shared" si="31"/>
        <v>4</v>
      </c>
      <c r="U134" s="251">
        <f t="shared" si="32"/>
        <v>-1.4462031199084349</v>
      </c>
      <c r="V134" s="383">
        <f t="shared" si="33"/>
        <v>36.933697627573153</v>
      </c>
      <c r="W134" s="402">
        <f t="shared" si="34"/>
        <v>29.058565481264949</v>
      </c>
      <c r="X134" s="157">
        <f t="shared" si="35"/>
        <v>46142</v>
      </c>
      <c r="Y134" s="385">
        <f t="shared" si="36"/>
        <v>27.488760684214544</v>
      </c>
      <c r="Z134" s="385">
        <f t="shared" si="37"/>
        <v>29.312620281203568</v>
      </c>
      <c r="AA134" s="386">
        <f t="shared" si="38"/>
        <v>33.274885562328137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0.11907675155494488</v>
      </c>
      <c r="AD134" s="231">
        <f>(INDEX(Models!$BJ134:$BT134,,AH134)*(1-AF134)+INDEX(Models!$BJ134:$BT134,,AH134+1)*AF134-ERP_i)*AE134*Ramure*Pc/MaxiM</f>
        <v>4.1378305006093645E-6</v>
      </c>
      <c r="AE134" s="305">
        <f t="shared" si="40"/>
        <v>0.7</v>
      </c>
      <c r="AF134" s="177">
        <f t="shared" si="41"/>
        <v>0.17766024946762116</v>
      </c>
      <c r="AG134" s="817">
        <f t="shared" si="49"/>
        <v>1</v>
      </c>
      <c r="AH134" s="176">
        <f t="shared" si="42"/>
        <v>7</v>
      </c>
      <c r="AI134" s="225">
        <f t="shared" si="43"/>
        <v>1.1776602494676212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46143</v>
      </c>
      <c r="B135" s="411">
        <f>'2025'!Wh/'2025'!Env_an*'2026'!Env_an</f>
        <v>29.951050983555191</v>
      </c>
      <c r="C135" s="846"/>
      <c r="D135" s="393">
        <f t="shared" si="25"/>
        <v>31.93898132524162</v>
      </c>
      <c r="E135" s="385">
        <f t="shared" si="47"/>
        <v>34.3030313242744</v>
      </c>
      <c r="F135" s="385">
        <f t="shared" si="26"/>
        <v>34.3030313242744</v>
      </c>
      <c r="G135" s="110">
        <f t="shared" si="48"/>
        <v>0.80911148570637681</v>
      </c>
      <c r="H135" s="414" t="b">
        <f>Wh_hp&gt;='2025'!Maxi_hp</f>
        <v>0</v>
      </c>
      <c r="I135" s="390">
        <f>IF(H135,Wh_hp,'2025'!Maxi_hp)</f>
        <v>40.273883228930465</v>
      </c>
      <c r="J135" s="85">
        <f>IF(H135,An,'2025'!An_max)</f>
        <v>2019</v>
      </c>
      <c r="K135" s="197">
        <f t="shared" si="27"/>
        <v>46143</v>
      </c>
      <c r="L135" s="147">
        <f>IF(t&lt;Tvie,1-EXP((T0-t)*PertePVj)+'2025'!Pspv,1-EXP((T0-t)*PertePVj)+Pspv)</f>
        <v>6.2241507374418137E-2</v>
      </c>
      <c r="M135" s="850"/>
      <c r="N135" s="850"/>
      <c r="O135" s="48">
        <f>IF(t&lt;Tnet,'2025'!Resal+('2025'!Salim-'2025'!Resal)*(1-EXP(('2025'!Tnet-t)/('2025'!Tau_j))),Resal+(Salim-Resal)*(1-EXP((Tnet-t)/(Tau_j))))*Salcycl</f>
        <v>6.8916649863531756E-2</v>
      </c>
      <c r="P135" s="169">
        <f>(INDEX(Models!$BJ135:$BT135,,T135)*(1-R135)+INDEX(Models!$BJ135:$BT135,,T135+1)*R135-ERP_i)*Q135*Ramure*Pc/MaxiM</f>
        <v>0</v>
      </c>
      <c r="Q135" s="305">
        <f t="shared" si="28"/>
        <v>0.7</v>
      </c>
      <c r="R135" s="177">
        <f t="shared" si="29"/>
        <v>0.5565517528496251</v>
      </c>
      <c r="S135" s="817">
        <f t="shared" si="30"/>
        <v>-2</v>
      </c>
      <c r="T135" s="176">
        <f t="shared" si="31"/>
        <v>4</v>
      </c>
      <c r="U135" s="251">
        <f t="shared" si="32"/>
        <v>-1.4434482471503749</v>
      </c>
      <c r="V135" s="383">
        <f t="shared" si="33"/>
        <v>37.017211487743367</v>
      </c>
      <c r="W135" s="402">
        <f t="shared" si="34"/>
        <v>29.951050983555191</v>
      </c>
      <c r="X135" s="157">
        <f t="shared" si="35"/>
        <v>46143</v>
      </c>
      <c r="Y135" s="385">
        <f t="shared" si="36"/>
        <v>28.334168588655103</v>
      </c>
      <c r="Z135" s="385">
        <f t="shared" si="37"/>
        <v>30.214782176297565</v>
      </c>
      <c r="AA135" s="386">
        <f t="shared" si="38"/>
        <v>34.302934912708466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0.11917792885110631</v>
      </c>
      <c r="AD135" s="231">
        <f>(INDEX(Models!$BJ135:$BT135,,AH135)*(1-AF135)+INDEX(Models!$BJ135:$BT135,,AH135+1)*AF135-ERP_i)*AE135*Ramure*Pc/MaxiM</f>
        <v>3.8643974063785483E-6</v>
      </c>
      <c r="AE135" s="305">
        <f t="shared" si="40"/>
        <v>0.7</v>
      </c>
      <c r="AF135" s="177">
        <f t="shared" si="41"/>
        <v>0.18041512222568112</v>
      </c>
      <c r="AG135" s="817">
        <f t="shared" si="49"/>
        <v>1</v>
      </c>
      <c r="AH135" s="176">
        <f t="shared" si="42"/>
        <v>7</v>
      </c>
      <c r="AI135" s="225">
        <f t="shared" si="43"/>
        <v>1.1804151222256811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46144</v>
      </c>
      <c r="B136" s="411">
        <f>'2025'!Wh/'2025'!Env_an*'2026'!Env_an</f>
        <v>17.448843895040095</v>
      </c>
      <c r="C136" s="846"/>
      <c r="D136" s="393">
        <f t="shared" si="25"/>
        <v>18.607377288600468</v>
      </c>
      <c r="E136" s="385">
        <f t="shared" si="47"/>
        <v>19.987767882573063</v>
      </c>
      <c r="F136" s="385">
        <f t="shared" si="26"/>
        <v>19.987767882573063</v>
      </c>
      <c r="G136" s="110">
        <f t="shared" si="48"/>
        <v>0.47035077435039907</v>
      </c>
      <c r="H136" s="414" t="b">
        <f>Wh_hp&gt;='2025'!Maxi_hp</f>
        <v>0</v>
      </c>
      <c r="I136" s="390">
        <f>IF(H136,Wh_hp,'2025'!Maxi_hp)</f>
        <v>28.08893330221149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6.2262046692100448E-2</v>
      </c>
      <c r="M136" s="850"/>
      <c r="N136" s="850"/>
      <c r="O136" s="48">
        <f>IF(t&lt;Tnet,'2025'!Resal+('2025'!Salim-'2025'!Resal)*(1-EXP(('2025'!Tnet-t)/('2025'!Tau_j))),Resal+(Salim-Resal)*(1-EXP((Tnet-t)/(Tau_j))))*Salcycl</f>
        <v>6.9061768281596367E-2</v>
      </c>
      <c r="P136" s="169">
        <f>(INDEX(Models!$BJ136:$BT136,,T136)*(1-R136)+INDEX(Models!$BJ136:$BT136,,T136+1)*R136-ERP_i)*Q136*Ramure*Pc/MaxiM</f>
        <v>0</v>
      </c>
      <c r="Q136" s="305">
        <f t="shared" si="28"/>
        <v>0.7</v>
      </c>
      <c r="R136" s="177">
        <f t="shared" si="29"/>
        <v>0.55938423828506023</v>
      </c>
      <c r="S136" s="817">
        <f t="shared" si="30"/>
        <v>-2</v>
      </c>
      <c r="T136" s="176">
        <f t="shared" si="31"/>
        <v>4</v>
      </c>
      <c r="U136" s="251">
        <f t="shared" si="32"/>
        <v>-1.4406157617149398</v>
      </c>
      <c r="V136" s="383">
        <f t="shared" si="33"/>
        <v>37.09751284908306</v>
      </c>
      <c r="W136" s="402">
        <f t="shared" si="34"/>
        <v>17.448843895040095</v>
      </c>
      <c r="X136" s="157">
        <f t="shared" si="35"/>
        <v>46144</v>
      </c>
      <c r="Y136" s="385">
        <f t="shared" si="36"/>
        <v>16.507561875118871</v>
      </c>
      <c r="Z136" s="385">
        <f t="shared" si="37"/>
        <v>17.603597910149563</v>
      </c>
      <c r="AA136" s="386">
        <f t="shared" si="38"/>
        <v>19.98775041120415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0.1192806820180299</v>
      </c>
      <c r="AD136" s="231">
        <f>(INDEX(Models!$BJ136:$BT136,,AH136)*(1-AF136)+INDEX(Models!$BJ136:$BT136,,AH136+1)*AF136-ERP_i)*AE136*Ramure*Pc/MaxiM</f>
        <v>3.591836543465272E-6</v>
      </c>
      <c r="AE136" s="305">
        <f t="shared" si="40"/>
        <v>0.7</v>
      </c>
      <c r="AF136" s="177">
        <f t="shared" si="41"/>
        <v>0.18324760766111625</v>
      </c>
      <c r="AG136" s="817">
        <f t="shared" si="49"/>
        <v>1</v>
      </c>
      <c r="AH136" s="176">
        <f t="shared" si="42"/>
        <v>7</v>
      </c>
      <c r="AI136" s="225">
        <f t="shared" si="43"/>
        <v>1.1832476076611163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46145</v>
      </c>
      <c r="B137" s="411">
        <f>'2025'!Wh/'2025'!Env_an*'2026'!Env_an</f>
        <v>19.39004020256154</v>
      </c>
      <c r="C137" s="846"/>
      <c r="D137" s="393">
        <f t="shared" si="25"/>
        <v>20.677914160461118</v>
      </c>
      <c r="E137" s="385">
        <f t="shared" si="47"/>
        <v>22.215391637027544</v>
      </c>
      <c r="F137" s="385">
        <f t="shared" si="26"/>
        <v>22.215391637027544</v>
      </c>
      <c r="G137" s="110">
        <f t="shared" si="48"/>
        <v>0.52159504264757028</v>
      </c>
      <c r="H137" s="414" t="b">
        <f>Wh_hp&gt;='2025'!Maxi_hp</f>
        <v>0</v>
      </c>
      <c r="I137" s="390">
        <f>IF(H137,Wh_hp,'2025'!Maxi_hp)</f>
        <v>42.400180832539675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6.2282585559918835E-2</v>
      </c>
      <c r="M137" s="850"/>
      <c r="N137" s="850"/>
      <c r="O137" s="48">
        <f>IF(t&lt;Tnet,'2025'!Resal+('2025'!Salim-'2025'!Resal)*(1-EXP(('2025'!Tnet-t)/('2025'!Tau_j))),Resal+(Salim-Resal)*(1-EXP((Tnet-t)/(Tau_j))))*Salcycl</f>
        <v>6.9207759272802247E-2</v>
      </c>
      <c r="P137" s="169">
        <f>(INDEX(Models!$BJ137:$BT137,,T137)*(1-R137)+INDEX(Models!$BJ137:$BT137,,T137+1)*R137-ERP_i)*Q137*Ramure*Pc/MaxiM</f>
        <v>0</v>
      </c>
      <c r="Q137" s="305">
        <f t="shared" si="28"/>
        <v>0.7</v>
      </c>
      <c r="R137" s="177">
        <f t="shared" si="29"/>
        <v>0.56229516955062397</v>
      </c>
      <c r="S137" s="817">
        <f t="shared" si="30"/>
        <v>-2</v>
      </c>
      <c r="T137" s="176">
        <f t="shared" si="31"/>
        <v>4</v>
      </c>
      <c r="U137" s="251">
        <f t="shared" si="32"/>
        <v>-1.437704830449376</v>
      </c>
      <c r="V137" s="383">
        <f t="shared" si="33"/>
        <v>37.174510141314641</v>
      </c>
      <c r="W137" s="402">
        <f t="shared" si="34"/>
        <v>19.39004020256154</v>
      </c>
      <c r="X137" s="157">
        <f t="shared" si="35"/>
        <v>46145</v>
      </c>
      <c r="Y137" s="385">
        <f t="shared" si="36"/>
        <v>18.344740893431037</v>
      </c>
      <c r="Z137" s="385">
        <f t="shared" si="37"/>
        <v>19.563186745747743</v>
      </c>
      <c r="AA137" s="386">
        <f t="shared" si="38"/>
        <v>22.215368192692804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0.11938498718276615</v>
      </c>
      <c r="AD137" s="231">
        <f>(INDEX(Models!$BJ137:$BT137,,AH137)*(1-AF137)+INDEX(Models!$BJ137:$BT137,,AH137+1)*AF137-ERP_i)*AE137*Ramure*Pc/MaxiM</f>
        <v>3.3336648766954916E-6</v>
      </c>
      <c r="AE137" s="305">
        <f t="shared" si="40"/>
        <v>0.7</v>
      </c>
      <c r="AF137" s="177">
        <f t="shared" si="41"/>
        <v>0.18615853892668</v>
      </c>
      <c r="AG137" s="817">
        <f t="shared" si="49"/>
        <v>1</v>
      </c>
      <c r="AH137" s="176">
        <f t="shared" si="42"/>
        <v>7</v>
      </c>
      <c r="AI137" s="225">
        <f t="shared" si="43"/>
        <v>1.18615853892668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46146</v>
      </c>
      <c r="B138" s="411">
        <f>'2025'!Wh/'2025'!Env_an*'2026'!Env_an</f>
        <v>13.516168128005125</v>
      </c>
      <c r="C138" s="846"/>
      <c r="D138" s="393">
        <f t="shared" si="25"/>
        <v>14.414219001499939</v>
      </c>
      <c r="E138" s="385">
        <f t="shared" si="47"/>
        <v>15.488411761251898</v>
      </c>
      <c r="F138" s="385">
        <f t="shared" si="26"/>
        <v>15.488411761251898</v>
      </c>
      <c r="G138" s="110">
        <f t="shared" si="48"/>
        <v>0.36286854319506556</v>
      </c>
      <c r="H138" s="414" t="b">
        <f>Wh_hp&gt;='2025'!Maxi_hp</f>
        <v>0</v>
      </c>
      <c r="I138" s="390">
        <f>IF(H138,Wh_hp,'2025'!Maxi_hp)</f>
        <v>39.79073296578693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6.2303123977883401E-2</v>
      </c>
      <c r="M138" s="850"/>
      <c r="N138" s="850"/>
      <c r="O138" s="48">
        <f>IF(t&lt;Tnet,'2025'!Resal+('2025'!Salim-'2025'!Resal)*(1-EXP(('2025'!Tnet-t)/('2025'!Tau_j))),Resal+(Salim-Resal)*(1-EXP((Tnet-t)/(Tau_j))))*Salcycl</f>
        <v>6.9354610163407368E-2</v>
      </c>
      <c r="P138" s="169">
        <f>(INDEX(Models!$BJ138:$BT138,,T138)*(1-R138)+INDEX(Models!$BJ138:$BT138,,T138+1)*R138-ERP_i)*Q138*Ramure*Pc/MaxiM</f>
        <v>0</v>
      </c>
      <c r="Q138" s="305">
        <f t="shared" si="28"/>
        <v>0.7</v>
      </c>
      <c r="R138" s="177">
        <f t="shared" si="29"/>
        <v>0.56528529046691434</v>
      </c>
      <c r="S138" s="817">
        <f t="shared" si="30"/>
        <v>-2</v>
      </c>
      <c r="T138" s="176">
        <f t="shared" si="31"/>
        <v>4</v>
      </c>
      <c r="U138" s="251">
        <f t="shared" si="32"/>
        <v>-1.4347147095330857</v>
      </c>
      <c r="V138" s="383">
        <f t="shared" si="33"/>
        <v>37.248111971886473</v>
      </c>
      <c r="W138" s="402">
        <f t="shared" si="34"/>
        <v>13.516168128005125</v>
      </c>
      <c r="X138" s="157">
        <f t="shared" si="35"/>
        <v>46146</v>
      </c>
      <c r="Y138" s="385">
        <f t="shared" si="36"/>
        <v>12.788014625053574</v>
      </c>
      <c r="Z138" s="385">
        <f t="shared" si="37"/>
        <v>13.637685004670907</v>
      </c>
      <c r="AA138" s="386">
        <f t="shared" si="38"/>
        <v>15.48840746279191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0.11949081676518571</v>
      </c>
      <c r="AD138" s="231">
        <f>(INDEX(Models!$BJ138:$BT138,,AH138)*(1-AF138)+INDEX(Models!$BJ138:$BT138,,AH138+1)*AF138-ERP_i)*AE138*Ramure*Pc/MaxiM</f>
        <v>3.0900865641642442E-6</v>
      </c>
      <c r="AE138" s="305">
        <f t="shared" si="40"/>
        <v>0.7</v>
      </c>
      <c r="AF138" s="177">
        <f t="shared" si="41"/>
        <v>0.18914865984297036</v>
      </c>
      <c r="AG138" s="817">
        <f t="shared" si="49"/>
        <v>1</v>
      </c>
      <c r="AH138" s="176">
        <f t="shared" si="42"/>
        <v>7</v>
      </c>
      <c r="AI138" s="225">
        <f t="shared" si="43"/>
        <v>1.1891486598429704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46147</v>
      </c>
      <c r="B139" s="411">
        <f>'2025'!Wh/'2025'!Env_an*'2026'!Env_an</f>
        <v>26.432308598511572</v>
      </c>
      <c r="C139" s="846"/>
      <c r="D139" s="393">
        <f t="shared" si="25"/>
        <v>28.189160295297402</v>
      </c>
      <c r="E139" s="385">
        <f t="shared" si="47"/>
        <v>30.294712686159112</v>
      </c>
      <c r="F139" s="385">
        <f t="shared" si="26"/>
        <v>30.294712686159112</v>
      </c>
      <c r="G139" s="110">
        <f t="shared" si="48"/>
        <v>0.70829486362927863</v>
      </c>
      <c r="H139" s="414" t="b">
        <f>Wh_hp&gt;='2025'!Maxi_hp</f>
        <v>0</v>
      </c>
      <c r="I139" s="390">
        <f>IF(H139,Wh_hp,'2025'!Maxi_hp)</f>
        <v>40.603023029597871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6.2323661946003917E-2</v>
      </c>
      <c r="M139" s="850"/>
      <c r="N139" s="850"/>
      <c r="O139" s="48">
        <f>IF(t&lt;Tnet,'2025'!Resal+('2025'!Salim-'2025'!Resal)*(1-EXP(('2025'!Tnet-t)/('2025'!Tau_j))),Resal+(Salim-Resal)*(1-EXP((Tnet-t)/(Tau_j))))*Salcycl</f>
        <v>6.9502305985680649E-2</v>
      </c>
      <c r="P139" s="169">
        <f>(INDEX(Models!$BJ139:$BT139,,T139)*(1-R139)+INDEX(Models!$BJ139:$BT139,,T139+1)*R139-ERP_i)*Q139*Ramure*Pc/MaxiM</f>
        <v>0</v>
      </c>
      <c r="Q139" s="305">
        <f t="shared" si="28"/>
        <v>0.7</v>
      </c>
      <c r="R139" s="177">
        <f t="shared" si="29"/>
        <v>0.56835524853349084</v>
      </c>
      <c r="S139" s="817">
        <f t="shared" si="30"/>
        <v>-2</v>
      </c>
      <c r="T139" s="176">
        <f t="shared" si="31"/>
        <v>4</v>
      </c>
      <c r="U139" s="251">
        <f t="shared" si="32"/>
        <v>-1.4316447514665092</v>
      </c>
      <c r="V139" s="383">
        <f t="shared" si="33"/>
        <v>37.318227133645053</v>
      </c>
      <c r="W139" s="402">
        <f t="shared" si="34"/>
        <v>26.432308598511572</v>
      </c>
      <c r="X139" s="157">
        <f t="shared" si="35"/>
        <v>46147</v>
      </c>
      <c r="Y139" s="385">
        <f t="shared" si="36"/>
        <v>25.009212791572324</v>
      </c>
      <c r="Z139" s="385">
        <f t="shared" si="37"/>
        <v>26.671476901587518</v>
      </c>
      <c r="AA139" s="386">
        <f t="shared" si="38"/>
        <v>30.294662125436531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0.11959813939653914</v>
      </c>
      <c r="AD139" s="231">
        <f>(INDEX(Models!$BJ139:$BT139,,AH139)*(1-AF139)+INDEX(Models!$BJ139:$BT139,,AH139+1)*AF139-ERP_i)*AE139*Ramure*Pc/MaxiM</f>
        <v>2.8613471903865883E-6</v>
      </c>
      <c r="AE139" s="305">
        <f t="shared" si="40"/>
        <v>0.7</v>
      </c>
      <c r="AF139" s="177">
        <f t="shared" si="41"/>
        <v>0.19221861790954686</v>
      </c>
      <c r="AG139" s="817">
        <f t="shared" si="49"/>
        <v>1</v>
      </c>
      <c r="AH139" s="176">
        <f t="shared" si="42"/>
        <v>7</v>
      </c>
      <c r="AI139" s="225">
        <f t="shared" si="43"/>
        <v>1.1922186179095469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46148</v>
      </c>
      <c r="B140" s="411">
        <f>'2025'!Wh/'2025'!Env_an*'2026'!Env_an</f>
        <v>24.528137282045513</v>
      </c>
      <c r="C140" s="846"/>
      <c r="D140" s="393">
        <f t="shared" si="25"/>
        <v>26.1589991423632</v>
      </c>
      <c r="E140" s="385">
        <f t="shared" si="47"/>
        <v>28.117399326686311</v>
      </c>
      <c r="F140" s="385">
        <f t="shared" si="26"/>
        <v>28.117399326686311</v>
      </c>
      <c r="G140" s="110">
        <f t="shared" si="48"/>
        <v>0.65609981884152646</v>
      </c>
      <c r="H140" s="414" t="b">
        <f>Wh_hp&gt;='2025'!Maxi_hp</f>
        <v>0</v>
      </c>
      <c r="I140" s="390">
        <f>IF(H140,Wh_hp,'2025'!Maxi_hp)</f>
        <v>44.619992536921345</v>
      </c>
      <c r="J140" s="85">
        <f>IF(H140,An,'2025'!An_max)</f>
        <v>2019</v>
      </c>
      <c r="K140" s="197">
        <f t="shared" si="27"/>
        <v>46148</v>
      </c>
      <c r="L140" s="147">
        <f>IF(t&lt;Tvie,1-EXP((T0-t)*PertePVj)+'2025'!Pspv,1-EXP((T0-t)*PertePVj)+Pspv)</f>
        <v>6.2344199464290151E-2</v>
      </c>
      <c r="M140" s="850"/>
      <c r="N140" s="850"/>
      <c r="O140" s="48">
        <f>IF(t&lt;Tnet,'2025'!Resal+('2025'!Salim-'2025'!Resal)*(1-EXP(('2025'!Tnet-t)/('2025'!Tau_j))),Resal+(Salim-Resal)*(1-EXP((Tnet-t)/(Tau_j))))*Salcycl</f>
        <v>6.9650829423060764E-2</v>
      </c>
      <c r="P140" s="169">
        <f>(INDEX(Models!$BJ140:$BT140,,T140)*(1-R140)+INDEX(Models!$BJ140:$BT140,,T140+1)*R140-ERP_i)*Q140*Ramure*Pc/MaxiM</f>
        <v>0</v>
      </c>
      <c r="Q140" s="305">
        <f t="shared" si="28"/>
        <v>0.7</v>
      </c>
      <c r="R140" s="177">
        <f t="shared" si="29"/>
        <v>0.57150558789483208</v>
      </c>
      <c r="S140" s="817">
        <f t="shared" si="30"/>
        <v>-2</v>
      </c>
      <c r="T140" s="176">
        <f t="shared" si="31"/>
        <v>4</v>
      </c>
      <c r="U140" s="251">
        <f t="shared" si="32"/>
        <v>-1.4284944121051679</v>
      </c>
      <c r="V140" s="383">
        <f t="shared" si="33"/>
        <v>37.38476460084194</v>
      </c>
      <c r="W140" s="402">
        <f t="shared" si="34"/>
        <v>24.528137282045513</v>
      </c>
      <c r="X140" s="157">
        <f t="shared" si="35"/>
        <v>46148</v>
      </c>
      <c r="Y140" s="385">
        <f t="shared" si="36"/>
        <v>23.208405100161116</v>
      </c>
      <c r="Z140" s="385">
        <f t="shared" si="37"/>
        <v>24.751518720303849</v>
      </c>
      <c r="AA140" s="386">
        <f t="shared" si="38"/>
        <v>28.117361454232036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0.11970691984761538</v>
      </c>
      <c r="AD140" s="231">
        <f>(INDEX(Models!$BJ140:$BT140,,AH140)*(1-AF140)+INDEX(Models!$BJ140:$BT140,,AH140+1)*AF140-ERP_i)*AE140*Ramure*Pc/MaxiM</f>
        <v>2.6477354390689396E-6</v>
      </c>
      <c r="AE140" s="305">
        <f t="shared" si="40"/>
        <v>0.7</v>
      </c>
      <c r="AF140" s="177">
        <f t="shared" si="41"/>
        <v>0.1953689572708881</v>
      </c>
      <c r="AG140" s="817">
        <f t="shared" si="49"/>
        <v>1</v>
      </c>
      <c r="AH140" s="176">
        <f t="shared" si="42"/>
        <v>7</v>
      </c>
      <c r="AI140" s="225">
        <f t="shared" si="43"/>
        <v>1.1953689572708881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46149</v>
      </c>
      <c r="B141" s="411">
        <f>'2025'!Wh/'2025'!Env_an*'2026'!Env_an</f>
        <v>30.487666903915816</v>
      </c>
      <c r="C141" s="846"/>
      <c r="D141" s="393">
        <f t="shared" si="25"/>
        <v>32.515486662880576</v>
      </c>
      <c r="E141" s="385">
        <f t="shared" si="47"/>
        <v>34.955377641753955</v>
      </c>
      <c r="F141" s="385">
        <f t="shared" si="26"/>
        <v>34.955377641753955</v>
      </c>
      <c r="G141" s="110">
        <f t="shared" si="48"/>
        <v>0.81414134950341255</v>
      </c>
      <c r="H141" s="414" t="b">
        <f>Wh_hp&gt;='2025'!Maxi_hp</f>
        <v>0</v>
      </c>
      <c r="I141" s="390">
        <f>IF(H141,Wh_hp,'2025'!Maxi_hp)</f>
        <v>41.484775655026766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6.2364736532752096E-2</v>
      </c>
      <c r="M141" s="850"/>
      <c r="N141" s="850"/>
      <c r="O141" s="48">
        <f>IF(t&lt;Tnet,'2025'!Resal+('2025'!Salim-'2025'!Resal)*(1-EXP(('2025'!Tnet-t)/('2025'!Tau_j))),Resal+(Salim-Resal)*(1-EXP((Tnet-t)/(Tau_j))))*Salcycl</f>
        <v>6.9800160761500266E-2</v>
      </c>
      <c r="P141" s="169">
        <f>(INDEX(Models!$BJ141:$BT141,,T141)*(1-R141)+INDEX(Models!$BJ141:$BT141,,T141+1)*R141-ERP_i)*Q141*Ramure*Pc/MaxiM</f>
        <v>0</v>
      </c>
      <c r="Q141" s="305">
        <f t="shared" si="28"/>
        <v>0.7</v>
      </c>
      <c r="R141" s="177">
        <f t="shared" si="29"/>
        <v>0.5747367422999845</v>
      </c>
      <c r="S141" s="817">
        <f t="shared" si="30"/>
        <v>-2</v>
      </c>
      <c r="T141" s="176">
        <f t="shared" si="31"/>
        <v>4</v>
      </c>
      <c r="U141" s="251">
        <f t="shared" si="32"/>
        <v>-1.4252632577000155</v>
      </c>
      <c r="V141" s="383">
        <f t="shared" si="33"/>
        <v>37.447633537483192</v>
      </c>
      <c r="W141" s="402">
        <f t="shared" si="34"/>
        <v>30.487666903915816</v>
      </c>
      <c r="X141" s="157">
        <f t="shared" si="35"/>
        <v>46149</v>
      </c>
      <c r="Y141" s="385">
        <f t="shared" si="36"/>
        <v>28.848289452131322</v>
      </c>
      <c r="Z141" s="385">
        <f t="shared" si="37"/>
        <v>30.767069644388442</v>
      </c>
      <c r="AA141" s="386">
        <f t="shared" si="38"/>
        <v>34.955314750397434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0.11981711896790667</v>
      </c>
      <c r="AD141" s="231">
        <f>(INDEX(Models!$BJ141:$BT141,,AH141)*(1-AF141)+INDEX(Models!$BJ141:$BT141,,AH141+1)*AF141-ERP_i)*AE141*Ramure*Pc/MaxiM</f>
        <v>2.4495847559446781E-6</v>
      </c>
      <c r="AE141" s="305">
        <f t="shared" si="40"/>
        <v>0.7</v>
      </c>
      <c r="AF141" s="177">
        <f t="shared" si="41"/>
        <v>0.19860011167604052</v>
      </c>
      <c r="AG141" s="817">
        <f t="shared" si="49"/>
        <v>1</v>
      </c>
      <c r="AH141" s="176">
        <f t="shared" si="42"/>
        <v>7</v>
      </c>
      <c r="AI141" s="225">
        <f t="shared" si="43"/>
        <v>1.1986001116760405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46150</v>
      </c>
      <c r="B142" s="411">
        <f>'2025'!Wh/'2025'!Env_an*'2026'!Env_an</f>
        <v>31.451073300114974</v>
      </c>
      <c r="C142" s="846"/>
      <c r="D142" s="393">
        <f t="shared" si="25"/>
        <v>33.543706598790948</v>
      </c>
      <c r="E142" s="385">
        <f t="shared" si="47"/>
        <v>36.066573431333204</v>
      </c>
      <c r="F142" s="385">
        <f t="shared" si="26"/>
        <v>36.066573431333204</v>
      </c>
      <c r="G142" s="110">
        <f t="shared" si="48"/>
        <v>0.83854449986401514</v>
      </c>
      <c r="H142" s="414" t="b">
        <f>Wh_hp&gt;='2025'!Maxi_hp</f>
        <v>0</v>
      </c>
      <c r="I142" s="390">
        <f>IF(H142,Wh_hp,'2025'!Maxi_hp)</f>
        <v>40.780889517262061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6.2385273151399412E-2</v>
      </c>
      <c r="M142" s="850"/>
      <c r="N142" s="850"/>
      <c r="O142" s="48">
        <f>IF(t&lt;Tnet,'2025'!Resal+('2025'!Salim-'2025'!Resal)*(1-EXP(('2025'!Tnet-t)/('2025'!Tau_j))),Resal+(Salim-Resal)*(1-EXP((Tnet-t)/(Tau_j))))*Salcycl</f>
        <v>6.9950277847866976E-2</v>
      </c>
      <c r="P142" s="169">
        <f>(INDEX(Models!$BJ142:$BT142,,T142)*(1-R142)+INDEX(Models!$BJ142:$BT142,,T142+1)*R142-ERP_i)*Q142*Ramure*Pc/MaxiM</f>
        <v>0</v>
      </c>
      <c r="Q142" s="305">
        <f t="shared" si="28"/>
        <v>0.7</v>
      </c>
      <c r="R142" s="177">
        <f t="shared" si="29"/>
        <v>0.57804902809811742</v>
      </c>
      <c r="S142" s="817">
        <f t="shared" si="30"/>
        <v>-2</v>
      </c>
      <c r="T142" s="176">
        <f t="shared" si="31"/>
        <v>4</v>
      </c>
      <c r="U142" s="251">
        <f t="shared" si="32"/>
        <v>-1.4219509719018826</v>
      </c>
      <c r="V142" s="383">
        <f t="shared" si="33"/>
        <v>37.506743297720426</v>
      </c>
      <c r="W142" s="402">
        <f t="shared" si="34"/>
        <v>31.451073300114974</v>
      </c>
      <c r="X142" s="157">
        <f t="shared" si="35"/>
        <v>46150</v>
      </c>
      <c r="Y142" s="385">
        <f t="shared" si="36"/>
        <v>29.760923590335878</v>
      </c>
      <c r="Z142" s="385">
        <f t="shared" si="37"/>
        <v>31.741100836123557</v>
      </c>
      <c r="AA142" s="386">
        <f t="shared" si="38"/>
        <v>36.066510300516306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0.11992869363717808</v>
      </c>
      <c r="AD142" s="231">
        <f>(INDEX(Models!$BJ142:$BT142,,AH142)*(1-AF142)+INDEX(Models!$BJ142:$BT142,,AH142+1)*AF142-ERP_i)*AE142*Ramure*Pc/MaxiM</f>
        <v>2.2751653810551541E-6</v>
      </c>
      <c r="AE142" s="305">
        <f t="shared" si="40"/>
        <v>0.7</v>
      </c>
      <c r="AF142" s="177">
        <f t="shared" si="41"/>
        <v>0.20191239747417344</v>
      </c>
      <c r="AG142" s="817">
        <f t="shared" si="49"/>
        <v>1</v>
      </c>
      <c r="AH142" s="176">
        <f t="shared" si="42"/>
        <v>7</v>
      </c>
      <c r="AI142" s="225">
        <f t="shared" si="43"/>
        <v>1.2019123974741734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46151</v>
      </c>
      <c r="B143" s="411">
        <f>'2025'!Wh/'2025'!Env_an*'2026'!Env_an</f>
        <v>35.439386248283469</v>
      </c>
      <c r="C143" s="846"/>
      <c r="D143" s="393">
        <f t="shared" ref="D143:D206" si="50">Wh/(1-Ppv)</f>
        <v>37.798214409359595</v>
      </c>
      <c r="E143" s="385">
        <f t="shared" si="47"/>
        <v>40.647662544730217</v>
      </c>
      <c r="F143" s="385">
        <f t="shared" ref="F143:F206" si="51">Wh_sa/(1-Pvg*MEDIAN((-Sdif+Wh/Env_an)/Csdif,0,1))</f>
        <v>40.647662544730217</v>
      </c>
      <c r="G143" s="110">
        <f t="shared" si="48"/>
        <v>0.9434903096571321</v>
      </c>
      <c r="H143" s="414" t="b">
        <f>Wh_hp&gt;='2025'!Maxi_hp</f>
        <v>1</v>
      </c>
      <c r="I143" s="390">
        <f>IF(H143,Wh_hp,'2025'!Maxi_hp)</f>
        <v>40.647662544730217</v>
      </c>
      <c r="J143" s="85">
        <f>IF(H143,An,'2025'!An_max)</f>
        <v>2026</v>
      </c>
      <c r="K143" s="197">
        <f t="shared" ref="K143:K206" si="52">t</f>
        <v>46151</v>
      </c>
      <c r="L143" s="147">
        <f>IF(t&lt;Tvie,1-EXP((T0-t)*PertePVj)+'2025'!Pspv,1-EXP((T0-t)*PertePVj)+Pspv)</f>
        <v>6.24058093202422E-2</v>
      </c>
      <c r="M143" s="850"/>
      <c r="N143" s="850"/>
      <c r="O143" s="48">
        <f>IF(t&lt;Tnet,'2025'!Resal+('2025'!Salim-'2025'!Resal)*(1-EXP(('2025'!Tnet-t)/('2025'!Tau_j))),Resal+(Salim-Resal)*(1-EXP((Tnet-t)/(Tau_j))))*Salcycl</f>
        <v>7.0101156056267225E-2</v>
      </c>
      <c r="P143" s="169">
        <f>(INDEX(Models!$BJ143:$BT143,,T143)*(1-R143)+INDEX(Models!$BJ143:$BT143,,T143+1)*R143-ERP_i)*Q143*Ramure*Pc/MaxiM</f>
        <v>0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0.58144263731546286</v>
      </c>
      <c r="S143" s="817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-1.4185573626845371</v>
      </c>
      <c r="V143" s="383">
        <f t="shared" ref="V143:V206" si="58">MaxiM*(1-Ppv)*(1-Pvg)*(1-Psa)</f>
        <v>37.562003430816667</v>
      </c>
      <c r="W143" s="402">
        <f t="shared" ref="W143:W206" si="59">Wh*(A143&gt;Tmaj)</f>
        <v>35.439386248283469</v>
      </c>
      <c r="X143" s="157">
        <f t="shared" ref="X143:X206" si="60">t</f>
        <v>46151</v>
      </c>
      <c r="Y143" s="385">
        <f t="shared" ref="Y143:Y206" si="61">Wh_pvt_s*(1-Ppv)</f>
        <v>33.536040463736455</v>
      </c>
      <c r="Z143" s="385">
        <f t="shared" ref="Z143:Z206" si="62">Wh_sa_s*(1-Psa_s)</f>
        <v>35.768182863230791</v>
      </c>
      <c r="AA143" s="386">
        <f t="shared" ref="AA143:AA206" si="63">Wh_hp*(1-Pvg_s*MEDIAN((-Sdif+Wh/Env_an)/Csdif,0,1))</f>
        <v>40.647583715714653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0.12004159673081505</v>
      </c>
      <c r="AD143" s="231">
        <f>(INDEX(Models!$BJ143:$BT143,,AH143)*(1-AF143)+INDEX(Models!$BJ143:$BT143,,AH143+1)*AF143-ERP_i)*AE143*Ramure*Pc/MaxiM</f>
        <v>2.1096312759236841E-6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0.20530600669151888</v>
      </c>
      <c r="AG143" s="817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1.2053060066915189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46152</v>
      </c>
      <c r="B144" s="411">
        <f>'2025'!Wh/'2025'!Env_an*'2026'!Env_an</f>
        <v>32.758360814396198</v>
      </c>
      <c r="C144" s="846"/>
      <c r="D144" s="393">
        <f t="shared" si="50"/>
        <v>34.93950650284534</v>
      </c>
      <c r="E144" s="385">
        <f t="shared" ref="E144:E169" si="72">Wh_pvt/(1-Psa)</f>
        <v>37.579575727883395</v>
      </c>
      <c r="F144" s="385">
        <f t="shared" si="51"/>
        <v>37.579575727883395</v>
      </c>
      <c r="G144" s="110">
        <f t="shared" ref="G144:G169" si="73">+Wh_hp/MaxiM</f>
        <v>0.87092438554929219</v>
      </c>
      <c r="H144" s="414" t="b">
        <f>Wh_hp&gt;='2025'!Maxi_hp</f>
        <v>1</v>
      </c>
      <c r="I144" s="390">
        <f>IF(H144,Wh_hp,'2025'!Maxi_hp)</f>
        <v>37.579575727883395</v>
      </c>
      <c r="J144" s="85">
        <f>IF(H144,An,'2025'!An_max)</f>
        <v>2026</v>
      </c>
      <c r="K144" s="197">
        <f t="shared" si="52"/>
        <v>46152</v>
      </c>
      <c r="L144" s="147">
        <f>IF(t&lt;Tvie,1-EXP((T0-t)*PertePVj)+'2025'!Pspv,1-EXP((T0-t)*PertePVj)+Pspv)</f>
        <v>6.2426345039290121E-2</v>
      </c>
      <c r="M144" s="850"/>
      <c r="N144" s="850"/>
      <c r="O144" s="48">
        <f>IF(t&lt;Tnet,'2025'!Resal+('2025'!Salim-'2025'!Resal)*(1-EXP(('2025'!Tnet-t)/('2025'!Tau_j))),Resal+(Salim-Resal)*(1-EXP((Tnet-t)/(Tau_j))))*Salcycl</f>
        <v>7.0252768263138546E-2</v>
      </c>
      <c r="P144" s="169">
        <f>(INDEX(Models!$BJ144:$BT144,,T144)*(1-R144)+INDEX(Models!$BJ144:$BT144,,T144+1)*R144-ERP_i)*Q144*Ramure*Pc/MaxiM</f>
        <v>0</v>
      </c>
      <c r="Q144" s="305">
        <f t="shared" si="53"/>
        <v>0.7</v>
      </c>
      <c r="R144" s="177">
        <f t="shared" si="54"/>
        <v>0.58491763086218107</v>
      </c>
      <c r="S144" s="817">
        <f t="shared" si="55"/>
        <v>-2</v>
      </c>
      <c r="T144" s="176">
        <f t="shared" si="56"/>
        <v>4</v>
      </c>
      <c r="U144" s="251">
        <f t="shared" si="57"/>
        <v>-1.4150823691378189</v>
      </c>
      <c r="V144" s="383">
        <f t="shared" si="58"/>
        <v>37.613323679914522</v>
      </c>
      <c r="W144" s="402">
        <f t="shared" si="59"/>
        <v>32.758360814396198</v>
      </c>
      <c r="X144" s="157">
        <f t="shared" si="60"/>
        <v>46152</v>
      </c>
      <c r="Y144" s="385">
        <f t="shared" si="61"/>
        <v>31.0000477655182</v>
      </c>
      <c r="Z144" s="385">
        <f t="shared" si="62"/>
        <v>33.064119924335216</v>
      </c>
      <c r="AA144" s="386">
        <f t="shared" si="63"/>
        <v>37.579515854937505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0.12015577710027951</v>
      </c>
      <c r="AD144" s="231">
        <f>(INDEX(Models!$BJ144:$BT144,,AH144)*(1-AF144)+INDEX(Models!$BJ144:$BT144,,AH144+1)*AF144-ERP_i)*AE144*Ramure*Pc/MaxiM</f>
        <v>1.9534315656302474E-6</v>
      </c>
      <c r="AE144" s="305">
        <f t="shared" si="65"/>
        <v>0.7</v>
      </c>
      <c r="AF144" s="177">
        <f t="shared" si="66"/>
        <v>0.20878100023823709</v>
      </c>
      <c r="AG144" s="817">
        <f t="shared" ref="AG144:AG207" si="74">INDEX(Echel_vg,AH144)</f>
        <v>1</v>
      </c>
      <c r="AH144" s="176">
        <f t="shared" si="67"/>
        <v>7</v>
      </c>
      <c r="AI144" s="225">
        <f t="shared" si="68"/>
        <v>1.2087810002382371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46153</v>
      </c>
      <c r="B145" s="411">
        <f>'2025'!Wh/'2025'!Env_an*'2026'!Env_an</f>
        <v>35.325044054327243</v>
      </c>
      <c r="C145" s="846"/>
      <c r="D145" s="393">
        <f t="shared" si="50"/>
        <v>37.677912122944974</v>
      </c>
      <c r="E145" s="385">
        <f t="shared" si="72"/>
        <v>40.531538531633224</v>
      </c>
      <c r="F145" s="385">
        <f t="shared" si="51"/>
        <v>40.531538531633224</v>
      </c>
      <c r="G145" s="110">
        <f t="shared" si="73"/>
        <v>0.93798375328865258</v>
      </c>
      <c r="H145" s="414" t="b">
        <f>Wh_hp&gt;='2025'!Maxi_hp</f>
        <v>1</v>
      </c>
      <c r="I145" s="390">
        <f>IF(H145,Wh_hp,'2025'!Maxi_hp)</f>
        <v>40.531538531633224</v>
      </c>
      <c r="J145" s="85">
        <f>IF(H145,An,'2025'!An_max)</f>
        <v>2026</v>
      </c>
      <c r="K145" s="197">
        <f t="shared" si="52"/>
        <v>46153</v>
      </c>
      <c r="L145" s="147">
        <f>IF(t&lt;Tvie,1-EXP((T0-t)*PertePVj)+'2025'!Pspv,1-EXP((T0-t)*PertePVj)+Pspv)</f>
        <v>6.2446880308553165E-2</v>
      </c>
      <c r="M145" s="850"/>
      <c r="N145" s="850"/>
      <c r="O145" s="48">
        <f>IF(t&lt;Tnet,'2025'!Resal+('2025'!Salim-'2025'!Resal)*(1-EXP(('2025'!Tnet-t)/('2025'!Tau_j))),Resal+(Salim-Resal)*(1-EXP((Tnet-t)/(Tau_j))))*Salcycl</f>
        <v>7.0405084831929296E-2</v>
      </c>
      <c r="P145" s="169">
        <f>(INDEX(Models!$BJ145:$BT145,,T145)*(1-R145)+INDEX(Models!$BJ145:$BT145,,T145+1)*R145-ERP_i)*Q145*Ramure*Pc/MaxiM</f>
        <v>0</v>
      </c>
      <c r="Q145" s="305">
        <f t="shared" si="53"/>
        <v>0.7</v>
      </c>
      <c r="R145" s="177">
        <f t="shared" si="54"/>
        <v>0.58847393192054542</v>
      </c>
      <c r="S145" s="817">
        <f t="shared" si="55"/>
        <v>-2</v>
      </c>
      <c r="T145" s="176">
        <f t="shared" si="56"/>
        <v>4</v>
      </c>
      <c r="U145" s="251">
        <f t="shared" si="57"/>
        <v>-1.4115260680794546</v>
      </c>
      <c r="V145" s="383">
        <f t="shared" si="58"/>
        <v>37.66061398235798</v>
      </c>
      <c r="W145" s="402">
        <f t="shared" si="59"/>
        <v>35.325044054327243</v>
      </c>
      <c r="X145" s="157">
        <f t="shared" si="60"/>
        <v>46153</v>
      </c>
      <c r="Y145" s="385">
        <f t="shared" si="61"/>
        <v>33.430053939286552</v>
      </c>
      <c r="Z145" s="385">
        <f t="shared" si="62"/>
        <v>35.656703857258286</v>
      </c>
      <c r="AA145" s="386">
        <f t="shared" si="63"/>
        <v>40.531471777663796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0.12027117956994385</v>
      </c>
      <c r="AD145" s="231">
        <f>(INDEX(Models!$BJ145:$BT145,,AH145)*(1-AF145)+INDEX(Models!$BJ145:$BT145,,AH145+1)*AF145-ERP_i)*AE145*Ramure*Pc/MaxiM</f>
        <v>1.8070593931697014E-6</v>
      </c>
      <c r="AE145" s="305">
        <f t="shared" si="65"/>
        <v>0.7</v>
      </c>
      <c r="AF145" s="177">
        <f t="shared" si="66"/>
        <v>0.21233730129660144</v>
      </c>
      <c r="AG145" s="817">
        <f t="shared" si="74"/>
        <v>1</v>
      </c>
      <c r="AH145" s="176">
        <f t="shared" si="67"/>
        <v>7</v>
      </c>
      <c r="AI145" s="225">
        <f t="shared" si="68"/>
        <v>1.2123373012966014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46154</v>
      </c>
      <c r="B146" s="411">
        <f>'2025'!Wh/'2025'!Env_an*'2026'!Env_an</f>
        <v>27.184560332653135</v>
      </c>
      <c r="C146" s="846"/>
      <c r="D146" s="393">
        <f t="shared" si="50"/>
        <v>28.99585654013913</v>
      </c>
      <c r="E146" s="385">
        <f t="shared" si="72"/>
        <v>31.1970610715859</v>
      </c>
      <c r="F146" s="385">
        <f t="shared" si="51"/>
        <v>31.1970610715859</v>
      </c>
      <c r="G146" s="110">
        <f t="shared" si="73"/>
        <v>0.72100349372040817</v>
      </c>
      <c r="H146" s="414" t="b">
        <f>Wh_hp&gt;='2025'!Maxi_hp</f>
        <v>0</v>
      </c>
      <c r="I146" s="390">
        <f>IF(H146,Wh_hp,'2025'!Maxi_hp)</f>
        <v>40.951725833965142</v>
      </c>
      <c r="J146" s="85">
        <f>IF(H146,An,'2025'!An_max)</f>
        <v>2019</v>
      </c>
      <c r="K146" s="197">
        <f t="shared" si="52"/>
        <v>46154</v>
      </c>
      <c r="L146" s="147">
        <f>IF(t&lt;Tvie,1-EXP((T0-t)*PertePVj)+'2025'!Pspv,1-EXP((T0-t)*PertePVj)+Pspv)</f>
        <v>6.2467415128040993E-2</v>
      </c>
      <c r="M146" s="850"/>
      <c r="N146" s="850"/>
      <c r="O146" s="48">
        <f>IF(t&lt;Tnet,'2025'!Resal+('2025'!Salim-'2025'!Resal)*(1-EXP(('2025'!Tnet-t)/('2025'!Tau_j))),Resal+(Salim-Resal)*(1-EXP((Tnet-t)/(Tau_j))))*Salcycl</f>
        <v>7.0558073608145547E-2</v>
      </c>
      <c r="P146" s="169">
        <f>(INDEX(Models!$BJ146:$BT146,,T146)*(1-R146)+INDEX(Models!$BJ146:$BT146,,T146+1)*R146-ERP_i)*Q146*Ramure*Pc/MaxiM</f>
        <v>0</v>
      </c>
      <c r="Q146" s="305">
        <f t="shared" si="53"/>
        <v>0.7</v>
      </c>
      <c r="R146" s="177">
        <f t="shared" si="54"/>
        <v>0.59211131956837404</v>
      </c>
      <c r="S146" s="817">
        <f t="shared" si="55"/>
        <v>-2</v>
      </c>
      <c r="T146" s="176">
        <f t="shared" si="56"/>
        <v>4</v>
      </c>
      <c r="U146" s="251">
        <f t="shared" si="57"/>
        <v>-1.407888680431626</v>
      </c>
      <c r="V146" s="383">
        <f t="shared" si="58"/>
        <v>37.703784474579543</v>
      </c>
      <c r="W146" s="402">
        <f t="shared" si="59"/>
        <v>27.184560332653135</v>
      </c>
      <c r="X146" s="157">
        <f t="shared" si="60"/>
        <v>46154</v>
      </c>
      <c r="Y146" s="385">
        <f t="shared" si="61"/>
        <v>25.727103227893654</v>
      </c>
      <c r="Z146" s="385">
        <f t="shared" si="62"/>
        <v>27.44128966078258</v>
      </c>
      <c r="AA146" s="386">
        <f t="shared" si="63"/>
        <v>31.197029717678696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0.12038774495149503</v>
      </c>
      <c r="AD146" s="231">
        <f>(INDEX(Models!$BJ146:$BT146,,AH146)*(1-AF146)+INDEX(Models!$BJ146:$BT146,,AH146+1)*AF146-ERP_i)*AE146*Ramure*Pc/MaxiM</f>
        <v>1.671053389818083E-6</v>
      </c>
      <c r="AE146" s="305">
        <f t="shared" si="65"/>
        <v>0.7</v>
      </c>
      <c r="AF146" s="177">
        <f t="shared" si="66"/>
        <v>0.21597468894443006</v>
      </c>
      <c r="AG146" s="817">
        <f t="shared" si="74"/>
        <v>1</v>
      </c>
      <c r="AH146" s="176">
        <f t="shared" si="67"/>
        <v>7</v>
      </c>
      <c r="AI146" s="225">
        <f t="shared" si="68"/>
        <v>1.2159746889444301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46155</v>
      </c>
      <c r="B147" s="411">
        <f>'2025'!Wh/'2025'!Env_an*'2026'!Env_an</f>
        <v>29.676469952381463</v>
      </c>
      <c r="C147" s="846"/>
      <c r="D147" s="393">
        <f t="shared" si="50"/>
        <v>31.654494399814304</v>
      </c>
      <c r="E147" s="385">
        <f t="shared" si="72"/>
        <v>34.063158222562798</v>
      </c>
      <c r="F147" s="385">
        <f t="shared" si="51"/>
        <v>34.063158222562798</v>
      </c>
      <c r="G147" s="110">
        <f t="shared" si="73"/>
        <v>0.78628275633076172</v>
      </c>
      <c r="H147" s="414" t="b">
        <f>Wh_hp&gt;='2025'!Maxi_hp</f>
        <v>0</v>
      </c>
      <c r="I147" s="390">
        <f>IF(H147,Wh_hp,'2025'!Maxi_hp)</f>
        <v>45.292153927540518</v>
      </c>
      <c r="J147" s="85">
        <f>IF(H147,An,'2025'!An_max)</f>
        <v>2019</v>
      </c>
      <c r="K147" s="197">
        <f t="shared" si="52"/>
        <v>46155</v>
      </c>
      <c r="L147" s="147">
        <f>IF(t&lt;Tvie,1-EXP((T0-t)*PertePVj)+'2025'!Pspv,1-EXP((T0-t)*PertePVj)+Pspv)</f>
        <v>6.2487949497763706E-2</v>
      </c>
      <c r="M147" s="850"/>
      <c r="N147" s="850"/>
      <c r="O147" s="48">
        <f>IF(t&lt;Tnet,'2025'!Resal+('2025'!Salim-'2025'!Resal)*(1-EXP(('2025'!Tnet-t)/('2025'!Tau_j))),Resal+(Salim-Resal)*(1-EXP((Tnet-t)/(Tau_j))))*Salcycl</f>
        <v>7.071169992549417E-2</v>
      </c>
      <c r="P147" s="169">
        <f>(INDEX(Models!$BJ147:$BT147,,T147)*(1-R147)+INDEX(Models!$BJ147:$BT147,,T147+1)*R147-ERP_i)*Q147*Ramure*Pc/MaxiM</f>
        <v>0</v>
      </c>
      <c r="Q147" s="305">
        <f t="shared" si="53"/>
        <v>0.7</v>
      </c>
      <c r="R147" s="177">
        <f t="shared" si="54"/>
        <v>0.59582942269382611</v>
      </c>
      <c r="S147" s="817">
        <f t="shared" si="55"/>
        <v>-2</v>
      </c>
      <c r="T147" s="176">
        <f t="shared" si="56"/>
        <v>4</v>
      </c>
      <c r="U147" s="251">
        <f t="shared" si="57"/>
        <v>-1.4041705773061739</v>
      </c>
      <c r="V147" s="383">
        <f t="shared" si="58"/>
        <v>37.742745486202182</v>
      </c>
      <c r="W147" s="402">
        <f t="shared" si="59"/>
        <v>29.676469952381463</v>
      </c>
      <c r="X147" s="157">
        <f t="shared" si="60"/>
        <v>46155</v>
      </c>
      <c r="Y147" s="385">
        <f t="shared" si="61"/>
        <v>28.086296510560764</v>
      </c>
      <c r="Z147" s="385">
        <f t="shared" si="62"/>
        <v>29.958331197465252</v>
      </c>
      <c r="AA147" s="386">
        <f t="shared" si="63"/>
        <v>34.063121639086269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0.12050541007700566</v>
      </c>
      <c r="AD147" s="231">
        <f>(INDEX(Models!$BJ147:$BT147,,AH147)*(1-AF147)+INDEX(Models!$BJ147:$BT147,,AH147+1)*AF147-ERP_i)*AE147*Ramure*Pc/MaxiM</f>
        <v>1.5459990850979169E-6</v>
      </c>
      <c r="AE147" s="305">
        <f t="shared" si="65"/>
        <v>0.7</v>
      </c>
      <c r="AF147" s="177">
        <f t="shared" si="66"/>
        <v>0.21969279206988213</v>
      </c>
      <c r="AG147" s="817">
        <f t="shared" si="74"/>
        <v>1</v>
      </c>
      <c r="AH147" s="176">
        <f t="shared" si="67"/>
        <v>7</v>
      </c>
      <c r="AI147" s="225">
        <f t="shared" si="68"/>
        <v>1.2196927920698821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46156</v>
      </c>
      <c r="B148" s="411">
        <f>'2025'!Wh/'2025'!Env_an*'2026'!Env_an</f>
        <v>30.906949331767471</v>
      </c>
      <c r="C148" s="846"/>
      <c r="D148" s="393">
        <f t="shared" si="50"/>
        <v>32.967710944673115</v>
      </c>
      <c r="E148" s="385">
        <f t="shared" si="72"/>
        <v>35.48218915799513</v>
      </c>
      <c r="F148" s="385">
        <f t="shared" si="51"/>
        <v>35.48218915799513</v>
      </c>
      <c r="G148" s="110">
        <f t="shared" si="73"/>
        <v>0.81813314729520159</v>
      </c>
      <c r="H148" s="414" t="b">
        <f>Wh_hp&gt;='2025'!Maxi_hp</f>
        <v>0</v>
      </c>
      <c r="I148" s="390">
        <f>IF(H148,Wh_hp,'2025'!Maxi_hp)</f>
        <v>43.95743971785987</v>
      </c>
      <c r="J148" s="85">
        <f>IF(H148,An,'2025'!An_max)</f>
        <v>2019</v>
      </c>
      <c r="K148" s="197">
        <f t="shared" si="52"/>
        <v>46156</v>
      </c>
      <c r="L148" s="147">
        <f>IF(t&lt;Tvie,1-EXP((T0-t)*PertePVj)+'2025'!Pspv,1-EXP((T0-t)*PertePVj)+Pspv)</f>
        <v>6.2508483417730965E-2</v>
      </c>
      <c r="M148" s="850"/>
      <c r="N148" s="850"/>
      <c r="O148" s="48">
        <f>IF(t&lt;Tnet,'2025'!Resal+('2025'!Salim-'2025'!Resal)*(1-EXP(('2025'!Tnet-t)/('2025'!Tau_j))),Resal+(Salim-Resal)*(1-EXP((Tnet-t)/(Tau_j))))*Salcycl</f>
        <v>7.0865926623792805E-2</v>
      </c>
      <c r="P148" s="169">
        <f>(INDEX(Models!$BJ148:$BT148,,T148)*(1-R148)+INDEX(Models!$BJ148:$BT148,,T148+1)*R148-ERP_i)*Q148*Ramure*Pc/MaxiM</f>
        <v>0</v>
      </c>
      <c r="Q148" s="305">
        <f t="shared" si="53"/>
        <v>0.7</v>
      </c>
      <c r="R148" s="177">
        <f t="shared" si="54"/>
        <v>0.59962771425942862</v>
      </c>
      <c r="S148" s="817">
        <f t="shared" si="55"/>
        <v>-2</v>
      </c>
      <c r="T148" s="176">
        <f t="shared" si="56"/>
        <v>4</v>
      </c>
      <c r="U148" s="251">
        <f t="shared" si="57"/>
        <v>-1.4003722857405714</v>
      </c>
      <c r="V148" s="383">
        <f t="shared" si="58"/>
        <v>37.777407545394951</v>
      </c>
      <c r="W148" s="402">
        <f t="shared" si="59"/>
        <v>30.906949331767471</v>
      </c>
      <c r="X148" s="157">
        <f t="shared" si="60"/>
        <v>46156</v>
      </c>
      <c r="Y148" s="385">
        <f t="shared" si="61"/>
        <v>29.251749668934188</v>
      </c>
      <c r="Z148" s="385">
        <f t="shared" si="62"/>
        <v>31.202148661115075</v>
      </c>
      <c r="AA148" s="386">
        <f t="shared" si="63"/>
        <v>35.482151534638142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0.12062410785165811</v>
      </c>
      <c r="AD148" s="231">
        <f>(INDEX(Models!$BJ148:$BT148,,AH148)*(1-AF148)+INDEX(Models!$BJ148:$BT148,,AH148+1)*AF148-ERP_i)*AE148*Ramure*Pc/MaxiM</f>
        <v>1.4325302437701772E-6</v>
      </c>
      <c r="AE148" s="305">
        <f t="shared" si="65"/>
        <v>0.7</v>
      </c>
      <c r="AF148" s="177">
        <f t="shared" si="66"/>
        <v>0.22349108363548464</v>
      </c>
      <c r="AG148" s="817">
        <f t="shared" si="74"/>
        <v>1</v>
      </c>
      <c r="AH148" s="176">
        <f t="shared" si="67"/>
        <v>7</v>
      </c>
      <c r="AI148" s="225">
        <f t="shared" si="68"/>
        <v>1.2234910836354846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46157</v>
      </c>
      <c r="B149" s="411">
        <f>'2025'!Wh/'2025'!Env_an*'2026'!Env_an</f>
        <v>32.917228023158493</v>
      </c>
      <c r="C149" s="846"/>
      <c r="D149" s="393">
        <f t="shared" si="50"/>
        <v>35.112796679728483</v>
      </c>
      <c r="E149" s="385">
        <f t="shared" si="72"/>
        <v>37.797179347143981</v>
      </c>
      <c r="F149" s="385">
        <f t="shared" si="51"/>
        <v>37.797179347143981</v>
      </c>
      <c r="G149" s="110">
        <f t="shared" si="73"/>
        <v>0.87066710132476499</v>
      </c>
      <c r="H149" s="414" t="b">
        <f>Wh_hp&gt;='2025'!Maxi_hp</f>
        <v>0</v>
      </c>
      <c r="I149" s="390">
        <f>IF(H149,Wh_hp,'2025'!Maxi_hp)</f>
        <v>44.25827136765831</v>
      </c>
      <c r="J149" s="85">
        <f>IF(H149,An,'2025'!An_max)</f>
        <v>2019</v>
      </c>
      <c r="K149" s="197">
        <f t="shared" si="52"/>
        <v>46157</v>
      </c>
      <c r="L149" s="147">
        <f>IF(t&lt;Tvie,1-EXP((T0-t)*PertePVj)+'2025'!Pspv,1-EXP((T0-t)*PertePVj)+Pspv)</f>
        <v>6.2529016887952649E-2</v>
      </c>
      <c r="M149" s="850"/>
      <c r="N149" s="850"/>
      <c r="O149" s="48">
        <f>IF(t&lt;Tnet,'2025'!Resal+('2025'!Salim-'2025'!Resal)*(1-EXP(('2025'!Tnet-t)/('2025'!Tau_j))),Resal+(Salim-Resal)*(1-EXP((Tnet-t)/(Tau_j))))*Salcycl</f>
        <v>7.1020714079246094E-2</v>
      </c>
      <c r="P149" s="169">
        <f>(INDEX(Models!$BJ149:$BT149,,T149)*(1-R149)+INDEX(Models!$BJ149:$BT149,,T149+1)*R149-ERP_i)*Q149*Ramure*Pc/MaxiM</f>
        <v>0</v>
      </c>
      <c r="Q149" s="305">
        <f t="shared" si="53"/>
        <v>0.7</v>
      </c>
      <c r="R149" s="177">
        <f t="shared" si="54"/>
        <v>0.60350550597446828</v>
      </c>
      <c r="S149" s="817">
        <f t="shared" si="55"/>
        <v>-2</v>
      </c>
      <c r="T149" s="176">
        <f t="shared" si="56"/>
        <v>4</v>
      </c>
      <c r="U149" s="251">
        <f t="shared" si="57"/>
        <v>-1.3964944940255317</v>
      </c>
      <c r="V149" s="383">
        <f t="shared" si="58"/>
        <v>37.806904582788569</v>
      </c>
      <c r="W149" s="402">
        <f t="shared" si="59"/>
        <v>32.917228023158493</v>
      </c>
      <c r="X149" s="157">
        <f t="shared" si="60"/>
        <v>46157</v>
      </c>
      <c r="Y149" s="385">
        <f t="shared" si="61"/>
        <v>31.155319528314404</v>
      </c>
      <c r="Z149" s="385">
        <f t="shared" si="62"/>
        <v>33.233369447756758</v>
      </c>
      <c r="AA149" s="386">
        <f t="shared" si="63"/>
        <v>37.797138323062299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0.12074376732698082</v>
      </c>
      <c r="AD149" s="231">
        <f>(INDEX(Models!$BJ149:$BT149,,AH149)*(1-AF149)+INDEX(Models!$BJ149:$BT149,,AH149+1)*AF149-ERP_i)*AE149*Ramure*Pc/MaxiM</f>
        <v>1.3313574731773188E-6</v>
      </c>
      <c r="AE149" s="305">
        <f t="shared" si="65"/>
        <v>0.7</v>
      </c>
      <c r="AF149" s="177">
        <f t="shared" si="66"/>
        <v>0.2273688753505243</v>
      </c>
      <c r="AG149" s="817">
        <f t="shared" si="74"/>
        <v>1</v>
      </c>
      <c r="AH149" s="176">
        <f t="shared" si="67"/>
        <v>7</v>
      </c>
      <c r="AI149" s="225">
        <f t="shared" si="68"/>
        <v>1.2273688753505243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46158</v>
      </c>
      <c r="B150" s="411">
        <f>'2025'!Wh/'2025'!Env_an*'2026'!Env_an</f>
        <v>31.879241778650492</v>
      </c>
      <c r="C150" s="846"/>
      <c r="D150" s="393">
        <f t="shared" si="50"/>
        <v>34.006321908039858</v>
      </c>
      <c r="E150" s="385">
        <f t="shared" si="72"/>
        <v>36.612235094431362</v>
      </c>
      <c r="F150" s="385">
        <f t="shared" si="51"/>
        <v>36.612235094431362</v>
      </c>
      <c r="G150" s="110">
        <f t="shared" si="73"/>
        <v>0.84268080210566343</v>
      </c>
      <c r="H150" s="414" t="b">
        <f>Wh_hp&gt;='2025'!Maxi_hp</f>
        <v>1</v>
      </c>
      <c r="I150" s="390">
        <f>IF(H150,Wh_hp,'2025'!Maxi_hp)</f>
        <v>36.612235094431362</v>
      </c>
      <c r="J150" s="85">
        <f>IF(H150,An,'2025'!An_max)</f>
        <v>2026</v>
      </c>
      <c r="K150" s="197">
        <f t="shared" si="52"/>
        <v>46158</v>
      </c>
      <c r="L150" s="147">
        <f>IF(t&lt;Tvie,1-EXP((T0-t)*PertePVj)+'2025'!Pspv,1-EXP((T0-t)*PertePVj)+Pspv)</f>
        <v>6.254954990843864E-2</v>
      </c>
      <c r="M150" s="850"/>
      <c r="N150" s="850"/>
      <c r="O150" s="48">
        <f>IF(t&lt;Tnet,'2025'!Resal+('2025'!Salim-'2025'!Resal)*(1-EXP(('2025'!Tnet-t)/('2025'!Tau_j))),Resal+(Salim-Resal)*(1-EXP((Tnet-t)/(Tau_j))))*Salcycl</f>
        <v>7.1176020247609925E-2</v>
      </c>
      <c r="P150" s="169">
        <f>(INDEX(Models!$BJ150:$BT150,,T150)*(1-R150)+INDEX(Models!$BJ150:$BT150,,T150+1)*R150-ERP_i)*Q150*Ramure*Pc/MaxiM</f>
        <v>0</v>
      </c>
      <c r="Q150" s="305">
        <f t="shared" si="53"/>
        <v>0.7</v>
      </c>
      <c r="R150" s="177">
        <f t="shared" si="54"/>
        <v>0.60746194343559434</v>
      </c>
      <c r="S150" s="817">
        <f t="shared" si="55"/>
        <v>-2</v>
      </c>
      <c r="T150" s="176">
        <f t="shared" si="56"/>
        <v>4</v>
      </c>
      <c r="U150" s="251">
        <f t="shared" si="57"/>
        <v>-1.3925380565644057</v>
      </c>
      <c r="V150" s="383">
        <f t="shared" si="58"/>
        <v>37.830744095500542</v>
      </c>
      <c r="W150" s="402">
        <f t="shared" si="59"/>
        <v>31.879241778650492</v>
      </c>
      <c r="X150" s="157">
        <f t="shared" si="60"/>
        <v>46158</v>
      </c>
      <c r="Y150" s="385">
        <f t="shared" si="61"/>
        <v>30.173803221507519</v>
      </c>
      <c r="Z150" s="385">
        <f t="shared" si="62"/>
        <v>32.187091294863023</v>
      </c>
      <c r="AA150" s="386">
        <f t="shared" si="63"/>
        <v>36.612199686510102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0.12086431379531473</v>
      </c>
      <c r="AD150" s="231">
        <f>(INDEX(Models!$BJ150:$BT150,,AH150)*(1-AF150)+INDEX(Models!$BJ150:$BT150,,AH150+1)*AF150-ERP_i)*AE150*Ramure*Pc/MaxiM</f>
        <v>1.2474632785418223E-6</v>
      </c>
      <c r="AE150" s="305">
        <f t="shared" si="65"/>
        <v>0.7</v>
      </c>
      <c r="AF150" s="177">
        <f t="shared" si="66"/>
        <v>0.23132531281165036</v>
      </c>
      <c r="AG150" s="817">
        <f t="shared" si="74"/>
        <v>1</v>
      </c>
      <c r="AH150" s="176">
        <f t="shared" si="67"/>
        <v>7</v>
      </c>
      <c r="AI150" s="225">
        <f t="shared" si="68"/>
        <v>1.2313253128116504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46159</v>
      </c>
      <c r="B151" s="411">
        <f>'2025'!Wh/'2025'!Env_an*'2026'!Env_an</f>
        <v>34.263414375168232</v>
      </c>
      <c r="C151" s="846"/>
      <c r="D151" s="393">
        <f t="shared" si="50"/>
        <v>36.550374310416586</v>
      </c>
      <c r="E151" s="385">
        <f t="shared" si="72"/>
        <v>39.357839903186999</v>
      </c>
      <c r="F151" s="385">
        <f t="shared" si="51"/>
        <v>39.357839903186999</v>
      </c>
      <c r="G151" s="110">
        <f t="shared" si="73"/>
        <v>0.90525654706792125</v>
      </c>
      <c r="H151" s="414" t="b">
        <f>Wh_hp&gt;='2025'!Maxi_hp</f>
        <v>0</v>
      </c>
      <c r="I151" s="390">
        <f>IF(H151,Wh_hp,'2025'!Maxi_hp)</f>
        <v>40.085945831650221</v>
      </c>
      <c r="J151" s="85">
        <f>IF(H151,An,'2025'!An_max)</f>
        <v>2021</v>
      </c>
      <c r="K151" s="197">
        <f t="shared" si="52"/>
        <v>46159</v>
      </c>
      <c r="L151" s="147">
        <f>IF(t&lt;Tvie,1-EXP((T0-t)*PertePVj)+'2025'!Pspv,1-EXP((T0-t)*PertePVj)+Pspv)</f>
        <v>6.2570082479198819E-2</v>
      </c>
      <c r="M151" s="850"/>
      <c r="N151" s="850"/>
      <c r="O151" s="48">
        <f>IF(t&lt;Tnet,'2025'!Resal+('2025'!Salim-'2025'!Resal)*(1-EXP(('2025'!Tnet-t)/('2025'!Tau_j))),Resal+(Salim-Resal)*(1-EXP((Tnet-t)/(Tau_j))))*Salcycl</f>
        <v>7.1331800720676103E-2</v>
      </c>
      <c r="P151" s="169">
        <f>(INDEX(Models!$BJ151:$BT151,,T151)*(1-R151)+INDEX(Models!$BJ151:$BT151,,T151+1)*R151-ERP_i)*Q151*Ramure*Pc/MaxiM</f>
        <v>0</v>
      </c>
      <c r="Q151" s="305">
        <f t="shared" si="53"/>
        <v>0.7</v>
      </c>
      <c r="R151" s="177">
        <f t="shared" si="54"/>
        <v>0.61149600179556818</v>
      </c>
      <c r="S151" s="817">
        <f t="shared" si="55"/>
        <v>-2</v>
      </c>
      <c r="T151" s="176">
        <f t="shared" si="56"/>
        <v>4</v>
      </c>
      <c r="U151" s="251">
        <f t="shared" si="57"/>
        <v>-1.3885039982044318</v>
      </c>
      <c r="V151" s="383">
        <f t="shared" si="58"/>
        <v>37.849396931892564</v>
      </c>
      <c r="W151" s="402">
        <f t="shared" si="59"/>
        <v>34.263414375168232</v>
      </c>
      <c r="X151" s="157">
        <f t="shared" si="60"/>
        <v>46159</v>
      </c>
      <c r="Y151" s="385">
        <f t="shared" si="61"/>
        <v>32.431391240439112</v>
      </c>
      <c r="Z151" s="385">
        <f t="shared" si="62"/>
        <v>34.596070206730388</v>
      </c>
      <c r="AA151" s="386">
        <f t="shared" si="63"/>
        <v>39.357799961777452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0.12098566890607315</v>
      </c>
      <c r="AD151" s="231">
        <f>(INDEX(Models!$BJ151:$BT151,,AH151)*(1-AF151)+INDEX(Models!$BJ151:$BT151,,AH151+1)*AF151-ERP_i)*AE151*Ramure*Pc/MaxiM</f>
        <v>1.1736826280364001E-6</v>
      </c>
      <c r="AE151" s="305">
        <f t="shared" si="65"/>
        <v>0.7</v>
      </c>
      <c r="AF151" s="177">
        <f t="shared" si="66"/>
        <v>0.2353593711716242</v>
      </c>
      <c r="AG151" s="817">
        <f t="shared" si="74"/>
        <v>1</v>
      </c>
      <c r="AH151" s="176">
        <f t="shared" si="67"/>
        <v>7</v>
      </c>
      <c r="AI151" s="225">
        <f t="shared" si="68"/>
        <v>1.2353593711716242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46160</v>
      </c>
      <c r="B152" s="411">
        <f>'2025'!Wh/'2025'!Env_an*'2026'!Env_an</f>
        <v>32.950603725931593</v>
      </c>
      <c r="C152" s="846"/>
      <c r="D152" s="393">
        <f t="shared" si="50"/>
        <v>35.150708152852395</v>
      </c>
      <c r="E152" s="385">
        <f t="shared" si="72"/>
        <v>37.857031988664176</v>
      </c>
      <c r="F152" s="385">
        <f t="shared" si="51"/>
        <v>37.857031988664176</v>
      </c>
      <c r="G152" s="110">
        <f t="shared" si="73"/>
        <v>0.87025099238758563</v>
      </c>
      <c r="H152" s="414" t="b">
        <f>Wh_hp&gt;='2025'!Maxi_hp</f>
        <v>0</v>
      </c>
      <c r="I152" s="390">
        <f>IF(H152,Wh_hp,'2025'!Maxi_hp)</f>
        <v>44.898392288883365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6.2590614600242955E-2</v>
      </c>
      <c r="M152" s="850"/>
      <c r="N152" s="850"/>
      <c r="O152" s="48">
        <f>IF(t&lt;Tnet,'2025'!Resal+('2025'!Salim-'2025'!Resal)*(1-EXP(('2025'!Tnet-t)/('2025'!Tau_j))),Resal+(Salim-Resal)*(1-EXP((Tnet-t)/(Tau_j))))*Salcycl</f>
        <v>7.1488008796414843E-2</v>
      </c>
      <c r="P152" s="169">
        <f>(INDEX(Models!$BJ152:$BT152,,T152)*(1-R152)+INDEX(Models!$BJ152:$BT152,,T152+1)*R152-ERP_i)*Q152*Ramure*Pc/MaxiM</f>
        <v>0</v>
      </c>
      <c r="Q152" s="305">
        <f t="shared" si="53"/>
        <v>0.7</v>
      </c>
      <c r="R152" s="177">
        <f t="shared" si="54"/>
        <v>0.61560648201952528</v>
      </c>
      <c r="S152" s="817">
        <f t="shared" si="55"/>
        <v>-2</v>
      </c>
      <c r="T152" s="176">
        <f t="shared" si="56"/>
        <v>4</v>
      </c>
      <c r="U152" s="251">
        <f t="shared" si="57"/>
        <v>-1.3843935179804747</v>
      </c>
      <c r="V152" s="383">
        <f t="shared" si="58"/>
        <v>37.863333698166365</v>
      </c>
      <c r="W152" s="402">
        <f t="shared" si="59"/>
        <v>32.950603725931593</v>
      </c>
      <c r="X152" s="157">
        <f t="shared" si="60"/>
        <v>46160</v>
      </c>
      <c r="Y152" s="385">
        <f t="shared" si="61"/>
        <v>31.189693071647152</v>
      </c>
      <c r="Z152" s="385">
        <f t="shared" si="62"/>
        <v>33.272221888781651</v>
      </c>
      <c r="AA152" s="386">
        <f t="shared" si="63"/>
        <v>37.856997736896567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0.12110775080419153</v>
      </c>
      <c r="AD152" s="231">
        <f>(INDEX(Models!$BJ152:$BT152,,AH152)*(1-AF152)+INDEX(Models!$BJ152:$BT152,,AH152+1)*AF152-ERP_i)*AE152*Ramure*Pc/MaxiM</f>
        <v>1.110627485368765E-6</v>
      </c>
      <c r="AE152" s="305">
        <f t="shared" si="65"/>
        <v>0.7</v>
      </c>
      <c r="AF152" s="177">
        <f t="shared" si="66"/>
        <v>0.2394698513955813</v>
      </c>
      <c r="AG152" s="817">
        <f t="shared" si="74"/>
        <v>1</v>
      </c>
      <c r="AH152" s="176">
        <f t="shared" si="67"/>
        <v>7</v>
      </c>
      <c r="AI152" s="225">
        <f t="shared" si="68"/>
        <v>1.2394698513955813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46161</v>
      </c>
      <c r="B153" s="411">
        <f>'2025'!Wh/'2025'!Env_an*'2026'!Env_an</f>
        <v>34.002436231344291</v>
      </c>
      <c r="C153" s="846"/>
      <c r="D153" s="393">
        <f t="shared" si="50"/>
        <v>36.273565763131536</v>
      </c>
      <c r="E153" s="385">
        <f t="shared" si="72"/>
        <v>39.072930032792677</v>
      </c>
      <c r="F153" s="385">
        <f t="shared" si="51"/>
        <v>39.072930032792677</v>
      </c>
      <c r="G153" s="110">
        <f t="shared" si="73"/>
        <v>0.89780091371923687</v>
      </c>
      <c r="H153" s="414" t="b">
        <f>Wh_hp&gt;='2025'!Maxi_hp</f>
        <v>0</v>
      </c>
      <c r="I153" s="390">
        <f>IF(H153,Wh_hp,'2025'!Maxi_hp)</f>
        <v>44.234710656745264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6.2611146271581042E-2</v>
      </c>
      <c r="M153" s="850"/>
      <c r="N153" s="850"/>
      <c r="O153" s="48">
        <f>IF(t&lt;Tnet,'2025'!Resal+('2025'!Salim-'2025'!Resal)*(1-EXP(('2025'!Tnet-t)/('2025'!Tau_j))),Resal+(Salim-Resal)*(1-EXP((Tnet-t)/(Tau_j))))*Salcycl</f>
        <v>7.1644595563007993E-2</v>
      </c>
      <c r="P153" s="169">
        <f>(INDEX(Models!$BJ153:$BT153,,T153)*(1-R153)+INDEX(Models!$BJ153:$BT153,,T153+1)*R153-ERP_i)*Q153*Ramure*Pc/MaxiM</f>
        <v>0</v>
      </c>
      <c r="Q153" s="305">
        <f t="shared" si="53"/>
        <v>0.7</v>
      </c>
      <c r="R153" s="177">
        <f t="shared" si="54"/>
        <v>0.61979200778682175</v>
      </c>
      <c r="S153" s="817">
        <f t="shared" si="55"/>
        <v>-2</v>
      </c>
      <c r="T153" s="176">
        <f t="shared" si="56"/>
        <v>4</v>
      </c>
      <c r="U153" s="251">
        <f t="shared" si="57"/>
        <v>-1.3802079922131782</v>
      </c>
      <c r="V153" s="383">
        <f t="shared" si="58"/>
        <v>37.873024756107171</v>
      </c>
      <c r="W153" s="402">
        <f t="shared" si="59"/>
        <v>34.002436231344291</v>
      </c>
      <c r="X153" s="157">
        <f t="shared" si="60"/>
        <v>46161</v>
      </c>
      <c r="Y153" s="385">
        <f t="shared" si="61"/>
        <v>32.186248493750753</v>
      </c>
      <c r="Z153" s="385">
        <f t="shared" si="62"/>
        <v>34.336069141137642</v>
      </c>
      <c r="AA153" s="386">
        <f t="shared" si="63"/>
        <v>39.072894697201079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0.121230474290986</v>
      </c>
      <c r="AD153" s="231">
        <f>(INDEX(Models!$BJ153:$BT153,,AH153)*(1-AF153)+INDEX(Models!$BJ153:$BT153,,AH153+1)*AF153-ERP_i)*AE153*Ramure*Pc/MaxiM</f>
        <v>1.0589558470214159E-6</v>
      </c>
      <c r="AE153" s="305">
        <f t="shared" si="65"/>
        <v>0.7</v>
      </c>
      <c r="AF153" s="177">
        <f t="shared" si="66"/>
        <v>0.24365537716287777</v>
      </c>
      <c r="AG153" s="817">
        <f t="shared" si="74"/>
        <v>1</v>
      </c>
      <c r="AH153" s="176">
        <f t="shared" si="67"/>
        <v>7</v>
      </c>
      <c r="AI153" s="225">
        <f t="shared" si="68"/>
        <v>1.2436553771628778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46162</v>
      </c>
      <c r="B154" s="411">
        <f>'2025'!Wh/'2025'!Env_an*'2026'!Env_an</f>
        <v>30.328839608131243</v>
      </c>
      <c r="C154" s="846"/>
      <c r="D154" s="393">
        <f t="shared" si="50"/>
        <v>32.355306745403659</v>
      </c>
      <c r="E154" s="385">
        <f t="shared" si="72"/>
        <v>34.858176450271422</v>
      </c>
      <c r="F154" s="385">
        <f t="shared" si="51"/>
        <v>34.858176450271422</v>
      </c>
      <c r="G154" s="110">
        <f t="shared" si="73"/>
        <v>0.80067814561120909</v>
      </c>
      <c r="H154" s="414" t="b">
        <f>Wh_hp&gt;='2025'!Maxi_hp</f>
        <v>0</v>
      </c>
      <c r="I154" s="390">
        <f>IF(H154,Wh_hp,'2025'!Maxi_hp)</f>
        <v>43.678078338959317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6.2631677493222737E-2</v>
      </c>
      <c r="M154" s="850"/>
      <c r="N154" s="850"/>
      <c r="O154" s="48">
        <f>IF(t&lt;Tnet,'2025'!Resal+('2025'!Salim-'2025'!Resal)*(1-EXP(('2025'!Tnet-t)/('2025'!Tau_j))),Resal+(Salim-Resal)*(1-EXP((Tnet-t)/(Tau_j))))*Salcycl</f>
        <v>7.1801509996897037E-2</v>
      </c>
      <c r="P154" s="169">
        <f>(INDEX(Models!$BJ154:$BT154,,T154)*(1-R154)+INDEX(Models!$BJ154:$BT154,,T154+1)*R154-ERP_i)*Q154*Ramure*Pc/MaxiM</f>
        <v>0</v>
      </c>
      <c r="Q154" s="305">
        <f t="shared" si="53"/>
        <v>0.7</v>
      </c>
      <c r="R154" s="177">
        <f t="shared" si="54"/>
        <v>0.62405102309448246</v>
      </c>
      <c r="S154" s="817">
        <f t="shared" si="55"/>
        <v>-2</v>
      </c>
      <c r="T154" s="176">
        <f t="shared" si="56"/>
        <v>4</v>
      </c>
      <c r="U154" s="251">
        <f t="shared" si="57"/>
        <v>-1.3759489769055175</v>
      </c>
      <c r="V154" s="383">
        <f t="shared" si="58"/>
        <v>37.878940213834973</v>
      </c>
      <c r="W154" s="402">
        <f t="shared" si="59"/>
        <v>30.328839608131243</v>
      </c>
      <c r="X154" s="157">
        <f t="shared" si="60"/>
        <v>46162</v>
      </c>
      <c r="Y154" s="385">
        <f t="shared" si="61"/>
        <v>28.709701659124303</v>
      </c>
      <c r="Z154" s="385">
        <f t="shared" si="62"/>
        <v>30.627983653583225</v>
      </c>
      <c r="AA154" s="386">
        <f t="shared" si="63"/>
        <v>34.858151034846173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0.12135375100745403</v>
      </c>
      <c r="AD154" s="231">
        <f>(INDEX(Models!$BJ154:$BT154,,AH154)*(1-AF154)+INDEX(Models!$BJ154:$BT154,,AH154+1)*AF154-ERP_i)*AE154*Ramure*Pc/MaxiM</f>
        <v>1.0193706419156022E-6</v>
      </c>
      <c r="AE154" s="305">
        <f t="shared" si="65"/>
        <v>0.7</v>
      </c>
      <c r="AF154" s="177">
        <f t="shared" si="66"/>
        <v>0.24791439247053848</v>
      </c>
      <c r="AG154" s="817">
        <f t="shared" si="74"/>
        <v>1</v>
      </c>
      <c r="AH154" s="176">
        <f t="shared" si="67"/>
        <v>7</v>
      </c>
      <c r="AI154" s="225">
        <f t="shared" si="68"/>
        <v>1.2479143924705385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46163</v>
      </c>
      <c r="B155" s="411">
        <f>'2025'!Wh/'2025'!Env_an*'2026'!Env_an</f>
        <v>30.231839794255333</v>
      </c>
      <c r="C155" s="846"/>
      <c r="D155" s="393">
        <f t="shared" si="50"/>
        <v>32.252532155970549</v>
      </c>
      <c r="E155" s="385">
        <f t="shared" si="72"/>
        <v>34.753337080815953</v>
      </c>
      <c r="F155" s="385">
        <f t="shared" si="51"/>
        <v>34.753337080815953</v>
      </c>
      <c r="G155" s="110">
        <f t="shared" si="73"/>
        <v>0.79806237764452526</v>
      </c>
      <c r="H155" s="414" t="b">
        <f>Wh_hp&gt;='2025'!Maxi_hp</f>
        <v>0</v>
      </c>
      <c r="I155" s="390">
        <f>IF(H155,Wh_hp,'2025'!Maxi_hp)</f>
        <v>42.630970800856602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6.2652208265178033E-2</v>
      </c>
      <c r="M155" s="850"/>
      <c r="N155" s="850"/>
      <c r="O155" s="48">
        <f>IF(t&lt;Tnet,'2025'!Resal+('2025'!Salim-'2025'!Resal)*(1-EXP(('2025'!Tnet-t)/('2025'!Tau_j))),Resal+(Salim-Resal)*(1-EXP((Tnet-t)/(Tau_j))))*Salcycl</f>
        <v>7.195869907485411E-2</v>
      </c>
      <c r="P155" s="169">
        <f>(INDEX(Models!$BJ155:$BT155,,T155)*(1-R155)+INDEX(Models!$BJ155:$BT155,,T155+1)*R155-ERP_i)*Q155*Ramure*Pc/MaxiM</f>
        <v>0</v>
      </c>
      <c r="Q155" s="305">
        <f t="shared" si="53"/>
        <v>0.7</v>
      </c>
      <c r="R155" s="177">
        <f t="shared" si="54"/>
        <v>0.62838179061542521</v>
      </c>
      <c r="S155" s="817">
        <f t="shared" si="55"/>
        <v>-2</v>
      </c>
      <c r="T155" s="176">
        <f t="shared" si="56"/>
        <v>4</v>
      </c>
      <c r="U155" s="251">
        <f t="shared" si="57"/>
        <v>-1.3716182093845748</v>
      </c>
      <c r="V155" s="383">
        <f t="shared" si="58"/>
        <v>37.881549915289035</v>
      </c>
      <c r="W155" s="402">
        <f t="shared" si="59"/>
        <v>30.231839794255333</v>
      </c>
      <c r="X155" s="157">
        <f t="shared" si="60"/>
        <v>46163</v>
      </c>
      <c r="Y155" s="385">
        <f t="shared" si="61"/>
        <v>28.618697254556331</v>
      </c>
      <c r="Z155" s="385">
        <f t="shared" si="62"/>
        <v>30.531567372223172</v>
      </c>
      <c r="AA155" s="386">
        <f t="shared" si="63"/>
        <v>34.753312535733421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0.12147748963985638</v>
      </c>
      <c r="AD155" s="231">
        <f>(INDEX(Models!$BJ155:$BT155,,AH155)*(1-AF155)+INDEX(Models!$BJ155:$BT155,,AH155+1)*AF155-ERP_i)*AE155*Ramure*Pc/MaxiM</f>
        <v>9.9261832032967115E-7</v>
      </c>
      <c r="AE155" s="305">
        <f t="shared" si="65"/>
        <v>0.7</v>
      </c>
      <c r="AF155" s="177">
        <f t="shared" si="66"/>
        <v>0.25224515999148123</v>
      </c>
      <c r="AG155" s="817">
        <f t="shared" si="74"/>
        <v>1</v>
      </c>
      <c r="AH155" s="176">
        <f t="shared" si="67"/>
        <v>7</v>
      </c>
      <c r="AI155" s="225">
        <f t="shared" si="68"/>
        <v>1.2522451599914812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46164</v>
      </c>
      <c r="B156" s="411">
        <f>'2025'!Wh/'2025'!Env_an*'2026'!Env_an</f>
        <v>22.595060173017462</v>
      </c>
      <c r="C156" s="846"/>
      <c r="D156" s="393">
        <f t="shared" si="50"/>
        <v>24.105839127058911</v>
      </c>
      <c r="E156" s="385">
        <f t="shared" si="72"/>
        <v>25.979370190920459</v>
      </c>
      <c r="F156" s="385">
        <f t="shared" si="51"/>
        <v>25.979370190920459</v>
      </c>
      <c r="G156" s="110">
        <f t="shared" si="73"/>
        <v>0.59646966170846205</v>
      </c>
      <c r="H156" s="414" t="b">
        <f>Wh_hp&gt;='2025'!Maxi_hp</f>
        <v>0</v>
      </c>
      <c r="I156" s="390">
        <f>IF(H156,Wh_hp,'2025'!Maxi_hp)</f>
        <v>42.922836576302252</v>
      </c>
      <c r="J156" s="85">
        <f>IF(H156,An,'2025'!An_max)</f>
        <v>2019</v>
      </c>
      <c r="K156" s="197">
        <f t="shared" si="52"/>
        <v>46164</v>
      </c>
      <c r="L156" s="147">
        <f>IF(t&lt;Tvie,1-EXP((T0-t)*PertePVj)+'2025'!Pspv,1-EXP((T0-t)*PertePVj)+Pspv)</f>
        <v>6.26727385874567E-2</v>
      </c>
      <c r="M156" s="850"/>
      <c r="N156" s="850"/>
      <c r="O156" s="48">
        <f>IF(t&lt;Tnet,'2025'!Resal+('2025'!Salim-'2025'!Resal)*(1-EXP(('2025'!Tnet-t)/('2025'!Tau_j))),Resal+(Salim-Resal)*(1-EXP((Tnet-t)/(Tau_j))))*Salcycl</f>
        <v>7.2116107899964768E-2</v>
      </c>
      <c r="P156" s="169">
        <f>(INDEX(Models!$BJ156:$BT156,,T156)*(1-R156)+INDEX(Models!$BJ156:$BT156,,T156+1)*R156-ERP_i)*Q156*Ramure*Pc/MaxiM</f>
        <v>0</v>
      </c>
      <c r="Q156" s="305">
        <f t="shared" si="53"/>
        <v>0.7</v>
      </c>
      <c r="R156" s="177">
        <f t="shared" si="54"/>
        <v>0.63278239086098087</v>
      </c>
      <c r="S156" s="817">
        <f t="shared" si="55"/>
        <v>-2</v>
      </c>
      <c r="T156" s="176">
        <f t="shared" si="56"/>
        <v>4</v>
      </c>
      <c r="U156" s="251">
        <f t="shared" si="57"/>
        <v>-1.3672176091390191</v>
      </c>
      <c r="V156" s="383">
        <f t="shared" si="58"/>
        <v>37.881323432777222</v>
      </c>
      <c r="W156" s="402">
        <f t="shared" si="59"/>
        <v>22.595060173017462</v>
      </c>
      <c r="X156" s="157">
        <f t="shared" si="60"/>
        <v>46164</v>
      </c>
      <c r="Y156" s="385">
        <f t="shared" si="61"/>
        <v>21.390021702003022</v>
      </c>
      <c r="Z156" s="385">
        <f t="shared" si="62"/>
        <v>22.820227878327643</v>
      </c>
      <c r="AA156" s="386">
        <f t="shared" si="63"/>
        <v>25.979359454929469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0.12160159614722121</v>
      </c>
      <c r="AD156" s="231">
        <f>(INDEX(Models!$BJ156:$BT156,,AH156)*(1-AF156)+INDEX(Models!$BJ156:$BT156,,AH156+1)*AF156-ERP_i)*AE156*Ramure*Pc/MaxiM</f>
        <v>9.7573369361098431E-7</v>
      </c>
      <c r="AE156" s="305">
        <f t="shared" si="65"/>
        <v>0.7</v>
      </c>
      <c r="AF156" s="177">
        <f t="shared" si="66"/>
        <v>0.25664576023703689</v>
      </c>
      <c r="AG156" s="817">
        <f t="shared" si="74"/>
        <v>1</v>
      </c>
      <c r="AH156" s="176">
        <f t="shared" si="67"/>
        <v>7</v>
      </c>
      <c r="AI156" s="225">
        <f t="shared" si="68"/>
        <v>1.2566457602370369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46165</v>
      </c>
      <c r="B157" s="411">
        <f>'2025'!Wh/'2025'!Env_an*'2026'!Env_an</f>
        <v>11.762254833077431</v>
      </c>
      <c r="C157" s="846"/>
      <c r="D157" s="393">
        <f t="shared" si="50"/>
        <v>12.548992167967091</v>
      </c>
      <c r="E157" s="385">
        <f t="shared" si="72"/>
        <v>13.526610052219137</v>
      </c>
      <c r="F157" s="385">
        <f t="shared" si="51"/>
        <v>13.526610052219137</v>
      </c>
      <c r="G157" s="110">
        <f t="shared" si="73"/>
        <v>0.31052400158052912</v>
      </c>
      <c r="H157" s="414" t="b">
        <f>Wh_hp&gt;='2025'!Maxi_hp</f>
        <v>0</v>
      </c>
      <c r="I157" s="390">
        <f>IF(H157,Wh_hp,'2025'!Maxi_hp)</f>
        <v>39.13669865982753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6.2693268460068619E-2</v>
      </c>
      <c r="M157" s="850"/>
      <c r="N157" s="850"/>
      <c r="O157" s="48">
        <f>IF(t&lt;Tnet,'2025'!Resal+('2025'!Salim-'2025'!Resal)*(1-EXP(('2025'!Tnet-t)/('2025'!Tau_j))),Resal+(Salim-Resal)*(1-EXP((Tnet-t)/(Tau_j))))*Salcycl</f>
        <v>7.2273679841288962E-2</v>
      </c>
      <c r="P157" s="169">
        <f>(INDEX(Models!$BJ157:$BT157,,T157)*(1-R157)+INDEX(Models!$BJ157:$BT157,,T157+1)*R157-ERP_i)*Q157*Ramure*Pc/MaxiM</f>
        <v>0</v>
      </c>
      <c r="Q157" s="305">
        <f t="shared" si="53"/>
        <v>0.7</v>
      </c>
      <c r="R157" s="177">
        <f t="shared" si="54"/>
        <v>0.63725072219275325</v>
      </c>
      <c r="S157" s="817">
        <f t="shared" si="55"/>
        <v>-2</v>
      </c>
      <c r="T157" s="176">
        <f t="shared" si="56"/>
        <v>4</v>
      </c>
      <c r="U157" s="251">
        <f t="shared" si="57"/>
        <v>-1.3627492778072468</v>
      </c>
      <c r="V157" s="383">
        <f t="shared" si="58"/>
        <v>37.878730060185354</v>
      </c>
      <c r="W157" s="402">
        <f t="shared" si="59"/>
        <v>11.762254833077431</v>
      </c>
      <c r="X157" s="157">
        <f t="shared" si="60"/>
        <v>46165</v>
      </c>
      <c r="Y157" s="385">
        <f t="shared" si="61"/>
        <v>11.135269673368249</v>
      </c>
      <c r="Z157" s="385">
        <f t="shared" si="62"/>
        <v>11.880070097302893</v>
      </c>
      <c r="AA157" s="386">
        <f t="shared" si="63"/>
        <v>13.52660985723036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0.12172597401020958</v>
      </c>
      <c r="AD157" s="231">
        <f>(INDEX(Models!$BJ157:$BT157,,AH157)*(1-AF157)+INDEX(Models!$BJ157:$BT157,,AH157+1)*AF157-ERP_i)*AE157*Ramure*Pc/MaxiM</f>
        <v>9.5882153842967189E-7</v>
      </c>
      <c r="AE157" s="305">
        <f t="shared" si="65"/>
        <v>0.7</v>
      </c>
      <c r="AF157" s="177">
        <f t="shared" si="66"/>
        <v>0.26111409156880927</v>
      </c>
      <c r="AG157" s="817">
        <f t="shared" si="74"/>
        <v>1</v>
      </c>
      <c r="AH157" s="176">
        <f t="shared" si="67"/>
        <v>7</v>
      </c>
      <c r="AI157" s="225">
        <f t="shared" si="68"/>
        <v>1.2611140915688093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46166</v>
      </c>
      <c r="B158" s="411">
        <f>'2025'!Wh/'2025'!Env_an*'2026'!Env_an</f>
        <v>10.527995209776828</v>
      </c>
      <c r="C158" s="846"/>
      <c r="D158" s="393">
        <f t="shared" si="50"/>
        <v>11.232423123265928</v>
      </c>
      <c r="E158" s="385">
        <f t="shared" si="72"/>
        <v>12.109533029431793</v>
      </c>
      <c r="F158" s="385">
        <f t="shared" si="51"/>
        <v>12.109533029431793</v>
      </c>
      <c r="G158" s="110">
        <f t="shared" si="73"/>
        <v>0.27797245681638089</v>
      </c>
      <c r="H158" s="414" t="b">
        <f>Wh_hp&gt;='2025'!Maxi_hp</f>
        <v>0</v>
      </c>
      <c r="I158" s="390">
        <f>IF(H158,Wh_hp,'2025'!Maxi_hp)</f>
        <v>19.559062636800455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6.271379788302367E-2</v>
      </c>
      <c r="M158" s="850"/>
      <c r="N158" s="850"/>
      <c r="O158" s="48">
        <f>IF(t&lt;Tnet,'2025'!Resal+('2025'!Salim-'2025'!Resal)*(1-EXP(('2025'!Tnet-t)/('2025'!Tau_j))),Resal+(Salim-Resal)*(1-EXP((Tnet-t)/(Tau_j))))*Salcycl</f>
        <v>7.2431356686841628E-2</v>
      </c>
      <c r="P158" s="169">
        <f>(INDEX(Models!$BJ158:$BT158,,T158)*(1-R158)+INDEX(Models!$BJ158:$BT158,,T158+1)*R158-ERP_i)*Q158*Ramure*Pc/MaxiM</f>
        <v>0</v>
      </c>
      <c r="Q158" s="305">
        <f t="shared" si="53"/>
        <v>0.7</v>
      </c>
      <c r="R158" s="177">
        <f t="shared" si="54"/>
        <v>0.64178450172358259</v>
      </c>
      <c r="S158" s="817">
        <f t="shared" si="55"/>
        <v>-2</v>
      </c>
      <c r="T158" s="176">
        <f t="shared" si="56"/>
        <v>4</v>
      </c>
      <c r="U158" s="251">
        <f t="shared" si="57"/>
        <v>-1.3582154982764174</v>
      </c>
      <c r="V158" s="383">
        <f t="shared" si="58"/>
        <v>37.874238801764669</v>
      </c>
      <c r="W158" s="402">
        <f t="shared" si="59"/>
        <v>10.527995209776828</v>
      </c>
      <c r="X158" s="157">
        <f t="shared" si="60"/>
        <v>46166</v>
      </c>
      <c r="Y158" s="385">
        <f t="shared" si="61"/>
        <v>9.9670828010134382</v>
      </c>
      <c r="Z158" s="385">
        <f t="shared" si="62"/>
        <v>10.633980078338457</v>
      </c>
      <c r="AA158" s="386">
        <f t="shared" si="63"/>
        <v>12.109533029431793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0.12185052450057786</v>
      </c>
      <c r="AD158" s="231">
        <f>(INDEX(Models!$BJ158:$BT158,,AH158)*(1-AF158)+INDEX(Models!$BJ158:$BT158,,AH158+1)*AF158-ERP_i)*AE158*Ramure*Pc/MaxiM</f>
        <v>9.4187670856554541E-7</v>
      </c>
      <c r="AE158" s="305">
        <f t="shared" si="65"/>
        <v>0.7</v>
      </c>
      <c r="AF158" s="177">
        <f t="shared" si="66"/>
        <v>0.26564787109963861</v>
      </c>
      <c r="AG158" s="817">
        <f t="shared" si="74"/>
        <v>1</v>
      </c>
      <c r="AH158" s="176">
        <f t="shared" si="67"/>
        <v>7</v>
      </c>
      <c r="AI158" s="225">
        <f t="shared" si="68"/>
        <v>1.2656478710996386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46167</v>
      </c>
      <c r="B159" s="411">
        <f>'2025'!Wh/'2025'!Env_an*'2026'!Env_an</f>
        <v>25.934061115999192</v>
      </c>
      <c r="C159" s="846"/>
      <c r="D159" s="393">
        <f t="shared" si="50"/>
        <v>27.669914581437894</v>
      </c>
      <c r="E159" s="385">
        <f t="shared" si="72"/>
        <v>29.835657473081977</v>
      </c>
      <c r="F159" s="385">
        <f t="shared" si="51"/>
        <v>29.835657473081977</v>
      </c>
      <c r="G159" s="110">
        <f t="shared" si="73"/>
        <v>0.68484850226974292</v>
      </c>
      <c r="H159" s="414" t="b">
        <f>Wh_hp&gt;='2025'!Maxi_hp</f>
        <v>0</v>
      </c>
      <c r="I159" s="390">
        <f>IF(H159,Wh_hp,'2025'!Maxi_hp)</f>
        <v>41.574102486699203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6.2734326856331624E-2</v>
      </c>
      <c r="M159" s="850"/>
      <c r="N159" s="850"/>
      <c r="O159" s="48">
        <f>IF(t&lt;Tnet,'2025'!Resal+('2025'!Salim-'2025'!Resal)*(1-EXP(('2025'!Tnet-t)/('2025'!Tau_j))),Resal+(Salim-Resal)*(1-EXP((Tnet-t)/(Tau_j))))*Salcycl</f>
        <v>7.2589078809409124E-2</v>
      </c>
      <c r="P159" s="169">
        <f>(INDEX(Models!$BJ159:$BT159,,T159)*(1-R159)+INDEX(Models!$BJ159:$BT159,,T159+1)*R159-ERP_i)*Q159*Ramure*Pc/MaxiM</f>
        <v>0</v>
      </c>
      <c r="Q159" s="305">
        <f t="shared" si="53"/>
        <v>0.7</v>
      </c>
      <c r="R159" s="177">
        <f t="shared" si="54"/>
        <v>0.64638126714129984</v>
      </c>
      <c r="S159" s="817">
        <f t="shared" si="55"/>
        <v>-2</v>
      </c>
      <c r="T159" s="176">
        <f t="shared" si="56"/>
        <v>4</v>
      </c>
      <c r="U159" s="251">
        <f t="shared" si="57"/>
        <v>-1.3536187328587002</v>
      </c>
      <c r="V159" s="383">
        <f t="shared" si="58"/>
        <v>37.868318365372552</v>
      </c>
      <c r="W159" s="402">
        <f t="shared" si="59"/>
        <v>25.934061115999192</v>
      </c>
      <c r="X159" s="157">
        <f t="shared" si="60"/>
        <v>46167</v>
      </c>
      <c r="Y159" s="385">
        <f t="shared" si="61"/>
        <v>24.553019703234817</v>
      </c>
      <c r="Z159" s="385">
        <f t="shared" si="62"/>
        <v>26.19643544704023</v>
      </c>
      <c r="AA159" s="386">
        <f t="shared" si="63"/>
        <v>29.835642301748432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0.12197514697027113</v>
      </c>
      <c r="AD159" s="231">
        <f>(INDEX(Models!$BJ159:$BT159,,AH159)*(1-AF159)+INDEX(Models!$BJ159:$BT159,,AH159+1)*AF159-ERP_i)*AE159*Ramure*Pc/MaxiM</f>
        <v>9.2490341552242846E-7</v>
      </c>
      <c r="AE159" s="305">
        <f t="shared" si="65"/>
        <v>0.7</v>
      </c>
      <c r="AF159" s="177">
        <f t="shared" si="66"/>
        <v>0.27024463651735586</v>
      </c>
      <c r="AG159" s="817">
        <f t="shared" si="74"/>
        <v>1</v>
      </c>
      <c r="AH159" s="176">
        <f t="shared" si="67"/>
        <v>7</v>
      </c>
      <c r="AI159" s="225">
        <f t="shared" si="68"/>
        <v>1.2702446365173559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46168</v>
      </c>
      <c r="B160" s="411">
        <f>'2025'!Wh/'2025'!Env_an*'2026'!Env_an</f>
        <v>13.886257920222247</v>
      </c>
      <c r="C160" s="846"/>
      <c r="D160" s="393">
        <f t="shared" si="50"/>
        <v>14.816036124521485</v>
      </c>
      <c r="E160" s="385">
        <f t="shared" si="72"/>
        <v>15.978414407576402</v>
      </c>
      <c r="F160" s="385">
        <f t="shared" si="51"/>
        <v>15.978414407576402</v>
      </c>
      <c r="G160" s="110">
        <f t="shared" si="73"/>
        <v>0.36676520926742368</v>
      </c>
      <c r="H160" s="414" t="b">
        <f>Wh_hp&gt;='2025'!Maxi_hp</f>
        <v>0</v>
      </c>
      <c r="I160" s="390">
        <f>IF(H160,Wh_hp,'2025'!Maxi_hp)</f>
        <v>43.15188461541296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6.2754855380002472E-2</v>
      </c>
      <c r="M160" s="850"/>
      <c r="N160" s="850"/>
      <c r="O160" s="48">
        <f>IF(t&lt;Tnet,'2025'!Resal+('2025'!Salim-'2025'!Resal)*(1-EXP(('2025'!Tnet-t)/('2025'!Tau_j))),Resal+(Salim-Resal)*(1-EXP((Tnet-t)/(Tau_j))))*Salcycl</f>
        <v>7.2746785344593209E-2</v>
      </c>
      <c r="P160" s="169">
        <f>(INDEX(Models!$BJ160:$BT160,,T160)*(1-R160)+INDEX(Models!$BJ160:$BT160,,T160+1)*R160-ERP_i)*Q160*Ramure*Pc/MaxiM</f>
        <v>0</v>
      </c>
      <c r="Q160" s="305">
        <f t="shared" si="53"/>
        <v>0.7</v>
      </c>
      <c r="R160" s="177">
        <f t="shared" si="54"/>
        <v>0.65103837948213217</v>
      </c>
      <c r="S160" s="817">
        <f t="shared" si="55"/>
        <v>-2</v>
      </c>
      <c r="T160" s="176">
        <f t="shared" si="56"/>
        <v>4</v>
      </c>
      <c r="U160" s="251">
        <f t="shared" si="57"/>
        <v>-1.3489616205178678</v>
      </c>
      <c r="V160" s="383">
        <f t="shared" si="58"/>
        <v>37.8614371520097</v>
      </c>
      <c r="W160" s="402">
        <f t="shared" si="59"/>
        <v>13.886257920222247</v>
      </c>
      <c r="X160" s="157">
        <f t="shared" si="60"/>
        <v>46168</v>
      </c>
      <c r="Y160" s="385">
        <f t="shared" si="61"/>
        <v>13.147162179574407</v>
      </c>
      <c r="Z160" s="385">
        <f t="shared" si="62"/>
        <v>14.027452961524675</v>
      </c>
      <c r="AA160" s="386">
        <f t="shared" si="63"/>
        <v>15.978413023919753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0.12209973915898162</v>
      </c>
      <c r="AD160" s="231">
        <f>(INDEX(Models!$BJ160:$BT160,,AH160)*(1-AF160)+INDEX(Models!$BJ160:$BT160,,AH160+1)*AF160-ERP_i)*AE160*Ramure*Pc/MaxiM</f>
        <v>9.0790932967297179E-7</v>
      </c>
      <c r="AE160" s="305">
        <f t="shared" si="65"/>
        <v>0.7</v>
      </c>
      <c r="AF160" s="177">
        <f t="shared" si="66"/>
        <v>0.27490174885818819</v>
      </c>
      <c r="AG160" s="817">
        <f t="shared" si="74"/>
        <v>1</v>
      </c>
      <c r="AH160" s="176">
        <f t="shared" si="67"/>
        <v>7</v>
      </c>
      <c r="AI160" s="225">
        <f t="shared" si="68"/>
        <v>1.2749017488581882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46169</v>
      </c>
      <c r="B161" s="411">
        <f>'2025'!Wh/'2025'!Env_an*'2026'!Env_an</f>
        <v>27.54440143026784</v>
      </c>
      <c r="C161" s="846"/>
      <c r="D161" s="393">
        <f t="shared" si="50"/>
        <v>29.389327749179195</v>
      </c>
      <c r="E161" s="385">
        <f t="shared" si="72"/>
        <v>31.700428957965599</v>
      </c>
      <c r="F161" s="385">
        <f t="shared" si="51"/>
        <v>31.700428957965599</v>
      </c>
      <c r="G161" s="110">
        <f t="shared" si="73"/>
        <v>0.72764715506818844</v>
      </c>
      <c r="H161" s="414" t="b">
        <f>Wh_hp&gt;='2025'!Maxi_hp</f>
        <v>0</v>
      </c>
      <c r="I161" s="390">
        <f>IF(H161,Wh_hp,'2025'!Maxi_hp)</f>
        <v>43.072441964376736</v>
      </c>
      <c r="J161" s="85">
        <f>IF(H161,An,'2025'!An_max)</f>
        <v>2021</v>
      </c>
      <c r="K161" s="197">
        <f t="shared" si="52"/>
        <v>46169</v>
      </c>
      <c r="L161" s="147">
        <f>IF(t&lt;Tvie,1-EXP((T0-t)*PertePVj)+'2025'!Pspv,1-EXP((T0-t)*PertePVj)+Pspv)</f>
        <v>6.2775383454045874E-2</v>
      </c>
      <c r="M161" s="850"/>
      <c r="N161" s="850"/>
      <c r="O161" s="48">
        <f>IF(t&lt;Tnet,'2025'!Resal+('2025'!Salim-'2025'!Resal)*(1-EXP(('2025'!Tnet-t)/('2025'!Tau_j))),Resal+(Salim-Resal)*(1-EXP((Tnet-t)/(Tau_j))))*Salcycl</f>
        <v>7.2904414380350946E-2</v>
      </c>
      <c r="P161" s="169">
        <f>(INDEX(Models!$BJ161:$BT161,,T161)*(1-R161)+INDEX(Models!$BJ161:$BT161,,T161+1)*R161-ERP_i)*Q161*Ramure*Pc/MaxiM</f>
        <v>0</v>
      </c>
      <c r="Q161" s="305">
        <f t="shared" si="53"/>
        <v>0.7</v>
      </c>
      <c r="R161" s="177">
        <f t="shared" si="54"/>
        <v>0.65575302687310799</v>
      </c>
      <c r="S161" s="817">
        <f t="shared" si="55"/>
        <v>-2</v>
      </c>
      <c r="T161" s="176">
        <f t="shared" si="56"/>
        <v>4</v>
      </c>
      <c r="U161" s="251">
        <f t="shared" si="57"/>
        <v>-1.344246973126892</v>
      </c>
      <c r="V161" s="383">
        <f t="shared" si="58"/>
        <v>37.85406324812282</v>
      </c>
      <c r="W161" s="402">
        <f t="shared" si="59"/>
        <v>27.54440143026784</v>
      </c>
      <c r="X161" s="157">
        <f t="shared" si="60"/>
        <v>46169</v>
      </c>
      <c r="Y161" s="385">
        <f t="shared" si="61"/>
        <v>26.079075647581679</v>
      </c>
      <c r="Z161" s="385">
        <f t="shared" si="62"/>
        <v>27.825854322620607</v>
      </c>
      <c r="AA161" s="386">
        <f t="shared" si="63"/>
        <v>31.700411704179977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0.12222419751881258</v>
      </c>
      <c r="AD161" s="231">
        <f>(INDEX(Models!$BJ161:$BT161,,AH161)*(1-AF161)+INDEX(Models!$BJ161:$BT161,,AH161+1)*AF161-ERP_i)*AE161*Ramure*Pc/MaxiM</f>
        <v>8.9090564647787117E-7</v>
      </c>
      <c r="AE161" s="305">
        <f t="shared" si="65"/>
        <v>0.7</v>
      </c>
      <c r="AF161" s="177">
        <f t="shared" si="66"/>
        <v>0.27961639624916401</v>
      </c>
      <c r="AG161" s="817">
        <f t="shared" si="74"/>
        <v>1</v>
      </c>
      <c r="AH161" s="176">
        <f t="shared" si="67"/>
        <v>7</v>
      </c>
      <c r="AI161" s="225">
        <f t="shared" si="68"/>
        <v>1.279616396249164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46170</v>
      </c>
      <c r="B162" s="411">
        <f>'2025'!Wh/'2025'!Env_an*'2026'!Env_an</f>
        <v>35.032009250024757</v>
      </c>
      <c r="C162" s="846"/>
      <c r="D162" s="393">
        <f t="shared" si="50"/>
        <v>37.379274871001954</v>
      </c>
      <c r="E162" s="385">
        <f t="shared" si="72"/>
        <v>40.325535220007602</v>
      </c>
      <c r="F162" s="385">
        <f t="shared" si="51"/>
        <v>40.325535220007602</v>
      </c>
      <c r="G162" s="110">
        <f t="shared" si="73"/>
        <v>0.92563003339562866</v>
      </c>
      <c r="H162" s="414" t="b">
        <f>Wh_hp&gt;='2025'!Maxi_hp</f>
        <v>0</v>
      </c>
      <c r="I162" s="390">
        <f>IF(H162,Wh_hp,'2025'!Maxi_hp)</f>
        <v>41.82650557784492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6.2795911078471822E-2</v>
      </c>
      <c r="M162" s="850"/>
      <c r="N162" s="850"/>
      <c r="O162" s="48">
        <f>IF(t&lt;Tnet,'2025'!Resal+('2025'!Salim-'2025'!Resal)*(1-EXP(('2025'!Tnet-t)/('2025'!Tau_j))),Resal+(Salim-Resal)*(1-EXP((Tnet-t)/(Tau_j))))*Salcycl</f>
        <v>7.3061903157179933E-2</v>
      </c>
      <c r="P162" s="169">
        <f>(INDEX(Models!$BJ162:$BT162,,T162)*(1-R162)+INDEX(Models!$BJ162:$BT162,,T162+1)*R162-ERP_i)*Q162*Ramure*Pc/MaxiM</f>
        <v>0</v>
      </c>
      <c r="Q162" s="305">
        <f t="shared" si="53"/>
        <v>0.7</v>
      </c>
      <c r="R162" s="177">
        <f t="shared" si="54"/>
        <v>0.66052222925465021</v>
      </c>
      <c r="S162" s="817">
        <f t="shared" si="55"/>
        <v>-2</v>
      </c>
      <c r="T162" s="176">
        <f t="shared" si="56"/>
        <v>4</v>
      </c>
      <c r="U162" s="251">
        <f t="shared" si="57"/>
        <v>-1.3394777707453498</v>
      </c>
      <c r="V162" s="383">
        <f t="shared" si="58"/>
        <v>37.846664418948841</v>
      </c>
      <c r="W162" s="402">
        <f t="shared" si="59"/>
        <v>35.032009250024757</v>
      </c>
      <c r="X162" s="157">
        <f t="shared" si="60"/>
        <v>46170</v>
      </c>
      <c r="Y162" s="385">
        <f t="shared" si="61"/>
        <v>33.169285462357571</v>
      </c>
      <c r="Z162" s="385">
        <f t="shared" si="62"/>
        <v>35.391742155677711</v>
      </c>
      <c r="AA162" s="386">
        <f t="shared" si="63"/>
        <v>40.325503723313247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0.12234841755450154</v>
      </c>
      <c r="AD162" s="231">
        <f>(INDEX(Models!$BJ162:$BT162,,AH162)*(1-AF162)+INDEX(Models!$BJ162:$BT162,,AH162+1)*AF162-ERP_i)*AE162*Ramure*Pc/MaxiM</f>
        <v>8.7390713856869471E-7</v>
      </c>
      <c r="AE162" s="305">
        <f t="shared" si="65"/>
        <v>0.7</v>
      </c>
      <c r="AF162" s="177">
        <f t="shared" si="66"/>
        <v>0.28438559863070623</v>
      </c>
      <c r="AG162" s="817">
        <f t="shared" si="74"/>
        <v>1</v>
      </c>
      <c r="AH162" s="176">
        <f t="shared" si="67"/>
        <v>7</v>
      </c>
      <c r="AI162" s="225">
        <f t="shared" si="68"/>
        <v>1.2843855986307062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46171</v>
      </c>
      <c r="B163" s="411">
        <f>'2025'!Wh/'2025'!Env_an*'2026'!Env_an</f>
        <v>38.01841198669468</v>
      </c>
      <c r="C163" s="846"/>
      <c r="D163" s="393">
        <f t="shared" si="50"/>
        <v>40.566665420204856</v>
      </c>
      <c r="E163" s="385">
        <f t="shared" si="72"/>
        <v>43.771585370686978</v>
      </c>
      <c r="F163" s="385">
        <f t="shared" si="51"/>
        <v>43.771585370686978</v>
      </c>
      <c r="G163" s="110">
        <f t="shared" si="73"/>
        <v>1.0047588599605874</v>
      </c>
      <c r="H163" s="414" t="b">
        <f>Wh_hp&gt;='2025'!Maxi_hp</f>
        <v>1</v>
      </c>
      <c r="I163" s="390">
        <f>IF(H163,Wh_hp,'2025'!Maxi_hp)</f>
        <v>43.771585370686978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6.2816438253290086E-2</v>
      </c>
      <c r="M163" s="850"/>
      <c r="N163" s="850"/>
      <c r="O163" s="48">
        <f>IF(t&lt;Tnet,'2025'!Resal+('2025'!Salim-'2025'!Resal)*(1-EXP(('2025'!Tnet-t)/('2025'!Tau_j))),Resal+(Salim-Resal)*(1-EXP((Tnet-t)/(Tau_j))))*Salcycl</f>
        <v>7.3219188277982725E-2</v>
      </c>
      <c r="P163" s="169">
        <f>(INDEX(Models!$BJ163:$BT163,,T163)*(1-R163)+INDEX(Models!$BJ163:$BT163,,T163+1)*R163-ERP_i)*Q163*Ramure*Pc/MaxiM</f>
        <v>0</v>
      </c>
      <c r="Q163" s="305">
        <f t="shared" si="53"/>
        <v>0.7</v>
      </c>
      <c r="R163" s="177">
        <f t="shared" si="54"/>
        <v>0.66534284408587219</v>
      </c>
      <c r="S163" s="817">
        <f t="shared" si="55"/>
        <v>-2</v>
      </c>
      <c r="T163" s="176">
        <f t="shared" si="56"/>
        <v>4</v>
      </c>
      <c r="U163" s="251">
        <f t="shared" si="57"/>
        <v>-1.3346571559141278</v>
      </c>
      <c r="V163" s="383">
        <f t="shared" si="58"/>
        <v>37.838344603585767</v>
      </c>
      <c r="W163" s="402">
        <f t="shared" si="59"/>
        <v>38.01841198669468</v>
      </c>
      <c r="X163" s="157">
        <f t="shared" si="60"/>
        <v>46171</v>
      </c>
      <c r="Y163" s="385">
        <f t="shared" si="61"/>
        <v>35.997919721200098</v>
      </c>
      <c r="Z163" s="385">
        <f t="shared" si="62"/>
        <v>38.410745973934567</v>
      </c>
      <c r="AA163" s="386">
        <f t="shared" si="63"/>
        <v>43.771547860054774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0.12247229417747843</v>
      </c>
      <c r="AD163" s="231">
        <f>(INDEX(Models!$BJ163:$BT163,,AH163)*(1-AF163)+INDEX(Models!$BJ163:$BT163,,AH163+1)*AF163-ERP_i)*AE163*Ramure*Pc/MaxiM</f>
        <v>8.5696307057629611E-7</v>
      </c>
      <c r="AE163" s="305">
        <f t="shared" si="65"/>
        <v>0.7</v>
      </c>
      <c r="AF163" s="177">
        <f t="shared" si="66"/>
        <v>0.28920621346192821</v>
      </c>
      <c r="AG163" s="817">
        <f t="shared" si="74"/>
        <v>1</v>
      </c>
      <c r="AH163" s="176">
        <f t="shared" si="67"/>
        <v>7</v>
      </c>
      <c r="AI163" s="225">
        <f t="shared" si="68"/>
        <v>1.2892062134619282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46172</v>
      </c>
      <c r="B164" s="411">
        <f>'2025'!Wh/'2025'!Env_an*'2026'!Env_an</f>
        <v>31.48563111185377</v>
      </c>
      <c r="C164" s="846"/>
      <c r="D164" s="393">
        <f t="shared" si="50"/>
        <v>33.596748842245781</v>
      </c>
      <c r="E164" s="385">
        <f t="shared" si="72"/>
        <v>36.2571618138074</v>
      </c>
      <c r="F164" s="385">
        <f t="shared" si="51"/>
        <v>36.2571618138074</v>
      </c>
      <c r="G164" s="110">
        <f t="shared" si="73"/>
        <v>0.83233752558391039</v>
      </c>
      <c r="H164" s="414" t="b">
        <f>Wh_hp&gt;='2025'!Maxi_hp</f>
        <v>0</v>
      </c>
      <c r="I164" s="390">
        <f>IF(H164,Wh_hp,'2025'!Maxi_hp)</f>
        <v>42.658493741310721</v>
      </c>
      <c r="J164" s="85">
        <f>IF(H164,An,'2025'!An_max)</f>
        <v>2019</v>
      </c>
      <c r="K164" s="197">
        <f t="shared" si="52"/>
        <v>46172</v>
      </c>
      <c r="L164" s="147">
        <f>IF(t&lt;Tvie,1-EXP((T0-t)*PertePVj)+'2025'!Pspv,1-EXP((T0-t)*PertePVj)+Pspv)</f>
        <v>6.2836964978510546E-2</v>
      </c>
      <c r="M164" s="850"/>
      <c r="N164" s="850"/>
      <c r="O164" s="48">
        <f>IF(t&lt;Tnet,'2025'!Resal+('2025'!Salim-'2025'!Resal)*(1-EXP(('2025'!Tnet-t)/('2025'!Tau_j))),Resal+(Salim-Resal)*(1-EXP((Tnet-t)/(Tau_j))))*Salcycl</f>
        <v>7.3376205926534738E-2</v>
      </c>
      <c r="P164" s="169">
        <f>(INDEX(Models!$BJ164:$BT164,,T164)*(1-R164)+INDEX(Models!$BJ164:$BT164,,T164+1)*R164-ERP_i)*Q164*Ramure*Pc/MaxiM</f>
        <v>0</v>
      </c>
      <c r="Q164" s="305">
        <f t="shared" si="53"/>
        <v>0.7</v>
      </c>
      <c r="R164" s="177">
        <f t="shared" si="54"/>
        <v>0.67021157302595991</v>
      </c>
      <c r="S164" s="817">
        <f t="shared" si="55"/>
        <v>-2</v>
      </c>
      <c r="T164" s="176">
        <f t="shared" si="56"/>
        <v>4</v>
      </c>
      <c r="U164" s="251">
        <f t="shared" si="57"/>
        <v>-1.3297884269740401</v>
      </c>
      <c r="V164" s="383">
        <f t="shared" si="58"/>
        <v>37.827960585779941</v>
      </c>
      <c r="W164" s="402">
        <f t="shared" si="59"/>
        <v>31.48563111185377</v>
      </c>
      <c r="X164" s="157">
        <f t="shared" si="60"/>
        <v>46172</v>
      </c>
      <c r="Y164" s="385">
        <f t="shared" si="61"/>
        <v>29.813188363063947</v>
      </c>
      <c r="Z164" s="385">
        <f t="shared" si="62"/>
        <v>31.812168479714227</v>
      </c>
      <c r="AA164" s="386">
        <f t="shared" si="63"/>
        <v>36.257138561979957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0.12259572207186879</v>
      </c>
      <c r="AD164" s="231">
        <f>(INDEX(Models!$BJ164:$BT164,,AH164)*(1-AF164)+INDEX(Models!$BJ164:$BT164,,AH164+1)*AF164-ERP_i)*AE164*Ramure*Pc/MaxiM</f>
        <v>8.4328474681100184E-7</v>
      </c>
      <c r="AE164" s="305">
        <f t="shared" si="65"/>
        <v>0.7</v>
      </c>
      <c r="AF164" s="177">
        <f t="shared" si="66"/>
        <v>0.29407494240201593</v>
      </c>
      <c r="AG164" s="817">
        <f t="shared" si="74"/>
        <v>1</v>
      </c>
      <c r="AH164" s="176">
        <f t="shared" si="67"/>
        <v>7</v>
      </c>
      <c r="AI164" s="225">
        <f t="shared" si="68"/>
        <v>1.2940749424020159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46173</v>
      </c>
      <c r="B165" s="411">
        <f>'2025'!Wh/'2025'!Env_an*'2026'!Env_an</f>
        <v>34.453590155676828</v>
      </c>
      <c r="C165" s="846"/>
      <c r="D165" s="393">
        <f t="shared" si="50"/>
        <v>36.764515358272234</v>
      </c>
      <c r="E165" s="385">
        <f t="shared" si="72"/>
        <v>39.682483106542968</v>
      </c>
      <c r="F165" s="385">
        <f t="shared" si="51"/>
        <v>39.682483106542968</v>
      </c>
      <c r="G165" s="110">
        <f t="shared" si="73"/>
        <v>0.91109441255163237</v>
      </c>
      <c r="H165" s="414" t="b">
        <f>Wh_hp&gt;='2025'!Maxi_hp</f>
        <v>0</v>
      </c>
      <c r="I165" s="390">
        <f>IF(H165,Wh_hp,'2025'!Maxi_hp)</f>
        <v>43.393408345276015</v>
      </c>
      <c r="J165" s="85">
        <f>IF(H165,An,'2025'!An_max)</f>
        <v>2019</v>
      </c>
      <c r="K165" s="197">
        <f t="shared" si="52"/>
        <v>46173</v>
      </c>
      <c r="L165" s="147">
        <f>IF(t&lt;Tvie,1-EXP((T0-t)*PertePVj)+'2025'!Pspv,1-EXP((T0-t)*PertePVj)+Pspv)</f>
        <v>6.2857491254143083E-2</v>
      </c>
      <c r="M165" s="850"/>
      <c r="N165" s="850"/>
      <c r="O165" s="48">
        <f>IF(t&lt;Tnet,'2025'!Resal+('2025'!Salim-'2025'!Resal)*(1-EXP(('2025'!Tnet-t)/('2025'!Tau_j))),Resal+(Salim-Resal)*(1-EXP((Tnet-t)/(Tau_j))))*Salcycl</f>
        <v>7.3532892093378335E-2</v>
      </c>
      <c r="P165" s="169">
        <f>(INDEX(Models!$BJ165:$BT165,,T165)*(1-R165)+INDEX(Models!$BJ165:$BT165,,T165+1)*R165-ERP_i)*Q165*Ramure*Pc/MaxiM</f>
        <v>0</v>
      </c>
      <c r="Q165" s="305">
        <f t="shared" si="53"/>
        <v>0.7</v>
      </c>
      <c r="R165" s="177">
        <f t="shared" si="54"/>
        <v>0.67512496957558654</v>
      </c>
      <c r="S165" s="817">
        <f t="shared" si="55"/>
        <v>-2</v>
      </c>
      <c r="T165" s="176">
        <f t="shared" si="56"/>
        <v>4</v>
      </c>
      <c r="U165" s="251">
        <f t="shared" si="57"/>
        <v>-1.3248750304244135</v>
      </c>
      <c r="V165" s="383">
        <f t="shared" si="58"/>
        <v>37.815609097179404</v>
      </c>
      <c r="W165" s="402">
        <f t="shared" si="59"/>
        <v>34.453590155676828</v>
      </c>
      <c r="X165" s="157">
        <f t="shared" si="60"/>
        <v>46173</v>
      </c>
      <c r="Y165" s="385">
        <f t="shared" si="61"/>
        <v>32.624441658102185</v>
      </c>
      <c r="Z165" s="385">
        <f t="shared" si="62"/>
        <v>34.81267934560163</v>
      </c>
      <c r="AA165" s="386">
        <f t="shared" si="63"/>
        <v>39.682454443540493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0.12271859607039919</v>
      </c>
      <c r="AD165" s="231">
        <f>(INDEX(Models!$BJ165:$BT165,,AH165)*(1-AF165)+INDEX(Models!$BJ165:$BT165,,AH165+1)*AF165-ERP_i)*AE165*Ramure*Pc/MaxiM</f>
        <v>8.2739438318753327E-7</v>
      </c>
      <c r="AE165" s="305">
        <f t="shared" si="65"/>
        <v>0.7</v>
      </c>
      <c r="AF165" s="177">
        <f t="shared" si="66"/>
        <v>0.29898833895164256</v>
      </c>
      <c r="AG165" s="817">
        <f t="shared" si="74"/>
        <v>1</v>
      </c>
      <c r="AH165" s="176">
        <f t="shared" si="67"/>
        <v>7</v>
      </c>
      <c r="AI165" s="225">
        <f t="shared" si="68"/>
        <v>1.2989883389516426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46174</v>
      </c>
      <c r="B166" s="411">
        <f>'2025'!Wh/'2025'!Env_an*'2026'!Env_an</f>
        <v>35.236468547322929</v>
      </c>
      <c r="C166" s="846"/>
      <c r="D166" s="393">
        <f t="shared" si="50"/>
        <v>37.600727748949211</v>
      </c>
      <c r="E166" s="385">
        <f t="shared" si="72"/>
        <v>40.591912618408216</v>
      </c>
      <c r="F166" s="385">
        <f t="shared" si="51"/>
        <v>40.591912618408216</v>
      </c>
      <c r="G166" s="110">
        <f t="shared" si="73"/>
        <v>0.9321475093959799</v>
      </c>
      <c r="H166" s="414" t="b">
        <f>Wh_hp&gt;='2025'!Maxi_hp</f>
        <v>0</v>
      </c>
      <c r="I166" s="390">
        <f>IF(H166,Wh_hp,'2025'!Maxi_hp)</f>
        <v>43.566085731494503</v>
      </c>
      <c r="J166" s="85">
        <f>IF(H166,An,'2025'!An_max)</f>
        <v>2019</v>
      </c>
      <c r="K166" s="197">
        <f t="shared" si="52"/>
        <v>46174</v>
      </c>
      <c r="L166" s="147">
        <f>IF(t&lt;Tvie,1-EXP((T0-t)*PertePVj)+'2025'!Pspv,1-EXP((T0-t)*PertePVj)+Pspv)</f>
        <v>6.2878017080197468E-2</v>
      </c>
      <c r="M166" s="850"/>
      <c r="N166" s="850"/>
      <c r="O166" s="48">
        <f>IF(t&lt;Tnet,'2025'!Resal+('2025'!Salim-'2025'!Resal)*(1-EXP(('2025'!Tnet-t)/('2025'!Tau_j))),Resal+(Salim-Resal)*(1-EXP((Tnet-t)/(Tau_j))))*Salcycl</f>
        <v>7.368918280787097E-2</v>
      </c>
      <c r="P166" s="169">
        <f>(INDEX(Models!$BJ166:$BT166,,T166)*(1-R166)+INDEX(Models!$BJ166:$BT166,,T166+1)*R166-ERP_i)*Q166*Ramure*Pc/MaxiM</f>
        <v>0</v>
      </c>
      <c r="Q166" s="305">
        <f t="shared" si="53"/>
        <v>0.7</v>
      </c>
      <c r="R166" s="177">
        <f t="shared" si="54"/>
        <v>0.68007944765266881</v>
      </c>
      <c r="S166" s="817">
        <f t="shared" si="55"/>
        <v>-2</v>
      </c>
      <c r="T166" s="176">
        <f t="shared" si="56"/>
        <v>4</v>
      </c>
      <c r="U166" s="251">
        <f t="shared" si="57"/>
        <v>-1.3199205523473312</v>
      </c>
      <c r="V166" s="383">
        <f t="shared" si="58"/>
        <v>37.801386789260128</v>
      </c>
      <c r="W166" s="402">
        <f t="shared" si="59"/>
        <v>35.236468547322929</v>
      </c>
      <c r="X166" s="157">
        <f t="shared" si="60"/>
        <v>46174</v>
      </c>
      <c r="Y166" s="385">
        <f t="shared" si="61"/>
        <v>33.366737163837449</v>
      </c>
      <c r="Z166" s="385">
        <f t="shared" si="62"/>
        <v>35.605543111768966</v>
      </c>
      <c r="AA166" s="386">
        <f t="shared" si="63"/>
        <v>40.591882955932114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0.12284081153802312</v>
      </c>
      <c r="AD166" s="231">
        <f>(INDEX(Models!$BJ166:$BT166,,AH166)*(1-AF166)+INDEX(Models!$BJ166:$BT166,,AH166+1)*AF166-ERP_i)*AE166*Ramure*Pc/MaxiM</f>
        <v>8.0918438807799409E-7</v>
      </c>
      <c r="AE166" s="305">
        <f t="shared" si="65"/>
        <v>0.7</v>
      </c>
      <c r="AF166" s="177">
        <f t="shared" si="66"/>
        <v>0.30394281702872483</v>
      </c>
      <c r="AG166" s="817">
        <f t="shared" si="74"/>
        <v>1</v>
      </c>
      <c r="AH166" s="176">
        <f t="shared" si="67"/>
        <v>7</v>
      </c>
      <c r="AI166" s="225">
        <f t="shared" si="68"/>
        <v>1.3039428170287248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46175</v>
      </c>
      <c r="B167" s="411">
        <f>'2025'!Wh/'2025'!Env_an*'2026'!Env_an</f>
        <v>28.136446600581696</v>
      </c>
      <c r="C167" s="846"/>
      <c r="D167" s="393">
        <f t="shared" si="50"/>
        <v>30.024973682511984</v>
      </c>
      <c r="E167" s="385">
        <f t="shared" si="72"/>
        <v>32.418951631784523</v>
      </c>
      <c r="F167" s="385">
        <f t="shared" si="51"/>
        <v>32.418951631784523</v>
      </c>
      <c r="G167" s="110">
        <f t="shared" si="73"/>
        <v>0.74463824331868678</v>
      </c>
      <c r="H167" s="414" t="b">
        <f>Wh_hp&gt;='2025'!Maxi_hp</f>
        <v>0</v>
      </c>
      <c r="I167" s="390">
        <f>IF(H167,Wh_hp,'2025'!Maxi_hp)</f>
        <v>42.879308484292096</v>
      </c>
      <c r="J167" s="85">
        <f>IF(H167,An,'2025'!An_max)</f>
        <v>2019</v>
      </c>
      <c r="K167" s="197">
        <f t="shared" si="52"/>
        <v>46175</v>
      </c>
      <c r="L167" s="147">
        <f>IF(t&lt;Tvie,1-EXP((T0-t)*PertePVj)+'2025'!Pspv,1-EXP((T0-t)*PertePVj)+Pspv)</f>
        <v>6.2898542456683582E-2</v>
      </c>
      <c r="M167" s="850"/>
      <c r="N167" s="850"/>
      <c r="O167" s="48">
        <f>IF(t&lt;Tnet,'2025'!Resal+('2025'!Salim-'2025'!Resal)*(1-EXP(('2025'!Tnet-t)/('2025'!Tau_j))),Resal+(Salim-Resal)*(1-EXP((Tnet-t)/(Tau_j))))*Salcycl</f>
        <v>7.3845014375030341E-2</v>
      </c>
      <c r="P167" s="169">
        <f>(INDEX(Models!$BJ167:$BT167,,T167)*(1-R167)+INDEX(Models!$BJ167:$BT167,,T167+1)*R167-ERP_i)*Q167*Ramure*Pc/MaxiM</f>
        <v>0</v>
      </c>
      <c r="Q167" s="305">
        <f t="shared" si="53"/>
        <v>0.7</v>
      </c>
      <c r="R167" s="177">
        <f t="shared" si="54"/>
        <v>0.68507129106708131</v>
      </c>
      <c r="S167" s="817">
        <f t="shared" si="55"/>
        <v>-2</v>
      </c>
      <c r="T167" s="176">
        <f t="shared" si="56"/>
        <v>4</v>
      </c>
      <c r="U167" s="251">
        <f t="shared" si="57"/>
        <v>-1.3149287089329187</v>
      </c>
      <c r="V167" s="383">
        <f t="shared" si="58"/>
        <v>37.785390225438626</v>
      </c>
      <c r="W167" s="402">
        <f t="shared" si="59"/>
        <v>28.136446600581696</v>
      </c>
      <c r="X167" s="157">
        <f t="shared" si="60"/>
        <v>46175</v>
      </c>
      <c r="Y167" s="385">
        <f t="shared" si="61"/>
        <v>26.6442587116745</v>
      </c>
      <c r="Z167" s="385">
        <f t="shared" si="62"/>
        <v>28.432629676539481</v>
      </c>
      <c r="AA167" s="386">
        <f t="shared" si="63"/>
        <v>32.418935393686638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0.12296226476096632</v>
      </c>
      <c r="AD167" s="231">
        <f>(INDEX(Models!$BJ167:$BT167,,AH167)*(1-AF167)+INDEX(Models!$BJ167:$BT167,,AH167+1)*AF167-ERP_i)*AE167*Ramure*Pc/MaxiM</f>
        <v>7.8854669347868682E-7</v>
      </c>
      <c r="AE167" s="305">
        <f t="shared" si="65"/>
        <v>0.7</v>
      </c>
      <c r="AF167" s="177">
        <f t="shared" si="66"/>
        <v>0.30893466044313733</v>
      </c>
      <c r="AG167" s="817">
        <f t="shared" si="74"/>
        <v>1</v>
      </c>
      <c r="AH167" s="176">
        <f t="shared" si="67"/>
        <v>7</v>
      </c>
      <c r="AI167" s="225">
        <f t="shared" si="68"/>
        <v>1.3089346604431373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46176</v>
      </c>
      <c r="B168" s="411">
        <f>'2025'!Wh/'2025'!Env_an*'2026'!Env_an</f>
        <v>34.075213482191579</v>
      </c>
      <c r="C168" s="846"/>
      <c r="D168" s="393">
        <f t="shared" si="50"/>
        <v>36.363148897984132</v>
      </c>
      <c r="E168" s="385">
        <f t="shared" si="72"/>
        <v>39.269073008719751</v>
      </c>
      <c r="F168" s="385">
        <f t="shared" si="51"/>
        <v>39.269073008719751</v>
      </c>
      <c r="G168" s="110">
        <f t="shared" si="73"/>
        <v>0.90223124954895328</v>
      </c>
      <c r="H168" s="414" t="b">
        <f>Wh_hp&gt;='2025'!Maxi_hp</f>
        <v>0</v>
      </c>
      <c r="I168" s="390">
        <f>IF(H168,Wh_hp,'2025'!Maxi_hp)</f>
        <v>40.900365987061008</v>
      </c>
      <c r="J168" s="85">
        <f>IF(H168,An,'2025'!An_max)</f>
        <v>2020</v>
      </c>
      <c r="K168" s="197">
        <f t="shared" si="52"/>
        <v>46176</v>
      </c>
      <c r="L168" s="147">
        <f>IF(t&lt;Tvie,1-EXP((T0-t)*PertePVj)+'2025'!Pspv,1-EXP((T0-t)*PertePVj)+Pspv)</f>
        <v>6.2919067383611194E-2</v>
      </c>
      <c r="M168" s="850"/>
      <c r="N168" s="850"/>
      <c r="O168" s="48">
        <f>IF(t&lt;Tnet,'2025'!Resal+('2025'!Salim-'2025'!Resal)*(1-EXP(('2025'!Tnet-t)/('2025'!Tau_j))),Resal+(Salim-Resal)*(1-EXP((Tnet-t)/(Tau_j))))*Salcycl</f>
        <v>7.4000323615745947E-2</v>
      </c>
      <c r="P168" s="169">
        <f>(INDEX(Models!$BJ168:$BT168,,T168)*(1-R168)+INDEX(Models!$BJ168:$BT168,,T168+1)*R168-ERP_i)*Q168*Ramure*Pc/MaxiM</f>
        <v>0</v>
      </c>
      <c r="Q168" s="305">
        <f t="shared" si="53"/>
        <v>0.7</v>
      </c>
      <c r="R168" s="177">
        <f t="shared" si="54"/>
        <v>0.69009666384935331</v>
      </c>
      <c r="S168" s="817">
        <f t="shared" si="55"/>
        <v>-2</v>
      </c>
      <c r="T168" s="176">
        <f t="shared" si="56"/>
        <v>4</v>
      </c>
      <c r="U168" s="251">
        <f t="shared" si="57"/>
        <v>-1.3099033361506467</v>
      </c>
      <c r="V168" s="383">
        <f t="shared" si="58"/>
        <v>37.76771587021242</v>
      </c>
      <c r="W168" s="402">
        <f t="shared" si="59"/>
        <v>34.075213482191579</v>
      </c>
      <c r="X168" s="157">
        <f t="shared" si="60"/>
        <v>46176</v>
      </c>
      <c r="Y168" s="385">
        <f t="shared" si="61"/>
        <v>32.269038602051161</v>
      </c>
      <c r="Z168" s="385">
        <f t="shared" si="62"/>
        <v>34.435700779818433</v>
      </c>
      <c r="AA168" s="386">
        <f t="shared" si="63"/>
        <v>39.269047151067063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0.12308285333878523</v>
      </c>
      <c r="AD168" s="231">
        <f>(INDEX(Models!$BJ168:$BT168,,AH168)*(1-AF168)+INDEX(Models!$BJ168:$BT168,,AH168+1)*AF168-ERP_i)*AE168*Ramure*Pc/MaxiM</f>
        <v>7.6537311227134032E-7</v>
      </c>
      <c r="AE168" s="305">
        <f t="shared" si="65"/>
        <v>0.7</v>
      </c>
      <c r="AF168" s="177">
        <f t="shared" si="66"/>
        <v>0.31396003322540933</v>
      </c>
      <c r="AG168" s="817">
        <f t="shared" si="74"/>
        <v>1</v>
      </c>
      <c r="AH168" s="176">
        <f t="shared" si="67"/>
        <v>7</v>
      </c>
      <c r="AI168" s="225">
        <f t="shared" si="68"/>
        <v>1.3139600332254093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46177</v>
      </c>
      <c r="B169" s="411">
        <f>'2025'!Wh/'2025'!Env_an*'2026'!Env_an</f>
        <v>16.927440749386598</v>
      </c>
      <c r="C169" s="846"/>
      <c r="D169" s="393">
        <f t="shared" si="50"/>
        <v>18.064407163465891</v>
      </c>
      <c r="E169" s="385">
        <f t="shared" si="72"/>
        <v>19.511266034952598</v>
      </c>
      <c r="F169" s="385">
        <f t="shared" si="51"/>
        <v>19.511266034952598</v>
      </c>
      <c r="G169" s="110">
        <f t="shared" si="73"/>
        <v>0.4484273190225681</v>
      </c>
      <c r="H169" s="414" t="b">
        <f>Wh_hp&gt;='2025'!Maxi_hp</f>
        <v>0</v>
      </c>
      <c r="I169" s="390">
        <f>IF(H169,Wh_hp,'2025'!Maxi_hp)</f>
        <v>39.208479410281221</v>
      </c>
      <c r="J169" s="85">
        <f>IF(H169,An,'2025'!An_max)</f>
        <v>2019</v>
      </c>
      <c r="K169" s="197">
        <f t="shared" si="52"/>
        <v>46177</v>
      </c>
      <c r="L169" s="147">
        <f>IF(t&lt;Tvie,1-EXP((T0-t)*PertePVj)+'2025'!Pspv,1-EXP((T0-t)*PertePVj)+Pspv)</f>
        <v>6.2939591860990296E-2</v>
      </c>
      <c r="M169" s="850"/>
      <c r="N169" s="850"/>
      <c r="O169" s="48">
        <f>IF(t&lt;Tnet,'2025'!Resal+('2025'!Salim-'2025'!Resal)*(1-EXP(('2025'!Tnet-t)/('2025'!Tau_j))),Resal+(Salim-Resal)*(1-EXP((Tnet-t)/(Tau_j))))*Salcycl</f>
        <v>7.4155048108861671E-2</v>
      </c>
      <c r="P169" s="169">
        <f>(INDEX(Models!$BJ169:$BT169,,T169)*(1-R169)+INDEX(Models!$BJ169:$BT169,,T169+1)*R169-ERP_i)*Q169*Ramure*Pc/MaxiM</f>
        <v>0</v>
      </c>
      <c r="Q169" s="305">
        <f t="shared" si="53"/>
        <v>0.7</v>
      </c>
      <c r="R169" s="177">
        <f t="shared" si="54"/>
        <v>0.69515162137901321</v>
      </c>
      <c r="S169" s="817">
        <f t="shared" si="55"/>
        <v>-2</v>
      </c>
      <c r="T169" s="176">
        <f t="shared" si="56"/>
        <v>4</v>
      </c>
      <c r="U169" s="251">
        <f t="shared" si="57"/>
        <v>-1.3048483786209868</v>
      </c>
      <c r="V169" s="383">
        <f t="shared" si="58"/>
        <v>37.748460076614307</v>
      </c>
      <c r="W169" s="402">
        <f t="shared" si="59"/>
        <v>16.927440749386598</v>
      </c>
      <c r="X169" s="157">
        <f t="shared" si="60"/>
        <v>46177</v>
      </c>
      <c r="Y169" s="385">
        <f t="shared" si="61"/>
        <v>16.030692578927649</v>
      </c>
      <c r="Z169" s="385">
        <f t="shared" si="62"/>
        <v>17.107427055598695</v>
      </c>
      <c r="AA169" s="386">
        <f t="shared" si="63"/>
        <v>19.511262975299804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0.12320247657695114</v>
      </c>
      <c r="AD169" s="231">
        <f>(INDEX(Models!$BJ169:$BT169,,AH169)*(1-AF169)+INDEX(Models!$BJ169:$BT169,,AH169+1)*AF169-ERP_i)*AE169*Ramure*Pc/MaxiM</f>
        <v>7.3955570636013758E-7</v>
      </c>
      <c r="AE169" s="305">
        <f t="shared" si="65"/>
        <v>0.7</v>
      </c>
      <c r="AF169" s="177">
        <f t="shared" si="66"/>
        <v>0.31901499075506923</v>
      </c>
      <c r="AG169" s="817">
        <f t="shared" si="74"/>
        <v>1</v>
      </c>
      <c r="AH169" s="176">
        <f t="shared" si="67"/>
        <v>7</v>
      </c>
      <c r="AI169" s="225">
        <f t="shared" si="68"/>
        <v>1.3190149907550692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46178</v>
      </c>
      <c r="B170" s="411">
        <f>'2025'!Wh/'2025'!Env_an*'2026'!Env_an</f>
        <v>20.767509463238671</v>
      </c>
      <c r="C170" s="846"/>
      <c r="D170" s="393">
        <f t="shared" si="50"/>
        <v>22.162887423877081</v>
      </c>
      <c r="E170" s="385">
        <f t="shared" ref="E170:E232" si="75">Wh_pvt/(1-Psa)</f>
        <v>23.94199625031407</v>
      </c>
      <c r="F170" s="385">
        <f t="shared" si="51"/>
        <v>23.94199625031407</v>
      </c>
      <c r="G170" s="110">
        <f t="shared" ref="G170:G232" si="76">+Wh_hp/MaxiM</f>
        <v>0.55045759380578752</v>
      </c>
      <c r="H170" s="414" t="b">
        <f>Wh_hp&gt;='2025'!Maxi_hp</f>
        <v>0</v>
      </c>
      <c r="I170" s="390">
        <f>IF(H170,Wh_hp,'2025'!Maxi_hp)</f>
        <v>31.965848154895578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6.296011588883077E-2</v>
      </c>
      <c r="M170" s="850"/>
      <c r="N170" s="850"/>
      <c r="O170" s="48">
        <f>IF(t&lt;Tnet,'2025'!Resal+('2025'!Salim-'2025'!Resal)*(1-EXP(('2025'!Tnet-t)/('2025'!Tau_j))),Resal+(Salim-Resal)*(1-EXP((Tnet-t)/(Tau_j))))*Salcycl</f>
        <v>7.4309126433584199E-2</v>
      </c>
      <c r="P170" s="169">
        <f>(INDEX(Models!$BJ170:$BT170,,T170)*(1-R170)+INDEX(Models!$BJ170:$BT170,,T170+1)*R170-ERP_i)*Q170*Ramure*Pc/MaxiM</f>
        <v>0</v>
      </c>
      <c r="Q170" s="305">
        <f t="shared" si="53"/>
        <v>0.7</v>
      </c>
      <c r="R170" s="177">
        <f t="shared" si="54"/>
        <v>0.7002321222492851</v>
      </c>
      <c r="S170" s="817">
        <f t="shared" si="55"/>
        <v>-2</v>
      </c>
      <c r="T170" s="176">
        <f t="shared" si="56"/>
        <v>4</v>
      </c>
      <c r="U170" s="251">
        <f t="shared" si="57"/>
        <v>-1.2997678777507149</v>
      </c>
      <c r="V170" s="383">
        <f t="shared" si="58"/>
        <v>37.727719077604121</v>
      </c>
      <c r="W170" s="402">
        <f t="shared" si="59"/>
        <v>20.767509463238671</v>
      </c>
      <c r="X170" s="157">
        <f t="shared" si="60"/>
        <v>46178</v>
      </c>
      <c r="Y170" s="385">
        <f t="shared" si="61"/>
        <v>19.667941597222516</v>
      </c>
      <c r="Z170" s="385">
        <f t="shared" si="62"/>
        <v>20.989439116434809</v>
      </c>
      <c r="AA170" s="386">
        <f t="shared" si="63"/>
        <v>23.941990141672559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0.12332103587740799</v>
      </c>
      <c r="AD170" s="231">
        <f>(INDEX(Models!$BJ170:$BT170,,AH170)*(1-AF170)+INDEX(Models!$BJ170:$BT170,,AH170+1)*AF170-ERP_i)*AE170*Ramure*Pc/MaxiM</f>
        <v>7.1309619088633617E-7</v>
      </c>
      <c r="AE170" s="305">
        <f t="shared" si="65"/>
        <v>0.7</v>
      </c>
      <c r="AF170" s="177">
        <f t="shared" si="66"/>
        <v>0.32409549162534113</v>
      </c>
      <c r="AG170" s="817">
        <f t="shared" si="74"/>
        <v>1</v>
      </c>
      <c r="AH170" s="176">
        <f t="shared" si="67"/>
        <v>7</v>
      </c>
      <c r="AI170" s="225">
        <f t="shared" si="68"/>
        <v>1.3240954916253411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46179</v>
      </c>
      <c r="B171" s="411">
        <f>'2025'!Wh/'2025'!Env_an*'2026'!Env_an</f>
        <v>28.818615194752944</v>
      </c>
      <c r="C171" s="846"/>
      <c r="D171" s="393">
        <f t="shared" si="50"/>
        <v>30.755624065616502</v>
      </c>
      <c r="E171" s="385">
        <f t="shared" si="75"/>
        <v>33.230013924667368</v>
      </c>
      <c r="F171" s="385">
        <f t="shared" si="51"/>
        <v>33.230013924667368</v>
      </c>
      <c r="G171" s="110">
        <f t="shared" si="76"/>
        <v>0.7643061937850214</v>
      </c>
      <c r="H171" s="414" t="b">
        <f>Wh_hp&gt;='2025'!Maxi_hp</f>
        <v>0</v>
      </c>
      <c r="I171" s="390">
        <f>IF(H171,Wh_hp,'2025'!Maxi_hp)</f>
        <v>41.05414814635413</v>
      </c>
      <c r="J171" s="85">
        <f>IF(H171,An,'2025'!An_max)</f>
        <v>2019</v>
      </c>
      <c r="K171" s="197">
        <f t="shared" si="52"/>
        <v>46179</v>
      </c>
      <c r="L171" s="147">
        <f>IF(t&lt;Tvie,1-EXP((T0-t)*PertePVj)+'2025'!Pspv,1-EXP((T0-t)*PertePVj)+Pspv)</f>
        <v>6.2980639467142274E-2</v>
      </c>
      <c r="M171" s="850"/>
      <c r="N171" s="850"/>
      <c r="O171" s="48">
        <f>IF(t&lt;Tnet,'2025'!Resal+('2025'!Salim-'2025'!Resal)*(1-EXP(('2025'!Tnet-t)/('2025'!Tau_j))),Resal+(Salim-Resal)*(1-EXP((Tnet-t)/(Tau_j))))*Salcycl</f>
        <v>7.4462498410633279E-2</v>
      </c>
      <c r="P171" s="169">
        <f>(INDEX(Models!$BJ171:$BT171,,T171)*(1-R171)+INDEX(Models!$BJ171:$BT171,,T171+1)*R171-ERP_i)*Q171*Ramure*Pc/MaxiM</f>
        <v>0</v>
      </c>
      <c r="Q171" s="305">
        <f t="shared" si="53"/>
        <v>0.7</v>
      </c>
      <c r="R171" s="177">
        <f t="shared" si="54"/>
        <v>0.70533404079642503</v>
      </c>
      <c r="S171" s="817">
        <f t="shared" si="55"/>
        <v>-2</v>
      </c>
      <c r="T171" s="176">
        <f t="shared" si="56"/>
        <v>4</v>
      </c>
      <c r="U171" s="251">
        <f t="shared" si="57"/>
        <v>-1.294665959203575</v>
      </c>
      <c r="V171" s="383">
        <f t="shared" si="58"/>
        <v>37.705588976109802</v>
      </c>
      <c r="W171" s="402">
        <f t="shared" si="59"/>
        <v>28.818615194752944</v>
      </c>
      <c r="X171" s="157">
        <f t="shared" si="60"/>
        <v>46179</v>
      </c>
      <c r="Y171" s="385">
        <f t="shared" si="61"/>
        <v>27.293630793923292</v>
      </c>
      <c r="Z171" s="385">
        <f t="shared" si="62"/>
        <v>29.128139655942796</v>
      </c>
      <c r="AA171" s="386">
        <f t="shared" si="63"/>
        <v>33.229998693908442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0.12343843512451232</v>
      </c>
      <c r="AD171" s="231">
        <f>(INDEX(Models!$BJ171:$BT171,,AH171)*(1-AF171)+INDEX(Models!$BJ171:$BT171,,AH171+1)*AF171-ERP_i)*AE171*Ramure*Pc/MaxiM</f>
        <v>6.9101040007091758E-7</v>
      </c>
      <c r="AE171" s="305">
        <f t="shared" si="65"/>
        <v>0.7</v>
      </c>
      <c r="AF171" s="177">
        <f t="shared" si="66"/>
        <v>0.32919741017248105</v>
      </c>
      <c r="AG171" s="817">
        <f t="shared" si="74"/>
        <v>1</v>
      </c>
      <c r="AH171" s="176">
        <f t="shared" si="67"/>
        <v>7</v>
      </c>
      <c r="AI171" s="225">
        <f t="shared" si="68"/>
        <v>1.3291974101724811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46180</v>
      </c>
      <c r="B172" s="411">
        <f>'2025'!Wh/'2025'!Env_an*'2026'!Env_an</f>
        <v>16.699394623698954</v>
      </c>
      <c r="C172" s="846"/>
      <c r="D172" s="393">
        <f t="shared" si="50"/>
        <v>17.822214881252425</v>
      </c>
      <c r="E172" s="385">
        <f t="shared" si="75"/>
        <v>19.259245514063284</v>
      </c>
      <c r="F172" s="385">
        <f t="shared" si="51"/>
        <v>19.259245514063284</v>
      </c>
      <c r="G172" s="110">
        <f t="shared" si="76"/>
        <v>0.44316440678776703</v>
      </c>
      <c r="H172" s="414" t="b">
        <f>Wh_hp&gt;='2025'!Maxi_hp</f>
        <v>0</v>
      </c>
      <c r="I172" s="390">
        <f>IF(H172,Wh_hp,'2025'!Maxi_hp)</f>
        <v>38.856191383459525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6.300116259593469E-2</v>
      </c>
      <c r="M172" s="850"/>
      <c r="N172" s="850"/>
      <c r="O172" s="48">
        <f>IF(t&lt;Tnet,'2025'!Resal+('2025'!Salim-'2025'!Resal)*(1-EXP(('2025'!Tnet-t)/('2025'!Tau_j))),Resal+(Salim-Resal)*(1-EXP((Tnet-t)/(Tau_j))))*Salcycl</f>
        <v>7.4615105340524748E-2</v>
      </c>
      <c r="P172" s="169">
        <f>(INDEX(Models!$BJ172:$BT172,,T172)*(1-R172)+INDEX(Models!$BJ172:$BT172,,T172+1)*R172-ERP_i)*Q172*Ramure*Pc/MaxiM</f>
        <v>0</v>
      </c>
      <c r="Q172" s="305">
        <f t="shared" si="53"/>
        <v>0.7</v>
      </c>
      <c r="R172" s="177">
        <f t="shared" si="54"/>
        <v>0.71045318021425108</v>
      </c>
      <c r="S172" s="817">
        <f t="shared" si="55"/>
        <v>-2</v>
      </c>
      <c r="T172" s="176">
        <f t="shared" si="56"/>
        <v>4</v>
      </c>
      <c r="U172" s="251">
        <f t="shared" si="57"/>
        <v>-1.2895468197857489</v>
      </c>
      <c r="V172" s="383">
        <f t="shared" si="58"/>
        <v>37.682165733351297</v>
      </c>
      <c r="W172" s="402">
        <f t="shared" si="59"/>
        <v>16.699394623698954</v>
      </c>
      <c r="X172" s="157">
        <f t="shared" si="60"/>
        <v>46180</v>
      </c>
      <c r="Y172" s="385">
        <f t="shared" si="61"/>
        <v>15.816236017166243</v>
      </c>
      <c r="Z172" s="385">
        <f t="shared" si="62"/>
        <v>16.879675177596567</v>
      </c>
      <c r="AA172" s="386">
        <f t="shared" si="63"/>
        <v>19.259242860877155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0.12355458106374453</v>
      </c>
      <c r="AD172" s="231">
        <f>(INDEX(Models!$BJ172:$BT172,,AH172)*(1-AF172)+INDEX(Models!$BJ172:$BT172,,AH172+1)*AF172-ERP_i)*AE172*Ramure*Pc/MaxiM</f>
        <v>6.7358348509787457E-7</v>
      </c>
      <c r="AE172" s="305">
        <f t="shared" si="65"/>
        <v>0.7</v>
      </c>
      <c r="AF172" s="177">
        <f t="shared" si="66"/>
        <v>0.3343165495903071</v>
      </c>
      <c r="AG172" s="817">
        <f t="shared" si="74"/>
        <v>1</v>
      </c>
      <c r="AH172" s="176">
        <f t="shared" si="67"/>
        <v>7</v>
      </c>
      <c r="AI172" s="225">
        <f t="shared" si="68"/>
        <v>1.3343165495903071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46181</v>
      </c>
      <c r="B173" s="411">
        <f>'2025'!Wh/'2025'!Env_an*'2026'!Env_an</f>
        <v>14.73961024647288</v>
      </c>
      <c r="C173" s="846"/>
      <c r="D173" s="393">
        <f t="shared" si="50"/>
        <v>15.731004671972943</v>
      </c>
      <c r="E173" s="385">
        <f t="shared" si="75"/>
        <v>17.002206801709356</v>
      </c>
      <c r="F173" s="385">
        <f t="shared" si="51"/>
        <v>17.002206801709356</v>
      </c>
      <c r="G173" s="110">
        <f t="shared" si="76"/>
        <v>0.39141187199738936</v>
      </c>
      <c r="H173" s="414" t="b">
        <f>Wh_hp&gt;='2025'!Maxi_hp</f>
        <v>0</v>
      </c>
      <c r="I173" s="390">
        <f>IF(H173,Wh_hp,'2025'!Maxi_hp)</f>
        <v>43.845518262110815</v>
      </c>
      <c r="J173" s="85">
        <f>IF(H173,An,'2025'!An_max)</f>
        <v>2019</v>
      </c>
      <c r="K173" s="197">
        <f t="shared" si="52"/>
        <v>46181</v>
      </c>
      <c r="L173" s="147">
        <f>IF(t&lt;Tvie,1-EXP((T0-t)*PertePVj)+'2025'!Pspv,1-EXP((T0-t)*PertePVj)+Pspv)</f>
        <v>6.3021685275218009E-2</v>
      </c>
      <c r="M173" s="850"/>
      <c r="N173" s="850"/>
      <c r="O173" s="48">
        <f>IF(t&lt;Tnet,'2025'!Resal+('2025'!Salim-'2025'!Resal)*(1-EXP(('2025'!Tnet-t)/('2025'!Tau_j))),Resal+(Salim-Resal)*(1-EXP((Tnet-t)/(Tau_j))))*Salcycl</f>
        <v>7.4766890237366698E-2</v>
      </c>
      <c r="P173" s="169">
        <f>(INDEX(Models!$BJ173:$BT173,,T173)*(1-R173)+INDEX(Models!$BJ173:$BT173,,T173+1)*R173-ERP_i)*Q173*Ramure*Pc/MaxiM</f>
        <v>0</v>
      </c>
      <c r="Q173" s="305">
        <f t="shared" si="53"/>
        <v>0.7</v>
      </c>
      <c r="R173" s="177">
        <f t="shared" si="54"/>
        <v>0.7155852861675176</v>
      </c>
      <c r="S173" s="817">
        <f t="shared" si="55"/>
        <v>-2</v>
      </c>
      <c r="T173" s="176">
        <f t="shared" si="56"/>
        <v>4</v>
      </c>
      <c r="U173" s="251">
        <f t="shared" si="57"/>
        <v>-1.2844147138324824</v>
      </c>
      <c r="V173" s="383">
        <f t="shared" si="58"/>
        <v>37.657545161458948</v>
      </c>
      <c r="W173" s="402">
        <f t="shared" si="59"/>
        <v>14.73961024647288</v>
      </c>
      <c r="X173" s="157">
        <f t="shared" si="60"/>
        <v>46181</v>
      </c>
      <c r="Y173" s="385">
        <f t="shared" si="61"/>
        <v>13.96055813428368</v>
      </c>
      <c r="Z173" s="385">
        <f t="shared" si="62"/>
        <v>14.899553079181246</v>
      </c>
      <c r="AA173" s="386">
        <f t="shared" si="63"/>
        <v>17.002205333860527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0.123669383670586</v>
      </c>
      <c r="AD173" s="231">
        <f>(INDEX(Models!$BJ173:$BT173,,AH173)*(1-AF173)+INDEX(Models!$BJ173:$BT173,,AH173+1)*AF173-ERP_i)*AE173*Ramure*Pc/MaxiM</f>
        <v>6.6110657101729527E-7</v>
      </c>
      <c r="AE173" s="305">
        <f t="shared" si="65"/>
        <v>0.7</v>
      </c>
      <c r="AF173" s="177">
        <f t="shared" si="66"/>
        <v>0.33944865554357362</v>
      </c>
      <c r="AG173" s="817">
        <f t="shared" si="74"/>
        <v>1</v>
      </c>
      <c r="AH173" s="176">
        <f t="shared" si="67"/>
        <v>7</v>
      </c>
      <c r="AI173" s="225">
        <f t="shared" si="68"/>
        <v>1.3394486555435736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46182</v>
      </c>
      <c r="B174" s="411">
        <f>'2025'!Wh/'2025'!Env_an*'2026'!Env_an</f>
        <v>28.849995253157918</v>
      </c>
      <c r="C174" s="846"/>
      <c r="D174" s="393">
        <f t="shared" si="50"/>
        <v>30.791136467667439</v>
      </c>
      <c r="E174" s="385">
        <f t="shared" si="75"/>
        <v>33.284757184799645</v>
      </c>
      <c r="F174" s="385">
        <f t="shared" si="51"/>
        <v>33.284757184799645</v>
      </c>
      <c r="G174" s="110">
        <f t="shared" si="76"/>
        <v>0.76663826039376781</v>
      </c>
      <c r="H174" s="414" t="b">
        <f>Wh_hp&gt;='2025'!Maxi_hp</f>
        <v>0</v>
      </c>
      <c r="I174" s="390">
        <f>IF(H174,Wh_hp,'2025'!Maxi_hp)</f>
        <v>42.32398609821027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6.304220750500189E-2</v>
      </c>
      <c r="M174" s="850"/>
      <c r="N174" s="850"/>
      <c r="O174" s="48">
        <f>IF(t&lt;Tnet,'2025'!Resal+('2025'!Salim-'2025'!Resal)*(1-EXP(('2025'!Tnet-t)/('2025'!Tau_j))),Resal+(Salim-Resal)*(1-EXP((Tnet-t)/(Tau_j))))*Salcycl</f>
        <v>7.4917798056552548E-2</v>
      </c>
      <c r="P174" s="169">
        <f>(INDEX(Models!$BJ174:$BT174,,T174)*(1-R174)+INDEX(Models!$BJ174:$BT174,,T174+1)*R174-ERP_i)*Q174*Ramure*Pc/MaxiM</f>
        <v>0</v>
      </c>
      <c r="Q174" s="305">
        <f t="shared" si="53"/>
        <v>0.7</v>
      </c>
      <c r="R174" s="177">
        <f t="shared" si="54"/>
        <v>0.72072606081182333</v>
      </c>
      <c r="S174" s="817">
        <f t="shared" si="55"/>
        <v>-2</v>
      </c>
      <c r="T174" s="176">
        <f t="shared" si="56"/>
        <v>4</v>
      </c>
      <c r="U174" s="251">
        <f t="shared" si="57"/>
        <v>-1.2792739391881767</v>
      </c>
      <c r="V174" s="383">
        <f t="shared" si="58"/>
        <v>37.631822912594686</v>
      </c>
      <c r="W174" s="402">
        <f t="shared" si="59"/>
        <v>28.849995253157918</v>
      </c>
      <c r="X174" s="157">
        <f t="shared" si="60"/>
        <v>46182</v>
      </c>
      <c r="Y174" s="385">
        <f t="shared" si="61"/>
        <v>27.326060585297387</v>
      </c>
      <c r="Z174" s="385">
        <f t="shared" si="62"/>
        <v>29.164665478187231</v>
      </c>
      <c r="AA174" s="386">
        <f t="shared" si="63"/>
        <v>33.28474267628318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0.12378275650698306</v>
      </c>
      <c r="AD174" s="231">
        <f>(INDEX(Models!$BJ174:$BT174,,AH174)*(1-AF174)+INDEX(Models!$BJ174:$BT174,,AH174+1)*AF174-ERP_i)*AE174*Ramure*Pc/MaxiM</f>
        <v>6.5387586795836676E-7</v>
      </c>
      <c r="AE174" s="305">
        <f t="shared" si="65"/>
        <v>0.7</v>
      </c>
      <c r="AF174" s="177">
        <f t="shared" si="66"/>
        <v>0.34458943018787935</v>
      </c>
      <c r="AG174" s="817">
        <f t="shared" si="74"/>
        <v>1</v>
      </c>
      <c r="AH174" s="176">
        <f t="shared" si="67"/>
        <v>7</v>
      </c>
      <c r="AI174" s="225">
        <f t="shared" si="68"/>
        <v>1.3445894301878794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46183</v>
      </c>
      <c r="B175" s="411">
        <f>'2025'!Wh/'2025'!Env_an*'2026'!Env_an</f>
        <v>36.698259824308238</v>
      </c>
      <c r="C175" s="846"/>
      <c r="D175" s="393">
        <f t="shared" si="50"/>
        <v>39.168321051327688</v>
      </c>
      <c r="E175" s="385">
        <f t="shared" si="75"/>
        <v>42.347233701436771</v>
      </c>
      <c r="F175" s="385">
        <f t="shared" si="51"/>
        <v>42.347233701436771</v>
      </c>
      <c r="G175" s="110">
        <f t="shared" si="76"/>
        <v>0.97588532458920729</v>
      </c>
      <c r="H175" s="414" t="b">
        <f>Wh_hp&gt;='2025'!Maxi_hp</f>
        <v>1</v>
      </c>
      <c r="I175" s="390">
        <f>IF(H175,Wh_hp,'2025'!Maxi_hp)</f>
        <v>42.347233701436771</v>
      </c>
      <c r="J175" s="85">
        <f>IF(H175,An,'2025'!An_max)</f>
        <v>2026</v>
      </c>
      <c r="K175" s="197">
        <f t="shared" si="52"/>
        <v>46183</v>
      </c>
      <c r="L175" s="147">
        <f>IF(t&lt;Tvie,1-EXP((T0-t)*PertePVj)+'2025'!Pspv,1-EXP((T0-t)*PertePVj)+Pspv)</f>
        <v>6.3062729285296326E-2</v>
      </c>
      <c r="M175" s="850"/>
      <c r="N175" s="850"/>
      <c r="O175" s="48">
        <f>IF(t&lt;Tnet,'2025'!Resal+('2025'!Salim-'2025'!Resal)*(1-EXP(('2025'!Tnet-t)/('2025'!Tau_j))),Resal+(Salim-Resal)*(1-EXP((Tnet-t)/(Tau_j))))*Salcycl</f>
        <v>7.5067775914751889E-2</v>
      </c>
      <c r="P175" s="169">
        <f>(INDEX(Models!$BJ175:$BT175,,T175)*(1-R175)+INDEX(Models!$BJ175:$BT175,,T175+1)*R175-ERP_i)*Q175*Ramure*Pc/MaxiM</f>
        <v>0</v>
      </c>
      <c r="Q175" s="305">
        <f t="shared" si="53"/>
        <v>0.7</v>
      </c>
      <c r="R175" s="177">
        <f t="shared" si="54"/>
        <v>0.725871177122835</v>
      </c>
      <c r="S175" s="817">
        <f t="shared" si="55"/>
        <v>-2</v>
      </c>
      <c r="T175" s="176">
        <f t="shared" si="56"/>
        <v>4</v>
      </c>
      <c r="U175" s="251">
        <f t="shared" si="57"/>
        <v>-1.274128822877165</v>
      </c>
      <c r="V175" s="383">
        <f t="shared" si="58"/>
        <v>37.605094471275237</v>
      </c>
      <c r="W175" s="402">
        <f t="shared" si="59"/>
        <v>36.698259824308238</v>
      </c>
      <c r="X175" s="157">
        <f t="shared" si="60"/>
        <v>46183</v>
      </c>
      <c r="Y175" s="385">
        <f t="shared" si="61"/>
        <v>34.760949929817791</v>
      </c>
      <c r="Z175" s="385">
        <f t="shared" si="62"/>
        <v>37.100616035160861</v>
      </c>
      <c r="AA175" s="386">
        <f t="shared" si="63"/>
        <v>42.347207034365773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0.12389461706287215</v>
      </c>
      <c r="AD175" s="231">
        <f>(INDEX(Models!$BJ175:$BT175,,AH175)*(1-AF175)+INDEX(Models!$BJ175:$BT175,,AH175+1)*AF175-ERP_i)*AE175*Ramure*Pc/MaxiM</f>
        <v>6.5219174102078892E-7</v>
      </c>
      <c r="AE175" s="305">
        <f t="shared" si="65"/>
        <v>0.7</v>
      </c>
      <c r="AF175" s="177">
        <f t="shared" si="66"/>
        <v>0.34973454649889102</v>
      </c>
      <c r="AG175" s="817">
        <f t="shared" si="74"/>
        <v>1</v>
      </c>
      <c r="AH175" s="176">
        <f t="shared" si="67"/>
        <v>7</v>
      </c>
      <c r="AI175" s="225">
        <f t="shared" si="68"/>
        <v>1.349734546498891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46184</v>
      </c>
      <c r="B176" s="411">
        <f>'2025'!Wh/'2025'!Env_an*'2026'!Env_an</f>
        <v>34.770570602425174</v>
      </c>
      <c r="C176" s="846"/>
      <c r="D176" s="393">
        <f t="shared" si="50"/>
        <v>37.111697090792859</v>
      </c>
      <c r="E176" s="385">
        <f t="shared" si="75"/>
        <v>40.130158094722177</v>
      </c>
      <c r="F176" s="385">
        <f t="shared" si="51"/>
        <v>40.130158094722177</v>
      </c>
      <c r="G176" s="110">
        <f t="shared" si="76"/>
        <v>0.92530402780827681</v>
      </c>
      <c r="H176" s="414" t="b">
        <f>Wh_hp&gt;='2025'!Maxi_hp</f>
        <v>1</v>
      </c>
      <c r="I176" s="390">
        <f>IF(H176,Wh_hp,'2025'!Maxi_hp)</f>
        <v>40.130158094722177</v>
      </c>
      <c r="J176" s="85">
        <f>IF(H176,An,'2025'!An_max)</f>
        <v>2026</v>
      </c>
      <c r="K176" s="197">
        <f t="shared" si="52"/>
        <v>46184</v>
      </c>
      <c r="L176" s="147">
        <f>IF(t&lt;Tvie,1-EXP((T0-t)*PertePVj)+'2025'!Pspv,1-EXP((T0-t)*PertePVj)+Pspv)</f>
        <v>6.3083250616111086E-2</v>
      </c>
      <c r="M176" s="850"/>
      <c r="N176" s="850"/>
      <c r="O176" s="48">
        <f>IF(t&lt;Tnet,'2025'!Resal+('2025'!Salim-'2025'!Resal)*(1-EXP(('2025'!Tnet-t)/('2025'!Tau_j))),Resal+(Salim-Resal)*(1-EXP((Tnet-t)/(Tau_j))))*Salcycl</f>
        <v>7.5216773300633866E-2</v>
      </c>
      <c r="P176" s="169">
        <f>(INDEX(Models!$BJ176:$BT176,,T176)*(1-R176)+INDEX(Models!$BJ176:$BT176,,T176+1)*R176-ERP_i)*Q176*Ramure*Pc/MaxiM</f>
        <v>0</v>
      </c>
      <c r="Q176" s="305">
        <f t="shared" si="53"/>
        <v>0.7</v>
      </c>
      <c r="R176" s="177">
        <f t="shared" si="54"/>
        <v>0.73101629343384644</v>
      </c>
      <c r="S176" s="817">
        <f t="shared" si="55"/>
        <v>-2</v>
      </c>
      <c r="T176" s="176">
        <f t="shared" si="56"/>
        <v>4</v>
      </c>
      <c r="U176" s="251">
        <f t="shared" si="57"/>
        <v>-1.2689837065661536</v>
      </c>
      <c r="V176" s="383">
        <f t="shared" si="58"/>
        <v>37.577455147130998</v>
      </c>
      <c r="W176" s="402">
        <f t="shared" si="59"/>
        <v>34.770570602425174</v>
      </c>
      <c r="X176" s="157">
        <f t="shared" si="60"/>
        <v>46184</v>
      </c>
      <c r="Y176" s="385">
        <f t="shared" si="61"/>
        <v>32.936185673769323</v>
      </c>
      <c r="Z176" s="385">
        <f t="shared" si="62"/>
        <v>35.153801760324988</v>
      </c>
      <c r="AA176" s="386">
        <f t="shared" si="63"/>
        <v>40.130134565657066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0.12400488708031324</v>
      </c>
      <c r="AD176" s="231">
        <f>(INDEX(Models!$BJ176:$BT176,,AH176)*(1-AF176)+INDEX(Models!$BJ176:$BT176,,AH176+1)*AF176-ERP_i)*AE176*Ramure*Pc/MaxiM</f>
        <v>6.5635774574628368E-7</v>
      </c>
      <c r="AE176" s="305">
        <f t="shared" si="65"/>
        <v>0.7</v>
      </c>
      <c r="AF176" s="177">
        <f t="shared" si="66"/>
        <v>0.35487966280990246</v>
      </c>
      <c r="AG176" s="817">
        <f t="shared" si="74"/>
        <v>1</v>
      </c>
      <c r="AH176" s="176">
        <f t="shared" si="67"/>
        <v>7</v>
      </c>
      <c r="AI176" s="225">
        <f t="shared" si="68"/>
        <v>1.3548796628099025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46185</v>
      </c>
      <c r="B177" s="411">
        <f>'2025'!Wh/'2025'!Env_an*'2026'!Env_an</f>
        <v>27.526551143474705</v>
      </c>
      <c r="C177" s="846"/>
      <c r="D177" s="393">
        <f t="shared" si="50"/>
        <v>29.380576317903241</v>
      </c>
      <c r="E177" s="385">
        <f t="shared" si="75"/>
        <v>31.775314722678647</v>
      </c>
      <c r="F177" s="385">
        <f t="shared" si="51"/>
        <v>31.775314722678647</v>
      </c>
      <c r="G177" s="110">
        <f t="shared" si="76"/>
        <v>0.73309191471387936</v>
      </c>
      <c r="H177" s="414" t="b">
        <f>Wh_hp&gt;='2025'!Maxi_hp</f>
        <v>0</v>
      </c>
      <c r="I177" s="390">
        <f>IF(H177,Wh_hp,'2025'!Maxi_hp)</f>
        <v>42.346993291813639</v>
      </c>
      <c r="J177" s="85">
        <f>IF(H177,An,'2025'!An_max)</f>
        <v>2019</v>
      </c>
      <c r="K177" s="197">
        <f t="shared" si="52"/>
        <v>46185</v>
      </c>
      <c r="L177" s="147">
        <f>IF(t&lt;Tvie,1-EXP((T0-t)*PertePVj)+'2025'!Pspv,1-EXP((T0-t)*PertePVj)+Pspv)</f>
        <v>6.3103771497456052E-2</v>
      </c>
      <c r="M177" s="850"/>
      <c r="N177" s="850"/>
      <c r="O177" s="48">
        <f>IF(t&lt;Tnet,'2025'!Resal+('2025'!Salim-'2025'!Resal)*(1-EXP(('2025'!Tnet-t)/('2025'!Tau_j))),Resal+(Salim-Resal)*(1-EXP((Tnet-t)/(Tau_j))))*Salcycl</f>
        <v>7.5364742274802221E-2</v>
      </c>
      <c r="P177" s="169">
        <f>(INDEX(Models!$BJ177:$BT177,,T177)*(1-R177)+INDEX(Models!$BJ177:$BT177,,T177+1)*R177-ERP_i)*Q177*Ramure*Pc/MaxiM</f>
        <v>0</v>
      </c>
      <c r="Q177" s="305">
        <f t="shared" si="53"/>
        <v>0.7</v>
      </c>
      <c r="R177" s="177">
        <f t="shared" si="54"/>
        <v>0.7361570680781524</v>
      </c>
      <c r="S177" s="817">
        <f t="shared" si="55"/>
        <v>-2</v>
      </c>
      <c r="T177" s="176">
        <f t="shared" si="56"/>
        <v>4</v>
      </c>
      <c r="U177" s="251">
        <f t="shared" si="57"/>
        <v>-1.2638429319218476</v>
      </c>
      <c r="V177" s="383">
        <f t="shared" si="58"/>
        <v>37.548567363777472</v>
      </c>
      <c r="W177" s="402">
        <f t="shared" si="59"/>
        <v>27.526551143474705</v>
      </c>
      <c r="X177" s="157">
        <f t="shared" si="60"/>
        <v>46185</v>
      </c>
      <c r="Y177" s="385">
        <f t="shared" si="61"/>
        <v>26.075281672758457</v>
      </c>
      <c r="Z177" s="385">
        <f t="shared" si="62"/>
        <v>27.831557945787647</v>
      </c>
      <c r="AA177" s="386">
        <f t="shared" si="63"/>
        <v>31.77530161595654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0.12411349285787647</v>
      </c>
      <c r="AD177" s="231">
        <f>(INDEX(Models!$BJ177:$BT177,,AH177)*(1-AF177)+INDEX(Models!$BJ177:$BT177,,AH177+1)*AF177-ERP_i)*AE177*Ramure*Pc/MaxiM</f>
        <v>6.6668731927327809E-7</v>
      </c>
      <c r="AE177" s="305">
        <f t="shared" si="65"/>
        <v>0.7</v>
      </c>
      <c r="AF177" s="177">
        <f t="shared" si="66"/>
        <v>0.36002043745420842</v>
      </c>
      <c r="AG177" s="817">
        <f t="shared" si="74"/>
        <v>1</v>
      </c>
      <c r="AH177" s="176">
        <f t="shared" si="67"/>
        <v>7</v>
      </c>
      <c r="AI177" s="225">
        <f t="shared" si="68"/>
        <v>1.3600204374542084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46186</v>
      </c>
      <c r="B178" s="411">
        <f>'2025'!Wh/'2025'!Env_an*'2026'!Env_an</f>
        <v>33.499505006572022</v>
      </c>
      <c r="C178" s="846"/>
      <c r="D178" s="393">
        <f t="shared" si="50"/>
        <v>35.756616078304269</v>
      </c>
      <c r="E178" s="385">
        <f t="shared" si="75"/>
        <v>38.677194364786097</v>
      </c>
      <c r="F178" s="385">
        <f t="shared" si="51"/>
        <v>38.677194364786097</v>
      </c>
      <c r="G178" s="110">
        <f t="shared" si="76"/>
        <v>0.89288931637677638</v>
      </c>
      <c r="H178" s="414" t="b">
        <f>Wh_hp&gt;='2025'!Maxi_hp</f>
        <v>0</v>
      </c>
      <c r="I178" s="390">
        <f>IF(H178,Wh_hp,'2025'!Maxi_hp)</f>
        <v>42.331938879997239</v>
      </c>
      <c r="J178" s="85">
        <f>IF(H178,An,'2025'!An_max)</f>
        <v>2019</v>
      </c>
      <c r="K178" s="197">
        <f t="shared" si="52"/>
        <v>46186</v>
      </c>
      <c r="L178" s="147">
        <f>IF(t&lt;Tvie,1-EXP((T0-t)*PertePVj)+'2025'!Pspv,1-EXP((T0-t)*PertePVj)+Pspv)</f>
        <v>6.3124291929340992E-2</v>
      </c>
      <c r="M178" s="850"/>
      <c r="N178" s="850"/>
      <c r="O178" s="48">
        <f>IF(t&lt;Tnet,'2025'!Resal+('2025'!Salim-'2025'!Resal)*(1-EXP(('2025'!Tnet-t)/('2025'!Tau_j))),Resal+(Salim-Resal)*(1-EXP((Tnet-t)/(Tau_j))))*Salcycl</f>
        <v>7.5511637657484448E-2</v>
      </c>
      <c r="P178" s="169">
        <f>(INDEX(Models!$BJ178:$BT178,,T178)*(1-R178)+INDEX(Models!$BJ178:$BT178,,T178+1)*R178-ERP_i)*Q178*Ramure*Pc/MaxiM</f>
        <v>0</v>
      </c>
      <c r="Q178" s="305">
        <f t="shared" si="53"/>
        <v>0.7</v>
      </c>
      <c r="R178" s="177">
        <f t="shared" si="54"/>
        <v>0.74128917403141892</v>
      </c>
      <c r="S178" s="817">
        <f t="shared" si="55"/>
        <v>-2</v>
      </c>
      <c r="T178" s="176">
        <f t="shared" si="56"/>
        <v>4</v>
      </c>
      <c r="U178" s="251">
        <f t="shared" si="57"/>
        <v>-1.2587108259685811</v>
      </c>
      <c r="V178" s="383">
        <f t="shared" si="58"/>
        <v>37.518093667542651</v>
      </c>
      <c r="W178" s="402">
        <f t="shared" si="59"/>
        <v>33.499505006572022</v>
      </c>
      <c r="X178" s="157">
        <f t="shared" si="60"/>
        <v>46186</v>
      </c>
      <c r="Y178" s="385">
        <f t="shared" si="61"/>
        <v>31.734490658669866</v>
      </c>
      <c r="Z178" s="385">
        <f t="shared" si="62"/>
        <v>33.872679572428893</v>
      </c>
      <c r="AA178" s="386">
        <f t="shared" si="63"/>
        <v>38.677172018330438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0.12422036553304702</v>
      </c>
      <c r="AD178" s="231">
        <f>(INDEX(Models!$BJ178:$BT178,,AH178)*(1-AF178)+INDEX(Models!$BJ178:$BT178,,AH178+1)*AF178-ERP_i)*AE178*Ramure*Pc/MaxiM</f>
        <v>6.8214720274628464E-7</v>
      </c>
      <c r="AE178" s="305">
        <f t="shared" si="65"/>
        <v>0.7</v>
      </c>
      <c r="AF178" s="177">
        <f t="shared" si="66"/>
        <v>0.36515254340747494</v>
      </c>
      <c r="AG178" s="817">
        <f t="shared" si="74"/>
        <v>1</v>
      </c>
      <c r="AH178" s="176">
        <f t="shared" si="67"/>
        <v>7</v>
      </c>
      <c r="AI178" s="225">
        <f t="shared" si="68"/>
        <v>1.3651525434074749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46187</v>
      </c>
      <c r="B179" s="411">
        <f>'2025'!Wh/'2025'!Env_an*'2026'!Env_an</f>
        <v>30.010091492295619</v>
      </c>
      <c r="C179" s="846"/>
      <c r="D179" s="393">
        <f t="shared" si="50"/>
        <v>32.032796395711003</v>
      </c>
      <c r="E179" s="385">
        <f t="shared" si="75"/>
        <v>34.654679976732957</v>
      </c>
      <c r="F179" s="385">
        <f t="shared" si="51"/>
        <v>34.654679976732957</v>
      </c>
      <c r="G179" s="110">
        <f t="shared" si="76"/>
        <v>0.8005652245803101</v>
      </c>
      <c r="H179" s="414" t="b">
        <f>Wh_hp&gt;='2025'!Maxi_hp</f>
        <v>0</v>
      </c>
      <c r="I179" s="390">
        <f>IF(H179,Wh_hp,'2025'!Maxi_hp)</f>
        <v>38.498125268407549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6.31448119117759E-2</v>
      </c>
      <c r="M179" s="850"/>
      <c r="N179" s="850"/>
      <c r="O179" s="48">
        <f>IF(t&lt;Tnet,'2025'!Resal+('2025'!Salim-'2025'!Resal)*(1-EXP(('2025'!Tnet-t)/('2025'!Tau_j))),Resal+(Salim-Resal)*(1-EXP((Tnet-t)/(Tau_j))))*Salcycl</f>
        <v>7.565741720259074E-2</v>
      </c>
      <c r="P179" s="169">
        <f>(INDEX(Models!$BJ179:$BT179,,T179)*(1-R179)+INDEX(Models!$BJ179:$BT179,,T179+1)*R179-ERP_i)*Q179*Ramure*Pc/MaxiM</f>
        <v>0</v>
      </c>
      <c r="Q179" s="305">
        <f t="shared" si="53"/>
        <v>0.7</v>
      </c>
      <c r="R179" s="177">
        <f t="shared" si="54"/>
        <v>0.74640831344924474</v>
      </c>
      <c r="S179" s="817">
        <f t="shared" si="55"/>
        <v>-2</v>
      </c>
      <c r="T179" s="176">
        <f t="shared" si="56"/>
        <v>4</v>
      </c>
      <c r="U179" s="251">
        <f t="shared" si="57"/>
        <v>-1.2535916865507553</v>
      </c>
      <c r="V179" s="383">
        <f t="shared" si="58"/>
        <v>37.48612926326917</v>
      </c>
      <c r="W179" s="402">
        <f t="shared" si="59"/>
        <v>30.010091492295619</v>
      </c>
      <c r="X179" s="157">
        <f t="shared" si="60"/>
        <v>46187</v>
      </c>
      <c r="Y179" s="385">
        <f t="shared" si="61"/>
        <v>28.430000931536007</v>
      </c>
      <c r="Z179" s="385">
        <f t="shared" si="62"/>
        <v>30.346206428713014</v>
      </c>
      <c r="AA179" s="386">
        <f t="shared" si="63"/>
        <v>34.654662658201964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0.12432544134055323</v>
      </c>
      <c r="AD179" s="231">
        <f>(INDEX(Models!$BJ179:$BT179,,AH179)*(1-AF179)+INDEX(Models!$BJ179:$BT179,,AH179+1)*AF179-ERP_i)*AE179*Ramure*Pc/MaxiM</f>
        <v>6.9885410996538512E-7</v>
      </c>
      <c r="AE179" s="305">
        <f t="shared" si="65"/>
        <v>0.7</v>
      </c>
      <c r="AF179" s="177">
        <f t="shared" si="66"/>
        <v>0.37027168282530076</v>
      </c>
      <c r="AG179" s="817">
        <f t="shared" si="74"/>
        <v>1</v>
      </c>
      <c r="AH179" s="176">
        <f t="shared" si="67"/>
        <v>7</v>
      </c>
      <c r="AI179" s="225">
        <f t="shared" si="68"/>
        <v>1.3702716828253008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46188</v>
      </c>
      <c r="B180" s="411">
        <f>'2025'!Wh/'2025'!Env_an*'2026'!Env_an</f>
        <v>34.013489025766496</v>
      </c>
      <c r="C180" s="846"/>
      <c r="D180" s="393">
        <f t="shared" si="50"/>
        <v>36.306821435442309</v>
      </c>
      <c r="E180" s="385">
        <f t="shared" si="75"/>
        <v>39.284680421129103</v>
      </c>
      <c r="F180" s="385">
        <f t="shared" si="51"/>
        <v>39.284680421129103</v>
      </c>
      <c r="G180" s="110">
        <f t="shared" si="76"/>
        <v>0.90817020478727073</v>
      </c>
      <c r="H180" s="414" t="b">
        <f>Wh_hp&gt;='2025'!Maxi_hp</f>
        <v>1</v>
      </c>
      <c r="I180" s="390">
        <f>IF(H180,Wh_hp,'2025'!Maxi_hp)</f>
        <v>39.284680421129103</v>
      </c>
      <c r="J180" s="85">
        <f>IF(H180,An,'2025'!An_max)</f>
        <v>2026</v>
      </c>
      <c r="K180" s="197">
        <f t="shared" si="52"/>
        <v>46188</v>
      </c>
      <c r="L180" s="147">
        <f>IF(t&lt;Tvie,1-EXP((T0-t)*PertePVj)+'2025'!Pspv,1-EXP((T0-t)*PertePVj)+Pspv)</f>
        <v>6.3165331444770545E-2</v>
      </c>
      <c r="M180" s="850"/>
      <c r="N180" s="850"/>
      <c r="O180" s="48">
        <f>IF(t&lt;Tnet,'2025'!Resal+('2025'!Salim-'2025'!Resal)*(1-EXP(('2025'!Tnet-t)/('2025'!Tau_j))),Resal+(Salim-Resal)*(1-EXP((Tnet-t)/(Tau_j))))*Salcycl</f>
        <v>7.5802041756846406E-2</v>
      </c>
      <c r="P180" s="169">
        <f>(INDEX(Models!$BJ180:$BT180,,T180)*(1-R180)+INDEX(Models!$BJ180:$BT180,,T180+1)*R180-ERP_i)*Q180*Ramure*Pc/MaxiM</f>
        <v>0</v>
      </c>
      <c r="Q180" s="305">
        <f t="shared" si="53"/>
        <v>0.7</v>
      </c>
      <c r="R180" s="177">
        <f t="shared" si="54"/>
        <v>0.75151023199638489</v>
      </c>
      <c r="S180" s="817">
        <f t="shared" si="55"/>
        <v>-2</v>
      </c>
      <c r="T180" s="176">
        <f t="shared" si="56"/>
        <v>4</v>
      </c>
      <c r="U180" s="251">
        <f t="shared" si="57"/>
        <v>-1.2484897680036151</v>
      </c>
      <c r="V180" s="383">
        <f t="shared" si="58"/>
        <v>37.452769146653296</v>
      </c>
      <c r="W180" s="402">
        <f t="shared" si="59"/>
        <v>34.013489025766496</v>
      </c>
      <c r="X180" s="157">
        <f t="shared" si="60"/>
        <v>46188</v>
      </c>
      <c r="Y180" s="385">
        <f t="shared" si="61"/>
        <v>32.223851273348963</v>
      </c>
      <c r="Z180" s="385">
        <f t="shared" si="62"/>
        <v>34.396518782811526</v>
      </c>
      <c r="AA180" s="386">
        <f t="shared" si="63"/>
        <v>39.28465595422449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0.12442866184468425</v>
      </c>
      <c r="AD180" s="231">
        <f>(INDEX(Models!$BJ180:$BT180,,AH180)*(1-AF180)+INDEX(Models!$BJ180:$BT180,,AH180+1)*AF180-ERP_i)*AE180*Ramure*Pc/MaxiM</f>
        <v>7.1685068530827882E-7</v>
      </c>
      <c r="AE180" s="305">
        <f t="shared" si="65"/>
        <v>0.7</v>
      </c>
      <c r="AF180" s="177">
        <f t="shared" si="66"/>
        <v>0.37537360137244091</v>
      </c>
      <c r="AG180" s="817">
        <f t="shared" si="74"/>
        <v>1</v>
      </c>
      <c r="AH180" s="176">
        <f t="shared" si="67"/>
        <v>7</v>
      </c>
      <c r="AI180" s="225">
        <f t="shared" si="68"/>
        <v>1.3753736013724409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46189</v>
      </c>
      <c r="B181" s="411">
        <f>'2025'!Wh/'2025'!Env_an*'2026'!Env_an</f>
        <v>32.092550452037571</v>
      </c>
      <c r="C181" s="846"/>
      <c r="D181" s="393">
        <f t="shared" si="50"/>
        <v>34.257115426935847</v>
      </c>
      <c r="E181" s="385">
        <f t="shared" si="75"/>
        <v>37.072612616521518</v>
      </c>
      <c r="F181" s="385">
        <f t="shared" si="51"/>
        <v>37.072612616521518</v>
      </c>
      <c r="G181" s="110">
        <f t="shared" si="76"/>
        <v>0.85767432083089701</v>
      </c>
      <c r="H181" s="414" t="b">
        <f>Wh_hp&gt;='2025'!Maxi_hp</f>
        <v>0</v>
      </c>
      <c r="I181" s="390">
        <f>IF(H181,Wh_hp,'2025'!Maxi_hp)</f>
        <v>44.363595434270344</v>
      </c>
      <c r="J181" s="85">
        <f>IF(H181,An,'2025'!An_max)</f>
        <v>2019</v>
      </c>
      <c r="K181" s="197">
        <f t="shared" si="52"/>
        <v>46189</v>
      </c>
      <c r="L181" s="147">
        <f>IF(t&lt;Tvie,1-EXP((T0-t)*PertePVj)+'2025'!Pspv,1-EXP((T0-t)*PertePVj)+Pspv)</f>
        <v>6.3185850528334697E-2</v>
      </c>
      <c r="M181" s="850"/>
      <c r="N181" s="850"/>
      <c r="O181" s="48">
        <f>IF(t&lt;Tnet,'2025'!Resal+('2025'!Salim-'2025'!Resal)*(1-EXP(('2025'!Tnet-t)/('2025'!Tau_j))),Resal+(Salim-Resal)*(1-EXP((Tnet-t)/(Tau_j))))*Salcycl</f>
        <v>7.5945475402802817E-2</v>
      </c>
      <c r="P181" s="169">
        <f>(INDEX(Models!$BJ181:$BT181,,T181)*(1-R181)+INDEX(Models!$BJ181:$BT181,,T181+1)*R181-ERP_i)*Q181*Ramure*Pc/MaxiM</f>
        <v>0</v>
      </c>
      <c r="Q181" s="305">
        <f t="shared" si="53"/>
        <v>0.7</v>
      </c>
      <c r="R181" s="177">
        <f t="shared" si="54"/>
        <v>0.75659073286665679</v>
      </c>
      <c r="S181" s="817">
        <f t="shared" si="55"/>
        <v>-2</v>
      </c>
      <c r="T181" s="176">
        <f t="shared" si="56"/>
        <v>4</v>
      </c>
      <c r="U181" s="251">
        <f t="shared" si="57"/>
        <v>-1.2434092671333432</v>
      </c>
      <c r="V181" s="383">
        <f t="shared" si="58"/>
        <v>37.418108100691384</v>
      </c>
      <c r="W181" s="402">
        <f t="shared" si="59"/>
        <v>32.092550452037571</v>
      </c>
      <c r="X181" s="157">
        <f t="shared" si="60"/>
        <v>46189</v>
      </c>
      <c r="Y181" s="385">
        <f t="shared" si="61"/>
        <v>30.405185784906912</v>
      </c>
      <c r="Z181" s="385">
        <f t="shared" si="62"/>
        <v>32.455942090599841</v>
      </c>
      <c r="AA181" s="386">
        <f t="shared" si="63"/>
        <v>37.072590873525236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0.12452997414384369</v>
      </c>
      <c r="AD181" s="231">
        <f>(INDEX(Models!$BJ181:$BT181,,AH181)*(1-AF181)+INDEX(Models!$BJ181:$BT181,,AH181+1)*AF181-ERP_i)*AE181*Ramure*Pc/MaxiM</f>
        <v>7.3617928255544827E-7</v>
      </c>
      <c r="AE181" s="305">
        <f t="shared" si="65"/>
        <v>0.7</v>
      </c>
      <c r="AF181" s="177">
        <f t="shared" si="66"/>
        <v>0.38045410224271281</v>
      </c>
      <c r="AG181" s="817">
        <f t="shared" si="74"/>
        <v>1</v>
      </c>
      <c r="AH181" s="176">
        <f t="shared" si="67"/>
        <v>7</v>
      </c>
      <c r="AI181" s="225">
        <f t="shared" si="68"/>
        <v>1.3804541022427128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46190</v>
      </c>
      <c r="B182" s="411">
        <f>'2025'!Wh/'2025'!Env_an*'2026'!Env_an</f>
        <v>32.677319102204358</v>
      </c>
      <c r="C182" s="846"/>
      <c r="D182" s="393">
        <f t="shared" si="50"/>
        <v>34.882089316715195</v>
      </c>
      <c r="E182" s="385">
        <f t="shared" si="75"/>
        <v>37.754761758737089</v>
      </c>
      <c r="F182" s="385">
        <f t="shared" si="51"/>
        <v>37.754761758737089</v>
      </c>
      <c r="G182" s="110">
        <f t="shared" si="76"/>
        <v>0.87414019324402259</v>
      </c>
      <c r="H182" s="414" t="b">
        <f>Wh_hp&gt;='2025'!Maxi_hp</f>
        <v>0</v>
      </c>
      <c r="I182" s="390">
        <f>IF(H182,Wh_hp,'2025'!Maxi_hp)</f>
        <v>42.925961898835723</v>
      </c>
      <c r="J182" s="85">
        <f>IF(H182,An,'2025'!An_max)</f>
        <v>2019</v>
      </c>
      <c r="K182" s="197">
        <f t="shared" si="52"/>
        <v>46190</v>
      </c>
      <c r="L182" s="147">
        <f>IF(t&lt;Tvie,1-EXP((T0-t)*PertePVj)+'2025'!Pspv,1-EXP((T0-t)*PertePVj)+Pspv)</f>
        <v>6.3206369162478238E-2</v>
      </c>
      <c r="M182" s="850"/>
      <c r="N182" s="850"/>
      <c r="O182" s="48">
        <f>IF(t&lt;Tnet,'2025'!Resal+('2025'!Salim-'2025'!Resal)*(1-EXP(('2025'!Tnet-t)/('2025'!Tau_j))),Resal+(Salim-Resal)*(1-EXP((Tnet-t)/(Tau_j))))*Salcycl</f>
        <v>7.6087685584643031E-2</v>
      </c>
      <c r="P182" s="169">
        <f>(INDEX(Models!$BJ182:$BT182,,T182)*(1-R182)+INDEX(Models!$BJ182:$BT182,,T182+1)*R182-ERP_i)*Q182*Ramure*Pc/MaxiM</f>
        <v>0</v>
      </c>
      <c r="Q182" s="305">
        <f t="shared" si="53"/>
        <v>0.7</v>
      </c>
      <c r="R182" s="177">
        <f t="shared" si="54"/>
        <v>0.76164569039631647</v>
      </c>
      <c r="S182" s="817">
        <f t="shared" si="55"/>
        <v>-2</v>
      </c>
      <c r="T182" s="176">
        <f t="shared" si="56"/>
        <v>4</v>
      </c>
      <c r="U182" s="251">
        <f t="shared" si="57"/>
        <v>-1.2383543096036835</v>
      </c>
      <c r="V182" s="383">
        <f t="shared" si="58"/>
        <v>37.382240691776822</v>
      </c>
      <c r="W182" s="402">
        <f t="shared" si="59"/>
        <v>32.677319102204358</v>
      </c>
      <c r="X182" s="157">
        <f t="shared" si="60"/>
        <v>46190</v>
      </c>
      <c r="Y182" s="385">
        <f t="shared" si="61"/>
        <v>30.960458560984037</v>
      </c>
      <c r="Z182" s="385">
        <f t="shared" si="62"/>
        <v>33.049390540053579</v>
      </c>
      <c r="AA182" s="386">
        <f t="shared" si="63"/>
        <v>37.754738320781108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0.12462933104578265</v>
      </c>
      <c r="AD182" s="231">
        <f>(INDEX(Models!$BJ182:$BT182,,AH182)*(1-AF182)+INDEX(Models!$BJ182:$BT182,,AH182+1)*AF182-ERP_i)*AE182*Ramure*Pc/MaxiM</f>
        <v>7.5688184653074228E-7</v>
      </c>
      <c r="AE182" s="305">
        <f t="shared" si="65"/>
        <v>0.7</v>
      </c>
      <c r="AF182" s="177">
        <f t="shared" si="66"/>
        <v>0.38550905977237249</v>
      </c>
      <c r="AG182" s="817">
        <f t="shared" si="74"/>
        <v>1</v>
      </c>
      <c r="AH182" s="176">
        <f t="shared" si="67"/>
        <v>7</v>
      </c>
      <c r="AI182" s="225">
        <f t="shared" si="68"/>
        <v>1.3855090597723725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46191</v>
      </c>
      <c r="B183" s="411">
        <f>'2025'!Wh/'2025'!Env_an*'2026'!Env_an</f>
        <v>33.879781051824374</v>
      </c>
      <c r="C183" s="846"/>
      <c r="D183" s="393">
        <f t="shared" si="50"/>
        <v>36.166474671633509</v>
      </c>
      <c r="E183" s="385">
        <f t="shared" si="75"/>
        <v>39.150894218603867</v>
      </c>
      <c r="F183" s="385">
        <f t="shared" si="51"/>
        <v>39.150894218603867</v>
      </c>
      <c r="G183" s="110">
        <f t="shared" si="76"/>
        <v>0.90720428516913176</v>
      </c>
      <c r="H183" s="414" t="b">
        <f>Wh_hp&gt;='2025'!Maxi_hp</f>
        <v>0</v>
      </c>
      <c r="I183" s="390">
        <f>IF(H183,Wh_hp,'2025'!Maxi_hp)</f>
        <v>41.455412731300569</v>
      </c>
      <c r="J183" s="85">
        <f>IF(H183,An,'2025'!An_max)</f>
        <v>2019</v>
      </c>
      <c r="K183" s="197">
        <f t="shared" si="52"/>
        <v>46191</v>
      </c>
      <c r="L183" s="147">
        <f>IF(t&lt;Tvie,1-EXP((T0-t)*PertePVj)+'2025'!Pspv,1-EXP((T0-t)*PertePVj)+Pspv)</f>
        <v>6.3226887347211047E-2</v>
      </c>
      <c r="M183" s="850"/>
      <c r="N183" s="850"/>
      <c r="O183" s="48">
        <f>IF(t&lt;Tnet,'2025'!Resal+('2025'!Salim-'2025'!Resal)*(1-EXP(('2025'!Tnet-t)/('2025'!Tau_j))),Resal+(Salim-Resal)*(1-EXP((Tnet-t)/(Tau_j))))*Salcycl</f>
        <v>7.6228643215822289E-2</v>
      </c>
      <c r="P183" s="169">
        <f>(INDEX(Models!$BJ183:$BT183,,T183)*(1-R183)+INDEX(Models!$BJ183:$BT183,,T183+1)*R183-ERP_i)*Q183*Ramure*Pc/MaxiM</f>
        <v>0</v>
      </c>
      <c r="Q183" s="305">
        <f t="shared" si="53"/>
        <v>0.7</v>
      </c>
      <c r="R183" s="177">
        <f t="shared" si="54"/>
        <v>0.76667106317858846</v>
      </c>
      <c r="S183" s="817">
        <f t="shared" si="55"/>
        <v>-2</v>
      </c>
      <c r="T183" s="176">
        <f t="shared" si="56"/>
        <v>4</v>
      </c>
      <c r="U183" s="251">
        <f t="shared" si="57"/>
        <v>-1.2333289368214115</v>
      </c>
      <c r="V183" s="383">
        <f t="shared" si="58"/>
        <v>37.345261266604474</v>
      </c>
      <c r="W183" s="402">
        <f t="shared" si="59"/>
        <v>33.879781051824374</v>
      </c>
      <c r="X183" s="157">
        <f t="shared" si="60"/>
        <v>46191</v>
      </c>
      <c r="Y183" s="385">
        <f t="shared" si="61"/>
        <v>32.10106895637302</v>
      </c>
      <c r="Z183" s="385">
        <f t="shared" si="62"/>
        <v>34.267709568935018</v>
      </c>
      <c r="AA183" s="386">
        <f t="shared" si="63"/>
        <v>39.15086776311329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0.12472669121216835</v>
      </c>
      <c r="AD183" s="231">
        <f>(INDEX(Models!$BJ183:$BT183,,AH183)*(1-AF183)+INDEX(Models!$BJ183:$BT183,,AH183+1)*AF183-ERP_i)*AE183*Ramure*Pc/MaxiM</f>
        <v>7.7899979882799639E-7</v>
      </c>
      <c r="AE183" s="305">
        <f t="shared" si="65"/>
        <v>0.7</v>
      </c>
      <c r="AF183" s="177">
        <f t="shared" si="66"/>
        <v>0.39053443255464448</v>
      </c>
      <c r="AG183" s="817">
        <f t="shared" si="74"/>
        <v>1</v>
      </c>
      <c r="AH183" s="176">
        <f t="shared" si="67"/>
        <v>7</v>
      </c>
      <c r="AI183" s="225">
        <f t="shared" si="68"/>
        <v>1.3905344325546445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46192</v>
      </c>
      <c r="B184" s="411">
        <f>'2025'!Wh/'2025'!Env_an*'2026'!Env_an</f>
        <v>34.688906402453284</v>
      </c>
      <c r="C184" s="846"/>
      <c r="D184" s="393">
        <f t="shared" si="50"/>
        <v>37.031022481992622</v>
      </c>
      <c r="E184" s="385">
        <f t="shared" si="75"/>
        <v>40.092845876570863</v>
      </c>
      <c r="F184" s="385">
        <f t="shared" si="51"/>
        <v>40.092845876570863</v>
      </c>
      <c r="G184" s="110">
        <f t="shared" si="76"/>
        <v>0.92981641456178787</v>
      </c>
      <c r="H184" s="414" t="b">
        <f>Wh_hp&gt;='2025'!Maxi_hp</f>
        <v>1</v>
      </c>
      <c r="I184" s="390">
        <f>IF(H184,Wh_hp,'2025'!Maxi_hp)</f>
        <v>40.092845876570863</v>
      </c>
      <c r="J184" s="85">
        <f>IF(H184,An,'2025'!An_max)</f>
        <v>2026</v>
      </c>
      <c r="K184" s="197">
        <f t="shared" si="52"/>
        <v>46192</v>
      </c>
      <c r="L184" s="147">
        <f>IF(t&lt;Tvie,1-EXP((T0-t)*PertePVj)+'2025'!Pspv,1-EXP((T0-t)*PertePVj)+Pspv)</f>
        <v>6.3247405082542896E-2</v>
      </c>
      <c r="M184" s="850"/>
      <c r="N184" s="850"/>
      <c r="O184" s="48">
        <f>IF(t&lt;Tnet,'2025'!Resal+('2025'!Salim-'2025'!Resal)*(1-EXP(('2025'!Tnet-t)/('2025'!Tau_j))),Resal+(Salim-Resal)*(1-EXP((Tnet-t)/(Tau_j))))*Salcycl</f>
        <v>7.6368322767715713E-2</v>
      </c>
      <c r="P184" s="169">
        <f>(INDEX(Models!$BJ184:$BT184,,T184)*(1-R184)+INDEX(Models!$BJ184:$BT184,,T184+1)*R184-ERP_i)*Q184*Ramure*Pc/MaxiM</f>
        <v>0</v>
      </c>
      <c r="Q184" s="305">
        <f t="shared" si="53"/>
        <v>0.7</v>
      </c>
      <c r="R184" s="177">
        <f t="shared" si="54"/>
        <v>0.77166290659300096</v>
      </c>
      <c r="S184" s="817">
        <f t="shared" si="55"/>
        <v>-2</v>
      </c>
      <c r="T184" s="176">
        <f t="shared" si="56"/>
        <v>4</v>
      </c>
      <c r="U184" s="251">
        <f t="shared" si="57"/>
        <v>-1.228337093406999</v>
      </c>
      <c r="V184" s="383">
        <f t="shared" si="58"/>
        <v>37.30726394930528</v>
      </c>
      <c r="W184" s="402">
        <f t="shared" si="59"/>
        <v>34.688906402453284</v>
      </c>
      <c r="X184" s="157">
        <f t="shared" si="60"/>
        <v>46192</v>
      </c>
      <c r="Y184" s="385">
        <f t="shared" si="61"/>
        <v>32.869103480753012</v>
      </c>
      <c r="Z184" s="385">
        <f t="shared" si="62"/>
        <v>35.088350605155576</v>
      </c>
      <c r="AA184" s="386">
        <f t="shared" si="63"/>
        <v>40.092816978716534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0.12482201927137228</v>
      </c>
      <c r="AD184" s="231">
        <f>(INDEX(Models!$BJ184:$BT184,,AH184)*(1-AF184)+INDEX(Models!$BJ184:$BT184,,AH184+1)*AF184-ERP_i)*AE184*Ramure*Pc/MaxiM</f>
        <v>8.010927066708204E-7</v>
      </c>
      <c r="AE184" s="305">
        <f t="shared" si="65"/>
        <v>0.7</v>
      </c>
      <c r="AF184" s="177">
        <f t="shared" si="66"/>
        <v>0.39552627596905698</v>
      </c>
      <c r="AG184" s="817">
        <f t="shared" si="74"/>
        <v>1</v>
      </c>
      <c r="AH184" s="176">
        <f t="shared" si="67"/>
        <v>7</v>
      </c>
      <c r="AI184" s="225">
        <f t="shared" si="68"/>
        <v>1.395526275969057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46193</v>
      </c>
      <c r="B185" s="411">
        <f>'2025'!Wh/'2025'!Env_an*'2026'!Env_an</f>
        <v>19.496239472634254</v>
      </c>
      <c r="C185" s="846"/>
      <c r="D185" s="393">
        <f t="shared" si="50"/>
        <v>20.813037087327675</v>
      </c>
      <c r="E185" s="385">
        <f t="shared" si="75"/>
        <v>22.537290893212859</v>
      </c>
      <c r="F185" s="385">
        <f t="shared" si="51"/>
        <v>22.537290893212859</v>
      </c>
      <c r="G185" s="110">
        <f t="shared" si="76"/>
        <v>0.5231313788322729</v>
      </c>
      <c r="H185" s="414" t="b">
        <f>Wh_hp&gt;='2025'!Maxi_hp</f>
        <v>0</v>
      </c>
      <c r="I185" s="390">
        <f>IF(H185,Wh_hp,'2025'!Maxi_hp)</f>
        <v>39.022000068069346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6.3267922368483775E-2</v>
      </c>
      <c r="M185" s="850"/>
      <c r="N185" s="850"/>
      <c r="O185" s="48">
        <f>IF(t&lt;Tnet,'2025'!Resal+('2025'!Salim-'2025'!Resal)*(1-EXP(('2025'!Tnet-t)/('2025'!Tau_j))),Resal+(Salim-Resal)*(1-EXP((Tnet-t)/(Tau_j))))*Salcycl</f>
        <v>7.6506702338587085E-2</v>
      </c>
      <c r="P185" s="169">
        <f>(INDEX(Models!$BJ185:$BT185,,T185)*(1-R185)+INDEX(Models!$BJ185:$BT185,,T185+1)*R185-ERP_i)*Q185*Ramure*Pc/MaxiM</f>
        <v>0</v>
      </c>
      <c r="Q185" s="305">
        <f t="shared" si="53"/>
        <v>0.7</v>
      </c>
      <c r="R185" s="177">
        <f t="shared" si="54"/>
        <v>0.77661738467008323</v>
      </c>
      <c r="S185" s="817">
        <f t="shared" si="55"/>
        <v>-2</v>
      </c>
      <c r="T185" s="176">
        <f t="shared" si="56"/>
        <v>4</v>
      </c>
      <c r="U185" s="251">
        <f t="shared" si="57"/>
        <v>-1.2233826153299168</v>
      </c>
      <c r="V185" s="383">
        <f t="shared" si="58"/>
        <v>37.268342641103857</v>
      </c>
      <c r="W185" s="402">
        <f t="shared" si="59"/>
        <v>19.496239472634254</v>
      </c>
      <c r="X185" s="157">
        <f t="shared" si="60"/>
        <v>46193</v>
      </c>
      <c r="Y185" s="385">
        <f t="shared" si="61"/>
        <v>18.474261509420099</v>
      </c>
      <c r="Z185" s="385">
        <f t="shared" si="62"/>
        <v>19.722033600185249</v>
      </c>
      <c r="AA185" s="386">
        <f t="shared" si="63"/>
        <v>22.537284999244001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0.12491528589859822</v>
      </c>
      <c r="AD185" s="231">
        <f>(INDEX(Models!$BJ185:$BT185,,AH185)*(1-AF185)+INDEX(Models!$BJ185:$BT185,,AH185+1)*AF185-ERP_i)*AE185*Ramure*Pc/MaxiM</f>
        <v>8.204337499703306E-7</v>
      </c>
      <c r="AE185" s="305">
        <f t="shared" si="65"/>
        <v>0.7</v>
      </c>
      <c r="AF185" s="177">
        <f t="shared" si="66"/>
        <v>0.40048075404613925</v>
      </c>
      <c r="AG185" s="817">
        <f t="shared" si="74"/>
        <v>1</v>
      </c>
      <c r="AH185" s="176">
        <f t="shared" si="67"/>
        <v>7</v>
      </c>
      <c r="AI185" s="225">
        <f t="shared" si="68"/>
        <v>1.4004807540461393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46194</v>
      </c>
      <c r="B186" s="411">
        <f>'2025'!Wh/'2025'!Env_an*'2026'!Env_an</f>
        <v>13.645659477264054</v>
      </c>
      <c r="C186" s="846"/>
      <c r="D186" s="393">
        <f t="shared" si="50"/>
        <v>14.567621505261906</v>
      </c>
      <c r="E186" s="385">
        <f t="shared" si="75"/>
        <v>15.776816067949106</v>
      </c>
      <c r="F186" s="385">
        <f t="shared" si="51"/>
        <v>15.776816067949106</v>
      </c>
      <c r="G186" s="110">
        <f t="shared" si="76"/>
        <v>0.36653709161787357</v>
      </c>
      <c r="H186" s="414" t="b">
        <f>Wh_hp&gt;='2025'!Maxi_hp</f>
        <v>0</v>
      </c>
      <c r="I186" s="390">
        <f>IF(H186,Wh_hp,'2025'!Maxi_hp)</f>
        <v>35.180212507104621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6.3288439205043456E-2</v>
      </c>
      <c r="M186" s="850"/>
      <c r="N186" s="850"/>
      <c r="O186" s="48">
        <f>IF(t&lt;Tnet,'2025'!Resal+('2025'!Salim-'2025'!Resal)*(1-EXP(('2025'!Tnet-t)/('2025'!Tau_j))),Resal+(Salim-Resal)*(1-EXP((Tnet-t)/(Tau_j))))*Salcycl</f>
        <v>7.6643763702341702E-2</v>
      </c>
      <c r="P186" s="169">
        <f>(INDEX(Models!$BJ186:$BT186,,T186)*(1-R186)+INDEX(Models!$BJ186:$BT186,,T186+1)*R186-ERP_i)*Q186*Ramure*Pc/MaxiM</f>
        <v>0</v>
      </c>
      <c r="Q186" s="305">
        <f t="shared" si="53"/>
        <v>0.7</v>
      </c>
      <c r="R186" s="177">
        <f t="shared" si="54"/>
        <v>0.78153078121970987</v>
      </c>
      <c r="S186" s="817">
        <f t="shared" si="55"/>
        <v>-2</v>
      </c>
      <c r="T186" s="176">
        <f t="shared" si="56"/>
        <v>4</v>
      </c>
      <c r="U186" s="251">
        <f t="shared" si="57"/>
        <v>-1.2184692187802901</v>
      </c>
      <c r="V186" s="383">
        <f t="shared" si="58"/>
        <v>37.228591019350603</v>
      </c>
      <c r="W186" s="402">
        <f t="shared" si="59"/>
        <v>13.645659477264054</v>
      </c>
      <c r="X186" s="157">
        <f t="shared" si="60"/>
        <v>46194</v>
      </c>
      <c r="Y186" s="385">
        <f t="shared" si="61"/>
        <v>12.930938640147117</v>
      </c>
      <c r="Z186" s="385">
        <f t="shared" si="62"/>
        <v>13.804610919046468</v>
      </c>
      <c r="AA186" s="386">
        <f t="shared" si="63"/>
        <v>15.776814812935839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0.12500646786272135</v>
      </c>
      <c r="AD186" s="231">
        <f>(INDEX(Models!$BJ186:$BT186,,AH186)*(1-AF186)+INDEX(Models!$BJ186:$BT186,,AH186+1)*AF186-ERP_i)*AE186*Ramure*Pc/MaxiM</f>
        <v>8.3687998387086677E-7</v>
      </c>
      <c r="AE186" s="305">
        <f t="shared" si="65"/>
        <v>0.7</v>
      </c>
      <c r="AF186" s="177">
        <f t="shared" si="66"/>
        <v>0.40539415059576589</v>
      </c>
      <c r="AG186" s="817">
        <f t="shared" si="74"/>
        <v>1</v>
      </c>
      <c r="AH186" s="176">
        <f t="shared" si="67"/>
        <v>7</v>
      </c>
      <c r="AI186" s="225">
        <f t="shared" si="68"/>
        <v>1.4053941505957659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46195</v>
      </c>
      <c r="B187" s="411">
        <f>'2025'!Wh/'2025'!Env_an*'2026'!Env_an</f>
        <v>28.471434954832155</v>
      </c>
      <c r="C187" s="846"/>
      <c r="D187" s="393">
        <f t="shared" si="50"/>
        <v>30.395758692059971</v>
      </c>
      <c r="E187" s="385">
        <f t="shared" si="75"/>
        <v>32.923617315425474</v>
      </c>
      <c r="F187" s="385">
        <f t="shared" si="51"/>
        <v>32.923617315425474</v>
      </c>
      <c r="G187" s="110">
        <f t="shared" si="76"/>
        <v>0.7656060140451908</v>
      </c>
      <c r="H187" s="414" t="b">
        <f>Wh_hp&gt;='2025'!Maxi_hp</f>
        <v>0</v>
      </c>
      <c r="I187" s="390">
        <f>IF(H187,Wh_hp,'2025'!Maxi_hp)</f>
        <v>43.398049823870345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6.3308955592231708E-2</v>
      </c>
      <c r="M187" s="850"/>
      <c r="N187" s="850"/>
      <c r="O187" s="48">
        <f>IF(t&lt;Tnet,'2025'!Resal+('2025'!Salim-'2025'!Resal)*(1-EXP(('2025'!Tnet-t)/('2025'!Tau_j))),Resal+(Salim-Resal)*(1-EXP((Tnet-t)/(Tau_j))))*Salcycl</f>
        <v>7.6779492336680244E-2</v>
      </c>
      <c r="P187" s="169">
        <f>(INDEX(Models!$BJ187:$BT187,,T187)*(1-R187)+INDEX(Models!$BJ187:$BT187,,T187+1)*R187-ERP_i)*Q187*Ramure*Pc/MaxiM</f>
        <v>0</v>
      </c>
      <c r="Q187" s="305">
        <f t="shared" si="53"/>
        <v>0.7</v>
      </c>
      <c r="R187" s="177">
        <f t="shared" si="54"/>
        <v>0.78639951015979759</v>
      </c>
      <c r="S187" s="817">
        <f t="shared" si="55"/>
        <v>-2</v>
      </c>
      <c r="T187" s="176">
        <f t="shared" si="56"/>
        <v>4</v>
      </c>
      <c r="U187" s="251">
        <f t="shared" si="57"/>
        <v>-1.2136004898402024</v>
      </c>
      <c r="V187" s="383">
        <f t="shared" si="58"/>
        <v>37.188102539058164</v>
      </c>
      <c r="W187" s="402">
        <f t="shared" si="59"/>
        <v>28.471434954832155</v>
      </c>
      <c r="X187" s="157">
        <f t="shared" si="60"/>
        <v>46195</v>
      </c>
      <c r="Y187" s="385">
        <f t="shared" si="61"/>
        <v>26.98138841225374</v>
      </c>
      <c r="Z187" s="385">
        <f t="shared" si="62"/>
        <v>28.805003072611818</v>
      </c>
      <c r="AA187" s="386">
        <f t="shared" si="63"/>
        <v>32.923598694764735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0.12509554803946221</v>
      </c>
      <c r="AD187" s="231">
        <f>(INDEX(Models!$BJ187:$BT187,,AH187)*(1-AF187)+INDEX(Models!$BJ187:$BT187,,AH187+1)*AF187-ERP_i)*AE187*Ramure*Pc/MaxiM</f>
        <v>8.5028986238688092E-7</v>
      </c>
      <c r="AE187" s="305">
        <f t="shared" si="65"/>
        <v>0.7</v>
      </c>
      <c r="AF187" s="177">
        <f t="shared" si="66"/>
        <v>0.41026287953585361</v>
      </c>
      <c r="AG187" s="817">
        <f t="shared" si="74"/>
        <v>1</v>
      </c>
      <c r="AH187" s="176">
        <f t="shared" si="67"/>
        <v>7</v>
      </c>
      <c r="AI187" s="225">
        <f t="shared" si="68"/>
        <v>1.4102628795358536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46196</v>
      </c>
      <c r="B188" s="411">
        <f>'2025'!Wh/'2025'!Env_an*'2026'!Env_an</f>
        <v>25.579201998092643</v>
      </c>
      <c r="C188" s="846"/>
      <c r="D188" s="393">
        <f t="shared" si="50"/>
        <v>27.308643990194142</v>
      </c>
      <c r="E188" s="385">
        <f t="shared" si="75"/>
        <v>29.584069484411504</v>
      </c>
      <c r="F188" s="385">
        <f t="shared" si="51"/>
        <v>29.584069484411504</v>
      </c>
      <c r="G188" s="110">
        <f t="shared" si="76"/>
        <v>0.68859456638491023</v>
      </c>
      <c r="H188" s="414" t="b">
        <f>Wh_hp&gt;='2025'!Maxi_hp</f>
        <v>0</v>
      </c>
      <c r="I188" s="390">
        <f>IF(H188,Wh_hp,'2025'!Maxi_hp)</f>
        <v>43.321618231322205</v>
      </c>
      <c r="J188" s="85">
        <f>IF(H188,An,'2025'!An_max)</f>
        <v>2018</v>
      </c>
      <c r="K188" s="197">
        <f t="shared" si="52"/>
        <v>46196</v>
      </c>
      <c r="L188" s="147">
        <f>IF(t&lt;Tvie,1-EXP((T0-t)*PertePVj)+'2025'!Pspv,1-EXP((T0-t)*PertePVj)+Pspv)</f>
        <v>6.3329471530058412E-2</v>
      </c>
      <c r="M188" s="850"/>
      <c r="N188" s="850"/>
      <c r="O188" s="48">
        <f>IF(t&lt;Tnet,'2025'!Resal+('2025'!Salim-'2025'!Resal)*(1-EXP(('2025'!Tnet-t)/('2025'!Tau_j))),Resal+(Salim-Resal)*(1-EXP((Tnet-t)/(Tau_j))))*Salcycl</f>
        <v>7.6913877430430433E-2</v>
      </c>
      <c r="P188" s="169">
        <f>(INDEX(Models!$BJ188:$BT188,,T188)*(1-R188)+INDEX(Models!$BJ188:$BT188,,T188+1)*R188-ERP_i)*Q188*Ramure*Pc/MaxiM</f>
        <v>0</v>
      </c>
      <c r="Q188" s="305">
        <f t="shared" si="53"/>
        <v>0.7</v>
      </c>
      <c r="R188" s="177">
        <f t="shared" si="54"/>
        <v>0.79122012499101957</v>
      </c>
      <c r="S188" s="817">
        <f t="shared" si="55"/>
        <v>-2</v>
      </c>
      <c r="T188" s="176">
        <f t="shared" si="56"/>
        <v>4</v>
      </c>
      <c r="U188" s="251">
        <f t="shared" si="57"/>
        <v>-1.2087798750089804</v>
      </c>
      <c r="V188" s="383">
        <f t="shared" si="58"/>
        <v>37.146970433389086</v>
      </c>
      <c r="W188" s="402">
        <f t="shared" si="59"/>
        <v>25.579201998092643</v>
      </c>
      <c r="X188" s="157">
        <f t="shared" si="60"/>
        <v>46196</v>
      </c>
      <c r="Y188" s="385">
        <f t="shared" si="61"/>
        <v>24.241641070706237</v>
      </c>
      <c r="Z188" s="385">
        <f t="shared" si="62"/>
        <v>25.880648887613813</v>
      </c>
      <c r="AA188" s="386">
        <f t="shared" si="63"/>
        <v>29.584055352042636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0.12518251539078198</v>
      </c>
      <c r="AD188" s="231">
        <f>(INDEX(Models!$BJ188:$BT188,,AH188)*(1-AF188)+INDEX(Models!$BJ188:$BT188,,AH188+1)*AF188-ERP_i)*AE188*Ramure*Pc/MaxiM</f>
        <v>8.6051484504666232E-7</v>
      </c>
      <c r="AE188" s="305">
        <f t="shared" si="65"/>
        <v>0.7</v>
      </c>
      <c r="AF188" s="177">
        <f t="shared" si="66"/>
        <v>0.41508349436707559</v>
      </c>
      <c r="AG188" s="817">
        <f t="shared" si="74"/>
        <v>1</v>
      </c>
      <c r="AH188" s="176">
        <f t="shared" si="67"/>
        <v>7</v>
      </c>
      <c r="AI188" s="225">
        <f t="shared" si="68"/>
        <v>1.4150834943670756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46197</v>
      </c>
      <c r="B189" s="411">
        <f>'2025'!Wh/'2025'!Env_an*'2026'!Env_an</f>
        <v>29.030051809110763</v>
      </c>
      <c r="C189" s="846"/>
      <c r="D189" s="393">
        <f t="shared" si="50"/>
        <v>30.993488930518147</v>
      </c>
      <c r="E189" s="385">
        <f t="shared" si="75"/>
        <v>33.580784688974873</v>
      </c>
      <c r="F189" s="385">
        <f t="shared" si="51"/>
        <v>33.580784688974873</v>
      </c>
      <c r="G189" s="110">
        <f t="shared" si="76"/>
        <v>0.78236967277179059</v>
      </c>
      <c r="H189" s="414" t="b">
        <f>Wh_hp&gt;='2025'!Maxi_hp</f>
        <v>0</v>
      </c>
      <c r="I189" s="390">
        <f>IF(H189,Wh_hp,'2025'!Maxi_hp)</f>
        <v>42.706685617077156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6.3349987018533449E-2</v>
      </c>
      <c r="M189" s="850"/>
      <c r="N189" s="850"/>
      <c r="O189" s="48">
        <f>IF(t&lt;Tnet,'2025'!Resal+('2025'!Salim-'2025'!Resal)*(1-EXP(('2025'!Tnet-t)/('2025'!Tau_j))),Resal+(Salim-Resal)*(1-EXP((Tnet-t)/(Tau_j))))*Salcycl</f>
        <v>7.7046911869995127E-2</v>
      </c>
      <c r="P189" s="169">
        <f>(INDEX(Models!$BJ189:$BT189,,T189)*(1-R189)+INDEX(Models!$BJ189:$BT189,,T189+1)*R189-ERP_i)*Q189*Ramure*Pc/MaxiM</f>
        <v>0</v>
      </c>
      <c r="Q189" s="305">
        <f t="shared" si="53"/>
        <v>0.7</v>
      </c>
      <c r="R189" s="177">
        <f t="shared" si="54"/>
        <v>0.79598932737256201</v>
      </c>
      <c r="S189" s="817">
        <f t="shared" si="55"/>
        <v>-2</v>
      </c>
      <c r="T189" s="176">
        <f t="shared" si="56"/>
        <v>4</v>
      </c>
      <c r="U189" s="251">
        <f t="shared" si="57"/>
        <v>-1.204010672627438</v>
      </c>
      <c r="V189" s="383">
        <f t="shared" si="58"/>
        <v>37.105287716818921</v>
      </c>
      <c r="W189" s="402">
        <f t="shared" si="59"/>
        <v>29.030051809110763</v>
      </c>
      <c r="X189" s="157">
        <f t="shared" si="60"/>
        <v>46197</v>
      </c>
      <c r="Y189" s="385">
        <f t="shared" si="61"/>
        <v>27.513336120613047</v>
      </c>
      <c r="Z189" s="385">
        <f t="shared" si="62"/>
        <v>29.374190721499996</v>
      </c>
      <c r="AA189" s="386">
        <f t="shared" si="63"/>
        <v>33.58076461672136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0.12526736491064655</v>
      </c>
      <c r="AD189" s="231">
        <f>(INDEX(Models!$BJ189:$BT189,,AH189)*(1-AF189)+INDEX(Models!$BJ189:$BT189,,AH189+1)*AF189-ERP_i)*AE189*Ramure*Pc/MaxiM</f>
        <v>8.6740782974493622E-7</v>
      </c>
      <c r="AE189" s="305">
        <f t="shared" si="65"/>
        <v>0.7</v>
      </c>
      <c r="AF189" s="177">
        <f t="shared" si="66"/>
        <v>0.41985269674861803</v>
      </c>
      <c r="AG189" s="817">
        <f t="shared" si="74"/>
        <v>1</v>
      </c>
      <c r="AH189" s="176">
        <f t="shared" si="67"/>
        <v>7</v>
      </c>
      <c r="AI189" s="225">
        <f t="shared" si="68"/>
        <v>1.419852696748618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46198</v>
      </c>
      <c r="B190" s="411">
        <f>'2025'!Wh/'2025'!Env_an*'2026'!Env_an</f>
        <v>20.702786016602293</v>
      </c>
      <c r="C190" s="846"/>
      <c r="D190" s="393">
        <f t="shared" si="50"/>
        <v>22.103495632033709</v>
      </c>
      <c r="E190" s="385">
        <f t="shared" si="75"/>
        <v>23.952083735084258</v>
      </c>
      <c r="F190" s="385">
        <f t="shared" si="51"/>
        <v>23.952083735084258</v>
      </c>
      <c r="G190" s="110">
        <f t="shared" si="76"/>
        <v>0.55858143700897889</v>
      </c>
      <c r="H190" s="414" t="b">
        <f>Wh_hp&gt;='2025'!Maxi_hp</f>
        <v>0</v>
      </c>
      <c r="I190" s="390">
        <f>IF(H190,Wh_hp,'2025'!Maxi_hp)</f>
        <v>42.181442408546353</v>
      </c>
      <c r="J190" s="85">
        <f>IF(H190,An,'2025'!An_max)</f>
        <v>2018</v>
      </c>
      <c r="K190" s="197">
        <f t="shared" si="52"/>
        <v>46198</v>
      </c>
      <c r="L190" s="147">
        <f>IF(t&lt;Tvie,1-EXP((T0-t)*PertePVj)+'2025'!Pspv,1-EXP((T0-t)*PertePVj)+Pspv)</f>
        <v>6.3370502057666589E-2</v>
      </c>
      <c r="M190" s="850"/>
      <c r="N190" s="850"/>
      <c r="O190" s="48">
        <f>IF(t&lt;Tnet,'2025'!Resal+('2025'!Salim-'2025'!Resal)*(1-EXP(('2025'!Tnet-t)/('2025'!Tau_j))),Resal+(Salim-Resal)*(1-EXP((Tnet-t)/(Tau_j))))*Salcycl</f>
        <v>7.7178592205019589E-2</v>
      </c>
      <c r="P190" s="169">
        <f>(INDEX(Models!$BJ190:$BT190,,T190)*(1-R190)+INDEX(Models!$BJ190:$BT190,,T190+1)*R190-ERP_i)*Q190*Ramure*Pc/MaxiM</f>
        <v>0</v>
      </c>
      <c r="Q190" s="305">
        <f t="shared" si="53"/>
        <v>0.7</v>
      </c>
      <c r="R190" s="177">
        <f t="shared" si="54"/>
        <v>0.80070397476353783</v>
      </c>
      <c r="S190" s="817">
        <f t="shared" si="55"/>
        <v>-2</v>
      </c>
      <c r="T190" s="176">
        <f t="shared" si="56"/>
        <v>4</v>
      </c>
      <c r="U190" s="251">
        <f t="shared" si="57"/>
        <v>-1.1992960252364622</v>
      </c>
      <c r="V190" s="383">
        <f t="shared" si="58"/>
        <v>37.063147188454643</v>
      </c>
      <c r="W190" s="402">
        <f t="shared" si="59"/>
        <v>20.702786016602293</v>
      </c>
      <c r="X190" s="157">
        <f t="shared" si="60"/>
        <v>46198</v>
      </c>
      <c r="Y190" s="385">
        <f t="shared" si="61"/>
        <v>19.622089162811481</v>
      </c>
      <c r="Z190" s="385">
        <f t="shared" si="62"/>
        <v>20.94968096341076</v>
      </c>
      <c r="AA190" s="386">
        <f t="shared" si="63"/>
        <v>23.952076029998366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0.12535009753757079</v>
      </c>
      <c r="AD190" s="231">
        <f>(INDEX(Models!$BJ190:$BT190,,AH190)*(1-AF190)+INDEX(Models!$BJ190:$BT190,,AH190+1)*AF190-ERP_i)*AE190*Ramure*Pc/MaxiM</f>
        <v>8.7083300070501787E-7</v>
      </c>
      <c r="AE190" s="305">
        <f t="shared" si="65"/>
        <v>0.7</v>
      </c>
      <c r="AF190" s="177">
        <f t="shared" si="66"/>
        <v>0.42456734413959385</v>
      </c>
      <c r="AG190" s="817">
        <f t="shared" si="74"/>
        <v>1</v>
      </c>
      <c r="AH190" s="176">
        <f t="shared" si="67"/>
        <v>7</v>
      </c>
      <c r="AI190" s="225">
        <f t="shared" si="68"/>
        <v>1.4245673441395938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46199</v>
      </c>
      <c r="B191" s="411">
        <f>'2025'!Wh/'2025'!Env_an*'2026'!Env_an</f>
        <v>7.3862408298258364</v>
      </c>
      <c r="C191" s="846"/>
      <c r="D191" s="393">
        <f t="shared" si="50"/>
        <v>7.886152024067993</v>
      </c>
      <c r="E191" s="385">
        <f t="shared" si="75"/>
        <v>8.5469039237348543</v>
      </c>
      <c r="F191" s="385">
        <f t="shared" si="51"/>
        <v>8.5469039237348543</v>
      </c>
      <c r="G191" s="110">
        <f t="shared" si="76"/>
        <v>0.19951483075107557</v>
      </c>
      <c r="H191" s="414" t="b">
        <f>Wh_hp&gt;='2025'!Maxi_hp</f>
        <v>0</v>
      </c>
      <c r="I191" s="390">
        <f>IF(H191,Wh_hp,'2025'!Maxi_hp)</f>
        <v>41.141814363893154</v>
      </c>
      <c r="J191" s="85">
        <f>IF(H191,An,'2025'!An_max)</f>
        <v>2021</v>
      </c>
      <c r="K191" s="197">
        <f t="shared" si="52"/>
        <v>46199</v>
      </c>
      <c r="L191" s="147">
        <f>IF(t&lt;Tvie,1-EXP((T0-t)*PertePVj)+'2025'!Pspv,1-EXP((T0-t)*PertePVj)+Pspv)</f>
        <v>6.3391016647467824E-2</v>
      </c>
      <c r="M191" s="850"/>
      <c r="N191" s="850"/>
      <c r="O191" s="48">
        <f>IF(t&lt;Tnet,'2025'!Resal+('2025'!Salim-'2025'!Resal)*(1-EXP(('2025'!Tnet-t)/('2025'!Tau_j))),Resal+(Salim-Resal)*(1-EXP((Tnet-t)/(Tau_j))))*Salcycl</f>
        <v>7.7308918593544149E-2</v>
      </c>
      <c r="P191" s="169">
        <f>(INDEX(Models!$BJ191:$BT191,,T191)*(1-R191)+INDEX(Models!$BJ191:$BT191,,T191+1)*R191-ERP_i)*Q191*Ramure*Pc/MaxiM</f>
        <v>0</v>
      </c>
      <c r="Q191" s="305">
        <f t="shared" si="53"/>
        <v>0.7</v>
      </c>
      <c r="R191" s="177">
        <f t="shared" si="54"/>
        <v>0.80536108710436993</v>
      </c>
      <c r="S191" s="817">
        <f t="shared" si="55"/>
        <v>-2</v>
      </c>
      <c r="T191" s="176">
        <f t="shared" si="56"/>
        <v>4</v>
      </c>
      <c r="U191" s="251">
        <f t="shared" si="57"/>
        <v>-1.1946389128956301</v>
      </c>
      <c r="V191" s="383">
        <f t="shared" si="58"/>
        <v>37.021011430680417</v>
      </c>
      <c r="W191" s="402">
        <f t="shared" si="59"/>
        <v>7.3862408298258364</v>
      </c>
      <c r="X191" s="157">
        <f t="shared" si="60"/>
        <v>46199</v>
      </c>
      <c r="Y191" s="385">
        <f t="shared" si="61"/>
        <v>7.001020660506537</v>
      </c>
      <c r="Z191" s="385">
        <f t="shared" si="62"/>
        <v>7.4748596105141223</v>
      </c>
      <c r="AA191" s="386">
        <f t="shared" si="63"/>
        <v>8.5469039237348543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0.12543072003461422</v>
      </c>
      <c r="AD191" s="231">
        <f>(INDEX(Models!$BJ191:$BT191,,AH191)*(1-AF191)+INDEX(Models!$BJ191:$BT191,,AH191+1)*AF191-ERP_i)*AE191*Ramure*Pc/MaxiM</f>
        <v>8.7064918851280073E-7</v>
      </c>
      <c r="AE191" s="305">
        <f t="shared" si="65"/>
        <v>0.7</v>
      </c>
      <c r="AF191" s="177">
        <f t="shared" si="66"/>
        <v>0.42922445648042595</v>
      </c>
      <c r="AG191" s="817">
        <f t="shared" si="74"/>
        <v>1</v>
      </c>
      <c r="AH191" s="176">
        <f t="shared" si="67"/>
        <v>7</v>
      </c>
      <c r="AI191" s="225">
        <f t="shared" si="68"/>
        <v>1.429224456480426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46200</v>
      </c>
      <c r="B192" s="411">
        <f>'2025'!Wh/'2025'!Env_an*'2026'!Env_an</f>
        <v>9.562803205921405</v>
      </c>
      <c r="C192" s="846"/>
      <c r="D192" s="393">
        <f t="shared" si="50"/>
        <v>10.210250841510508</v>
      </c>
      <c r="E192" s="385">
        <f t="shared" si="75"/>
        <v>11.067277512433622</v>
      </c>
      <c r="F192" s="385">
        <f t="shared" si="51"/>
        <v>11.067277512433622</v>
      </c>
      <c r="G192" s="110">
        <f t="shared" si="76"/>
        <v>0.25860024315056229</v>
      </c>
      <c r="H192" s="414" t="b">
        <f>Wh_hp&gt;='2025'!Maxi_hp</f>
        <v>0</v>
      </c>
      <c r="I192" s="390">
        <f>IF(H192,Wh_hp,'2025'!Maxi_hp)</f>
        <v>40.70663915680317</v>
      </c>
      <c r="J192" s="85">
        <f>IF(H192,An,'2025'!An_max)</f>
        <v>2019</v>
      </c>
      <c r="K192" s="197">
        <f t="shared" si="52"/>
        <v>46200</v>
      </c>
      <c r="L192" s="147">
        <f>IF(t&lt;Tvie,1-EXP((T0-t)*PertePVj)+'2025'!Pspv,1-EXP((T0-t)*PertePVj)+Pspv)</f>
        <v>6.3411530787946813E-2</v>
      </c>
      <c r="M192" s="850"/>
      <c r="N192" s="850"/>
      <c r="O192" s="48">
        <f>IF(t&lt;Tnet,'2025'!Resal+('2025'!Salim-'2025'!Resal)*(1-EXP(('2025'!Tnet-t)/('2025'!Tau_j))),Resal+(Salim-Resal)*(1-EXP((Tnet-t)/(Tau_j))))*Salcycl</f>
        <v>7.7437894727070869E-2</v>
      </c>
      <c r="P192" s="169">
        <f>(INDEX(Models!$BJ192:$BT192,,T192)*(1-R192)+INDEX(Models!$BJ192:$BT192,,T192+1)*R192-ERP_i)*Q192*Ramure*Pc/MaxiM</f>
        <v>0</v>
      </c>
      <c r="Q192" s="305">
        <f t="shared" si="53"/>
        <v>0.7</v>
      </c>
      <c r="R192" s="177">
        <f t="shared" si="54"/>
        <v>0.80995785252208718</v>
      </c>
      <c r="S192" s="817">
        <f t="shared" si="55"/>
        <v>-2</v>
      </c>
      <c r="T192" s="176">
        <f t="shared" si="56"/>
        <v>4</v>
      </c>
      <c r="U192" s="251">
        <f t="shared" si="57"/>
        <v>-1.1900421474779128</v>
      </c>
      <c r="V192" s="383">
        <f t="shared" si="58"/>
        <v>36.979095956819144</v>
      </c>
      <c r="W192" s="402">
        <f t="shared" si="59"/>
        <v>9.562803205921405</v>
      </c>
      <c r="X192" s="157">
        <f t="shared" si="60"/>
        <v>46200</v>
      </c>
      <c r="Y192" s="385">
        <f t="shared" si="61"/>
        <v>9.0645203712764388</v>
      </c>
      <c r="Z192" s="385">
        <f t="shared" si="62"/>
        <v>9.678231869438207</v>
      </c>
      <c r="AA192" s="386">
        <f t="shared" si="63"/>
        <v>11.067277512433622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0.12550924483775527</v>
      </c>
      <c r="AD192" s="231">
        <f>(INDEX(Models!$BJ192:$BT192,,AH192)*(1-AF192)+INDEX(Models!$BJ192:$BT192,,AH192+1)*AF192-ERP_i)*AE192*Ramure*Pc/MaxiM</f>
        <v>8.6969271462463942E-7</v>
      </c>
      <c r="AE192" s="305">
        <f t="shared" si="65"/>
        <v>0.7</v>
      </c>
      <c r="AF192" s="177">
        <f t="shared" si="66"/>
        <v>0.43382122189814321</v>
      </c>
      <c r="AG192" s="817">
        <f t="shared" si="74"/>
        <v>1</v>
      </c>
      <c r="AH192" s="176">
        <f t="shared" si="67"/>
        <v>7</v>
      </c>
      <c r="AI192" s="225">
        <f t="shared" si="68"/>
        <v>1.4338212218981432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46201</v>
      </c>
      <c r="B193" s="411">
        <f>'2025'!Wh/'2025'!Env_an*'2026'!Env_an</f>
        <v>37.171292697380231</v>
      </c>
      <c r="C193" s="846"/>
      <c r="D193" s="393">
        <f t="shared" si="50"/>
        <v>39.688836755798306</v>
      </c>
      <c r="E193" s="385">
        <f t="shared" si="75"/>
        <v>43.026185543990664</v>
      </c>
      <c r="F193" s="385">
        <f t="shared" si="51"/>
        <v>43.026185543990664</v>
      </c>
      <c r="G193" s="110">
        <f t="shared" si="76"/>
        <v>1.0063396886575582</v>
      </c>
      <c r="H193" s="414" t="b">
        <f>Wh_hp&gt;='2025'!Maxi_hp</f>
        <v>1</v>
      </c>
      <c r="I193" s="390">
        <f>IF(H193,Wh_hp,'2025'!Maxi_hp)</f>
        <v>43.026185543990664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6.3432044479113547E-2</v>
      </c>
      <c r="M193" s="850"/>
      <c r="N193" s="850"/>
      <c r="O193" s="48">
        <f>IF(t&lt;Tnet,'2025'!Resal+('2025'!Salim-'2025'!Resal)*(1-EXP(('2025'!Tnet-t)/('2025'!Tau_j))),Resal+(Salim-Resal)*(1-EXP((Tnet-t)/(Tau_j))))*Salcycl</f>
        <v>7.7565527736131831E-2</v>
      </c>
      <c r="P193" s="169">
        <f>(INDEX(Models!$BJ193:$BT193,,T193)*(1-R193)+INDEX(Models!$BJ193:$BT193,,T193+1)*R193-ERP_i)*Q193*Ramure*Pc/MaxiM</f>
        <v>0</v>
      </c>
      <c r="Q193" s="305">
        <f t="shared" si="53"/>
        <v>0.7</v>
      </c>
      <c r="R193" s="177">
        <f t="shared" si="54"/>
        <v>0.81449163205291675</v>
      </c>
      <c r="S193" s="817">
        <f t="shared" si="55"/>
        <v>-2</v>
      </c>
      <c r="T193" s="176">
        <f t="shared" si="56"/>
        <v>4</v>
      </c>
      <c r="U193" s="251">
        <f t="shared" si="57"/>
        <v>-1.1855083679470833</v>
      </c>
      <c r="V193" s="383">
        <f t="shared" si="58"/>
        <v>36.937122838677034</v>
      </c>
      <c r="W193" s="402">
        <f t="shared" si="59"/>
        <v>37.171292697380231</v>
      </c>
      <c r="X193" s="157">
        <f t="shared" si="60"/>
        <v>46201</v>
      </c>
      <c r="Y193" s="385">
        <f t="shared" si="61"/>
        <v>35.236196144185243</v>
      </c>
      <c r="Z193" s="385">
        <f t="shared" si="62"/>
        <v>37.622679632027449</v>
      </c>
      <c r="AA193" s="386">
        <f t="shared" si="63"/>
        <v>43.026148127194226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0.12558568987381824</v>
      </c>
      <c r="AD193" s="231">
        <f>(INDEX(Models!$BJ193:$BT193,,AH193)*(1-AF193)+INDEX(Models!$BJ193:$BT193,,AH193+1)*AF193-ERP_i)*AE193*Ramure*Pc/MaxiM</f>
        <v>8.6962848239721789E-7</v>
      </c>
      <c r="AE193" s="305">
        <f t="shared" si="65"/>
        <v>0.7</v>
      </c>
      <c r="AF193" s="177">
        <f t="shared" si="66"/>
        <v>0.43835500142897277</v>
      </c>
      <c r="AG193" s="817">
        <f t="shared" si="74"/>
        <v>1</v>
      </c>
      <c r="AH193" s="176">
        <f t="shared" si="67"/>
        <v>7</v>
      </c>
      <c r="AI193" s="225">
        <f t="shared" si="68"/>
        <v>1.4383550014289728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46202</v>
      </c>
      <c r="B194" s="411">
        <f>'2025'!Wh/'2025'!Env_an*'2026'!Env_an</f>
        <v>35.91265660974797</v>
      </c>
      <c r="C194" s="846"/>
      <c r="D194" s="393">
        <f t="shared" si="50"/>
        <v>38.34579540611103</v>
      </c>
      <c r="E194" s="385">
        <f t="shared" si="75"/>
        <v>41.575903340599019</v>
      </c>
      <c r="F194" s="385">
        <f t="shared" si="51"/>
        <v>41.575903340599019</v>
      </c>
      <c r="G194" s="110">
        <f t="shared" si="76"/>
        <v>0.97337952215864787</v>
      </c>
      <c r="H194" s="414" t="b">
        <f>Wh_hp&gt;='2025'!Maxi_hp</f>
        <v>1</v>
      </c>
      <c r="I194" s="390">
        <f>IF(H194,Wh_hp,'2025'!Maxi_hp)</f>
        <v>41.575903340599019</v>
      </c>
      <c r="J194" s="85">
        <f>IF(H194,An,'2025'!An_max)</f>
        <v>2026</v>
      </c>
      <c r="K194" s="197">
        <f t="shared" si="52"/>
        <v>46202</v>
      </c>
      <c r="L194" s="147">
        <f>IF(t&lt;Tvie,1-EXP((T0-t)*PertePVj)+'2025'!Pspv,1-EXP((T0-t)*PertePVj)+Pspv)</f>
        <v>6.3452557720977687E-2</v>
      </c>
      <c r="M194" s="850"/>
      <c r="N194" s="850"/>
      <c r="O194" s="48">
        <f>IF(t&lt;Tnet,'2025'!Resal+('2025'!Salim-'2025'!Resal)*(1-EXP(('2025'!Tnet-t)/('2025'!Tau_j))),Resal+(Salim-Resal)*(1-EXP((Tnet-t)/(Tau_j))))*Salcycl</f>
        <v>7.7691828077100997E-2</v>
      </c>
      <c r="P194" s="169">
        <f>(INDEX(Models!$BJ194:$BT194,,T194)*(1-R194)+INDEX(Models!$BJ194:$BT194,,T194+1)*R194-ERP_i)*Q194*Ramure*Pc/MaxiM</f>
        <v>0</v>
      </c>
      <c r="Q194" s="305">
        <f t="shared" si="53"/>
        <v>0.7</v>
      </c>
      <c r="R194" s="177">
        <f t="shared" si="54"/>
        <v>0.8189599633846889</v>
      </c>
      <c r="S194" s="817">
        <f t="shared" si="55"/>
        <v>-2</v>
      </c>
      <c r="T194" s="176">
        <f t="shared" si="56"/>
        <v>4</v>
      </c>
      <c r="U194" s="251">
        <f t="shared" si="57"/>
        <v>-1.1810400366153111</v>
      </c>
      <c r="V194" s="383">
        <f t="shared" si="58"/>
        <v>36.894814193445391</v>
      </c>
      <c r="W194" s="402">
        <f t="shared" si="59"/>
        <v>35.91265660974797</v>
      </c>
      <c r="X194" s="157">
        <f t="shared" si="60"/>
        <v>46202</v>
      </c>
      <c r="Y194" s="385">
        <f t="shared" si="61"/>
        <v>34.044849680266594</v>
      </c>
      <c r="Z194" s="385">
        <f t="shared" si="62"/>
        <v>36.351441628435659</v>
      </c>
      <c r="AA194" s="386">
        <f t="shared" si="63"/>
        <v>41.57586852469133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0.12566007834936649</v>
      </c>
      <c r="AD194" s="231">
        <f>(INDEX(Models!$BJ194:$BT194,,AH194)*(1-AF194)+INDEX(Models!$BJ194:$BT194,,AH194+1)*AF194-ERP_i)*AE194*Ramure*Pc/MaxiM</f>
        <v>8.7051079876895765E-7</v>
      </c>
      <c r="AE194" s="305">
        <f t="shared" si="65"/>
        <v>0.7</v>
      </c>
      <c r="AF194" s="177">
        <f t="shared" si="66"/>
        <v>0.44282333276074493</v>
      </c>
      <c r="AG194" s="817">
        <f t="shared" si="74"/>
        <v>1</v>
      </c>
      <c r="AH194" s="176">
        <f t="shared" si="67"/>
        <v>7</v>
      </c>
      <c r="AI194" s="225">
        <f t="shared" si="68"/>
        <v>1.4428233327607449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46203</v>
      </c>
      <c r="B195" s="411">
        <f>'2025'!Wh/'2025'!Env_an*'2026'!Env_an</f>
        <v>8.7334327335732738</v>
      </c>
      <c r="C195" s="846"/>
      <c r="D195" s="393">
        <f t="shared" si="50"/>
        <v>9.3253407441922622</v>
      </c>
      <c r="E195" s="385">
        <f t="shared" si="75"/>
        <v>10.112243249778215</v>
      </c>
      <c r="F195" s="385">
        <f t="shared" si="51"/>
        <v>10.112243249778215</v>
      </c>
      <c r="G195" s="110">
        <f t="shared" si="76"/>
        <v>0.23698736253264643</v>
      </c>
      <c r="H195" s="414" t="b">
        <f>Wh_hp&gt;='2025'!Maxi_hp</f>
        <v>0</v>
      </c>
      <c r="I195" s="390">
        <f>IF(H195,Wh_hp,'2025'!Maxi_hp)</f>
        <v>39.940934900012763</v>
      </c>
      <c r="J195" s="85">
        <f>IF(H195,An,'2025'!An_max)</f>
        <v>2018</v>
      </c>
      <c r="K195" s="197">
        <f t="shared" si="52"/>
        <v>46203</v>
      </c>
      <c r="L195" s="147">
        <f>IF(t&lt;Tvie,1-EXP((T0-t)*PertePVj)+'2025'!Pspv,1-EXP((T0-t)*PertePVj)+Pspv)</f>
        <v>6.3473070513549223E-2</v>
      </c>
      <c r="M195" s="850"/>
      <c r="N195" s="850"/>
      <c r="O195" s="48">
        <f>IF(t&lt;Tnet,'2025'!Resal+('2025'!Salim-'2025'!Resal)*(1-EXP(('2025'!Tnet-t)/('2025'!Tau_j))),Resal+(Salim-Resal)*(1-EXP((Tnet-t)/(Tau_j))))*Salcycl</f>
        <v>7.7816809401139664E-2</v>
      </c>
      <c r="P195" s="169">
        <f>(INDEX(Models!$BJ195:$BT195,,T195)*(1-R195)+INDEX(Models!$BJ195:$BT195,,T195+1)*R195-ERP_i)*Q195*Ramure*Pc/MaxiM</f>
        <v>0</v>
      </c>
      <c r="Q195" s="305">
        <f t="shared" si="53"/>
        <v>0.7</v>
      </c>
      <c r="R195" s="177">
        <f t="shared" si="54"/>
        <v>0.82336056363024457</v>
      </c>
      <c r="S195" s="817">
        <f t="shared" si="55"/>
        <v>-2</v>
      </c>
      <c r="T195" s="176">
        <f t="shared" si="56"/>
        <v>4</v>
      </c>
      <c r="U195" s="251">
        <f t="shared" si="57"/>
        <v>-1.1766394363697554</v>
      </c>
      <c r="V195" s="383">
        <f t="shared" si="58"/>
        <v>36.85189218631939</v>
      </c>
      <c r="W195" s="402">
        <f t="shared" si="59"/>
        <v>8.7334327335732738</v>
      </c>
      <c r="X195" s="157">
        <f t="shared" si="60"/>
        <v>46203</v>
      </c>
      <c r="Y195" s="385">
        <f t="shared" si="61"/>
        <v>8.2796531288327628</v>
      </c>
      <c r="Z195" s="385">
        <f t="shared" si="62"/>
        <v>8.8408062471550632</v>
      </c>
      <c r="AA195" s="386">
        <f t="shared" si="63"/>
        <v>10.112243249778215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0.12573243851220034</v>
      </c>
      <c r="AD195" s="231">
        <f>(INDEX(Models!$BJ195:$BT195,,AH195)*(1-AF195)+INDEX(Models!$BJ195:$BT195,,AH195+1)*AF195-ERP_i)*AE195*Ramure*Pc/MaxiM</f>
        <v>8.7239350128497792E-7</v>
      </c>
      <c r="AE195" s="305">
        <f t="shared" si="65"/>
        <v>0.7</v>
      </c>
      <c r="AF195" s="177">
        <f t="shared" si="66"/>
        <v>0.44722393300630059</v>
      </c>
      <c r="AG195" s="817">
        <f t="shared" si="74"/>
        <v>1</v>
      </c>
      <c r="AH195" s="176">
        <f t="shared" si="67"/>
        <v>7</v>
      </c>
      <c r="AI195" s="225">
        <f t="shared" si="68"/>
        <v>1.4472239330063006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46204</v>
      </c>
      <c r="B196" s="411">
        <f>'2025'!Wh/'2025'!Env_an*'2026'!Env_an</f>
        <v>33.834364114605997</v>
      </c>
      <c r="C196" s="846"/>
      <c r="D196" s="393">
        <f t="shared" si="50"/>
        <v>36.128277922343166</v>
      </c>
      <c r="E196" s="385">
        <f t="shared" si="75"/>
        <v>39.182154153910105</v>
      </c>
      <c r="F196" s="385">
        <f t="shared" si="51"/>
        <v>39.182154153910105</v>
      </c>
      <c r="G196" s="110">
        <f t="shared" si="76"/>
        <v>0.91921026590989607</v>
      </c>
      <c r="H196" s="414" t="b">
        <f>Wh_hp&gt;='2025'!Maxi_hp</f>
        <v>0</v>
      </c>
      <c r="I196" s="390">
        <f>IF(H196,Wh_hp,'2025'!Maxi_hp)</f>
        <v>41.378085246589393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6.3493582856838038E-2</v>
      </c>
      <c r="M196" s="850"/>
      <c r="N196" s="850"/>
      <c r="O196" s="48">
        <f>IF(t&lt;Tnet,'2025'!Resal+('2025'!Salim-'2025'!Resal)*(1-EXP(('2025'!Tnet-t)/('2025'!Tau_j))),Resal+(Salim-Resal)*(1-EXP((Tnet-t)/(Tau_j))))*Salcycl</f>
        <v>7.794048840630631E-2</v>
      </c>
      <c r="P196" s="169">
        <f>(INDEX(Models!$BJ196:$BT196,,T196)*(1-R196)+INDEX(Models!$BJ196:$BT196,,T196+1)*R196-ERP_i)*Q196*Ramure*Pc/MaxiM</f>
        <v>0</v>
      </c>
      <c r="Q196" s="305">
        <f t="shared" si="53"/>
        <v>0.7</v>
      </c>
      <c r="R196" s="177">
        <f t="shared" si="54"/>
        <v>0.82769133115118754</v>
      </c>
      <c r="S196" s="817">
        <f t="shared" si="55"/>
        <v>-2</v>
      </c>
      <c r="T196" s="176">
        <f t="shared" si="56"/>
        <v>4</v>
      </c>
      <c r="U196" s="251">
        <f t="shared" si="57"/>
        <v>-1.1723086688488125</v>
      </c>
      <c r="V196" s="383">
        <f t="shared" si="58"/>
        <v>36.808079031966066</v>
      </c>
      <c r="W196" s="402">
        <f t="shared" si="59"/>
        <v>33.834364114605997</v>
      </c>
      <c r="X196" s="157">
        <f t="shared" si="60"/>
        <v>46204</v>
      </c>
      <c r="Y196" s="385">
        <f t="shared" si="61"/>
        <v>32.078063274600957</v>
      </c>
      <c r="Z196" s="385">
        <f t="shared" si="62"/>
        <v>34.252902796390813</v>
      </c>
      <c r="AA196" s="386">
        <f t="shared" si="63"/>
        <v>39.182123814984593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0.1258028033873109</v>
      </c>
      <c r="AD196" s="231">
        <f>(INDEX(Models!$BJ196:$BT196,,AH196)*(1-AF196)+INDEX(Models!$BJ196:$BT196,,AH196+1)*AF196-ERP_i)*AE196*Ramure*Pc/MaxiM</f>
        <v>8.7532993064452521E-7</v>
      </c>
      <c r="AE196" s="305">
        <f t="shared" si="65"/>
        <v>0.7</v>
      </c>
      <c r="AF196" s="177">
        <f t="shared" si="66"/>
        <v>0.45155470052724356</v>
      </c>
      <c r="AG196" s="817">
        <f t="shared" si="74"/>
        <v>1</v>
      </c>
      <c r="AH196" s="176">
        <f t="shared" si="67"/>
        <v>7</v>
      </c>
      <c r="AI196" s="225">
        <f t="shared" si="68"/>
        <v>1.4515547005272436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46205</v>
      </c>
      <c r="B197" s="411">
        <f>'2025'!Wh/'2025'!Env_an*'2026'!Env_an</f>
        <v>34.869796609489022</v>
      </c>
      <c r="C197" s="846"/>
      <c r="D197" s="393">
        <f t="shared" si="50"/>
        <v>37.234726560259475</v>
      </c>
      <c r="E197" s="385">
        <f t="shared" si="75"/>
        <v>40.387490579650731</v>
      </c>
      <c r="F197" s="385">
        <f t="shared" si="51"/>
        <v>40.387490579650731</v>
      </c>
      <c r="G197" s="110">
        <f t="shared" si="76"/>
        <v>0.9484999756678768</v>
      </c>
      <c r="H197" s="414" t="b">
        <f>Wh_hp&gt;='2025'!Maxi_hp</f>
        <v>1</v>
      </c>
      <c r="I197" s="390">
        <f>IF(H197,Wh_hp,'2025'!Maxi_hp)</f>
        <v>40.387490579650731</v>
      </c>
      <c r="J197" s="85">
        <f>IF(H197,An,'2025'!An_max)</f>
        <v>2026</v>
      </c>
      <c r="K197" s="197">
        <f t="shared" si="52"/>
        <v>46205</v>
      </c>
      <c r="L197" s="147">
        <f>IF(t&lt;Tvie,1-EXP((T0-t)*PertePVj)+'2025'!Pspv,1-EXP((T0-t)*PertePVj)+Pspv)</f>
        <v>6.3514094750853789E-2</v>
      </c>
      <c r="M197" s="850"/>
      <c r="N197" s="850"/>
      <c r="O197" s="48">
        <f>IF(t&lt;Tnet,'2025'!Resal+('2025'!Salim-'2025'!Resal)*(1-EXP(('2025'!Tnet-t)/('2025'!Tau_j))),Resal+(Salim-Resal)*(1-EXP((Tnet-t)/(Tau_j))))*Salcycl</f>
        <v>7.8062884673993027E-2</v>
      </c>
      <c r="P197" s="169">
        <f>(INDEX(Models!$BJ197:$BT197,,T197)*(1-R197)+INDEX(Models!$BJ197:$BT197,,T197+1)*R197-ERP_i)*Q197*Ramure*Pc/MaxiM</f>
        <v>0</v>
      </c>
      <c r="Q197" s="305">
        <f t="shared" si="53"/>
        <v>0.7</v>
      </c>
      <c r="R197" s="177">
        <f t="shared" si="54"/>
        <v>0.83195034645884824</v>
      </c>
      <c r="S197" s="817">
        <f t="shared" si="55"/>
        <v>-2</v>
      </c>
      <c r="T197" s="176">
        <f t="shared" si="56"/>
        <v>4</v>
      </c>
      <c r="U197" s="251">
        <f t="shared" si="57"/>
        <v>-1.1680496535411518</v>
      </c>
      <c r="V197" s="383">
        <f t="shared" si="58"/>
        <v>36.763096999486798</v>
      </c>
      <c r="W197" s="402">
        <f t="shared" si="59"/>
        <v>34.869796609489022</v>
      </c>
      <c r="X197" s="157">
        <f t="shared" si="60"/>
        <v>46205</v>
      </c>
      <c r="Y197" s="385">
        <f t="shared" si="61"/>
        <v>33.061548084072037</v>
      </c>
      <c r="Z197" s="385">
        <f t="shared" si="62"/>
        <v>35.303839490543339</v>
      </c>
      <c r="AA197" s="386">
        <f t="shared" si="63"/>
        <v>40.387457676924654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0.12587121048933561</v>
      </c>
      <c r="AD197" s="231">
        <f>(INDEX(Models!$BJ197:$BT197,,AH197)*(1-AF197)+INDEX(Models!$BJ197:$BT197,,AH197+1)*AF197-ERP_i)*AE197*Ramure*Pc/MaxiM</f>
        <v>8.7937292092514148E-7</v>
      </c>
      <c r="AE197" s="305">
        <f t="shared" si="65"/>
        <v>0.7</v>
      </c>
      <c r="AF197" s="177">
        <f t="shared" si="66"/>
        <v>0.45581371583490427</v>
      </c>
      <c r="AG197" s="817">
        <f t="shared" si="74"/>
        <v>1</v>
      </c>
      <c r="AH197" s="176">
        <f t="shared" si="67"/>
        <v>7</v>
      </c>
      <c r="AI197" s="225">
        <f t="shared" si="68"/>
        <v>1.4558137158349043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46206</v>
      </c>
      <c r="B198" s="411">
        <f>'2025'!Wh/'2025'!Env_an*'2026'!Env_an</f>
        <v>28.855887615788003</v>
      </c>
      <c r="C198" s="846"/>
      <c r="D198" s="393">
        <f t="shared" si="50"/>
        <v>30.813618748431132</v>
      </c>
      <c r="E198" s="385">
        <f t="shared" si="75"/>
        <v>33.427082447456463</v>
      </c>
      <c r="F198" s="385">
        <f t="shared" si="51"/>
        <v>33.427082447456463</v>
      </c>
      <c r="G198" s="110">
        <f t="shared" si="76"/>
        <v>0.78590702429233328</v>
      </c>
      <c r="H198" s="414" t="b">
        <f>Wh_hp&gt;='2025'!Maxi_hp</f>
        <v>0</v>
      </c>
      <c r="I198" s="390">
        <f>IF(H198,Wh_hp,'2025'!Maxi_hp)</f>
        <v>34.016353689339262</v>
      </c>
      <c r="J198" s="85">
        <f>IF(H198,An,'2025'!An_max)</f>
        <v>2019</v>
      </c>
      <c r="K198" s="197">
        <f t="shared" si="52"/>
        <v>46206</v>
      </c>
      <c r="L198" s="147">
        <f>IF(t&lt;Tvie,1-EXP((T0-t)*PertePVj)+'2025'!Pspv,1-EXP((T0-t)*PertePVj)+Pspv)</f>
        <v>6.3534606195606469E-2</v>
      </c>
      <c r="M198" s="850"/>
      <c r="N198" s="850"/>
      <c r="O198" s="48">
        <f>IF(t&lt;Tnet,'2025'!Resal+('2025'!Salim-'2025'!Resal)*(1-EXP(('2025'!Tnet-t)/('2025'!Tau_j))),Resal+(Salim-Resal)*(1-EXP((Tnet-t)/(Tau_j))))*Salcycl</f>
        <v>7.8184020490971534E-2</v>
      </c>
      <c r="P198" s="169">
        <f>(INDEX(Models!$BJ198:$BT198,,T198)*(1-R198)+INDEX(Models!$BJ198:$BT198,,T198+1)*R198-ERP_i)*Q198*Ramure*Pc/MaxiM</f>
        <v>0</v>
      </c>
      <c r="Q198" s="305">
        <f t="shared" si="53"/>
        <v>0.7</v>
      </c>
      <c r="R198" s="177">
        <f t="shared" si="54"/>
        <v>0.83613587222614472</v>
      </c>
      <c r="S198" s="817">
        <f t="shared" si="55"/>
        <v>-2</v>
      </c>
      <c r="T198" s="176">
        <f t="shared" si="56"/>
        <v>4</v>
      </c>
      <c r="U198" s="251">
        <f t="shared" si="57"/>
        <v>-1.1638641277738553</v>
      </c>
      <c r="V198" s="383">
        <f t="shared" si="58"/>
        <v>36.716668414779939</v>
      </c>
      <c r="W198" s="402">
        <f t="shared" si="59"/>
        <v>28.855887615788003</v>
      </c>
      <c r="X198" s="157">
        <f t="shared" si="60"/>
        <v>46206</v>
      </c>
      <c r="Y198" s="385">
        <f t="shared" si="61"/>
        <v>27.361022627946564</v>
      </c>
      <c r="Z198" s="385">
        <f t="shared" si="62"/>
        <v>29.217334467419374</v>
      </c>
      <c r="AA198" s="386">
        <f t="shared" si="63"/>
        <v>33.427061798706127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0.1259377015137389</v>
      </c>
      <c r="AD198" s="231">
        <f>(INDEX(Models!$BJ198:$BT198,,AH198)*(1-AF198)+INDEX(Models!$BJ198:$BT198,,AH198+1)*AF198-ERP_i)*AE198*Ramure*Pc/MaxiM</f>
        <v>8.8989786199282195E-7</v>
      </c>
      <c r="AE198" s="305">
        <f t="shared" si="65"/>
        <v>0.7</v>
      </c>
      <c r="AF198" s="177">
        <f t="shared" si="66"/>
        <v>0.45999924160220074</v>
      </c>
      <c r="AG198" s="817">
        <f t="shared" si="74"/>
        <v>1</v>
      </c>
      <c r="AH198" s="176">
        <f t="shared" si="67"/>
        <v>7</v>
      </c>
      <c r="AI198" s="225">
        <f t="shared" si="68"/>
        <v>1.4599992416022007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46207</v>
      </c>
      <c r="B199" s="411">
        <f>'2025'!Wh/'2025'!Env_an*'2026'!Env_an</f>
        <v>27.652570103994076</v>
      </c>
      <c r="C199" s="846"/>
      <c r="D199" s="393">
        <f t="shared" si="50"/>
        <v>29.529308784356186</v>
      </c>
      <c r="E199" s="385">
        <f t="shared" si="75"/>
        <v>32.038010626508658</v>
      </c>
      <c r="F199" s="385">
        <f t="shared" si="51"/>
        <v>32.038010626508658</v>
      </c>
      <c r="G199" s="110">
        <f t="shared" si="76"/>
        <v>0.75412297448543464</v>
      </c>
      <c r="H199" s="414" t="b">
        <f>Wh_hp&gt;='2025'!Maxi_hp</f>
        <v>0</v>
      </c>
      <c r="I199" s="390">
        <f>IF(H199,Wh_hp,'2025'!Maxi_hp)</f>
        <v>39.345572837234378</v>
      </c>
      <c r="J199" s="85">
        <f>IF(H199,An,'2025'!An_max)</f>
        <v>2019</v>
      </c>
      <c r="K199" s="197">
        <f t="shared" si="52"/>
        <v>46207</v>
      </c>
      <c r="L199" s="147">
        <f>IF(t&lt;Tvie,1-EXP((T0-t)*PertePVj)+'2025'!Pspv,1-EXP((T0-t)*PertePVj)+Pspv)</f>
        <v>6.3555117191105848E-2</v>
      </c>
      <c r="M199" s="850"/>
      <c r="N199" s="850"/>
      <c r="O199" s="48">
        <f>IF(t&lt;Tnet,'2025'!Resal+('2025'!Salim-'2025'!Resal)*(1-EXP(('2025'!Tnet-t)/('2025'!Tau_j))),Resal+(Salim-Resal)*(1-EXP((Tnet-t)/(Tau_j))))*Salcycl</f>
        <v>7.8303920658442647E-2</v>
      </c>
      <c r="P199" s="169">
        <f>(INDEX(Models!$BJ199:$BT199,,T199)*(1-R199)+INDEX(Models!$BJ199:$BT199,,T199+1)*R199-ERP_i)*Q199*Ramure*Pc/MaxiM</f>
        <v>0</v>
      </c>
      <c r="Q199" s="305">
        <f t="shared" si="53"/>
        <v>0.7</v>
      </c>
      <c r="R199" s="177">
        <f t="shared" si="54"/>
        <v>0.8402463524501016</v>
      </c>
      <c r="S199" s="817">
        <f t="shared" si="55"/>
        <v>-2</v>
      </c>
      <c r="T199" s="176">
        <f t="shared" si="56"/>
        <v>4</v>
      </c>
      <c r="U199" s="251">
        <f t="shared" si="57"/>
        <v>-1.1597536475498984</v>
      </c>
      <c r="V199" s="383">
        <f t="shared" si="58"/>
        <v>36.668515665979307</v>
      </c>
      <c r="W199" s="402">
        <f t="shared" si="59"/>
        <v>27.652570103994076</v>
      </c>
      <c r="X199" s="157">
        <f t="shared" si="60"/>
        <v>46207</v>
      </c>
      <c r="Y199" s="385">
        <f t="shared" si="61"/>
        <v>26.221515260987449</v>
      </c>
      <c r="Z199" s="385">
        <f t="shared" si="62"/>
        <v>28.001130384027768</v>
      </c>
      <c r="AA199" s="386">
        <f t="shared" si="63"/>
        <v>32.037991735167125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0.12600232200909833</v>
      </c>
      <c r="AD199" s="231">
        <f>(INDEX(Models!$BJ199:$BT199,,AH199)*(1-AF199)+INDEX(Models!$BJ199:$BT199,,AH199+1)*AF199-ERP_i)*AE199*Ramure*Pc/MaxiM</f>
        <v>9.0891197388872593E-7</v>
      </c>
      <c r="AE199" s="305">
        <f t="shared" si="65"/>
        <v>0.7</v>
      </c>
      <c r="AF199" s="177">
        <f t="shared" si="66"/>
        <v>0.46410972182615762</v>
      </c>
      <c r="AG199" s="817">
        <f t="shared" si="74"/>
        <v>1</v>
      </c>
      <c r="AH199" s="176">
        <f t="shared" si="67"/>
        <v>7</v>
      </c>
      <c r="AI199" s="225">
        <f t="shared" si="68"/>
        <v>1.4641097218261576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46208</v>
      </c>
      <c r="B200" s="411">
        <f>'2025'!Wh/'2025'!Env_an*'2026'!Env_an</f>
        <v>34.507757697901035</v>
      </c>
      <c r="C200" s="846"/>
      <c r="D200" s="393">
        <f t="shared" si="50"/>
        <v>36.8505548552966</v>
      </c>
      <c r="E200" s="385">
        <f t="shared" si="75"/>
        <v>39.986392186605812</v>
      </c>
      <c r="F200" s="385">
        <f t="shared" si="51"/>
        <v>39.986392186605812</v>
      </c>
      <c r="G200" s="110">
        <f t="shared" si="76"/>
        <v>0.94236215268924439</v>
      </c>
      <c r="H200" s="414" t="b">
        <f>Wh_hp&gt;='2025'!Maxi_hp</f>
        <v>0</v>
      </c>
      <c r="I200" s="390">
        <f>IF(H200,Wh_hp,'2025'!Maxi_hp)</f>
        <v>42.685652702898089</v>
      </c>
      <c r="J200" s="85">
        <f>IF(H200,An,'2025'!An_max)</f>
        <v>2020</v>
      </c>
      <c r="K200" s="197">
        <f t="shared" si="52"/>
        <v>46208</v>
      </c>
      <c r="L200" s="147">
        <f>IF(t&lt;Tvie,1-EXP((T0-t)*PertePVj)+'2025'!Pspv,1-EXP((T0-t)*PertePVj)+Pspv)</f>
        <v>6.3575627737361806E-2</v>
      </c>
      <c r="M200" s="850"/>
      <c r="N200" s="850"/>
      <c r="O200" s="48">
        <f>IF(t&lt;Tnet,'2025'!Resal+('2025'!Salim-'2025'!Resal)*(1-EXP(('2025'!Tnet-t)/('2025'!Tau_j))),Resal+(Salim-Resal)*(1-EXP((Tnet-t)/(Tau_j))))*Salcycl</f>
        <v>7.8422612289578253E-2</v>
      </c>
      <c r="P200" s="169">
        <f>(INDEX(Models!$BJ200:$BT200,,T200)*(1-R200)+INDEX(Models!$BJ200:$BT200,,T200+1)*R200-ERP_i)*Q200*Ramure*Pc/MaxiM</f>
        <v>0</v>
      </c>
      <c r="Q200" s="305">
        <f t="shared" si="53"/>
        <v>0.7</v>
      </c>
      <c r="R200" s="177">
        <f t="shared" si="54"/>
        <v>0.84428041081007565</v>
      </c>
      <c r="S200" s="817">
        <f t="shared" si="55"/>
        <v>-2</v>
      </c>
      <c r="T200" s="176">
        <f t="shared" si="56"/>
        <v>4</v>
      </c>
      <c r="U200" s="251">
        <f t="shared" si="57"/>
        <v>-1.1557195891899243</v>
      </c>
      <c r="V200" s="383">
        <f t="shared" si="58"/>
        <v>36.618361210098811</v>
      </c>
      <c r="W200" s="402">
        <f t="shared" si="59"/>
        <v>34.507757697901035</v>
      </c>
      <c r="X200" s="157">
        <f t="shared" si="60"/>
        <v>46208</v>
      </c>
      <c r="Y200" s="385">
        <f t="shared" si="61"/>
        <v>32.723792409745329</v>
      </c>
      <c r="Z200" s="385">
        <f t="shared" si="62"/>
        <v>34.945472778198166</v>
      </c>
      <c r="AA200" s="386">
        <f t="shared" si="63"/>
        <v>39.986357815933118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0.12606512103301246</v>
      </c>
      <c r="AD200" s="231">
        <f>(INDEX(Models!$BJ200:$BT200,,AH200)*(1-AF200)+INDEX(Models!$BJ200:$BT200,,AH200+1)*AF200-ERP_i)*AE200*Ramure*Pc/MaxiM</f>
        <v>9.3668573454891471E-7</v>
      </c>
      <c r="AE200" s="305">
        <f t="shared" si="65"/>
        <v>0.7</v>
      </c>
      <c r="AF200" s="177">
        <f t="shared" si="66"/>
        <v>0.46814378018613167</v>
      </c>
      <c r="AG200" s="817">
        <f t="shared" si="74"/>
        <v>1</v>
      </c>
      <c r="AH200" s="176">
        <f t="shared" si="67"/>
        <v>7</v>
      </c>
      <c r="AI200" s="225">
        <f t="shared" si="68"/>
        <v>1.4681437801861317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46209</v>
      </c>
      <c r="B201" s="411">
        <f>'2025'!Wh/'2025'!Env_an*'2026'!Env_an</f>
        <v>27.564308597112319</v>
      </c>
      <c r="C201" s="846"/>
      <c r="D201" s="393">
        <f t="shared" si="50"/>
        <v>29.436346549622833</v>
      </c>
      <c r="E201" s="385">
        <f t="shared" si="75"/>
        <v>31.945337323291515</v>
      </c>
      <c r="F201" s="385">
        <f t="shared" si="51"/>
        <v>31.945337323291515</v>
      </c>
      <c r="G201" s="110">
        <f t="shared" si="76"/>
        <v>0.75382495193533117</v>
      </c>
      <c r="H201" s="414" t="b">
        <f>Wh_hp&gt;='2025'!Maxi_hp</f>
        <v>0</v>
      </c>
      <c r="I201" s="390">
        <f>IF(H201,Wh_hp,'2025'!Maxi_hp)</f>
        <v>42.389212353371924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6.3596137834384225E-2</v>
      </c>
      <c r="M201" s="850"/>
      <c r="N201" s="850"/>
      <c r="O201" s="48">
        <f>IF(t&lt;Tnet,'2025'!Resal+('2025'!Salim-'2025'!Resal)*(1-EXP(('2025'!Tnet-t)/('2025'!Tau_j))),Resal+(Salim-Resal)*(1-EXP((Tnet-t)/(Tau_j))))*Salcycl</f>
        <v>7.8540124597130528E-2</v>
      </c>
      <c r="P201" s="169">
        <f>(INDEX(Models!$BJ201:$BT201,,T201)*(1-R201)+INDEX(Models!$BJ201:$BT201,,T201+1)*R201-ERP_i)*Q201*Ramure*Pc/MaxiM</f>
        <v>0</v>
      </c>
      <c r="Q201" s="305">
        <f t="shared" si="53"/>
        <v>0.7</v>
      </c>
      <c r="R201" s="177">
        <f t="shared" si="54"/>
        <v>0.84823684827120172</v>
      </c>
      <c r="S201" s="817">
        <f t="shared" si="55"/>
        <v>-2</v>
      </c>
      <c r="T201" s="176">
        <f t="shared" si="56"/>
        <v>4</v>
      </c>
      <c r="U201" s="251">
        <f t="shared" si="57"/>
        <v>-1.1517631517287983</v>
      </c>
      <c r="V201" s="383">
        <f t="shared" si="58"/>
        <v>36.565927575553367</v>
      </c>
      <c r="W201" s="402">
        <f t="shared" si="59"/>
        <v>27.564308597112319</v>
      </c>
      <c r="X201" s="157">
        <f t="shared" si="60"/>
        <v>46209</v>
      </c>
      <c r="Y201" s="385">
        <f t="shared" si="61"/>
        <v>26.14081621451118</v>
      </c>
      <c r="Z201" s="385">
        <f t="shared" si="62"/>
        <v>27.916177272117892</v>
      </c>
      <c r="AA201" s="386">
        <f t="shared" si="63"/>
        <v>31.945317161614042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0.12612615079425854</v>
      </c>
      <c r="AD201" s="231">
        <f>(INDEX(Models!$BJ201:$BT201,,AH201)*(1-AF201)+INDEX(Models!$BJ201:$BT201,,AH201+1)*AF201-ERP_i)*AE201*Ramure*Pc/MaxiM</f>
        <v>9.7348408166854832E-7</v>
      </c>
      <c r="AE201" s="305">
        <f t="shared" si="65"/>
        <v>0.7</v>
      </c>
      <c r="AF201" s="177">
        <f t="shared" si="66"/>
        <v>0.47210021764725774</v>
      </c>
      <c r="AG201" s="817">
        <f t="shared" si="74"/>
        <v>1</v>
      </c>
      <c r="AH201" s="176">
        <f t="shared" si="67"/>
        <v>7</v>
      </c>
      <c r="AI201" s="225">
        <f t="shared" si="68"/>
        <v>1.4721002176472577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46210</v>
      </c>
      <c r="B202" s="411">
        <f>'2025'!Wh/'2025'!Env_an*'2026'!Env_an</f>
        <v>35.51704771416609</v>
      </c>
      <c r="C202" s="846"/>
      <c r="D202" s="393">
        <f t="shared" si="50"/>
        <v>37.93002899791545</v>
      </c>
      <c r="E202" s="385">
        <f t="shared" si="75"/>
        <v>41.168172925291465</v>
      </c>
      <c r="F202" s="385">
        <f t="shared" si="51"/>
        <v>41.168172925291465</v>
      </c>
      <c r="G202" s="110">
        <f t="shared" si="76"/>
        <v>0.97277830345946281</v>
      </c>
      <c r="H202" s="414" t="b">
        <f>Wh_hp&gt;='2025'!Maxi_hp</f>
        <v>1</v>
      </c>
      <c r="I202" s="390">
        <f>IF(H202,Wh_hp,'2025'!Maxi_hp)</f>
        <v>41.168172925291465</v>
      </c>
      <c r="J202" s="85">
        <f>IF(H202,An,'2025'!An_max)</f>
        <v>2026</v>
      </c>
      <c r="K202" s="197">
        <f t="shared" si="52"/>
        <v>46210</v>
      </c>
      <c r="L202" s="147">
        <f>IF(t&lt;Tvie,1-EXP((T0-t)*PertePVj)+'2025'!Pspv,1-EXP((T0-t)*PertePVj)+Pspv)</f>
        <v>6.3616647482182764E-2</v>
      </c>
      <c r="M202" s="850"/>
      <c r="N202" s="850"/>
      <c r="O202" s="48">
        <f>IF(t&lt;Tnet,'2025'!Resal+('2025'!Salim-'2025'!Resal)*(1-EXP(('2025'!Tnet-t)/('2025'!Tau_j))),Resal+(Salim-Resal)*(1-EXP((Tnet-t)/(Tau_j))))*Salcycl</f>
        <v>7.865648867275031E-2</v>
      </c>
      <c r="P202" s="169">
        <f>(INDEX(Models!$BJ202:$BT202,,T202)*(1-R202)+INDEX(Models!$BJ202:$BT202,,T202+1)*R202-ERP_i)*Q202*Ramure*Pc/MaxiM</f>
        <v>0</v>
      </c>
      <c r="Q202" s="305">
        <f t="shared" si="53"/>
        <v>0.7</v>
      </c>
      <c r="R202" s="177">
        <f t="shared" si="54"/>
        <v>0.85211463998624115</v>
      </c>
      <c r="S202" s="817">
        <f t="shared" si="55"/>
        <v>-2</v>
      </c>
      <c r="T202" s="176">
        <f t="shared" si="56"/>
        <v>4</v>
      </c>
      <c r="U202" s="251">
        <f t="shared" si="57"/>
        <v>-1.1478853600137588</v>
      </c>
      <c r="V202" s="383">
        <f t="shared" si="58"/>
        <v>36.510937371709325</v>
      </c>
      <c r="W202" s="402">
        <f t="shared" si="59"/>
        <v>35.51704771416609</v>
      </c>
      <c r="X202" s="157">
        <f t="shared" si="60"/>
        <v>46210</v>
      </c>
      <c r="Y202" s="385">
        <f t="shared" si="61"/>
        <v>33.684811032700516</v>
      </c>
      <c r="Z202" s="385">
        <f t="shared" si="62"/>
        <v>35.973312577723952</v>
      </c>
      <c r="AA202" s="386">
        <f t="shared" si="63"/>
        <v>41.168132583856014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0.1261854662839188</v>
      </c>
      <c r="AD202" s="231">
        <f>(INDEX(Models!$BJ202:$BT202,,AH202)*(1-AF202)+INDEX(Models!$BJ202:$BT202,,AH202+1)*AF202-ERP_i)*AE202*Ramure*Pc/MaxiM</f>
        <v>1.0195671094954998E-6</v>
      </c>
      <c r="AE202" s="305">
        <f t="shared" si="65"/>
        <v>0.7</v>
      </c>
      <c r="AF202" s="177">
        <f t="shared" si="66"/>
        <v>0.47597800936229717</v>
      </c>
      <c r="AG202" s="817">
        <f t="shared" si="74"/>
        <v>1</v>
      </c>
      <c r="AH202" s="176">
        <f t="shared" si="67"/>
        <v>7</v>
      </c>
      <c r="AI202" s="225">
        <f t="shared" si="68"/>
        <v>1.4759780093622972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46211</v>
      </c>
      <c r="B203" s="411">
        <f>'2025'!Wh/'2025'!Env_an*'2026'!Env_an</f>
        <v>36.636988522285876</v>
      </c>
      <c r="C203" s="846"/>
      <c r="D203" s="393">
        <f t="shared" si="50"/>
        <v>39.126914084303628</v>
      </c>
      <c r="E203" s="385">
        <f t="shared" si="75"/>
        <v>42.472550687835621</v>
      </c>
      <c r="F203" s="385">
        <f t="shared" si="51"/>
        <v>42.472550687835621</v>
      </c>
      <c r="G203" s="110">
        <f t="shared" si="76"/>
        <v>1.0050441570188644</v>
      </c>
      <c r="H203" s="414" t="b">
        <f>Wh_hp&gt;='2025'!Maxi_hp</f>
        <v>0</v>
      </c>
      <c r="I203" s="390">
        <f>IF(H203,Wh_hp,'2025'!Maxi_hp)</f>
        <v>44.11830918893618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6.3637156680767415E-2</v>
      </c>
      <c r="M203" s="850"/>
      <c r="N203" s="850"/>
      <c r="O203" s="48">
        <f>IF(t&lt;Tnet,'2025'!Resal+('2025'!Salim-'2025'!Resal)*(1-EXP(('2025'!Tnet-t)/('2025'!Tau_j))),Resal+(Salim-Resal)*(1-EXP((Tnet-t)/(Tau_j))))*Salcycl</f>
        <v>7.8771737259712149E-2</v>
      </c>
      <c r="P203" s="169">
        <f>(INDEX(Models!$BJ203:$BT203,,T203)*(1-R203)+INDEX(Models!$BJ203:$BT203,,T203+1)*R203-ERP_i)*Q203*Ramure*Pc/MaxiM</f>
        <v>0</v>
      </c>
      <c r="Q203" s="305">
        <f t="shared" si="53"/>
        <v>0.7</v>
      </c>
      <c r="R203" s="177">
        <f t="shared" si="54"/>
        <v>0.85591293155184367</v>
      </c>
      <c r="S203" s="817">
        <f t="shared" si="55"/>
        <v>-2</v>
      </c>
      <c r="T203" s="176">
        <f t="shared" si="56"/>
        <v>4</v>
      </c>
      <c r="U203" s="251">
        <f t="shared" si="57"/>
        <v>-1.1440870684481563</v>
      </c>
      <c r="V203" s="383">
        <f t="shared" si="58"/>
        <v>36.45311329499944</v>
      </c>
      <c r="W203" s="402">
        <f t="shared" si="59"/>
        <v>36.636988522285876</v>
      </c>
      <c r="X203" s="157">
        <f t="shared" si="60"/>
        <v>46211</v>
      </c>
      <c r="Y203" s="385">
        <f t="shared" si="61"/>
        <v>34.749027445522714</v>
      </c>
      <c r="Z203" s="385">
        <f t="shared" si="62"/>
        <v>37.110643265535671</v>
      </c>
      <c r="AA203" s="386">
        <f t="shared" si="63"/>
        <v>42.472505021736538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0.12624312489825554</v>
      </c>
      <c r="AD203" s="231">
        <f>(INDEX(Models!$BJ203:$BT203,,AH203)*(1-AF203)+INDEX(Models!$BJ203:$BT203,,AH203+1)*AF203-ERP_i)*AE203*Ramure*Pc/MaxiM</f>
        <v>1.0751908784710147E-6</v>
      </c>
      <c r="AE203" s="305">
        <f t="shared" si="65"/>
        <v>0.7</v>
      </c>
      <c r="AF203" s="177">
        <f t="shared" si="66"/>
        <v>0.47977630092789969</v>
      </c>
      <c r="AG203" s="817">
        <f t="shared" si="74"/>
        <v>1</v>
      </c>
      <c r="AH203" s="176">
        <f t="shared" si="67"/>
        <v>7</v>
      </c>
      <c r="AI203" s="225">
        <f t="shared" si="68"/>
        <v>1.4797763009278997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46212</v>
      </c>
      <c r="B204" s="411">
        <f>'2025'!Wh/'2025'!Env_an*'2026'!Env_an</f>
        <v>35.938725621526281</v>
      </c>
      <c r="C204" s="846"/>
      <c r="D204" s="393">
        <f t="shared" si="50"/>
        <v>38.382036456822426</v>
      </c>
      <c r="E204" s="385">
        <f t="shared" si="75"/>
        <v>41.669144620844982</v>
      </c>
      <c r="F204" s="385">
        <f t="shared" si="51"/>
        <v>41.669144620844982</v>
      </c>
      <c r="G204" s="110">
        <f t="shared" si="76"/>
        <v>0.98753983585729621</v>
      </c>
      <c r="H204" s="414" t="b">
        <f>Wh_hp&gt;='2025'!Maxi_hp</f>
        <v>0</v>
      </c>
      <c r="I204" s="390">
        <f>IF(H204,Wh_hp,'2025'!Maxi_hp)</f>
        <v>42.583630575998079</v>
      </c>
      <c r="J204" s="85">
        <f>IF(H204,An,'2025'!An_max)</f>
        <v>2021</v>
      </c>
      <c r="K204" s="197">
        <f t="shared" si="52"/>
        <v>46212</v>
      </c>
      <c r="L204" s="147">
        <f>IF(t&lt;Tvie,1-EXP((T0-t)*PertePVj)+'2025'!Pspv,1-EXP((T0-t)*PertePVj)+Pspv)</f>
        <v>6.3657665430148058E-2</v>
      </c>
      <c r="M204" s="850"/>
      <c r="N204" s="850"/>
      <c r="O204" s="48">
        <f>IF(t&lt;Tnet,'2025'!Resal+('2025'!Salim-'2025'!Resal)*(1-EXP(('2025'!Tnet-t)/('2025'!Tau_j))),Resal+(Salim-Resal)*(1-EXP((Tnet-t)/(Tau_j))))*Salcycl</f>
        <v>7.8885904520780148E-2</v>
      </c>
      <c r="P204" s="169">
        <f>(INDEX(Models!$BJ204:$BT204,,T204)*(1-R204)+INDEX(Models!$BJ204:$BT204,,T204+1)*R204-ERP_i)*Q204*Ramure*Pc/MaxiM</f>
        <v>0</v>
      </c>
      <c r="Q204" s="305">
        <f t="shared" si="53"/>
        <v>0.7</v>
      </c>
      <c r="R204" s="177">
        <f t="shared" si="54"/>
        <v>0.85963103467729574</v>
      </c>
      <c r="S204" s="817">
        <f t="shared" si="55"/>
        <v>-2</v>
      </c>
      <c r="T204" s="176">
        <f t="shared" si="56"/>
        <v>4</v>
      </c>
      <c r="U204" s="251">
        <f t="shared" si="57"/>
        <v>-1.1403689653227043</v>
      </c>
      <c r="V204" s="383">
        <f t="shared" si="58"/>
        <v>36.392178134593834</v>
      </c>
      <c r="W204" s="402">
        <f t="shared" si="59"/>
        <v>35.938725621526281</v>
      </c>
      <c r="X204" s="157">
        <f t="shared" si="60"/>
        <v>46212</v>
      </c>
      <c r="Y204" s="385">
        <f t="shared" si="61"/>
        <v>34.088783142607845</v>
      </c>
      <c r="Z204" s="385">
        <f t="shared" si="62"/>
        <v>36.406324785333936</v>
      </c>
      <c r="AA204" s="386">
        <f t="shared" si="63"/>
        <v>41.669097938683969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0.126299186056156</v>
      </c>
      <c r="AD204" s="231">
        <f>(INDEX(Models!$BJ204:$BT204,,AH204)*(1-AF204)+INDEX(Models!$BJ204:$BT204,,AH204+1)*AF204-ERP_i)*AE204*Ramure*Pc/MaxiM</f>
        <v>1.1406083346505212E-6</v>
      </c>
      <c r="AE204" s="305">
        <f t="shared" si="65"/>
        <v>0.7</v>
      </c>
      <c r="AF204" s="177">
        <f t="shared" si="66"/>
        <v>0.48349440405335176</v>
      </c>
      <c r="AG204" s="817">
        <f t="shared" si="74"/>
        <v>1</v>
      </c>
      <c r="AH204" s="176">
        <f t="shared" si="67"/>
        <v>7</v>
      </c>
      <c r="AI204" s="225">
        <f t="shared" si="68"/>
        <v>1.4834944040533518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46213</v>
      </c>
      <c r="B205" s="411">
        <f>'2025'!Wh/'2025'!Env_an*'2026'!Env_an</f>
        <v>35.515326870083264</v>
      </c>
      <c r="C205" s="846"/>
      <c r="D205" s="393">
        <f t="shared" si="50"/>
        <v>37.930683525318848</v>
      </c>
      <c r="E205" s="385">
        <f t="shared" si="75"/>
        <v>41.184194792398188</v>
      </c>
      <c r="F205" s="385">
        <f t="shared" si="51"/>
        <v>41.184194792398188</v>
      </c>
      <c r="G205" s="110">
        <f t="shared" si="76"/>
        <v>0.97763637188711294</v>
      </c>
      <c r="H205" s="414" t="b">
        <f>Wh_hp&gt;='2025'!Maxi_hp</f>
        <v>1</v>
      </c>
      <c r="I205" s="390">
        <f>IF(H205,Wh_hp,'2025'!Maxi_hp)</f>
        <v>41.184194792398188</v>
      </c>
      <c r="J205" s="85">
        <f>IF(H205,An,'2025'!An_max)</f>
        <v>2026</v>
      </c>
      <c r="K205" s="197">
        <f t="shared" si="52"/>
        <v>46213</v>
      </c>
      <c r="L205" s="147">
        <f>IF(t&lt;Tvie,1-EXP((T0-t)*PertePVj)+'2025'!Pspv,1-EXP((T0-t)*PertePVj)+Pspv)</f>
        <v>6.3678173730334353E-2</v>
      </c>
      <c r="M205" s="850"/>
      <c r="N205" s="850"/>
      <c r="O205" s="48">
        <f>IF(t&lt;Tnet,'2025'!Resal+('2025'!Salim-'2025'!Resal)*(1-EXP(('2025'!Tnet-t)/('2025'!Tau_j))),Resal+(Salim-Resal)*(1-EXP((Tnet-t)/(Tau_j))))*Salcycl</f>
        <v>7.8999025802973244E-2</v>
      </c>
      <c r="P205" s="169">
        <f>(INDEX(Models!$BJ205:$BT205,,T205)*(1-R205)+INDEX(Models!$BJ205:$BT205,,T205+1)*R205-ERP_i)*Q205*Ramure*Pc/MaxiM</f>
        <v>0</v>
      </c>
      <c r="Q205" s="305">
        <f t="shared" si="53"/>
        <v>0.7</v>
      </c>
      <c r="R205" s="177">
        <f t="shared" si="54"/>
        <v>0.86326842232512435</v>
      </c>
      <c r="S205" s="817">
        <f t="shared" si="55"/>
        <v>-2</v>
      </c>
      <c r="T205" s="176">
        <f t="shared" si="56"/>
        <v>4</v>
      </c>
      <c r="U205" s="251">
        <f t="shared" si="57"/>
        <v>-1.1367315776748756</v>
      </c>
      <c r="V205" s="383">
        <f t="shared" si="58"/>
        <v>36.32774709632448</v>
      </c>
      <c r="W205" s="402">
        <f t="shared" si="59"/>
        <v>35.515326870083264</v>
      </c>
      <c r="X205" s="157">
        <f t="shared" si="60"/>
        <v>46213</v>
      </c>
      <c r="Y205" s="385">
        <f t="shared" si="61"/>
        <v>33.689211924728369</v>
      </c>
      <c r="Z205" s="385">
        <f t="shared" si="62"/>
        <v>35.980376596524728</v>
      </c>
      <c r="AA205" s="386">
        <f t="shared" si="63"/>
        <v>41.184146309426659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0.12635371081397989</v>
      </c>
      <c r="AD205" s="231">
        <f>(INDEX(Models!$BJ205:$BT205,,AH205)*(1-AF205)+INDEX(Models!$BJ205:$BT205,,AH205+1)*AF205-ERP_i)*AE205*Ramure*Pc/MaxiM</f>
        <v>1.2160739406709962E-6</v>
      </c>
      <c r="AE205" s="305">
        <f t="shared" si="65"/>
        <v>0.7</v>
      </c>
      <c r="AF205" s="177">
        <f t="shared" si="66"/>
        <v>0.48713179170118037</v>
      </c>
      <c r="AG205" s="817">
        <f t="shared" si="74"/>
        <v>1</v>
      </c>
      <c r="AH205" s="176">
        <f t="shared" si="67"/>
        <v>7</v>
      </c>
      <c r="AI205" s="225">
        <f t="shared" si="68"/>
        <v>1.4871317917011804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46214</v>
      </c>
      <c r="B206" s="411">
        <f>'2025'!Wh/'2025'!Env_an*'2026'!Env_an</f>
        <v>34.261490681912967</v>
      </c>
      <c r="C206" s="846"/>
      <c r="D206" s="393">
        <f t="shared" si="50"/>
        <v>36.592376842721762</v>
      </c>
      <c r="E206" s="385">
        <f t="shared" si="75"/>
        <v>39.735931586193558</v>
      </c>
      <c r="F206" s="385">
        <f t="shared" si="51"/>
        <v>39.735931586193558</v>
      </c>
      <c r="G206" s="110">
        <f t="shared" si="76"/>
        <v>0.94488739869950922</v>
      </c>
      <c r="H206" s="414" t="b">
        <f>Wh_hp&gt;='2025'!Maxi_hp</f>
        <v>0</v>
      </c>
      <c r="I206" s="390">
        <f>IF(H206,Wh_hp,'2025'!Maxi_hp)</f>
        <v>41.921892854152688</v>
      </c>
      <c r="J206" s="85">
        <f>IF(H206,An,'2025'!An_max)</f>
        <v>2019</v>
      </c>
      <c r="K206" s="197">
        <f t="shared" si="52"/>
        <v>46214</v>
      </c>
      <c r="L206" s="147">
        <f>IF(t&lt;Tvie,1-EXP((T0-t)*PertePVj)+'2025'!Pspv,1-EXP((T0-t)*PertePVj)+Pspv)</f>
        <v>6.3698681581336292E-2</v>
      </c>
      <c r="M206" s="850"/>
      <c r="N206" s="850"/>
      <c r="O206" s="48">
        <f>IF(t&lt;Tnet,'2025'!Resal+('2025'!Salim-'2025'!Resal)*(1-EXP(('2025'!Tnet-t)/('2025'!Tau_j))),Resal+(Salim-Resal)*(1-EXP((Tnet-t)/(Tau_j))))*Salcycl</f>
        <v>7.9111137400992557E-2</v>
      </c>
      <c r="P206" s="169">
        <f>(INDEX(Models!$BJ206:$BT206,,T206)*(1-R206)+INDEX(Models!$BJ206:$BT206,,T206+1)*R206-ERP_i)*Q206*Ramure*Pc/MaxiM</f>
        <v>0</v>
      </c>
      <c r="Q206" s="305">
        <f t="shared" si="53"/>
        <v>0.7</v>
      </c>
      <c r="R206" s="177">
        <f t="shared" si="54"/>
        <v>0.8668247233834887</v>
      </c>
      <c r="S206" s="817">
        <f t="shared" si="55"/>
        <v>-2</v>
      </c>
      <c r="T206" s="176">
        <f t="shared" si="56"/>
        <v>4</v>
      </c>
      <c r="U206" s="251">
        <f t="shared" si="57"/>
        <v>-1.1331752766165113</v>
      </c>
      <c r="V206" s="383">
        <f t="shared" si="58"/>
        <v>36.259866232811007</v>
      </c>
      <c r="W206" s="402">
        <f t="shared" si="59"/>
        <v>34.261490681912967</v>
      </c>
      <c r="X206" s="157">
        <f t="shared" si="60"/>
        <v>46214</v>
      </c>
      <c r="Y206" s="385">
        <f t="shared" si="61"/>
        <v>32.501827463700089</v>
      </c>
      <c r="Z206" s="385">
        <f t="shared" si="62"/>
        <v>34.712999783651931</v>
      </c>
      <c r="AA206" s="386">
        <f t="shared" si="63"/>
        <v>39.735884222828957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0.1264067614806289</v>
      </c>
      <c r="AD206" s="231">
        <f>(INDEX(Models!$BJ206:$BT206,,AH206)*(1-AF206)+INDEX(Models!$BJ206:$BT206,,AH206+1)*AF206-ERP_i)*AE206*Ramure*Pc/MaxiM</f>
        <v>1.2938183197113716E-6</v>
      </c>
      <c r="AE206" s="305">
        <f t="shared" si="65"/>
        <v>0.7</v>
      </c>
      <c r="AF206" s="177">
        <f t="shared" si="66"/>
        <v>0.49068809275954473</v>
      </c>
      <c r="AG206" s="817">
        <f t="shared" si="74"/>
        <v>1</v>
      </c>
      <c r="AH206" s="176">
        <f t="shared" si="67"/>
        <v>7</v>
      </c>
      <c r="AI206" s="225">
        <f t="shared" si="68"/>
        <v>1.4906880927595447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46215</v>
      </c>
      <c r="B207" s="411">
        <f>'2025'!Wh/'2025'!Env_an*'2026'!Env_an</f>
        <v>34.088672105020159</v>
      </c>
      <c r="C207" s="846"/>
      <c r="D207" s="393">
        <f t="shared" ref="D207:D270" si="77">Wh/(1-Ppv)</f>
        <v>36.408598471647167</v>
      </c>
      <c r="E207" s="385">
        <f t="shared" si="75"/>
        <v>39.541137383491275</v>
      </c>
      <c r="F207" s="385">
        <f t="shared" ref="F207:F270" si="78">Wh_sa/(1-Pvg*MEDIAN((-Sdif+Wh/Env_an)/Csdif,0,1))</f>
        <v>39.541137383491275</v>
      </c>
      <c r="G207" s="110">
        <f t="shared" si="76"/>
        <v>0.94196474269522568</v>
      </c>
      <c r="H207" s="414" t="b">
        <f>Wh_hp&gt;='2025'!Maxi_hp</f>
        <v>0</v>
      </c>
      <c r="I207" s="390">
        <f>IF(H207,Wh_hp,'2025'!Maxi_hp)</f>
        <v>42.496597456132768</v>
      </c>
      <c r="J207" s="85">
        <f>IF(H207,An,'2025'!An_max)</f>
        <v>2019</v>
      </c>
      <c r="K207" s="197">
        <f t="shared" ref="K207:K270" si="79">t</f>
        <v>46215</v>
      </c>
      <c r="L207" s="147">
        <f>IF(t&lt;Tvie,1-EXP((T0-t)*PertePVj)+'2025'!Pspv,1-EXP((T0-t)*PertePVj)+Pspv)</f>
        <v>6.3719188983163644E-2</v>
      </c>
      <c r="M207" s="850"/>
      <c r="N207" s="850"/>
      <c r="O207" s="48">
        <f>IF(t&lt;Tnet,'2025'!Resal+('2025'!Salim-'2025'!Resal)*(1-EXP(('2025'!Tnet-t)/('2025'!Tau_j))),Resal+(Salim-Resal)*(1-EXP((Tnet-t)/(Tau_j))))*Salcycl</f>
        <v>7.9222276321064294E-2</v>
      </c>
      <c r="P207" s="169">
        <f>(INDEX(Models!$BJ207:$BT207,,T207)*(1-R207)+INDEX(Models!$BJ207:$BT207,,T207+1)*R207-ERP_i)*Q207*Ramure*Pc/MaxiM</f>
        <v>0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0.87029971693020691</v>
      </c>
      <c r="S207" s="817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-1.1297002830697931</v>
      </c>
      <c r="V207" s="383">
        <f t="shared" ref="V207:V270" si="85">MaxiM*(1-Ppv)*(1-Pvg)*(1-Psa)</f>
        <v>36.188904488593586</v>
      </c>
      <c r="W207" s="402">
        <f t="shared" ref="W207:W270" si="86">Wh*(A207&gt;Tmaj)</f>
        <v>34.088672105020159</v>
      </c>
      <c r="X207" s="157">
        <f t="shared" ref="X207:X270" si="87">t</f>
        <v>46215</v>
      </c>
      <c r="Y207" s="385">
        <f t="shared" ref="Y207:Y270" si="88">Wh_pvt_s*(1-Ppv)</f>
        <v>32.339874152823334</v>
      </c>
      <c r="Z207" s="385">
        <f t="shared" ref="Z207:Z270" si="89">Wh_sa_s*(1-Psa_s)</f>
        <v>34.540784957133759</v>
      </c>
      <c r="AA207" s="386">
        <f t="shared" ref="AA207:AA270" si="90">Wh_hp*(1-Pvg_s*MEDIAN((-Sdif+Wh/Env_an)/Csdif,0,1))</f>
        <v>39.541087689460362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0.12645840123561977</v>
      </c>
      <c r="AD207" s="231">
        <f>(INDEX(Models!$BJ207:$BT207,,AH207)*(1-AF207)+INDEX(Models!$BJ207:$BT207,,AH207+1)*AF207-ERP_i)*AE207*Ramure*Pc/MaxiM</f>
        <v>1.3703829022984002E-6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0.49416308630626293</v>
      </c>
      <c r="AG207" s="817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1.4941630863062629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46216</v>
      </c>
      <c r="B208" s="411">
        <f>'2025'!Wh/'2025'!Env_an*'2026'!Env_an</f>
        <v>33.951788784376788</v>
      </c>
      <c r="C208" s="846"/>
      <c r="D208" s="393">
        <f t="shared" si="77"/>
        <v>36.263193726143115</v>
      </c>
      <c r="E208" s="385">
        <f t="shared" si="75"/>
        <v>39.387936405089441</v>
      </c>
      <c r="F208" s="385">
        <f t="shared" si="78"/>
        <v>39.387936405089441</v>
      </c>
      <c r="G208" s="110">
        <f t="shared" si="76"/>
        <v>0.9400961381139501</v>
      </c>
      <c r="H208" s="414" t="b">
        <f>Wh_hp&gt;='2025'!Maxi_hp</f>
        <v>1</v>
      </c>
      <c r="I208" s="390">
        <f>IF(H208,Wh_hp,'2025'!Maxi_hp)</f>
        <v>39.387936405089441</v>
      </c>
      <c r="J208" s="85">
        <f>IF(H208,An,'2025'!An_max)</f>
        <v>2026</v>
      </c>
      <c r="K208" s="197">
        <f t="shared" si="79"/>
        <v>46216</v>
      </c>
      <c r="L208" s="147">
        <f>IF(t&lt;Tvie,1-EXP((T0-t)*PertePVj)+'2025'!Pspv,1-EXP((T0-t)*PertePVj)+Pspv)</f>
        <v>6.373969593582629E-2</v>
      </c>
      <c r="M208" s="850"/>
      <c r="N208" s="850"/>
      <c r="O208" s="48">
        <f>IF(t&lt;Tnet,'2025'!Resal+('2025'!Salim-'2025'!Resal)*(1-EXP(('2025'!Tnet-t)/('2025'!Tau_j))),Resal+(Salim-Resal)*(1-EXP((Tnet-t)/(Tau_j))))*Salcycl</f>
        <v>7.933248004692546E-2</v>
      </c>
      <c r="P208" s="169">
        <f>(INDEX(Models!$BJ208:$BT208,,T208)*(1-R208)+INDEX(Models!$BJ208:$BT208,,T208+1)*R208-ERP_i)*Q208*Ramure*Pc/MaxiM</f>
        <v>0</v>
      </c>
      <c r="Q208" s="305">
        <f t="shared" si="80"/>
        <v>0.7</v>
      </c>
      <c r="R208" s="177">
        <f t="shared" si="81"/>
        <v>0.87369332614755235</v>
      </c>
      <c r="S208" s="817">
        <f t="shared" si="82"/>
        <v>-2</v>
      </c>
      <c r="T208" s="176">
        <f t="shared" si="83"/>
        <v>4</v>
      </c>
      <c r="U208" s="251">
        <f t="shared" si="84"/>
        <v>-1.1263066738524476</v>
      </c>
      <c r="V208" s="383">
        <f t="shared" si="85"/>
        <v>36.115230568324549</v>
      </c>
      <c r="W208" s="402">
        <f t="shared" si="86"/>
        <v>33.951788784376788</v>
      </c>
      <c r="X208" s="157">
        <f t="shared" si="87"/>
        <v>46216</v>
      </c>
      <c r="Y208" s="385">
        <f t="shared" si="88"/>
        <v>32.212011922861045</v>
      </c>
      <c r="Z208" s="385">
        <f t="shared" si="89"/>
        <v>34.404974538633383</v>
      </c>
      <c r="AA208" s="386">
        <f t="shared" si="90"/>
        <v>39.387884335622395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0.12650869375287752</v>
      </c>
      <c r="AD208" s="231">
        <f>(INDEX(Models!$BJ208:$BT208,,AH208)*(1-AF208)+INDEX(Models!$BJ208:$BT208,,AH208+1)*AF208-ERP_i)*AE208*Ramure*Pc/MaxiM</f>
        <v>1.445681879386737E-6</v>
      </c>
      <c r="AE208" s="305">
        <f t="shared" si="92"/>
        <v>0.7</v>
      </c>
      <c r="AF208" s="177">
        <f t="shared" si="93"/>
        <v>0.49755669552360837</v>
      </c>
      <c r="AG208" s="817">
        <f t="shared" ref="AG208:AG271" si="99">INDEX(Echel_vg,AH208)</f>
        <v>1</v>
      </c>
      <c r="AH208" s="176">
        <f t="shared" si="94"/>
        <v>7</v>
      </c>
      <c r="AI208" s="225">
        <f t="shared" si="95"/>
        <v>1.4975566955236084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46217</v>
      </c>
      <c r="B209" s="411">
        <f>'2025'!Wh/'2025'!Env_an*'2026'!Env_an</f>
        <v>33.353548712896128</v>
      </c>
      <c r="C209" s="846"/>
      <c r="D209" s="393">
        <f t="shared" si="77"/>
        <v>35.625006328290482</v>
      </c>
      <c r="E209" s="385">
        <f t="shared" si="75"/>
        <v>38.699351978486845</v>
      </c>
      <c r="F209" s="385">
        <f t="shared" si="78"/>
        <v>38.699351978486845</v>
      </c>
      <c r="G209" s="110">
        <f t="shared" si="76"/>
        <v>0.92547938709795585</v>
      </c>
      <c r="H209" s="414" t="b">
        <f>Wh_hp&gt;='2025'!Maxi_hp</f>
        <v>0</v>
      </c>
      <c r="I209" s="390">
        <f>IF(H209,Wh_hp,'2025'!Maxi_hp)</f>
        <v>42.613851519576691</v>
      </c>
      <c r="J209" s="85">
        <f>IF(H209,An,'2025'!An_max)</f>
        <v>2020</v>
      </c>
      <c r="K209" s="197">
        <f t="shared" si="79"/>
        <v>46217</v>
      </c>
      <c r="L209" s="147">
        <f>IF(t&lt;Tvie,1-EXP((T0-t)*PertePVj)+'2025'!Pspv,1-EXP((T0-t)*PertePVj)+Pspv)</f>
        <v>6.3760202439334002E-2</v>
      </c>
      <c r="M209" s="850"/>
      <c r="N209" s="850"/>
      <c r="O209" s="48">
        <f>IF(t&lt;Tnet,'2025'!Resal+('2025'!Salim-'2025'!Resal)*(1-EXP(('2025'!Tnet-t)/('2025'!Tau_j))),Resal+(Salim-Resal)*(1-EXP((Tnet-t)/(Tau_j))))*Salcycl</f>
        <v>7.9441786309636581E-2</v>
      </c>
      <c r="P209" s="169">
        <f>(INDEX(Models!$BJ209:$BT209,,T209)*(1-R209)+INDEX(Models!$BJ209:$BT209,,T209+1)*R209-ERP_i)*Q209*Ramure*Pc/MaxiM</f>
        <v>0</v>
      </c>
      <c r="Q209" s="305">
        <f t="shared" si="80"/>
        <v>0.7</v>
      </c>
      <c r="R209" s="177">
        <f t="shared" si="81"/>
        <v>0.87700561194568527</v>
      </c>
      <c r="S209" s="817">
        <f t="shared" si="82"/>
        <v>-2</v>
      </c>
      <c r="T209" s="176">
        <f t="shared" si="83"/>
        <v>4</v>
      </c>
      <c r="U209" s="251">
        <f t="shared" si="84"/>
        <v>-1.1229943880543147</v>
      </c>
      <c r="V209" s="383">
        <f t="shared" si="85"/>
        <v>36.039212950472631</v>
      </c>
      <c r="W209" s="402">
        <f t="shared" si="86"/>
        <v>33.353548712896128</v>
      </c>
      <c r="X209" s="157">
        <f t="shared" si="87"/>
        <v>46217</v>
      </c>
      <c r="Y209" s="385">
        <f t="shared" si="88"/>
        <v>31.646407816174001</v>
      </c>
      <c r="Z209" s="385">
        <f t="shared" si="89"/>
        <v>33.801604993322655</v>
      </c>
      <c r="AA209" s="386">
        <f t="shared" si="90"/>
        <v>38.699299430486732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0.12655770283287732</v>
      </c>
      <c r="AD209" s="231">
        <f>(INDEX(Models!$BJ209:$BT209,,AH209)*(1-AF209)+INDEX(Models!$BJ209:$BT209,,AH209+1)*AF209-ERP_i)*AE209*Ramure*Pc/MaxiM</f>
        <v>1.5196288761085006E-6</v>
      </c>
      <c r="AE209" s="305">
        <f t="shared" si="92"/>
        <v>0.7</v>
      </c>
      <c r="AF209" s="177">
        <f t="shared" si="93"/>
        <v>0.50086898132174129</v>
      </c>
      <c r="AG209" s="817">
        <f t="shared" si="99"/>
        <v>1</v>
      </c>
      <c r="AH209" s="176">
        <f t="shared" si="94"/>
        <v>7</v>
      </c>
      <c r="AI209" s="225">
        <f t="shared" si="95"/>
        <v>1.5008689813217413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46218</v>
      </c>
      <c r="B210" s="411">
        <f>'2025'!Wh/'2025'!Env_an*'2026'!Env_an</f>
        <v>32.293949359174633</v>
      </c>
      <c r="C210" s="846"/>
      <c r="D210" s="393">
        <f t="shared" si="77"/>
        <v>34.494001194117892</v>
      </c>
      <c r="E210" s="385">
        <f t="shared" si="75"/>
        <v>37.475158803509267</v>
      </c>
      <c r="F210" s="385">
        <f t="shared" si="78"/>
        <v>37.475158803509267</v>
      </c>
      <c r="G210" s="110">
        <f t="shared" si="76"/>
        <v>0.89802152000179791</v>
      </c>
      <c r="H210" s="414" t="b">
        <f>Wh_hp&gt;='2025'!Maxi_hp</f>
        <v>0</v>
      </c>
      <c r="I210" s="390">
        <f>IF(H210,Wh_hp,'2025'!Maxi_hp)</f>
        <v>43.03729894617058</v>
      </c>
      <c r="J210" s="85">
        <f>IF(H210,An,'2025'!An_max)</f>
        <v>2019</v>
      </c>
      <c r="K210" s="197">
        <f t="shared" si="79"/>
        <v>46218</v>
      </c>
      <c r="L210" s="147">
        <f>IF(t&lt;Tvie,1-EXP((T0-t)*PertePVj)+'2025'!Pspv,1-EXP((T0-t)*PertePVj)+Pspv)</f>
        <v>6.3780708493696658E-2</v>
      </c>
      <c r="M210" s="850"/>
      <c r="N210" s="850"/>
      <c r="O210" s="48">
        <f>IF(t&lt;Tnet,'2025'!Resal+('2025'!Salim-'2025'!Resal)*(1-EXP(('2025'!Tnet-t)/('2025'!Tau_j))),Resal+(Salim-Resal)*(1-EXP((Tnet-t)/(Tau_j))))*Salcycl</f>
        <v>7.9550232862848083E-2</v>
      </c>
      <c r="P210" s="169">
        <f>(INDEX(Models!$BJ210:$BT210,,T210)*(1-R210)+INDEX(Models!$BJ210:$BT210,,T210+1)*R210-ERP_i)*Q210*Ramure*Pc/MaxiM</f>
        <v>0</v>
      </c>
      <c r="Q210" s="305">
        <f t="shared" si="80"/>
        <v>0.7</v>
      </c>
      <c r="R210" s="177">
        <f t="shared" si="81"/>
        <v>0.8802367663508377</v>
      </c>
      <c r="S210" s="817">
        <f t="shared" si="82"/>
        <v>-2</v>
      </c>
      <c r="T210" s="176">
        <f t="shared" si="83"/>
        <v>4</v>
      </c>
      <c r="U210" s="251">
        <f t="shared" si="84"/>
        <v>-1.1197632336491623</v>
      </c>
      <c r="V210" s="383">
        <f t="shared" si="85"/>
        <v>35.961219903850385</v>
      </c>
      <c r="W210" s="402">
        <f t="shared" si="86"/>
        <v>32.293949359174633</v>
      </c>
      <c r="X210" s="157">
        <f t="shared" si="87"/>
        <v>46218</v>
      </c>
      <c r="Y210" s="385">
        <f t="shared" si="88"/>
        <v>30.642975480966225</v>
      </c>
      <c r="Z210" s="385">
        <f t="shared" si="89"/>
        <v>32.730553363906957</v>
      </c>
      <c r="AA210" s="386">
        <f t="shared" si="90"/>
        <v>37.475107830215144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0.12660549204565036</v>
      </c>
      <c r="AD210" s="231">
        <f>(INDEX(Models!$BJ210:$BT210,,AH210)*(1-AF210)+INDEX(Models!$BJ210:$BT210,,AH210+1)*AF210-ERP_i)*AE210*Ramure*Pc/MaxiM</f>
        <v>1.5921370405318256E-6</v>
      </c>
      <c r="AE210" s="305">
        <f t="shared" si="92"/>
        <v>0.7</v>
      </c>
      <c r="AF210" s="177">
        <f t="shared" si="93"/>
        <v>0.50410013572689372</v>
      </c>
      <c r="AG210" s="817">
        <f t="shared" si="99"/>
        <v>1</v>
      </c>
      <c r="AH210" s="176">
        <f t="shared" si="94"/>
        <v>7</v>
      </c>
      <c r="AI210" s="225">
        <f t="shared" si="95"/>
        <v>1.5041001357268937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46219</v>
      </c>
      <c r="B211" s="411">
        <f>'2025'!Wh/'2025'!Env_an*'2026'!Env_an</f>
        <v>33.471197449196076</v>
      </c>
      <c r="C211" s="846"/>
      <c r="D211" s="393">
        <f t="shared" si="77"/>
        <v>35.75223334324302</v>
      </c>
      <c r="E211" s="385">
        <f t="shared" si="75"/>
        <v>38.84667634256131</v>
      </c>
      <c r="F211" s="385">
        <f t="shared" si="78"/>
        <v>38.84667634256131</v>
      </c>
      <c r="G211" s="110">
        <f t="shared" si="76"/>
        <v>0.93282293048919607</v>
      </c>
      <c r="H211" s="414" t="b">
        <f>Wh_hp&gt;='2025'!Maxi_hp</f>
        <v>0</v>
      </c>
      <c r="I211" s="390">
        <f>IF(H211,Wh_hp,'2025'!Maxi_hp)</f>
        <v>41.785421826741953</v>
      </c>
      <c r="J211" s="85">
        <f>IF(H211,An,'2025'!An_max)</f>
        <v>2019</v>
      </c>
      <c r="K211" s="197">
        <f t="shared" si="79"/>
        <v>46219</v>
      </c>
      <c r="L211" s="147">
        <f>IF(t&lt;Tvie,1-EXP((T0-t)*PertePVj)+'2025'!Pspv,1-EXP((T0-t)*PertePVj)+Pspv)</f>
        <v>6.3801214098924142E-2</v>
      </c>
      <c r="M211" s="850"/>
      <c r="N211" s="850"/>
      <c r="O211" s="48">
        <f>IF(t&lt;Tnet,'2025'!Resal+('2025'!Salim-'2025'!Resal)*(1-EXP(('2025'!Tnet-t)/('2025'!Tau_j))),Resal+(Salim-Resal)*(1-EXP((Tnet-t)/(Tau_j))))*Salcycl</f>
        <v>7.965785726507435E-2</v>
      </c>
      <c r="P211" s="169">
        <f>(INDEX(Models!$BJ211:$BT211,,T211)*(1-R211)+INDEX(Models!$BJ211:$BT211,,T211+1)*R211-ERP_i)*Q211*Ramure*Pc/MaxiM</f>
        <v>0</v>
      </c>
      <c r="Q211" s="305">
        <f t="shared" si="80"/>
        <v>0.7</v>
      </c>
      <c r="R211" s="177">
        <f t="shared" si="81"/>
        <v>0.88338710571217915</v>
      </c>
      <c r="S211" s="817">
        <f t="shared" si="82"/>
        <v>-2</v>
      </c>
      <c r="T211" s="176">
        <f t="shared" si="83"/>
        <v>4</v>
      </c>
      <c r="U211" s="251">
        <f t="shared" si="84"/>
        <v>-1.1166128942878208</v>
      </c>
      <c r="V211" s="383">
        <f t="shared" si="85"/>
        <v>35.881619496256306</v>
      </c>
      <c r="W211" s="402">
        <f t="shared" si="86"/>
        <v>33.471197449196076</v>
      </c>
      <c r="X211" s="157">
        <f t="shared" si="87"/>
        <v>46219</v>
      </c>
      <c r="Y211" s="385">
        <f t="shared" si="88"/>
        <v>31.76205226122277</v>
      </c>
      <c r="Z211" s="385">
        <f t="shared" si="89"/>
        <v>33.926611249182855</v>
      </c>
      <c r="AA211" s="386">
        <f t="shared" si="90"/>
        <v>38.846617936032935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0.12665212438703535</v>
      </c>
      <c r="AD211" s="231">
        <f>(INDEX(Models!$BJ211:$BT211,,AH211)*(1-AF211)+INDEX(Models!$BJ211:$BT211,,AH211+1)*AF211-ERP_i)*AE211*Ramure*Pc/MaxiM</f>
        <v>1.6631191269047794E-6</v>
      </c>
      <c r="AE211" s="305">
        <f t="shared" si="92"/>
        <v>0.7</v>
      </c>
      <c r="AF211" s="177">
        <f t="shared" si="93"/>
        <v>0.50725047508823518</v>
      </c>
      <c r="AG211" s="817">
        <f t="shared" si="99"/>
        <v>1</v>
      </c>
      <c r="AH211" s="176">
        <f t="shared" si="94"/>
        <v>7</v>
      </c>
      <c r="AI211" s="225">
        <f t="shared" si="95"/>
        <v>1.5072504750882352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46220</v>
      </c>
      <c r="B212" s="411">
        <f>'2025'!Wh/'2025'!Env_an*'2026'!Env_an</f>
        <v>32.814673491714053</v>
      </c>
      <c r="C212" s="846"/>
      <c r="D212" s="393">
        <f t="shared" si="77"/>
        <v>35.051735515164303</v>
      </c>
      <c r="E212" s="385">
        <f t="shared" si="75"/>
        <v>38.08997045466694</v>
      </c>
      <c r="F212" s="385">
        <f t="shared" si="78"/>
        <v>38.08997045466694</v>
      </c>
      <c r="G212" s="110">
        <f t="shared" si="76"/>
        <v>0.91659103096557981</v>
      </c>
      <c r="H212" s="414" t="b">
        <f>Wh_hp&gt;='2025'!Maxi_hp</f>
        <v>0</v>
      </c>
      <c r="I212" s="390">
        <f>IF(H212,Wh_hp,'2025'!Maxi_hp)</f>
        <v>41.903533821101661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6.3821719255026221E-2</v>
      </c>
      <c r="M212" s="850"/>
      <c r="N212" s="850"/>
      <c r="O212" s="48">
        <f>IF(t&lt;Tnet,'2025'!Resal+('2025'!Salim-'2025'!Resal)*(1-EXP(('2025'!Tnet-t)/('2025'!Tau_j))),Resal+(Salim-Resal)*(1-EXP((Tnet-t)/(Tau_j))))*Salcycl</f>
        <v>7.9764696670442892E-2</v>
      </c>
      <c r="P212" s="169">
        <f>(INDEX(Models!$BJ212:$BT212,,T212)*(1-R212)+INDEX(Models!$BJ212:$BT212,,T212+1)*R212-ERP_i)*Q212*Ramure*Pc/MaxiM</f>
        <v>0</v>
      </c>
      <c r="Q212" s="305">
        <f t="shared" si="80"/>
        <v>0.7</v>
      </c>
      <c r="R212" s="177">
        <f t="shared" si="81"/>
        <v>0.88645706377875544</v>
      </c>
      <c r="S212" s="817">
        <f t="shared" si="82"/>
        <v>-2</v>
      </c>
      <c r="T212" s="176">
        <f t="shared" si="83"/>
        <v>4</v>
      </c>
      <c r="U212" s="251">
        <f t="shared" si="84"/>
        <v>-1.1135429362212446</v>
      </c>
      <c r="V212" s="383">
        <f t="shared" si="85"/>
        <v>35.800779609577397</v>
      </c>
      <c r="W212" s="402">
        <f t="shared" si="86"/>
        <v>32.814673491714053</v>
      </c>
      <c r="X212" s="157">
        <f t="shared" si="87"/>
        <v>46220</v>
      </c>
      <c r="Y212" s="385">
        <f t="shared" si="88"/>
        <v>31.141042922668262</v>
      </c>
      <c r="Z212" s="385">
        <f t="shared" si="89"/>
        <v>33.264009177704324</v>
      </c>
      <c r="AA212" s="386">
        <f t="shared" si="90"/>
        <v>38.089911967938733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0.12669766195040033</v>
      </c>
      <c r="AD212" s="231">
        <f>(INDEX(Models!$BJ212:$BT212,,AH212)*(1-AF212)+INDEX(Models!$BJ212:$BT212,,AH212+1)*AF212-ERP_i)*AE212*Ramure*Pc/MaxiM</f>
        <v>1.743201248784247E-6</v>
      </c>
      <c r="AE212" s="305">
        <f t="shared" si="92"/>
        <v>0.7</v>
      </c>
      <c r="AF212" s="177">
        <f t="shared" si="93"/>
        <v>0.51032043315481146</v>
      </c>
      <c r="AG212" s="817">
        <f t="shared" si="99"/>
        <v>1</v>
      </c>
      <c r="AH212" s="176">
        <f t="shared" si="94"/>
        <v>7</v>
      </c>
      <c r="AI212" s="225">
        <f t="shared" si="95"/>
        <v>1.5103204331548115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46221</v>
      </c>
      <c r="B213" s="411">
        <f>'2025'!Wh/'2025'!Env_an*'2026'!Env_an</f>
        <v>32.74771394875696</v>
      </c>
      <c r="C213" s="846"/>
      <c r="D213" s="393">
        <f t="shared" si="77"/>
        <v>34.980977338405538</v>
      </c>
      <c r="E213" s="385">
        <f t="shared" si="75"/>
        <v>38.017461969582477</v>
      </c>
      <c r="F213" s="385">
        <f t="shared" si="78"/>
        <v>38.017461969582477</v>
      </c>
      <c r="G213" s="110">
        <f t="shared" si="76"/>
        <v>0.91681322685587796</v>
      </c>
      <c r="H213" s="414" t="b">
        <f>Wh_hp&gt;='2025'!Maxi_hp</f>
        <v>1</v>
      </c>
      <c r="I213" s="390">
        <f>IF(H213,Wh_hp,'2025'!Maxi_hp)</f>
        <v>38.017461969582477</v>
      </c>
      <c r="J213" s="85">
        <f>IF(H213,An,'2025'!An_max)</f>
        <v>2026</v>
      </c>
      <c r="K213" s="197">
        <f t="shared" si="79"/>
        <v>46221</v>
      </c>
      <c r="L213" s="147">
        <f>IF(t&lt;Tvie,1-EXP((T0-t)*PertePVj)+'2025'!Pspv,1-EXP((T0-t)*PertePVj)+Pspv)</f>
        <v>6.3842223962012778E-2</v>
      </c>
      <c r="M213" s="850"/>
      <c r="N213" s="850"/>
      <c r="O213" s="48">
        <f>IF(t&lt;Tnet,'2025'!Resal+('2025'!Salim-'2025'!Resal)*(1-EXP(('2025'!Tnet-t)/('2025'!Tau_j))),Resal+(Salim-Resal)*(1-EXP((Tnet-t)/(Tau_j))))*Salcycl</f>
        <v>7.9870787629284984E-2</v>
      </c>
      <c r="P213" s="169">
        <f>(INDEX(Models!$BJ213:$BT213,,T213)*(1-R213)+INDEX(Models!$BJ213:$BT213,,T213+1)*R213-ERP_i)*Q213*Ramure*Pc/MaxiM</f>
        <v>0</v>
      </c>
      <c r="Q213" s="305">
        <f t="shared" si="80"/>
        <v>0.7</v>
      </c>
      <c r="R213" s="177">
        <f t="shared" si="81"/>
        <v>0.8894471846950458</v>
      </c>
      <c r="S213" s="817">
        <f t="shared" si="82"/>
        <v>-2</v>
      </c>
      <c r="T213" s="176">
        <f t="shared" si="83"/>
        <v>4</v>
      </c>
      <c r="U213" s="251">
        <f t="shared" si="84"/>
        <v>-1.1105528153049542</v>
      </c>
      <c r="V213" s="383">
        <f t="shared" si="85"/>
        <v>35.719067951344975</v>
      </c>
      <c r="W213" s="402">
        <f t="shared" si="86"/>
        <v>32.74771394875696</v>
      </c>
      <c r="X213" s="157">
        <f t="shared" si="87"/>
        <v>46221</v>
      </c>
      <c r="Y213" s="385">
        <f t="shared" si="88"/>
        <v>31.079495526558009</v>
      </c>
      <c r="Z213" s="385">
        <f t="shared" si="89"/>
        <v>33.198993077954064</v>
      </c>
      <c r="AA213" s="386">
        <f t="shared" si="90"/>
        <v>38.017400784464058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0.12674216561588428</v>
      </c>
      <c r="AD213" s="231">
        <f>(INDEX(Models!$BJ213:$BT213,,AH213)*(1-AF213)+INDEX(Models!$BJ213:$BT213,,AH213+1)*AF213-ERP_i)*AE213*Ramure*Pc/MaxiM</f>
        <v>1.8264468835320535E-6</v>
      </c>
      <c r="AE213" s="305">
        <f t="shared" si="92"/>
        <v>0.7</v>
      </c>
      <c r="AF213" s="177">
        <f t="shared" si="93"/>
        <v>0.51331055407110182</v>
      </c>
      <c r="AG213" s="817">
        <f t="shared" si="99"/>
        <v>1</v>
      </c>
      <c r="AH213" s="176">
        <f t="shared" si="94"/>
        <v>7</v>
      </c>
      <c r="AI213" s="225">
        <f t="shared" si="95"/>
        <v>1.5133105540711018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46222</v>
      </c>
      <c r="B214" s="411">
        <f>'2025'!Wh/'2025'!Env_an*'2026'!Env_an</f>
        <v>25.423328064920433</v>
      </c>
      <c r="C214" s="846"/>
      <c r="D214" s="393">
        <f t="shared" si="77"/>
        <v>27.157692393314125</v>
      </c>
      <c r="E214" s="385">
        <f t="shared" si="75"/>
        <v>29.518466138299036</v>
      </c>
      <c r="F214" s="385">
        <f t="shared" si="78"/>
        <v>29.518466138299036</v>
      </c>
      <c r="G214" s="110">
        <f t="shared" si="76"/>
        <v>0.71339993834079896</v>
      </c>
      <c r="H214" s="414" t="b">
        <f>Wh_hp&gt;='2025'!Maxi_hp</f>
        <v>0</v>
      </c>
      <c r="I214" s="390">
        <f>IF(H214,Wh_hp,'2025'!Maxi_hp)</f>
        <v>42.433234679233138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6.3862728219893583E-2</v>
      </c>
      <c r="M214" s="850"/>
      <c r="N214" s="850"/>
      <c r="O214" s="48">
        <f>IF(t&lt;Tnet,'2025'!Resal+('2025'!Salim-'2025'!Resal)*(1-EXP(('2025'!Tnet-t)/('2025'!Tau_j))),Resal+(Salim-Resal)*(1-EXP((Tnet-t)/(Tau_j))))*Salcycl</f>
        <v>7.9976165899823051E-2</v>
      </c>
      <c r="P214" s="169">
        <f>(INDEX(Models!$BJ214:$BT214,,T214)*(1-R214)+INDEX(Models!$BJ214:$BT214,,T214+1)*R214-ERP_i)*Q214*Ramure*Pc/MaxiM</f>
        <v>0</v>
      </c>
      <c r="Q214" s="305">
        <f t="shared" si="80"/>
        <v>0.7</v>
      </c>
      <c r="R214" s="177">
        <f t="shared" si="81"/>
        <v>0.89235811596060954</v>
      </c>
      <c r="S214" s="817">
        <f t="shared" si="82"/>
        <v>-2</v>
      </c>
      <c r="T214" s="176">
        <f t="shared" si="83"/>
        <v>4</v>
      </c>
      <c r="U214" s="251">
        <f t="shared" si="84"/>
        <v>-1.1076418840393905</v>
      </c>
      <c r="V214" s="383">
        <f t="shared" si="85"/>
        <v>35.636852063723381</v>
      </c>
      <c r="W214" s="402">
        <f t="shared" si="86"/>
        <v>25.423328064920433</v>
      </c>
      <c r="X214" s="157">
        <f t="shared" si="87"/>
        <v>46222</v>
      </c>
      <c r="Y214" s="385">
        <f t="shared" si="88"/>
        <v>24.129797350028895</v>
      </c>
      <c r="Z214" s="385">
        <f t="shared" si="89"/>
        <v>25.775917781956291</v>
      </c>
      <c r="AA214" s="386">
        <f t="shared" si="90"/>
        <v>29.51843279164191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0.12678569475901522</v>
      </c>
      <c r="AD214" s="231">
        <f>(INDEX(Models!$BJ214:$BT214,,AH214)*(1-AF214)+INDEX(Models!$BJ214:$BT214,,AH214+1)*AF214-ERP_i)*AE214*Ramure*Pc/MaxiM</f>
        <v>1.9128730565113894E-6</v>
      </c>
      <c r="AE214" s="305">
        <f t="shared" si="92"/>
        <v>0.7</v>
      </c>
      <c r="AF214" s="177">
        <f t="shared" si="93"/>
        <v>0.51622148533666556</v>
      </c>
      <c r="AG214" s="817">
        <f t="shared" si="99"/>
        <v>1</v>
      </c>
      <c r="AH214" s="176">
        <f t="shared" si="94"/>
        <v>7</v>
      </c>
      <c r="AI214" s="225">
        <f t="shared" si="95"/>
        <v>1.5162214853366656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46223</v>
      </c>
      <c r="B215" s="411">
        <f>'2025'!Wh/'2025'!Env_an*'2026'!Env_an</f>
        <v>24.883338260013588</v>
      </c>
      <c r="C215" s="846"/>
      <c r="D215" s="393">
        <f t="shared" si="77"/>
        <v>26.581447006807494</v>
      </c>
      <c r="E215" s="385">
        <f t="shared" si="75"/>
        <v>28.895417034199358</v>
      </c>
      <c r="F215" s="385">
        <f t="shared" si="78"/>
        <v>28.895417034199358</v>
      </c>
      <c r="G215" s="110">
        <f t="shared" si="76"/>
        <v>0.69986467891079773</v>
      </c>
      <c r="H215" s="414" t="b">
        <f>Wh_hp&gt;='2025'!Maxi_hp</f>
        <v>0</v>
      </c>
      <c r="I215" s="390">
        <f>IF(H215,Wh_hp,'2025'!Maxi_hp)</f>
        <v>41.130665538224456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6.3883232028678516E-2</v>
      </c>
      <c r="M215" s="850"/>
      <c r="N215" s="850"/>
      <c r="O215" s="48">
        <f>IF(t&lt;Tnet,'2025'!Resal+('2025'!Salim-'2025'!Resal)*(1-EXP(('2025'!Tnet-t)/('2025'!Tau_j))),Resal+(Salim-Resal)*(1-EXP((Tnet-t)/(Tau_j))))*Salcycl</f>
        <v>8.0080866272085688E-2</v>
      </c>
      <c r="P215" s="169">
        <f>(INDEX(Models!$BJ215:$BT215,,T215)*(1-R215)+INDEX(Models!$BJ215:$BT215,,T215+1)*R215-ERP_i)*Q215*Ramure*Pc/MaxiM</f>
        <v>0</v>
      </c>
      <c r="Q215" s="305">
        <f t="shared" si="80"/>
        <v>0.7</v>
      </c>
      <c r="R215" s="177">
        <f t="shared" si="81"/>
        <v>0.89519060139604467</v>
      </c>
      <c r="S215" s="817">
        <f t="shared" si="82"/>
        <v>-2</v>
      </c>
      <c r="T215" s="176">
        <f t="shared" si="83"/>
        <v>4</v>
      </c>
      <c r="U215" s="251">
        <f t="shared" si="84"/>
        <v>-1.1048093986039553</v>
      </c>
      <c r="V215" s="383">
        <f t="shared" si="85"/>
        <v>35.554499333699241</v>
      </c>
      <c r="W215" s="402">
        <f t="shared" si="86"/>
        <v>24.883338260013588</v>
      </c>
      <c r="X215" s="157">
        <f t="shared" si="87"/>
        <v>46223</v>
      </c>
      <c r="Y215" s="385">
        <f t="shared" si="88"/>
        <v>23.618817074219205</v>
      </c>
      <c r="Z215" s="385">
        <f t="shared" si="89"/>
        <v>25.230631351048274</v>
      </c>
      <c r="AA215" s="386">
        <f t="shared" si="90"/>
        <v>28.895383980892003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0.12682830698035241</v>
      </c>
      <c r="AD215" s="231">
        <f>(INDEX(Models!$BJ215:$BT215,,AH215)*(1-AF215)+INDEX(Models!$BJ215:$BT215,,AH215+1)*AF215-ERP_i)*AE215*Ramure*Pc/MaxiM</f>
        <v>2.0024927469277595E-6</v>
      </c>
      <c r="AE215" s="305">
        <f t="shared" si="92"/>
        <v>0.7</v>
      </c>
      <c r="AF215" s="177">
        <f t="shared" si="93"/>
        <v>0.51905397077210069</v>
      </c>
      <c r="AG215" s="817">
        <f t="shared" si="99"/>
        <v>1</v>
      </c>
      <c r="AH215" s="176">
        <f t="shared" si="94"/>
        <v>7</v>
      </c>
      <c r="AI215" s="225">
        <f t="shared" si="95"/>
        <v>1.5190539707721007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46224</v>
      </c>
      <c r="B216" s="411">
        <f>'2025'!Wh/'2025'!Env_an*'2026'!Env_an</f>
        <v>32.48855211838184</v>
      </c>
      <c r="C216" s="846"/>
      <c r="D216" s="393">
        <f t="shared" si="77"/>
        <v>34.706422134758789</v>
      </c>
      <c r="E216" s="385">
        <f t="shared" si="75"/>
        <v>37.73195610742323</v>
      </c>
      <c r="F216" s="385">
        <f t="shared" si="78"/>
        <v>37.73195610742323</v>
      </c>
      <c r="G216" s="110">
        <f t="shared" si="76"/>
        <v>0.91588314241112101</v>
      </c>
      <c r="H216" s="414" t="b">
        <f>Wh_hp&gt;='2025'!Maxi_hp</f>
        <v>1</v>
      </c>
      <c r="I216" s="390">
        <f>IF(H216,Wh_hp,'2025'!Maxi_hp)</f>
        <v>37.73195610742323</v>
      </c>
      <c r="J216" s="85">
        <f>IF(H216,An,'2025'!An_max)</f>
        <v>2026</v>
      </c>
      <c r="K216" s="197">
        <f t="shared" si="79"/>
        <v>46224</v>
      </c>
      <c r="L216" s="147">
        <f>IF(t&lt;Tvie,1-EXP((T0-t)*PertePVj)+'2025'!Pspv,1-EXP((T0-t)*PertePVj)+Pspv)</f>
        <v>6.3903735388377458E-2</v>
      </c>
      <c r="M216" s="850"/>
      <c r="N216" s="850"/>
      <c r="O216" s="48">
        <f>IF(t&lt;Tnet,'2025'!Resal+('2025'!Salim-'2025'!Resal)*(1-EXP(('2025'!Tnet-t)/('2025'!Tau_j))),Resal+(Salim-Resal)*(1-EXP((Tnet-t)/(Tau_j))))*Salcycl</f>
        <v>8.0184922405048958E-2</v>
      </c>
      <c r="P216" s="169">
        <f>(INDEX(Models!$BJ216:$BT216,,T216)*(1-R216)+INDEX(Models!$BJ216:$BT216,,T216+1)*R216-ERP_i)*Q216*Ramure*Pc/MaxiM</f>
        <v>0</v>
      </c>
      <c r="Q216" s="305">
        <f t="shared" si="80"/>
        <v>0.7</v>
      </c>
      <c r="R216" s="177">
        <f t="shared" si="81"/>
        <v>0.89794547415410464</v>
      </c>
      <c r="S216" s="817">
        <f t="shared" si="82"/>
        <v>-2</v>
      </c>
      <c r="T216" s="176">
        <f t="shared" si="83"/>
        <v>4</v>
      </c>
      <c r="U216" s="251">
        <f t="shared" si="84"/>
        <v>-1.1020545258458954</v>
      </c>
      <c r="V216" s="383">
        <f t="shared" si="85"/>
        <v>35.472377003089761</v>
      </c>
      <c r="W216" s="402">
        <f t="shared" si="86"/>
        <v>32.48855211838184</v>
      </c>
      <c r="X216" s="157">
        <f t="shared" si="87"/>
        <v>46224</v>
      </c>
      <c r="Y216" s="385">
        <f t="shared" si="88"/>
        <v>30.83954158563488</v>
      </c>
      <c r="Z216" s="385">
        <f t="shared" si="89"/>
        <v>32.944839918178623</v>
      </c>
      <c r="AA216" s="386">
        <f t="shared" si="90"/>
        <v>37.731886547540682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0.12687005785757816</v>
      </c>
      <c r="AD216" s="231">
        <f>(INDEX(Models!$BJ216:$BT216,,AH216)*(1-AF216)+INDEX(Models!$BJ216:$BT216,,AH216+1)*AF216-ERP_i)*AE216*Ramure*Pc/MaxiM</f>
        <v>2.0953146160184773E-6</v>
      </c>
      <c r="AE216" s="305">
        <f t="shared" si="92"/>
        <v>0.7</v>
      </c>
      <c r="AF216" s="177">
        <f t="shared" si="93"/>
        <v>0.52180884353016066</v>
      </c>
      <c r="AG216" s="817">
        <f t="shared" si="99"/>
        <v>1</v>
      </c>
      <c r="AH216" s="176">
        <f t="shared" si="94"/>
        <v>7</v>
      </c>
      <c r="AI216" s="225">
        <f t="shared" si="95"/>
        <v>1.5218088435301607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46225</v>
      </c>
      <c r="B217" s="411">
        <f>'2025'!Wh/'2025'!Env_an*'2026'!Env_an</f>
        <v>25.78574998836983</v>
      </c>
      <c r="C217" s="846"/>
      <c r="D217" s="393">
        <f t="shared" si="77"/>
        <v>27.546648512202673</v>
      </c>
      <c r="E217" s="385">
        <f t="shared" si="75"/>
        <v>29.951397279492873</v>
      </c>
      <c r="F217" s="385">
        <f t="shared" si="78"/>
        <v>29.951397279492873</v>
      </c>
      <c r="G217" s="110">
        <f t="shared" si="76"/>
        <v>0.72859929625709596</v>
      </c>
      <c r="H217" s="414" t="b">
        <f>Wh_hp&gt;='2025'!Maxi_hp</f>
        <v>0</v>
      </c>
      <c r="I217" s="390">
        <f>IF(H217,Wh_hp,'2025'!Maxi_hp)</f>
        <v>39.921621323756099</v>
      </c>
      <c r="J217" s="85">
        <f>IF(H217,An,'2025'!An_max)</f>
        <v>2018</v>
      </c>
      <c r="K217" s="197">
        <f t="shared" si="79"/>
        <v>46225</v>
      </c>
      <c r="L217" s="147">
        <f>IF(t&lt;Tvie,1-EXP((T0-t)*PertePVj)+'2025'!Pspv,1-EXP((T0-t)*PertePVj)+Pspv)</f>
        <v>6.392423829900018E-2</v>
      </c>
      <c r="M217" s="850"/>
      <c r="N217" s="850"/>
      <c r="O217" s="48">
        <f>IF(t&lt;Tnet,'2025'!Resal+('2025'!Salim-'2025'!Resal)*(1-EXP(('2025'!Tnet-t)/('2025'!Tau_j))),Resal+(Salim-Resal)*(1-EXP((Tnet-t)/(Tau_j))))*Salcycl</f>
        <v>8.0288366677860684E-2</v>
      </c>
      <c r="P217" s="169">
        <f>(INDEX(Models!$BJ217:$BT217,,T217)*(1-R217)+INDEX(Models!$BJ217:$BT217,,T217+1)*R217-ERP_i)*Q217*Ramure*Pc/MaxiM</f>
        <v>0</v>
      </c>
      <c r="Q217" s="305">
        <f t="shared" si="80"/>
        <v>0.7</v>
      </c>
      <c r="R217" s="177">
        <f t="shared" si="81"/>
        <v>0.90062364981138376</v>
      </c>
      <c r="S217" s="817">
        <f t="shared" si="82"/>
        <v>-2</v>
      </c>
      <c r="T217" s="176">
        <f t="shared" si="83"/>
        <v>4</v>
      </c>
      <c r="U217" s="251">
        <f t="shared" si="84"/>
        <v>-1.0993763501886162</v>
      </c>
      <c r="V217" s="383">
        <f t="shared" si="85"/>
        <v>35.390852174623824</v>
      </c>
      <c r="W217" s="402">
        <f t="shared" si="86"/>
        <v>25.78574998836983</v>
      </c>
      <c r="X217" s="157">
        <f t="shared" si="87"/>
        <v>46225</v>
      </c>
      <c r="Y217" s="385">
        <f t="shared" si="88"/>
        <v>24.47856874993094</v>
      </c>
      <c r="Z217" s="385">
        <f t="shared" si="89"/>
        <v>26.15020039131176</v>
      </c>
      <c r="AA217" s="386">
        <f t="shared" si="90"/>
        <v>29.951357092935115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0.1269110007212316</v>
      </c>
      <c r="AD217" s="231">
        <f>(INDEX(Models!$BJ217:$BT217,,AH217)*(1-AF217)+INDEX(Models!$BJ217:$BT217,,AH217+1)*AF217-ERP_i)*AE217*Ramure*Pc/MaxiM</f>
        <v>2.1913427249258837E-6</v>
      </c>
      <c r="AE217" s="305">
        <f t="shared" si="92"/>
        <v>0.7</v>
      </c>
      <c r="AF217" s="177">
        <f t="shared" si="93"/>
        <v>0.52448701918743978</v>
      </c>
      <c r="AG217" s="817">
        <f t="shared" si="99"/>
        <v>1</v>
      </c>
      <c r="AH217" s="176">
        <f t="shared" si="94"/>
        <v>7</v>
      </c>
      <c r="AI217" s="225">
        <f t="shared" si="95"/>
        <v>1.5244870191874398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46226</v>
      </c>
      <c r="B218" s="411">
        <f>'2025'!Wh/'2025'!Env_an*'2026'!Env_an</f>
        <v>30.184763542828581</v>
      </c>
      <c r="C218" s="846"/>
      <c r="D218" s="393">
        <f t="shared" si="77"/>
        <v>32.246775224952081</v>
      </c>
      <c r="E218" s="385">
        <f t="shared" si="75"/>
        <v>35.065754349983763</v>
      </c>
      <c r="F218" s="385">
        <f t="shared" si="78"/>
        <v>35.065754349983763</v>
      </c>
      <c r="G218" s="110">
        <f t="shared" si="76"/>
        <v>0.85484321954634568</v>
      </c>
      <c r="H218" s="414" t="b">
        <f>Wh_hp&gt;='2025'!Maxi_hp</f>
        <v>0</v>
      </c>
      <c r="I218" s="390">
        <f>IF(H218,Wh_hp,'2025'!Maxi_hp)</f>
        <v>40.234800142137267</v>
      </c>
      <c r="J218" s="85">
        <f>IF(H218,An,'2025'!An_max)</f>
        <v>2018</v>
      </c>
      <c r="K218" s="197">
        <f t="shared" si="79"/>
        <v>46226</v>
      </c>
      <c r="L218" s="147">
        <f>IF(t&lt;Tvie,1-EXP((T0-t)*PertePVj)+'2025'!Pspv,1-EXP((T0-t)*PertePVj)+Pspv)</f>
        <v>6.3944740760556562E-2</v>
      </c>
      <c r="M218" s="850"/>
      <c r="N218" s="850"/>
      <c r="O218" s="48">
        <f>IF(t&lt;Tnet,'2025'!Resal+('2025'!Salim-'2025'!Resal)*(1-EXP(('2025'!Tnet-t)/('2025'!Tau_j))),Resal+(Salim-Resal)*(1-EXP((Tnet-t)/(Tau_j))))*Salcycl</f>
        <v>8.039123005585605E-2</v>
      </c>
      <c r="P218" s="169">
        <f>(INDEX(Models!$BJ218:$BT218,,T218)*(1-R218)+INDEX(Models!$BJ218:$BT218,,T218+1)*R218-ERP_i)*Q218*Ramure*Pc/MaxiM</f>
        <v>0</v>
      </c>
      <c r="Q218" s="305">
        <f t="shared" si="80"/>
        <v>0.7</v>
      </c>
      <c r="R218" s="177">
        <f t="shared" si="81"/>
        <v>0.90322611957251597</v>
      </c>
      <c r="S218" s="817">
        <f t="shared" si="82"/>
        <v>-2</v>
      </c>
      <c r="T218" s="176">
        <f t="shared" si="83"/>
        <v>4</v>
      </c>
      <c r="U218" s="251">
        <f t="shared" si="84"/>
        <v>-1.096773880427484</v>
      </c>
      <c r="V218" s="383">
        <f t="shared" si="85"/>
        <v>35.310291820349526</v>
      </c>
      <c r="W218" s="402">
        <f t="shared" si="86"/>
        <v>30.184763542828581</v>
      </c>
      <c r="X218" s="157">
        <f t="shared" si="87"/>
        <v>46226</v>
      </c>
      <c r="Y218" s="385">
        <f t="shared" si="88"/>
        <v>28.656451540865422</v>
      </c>
      <c r="Z218" s="385">
        <f t="shared" si="89"/>
        <v>30.614059648731793</v>
      </c>
      <c r="AA218" s="386">
        <f t="shared" si="90"/>
        <v>35.065690685066173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0.12695118645503392</v>
      </c>
      <c r="AD218" s="231">
        <f>(INDEX(Models!$BJ218:$BT218,,AH218)*(1-AF218)+INDEX(Models!$BJ218:$BT218,,AH218+1)*AF218-ERP_i)*AE218*Ramure*Pc/MaxiM</f>
        <v>2.2905762429490137E-6</v>
      </c>
      <c r="AE218" s="305">
        <f t="shared" si="92"/>
        <v>0.7</v>
      </c>
      <c r="AF218" s="177">
        <f t="shared" si="93"/>
        <v>0.52708948894857199</v>
      </c>
      <c r="AG218" s="817">
        <f t="shared" si="99"/>
        <v>1</v>
      </c>
      <c r="AH218" s="176">
        <f t="shared" si="94"/>
        <v>7</v>
      </c>
      <c r="AI218" s="225">
        <f t="shared" si="95"/>
        <v>1.527089488948572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46227</v>
      </c>
      <c r="B219" s="411">
        <f>'2025'!Wh/'2025'!Env_an*'2026'!Env_an</f>
        <v>32.614984216347246</v>
      </c>
      <c r="C219" s="846"/>
      <c r="D219" s="393">
        <f t="shared" si="77"/>
        <v>34.843774725813596</v>
      </c>
      <c r="E219" s="385">
        <f t="shared" si="75"/>
        <v>37.893996743141429</v>
      </c>
      <c r="F219" s="385">
        <f t="shared" si="78"/>
        <v>37.893996743141429</v>
      </c>
      <c r="G219" s="110">
        <f t="shared" si="76"/>
        <v>0.92575883065534437</v>
      </c>
      <c r="H219" s="414" t="b">
        <f>Wh_hp&gt;='2025'!Maxi_hp</f>
        <v>1</v>
      </c>
      <c r="I219" s="390">
        <f>IF(H219,Wh_hp,'2025'!Maxi_hp)</f>
        <v>37.893996743141429</v>
      </c>
      <c r="J219" s="85">
        <f>IF(H219,An,'2025'!An_max)</f>
        <v>2026</v>
      </c>
      <c r="K219" s="197">
        <f t="shared" si="79"/>
        <v>46227</v>
      </c>
      <c r="L219" s="147">
        <f>IF(t&lt;Tvie,1-EXP((T0-t)*PertePVj)+'2025'!Pspv,1-EXP((T0-t)*PertePVj)+Pspv)</f>
        <v>6.3965242773056374E-2</v>
      </c>
      <c r="M219" s="850"/>
      <c r="N219" s="850"/>
      <c r="O219" s="48">
        <f>IF(t&lt;Tnet,'2025'!Resal+('2025'!Salim-'2025'!Resal)*(1-EXP(('2025'!Tnet-t)/('2025'!Tau_j))),Resal+(Salim-Resal)*(1-EXP((Tnet-t)/(Tau_j))))*Salcycl</f>
        <v>8.0493541971919449E-2</v>
      </c>
      <c r="P219" s="169">
        <f>(INDEX(Models!$BJ219:$BT219,,T219)*(1-R219)+INDEX(Models!$BJ219:$BT219,,T219+1)*R219-ERP_i)*Q219*Ramure*Pc/MaxiM</f>
        <v>0</v>
      </c>
      <c r="Q219" s="305">
        <f t="shared" si="80"/>
        <v>0.7</v>
      </c>
      <c r="R219" s="177">
        <f t="shared" si="81"/>
        <v>0.90575394361539319</v>
      </c>
      <c r="S219" s="817">
        <f t="shared" si="82"/>
        <v>-2</v>
      </c>
      <c r="T219" s="176">
        <f t="shared" si="83"/>
        <v>4</v>
      </c>
      <c r="U219" s="251">
        <f t="shared" si="84"/>
        <v>-1.0942460563846068</v>
      </c>
      <c r="V219" s="383">
        <f t="shared" si="85"/>
        <v>35.230540758935135</v>
      </c>
      <c r="W219" s="402">
        <f t="shared" si="86"/>
        <v>32.614984216347246</v>
      </c>
      <c r="X219" s="157">
        <f t="shared" si="87"/>
        <v>46227</v>
      </c>
      <c r="Y219" s="385">
        <f t="shared" si="88"/>
        <v>30.965660520365262</v>
      </c>
      <c r="Z219" s="385">
        <f t="shared" si="89"/>
        <v>33.081742190966068</v>
      </c>
      <c r="AA219" s="386">
        <f t="shared" si="90"/>
        <v>37.893915678875736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0.12699066332150669</v>
      </c>
      <c r="AD219" s="231">
        <f>(INDEX(Models!$BJ219:$BT219,,AH219)*(1-AF219)+INDEX(Models!$BJ219:$BT219,,AH219+1)*AF219-ERP_i)*AE219*Ramure*Pc/MaxiM</f>
        <v>2.3930407416752641E-6</v>
      </c>
      <c r="AE219" s="305">
        <f t="shared" si="92"/>
        <v>0.7</v>
      </c>
      <c r="AF219" s="177">
        <f t="shared" si="93"/>
        <v>0.52961731299144921</v>
      </c>
      <c r="AG219" s="817">
        <f t="shared" si="99"/>
        <v>1</v>
      </c>
      <c r="AH219" s="176">
        <f t="shared" si="94"/>
        <v>7</v>
      </c>
      <c r="AI219" s="225">
        <f t="shared" si="95"/>
        <v>1.5296173129914492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46228</v>
      </c>
      <c r="B220" s="411">
        <f>'2025'!Wh/'2025'!Env_an*'2026'!Env_an</f>
        <v>18.375886848663068</v>
      </c>
      <c r="C220" s="846"/>
      <c r="D220" s="393">
        <f t="shared" si="77"/>
        <v>19.632058740000051</v>
      </c>
      <c r="E220" s="385">
        <f t="shared" si="75"/>
        <v>21.353011775298437</v>
      </c>
      <c r="F220" s="385">
        <f t="shared" si="78"/>
        <v>21.353011775298437</v>
      </c>
      <c r="G220" s="110">
        <f t="shared" si="76"/>
        <v>0.52276883637109128</v>
      </c>
      <c r="H220" s="414" t="b">
        <f>Wh_hp&gt;='2025'!Maxi_hp</f>
        <v>0</v>
      </c>
      <c r="I220" s="390">
        <f>IF(H220,Wh_hp,'2025'!Maxi_hp)</f>
        <v>41.517040985591251</v>
      </c>
      <c r="J220" s="85">
        <f>IF(H220,An,'2025'!An_max)</f>
        <v>2020</v>
      </c>
      <c r="K220" s="197">
        <f t="shared" si="79"/>
        <v>46228</v>
      </c>
      <c r="L220" s="147">
        <f>IF(t&lt;Tvie,1-EXP((T0-t)*PertePVj)+'2025'!Pspv,1-EXP((T0-t)*PertePVj)+Pspv)</f>
        <v>6.3985744336509609E-2</v>
      </c>
      <c r="M220" s="850"/>
      <c r="N220" s="850"/>
      <c r="O220" s="48">
        <f>IF(t&lt;Tnet,'2025'!Resal+('2025'!Salim-'2025'!Resal)*(1-EXP(('2025'!Tnet-t)/('2025'!Tau_j))),Resal+(Salim-Resal)*(1-EXP((Tnet-t)/(Tau_j))))*Salcycl</f>
        <v>8.0595330223590098E-2</v>
      </c>
      <c r="P220" s="169">
        <f>(INDEX(Models!$BJ220:$BT220,,T220)*(1-R220)+INDEX(Models!$BJ220:$BT220,,T220+1)*R220-ERP_i)*Q220*Ramure*Pc/MaxiM</f>
        <v>0</v>
      </c>
      <c r="Q220" s="305">
        <f t="shared" si="80"/>
        <v>0.7</v>
      </c>
      <c r="R220" s="177">
        <f t="shared" si="81"/>
        <v>0.90820824460252814</v>
      </c>
      <c r="S220" s="817">
        <f t="shared" si="82"/>
        <v>-2</v>
      </c>
      <c r="T220" s="176">
        <f t="shared" si="83"/>
        <v>4</v>
      </c>
      <c r="U220" s="251">
        <f t="shared" si="84"/>
        <v>-1.0917917553974719</v>
      </c>
      <c r="V220" s="383">
        <f t="shared" si="85"/>
        <v>35.151075523596838</v>
      </c>
      <c r="W220" s="402">
        <f t="shared" si="86"/>
        <v>18.375886848663068</v>
      </c>
      <c r="X220" s="157">
        <f t="shared" si="87"/>
        <v>46228</v>
      </c>
      <c r="Y220" s="385">
        <f t="shared" si="88"/>
        <v>17.447806392719169</v>
      </c>
      <c r="Z220" s="385">
        <f t="shared" si="89"/>
        <v>18.640534892656472</v>
      </c>
      <c r="AA220" s="386">
        <f t="shared" si="90"/>
        <v>21.352994628743691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0.12702947681333282</v>
      </c>
      <c r="AD220" s="231">
        <f>(INDEX(Models!$BJ220:$BT220,,AH220)*(1-AF220)+INDEX(Models!$BJ220:$BT220,,AH220+1)*AF220-ERP_i)*AE220*Ramure*Pc/MaxiM</f>
        <v>2.5232561157876379E-6</v>
      </c>
      <c r="AE220" s="305">
        <f t="shared" si="92"/>
        <v>0.7</v>
      </c>
      <c r="AF220" s="177">
        <f t="shared" si="93"/>
        <v>0.53207161397858416</v>
      </c>
      <c r="AG220" s="817">
        <f t="shared" si="99"/>
        <v>1</v>
      </c>
      <c r="AH220" s="176">
        <f t="shared" si="94"/>
        <v>7</v>
      </c>
      <c r="AI220" s="225">
        <f t="shared" si="95"/>
        <v>1.5320716139785842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46229</v>
      </c>
      <c r="B221" s="411">
        <f>'2025'!Wh/'2025'!Env_an*'2026'!Env_an</f>
        <v>33.822410142601733</v>
      </c>
      <c r="C221" s="846"/>
      <c r="D221" s="393">
        <f t="shared" si="77"/>
        <v>36.135294683559152</v>
      </c>
      <c r="E221" s="385">
        <f t="shared" si="75"/>
        <v>39.307257543631842</v>
      </c>
      <c r="F221" s="385">
        <f t="shared" si="78"/>
        <v>39.307257543631842</v>
      </c>
      <c r="G221" s="110">
        <f t="shared" si="76"/>
        <v>0.96437868220477863</v>
      </c>
      <c r="H221" s="414" t="b">
        <f>Wh_hp&gt;='2025'!Maxi_hp</f>
        <v>0</v>
      </c>
      <c r="I221" s="390">
        <f>IF(H221,Wh_hp,'2025'!Maxi_hp)</f>
        <v>40.464552652725096</v>
      </c>
      <c r="J221" s="85">
        <f>IF(H221,An,'2025'!An_max)</f>
        <v>2020</v>
      </c>
      <c r="K221" s="197">
        <f t="shared" si="79"/>
        <v>46229</v>
      </c>
      <c r="L221" s="147">
        <f>IF(t&lt;Tvie,1-EXP((T0-t)*PertePVj)+'2025'!Pspv,1-EXP((T0-t)*PertePVj)+Pspv)</f>
        <v>6.4006245450925814E-2</v>
      </c>
      <c r="M221" s="850"/>
      <c r="N221" s="850"/>
      <c r="O221" s="48">
        <f>IF(t&lt;Tnet,'2025'!Resal+('2025'!Salim-'2025'!Resal)*(1-EXP(('2025'!Tnet-t)/('2025'!Tau_j))),Resal+(Salim-Resal)*(1-EXP((Tnet-t)/(Tau_j))))*Salcycl</f>
        <v>8.0696620886149234E-2</v>
      </c>
      <c r="P221" s="169">
        <f>(INDEX(Models!$BJ221:$BT221,,T221)*(1-R221)+INDEX(Models!$BJ221:$BT221,,T221+1)*R221-ERP_i)*Q221*Ramure*Pc/MaxiM</f>
        <v>0</v>
      </c>
      <c r="Q221" s="305">
        <f t="shared" si="80"/>
        <v>0.7</v>
      </c>
      <c r="R221" s="177">
        <f t="shared" si="81"/>
        <v>0.91059020138038704</v>
      </c>
      <c r="S221" s="817">
        <f t="shared" si="82"/>
        <v>-2</v>
      </c>
      <c r="T221" s="176">
        <f t="shared" si="83"/>
        <v>4</v>
      </c>
      <c r="U221" s="251">
        <f t="shared" si="84"/>
        <v>-1.089409798619613</v>
      </c>
      <c r="V221" s="383">
        <f t="shared" si="85"/>
        <v>35.071710694886342</v>
      </c>
      <c r="W221" s="402">
        <f t="shared" si="86"/>
        <v>33.822410142601733</v>
      </c>
      <c r="X221" s="157">
        <f t="shared" si="87"/>
        <v>46229</v>
      </c>
      <c r="Y221" s="385">
        <f t="shared" si="88"/>
        <v>32.116274756268837</v>
      </c>
      <c r="Z221" s="385">
        <f t="shared" si="89"/>
        <v>34.312488304733641</v>
      </c>
      <c r="AA221" s="386">
        <f t="shared" si="90"/>
        <v>39.307157161065469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0.12706766953065607</v>
      </c>
      <c r="AD221" s="231">
        <f>(INDEX(Models!$BJ221:$BT221,,AH221)*(1-AF221)+INDEX(Models!$BJ221:$BT221,,AH221+1)*AF221-ERP_i)*AE221*Ramure*Pc/MaxiM</f>
        <v>2.6907162495211056E-6</v>
      </c>
      <c r="AE221" s="305">
        <f t="shared" si="92"/>
        <v>0.7</v>
      </c>
      <c r="AF221" s="177">
        <f t="shared" si="93"/>
        <v>0.53445357075644306</v>
      </c>
      <c r="AG221" s="817">
        <f t="shared" si="99"/>
        <v>1</v>
      </c>
      <c r="AH221" s="176">
        <f t="shared" si="94"/>
        <v>7</v>
      </c>
      <c r="AI221" s="225">
        <f t="shared" si="95"/>
        <v>1.5344535707564431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46230</v>
      </c>
      <c r="B222" s="411">
        <f>'2025'!Wh/'2025'!Env_an*'2026'!Env_an</f>
        <v>35.508634544773109</v>
      </c>
      <c r="C222" s="846"/>
      <c r="D222" s="393">
        <f t="shared" si="77"/>
        <v>37.937659433573764</v>
      </c>
      <c r="E222" s="385">
        <f t="shared" si="75"/>
        <v>41.272360426201729</v>
      </c>
      <c r="F222" s="385">
        <f t="shared" si="78"/>
        <v>41.272360426201729</v>
      </c>
      <c r="G222" s="110">
        <f t="shared" si="76"/>
        <v>1.0147567919708098</v>
      </c>
      <c r="H222" s="414" t="b">
        <f>Wh_hp&gt;='2025'!Maxi_hp</f>
        <v>1</v>
      </c>
      <c r="I222" s="390">
        <f>IF(H222,Wh_hp,'2025'!Maxi_hp)</f>
        <v>41.272360426201729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6.4026746116315092E-2</v>
      </c>
      <c r="M222" s="850"/>
      <c r="N222" s="850"/>
      <c r="O222" s="48">
        <f>IF(t&lt;Tnet,'2025'!Resal+('2025'!Salim-'2025'!Resal)*(1-EXP(('2025'!Tnet-t)/('2025'!Tau_j))),Resal+(Salim-Resal)*(1-EXP((Tnet-t)/(Tau_j))))*Salcycl</f>
        <v>8.0797438241766634E-2</v>
      </c>
      <c r="P222" s="169">
        <f>(INDEX(Models!$BJ222:$BT222,,T222)*(1-R222)+INDEX(Models!$BJ222:$BT222,,T222+1)*R222-ERP_i)*Q222*Ramure*Pc/MaxiM</f>
        <v>0</v>
      </c>
      <c r="Q222" s="305">
        <f t="shared" si="80"/>
        <v>0.7</v>
      </c>
      <c r="R222" s="177">
        <f t="shared" si="81"/>
        <v>0.91290104288535301</v>
      </c>
      <c r="S222" s="817">
        <f t="shared" si="82"/>
        <v>-2</v>
      </c>
      <c r="T222" s="176">
        <f t="shared" si="83"/>
        <v>4</v>
      </c>
      <c r="U222" s="251">
        <f t="shared" si="84"/>
        <v>-1.087098957114647</v>
      </c>
      <c r="V222" s="383">
        <f t="shared" si="85"/>
        <v>34.992261028191805</v>
      </c>
      <c r="W222" s="402">
        <f t="shared" si="86"/>
        <v>35.508634544773109</v>
      </c>
      <c r="X222" s="157">
        <f t="shared" si="87"/>
        <v>46230</v>
      </c>
      <c r="Y222" s="385">
        <f t="shared" si="88"/>
        <v>33.719673001979075</v>
      </c>
      <c r="Z222" s="385">
        <f t="shared" si="89"/>
        <v>36.026321117685995</v>
      </c>
      <c r="AA222" s="386">
        <f t="shared" si="90"/>
        <v>41.272240898004263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0.12710528108426355</v>
      </c>
      <c r="AD222" s="231">
        <f>(INDEX(Models!$BJ222:$BT222,,AH222)*(1-AF222)+INDEX(Models!$BJ222:$BT222,,AH222+1)*AF222-ERP_i)*AE222*Ramure*Pc/MaxiM</f>
        <v>2.8960833893681907E-6</v>
      </c>
      <c r="AE222" s="305">
        <f t="shared" si="92"/>
        <v>0.7</v>
      </c>
      <c r="AF222" s="177">
        <f t="shared" si="93"/>
        <v>0.53676441226140903</v>
      </c>
      <c r="AG222" s="817">
        <f t="shared" si="99"/>
        <v>1</v>
      </c>
      <c r="AH222" s="176">
        <f t="shared" si="94"/>
        <v>7</v>
      </c>
      <c r="AI222" s="225">
        <f t="shared" si="95"/>
        <v>1.536764412261409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46231</v>
      </c>
      <c r="B223" s="411">
        <f>'2025'!Wh/'2025'!Env_an*'2026'!Env_an</f>
        <v>28.653274263573941</v>
      </c>
      <c r="C223" s="846"/>
      <c r="D223" s="393">
        <f t="shared" si="77"/>
        <v>30.614017803038415</v>
      </c>
      <c r="E223" s="385">
        <f t="shared" si="75"/>
        <v>33.30861133877076</v>
      </c>
      <c r="F223" s="385">
        <f t="shared" si="78"/>
        <v>33.30861133877076</v>
      </c>
      <c r="G223" s="110">
        <f t="shared" si="76"/>
        <v>0.82071579641018755</v>
      </c>
      <c r="H223" s="414" t="b">
        <f>Wh_hp&gt;='2025'!Maxi_hp</f>
        <v>0</v>
      </c>
      <c r="I223" s="390">
        <f>IF(H223,Wh_hp,'2025'!Maxi_hp)</f>
        <v>39.810455578458225</v>
      </c>
      <c r="J223" s="85">
        <f>IF(H223,An,'2025'!An_max)</f>
        <v>2019</v>
      </c>
      <c r="K223" s="197">
        <f t="shared" si="79"/>
        <v>46231</v>
      </c>
      <c r="L223" s="147">
        <f>IF(t&lt;Tvie,1-EXP((T0-t)*PertePVj)+'2025'!Pspv,1-EXP((T0-t)*PertePVj)+Pspv)</f>
        <v>6.4047246332687213E-2</v>
      </c>
      <c r="M223" s="850"/>
      <c r="N223" s="850"/>
      <c r="O223" s="48">
        <f>IF(t&lt;Tnet,'2025'!Resal+('2025'!Salim-'2025'!Resal)*(1-EXP(('2025'!Tnet-t)/('2025'!Tau_j))),Resal+(Salim-Resal)*(1-EXP((Tnet-t)/(Tau_j))))*Salcycl</f>
        <v>8.0897804724626182E-2</v>
      </c>
      <c r="P223" s="169">
        <f>(INDEX(Models!$BJ223:$BT223,,T223)*(1-R223)+INDEX(Models!$BJ223:$BT223,,T223+1)*R223-ERP_i)*Q223*Ramure*Pc/MaxiM</f>
        <v>0</v>
      </c>
      <c r="Q223" s="305">
        <f t="shared" si="80"/>
        <v>0.7</v>
      </c>
      <c r="R223" s="177">
        <f t="shared" si="81"/>
        <v>0.91514204227193452</v>
      </c>
      <c r="S223" s="817">
        <f t="shared" si="82"/>
        <v>-2</v>
      </c>
      <c r="T223" s="176">
        <f t="shared" si="83"/>
        <v>4</v>
      </c>
      <c r="U223" s="251">
        <f t="shared" si="84"/>
        <v>-1.0848579577280655</v>
      </c>
      <c r="V223" s="383">
        <f t="shared" si="85"/>
        <v>34.91254145333064</v>
      </c>
      <c r="W223" s="402">
        <f t="shared" si="86"/>
        <v>28.653274263573941</v>
      </c>
      <c r="X223" s="157">
        <f t="shared" si="87"/>
        <v>46231</v>
      </c>
      <c r="Y223" s="385">
        <f t="shared" si="88"/>
        <v>27.211523816596657</v>
      </c>
      <c r="Z223" s="385">
        <f t="shared" si="89"/>
        <v>29.073608373899901</v>
      </c>
      <c r="AA223" s="386">
        <f t="shared" si="90"/>
        <v>33.308533537047914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0.12714234802434796</v>
      </c>
      <c r="AD223" s="231">
        <f>(INDEX(Models!$BJ223:$BT223,,AH223)*(1-AF223)+INDEX(Models!$BJ223:$BT223,,AH223+1)*AF223-ERP_i)*AE223*Ramure*Pc/MaxiM</f>
        <v>3.1400023603208519E-6</v>
      </c>
      <c r="AE223" s="305">
        <f t="shared" si="92"/>
        <v>0.7</v>
      </c>
      <c r="AF223" s="177">
        <f t="shared" si="93"/>
        <v>0.53900541164799054</v>
      </c>
      <c r="AG223" s="817">
        <f t="shared" si="99"/>
        <v>1</v>
      </c>
      <c r="AH223" s="176">
        <f t="shared" si="94"/>
        <v>7</v>
      </c>
      <c r="AI223" s="225">
        <f t="shared" si="95"/>
        <v>1.5390054116479905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46232</v>
      </c>
      <c r="B224" s="411">
        <f>'2025'!Wh/'2025'!Env_an*'2026'!Env_an</f>
        <v>18.273047691380476</v>
      </c>
      <c r="C224" s="846"/>
      <c r="D224" s="393">
        <f t="shared" si="77"/>
        <v>19.523899956688403</v>
      </c>
      <c r="E224" s="385">
        <f t="shared" si="75"/>
        <v>21.244670252956528</v>
      </c>
      <c r="F224" s="385">
        <f t="shared" si="78"/>
        <v>21.244670252956528</v>
      </c>
      <c r="G224" s="110">
        <f t="shared" si="76"/>
        <v>0.52459965330494795</v>
      </c>
      <c r="H224" s="414" t="b">
        <f>Wh_hp&gt;='2025'!Maxi_hp</f>
        <v>0</v>
      </c>
      <c r="I224" s="390">
        <f>IF(H224,Wh_hp,'2025'!Maxi_hp)</f>
        <v>38.323446514546944</v>
      </c>
      <c r="J224" s="85">
        <f>IF(H224,An,'2025'!An_max)</f>
        <v>2021</v>
      </c>
      <c r="K224" s="197">
        <f t="shared" si="79"/>
        <v>46232</v>
      </c>
      <c r="L224" s="147">
        <f>IF(t&lt;Tvie,1-EXP((T0-t)*PertePVj)+'2025'!Pspv,1-EXP((T0-t)*PertePVj)+Pspv)</f>
        <v>6.4067746100051948E-2</v>
      </c>
      <c r="M224" s="850"/>
      <c r="N224" s="850"/>
      <c r="O224" s="48">
        <f>IF(t&lt;Tnet,'2025'!Resal+('2025'!Salim-'2025'!Resal)*(1-EXP(('2025'!Tnet-t)/('2025'!Tau_j))),Resal+(Salim-Resal)*(1-EXP((Tnet-t)/(Tau_j))))*Salcycl</f>
        <v>8.0997740881793748E-2</v>
      </c>
      <c r="P224" s="169">
        <f>(INDEX(Models!$BJ224:$BT224,,T224)*(1-R224)+INDEX(Models!$BJ224:$BT224,,T224+1)*R224-ERP_i)*Q224*Ramure*Pc/MaxiM</f>
        <v>0</v>
      </c>
      <c r="Q224" s="305">
        <f t="shared" si="80"/>
        <v>0.7</v>
      </c>
      <c r="R224" s="177">
        <f t="shared" si="81"/>
        <v>0.91731451127596797</v>
      </c>
      <c r="S224" s="817">
        <f t="shared" si="82"/>
        <v>-2</v>
      </c>
      <c r="T224" s="176">
        <f t="shared" si="83"/>
        <v>4</v>
      </c>
      <c r="U224" s="251">
        <f t="shared" si="84"/>
        <v>-1.082685488724032</v>
      </c>
      <c r="V224" s="383">
        <f t="shared" si="85"/>
        <v>34.832367075085379</v>
      </c>
      <c r="W224" s="402">
        <f t="shared" si="86"/>
        <v>18.273047691380476</v>
      </c>
      <c r="X224" s="157">
        <f t="shared" si="87"/>
        <v>46232</v>
      </c>
      <c r="Y224" s="385">
        <f t="shared" si="88"/>
        <v>17.354782147116143</v>
      </c>
      <c r="Z224" s="385">
        <f t="shared" si="89"/>
        <v>18.542776012687114</v>
      </c>
      <c r="AA224" s="386">
        <f t="shared" si="90"/>
        <v>21.244646919392537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0.12717890379430599</v>
      </c>
      <c r="AD224" s="231">
        <f>(INDEX(Models!$BJ224:$BT224,,AH224)*(1-AF224)+INDEX(Models!$BJ224:$BT224,,AH224+1)*AF224-ERP_i)*AE224*Ramure*Pc/MaxiM</f>
        <v>3.4231035923759816E-6</v>
      </c>
      <c r="AE224" s="305">
        <f t="shared" si="92"/>
        <v>0.7</v>
      </c>
      <c r="AF224" s="177">
        <f t="shared" si="93"/>
        <v>0.54117788065202399</v>
      </c>
      <c r="AG224" s="817">
        <f t="shared" si="99"/>
        <v>1</v>
      </c>
      <c r="AH224" s="176">
        <f t="shared" si="94"/>
        <v>7</v>
      </c>
      <c r="AI224" s="225">
        <f t="shared" si="95"/>
        <v>1.541177880652024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46233</v>
      </c>
      <c r="B225" s="411">
        <f>'2025'!Wh/'2025'!Env_an*'2026'!Env_an</f>
        <v>29.20117862805122</v>
      </c>
      <c r="C225" s="846"/>
      <c r="D225" s="393">
        <f t="shared" si="77"/>
        <v>31.200782002258563</v>
      </c>
      <c r="E225" s="385">
        <f t="shared" si="75"/>
        <v>33.954390193564478</v>
      </c>
      <c r="F225" s="385">
        <f t="shared" si="78"/>
        <v>33.954390193564478</v>
      </c>
      <c r="G225" s="110">
        <f t="shared" si="76"/>
        <v>0.84028413011667169</v>
      </c>
      <c r="H225" s="414" t="b">
        <f>Wh_hp&gt;='2025'!Maxi_hp</f>
        <v>0</v>
      </c>
      <c r="I225" s="390">
        <f>IF(H225,Wh_hp,'2025'!Maxi_hp)</f>
        <v>37.359921298844867</v>
      </c>
      <c r="J225" s="85">
        <f>IF(H225,An,'2025'!An_max)</f>
        <v>2018</v>
      </c>
      <c r="K225" s="197">
        <f t="shared" si="79"/>
        <v>46233</v>
      </c>
      <c r="L225" s="147">
        <f>IF(t&lt;Tvie,1-EXP((T0-t)*PertePVj)+'2025'!Pspv,1-EXP((T0-t)*PertePVj)+Pspv)</f>
        <v>6.4088245418419176E-2</v>
      </c>
      <c r="M225" s="850"/>
      <c r="N225" s="850"/>
      <c r="O225" s="48">
        <f>IF(t&lt;Tnet,'2025'!Resal+('2025'!Salim-'2025'!Resal)*(1-EXP(('2025'!Tnet-t)/('2025'!Tau_j))),Resal+(Salim-Resal)*(1-EXP((Tnet-t)/(Tau_j))))*Salcycl</f>
        <v>8.1097265349439882E-2</v>
      </c>
      <c r="P225" s="169">
        <f>(INDEX(Models!$BJ225:$BT225,,T225)*(1-R225)+INDEX(Models!$BJ225:$BT225,,T225+1)*R225-ERP_i)*Q225*Ramure*Pc/MaxiM</f>
        <v>0</v>
      </c>
      <c r="Q225" s="305">
        <f t="shared" si="80"/>
        <v>0.7</v>
      </c>
      <c r="R225" s="177">
        <f t="shared" si="81"/>
        <v>0.91941979482285019</v>
      </c>
      <c r="S225" s="817">
        <f t="shared" si="82"/>
        <v>-2</v>
      </c>
      <c r="T225" s="176">
        <f t="shared" si="83"/>
        <v>4</v>
      </c>
      <c r="U225" s="251">
        <f t="shared" si="84"/>
        <v>-1.0805802051771498</v>
      </c>
      <c r="V225" s="383">
        <f t="shared" si="85"/>
        <v>34.75155317284964</v>
      </c>
      <c r="W225" s="402">
        <f t="shared" si="86"/>
        <v>29.20117862805122</v>
      </c>
      <c r="X225" s="157">
        <f t="shared" si="87"/>
        <v>46233</v>
      </c>
      <c r="Y225" s="385">
        <f t="shared" si="88"/>
        <v>27.735555310649303</v>
      </c>
      <c r="Z225" s="385">
        <f t="shared" si="89"/>
        <v>29.634797484778968</v>
      </c>
      <c r="AA225" s="386">
        <f t="shared" si="90"/>
        <v>33.95429202134688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0.12721497870879678</v>
      </c>
      <c r="AD225" s="231">
        <f>(INDEX(Models!$BJ225:$BT225,,AH225)*(1-AF225)+INDEX(Models!$BJ225:$BT225,,AH225+1)*AF225-ERP_i)*AE225*Ramure*Pc/MaxiM</f>
        <v>3.7460062281530427E-6</v>
      </c>
      <c r="AE225" s="305">
        <f t="shared" si="92"/>
        <v>0.7</v>
      </c>
      <c r="AF225" s="177">
        <f t="shared" si="93"/>
        <v>0.54328316419890621</v>
      </c>
      <c r="AG225" s="817">
        <f t="shared" si="99"/>
        <v>1</v>
      </c>
      <c r="AH225" s="176">
        <f t="shared" si="94"/>
        <v>7</v>
      </c>
      <c r="AI225" s="225">
        <f t="shared" si="95"/>
        <v>1.5432831641989062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46234</v>
      </c>
      <c r="B226" s="411">
        <f>'2025'!Wh/'2025'!Env_an*'2026'!Env_an</f>
        <v>34.029566828168328</v>
      </c>
      <c r="C226" s="846"/>
      <c r="D226" s="393">
        <f t="shared" si="77"/>
        <v>36.360599183365871</v>
      </c>
      <c r="E226" s="385">
        <f t="shared" si="75"/>
        <v>39.573853410368145</v>
      </c>
      <c r="F226" s="385">
        <f t="shared" si="78"/>
        <v>39.573853410368145</v>
      </c>
      <c r="G226" s="110">
        <f t="shared" si="76"/>
        <v>0.98153014317355891</v>
      </c>
      <c r="H226" s="414" t="b">
        <f>Wh_hp&gt;='2025'!Maxi_hp</f>
        <v>1</v>
      </c>
      <c r="I226" s="390">
        <f>IF(H226,Wh_hp,'2025'!Maxi_hp)</f>
        <v>39.573853410368145</v>
      </c>
      <c r="J226" s="85">
        <f>IF(H226,An,'2025'!An_max)</f>
        <v>2026</v>
      </c>
      <c r="K226" s="197">
        <f t="shared" si="79"/>
        <v>46234</v>
      </c>
      <c r="L226" s="147">
        <f>IF(t&lt;Tvie,1-EXP((T0-t)*PertePVj)+'2025'!Pspv,1-EXP((T0-t)*PertePVj)+Pspv)</f>
        <v>6.4108744287798669E-2</v>
      </c>
      <c r="M226" s="850"/>
      <c r="N226" s="850"/>
      <c r="O226" s="48">
        <f>IF(t&lt;Tnet,'2025'!Resal+('2025'!Salim-'2025'!Resal)*(1-EXP(('2025'!Tnet-t)/('2025'!Tau_j))),Resal+(Salim-Resal)*(1-EXP((Tnet-t)/(Tau_j))))*Salcycl</f>
        <v>8.1196394843884842E-2</v>
      </c>
      <c r="P226" s="169">
        <f>(INDEX(Models!$BJ226:$BT226,,T226)*(1-R226)+INDEX(Models!$BJ226:$BT226,,T226+1)*R226-ERP_i)*Q226*Ramure*Pc/MaxiM</f>
        <v>0</v>
      </c>
      <c r="Q226" s="305">
        <f t="shared" si="80"/>
        <v>0.7</v>
      </c>
      <c r="R226" s="177">
        <f t="shared" si="81"/>
        <v>0.92145926588832339</v>
      </c>
      <c r="S226" s="817">
        <f t="shared" si="82"/>
        <v>-2</v>
      </c>
      <c r="T226" s="176">
        <f t="shared" si="83"/>
        <v>4</v>
      </c>
      <c r="U226" s="251">
        <f t="shared" si="84"/>
        <v>-1.0785407341116766</v>
      </c>
      <c r="V226" s="383">
        <f t="shared" si="85"/>
        <v>34.669915198061382</v>
      </c>
      <c r="W226" s="402">
        <f t="shared" si="86"/>
        <v>34.029566828168328</v>
      </c>
      <c r="X226" s="157">
        <f t="shared" si="87"/>
        <v>46234</v>
      </c>
      <c r="Y226" s="385">
        <f t="shared" si="88"/>
        <v>32.323735354031371</v>
      </c>
      <c r="Z226" s="385">
        <f t="shared" si="89"/>
        <v>34.537917900978165</v>
      </c>
      <c r="AA226" s="386">
        <f t="shared" si="90"/>
        <v>39.573694234793983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0.12725059995506455</v>
      </c>
      <c r="AD226" s="231">
        <f>(INDEX(Models!$BJ226:$BT226,,AH226)*(1-AF226)+INDEX(Models!$BJ226:$BT226,,AH226+1)*AF226-ERP_i)*AE226*Ramure*Pc/MaxiM</f>
        <v>4.1312459921630135E-6</v>
      </c>
      <c r="AE226" s="305">
        <f t="shared" si="92"/>
        <v>0.7</v>
      </c>
      <c r="AF226" s="177">
        <f t="shared" si="93"/>
        <v>0.54532263526437941</v>
      </c>
      <c r="AG226" s="817">
        <f t="shared" si="99"/>
        <v>1</v>
      </c>
      <c r="AH226" s="176">
        <f t="shared" si="94"/>
        <v>7</v>
      </c>
      <c r="AI226" s="225">
        <f t="shared" si="95"/>
        <v>1.5453226352643794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46235</v>
      </c>
      <c r="B227" s="411">
        <f>'2025'!Wh/'2025'!Env_an*'2026'!Env_an</f>
        <v>33.932489440724297</v>
      </c>
      <c r="C227" s="846"/>
      <c r="D227" s="393">
        <f t="shared" si="77"/>
        <v>36.257666110775084</v>
      </c>
      <c r="E227" s="385">
        <f t="shared" si="75"/>
        <v>39.466065603726229</v>
      </c>
      <c r="F227" s="385">
        <f t="shared" si="78"/>
        <v>39.466065603726229</v>
      </c>
      <c r="G227" s="110">
        <f t="shared" si="76"/>
        <v>0.98106877598447162</v>
      </c>
      <c r="H227" s="414" t="b">
        <f>Wh_hp&gt;='2025'!Maxi_hp</f>
        <v>1</v>
      </c>
      <c r="I227" s="390">
        <f>IF(H227,Wh_hp,'2025'!Maxi_hp)</f>
        <v>39.466065603726229</v>
      </c>
      <c r="J227" s="85">
        <f>IF(H227,An,'2025'!An_max)</f>
        <v>2026</v>
      </c>
      <c r="K227" s="197">
        <f t="shared" si="79"/>
        <v>46235</v>
      </c>
      <c r="L227" s="147">
        <f>IF(t&lt;Tvie,1-EXP((T0-t)*PertePVj)+'2025'!Pspv,1-EXP((T0-t)*PertePVj)+Pspv)</f>
        <v>6.4129242708200418E-2</v>
      </c>
      <c r="M227" s="850"/>
      <c r="N227" s="850"/>
      <c r="O227" s="48">
        <f>IF(t&lt;Tnet,'2025'!Resal+('2025'!Salim-'2025'!Resal)*(1-EXP(('2025'!Tnet-t)/('2025'!Tau_j))),Resal+(Salim-Resal)*(1-EXP((Tnet-t)/(Tau_j))))*Salcycl</f>
        <v>8.1295144166795702E-2</v>
      </c>
      <c r="P227" s="169">
        <f>(INDEX(Models!$BJ227:$BT227,,T227)*(1-R227)+INDEX(Models!$BJ227:$BT227,,T227+1)*R227-ERP_i)*Q227*Ramure*Pc/MaxiM</f>
        <v>0</v>
      </c>
      <c r="Q227" s="305">
        <f t="shared" si="80"/>
        <v>0.7</v>
      </c>
      <c r="R227" s="177">
        <f t="shared" si="81"/>
        <v>0.9234343206169926</v>
      </c>
      <c r="S227" s="817">
        <f t="shared" si="82"/>
        <v>-2</v>
      </c>
      <c r="T227" s="176">
        <f t="shared" si="83"/>
        <v>4</v>
      </c>
      <c r="U227" s="251">
        <f t="shared" si="84"/>
        <v>-1.0765656793830074</v>
      </c>
      <c r="V227" s="383">
        <f t="shared" si="85"/>
        <v>34.587268773969605</v>
      </c>
      <c r="W227" s="402">
        <f t="shared" si="86"/>
        <v>33.932489440724297</v>
      </c>
      <c r="X227" s="157">
        <f t="shared" si="87"/>
        <v>46235</v>
      </c>
      <c r="Y227" s="385">
        <f t="shared" si="88"/>
        <v>32.233675329390188</v>
      </c>
      <c r="Z227" s="385">
        <f t="shared" si="89"/>
        <v>34.442443123949325</v>
      </c>
      <c r="AA227" s="386">
        <f t="shared" si="90"/>
        <v>39.465890199884541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0.12728579161632372</v>
      </c>
      <c r="AD227" s="231">
        <f>(INDEX(Models!$BJ227:$BT227,,AH227)*(1-AF227)+INDEX(Models!$BJ227:$BT227,,AH227+1)*AF227-ERP_i)*AE227*Ramure*Pc/MaxiM</f>
        <v>4.5679604738145274E-6</v>
      </c>
      <c r="AE227" s="305">
        <f t="shared" si="92"/>
        <v>0.7</v>
      </c>
      <c r="AF227" s="177">
        <f t="shared" si="93"/>
        <v>0.54729768999304862</v>
      </c>
      <c r="AG227" s="817">
        <f t="shared" si="99"/>
        <v>1</v>
      </c>
      <c r="AH227" s="176">
        <f t="shared" si="94"/>
        <v>7</v>
      </c>
      <c r="AI227" s="225">
        <f t="shared" si="95"/>
        <v>1.5472976899930486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46236</v>
      </c>
      <c r="B228" s="411">
        <f>'2025'!Wh/'2025'!Env_an*'2026'!Env_an</f>
        <v>33.831526168314298</v>
      </c>
      <c r="C228" s="846"/>
      <c r="D228" s="393">
        <f t="shared" si="77"/>
        <v>36.150576260868334</v>
      </c>
      <c r="E228" s="385">
        <f t="shared" si="75"/>
        <v>39.353713796788711</v>
      </c>
      <c r="F228" s="385">
        <f t="shared" si="78"/>
        <v>39.353713796788711</v>
      </c>
      <c r="G228" s="110">
        <f t="shared" si="76"/>
        <v>0.9805264714162254</v>
      </c>
      <c r="H228" s="414" t="b">
        <f>Wh_hp&gt;='2025'!Maxi_hp</f>
        <v>1</v>
      </c>
      <c r="I228" s="390">
        <f>IF(H228,Wh_hp,'2025'!Maxi_hp)</f>
        <v>39.353713796788711</v>
      </c>
      <c r="J228" s="85">
        <f>IF(H228,An,'2025'!An_max)</f>
        <v>2026</v>
      </c>
      <c r="K228" s="197">
        <f t="shared" si="79"/>
        <v>46236</v>
      </c>
      <c r="L228" s="147">
        <f>IF(t&lt;Tvie,1-EXP((T0-t)*PertePVj)+'2025'!Pspv,1-EXP((T0-t)*PertePVj)+Pspv)</f>
        <v>6.4149740679634082E-2</v>
      </c>
      <c r="M228" s="850"/>
      <c r="N228" s="850"/>
      <c r="O228" s="48">
        <f>IF(t&lt;Tnet,'2025'!Resal+('2025'!Salim-'2025'!Resal)*(1-EXP(('2025'!Tnet-t)/('2025'!Tau_j))),Resal+(Salim-Resal)*(1-EXP((Tnet-t)/(Tau_j))))*Salcycl</f>
        <v>8.1393526223737425E-2</v>
      </c>
      <c r="P228" s="169">
        <f>(INDEX(Models!$BJ228:$BT228,,T228)*(1-R228)+INDEX(Models!$BJ228:$BT228,,T228+1)*R228-ERP_i)*Q228*Ramure*Pc/MaxiM</f>
        <v>0</v>
      </c>
      <c r="Q228" s="305">
        <f t="shared" si="80"/>
        <v>0.7</v>
      </c>
      <c r="R228" s="177">
        <f t="shared" si="81"/>
        <v>0.92534637370162942</v>
      </c>
      <c r="S228" s="817">
        <f t="shared" si="82"/>
        <v>-2</v>
      </c>
      <c r="T228" s="176">
        <f t="shared" si="83"/>
        <v>4</v>
      </c>
      <c r="U228" s="251">
        <f t="shared" si="84"/>
        <v>-1.0746536262983706</v>
      </c>
      <c r="V228" s="383">
        <f t="shared" si="85"/>
        <v>34.503429692672817</v>
      </c>
      <c r="W228" s="402">
        <f t="shared" si="86"/>
        <v>33.831526168314298</v>
      </c>
      <c r="X228" s="157">
        <f t="shared" si="87"/>
        <v>46236</v>
      </c>
      <c r="Y228" s="385">
        <f t="shared" si="88"/>
        <v>32.139912474424428</v>
      </c>
      <c r="Z228" s="385">
        <f t="shared" si="89"/>
        <v>34.343007499688149</v>
      </c>
      <c r="AA228" s="386">
        <f t="shared" si="90"/>
        <v>39.35352032449304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0.12732057471581332</v>
      </c>
      <c r="AD228" s="231">
        <f>(INDEX(Models!$BJ228:$BT228,,AH228)*(1-AF228)+INDEX(Models!$BJ228:$BT228,,AH228+1)*AF228-ERP_i)*AE228*Ramure*Pc/MaxiM</f>
        <v>5.0569199485478327E-6</v>
      </c>
      <c r="AE228" s="305">
        <f t="shared" si="92"/>
        <v>0.7</v>
      </c>
      <c r="AF228" s="177">
        <f t="shared" si="93"/>
        <v>0.54920974307768544</v>
      </c>
      <c r="AG228" s="817">
        <f t="shared" si="99"/>
        <v>1</v>
      </c>
      <c r="AH228" s="176">
        <f t="shared" si="94"/>
        <v>7</v>
      </c>
      <c r="AI228" s="225">
        <f t="shared" si="95"/>
        <v>1.5492097430776854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46237</v>
      </c>
      <c r="B229" s="411">
        <f>'2025'!Wh/'2025'!Env_an*'2026'!Env_an</f>
        <v>31.567462571003503</v>
      </c>
      <c r="C229" s="846"/>
      <c r="D229" s="393">
        <f t="shared" si="77"/>
        <v>33.732056683426009</v>
      </c>
      <c r="E229" s="385">
        <f t="shared" si="75"/>
        <v>36.724819198888646</v>
      </c>
      <c r="F229" s="385">
        <f t="shared" si="78"/>
        <v>36.724819198888646</v>
      </c>
      <c r="G229" s="110">
        <f t="shared" si="76"/>
        <v>0.91717317612526739</v>
      </c>
      <c r="H229" s="414" t="b">
        <f>Wh_hp&gt;='2025'!Maxi_hp</f>
        <v>0</v>
      </c>
      <c r="I229" s="390">
        <f>IF(H229,Wh_hp,'2025'!Maxi_hp)</f>
        <v>38.935712166326411</v>
      </c>
      <c r="J229" s="85">
        <f>IF(H229,An,'2025'!An_max)</f>
        <v>2019</v>
      </c>
      <c r="K229" s="197">
        <f t="shared" si="79"/>
        <v>46237</v>
      </c>
      <c r="L229" s="147">
        <f>IF(t&lt;Tvie,1-EXP((T0-t)*PertePVj)+'2025'!Pspv,1-EXP((T0-t)*PertePVj)+Pspv)</f>
        <v>6.4170238202109542E-2</v>
      </c>
      <c r="M229" s="850"/>
      <c r="N229" s="850"/>
      <c r="O229" s="48">
        <f>IF(t&lt;Tnet,'2025'!Resal+('2025'!Salim-'2025'!Resal)*(1-EXP(('2025'!Tnet-t)/('2025'!Tau_j))),Resal+(Salim-Resal)*(1-EXP((Tnet-t)/(Tau_j))))*Salcycl</f>
        <v>8.1491552055161745E-2</v>
      </c>
      <c r="P229" s="169">
        <f>(INDEX(Models!$BJ229:$BT229,,T229)*(1-R229)+INDEX(Models!$BJ229:$BT229,,T229+1)*R229-ERP_i)*Q229*Ramure*Pc/MaxiM</f>
        <v>0</v>
      </c>
      <c r="Q229" s="305">
        <f t="shared" si="80"/>
        <v>0.7</v>
      </c>
      <c r="R229" s="177">
        <f t="shared" si="81"/>
        <v>0.92719685402435248</v>
      </c>
      <c r="S229" s="817">
        <f t="shared" si="82"/>
        <v>-2</v>
      </c>
      <c r="T229" s="176">
        <f t="shared" si="83"/>
        <v>4</v>
      </c>
      <c r="U229" s="251">
        <f t="shared" si="84"/>
        <v>-1.0728031459756475</v>
      </c>
      <c r="V229" s="383">
        <f t="shared" si="85"/>
        <v>34.418213912845637</v>
      </c>
      <c r="W229" s="402">
        <f t="shared" si="86"/>
        <v>31.567462571003503</v>
      </c>
      <c r="X229" s="157">
        <f t="shared" si="87"/>
        <v>46237</v>
      </c>
      <c r="Y229" s="385">
        <f t="shared" si="88"/>
        <v>29.99107246705918</v>
      </c>
      <c r="Z229" s="385">
        <f t="shared" si="89"/>
        <v>32.047572850687239</v>
      </c>
      <c r="AA229" s="386">
        <f t="shared" si="90"/>
        <v>36.724637910095687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0.12735496727995554</v>
      </c>
      <c r="AD229" s="231">
        <f>(INDEX(Models!$BJ229:$BT229,,AH229)*(1-AF229)+INDEX(Models!$BJ229:$BT229,,AH229+1)*AF229-ERP_i)*AE229*Ramure*Pc/MaxiM</f>
        <v>5.5988945591910171E-6</v>
      </c>
      <c r="AE229" s="305">
        <f t="shared" si="92"/>
        <v>0.7</v>
      </c>
      <c r="AF229" s="177">
        <f t="shared" si="93"/>
        <v>0.5510602234004085</v>
      </c>
      <c r="AG229" s="817">
        <f t="shared" si="99"/>
        <v>1</v>
      </c>
      <c r="AH229" s="176">
        <f t="shared" si="94"/>
        <v>7</v>
      </c>
      <c r="AI229" s="225">
        <f t="shared" si="95"/>
        <v>1.5510602234004085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46238</v>
      </c>
      <c r="B230" s="411">
        <f>'2025'!Wh/'2025'!Env_an*'2026'!Env_an</f>
        <v>31.035233934177665</v>
      </c>
      <c r="C230" s="846"/>
      <c r="D230" s="393">
        <f t="shared" si="77"/>
        <v>33.164059284365919</v>
      </c>
      <c r="E230" s="385">
        <f t="shared" si="75"/>
        <v>36.110268301949532</v>
      </c>
      <c r="F230" s="385">
        <f t="shared" si="78"/>
        <v>36.110268301949532</v>
      </c>
      <c r="G230" s="110">
        <f t="shared" si="76"/>
        <v>0.90398876780987703</v>
      </c>
      <c r="H230" s="414" t="b">
        <f>Wh_hp&gt;='2025'!Maxi_hp</f>
        <v>0</v>
      </c>
      <c r="I230" s="390">
        <f>IF(H230,Wh_hp,'2025'!Maxi_hp)</f>
        <v>36.542089306289583</v>
      </c>
      <c r="J230" s="85">
        <f>IF(H230,An,'2025'!An_max)</f>
        <v>2019</v>
      </c>
      <c r="K230" s="197">
        <f t="shared" si="79"/>
        <v>46238</v>
      </c>
      <c r="L230" s="147">
        <f>IF(t&lt;Tvie,1-EXP((T0-t)*PertePVj)+'2025'!Pspv,1-EXP((T0-t)*PertePVj)+Pspv)</f>
        <v>6.4190735275636679E-2</v>
      </c>
      <c r="M230" s="850"/>
      <c r="N230" s="850"/>
      <c r="O230" s="48">
        <f>IF(t&lt;Tnet,'2025'!Resal+('2025'!Salim-'2025'!Resal)*(1-EXP(('2025'!Tnet-t)/('2025'!Tau_j))),Resal+(Salim-Resal)*(1-EXP((Tnet-t)/(Tau_j))))*Salcycl</f>
        <v>8.1589230878812063E-2</v>
      </c>
      <c r="P230" s="169">
        <f>(INDEX(Models!$BJ230:$BT230,,T230)*(1-R230)+INDEX(Models!$BJ230:$BT230,,T230+1)*R230-ERP_i)*Q230*Ramure*Pc/MaxiM</f>
        <v>0</v>
      </c>
      <c r="Q230" s="305">
        <f t="shared" si="80"/>
        <v>0.7</v>
      </c>
      <c r="R230" s="177">
        <f t="shared" si="81"/>
        <v>0.92898720055902917</v>
      </c>
      <c r="S230" s="817">
        <f t="shared" si="82"/>
        <v>-2</v>
      </c>
      <c r="T230" s="176">
        <f t="shared" si="83"/>
        <v>4</v>
      </c>
      <c r="U230" s="251">
        <f t="shared" si="84"/>
        <v>-1.0710127994409708</v>
      </c>
      <c r="V230" s="383">
        <f t="shared" si="85"/>
        <v>34.33143755687113</v>
      </c>
      <c r="W230" s="402">
        <f t="shared" si="86"/>
        <v>31.035233934177665</v>
      </c>
      <c r="X230" s="157">
        <f t="shared" si="87"/>
        <v>46238</v>
      </c>
      <c r="Y230" s="385">
        <f t="shared" si="88"/>
        <v>29.487396229284894</v>
      </c>
      <c r="Z230" s="385">
        <f t="shared" si="89"/>
        <v>31.510049473564699</v>
      </c>
      <c r="AA230" s="386">
        <f t="shared" si="90"/>
        <v>36.110075292346799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0.12738898441890076</v>
      </c>
      <c r="AD230" s="231">
        <f>(INDEX(Models!$BJ230:$BT230,,AH230)*(1-AF230)+INDEX(Models!$BJ230:$BT230,,AH230+1)*AF230-ERP_i)*AE230*Ramure*Pc/MaxiM</f>
        <v>6.1946586396131457E-6</v>
      </c>
      <c r="AE230" s="305">
        <f t="shared" si="92"/>
        <v>0.7</v>
      </c>
      <c r="AF230" s="177">
        <f t="shared" si="93"/>
        <v>0.55285056993508519</v>
      </c>
      <c r="AG230" s="817">
        <f t="shared" si="99"/>
        <v>1</v>
      </c>
      <c r="AH230" s="176">
        <f t="shared" si="94"/>
        <v>7</v>
      </c>
      <c r="AI230" s="225">
        <f t="shared" si="95"/>
        <v>1.5528505699350852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46239</v>
      </c>
      <c r="B231" s="411">
        <f>'2025'!Wh/'2025'!Env_an*'2026'!Env_an</f>
        <v>28.17671713951194</v>
      </c>
      <c r="C231" s="846"/>
      <c r="D231" s="393">
        <f t="shared" si="77"/>
        <v>30.110125383026304</v>
      </c>
      <c r="E231" s="385">
        <f t="shared" si="75"/>
        <v>32.78850597632696</v>
      </c>
      <c r="F231" s="385">
        <f t="shared" si="78"/>
        <v>32.78850597632696</v>
      </c>
      <c r="G231" s="110">
        <f t="shared" si="76"/>
        <v>0.82284804230311548</v>
      </c>
      <c r="H231" s="414" t="b">
        <f>Wh_hp&gt;='2025'!Maxi_hp</f>
        <v>0</v>
      </c>
      <c r="I231" s="390">
        <f>IF(H231,Wh_hp,'2025'!Maxi_hp)</f>
        <v>40.51327472097406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6.4211231900225374E-2</v>
      </c>
      <c r="M231" s="850"/>
      <c r="N231" s="850"/>
      <c r="O231" s="48">
        <f>IF(t&lt;Tnet,'2025'!Resal+('2025'!Salim-'2025'!Resal)*(1-EXP(('2025'!Tnet-t)/('2025'!Tau_j))),Resal+(Salim-Resal)*(1-EXP((Tnet-t)/(Tau_j))))*Salcycl</f>
        <v>8.1686570142428194E-2</v>
      </c>
      <c r="P231" s="169">
        <f>(INDEX(Models!$BJ231:$BT231,,T231)*(1-R231)+INDEX(Models!$BJ231:$BT231,,T231+1)*R231-ERP_i)*Q231*Ramure*Pc/MaxiM</f>
        <v>0</v>
      </c>
      <c r="Q231" s="305">
        <f t="shared" si="80"/>
        <v>0.7</v>
      </c>
      <c r="R231" s="177">
        <f t="shared" si="81"/>
        <v>0.93071885853267156</v>
      </c>
      <c r="S231" s="817">
        <f t="shared" si="82"/>
        <v>-2</v>
      </c>
      <c r="T231" s="176">
        <f t="shared" si="83"/>
        <v>4</v>
      </c>
      <c r="U231" s="251">
        <f t="shared" si="84"/>
        <v>-1.0692811414673284</v>
      </c>
      <c r="V231" s="383">
        <f t="shared" si="85"/>
        <v>34.242916906804012</v>
      </c>
      <c r="W231" s="402">
        <f t="shared" si="86"/>
        <v>28.17671713951194</v>
      </c>
      <c r="X231" s="157">
        <f t="shared" si="87"/>
        <v>46239</v>
      </c>
      <c r="Y231" s="385">
        <f t="shared" si="88"/>
        <v>26.773255184267004</v>
      </c>
      <c r="Z231" s="385">
        <f t="shared" si="89"/>
        <v>28.610361757849628</v>
      </c>
      <c r="AA231" s="386">
        <f t="shared" si="90"/>
        <v>32.788338338424879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0.12742263842260809</v>
      </c>
      <c r="AD231" s="231">
        <f>(INDEX(Models!$BJ231:$BT231,,AH231)*(1-AF231)+INDEX(Models!$BJ231:$BT231,,AH231+1)*AF231-ERP_i)*AE231*Ramure*Pc/MaxiM</f>
        <v>6.8449951171317921E-6</v>
      </c>
      <c r="AE231" s="305">
        <f t="shared" si="92"/>
        <v>0.7</v>
      </c>
      <c r="AF231" s="177">
        <f t="shared" si="93"/>
        <v>0.55458222790872758</v>
      </c>
      <c r="AG231" s="817">
        <f t="shared" si="99"/>
        <v>1</v>
      </c>
      <c r="AH231" s="176">
        <f t="shared" si="94"/>
        <v>7</v>
      </c>
      <c r="AI231" s="225">
        <f t="shared" si="95"/>
        <v>1.5545822279087276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46240</v>
      </c>
      <c r="B232" s="411">
        <f>'2025'!Wh/'2025'!Env_an*'2026'!Env_an</f>
        <v>30.57784027951358</v>
      </c>
      <c r="C232" s="846"/>
      <c r="D232" s="393">
        <f t="shared" si="77"/>
        <v>32.67672264271134</v>
      </c>
      <c r="E232" s="385">
        <f t="shared" si="75"/>
        <v>35.587168530065938</v>
      </c>
      <c r="F232" s="385">
        <f t="shared" si="78"/>
        <v>35.587168530065938</v>
      </c>
      <c r="G232" s="110">
        <f t="shared" si="76"/>
        <v>0.89533324268037584</v>
      </c>
      <c r="H232" s="414" t="b">
        <f>Wh_hp&gt;='2025'!Maxi_hp</f>
        <v>0</v>
      </c>
      <c r="I232" s="390">
        <f>IF(H232,Wh_hp,'2025'!Maxi_hp)</f>
        <v>40.005159812023336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6.4231728075885286E-2</v>
      </c>
      <c r="M232" s="850"/>
      <c r="N232" s="850"/>
      <c r="O232" s="48">
        <f>IF(t&lt;Tnet,'2025'!Resal+('2025'!Salim-'2025'!Resal)*(1-EXP(('2025'!Tnet-t)/('2025'!Tau_j))),Resal+(Salim-Resal)*(1-EXP((Tnet-t)/(Tau_j))))*Salcycl</f>
        <v>8.178357558555692E-2</v>
      </c>
      <c r="P232" s="169">
        <f>(INDEX(Models!$BJ232:$BT232,,T232)*(1-R232)+INDEX(Models!$BJ232:$BT232,,T232+1)*R232-ERP_i)*Q232*Ramure*Pc/MaxiM</f>
        <v>0</v>
      </c>
      <c r="Q232" s="305">
        <f t="shared" si="80"/>
        <v>0.7</v>
      </c>
      <c r="R232" s="177">
        <f t="shared" si="81"/>
        <v>0.93239327584220311</v>
      </c>
      <c r="S232" s="817">
        <f t="shared" si="82"/>
        <v>-2</v>
      </c>
      <c r="T232" s="176">
        <f t="shared" si="83"/>
        <v>4</v>
      </c>
      <c r="U232" s="251">
        <f t="shared" si="84"/>
        <v>-1.0676067241577969</v>
      </c>
      <c r="V232" s="383">
        <f t="shared" si="85"/>
        <v>34.152468401566466</v>
      </c>
      <c r="W232" s="402">
        <f t="shared" si="86"/>
        <v>30.57784027951358</v>
      </c>
      <c r="X232" s="157">
        <f t="shared" si="87"/>
        <v>46240</v>
      </c>
      <c r="Y232" s="385">
        <f t="shared" si="88"/>
        <v>29.05670264077229</v>
      </c>
      <c r="Z232" s="385">
        <f t="shared" si="89"/>
        <v>31.05117315104761</v>
      </c>
      <c r="AA232" s="386">
        <f t="shared" si="90"/>
        <v>35.586940000316176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0.12745593887050327</v>
      </c>
      <c r="AD232" s="231">
        <f>(INDEX(Models!$BJ232:$BT232,,AH232)*(1-AF232)+INDEX(Models!$BJ232:$BT232,,AH232+1)*AF232-ERP_i)*AE232*Ramure*Pc/MaxiM</f>
        <v>7.5506999982687235E-6</v>
      </c>
      <c r="AE232" s="305">
        <f t="shared" si="92"/>
        <v>0.7</v>
      </c>
      <c r="AF232" s="177">
        <f t="shared" si="93"/>
        <v>0.55625664521825913</v>
      </c>
      <c r="AG232" s="817">
        <f t="shared" si="99"/>
        <v>1</v>
      </c>
      <c r="AH232" s="176">
        <f t="shared" si="94"/>
        <v>7</v>
      </c>
      <c r="AI232" s="225">
        <f t="shared" si="95"/>
        <v>1.5562566452182591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46241</v>
      </c>
      <c r="B233" s="411">
        <f>'2025'!Wh/'2025'!Env_an*'2026'!Env_an</f>
        <v>32.763338994656152</v>
      </c>
      <c r="C233" s="846"/>
      <c r="D233" s="393">
        <f t="shared" si="77"/>
        <v>35.013002251309132</v>
      </c>
      <c r="E233" s="385">
        <f t="shared" ref="E233:E296" si="100">Wh_pvt/(1-Psa)</f>
        <v>38.135550728798158</v>
      </c>
      <c r="F233" s="385">
        <f t="shared" si="78"/>
        <v>38.135550728798158</v>
      </c>
      <c r="G233" s="110">
        <f t="shared" ref="G233:G296" si="101">+Wh_hp/MaxiM</f>
        <v>0.96191968918351145</v>
      </c>
      <c r="H233" s="414" t="b">
        <f>Wh_hp&gt;='2025'!Maxi_hp</f>
        <v>0</v>
      </c>
      <c r="I233" s="390">
        <f>IF(H233,Wh_hp,'2025'!Maxi_hp)</f>
        <v>38.644291488995613</v>
      </c>
      <c r="J233" s="85">
        <f>IF(H233,An,'2025'!An_max)</f>
        <v>2020</v>
      </c>
      <c r="K233" s="197">
        <f t="shared" si="79"/>
        <v>46241</v>
      </c>
      <c r="L233" s="147">
        <f>IF(t&lt;Tvie,1-EXP((T0-t)*PertePVj)+'2025'!Pspv,1-EXP((T0-t)*PertePVj)+Pspv)</f>
        <v>6.4252223802626407E-2</v>
      </c>
      <c r="M233" s="850"/>
      <c r="N233" s="850"/>
      <c r="O233" s="48">
        <f>IF(t&lt;Tnet,'2025'!Resal+('2025'!Salim-'2025'!Resal)*(1-EXP(('2025'!Tnet-t)/('2025'!Tau_j))),Resal+(Salim-Resal)*(1-EXP((Tnet-t)/(Tau_j))))*Salcycl</f>
        <v>8.1880251309207494E-2</v>
      </c>
      <c r="P233" s="169">
        <f>(INDEX(Models!$BJ233:$BT233,,T233)*(1-R233)+INDEX(Models!$BJ233:$BT233,,T233+1)*R233-ERP_i)*Q233*Ramure*Pc/MaxiM</f>
        <v>0</v>
      </c>
      <c r="Q233" s="305">
        <f t="shared" si="80"/>
        <v>0.7</v>
      </c>
      <c r="R233" s="177">
        <f t="shared" si="81"/>
        <v>0.93401189972176657</v>
      </c>
      <c r="S233" s="817">
        <f t="shared" si="82"/>
        <v>-2</v>
      </c>
      <c r="T233" s="176">
        <f t="shared" si="83"/>
        <v>4</v>
      </c>
      <c r="U233" s="251">
        <f t="shared" si="84"/>
        <v>-1.0659881002782334</v>
      </c>
      <c r="V233" s="383">
        <f t="shared" si="85"/>
        <v>34.060368410242297</v>
      </c>
      <c r="W233" s="402">
        <f t="shared" si="86"/>
        <v>32.763338994656152</v>
      </c>
      <c r="X233" s="157">
        <f t="shared" si="87"/>
        <v>46241</v>
      </c>
      <c r="Y233" s="385">
        <f t="shared" si="88"/>
        <v>31.13553817723442</v>
      </c>
      <c r="Z233" s="385">
        <f t="shared" si="89"/>
        <v>33.273430051590232</v>
      </c>
      <c r="AA233" s="386">
        <f t="shared" si="90"/>
        <v>38.135250972980593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0.12748889275266695</v>
      </c>
      <c r="AD233" s="231">
        <f>(INDEX(Models!$BJ233:$BT233,,AH233)*(1-AF233)+INDEX(Models!$BJ233:$BT233,,AH233+1)*AF233-ERP_i)*AE233*Ramure*Pc/MaxiM</f>
        <v>8.3124747350840494E-6</v>
      </c>
      <c r="AE233" s="305">
        <f t="shared" si="92"/>
        <v>0.7</v>
      </c>
      <c r="AF233" s="177">
        <f t="shared" si="93"/>
        <v>0.55787526909782259</v>
      </c>
      <c r="AG233" s="817">
        <f t="shared" si="99"/>
        <v>1</v>
      </c>
      <c r="AH233" s="176">
        <f t="shared" si="94"/>
        <v>7</v>
      </c>
      <c r="AI233" s="225">
        <f t="shared" si="95"/>
        <v>1.5578752690978226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46242</v>
      </c>
      <c r="B234" s="411">
        <f>'2025'!Wh/'2025'!Env_an*'2026'!Env_an</f>
        <v>33.376286799388772</v>
      </c>
      <c r="C234" s="846"/>
      <c r="D234" s="393">
        <f t="shared" si="77"/>
        <v>35.668818767995965</v>
      </c>
      <c r="E234" s="385">
        <f t="shared" si="100"/>
        <v>38.853932004616951</v>
      </c>
      <c r="F234" s="385">
        <f t="shared" si="78"/>
        <v>38.853932004616951</v>
      </c>
      <c r="G234" s="110">
        <f t="shared" si="101"/>
        <v>0.98260874568328005</v>
      </c>
      <c r="H234" s="414" t="b">
        <f>Wh_hp&gt;='2025'!Maxi_hp</f>
        <v>1</v>
      </c>
      <c r="I234" s="390">
        <f>IF(H234,Wh_hp,'2025'!Maxi_hp)</f>
        <v>38.853932004616951</v>
      </c>
      <c r="J234" s="85">
        <f>IF(H234,An,'2025'!An_max)</f>
        <v>2026</v>
      </c>
      <c r="K234" s="197">
        <f t="shared" si="79"/>
        <v>46242</v>
      </c>
      <c r="L234" s="147">
        <f>IF(t&lt;Tvie,1-EXP((T0-t)*PertePVj)+'2025'!Pspv,1-EXP((T0-t)*PertePVj)+Pspv)</f>
        <v>6.4272719080458507E-2</v>
      </c>
      <c r="M234" s="850"/>
      <c r="N234" s="850"/>
      <c r="O234" s="48">
        <f>IF(t&lt;Tnet,'2025'!Resal+('2025'!Salim-'2025'!Resal)*(1-EXP(('2025'!Tnet-t)/('2025'!Tau_j))),Resal+(Salim-Resal)*(1-EXP((Tnet-t)/(Tau_j))))*Salcycl</f>
        <v>8.1976599852043266E-2</v>
      </c>
      <c r="P234" s="169">
        <f>(INDEX(Models!$BJ234:$BT234,,T234)*(1-R234)+INDEX(Models!$BJ234:$BT234,,T234+1)*R234-ERP_i)*Q234*Ramure*Pc/MaxiM</f>
        <v>0</v>
      </c>
      <c r="Q234" s="305">
        <f t="shared" si="80"/>
        <v>0.7</v>
      </c>
      <c r="R234" s="177">
        <f t="shared" si="81"/>
        <v>0.93557617365468815</v>
      </c>
      <c r="S234" s="817">
        <f t="shared" si="82"/>
        <v>-2</v>
      </c>
      <c r="T234" s="176">
        <f t="shared" si="83"/>
        <v>4</v>
      </c>
      <c r="U234" s="251">
        <f t="shared" si="84"/>
        <v>-1.0644238263453119</v>
      </c>
      <c r="V234" s="383">
        <f t="shared" si="85"/>
        <v>33.967015809715591</v>
      </c>
      <c r="W234" s="402">
        <f t="shared" si="86"/>
        <v>33.376286799388772</v>
      </c>
      <c r="X234" s="157">
        <f t="shared" si="87"/>
        <v>46242</v>
      </c>
      <c r="Y234" s="385">
        <f t="shared" si="88"/>
        <v>31.720141510728769</v>
      </c>
      <c r="Z234" s="385">
        <f t="shared" si="89"/>
        <v>33.898917085710387</v>
      </c>
      <c r="AA234" s="386">
        <f t="shared" si="90"/>
        <v>38.85358466077308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0.12752150460044859</v>
      </c>
      <c r="AD234" s="231">
        <f>(INDEX(Models!$BJ234:$BT234,,AH234)*(1-AF234)+INDEX(Models!$BJ234:$BT234,,AH234+1)*AF234-ERP_i)*AE234*Ramure*Pc/MaxiM</f>
        <v>9.1674979615848208E-6</v>
      </c>
      <c r="AE234" s="305">
        <f t="shared" si="92"/>
        <v>0.7</v>
      </c>
      <c r="AF234" s="177">
        <f t="shared" si="93"/>
        <v>0.55943954303074417</v>
      </c>
      <c r="AG234" s="817">
        <f t="shared" si="99"/>
        <v>1</v>
      </c>
      <c r="AH234" s="176">
        <f t="shared" si="94"/>
        <v>7</v>
      </c>
      <c r="AI234" s="225">
        <f t="shared" si="95"/>
        <v>1.5594395430307442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46243</v>
      </c>
      <c r="B235" s="411">
        <f>'2025'!Wh/'2025'!Env_an*'2026'!Env_an</f>
        <v>31.40748006581962</v>
      </c>
      <c r="C235" s="846"/>
      <c r="D235" s="393">
        <f t="shared" si="77"/>
        <v>33.565514894938779</v>
      </c>
      <c r="E235" s="385">
        <f t="shared" si="100"/>
        <v>36.566634473861747</v>
      </c>
      <c r="F235" s="385">
        <f t="shared" si="78"/>
        <v>36.566634473861747</v>
      </c>
      <c r="G235" s="110">
        <f t="shared" si="101"/>
        <v>0.92722895070303679</v>
      </c>
      <c r="H235" s="414" t="b">
        <f>Wh_hp&gt;='2025'!Maxi_hp</f>
        <v>0</v>
      </c>
      <c r="I235" s="390">
        <f>IF(H235,Wh_hp,'2025'!Maxi_hp)</f>
        <v>38.382501503737309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6.4293213909391356E-2</v>
      </c>
      <c r="M235" s="850"/>
      <c r="N235" s="850"/>
      <c r="O235" s="48">
        <f>IF(t&lt;Tnet,'2025'!Resal+('2025'!Salim-'2025'!Resal)*(1-EXP(('2025'!Tnet-t)/('2025'!Tau_j))),Resal+(Salim-Resal)*(1-EXP((Tnet-t)/(Tau_j))))*Salcycl</f>
        <v>8.2072622271765427E-2</v>
      </c>
      <c r="P235" s="169">
        <f>(INDEX(Models!$BJ235:$BT235,,T235)*(1-R235)+INDEX(Models!$BJ235:$BT235,,T235+1)*R235-ERP_i)*Q235*Ramure*Pc/MaxiM</f>
        <v>0</v>
      </c>
      <c r="Q235" s="305">
        <f t="shared" si="80"/>
        <v>0.7</v>
      </c>
      <c r="R235" s="177">
        <f t="shared" si="81"/>
        <v>0.9370875345233165</v>
      </c>
      <c r="S235" s="817">
        <f t="shared" si="82"/>
        <v>-2</v>
      </c>
      <c r="T235" s="176">
        <f t="shared" si="83"/>
        <v>4</v>
      </c>
      <c r="U235" s="251">
        <f t="shared" si="84"/>
        <v>-1.0629124654766835</v>
      </c>
      <c r="V235" s="383">
        <f t="shared" si="85"/>
        <v>33.872410953094239</v>
      </c>
      <c r="W235" s="402">
        <f t="shared" si="86"/>
        <v>31.40748006581962</v>
      </c>
      <c r="X235" s="157">
        <f t="shared" si="87"/>
        <v>46243</v>
      </c>
      <c r="Y235" s="385">
        <f t="shared" si="88"/>
        <v>29.851043000242022</v>
      </c>
      <c r="Z235" s="385">
        <f t="shared" si="89"/>
        <v>31.902133706820646</v>
      </c>
      <c r="AA235" s="386">
        <f t="shared" si="90"/>
        <v>36.566303861556044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0.12755377662436015</v>
      </c>
      <c r="AD235" s="231">
        <f>(INDEX(Models!$BJ235:$BT235,,AH235)*(1-AF235)+INDEX(Models!$BJ235:$BT235,,AH235+1)*AF235-ERP_i)*AE235*Ramure*Pc/MaxiM</f>
        <v>1.0090343901993464E-5</v>
      </c>
      <c r="AE235" s="305">
        <f t="shared" si="92"/>
        <v>0.7</v>
      </c>
      <c r="AF235" s="177">
        <f t="shared" si="93"/>
        <v>0.56095090389937252</v>
      </c>
      <c r="AG235" s="817">
        <f t="shared" si="99"/>
        <v>1</v>
      </c>
      <c r="AH235" s="176">
        <f t="shared" si="94"/>
        <v>7</v>
      </c>
      <c r="AI235" s="225">
        <f t="shared" si="95"/>
        <v>1.5609509038993725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46244</v>
      </c>
      <c r="B236" s="411">
        <f>'2025'!Wh/'2025'!Env_an*'2026'!Env_an</f>
        <v>30.220577202436271</v>
      </c>
      <c r="C236" s="846"/>
      <c r="D236" s="393">
        <f t="shared" si="77"/>
        <v>32.297766324211977</v>
      </c>
      <c r="E236" s="385">
        <f t="shared" si="100"/>
        <v>35.189204040046462</v>
      </c>
      <c r="F236" s="385">
        <f t="shared" si="78"/>
        <v>35.189204040046462</v>
      </c>
      <c r="G236" s="110">
        <f t="shared" si="101"/>
        <v>0.89472055039147258</v>
      </c>
      <c r="H236" s="414" t="b">
        <f>Wh_hp&gt;='2025'!Maxi_hp</f>
        <v>0</v>
      </c>
      <c r="I236" s="390">
        <f>IF(H236,Wh_hp,'2025'!Maxi_hp)</f>
        <v>35.976281897663725</v>
      </c>
      <c r="J236" s="85">
        <f>IF(H236,An,'2025'!An_max)</f>
        <v>2018</v>
      </c>
      <c r="K236" s="197">
        <f t="shared" si="79"/>
        <v>46244</v>
      </c>
      <c r="L236" s="147">
        <f>IF(t&lt;Tvie,1-EXP((T0-t)*PertePVj)+'2025'!Pspv,1-EXP((T0-t)*PertePVj)+Pspv)</f>
        <v>6.4313708289434945E-2</v>
      </c>
      <c r="M236" s="850"/>
      <c r="N236" s="850"/>
      <c r="O236" s="48">
        <f>IF(t&lt;Tnet,'2025'!Resal+('2025'!Salim-'2025'!Resal)*(1-EXP(('2025'!Tnet-t)/('2025'!Tau_j))),Resal+(Salim-Resal)*(1-EXP((Tnet-t)/(Tau_j))))*Salcycl</f>
        <v>8.2168318230328108E-2</v>
      </c>
      <c r="P236" s="169">
        <f>(INDEX(Models!$BJ236:$BT236,,T236)*(1-R236)+INDEX(Models!$BJ236:$BT236,,T236+1)*R236-ERP_i)*Q236*Ramure*Pc/MaxiM</f>
        <v>0</v>
      </c>
      <c r="Q236" s="305">
        <f t="shared" si="80"/>
        <v>0.7</v>
      </c>
      <c r="R236" s="177">
        <f t="shared" si="81"/>
        <v>0.93854740998921349</v>
      </c>
      <c r="S236" s="817">
        <f t="shared" si="82"/>
        <v>-2</v>
      </c>
      <c r="T236" s="176">
        <f t="shared" si="83"/>
        <v>4</v>
      </c>
      <c r="U236" s="251">
        <f t="shared" si="84"/>
        <v>-1.0614525900107865</v>
      </c>
      <c r="V236" s="383">
        <f t="shared" si="85"/>
        <v>33.77655424278975</v>
      </c>
      <c r="W236" s="402">
        <f t="shared" si="86"/>
        <v>30.220577202436271</v>
      </c>
      <c r="X236" s="157">
        <f t="shared" si="87"/>
        <v>46244</v>
      </c>
      <c r="Y236" s="385">
        <f t="shared" si="88"/>
        <v>28.724891211798166</v>
      </c>
      <c r="Z236" s="385">
        <f t="shared" si="89"/>
        <v>30.699275458321676</v>
      </c>
      <c r="AA236" s="386">
        <f t="shared" si="90"/>
        <v>35.188872729382041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0.12758570885709669</v>
      </c>
      <c r="AD236" s="231">
        <f>(INDEX(Models!$BJ236:$BT236,,AH236)*(1-AF236)+INDEX(Models!$BJ236:$BT236,,AH236+1)*AF236-ERP_i)*AE236*Ramure*Pc/MaxiM</f>
        <v>1.1081819352169996E-5</v>
      </c>
      <c r="AE236" s="305">
        <f t="shared" si="92"/>
        <v>0.7</v>
      </c>
      <c r="AF236" s="177">
        <f t="shared" si="93"/>
        <v>0.56241077936526951</v>
      </c>
      <c r="AG236" s="817">
        <f t="shared" si="99"/>
        <v>1</v>
      </c>
      <c r="AH236" s="176">
        <f t="shared" si="94"/>
        <v>7</v>
      </c>
      <c r="AI236" s="225">
        <f t="shared" si="95"/>
        <v>1.5624107793652695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46245</v>
      </c>
      <c r="B237" s="411">
        <f>'2025'!Wh/'2025'!Env_an*'2026'!Env_an</f>
        <v>28.217763344638456</v>
      </c>
      <c r="C237" s="846"/>
      <c r="D237" s="393">
        <f t="shared" si="77"/>
        <v>30.157951067151508</v>
      </c>
      <c r="E237" s="385">
        <f t="shared" si="100"/>
        <v>32.861237601450838</v>
      </c>
      <c r="F237" s="385">
        <f t="shared" si="78"/>
        <v>32.861237601450838</v>
      </c>
      <c r="G237" s="110">
        <f t="shared" si="101"/>
        <v>0.83783335505649248</v>
      </c>
      <c r="H237" s="414" t="b">
        <f>Wh_hp&gt;='2025'!Maxi_hp</f>
        <v>0</v>
      </c>
      <c r="I237" s="390">
        <f>IF(H237,Wh_hp,'2025'!Maxi_hp)</f>
        <v>36.771034850041509</v>
      </c>
      <c r="J237" s="85">
        <f>IF(H237,An,'2025'!An_max)</f>
        <v>2018</v>
      </c>
      <c r="K237" s="197">
        <f t="shared" si="79"/>
        <v>46245</v>
      </c>
      <c r="L237" s="147">
        <f>IF(t&lt;Tvie,1-EXP((T0-t)*PertePVj)+'2025'!Pspv,1-EXP((T0-t)*PertePVj)+Pspv)</f>
        <v>6.4334202220598935E-2</v>
      </c>
      <c r="M237" s="850"/>
      <c r="N237" s="850"/>
      <c r="O237" s="48">
        <f>IF(t&lt;Tnet,'2025'!Resal+('2025'!Salim-'2025'!Resal)*(1-EXP(('2025'!Tnet-t)/('2025'!Tau_j))),Resal+(Salim-Resal)*(1-EXP((Tnet-t)/(Tau_j))))*Salcycl</f>
        <v>8.2263686081621532E-2</v>
      </c>
      <c r="P237" s="169">
        <f>(INDEX(Models!$BJ237:$BT237,,T237)*(1-R237)+INDEX(Models!$BJ237:$BT237,,T237+1)*R237-ERP_i)*Q237*Ramure*Pc/MaxiM</f>
        <v>0</v>
      </c>
      <c r="Q237" s="305">
        <f t="shared" si="80"/>
        <v>0.7</v>
      </c>
      <c r="R237" s="177">
        <f t="shared" si="81"/>
        <v>0.93995721609555605</v>
      </c>
      <c r="S237" s="817">
        <f t="shared" si="82"/>
        <v>-2</v>
      </c>
      <c r="T237" s="176">
        <f t="shared" si="83"/>
        <v>4</v>
      </c>
      <c r="U237" s="251">
        <f t="shared" si="84"/>
        <v>-1.060042783904444</v>
      </c>
      <c r="V237" s="383">
        <f t="shared" si="85"/>
        <v>33.679446126534103</v>
      </c>
      <c r="W237" s="402">
        <f t="shared" si="86"/>
        <v>28.217763344638456</v>
      </c>
      <c r="X237" s="157">
        <f t="shared" si="87"/>
        <v>46245</v>
      </c>
      <c r="Y237" s="385">
        <f t="shared" si="88"/>
        <v>26.823019374369785</v>
      </c>
      <c r="Z237" s="385">
        <f t="shared" si="89"/>
        <v>28.667307748160056</v>
      </c>
      <c r="AA237" s="386">
        <f t="shared" si="90"/>
        <v>32.860931017020761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0.12761729929954094</v>
      </c>
      <c r="AD237" s="231">
        <f>(INDEX(Models!$BJ237:$BT237,,AH237)*(1-AF237)+INDEX(Models!$BJ237:$BT237,,AH237+1)*AF237-ERP_i)*AE237*Ramure*Pc/MaxiM</f>
        <v>1.2142734163920766E-5</v>
      </c>
      <c r="AE237" s="305">
        <f t="shared" si="92"/>
        <v>0.7</v>
      </c>
      <c r="AF237" s="177">
        <f t="shared" si="93"/>
        <v>0.56382058547161207</v>
      </c>
      <c r="AG237" s="817">
        <f t="shared" si="99"/>
        <v>1</v>
      </c>
      <c r="AH237" s="176">
        <f t="shared" si="94"/>
        <v>7</v>
      </c>
      <c r="AI237" s="225">
        <f t="shared" si="95"/>
        <v>1.5638205854716121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46246</v>
      </c>
      <c r="B238" s="411">
        <f>'2025'!Wh/'2025'!Env_an*'2026'!Env_an</f>
        <v>29.426125831783096</v>
      </c>
      <c r="C238" s="846"/>
      <c r="D238" s="393">
        <f t="shared" si="77"/>
        <v>31.450086583707222</v>
      </c>
      <c r="E238" s="385">
        <f t="shared" si="100"/>
        <v>34.272746192459863</v>
      </c>
      <c r="F238" s="385">
        <f t="shared" si="78"/>
        <v>34.272746192459863</v>
      </c>
      <c r="G238" s="110">
        <f t="shared" si="101"/>
        <v>0.87627079344443659</v>
      </c>
      <c r="H238" s="414" t="b">
        <f>Wh_hp&gt;='2025'!Maxi_hp</f>
        <v>1</v>
      </c>
      <c r="I238" s="390">
        <f>IF(H238,Wh_hp,'2025'!Maxi_hp)</f>
        <v>34.272746192459863</v>
      </c>
      <c r="J238" s="85">
        <f>IF(H238,An,'2025'!An_max)</f>
        <v>2026</v>
      </c>
      <c r="K238" s="197">
        <f t="shared" si="79"/>
        <v>46246</v>
      </c>
      <c r="L238" s="147">
        <f>IF(t&lt;Tvie,1-EXP((T0-t)*PertePVj)+'2025'!Pspv,1-EXP((T0-t)*PertePVj)+Pspv)</f>
        <v>6.4354695702893316E-2</v>
      </c>
      <c r="M238" s="850"/>
      <c r="N238" s="850"/>
      <c r="O238" s="48">
        <f>IF(t&lt;Tnet,'2025'!Resal+('2025'!Salim-'2025'!Resal)*(1-EXP(('2025'!Tnet-t)/('2025'!Tau_j))),Resal+(Salim-Resal)*(1-EXP((Tnet-t)/(Tau_j))))*Salcycl</f>
        <v>8.2358722960275632E-2</v>
      </c>
      <c r="P238" s="169">
        <f>(INDEX(Models!$BJ238:$BT238,,T238)*(1-R238)+INDEX(Models!$BJ238:$BT238,,T238+1)*R238-ERP_i)*Q238*Ramure*Pc/MaxiM</f>
        <v>0</v>
      </c>
      <c r="Q238" s="305">
        <f t="shared" si="80"/>
        <v>0.7</v>
      </c>
      <c r="R238" s="177">
        <f t="shared" si="81"/>
        <v>0.94131835508312212</v>
      </c>
      <c r="S238" s="817">
        <f t="shared" si="82"/>
        <v>-2</v>
      </c>
      <c r="T238" s="176">
        <f t="shared" si="83"/>
        <v>4</v>
      </c>
      <c r="U238" s="251">
        <f t="shared" si="84"/>
        <v>-1.0586816449168779</v>
      </c>
      <c r="V238" s="383">
        <f t="shared" si="85"/>
        <v>33.581087093083603</v>
      </c>
      <c r="W238" s="402">
        <f t="shared" si="86"/>
        <v>29.426125831783096</v>
      </c>
      <c r="X238" s="157">
        <f t="shared" si="87"/>
        <v>46246</v>
      </c>
      <c r="Y238" s="385">
        <f t="shared" si="88"/>
        <v>27.973505379366188</v>
      </c>
      <c r="Z238" s="385">
        <f t="shared" si="89"/>
        <v>29.897553325916576</v>
      </c>
      <c r="AA238" s="386">
        <f t="shared" si="90"/>
        <v>34.272371671533151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0.12764854406764994</v>
      </c>
      <c r="AD238" s="231">
        <f>(INDEX(Models!$BJ238:$BT238,,AH238)*(1-AF238)+INDEX(Models!$BJ238:$BT238,,AH238+1)*AF238-ERP_i)*AE238*Ramure*Pc/MaxiM</f>
        <v>1.3273902255511926E-5</v>
      </c>
      <c r="AE238" s="305">
        <f t="shared" si="92"/>
        <v>0.7</v>
      </c>
      <c r="AF238" s="177">
        <f t="shared" si="93"/>
        <v>0.56518172445917814</v>
      </c>
      <c r="AG238" s="817">
        <f t="shared" si="99"/>
        <v>1</v>
      </c>
      <c r="AH238" s="176">
        <f t="shared" si="94"/>
        <v>7</v>
      </c>
      <c r="AI238" s="225">
        <f t="shared" si="95"/>
        <v>1.5651817244591781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46247</v>
      </c>
      <c r="B239" s="411">
        <f>'2025'!Wh/'2025'!Env_an*'2026'!Env_an</f>
        <v>21.17771074032461</v>
      </c>
      <c r="C239" s="846"/>
      <c r="D239" s="393">
        <f t="shared" si="77"/>
        <v>22.634832344518099</v>
      </c>
      <c r="E239" s="385">
        <f t="shared" si="100"/>
        <v>24.668864729093141</v>
      </c>
      <c r="F239" s="385">
        <f t="shared" si="78"/>
        <v>24.668864729093141</v>
      </c>
      <c r="G239" s="110">
        <f t="shared" si="101"/>
        <v>0.63252019370320178</v>
      </c>
      <c r="H239" s="414" t="b">
        <f>Wh_hp&gt;='2025'!Maxi_hp</f>
        <v>0</v>
      </c>
      <c r="I239" s="390">
        <f>IF(H239,Wh_hp,'2025'!Maxi_hp)</f>
        <v>34.50916616392346</v>
      </c>
      <c r="J239" s="85">
        <f>IF(H239,An,'2025'!An_max)</f>
        <v>2019</v>
      </c>
      <c r="K239" s="197">
        <f t="shared" si="79"/>
        <v>46247</v>
      </c>
      <c r="L239" s="147">
        <f>IF(t&lt;Tvie,1-EXP((T0-t)*PertePVj)+'2025'!Pspv,1-EXP((T0-t)*PertePVj)+Pspv)</f>
        <v>6.4375188736327749E-2</v>
      </c>
      <c r="M239" s="850"/>
      <c r="N239" s="850"/>
      <c r="O239" s="48">
        <f>IF(t&lt;Tnet,'2025'!Resal+('2025'!Salim-'2025'!Resal)*(1-EXP(('2025'!Tnet-t)/('2025'!Tau_j))),Resal+(Salim-Resal)*(1-EXP((Tnet-t)/(Tau_j))))*Salcycl</f>
        <v>8.2453424870266231E-2</v>
      </c>
      <c r="P239" s="169">
        <f>(INDEX(Models!$BJ239:$BT239,,T239)*(1-R239)+INDEX(Models!$BJ239:$BT239,,T239+1)*R239-ERP_i)*Q239*Ramure*Pc/MaxiM</f>
        <v>0</v>
      </c>
      <c r="Q239" s="305">
        <f t="shared" si="80"/>
        <v>0.7</v>
      </c>
      <c r="R239" s="177">
        <f t="shared" si="81"/>
        <v>0.94263221341086578</v>
      </c>
      <c r="S239" s="817">
        <f t="shared" si="82"/>
        <v>-2</v>
      </c>
      <c r="T239" s="176">
        <f t="shared" si="83"/>
        <v>4</v>
      </c>
      <c r="U239" s="251">
        <f t="shared" si="84"/>
        <v>-1.0573677865891342</v>
      </c>
      <c r="V239" s="383">
        <f t="shared" si="85"/>
        <v>33.481477668461373</v>
      </c>
      <c r="W239" s="402">
        <f t="shared" si="86"/>
        <v>21.17771074032461</v>
      </c>
      <c r="X239" s="157">
        <f t="shared" si="87"/>
        <v>46247</v>
      </c>
      <c r="Y239" s="385">
        <f t="shared" si="88"/>
        <v>20.133719648733717</v>
      </c>
      <c r="Z239" s="385">
        <f t="shared" si="89"/>
        <v>21.519009977451049</v>
      </c>
      <c r="AA239" s="386">
        <f t="shared" si="90"/>
        <v>24.668695091539799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0.12767943753818356</v>
      </c>
      <c r="AD239" s="231">
        <f>(INDEX(Models!$BJ239:$BT239,,AH239)*(1-AF239)+INDEX(Models!$BJ239:$BT239,,AH239+1)*AF239-ERP_i)*AE239*Ramure*Pc/MaxiM</f>
        <v>1.4476142571730057E-5</v>
      </c>
      <c r="AE239" s="305">
        <f t="shared" si="92"/>
        <v>0.7</v>
      </c>
      <c r="AF239" s="177">
        <f t="shared" si="93"/>
        <v>0.5664955827869218</v>
      </c>
      <c r="AG239" s="817">
        <f t="shared" si="99"/>
        <v>1</v>
      </c>
      <c r="AH239" s="176">
        <f t="shared" si="94"/>
        <v>7</v>
      </c>
      <c r="AI239" s="225">
        <f t="shared" si="95"/>
        <v>1.5664955827869218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46248</v>
      </c>
      <c r="B240" s="411">
        <f>'2025'!Wh/'2025'!Env_an*'2026'!Env_an</f>
        <v>22.41520575002864</v>
      </c>
      <c r="C240" s="846"/>
      <c r="D240" s="393">
        <f t="shared" si="77"/>
        <v>23.957997309883147</v>
      </c>
      <c r="E240" s="385">
        <f t="shared" si="100"/>
        <v>26.11361874161247</v>
      </c>
      <c r="F240" s="385">
        <f t="shared" si="78"/>
        <v>26.11361874161247</v>
      </c>
      <c r="G240" s="110">
        <f t="shared" si="101"/>
        <v>0.67150360947299659</v>
      </c>
      <c r="H240" s="414" t="b">
        <f>Wh_hp&gt;='2025'!Maxi_hp</f>
        <v>0</v>
      </c>
      <c r="I240" s="390">
        <f>IF(H240,Wh_hp,'2025'!Maxi_hp)</f>
        <v>38.844476104478311</v>
      </c>
      <c r="J240" s="85">
        <f>IF(H240,An,'2025'!An_max)</f>
        <v>2019</v>
      </c>
      <c r="K240" s="197">
        <f t="shared" si="79"/>
        <v>46248</v>
      </c>
      <c r="L240" s="147">
        <f>IF(t&lt;Tvie,1-EXP((T0-t)*PertePVj)+'2025'!Pspv,1-EXP((T0-t)*PertePVj)+Pspv)</f>
        <v>6.4395681320912224E-2</v>
      </c>
      <c r="M240" s="850"/>
      <c r="N240" s="850"/>
      <c r="O240" s="48">
        <f>IF(t&lt;Tnet,'2025'!Resal+('2025'!Salim-'2025'!Resal)*(1-EXP(('2025'!Tnet-t)/('2025'!Tau_j))),Resal+(Salim-Resal)*(1-EXP((Tnet-t)/(Tau_j))))*Salcycl</f>
        <v>8.254778677205328E-2</v>
      </c>
      <c r="P240" s="169">
        <f>(INDEX(Models!$BJ240:$BT240,,T240)*(1-R240)+INDEX(Models!$BJ240:$BT240,,T240+1)*R240-ERP_i)*Q240*Ramure*Pc/MaxiM</f>
        <v>0</v>
      </c>
      <c r="Q240" s="305">
        <f t="shared" si="80"/>
        <v>0.7</v>
      </c>
      <c r="R240" s="177">
        <f t="shared" si="81"/>
        <v>0.94390015997181465</v>
      </c>
      <c r="S240" s="817">
        <f t="shared" si="82"/>
        <v>-2</v>
      </c>
      <c r="T240" s="176">
        <f t="shared" si="83"/>
        <v>4</v>
      </c>
      <c r="U240" s="251">
        <f t="shared" si="84"/>
        <v>-1.0560998400281854</v>
      </c>
      <c r="V240" s="383">
        <f t="shared" si="85"/>
        <v>33.380618411895561</v>
      </c>
      <c r="W240" s="402">
        <f t="shared" si="86"/>
        <v>22.41520575002864</v>
      </c>
      <c r="X240" s="157">
        <f t="shared" si="87"/>
        <v>46248</v>
      </c>
      <c r="Y240" s="385">
        <f t="shared" si="88"/>
        <v>21.311625087395143</v>
      </c>
      <c r="Z240" s="385">
        <f t="shared" si="89"/>
        <v>22.778459506774709</v>
      </c>
      <c r="AA240" s="386">
        <f t="shared" si="90"/>
        <v>26.113401263833754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0.12770997249132141</v>
      </c>
      <c r="AD240" s="231">
        <f>(INDEX(Models!$BJ240:$BT240,,AH240)*(1-AF240)+INDEX(Models!$BJ240:$BT240,,AH240+1)*AF240-ERP_i)*AE240*Ramure*Pc/MaxiM</f>
        <v>1.5692163762792299E-5</v>
      </c>
      <c r="AE240" s="305">
        <f t="shared" si="92"/>
        <v>0.7</v>
      </c>
      <c r="AF240" s="177">
        <f t="shared" si="93"/>
        <v>0.56776352934787067</v>
      </c>
      <c r="AG240" s="817">
        <f t="shared" si="99"/>
        <v>1</v>
      </c>
      <c r="AH240" s="176">
        <f t="shared" si="94"/>
        <v>7</v>
      </c>
      <c r="AI240" s="225">
        <f t="shared" si="95"/>
        <v>1.5677635293478707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46249</v>
      </c>
      <c r="B241" s="411">
        <f>'2025'!Wh/'2025'!Env_an*'2026'!Env_an</f>
        <v>21.419630825799327</v>
      </c>
      <c r="C241" s="846"/>
      <c r="D241" s="393">
        <f t="shared" si="77"/>
        <v>22.894400499565503</v>
      </c>
      <c r="E241" s="385">
        <f t="shared" si="100"/>
        <v>24.956882236542427</v>
      </c>
      <c r="F241" s="385">
        <f t="shared" si="78"/>
        <v>24.956882236542427</v>
      </c>
      <c r="G241" s="110">
        <f t="shared" si="101"/>
        <v>0.64364753355286675</v>
      </c>
      <c r="H241" s="414" t="b">
        <f>Wh_hp&gt;='2025'!Maxi_hp</f>
        <v>0</v>
      </c>
      <c r="I241" s="390">
        <f>IF(H241,Wh_hp,'2025'!Maxi_hp)</f>
        <v>38.017729507891737</v>
      </c>
      <c r="J241" s="85">
        <f>IF(H241,An,'2025'!An_max)</f>
        <v>2018</v>
      </c>
      <c r="K241" s="197">
        <f t="shared" si="79"/>
        <v>46249</v>
      </c>
      <c r="L241" s="147">
        <f>IF(t&lt;Tvie,1-EXP((T0-t)*PertePVj)+'2025'!Pspv,1-EXP((T0-t)*PertePVj)+Pspv)</f>
        <v>6.4416173456656511E-2</v>
      </c>
      <c r="M241" s="850"/>
      <c r="N241" s="850"/>
      <c r="O241" s="48">
        <f>IF(t&lt;Tnet,'2025'!Resal+('2025'!Salim-'2025'!Resal)*(1-EXP(('2025'!Tnet-t)/('2025'!Tau_j))),Resal+(Salim-Resal)*(1-EXP((Tnet-t)/(Tau_j))))*Salcycl</f>
        <v>8.2641802667041089E-2</v>
      </c>
      <c r="P241" s="169">
        <f>(INDEX(Models!$BJ241:$BT241,,T241)*(1-R241)+INDEX(Models!$BJ241:$BT241,,T241+1)*R241-ERP_i)*Q241*Ramure*Pc/MaxiM</f>
        <v>0</v>
      </c>
      <c r="Q241" s="305">
        <f t="shared" si="80"/>
        <v>0.7</v>
      </c>
      <c r="R241" s="177">
        <f t="shared" si="81"/>
        <v>0.94512354449485492</v>
      </c>
      <c r="S241" s="817">
        <f t="shared" si="82"/>
        <v>-2</v>
      </c>
      <c r="T241" s="176">
        <f t="shared" si="83"/>
        <v>4</v>
      </c>
      <c r="U241" s="251">
        <f t="shared" si="84"/>
        <v>-1.0548764555051451</v>
      </c>
      <c r="V241" s="383">
        <f t="shared" si="85"/>
        <v>33.278509912972424</v>
      </c>
      <c r="W241" s="402">
        <f t="shared" si="86"/>
        <v>21.419630825799327</v>
      </c>
      <c r="X241" s="157">
        <f t="shared" si="87"/>
        <v>46249</v>
      </c>
      <c r="Y241" s="385">
        <f t="shared" si="88"/>
        <v>20.366449267814087</v>
      </c>
      <c r="Z241" s="385">
        <f t="shared" si="89"/>
        <v>21.768706010086799</v>
      </c>
      <c r="AA241" s="386">
        <f t="shared" si="90"/>
        <v>24.956675200305728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0.12774014024832422</v>
      </c>
      <c r="AD241" s="231">
        <f>(INDEX(Models!$BJ241:$BT241,,AH241)*(1-AF241)+INDEX(Models!$BJ241:$BT241,,AH241+1)*AF241-ERP_i)*AE241*Ramure*Pc/MaxiM</f>
        <v>1.6898215486926581E-5</v>
      </c>
      <c r="AE241" s="305">
        <f t="shared" si="92"/>
        <v>0.7</v>
      </c>
      <c r="AF241" s="177">
        <f t="shared" si="93"/>
        <v>0.56898691387091094</v>
      </c>
      <c r="AG241" s="817">
        <f t="shared" si="99"/>
        <v>1</v>
      </c>
      <c r="AH241" s="176">
        <f t="shared" si="94"/>
        <v>7</v>
      </c>
      <c r="AI241" s="225">
        <f t="shared" si="95"/>
        <v>1.5689869138709109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46250</v>
      </c>
      <c r="B242" s="411">
        <f>'2025'!Wh/'2025'!Env_an*'2026'!Env_an</f>
        <v>21.187514390863512</v>
      </c>
      <c r="C242" s="846"/>
      <c r="D242" s="393">
        <f t="shared" si="77"/>
        <v>22.646798566678463</v>
      </c>
      <c r="E242" s="385">
        <f t="shared" si="100"/>
        <v>24.689495471907193</v>
      </c>
      <c r="F242" s="385">
        <f t="shared" si="78"/>
        <v>24.689495471907193</v>
      </c>
      <c r="G242" s="110">
        <f t="shared" si="101"/>
        <v>0.63865612094815305</v>
      </c>
      <c r="H242" s="414" t="b">
        <f>Wh_hp&gt;='2025'!Maxi_hp</f>
        <v>0</v>
      </c>
      <c r="I242" s="390">
        <f>IF(H242,Wh_hp,'2025'!Maxi_hp)</f>
        <v>38.177761326018796</v>
      </c>
      <c r="J242" s="85">
        <f>IF(H242,An,'2025'!An_max)</f>
        <v>2019</v>
      </c>
      <c r="K242" s="197">
        <f t="shared" si="79"/>
        <v>46250</v>
      </c>
      <c r="L242" s="147">
        <f>IF(t&lt;Tvie,1-EXP((T0-t)*PertePVj)+'2025'!Pspv,1-EXP((T0-t)*PertePVj)+Pspv)</f>
        <v>6.4436665143570382E-2</v>
      </c>
      <c r="M242" s="850"/>
      <c r="N242" s="850"/>
      <c r="O242" s="48">
        <f>IF(t&lt;Tnet,'2025'!Resal+('2025'!Salim-'2025'!Resal)*(1-EXP(('2025'!Tnet-t)/('2025'!Tau_j))),Resal+(Salim-Resal)*(1-EXP((Tnet-t)/(Tau_j))))*Salcycl</f>
        <v>8.2735465678227441E-2</v>
      </c>
      <c r="P242" s="169">
        <f>(INDEX(Models!$BJ242:$BT242,,T242)*(1-R242)+INDEX(Models!$BJ242:$BT242,,T242+1)*R242-ERP_i)*Q242*Ramure*Pc/MaxiM</f>
        <v>0</v>
      </c>
      <c r="Q242" s="305">
        <f t="shared" si="80"/>
        <v>0.7</v>
      </c>
      <c r="R242" s="177">
        <f t="shared" si="81"/>
        <v>0.94630369612287368</v>
      </c>
      <c r="S242" s="817">
        <f t="shared" si="82"/>
        <v>-2</v>
      </c>
      <c r="T242" s="176">
        <f t="shared" si="83"/>
        <v>4</v>
      </c>
      <c r="U242" s="251">
        <f t="shared" si="84"/>
        <v>-1.0536963038771263</v>
      </c>
      <c r="V242" s="383">
        <f t="shared" si="85"/>
        <v>33.175152787087349</v>
      </c>
      <c r="W242" s="402">
        <f t="shared" si="86"/>
        <v>21.187514390863512</v>
      </c>
      <c r="X242" s="157">
        <f t="shared" si="87"/>
        <v>46250</v>
      </c>
      <c r="Y242" s="385">
        <f t="shared" si="88"/>
        <v>20.147105528740742</v>
      </c>
      <c r="Z242" s="385">
        <f t="shared" si="89"/>
        <v>21.534731832807974</v>
      </c>
      <c r="AA242" s="386">
        <f t="shared" si="90"/>
        <v>24.689279346470759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0.12776993080252519</v>
      </c>
      <c r="AD242" s="231">
        <f>(INDEX(Models!$BJ242:$BT242,,AH242)*(1-AF242)+INDEX(Models!$BJ242:$BT242,,AH242+1)*AF242-ERP_i)*AE242*Ramure*Pc/MaxiM</f>
        <v>1.8093924694945334E-5</v>
      </c>
      <c r="AE242" s="305">
        <f t="shared" si="92"/>
        <v>0.7</v>
      </c>
      <c r="AF242" s="177">
        <f t="shared" si="93"/>
        <v>0.5701670654989297</v>
      </c>
      <c r="AG242" s="817">
        <f t="shared" si="99"/>
        <v>1</v>
      </c>
      <c r="AH242" s="176">
        <f t="shared" si="94"/>
        <v>7</v>
      </c>
      <c r="AI242" s="225">
        <f t="shared" si="95"/>
        <v>1.5701670654989297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46251</v>
      </c>
      <c r="B243" s="411">
        <f>'2025'!Wh/'2025'!Env_an*'2026'!Env_an</f>
        <v>16.830173600680038</v>
      </c>
      <c r="C243" s="846"/>
      <c r="D243" s="393">
        <f t="shared" si="77"/>
        <v>17.989741159888631</v>
      </c>
      <c r="E243" s="385">
        <f t="shared" si="100"/>
        <v>19.614375739992656</v>
      </c>
      <c r="F243" s="385">
        <f t="shared" si="78"/>
        <v>19.614375739992656</v>
      </c>
      <c r="G243" s="110">
        <f t="shared" si="101"/>
        <v>0.50891729303206334</v>
      </c>
      <c r="H243" s="414" t="b">
        <f>Wh_hp&gt;='2025'!Maxi_hp</f>
        <v>0</v>
      </c>
      <c r="I243" s="390">
        <f>IF(H243,Wh_hp,'2025'!Maxi_hp)</f>
        <v>37.316431373615615</v>
      </c>
      <c r="J243" s="85">
        <f>IF(H243,An,'2025'!An_max)</f>
        <v>2019</v>
      </c>
      <c r="K243" s="197">
        <f t="shared" si="79"/>
        <v>46251</v>
      </c>
      <c r="L243" s="147">
        <f>IF(t&lt;Tvie,1-EXP((T0-t)*PertePVj)+'2025'!Pspv,1-EXP((T0-t)*PertePVj)+Pspv)</f>
        <v>6.4457156381663716E-2</v>
      </c>
      <c r="M243" s="850"/>
      <c r="N243" s="850"/>
      <c r="O243" s="48">
        <f>IF(t&lt;Tnet,'2025'!Resal+('2025'!Salim-'2025'!Resal)*(1-EXP(('2025'!Tnet-t)/('2025'!Tau_j))),Resal+(Salim-Resal)*(1-EXP((Tnet-t)/(Tau_j))))*Salcycl</f>
        <v>8.2828768125996585E-2</v>
      </c>
      <c r="P243" s="169">
        <f>(INDEX(Models!$BJ243:$BT243,,T243)*(1-R243)+INDEX(Models!$BJ243:$BT243,,T243+1)*R243-ERP_i)*Q243*Ramure*Pc/MaxiM</f>
        <v>0</v>
      </c>
      <c r="Q243" s="305">
        <f t="shared" si="80"/>
        <v>0.7</v>
      </c>
      <c r="R243" s="177">
        <f t="shared" si="81"/>
        <v>0.94744192215772638</v>
      </c>
      <c r="S243" s="817">
        <f t="shared" si="82"/>
        <v>-2</v>
      </c>
      <c r="T243" s="176">
        <f t="shared" si="83"/>
        <v>4</v>
      </c>
      <c r="U243" s="251">
        <f t="shared" si="84"/>
        <v>-1.0525580778422736</v>
      </c>
      <c r="V243" s="383">
        <f t="shared" si="85"/>
        <v>33.070547672703441</v>
      </c>
      <c r="W243" s="402">
        <f t="shared" si="86"/>
        <v>16.830173600680038</v>
      </c>
      <c r="X243" s="157">
        <f t="shared" si="87"/>
        <v>46251</v>
      </c>
      <c r="Y243" s="385">
        <f t="shared" si="88"/>
        <v>16.004867650113646</v>
      </c>
      <c r="Z243" s="385">
        <f t="shared" si="89"/>
        <v>17.107573169190939</v>
      </c>
      <c r="AA243" s="386">
        <f t="shared" si="90"/>
        <v>19.614262881611644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0.12779933294208701</v>
      </c>
      <c r="AD243" s="231">
        <f>(INDEX(Models!$BJ243:$BT243,,AH243)*(1-AF243)+INDEX(Models!$BJ243:$BT243,,AH243+1)*AF243-ERP_i)*AE243*Ramure*Pc/MaxiM</f>
        <v>1.9278932171622326E-5</v>
      </c>
      <c r="AE243" s="305">
        <f t="shared" si="92"/>
        <v>0.7</v>
      </c>
      <c r="AF243" s="177">
        <f t="shared" si="93"/>
        <v>0.5713052915337824</v>
      </c>
      <c r="AG243" s="817">
        <f t="shared" si="99"/>
        <v>1</v>
      </c>
      <c r="AH243" s="176">
        <f t="shared" si="94"/>
        <v>7</v>
      </c>
      <c r="AI243" s="225">
        <f t="shared" si="95"/>
        <v>1.5713052915337824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46252</v>
      </c>
      <c r="B244" s="411">
        <f>'2025'!Wh/'2025'!Env_an*'2026'!Env_an</f>
        <v>24.970895432531265</v>
      </c>
      <c r="C244" s="846"/>
      <c r="D244" s="393">
        <f t="shared" si="77"/>
        <v>26.691928158657426</v>
      </c>
      <c r="E244" s="385">
        <f t="shared" si="100"/>
        <v>29.105397221994213</v>
      </c>
      <c r="F244" s="385">
        <f t="shared" si="78"/>
        <v>29.105397221994213</v>
      </c>
      <c r="G244" s="110">
        <f t="shared" si="101"/>
        <v>0.7575042104786045</v>
      </c>
      <c r="H244" s="414" t="b">
        <f>Wh_hp&gt;='2025'!Maxi_hp</f>
        <v>0</v>
      </c>
      <c r="I244" s="390">
        <f>IF(H244,Wh_hp,'2025'!Maxi_hp)</f>
        <v>36.873994716439007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6.4477647170946395E-2</v>
      </c>
      <c r="M244" s="850"/>
      <c r="N244" s="850"/>
      <c r="O244" s="48">
        <f>IF(t&lt;Tnet,'2025'!Resal+('2025'!Salim-'2025'!Resal)*(1-EXP(('2025'!Tnet-t)/('2025'!Tau_j))),Resal+(Salim-Resal)*(1-EXP((Tnet-t)/(Tau_j))))*Salcycl</f>
        <v>8.2921701598114239E-2</v>
      </c>
      <c r="P244" s="169">
        <f>(INDEX(Models!$BJ244:$BT244,,T244)*(1-R244)+INDEX(Models!$BJ244:$BT244,,T244+1)*R244-ERP_i)*Q244*Ramure*Pc/MaxiM</f>
        <v>0</v>
      </c>
      <c r="Q244" s="305">
        <f t="shared" si="80"/>
        <v>0.7</v>
      </c>
      <c r="R244" s="177">
        <f t="shared" si="81"/>
        <v>0.94853950696253997</v>
      </c>
      <c r="S244" s="817">
        <f t="shared" si="82"/>
        <v>-2</v>
      </c>
      <c r="T244" s="176">
        <f t="shared" si="83"/>
        <v>4</v>
      </c>
      <c r="U244" s="251">
        <f t="shared" si="84"/>
        <v>-1.05146049303746</v>
      </c>
      <c r="V244" s="383">
        <f t="shared" si="85"/>
        <v>32.964695228234064</v>
      </c>
      <c r="W244" s="402">
        <f t="shared" si="86"/>
        <v>24.970895432531265</v>
      </c>
      <c r="X244" s="157">
        <f t="shared" si="87"/>
        <v>46252</v>
      </c>
      <c r="Y244" s="385">
        <f t="shared" si="88"/>
        <v>23.747826515121837</v>
      </c>
      <c r="Z244" s="385">
        <f t="shared" si="89"/>
        <v>25.38456344020808</v>
      </c>
      <c r="AA244" s="386">
        <f t="shared" si="90"/>
        <v>29.105008154182496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0.1278283343631284</v>
      </c>
      <c r="AD244" s="231">
        <f>(INDEX(Models!$BJ244:$BT244,,AH244)*(1-AF244)+INDEX(Models!$BJ244:$BT244,,AH244+1)*AF244-ERP_i)*AE244*Ramure*Pc/MaxiM</f>
        <v>2.0452891583560334E-5</v>
      </c>
      <c r="AE244" s="305">
        <f t="shared" si="92"/>
        <v>0.7</v>
      </c>
      <c r="AF244" s="177">
        <f t="shared" si="93"/>
        <v>0.57240287633859599</v>
      </c>
      <c r="AG244" s="817">
        <f t="shared" si="99"/>
        <v>1</v>
      </c>
      <c r="AH244" s="176">
        <f t="shared" si="94"/>
        <v>7</v>
      </c>
      <c r="AI244" s="225">
        <f t="shared" si="95"/>
        <v>1.572402876338596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46253</v>
      </c>
      <c r="B245" s="411">
        <f>'2025'!Wh/'2025'!Env_an*'2026'!Env_an</f>
        <v>25.172966379119575</v>
      </c>
      <c r="C245" s="846"/>
      <c r="D245" s="393">
        <f t="shared" si="77"/>
        <v>26.90851551289893</v>
      </c>
      <c r="E245" s="385">
        <f t="shared" si="100"/>
        <v>29.344529856319891</v>
      </c>
      <c r="F245" s="385">
        <f t="shared" si="78"/>
        <v>29.344529856319891</v>
      </c>
      <c r="G245" s="110">
        <f t="shared" si="101"/>
        <v>0.76612319051297273</v>
      </c>
      <c r="H245" s="414" t="b">
        <f>Wh_hp&gt;='2025'!Maxi_hp</f>
        <v>0</v>
      </c>
      <c r="I245" s="390">
        <f>IF(H245,Wh_hp,'2025'!Maxi_hp)</f>
        <v>35.384293693834039</v>
      </c>
      <c r="J245" s="85">
        <f>IF(H245,An,'2025'!An_max)</f>
        <v>2018</v>
      </c>
      <c r="K245" s="197">
        <f t="shared" si="79"/>
        <v>46253</v>
      </c>
      <c r="L245" s="147">
        <f>IF(t&lt;Tvie,1-EXP((T0-t)*PertePVj)+'2025'!Pspv,1-EXP((T0-t)*PertePVj)+Pspv)</f>
        <v>6.4498137511428189E-2</v>
      </c>
      <c r="M245" s="850"/>
      <c r="N245" s="850"/>
      <c r="O245" s="48">
        <f>IF(t&lt;Tnet,'2025'!Resal+('2025'!Salim-'2025'!Resal)*(1-EXP(('2025'!Tnet-t)/('2025'!Tau_j))),Resal+(Salim-Resal)*(1-EXP((Tnet-t)/(Tau_j))))*Salcycl</f>
        <v>8.3014257013094367E-2</v>
      </c>
      <c r="P245" s="169">
        <f>(INDEX(Models!$BJ245:$BT245,,T245)*(1-R245)+INDEX(Models!$BJ245:$BT245,,T245+1)*R245-ERP_i)*Q245*Ramure*Pc/MaxiM</f>
        <v>0</v>
      </c>
      <c r="Q245" s="305">
        <f t="shared" si="80"/>
        <v>0.7</v>
      </c>
      <c r="R245" s="177">
        <f t="shared" si="81"/>
        <v>0.94959771101197932</v>
      </c>
      <c r="S245" s="817">
        <f t="shared" si="82"/>
        <v>-2</v>
      </c>
      <c r="T245" s="176">
        <f t="shared" si="83"/>
        <v>4</v>
      </c>
      <c r="U245" s="251">
        <f t="shared" si="84"/>
        <v>-1.0504022889880207</v>
      </c>
      <c r="V245" s="383">
        <f t="shared" si="85"/>
        <v>32.857596129239376</v>
      </c>
      <c r="W245" s="402">
        <f t="shared" si="86"/>
        <v>25.172966379119575</v>
      </c>
      <c r="X245" s="157">
        <f t="shared" si="87"/>
        <v>46253</v>
      </c>
      <c r="Y245" s="385">
        <f t="shared" si="88"/>
        <v>23.941607110242327</v>
      </c>
      <c r="Z245" s="385">
        <f t="shared" si="89"/>
        <v>25.592260229770307</v>
      </c>
      <c r="AA245" s="386">
        <f t="shared" si="90"/>
        <v>29.34410748494188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0.1278569217720068</v>
      </c>
      <c r="AD245" s="231">
        <f>(INDEX(Models!$BJ245:$BT245,,AH245)*(1-AF245)+INDEX(Models!$BJ245:$BT245,,AH245+1)*AF245-ERP_i)*AE245*Ramure*Pc/MaxiM</f>
        <v>2.1615468564008749E-5</v>
      </c>
      <c r="AE245" s="305">
        <f t="shared" si="92"/>
        <v>0.7</v>
      </c>
      <c r="AF245" s="177">
        <f t="shared" si="93"/>
        <v>0.57346108038803534</v>
      </c>
      <c r="AG245" s="817">
        <f t="shared" si="99"/>
        <v>1</v>
      </c>
      <c r="AH245" s="176">
        <f t="shared" si="94"/>
        <v>7</v>
      </c>
      <c r="AI245" s="225">
        <f t="shared" si="95"/>
        <v>1.5734610803880353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46254</v>
      </c>
      <c r="B246" s="411">
        <f>'2025'!Wh/'2025'!Env_an*'2026'!Env_an</f>
        <v>31.243816387105607</v>
      </c>
      <c r="C246" s="846"/>
      <c r="D246" s="393">
        <f t="shared" si="77"/>
        <v>33.398651541690541</v>
      </c>
      <c r="E246" s="385">
        <f t="shared" si="100"/>
        <v>36.425875849219473</v>
      </c>
      <c r="F246" s="385">
        <f t="shared" si="78"/>
        <v>36.425875849219473</v>
      </c>
      <c r="G246" s="110">
        <f t="shared" si="101"/>
        <v>0.95403147767658569</v>
      </c>
      <c r="H246" s="414" t="b">
        <f>Wh_hp&gt;='2025'!Maxi_hp</f>
        <v>0</v>
      </c>
      <c r="I246" s="390">
        <f>IF(H246,Wh_hp,'2025'!Maxi_hp)</f>
        <v>36.556455204531737</v>
      </c>
      <c r="J246" s="85">
        <f>IF(H246,An,'2025'!An_max)</f>
        <v>2021</v>
      </c>
      <c r="K246" s="197">
        <f t="shared" si="79"/>
        <v>46254</v>
      </c>
      <c r="L246" s="147">
        <f>IF(t&lt;Tvie,1-EXP((T0-t)*PertePVj)+'2025'!Pspv,1-EXP((T0-t)*PertePVj)+Pspv)</f>
        <v>6.4518627403118867E-2</v>
      </c>
      <c r="M246" s="850"/>
      <c r="N246" s="850"/>
      <c r="O246" s="48">
        <f>IF(t&lt;Tnet,'2025'!Resal+('2025'!Salim-'2025'!Resal)*(1-EXP(('2025'!Tnet-t)/('2025'!Tau_j))),Resal+(Salim-Resal)*(1-EXP((Tnet-t)/(Tau_j))))*Salcycl</f>
        <v>8.3106424676231985E-2</v>
      </c>
      <c r="P246" s="169">
        <f>(INDEX(Models!$BJ246:$BT246,,T246)*(1-R246)+INDEX(Models!$BJ246:$BT246,,T246+1)*R246-ERP_i)*Q246*Ramure*Pc/MaxiM</f>
        <v>0</v>
      </c>
      <c r="Q246" s="305">
        <f t="shared" si="80"/>
        <v>0.7</v>
      </c>
      <c r="R246" s="177">
        <f t="shared" si="81"/>
        <v>0.95061777008126458</v>
      </c>
      <c r="S246" s="817">
        <f t="shared" si="82"/>
        <v>-2</v>
      </c>
      <c r="T246" s="176">
        <f t="shared" si="83"/>
        <v>4</v>
      </c>
      <c r="U246" s="251">
        <f t="shared" si="84"/>
        <v>-1.0493822299187354</v>
      </c>
      <c r="V246" s="383">
        <f t="shared" si="85"/>
        <v>32.74925106579888</v>
      </c>
      <c r="W246" s="402">
        <f t="shared" si="86"/>
        <v>31.243816387105607</v>
      </c>
      <c r="X246" s="157">
        <f t="shared" si="87"/>
        <v>46254</v>
      </c>
      <c r="Y246" s="385">
        <f t="shared" si="88"/>
        <v>29.717318920576297</v>
      </c>
      <c r="Z246" s="385">
        <f t="shared" si="89"/>
        <v>31.766874029871381</v>
      </c>
      <c r="AA246" s="386">
        <f t="shared" si="90"/>
        <v>36.425101023856932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0.12788508097574267</v>
      </c>
      <c r="AD246" s="231">
        <f>(INDEX(Models!$BJ246:$BT246,,AH246)*(1-AF246)+INDEX(Models!$BJ246:$BT246,,AH246+1)*AF246-ERP_i)*AE246*Ramure*Pc/MaxiM</f>
        <v>2.276633983220739E-5</v>
      </c>
      <c r="AE246" s="305">
        <f t="shared" si="92"/>
        <v>0.7</v>
      </c>
      <c r="AF246" s="177">
        <f t="shared" si="93"/>
        <v>0.5744811394573206</v>
      </c>
      <c r="AG246" s="817">
        <f t="shared" si="99"/>
        <v>1</v>
      </c>
      <c r="AH246" s="176">
        <f t="shared" si="94"/>
        <v>7</v>
      </c>
      <c r="AI246" s="225">
        <f t="shared" si="95"/>
        <v>1.5744811394573206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46255</v>
      </c>
      <c r="B247" s="411">
        <f>'2025'!Wh/'2025'!Env_an*'2026'!Env_an</f>
        <v>19.58496316562103</v>
      </c>
      <c r="C247" s="846"/>
      <c r="D247" s="393">
        <f t="shared" si="77"/>
        <v>20.936164748641293</v>
      </c>
      <c r="E247" s="385">
        <f t="shared" si="100"/>
        <v>22.83608585749807</v>
      </c>
      <c r="F247" s="385">
        <f t="shared" si="78"/>
        <v>22.83608585749807</v>
      </c>
      <c r="G247" s="110">
        <f t="shared" si="101"/>
        <v>0.6000101523487692</v>
      </c>
      <c r="H247" s="414" t="b">
        <f>Wh_hp&gt;='2025'!Maxi_hp</f>
        <v>0</v>
      </c>
      <c r="I247" s="390">
        <f>IF(H247,Wh_hp,'2025'!Maxi_hp)</f>
        <v>36.591801967762351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6.4539116846028421E-2</v>
      </c>
      <c r="M247" s="850"/>
      <c r="N247" s="850"/>
      <c r="O247" s="48">
        <f>IF(t&lt;Tnet,'2025'!Resal+('2025'!Salim-'2025'!Resal)*(1-EXP(('2025'!Tnet-t)/('2025'!Tau_j))),Resal+(Salim-Resal)*(1-EXP((Tnet-t)/(Tau_j))))*Salcycl</f>
        <v>8.3198194327726821E-2</v>
      </c>
      <c r="P247" s="169">
        <f>(INDEX(Models!$BJ247:$BT247,,T247)*(1-R247)+INDEX(Models!$BJ247:$BT247,,T247+1)*R247-ERP_i)*Q247*Ramure*Pc/MaxiM</f>
        <v>0</v>
      </c>
      <c r="Q247" s="305">
        <f t="shared" si="80"/>
        <v>0.7</v>
      </c>
      <c r="R247" s="177">
        <f t="shared" si="81"/>
        <v>0.9516008945649288</v>
      </c>
      <c r="S247" s="817">
        <f t="shared" si="82"/>
        <v>-2</v>
      </c>
      <c r="T247" s="176">
        <f t="shared" si="83"/>
        <v>4</v>
      </c>
      <c r="U247" s="251">
        <f t="shared" si="84"/>
        <v>-1.0483991054350712</v>
      </c>
      <c r="V247" s="383">
        <f t="shared" si="85"/>
        <v>32.641052970445138</v>
      </c>
      <c r="W247" s="402">
        <f t="shared" si="86"/>
        <v>19.58496316562103</v>
      </c>
      <c r="X247" s="157">
        <f t="shared" si="87"/>
        <v>46255</v>
      </c>
      <c r="Y247" s="385">
        <f t="shared" si="88"/>
        <v>18.629567111132388</v>
      </c>
      <c r="Z247" s="385">
        <f t="shared" si="89"/>
        <v>19.914854214236627</v>
      </c>
      <c r="AA247" s="386">
        <f t="shared" si="90"/>
        <v>22.835851901977883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0.12791279695977797</v>
      </c>
      <c r="AD247" s="231">
        <f>(INDEX(Models!$BJ247:$BT247,,AH247)*(1-AF247)+INDEX(Models!$BJ247:$BT247,,AH247+1)*AF247-ERP_i)*AE247*Ramure*Pc/MaxiM</f>
        <v>2.3904172722012484E-5</v>
      </c>
      <c r="AE247" s="305">
        <f t="shared" si="92"/>
        <v>0.7</v>
      </c>
      <c r="AF247" s="177">
        <f t="shared" si="93"/>
        <v>0.57546426394098482</v>
      </c>
      <c r="AG247" s="817">
        <f t="shared" si="99"/>
        <v>1</v>
      </c>
      <c r="AH247" s="176">
        <f t="shared" si="94"/>
        <v>7</v>
      </c>
      <c r="AI247" s="225">
        <f t="shared" si="95"/>
        <v>1.5754642639409848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46256</v>
      </c>
      <c r="B248" s="411">
        <f>'2025'!Wh/'2025'!Env_an*'2026'!Env_an</f>
        <v>16.238746952297959</v>
      </c>
      <c r="C248" s="846"/>
      <c r="D248" s="393">
        <f t="shared" si="77"/>
        <v>17.35946732007741</v>
      </c>
      <c r="E248" s="385">
        <f t="shared" si="100"/>
        <v>18.93669633439448</v>
      </c>
      <c r="F248" s="385">
        <f t="shared" si="78"/>
        <v>18.93669633439448</v>
      </c>
      <c r="G248" s="110">
        <f t="shared" si="101"/>
        <v>0.49913210889415516</v>
      </c>
      <c r="H248" s="414" t="b">
        <f>Wh_hp&gt;='2025'!Maxi_hp</f>
        <v>0</v>
      </c>
      <c r="I248" s="390">
        <f>IF(H248,Wh_hp,'2025'!Maxi_hp)</f>
        <v>38.793135012494737</v>
      </c>
      <c r="J248" s="85">
        <f>IF(H248,An,'2025'!An_max)</f>
        <v>2019</v>
      </c>
      <c r="K248" s="197">
        <f t="shared" si="79"/>
        <v>46256</v>
      </c>
      <c r="L248" s="147">
        <f>IF(t&lt;Tvie,1-EXP((T0-t)*PertePVj)+'2025'!Pspv,1-EXP((T0-t)*PertePVj)+Pspv)</f>
        <v>6.4559605840166623E-2</v>
      </c>
      <c r="M248" s="850"/>
      <c r="N248" s="850"/>
      <c r="O248" s="48">
        <f>IF(t&lt;Tnet,'2025'!Resal+('2025'!Salim-'2025'!Resal)*(1-EXP(('2025'!Tnet-t)/('2025'!Tau_j))),Resal+(Salim-Resal)*(1-EXP((Tnet-t)/(Tau_j))))*Salcycl</f>
        <v>8.3289555182461755E-2</v>
      </c>
      <c r="P248" s="169">
        <f>(INDEX(Models!$BJ248:$BT248,,T248)*(1-R248)+INDEX(Models!$BJ248:$BT248,,T248+1)*R248-ERP_i)*Q248*Ramure*Pc/MaxiM</f>
        <v>0</v>
      </c>
      <c r="Q248" s="305">
        <f t="shared" si="80"/>
        <v>0.7</v>
      </c>
      <c r="R248" s="177">
        <f t="shared" si="81"/>
        <v>0.9525482689165472</v>
      </c>
      <c r="S248" s="817">
        <f t="shared" si="82"/>
        <v>-2</v>
      </c>
      <c r="T248" s="176">
        <f t="shared" si="83"/>
        <v>4</v>
      </c>
      <c r="U248" s="251">
        <f t="shared" si="84"/>
        <v>-1.0474517310834528</v>
      </c>
      <c r="V248" s="383">
        <f t="shared" si="85"/>
        <v>32.533965783678951</v>
      </c>
      <c r="W248" s="402">
        <f t="shared" si="86"/>
        <v>16.238746952297959</v>
      </c>
      <c r="X248" s="157">
        <f t="shared" si="87"/>
        <v>46256</v>
      </c>
      <c r="Y248" s="385">
        <f t="shared" si="88"/>
        <v>15.447691302298898</v>
      </c>
      <c r="Z248" s="385">
        <f t="shared" si="89"/>
        <v>16.513816806225538</v>
      </c>
      <c r="AA248" s="386">
        <f t="shared" si="90"/>
        <v>18.936561507121105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0.12794005395248201</v>
      </c>
      <c r="AD248" s="231">
        <f>(INDEX(Models!$BJ248:$BT248,,AH248)*(1-AF248)+INDEX(Models!$BJ248:$BT248,,AH248+1)*AF248-ERP_i)*AE248*Ramure*Pc/MaxiM</f>
        <v>2.5028238438599924E-5</v>
      </c>
      <c r="AE248" s="305">
        <f t="shared" si="92"/>
        <v>0.7</v>
      </c>
      <c r="AF248" s="177">
        <f t="shared" si="93"/>
        <v>0.57641163829260322</v>
      </c>
      <c r="AG248" s="817">
        <f t="shared" si="99"/>
        <v>1</v>
      </c>
      <c r="AH248" s="176">
        <f t="shared" si="94"/>
        <v>7</v>
      </c>
      <c r="AI248" s="225">
        <f t="shared" si="95"/>
        <v>1.5764116382926032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46257</v>
      </c>
      <c r="B249" s="411">
        <f>'2025'!Wh/'2025'!Env_an*'2026'!Env_an</f>
        <v>29.080780782119838</v>
      </c>
      <c r="C249" s="846"/>
      <c r="D249" s="393">
        <f t="shared" si="77"/>
        <v>31.08847759981899</v>
      </c>
      <c r="E249" s="385">
        <f t="shared" si="100"/>
        <v>33.916447842136613</v>
      </c>
      <c r="F249" s="385">
        <f t="shared" si="78"/>
        <v>33.916447842136613</v>
      </c>
      <c r="G249" s="110">
        <f t="shared" si="101"/>
        <v>0.89679802720028423</v>
      </c>
      <c r="H249" s="414" t="b">
        <f>Wh_hp&gt;='2025'!Maxi_hp</f>
        <v>0</v>
      </c>
      <c r="I249" s="390">
        <f>IF(H249,Wh_hp,'2025'!Maxi_hp)</f>
        <v>36.458624208406086</v>
      </c>
      <c r="J249" s="85">
        <f>IF(H249,An,'2025'!An_max)</f>
        <v>2019</v>
      </c>
      <c r="K249" s="197">
        <f t="shared" si="79"/>
        <v>46257</v>
      </c>
      <c r="L249" s="147">
        <f>IF(t&lt;Tvie,1-EXP((T0-t)*PertePVj)+'2025'!Pspv,1-EXP((T0-t)*PertePVj)+Pspv)</f>
        <v>6.458009438554313E-2</v>
      </c>
      <c r="M249" s="850"/>
      <c r="N249" s="850"/>
      <c r="O249" s="48">
        <f>IF(t&lt;Tnet,'2025'!Resal+('2025'!Salim-'2025'!Resal)*(1-EXP(('2025'!Tnet-t)/('2025'!Tau_j))),Resal+(Salim-Resal)*(1-EXP((Tnet-t)/(Tau_j))))*Salcycl</f>
        <v>8.3380495961143886E-2</v>
      </c>
      <c r="P249" s="169">
        <f>(INDEX(Models!$BJ249:$BT249,,T249)*(1-R249)+INDEX(Models!$BJ249:$BT249,,T249+1)*R249-ERP_i)*Q249*Ramure*Pc/MaxiM</f>
        <v>0</v>
      </c>
      <c r="Q249" s="305">
        <f t="shared" si="80"/>
        <v>0.7</v>
      </c>
      <c r="R249" s="177">
        <f t="shared" si="81"/>
        <v>0.95346105120093338</v>
      </c>
      <c r="S249" s="817">
        <f t="shared" si="82"/>
        <v>-2</v>
      </c>
      <c r="T249" s="176">
        <f t="shared" si="83"/>
        <v>4</v>
      </c>
      <c r="U249" s="251">
        <f t="shared" si="84"/>
        <v>-1.0465389487990666</v>
      </c>
      <c r="V249" s="383">
        <f t="shared" si="85"/>
        <v>32.427346961173846</v>
      </c>
      <c r="W249" s="402">
        <f t="shared" si="86"/>
        <v>29.080780782119838</v>
      </c>
      <c r="X249" s="157">
        <f t="shared" si="87"/>
        <v>46257</v>
      </c>
      <c r="Y249" s="385">
        <f t="shared" si="88"/>
        <v>27.665613586964646</v>
      </c>
      <c r="Z249" s="385">
        <f t="shared" si="89"/>
        <v>29.57560922203351</v>
      </c>
      <c r="AA249" s="386">
        <f t="shared" si="90"/>
        <v>33.915693147036123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0.12796683547603951</v>
      </c>
      <c r="AD249" s="231">
        <f>(INDEX(Models!$BJ249:$BT249,,AH249)*(1-AF249)+INDEX(Models!$BJ249:$BT249,,AH249+1)*AF249-ERP_i)*AE249*Ramure*Pc/MaxiM</f>
        <v>2.6099478551530561E-5</v>
      </c>
      <c r="AE249" s="305">
        <f t="shared" si="92"/>
        <v>0.7</v>
      </c>
      <c r="AF249" s="177">
        <f t="shared" si="93"/>
        <v>0.57732442057698941</v>
      </c>
      <c r="AG249" s="817">
        <f t="shared" si="99"/>
        <v>1</v>
      </c>
      <c r="AH249" s="176">
        <f t="shared" si="94"/>
        <v>7</v>
      </c>
      <c r="AI249" s="225">
        <f t="shared" si="95"/>
        <v>1.5773244205769894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46258</v>
      </c>
      <c r="B250" s="411">
        <f>'2025'!Wh/'2025'!Env_an*'2026'!Env_an</f>
        <v>28.577667284732001</v>
      </c>
      <c r="C250" s="846"/>
      <c r="D250" s="393">
        <f t="shared" si="77"/>
        <v>30.551298995423217</v>
      </c>
      <c r="E250" s="385">
        <f t="shared" si="100"/>
        <v>33.333696106921295</v>
      </c>
      <c r="F250" s="385">
        <f t="shared" si="78"/>
        <v>33.333696106921295</v>
      </c>
      <c r="G250" s="110">
        <f t="shared" si="101"/>
        <v>0.88419483878773952</v>
      </c>
      <c r="H250" s="414" t="b">
        <f>Wh_hp&gt;='2025'!Maxi_hp</f>
        <v>0</v>
      </c>
      <c r="I250" s="390">
        <f>IF(H250,Wh_hp,'2025'!Maxi_hp)</f>
        <v>36.227969880355467</v>
      </c>
      <c r="J250" s="85">
        <f>IF(H250,An,'2025'!An_max)</f>
        <v>2019</v>
      </c>
      <c r="K250" s="197">
        <f t="shared" si="79"/>
        <v>46258</v>
      </c>
      <c r="L250" s="147">
        <f>IF(t&lt;Tvie,1-EXP((T0-t)*PertePVj)+'2025'!Pspv,1-EXP((T0-t)*PertePVj)+Pspv)</f>
        <v>6.4600582482168045E-2</v>
      </c>
      <c r="M250" s="850"/>
      <c r="N250" s="850"/>
      <c r="O250" s="48">
        <f>IF(t&lt;Tnet,'2025'!Resal+('2025'!Salim-'2025'!Resal)*(1-EXP(('2025'!Tnet-t)/('2025'!Tau_j))),Resal+(Salim-Resal)*(1-EXP((Tnet-t)/(Tau_j))))*Salcycl</f>
        <v>8.3471004912663987E-2</v>
      </c>
      <c r="P250" s="169">
        <f>(INDEX(Models!$BJ250:$BT250,,T250)*(1-R250)+INDEX(Models!$BJ250:$BT250,,T250+1)*R250-ERP_i)*Q250*Ramure*Pc/MaxiM</f>
        <v>0</v>
      </c>
      <c r="Q250" s="305">
        <f t="shared" si="80"/>
        <v>0.7</v>
      </c>
      <c r="R250" s="177">
        <f t="shared" si="81"/>
        <v>0.95434037275059769</v>
      </c>
      <c r="S250" s="817">
        <f t="shared" si="82"/>
        <v>-2</v>
      </c>
      <c r="T250" s="176">
        <f t="shared" si="83"/>
        <v>4</v>
      </c>
      <c r="U250" s="251">
        <f t="shared" si="84"/>
        <v>-1.0456596272494023</v>
      </c>
      <c r="V250" s="383">
        <f t="shared" si="85"/>
        <v>32.32055428406813</v>
      </c>
      <c r="W250" s="402">
        <f t="shared" si="86"/>
        <v>28.577667284732001</v>
      </c>
      <c r="X250" s="157">
        <f t="shared" si="87"/>
        <v>46258</v>
      </c>
      <c r="Y250" s="385">
        <f t="shared" si="88"/>
        <v>27.188838023895769</v>
      </c>
      <c r="Z250" s="385">
        <f t="shared" si="89"/>
        <v>29.066554366736558</v>
      </c>
      <c r="AA250" s="386">
        <f t="shared" si="90"/>
        <v>33.33294172272403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0.12799312438358706</v>
      </c>
      <c r="AD250" s="231">
        <f>(INDEX(Models!$BJ250:$BT250,,AH250)*(1-AF250)+INDEX(Models!$BJ250:$BT250,,AH250+1)*AF250-ERP_i)*AE250*Ramure*Pc/MaxiM</f>
        <v>2.7117486633062949E-5</v>
      </c>
      <c r="AE250" s="305">
        <f t="shared" si="92"/>
        <v>0.7</v>
      </c>
      <c r="AF250" s="177">
        <f t="shared" si="93"/>
        <v>0.57820374212665371</v>
      </c>
      <c r="AG250" s="817">
        <f t="shared" si="99"/>
        <v>1</v>
      </c>
      <c r="AH250" s="176">
        <f t="shared" si="94"/>
        <v>7</v>
      </c>
      <c r="AI250" s="225">
        <f t="shared" si="95"/>
        <v>1.5782037421266537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46259</v>
      </c>
      <c r="B251" s="411">
        <f>'2025'!Wh/'2025'!Env_an*'2026'!Env_an</f>
        <v>21.074126628827837</v>
      </c>
      <c r="C251" s="846"/>
      <c r="D251" s="393">
        <f t="shared" si="77"/>
        <v>22.530042056600411</v>
      </c>
      <c r="E251" s="385">
        <f t="shared" si="100"/>
        <v>24.584335425781223</v>
      </c>
      <c r="F251" s="385">
        <f t="shared" si="78"/>
        <v>24.584335425781223</v>
      </c>
      <c r="G251" s="110">
        <f t="shared" si="101"/>
        <v>0.65421295911940536</v>
      </c>
      <c r="H251" s="414" t="b">
        <f>Wh_hp&gt;='2025'!Maxi_hp</f>
        <v>0</v>
      </c>
      <c r="I251" s="390">
        <f>IF(H251,Wh_hp,'2025'!Maxi_hp)</f>
        <v>34.955028036144711</v>
      </c>
      <c r="J251" s="85">
        <f>IF(H251,An,'2025'!An_max)</f>
        <v>2020</v>
      </c>
      <c r="K251" s="197">
        <f t="shared" si="79"/>
        <v>46259</v>
      </c>
      <c r="L251" s="147">
        <f>IF(t&lt;Tvie,1-EXP((T0-t)*PertePVj)+'2025'!Pspv,1-EXP((T0-t)*PertePVj)+Pspv)</f>
        <v>6.4621070130051028E-2</v>
      </c>
      <c r="M251" s="850"/>
      <c r="N251" s="850"/>
      <c r="O251" s="48">
        <f>IF(t&lt;Tnet,'2025'!Resal+('2025'!Salim-'2025'!Resal)*(1-EXP(('2025'!Tnet-t)/('2025'!Tau_j))),Resal+(Salim-Resal)*(1-EXP((Tnet-t)/(Tau_j))))*Salcycl</f>
        <v>8.356106982767994E-2</v>
      </c>
      <c r="P251" s="169">
        <f>(INDEX(Models!$BJ251:$BT251,,T251)*(1-R251)+INDEX(Models!$BJ251:$BT251,,T251+1)*R251-ERP_i)*Q251*Ramure*Pc/MaxiM</f>
        <v>0</v>
      </c>
      <c r="Q251" s="305">
        <f t="shared" si="80"/>
        <v>0.7</v>
      </c>
      <c r="R251" s="177">
        <f t="shared" si="81"/>
        <v>0.95518733791856225</v>
      </c>
      <c r="S251" s="817">
        <f t="shared" si="82"/>
        <v>-2</v>
      </c>
      <c r="T251" s="176">
        <f t="shared" si="83"/>
        <v>4</v>
      </c>
      <c r="U251" s="251">
        <f t="shared" si="84"/>
        <v>-1.0448126620814377</v>
      </c>
      <c r="V251" s="383">
        <f t="shared" si="85"/>
        <v>32.212945853586241</v>
      </c>
      <c r="W251" s="402">
        <f t="shared" si="86"/>
        <v>21.074126628827837</v>
      </c>
      <c r="X251" s="157">
        <f t="shared" si="87"/>
        <v>46259</v>
      </c>
      <c r="Y251" s="385">
        <f t="shared" si="88"/>
        <v>20.051504063457884</v>
      </c>
      <c r="Z251" s="385">
        <f t="shared" si="89"/>
        <v>21.436771155670311</v>
      </c>
      <c r="AA251" s="386">
        <f t="shared" si="90"/>
        <v>24.583986082425834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0.12801890288269202</v>
      </c>
      <c r="AD251" s="231">
        <f>(INDEX(Models!$BJ251:$BT251,,AH251)*(1-AF251)+INDEX(Models!$BJ251:$BT251,,AH251+1)*AF251-ERP_i)*AE251*Ramure*Pc/MaxiM</f>
        <v>2.8081972416262419E-5</v>
      </c>
      <c r="AE251" s="305">
        <f t="shared" si="92"/>
        <v>0.7</v>
      </c>
      <c r="AF251" s="177">
        <f t="shared" si="93"/>
        <v>0.57905070729461827</v>
      </c>
      <c r="AG251" s="817">
        <f t="shared" si="99"/>
        <v>1</v>
      </c>
      <c r="AH251" s="176">
        <f t="shared" si="94"/>
        <v>7</v>
      </c>
      <c r="AI251" s="225">
        <f t="shared" si="95"/>
        <v>1.5790507072946183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46260</v>
      </c>
      <c r="B252" s="411">
        <f>'2025'!Wh/'2025'!Env_an*'2026'!Env_an</f>
        <v>25.649156855037642</v>
      </c>
      <c r="C252" s="846"/>
      <c r="D252" s="393">
        <f t="shared" si="77"/>
        <v>27.4217408909035</v>
      </c>
      <c r="E252" s="385">
        <f t="shared" si="100"/>
        <v>29.924986284005364</v>
      </c>
      <c r="F252" s="385">
        <f t="shared" si="78"/>
        <v>29.924986284005364</v>
      </c>
      <c r="G252" s="110">
        <f t="shared" si="101"/>
        <v>0.79894258213670954</v>
      </c>
      <c r="H252" s="414" t="b">
        <f>Wh_hp&gt;='2025'!Maxi_hp</f>
        <v>0</v>
      </c>
      <c r="I252" s="390">
        <f>IF(H252,Wh_hp,'2025'!Maxi_hp)</f>
        <v>36.589991055920372</v>
      </c>
      <c r="J252" s="85">
        <f>IF(H252,An,'2025'!An_max)</f>
        <v>2020</v>
      </c>
      <c r="K252" s="197">
        <f t="shared" si="79"/>
        <v>46260</v>
      </c>
      <c r="L252" s="147">
        <f>IF(t&lt;Tvie,1-EXP((T0-t)*PertePVj)+'2025'!Pspv,1-EXP((T0-t)*PertePVj)+Pspv)</f>
        <v>6.4641557329201849E-2</v>
      </c>
      <c r="M252" s="850"/>
      <c r="N252" s="850"/>
      <c r="O252" s="48">
        <f>IF(t&lt;Tnet,'2025'!Resal+('2025'!Salim-'2025'!Resal)*(1-EXP(('2025'!Tnet-t)/('2025'!Tau_j))),Resal+(Salim-Resal)*(1-EXP((Tnet-t)/(Tau_j))))*Salcycl</f>
        <v>8.3650678043579396E-2</v>
      </c>
      <c r="P252" s="169">
        <f>(INDEX(Models!$BJ252:$BT252,,T252)*(1-R252)+INDEX(Models!$BJ252:$BT252,,T252+1)*R252-ERP_i)*Q252*Ramure*Pc/MaxiM</f>
        <v>0</v>
      </c>
      <c r="Q252" s="305">
        <f t="shared" si="80"/>
        <v>0.7</v>
      </c>
      <c r="R252" s="177">
        <f t="shared" si="81"/>
        <v>0.95600302391996594</v>
      </c>
      <c r="S252" s="817">
        <f t="shared" si="82"/>
        <v>-2</v>
      </c>
      <c r="T252" s="176">
        <f t="shared" si="83"/>
        <v>4</v>
      </c>
      <c r="U252" s="251">
        <f t="shared" si="84"/>
        <v>-1.0439969760800341</v>
      </c>
      <c r="V252" s="383">
        <f t="shared" si="85"/>
        <v>32.103880089156064</v>
      </c>
      <c r="W252" s="402">
        <f t="shared" si="86"/>
        <v>25.649156855037642</v>
      </c>
      <c r="X252" s="157">
        <f t="shared" si="87"/>
        <v>46260</v>
      </c>
      <c r="Y252" s="385">
        <f t="shared" si="88"/>
        <v>24.406053006518295</v>
      </c>
      <c r="Z252" s="385">
        <f t="shared" si="89"/>
        <v>26.092727550338761</v>
      </c>
      <c r="AA252" s="386">
        <f t="shared" si="90"/>
        <v>29.924367875404652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0.12804415254549725</v>
      </c>
      <c r="AD252" s="231">
        <f>(INDEX(Models!$BJ252:$BT252,,AH252)*(1-AF252)+INDEX(Models!$BJ252:$BT252,,AH252+1)*AF252-ERP_i)*AE252*Ramure*Pc/MaxiM</f>
        <v>2.8992724635001519E-5</v>
      </c>
      <c r="AE252" s="305">
        <f t="shared" si="92"/>
        <v>0.7</v>
      </c>
      <c r="AF252" s="177">
        <f t="shared" si="93"/>
        <v>0.57986639329602196</v>
      </c>
      <c r="AG252" s="817">
        <f t="shared" si="99"/>
        <v>1</v>
      </c>
      <c r="AH252" s="176">
        <f t="shared" si="94"/>
        <v>7</v>
      </c>
      <c r="AI252" s="225">
        <f t="shared" si="95"/>
        <v>1.579866393296022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46261</v>
      </c>
      <c r="B253" s="411">
        <f>'2025'!Wh/'2025'!Env_an*'2026'!Env_an</f>
        <v>31.030410221228014</v>
      </c>
      <c r="C253" s="846"/>
      <c r="D253" s="393">
        <f t="shared" si="77"/>
        <v>33.175613183252239</v>
      </c>
      <c r="E253" s="385">
        <f t="shared" si="100"/>
        <v>36.207633790648678</v>
      </c>
      <c r="F253" s="385">
        <f t="shared" si="78"/>
        <v>36.207633790648678</v>
      </c>
      <c r="G253" s="110">
        <f t="shared" si="101"/>
        <v>0.96992110613832605</v>
      </c>
      <c r="H253" s="414" t="b">
        <f>Wh_hp&gt;='2025'!Maxi_hp</f>
        <v>1</v>
      </c>
      <c r="I253" s="390">
        <f>IF(H253,Wh_hp,'2025'!Maxi_hp)</f>
        <v>36.207633790648678</v>
      </c>
      <c r="J253" s="85">
        <f>IF(H253,An,'2025'!An_max)</f>
        <v>2026</v>
      </c>
      <c r="K253" s="197">
        <f t="shared" si="79"/>
        <v>46261</v>
      </c>
      <c r="L253" s="147">
        <f>IF(t&lt;Tvie,1-EXP((T0-t)*PertePVj)+'2025'!Pspv,1-EXP((T0-t)*PertePVj)+Pspv)</f>
        <v>6.4662044079630498E-2</v>
      </c>
      <c r="M253" s="850"/>
      <c r="N253" s="850"/>
      <c r="O253" s="48">
        <f>IF(t&lt;Tnet,'2025'!Resal+('2025'!Salim-'2025'!Resal)*(1-EXP(('2025'!Tnet-t)/('2025'!Tau_j))),Resal+(Salim-Resal)*(1-EXP((Tnet-t)/(Tau_j))))*Salcycl</f>
        <v>8.3739816441126255E-2</v>
      </c>
      <c r="P253" s="169">
        <f>(INDEX(Models!$BJ253:$BT253,,T253)*(1-R253)+INDEX(Models!$BJ253:$BT253,,T253+1)*R253-ERP_i)*Q253*Ramure*Pc/MaxiM</f>
        <v>0</v>
      </c>
      <c r="Q253" s="305">
        <f t="shared" si="80"/>
        <v>0.7</v>
      </c>
      <c r="R253" s="177">
        <f t="shared" si="81"/>
        <v>0.95678848075521317</v>
      </c>
      <c r="S253" s="817">
        <f t="shared" si="82"/>
        <v>-2</v>
      </c>
      <c r="T253" s="176">
        <f t="shared" si="83"/>
        <v>4</v>
      </c>
      <c r="U253" s="251">
        <f t="shared" si="84"/>
        <v>-1.0432115192447868</v>
      </c>
      <c r="V253" s="383">
        <f t="shared" si="85"/>
        <v>31.992715721769834</v>
      </c>
      <c r="W253" s="402">
        <f t="shared" si="86"/>
        <v>31.030410221228014</v>
      </c>
      <c r="X253" s="157">
        <f t="shared" si="87"/>
        <v>46261</v>
      </c>
      <c r="Y253" s="385">
        <f t="shared" si="88"/>
        <v>29.528302879295474</v>
      </c>
      <c r="Z253" s="385">
        <f t="shared" si="89"/>
        <v>31.569661738189293</v>
      </c>
      <c r="AA253" s="386">
        <f t="shared" si="90"/>
        <v>36.206599447786402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0.12806885430607884</v>
      </c>
      <c r="AD253" s="231">
        <f>(INDEX(Models!$BJ253:$BT253,,AH253)*(1-AF253)+INDEX(Models!$BJ253:$BT253,,AH253+1)*AF253-ERP_i)*AE253*Ramure*Pc/MaxiM</f>
        <v>2.9849616590127234E-5</v>
      </c>
      <c r="AE253" s="305">
        <f t="shared" si="92"/>
        <v>0.7</v>
      </c>
      <c r="AF253" s="177">
        <f t="shared" si="93"/>
        <v>0.58065185013126919</v>
      </c>
      <c r="AG253" s="817">
        <f t="shared" si="99"/>
        <v>1</v>
      </c>
      <c r="AH253" s="176">
        <f t="shared" si="94"/>
        <v>7</v>
      </c>
      <c r="AI253" s="225">
        <f t="shared" si="95"/>
        <v>1.5806518501312692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46262</v>
      </c>
      <c r="B254" s="411">
        <f>'2025'!Wh/'2025'!Env_an*'2026'!Env_an</f>
        <v>30.023169136969106</v>
      </c>
      <c r="C254" s="846"/>
      <c r="D254" s="393">
        <f t="shared" si="77"/>
        <v>32.099442287986051</v>
      </c>
      <c r="E254" s="385">
        <f t="shared" si="100"/>
        <v>35.036498392611868</v>
      </c>
      <c r="F254" s="385">
        <f t="shared" si="78"/>
        <v>35.036498392611868</v>
      </c>
      <c r="G254" s="110">
        <f t="shared" si="101"/>
        <v>0.94179072074431802</v>
      </c>
      <c r="H254" s="414" t="b">
        <f>Wh_hp&gt;='2025'!Maxi_hp</f>
        <v>0</v>
      </c>
      <c r="I254" s="390">
        <f>IF(H254,Wh_hp,'2025'!Maxi_hp)</f>
        <v>37.6474142668485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6.4682530381346748E-2</v>
      </c>
      <c r="M254" s="850"/>
      <c r="N254" s="850"/>
      <c r="O254" s="48">
        <f>IF(t&lt;Tnet,'2025'!Resal+('2025'!Salim-'2025'!Resal)*(1-EXP(('2025'!Tnet-t)/('2025'!Tau_j))),Resal+(Salim-Resal)*(1-EXP((Tnet-t)/(Tau_j))))*Salcycl</f>
        <v>8.3828471433239779E-2</v>
      </c>
      <c r="P254" s="169">
        <f>(INDEX(Models!$BJ254:$BT254,,T254)*(1-R254)+INDEX(Models!$BJ254:$BT254,,T254+1)*R254-ERP_i)*Q254*Ramure*Pc/MaxiM</f>
        <v>0</v>
      </c>
      <c r="Q254" s="305">
        <f t="shared" si="80"/>
        <v>0.7</v>
      </c>
      <c r="R254" s="177">
        <f t="shared" si="81"/>
        <v>0.95754473120777295</v>
      </c>
      <c r="S254" s="817">
        <f t="shared" si="82"/>
        <v>-2</v>
      </c>
      <c r="T254" s="176">
        <f t="shared" si="83"/>
        <v>4</v>
      </c>
      <c r="U254" s="251">
        <f t="shared" si="84"/>
        <v>-1.0424552687922271</v>
      </c>
      <c r="V254" s="383">
        <f t="shared" si="85"/>
        <v>31.878811795088755</v>
      </c>
      <c r="W254" s="402">
        <f t="shared" si="86"/>
        <v>30.023169136969106</v>
      </c>
      <c r="X254" s="157">
        <f t="shared" si="87"/>
        <v>46262</v>
      </c>
      <c r="Y254" s="385">
        <f t="shared" si="88"/>
        <v>28.571794801346421</v>
      </c>
      <c r="Z254" s="385">
        <f t="shared" si="89"/>
        <v>30.547697150354399</v>
      </c>
      <c r="AA254" s="386">
        <f t="shared" si="90"/>
        <v>35.035498907046971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0.12809298844578187</v>
      </c>
      <c r="AD254" s="231">
        <f>(INDEX(Models!$BJ254:$BT254,,AH254)*(1-AF254)+INDEX(Models!$BJ254:$BT254,,AH254+1)*AF254-ERP_i)*AE254*Ramure*Pc/MaxiM</f>
        <v>3.1114328818808791E-5</v>
      </c>
      <c r="AE254" s="305">
        <f t="shared" si="92"/>
        <v>0.7</v>
      </c>
      <c r="AF254" s="177">
        <f t="shared" si="93"/>
        <v>0.58140810058382897</v>
      </c>
      <c r="AG254" s="817">
        <f t="shared" si="99"/>
        <v>1</v>
      </c>
      <c r="AH254" s="176">
        <f t="shared" si="94"/>
        <v>7</v>
      </c>
      <c r="AI254" s="225">
        <f t="shared" si="95"/>
        <v>1.581408100583829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46263</v>
      </c>
      <c r="B255" s="411">
        <f>'2025'!Wh/'2025'!Env_an*'2026'!Env_an</f>
        <v>20.579820709710251</v>
      </c>
      <c r="C255" s="846"/>
      <c r="D255" s="393">
        <f t="shared" si="77"/>
        <v>22.003514463238133</v>
      </c>
      <c r="E255" s="385">
        <f t="shared" si="100"/>
        <v>24.019117864713461</v>
      </c>
      <c r="F255" s="385">
        <f t="shared" si="78"/>
        <v>24.019117864713461</v>
      </c>
      <c r="G255" s="110">
        <f t="shared" si="101"/>
        <v>0.64794807511031594</v>
      </c>
      <c r="H255" s="414" t="b">
        <f>Wh_hp&gt;='2025'!Maxi_hp</f>
        <v>0</v>
      </c>
      <c r="I255" s="390">
        <f>IF(H255,Wh_hp,'2025'!Maxi_hp)</f>
        <v>37.163900184673778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6.4703016234360478E-2</v>
      </c>
      <c r="M255" s="850"/>
      <c r="N255" s="850"/>
      <c r="O255" s="48">
        <f>IF(t&lt;Tnet,'2025'!Resal+('2025'!Salim-'2025'!Resal)*(1-EXP(('2025'!Tnet-t)/('2025'!Tau_j))),Resal+(Salim-Resal)*(1-EXP((Tnet-t)/(Tau_j))))*Salcycl</f>
        <v>8.3916628946496624E-2</v>
      </c>
      <c r="P255" s="169">
        <f>(INDEX(Models!$BJ255:$BT255,,T255)*(1-R255)+INDEX(Models!$BJ255:$BT255,,T255+1)*R255-ERP_i)*Q255*Ramure*Pc/MaxiM</f>
        <v>0</v>
      </c>
      <c r="Q255" s="305">
        <f t="shared" si="80"/>
        <v>0.7</v>
      </c>
      <c r="R255" s="177">
        <f t="shared" si="81"/>
        <v>0.95827277091006757</v>
      </c>
      <c r="S255" s="817">
        <f t="shared" si="82"/>
        <v>-2</v>
      </c>
      <c r="T255" s="176">
        <f t="shared" si="83"/>
        <v>4</v>
      </c>
      <c r="U255" s="251">
        <f t="shared" si="84"/>
        <v>-1.0417272290899324</v>
      </c>
      <c r="V255" s="383">
        <f t="shared" si="85"/>
        <v>31.761527659768799</v>
      </c>
      <c r="W255" s="402">
        <f t="shared" si="86"/>
        <v>20.579820709710251</v>
      </c>
      <c r="X255" s="157">
        <f t="shared" si="87"/>
        <v>46263</v>
      </c>
      <c r="Y255" s="385">
        <f t="shared" si="88"/>
        <v>19.586549576656445</v>
      </c>
      <c r="Z255" s="385">
        <f t="shared" si="89"/>
        <v>20.941529713693924</v>
      </c>
      <c r="AA255" s="386">
        <f t="shared" si="90"/>
        <v>24.018725602630866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0.12811653456750771</v>
      </c>
      <c r="AD255" s="231">
        <f>(INDEX(Models!$BJ255:$BT255,,AH255)*(1-AF255)+INDEX(Models!$BJ255:$BT255,,AH255+1)*AF255-ERP_i)*AE255*Ramure*Pc/MaxiM</f>
        <v>3.2855106417584932E-5</v>
      </c>
      <c r="AE255" s="305">
        <f t="shared" si="92"/>
        <v>0.7</v>
      </c>
      <c r="AF255" s="177">
        <f t="shared" si="93"/>
        <v>0.58213614028612359</v>
      </c>
      <c r="AG255" s="817">
        <f t="shared" si="99"/>
        <v>1</v>
      </c>
      <c r="AH255" s="176">
        <f t="shared" si="94"/>
        <v>7</v>
      </c>
      <c r="AI255" s="225">
        <f t="shared" si="95"/>
        <v>1.5821361402861236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46264</v>
      </c>
      <c r="B256" s="411">
        <f>'2025'!Wh/'2025'!Env_an*'2026'!Env_an</f>
        <v>29.668703363066914</v>
      </c>
      <c r="C256" s="846"/>
      <c r="D256" s="393">
        <f t="shared" si="77"/>
        <v>31.72185275161829</v>
      </c>
      <c r="E256" s="385">
        <f t="shared" si="100"/>
        <v>34.631005216431404</v>
      </c>
      <c r="F256" s="385">
        <f t="shared" si="78"/>
        <v>34.631005216431404</v>
      </c>
      <c r="G256" s="110">
        <f t="shared" si="101"/>
        <v>0.93768945288139094</v>
      </c>
      <c r="H256" s="414" t="b">
        <f>Wh_hp&gt;='2025'!Maxi_hp</f>
        <v>0</v>
      </c>
      <c r="I256" s="390">
        <f>IF(H256,Wh_hp,'2025'!Maxi_hp)</f>
        <v>35.748351799960105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6.4723501638681347E-2</v>
      </c>
      <c r="M256" s="850"/>
      <c r="N256" s="850"/>
      <c r="O256" s="48">
        <f>IF(t&lt;Tnet,'2025'!Resal+('2025'!Salim-'2025'!Resal)*(1-EXP(('2025'!Tnet-t)/('2025'!Tau_j))),Resal+(Salim-Resal)*(1-EXP((Tnet-t)/(Tau_j))))*Salcycl</f>
        <v>8.4004274396078021E-2</v>
      </c>
      <c r="P256" s="169">
        <f>(INDEX(Models!$BJ256:$BT256,,T256)*(1-R256)+INDEX(Models!$BJ256:$BT256,,T256+1)*R256-ERP_i)*Q256*Ramure*Pc/MaxiM</f>
        <v>0</v>
      </c>
      <c r="Q256" s="305">
        <f t="shared" si="80"/>
        <v>0.7</v>
      </c>
      <c r="R256" s="177">
        <f t="shared" si="81"/>
        <v>0.95897356847124238</v>
      </c>
      <c r="S256" s="817">
        <f t="shared" si="82"/>
        <v>-2</v>
      </c>
      <c r="T256" s="176">
        <f t="shared" si="83"/>
        <v>4</v>
      </c>
      <c r="U256" s="251">
        <f t="shared" si="84"/>
        <v>-1.0410264315287576</v>
      </c>
      <c r="V256" s="383">
        <f t="shared" si="85"/>
        <v>31.640222967101813</v>
      </c>
      <c r="W256" s="402">
        <f t="shared" si="86"/>
        <v>29.668703363066914</v>
      </c>
      <c r="X256" s="157">
        <f t="shared" si="87"/>
        <v>46264</v>
      </c>
      <c r="Y256" s="385">
        <f t="shared" si="88"/>
        <v>28.238281087092005</v>
      </c>
      <c r="Z256" s="385">
        <f t="shared" si="89"/>
        <v>30.192441632573679</v>
      </c>
      <c r="AA256" s="386">
        <f t="shared" si="90"/>
        <v>34.629898530445594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0.12813947156012115</v>
      </c>
      <c r="AD256" s="231">
        <f>(INDEX(Models!$BJ256:$BT256,,AH256)*(1-AF256)+INDEX(Models!$BJ256:$BT256,,AH256+1)*AF256-ERP_i)*AE256*Ramure*Pc/MaxiM</f>
        <v>3.5079073847417677E-5</v>
      </c>
      <c r="AE256" s="305">
        <f t="shared" si="92"/>
        <v>0.7</v>
      </c>
      <c r="AF256" s="177">
        <f t="shared" si="93"/>
        <v>0.5828369378472984</v>
      </c>
      <c r="AG256" s="817">
        <f t="shared" si="99"/>
        <v>1</v>
      </c>
      <c r="AH256" s="176">
        <f t="shared" si="94"/>
        <v>7</v>
      </c>
      <c r="AI256" s="225">
        <f t="shared" si="95"/>
        <v>1.5828369378472984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46265</v>
      </c>
      <c r="B257" s="411">
        <f>'2025'!Wh/'2025'!Env_an*'2026'!Env_an</f>
        <v>13.902850555327332</v>
      </c>
      <c r="C257" s="846"/>
      <c r="D257" s="393">
        <f t="shared" si="77"/>
        <v>14.865288601247167</v>
      </c>
      <c r="E257" s="385">
        <f t="shared" si="100"/>
        <v>16.230100341930694</v>
      </c>
      <c r="F257" s="385">
        <f t="shared" si="78"/>
        <v>16.230100341930694</v>
      </c>
      <c r="G257" s="110">
        <f t="shared" si="101"/>
        <v>0.44116065497130513</v>
      </c>
      <c r="H257" s="414" t="b">
        <f>Wh_hp&gt;='2025'!Maxi_hp</f>
        <v>0</v>
      </c>
      <c r="I257" s="390">
        <f>IF(H257,Wh_hp,'2025'!Maxi_hp)</f>
        <v>35.974532803787852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6.4743986594319347E-2</v>
      </c>
      <c r="M257" s="850"/>
      <c r="N257" s="850"/>
      <c r="O257" s="48">
        <f>IF(t&lt;Tnet,'2025'!Resal+('2025'!Salim-'2025'!Resal)*(1-EXP(('2025'!Tnet-t)/('2025'!Tau_j))),Resal+(Salim-Resal)*(1-EXP((Tnet-t)/(Tau_j))))*Salcycl</f>
        <v>8.409139265501131E-2</v>
      </c>
      <c r="P257" s="169">
        <f>(INDEX(Models!$BJ257:$BT257,,T257)*(1-R257)+INDEX(Models!$BJ257:$BT257,,T257+1)*R257-ERP_i)*Q257*Ramure*Pc/MaxiM</f>
        <v>0</v>
      </c>
      <c r="Q257" s="305">
        <f t="shared" si="80"/>
        <v>0.7</v>
      </c>
      <c r="R257" s="177">
        <f t="shared" si="81"/>
        <v>0.95964806566094252</v>
      </c>
      <c r="S257" s="817">
        <f t="shared" si="82"/>
        <v>-2</v>
      </c>
      <c r="T257" s="176">
        <f t="shared" si="83"/>
        <v>4</v>
      </c>
      <c r="U257" s="251">
        <f t="shared" si="84"/>
        <v>-1.0403519343390575</v>
      </c>
      <c r="V257" s="383">
        <f t="shared" si="85"/>
        <v>31.514257671576878</v>
      </c>
      <c r="W257" s="402">
        <f t="shared" si="86"/>
        <v>13.902850555327332</v>
      </c>
      <c r="X257" s="157">
        <f t="shared" si="87"/>
        <v>46265</v>
      </c>
      <c r="Y257" s="385">
        <f t="shared" si="88"/>
        <v>13.233792147105818</v>
      </c>
      <c r="Z257" s="385">
        <f t="shared" si="89"/>
        <v>14.149913988701051</v>
      </c>
      <c r="AA257" s="386">
        <f t="shared" si="90"/>
        <v>16.229976645217377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0.12816177755433031</v>
      </c>
      <c r="AD257" s="231">
        <f>(INDEX(Models!$BJ257:$BT257,,AH257)*(1-AF257)+INDEX(Models!$BJ257:$BT257,,AH257+1)*AF257-ERP_i)*AE257*Ramure*Pc/MaxiM</f>
        <v>3.7793867029772775E-5</v>
      </c>
      <c r="AE257" s="305">
        <f t="shared" si="92"/>
        <v>0.7</v>
      </c>
      <c r="AF257" s="177">
        <f t="shared" si="93"/>
        <v>0.58351143503699854</v>
      </c>
      <c r="AG257" s="817">
        <f t="shared" si="99"/>
        <v>1</v>
      </c>
      <c r="AH257" s="176">
        <f t="shared" si="94"/>
        <v>7</v>
      </c>
      <c r="AI257" s="225">
        <f t="shared" si="95"/>
        <v>1.5835114350369985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46266</v>
      </c>
      <c r="B258" s="411">
        <f>'2025'!Wh/'2025'!Env_an*'2026'!Env_an</f>
        <v>26.221470025417158</v>
      </c>
      <c r="C258" s="846"/>
      <c r="D258" s="393">
        <f t="shared" si="77"/>
        <v>28.037290303004401</v>
      </c>
      <c r="E258" s="385">
        <f t="shared" si="100"/>
        <v>30.614343533914806</v>
      </c>
      <c r="F258" s="385">
        <f t="shared" si="78"/>
        <v>30.614343533914806</v>
      </c>
      <c r="G258" s="110">
        <f t="shared" si="101"/>
        <v>0.83553123314336442</v>
      </c>
      <c r="H258" s="414" t="b">
        <f>Wh_hp&gt;='2025'!Maxi_hp</f>
        <v>0</v>
      </c>
      <c r="I258" s="390">
        <f>IF(H258,Wh_hp,'2025'!Maxi_hp)</f>
        <v>36.800779305473014</v>
      </c>
      <c r="J258" s="85">
        <f>IF(H258,An,'2025'!An_max)</f>
        <v>2018</v>
      </c>
      <c r="K258" s="197">
        <f t="shared" si="79"/>
        <v>46266</v>
      </c>
      <c r="L258" s="147">
        <f>IF(t&lt;Tvie,1-EXP((T0-t)*PertePVj)+'2025'!Pspv,1-EXP((T0-t)*PertePVj)+Pspv)</f>
        <v>6.4764471101284138E-2</v>
      </c>
      <c r="M258" s="850"/>
      <c r="N258" s="850"/>
      <c r="O258" s="48">
        <f>IF(t&lt;Tnet,'2025'!Resal+('2025'!Salim-'2025'!Resal)*(1-EXP(('2025'!Tnet-t)/('2025'!Tau_j))),Resal+(Salim-Resal)*(1-EXP((Tnet-t)/(Tau_j))))*Salcycl</f>
        <v>8.4177968018668267E-2</v>
      </c>
      <c r="P258" s="169">
        <f>(INDEX(Models!$BJ258:$BT258,,T258)*(1-R258)+INDEX(Models!$BJ258:$BT258,,T258+1)*R258-ERP_i)*Q258*Ramure*Pc/MaxiM</f>
        <v>0</v>
      </c>
      <c r="Q258" s="305">
        <f t="shared" si="80"/>
        <v>0.7</v>
      </c>
      <c r="R258" s="177">
        <f t="shared" si="81"/>
        <v>0.96029717764356404</v>
      </c>
      <c r="S258" s="817">
        <f t="shared" si="82"/>
        <v>-2</v>
      </c>
      <c r="T258" s="176">
        <f t="shared" si="83"/>
        <v>4</v>
      </c>
      <c r="U258" s="251">
        <f t="shared" si="84"/>
        <v>-1.039702822356436</v>
      </c>
      <c r="V258" s="383">
        <f t="shared" si="85"/>
        <v>31.382992023851674</v>
      </c>
      <c r="W258" s="402">
        <f t="shared" si="86"/>
        <v>26.221470025417158</v>
      </c>
      <c r="X258" s="157">
        <f t="shared" si="87"/>
        <v>46266</v>
      </c>
      <c r="Y258" s="385">
        <f t="shared" si="88"/>
        <v>24.960739174051561</v>
      </c>
      <c r="Z258" s="385">
        <f t="shared" si="89"/>
        <v>26.689254634545389</v>
      </c>
      <c r="AA258" s="386">
        <f t="shared" si="90"/>
        <v>30.613383077375172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0.12818342987155554</v>
      </c>
      <c r="AD258" s="231">
        <f>(INDEX(Models!$BJ258:$BT258,,AH258)*(1-AF258)+INDEX(Models!$BJ258:$BT258,,AH258+1)*AF258-ERP_i)*AE258*Ramure*Pc/MaxiM</f>
        <v>4.1007755736666608E-5</v>
      </c>
      <c r="AE258" s="305">
        <f t="shared" si="92"/>
        <v>0.7</v>
      </c>
      <c r="AF258" s="177">
        <f t="shared" si="93"/>
        <v>0.58416054701962006</v>
      </c>
      <c r="AG258" s="817">
        <f t="shared" si="99"/>
        <v>1</v>
      </c>
      <c r="AH258" s="176">
        <f t="shared" si="94"/>
        <v>7</v>
      </c>
      <c r="AI258" s="225">
        <f t="shared" si="95"/>
        <v>1.5841605470196201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46267</v>
      </c>
      <c r="B259" s="411">
        <f>'2025'!Wh/'2025'!Env_an*'2026'!Env_an</f>
        <v>25.85724601384813</v>
      </c>
      <c r="C259" s="846"/>
      <c r="D259" s="393">
        <f t="shared" si="77"/>
        <v>27.648449580128844</v>
      </c>
      <c r="E259" s="385">
        <f t="shared" si="100"/>
        <v>30.192598196474549</v>
      </c>
      <c r="F259" s="385">
        <f t="shared" si="78"/>
        <v>30.192598196474549</v>
      </c>
      <c r="G259" s="110">
        <f t="shared" si="101"/>
        <v>0.82754345005580521</v>
      </c>
      <c r="H259" s="414" t="b">
        <f>Wh_hp&gt;='2025'!Maxi_hp</f>
        <v>0</v>
      </c>
      <c r="I259" s="390">
        <f>IF(H259,Wh_hp,'2025'!Maxi_hp)</f>
        <v>34.771079559810111</v>
      </c>
      <c r="J259" s="85">
        <f>IF(H259,An,'2025'!An_max)</f>
        <v>2018</v>
      </c>
      <c r="K259" s="197">
        <f t="shared" si="79"/>
        <v>46267</v>
      </c>
      <c r="L259" s="147">
        <f>IF(t&lt;Tvie,1-EXP((T0-t)*PertePVj)+'2025'!Pspv,1-EXP((T0-t)*PertePVj)+Pspv)</f>
        <v>6.4784955159585711E-2</v>
      </c>
      <c r="M259" s="850"/>
      <c r="N259" s="850"/>
      <c r="O259" s="48">
        <f>IF(t&lt;Tnet,'2025'!Resal+('2025'!Salim-'2025'!Resal)*(1-EXP(('2025'!Tnet-t)/('2025'!Tau_j))),Resal+(Salim-Resal)*(1-EXP((Tnet-t)/(Tau_j))))*Salcycl</f>
        <v>8.4263984165588418E-2</v>
      </c>
      <c r="P259" s="169">
        <f>(INDEX(Models!$BJ259:$BT259,,T259)*(1-R259)+INDEX(Models!$BJ259:$BT259,,T259+1)*R259-ERP_i)*Q259*Ramure*Pc/MaxiM</f>
        <v>0</v>
      </c>
      <c r="Q259" s="305">
        <f t="shared" si="80"/>
        <v>0.7</v>
      </c>
      <c r="R259" s="177">
        <f t="shared" si="81"/>
        <v>0.9609217932577705</v>
      </c>
      <c r="S259" s="817">
        <f t="shared" si="82"/>
        <v>-2</v>
      </c>
      <c r="T259" s="176">
        <f t="shared" si="83"/>
        <v>4</v>
      </c>
      <c r="U259" s="251">
        <f t="shared" si="84"/>
        <v>-1.0390782067422295</v>
      </c>
      <c r="V259" s="383">
        <f t="shared" si="85"/>
        <v>31.245786565170025</v>
      </c>
      <c r="W259" s="402">
        <f t="shared" si="86"/>
        <v>25.85724601384813</v>
      </c>
      <c r="X259" s="157">
        <f t="shared" si="87"/>
        <v>46267</v>
      </c>
      <c r="Y259" s="385">
        <f t="shared" si="88"/>
        <v>24.615689335517729</v>
      </c>
      <c r="Z259" s="385">
        <f t="shared" si="89"/>
        <v>26.320886807074586</v>
      </c>
      <c r="AA259" s="386">
        <f t="shared" si="90"/>
        <v>30.191580408354696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0.1282044049674525</v>
      </c>
      <c r="AD259" s="231">
        <f>(INDEX(Models!$BJ259:$BT259,,AH259)*(1-AF259)+INDEX(Models!$BJ259:$BT259,,AH259+1)*AF259-ERP_i)*AE259*Ramure*Pc/MaxiM</f>
        <v>4.4729773043500034E-5</v>
      </c>
      <c r="AE259" s="305">
        <f t="shared" si="92"/>
        <v>0.7</v>
      </c>
      <c r="AF259" s="177">
        <f t="shared" si="93"/>
        <v>0.58478516263382652</v>
      </c>
      <c r="AG259" s="817">
        <f t="shared" si="99"/>
        <v>1</v>
      </c>
      <c r="AH259" s="176">
        <f t="shared" si="94"/>
        <v>7</v>
      </c>
      <c r="AI259" s="225">
        <f t="shared" si="95"/>
        <v>1.5847851626338265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46268</v>
      </c>
      <c r="B260" s="411">
        <f>'2025'!Wh/'2025'!Env_an*'2026'!Env_an</f>
        <v>25.120023153548299</v>
      </c>
      <c r="C260" s="846"/>
      <c r="D260" s="393">
        <f t="shared" si="77"/>
        <v>26.860745554902508</v>
      </c>
      <c r="E260" s="385">
        <f t="shared" si="100"/>
        <v>29.335148431446058</v>
      </c>
      <c r="F260" s="385">
        <f t="shared" si="78"/>
        <v>29.335148431446058</v>
      </c>
      <c r="G260" s="110">
        <f t="shared" si="101"/>
        <v>0.80766579107169056</v>
      </c>
      <c r="H260" s="414" t="b">
        <f>Wh_hp&gt;='2025'!Maxi_hp</f>
        <v>0</v>
      </c>
      <c r="I260" s="390">
        <f>IF(H260,Wh_hp,'2025'!Maxi_hp)</f>
        <v>37.558631129408738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6.4805438769233947E-2</v>
      </c>
      <c r="M260" s="850"/>
      <c r="N260" s="850"/>
      <c r="O260" s="48">
        <f>IF(t&lt;Tnet,'2025'!Resal+('2025'!Salim-'2025'!Resal)*(1-EXP(('2025'!Tnet-t)/('2025'!Tau_j))),Resal+(Salim-Resal)*(1-EXP((Tnet-t)/(Tau_j))))*Salcycl</f>
        <v>8.4349424115785068E-2</v>
      </c>
      <c r="P260" s="169">
        <f>(INDEX(Models!$BJ260:$BT260,,T260)*(1-R260)+INDEX(Models!$BJ260:$BT260,,T260+1)*R260-ERP_i)*Q260*Ramure*Pc/MaxiM</f>
        <v>0</v>
      </c>
      <c r="Q260" s="305">
        <f t="shared" si="80"/>
        <v>0.7</v>
      </c>
      <c r="R260" s="177">
        <f t="shared" si="81"/>
        <v>0.96152277533639596</v>
      </c>
      <c r="S260" s="817">
        <f t="shared" si="82"/>
        <v>-2</v>
      </c>
      <c r="T260" s="176">
        <f t="shared" si="83"/>
        <v>4</v>
      </c>
      <c r="U260" s="251">
        <f t="shared" si="84"/>
        <v>-1.038477224663604</v>
      </c>
      <c r="V260" s="383">
        <f t="shared" si="85"/>
        <v>31.102002129143759</v>
      </c>
      <c r="W260" s="402">
        <f t="shared" si="86"/>
        <v>25.120023153548299</v>
      </c>
      <c r="X260" s="157">
        <f t="shared" si="87"/>
        <v>46268</v>
      </c>
      <c r="Y260" s="385">
        <f t="shared" si="88"/>
        <v>23.915496918613719</v>
      </c>
      <c r="Z260" s="385">
        <f t="shared" si="89"/>
        <v>25.572750216959822</v>
      </c>
      <c r="AA260" s="386">
        <f t="shared" si="90"/>
        <v>29.334106601228836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0.12822467837188015</v>
      </c>
      <c r="AD260" s="231">
        <f>(INDEX(Models!$BJ260:$BT260,,AH260)*(1-AF260)+INDEX(Models!$BJ260:$BT260,,AH260+1)*AF260-ERP_i)*AE260*Ramure*Pc/MaxiM</f>
        <v>4.8969852959018715E-5</v>
      </c>
      <c r="AE260" s="305">
        <f t="shared" si="92"/>
        <v>0.7</v>
      </c>
      <c r="AF260" s="177">
        <f t="shared" si="93"/>
        <v>0.58538614471245198</v>
      </c>
      <c r="AG260" s="817">
        <f t="shared" si="99"/>
        <v>1</v>
      </c>
      <c r="AH260" s="176">
        <f t="shared" si="94"/>
        <v>7</v>
      </c>
      <c r="AI260" s="225">
        <f t="shared" si="95"/>
        <v>1.585386144712452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46269</v>
      </c>
      <c r="B261" s="411">
        <f>'2025'!Wh/'2025'!Env_an*'2026'!Env_an</f>
        <v>27.833029130173873</v>
      </c>
      <c r="C261" s="846"/>
      <c r="D261" s="393">
        <f t="shared" si="77"/>
        <v>29.762404436639656</v>
      </c>
      <c r="E261" s="385">
        <f t="shared" si="100"/>
        <v>32.50711933346777</v>
      </c>
      <c r="F261" s="385">
        <f t="shared" si="78"/>
        <v>32.50711933346777</v>
      </c>
      <c r="G261" s="110">
        <f t="shared" si="101"/>
        <v>0.89924908523218827</v>
      </c>
      <c r="H261" s="414" t="b">
        <f>Wh_hp&gt;='2025'!Maxi_hp</f>
        <v>0</v>
      </c>
      <c r="I261" s="390">
        <f>IF(H261,Wh_hp,'2025'!Maxi_hp)</f>
        <v>36.263260924320456</v>
      </c>
      <c r="J261" s="85">
        <f>IF(H261,An,'2025'!An_max)</f>
        <v>2019</v>
      </c>
      <c r="K261" s="197">
        <f t="shared" si="79"/>
        <v>46269</v>
      </c>
      <c r="L261" s="147">
        <f>IF(t&lt;Tvie,1-EXP((T0-t)*PertePVj)+'2025'!Pspv,1-EXP((T0-t)*PertePVj)+Pspv)</f>
        <v>6.4825921930238395E-2</v>
      </c>
      <c r="M261" s="850"/>
      <c r="N261" s="850"/>
      <c r="O261" s="48">
        <f>IF(t&lt;Tnet,'2025'!Resal+('2025'!Salim-'2025'!Resal)*(1-EXP(('2025'!Tnet-t)/('2025'!Tau_j))),Resal+(Salim-Resal)*(1-EXP((Tnet-t)/(Tau_j))))*Salcycl</f>
        <v>8.4434270187770485E-2</v>
      </c>
      <c r="P261" s="169">
        <f>(INDEX(Models!$BJ261:$BT261,,T261)*(1-R261)+INDEX(Models!$BJ261:$BT261,,T261+1)*R261-ERP_i)*Q261*Ramure*Pc/MaxiM</f>
        <v>0</v>
      </c>
      <c r="Q261" s="305">
        <f t="shared" si="80"/>
        <v>0.7</v>
      </c>
      <c r="R261" s="177">
        <f t="shared" si="81"/>
        <v>0.96210096106216025</v>
      </c>
      <c r="S261" s="817">
        <f t="shared" si="82"/>
        <v>-2</v>
      </c>
      <c r="T261" s="176">
        <f t="shared" si="83"/>
        <v>4</v>
      </c>
      <c r="U261" s="251">
        <f t="shared" si="84"/>
        <v>-1.0378990389378397</v>
      </c>
      <c r="V261" s="383">
        <f t="shared" si="85"/>
        <v>30.951412225220466</v>
      </c>
      <c r="W261" s="402">
        <f t="shared" si="86"/>
        <v>27.833029130173873</v>
      </c>
      <c r="X261" s="157">
        <f t="shared" si="87"/>
        <v>46269</v>
      </c>
      <c r="Y261" s="385">
        <f t="shared" si="88"/>
        <v>26.499995450114557</v>
      </c>
      <c r="Z261" s="385">
        <f t="shared" si="89"/>
        <v>28.336965353885404</v>
      </c>
      <c r="AA261" s="386">
        <f t="shared" si="90"/>
        <v>32.505623885046994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0.12824422462721063</v>
      </c>
      <c r="AD261" s="231">
        <f>(INDEX(Models!$BJ261:$BT261,,AH261)*(1-AF261)+INDEX(Models!$BJ261:$BT261,,AH261+1)*AF261-ERP_i)*AE261*Ramure*Pc/MaxiM</f>
        <v>5.3738261601398129E-5</v>
      </c>
      <c r="AE261" s="305">
        <f t="shared" si="92"/>
        <v>0.7</v>
      </c>
      <c r="AF261" s="177">
        <f t="shared" si="93"/>
        <v>0.58596433043821627</v>
      </c>
      <c r="AG261" s="817">
        <f t="shared" si="99"/>
        <v>1</v>
      </c>
      <c r="AH261" s="176">
        <f t="shared" si="94"/>
        <v>7</v>
      </c>
      <c r="AI261" s="225">
        <f t="shared" si="95"/>
        <v>1.5859643304382163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46270</v>
      </c>
      <c r="B262" s="411">
        <f>'2025'!Wh/'2025'!Env_an*'2026'!Env_an</f>
        <v>24.672287813537739</v>
      </c>
      <c r="C262" s="846"/>
      <c r="D262" s="393">
        <f t="shared" si="77"/>
        <v>26.38313955699293</v>
      </c>
      <c r="E262" s="385">
        <f t="shared" si="100"/>
        <v>28.818867089055068</v>
      </c>
      <c r="F262" s="385">
        <f t="shared" si="78"/>
        <v>28.818867089055068</v>
      </c>
      <c r="G262" s="110">
        <f t="shared" si="101"/>
        <v>0.80118917405635737</v>
      </c>
      <c r="H262" s="414" t="b">
        <f>Wh_hp&gt;='2025'!Maxi_hp</f>
        <v>0</v>
      </c>
      <c r="I262" s="390">
        <f>IF(H262,Wh_hp,'2025'!Maxi_hp)</f>
        <v>35.661957440699879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6.4846404642609157E-2</v>
      </c>
      <c r="M262" s="850"/>
      <c r="N262" s="850"/>
      <c r="O262" s="48">
        <f>IF(t&lt;Tnet,'2025'!Resal+('2025'!Salim-'2025'!Resal)*(1-EXP(('2025'!Tnet-t)/('2025'!Tau_j))),Resal+(Salim-Resal)*(1-EXP((Tnet-t)/(Tau_j))))*Salcycl</f>
        <v>8.4518503955597415E-2</v>
      </c>
      <c r="P262" s="169">
        <f>(INDEX(Models!$BJ262:$BT262,,T262)*(1-R262)+INDEX(Models!$BJ262:$BT262,,T262+1)*R262-ERP_i)*Q262*Ramure*Pc/MaxiM</f>
        <v>0</v>
      </c>
      <c r="Q262" s="305">
        <f t="shared" si="80"/>
        <v>0.7</v>
      </c>
      <c r="R262" s="177">
        <f t="shared" si="81"/>
        <v>0.96265716235493226</v>
      </c>
      <c r="S262" s="817">
        <f t="shared" si="82"/>
        <v>-2</v>
      </c>
      <c r="T262" s="176">
        <f t="shared" si="83"/>
        <v>4</v>
      </c>
      <c r="U262" s="251">
        <f t="shared" si="84"/>
        <v>-1.0373428376450677</v>
      </c>
      <c r="V262" s="383">
        <f t="shared" si="85"/>
        <v>30.794584615545787</v>
      </c>
      <c r="W262" s="402">
        <f t="shared" si="86"/>
        <v>24.672287813537739</v>
      </c>
      <c r="X262" s="157">
        <f t="shared" si="87"/>
        <v>46270</v>
      </c>
      <c r="Y262" s="385">
        <f t="shared" si="88"/>
        <v>23.492203780083234</v>
      </c>
      <c r="Z262" s="385">
        <f t="shared" si="89"/>
        <v>25.121224894724527</v>
      </c>
      <c r="AA262" s="386">
        <f t="shared" si="90"/>
        <v>28.817436212024152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0.12826301722695829</v>
      </c>
      <c r="AD262" s="231">
        <f>(INDEX(Models!$BJ262:$BT262,,AH262)*(1-AF262)+INDEX(Models!$BJ262:$BT262,,AH262+1)*AF262-ERP_i)*AE262*Ramure*Pc/MaxiM</f>
        <v>6.9346056123580633E-5</v>
      </c>
      <c r="AE262" s="305">
        <f t="shared" si="92"/>
        <v>0.7</v>
      </c>
      <c r="AF262" s="177">
        <f t="shared" si="93"/>
        <v>0.58652053173098828</v>
      </c>
      <c r="AG262" s="817">
        <f t="shared" si="99"/>
        <v>1</v>
      </c>
      <c r="AH262" s="176">
        <f t="shared" si="94"/>
        <v>7</v>
      </c>
      <c r="AI262" s="225">
        <f t="shared" si="95"/>
        <v>1.5865205317309883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46271</v>
      </c>
      <c r="B263" s="411">
        <f>'2025'!Wh/'2025'!Env_an*'2026'!Env_an</f>
        <v>28.214832139020647</v>
      </c>
      <c r="C263" s="846"/>
      <c r="D263" s="393">
        <f t="shared" si="77"/>
        <v>30.171995562941014</v>
      </c>
      <c r="E263" s="385">
        <f t="shared" si="100"/>
        <v>32.960525436573135</v>
      </c>
      <c r="F263" s="385">
        <f t="shared" si="78"/>
        <v>32.960525436573135</v>
      </c>
      <c r="G263" s="110">
        <f t="shared" si="101"/>
        <v>0.92108795590526948</v>
      </c>
      <c r="H263" s="414" t="b">
        <f>Wh_hp&gt;='2025'!Maxi_hp</f>
        <v>0</v>
      </c>
      <c r="I263" s="390">
        <f>IF(H263,Wh_hp,'2025'!Maxi_hp)</f>
        <v>37.214641888290501</v>
      </c>
      <c r="J263" s="85">
        <f>IF(H263,An,'2025'!An_max)</f>
        <v>2019</v>
      </c>
      <c r="K263" s="197">
        <f t="shared" si="79"/>
        <v>46271</v>
      </c>
      <c r="L263" s="147">
        <f>IF(t&lt;Tvie,1-EXP((T0-t)*PertePVj)+'2025'!Pspv,1-EXP((T0-t)*PertePVj)+Pspv)</f>
        <v>6.4866886906355892E-2</v>
      </c>
      <c r="M263" s="850"/>
      <c r="N263" s="850"/>
      <c r="O263" s="48">
        <f>IF(t&lt;Tnet,'2025'!Resal+('2025'!Salim-'2025'!Resal)*(1-EXP(('2025'!Tnet-t)/('2025'!Tau_j))),Resal+(Salim-Resal)*(1-EXP((Tnet-t)/(Tau_j))))*Salcycl</f>
        <v>8.4602106207261968E-2</v>
      </c>
      <c r="P263" s="169">
        <f>(INDEX(Models!$BJ263:$BT263,,T263)*(1-R263)+INDEX(Models!$BJ263:$BT263,,T263+1)*R263-ERP_i)*Q263*Ramure*Pc/MaxiM</f>
        <v>0</v>
      </c>
      <c r="Q263" s="305">
        <f t="shared" si="80"/>
        <v>0.7</v>
      </c>
      <c r="R263" s="177">
        <f t="shared" si="81"/>
        <v>0.9631921662865639</v>
      </c>
      <c r="S263" s="817">
        <f t="shared" si="82"/>
        <v>-2</v>
      </c>
      <c r="T263" s="176">
        <f t="shared" si="83"/>
        <v>4</v>
      </c>
      <c r="U263" s="251">
        <f t="shared" si="84"/>
        <v>-1.0368078337134361</v>
      </c>
      <c r="V263" s="383">
        <f t="shared" si="85"/>
        <v>30.632071517307345</v>
      </c>
      <c r="W263" s="402">
        <f t="shared" si="86"/>
        <v>28.214832139020647</v>
      </c>
      <c r="X263" s="157">
        <f t="shared" si="87"/>
        <v>46271</v>
      </c>
      <c r="Y263" s="385">
        <f t="shared" si="88"/>
        <v>26.866251389075753</v>
      </c>
      <c r="Z263" s="385">
        <f t="shared" si="89"/>
        <v>28.729868521280103</v>
      </c>
      <c r="AA263" s="386">
        <f t="shared" si="90"/>
        <v>32.957718556605784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0.12828102855676229</v>
      </c>
      <c r="AD263" s="231">
        <f>(INDEX(Models!$BJ263:$BT263,,AH263)*(1-AF263)+INDEX(Models!$BJ263:$BT263,,AH263+1)*AF263-ERP_i)*AE263*Ramure*Pc/MaxiM</f>
        <v>9.5978652237403215E-5</v>
      </c>
      <c r="AE263" s="305">
        <f t="shared" si="92"/>
        <v>0.7</v>
      </c>
      <c r="AF263" s="177">
        <f t="shared" si="93"/>
        <v>0.58705553566261992</v>
      </c>
      <c r="AG263" s="817">
        <f t="shared" si="99"/>
        <v>1</v>
      </c>
      <c r="AH263" s="176">
        <f t="shared" si="94"/>
        <v>7</v>
      </c>
      <c r="AI263" s="225">
        <f t="shared" si="95"/>
        <v>1.5870555356626199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46272</v>
      </c>
      <c r="B264" s="411">
        <f>'2025'!Wh/'2025'!Env_an*'2026'!Env_an</f>
        <v>21.43191145546335</v>
      </c>
      <c r="C264" s="846"/>
      <c r="D264" s="393">
        <f t="shared" si="77"/>
        <v>22.919069573641689</v>
      </c>
      <c r="E264" s="385">
        <f t="shared" si="100"/>
        <v>25.03954485454523</v>
      </c>
      <c r="F264" s="385">
        <f t="shared" si="78"/>
        <v>25.03954485454523</v>
      </c>
      <c r="G264" s="110">
        <f t="shared" si="101"/>
        <v>0.70350618906948137</v>
      </c>
      <c r="H264" s="414" t="b">
        <f>Wh_hp&gt;='2025'!Maxi_hp</f>
        <v>0</v>
      </c>
      <c r="I264" s="390">
        <f>IF(H264,Wh_hp,'2025'!Maxi_hp)</f>
        <v>35.695847850032024</v>
      </c>
      <c r="J264" s="85">
        <f>IF(H264,An,'2025'!An_max)</f>
        <v>2019</v>
      </c>
      <c r="K264" s="197">
        <f t="shared" si="79"/>
        <v>46272</v>
      </c>
      <c r="L264" s="147">
        <f>IF(t&lt;Tvie,1-EXP((T0-t)*PertePVj)+'2025'!Pspv,1-EXP((T0-t)*PertePVj)+Pspv)</f>
        <v>6.4887368721488592E-2</v>
      </c>
      <c r="M264" s="850"/>
      <c r="N264" s="850"/>
      <c r="O264" s="48">
        <f>IF(t&lt;Tnet,'2025'!Resal+('2025'!Salim-'2025'!Resal)*(1-EXP(('2025'!Tnet-t)/('2025'!Tau_j))),Resal+(Salim-Resal)*(1-EXP((Tnet-t)/(Tau_j))))*Salcycl</f>
        <v>8.4685056905841799E-2</v>
      </c>
      <c r="P264" s="169">
        <f>(INDEX(Models!$BJ264:$BT264,,T264)*(1-R264)+INDEX(Models!$BJ264:$BT264,,T264+1)*R264-ERP_i)*Q264*Ramure*Pc/MaxiM</f>
        <v>0</v>
      </c>
      <c r="Q264" s="305">
        <f t="shared" si="80"/>
        <v>0.7</v>
      </c>
      <c r="R264" s="177">
        <f t="shared" si="81"/>
        <v>0.9637067355196014</v>
      </c>
      <c r="S264" s="817">
        <f t="shared" si="82"/>
        <v>-2</v>
      </c>
      <c r="T264" s="176">
        <f t="shared" si="83"/>
        <v>4</v>
      </c>
      <c r="U264" s="251">
        <f t="shared" si="84"/>
        <v>-1.0362932644803986</v>
      </c>
      <c r="V264" s="383">
        <f t="shared" si="85"/>
        <v>30.464424888444928</v>
      </c>
      <c r="W264" s="402">
        <f t="shared" si="86"/>
        <v>21.43191145546335</v>
      </c>
      <c r="X264" s="157">
        <f t="shared" si="87"/>
        <v>46272</v>
      </c>
      <c r="Y264" s="385">
        <f t="shared" si="88"/>
        <v>20.409143349988501</v>
      </c>
      <c r="Z264" s="385">
        <f t="shared" si="89"/>
        <v>21.825331695161218</v>
      </c>
      <c r="AA264" s="386">
        <f t="shared" si="90"/>
        <v>25.037613140500937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0.12829822983978934</v>
      </c>
      <c r="AD264" s="231">
        <f>(INDEX(Models!$BJ264:$BT264,,AH264)*(1-AF264)+INDEX(Models!$BJ264:$BT264,,AH264+1)*AF264-ERP_i)*AE264*Ramure*Pc/MaxiM</f>
        <v>1.3383331841846784E-4</v>
      </c>
      <c r="AE264" s="305">
        <f t="shared" si="92"/>
        <v>0.7</v>
      </c>
      <c r="AF264" s="177">
        <f t="shared" si="93"/>
        <v>0.58757010489565742</v>
      </c>
      <c r="AG264" s="817">
        <f t="shared" si="99"/>
        <v>1</v>
      </c>
      <c r="AH264" s="176">
        <f t="shared" si="94"/>
        <v>7</v>
      </c>
      <c r="AI264" s="225">
        <f t="shared" si="95"/>
        <v>1.5875701048956574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46273</v>
      </c>
      <c r="B265" s="411">
        <f>'2025'!Wh/'2025'!Env_an*'2026'!Env_an</f>
        <v>23.709757238661943</v>
      </c>
      <c r="C265" s="846"/>
      <c r="D265" s="393">
        <f t="shared" si="77"/>
        <v>25.355530191215546</v>
      </c>
      <c r="E265" s="385">
        <f t="shared" si="100"/>
        <v>27.703917446502963</v>
      </c>
      <c r="F265" s="385">
        <f t="shared" si="78"/>
        <v>27.703917446502963</v>
      </c>
      <c r="G265" s="110">
        <f t="shared" si="101"/>
        <v>0.78270181862256094</v>
      </c>
      <c r="H265" s="414" t="b">
        <f>Wh_hp&gt;='2025'!Maxi_hp</f>
        <v>0</v>
      </c>
      <c r="I265" s="390">
        <f>IF(H265,Wh_hp,'2025'!Maxi_hp)</f>
        <v>32.004308101052679</v>
      </c>
      <c r="J265" s="85">
        <f>IF(H265,An,'2025'!An_max)</f>
        <v>2018</v>
      </c>
      <c r="K265" s="197">
        <f t="shared" si="79"/>
        <v>46273</v>
      </c>
      <c r="L265" s="147">
        <f>IF(t&lt;Tvie,1-EXP((T0-t)*PertePVj)+'2025'!Pspv,1-EXP((T0-t)*PertePVj)+Pspv)</f>
        <v>6.4907850088016805E-2</v>
      </c>
      <c r="M265" s="850"/>
      <c r="N265" s="850"/>
      <c r="O265" s="48">
        <f>IF(t&lt;Tnet,'2025'!Resal+('2025'!Salim-'2025'!Resal)*(1-EXP(('2025'!Tnet-t)/('2025'!Tau_j))),Resal+(Salim-Resal)*(1-EXP((Tnet-t)/(Tau_j))))*Salcycl</f>
        <v>8.476733515475629E-2</v>
      </c>
      <c r="P265" s="169">
        <f>(INDEX(Models!$BJ265:$BT265,,T265)*(1-R265)+INDEX(Models!$BJ265:$BT265,,T265+1)*R265-ERP_i)*Q265*Ramure*Pc/MaxiM</f>
        <v>0</v>
      </c>
      <c r="Q265" s="305">
        <f t="shared" si="80"/>
        <v>0.7</v>
      </c>
      <c r="R265" s="177">
        <f t="shared" si="81"/>
        <v>0.96420160876644734</v>
      </c>
      <c r="S265" s="817">
        <f t="shared" si="82"/>
        <v>-2</v>
      </c>
      <c r="T265" s="176">
        <f t="shared" si="83"/>
        <v>4</v>
      </c>
      <c r="U265" s="251">
        <f t="shared" si="84"/>
        <v>-1.0357983912335527</v>
      </c>
      <c r="V265" s="383">
        <f t="shared" si="85"/>
        <v>30.292196433614524</v>
      </c>
      <c r="W265" s="402">
        <f t="shared" si="86"/>
        <v>23.709757238661943</v>
      </c>
      <c r="X265" s="157">
        <f t="shared" si="87"/>
        <v>46273</v>
      </c>
      <c r="Y265" s="385">
        <f t="shared" si="88"/>
        <v>22.578782954399081</v>
      </c>
      <c r="Z265" s="385">
        <f t="shared" si="89"/>
        <v>24.146051227704501</v>
      </c>
      <c r="AA265" s="386">
        <f t="shared" si="90"/>
        <v>27.700419188913504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0.12831459108862736</v>
      </c>
      <c r="AD265" s="231">
        <f>(INDEX(Models!$BJ265:$BT265,,AH265)*(1-AF265)+INDEX(Models!$BJ265:$BT265,,AH265+1)*AF265-ERP_i)*AE265*Ramure*Pc/MaxiM</f>
        <v>1.8311743886774556E-4</v>
      </c>
      <c r="AE265" s="305">
        <f t="shared" si="92"/>
        <v>0.7</v>
      </c>
      <c r="AF265" s="177">
        <f t="shared" si="93"/>
        <v>0.58806497814250336</v>
      </c>
      <c r="AG265" s="817">
        <f t="shared" si="99"/>
        <v>1</v>
      </c>
      <c r="AH265" s="176">
        <f t="shared" si="94"/>
        <v>7</v>
      </c>
      <c r="AI265" s="225">
        <f t="shared" si="95"/>
        <v>1.5880649781425034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46274</v>
      </c>
      <c r="B266" s="411">
        <f>'2025'!Wh/'2025'!Env_an*'2026'!Env_an</f>
        <v>13.221100513837996</v>
      </c>
      <c r="C266" s="846"/>
      <c r="D266" s="393">
        <f t="shared" si="77"/>
        <v>14.13913067012421</v>
      </c>
      <c r="E266" s="385">
        <f t="shared" si="100"/>
        <v>15.450050779897424</v>
      </c>
      <c r="F266" s="385">
        <f t="shared" si="78"/>
        <v>15.450050779897424</v>
      </c>
      <c r="G266" s="110">
        <f t="shared" si="101"/>
        <v>0.43900677073193306</v>
      </c>
      <c r="H266" s="414" t="b">
        <f>Wh_hp&gt;='2025'!Maxi_hp</f>
        <v>0</v>
      </c>
      <c r="I266" s="390">
        <f>IF(H266,Wh_hp,'2025'!Maxi_hp)</f>
        <v>33.483412316512208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6.4928331005950635E-2</v>
      </c>
      <c r="M266" s="850"/>
      <c r="N266" s="850"/>
      <c r="O266" s="48">
        <f>IF(t&lt;Tnet,'2025'!Resal+('2025'!Salim-'2025'!Resal)*(1-EXP(('2025'!Tnet-t)/('2025'!Tau_j))),Resal+(Salim-Resal)*(1-EXP((Tnet-t)/(Tau_j))))*Salcycl</f>
        <v>8.4848919168530906E-2</v>
      </c>
      <c r="P266" s="169">
        <f>(INDEX(Models!$BJ266:$BT266,,T266)*(1-R266)+INDEX(Models!$BJ266:$BT266,,T266+1)*R266-ERP_i)*Q266*Ramure*Pc/MaxiM</f>
        <v>0</v>
      </c>
      <c r="Q266" s="305">
        <f t="shared" si="80"/>
        <v>0.7</v>
      </c>
      <c r="R266" s="177">
        <f t="shared" si="81"/>
        <v>0.96467750126580243</v>
      </c>
      <c r="S266" s="817">
        <f t="shared" si="82"/>
        <v>-2</v>
      </c>
      <c r="T266" s="176">
        <f t="shared" si="83"/>
        <v>4</v>
      </c>
      <c r="U266" s="251">
        <f t="shared" si="84"/>
        <v>-1.0353224987341976</v>
      </c>
      <c r="V266" s="383">
        <f t="shared" si="85"/>
        <v>30.115937601133457</v>
      </c>
      <c r="W266" s="402">
        <f t="shared" si="86"/>
        <v>13.221100513837996</v>
      </c>
      <c r="X266" s="157">
        <f t="shared" si="87"/>
        <v>46274</v>
      </c>
      <c r="Y266" s="385">
        <f t="shared" si="88"/>
        <v>12.592322015637482</v>
      </c>
      <c r="Z266" s="385">
        <f t="shared" si="89"/>
        <v>13.466691841048194</v>
      </c>
      <c r="AA266" s="386">
        <f t="shared" si="90"/>
        <v>15.449302021931459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0.12833008106572069</v>
      </c>
      <c r="AD266" s="231">
        <f>(INDEX(Models!$BJ266:$BT266,,AH266)*(1-AF266)+INDEX(Models!$BJ266:$BT266,,AH266+1)*AF266-ERP_i)*AE266*Ramure*Pc/MaxiM</f>
        <v>2.4404708820657616E-4</v>
      </c>
      <c r="AE266" s="305">
        <f t="shared" si="92"/>
        <v>0.7</v>
      </c>
      <c r="AF266" s="177">
        <f t="shared" si="93"/>
        <v>0.58854087064185845</v>
      </c>
      <c r="AG266" s="817">
        <f t="shared" si="99"/>
        <v>1</v>
      </c>
      <c r="AH266" s="176">
        <f t="shared" si="94"/>
        <v>7</v>
      </c>
      <c r="AI266" s="225">
        <f t="shared" si="95"/>
        <v>1.5885408706418584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46275</v>
      </c>
      <c r="B267" s="411">
        <f>'2025'!Wh/'2025'!Env_an*'2026'!Env_an</f>
        <v>28.340255852083278</v>
      </c>
      <c r="C267" s="846"/>
      <c r="D267" s="393">
        <f t="shared" si="77"/>
        <v>30.308774749324481</v>
      </c>
      <c r="E267" s="385">
        <f t="shared" si="100"/>
        <v>33.121802342501994</v>
      </c>
      <c r="F267" s="385">
        <f t="shared" si="78"/>
        <v>33.121802342501994</v>
      </c>
      <c r="G267" s="110">
        <f t="shared" si="101"/>
        <v>0.94668849885609985</v>
      </c>
      <c r="H267" s="414" t="b">
        <f>Wh_hp&gt;='2025'!Maxi_hp</f>
        <v>1</v>
      </c>
      <c r="I267" s="390">
        <f>IF(H267,Wh_hp,'2025'!Maxi_hp)</f>
        <v>33.121802342501994</v>
      </c>
      <c r="J267" s="85">
        <f>IF(H267,An,'2025'!An_max)</f>
        <v>2026</v>
      </c>
      <c r="K267" s="197">
        <f t="shared" si="79"/>
        <v>46275</v>
      </c>
      <c r="L267" s="147">
        <f>IF(t&lt;Tvie,1-EXP((T0-t)*PertePVj)+'2025'!Pspv,1-EXP((T0-t)*PertePVj)+Pspv)</f>
        <v>6.494881147529985E-2</v>
      </c>
      <c r="M267" s="850"/>
      <c r="N267" s="850"/>
      <c r="O267" s="48">
        <f>IF(t&lt;Tnet,'2025'!Resal+('2025'!Salim-'2025'!Resal)*(1-EXP(('2025'!Tnet-t)/('2025'!Tau_j))),Resal+(Salim-Resal)*(1-EXP((Tnet-t)/(Tau_j))))*Salcycl</f>
        <v>8.4929786250424716E-2</v>
      </c>
      <c r="P267" s="169">
        <f>(INDEX(Models!$BJ267:$BT267,,T267)*(1-R267)+INDEX(Models!$BJ267:$BT267,,T267+1)*R267-ERP_i)*Q267*Ramure*Pc/MaxiM</f>
        <v>0</v>
      </c>
      <c r="Q267" s="305">
        <f t="shared" si="80"/>
        <v>0.7</v>
      </c>
      <c r="R267" s="177">
        <f t="shared" si="81"/>
        <v>0.96513510527346735</v>
      </c>
      <c r="S267" s="817">
        <f t="shared" si="82"/>
        <v>-2</v>
      </c>
      <c r="T267" s="176">
        <f t="shared" si="83"/>
        <v>4</v>
      </c>
      <c r="U267" s="251">
        <f t="shared" si="84"/>
        <v>-1.0348648947265326</v>
      </c>
      <c r="V267" s="383">
        <f t="shared" si="85"/>
        <v>29.936199590812926</v>
      </c>
      <c r="W267" s="402">
        <f t="shared" si="86"/>
        <v>28.340255852083278</v>
      </c>
      <c r="X267" s="157">
        <f t="shared" si="87"/>
        <v>46275</v>
      </c>
      <c r="Y267" s="385">
        <f t="shared" si="88"/>
        <v>26.987769747086695</v>
      </c>
      <c r="Z267" s="385">
        <f t="shared" si="89"/>
        <v>28.862344733946927</v>
      </c>
      <c r="AA267" s="386">
        <f t="shared" si="90"/>
        <v>33.112107102049869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0.12834466725434859</v>
      </c>
      <c r="AD267" s="231">
        <f>(INDEX(Models!$BJ267:$BT267,,AH267)*(1-AF267)+INDEX(Models!$BJ267:$BT267,,AH267+1)*AF267-ERP_i)*AE267*Ramure*Pc/MaxiM</f>
        <v>3.168454873844355E-4</v>
      </c>
      <c r="AE267" s="305">
        <f t="shared" si="92"/>
        <v>0.7</v>
      </c>
      <c r="AF267" s="177">
        <f t="shared" si="93"/>
        <v>0.58899847464952337</v>
      </c>
      <c r="AG267" s="817">
        <f t="shared" si="99"/>
        <v>1</v>
      </c>
      <c r="AH267" s="176">
        <f t="shared" si="94"/>
        <v>7</v>
      </c>
      <c r="AI267" s="225">
        <f t="shared" si="95"/>
        <v>1.5889984746495234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46276</v>
      </c>
      <c r="B268" s="411">
        <f>'2025'!Wh/'2025'!Env_an*'2026'!Env_an</f>
        <v>28.235557098019729</v>
      </c>
      <c r="C268" s="846"/>
      <c r="D268" s="393">
        <f t="shared" si="77"/>
        <v>30.197465004328439</v>
      </c>
      <c r="E268" s="385">
        <f t="shared" si="100"/>
        <v>33.003051536895711</v>
      </c>
      <c r="F268" s="385">
        <f t="shared" si="78"/>
        <v>33.003051543410834</v>
      </c>
      <c r="G268" s="110">
        <f t="shared" si="101"/>
        <v>0.94898164750240965</v>
      </c>
      <c r="H268" s="414" t="b">
        <f>Wh_hp&gt;='2025'!Maxi_hp</f>
        <v>0</v>
      </c>
      <c r="I268" s="390">
        <f>IF(H268,Wh_hp,'2025'!Maxi_hp)</f>
        <v>33.003051543676364</v>
      </c>
      <c r="J268" s="85">
        <f>IF(H268,An,'2025'!An_max)</f>
        <v>2025</v>
      </c>
      <c r="K268" s="197">
        <f t="shared" si="79"/>
        <v>46276</v>
      </c>
      <c r="L268" s="147">
        <f>IF(t&lt;Tvie,1-EXP((T0-t)*PertePVj)+'2025'!Pspv,1-EXP((T0-t)*PertePVj)+Pspv)</f>
        <v>6.4969291496074111E-2</v>
      </c>
      <c r="M268" s="850"/>
      <c r="N268" s="850"/>
      <c r="O268" s="48">
        <f>IF(t&lt;Tnet,'2025'!Resal+('2025'!Salim-'2025'!Resal)*(1-EXP(('2025'!Tnet-t)/('2025'!Tau_j))),Resal+(Salim-Resal)*(1-EXP((Tnet-t)/(Tau_j))))*Salcycl</f>
        <v>8.5009912778240354E-2</v>
      </c>
      <c r="P268" s="169">
        <f>(INDEX(Models!$BJ268:$BT268,,T268)*(1-R268)+INDEX(Models!$BJ268:$BT268,,T268+1)*R268-ERP_i)*Q268*Ramure*Pc/MaxiM</f>
        <v>2.1292867195148032E-10</v>
      </c>
      <c r="Q268" s="305">
        <f t="shared" si="80"/>
        <v>0.7</v>
      </c>
      <c r="R268" s="177">
        <f t="shared" si="81"/>
        <v>0.96557509056480395</v>
      </c>
      <c r="S268" s="817">
        <f t="shared" si="82"/>
        <v>-2</v>
      </c>
      <c r="T268" s="176">
        <f t="shared" si="83"/>
        <v>4</v>
      </c>
      <c r="U268" s="251">
        <f t="shared" si="84"/>
        <v>-1.034424909435196</v>
      </c>
      <c r="V268" s="383">
        <f t="shared" si="85"/>
        <v>29.753533350084979</v>
      </c>
      <c r="W268" s="402">
        <f t="shared" si="86"/>
        <v>28.235557098019729</v>
      </c>
      <c r="X268" s="157">
        <f t="shared" si="87"/>
        <v>46276</v>
      </c>
      <c r="Y268" s="385">
        <f t="shared" si="88"/>
        <v>26.886874815609495</v>
      </c>
      <c r="Z268" s="385">
        <f t="shared" si="89"/>
        <v>28.755071433567366</v>
      </c>
      <c r="AA268" s="386">
        <f t="shared" si="90"/>
        <v>32.989555176387761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0.12835831584207674</v>
      </c>
      <c r="AD268" s="231">
        <f>(INDEX(Models!$BJ268:$BT268,,AH268)*(1-AF268)+INDEX(Models!$BJ268:$BT268,,AH268+1)*AF268-ERP_i)*AE268*Ramure*Pc/MaxiM</f>
        <v>4.4109121351948249E-4</v>
      </c>
      <c r="AE268" s="305">
        <f t="shared" si="92"/>
        <v>0.7</v>
      </c>
      <c r="AF268" s="177">
        <f t="shared" si="93"/>
        <v>0.58943845994085997</v>
      </c>
      <c r="AG268" s="817">
        <f t="shared" si="99"/>
        <v>1</v>
      </c>
      <c r="AH268" s="176">
        <f t="shared" si="94"/>
        <v>7</v>
      </c>
      <c r="AI268" s="225">
        <f t="shared" si="95"/>
        <v>1.58943845994086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46277</v>
      </c>
      <c r="B269" s="411">
        <f>'2025'!Wh/'2025'!Env_an*'2026'!Env_an</f>
        <v>19.824805118750749</v>
      </c>
      <c r="C269" s="846"/>
      <c r="D269" s="393">
        <f t="shared" si="77"/>
        <v>21.202768168003161</v>
      </c>
      <c r="E269" s="385">
        <f t="shared" si="100"/>
        <v>23.174685321842318</v>
      </c>
      <c r="F269" s="385">
        <f t="shared" si="78"/>
        <v>23.174685329724678</v>
      </c>
      <c r="G269" s="110">
        <f t="shared" si="101"/>
        <v>0.67047067302260732</v>
      </c>
      <c r="H269" s="414" t="b">
        <f>Wh_hp&gt;='2025'!Maxi_hp</f>
        <v>0</v>
      </c>
      <c r="I269" s="390">
        <f>IF(H269,Wh_hp,'2025'!Maxi_hp)</f>
        <v>34.361918081315721</v>
      </c>
      <c r="J269" s="85">
        <f>IF(H269,An,'2025'!An_max)</f>
        <v>2019</v>
      </c>
      <c r="K269" s="197">
        <f t="shared" si="79"/>
        <v>46277</v>
      </c>
      <c r="L269" s="147">
        <f>IF(t&lt;Tvie,1-EXP((T0-t)*PertePVj)+'2025'!Pspv,1-EXP((T0-t)*PertePVj)+Pspv)</f>
        <v>6.4989771068283408E-2</v>
      </c>
      <c r="M269" s="850"/>
      <c r="N269" s="850"/>
      <c r="O269" s="48">
        <f>IF(t&lt;Tnet,'2025'!Resal+('2025'!Salim-'2025'!Resal)*(1-EXP(('2025'!Tnet-t)/('2025'!Tau_j))),Resal+(Salim-Resal)*(1-EXP((Tnet-t)/(Tau_j))))*Salcycl</f>
        <v>8.5089274199577208E-2</v>
      </c>
      <c r="P269" s="169">
        <f>(INDEX(Models!$BJ269:$BT269,,T269)*(1-R269)+INDEX(Models!$BJ269:$BT269,,T269+1)*R269-ERP_i)*Q269*Ramure*Pc/MaxiM</f>
        <v>6.4266797937544081E-10</v>
      </c>
      <c r="Q269" s="305">
        <f t="shared" si="80"/>
        <v>0.7</v>
      </c>
      <c r="R269" s="177">
        <f t="shared" si="81"/>
        <v>0.96599810494639105</v>
      </c>
      <c r="S269" s="817">
        <f t="shared" si="82"/>
        <v>-2</v>
      </c>
      <c r="T269" s="176">
        <f t="shared" si="83"/>
        <v>4</v>
      </c>
      <c r="U269" s="251">
        <f t="shared" si="84"/>
        <v>-1.034001895053609</v>
      </c>
      <c r="V269" s="383">
        <f t="shared" si="85"/>
        <v>29.568489585650354</v>
      </c>
      <c r="W269" s="402">
        <f t="shared" si="86"/>
        <v>19.824805118750749</v>
      </c>
      <c r="X269" s="157">
        <f t="shared" si="87"/>
        <v>46277</v>
      </c>
      <c r="Y269" s="385">
        <f t="shared" si="88"/>
        <v>18.880782764986559</v>
      </c>
      <c r="Z269" s="385">
        <f t="shared" si="89"/>
        <v>20.193129637264551</v>
      </c>
      <c r="AA269" s="386">
        <f t="shared" si="90"/>
        <v>23.167115189382539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0.12837099171850971</v>
      </c>
      <c r="AD269" s="231">
        <f>(INDEX(Models!$BJ269:$BT269,,AH269)*(1-AF269)+INDEX(Models!$BJ269:$BT269,,AH269+1)*AF269-ERP_i)*AE269*Ramure*Pc/MaxiM</f>
        <v>6.172118995430878E-4</v>
      </c>
      <c r="AE269" s="305">
        <f t="shared" si="92"/>
        <v>0.7</v>
      </c>
      <c r="AF269" s="177">
        <f t="shared" si="93"/>
        <v>0.58986147432244707</v>
      </c>
      <c r="AG269" s="817">
        <f t="shared" si="99"/>
        <v>1</v>
      </c>
      <c r="AH269" s="176">
        <f t="shared" si="94"/>
        <v>7</v>
      </c>
      <c r="AI269" s="225">
        <f t="shared" si="95"/>
        <v>1.5898614743224471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46278</v>
      </c>
      <c r="B270" s="411">
        <f>'2025'!Wh/'2025'!Env_an*'2026'!Env_an</f>
        <v>7.4583738763575314</v>
      </c>
      <c r="C270" s="846"/>
      <c r="D270" s="393">
        <f t="shared" si="77"/>
        <v>7.9769579055691349</v>
      </c>
      <c r="E270" s="385">
        <f t="shared" si="100"/>
        <v>8.7195862785321392</v>
      </c>
      <c r="F270" s="385">
        <f t="shared" si="78"/>
        <v>8.7195862785321392</v>
      </c>
      <c r="G270" s="110">
        <f t="shared" si="101"/>
        <v>0.25384489284511141</v>
      </c>
      <c r="H270" s="414" t="b">
        <f>Wh_hp&gt;='2025'!Maxi_hp</f>
        <v>0</v>
      </c>
      <c r="I270" s="390">
        <f>IF(H270,Wh_hp,'2025'!Maxi_hp)</f>
        <v>32.643598753916862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6.5010250191937513E-2</v>
      </c>
      <c r="M270" s="850"/>
      <c r="N270" s="850"/>
      <c r="O270" s="48">
        <f>IF(t&lt;Tnet,'2025'!Resal+('2025'!Salim-'2025'!Resal)*(1-EXP(('2025'!Tnet-t)/('2025'!Tau_j))),Resal+(Salim-Resal)*(1-EXP((Tnet-t)/(Tau_j))))*Salcycl</f>
        <v>8.5167845037714143E-2</v>
      </c>
      <c r="P270" s="169">
        <f>(INDEX(Models!$BJ270:$BT270,,T270)*(1-R270)+INDEX(Models!$BJ270:$BT270,,T270+1)*R270-ERP_i)*Q270*Ramure*Pc/MaxiM</f>
        <v>1.2932285951641746E-9</v>
      </c>
      <c r="Q270" s="305">
        <f t="shared" si="80"/>
        <v>0.7</v>
      </c>
      <c r="R270" s="177">
        <f t="shared" si="81"/>
        <v>0.96640477477460118</v>
      </c>
      <c r="S270" s="817">
        <f t="shared" si="82"/>
        <v>-2</v>
      </c>
      <c r="T270" s="176">
        <f t="shared" si="83"/>
        <v>4</v>
      </c>
      <c r="U270" s="251">
        <f t="shared" si="84"/>
        <v>-1.0335952252253988</v>
      </c>
      <c r="V270" s="383">
        <f t="shared" si="85"/>
        <v>29.381618763797729</v>
      </c>
      <c r="W270" s="402">
        <f t="shared" si="86"/>
        <v>7.4583738763575314</v>
      </c>
      <c r="X270" s="157">
        <f t="shared" si="87"/>
        <v>46278</v>
      </c>
      <c r="Y270" s="385">
        <f t="shared" si="88"/>
        <v>7.1060554385230112</v>
      </c>
      <c r="Z270" s="385">
        <f t="shared" si="89"/>
        <v>7.6001426111695487</v>
      </c>
      <c r="AA270" s="386">
        <f t="shared" si="90"/>
        <v>8.7195862785321392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0.1283826584890492</v>
      </c>
      <c r="AD270" s="231">
        <f>(INDEX(Models!$BJ270:$BT270,,AH270)*(1-AF270)+INDEX(Models!$BJ270:$BT270,,AH270+1)*AF270-ERP_i)*AE270*Ramure*Pc/MaxiM</f>
        <v>8.4615206740146773E-4</v>
      </c>
      <c r="AE270" s="305">
        <f t="shared" si="92"/>
        <v>0.7</v>
      </c>
      <c r="AF270" s="177">
        <f t="shared" si="93"/>
        <v>0.5902681441506572</v>
      </c>
      <c r="AG270" s="817">
        <f t="shared" si="99"/>
        <v>1</v>
      </c>
      <c r="AH270" s="176">
        <f t="shared" si="94"/>
        <v>7</v>
      </c>
      <c r="AI270" s="225">
        <f t="shared" si="95"/>
        <v>1.5902681441506572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46279</v>
      </c>
      <c r="B271" s="411">
        <f>'2025'!Wh/'2025'!Env_an*'2026'!Env_an</f>
        <v>22.128014100334727</v>
      </c>
      <c r="C271" s="846"/>
      <c r="D271" s="393">
        <f t="shared" ref="D271:D334" si="102">Wh/(1-Ppv)</f>
        <v>23.667103062671774</v>
      </c>
      <c r="E271" s="385">
        <f t="shared" si="100"/>
        <v>25.872630986470622</v>
      </c>
      <c r="F271" s="385">
        <f t="shared" ref="F271:F334" si="103">Wh_sa/(1-Pvg*MEDIAN((-Sdif+Wh/Env_an)/Csdif,0,1))</f>
        <v>25.872631023181075</v>
      </c>
      <c r="G271" s="110">
        <f t="shared" si="101"/>
        <v>0.75797817938030942</v>
      </c>
      <c r="H271" s="414" t="b">
        <f>Wh_hp&gt;='2025'!Maxi_hp</f>
        <v>0</v>
      </c>
      <c r="I271" s="390">
        <f>IF(H271,Wh_hp,'2025'!Maxi_hp)</f>
        <v>31.813436700328825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6.5030728867046195E-2</v>
      </c>
      <c r="M271" s="850"/>
      <c r="N271" s="850"/>
      <c r="O271" s="48">
        <f>IF(t&lt;Tnet,'2025'!Resal+('2025'!Salim-'2025'!Resal)*(1-EXP(('2025'!Tnet-t)/('2025'!Tau_j))),Resal+(Salim-Resal)*(1-EXP((Tnet-t)/(Tau_j))))*Salcycl</f>
        <v>8.5245598909216652E-2</v>
      </c>
      <c r="P271" s="169">
        <f>(INDEX(Models!$BJ271:$BT271,,T271)*(1-R271)+INDEX(Models!$BJ271:$BT271,,T271+1)*R271-ERP_i)*Q271*Ramure*Pc/MaxiM</f>
        <v>2.1687146973609931E-9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0.96679570547903682</v>
      </c>
      <c r="S271" s="817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-1.0332042945209632</v>
      </c>
      <c r="V271" s="383">
        <f t="shared" ref="V271:V334" si="110">MaxiM*(1-Ppv)*(1-Pvg)*(1-Psa)</f>
        <v>29.193471112629584</v>
      </c>
      <c r="W271" s="402">
        <f t="shared" ref="W271:W334" si="111">Wh*(A271&gt;Tmaj)</f>
        <v>22.128014100334727</v>
      </c>
      <c r="X271" s="157">
        <f t="shared" ref="X271:X334" si="112">t</f>
        <v>46279</v>
      </c>
      <c r="Y271" s="385">
        <f t="shared" ref="Y271:Y334" si="113">Wh_pvt_s*(1-Ppv)</f>
        <v>21.068694575644958</v>
      </c>
      <c r="Z271" s="385">
        <f t="shared" ref="Z271:Z334" si="114">Wh_sa_s*(1-Psa_s)</f>
        <v>22.534103768046688</v>
      </c>
      <c r="AA271" s="386">
        <f t="shared" ref="AA271:AA334" si="115">Wh_hp*(1-Pvg_s*MEDIAN((-Sdif+Wh/Env_an)/Csdif,0,1))</f>
        <v>25.853522250754406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0.12839327850621432</v>
      </c>
      <c r="AD271" s="231">
        <f>(INDEX(Models!$BJ271:$BT271,,AH271)*(1-AF271)+INDEX(Models!$BJ271:$BT271,,AH271+1)*AF271-ERP_i)*AE271*Ramure*Pc/MaxiM</f>
        <v>1.1288739374358662E-3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0.59065907485509284</v>
      </c>
      <c r="AG271" s="817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1.5906590748550928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46280</v>
      </c>
      <c r="B272" s="411">
        <f>'2025'!Wh/'2025'!Env_an*'2026'!Env_an</f>
        <v>26.846146192138395</v>
      </c>
      <c r="C272" s="846"/>
      <c r="D272" s="393">
        <f t="shared" si="102"/>
        <v>28.714028400084352</v>
      </c>
      <c r="E272" s="385">
        <f t="shared" si="100"/>
        <v>31.392516672405272</v>
      </c>
      <c r="F272" s="385">
        <f t="shared" si="103"/>
        <v>31.392516764237811</v>
      </c>
      <c r="G272" s="110">
        <f t="shared" si="101"/>
        <v>0.92558246999728511</v>
      </c>
      <c r="H272" s="414" t="b">
        <f>Wh_hp&gt;='2025'!Maxi_hp</f>
        <v>0</v>
      </c>
      <c r="I272" s="390">
        <f>IF(H272,Wh_hp,'2025'!Maxi_hp)</f>
        <v>32.156591580426863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6.5051207093619445E-2</v>
      </c>
      <c r="M272" s="850"/>
      <c r="N272" s="850"/>
      <c r="O272" s="48">
        <f>IF(t&lt;Tnet,'2025'!Resal+('2025'!Salim-'2025'!Resal)*(1-EXP(('2025'!Tnet-t)/('2025'!Tau_j))),Resal+(Salim-Resal)*(1-EXP((Tnet-t)/(Tau_j))))*Salcycl</f>
        <v>8.5322508554255883E-2</v>
      </c>
      <c r="P272" s="169">
        <f>(INDEX(Models!$BJ272:$BT272,,T272)*(1-R272)+INDEX(Models!$BJ272:$BT272,,T272+1)*R272-ERP_i)*Q272*Ramure*Pc/MaxiM</f>
        <v>3.273285784555458E-9</v>
      </c>
      <c r="Q272" s="305">
        <f t="shared" si="105"/>
        <v>0.7</v>
      </c>
      <c r="R272" s="177">
        <f t="shared" si="106"/>
        <v>0.96717148208893478</v>
      </c>
      <c r="S272" s="817">
        <f t="shared" si="107"/>
        <v>-2</v>
      </c>
      <c r="T272" s="176">
        <f t="shared" si="108"/>
        <v>4</v>
      </c>
      <c r="U272" s="251">
        <f t="shared" si="109"/>
        <v>-1.0328285179110652</v>
      </c>
      <c r="V272" s="383">
        <f t="shared" si="110"/>
        <v>29.004596622141158</v>
      </c>
      <c r="W272" s="402">
        <f t="shared" si="111"/>
        <v>26.846146192138395</v>
      </c>
      <c r="X272" s="157">
        <f t="shared" si="112"/>
        <v>46280</v>
      </c>
      <c r="Y272" s="385">
        <f t="shared" si="113"/>
        <v>25.548198482086967</v>
      </c>
      <c r="Z272" s="385">
        <f t="shared" si="114"/>
        <v>27.325773000538213</v>
      </c>
      <c r="AA272" s="386">
        <f t="shared" si="115"/>
        <v>31.351378143017381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0.12840281291990852</v>
      </c>
      <c r="AD272" s="231">
        <f>(INDEX(Models!$BJ272:$BT272,,AH272)*(1-AF272)+INDEX(Models!$BJ272:$BT272,,AH272+1)*AF272-ERP_i)*AE272*Ramure*Pc/MaxiM</f>
        <v>1.4663480517671224E-3</v>
      </c>
      <c r="AE272" s="305">
        <f t="shared" si="117"/>
        <v>0.7</v>
      </c>
      <c r="AF272" s="177">
        <f t="shared" si="118"/>
        <v>0.5910348514649908</v>
      </c>
      <c r="AG272" s="817">
        <f t="shared" ref="AG272:AG335" si="124">INDEX(Echel_vg,AH272)</f>
        <v>1</v>
      </c>
      <c r="AH272" s="176">
        <f t="shared" si="119"/>
        <v>7</v>
      </c>
      <c r="AI272" s="225">
        <f t="shared" si="120"/>
        <v>1.5910348514649908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46281</v>
      </c>
      <c r="B273" s="411">
        <f>'2025'!Wh/'2025'!Env_an*'2026'!Env_an</f>
        <v>20.08564139814656</v>
      </c>
      <c r="C273" s="846"/>
      <c r="D273" s="393">
        <f t="shared" si="102"/>
        <v>21.483616522395625</v>
      </c>
      <c r="E273" s="385">
        <f t="shared" si="100"/>
        <v>23.489593664683529</v>
      </c>
      <c r="F273" s="385">
        <f t="shared" si="103"/>
        <v>23.489593726119079</v>
      </c>
      <c r="G273" s="110">
        <f t="shared" si="101"/>
        <v>0.69704186833688186</v>
      </c>
      <c r="H273" s="414" t="b">
        <f>Wh_hp&gt;='2025'!Maxi_hp</f>
        <v>0</v>
      </c>
      <c r="I273" s="390">
        <f>IF(H273,Wh_hp,'2025'!Maxi_hp)</f>
        <v>31.548663581663206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6.5071684871666924E-2</v>
      </c>
      <c r="M273" s="850"/>
      <c r="N273" s="850"/>
      <c r="O273" s="48">
        <f>IF(t&lt;Tnet,'2025'!Resal+('2025'!Salim-'2025'!Resal)*(1-EXP(('2025'!Tnet-t)/('2025'!Tau_j))),Resal+(Salim-Resal)*(1-EXP((Tnet-t)/(Tau_j))))*Salcycl</f>
        <v>8.5398545880505286E-2</v>
      </c>
      <c r="P273" s="169">
        <f>(INDEX(Models!$BJ273:$BT273,,T273)*(1-R273)+INDEX(Models!$BJ273:$BT273,,T273+1)*R273-ERP_i)*Q273*Ramure*Pc/MaxiM</f>
        <v>4.6111152962372524E-9</v>
      </c>
      <c r="Q273" s="305">
        <f t="shared" si="105"/>
        <v>0.7</v>
      </c>
      <c r="R273" s="177">
        <f t="shared" si="106"/>
        <v>0.96753266976083041</v>
      </c>
      <c r="S273" s="817">
        <f t="shared" si="107"/>
        <v>-2</v>
      </c>
      <c r="T273" s="176">
        <f t="shared" si="108"/>
        <v>4</v>
      </c>
      <c r="U273" s="251">
        <f t="shared" si="109"/>
        <v>-1.0324673302391696</v>
      </c>
      <c r="V273" s="383">
        <f t="shared" si="110"/>
        <v>28.815545048944816</v>
      </c>
      <c r="W273" s="402">
        <f t="shared" si="111"/>
        <v>20.08564139814656</v>
      </c>
      <c r="X273" s="157">
        <f t="shared" si="112"/>
        <v>46281</v>
      </c>
      <c r="Y273" s="385">
        <f t="shared" si="113"/>
        <v>19.12084758937344</v>
      </c>
      <c r="Z273" s="385">
        <f t="shared" si="114"/>
        <v>20.451672368858368</v>
      </c>
      <c r="AA273" s="386">
        <f t="shared" si="115"/>
        <v>23.464818362933517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0.12841122174782735</v>
      </c>
      <c r="AD273" s="231">
        <f>(INDEX(Models!$BJ273:$BT273,,AH273)*(1-AF273)+INDEX(Models!$BJ273:$BT273,,AH273+1)*AF273-ERP_i)*AE273*Ramure*Pc/MaxiM</f>
        <v>1.8595431349103795E-3</v>
      </c>
      <c r="AE273" s="305">
        <f t="shared" si="117"/>
        <v>0.7</v>
      </c>
      <c r="AF273" s="177">
        <f t="shared" si="118"/>
        <v>0.59139603913688643</v>
      </c>
      <c r="AG273" s="817">
        <f t="shared" si="124"/>
        <v>1</v>
      </c>
      <c r="AH273" s="176">
        <f t="shared" si="119"/>
        <v>7</v>
      </c>
      <c r="AI273" s="225">
        <f t="shared" si="120"/>
        <v>1.5913960391368864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46282</v>
      </c>
      <c r="B274" s="411">
        <f>'2025'!Wh/'2025'!Env_an*'2026'!Env_an</f>
        <v>28.329443637753648</v>
      </c>
      <c r="C274" s="846"/>
      <c r="D274" s="393">
        <f t="shared" si="102"/>
        <v>30.301857030586085</v>
      </c>
      <c r="E274" s="385">
        <f t="shared" si="100"/>
        <v>33.133936590869467</v>
      </c>
      <c r="F274" s="385">
        <f t="shared" si="103"/>
        <v>33.133936792805109</v>
      </c>
      <c r="G274" s="110">
        <f t="shared" si="101"/>
        <v>0.98961037915548311</v>
      </c>
      <c r="H274" s="414" t="b">
        <f>Wh_hp&gt;='2025'!Maxi_hp</f>
        <v>0</v>
      </c>
      <c r="I274" s="390">
        <f>IF(H274,Wh_hp,'2025'!Maxi_hp)</f>
        <v>33.133936794378606</v>
      </c>
      <c r="J274" s="85">
        <f>IF(H274,An,'2025'!An_max)</f>
        <v>2025</v>
      </c>
      <c r="K274" s="197">
        <f t="shared" si="104"/>
        <v>46282</v>
      </c>
      <c r="L274" s="147">
        <f>IF(t&lt;Tvie,1-EXP((T0-t)*PertePVj)+'2025'!Pspv,1-EXP((T0-t)*PertePVj)+Pspv)</f>
        <v>6.5092162201198511E-2</v>
      </c>
      <c r="M274" s="850"/>
      <c r="N274" s="850"/>
      <c r="O274" s="48">
        <f>IF(t&lt;Tnet,'2025'!Resal+('2025'!Salim-'2025'!Resal)*(1-EXP(('2025'!Tnet-t)/('2025'!Tau_j))),Resal+(Salim-Resal)*(1-EXP((Tnet-t)/(Tau_j))))*Salcycl</f>
        <v>8.5473682021345004E-2</v>
      </c>
      <c r="P274" s="169">
        <f>(INDEX(Models!$BJ274:$BT274,,T274)*(1-R274)+INDEX(Models!$BJ274:$BT274,,T274+1)*R274-ERP_i)*Q274*Ramure*Pc/MaxiM</f>
        <v>6.1863458560152146E-9</v>
      </c>
      <c r="Q274" s="305">
        <f t="shared" si="105"/>
        <v>0.7</v>
      </c>
      <c r="R274" s="177">
        <f t="shared" si="106"/>
        <v>0.96787981430592884</v>
      </c>
      <c r="S274" s="817">
        <f t="shared" si="107"/>
        <v>-2</v>
      </c>
      <c r="T274" s="176">
        <f t="shared" si="108"/>
        <v>4</v>
      </c>
      <c r="U274" s="251">
        <f t="shared" si="109"/>
        <v>-1.0321201856940712</v>
      </c>
      <c r="V274" s="383">
        <f t="shared" si="110"/>
        <v>28.626865918007361</v>
      </c>
      <c r="W274" s="402">
        <f t="shared" si="111"/>
        <v>28.329443637753648</v>
      </c>
      <c r="X274" s="157">
        <f t="shared" si="112"/>
        <v>46282</v>
      </c>
      <c r="Y274" s="385">
        <f t="shared" si="113"/>
        <v>26.93770892822554</v>
      </c>
      <c r="Z274" s="385">
        <f t="shared" si="114"/>
        <v>28.813223976867246</v>
      </c>
      <c r="AA274" s="386">
        <f t="shared" si="115"/>
        <v>33.058552511346406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0.12841846396698919</v>
      </c>
      <c r="AD274" s="231">
        <f>(INDEX(Models!$BJ274:$BT274,,AH274)*(1-AF274)+INDEX(Models!$BJ274:$BT274,,AH274+1)*AF274-ERP_i)*AE274*Ramure*Pc/MaxiM</f>
        <v>2.3094151516373663E-3</v>
      </c>
      <c r="AE274" s="305">
        <f t="shared" si="117"/>
        <v>0.7</v>
      </c>
      <c r="AF274" s="177">
        <f t="shared" si="118"/>
        <v>0.59174318368198486</v>
      </c>
      <c r="AG274" s="817">
        <f t="shared" si="124"/>
        <v>1</v>
      </c>
      <c r="AH274" s="176">
        <f t="shared" si="119"/>
        <v>7</v>
      </c>
      <c r="AI274" s="225">
        <f t="shared" si="120"/>
        <v>1.5917431836819849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46283</v>
      </c>
      <c r="B275" s="411">
        <f>'2025'!Wh/'2025'!Env_an*'2026'!Env_an</f>
        <v>28.443414880590947</v>
      </c>
      <c r="C275" s="846"/>
      <c r="D275" s="393">
        <f t="shared" si="102"/>
        <v>30.424429797262565</v>
      </c>
      <c r="E275" s="385">
        <f t="shared" si="100"/>
        <v>33.270664891414413</v>
      </c>
      <c r="F275" s="385">
        <f t="shared" si="103"/>
        <v>33.270665157690047</v>
      </c>
      <c r="G275" s="110">
        <f t="shared" si="101"/>
        <v>1.0001857505520066</v>
      </c>
      <c r="H275" s="414" t="b">
        <f>Wh_hp&gt;='2025'!Maxi_hp</f>
        <v>0</v>
      </c>
      <c r="I275" s="390">
        <f>IF(H275,Wh_hp,'2025'!Maxi_hp)</f>
        <v>33.270665157690054</v>
      </c>
      <c r="J275" s="85">
        <f>IF(H275,An,'2025'!An_max)</f>
        <v>2023</v>
      </c>
      <c r="K275" s="197">
        <f t="shared" si="104"/>
        <v>46283</v>
      </c>
      <c r="L275" s="147">
        <f>IF(t&lt;Tvie,1-EXP((T0-t)*PertePVj)+'2025'!Pspv,1-EXP((T0-t)*PertePVj)+Pspv)</f>
        <v>6.5112639082223978E-2</v>
      </c>
      <c r="M275" s="850"/>
      <c r="N275" s="850"/>
      <c r="O275" s="48">
        <f>IF(t&lt;Tnet,'2025'!Resal+('2025'!Salim-'2025'!Resal)*(1-EXP(('2025'!Tnet-t)/('2025'!Tau_j))),Resal+(Salim-Resal)*(1-EXP((Tnet-t)/(Tau_j))))*Salcycl</f>
        <v>8.5547887408956608E-2</v>
      </c>
      <c r="P275" s="169">
        <f>(INDEX(Models!$BJ275:$BT275,,T275)*(1-R275)+INDEX(Models!$BJ275:$BT275,,T275+1)*R275-ERP_i)*Q275*Ramure*Pc/MaxiM</f>
        <v>8.0033156714648946E-9</v>
      </c>
      <c r="Q275" s="305">
        <f t="shared" si="105"/>
        <v>0.7</v>
      </c>
      <c r="R275" s="177">
        <f t="shared" si="106"/>
        <v>0.96821344271578669</v>
      </c>
      <c r="S275" s="817">
        <f t="shared" si="107"/>
        <v>-2</v>
      </c>
      <c r="T275" s="176">
        <f t="shared" si="108"/>
        <v>4</v>
      </c>
      <c r="U275" s="251">
        <f t="shared" si="109"/>
        <v>-1.0317865572842133</v>
      </c>
      <c r="V275" s="383">
        <f t="shared" si="110"/>
        <v>28.438132481784418</v>
      </c>
      <c r="W275" s="402">
        <f t="shared" si="111"/>
        <v>28.443414880590947</v>
      </c>
      <c r="X275" s="157">
        <f t="shared" si="112"/>
        <v>46283</v>
      </c>
      <c r="Y275" s="385">
        <f t="shared" si="113"/>
        <v>27.033399114344274</v>
      </c>
      <c r="Z275" s="385">
        <f t="shared" si="114"/>
        <v>28.916209849928521</v>
      </c>
      <c r="AA275" s="386">
        <f t="shared" si="115"/>
        <v>33.176941953054502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0.12842449762714511</v>
      </c>
      <c r="AD275" s="231">
        <f>(INDEX(Models!$BJ275:$BT275,,AH275)*(1-AF275)+INDEX(Models!$BJ275:$BT275,,AH275+1)*AF275-ERP_i)*AE275*Ramure*Pc/MaxiM</f>
        <v>2.8169922119480142E-3</v>
      </c>
      <c r="AE275" s="305">
        <f t="shared" si="117"/>
        <v>0.7</v>
      </c>
      <c r="AF275" s="177">
        <f t="shared" si="118"/>
        <v>0.59207681209184271</v>
      </c>
      <c r="AG275" s="817">
        <f t="shared" si="124"/>
        <v>1</v>
      </c>
      <c r="AH275" s="176">
        <f t="shared" si="119"/>
        <v>7</v>
      </c>
      <c r="AI275" s="225">
        <f t="shared" si="120"/>
        <v>1.5920768120918427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46284</v>
      </c>
      <c r="B276" s="411">
        <f>'2025'!Wh/'2025'!Env_an*'2026'!Env_an</f>
        <v>27.878158834267243</v>
      </c>
      <c r="C276" s="846"/>
      <c r="D276" s="393">
        <f t="shared" si="102"/>
        <v>29.820458181720088</v>
      </c>
      <c r="E276" s="385">
        <f t="shared" si="100"/>
        <v>32.612803314745214</v>
      </c>
      <c r="F276" s="385">
        <f t="shared" si="103"/>
        <v>32.613025080051187</v>
      </c>
      <c r="G276" s="110">
        <f t="shared" si="101"/>
        <v>0.98689902179034183</v>
      </c>
      <c r="H276" s="414" t="b">
        <f>Wh_hp&gt;='2025'!Maxi_hp</f>
        <v>0</v>
      </c>
      <c r="I276" s="390">
        <f>IF(H276,Wh_hp,'2025'!Maxi_hp)</f>
        <v>32.613027266121748</v>
      </c>
      <c r="J276" s="85">
        <f>IF(H276,An,'2025'!An_max)</f>
        <v>2025</v>
      </c>
      <c r="K276" s="197">
        <f t="shared" si="104"/>
        <v>46284</v>
      </c>
      <c r="L276" s="147">
        <f>IF(t&lt;Tvie,1-EXP((T0-t)*PertePVj)+'2025'!Pspv,1-EXP((T0-t)*PertePVj)+Pspv)</f>
        <v>6.5133115514753315E-2</v>
      </c>
      <c r="M276" s="850"/>
      <c r="N276" s="850"/>
      <c r="O276" s="48">
        <f>IF(t&lt;Tnet,'2025'!Resal+('2025'!Salim-'2025'!Resal)*(1-EXP(('2025'!Tnet-t)/('2025'!Tau_j))),Resal+(Salim-Resal)*(1-EXP((Tnet-t)/(Tau_j))))*Salcycl</f>
        <v>8.5621131862731431E-2</v>
      </c>
      <c r="P276" s="169">
        <f>(INDEX(Models!$BJ276:$BT276,,T276)*(1-R276)+INDEX(Models!$BJ276:$BT276,,T276+1)*R276-ERP_i)*Q276*Ramure*Pc/MaxiM</f>
        <v>6.9295906558003252E-6</v>
      </c>
      <c r="Q276" s="305">
        <f t="shared" si="105"/>
        <v>0.7</v>
      </c>
      <c r="R276" s="177">
        <f t="shared" si="106"/>
        <v>0.96853406368504813</v>
      </c>
      <c r="S276" s="817">
        <f t="shared" si="107"/>
        <v>-2</v>
      </c>
      <c r="T276" s="176">
        <f t="shared" si="108"/>
        <v>4</v>
      </c>
      <c r="U276" s="251">
        <f t="shared" si="109"/>
        <v>-1.0314659363149519</v>
      </c>
      <c r="V276" s="383">
        <f t="shared" si="110"/>
        <v>28.24823472631391</v>
      </c>
      <c r="W276" s="402">
        <f t="shared" si="111"/>
        <v>27.878158834267243</v>
      </c>
      <c r="X276" s="157">
        <f t="shared" si="112"/>
        <v>46284</v>
      </c>
      <c r="Y276" s="385">
        <f t="shared" si="113"/>
        <v>26.483302882997553</v>
      </c>
      <c r="Z276" s="385">
        <f t="shared" si="114"/>
        <v>28.328421214299084</v>
      </c>
      <c r="AA276" s="386">
        <f t="shared" si="115"/>
        <v>32.502722457063392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0.12842927998658035</v>
      </c>
      <c r="AD276" s="231">
        <f>(INDEX(Models!$BJ276:$BT276,,AH276)*(1-AF276)+INDEX(Models!$BJ276:$BT276,,AH276+1)*AF276-ERP_i)*AE276*Ramure*Pc/MaxiM</f>
        <v>3.4466708947866308E-3</v>
      </c>
      <c r="AE276" s="305">
        <f t="shared" si="117"/>
        <v>0.7</v>
      </c>
      <c r="AF276" s="177">
        <f t="shared" si="118"/>
        <v>0.59239743306110415</v>
      </c>
      <c r="AG276" s="817">
        <f t="shared" si="124"/>
        <v>1</v>
      </c>
      <c r="AH276" s="176">
        <f t="shared" si="119"/>
        <v>7</v>
      </c>
      <c r="AI276" s="225">
        <f t="shared" si="120"/>
        <v>1.5923974330611042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46285</v>
      </c>
      <c r="B277" s="411">
        <f>'2025'!Wh/'2025'!Env_an*'2026'!Env_an</f>
        <v>29.085937765159532</v>
      </c>
      <c r="C277" s="846"/>
      <c r="D277" s="393">
        <f t="shared" si="102"/>
        <v>31.113065740704585</v>
      </c>
      <c r="E277" s="385">
        <f t="shared" si="100"/>
        <v>34.029137731072964</v>
      </c>
      <c r="F277" s="385">
        <f t="shared" si="103"/>
        <v>34.029849011308073</v>
      </c>
      <c r="G277" s="110">
        <f t="shared" si="101"/>
        <v>1.0366734671014806</v>
      </c>
      <c r="H277" s="414" t="b">
        <f>Wh_hp&gt;='2025'!Maxi_hp</f>
        <v>1</v>
      </c>
      <c r="I277" s="390">
        <f>IF(H277,Wh_hp,'2025'!Maxi_hp)</f>
        <v>34.029849011308073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6.5153591498796071E-2</v>
      </c>
      <c r="M277" s="850"/>
      <c r="N277" s="850"/>
      <c r="O277" s="48">
        <f>IF(t&lt;Tnet,'2025'!Resal+('2025'!Salim-'2025'!Resal)*(1-EXP(('2025'!Tnet-t)/('2025'!Tau_j))),Resal+(Salim-Resal)*(1-EXP((Tnet-t)/(Tau_j))))*Salcycl</f>
        <v>8.5693384693248581E-2</v>
      </c>
      <c r="P277" s="169">
        <f>(INDEX(Models!$BJ277:$BT277,,T277)*(1-R277)+INDEX(Models!$BJ277:$BT277,,T277+1)*R277-ERP_i)*Q277*Ramure*Pc/MaxiM</f>
        <v>2.0901657097414257E-5</v>
      </c>
      <c r="Q277" s="305">
        <f t="shared" si="105"/>
        <v>0.7</v>
      </c>
      <c r="R277" s="177">
        <f t="shared" si="106"/>
        <v>0.96884216813010693</v>
      </c>
      <c r="S277" s="817">
        <f t="shared" si="107"/>
        <v>-2</v>
      </c>
      <c r="T277" s="176">
        <f t="shared" si="108"/>
        <v>4</v>
      </c>
      <c r="U277" s="251">
        <f t="shared" si="109"/>
        <v>-1.0311578318698931</v>
      </c>
      <c r="V277" s="383">
        <f t="shared" si="110"/>
        <v>28.056990641887715</v>
      </c>
      <c r="W277" s="402">
        <f t="shared" si="111"/>
        <v>29.085937765159532</v>
      </c>
      <c r="X277" s="157">
        <f t="shared" si="112"/>
        <v>46285</v>
      </c>
      <c r="Y277" s="385">
        <f t="shared" si="113"/>
        <v>27.610732285145453</v>
      </c>
      <c r="Z277" s="385">
        <f t="shared" si="114"/>
        <v>29.535046649441018</v>
      </c>
      <c r="AA277" s="386">
        <f t="shared" si="115"/>
        <v>33.887284369907832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0.12843276767056711</v>
      </c>
      <c r="AD277" s="231">
        <f>(INDEX(Models!$BJ277:$BT277,,AH277)*(1-AF277)+INDEX(Models!$BJ277:$BT277,,AH277+1)*AF277-ERP_i)*AE277*Ramure*Pc/MaxiM</f>
        <v>4.1893997635095151E-3</v>
      </c>
      <c r="AE277" s="305">
        <f t="shared" si="117"/>
        <v>0.7</v>
      </c>
      <c r="AF277" s="177">
        <f t="shared" si="118"/>
        <v>0.59270553750616295</v>
      </c>
      <c r="AG277" s="817">
        <f t="shared" si="124"/>
        <v>1</v>
      </c>
      <c r="AH277" s="176">
        <f t="shared" si="119"/>
        <v>7</v>
      </c>
      <c r="AI277" s="225">
        <f t="shared" si="120"/>
        <v>1.5927055375061629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46286</v>
      </c>
      <c r="B278" s="411">
        <f>'2025'!Wh/'2025'!Env_an*'2026'!Env_an</f>
        <v>28.070984494366595</v>
      </c>
      <c r="C278" s="846"/>
      <c r="D278" s="393">
        <f t="shared" si="102"/>
        <v>30.028033566970407</v>
      </c>
      <c r="E278" s="385">
        <f t="shared" si="100"/>
        <v>32.844969746079983</v>
      </c>
      <c r="F278" s="385">
        <f t="shared" si="103"/>
        <v>32.846351220278983</v>
      </c>
      <c r="G278" s="110">
        <f t="shared" si="101"/>
        <v>1.0074204906842539</v>
      </c>
      <c r="H278" s="414" t="b">
        <f>Wh_hp&gt;='2025'!Maxi_hp</f>
        <v>1</v>
      </c>
      <c r="I278" s="390">
        <f>IF(H278,Wh_hp,'2025'!Maxi_hp)</f>
        <v>32.846351220278983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6.5174067034362348E-2</v>
      </c>
      <c r="M278" s="850"/>
      <c r="N278" s="850"/>
      <c r="O278" s="48">
        <f>IF(t&lt;Tnet,'2025'!Resal+('2025'!Salim-'2025'!Resal)*(1-EXP(('2025'!Tnet-t)/('2025'!Tau_j))),Resal+(Salim-Resal)*(1-EXP((Tnet-t)/(Tau_j))))*Salcycl</f>
        <v>8.5764614821901994E-2</v>
      </c>
      <c r="P278" s="169">
        <f>(INDEX(Models!$BJ278:$BT278,,T278)*(1-R278)+INDEX(Models!$BJ278:$BT278,,T278+1)*R278-ERP_i)*Q278*Ramure*Pc/MaxiM</f>
        <v>4.2058680726355265E-5</v>
      </c>
      <c r="Q278" s="305">
        <f t="shared" si="105"/>
        <v>0.7</v>
      </c>
      <c r="R278" s="177">
        <f t="shared" si="106"/>
        <v>0.9691382297026947</v>
      </c>
      <c r="S278" s="817">
        <f t="shared" si="107"/>
        <v>-2</v>
      </c>
      <c r="T278" s="176">
        <f t="shared" si="108"/>
        <v>4</v>
      </c>
      <c r="U278" s="251">
        <f t="shared" si="109"/>
        <v>-1.0308617702973053</v>
      </c>
      <c r="V278" s="383">
        <f t="shared" si="110"/>
        <v>27.86421832188503</v>
      </c>
      <c r="W278" s="402">
        <f t="shared" si="111"/>
        <v>28.070984494366595</v>
      </c>
      <c r="X278" s="157">
        <f t="shared" si="112"/>
        <v>46286</v>
      </c>
      <c r="Y278" s="385">
        <f t="shared" si="113"/>
        <v>26.626871424251835</v>
      </c>
      <c r="Z278" s="385">
        <f t="shared" si="114"/>
        <v>28.483240018578503</v>
      </c>
      <c r="AA278" s="386">
        <f t="shared" si="115"/>
        <v>32.680565765341605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0.12843491685246311</v>
      </c>
      <c r="AD278" s="231">
        <f>(INDEX(Models!$BJ278:$BT278,,AH278)*(1-AF278)+INDEX(Models!$BJ278:$BT278,,AH278+1)*AF278-ERP_i)*AE278*Ramure*Pc/MaxiM</f>
        <v>5.0473020222417397E-3</v>
      </c>
      <c r="AE278" s="305">
        <f t="shared" si="117"/>
        <v>0.7</v>
      </c>
      <c r="AF278" s="177">
        <f t="shared" si="118"/>
        <v>0.59300159907875072</v>
      </c>
      <c r="AG278" s="817">
        <f t="shared" si="124"/>
        <v>1</v>
      </c>
      <c r="AH278" s="176">
        <f t="shared" si="119"/>
        <v>7</v>
      </c>
      <c r="AI278" s="225">
        <f t="shared" si="120"/>
        <v>1.5930015990787507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46287</v>
      </c>
      <c r="B279" s="411">
        <f>'2025'!Wh/'2025'!Env_an*'2026'!Env_an</f>
        <v>27.025314775083981</v>
      </c>
      <c r="C279" s="846"/>
      <c r="D279" s="393">
        <f t="shared" si="102"/>
        <v>28.910095193940826</v>
      </c>
      <c r="E279" s="385">
        <f t="shared" si="100"/>
        <v>31.624584819751934</v>
      </c>
      <c r="F279" s="385">
        <f t="shared" si="103"/>
        <v>31.626741529131554</v>
      </c>
      <c r="G279" s="110">
        <f t="shared" si="101"/>
        <v>0.97670795940907262</v>
      </c>
      <c r="H279" s="414" t="b">
        <f>Wh_hp&gt;='2025'!Maxi_hp</f>
        <v>0</v>
      </c>
      <c r="I279" s="390">
        <f>IF(H279,Wh_hp,'2025'!Maxi_hp)</f>
        <v>31.626779860957342</v>
      </c>
      <c r="J279" s="85">
        <f>IF(H279,An,'2025'!An_max)</f>
        <v>2025</v>
      </c>
      <c r="K279" s="197">
        <f t="shared" si="104"/>
        <v>46287</v>
      </c>
      <c r="L279" s="147">
        <f>IF(t&lt;Tvie,1-EXP((T0-t)*PertePVj)+'2025'!Pspv,1-EXP((T0-t)*PertePVj)+Pspv)</f>
        <v>6.5194542121461807E-2</v>
      </c>
      <c r="M279" s="850"/>
      <c r="N279" s="850"/>
      <c r="O279" s="48">
        <f>IF(t&lt;Tnet,'2025'!Resal+('2025'!Salim-'2025'!Resal)*(1-EXP(('2025'!Tnet-t)/('2025'!Tau_j))),Resal+(Salim-Resal)*(1-EXP((Tnet-t)/(Tau_j))))*Salcycl</f>
        <v>8.5834790916075765E-2</v>
      </c>
      <c r="P279" s="169">
        <f>(INDEX(Models!$BJ279:$BT279,,T279)*(1-R279)+INDEX(Models!$BJ279:$BT279,,T279+1)*R279-ERP_i)*Q279*Ramure*Pc/MaxiM</f>
        <v>7.0539513799956584E-5</v>
      </c>
      <c r="Q279" s="305">
        <f t="shared" si="105"/>
        <v>0.7</v>
      </c>
      <c r="R279" s="177">
        <f t="shared" si="106"/>
        <v>0.96942270529750463</v>
      </c>
      <c r="S279" s="817">
        <f t="shared" si="107"/>
        <v>-2</v>
      </c>
      <c r="T279" s="176">
        <f t="shared" si="108"/>
        <v>4</v>
      </c>
      <c r="U279" s="251">
        <f t="shared" si="109"/>
        <v>-1.0305772947024954</v>
      </c>
      <c r="V279" s="383">
        <f t="shared" si="110"/>
        <v>27.669735957431861</v>
      </c>
      <c r="W279" s="402">
        <f t="shared" si="111"/>
        <v>27.025314775083981</v>
      </c>
      <c r="X279" s="157">
        <f t="shared" si="112"/>
        <v>46287</v>
      </c>
      <c r="Y279" s="385">
        <f t="shared" si="113"/>
        <v>25.617643979815526</v>
      </c>
      <c r="Z279" s="385">
        <f t="shared" si="114"/>
        <v>27.404251616109086</v>
      </c>
      <c r="AA279" s="386">
        <f t="shared" si="115"/>
        <v>31.442603943231504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0.12843568345718179</v>
      </c>
      <c r="AD279" s="231">
        <f>(INDEX(Models!$BJ279:$BT279,,AH279)*(1-AF279)+INDEX(Models!$BJ279:$BT279,,AH279+1)*AF279-ERP_i)*AE279*Ramure*Pc/MaxiM</f>
        <v>6.0225897399184209E-3</v>
      </c>
      <c r="AE279" s="305">
        <f t="shared" si="117"/>
        <v>0.7</v>
      </c>
      <c r="AF279" s="177">
        <f t="shared" si="118"/>
        <v>0.59328607467356065</v>
      </c>
      <c r="AG279" s="817">
        <f t="shared" si="124"/>
        <v>1</v>
      </c>
      <c r="AH279" s="176">
        <f t="shared" si="119"/>
        <v>7</v>
      </c>
      <c r="AI279" s="225">
        <f t="shared" si="120"/>
        <v>1.5932860746735606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46288</v>
      </c>
      <c r="B280" s="411">
        <f>'2025'!Wh/'2025'!Env_an*'2026'!Env_an</f>
        <v>16.72272392164405</v>
      </c>
      <c r="C280" s="846"/>
      <c r="D280" s="393">
        <f t="shared" si="102"/>
        <v>17.889380147811451</v>
      </c>
      <c r="E280" s="385">
        <f t="shared" si="100"/>
        <v>19.570567893824908</v>
      </c>
      <c r="F280" s="385">
        <f t="shared" si="103"/>
        <v>19.571486965944555</v>
      </c>
      <c r="G280" s="110">
        <f t="shared" si="101"/>
        <v>0.60865242853014623</v>
      </c>
      <c r="H280" s="414" t="b">
        <f>Wh_hp&gt;='2025'!Maxi_hp</f>
        <v>0</v>
      </c>
      <c r="I280" s="390">
        <f>IF(H280,Wh_hp,'2025'!Maxi_hp)</f>
        <v>30.447289439965701</v>
      </c>
      <c r="J280" s="85">
        <f>IF(H280,An,'2025'!An_max)</f>
        <v>2018</v>
      </c>
      <c r="K280" s="197">
        <f t="shared" si="104"/>
        <v>46288</v>
      </c>
      <c r="L280" s="147">
        <f>IF(t&lt;Tvie,1-EXP((T0-t)*PertePVj)+'2025'!Pspv,1-EXP((T0-t)*PertePVj)+Pspv)</f>
        <v>6.5215016760104327E-2</v>
      </c>
      <c r="M280" s="850"/>
      <c r="N280" s="850"/>
      <c r="O280" s="48">
        <f>IF(t&lt;Tnet,'2025'!Resal+('2025'!Salim-'2025'!Resal)*(1-EXP(('2025'!Tnet-t)/('2025'!Tau_j))),Resal+(Salim-Resal)*(1-EXP((Tnet-t)/(Tau_j))))*Salcycl</f>
        <v>8.5903881539580743E-2</v>
      </c>
      <c r="P280" s="169">
        <f>(INDEX(Models!$BJ280:$BT280,,T280)*(1-R280)+INDEX(Models!$BJ280:$BT280,,T280+1)*R280-ERP_i)*Q280*Ramure*Pc/MaxiM</f>
        <v>1.0648860227401365E-4</v>
      </c>
      <c r="Q280" s="305">
        <f t="shared" si="105"/>
        <v>0.7</v>
      </c>
      <c r="R280" s="177">
        <f t="shared" si="106"/>
        <v>0.96969603555306993</v>
      </c>
      <c r="S280" s="817">
        <f t="shared" si="107"/>
        <v>-2</v>
      </c>
      <c r="T280" s="176">
        <f t="shared" si="108"/>
        <v>4</v>
      </c>
      <c r="U280" s="251">
        <f t="shared" si="109"/>
        <v>-1.0303039644469301</v>
      </c>
      <c r="V280" s="383">
        <f t="shared" si="110"/>
        <v>27.473361817845472</v>
      </c>
      <c r="W280" s="402">
        <f t="shared" si="111"/>
        <v>16.72272392164405</v>
      </c>
      <c r="X280" s="157">
        <f t="shared" si="112"/>
        <v>46288</v>
      </c>
      <c r="Y280" s="385">
        <f t="shared" si="113"/>
        <v>15.895347751422033</v>
      </c>
      <c r="Z280" s="385">
        <f t="shared" si="114"/>
        <v>17.004282307071229</v>
      </c>
      <c r="AA280" s="386">
        <f t="shared" si="115"/>
        <v>19.510056924432316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0.12843502338648355</v>
      </c>
      <c r="AD280" s="231">
        <f>(INDEX(Models!$BJ280:$BT280,,AH280)*(1-AF280)+INDEX(Models!$BJ280:$BT280,,AH280+1)*AF280-ERP_i)*AE280*Ramure*Pc/MaxiM</f>
        <v>7.1176125555586448E-3</v>
      </c>
      <c r="AE280" s="305">
        <f t="shared" si="117"/>
        <v>0.7</v>
      </c>
      <c r="AF280" s="177">
        <f t="shared" si="118"/>
        <v>0.59355940492912596</v>
      </c>
      <c r="AG280" s="817">
        <f t="shared" si="124"/>
        <v>1</v>
      </c>
      <c r="AH280" s="176">
        <f t="shared" si="119"/>
        <v>7</v>
      </c>
      <c r="AI280" s="225">
        <f t="shared" si="120"/>
        <v>1.593559404929126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46289</v>
      </c>
      <c r="B281" s="411">
        <f>'2025'!Wh/'2025'!Env_an*'2026'!Env_an</f>
        <v>10.44049729286399</v>
      </c>
      <c r="C281" s="846"/>
      <c r="D281" s="393">
        <f t="shared" si="102"/>
        <v>11.169120341847382</v>
      </c>
      <c r="E281" s="385">
        <f t="shared" si="100"/>
        <v>12.219667859058923</v>
      </c>
      <c r="F281" s="385">
        <f t="shared" si="103"/>
        <v>12.219884723972939</v>
      </c>
      <c r="G281" s="110">
        <f t="shared" si="101"/>
        <v>0.38273689131718658</v>
      </c>
      <c r="H281" s="414" t="b">
        <f>Wh_hp&gt;='2025'!Maxi_hp</f>
        <v>0</v>
      </c>
      <c r="I281" s="390">
        <f>IF(H281,Wh_hp,'2025'!Maxi_hp)</f>
        <v>26.744687251171772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6.5235490950299679E-2</v>
      </c>
      <c r="M281" s="850"/>
      <c r="N281" s="850"/>
      <c r="O281" s="48">
        <f>IF(t&lt;Tnet,'2025'!Resal+('2025'!Salim-'2025'!Resal)*(1-EXP(('2025'!Tnet-t)/('2025'!Tau_j))),Resal+(Salim-Resal)*(1-EXP((Tnet-t)/(Tau_j))))*Salcycl</f>
        <v>8.5971855317878321E-2</v>
      </c>
      <c r="P281" s="169">
        <f>(INDEX(Models!$BJ281:$BT281,,T281)*(1-R281)+INDEX(Models!$BJ281:$BT281,,T281+1)*R281-ERP_i)*Q281*Ramure*Pc/MaxiM</f>
        <v>1.5005665256410852E-4</v>
      </c>
      <c r="Q281" s="305">
        <f t="shared" si="105"/>
        <v>0.7</v>
      </c>
      <c r="R281" s="177">
        <f t="shared" si="106"/>
        <v>0.96995864534520604</v>
      </c>
      <c r="S281" s="817">
        <f t="shared" si="107"/>
        <v>-2</v>
      </c>
      <c r="T281" s="176">
        <f t="shared" si="108"/>
        <v>4</v>
      </c>
      <c r="U281" s="251">
        <f t="shared" si="109"/>
        <v>-1.030041354654794</v>
      </c>
      <c r="V281" s="383">
        <f t="shared" si="110"/>
        <v>27.274914243760485</v>
      </c>
      <c r="W281" s="402">
        <f t="shared" si="111"/>
        <v>10.44049729286399</v>
      </c>
      <c r="X281" s="157">
        <f t="shared" si="112"/>
        <v>46289</v>
      </c>
      <c r="Y281" s="385">
        <f t="shared" si="113"/>
        <v>9.9458485423887772</v>
      </c>
      <c r="Z281" s="385">
        <f t="shared" si="114"/>
        <v>10.63995096743662</v>
      </c>
      <c r="AA281" s="386">
        <f t="shared" si="115"/>
        <v>12.207839051194258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0.12843289276526432</v>
      </c>
      <c r="AD281" s="231">
        <f>(INDEX(Models!$BJ281:$BT281,,AH281)*(1-AF281)+INDEX(Models!$BJ281:$BT281,,AH281+1)*AF281-ERP_i)*AE281*Ramure*Pc/MaxiM</f>
        <v>8.3348352740920794E-3</v>
      </c>
      <c r="AE281" s="305">
        <f t="shared" si="117"/>
        <v>0.7</v>
      </c>
      <c r="AF281" s="177">
        <f t="shared" si="118"/>
        <v>0.59382201472126206</v>
      </c>
      <c r="AG281" s="817">
        <f t="shared" si="124"/>
        <v>1</v>
      </c>
      <c r="AH281" s="176">
        <f t="shared" si="119"/>
        <v>7</v>
      </c>
      <c r="AI281" s="225">
        <f t="shared" si="120"/>
        <v>1.5938220147212621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46290</v>
      </c>
      <c r="B282" s="411">
        <f>'2025'!Wh/'2025'!Env_an*'2026'!Env_an</f>
        <v>19.511634571138988</v>
      </c>
      <c r="C282" s="846"/>
      <c r="D282" s="393">
        <f t="shared" si="102"/>
        <v>20.873772748612481</v>
      </c>
      <c r="E282" s="385">
        <f t="shared" si="100"/>
        <v>22.838792317965101</v>
      </c>
      <c r="F282" s="385">
        <f t="shared" si="103"/>
        <v>22.841798252682825</v>
      </c>
      <c r="G282" s="110">
        <f t="shared" si="101"/>
        <v>0.72062199527000814</v>
      </c>
      <c r="H282" s="414" t="b">
        <f>Wh_hp&gt;='2025'!Maxi_hp</f>
        <v>0</v>
      </c>
      <c r="I282" s="390">
        <f>IF(H282,Wh_hp,'2025'!Maxi_hp)</f>
        <v>31.944717903389673</v>
      </c>
      <c r="J282" s="85">
        <f>IF(H282,An,'2025'!An_max)</f>
        <v>2018</v>
      </c>
      <c r="K282" s="197">
        <f t="shared" si="104"/>
        <v>46290</v>
      </c>
      <c r="L282" s="147">
        <f>IF(t&lt;Tvie,1-EXP((T0-t)*PertePVj)+'2025'!Pspv,1-EXP((T0-t)*PertePVj)+Pspv)</f>
        <v>6.5255964692057744E-2</v>
      </c>
      <c r="M282" s="850"/>
      <c r="N282" s="850"/>
      <c r="O282" s="48">
        <f>IF(t&lt;Tnet,'2025'!Resal+('2025'!Salim-'2025'!Resal)*(1-EXP(('2025'!Tnet-t)/('2025'!Tau_j))),Resal+(Salim-Resal)*(1-EXP((Tnet-t)/(Tau_j))))*Salcycl</f>
        <v>8.6038681117430363E-2</v>
      </c>
      <c r="P282" s="169">
        <f>(INDEX(Models!$BJ282:$BT282,,T282)*(1-R282)+INDEX(Models!$BJ282:$BT282,,T282+1)*R282-ERP_i)*Q282*Ramure*Pc/MaxiM</f>
        <v>2.1897286145357219E-4</v>
      </c>
      <c r="Q282" s="305">
        <f t="shared" si="105"/>
        <v>0.7</v>
      </c>
      <c r="R282" s="177">
        <f t="shared" si="106"/>
        <v>0.97021094427242427</v>
      </c>
      <c r="S282" s="817">
        <f t="shared" si="107"/>
        <v>-2</v>
      </c>
      <c r="T282" s="176">
        <f t="shared" si="108"/>
        <v>4</v>
      </c>
      <c r="U282" s="251">
        <f t="shared" si="109"/>
        <v>-1.0297890557275757</v>
      </c>
      <c r="V282" s="383">
        <f t="shared" si="110"/>
        <v>27.073735811890849</v>
      </c>
      <c r="W282" s="402">
        <f t="shared" si="111"/>
        <v>19.511634571138988</v>
      </c>
      <c r="X282" s="157">
        <f t="shared" si="112"/>
        <v>46290</v>
      </c>
      <c r="Y282" s="385">
        <f t="shared" si="113"/>
        <v>18.500481636081712</v>
      </c>
      <c r="Z282" s="385">
        <f t="shared" si="114"/>
        <v>19.792029622298589</v>
      </c>
      <c r="AA282" s="386">
        <f t="shared" si="115"/>
        <v>22.708460078082211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0.12842924820774212</v>
      </c>
      <c r="AD282" s="231">
        <f>(INDEX(Models!$BJ282:$BT282,,AH282)*(1-AF282)+INDEX(Models!$BJ282:$BT282,,AH282+1)*AF282-ERP_i)*AE282*Ramure*Pc/MaxiM</f>
        <v>9.713265381698491E-3</v>
      </c>
      <c r="AE282" s="305">
        <f t="shared" si="117"/>
        <v>0.7</v>
      </c>
      <c r="AF282" s="177">
        <f t="shared" si="118"/>
        <v>0.59407431364848029</v>
      </c>
      <c r="AG282" s="817">
        <f t="shared" si="124"/>
        <v>1</v>
      </c>
      <c r="AH282" s="176">
        <f t="shared" si="119"/>
        <v>7</v>
      </c>
      <c r="AI282" s="225">
        <f t="shared" si="120"/>
        <v>1.5940743136484803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46291</v>
      </c>
      <c r="B283" s="411">
        <f>'2025'!Wh/'2025'!Env_an*'2026'!Env_an</f>
        <v>18.602435714034176</v>
      </c>
      <c r="C283" s="846"/>
      <c r="D283" s="393">
        <f t="shared" si="102"/>
        <v>19.901537170990217</v>
      </c>
      <c r="E283" s="385">
        <f t="shared" si="100"/>
        <v>21.776596373005042</v>
      </c>
      <c r="F283" s="385">
        <f t="shared" si="103"/>
        <v>21.780426418604609</v>
      </c>
      <c r="G283" s="110">
        <f t="shared" si="101"/>
        <v>0.69222608122411788</v>
      </c>
      <c r="H283" s="414" t="b">
        <f>Wh_hp&gt;='2025'!Maxi_hp</f>
        <v>0</v>
      </c>
      <c r="I283" s="390">
        <f>IF(H283,Wh_hp,'2025'!Maxi_hp)</f>
        <v>30.905032154620368</v>
      </c>
      <c r="J283" s="85">
        <f>IF(H283,An,'2025'!An_max)</f>
        <v>2018</v>
      </c>
      <c r="K283" s="197">
        <f t="shared" si="104"/>
        <v>46291</v>
      </c>
      <c r="L283" s="147">
        <f>IF(t&lt;Tvie,1-EXP((T0-t)*PertePVj)+'2025'!Pspv,1-EXP((T0-t)*PertePVj)+Pspv)</f>
        <v>6.5276437985388291E-2</v>
      </c>
      <c r="M283" s="850"/>
      <c r="N283" s="850"/>
      <c r="O283" s="48">
        <f>IF(t&lt;Tnet,'2025'!Resal+('2025'!Salim-'2025'!Resal)*(1-EXP(('2025'!Tnet-t)/('2025'!Tau_j))),Resal+(Salim-Resal)*(1-EXP((Tnet-t)/(Tau_j))))*Salcycl</f>
        <v>8.6104328238328656E-2</v>
      </c>
      <c r="P283" s="169">
        <f>(INDEX(Models!$BJ283:$BT283,,T283)*(1-R283)+INDEX(Models!$BJ283:$BT283,,T283+1)*R283-ERP_i)*Q283*Ramure*Pc/MaxiM</f>
        <v>3.1375699295637825E-4</v>
      </c>
      <c r="Q283" s="305">
        <f t="shared" si="105"/>
        <v>0.7</v>
      </c>
      <c r="R283" s="177">
        <f t="shared" si="106"/>
        <v>0.97045332713280219</v>
      </c>
      <c r="S283" s="817">
        <f t="shared" si="107"/>
        <v>-2</v>
      </c>
      <c r="T283" s="176">
        <f t="shared" si="108"/>
        <v>4</v>
      </c>
      <c r="U283" s="251">
        <f t="shared" si="109"/>
        <v>-1.0295466728671978</v>
      </c>
      <c r="V283" s="383">
        <f t="shared" si="110"/>
        <v>26.869646095626234</v>
      </c>
      <c r="W283" s="402">
        <f t="shared" si="111"/>
        <v>18.602435714034176</v>
      </c>
      <c r="X283" s="157">
        <f t="shared" si="112"/>
        <v>46291</v>
      </c>
      <c r="Y283" s="385">
        <f t="shared" si="113"/>
        <v>17.632620684595736</v>
      </c>
      <c r="Z283" s="385">
        <f t="shared" si="114"/>
        <v>18.863995090261884</v>
      </c>
      <c r="AA283" s="386">
        <f t="shared" si="115"/>
        <v>21.643546988122722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0.12842404710217625</v>
      </c>
      <c r="AD283" s="231">
        <f>(INDEX(Models!$BJ283:$BT283,,AH283)*(1-AF283)+INDEX(Models!$BJ283:$BT283,,AH283+1)*AF283-ERP_i)*AE283*Ramure*Pc/MaxiM</f>
        <v>1.1213150702549236E-2</v>
      </c>
      <c r="AE283" s="305">
        <f t="shared" si="117"/>
        <v>0.7</v>
      </c>
      <c r="AF283" s="177">
        <f t="shared" si="118"/>
        <v>0.59431669650885821</v>
      </c>
      <c r="AG283" s="817">
        <f t="shared" si="124"/>
        <v>1</v>
      </c>
      <c r="AH283" s="176">
        <f t="shared" si="119"/>
        <v>7</v>
      </c>
      <c r="AI283" s="225">
        <f t="shared" si="120"/>
        <v>1.5943166965088582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46292</v>
      </c>
      <c r="B284" s="411">
        <f>'2025'!Wh/'2025'!Env_an*'2026'!Env_an</f>
        <v>9.3386312577838577</v>
      </c>
      <c r="C284" s="846"/>
      <c r="D284" s="393">
        <f t="shared" si="102"/>
        <v>9.991013580664859</v>
      </c>
      <c r="E284" s="385">
        <f t="shared" si="100"/>
        <v>10.933105824914694</v>
      </c>
      <c r="F284" s="385">
        <f t="shared" si="103"/>
        <v>10.933447230611714</v>
      </c>
      <c r="G284" s="110">
        <f t="shared" si="101"/>
        <v>0.35011244955125315</v>
      </c>
      <c r="H284" s="414" t="b">
        <f>Wh_hp&gt;='2025'!Maxi_hp</f>
        <v>0</v>
      </c>
      <c r="I284" s="390">
        <f>IF(H284,Wh_hp,'2025'!Maxi_hp)</f>
        <v>30.281766812625989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6.5296910830301202E-2</v>
      </c>
      <c r="M284" s="850"/>
      <c r="N284" s="850"/>
      <c r="O284" s="48">
        <f>IF(t&lt;Tnet,'2025'!Resal+('2025'!Salim-'2025'!Resal)*(1-EXP(('2025'!Tnet-t)/('2025'!Tau_j))),Resal+(Salim-Resal)*(1-EXP((Tnet-t)/(Tau_j))))*Salcycl</f>
        <v>8.616876661917669E-2</v>
      </c>
      <c r="P284" s="169">
        <f>(INDEX(Models!$BJ284:$BT284,,T284)*(1-R284)+INDEX(Models!$BJ284:$BT284,,T284+1)*R284-ERP_i)*Q284*Ramure*Pc/MaxiM</f>
        <v>4.3495292619109572E-4</v>
      </c>
      <c r="Q284" s="305">
        <f t="shared" si="105"/>
        <v>0.7</v>
      </c>
      <c r="R284" s="177">
        <f t="shared" si="106"/>
        <v>0.97068617439187155</v>
      </c>
      <c r="S284" s="817">
        <f t="shared" si="107"/>
        <v>-2</v>
      </c>
      <c r="T284" s="176">
        <f t="shared" si="108"/>
        <v>4</v>
      </c>
      <c r="U284" s="251">
        <f t="shared" si="109"/>
        <v>-1.0293138256081285</v>
      </c>
      <c r="V284" s="383">
        <f t="shared" si="110"/>
        <v>26.662464854668588</v>
      </c>
      <c r="W284" s="402">
        <f t="shared" si="111"/>
        <v>9.3386312577838577</v>
      </c>
      <c r="X284" s="157">
        <f t="shared" si="112"/>
        <v>46292</v>
      </c>
      <c r="Y284" s="385">
        <f t="shared" si="113"/>
        <v>8.8989545462325061</v>
      </c>
      <c r="Z284" s="385">
        <f t="shared" si="114"/>
        <v>9.5206217346916979</v>
      </c>
      <c r="AA284" s="386">
        <f t="shared" si="115"/>
        <v>10.923370972967371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0.12841724791249229</v>
      </c>
      <c r="AD284" s="231">
        <f>(INDEX(Models!$BJ284:$BT284,,AH284)*(1-AF284)+INDEX(Models!$BJ284:$BT284,,AH284+1)*AF284-ERP_i)*AE284*Ramure*Pc/MaxiM</f>
        <v>1.2837213279489992E-2</v>
      </c>
      <c r="AE284" s="305">
        <f t="shared" si="117"/>
        <v>0.7</v>
      </c>
      <c r="AF284" s="177">
        <f t="shared" si="118"/>
        <v>0.59454954376792757</v>
      </c>
      <c r="AG284" s="817">
        <f t="shared" si="124"/>
        <v>1</v>
      </c>
      <c r="AH284" s="176">
        <f t="shared" si="119"/>
        <v>7</v>
      </c>
      <c r="AI284" s="225">
        <f t="shared" si="120"/>
        <v>1.5945495437679276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46293</v>
      </c>
      <c r="B285" s="411">
        <f>'2025'!Wh/'2025'!Env_an*'2026'!Env_an</f>
        <v>10.576270197422973</v>
      </c>
      <c r="C285" s="846"/>
      <c r="D285" s="393">
        <f t="shared" si="102"/>
        <v>11.315359896106175</v>
      </c>
      <c r="E285" s="385">
        <f t="shared" si="100"/>
        <v>12.383186419438623</v>
      </c>
      <c r="F285" s="385">
        <f t="shared" si="103"/>
        <v>12.384216311099806</v>
      </c>
      <c r="G285" s="110">
        <f t="shared" si="101"/>
        <v>0.3996286530683178</v>
      </c>
      <c r="H285" s="414" t="b">
        <f>Wh_hp&gt;='2025'!Maxi_hp</f>
        <v>0</v>
      </c>
      <c r="I285" s="390">
        <f>IF(H285,Wh_hp,'2025'!Maxi_hp)</f>
        <v>29.367871929004963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6.5317383226806247E-2</v>
      </c>
      <c r="M285" s="850"/>
      <c r="N285" s="850"/>
      <c r="O285" s="48">
        <f>IF(t&lt;Tnet,'2025'!Resal+('2025'!Salim-'2025'!Resal)*(1-EXP(('2025'!Tnet-t)/('2025'!Tau_j))),Resal+(Salim-Resal)*(1-EXP((Tnet-t)/(Tau_j))))*Salcycl</f>
        <v>8.6231967053020914E-2</v>
      </c>
      <c r="P285" s="169">
        <f>(INDEX(Models!$BJ285:$BT285,,T285)*(1-R285)+INDEX(Models!$BJ285:$BT285,,T285+1)*R285-ERP_i)*Q285*Ramure*Pc/MaxiM</f>
        <v>5.8313108759395593E-4</v>
      </c>
      <c r="Q285" s="305">
        <f t="shared" si="105"/>
        <v>0.7</v>
      </c>
      <c r="R285" s="177">
        <f t="shared" si="106"/>
        <v>0.97090985264115814</v>
      </c>
      <c r="S285" s="817">
        <f t="shared" si="107"/>
        <v>-2</v>
      </c>
      <c r="T285" s="176">
        <f t="shared" si="108"/>
        <v>4</v>
      </c>
      <c r="U285" s="251">
        <f t="shared" si="109"/>
        <v>-1.0290901473588419</v>
      </c>
      <c r="V285" s="383">
        <f t="shared" si="110"/>
        <v>26.45201204779951</v>
      </c>
      <c r="W285" s="402">
        <f t="shared" si="111"/>
        <v>10.576270197422973</v>
      </c>
      <c r="X285" s="157">
        <f t="shared" si="112"/>
        <v>46293</v>
      </c>
      <c r="Y285" s="385">
        <f t="shared" si="113"/>
        <v>10.067949912020696</v>
      </c>
      <c r="Z285" s="385">
        <f t="shared" si="114"/>
        <v>10.771517230927323</v>
      </c>
      <c r="AA285" s="386">
        <f t="shared" si="115"/>
        <v>12.358451256309694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0.12840881049493566</v>
      </c>
      <c r="AD285" s="231">
        <f>(INDEX(Models!$BJ285:$BT285,,AH285)*(1-AF285)+INDEX(Models!$BJ285:$BT285,,AH285+1)*AF285-ERP_i)*AE285*Ramure*Pc/MaxiM</f>
        <v>1.458833485885248E-2</v>
      </c>
      <c r="AE285" s="305">
        <f t="shared" si="117"/>
        <v>0.7</v>
      </c>
      <c r="AF285" s="177">
        <f t="shared" si="118"/>
        <v>0.59477322201721416</v>
      </c>
      <c r="AG285" s="817">
        <f t="shared" si="124"/>
        <v>1</v>
      </c>
      <c r="AH285" s="176">
        <f t="shared" si="119"/>
        <v>7</v>
      </c>
      <c r="AI285" s="225">
        <f t="shared" si="120"/>
        <v>1.5947732220172142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46294</v>
      </c>
      <c r="B286" s="411">
        <f>'2025'!Wh/'2025'!Env_an*'2026'!Env_an</f>
        <v>14.397959275290757</v>
      </c>
      <c r="C286" s="846"/>
      <c r="D286" s="393">
        <f t="shared" si="102"/>
        <v>15.404453208046851</v>
      </c>
      <c r="E286" s="385">
        <f t="shared" si="100"/>
        <v>16.859308733813222</v>
      </c>
      <c r="F286" s="385">
        <f t="shared" si="103"/>
        <v>16.863856394887474</v>
      </c>
      <c r="G286" s="110">
        <f t="shared" si="101"/>
        <v>0.54847375663427889</v>
      </c>
      <c r="H286" s="414" t="b">
        <f>Wh_hp&gt;='2025'!Maxi_hp</f>
        <v>0</v>
      </c>
      <c r="I286" s="390">
        <f>IF(H286,Wh_hp,'2025'!Maxi_hp)</f>
        <v>29.816399783631852</v>
      </c>
      <c r="J286" s="85">
        <f>IF(H286,An,'2025'!An_max)</f>
        <v>2018</v>
      </c>
      <c r="K286" s="197">
        <f t="shared" si="104"/>
        <v>46294</v>
      </c>
      <c r="L286" s="147">
        <f>IF(t&lt;Tvie,1-EXP((T0-t)*PertePVj)+'2025'!Pspv,1-EXP((T0-t)*PertePVj)+Pspv)</f>
        <v>6.5337855174913306E-2</v>
      </c>
      <c r="M286" s="850"/>
      <c r="N286" s="850"/>
      <c r="O286" s="48">
        <f>IF(t&lt;Tnet,'2025'!Resal+('2025'!Salim-'2025'!Resal)*(1-EXP(('2025'!Tnet-t)/('2025'!Tau_j))),Resal+(Salim-Resal)*(1-EXP((Tnet-t)/(Tau_j))))*Salcycl</f>
        <v>8.629390141296224E-2</v>
      </c>
      <c r="P286" s="169">
        <f>(INDEX(Models!$BJ286:$BT286,,T286)*(1-R286)+INDEX(Models!$BJ286:$BT286,,T286+1)*R286-ERP_i)*Q286*Ramure*Pc/MaxiM</f>
        <v>7.5889136944856336E-4</v>
      </c>
      <c r="Q286" s="305">
        <f t="shared" si="105"/>
        <v>0.7</v>
      </c>
      <c r="R286" s="177">
        <f t="shared" si="106"/>
        <v>0.97112471504706832</v>
      </c>
      <c r="S286" s="817">
        <f t="shared" si="107"/>
        <v>-2</v>
      </c>
      <c r="T286" s="176">
        <f t="shared" si="108"/>
        <v>4</v>
      </c>
      <c r="U286" s="251">
        <f t="shared" si="109"/>
        <v>-1.0288752849529317</v>
      </c>
      <c r="V286" s="383">
        <f t="shared" si="110"/>
        <v>26.238107838311223</v>
      </c>
      <c r="W286" s="402">
        <f t="shared" si="111"/>
        <v>14.397959275290757</v>
      </c>
      <c r="X286" s="157">
        <f t="shared" si="112"/>
        <v>46294</v>
      </c>
      <c r="Y286" s="385">
        <f t="shared" si="113"/>
        <v>13.657785536344337</v>
      </c>
      <c r="Z286" s="385">
        <f t="shared" si="114"/>
        <v>14.612537387935257</v>
      </c>
      <c r="AA286" s="386">
        <f t="shared" si="115"/>
        <v>16.765162383355921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0.12839869642764343</v>
      </c>
      <c r="AD286" s="231">
        <f>(INDEX(Models!$BJ286:$BT286,,AH286)*(1-AF286)+INDEX(Models!$BJ286:$BT286,,AH286+1)*AF286-ERP_i)*AE286*Ramure*Pc/MaxiM</f>
        <v>1.6469572455961822E-2</v>
      </c>
      <c r="AE286" s="305">
        <f t="shared" si="117"/>
        <v>0.7</v>
      </c>
      <c r="AF286" s="177">
        <f t="shared" si="118"/>
        <v>0.59498808442312434</v>
      </c>
      <c r="AG286" s="817">
        <f t="shared" si="124"/>
        <v>1</v>
      </c>
      <c r="AH286" s="176">
        <f t="shared" si="119"/>
        <v>7</v>
      </c>
      <c r="AI286" s="225">
        <f t="shared" si="120"/>
        <v>1.5949880844231243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46295</v>
      </c>
      <c r="B287" s="411">
        <f>'2025'!Wh/'2025'!Env_an*'2026'!Env_an</f>
        <v>17.954372751930855</v>
      </c>
      <c r="C287" s="846"/>
      <c r="D287" s="393">
        <f t="shared" si="102"/>
        <v>19.209899648547527</v>
      </c>
      <c r="E287" s="385">
        <f t="shared" si="100"/>
        <v>21.025551540775577</v>
      </c>
      <c r="F287" s="385">
        <f t="shared" si="103"/>
        <v>21.036837035893491</v>
      </c>
      <c r="G287" s="110">
        <f t="shared" si="101"/>
        <v>0.68971244890630556</v>
      </c>
      <c r="H287" s="414" t="b">
        <f>Wh_hp&gt;='2025'!Maxi_hp</f>
        <v>0</v>
      </c>
      <c r="I287" s="390">
        <f>IF(H287,Wh_hp,'2025'!Maxi_hp)</f>
        <v>27.899503681565321</v>
      </c>
      <c r="J287" s="85">
        <f>IF(H287,An,'2025'!An_max)</f>
        <v>2018</v>
      </c>
      <c r="K287" s="197">
        <f t="shared" si="104"/>
        <v>46295</v>
      </c>
      <c r="L287" s="147">
        <f>IF(t&lt;Tvie,1-EXP((T0-t)*PertePVj)+'2025'!Pspv,1-EXP((T0-t)*PertePVj)+Pspv)</f>
        <v>6.535832667463215E-2</v>
      </c>
      <c r="M287" s="850"/>
      <c r="N287" s="850"/>
      <c r="O287" s="48">
        <f>IF(t&lt;Tnet,'2025'!Resal+('2025'!Salim-'2025'!Resal)*(1-EXP(('2025'!Tnet-t)/('2025'!Tau_j))),Resal+(Salim-Resal)*(1-EXP((Tnet-t)/(Tau_j))))*Salcycl</f>
        <v>8.6354542885921134E-2</v>
      </c>
      <c r="P287" s="169">
        <f>(INDEX(Models!$BJ287:$BT287,,T287)*(1-R287)+INDEX(Models!$BJ287:$BT287,,T287+1)*R287-ERP_i)*Q287*Ramure*Pc/MaxiM</f>
        <v>9.6286633913814719E-4</v>
      </c>
      <c r="Q287" s="305">
        <f t="shared" si="105"/>
        <v>0.7</v>
      </c>
      <c r="R287" s="177">
        <f t="shared" si="106"/>
        <v>0.97133110178987736</v>
      </c>
      <c r="S287" s="817">
        <f t="shared" si="107"/>
        <v>-2</v>
      </c>
      <c r="T287" s="176">
        <f t="shared" si="108"/>
        <v>4</v>
      </c>
      <c r="U287" s="251">
        <f t="shared" si="109"/>
        <v>-1.0286688982101226</v>
      </c>
      <c r="V287" s="383">
        <f t="shared" si="110"/>
        <v>26.020572595901577</v>
      </c>
      <c r="W287" s="402">
        <f t="shared" si="111"/>
        <v>17.954372751930855</v>
      </c>
      <c r="X287" s="157">
        <f t="shared" si="112"/>
        <v>46295</v>
      </c>
      <c r="Y287" s="385">
        <f t="shared" si="113"/>
        <v>16.961082773469276</v>
      </c>
      <c r="Z287" s="385">
        <f t="shared" si="114"/>
        <v>18.147150140570265</v>
      </c>
      <c r="AA287" s="386">
        <f t="shared" si="115"/>
        <v>20.820189029338994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0.12838686935080121</v>
      </c>
      <c r="AD287" s="231">
        <f>(INDEX(Models!$BJ287:$BT287,,AH287)*(1-AF287)+INDEX(Models!$BJ287:$BT287,,AH287+1)*AF287-ERP_i)*AE287*Ramure*Pc/MaxiM</f>
        <v>1.8484175552171762E-2</v>
      </c>
      <c r="AE287" s="305">
        <f t="shared" si="117"/>
        <v>0.7</v>
      </c>
      <c r="AF287" s="177">
        <f t="shared" si="118"/>
        <v>0.59519447116593338</v>
      </c>
      <c r="AG287" s="817">
        <f t="shared" si="124"/>
        <v>1</v>
      </c>
      <c r="AH287" s="176">
        <f t="shared" si="119"/>
        <v>7</v>
      </c>
      <c r="AI287" s="225">
        <f t="shared" si="120"/>
        <v>1.5951944711659334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46296</v>
      </c>
      <c r="B288" s="411">
        <f>'2025'!Wh/'2025'!Env_an*'2026'!Env_an</f>
        <v>23.015751099392261</v>
      </c>
      <c r="C288" s="846"/>
      <c r="D288" s="393">
        <f t="shared" si="102"/>
        <v>24.625753239272363</v>
      </c>
      <c r="E288" s="385">
        <f t="shared" si="100"/>
        <v>26.955042692242394</v>
      </c>
      <c r="F288" s="385">
        <f t="shared" si="103"/>
        <v>26.982333423210921</v>
      </c>
      <c r="G288" s="110">
        <f t="shared" si="101"/>
        <v>0.89194552999896493</v>
      </c>
      <c r="H288" s="414" t="b">
        <f>Wh_hp&gt;='2025'!Maxi_hp</f>
        <v>0</v>
      </c>
      <c r="I288" s="390">
        <f>IF(H288,Wh_hp,'2025'!Maxi_hp)</f>
        <v>29.54290748735184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6.5378797725972548E-2</v>
      </c>
      <c r="M288" s="850"/>
      <c r="N288" s="850"/>
      <c r="O288" s="48">
        <f>IF(t&lt;Tnet,'2025'!Resal+('2025'!Salim-'2025'!Resal)*(1-EXP(('2025'!Tnet-t)/('2025'!Tau_j))),Resal+(Salim-Resal)*(1-EXP((Tnet-t)/(Tau_j))))*Salcycl</f>
        <v>8.6413866212884674E-2</v>
      </c>
      <c r="P288" s="169">
        <f>(INDEX(Models!$BJ288:$BT288,,T288)*(1-R288)+INDEX(Models!$BJ288:$BT288,,T288+1)*R288-ERP_i)*Q288*Ramure*Pc/MaxiM</f>
        <v>1.1957247770633332E-3</v>
      </c>
      <c r="Q288" s="305">
        <f t="shared" si="105"/>
        <v>0.7</v>
      </c>
      <c r="R288" s="177">
        <f t="shared" si="106"/>
        <v>0.97152934049262551</v>
      </c>
      <c r="S288" s="817">
        <f t="shared" si="107"/>
        <v>-2</v>
      </c>
      <c r="T288" s="176">
        <f t="shared" si="108"/>
        <v>4</v>
      </c>
      <c r="U288" s="251">
        <f t="shared" si="109"/>
        <v>-1.0284706595073745</v>
      </c>
      <c r="V288" s="383">
        <f t="shared" si="110"/>
        <v>25.799226902573995</v>
      </c>
      <c r="W288" s="402">
        <f t="shared" si="111"/>
        <v>23.015751099392261</v>
      </c>
      <c r="X288" s="157">
        <f t="shared" si="112"/>
        <v>46296</v>
      </c>
      <c r="Y288" s="385">
        <f t="shared" si="113"/>
        <v>21.597231289890676</v>
      </c>
      <c r="Z288" s="385">
        <f t="shared" si="114"/>
        <v>23.108004865866981</v>
      </c>
      <c r="AA288" s="386">
        <f t="shared" si="115"/>
        <v>26.511354851403041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0.12837329531485447</v>
      </c>
      <c r="AD288" s="231">
        <f>(INDEX(Models!$BJ288:$BT288,,AH288)*(1-AF288)+INDEX(Models!$BJ288:$BT288,,AH288+1)*AF288-ERP_i)*AE288*Ramure*Pc/MaxiM</f>
        <v>2.0635605122707255E-2</v>
      </c>
      <c r="AE288" s="305">
        <f t="shared" si="117"/>
        <v>0.7</v>
      </c>
      <c r="AF288" s="177">
        <f t="shared" si="118"/>
        <v>0.59539270986868154</v>
      </c>
      <c r="AG288" s="817">
        <f t="shared" si="124"/>
        <v>1</v>
      </c>
      <c r="AH288" s="176">
        <f t="shared" si="119"/>
        <v>7</v>
      </c>
      <c r="AI288" s="225">
        <f t="shared" si="120"/>
        <v>1.5953927098686815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46297</v>
      </c>
      <c r="B289" s="411">
        <f>'2025'!Wh/'2025'!Env_an*'2026'!Env_an</f>
        <v>24.172241439467225</v>
      </c>
      <c r="C289" s="846"/>
      <c r="D289" s="393">
        <f t="shared" si="102"/>
        <v>25.863709090241702</v>
      </c>
      <c r="E289" s="385">
        <f t="shared" si="100"/>
        <v>28.311890587875798</v>
      </c>
      <c r="F289" s="385">
        <f t="shared" si="103"/>
        <v>28.349991438511363</v>
      </c>
      <c r="G289" s="110">
        <f t="shared" si="101"/>
        <v>0.94506717116884287</v>
      </c>
      <c r="H289" s="414" t="b">
        <f>Wh_hp&gt;='2025'!Maxi_hp</f>
        <v>0</v>
      </c>
      <c r="I289" s="390">
        <f>IF(H289,Wh_hp,'2025'!Maxi_hp)</f>
        <v>29.656559533352279</v>
      </c>
      <c r="J289" s="85">
        <f>IF(H289,An,'2025'!An_max)</f>
        <v>2018</v>
      </c>
      <c r="K289" s="197">
        <f t="shared" si="104"/>
        <v>46297</v>
      </c>
      <c r="L289" s="147">
        <f>IF(t&lt;Tvie,1-EXP((T0-t)*PertePVj)+'2025'!Pspv,1-EXP((T0-t)*PertePVj)+Pspv)</f>
        <v>6.5399268328944493E-2</v>
      </c>
      <c r="M289" s="850"/>
      <c r="N289" s="850"/>
      <c r="O289" s="48">
        <f>IF(t&lt;Tnet,'2025'!Resal+('2025'!Salim-'2025'!Resal)*(1-EXP(('2025'!Tnet-t)/('2025'!Tau_j))),Resal+(Salim-Resal)*(1-EXP((Tnet-t)/(Tau_j))))*Salcycl</f>
        <v>8.6471847933832377E-2</v>
      </c>
      <c r="P289" s="169">
        <f>(INDEX(Models!$BJ289:$BT289,,T289)*(1-R289)+INDEX(Models!$BJ289:$BT289,,T289+1)*R289-ERP_i)*Q289*Ramure*Pc/MaxiM</f>
        <v>1.4581495725163932E-3</v>
      </c>
      <c r="Q289" s="305">
        <f t="shared" si="105"/>
        <v>0.7</v>
      </c>
      <c r="R289" s="177">
        <f t="shared" si="106"/>
        <v>0.971719746639782</v>
      </c>
      <c r="S289" s="817">
        <f t="shared" si="107"/>
        <v>-2</v>
      </c>
      <c r="T289" s="176">
        <f t="shared" si="108"/>
        <v>4</v>
      </c>
      <c r="U289" s="251">
        <f t="shared" si="109"/>
        <v>-1.028280253360218</v>
      </c>
      <c r="V289" s="383">
        <f t="shared" si="110"/>
        <v>25.574348469088296</v>
      </c>
      <c r="W289" s="402">
        <f t="shared" si="111"/>
        <v>24.172241439467225</v>
      </c>
      <c r="X289" s="157">
        <f t="shared" si="112"/>
        <v>46297</v>
      </c>
      <c r="Y289" s="385">
        <f t="shared" si="113"/>
        <v>22.606930190270262</v>
      </c>
      <c r="Z289" s="385">
        <f t="shared" si="114"/>
        <v>24.188864211404294</v>
      </c>
      <c r="AA289" s="386">
        <f t="shared" si="115"/>
        <v>27.750914519174763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0.12835794313406268</v>
      </c>
      <c r="AD289" s="231">
        <f>(INDEX(Models!$BJ289:$BT289,,AH289)*(1-AF289)+INDEX(Models!$BJ289:$BT289,,AH289+1)*AF289-ERP_i)*AE289*Ramure*Pc/MaxiM</f>
        <v>2.2927145700513765E-2</v>
      </c>
      <c r="AE289" s="305">
        <f t="shared" si="117"/>
        <v>0.7</v>
      </c>
      <c r="AF289" s="177">
        <f t="shared" si="118"/>
        <v>0.59558311601583802</v>
      </c>
      <c r="AG289" s="817">
        <f t="shared" si="124"/>
        <v>1</v>
      </c>
      <c r="AH289" s="176">
        <f t="shared" si="119"/>
        <v>7</v>
      </c>
      <c r="AI289" s="225">
        <f t="shared" si="120"/>
        <v>1.595583116015838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46298</v>
      </c>
      <c r="B290" s="411">
        <f>'2025'!Wh/'2025'!Env_an*'2026'!Env_an</f>
        <v>22.341259283887421</v>
      </c>
      <c r="C290" s="846"/>
      <c r="D290" s="393">
        <f t="shared" si="102"/>
        <v>23.905126401489238</v>
      </c>
      <c r="E290" s="385">
        <f t="shared" si="100"/>
        <v>26.169536245360327</v>
      </c>
      <c r="F290" s="385">
        <f t="shared" si="103"/>
        <v>26.207788750342491</v>
      </c>
      <c r="G290" s="110">
        <f t="shared" si="101"/>
        <v>0.88118227556175899</v>
      </c>
      <c r="H290" s="414" t="b">
        <f>Wh_hp&gt;='2025'!Maxi_hp</f>
        <v>0</v>
      </c>
      <c r="I290" s="390">
        <f>IF(H290,Wh_hp,'2025'!Maxi_hp)</f>
        <v>28.585247689548495</v>
      </c>
      <c r="J290" s="85">
        <f>IF(H290,An,'2025'!An_max)</f>
        <v>2018</v>
      </c>
      <c r="K290" s="197">
        <f t="shared" si="104"/>
        <v>46298</v>
      </c>
      <c r="L290" s="147">
        <f>IF(t&lt;Tvie,1-EXP((T0-t)*PertePVj)+'2025'!Pspv,1-EXP((T0-t)*PertePVj)+Pspv)</f>
        <v>6.5419738483557643E-2</v>
      </c>
      <c r="M290" s="850"/>
      <c r="N290" s="850"/>
      <c r="O290" s="48">
        <f>IF(t&lt;Tnet,'2025'!Resal+('2025'!Salim-'2025'!Resal)*(1-EXP(('2025'!Tnet-t)/('2025'!Tau_j))),Resal+(Salim-Resal)*(1-EXP((Tnet-t)/(Tau_j))))*Salcycl</f>
        <v>8.6528466635420534E-2</v>
      </c>
      <c r="P290" s="169">
        <f>(INDEX(Models!$BJ290:$BT290,,T290)*(1-R290)+INDEX(Models!$BJ290:$BT290,,T290+1)*R290-ERP_i)*Q290*Ramure*Pc/MaxiM</f>
        <v>1.7571907737489905E-3</v>
      </c>
      <c r="Q290" s="305">
        <f t="shared" si="105"/>
        <v>0.7</v>
      </c>
      <c r="R290" s="177">
        <f t="shared" si="106"/>
        <v>0.97190262398557015</v>
      </c>
      <c r="S290" s="817">
        <f t="shared" si="107"/>
        <v>-2</v>
      </c>
      <c r="T290" s="176">
        <f t="shared" si="108"/>
        <v>4</v>
      </c>
      <c r="U290" s="251">
        <f t="shared" si="109"/>
        <v>-1.0280973760144299</v>
      </c>
      <c r="V290" s="383">
        <f t="shared" si="110"/>
        <v>25.34617559269164</v>
      </c>
      <c r="W290" s="402">
        <f t="shared" si="111"/>
        <v>22.341259283887421</v>
      </c>
      <c r="X290" s="157">
        <f t="shared" si="112"/>
        <v>46298</v>
      </c>
      <c r="Y290" s="385">
        <f t="shared" si="113"/>
        <v>20.900496248381135</v>
      </c>
      <c r="Z290" s="385">
        <f t="shared" si="114"/>
        <v>22.363511309845297</v>
      </c>
      <c r="AA290" s="386">
        <f t="shared" si="115"/>
        <v>25.656255241034284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0.12834078474252991</v>
      </c>
      <c r="AD290" s="231">
        <f>(INDEX(Models!$BJ290:$BT290,,AH290)*(1-AF290)+INDEX(Models!$BJ290:$BT290,,AH290+1)*AF290-ERP_i)*AE290*Ramure*Pc/MaxiM</f>
        <v>2.5335585066173182E-2</v>
      </c>
      <c r="AE290" s="305">
        <f t="shared" si="117"/>
        <v>0.7</v>
      </c>
      <c r="AF290" s="177">
        <f t="shared" si="118"/>
        <v>0.59576599336162617</v>
      </c>
      <c r="AG290" s="817">
        <f t="shared" si="124"/>
        <v>1</v>
      </c>
      <c r="AH290" s="176">
        <f t="shared" si="119"/>
        <v>7</v>
      </c>
      <c r="AI290" s="225">
        <f t="shared" si="120"/>
        <v>1.5957659933616262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46299</v>
      </c>
      <c r="B291" s="411">
        <f>'2025'!Wh/'2025'!Env_an*'2026'!Env_an</f>
        <v>24.997074198966629</v>
      </c>
      <c r="C291" s="846"/>
      <c r="D291" s="393">
        <f t="shared" si="102"/>
        <v>26.747431697814662</v>
      </c>
      <c r="E291" s="385">
        <f t="shared" si="100"/>
        <v>29.282849223844991</v>
      </c>
      <c r="F291" s="385">
        <f t="shared" si="103"/>
        <v>29.343651755303039</v>
      </c>
      <c r="G291" s="110">
        <f t="shared" si="101"/>
        <v>0.99529436141390937</v>
      </c>
      <c r="H291" s="414" t="b">
        <f>Wh_hp&gt;='2025'!Maxi_hp</f>
        <v>0</v>
      </c>
      <c r="I291" s="390">
        <f>IF(H291,Wh_hp,'2025'!Maxi_hp)</f>
        <v>29.343863683607928</v>
      </c>
      <c r="J291" s="85">
        <f>IF(H291,An,'2025'!An_max)</f>
        <v>2025</v>
      </c>
      <c r="K291" s="197">
        <f t="shared" si="104"/>
        <v>46299</v>
      </c>
      <c r="L291" s="147">
        <f>IF(t&lt;Tvie,1-EXP((T0-t)*PertePVj)+'2025'!Pspv,1-EXP((T0-t)*PertePVj)+Pspv)</f>
        <v>6.544020818982188E-2</v>
      </c>
      <c r="M291" s="850"/>
      <c r="N291" s="850"/>
      <c r="O291" s="48">
        <f>IF(t&lt;Tnet,'2025'!Resal+('2025'!Salim-'2025'!Resal)*(1-EXP(('2025'!Tnet-t)/('2025'!Tau_j))),Resal+(Salim-Resal)*(1-EXP((Tnet-t)/(Tau_j))))*Salcycl</f>
        <v>8.6583703199405185E-2</v>
      </c>
      <c r="P291" s="169">
        <f>(INDEX(Models!$BJ291:$BT291,,T291)*(1-R291)+INDEX(Models!$BJ291:$BT291,,T291+1)*R291-ERP_i)*Q291*Ramure*Pc/MaxiM</f>
        <v>2.0860663786535609E-3</v>
      </c>
      <c r="Q291" s="305">
        <f t="shared" si="105"/>
        <v>0.7</v>
      </c>
      <c r="R291" s="177">
        <f t="shared" si="106"/>
        <v>0.97207826495190064</v>
      </c>
      <c r="S291" s="817">
        <f t="shared" si="107"/>
        <v>-2</v>
      </c>
      <c r="T291" s="176">
        <f t="shared" si="108"/>
        <v>4</v>
      </c>
      <c r="U291" s="251">
        <f t="shared" si="109"/>
        <v>-1.0279217350480994</v>
      </c>
      <c r="V291" s="383">
        <f t="shared" si="110"/>
        <v>25.114905640948759</v>
      </c>
      <c r="W291" s="402">
        <f t="shared" si="111"/>
        <v>24.997074198966629</v>
      </c>
      <c r="X291" s="157">
        <f t="shared" si="112"/>
        <v>46299</v>
      </c>
      <c r="Y291" s="385">
        <f t="shared" si="113"/>
        <v>23.244430182237274</v>
      </c>
      <c r="Z291" s="385">
        <f t="shared" si="114"/>
        <v>24.872063174486044</v>
      </c>
      <c r="AA291" s="386">
        <f t="shared" si="115"/>
        <v>28.533538004625633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0.12832179554971493</v>
      </c>
      <c r="AD291" s="231">
        <f>(INDEX(Models!$BJ291:$BT291,,AH291)*(1-AF291)+INDEX(Models!$BJ291:$BT291,,AH291+1)*AF291-ERP_i)*AE291*Ramure*Pc/MaxiM</f>
        <v>2.7794090437485736E-2</v>
      </c>
      <c r="AE291" s="305">
        <f t="shared" si="117"/>
        <v>0.7</v>
      </c>
      <c r="AF291" s="177">
        <f t="shared" si="118"/>
        <v>0.59594163432795666</v>
      </c>
      <c r="AG291" s="817">
        <f t="shared" si="124"/>
        <v>1</v>
      </c>
      <c r="AH291" s="176">
        <f t="shared" si="119"/>
        <v>7</v>
      </c>
      <c r="AI291" s="225">
        <f t="shared" si="120"/>
        <v>1.5959416343279567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46300</v>
      </c>
      <c r="B292" s="411">
        <f>'2025'!Wh/'2025'!Env_an*'2026'!Env_an</f>
        <v>25.136310027127781</v>
      </c>
      <c r="C292" s="846"/>
      <c r="D292" s="393">
        <f t="shared" si="102"/>
        <v>26.897006279500165</v>
      </c>
      <c r="E292" s="385">
        <f t="shared" si="100"/>
        <v>29.448337859662132</v>
      </c>
      <c r="F292" s="385">
        <f t="shared" si="103"/>
        <v>29.520531135154268</v>
      </c>
      <c r="G292" s="110">
        <f t="shared" si="101"/>
        <v>1.0102798254760539</v>
      </c>
      <c r="H292" s="414" t="b">
        <f>Wh_hp&gt;='2025'!Maxi_hp</f>
        <v>1</v>
      </c>
      <c r="I292" s="390">
        <f>IF(H292,Wh_hp,'2025'!Maxi_hp)</f>
        <v>29.520531135154268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6.5460677447746973E-2</v>
      </c>
      <c r="M292" s="850"/>
      <c r="N292" s="850"/>
      <c r="O292" s="48">
        <f>IF(t&lt;Tnet,'2025'!Resal+('2025'!Salim-'2025'!Resal)*(1-EXP(('2025'!Tnet-t)/('2025'!Tau_j))),Resal+(Salim-Resal)*(1-EXP((Tnet-t)/(Tau_j))))*Salcycl</f>
        <v>8.6637541049701852E-2</v>
      </c>
      <c r="P292" s="169">
        <f>(INDEX(Models!$BJ292:$BT292,,T292)*(1-R292)+INDEX(Models!$BJ292:$BT292,,T292+1)*R292-ERP_i)*Q292*Ramure*Pc/MaxiM</f>
        <v>2.4455276621417718E-3</v>
      </c>
      <c r="Q292" s="305">
        <f t="shared" si="105"/>
        <v>0.7</v>
      </c>
      <c r="R292" s="177">
        <f t="shared" si="106"/>
        <v>0.97224695101588221</v>
      </c>
      <c r="S292" s="817">
        <f t="shared" si="107"/>
        <v>-2</v>
      </c>
      <c r="T292" s="176">
        <f t="shared" si="108"/>
        <v>4</v>
      </c>
      <c r="U292" s="251">
        <f t="shared" si="109"/>
        <v>-1.0277530489841178</v>
      </c>
      <c r="V292" s="383">
        <f t="shared" si="110"/>
        <v>24.880542393572291</v>
      </c>
      <c r="W292" s="402">
        <f t="shared" si="111"/>
        <v>25.136310027127781</v>
      </c>
      <c r="X292" s="157">
        <f t="shared" si="112"/>
        <v>46300</v>
      </c>
      <c r="Y292" s="385">
        <f t="shared" si="113"/>
        <v>23.319745131760524</v>
      </c>
      <c r="Z292" s="385">
        <f t="shared" si="114"/>
        <v>24.953198403758599</v>
      </c>
      <c r="AA292" s="386">
        <f t="shared" si="115"/>
        <v>28.625932930571967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0.12830095479232237</v>
      </c>
      <c r="AD292" s="231">
        <f>(INDEX(Models!$BJ292:$BT292,,AH292)*(1-AF292)+INDEX(Models!$BJ292:$BT292,,AH292+1)*AF292-ERP_i)*AE292*Ramure*Pc/MaxiM</f>
        <v>3.030427198232143E-2</v>
      </c>
      <c r="AE292" s="305">
        <f t="shared" si="117"/>
        <v>0.7</v>
      </c>
      <c r="AF292" s="177">
        <f t="shared" si="118"/>
        <v>0.59611032039193823</v>
      </c>
      <c r="AG292" s="817">
        <f t="shared" si="124"/>
        <v>1</v>
      </c>
      <c r="AH292" s="176">
        <f t="shared" si="119"/>
        <v>7</v>
      </c>
      <c r="AI292" s="225">
        <f t="shared" si="120"/>
        <v>1.5961103203919382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46301</v>
      </c>
      <c r="B293" s="411">
        <f>'2025'!Wh/'2025'!Env_an*'2026'!Env_an</f>
        <v>8.2769102595371198</v>
      </c>
      <c r="C293" s="846"/>
      <c r="D293" s="393">
        <f t="shared" si="102"/>
        <v>8.856868137425904</v>
      </c>
      <c r="E293" s="385">
        <f t="shared" si="100"/>
        <v>9.697548271177018</v>
      </c>
      <c r="F293" s="385">
        <f t="shared" si="103"/>
        <v>9.6989580059685849</v>
      </c>
      <c r="G293" s="110">
        <f t="shared" si="101"/>
        <v>0.33496748299712481</v>
      </c>
      <c r="H293" s="414" t="b">
        <f>Wh_hp&gt;='2025'!Maxi_hp</f>
        <v>0</v>
      </c>
      <c r="I293" s="390">
        <f>IF(H293,Wh_hp,'2025'!Maxi_hp)</f>
        <v>25.825303664148674</v>
      </c>
      <c r="J293" s="85">
        <f>IF(H293,An,'2025'!An_max)</f>
        <v>2018</v>
      </c>
      <c r="K293" s="197">
        <f t="shared" si="104"/>
        <v>46301</v>
      </c>
      <c r="L293" s="147">
        <f>IF(t&lt;Tvie,1-EXP((T0-t)*PertePVj)+'2025'!Pspv,1-EXP((T0-t)*PertePVj)+Pspv)</f>
        <v>6.5481146257342804E-2</v>
      </c>
      <c r="M293" s="850"/>
      <c r="N293" s="850"/>
      <c r="O293" s="48">
        <f>IF(t&lt;Tnet,'2025'!Resal+('2025'!Salim-'2025'!Resal)*(1-EXP(('2025'!Tnet-t)/('2025'!Tau_j))),Resal+(Salim-Resal)*(1-EXP((Tnet-t)/(Tau_j))))*Salcycl</f>
        <v>8.6689966395916557E-2</v>
      </c>
      <c r="P293" s="169">
        <f>(INDEX(Models!$BJ293:$BT293,,T293)*(1-R293)+INDEX(Models!$BJ293:$BT293,,T293+1)*R293-ERP_i)*Q293*Ramure*Pc/MaxiM</f>
        <v>2.8363607488384496E-3</v>
      </c>
      <c r="Q293" s="305">
        <f t="shared" si="105"/>
        <v>0.7</v>
      </c>
      <c r="R293" s="177">
        <f t="shared" si="106"/>
        <v>0.97240895308692132</v>
      </c>
      <c r="S293" s="817">
        <f t="shared" si="107"/>
        <v>-2</v>
      </c>
      <c r="T293" s="176">
        <f t="shared" si="108"/>
        <v>4</v>
      </c>
      <c r="U293" s="251">
        <f t="shared" si="109"/>
        <v>-1.0275910469130787</v>
      </c>
      <c r="V293" s="383">
        <f t="shared" si="110"/>
        <v>24.643089788486225</v>
      </c>
      <c r="W293" s="402">
        <f t="shared" si="111"/>
        <v>8.2769102595371198</v>
      </c>
      <c r="X293" s="157">
        <f t="shared" si="112"/>
        <v>46301</v>
      </c>
      <c r="Y293" s="385">
        <f t="shared" si="113"/>
        <v>7.8878551715972067</v>
      </c>
      <c r="Z293" s="385">
        <f t="shared" si="114"/>
        <v>8.4405522050273394</v>
      </c>
      <c r="AA293" s="386">
        <f t="shared" si="115"/>
        <v>9.6826219663890782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0.12827824587940007</v>
      </c>
      <c r="AD293" s="231">
        <f>(INDEX(Models!$BJ293:$BT293,,AH293)*(1-AF293)+INDEX(Models!$BJ293:$BT293,,AH293+1)*AF293-ERP_i)*AE293*Ramure*Pc/MaxiM</f>
        <v>3.2867814380396085E-2</v>
      </c>
      <c r="AE293" s="305">
        <f t="shared" si="117"/>
        <v>0.7</v>
      </c>
      <c r="AF293" s="177">
        <f t="shared" si="118"/>
        <v>0.59627232246297734</v>
      </c>
      <c r="AG293" s="817">
        <f t="shared" si="124"/>
        <v>1</v>
      </c>
      <c r="AH293" s="176">
        <f t="shared" si="119"/>
        <v>7</v>
      </c>
      <c r="AI293" s="225">
        <f t="shared" si="120"/>
        <v>1.5962723224629773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46302</v>
      </c>
      <c r="B294" s="411">
        <f>'2025'!Wh/'2025'!Env_an*'2026'!Env_an</f>
        <v>17.23889574381576</v>
      </c>
      <c r="C294" s="846"/>
      <c r="D294" s="393">
        <f t="shared" si="102"/>
        <v>18.447218329628623</v>
      </c>
      <c r="E294" s="385">
        <f t="shared" si="100"/>
        <v>20.199327565090368</v>
      </c>
      <c r="F294" s="385">
        <f t="shared" si="103"/>
        <v>20.237626993361165</v>
      </c>
      <c r="G294" s="110">
        <f t="shared" si="101"/>
        <v>0.70547077331498453</v>
      </c>
      <c r="H294" s="414" t="b">
        <f>Wh_hp&gt;='2025'!Maxi_hp</f>
        <v>0</v>
      </c>
      <c r="I294" s="390">
        <f>IF(H294,Wh_hp,'2025'!Maxi_hp)</f>
        <v>28.972781254005142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6.5501614618619142E-2</v>
      </c>
      <c r="M294" s="850"/>
      <c r="N294" s="850"/>
      <c r="O294" s="48">
        <f>IF(t&lt;Tnet,'2025'!Resal+('2025'!Salim-'2025'!Resal)*(1-EXP(('2025'!Tnet-t)/('2025'!Tau_j))),Resal+(Salim-Resal)*(1-EXP((Tnet-t)/(Tau_j))))*Salcycl</f>
        <v>8.6740968471140656E-2</v>
      </c>
      <c r="P294" s="169">
        <f>(INDEX(Models!$BJ294:$BT294,,T294)*(1-R294)+INDEX(Models!$BJ294:$BT294,,T294+1)*R294-ERP_i)*Q294*Ramure*Pc/MaxiM</f>
        <v>3.2593889243661633E-3</v>
      </c>
      <c r="Q294" s="305">
        <f t="shared" si="105"/>
        <v>0.7</v>
      </c>
      <c r="R294" s="177">
        <f t="shared" si="106"/>
        <v>0.97256453187344416</v>
      </c>
      <c r="S294" s="817">
        <f t="shared" si="107"/>
        <v>-2</v>
      </c>
      <c r="T294" s="176">
        <f t="shared" si="108"/>
        <v>4</v>
      </c>
      <c r="U294" s="251">
        <f t="shared" si="109"/>
        <v>-1.0274354681265558</v>
      </c>
      <c r="V294" s="383">
        <f t="shared" si="110"/>
        <v>24.402551914601197</v>
      </c>
      <c r="W294" s="402">
        <f t="shared" si="111"/>
        <v>17.23889574381576</v>
      </c>
      <c r="X294" s="157">
        <f t="shared" si="112"/>
        <v>46302</v>
      </c>
      <c r="Y294" s="385">
        <f t="shared" si="113"/>
        <v>16.146798864710096</v>
      </c>
      <c r="Z294" s="385">
        <f t="shared" si="114"/>
        <v>17.27857331515921</v>
      </c>
      <c r="AA294" s="386">
        <f t="shared" si="115"/>
        <v>19.820643296643738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0.12825365672742725</v>
      </c>
      <c r="AD294" s="231">
        <f>(INDEX(Models!$BJ294:$BT294,,AH294)*(1-AF294)+INDEX(Models!$BJ294:$BT294,,AH294+1)*AF294-ERP_i)*AE294*Ramure*Pc/MaxiM</f>
        <v>3.5486483848071557E-2</v>
      </c>
      <c r="AE294" s="305">
        <f t="shared" si="117"/>
        <v>0.7</v>
      </c>
      <c r="AF294" s="177">
        <f t="shared" si="118"/>
        <v>0.59642790124950018</v>
      </c>
      <c r="AG294" s="817">
        <f t="shared" si="124"/>
        <v>1</v>
      </c>
      <c r="AH294" s="176">
        <f t="shared" si="119"/>
        <v>7</v>
      </c>
      <c r="AI294" s="225">
        <f t="shared" si="120"/>
        <v>1.5964279012495002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46303</v>
      </c>
      <c r="B295" s="411">
        <f>'2025'!Wh/'2025'!Env_an*'2026'!Env_an</f>
        <v>10.934227728083645</v>
      </c>
      <c r="C295" s="846"/>
      <c r="D295" s="393">
        <f t="shared" si="102"/>
        <v>11.700894717454068</v>
      </c>
      <c r="E295" s="385">
        <f t="shared" si="100"/>
        <v>12.812936381979386</v>
      </c>
      <c r="F295" s="385">
        <f t="shared" si="103"/>
        <v>12.823322637926786</v>
      </c>
      <c r="G295" s="110">
        <f t="shared" si="101"/>
        <v>0.45127954531451092</v>
      </c>
      <c r="H295" s="414" t="b">
        <f>Wh_hp&gt;='2025'!Maxi_hp</f>
        <v>0</v>
      </c>
      <c r="I295" s="390">
        <f>IF(H295,Wh_hp,'2025'!Maxi_hp)</f>
        <v>28.425909994617459</v>
      </c>
      <c r="J295" s="85">
        <f>IF(H295,An,'2025'!An_max)</f>
        <v>2021</v>
      </c>
      <c r="K295" s="197">
        <f t="shared" si="104"/>
        <v>46303</v>
      </c>
      <c r="L295" s="147">
        <f>IF(t&lt;Tvie,1-EXP((T0-t)*PertePVj)+'2025'!Pspv,1-EXP((T0-t)*PertePVj)+Pspv)</f>
        <v>6.5522082531585868E-2</v>
      </c>
      <c r="M295" s="850"/>
      <c r="N295" s="850"/>
      <c r="O295" s="48">
        <f>IF(t&lt;Tnet,'2025'!Resal+('2025'!Salim-'2025'!Resal)*(1-EXP(('2025'!Tnet-t)/('2025'!Tau_j))),Resal+(Salim-Resal)*(1-EXP((Tnet-t)/(Tau_j))))*Salcycl</f>
        <v>8.6790539761778293E-2</v>
      </c>
      <c r="P295" s="169">
        <f>(INDEX(Models!$BJ295:$BT295,,T295)*(1-R295)+INDEX(Models!$BJ295:$BT295,,T295+1)*R295-ERP_i)*Q295*Ramure*Pc/MaxiM</f>
        <v>3.7154752167242078E-3</v>
      </c>
      <c r="Q295" s="305">
        <f t="shared" si="105"/>
        <v>0.7</v>
      </c>
      <c r="R295" s="177">
        <f t="shared" si="106"/>
        <v>0.97271393823930552</v>
      </c>
      <c r="S295" s="817">
        <f t="shared" si="107"/>
        <v>-2</v>
      </c>
      <c r="T295" s="176">
        <f t="shared" si="108"/>
        <v>4</v>
      </c>
      <c r="U295" s="251">
        <f t="shared" si="109"/>
        <v>-1.0272860617606945</v>
      </c>
      <c r="V295" s="383">
        <f t="shared" si="110"/>
        <v>24.158933014137201</v>
      </c>
      <c r="W295" s="402">
        <f t="shared" si="111"/>
        <v>10.934227728083645</v>
      </c>
      <c r="X295" s="157">
        <f t="shared" si="112"/>
        <v>46303</v>
      </c>
      <c r="Y295" s="385">
        <f t="shared" si="113"/>
        <v>10.359645208365835</v>
      </c>
      <c r="Z295" s="385">
        <f t="shared" si="114"/>
        <v>11.086024629058178</v>
      </c>
      <c r="AA295" s="386">
        <f t="shared" si="115"/>
        <v>12.71664403359466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0.12822718008216111</v>
      </c>
      <c r="AD295" s="231">
        <f>(INDEX(Models!$BJ295:$BT295,,AH295)*(1-AF295)+INDEX(Models!$BJ295:$BT295,,AH295+1)*AF295-ERP_i)*AE295*Ramure*Pc/MaxiM</f>
        <v>3.8162135860894161E-2</v>
      </c>
      <c r="AE295" s="305">
        <f t="shared" si="117"/>
        <v>0.7</v>
      </c>
      <c r="AF295" s="177">
        <f t="shared" si="118"/>
        <v>0.59657730761536154</v>
      </c>
      <c r="AG295" s="817">
        <f t="shared" si="124"/>
        <v>1</v>
      </c>
      <c r="AH295" s="176">
        <f t="shared" si="119"/>
        <v>7</v>
      </c>
      <c r="AI295" s="225">
        <f t="shared" si="120"/>
        <v>1.5965773076153615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46304</v>
      </c>
      <c r="B296" s="411">
        <f>'2025'!Wh/'2025'!Env_an*'2026'!Env_an</f>
        <v>22.819660586795479</v>
      </c>
      <c r="C296" s="846"/>
      <c r="D296" s="393">
        <f t="shared" si="102"/>
        <v>24.420224363029021</v>
      </c>
      <c r="E296" s="385">
        <f t="shared" si="100"/>
        <v>26.742508390668863</v>
      </c>
      <c r="F296" s="385">
        <f t="shared" si="103"/>
        <v>26.848089700151579</v>
      </c>
      <c r="G296" s="110">
        <f t="shared" si="101"/>
        <v>0.95404734446267603</v>
      </c>
      <c r="H296" s="414" t="b">
        <f>Wh_hp&gt;='2025'!Maxi_hp</f>
        <v>0</v>
      </c>
      <c r="I296" s="390">
        <f>IF(H296,Wh_hp,'2025'!Maxi_hp)</f>
        <v>26.851906542221055</v>
      </c>
      <c r="J296" s="85">
        <f>IF(H296,An,'2025'!An_max)</f>
        <v>2025</v>
      </c>
      <c r="K296" s="197">
        <f t="shared" si="104"/>
        <v>46304</v>
      </c>
      <c r="L296" s="147">
        <f>IF(t&lt;Tvie,1-EXP((T0-t)*PertePVj)+'2025'!Pspv,1-EXP((T0-t)*PertePVj)+Pspv)</f>
        <v>6.5542549996252863E-2</v>
      </c>
      <c r="M296" s="850"/>
      <c r="N296" s="850"/>
      <c r="O296" s="48">
        <f>IF(t&lt;Tnet,'2025'!Resal+('2025'!Salim-'2025'!Resal)*(1-EXP(('2025'!Tnet-t)/('2025'!Tau_j))),Resal+(Salim-Resal)*(1-EXP((Tnet-t)/(Tau_j))))*Salcycl</f>
        <v>8.6838676227176462E-2</v>
      </c>
      <c r="P296" s="169">
        <f>(INDEX(Models!$BJ296:$BT296,,T296)*(1-R296)+INDEX(Models!$BJ296:$BT296,,T296+1)*R296-ERP_i)*Q296*Ramure*Pc/MaxiM</f>
        <v>4.2071485466476178E-3</v>
      </c>
      <c r="Q296" s="305">
        <f t="shared" si="105"/>
        <v>0.7</v>
      </c>
      <c r="R296" s="177">
        <f t="shared" si="106"/>
        <v>0.97285741354996791</v>
      </c>
      <c r="S296" s="817">
        <f t="shared" si="107"/>
        <v>-2</v>
      </c>
      <c r="T296" s="176">
        <f t="shared" si="108"/>
        <v>4</v>
      </c>
      <c r="U296" s="251">
        <f t="shared" si="109"/>
        <v>-1.0271425864500321</v>
      </c>
      <c r="V296" s="383">
        <f t="shared" si="110"/>
        <v>23.912198498002731</v>
      </c>
      <c r="W296" s="402">
        <f t="shared" si="111"/>
        <v>22.819660586795479</v>
      </c>
      <c r="X296" s="157">
        <f t="shared" si="112"/>
        <v>46304</v>
      </c>
      <c r="Y296" s="385">
        <f t="shared" si="113"/>
        <v>21.037055631360058</v>
      </c>
      <c r="Z296" s="385">
        <f t="shared" si="114"/>
        <v>22.512588059815567</v>
      </c>
      <c r="AA296" s="386">
        <f t="shared" si="115"/>
        <v>25.823075738820471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0.12819881382403123</v>
      </c>
      <c r="AD296" s="231">
        <f>(INDEX(Models!$BJ296:$BT296,,AH296)*(1-AF296)+INDEX(Models!$BJ296:$BT296,,AH296+1)*AF296-ERP_i)*AE296*Ramure*Pc/MaxiM</f>
        <v>4.0844217777139695E-2</v>
      </c>
      <c r="AE296" s="305">
        <f t="shared" si="117"/>
        <v>0.7</v>
      </c>
      <c r="AF296" s="177">
        <f t="shared" si="118"/>
        <v>0.59672078292602393</v>
      </c>
      <c r="AG296" s="817">
        <f t="shared" si="124"/>
        <v>1</v>
      </c>
      <c r="AH296" s="176">
        <f t="shared" si="119"/>
        <v>7</v>
      </c>
      <c r="AI296" s="225">
        <f t="shared" si="120"/>
        <v>1.5967207829260239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46305</v>
      </c>
      <c r="B297" s="411">
        <f>'2025'!Wh/'2025'!Env_an*'2026'!Env_an</f>
        <v>18.260920629869844</v>
      </c>
      <c r="C297" s="846"/>
      <c r="D297" s="393">
        <f t="shared" si="102"/>
        <v>19.542163850889299</v>
      </c>
      <c r="E297" s="385">
        <f t="shared" ref="E297:E360" si="125">Wh_pvt/(1-Psa)</f>
        <v>21.401654698652923</v>
      </c>
      <c r="F297" s="385">
        <f t="shared" si="103"/>
        <v>21.469882015137348</v>
      </c>
      <c r="G297" s="110">
        <f t="shared" ref="G297:G360" si="126">+Wh_hp/MaxiM</f>
        <v>0.77052298775095684</v>
      </c>
      <c r="H297" s="414" t="b">
        <f>Wh_hp&gt;='2025'!Maxi_hp</f>
        <v>0</v>
      </c>
      <c r="I297" s="390">
        <f>IF(H297,Wh_hp,'2025'!Maxi_hp)</f>
        <v>21.486976063332172</v>
      </c>
      <c r="J297" s="85">
        <f>IF(H297,An,'2025'!An_max)</f>
        <v>2025</v>
      </c>
      <c r="K297" s="197">
        <f t="shared" si="104"/>
        <v>46305</v>
      </c>
      <c r="L297" s="147">
        <f>IF(t&lt;Tvie,1-EXP((T0-t)*PertePVj)+'2025'!Pspv,1-EXP((T0-t)*PertePVj)+Pspv)</f>
        <v>6.5563017012629787E-2</v>
      </c>
      <c r="M297" s="850"/>
      <c r="N297" s="850"/>
      <c r="O297" s="48">
        <f>IF(t&lt;Tnet,'2025'!Resal+('2025'!Salim-'2025'!Resal)*(1-EXP(('2025'!Tnet-t)/('2025'!Tau_j))),Resal+(Salim-Resal)*(1-EXP((Tnet-t)/(Tau_j))))*Salcycl</f>
        <v>8.6885377506846023E-2</v>
      </c>
      <c r="P297" s="169">
        <f>(INDEX(Models!$BJ297:$BT297,,T297)*(1-R297)+INDEX(Models!$BJ297:$BT297,,T297+1)*R297-ERP_i)*Q297*Ramure*Pc/MaxiM</f>
        <v>4.7157229101579407E-3</v>
      </c>
      <c r="Q297" s="305">
        <f t="shared" si="105"/>
        <v>0.7</v>
      </c>
      <c r="R297" s="177">
        <f t="shared" si="106"/>
        <v>0.97299519000855916</v>
      </c>
      <c r="S297" s="817">
        <f t="shared" si="107"/>
        <v>-2</v>
      </c>
      <c r="T297" s="176">
        <f t="shared" si="108"/>
        <v>4</v>
      </c>
      <c r="U297" s="251">
        <f t="shared" si="109"/>
        <v>-1.0270048099914408</v>
      </c>
      <c r="V297" s="383">
        <f t="shared" si="110"/>
        <v>23.662820940147924</v>
      </c>
      <c r="W297" s="402">
        <f t="shared" si="111"/>
        <v>18.260920629869844</v>
      </c>
      <c r="X297" s="157">
        <f t="shared" si="112"/>
        <v>46305</v>
      </c>
      <c r="Y297" s="385">
        <f t="shared" si="113"/>
        <v>16.978265089110629</v>
      </c>
      <c r="Z297" s="385">
        <f t="shared" si="114"/>
        <v>18.169513191602888</v>
      </c>
      <c r="AA297" s="386">
        <f t="shared" si="115"/>
        <v>20.840626277179602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0.1281685612539184</v>
      </c>
      <c r="AD297" s="231">
        <f>(INDEX(Models!$BJ297:$BT297,,AH297)*(1-AF297)+INDEX(Models!$BJ297:$BT297,,AH297+1)*AF297-ERP_i)*AE297*Ramure*Pc/MaxiM</f>
        <v>4.3492780498160744E-2</v>
      </c>
      <c r="AE297" s="305">
        <f t="shared" si="117"/>
        <v>0.7</v>
      </c>
      <c r="AF297" s="177">
        <f t="shared" si="118"/>
        <v>0.59685855938461518</v>
      </c>
      <c r="AG297" s="817">
        <f t="shared" si="124"/>
        <v>1</v>
      </c>
      <c r="AH297" s="176">
        <f t="shared" si="119"/>
        <v>7</v>
      </c>
      <c r="AI297" s="225">
        <f t="shared" si="120"/>
        <v>1.5968585593846152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46306</v>
      </c>
      <c r="B298" s="411">
        <f>'2025'!Wh/'2025'!Env_an*'2026'!Env_an</f>
        <v>14.346007978607222</v>
      </c>
      <c r="C298" s="846"/>
      <c r="D298" s="393">
        <f t="shared" si="102"/>
        <v>15.352904969597256</v>
      </c>
      <c r="E298" s="385">
        <f t="shared" si="125"/>
        <v>16.814609888126554</v>
      </c>
      <c r="F298" s="385">
        <f t="shared" si="103"/>
        <v>16.854086620572282</v>
      </c>
      <c r="G298" s="110">
        <f t="shared" si="126"/>
        <v>0.61101340848414287</v>
      </c>
      <c r="H298" s="414" t="b">
        <f>Wh_hp&gt;='2025'!Maxi_hp</f>
        <v>0</v>
      </c>
      <c r="I298" s="390">
        <f>IF(H298,Wh_hp,'2025'!Maxi_hp)</f>
        <v>28.014827724061675</v>
      </c>
      <c r="J298" s="85">
        <f>IF(H298,An,'2025'!An_max)</f>
        <v>2021</v>
      </c>
      <c r="K298" s="197">
        <f t="shared" si="104"/>
        <v>46306</v>
      </c>
      <c r="L298" s="147">
        <f>IF(t&lt;Tvie,1-EXP((T0-t)*PertePVj)+'2025'!Pspv,1-EXP((T0-t)*PertePVj)+Pspv)</f>
        <v>6.5583483580726409E-2</v>
      </c>
      <c r="M298" s="850"/>
      <c r="N298" s="850"/>
      <c r="O298" s="48">
        <f>IF(t&lt;Tnet,'2025'!Resal+('2025'!Salim-'2025'!Resal)*(1-EXP(('2025'!Tnet-t)/('2025'!Tau_j))),Resal+(Salim-Resal)*(1-EXP((Tnet-t)/(Tau_j))))*Salcycl</f>
        <v>8.6930647113107468E-2</v>
      </c>
      <c r="P298" s="169">
        <f>(INDEX(Models!$BJ298:$BT298,,T298)*(1-R298)+INDEX(Models!$BJ298:$BT298,,T298+1)*R298-ERP_i)*Q298*Ramure*Pc/MaxiM</f>
        <v>5.2417355169589609E-3</v>
      </c>
      <c r="Q298" s="305">
        <f t="shared" si="105"/>
        <v>0.7</v>
      </c>
      <c r="R298" s="177">
        <f t="shared" si="106"/>
        <v>0.97312749098192541</v>
      </c>
      <c r="S298" s="817">
        <f t="shared" si="107"/>
        <v>-2</v>
      </c>
      <c r="T298" s="176">
        <f t="shared" si="108"/>
        <v>4</v>
      </c>
      <c r="U298" s="251">
        <f t="shared" si="109"/>
        <v>-1.0268725090180746</v>
      </c>
      <c r="V298" s="383">
        <f t="shared" si="110"/>
        <v>23.410802924427479</v>
      </c>
      <c r="W298" s="402">
        <f t="shared" si="111"/>
        <v>14.346007978607222</v>
      </c>
      <c r="X298" s="157">
        <f t="shared" si="112"/>
        <v>46306</v>
      </c>
      <c r="Y298" s="385">
        <f t="shared" si="113"/>
        <v>13.447853523648893</v>
      </c>
      <c r="Z298" s="385">
        <f t="shared" si="114"/>
        <v>14.391712140514892</v>
      </c>
      <c r="AA298" s="386">
        <f t="shared" si="115"/>
        <v>16.506839668621669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0.12813643135623862</v>
      </c>
      <c r="AD298" s="231">
        <f>(INDEX(Models!$BJ298:$BT298,,AH298)*(1-AF298)+INDEX(Models!$BJ298:$BT298,,AH298+1)*AF298-ERP_i)*AE298*Ramure*Pc/MaxiM</f>
        <v>4.6107582072496447E-2</v>
      </c>
      <c r="AE298" s="305">
        <f t="shared" si="117"/>
        <v>0.7</v>
      </c>
      <c r="AF298" s="177">
        <f t="shared" si="118"/>
        <v>0.59699086035798143</v>
      </c>
      <c r="AG298" s="817">
        <f t="shared" si="124"/>
        <v>1</v>
      </c>
      <c r="AH298" s="176">
        <f t="shared" si="119"/>
        <v>7</v>
      </c>
      <c r="AI298" s="225">
        <f t="shared" si="120"/>
        <v>1.5969908603579814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46307</v>
      </c>
      <c r="B299" s="411">
        <f>'2025'!Wh/'2025'!Env_an*'2026'!Env_an</f>
        <v>17.392500760594931</v>
      </c>
      <c r="C299" s="846"/>
      <c r="D299" s="393">
        <f t="shared" si="102"/>
        <v>18.613628295005242</v>
      </c>
      <c r="E299" s="385">
        <f t="shared" si="125"/>
        <v>20.38675605915402</v>
      </c>
      <c r="F299" s="385">
        <f t="shared" si="103"/>
        <v>20.463052054344359</v>
      </c>
      <c r="G299" s="110">
        <f t="shared" si="126"/>
        <v>0.74954549455976749</v>
      </c>
      <c r="H299" s="414" t="b">
        <f>Wh_hp&gt;='2025'!Maxi_hp</f>
        <v>0</v>
      </c>
      <c r="I299" s="390">
        <f>IF(H299,Wh_hp,'2025'!Maxi_hp)</f>
        <v>26.927218477967962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6.5603949700552833E-2</v>
      </c>
      <c r="M299" s="850"/>
      <c r="N299" s="850"/>
      <c r="O299" s="48">
        <f>IF(t&lt;Tnet,'2025'!Resal+('2025'!Salim-'2025'!Resal)*(1-EXP(('2025'!Tnet-t)/('2025'!Tau_j))),Resal+(Salim-Resal)*(1-EXP((Tnet-t)/(Tau_j))))*Salcycl</f>
        <v>8.6974492607057544E-2</v>
      </c>
      <c r="P299" s="169">
        <f>(INDEX(Models!$BJ299:$BT299,,T299)*(1-R299)+INDEX(Models!$BJ299:$BT299,,T299+1)*R299-ERP_i)*Q299*Ramure*Pc/MaxiM</f>
        <v>5.7857534638533518E-3</v>
      </c>
      <c r="Q299" s="305">
        <f t="shared" si="105"/>
        <v>0.7</v>
      </c>
      <c r="R299" s="177">
        <f t="shared" si="106"/>
        <v>0.97325453131682682</v>
      </c>
      <c r="S299" s="817">
        <f t="shared" si="107"/>
        <v>-2</v>
      </c>
      <c r="T299" s="176">
        <f t="shared" si="108"/>
        <v>4</v>
      </c>
      <c r="U299" s="251">
        <f t="shared" si="109"/>
        <v>-1.0267454686831732</v>
      </c>
      <c r="V299" s="383">
        <f t="shared" si="110"/>
        <v>23.15614699214602</v>
      </c>
      <c r="W299" s="402">
        <f t="shared" si="111"/>
        <v>17.392500760594931</v>
      </c>
      <c r="X299" s="157">
        <f t="shared" si="112"/>
        <v>46307</v>
      </c>
      <c r="Y299" s="385">
        <f t="shared" si="113"/>
        <v>16.148125558323731</v>
      </c>
      <c r="Z299" s="385">
        <f t="shared" si="114"/>
        <v>17.281885505775328</v>
      </c>
      <c r="AA299" s="386">
        <f t="shared" si="115"/>
        <v>19.821004530251354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0.1281024390363644</v>
      </c>
      <c r="AD299" s="231">
        <f>(INDEX(Models!$BJ299:$BT299,,AH299)*(1-AF299)+INDEX(Models!$BJ299:$BT299,,AH299+1)*AF299-ERP_i)*AE299*Ramure*Pc/MaxiM</f>
        <v>4.8688383672199353E-2</v>
      </c>
      <c r="AE299" s="305">
        <f t="shared" si="117"/>
        <v>0.7</v>
      </c>
      <c r="AF299" s="177">
        <f t="shared" si="118"/>
        <v>0.59711790069288284</v>
      </c>
      <c r="AG299" s="817">
        <f t="shared" si="124"/>
        <v>1</v>
      </c>
      <c r="AH299" s="176">
        <f t="shared" si="119"/>
        <v>7</v>
      </c>
      <c r="AI299" s="225">
        <f t="shared" si="120"/>
        <v>1.5971179006928828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46308</v>
      </c>
      <c r="B300" s="411">
        <f>'2025'!Wh/'2025'!Env_an*'2026'!Env_an</f>
        <v>13.460503494233446</v>
      </c>
      <c r="C300" s="846"/>
      <c r="D300" s="393">
        <f t="shared" si="102"/>
        <v>14.405881013676254</v>
      </c>
      <c r="E300" s="385">
        <f t="shared" si="125"/>
        <v>15.778913563761948</v>
      </c>
      <c r="F300" s="385">
        <f t="shared" si="103"/>
        <v>15.820209212353037</v>
      </c>
      <c r="G300" s="110">
        <f t="shared" si="126"/>
        <v>0.58562121042130566</v>
      </c>
      <c r="H300" s="414" t="b">
        <f>Wh_hp&gt;='2025'!Maxi_hp</f>
        <v>0</v>
      </c>
      <c r="I300" s="390">
        <f>IF(H300,Wh_hp,'2025'!Maxi_hp)</f>
        <v>25.635281069099932</v>
      </c>
      <c r="J300" s="85">
        <f>IF(H300,An,'2025'!An_max)</f>
        <v>2021</v>
      </c>
      <c r="K300" s="197">
        <f t="shared" si="104"/>
        <v>46308</v>
      </c>
      <c r="L300" s="147">
        <f>IF(t&lt;Tvie,1-EXP((T0-t)*PertePVj)+'2025'!Pspv,1-EXP((T0-t)*PertePVj)+Pspv)</f>
        <v>6.5624415372118605E-2</v>
      </c>
      <c r="M300" s="850"/>
      <c r="N300" s="850"/>
      <c r="O300" s="48">
        <f>IF(t&lt;Tnet,'2025'!Resal+('2025'!Salim-'2025'!Resal)*(1-EXP(('2025'!Tnet-t)/('2025'!Tau_j))),Resal+(Salim-Resal)*(1-EXP((Tnet-t)/(Tau_j))))*Salcycl</f>
        <v>8.7016925755840316E-2</v>
      </c>
      <c r="P300" s="169">
        <f>(INDEX(Models!$BJ300:$BT300,,T300)*(1-R300)+INDEX(Models!$BJ300:$BT300,,T300+1)*R300-ERP_i)*Q300*Ramure*Pc/MaxiM</f>
        <v>6.348376435667406E-3</v>
      </c>
      <c r="Q300" s="305">
        <f t="shared" si="105"/>
        <v>0.7</v>
      </c>
      <c r="R300" s="177">
        <f t="shared" si="106"/>
        <v>0.97337651764642086</v>
      </c>
      <c r="S300" s="817">
        <f t="shared" si="107"/>
        <v>-2</v>
      </c>
      <c r="T300" s="176">
        <f t="shared" si="108"/>
        <v>4</v>
      </c>
      <c r="U300" s="251">
        <f t="shared" si="109"/>
        <v>-1.0266234823535791</v>
      </c>
      <c r="V300" s="383">
        <f t="shared" si="110"/>
        <v>22.898855630659057</v>
      </c>
      <c r="W300" s="402">
        <f t="shared" si="111"/>
        <v>13.460503494233446</v>
      </c>
      <c r="X300" s="157">
        <f t="shared" si="112"/>
        <v>46308</v>
      </c>
      <c r="Y300" s="385">
        <f t="shared" si="113"/>
        <v>12.617407632224417</v>
      </c>
      <c r="Z300" s="385">
        <f t="shared" si="114"/>
        <v>13.50357162558924</v>
      </c>
      <c r="AA300" s="386">
        <f t="shared" si="115"/>
        <v>15.486930203760716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0.12806660532956066</v>
      </c>
      <c r="AD300" s="231">
        <f>(INDEX(Models!$BJ300:$BT300,,AH300)*(1-AF300)+INDEX(Models!$BJ300:$BT300,,AH300+1)*AF300-ERP_i)*AE300*Ramure*Pc/MaxiM</f>
        <v>5.1234952757386265E-2</v>
      </c>
      <c r="AE300" s="305">
        <f t="shared" si="117"/>
        <v>0.7</v>
      </c>
      <c r="AF300" s="177">
        <f t="shared" si="118"/>
        <v>0.59723988702247688</v>
      </c>
      <c r="AG300" s="817">
        <f t="shared" si="124"/>
        <v>1</v>
      </c>
      <c r="AH300" s="176">
        <f t="shared" si="119"/>
        <v>7</v>
      </c>
      <c r="AI300" s="225">
        <f t="shared" si="120"/>
        <v>1.5972398870224769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46309</v>
      </c>
      <c r="B301" s="411">
        <f>'2025'!Wh/'2025'!Env_an*'2026'!Env_an</f>
        <v>10.641658577946496</v>
      </c>
      <c r="C301" s="846"/>
      <c r="D301" s="393">
        <f t="shared" si="102"/>
        <v>11.389308365675863</v>
      </c>
      <c r="E301" s="385">
        <f t="shared" si="125"/>
        <v>12.475390440971017</v>
      </c>
      <c r="F301" s="385">
        <f t="shared" si="103"/>
        <v>12.496430097265341</v>
      </c>
      <c r="G301" s="110">
        <f t="shared" si="126"/>
        <v>0.46758974231487788</v>
      </c>
      <c r="H301" s="414" t="b">
        <f>Wh_hp&gt;='2025'!Maxi_hp</f>
        <v>0</v>
      </c>
      <c r="I301" s="390">
        <f>IF(H301,Wh_hp,'2025'!Maxi_hp)</f>
        <v>27.876049215110069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6.5644880595433719E-2</v>
      </c>
      <c r="M301" s="850"/>
      <c r="N301" s="850"/>
      <c r="O301" s="48">
        <f>IF(t&lt;Tnet,'2025'!Resal+('2025'!Salim-'2025'!Resal)*(1-EXP(('2025'!Tnet-t)/('2025'!Tau_j))),Resal+(Salim-Resal)*(1-EXP((Tnet-t)/(Tau_j))))*Salcycl</f>
        <v>8.7057962669312608E-2</v>
      </c>
      <c r="P301" s="169">
        <f>(INDEX(Models!$BJ301:$BT301,,T301)*(1-R301)+INDEX(Models!$BJ301:$BT301,,T301+1)*R301-ERP_i)*Q301*Ramure*Pc/MaxiM</f>
        <v>6.9302396769518439E-3</v>
      </c>
      <c r="Q301" s="305">
        <f t="shared" si="105"/>
        <v>0.7</v>
      </c>
      <c r="R301" s="177">
        <f t="shared" si="106"/>
        <v>0.97349364868720167</v>
      </c>
      <c r="S301" s="817">
        <f t="shared" si="107"/>
        <v>-2</v>
      </c>
      <c r="T301" s="176">
        <f t="shared" si="108"/>
        <v>4</v>
      </c>
      <c r="U301" s="251">
        <f t="shared" si="109"/>
        <v>-1.0265063513127983</v>
      </c>
      <c r="V301" s="383">
        <f t="shared" si="110"/>
        <v>22.638931265159599</v>
      </c>
      <c r="W301" s="402">
        <f t="shared" si="111"/>
        <v>10.641658577946496</v>
      </c>
      <c r="X301" s="157">
        <f t="shared" si="112"/>
        <v>46309</v>
      </c>
      <c r="Y301" s="385">
        <f t="shared" si="113"/>
        <v>10.048283010638041</v>
      </c>
      <c r="Z301" s="385">
        <f t="shared" si="114"/>
        <v>10.754244079105042</v>
      </c>
      <c r="AA301" s="386">
        <f t="shared" si="115"/>
        <v>12.333258280279098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0.12802895757878541</v>
      </c>
      <c r="AD301" s="231">
        <f>(INDEX(Models!$BJ301:$BT301,,AH301)*(1-AF301)+INDEX(Models!$BJ301:$BT301,,AH301+1)*AF301-ERP_i)*AE301*Ramure*Pc/MaxiM</f>
        <v>5.3747066226717363E-2</v>
      </c>
      <c r="AE301" s="305">
        <f t="shared" si="117"/>
        <v>0.7</v>
      </c>
      <c r="AF301" s="177">
        <f t="shared" si="118"/>
        <v>0.59735701806325769</v>
      </c>
      <c r="AG301" s="817">
        <f t="shared" si="124"/>
        <v>1</v>
      </c>
      <c r="AH301" s="176">
        <f t="shared" si="119"/>
        <v>7</v>
      </c>
      <c r="AI301" s="225">
        <f t="shared" si="120"/>
        <v>1.5973570180632577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46310</v>
      </c>
      <c r="B302" s="411">
        <f>'2025'!Wh/'2025'!Env_an*'2026'!Env_an</f>
        <v>21.985796668893816</v>
      </c>
      <c r="C302" s="846"/>
      <c r="D302" s="393">
        <f t="shared" si="102"/>
        <v>23.530965655568263</v>
      </c>
      <c r="E302" s="385">
        <f t="shared" si="125"/>
        <v>25.775993438053899</v>
      </c>
      <c r="F302" s="385">
        <f t="shared" si="103"/>
        <v>25.966698089794157</v>
      </c>
      <c r="G302" s="110">
        <f t="shared" si="126"/>
        <v>0.982359099973664</v>
      </c>
      <c r="H302" s="414" t="b">
        <f>Wh_hp&gt;='2025'!Maxi_hp</f>
        <v>0</v>
      </c>
      <c r="I302" s="390">
        <f>IF(H302,Wh_hp,'2025'!Maxi_hp)</f>
        <v>25.969233652123496</v>
      </c>
      <c r="J302" s="85">
        <f>IF(H302,An,'2025'!An_max)</f>
        <v>2025</v>
      </c>
      <c r="K302" s="197">
        <f t="shared" si="104"/>
        <v>46310</v>
      </c>
      <c r="L302" s="147">
        <f>IF(t&lt;Tvie,1-EXP((T0-t)*PertePVj)+'2025'!Pspv,1-EXP((T0-t)*PertePVj)+Pspv)</f>
        <v>6.5665345370507833E-2</v>
      </c>
      <c r="M302" s="850"/>
      <c r="N302" s="850"/>
      <c r="O302" s="48">
        <f>IF(t&lt;Tnet,'2025'!Resal+('2025'!Salim-'2025'!Resal)*(1-EXP(('2025'!Tnet-t)/('2025'!Tau_j))),Resal+(Salim-Resal)*(1-EXP((Tnet-t)/(Tau_j))))*Salcycl</f>
        <v>8.7097623914321437E-2</v>
      </c>
      <c r="P302" s="169">
        <f>(INDEX(Models!$BJ302:$BT302,,T302)*(1-R302)+INDEX(Models!$BJ302:$BT302,,T302+1)*R302-ERP_i)*Q302*Ramure*Pc/MaxiM</f>
        <v>7.5320172605408148E-3</v>
      </c>
      <c r="Q302" s="305">
        <f t="shared" si="105"/>
        <v>0.7</v>
      </c>
      <c r="R302" s="177">
        <f t="shared" si="106"/>
        <v>0.97360611552656784</v>
      </c>
      <c r="S302" s="817">
        <f t="shared" si="107"/>
        <v>-2</v>
      </c>
      <c r="T302" s="176">
        <f t="shared" si="108"/>
        <v>4</v>
      </c>
      <c r="U302" s="251">
        <f t="shared" si="109"/>
        <v>-1.0263938844734322</v>
      </c>
      <c r="V302" s="383">
        <f t="shared" si="110"/>
        <v>22.376376245792802</v>
      </c>
      <c r="W302" s="402">
        <f t="shared" si="111"/>
        <v>21.985796668893816</v>
      </c>
      <c r="X302" s="157">
        <f t="shared" si="112"/>
        <v>46310</v>
      </c>
      <c r="Y302" s="385">
        <f t="shared" si="113"/>
        <v>19.996512223318692</v>
      </c>
      <c r="Z302" s="385">
        <f t="shared" si="114"/>
        <v>21.40187364798992</v>
      </c>
      <c r="AA302" s="386">
        <f t="shared" si="115"/>
        <v>24.543138384169861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0.12798952957890794</v>
      </c>
      <c r="AD302" s="231">
        <f>(INDEX(Models!$BJ302:$BT302,,AH302)*(1-AF302)+INDEX(Models!$BJ302:$BT302,,AH302+1)*AF302-ERP_i)*AE302*Ramure*Pc/MaxiM</f>
        <v>5.622451354137082E-2</v>
      </c>
      <c r="AE302" s="305">
        <f t="shared" si="117"/>
        <v>0.7</v>
      </c>
      <c r="AF302" s="177">
        <f t="shared" si="118"/>
        <v>0.59746948490262386</v>
      </c>
      <c r="AG302" s="817">
        <f t="shared" si="124"/>
        <v>1</v>
      </c>
      <c r="AH302" s="176">
        <f t="shared" si="119"/>
        <v>7</v>
      </c>
      <c r="AI302" s="225">
        <f t="shared" si="120"/>
        <v>1.5974694849026239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46311</v>
      </c>
      <c r="B303" s="411">
        <f>'2025'!Wh/'2025'!Env_an*'2026'!Env_an</f>
        <v>19.5616443116398</v>
      </c>
      <c r="C303" s="846"/>
      <c r="D303" s="393">
        <f t="shared" si="102"/>
        <v>20.936901649008743</v>
      </c>
      <c r="E303" s="385">
        <f t="shared" si="125"/>
        <v>22.935399083705068</v>
      </c>
      <c r="F303" s="385">
        <f t="shared" si="103"/>
        <v>23.092698828933639</v>
      </c>
      <c r="G303" s="110">
        <f t="shared" si="126"/>
        <v>0.88352164902408548</v>
      </c>
      <c r="H303" s="414" t="b">
        <f>Wh_hp&gt;='2025'!Maxi_hp</f>
        <v>0</v>
      </c>
      <c r="I303" s="390">
        <f>IF(H303,Wh_hp,'2025'!Maxi_hp)</f>
        <v>25.248209273651742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6.5685809697350939E-2</v>
      </c>
      <c r="M303" s="850"/>
      <c r="N303" s="850"/>
      <c r="O303" s="48">
        <f>IF(t&lt;Tnet,'2025'!Resal+('2025'!Salim-'2025'!Resal)*(1-EXP(('2025'!Tnet-t)/('2025'!Tau_j))),Resal+(Salim-Resal)*(1-EXP((Tnet-t)/(Tau_j))))*Salcycl</f>
        <v>8.7135934604957443E-2</v>
      </c>
      <c r="P303" s="169">
        <f>(INDEX(Models!$BJ303:$BT303,,T303)*(1-R303)+INDEX(Models!$BJ303:$BT303,,T303+1)*R303-ERP_i)*Q303*Ramure*Pc/MaxiM</f>
        <v>8.1546427311954255E-3</v>
      </c>
      <c r="Q303" s="305">
        <f t="shared" si="105"/>
        <v>0.7</v>
      </c>
      <c r="R303" s="177">
        <f t="shared" si="106"/>
        <v>0.97371410190120078</v>
      </c>
      <c r="S303" s="817">
        <f t="shared" si="107"/>
        <v>-2</v>
      </c>
      <c r="T303" s="176">
        <f t="shared" si="108"/>
        <v>4</v>
      </c>
      <c r="U303" s="251">
        <f t="shared" si="109"/>
        <v>-1.0262858980987992</v>
      </c>
      <c r="V303" s="383">
        <f t="shared" si="110"/>
        <v>22.110599462207805</v>
      </c>
      <c r="W303" s="402">
        <f t="shared" si="111"/>
        <v>19.5616443116398</v>
      </c>
      <c r="X303" s="157">
        <f t="shared" si="112"/>
        <v>46311</v>
      </c>
      <c r="Y303" s="385">
        <f t="shared" si="113"/>
        <v>17.8931722205661</v>
      </c>
      <c r="Z303" s="385">
        <f t="shared" si="114"/>
        <v>19.151129680231048</v>
      </c>
      <c r="AA303" s="386">
        <f t="shared" si="115"/>
        <v>21.961004186905839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0.12794836168512577</v>
      </c>
      <c r="AD303" s="231">
        <f>(INDEX(Models!$BJ303:$BT303,,AH303)*(1-AF303)+INDEX(Models!$BJ303:$BT303,,AH303+1)*AF303-ERP_i)*AE303*Ramure*Pc/MaxiM</f>
        <v>5.8668661370906039E-2</v>
      </c>
      <c r="AE303" s="305">
        <f t="shared" si="117"/>
        <v>0.7</v>
      </c>
      <c r="AF303" s="177">
        <f t="shared" si="118"/>
        <v>0.5975774712772568</v>
      </c>
      <c r="AG303" s="817">
        <f t="shared" si="124"/>
        <v>1</v>
      </c>
      <c r="AH303" s="176">
        <f t="shared" si="119"/>
        <v>7</v>
      </c>
      <c r="AI303" s="225">
        <f t="shared" si="120"/>
        <v>1.5975774712772568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46312</v>
      </c>
      <c r="B304" s="411">
        <f>'2025'!Wh/'2025'!Env_an*'2026'!Env_an</f>
        <v>11.519720079446159</v>
      </c>
      <c r="C304" s="846"/>
      <c r="D304" s="393">
        <f t="shared" si="102"/>
        <v>12.329869883144177</v>
      </c>
      <c r="E304" s="385">
        <f t="shared" si="125"/>
        <v>13.507344615023603</v>
      </c>
      <c r="F304" s="385">
        <f t="shared" si="103"/>
        <v>13.546104258087693</v>
      </c>
      <c r="G304" s="110">
        <f t="shared" si="126"/>
        <v>0.52429015336351759</v>
      </c>
      <c r="H304" s="414" t="b">
        <f>Wh_hp&gt;='2025'!Maxi_hp</f>
        <v>0</v>
      </c>
      <c r="I304" s="390">
        <f>IF(H304,Wh_hp,'2025'!Maxi_hp)</f>
        <v>23.457499941196161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6.5706273575972696E-2</v>
      </c>
      <c r="M304" s="850"/>
      <c r="N304" s="850"/>
      <c r="O304" s="48">
        <f>IF(t&lt;Tnet,'2025'!Resal+('2025'!Salim-'2025'!Resal)*(1-EXP(('2025'!Tnet-t)/('2025'!Tau_j))),Resal+(Salim-Resal)*(1-EXP((Tnet-t)/(Tau_j))))*Salcycl</f>
        <v>8.7172924467313492E-2</v>
      </c>
      <c r="P304" s="169">
        <f>(INDEX(Models!$BJ304:$BT304,,T304)*(1-R304)+INDEX(Models!$BJ304:$BT304,,T304+1)*R304-ERP_i)*Q304*Ramure*Pc/MaxiM</f>
        <v>8.806560453289175E-3</v>
      </c>
      <c r="Q304" s="305">
        <f t="shared" si="105"/>
        <v>0.7</v>
      </c>
      <c r="R304" s="177">
        <f t="shared" si="106"/>
        <v>0.97381778446644551</v>
      </c>
      <c r="S304" s="817">
        <f t="shared" si="107"/>
        <v>-2</v>
      </c>
      <c r="T304" s="176">
        <f t="shared" si="108"/>
        <v>4</v>
      </c>
      <c r="U304" s="251">
        <f t="shared" si="109"/>
        <v>-1.0261822155335545</v>
      </c>
      <c r="V304" s="383">
        <f t="shared" si="110"/>
        <v>21.841028086830356</v>
      </c>
      <c r="W304" s="402">
        <f t="shared" si="111"/>
        <v>11.519720079446159</v>
      </c>
      <c r="X304" s="157">
        <f t="shared" si="112"/>
        <v>46312</v>
      </c>
      <c r="Y304" s="385">
        <f t="shared" si="113"/>
        <v>10.818426946501516</v>
      </c>
      <c r="Z304" s="385">
        <f t="shared" si="114"/>
        <v>11.579256758908809</v>
      </c>
      <c r="AA304" s="386">
        <f t="shared" si="115"/>
        <v>13.277525280392256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0.12790550088361616</v>
      </c>
      <c r="AD304" s="231">
        <f>(INDEX(Models!$BJ304:$BT304,,AH304)*(1-AF304)+INDEX(Models!$BJ304:$BT304,,AH304+1)*AF304-ERP_i)*AE304*Ramure*Pc/MaxiM</f>
        <v>6.1023704466176498E-2</v>
      </c>
      <c r="AE304" s="305">
        <f t="shared" si="117"/>
        <v>0.7</v>
      </c>
      <c r="AF304" s="177">
        <f t="shared" si="118"/>
        <v>0.59768115384250153</v>
      </c>
      <c r="AG304" s="817">
        <f t="shared" si="124"/>
        <v>1</v>
      </c>
      <c r="AH304" s="176">
        <f t="shared" si="119"/>
        <v>7</v>
      </c>
      <c r="AI304" s="225">
        <f t="shared" si="120"/>
        <v>1.5976811538425015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46313</v>
      </c>
      <c r="B305" s="411">
        <f>'2025'!Wh/'2025'!Env_an*'2026'!Env_an</f>
        <v>19.781815915075107</v>
      </c>
      <c r="C305" s="846"/>
      <c r="D305" s="393">
        <f t="shared" si="102"/>
        <v>21.173479643086239</v>
      </c>
      <c r="E305" s="385">
        <f t="shared" si="125"/>
        <v>23.196406418534508</v>
      </c>
      <c r="F305" s="385">
        <f t="shared" si="103"/>
        <v>23.391957434189056</v>
      </c>
      <c r="G305" s="110">
        <f t="shared" si="126"/>
        <v>0.91614191491401187</v>
      </c>
      <c r="H305" s="414" t="b">
        <f>Wh_hp&gt;='2025'!Maxi_hp</f>
        <v>0</v>
      </c>
      <c r="I305" s="390">
        <f>IF(H305,Wh_hp,'2025'!Maxi_hp)</f>
        <v>25.579002164286386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6.5726737006382985E-2</v>
      </c>
      <c r="M305" s="850"/>
      <c r="N305" s="850"/>
      <c r="O305" s="48">
        <f>IF(t&lt;Tnet,'2025'!Resal+('2025'!Salim-'2025'!Resal)*(1-EXP(('2025'!Tnet-t)/('2025'!Tau_j))),Resal+(Salim-Resal)*(1-EXP((Tnet-t)/(Tau_j))))*Salcycl</f>
        <v>8.72086278774587E-2</v>
      </c>
      <c r="P305" s="169">
        <f>(INDEX(Models!$BJ305:$BT305,,T305)*(1-R305)+INDEX(Models!$BJ305:$BT305,,T305+1)*R305-ERP_i)*Q305*Ramure*Pc/MaxiM</f>
        <v>9.4815658315918171E-3</v>
      </c>
      <c r="Q305" s="305">
        <f t="shared" si="105"/>
        <v>0.7</v>
      </c>
      <c r="R305" s="177">
        <f t="shared" si="106"/>
        <v>0.97391733305688621</v>
      </c>
      <c r="S305" s="817">
        <f t="shared" si="107"/>
        <v>-2</v>
      </c>
      <c r="T305" s="176">
        <f t="shared" si="108"/>
        <v>4</v>
      </c>
      <c r="U305" s="251">
        <f t="shared" si="109"/>
        <v>-1.0260826669431138</v>
      </c>
      <c r="V305" s="383">
        <f t="shared" si="110"/>
        <v>21.568096649769277</v>
      </c>
      <c r="W305" s="402">
        <f t="shared" si="111"/>
        <v>19.781815915075107</v>
      </c>
      <c r="X305" s="157">
        <f t="shared" si="112"/>
        <v>46313</v>
      </c>
      <c r="Y305" s="385">
        <f t="shared" si="113"/>
        <v>17.996091483237297</v>
      </c>
      <c r="Z305" s="385">
        <f t="shared" si="114"/>
        <v>19.262128325896711</v>
      </c>
      <c r="AA305" s="386">
        <f t="shared" si="115"/>
        <v>22.086076123264387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0.12786100082273405</v>
      </c>
      <c r="AD305" s="231">
        <f>(INDEX(Models!$BJ305:$BT305,,AH305)*(1-AF305)+INDEX(Models!$BJ305:$BT305,,AH305+1)*AF305-ERP_i)*AE305*Ramure*Pc/MaxiM</f>
        <v>6.3317490713783092E-2</v>
      </c>
      <c r="AE305" s="305">
        <f t="shared" si="117"/>
        <v>0.7</v>
      </c>
      <c r="AF305" s="177">
        <f t="shared" si="118"/>
        <v>0.59778070243294223</v>
      </c>
      <c r="AG305" s="817">
        <f t="shared" si="124"/>
        <v>1</v>
      </c>
      <c r="AH305" s="176">
        <f t="shared" si="119"/>
        <v>7</v>
      </c>
      <c r="AI305" s="225">
        <f t="shared" si="120"/>
        <v>1.5977807024329422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46314</v>
      </c>
      <c r="B306" s="411">
        <f>'2025'!Wh/'2025'!Env_an*'2026'!Env_an</f>
        <v>9.23922516480126</v>
      </c>
      <c r="C306" s="846"/>
      <c r="D306" s="393">
        <f t="shared" si="102"/>
        <v>9.8894273206228966</v>
      </c>
      <c r="E306" s="385">
        <f t="shared" si="125"/>
        <v>10.834678046121795</v>
      </c>
      <c r="F306" s="385">
        <f t="shared" si="103"/>
        <v>10.855822900362158</v>
      </c>
      <c r="G306" s="110">
        <f t="shared" si="126"/>
        <v>0.43034838819885735</v>
      </c>
      <c r="H306" s="414" t="b">
        <f>Wh_hp&gt;='2025'!Maxi_hp</f>
        <v>0</v>
      </c>
      <c r="I306" s="390">
        <f>IF(H306,Wh_hp,'2025'!Maxi_hp)</f>
        <v>24.959587812927008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6.5747199988591687E-2</v>
      </c>
      <c r="M306" s="850"/>
      <c r="N306" s="850"/>
      <c r="O306" s="48">
        <f>IF(t&lt;Tnet,'2025'!Resal+('2025'!Salim-'2025'!Resal)*(1-EXP(('2025'!Tnet-t)/('2025'!Tau_j))),Resal+(Salim-Resal)*(1-EXP((Tnet-t)/(Tau_j))))*Salcycl</f>
        <v>8.7243083871536328E-2</v>
      </c>
      <c r="P306" s="169">
        <f>(INDEX(Models!$BJ306:$BT306,,T306)*(1-R306)+INDEX(Models!$BJ306:$BT306,,T306+1)*R306-ERP_i)*Q306*Ramure*Pc/MaxiM</f>
        <v>1.0180506049097262E-2</v>
      </c>
      <c r="Q306" s="305">
        <f t="shared" si="105"/>
        <v>0.7</v>
      </c>
      <c r="R306" s="177">
        <f t="shared" si="106"/>
        <v>0.97401291093831621</v>
      </c>
      <c r="S306" s="817">
        <f t="shared" si="107"/>
        <v>-2</v>
      </c>
      <c r="T306" s="176">
        <f t="shared" si="108"/>
        <v>4</v>
      </c>
      <c r="U306" s="251">
        <f t="shared" si="109"/>
        <v>-1.0259870890616838</v>
      </c>
      <c r="V306" s="383">
        <f t="shared" si="110"/>
        <v>21.292081126471622</v>
      </c>
      <c r="W306" s="402">
        <f t="shared" si="111"/>
        <v>9.23922516480126</v>
      </c>
      <c r="X306" s="157">
        <f t="shared" si="112"/>
        <v>46314</v>
      </c>
      <c r="Y306" s="385">
        <f t="shared" si="113"/>
        <v>8.7348377569865718</v>
      </c>
      <c r="Z306" s="385">
        <f t="shared" si="114"/>
        <v>9.3495441029236517</v>
      </c>
      <c r="AA306" s="386">
        <f t="shared" si="115"/>
        <v>10.719679041351139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0.12781492180336687</v>
      </c>
      <c r="AD306" s="231">
        <f>(INDEX(Models!$BJ306:$BT306,,AH306)*(1-AF306)+INDEX(Models!$BJ306:$BT306,,AH306+1)*AF306-ERP_i)*AE306*Ramure*Pc/MaxiM</f>
        <v>6.5548495366942669E-2</v>
      </c>
      <c r="AE306" s="305">
        <f t="shared" si="117"/>
        <v>0.7</v>
      </c>
      <c r="AF306" s="177">
        <f t="shared" si="118"/>
        <v>0.59787628031437223</v>
      </c>
      <c r="AG306" s="817">
        <f t="shared" si="124"/>
        <v>1</v>
      </c>
      <c r="AH306" s="176">
        <f t="shared" si="119"/>
        <v>7</v>
      </c>
      <c r="AI306" s="225">
        <f t="shared" si="120"/>
        <v>1.5978762803143722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46315</v>
      </c>
      <c r="B307" s="411">
        <f>'2025'!Wh/'2025'!Env_an*'2026'!Env_an</f>
        <v>4.4807764616630577</v>
      </c>
      <c r="C307" s="846"/>
      <c r="D307" s="393">
        <f t="shared" si="102"/>
        <v>4.7962121218818261</v>
      </c>
      <c r="E307" s="385">
        <f t="shared" si="125"/>
        <v>5.2548348549772346</v>
      </c>
      <c r="F307" s="385">
        <f t="shared" si="103"/>
        <v>5.2548348549772346</v>
      </c>
      <c r="G307" s="110">
        <f t="shared" si="126"/>
        <v>0.21091051531355517</v>
      </c>
      <c r="H307" s="414" t="b">
        <f>Wh_hp&gt;='2025'!Maxi_hp</f>
        <v>0</v>
      </c>
      <c r="I307" s="390">
        <f>IF(H307,Wh_hp,'2025'!Maxi_hp)</f>
        <v>20.300420803339481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6.5767662522608572E-2</v>
      </c>
      <c r="M307" s="850"/>
      <c r="N307" s="850"/>
      <c r="O307" s="48">
        <f>IF(t&lt;Tnet,'2025'!Resal+('2025'!Salim-'2025'!Resal)*(1-EXP(('2025'!Tnet-t)/('2025'!Tau_j))),Resal+(Salim-Resal)*(1-EXP((Tnet-t)/(Tau_j))))*Salcycl</f>
        <v>8.7276336127102686E-2</v>
      </c>
      <c r="P307" s="169">
        <f>(INDEX(Models!$BJ307:$BT307,,T307)*(1-R307)+INDEX(Models!$BJ307:$BT307,,T307+1)*R307-ERP_i)*Q307*Ramure*Pc/MaxiM</f>
        <v>1.0904256500676564E-2</v>
      </c>
      <c r="Q307" s="305">
        <f t="shared" si="105"/>
        <v>0.7</v>
      </c>
      <c r="R307" s="177">
        <f t="shared" si="106"/>
        <v>0.9741046750513096</v>
      </c>
      <c r="S307" s="817">
        <f t="shared" si="107"/>
        <v>-2</v>
      </c>
      <c r="T307" s="176">
        <f t="shared" si="108"/>
        <v>4</v>
      </c>
      <c r="U307" s="251">
        <f t="shared" si="109"/>
        <v>-1.0258953249486904</v>
      </c>
      <c r="V307" s="383">
        <f t="shared" si="110"/>
        <v>21.013257301154823</v>
      </c>
      <c r="W307" s="402">
        <f t="shared" si="111"/>
        <v>4.4807764616630577</v>
      </c>
      <c r="X307" s="157">
        <f t="shared" si="112"/>
        <v>46315</v>
      </c>
      <c r="Y307" s="385">
        <f t="shared" si="113"/>
        <v>4.2819965869917391</v>
      </c>
      <c r="Z307" s="385">
        <f t="shared" si="114"/>
        <v>4.5834386321436495</v>
      </c>
      <c r="AA307" s="386">
        <f t="shared" si="115"/>
        <v>5.2548348549772346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0.12776733072736959</v>
      </c>
      <c r="AD307" s="231">
        <f>(INDEX(Models!$BJ307:$BT307,,AH307)*(1-AF307)+INDEX(Models!$BJ307:$BT307,,AH307+1)*AF307-ERP_i)*AE307*Ramure*Pc/MaxiM</f>
        <v>6.7715018074447658E-2</v>
      </c>
      <c r="AE307" s="305">
        <f t="shared" si="117"/>
        <v>0.7</v>
      </c>
      <c r="AF307" s="177">
        <f t="shared" si="118"/>
        <v>0.59796804442736562</v>
      </c>
      <c r="AG307" s="817">
        <f t="shared" si="124"/>
        <v>1</v>
      </c>
      <c r="AH307" s="176">
        <f t="shared" si="119"/>
        <v>7</v>
      </c>
      <c r="AI307" s="225">
        <f t="shared" si="120"/>
        <v>1.5979680444273656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46316</v>
      </c>
      <c r="B308" s="411">
        <f>'2025'!Wh/'2025'!Env_an*'2026'!Env_an</f>
        <v>9.6194988707472486</v>
      </c>
      <c r="C308" s="846"/>
      <c r="D308" s="393">
        <f t="shared" si="102"/>
        <v>10.296913499108994</v>
      </c>
      <c r="E308" s="385">
        <f t="shared" si="125"/>
        <v>11.281920278935356</v>
      </c>
      <c r="F308" s="385">
        <f t="shared" si="103"/>
        <v>11.312806703676953</v>
      </c>
      <c r="G308" s="110">
        <f t="shared" si="126"/>
        <v>0.45984323104340791</v>
      </c>
      <c r="H308" s="414" t="b">
        <f>Wh_hp&gt;='2025'!Maxi_hp</f>
        <v>0</v>
      </c>
      <c r="I308" s="390">
        <f>IF(H308,Wh_hp,'2025'!Maxi_hp)</f>
        <v>15.02935928669431</v>
      </c>
      <c r="J308" s="85">
        <f>IF(H308,An,'2025'!An_max)</f>
        <v>2019</v>
      </c>
      <c r="K308" s="197">
        <f t="shared" si="104"/>
        <v>46316</v>
      </c>
      <c r="L308" s="147">
        <f>IF(t&lt;Tvie,1-EXP((T0-t)*PertePVj)+'2025'!Pspv,1-EXP((T0-t)*PertePVj)+Pspv)</f>
        <v>6.578812460844341E-2</v>
      </c>
      <c r="M308" s="850"/>
      <c r="N308" s="850"/>
      <c r="O308" s="48">
        <f>IF(t&lt;Tnet,'2025'!Resal+('2025'!Salim-'2025'!Resal)*(1-EXP(('2025'!Tnet-t)/('2025'!Tau_j))),Resal+(Salim-Resal)*(1-EXP((Tnet-t)/(Tau_j))))*Salcycl</f>
        <v>8.7308432915049361E-2</v>
      </c>
      <c r="P308" s="169">
        <f>(INDEX(Models!$BJ308:$BT308,,T308)*(1-R308)+INDEX(Models!$BJ308:$BT308,,T308+1)*R308-ERP_i)*Q308*Ramure*Pc/MaxiM</f>
        <v>1.165372142316537E-2</v>
      </c>
      <c r="Q308" s="305">
        <f t="shared" si="105"/>
        <v>0.7</v>
      </c>
      <c r="R308" s="177">
        <f t="shared" si="106"/>
        <v>0.97419277624659495</v>
      </c>
      <c r="S308" s="817">
        <f t="shared" si="107"/>
        <v>-2</v>
      </c>
      <c r="T308" s="176">
        <f t="shared" si="108"/>
        <v>4</v>
      </c>
      <c r="U308" s="251">
        <f t="shared" si="109"/>
        <v>-1.0258072237534051</v>
      </c>
      <c r="V308" s="383">
        <f t="shared" si="110"/>
        <v>20.731900766113728</v>
      </c>
      <c r="W308" s="402">
        <f t="shared" si="111"/>
        <v>9.6194988707472486</v>
      </c>
      <c r="X308" s="157">
        <f t="shared" si="112"/>
        <v>46316</v>
      </c>
      <c r="Y308" s="385">
        <f t="shared" si="113"/>
        <v>9.0679761376460952</v>
      </c>
      <c r="Z308" s="385">
        <f t="shared" si="114"/>
        <v>9.7065519894461101</v>
      </c>
      <c r="AA308" s="386">
        <f t="shared" si="115"/>
        <v>11.127772141283048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0.12771830100333714</v>
      </c>
      <c r="AD308" s="231">
        <f>(INDEX(Models!$BJ308:$BT308,,AH308)*(1-AF308)+INDEX(Models!$BJ308:$BT308,,AH308+1)*AF308-ERP_i)*AE308*Ramure*Pc/MaxiM</f>
        <v>6.9815178086693797E-2</v>
      </c>
      <c r="AE308" s="305">
        <f t="shared" si="117"/>
        <v>0.7</v>
      </c>
      <c r="AF308" s="177">
        <f t="shared" si="118"/>
        <v>0.59805614562265097</v>
      </c>
      <c r="AG308" s="817">
        <f t="shared" si="124"/>
        <v>1</v>
      </c>
      <c r="AH308" s="176">
        <f t="shared" si="119"/>
        <v>7</v>
      </c>
      <c r="AI308" s="225">
        <f t="shared" si="120"/>
        <v>1.598056145622651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46317</v>
      </c>
      <c r="B309" s="411">
        <f>'2025'!Wh/'2025'!Env_an*'2026'!Env_an</f>
        <v>18.756592536373311</v>
      </c>
      <c r="C309" s="846"/>
      <c r="D309" s="393">
        <f t="shared" si="102"/>
        <v>20.077890098564534</v>
      </c>
      <c r="E309" s="385">
        <f t="shared" si="125"/>
        <v>21.999296006667198</v>
      </c>
      <c r="F309" s="385">
        <f t="shared" si="103"/>
        <v>22.243098133215739</v>
      </c>
      <c r="G309" s="110">
        <f t="shared" si="126"/>
        <v>0.91590719323314285</v>
      </c>
      <c r="H309" s="414" t="b">
        <f>Wh_hp&gt;='2025'!Maxi_hp</f>
        <v>0</v>
      </c>
      <c r="I309" s="390">
        <f>IF(H309,Wh_hp,'2025'!Maxi_hp)</f>
        <v>22.26018920017524</v>
      </c>
      <c r="J309" s="85">
        <f>IF(H309,An,'2025'!An_max)</f>
        <v>2025</v>
      </c>
      <c r="K309" s="197">
        <f t="shared" si="104"/>
        <v>46317</v>
      </c>
      <c r="L309" s="147">
        <f>IF(t&lt;Tvie,1-EXP((T0-t)*PertePVj)+'2025'!Pspv,1-EXP((T0-t)*PertePVj)+Pspv)</f>
        <v>6.5808586246106082E-2</v>
      </c>
      <c r="M309" s="850"/>
      <c r="N309" s="850"/>
      <c r="O309" s="48">
        <f>IF(t&lt;Tnet,'2025'!Resal+('2025'!Salim-'2025'!Resal)*(1-EXP(('2025'!Tnet-t)/('2025'!Tau_j))),Resal+(Salim-Resal)*(1-EXP((Tnet-t)/(Tau_j))))*Salcycl</f>
        <v>8.7339427021680877E-2</v>
      </c>
      <c r="P309" s="169">
        <f>(INDEX(Models!$BJ309:$BT309,,T309)*(1-R309)+INDEX(Models!$BJ309:$BT309,,T309+1)*R309-ERP_i)*Q309*Ramure*Pc/MaxiM</f>
        <v>1.2429834404021092E-2</v>
      </c>
      <c r="Q309" s="305">
        <f t="shared" si="105"/>
        <v>0.7</v>
      </c>
      <c r="R309" s="177">
        <f t="shared" si="106"/>
        <v>0.97427735951244077</v>
      </c>
      <c r="S309" s="817">
        <f t="shared" si="107"/>
        <v>-2</v>
      </c>
      <c r="T309" s="176">
        <f t="shared" si="108"/>
        <v>4</v>
      </c>
      <c r="U309" s="251">
        <f t="shared" si="109"/>
        <v>-1.0257226404875592</v>
      </c>
      <c r="V309" s="383">
        <f t="shared" si="110"/>
        <v>20.448286915157521</v>
      </c>
      <c r="W309" s="402">
        <f t="shared" si="111"/>
        <v>18.756592536373311</v>
      </c>
      <c r="X309" s="157">
        <f t="shared" si="112"/>
        <v>46317</v>
      </c>
      <c r="Y309" s="385">
        <f t="shared" si="113"/>
        <v>16.978047388363894</v>
      </c>
      <c r="Z309" s="385">
        <f t="shared" si="114"/>
        <v>18.174056342629413</v>
      </c>
      <c r="AA309" s="386">
        <f t="shared" si="115"/>
        <v>20.833873476813945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0.12766791240931008</v>
      </c>
      <c r="AD309" s="231">
        <f>(INDEX(Models!$BJ309:$BT309,,AH309)*(1-AF309)+INDEX(Models!$BJ309:$BT309,,AH309+1)*AF309-ERP_i)*AE309*Ramure*Pc/MaxiM</f>
        <v>7.1846908659552941E-2</v>
      </c>
      <c r="AE309" s="305">
        <f t="shared" si="117"/>
        <v>0.7</v>
      </c>
      <c r="AF309" s="177">
        <f t="shared" si="118"/>
        <v>0.59814072888849679</v>
      </c>
      <c r="AG309" s="817">
        <f t="shared" si="124"/>
        <v>1</v>
      </c>
      <c r="AH309" s="176">
        <f t="shared" si="119"/>
        <v>7</v>
      </c>
      <c r="AI309" s="225">
        <f t="shared" si="120"/>
        <v>1.5981407288884968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46318</v>
      </c>
      <c r="B310" s="411">
        <f>'2025'!Wh/'2025'!Env_an*'2026'!Env_an</f>
        <v>12.153597664633947</v>
      </c>
      <c r="C310" s="846"/>
      <c r="D310" s="393">
        <f t="shared" si="102"/>
        <v>13.01003593750276</v>
      </c>
      <c r="E310" s="385">
        <f t="shared" si="125"/>
        <v>14.255532950844332</v>
      </c>
      <c r="F310" s="385">
        <f t="shared" si="103"/>
        <v>14.337466255013855</v>
      </c>
      <c r="G310" s="110">
        <f t="shared" si="126"/>
        <v>0.59821828548325173</v>
      </c>
      <c r="H310" s="414" t="b">
        <f>Wh_hp&gt;='2025'!Maxi_hp</f>
        <v>0</v>
      </c>
      <c r="I310" s="390">
        <f>IF(H310,Wh_hp,'2025'!Maxi_hp)</f>
        <v>23.868421011205619</v>
      </c>
      <c r="J310" s="85">
        <f>IF(H310,An,'2025'!An_max)</f>
        <v>2018</v>
      </c>
      <c r="K310" s="197">
        <f t="shared" si="104"/>
        <v>46318</v>
      </c>
      <c r="L310" s="147">
        <f>IF(t&lt;Tvie,1-EXP((T0-t)*PertePVj)+'2025'!Pspv,1-EXP((T0-t)*PertePVj)+Pspv)</f>
        <v>6.5829047435606358E-2</v>
      </c>
      <c r="M310" s="850"/>
      <c r="N310" s="850"/>
      <c r="O310" s="48">
        <f>IF(t&lt;Tnet,'2025'!Resal+('2025'!Salim-'2025'!Resal)*(1-EXP(('2025'!Tnet-t)/('2025'!Tau_j))),Resal+(Salim-Resal)*(1-EXP((Tnet-t)/(Tau_j))))*Salcycl</f>
        <v>8.7369375640761512E-2</v>
      </c>
      <c r="P310" s="169">
        <f>(INDEX(Models!$BJ310:$BT310,,T310)*(1-R310)+INDEX(Models!$BJ310:$BT310,,T310+1)*R310-ERP_i)*Q310*Ramure*Pc/MaxiM</f>
        <v>1.3212419656541779E-2</v>
      </c>
      <c r="Q310" s="305">
        <f t="shared" si="105"/>
        <v>0.7</v>
      </c>
      <c r="R310" s="177">
        <f t="shared" si="106"/>
        <v>0.97435856419426248</v>
      </c>
      <c r="S310" s="817">
        <f t="shared" si="107"/>
        <v>-2</v>
      </c>
      <c r="T310" s="176">
        <f t="shared" si="108"/>
        <v>4</v>
      </c>
      <c r="U310" s="251">
        <f t="shared" si="109"/>
        <v>-1.0256414358057375</v>
      </c>
      <c r="V310" s="383">
        <f t="shared" si="110"/>
        <v>20.163122877018239</v>
      </c>
      <c r="W310" s="402">
        <f t="shared" si="111"/>
        <v>12.153597664633947</v>
      </c>
      <c r="X310" s="157">
        <f t="shared" si="112"/>
        <v>46318</v>
      </c>
      <c r="Y310" s="385">
        <f t="shared" si="113"/>
        <v>11.311778491695321</v>
      </c>
      <c r="Z310" s="385">
        <f t="shared" si="114"/>
        <v>12.108895551337094</v>
      </c>
      <c r="AA310" s="386">
        <f t="shared" si="115"/>
        <v>13.880239704145019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0.12761625091236387</v>
      </c>
      <c r="AD310" s="231">
        <f>(INDEX(Models!$BJ310:$BT310,,AH310)*(1-AF310)+INDEX(Models!$BJ310:$BT310,,AH310+1)*AF310-ERP_i)*AE310*Ramure*Pc/MaxiM</f>
        <v>7.373154457060567E-2</v>
      </c>
      <c r="AE310" s="305">
        <f t="shared" si="117"/>
        <v>0.7</v>
      </c>
      <c r="AF310" s="177">
        <f t="shared" si="118"/>
        <v>0.5982219335703185</v>
      </c>
      <c r="AG310" s="817">
        <f t="shared" si="124"/>
        <v>1</v>
      </c>
      <c r="AH310" s="176">
        <f t="shared" si="119"/>
        <v>7</v>
      </c>
      <c r="AI310" s="225">
        <f t="shared" si="120"/>
        <v>1.5982219335703185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46319</v>
      </c>
      <c r="B311" s="411">
        <f>'2025'!Wh/'2025'!Env_an*'2026'!Env_an</f>
        <v>14.820198291637064</v>
      </c>
      <c r="C311" s="846"/>
      <c r="D311" s="393">
        <f t="shared" si="102"/>
        <v>15.864893741815234</v>
      </c>
      <c r="E311" s="385">
        <f t="shared" si="125"/>
        <v>17.384248178894168</v>
      </c>
      <c r="F311" s="385">
        <f t="shared" si="103"/>
        <v>17.540572594972552</v>
      </c>
      <c r="G311" s="110">
        <f t="shared" si="126"/>
        <v>0.74177834174381041</v>
      </c>
      <c r="H311" s="414" t="b">
        <f>Wh_hp&gt;='2025'!Maxi_hp</f>
        <v>0</v>
      </c>
      <c r="I311" s="390">
        <f>IF(H311,Wh_hp,'2025'!Maxi_hp)</f>
        <v>24.436721996898605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6.5849508176954008E-2</v>
      </c>
      <c r="M311" s="850"/>
      <c r="N311" s="850"/>
      <c r="O311" s="48">
        <f>IF(t&lt;Tnet,'2025'!Resal+('2025'!Salim-'2025'!Resal)*(1-EXP(('2025'!Tnet-t)/('2025'!Tau_j))),Resal+(Salim-Resal)*(1-EXP((Tnet-t)/(Tau_j))))*Salcycl</f>
        <v>8.7398340235590427E-2</v>
      </c>
      <c r="P311" s="169">
        <f>(INDEX(Models!$BJ311:$BT311,,T311)*(1-R311)+INDEX(Models!$BJ311:$BT311,,T311+1)*R311-ERP_i)*Q311*Ramure*Pc/MaxiM</f>
        <v>1.4000064411214609E-2</v>
      </c>
      <c r="Q311" s="305">
        <f t="shared" si="105"/>
        <v>0.7</v>
      </c>
      <c r="R311" s="177">
        <f t="shared" si="106"/>
        <v>0.97443652420665527</v>
      </c>
      <c r="S311" s="817">
        <f t="shared" si="107"/>
        <v>-2</v>
      </c>
      <c r="T311" s="176">
        <f t="shared" si="108"/>
        <v>4</v>
      </c>
      <c r="U311" s="251">
        <f t="shared" si="109"/>
        <v>-1.0255634757933447</v>
      </c>
      <c r="V311" s="383">
        <f t="shared" si="110"/>
        <v>19.8767147529095</v>
      </c>
      <c r="W311" s="402">
        <f t="shared" si="111"/>
        <v>14.820198291637064</v>
      </c>
      <c r="X311" s="157">
        <f t="shared" si="112"/>
        <v>46319</v>
      </c>
      <c r="Y311" s="385">
        <f t="shared" si="113"/>
        <v>13.608046893684897</v>
      </c>
      <c r="Z311" s="385">
        <f t="shared" si="114"/>
        <v>14.567296182789612</v>
      </c>
      <c r="AA311" s="386">
        <f t="shared" si="115"/>
        <v>16.697254933830607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0.12756340844538747</v>
      </c>
      <c r="AD311" s="231">
        <f>(INDEX(Models!$BJ311:$BT311,,AH311)*(1-AF311)+INDEX(Models!$BJ311:$BT311,,AH311+1)*AF311-ERP_i)*AE311*Ramure*Pc/MaxiM</f>
        <v>7.5525640020187787E-2</v>
      </c>
      <c r="AE311" s="305">
        <f t="shared" si="117"/>
        <v>0.7</v>
      </c>
      <c r="AF311" s="177">
        <f t="shared" si="118"/>
        <v>0.5982998935827113</v>
      </c>
      <c r="AG311" s="817">
        <f t="shared" si="124"/>
        <v>1</v>
      </c>
      <c r="AH311" s="176">
        <f t="shared" si="119"/>
        <v>7</v>
      </c>
      <c r="AI311" s="225">
        <f t="shared" si="120"/>
        <v>1.5982998935827113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46320</v>
      </c>
      <c r="B312" s="411">
        <f>'2025'!Wh/'2025'!Env_an*'2026'!Env_an</f>
        <v>12.881810989019199</v>
      </c>
      <c r="C312" s="846"/>
      <c r="D312" s="393">
        <f t="shared" si="102"/>
        <v>13.790168985277599</v>
      </c>
      <c r="E312" s="385">
        <f t="shared" si="125"/>
        <v>15.111294890989623</v>
      </c>
      <c r="F312" s="385">
        <f t="shared" si="103"/>
        <v>15.226361086413855</v>
      </c>
      <c r="G312" s="110">
        <f t="shared" si="126"/>
        <v>0.65279857084199067</v>
      </c>
      <c r="H312" s="414" t="b">
        <f>Wh_hp&gt;='2025'!Maxi_hp</f>
        <v>0</v>
      </c>
      <c r="I312" s="390">
        <f>IF(H312,Wh_hp,'2025'!Maxi_hp)</f>
        <v>22.975160579894975</v>
      </c>
      <c r="J312" s="85">
        <f>IF(H312,An,'2025'!An_max)</f>
        <v>2018</v>
      </c>
      <c r="K312" s="197">
        <f t="shared" si="104"/>
        <v>46320</v>
      </c>
      <c r="L312" s="147">
        <f>IF(t&lt;Tvie,1-EXP((T0-t)*PertePVj)+'2025'!Pspv,1-EXP((T0-t)*PertePVj)+Pspv)</f>
        <v>6.5869968470159024E-2</v>
      </c>
      <c r="M312" s="850"/>
      <c r="N312" s="850"/>
      <c r="O312" s="48">
        <f>IF(t&lt;Tnet,'2025'!Resal+('2025'!Salim-'2025'!Resal)*(1-EXP(('2025'!Tnet-t)/('2025'!Tau_j))),Resal+(Salim-Resal)*(1-EXP((Tnet-t)/(Tau_j))))*Salcycl</f>
        <v>8.7426386371413256E-2</v>
      </c>
      <c r="P312" s="169">
        <f>(INDEX(Models!$BJ312:$BT312,,T312)*(1-R312)+INDEX(Models!$BJ312:$BT312,,T312+1)*R312-ERP_i)*Q312*Ramure*Pc/MaxiM</f>
        <v>1.4793141035547814E-2</v>
      </c>
      <c r="Q312" s="305">
        <f t="shared" si="105"/>
        <v>0.7</v>
      </c>
      <c r="R312" s="177">
        <f t="shared" si="106"/>
        <v>0.9745113682380635</v>
      </c>
      <c r="S312" s="817">
        <f t="shared" si="107"/>
        <v>-2</v>
      </c>
      <c r="T312" s="176">
        <f t="shared" si="108"/>
        <v>4</v>
      </c>
      <c r="U312" s="251">
        <f t="shared" si="109"/>
        <v>-1.0254886317619365</v>
      </c>
      <c r="V312" s="383">
        <f t="shared" si="110"/>
        <v>19.589330717457159</v>
      </c>
      <c r="W312" s="402">
        <f t="shared" si="111"/>
        <v>12.881810989019199</v>
      </c>
      <c r="X312" s="157">
        <f t="shared" si="112"/>
        <v>46320</v>
      </c>
      <c r="Y312" s="385">
        <f t="shared" si="113"/>
        <v>11.9202040541616</v>
      </c>
      <c r="Z312" s="385">
        <f t="shared" si="114"/>
        <v>12.760754554309397</v>
      </c>
      <c r="AA312" s="386">
        <f t="shared" si="115"/>
        <v>14.625665609462764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0.12750948264171821</v>
      </c>
      <c r="AD312" s="231">
        <f>(INDEX(Models!$BJ312:$BT312,,AH312)*(1-AF312)+INDEX(Models!$BJ312:$BT312,,AH312+1)*AF312-ERP_i)*AE312*Ramure*Pc/MaxiM</f>
        <v>7.7226616185501737E-2</v>
      </c>
      <c r="AE312" s="305">
        <f t="shared" si="117"/>
        <v>0.7</v>
      </c>
      <c r="AF312" s="177">
        <f t="shared" si="118"/>
        <v>0.59837473761411952</v>
      </c>
      <c r="AG312" s="817">
        <f t="shared" si="124"/>
        <v>1</v>
      </c>
      <c r="AH312" s="176">
        <f t="shared" si="119"/>
        <v>7</v>
      </c>
      <c r="AI312" s="225">
        <f t="shared" si="120"/>
        <v>1.5983747376141195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46321</v>
      </c>
      <c r="B313" s="411">
        <f>'2025'!Wh/'2025'!Env_an*'2026'!Env_an</f>
        <v>8.6376570469764484</v>
      </c>
      <c r="C313" s="846"/>
      <c r="D313" s="393">
        <f t="shared" si="102"/>
        <v>9.2469420170885179</v>
      </c>
      <c r="E313" s="385">
        <f t="shared" si="125"/>
        <v>10.133119642005951</v>
      </c>
      <c r="F313" s="385">
        <f t="shared" si="103"/>
        <v>10.166525248817722</v>
      </c>
      <c r="G313" s="110">
        <f t="shared" si="126"/>
        <v>0.44199288479876964</v>
      </c>
      <c r="H313" s="414" t="b">
        <f>Wh_hp&gt;='2025'!Maxi_hp</f>
        <v>0</v>
      </c>
      <c r="I313" s="390">
        <f>IF(H313,Wh_hp,'2025'!Maxi_hp)</f>
        <v>22.259943902038003</v>
      </c>
      <c r="J313" s="85">
        <f>IF(H313,An,'2025'!An_max)</f>
        <v>2019</v>
      </c>
      <c r="K313" s="197">
        <f t="shared" si="104"/>
        <v>46321</v>
      </c>
      <c r="L313" s="147">
        <f>IF(t&lt;Tvie,1-EXP((T0-t)*PertePVj)+'2025'!Pspv,1-EXP((T0-t)*PertePVj)+Pspv)</f>
        <v>6.5890428315231064E-2</v>
      </c>
      <c r="M313" s="850"/>
      <c r="N313" s="850"/>
      <c r="O313" s="48">
        <f>IF(t&lt;Tnet,'2025'!Resal+('2025'!Salim-'2025'!Resal)*(1-EXP(('2025'!Tnet-t)/('2025'!Tau_j))),Resal+(Salim-Resal)*(1-EXP((Tnet-t)/(Tau_j))))*Salcycl</f>
        <v>8.7453583518728242E-2</v>
      </c>
      <c r="P313" s="169">
        <f>(INDEX(Models!$BJ313:$BT313,,T313)*(1-R313)+INDEX(Models!$BJ313:$BT313,,T313+1)*R313-ERP_i)*Q313*Ramure*Pc/MaxiM</f>
        <v>1.5591904893828775E-2</v>
      </c>
      <c r="Q313" s="305">
        <f t="shared" si="105"/>
        <v>0.7</v>
      </c>
      <c r="R313" s="177">
        <f t="shared" si="106"/>
        <v>0.97458321994829289</v>
      </c>
      <c r="S313" s="817">
        <f t="shared" si="107"/>
        <v>-2</v>
      </c>
      <c r="T313" s="176">
        <f t="shared" si="108"/>
        <v>4</v>
      </c>
      <c r="U313" s="251">
        <f t="shared" si="109"/>
        <v>-1.0254167800517071</v>
      </c>
      <c r="V313" s="383">
        <f t="shared" si="110"/>
        <v>19.301240759928241</v>
      </c>
      <c r="W313" s="402">
        <f t="shared" si="111"/>
        <v>8.6376570469764484</v>
      </c>
      <c r="X313" s="157">
        <f t="shared" si="112"/>
        <v>46321</v>
      </c>
      <c r="Y313" s="385">
        <f t="shared" si="113"/>
        <v>8.1485986409034545</v>
      </c>
      <c r="Z313" s="385">
        <f t="shared" si="114"/>
        <v>8.7233863006098566</v>
      </c>
      <c r="AA313" s="386">
        <f t="shared" si="115"/>
        <v>9.9976299983382582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0.1274545765286571</v>
      </c>
      <c r="AD313" s="231">
        <f>(INDEX(Models!$BJ313:$BT313,,AH313)*(1-AF313)+INDEX(Models!$BJ313:$BT313,,AH313+1)*AF313-ERP_i)*AE313*Ramure*Pc/MaxiM</f>
        <v>7.8831038673644077E-2</v>
      </c>
      <c r="AE313" s="305">
        <f t="shared" si="117"/>
        <v>0.7</v>
      </c>
      <c r="AF313" s="177">
        <f t="shared" si="118"/>
        <v>0.59844658932434891</v>
      </c>
      <c r="AG313" s="817">
        <f t="shared" si="124"/>
        <v>1</v>
      </c>
      <c r="AH313" s="176">
        <f t="shared" si="119"/>
        <v>7</v>
      </c>
      <c r="AI313" s="225">
        <f t="shared" si="120"/>
        <v>1.5984465893243489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46322</v>
      </c>
      <c r="B314" s="411">
        <f>'2025'!Wh/'2025'!Env_an*'2026'!Env_an</f>
        <v>8.0055662547517663</v>
      </c>
      <c r="C314" s="846"/>
      <c r="D314" s="393">
        <f t="shared" si="102"/>
        <v>8.5704523791569667</v>
      </c>
      <c r="E314" s="385">
        <f t="shared" si="125"/>
        <v>9.3920707759880848</v>
      </c>
      <c r="F314" s="385">
        <f t="shared" si="103"/>
        <v>9.4187802101938978</v>
      </c>
      <c r="G314" s="110">
        <f t="shared" si="126"/>
        <v>0.41533760756676263</v>
      </c>
      <c r="H314" s="414" t="b">
        <f>Wh_hp&gt;='2025'!Maxi_hp</f>
        <v>0</v>
      </c>
      <c r="I314" s="390">
        <f>IF(H314,Wh_hp,'2025'!Maxi_hp)</f>
        <v>20.509460885058797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6.59108877121799E-2</v>
      </c>
      <c r="M314" s="850"/>
      <c r="N314" s="850"/>
      <c r="O314" s="48">
        <f>IF(t&lt;Tnet,'2025'!Resal+('2025'!Salim-'2025'!Resal)*(1-EXP(('2025'!Tnet-t)/('2025'!Tau_j))),Resal+(Salim-Resal)*(1-EXP((Tnet-t)/(Tau_j))))*Salcycl</f>
        <v>8.7480004828294114E-2</v>
      </c>
      <c r="P314" s="169">
        <f>(INDEX(Models!$BJ314:$BT314,,T314)*(1-R314)+INDEX(Models!$BJ314:$BT314,,T314+1)*R314-ERP_i)*Q314*Ramure*Pc/MaxiM</f>
        <v>1.63965956528913E-2</v>
      </c>
      <c r="Q314" s="305">
        <f t="shared" si="105"/>
        <v>0.7</v>
      </c>
      <c r="R314" s="177">
        <f t="shared" si="106"/>
        <v>0.97465219815907034</v>
      </c>
      <c r="S314" s="817">
        <f t="shared" si="107"/>
        <v>-2</v>
      </c>
      <c r="T314" s="176">
        <f t="shared" si="108"/>
        <v>4</v>
      </c>
      <c r="U314" s="251">
        <f t="shared" si="109"/>
        <v>-1.0253478018409297</v>
      </c>
      <c r="V314" s="383">
        <f t="shared" si="110"/>
        <v>19.012714571163965</v>
      </c>
      <c r="W314" s="402">
        <f t="shared" si="111"/>
        <v>8.0055662547517663</v>
      </c>
      <c r="X314" s="157">
        <f t="shared" si="112"/>
        <v>46322</v>
      </c>
      <c r="Y314" s="385">
        <f t="shared" si="113"/>
        <v>7.5704631909197264</v>
      </c>
      <c r="Z314" s="385">
        <f t="shared" si="114"/>
        <v>8.1046477165093496</v>
      </c>
      <c r="AA314" s="386">
        <f t="shared" si="115"/>
        <v>9.2879172061841171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0.12739879818124558</v>
      </c>
      <c r="AD314" s="231">
        <f>(INDEX(Models!$BJ314:$BT314,,AH314)*(1-AF314)+INDEX(Models!$BJ314:$BT314,,AH314+1)*AF314-ERP_i)*AE314*Ramure*Pc/MaxiM</f>
        <v>8.0335200893327838E-2</v>
      </c>
      <c r="AE314" s="305">
        <f t="shared" si="117"/>
        <v>0.7</v>
      </c>
      <c r="AF314" s="177">
        <f t="shared" si="118"/>
        <v>0.59851556753512636</v>
      </c>
      <c r="AG314" s="817">
        <f t="shared" si="124"/>
        <v>1</v>
      </c>
      <c r="AH314" s="176">
        <f t="shared" si="119"/>
        <v>7</v>
      </c>
      <c r="AI314" s="225">
        <f t="shared" si="120"/>
        <v>1.5985155675351264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46323</v>
      </c>
      <c r="B315" s="411">
        <f>'2025'!Wh/'2025'!Env_an*'2026'!Env_an</f>
        <v>10.503788283316688</v>
      </c>
      <c r="C315" s="846"/>
      <c r="D315" s="393">
        <f t="shared" si="102"/>
        <v>11.245199424870046</v>
      </c>
      <c r="E315" s="385">
        <f t="shared" si="125"/>
        <v>12.323583562236301</v>
      </c>
      <c r="F315" s="385">
        <f t="shared" si="103"/>
        <v>12.403154836947301</v>
      </c>
      <c r="G315" s="110">
        <f t="shared" si="126"/>
        <v>0.55488609287280199</v>
      </c>
      <c r="H315" s="414" t="b">
        <f>Wh_hp&gt;='2025'!Maxi_hp</f>
        <v>0</v>
      </c>
      <c r="I315" s="390">
        <f>IF(H315,Wh_hp,'2025'!Maxi_hp)</f>
        <v>22.111247290077316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6.5931346661015522E-2</v>
      </c>
      <c r="M315" s="850"/>
      <c r="N315" s="850"/>
      <c r="O315" s="48">
        <f>IF(t&lt;Tnet,'2025'!Resal+('2025'!Salim-'2025'!Resal)*(1-EXP(('2025'!Tnet-t)/('2025'!Tau_j))),Resal+(Salim-Resal)*(1-EXP((Tnet-t)/(Tau_j))))*Salcycl</f>
        <v>8.7505726878892187E-2</v>
      </c>
      <c r="P315" s="169">
        <f>(INDEX(Models!$BJ315:$BT315,,T315)*(1-R315)+INDEX(Models!$BJ315:$BT315,,T315+1)*R315-ERP_i)*Q315*Ramure*Pc/MaxiM</f>
        <v>1.7207435404211054E-2</v>
      </c>
      <c r="Q315" s="305">
        <f t="shared" si="105"/>
        <v>0.7</v>
      </c>
      <c r="R315" s="177">
        <f t="shared" si="106"/>
        <v>0.97471841703785245</v>
      </c>
      <c r="S315" s="817">
        <f t="shared" si="107"/>
        <v>-2</v>
      </c>
      <c r="T315" s="176">
        <f t="shared" si="108"/>
        <v>4</v>
      </c>
      <c r="U315" s="251">
        <f t="shared" si="109"/>
        <v>-1.0252815829621476</v>
      </c>
      <c r="V315" s="383">
        <f t="shared" si="110"/>
        <v>18.724021555712753</v>
      </c>
      <c r="W315" s="402">
        <f t="shared" si="111"/>
        <v>10.503788283316688</v>
      </c>
      <c r="X315" s="157">
        <f t="shared" si="112"/>
        <v>46323</v>
      </c>
      <c r="Y315" s="385">
        <f t="shared" si="113"/>
        <v>9.8020016274307658</v>
      </c>
      <c r="Z315" s="385">
        <f t="shared" si="114"/>
        <v>10.493877074658135</v>
      </c>
      <c r="AA315" s="386">
        <f t="shared" si="115"/>
        <v>12.02519223484228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0.1273422603380302</v>
      </c>
      <c r="AD315" s="231">
        <f>(INDEX(Models!$BJ315:$BT315,,AH315)*(1-AF315)+INDEX(Models!$BJ315:$BT315,,AH315+1)*AF315-ERP_i)*AE315*Ramure*Pc/MaxiM</f>
        <v>8.1735112131245374E-2</v>
      </c>
      <c r="AE315" s="305">
        <f t="shared" si="117"/>
        <v>0.7</v>
      </c>
      <c r="AF315" s="177">
        <f t="shared" si="118"/>
        <v>0.59858178641390847</v>
      </c>
      <c r="AG315" s="817">
        <f t="shared" si="124"/>
        <v>1</v>
      </c>
      <c r="AH315" s="176">
        <f t="shared" si="119"/>
        <v>7</v>
      </c>
      <c r="AI315" s="225">
        <f t="shared" si="120"/>
        <v>1.5985817864139085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46324</v>
      </c>
      <c r="B316" s="411">
        <f>'2025'!Wh/'2025'!Env_an*'2026'!Env_an</f>
        <v>15.263760820045553</v>
      </c>
      <c r="C316" s="846"/>
      <c r="D316" s="393">
        <f t="shared" si="102"/>
        <v>16.341513108634352</v>
      </c>
      <c r="E316" s="385">
        <f t="shared" si="125"/>
        <v>17.909112587193899</v>
      </c>
      <c r="F316" s="385">
        <f t="shared" si="103"/>
        <v>18.155935899010522</v>
      </c>
      <c r="G316" s="110">
        <f t="shared" si="126"/>
        <v>0.82423951419724506</v>
      </c>
      <c r="H316" s="414" t="b">
        <f>Wh_hp&gt;='2025'!Maxi_hp</f>
        <v>0</v>
      </c>
      <c r="I316" s="390">
        <f>IF(H316,Wh_hp,'2025'!Maxi_hp)</f>
        <v>18.198277423801116</v>
      </c>
      <c r="J316" s="85">
        <f>IF(H316,An,'2025'!An_max)</f>
        <v>2025</v>
      </c>
      <c r="K316" s="197">
        <f t="shared" si="104"/>
        <v>46324</v>
      </c>
      <c r="L316" s="147">
        <f>IF(t&lt;Tvie,1-EXP((T0-t)*PertePVj)+'2025'!Pspv,1-EXP((T0-t)*PertePVj)+Pspv)</f>
        <v>6.5951805161747701E-2</v>
      </c>
      <c r="M316" s="850"/>
      <c r="N316" s="850"/>
      <c r="O316" s="48">
        <f>IF(t&lt;Tnet,'2025'!Resal+('2025'!Salim-'2025'!Resal)*(1-EXP(('2025'!Tnet-t)/('2025'!Tau_j))),Resal+(Salim-Resal)*(1-EXP((Tnet-t)/(Tau_j))))*Salcycl</f>
        <v>8.7530829399133661E-2</v>
      </c>
      <c r="P316" s="169">
        <f>(INDEX(Models!$BJ316:$BT316,,T316)*(1-R316)+INDEX(Models!$BJ316:$BT316,,T316+1)*R316-ERP_i)*Q316*Ramure*Pc/MaxiM</f>
        <v>1.8024626427875529E-2</v>
      </c>
      <c r="Q316" s="305">
        <f t="shared" si="105"/>
        <v>0.7</v>
      </c>
      <c r="R316" s="177">
        <f t="shared" si="106"/>
        <v>0.97478198627508861</v>
      </c>
      <c r="S316" s="817">
        <f t="shared" si="107"/>
        <v>-2</v>
      </c>
      <c r="T316" s="176">
        <f t="shared" si="108"/>
        <v>4</v>
      </c>
      <c r="U316" s="251">
        <f t="shared" si="109"/>
        <v>-1.0252180137249114</v>
      </c>
      <c r="V316" s="383">
        <f t="shared" si="110"/>
        <v>18.435430848478653</v>
      </c>
      <c r="W316" s="402">
        <f t="shared" si="111"/>
        <v>15.263760820045553</v>
      </c>
      <c r="X316" s="157">
        <f t="shared" si="112"/>
        <v>46324</v>
      </c>
      <c r="Y316" s="385">
        <f t="shared" si="113"/>
        <v>13.873169297267617</v>
      </c>
      <c r="Z316" s="385">
        <f t="shared" si="114"/>
        <v>14.852733910234699</v>
      </c>
      <c r="AA316" s="386">
        <f t="shared" si="115"/>
        <v>17.018998494845558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0.12728507998087801</v>
      </c>
      <c r="AD316" s="231">
        <f>(INDEX(Models!$BJ316:$BT316,,AH316)*(1-AF316)+INDEX(Models!$BJ316:$BT316,,AH316+1)*AF316-ERP_i)*AE316*Ramure*Pc/MaxiM</f>
        <v>8.3026484942302872E-2</v>
      </c>
      <c r="AE316" s="305">
        <f t="shared" si="117"/>
        <v>0.7</v>
      </c>
      <c r="AF316" s="177">
        <f t="shared" si="118"/>
        <v>0.59864535565114463</v>
      </c>
      <c r="AG316" s="817">
        <f t="shared" si="124"/>
        <v>1</v>
      </c>
      <c r="AH316" s="176">
        <f t="shared" si="119"/>
        <v>7</v>
      </c>
      <c r="AI316" s="225">
        <f t="shared" si="120"/>
        <v>1.5986453556511446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46325</v>
      </c>
      <c r="B317" s="411">
        <f>'2025'!Wh/'2025'!Env_an*'2026'!Env_an</f>
        <v>12.817251483538671</v>
      </c>
      <c r="C317" s="846"/>
      <c r="D317" s="393">
        <f t="shared" si="102"/>
        <v>13.72255981139091</v>
      </c>
      <c r="E317" s="385">
        <f t="shared" si="125"/>
        <v>15.039334701159264</v>
      </c>
      <c r="F317" s="385">
        <f t="shared" si="103"/>
        <v>15.205785880254439</v>
      </c>
      <c r="G317" s="110">
        <f t="shared" si="126"/>
        <v>0.70080365998548344</v>
      </c>
      <c r="H317" s="414" t="b">
        <f>Wh_hp&gt;='2025'!Maxi_hp</f>
        <v>0</v>
      </c>
      <c r="I317" s="390">
        <f>IF(H317,Wh_hp,'2025'!Maxi_hp)</f>
        <v>19.915918764671726</v>
      </c>
      <c r="J317" s="85">
        <f>IF(H317,An,'2025'!An_max)</f>
        <v>2018</v>
      </c>
      <c r="K317" s="197">
        <f t="shared" si="104"/>
        <v>46325</v>
      </c>
      <c r="L317" s="147">
        <f>IF(t&lt;Tvie,1-EXP((T0-t)*PertePVj)+'2025'!Pspv,1-EXP((T0-t)*PertePVj)+Pspv)</f>
        <v>6.5972263214386206E-2</v>
      </c>
      <c r="M317" s="850"/>
      <c r="N317" s="850"/>
      <c r="O317" s="48">
        <f>IF(t&lt;Tnet,'2025'!Resal+('2025'!Salim-'2025'!Resal)*(1-EXP(('2025'!Tnet-t)/('2025'!Tau_j))),Resal+(Salim-Resal)*(1-EXP((Tnet-t)/(Tau_j))))*Salcycl</f>
        <v>8.7555394964835317E-2</v>
      </c>
      <c r="P317" s="169">
        <f>(INDEX(Models!$BJ317:$BT317,,T317)*(1-R317)+INDEX(Models!$BJ317:$BT317,,T317+1)*R317-ERP_i)*Q317*Ramure*Pc/MaxiM</f>
        <v>1.8852470598320761E-2</v>
      </c>
      <c r="Q317" s="305">
        <f t="shared" si="105"/>
        <v>0.7</v>
      </c>
      <c r="R317" s="177">
        <f t="shared" si="106"/>
        <v>0.97484301125513118</v>
      </c>
      <c r="S317" s="817">
        <f t="shared" si="107"/>
        <v>-2</v>
      </c>
      <c r="T317" s="176">
        <f t="shared" si="108"/>
        <v>4</v>
      </c>
      <c r="U317" s="251">
        <f t="shared" si="109"/>
        <v>-1.0251569887448688</v>
      </c>
      <c r="V317" s="383">
        <f t="shared" si="110"/>
        <v>18.143167284116071</v>
      </c>
      <c r="W317" s="402">
        <f t="shared" si="111"/>
        <v>12.817251483538671</v>
      </c>
      <c r="X317" s="157">
        <f t="shared" si="112"/>
        <v>46325</v>
      </c>
      <c r="Y317" s="385">
        <f t="shared" si="113"/>
        <v>11.789469952515491</v>
      </c>
      <c r="Z317" s="385">
        <f t="shared" si="114"/>
        <v>12.622183997541727</v>
      </c>
      <c r="AA317" s="386">
        <f t="shared" si="115"/>
        <v>14.462167668481294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0.1272273778812294</v>
      </c>
      <c r="AD317" s="231">
        <f>(INDEX(Models!$BJ317:$BT317,,AH317)*(1-AF317)+INDEX(Models!$BJ317:$BT317,,AH317+1)*AF317-ERP_i)*AE317*Ramure*Pc/MaxiM</f>
        <v>8.4223137078609553E-2</v>
      </c>
      <c r="AE317" s="305">
        <f t="shared" si="117"/>
        <v>0.7</v>
      </c>
      <c r="AF317" s="177">
        <f t="shared" si="118"/>
        <v>0.5987063806311872</v>
      </c>
      <c r="AG317" s="817">
        <f t="shared" si="124"/>
        <v>1</v>
      </c>
      <c r="AH317" s="176">
        <f t="shared" si="119"/>
        <v>7</v>
      </c>
      <c r="AI317" s="225">
        <f t="shared" si="120"/>
        <v>1.5987063806311872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46326</v>
      </c>
      <c r="B318" s="411">
        <f>'2025'!Wh/'2025'!Env_an*'2026'!Env_an</f>
        <v>12.153037556245737</v>
      </c>
      <c r="C318" s="846"/>
      <c r="D318" s="393">
        <f t="shared" si="102"/>
        <v>13.011716104505698</v>
      </c>
      <c r="E318" s="385">
        <f t="shared" si="125"/>
        <v>14.260657479965046</v>
      </c>
      <c r="F318" s="385">
        <f t="shared" si="103"/>
        <v>14.414940593914421</v>
      </c>
      <c r="G318" s="110">
        <f t="shared" si="126"/>
        <v>0.67486906655251822</v>
      </c>
      <c r="H318" s="414" t="b">
        <f>Wh_hp&gt;='2025'!Maxi_hp</f>
        <v>0</v>
      </c>
      <c r="I318" s="390">
        <f>IF(H318,Wh_hp,'2025'!Maxi_hp)</f>
        <v>21.044547034866937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6.5992720818940809E-2</v>
      </c>
      <c r="M318" s="850"/>
      <c r="N318" s="850"/>
      <c r="O318" s="48">
        <f>IF(t&lt;Tnet,'2025'!Resal+('2025'!Salim-'2025'!Resal)*(1-EXP(('2025'!Tnet-t)/('2025'!Tau_j))),Resal+(Salim-Resal)*(1-EXP((Tnet-t)/(Tau_j))))*Salcycl</f>
        <v>8.7579508673705883E-2</v>
      </c>
      <c r="P318" s="169">
        <f>(INDEX(Models!$BJ318:$BT318,,T318)*(1-R318)+INDEX(Models!$BJ318:$BT318,,T318+1)*R318-ERP_i)*Q318*Ramure*Pc/MaxiM</f>
        <v>1.9662407712150703E-2</v>
      </c>
      <c r="Q318" s="305">
        <f t="shared" si="105"/>
        <v>0.7</v>
      </c>
      <c r="R318" s="177">
        <f t="shared" si="106"/>
        <v>0.97490159322099212</v>
      </c>
      <c r="S318" s="817">
        <f t="shared" si="107"/>
        <v>-2</v>
      </c>
      <c r="T318" s="176">
        <f t="shared" si="108"/>
        <v>4</v>
      </c>
      <c r="U318" s="251">
        <f t="shared" si="109"/>
        <v>-1.0250984067790079</v>
      </c>
      <c r="V318" s="383">
        <f t="shared" si="110"/>
        <v>17.844906730831497</v>
      </c>
      <c r="W318" s="402">
        <f t="shared" si="111"/>
        <v>12.153037556245737</v>
      </c>
      <c r="X318" s="157">
        <f t="shared" si="112"/>
        <v>46326</v>
      </c>
      <c r="Y318" s="385">
        <f t="shared" si="113"/>
        <v>11.205876795419305</v>
      </c>
      <c r="Z318" s="385">
        <f t="shared" si="114"/>
        <v>11.99763325746739</v>
      </c>
      <c r="AA318" s="386">
        <f t="shared" si="115"/>
        <v>13.745658759081463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0.12716927811547696</v>
      </c>
      <c r="AD318" s="231">
        <f>(INDEX(Models!$BJ318:$BT318,,AH318)*(1-AF318)+INDEX(Models!$BJ318:$BT318,,AH318+1)*AF318-ERP_i)*AE318*Ramure*Pc/MaxiM</f>
        <v>8.5295739591696063E-2</v>
      </c>
      <c r="AE318" s="305">
        <f t="shared" si="117"/>
        <v>0.7</v>
      </c>
      <c r="AF318" s="177">
        <f t="shared" si="118"/>
        <v>0.59876496259704814</v>
      </c>
      <c r="AG318" s="817">
        <f t="shared" si="124"/>
        <v>1</v>
      </c>
      <c r="AH318" s="176">
        <f t="shared" si="119"/>
        <v>7</v>
      </c>
      <c r="AI318" s="225">
        <f t="shared" si="120"/>
        <v>1.5987649625970481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46327</v>
      </c>
      <c r="B319" s="411">
        <f>'2025'!Wh/'2025'!Env_an*'2026'!Env_an</f>
        <v>12.972582942105385</v>
      </c>
      <c r="C319" s="846"/>
      <c r="D319" s="393">
        <f t="shared" si="102"/>
        <v>13.889471067680653</v>
      </c>
      <c r="E319" s="385">
        <f t="shared" si="125"/>
        <v>15.223060786231198</v>
      </c>
      <c r="F319" s="385">
        <f t="shared" si="103"/>
        <v>15.421007237925259</v>
      </c>
      <c r="G319" s="110">
        <f t="shared" si="126"/>
        <v>0.73380148280947965</v>
      </c>
      <c r="H319" s="414" t="b">
        <f>Wh_hp&gt;='2025'!Maxi_hp</f>
        <v>0</v>
      </c>
      <c r="I319" s="390">
        <f>IF(H319,Wh_hp,'2025'!Maxi_hp)</f>
        <v>19.702358339343263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6.6013177975421278E-2</v>
      </c>
      <c r="M319" s="850"/>
      <c r="N319" s="850"/>
      <c r="O319" s="48">
        <f>IF(t&lt;Tnet,'2025'!Resal+('2025'!Salim-'2025'!Resal)*(1-EXP(('2025'!Tnet-t)/('2025'!Tau_j))),Resal+(Salim-Resal)*(1-EXP((Tnet-t)/(Tau_j))))*Salcycl</f>
        <v>8.760325779929462E-2</v>
      </c>
      <c r="P319" s="169">
        <f>(INDEX(Models!$BJ319:$BT319,,T319)*(1-R319)+INDEX(Models!$BJ319:$BT319,,T319+1)*R319-ERP_i)*Q319*Ramure*Pc/MaxiM</f>
        <v>2.0444347098005859E-2</v>
      </c>
      <c r="Q319" s="305">
        <f t="shared" si="105"/>
        <v>0.7</v>
      </c>
      <c r="R319" s="177">
        <f t="shared" si="106"/>
        <v>0.9749578294331338</v>
      </c>
      <c r="S319" s="817">
        <f t="shared" si="107"/>
        <v>-2</v>
      </c>
      <c r="T319" s="176">
        <f t="shared" si="108"/>
        <v>4</v>
      </c>
      <c r="U319" s="251">
        <f t="shared" si="109"/>
        <v>-1.0250421705668662</v>
      </c>
      <c r="V319" s="383">
        <f t="shared" si="110"/>
        <v>17.542348954110011</v>
      </c>
      <c r="W319" s="402">
        <f t="shared" si="111"/>
        <v>12.972582942105385</v>
      </c>
      <c r="X319" s="157">
        <f t="shared" si="112"/>
        <v>46327</v>
      </c>
      <c r="Y319" s="385">
        <f t="shared" si="113"/>
        <v>11.891008233612919</v>
      </c>
      <c r="Z319" s="385">
        <f t="shared" si="114"/>
        <v>12.731451829092292</v>
      </c>
      <c r="AA319" s="386">
        <f t="shared" si="115"/>
        <v>14.585417482298594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0.12711090755244714</v>
      </c>
      <c r="AD319" s="231">
        <f>(INDEX(Models!$BJ319:$BT319,,AH319)*(1-AF319)+INDEX(Models!$BJ319:$BT319,,AH319+1)*AF319-ERP_i)*AE319*Ramure*Pc/MaxiM</f>
        <v>8.6301557059342726E-2</v>
      </c>
      <c r="AE319" s="305">
        <f t="shared" si="117"/>
        <v>0.7</v>
      </c>
      <c r="AF319" s="177">
        <f t="shared" si="118"/>
        <v>0.59882119880918983</v>
      </c>
      <c r="AG319" s="817">
        <f t="shared" si="124"/>
        <v>1</v>
      </c>
      <c r="AH319" s="176">
        <f t="shared" si="119"/>
        <v>7</v>
      </c>
      <c r="AI319" s="225">
        <f t="shared" si="120"/>
        <v>1.5988211988091898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46328</v>
      </c>
      <c r="B320" s="411">
        <f>'2025'!Wh/'2025'!Env_an*'2026'!Env_an</f>
        <v>15.033085263313428</v>
      </c>
      <c r="C320" s="846"/>
      <c r="D320" s="393">
        <f t="shared" si="102"/>
        <v>16.095960006251929</v>
      </c>
      <c r="E320" s="385">
        <f t="shared" si="125"/>
        <v>17.641858393566611</v>
      </c>
      <c r="F320" s="385">
        <f t="shared" si="103"/>
        <v>17.952884714476326</v>
      </c>
      <c r="G320" s="110">
        <f t="shared" si="126"/>
        <v>0.8687025859537848</v>
      </c>
      <c r="H320" s="414" t="b">
        <f>Wh_hp&gt;='2025'!Maxi_hp</f>
        <v>0</v>
      </c>
      <c r="I320" s="390">
        <f>IF(H320,Wh_hp,'2025'!Maxi_hp)</f>
        <v>18.470798370056769</v>
      </c>
      <c r="J320" s="85">
        <f>IF(H320,An,'2025'!An_max)</f>
        <v>2020</v>
      </c>
      <c r="K320" s="197">
        <f t="shared" si="104"/>
        <v>46328</v>
      </c>
      <c r="L320" s="147">
        <f>IF(t&lt;Tvie,1-EXP((T0-t)*PertePVj)+'2025'!Pspv,1-EXP((T0-t)*PertePVj)+Pspv)</f>
        <v>6.6033634683837605E-2</v>
      </c>
      <c r="M320" s="850"/>
      <c r="N320" s="850"/>
      <c r="O320" s="48">
        <f>IF(t&lt;Tnet,'2025'!Resal+('2025'!Salim-'2025'!Resal)*(1-EXP(('2025'!Tnet-t)/('2025'!Tau_j))),Resal+(Salim-Resal)*(1-EXP((Tnet-t)/(Tau_j))))*Salcycl</f>
        <v>8.7626731426345555E-2</v>
      </c>
      <c r="P320" s="169">
        <f>(INDEX(Models!$BJ320:$BT320,,T320)*(1-R320)+INDEX(Models!$BJ320:$BT320,,T320+1)*R320-ERP_i)*Q320*Ramure*Pc/MaxiM</f>
        <v>2.1196276012972345E-2</v>
      </c>
      <c r="Q320" s="305">
        <f t="shared" si="105"/>
        <v>0.7</v>
      </c>
      <c r="R320" s="177">
        <f t="shared" si="106"/>
        <v>0.97501181332248787</v>
      </c>
      <c r="S320" s="817">
        <f t="shared" si="107"/>
        <v>-2</v>
      </c>
      <c r="T320" s="176">
        <f t="shared" si="108"/>
        <v>4</v>
      </c>
      <c r="U320" s="251">
        <f t="shared" si="109"/>
        <v>-1.0249881866775121</v>
      </c>
      <c r="V320" s="383">
        <f t="shared" si="110"/>
        <v>17.237033656096251</v>
      </c>
      <c r="W320" s="402">
        <f t="shared" si="111"/>
        <v>15.033085263313428</v>
      </c>
      <c r="X320" s="157">
        <f t="shared" si="112"/>
        <v>46328</v>
      </c>
      <c r="Y320" s="385">
        <f t="shared" si="113"/>
        <v>13.59345749042018</v>
      </c>
      <c r="Z320" s="385">
        <f t="shared" si="114"/>
        <v>14.554547139198721</v>
      </c>
      <c r="AA320" s="386">
        <f t="shared" si="115"/>
        <v>16.672875967706013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0.12705239531622015</v>
      </c>
      <c r="AD320" s="231">
        <f>(INDEX(Models!$BJ320:$BT320,,AH320)*(1-AF320)+INDEX(Models!$BJ320:$BT320,,AH320+1)*AF320-ERP_i)*AE320*Ramure*Pc/MaxiM</f>
        <v>8.7231905699190163E-2</v>
      </c>
      <c r="AE320" s="305">
        <f t="shared" si="117"/>
        <v>0.7</v>
      </c>
      <c r="AF320" s="177">
        <f t="shared" si="118"/>
        <v>0.5988751826985439</v>
      </c>
      <c r="AG320" s="817">
        <f t="shared" si="124"/>
        <v>1</v>
      </c>
      <c r="AH320" s="176">
        <f t="shared" si="119"/>
        <v>7</v>
      </c>
      <c r="AI320" s="225">
        <f t="shared" si="120"/>
        <v>1.5988751826985439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46329</v>
      </c>
      <c r="B321" s="411">
        <f>'2025'!Wh/'2025'!Env_an*'2026'!Env_an</f>
        <v>5.657125233061473</v>
      </c>
      <c r="C321" s="846"/>
      <c r="D321" s="393">
        <f t="shared" si="102"/>
        <v>6.0572300581954543</v>
      </c>
      <c r="E321" s="385">
        <f t="shared" si="125"/>
        <v>6.6391518512001202</v>
      </c>
      <c r="F321" s="385">
        <f t="shared" si="103"/>
        <v>6.6462553870981678</v>
      </c>
      <c r="G321" s="110">
        <f t="shared" si="126"/>
        <v>0.32716489559236789</v>
      </c>
      <c r="H321" s="414" t="b">
        <f>Wh_hp&gt;='2025'!Maxi_hp</f>
        <v>0</v>
      </c>
      <c r="I321" s="390">
        <f>IF(H321,Wh_hp,'2025'!Maxi_hp)</f>
        <v>19.194337554419008</v>
      </c>
      <c r="J321" s="85">
        <f>IF(H321,An,'2025'!An_max)</f>
        <v>2020</v>
      </c>
      <c r="K321" s="197">
        <f t="shared" si="104"/>
        <v>46329</v>
      </c>
      <c r="L321" s="147">
        <f>IF(t&lt;Tvie,1-EXP((T0-t)*PertePVj)+'2025'!Pspv,1-EXP((T0-t)*PertePVj)+Pspv)</f>
        <v>6.6054090944199562E-2</v>
      </c>
      <c r="M321" s="850"/>
      <c r="N321" s="850"/>
      <c r="O321" s="48">
        <f>IF(t&lt;Tnet,'2025'!Resal+('2025'!Salim-'2025'!Resal)*(1-EXP(('2025'!Tnet-t)/('2025'!Tau_j))),Resal+(Salim-Resal)*(1-EXP((Tnet-t)/(Tau_j))))*Salcycl</f>
        <v>8.7650020069879139E-2</v>
      </c>
      <c r="P321" s="169">
        <f>(INDEX(Models!$BJ321:$BT321,,T321)*(1-R321)+INDEX(Models!$BJ321:$BT321,,T321+1)*R321-ERP_i)*Q321*Ramure*Pc/MaxiM</f>
        <v>2.1915742022951455E-2</v>
      </c>
      <c r="Q321" s="305">
        <f t="shared" si="105"/>
        <v>0.7</v>
      </c>
      <c r="R321" s="177">
        <f t="shared" si="106"/>
        <v>0.97506363463788115</v>
      </c>
      <c r="S321" s="817">
        <f t="shared" si="107"/>
        <v>-2</v>
      </c>
      <c r="T321" s="176">
        <f t="shared" si="108"/>
        <v>4</v>
      </c>
      <c r="U321" s="251">
        <f t="shared" si="109"/>
        <v>-1.0249363653621189</v>
      </c>
      <c r="V321" s="383">
        <f t="shared" si="110"/>
        <v>16.930500119666942</v>
      </c>
      <c r="W321" s="402">
        <f t="shared" si="111"/>
        <v>5.657125233061473</v>
      </c>
      <c r="X321" s="157">
        <f t="shared" si="112"/>
        <v>46329</v>
      </c>
      <c r="Y321" s="385">
        <f t="shared" si="113"/>
        <v>5.3956845619568155</v>
      </c>
      <c r="Z321" s="385">
        <f t="shared" si="114"/>
        <v>5.777298781052254</v>
      </c>
      <c r="AA321" s="386">
        <f t="shared" si="115"/>
        <v>6.6177070209059474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0.12699387222776201</v>
      </c>
      <c r="AD321" s="231">
        <f>(INDEX(Models!$BJ321:$BT321,,AH321)*(1-AF321)+INDEX(Models!$BJ321:$BT321,,AH321+1)*AF321-ERP_i)*AE321*Ramure*Pc/MaxiM</f>
        <v>8.8077070014871583E-2</v>
      </c>
      <c r="AE321" s="305">
        <f t="shared" si="117"/>
        <v>0.7</v>
      </c>
      <c r="AF321" s="177">
        <f t="shared" si="118"/>
        <v>0.59892700401393717</v>
      </c>
      <c r="AG321" s="817">
        <f t="shared" si="124"/>
        <v>1</v>
      </c>
      <c r="AH321" s="176">
        <f t="shared" si="119"/>
        <v>7</v>
      </c>
      <c r="AI321" s="225">
        <f t="shared" si="120"/>
        <v>1.5989270040139372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46330</v>
      </c>
      <c r="B322" s="411">
        <f>'2025'!Wh/'2025'!Env_an*'2026'!Env_an</f>
        <v>8.0966197690424</v>
      </c>
      <c r="C322" s="846"/>
      <c r="D322" s="393">
        <f t="shared" si="102"/>
        <v>8.6694497306216327</v>
      </c>
      <c r="E322" s="385">
        <f t="shared" si="125"/>
        <v>9.5025706532192959</v>
      </c>
      <c r="F322" s="385">
        <f t="shared" si="103"/>
        <v>9.5603008574304251</v>
      </c>
      <c r="G322" s="110">
        <f t="shared" si="126"/>
        <v>0.47892065669227513</v>
      </c>
      <c r="H322" s="414" t="b">
        <f>Wh_hp&gt;='2025'!Maxi_hp</f>
        <v>0</v>
      </c>
      <c r="I322" s="390">
        <f>IF(H322,Wh_hp,'2025'!Maxi_hp)</f>
        <v>14.185805406628766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6.6074546756516916E-2</v>
      </c>
      <c r="M322" s="850"/>
      <c r="N322" s="850"/>
      <c r="O322" s="48">
        <f>IF(t&lt;Tnet,'2025'!Resal+('2025'!Salim-'2025'!Resal)*(1-EXP(('2025'!Tnet-t)/('2025'!Tau_j))),Resal+(Salim-Resal)*(1-EXP((Tnet-t)/(Tau_j))))*Salcycl</f>
        <v>8.7673215280479527E-2</v>
      </c>
      <c r="P322" s="169">
        <f>(INDEX(Models!$BJ322:$BT322,,T322)*(1-R322)+INDEX(Models!$BJ322:$BT322,,T322+1)*R322-ERP_i)*Q322*Ramure*Pc/MaxiM</f>
        <v>2.2599836162219205E-2</v>
      </c>
      <c r="Q322" s="305">
        <f t="shared" si="105"/>
        <v>0.7</v>
      </c>
      <c r="R322" s="177">
        <f t="shared" si="106"/>
        <v>0.97511337958805355</v>
      </c>
      <c r="S322" s="817">
        <f t="shared" si="107"/>
        <v>-2</v>
      </c>
      <c r="T322" s="176">
        <f t="shared" si="108"/>
        <v>4</v>
      </c>
      <c r="U322" s="251">
        <f t="shared" si="109"/>
        <v>-1.0248866204119464</v>
      </c>
      <c r="V322" s="383">
        <f t="shared" si="110"/>
        <v>16.624287267057074</v>
      </c>
      <c r="W322" s="402">
        <f t="shared" si="111"/>
        <v>8.0966197690424</v>
      </c>
      <c r="X322" s="157">
        <f t="shared" si="112"/>
        <v>46330</v>
      </c>
      <c r="Y322" s="385">
        <f t="shared" si="113"/>
        <v>7.6102401344337238</v>
      </c>
      <c r="Z322" s="385">
        <f t="shared" si="114"/>
        <v>8.148659090512723</v>
      </c>
      <c r="AA322" s="386">
        <f t="shared" si="115"/>
        <v>9.3333984060153465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0.12693547022905</v>
      </c>
      <c r="AD322" s="231">
        <f>(INDEX(Models!$BJ322:$BT322,,AH322)*(1-AF322)+INDEX(Models!$BJ322:$BT322,,AH322+1)*AF322-ERP_i)*AE322*Ramure*Pc/MaxiM</f>
        <v>8.882626169193597E-2</v>
      </c>
      <c r="AE322" s="305">
        <f t="shared" si="117"/>
        <v>0.7</v>
      </c>
      <c r="AF322" s="177">
        <f t="shared" si="118"/>
        <v>0.59897674896410957</v>
      </c>
      <c r="AG322" s="817">
        <f t="shared" si="124"/>
        <v>1</v>
      </c>
      <c r="AH322" s="176">
        <f t="shared" si="119"/>
        <v>7</v>
      </c>
      <c r="AI322" s="225">
        <f t="shared" si="120"/>
        <v>1.5989767489641096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46331</v>
      </c>
      <c r="B323" s="411">
        <f>'2025'!Wh/'2025'!Env_an*'2026'!Env_an</f>
        <v>16.623152909433504</v>
      </c>
      <c r="C323" s="846"/>
      <c r="D323" s="393">
        <f t="shared" si="102"/>
        <v>17.799618748355481</v>
      </c>
      <c r="E323" s="385">
        <f t="shared" si="125"/>
        <v>19.510631031821653</v>
      </c>
      <c r="F323" s="385">
        <f t="shared" si="103"/>
        <v>19.974952359032539</v>
      </c>
      <c r="G323" s="110">
        <f t="shared" si="126"/>
        <v>1.0185796826480094</v>
      </c>
      <c r="H323" s="414" t="b">
        <f>Wh_hp&gt;='2025'!Maxi_hp</f>
        <v>1</v>
      </c>
      <c r="I323" s="390">
        <f>IF(H323,Wh_hp,'2025'!Maxi_hp)</f>
        <v>19.974952359032539</v>
      </c>
      <c r="J323" s="85">
        <f>IF(H323,An,'2025'!An_max)</f>
        <v>2026</v>
      </c>
      <c r="K323" s="197">
        <f t="shared" si="104"/>
        <v>46331</v>
      </c>
      <c r="L323" s="147">
        <f>IF(t&lt;Tvie,1-EXP((T0-t)*PertePVj)+'2025'!Pspv,1-EXP((T0-t)*PertePVj)+Pspv)</f>
        <v>6.609500212079944E-2</v>
      </c>
      <c r="M323" s="850"/>
      <c r="N323" s="850"/>
      <c r="O323" s="48">
        <f>IF(t&lt;Tnet,'2025'!Resal+('2025'!Salim-'2025'!Resal)*(1-EXP(('2025'!Tnet-t)/('2025'!Tau_j))),Resal+(Salim-Resal)*(1-EXP((Tnet-t)/(Tau_j))))*Salcycl</f>
        <v>8.7696409238405784E-2</v>
      </c>
      <c r="P323" s="169">
        <f>(INDEX(Models!$BJ323:$BT323,,T323)*(1-R323)+INDEX(Models!$BJ323:$BT323,,T323+1)*R323-ERP_i)*Q323*Ramure*Pc/MaxiM</f>
        <v>2.324517820443885E-2</v>
      </c>
      <c r="Q323" s="305">
        <f t="shared" si="105"/>
        <v>0.7</v>
      </c>
      <c r="R323" s="177">
        <f t="shared" si="106"/>
        <v>0.97516113097844292</v>
      </c>
      <c r="S323" s="817">
        <f t="shared" si="107"/>
        <v>-2</v>
      </c>
      <c r="T323" s="176">
        <f t="shared" si="108"/>
        <v>4</v>
      </c>
      <c r="U323" s="251">
        <f t="shared" si="109"/>
        <v>-1.0248388690215571</v>
      </c>
      <c r="V323" s="383">
        <f t="shared" si="110"/>
        <v>16.319933720077913</v>
      </c>
      <c r="W323" s="402">
        <f t="shared" si="111"/>
        <v>16.623152909433504</v>
      </c>
      <c r="X323" s="157">
        <f t="shared" si="112"/>
        <v>46331</v>
      </c>
      <c r="Y323" s="385">
        <f t="shared" si="113"/>
        <v>14.830613909261306</v>
      </c>
      <c r="Z323" s="385">
        <f t="shared" si="114"/>
        <v>15.880216877455481</v>
      </c>
      <c r="AA323" s="386">
        <f t="shared" si="115"/>
        <v>18.187841495626131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0.1268773217935506</v>
      </c>
      <c r="AD323" s="231">
        <f>(INDEX(Models!$BJ323:$BT323,,AH323)*(1-AF323)+INDEX(Models!$BJ323:$BT323,,AH323+1)*AF323-ERP_i)*AE323*Ramure*Pc/MaxiM</f>
        <v>8.9467590774918088E-2</v>
      </c>
      <c r="AE323" s="305">
        <f t="shared" si="117"/>
        <v>0.7</v>
      </c>
      <c r="AF323" s="177">
        <f t="shared" si="118"/>
        <v>0.59902450035449895</v>
      </c>
      <c r="AG323" s="817">
        <f t="shared" si="124"/>
        <v>1</v>
      </c>
      <c r="AH323" s="176">
        <f t="shared" si="119"/>
        <v>7</v>
      </c>
      <c r="AI323" s="225">
        <f t="shared" si="120"/>
        <v>1.5990245003544989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46332</v>
      </c>
      <c r="B324" s="411">
        <f>'2025'!Wh/'2025'!Env_an*'2026'!Env_an</f>
        <v>15.832828411376134</v>
      </c>
      <c r="C324" s="846"/>
      <c r="D324" s="393">
        <f t="shared" si="102"/>
        <v>16.953732161732958</v>
      </c>
      <c r="E324" s="385">
        <f t="shared" si="125"/>
        <v>18.583906784498502</v>
      </c>
      <c r="F324" s="385">
        <f t="shared" si="103"/>
        <v>19.030008295887143</v>
      </c>
      <c r="G324" s="110">
        <f t="shared" si="126"/>
        <v>0.98796862667272434</v>
      </c>
      <c r="H324" s="414" t="b">
        <f>Wh_hp&gt;='2025'!Maxi_hp</f>
        <v>0</v>
      </c>
      <c r="I324" s="390">
        <f>IF(H324,Wh_hp,'2025'!Maxi_hp)</f>
        <v>19.034017394824041</v>
      </c>
      <c r="J324" s="85">
        <f>IF(H324,An,'2025'!An_max)</f>
        <v>2025</v>
      </c>
      <c r="K324" s="197">
        <f t="shared" si="104"/>
        <v>46332</v>
      </c>
      <c r="L324" s="147">
        <f>IF(t&lt;Tvie,1-EXP((T0-t)*PertePVj)+'2025'!Pspv,1-EXP((T0-t)*PertePVj)+Pspv)</f>
        <v>6.6115457037056902E-2</v>
      </c>
      <c r="M324" s="850"/>
      <c r="N324" s="850"/>
      <c r="O324" s="48">
        <f>IF(t&lt;Tnet,'2025'!Resal+('2025'!Salim-'2025'!Resal)*(1-EXP(('2025'!Tnet-t)/('2025'!Tau_j))),Resal+(Salim-Resal)*(1-EXP((Tnet-t)/(Tau_j))))*Salcycl</f>
        <v>8.7719694339261869E-2</v>
      </c>
      <c r="P324" s="169">
        <f>(INDEX(Models!$BJ324:$BT324,,T324)*(1-R324)+INDEX(Models!$BJ324:$BT324,,T324+1)*R324-ERP_i)*Q324*Ramure*Pc/MaxiM</f>
        <v>2.3838073010932728E-2</v>
      </c>
      <c r="Q324" s="305">
        <f t="shared" si="105"/>
        <v>0.7</v>
      </c>
      <c r="R324" s="177">
        <f t="shared" si="106"/>
        <v>0.97520696834291209</v>
      </c>
      <c r="S324" s="817">
        <f t="shared" si="107"/>
        <v>-2</v>
      </c>
      <c r="T324" s="176">
        <f t="shared" si="108"/>
        <v>4</v>
      </c>
      <c r="U324" s="251">
        <f t="shared" si="109"/>
        <v>-1.0247930316570879</v>
      </c>
      <c r="V324" s="383">
        <f t="shared" si="110"/>
        <v>16.019139215576274</v>
      </c>
      <c r="W324" s="402">
        <f t="shared" si="111"/>
        <v>15.832828411376134</v>
      </c>
      <c r="X324" s="157">
        <f t="shared" si="112"/>
        <v>46332</v>
      </c>
      <c r="Y324" s="385">
        <f t="shared" si="113"/>
        <v>14.144567796774385</v>
      </c>
      <c r="Z324" s="385">
        <f t="shared" si="114"/>
        <v>15.145949146880406</v>
      </c>
      <c r="AA324" s="386">
        <f t="shared" si="115"/>
        <v>17.345726543310715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0.12681955932705746</v>
      </c>
      <c r="AD324" s="231">
        <f>(INDEX(Models!$BJ324:$BT324,,AH324)*(1-AF324)+INDEX(Models!$BJ324:$BT324,,AH324+1)*AF324-ERP_i)*AE324*Ramure*Pc/MaxiM</f>
        <v>9.0002007085603047E-2</v>
      </c>
      <c r="AE324" s="305">
        <f t="shared" si="117"/>
        <v>0.7</v>
      </c>
      <c r="AF324" s="177">
        <f t="shared" si="118"/>
        <v>0.59907033771896812</v>
      </c>
      <c r="AG324" s="817">
        <f t="shared" si="124"/>
        <v>1</v>
      </c>
      <c r="AH324" s="176">
        <f t="shared" si="119"/>
        <v>7</v>
      </c>
      <c r="AI324" s="225">
        <f t="shared" si="120"/>
        <v>1.5990703377189681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46333</v>
      </c>
      <c r="B325" s="411">
        <f>'2025'!Wh/'2025'!Env_an*'2026'!Env_an</f>
        <v>15.201030012253714</v>
      </c>
      <c r="C325" s="846"/>
      <c r="D325" s="393">
        <f t="shared" si="102"/>
        <v>16.277561370580504</v>
      </c>
      <c r="E325" s="385">
        <f t="shared" si="125"/>
        <v>17.843178265540264</v>
      </c>
      <c r="F325" s="385">
        <f t="shared" si="103"/>
        <v>18.267762054892636</v>
      </c>
      <c r="G325" s="110">
        <f t="shared" si="126"/>
        <v>0.96565513810996062</v>
      </c>
      <c r="H325" s="414" t="b">
        <f>Wh_hp&gt;='2025'!Maxi_hp</f>
        <v>0</v>
      </c>
      <c r="I325" s="390">
        <f>IF(H325,Wh_hp,'2025'!Maxi_hp)</f>
        <v>18.279011260916313</v>
      </c>
      <c r="J325" s="85">
        <f>IF(H325,An,'2025'!An_max)</f>
        <v>2025</v>
      </c>
      <c r="K325" s="197">
        <f t="shared" si="104"/>
        <v>46333</v>
      </c>
      <c r="L325" s="147">
        <f>IF(t&lt;Tvie,1-EXP((T0-t)*PertePVj)+'2025'!Pspv,1-EXP((T0-t)*PertePVj)+Pspv)</f>
        <v>6.6135911505299294E-2</v>
      </c>
      <c r="M325" s="850"/>
      <c r="N325" s="850"/>
      <c r="O325" s="48">
        <f>IF(t&lt;Tnet,'2025'!Resal+('2025'!Salim-'2025'!Resal)*(1-EXP(('2025'!Tnet-t)/('2025'!Tau_j))),Resal+(Salim-Resal)*(1-EXP((Tnet-t)/(Tau_j))))*Salcycl</f>
        <v>8.7743162774053959E-2</v>
      </c>
      <c r="P325" s="169">
        <f>(INDEX(Models!$BJ325:$BT325,,T325)*(1-R325)+INDEX(Models!$BJ325:$BT325,,T325+1)*R325-ERP_i)*Q325*Ramure*Pc/MaxiM</f>
        <v>2.4399456418926595E-2</v>
      </c>
      <c r="Q325" s="305">
        <f t="shared" si="105"/>
        <v>0.7</v>
      </c>
      <c r="R325" s="177">
        <f t="shared" si="106"/>
        <v>0.9752509680705832</v>
      </c>
      <c r="S325" s="817">
        <f t="shared" si="107"/>
        <v>-2</v>
      </c>
      <c r="T325" s="176">
        <f t="shared" si="108"/>
        <v>4</v>
      </c>
      <c r="U325" s="251">
        <f t="shared" si="109"/>
        <v>-1.0247490319294168</v>
      </c>
      <c r="V325" s="383">
        <f t="shared" si="110"/>
        <v>15.723025766522326</v>
      </c>
      <c r="W325" s="402">
        <f t="shared" si="111"/>
        <v>15.201030012253714</v>
      </c>
      <c r="X325" s="157">
        <f t="shared" si="112"/>
        <v>46333</v>
      </c>
      <c r="Y325" s="385">
        <f t="shared" si="113"/>
        <v>13.612718460923093</v>
      </c>
      <c r="Z325" s="385">
        <f t="shared" si="114"/>
        <v>14.576766178968814</v>
      </c>
      <c r="AA325" s="386">
        <f t="shared" si="115"/>
        <v>16.692781841720663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0.1267623145630071</v>
      </c>
      <c r="AD325" s="231">
        <f>(INDEX(Models!$BJ325:$BT325,,AH325)*(1-AF325)+INDEX(Models!$BJ325:$BT325,,AH325+1)*AF325-ERP_i)*AE325*Ramure*Pc/MaxiM</f>
        <v>9.0509016207560411E-2</v>
      </c>
      <c r="AE325" s="305">
        <f t="shared" si="117"/>
        <v>0.7</v>
      </c>
      <c r="AF325" s="177">
        <f t="shared" si="118"/>
        <v>0.59911433744663922</v>
      </c>
      <c r="AG325" s="817">
        <f t="shared" si="124"/>
        <v>1</v>
      </c>
      <c r="AH325" s="176">
        <f t="shared" si="119"/>
        <v>7</v>
      </c>
      <c r="AI325" s="225">
        <f t="shared" si="120"/>
        <v>1.5991143374466392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46334</v>
      </c>
      <c r="B326" s="411">
        <f>'2025'!Wh/'2025'!Env_an*'2026'!Env_an</f>
        <v>11.075192335650218</v>
      </c>
      <c r="C326" s="846"/>
      <c r="D326" s="393">
        <f t="shared" si="102"/>
        <v>11.859793146079506</v>
      </c>
      <c r="E326" s="385">
        <f t="shared" si="125"/>
        <v>13.000836327326411</v>
      </c>
      <c r="F326" s="385">
        <f t="shared" si="103"/>
        <v>13.197084089826275</v>
      </c>
      <c r="G326" s="110">
        <f t="shared" si="126"/>
        <v>0.71029994468250102</v>
      </c>
      <c r="H326" s="414" t="b">
        <f>Wh_hp&gt;='2025'!Maxi_hp</f>
        <v>0</v>
      </c>
      <c r="I326" s="390">
        <f>IF(H326,Wh_hp,'2025'!Maxi_hp)</f>
        <v>16.798255579370284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6.6156365525536387E-2</v>
      </c>
      <c r="M326" s="850"/>
      <c r="N326" s="850"/>
      <c r="O326" s="48">
        <f>IF(t&lt;Tnet,'2025'!Resal+('2025'!Salim-'2025'!Resal)*(1-EXP(('2025'!Tnet-t)/('2025'!Tau_j))),Resal+(Salim-Resal)*(1-EXP((Tnet-t)/(Tau_j))))*Salcycl</f>
        <v>8.776690610653648E-2</v>
      </c>
      <c r="P326" s="169">
        <f>(INDEX(Models!$BJ326:$BT326,,T326)*(1-R326)+INDEX(Models!$BJ326:$BT326,,T326+1)*R326-ERP_i)*Q326*Ramure*Pc/MaxiM</f>
        <v>2.4925217870119178E-2</v>
      </c>
      <c r="Q326" s="305">
        <f t="shared" si="105"/>
        <v>0.7</v>
      </c>
      <c r="R326" s="177">
        <f t="shared" si="106"/>
        <v>0.97529320352794935</v>
      </c>
      <c r="S326" s="817">
        <f t="shared" si="107"/>
        <v>-2</v>
      </c>
      <c r="T326" s="176">
        <f t="shared" si="108"/>
        <v>4</v>
      </c>
      <c r="U326" s="251">
        <f t="shared" si="109"/>
        <v>-1.0247067964720507</v>
      </c>
      <c r="V326" s="383">
        <f t="shared" si="110"/>
        <v>15.433133537766562</v>
      </c>
      <c r="W326" s="402">
        <f t="shared" si="111"/>
        <v>11.075192335650218</v>
      </c>
      <c r="X326" s="157">
        <f t="shared" si="112"/>
        <v>46334</v>
      </c>
      <c r="Y326" s="385">
        <f t="shared" si="113"/>
        <v>10.178320579074118</v>
      </c>
      <c r="Z326" s="385">
        <f t="shared" si="114"/>
        <v>10.899384225927868</v>
      </c>
      <c r="AA326" s="386">
        <f t="shared" si="115"/>
        <v>12.480769026018429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0.12670571795647184</v>
      </c>
      <c r="AD326" s="231">
        <f>(INDEX(Models!$BJ326:$BT326,,AH326)*(1-AF326)+INDEX(Models!$BJ326:$BT326,,AH326+1)*AF326-ERP_i)*AE326*Ramure*Pc/MaxiM</f>
        <v>9.0978408118519136E-2</v>
      </c>
      <c r="AE326" s="305">
        <f t="shared" si="117"/>
        <v>0.7</v>
      </c>
      <c r="AF326" s="177">
        <f t="shared" si="118"/>
        <v>0.59915657290400537</v>
      </c>
      <c r="AG326" s="817">
        <f t="shared" si="124"/>
        <v>1</v>
      </c>
      <c r="AH326" s="176">
        <f t="shared" si="119"/>
        <v>7</v>
      </c>
      <c r="AI326" s="225">
        <f t="shared" si="120"/>
        <v>1.5991565729040054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46335</v>
      </c>
      <c r="B327" s="411">
        <f>'2025'!Wh/'2025'!Env_an*'2026'!Env_an</f>
        <v>6.1365078946056606</v>
      </c>
      <c r="C327" s="846"/>
      <c r="D327" s="393">
        <f t="shared" si="102"/>
        <v>6.5713809852919001</v>
      </c>
      <c r="E327" s="385">
        <f t="shared" si="125"/>
        <v>7.2038108506649277</v>
      </c>
      <c r="F327" s="385">
        <f t="shared" si="103"/>
        <v>7.2313802150798248</v>
      </c>
      <c r="G327" s="110">
        <f t="shared" si="126"/>
        <v>0.39624191828022809</v>
      </c>
      <c r="H327" s="414" t="b">
        <f>Wh_hp&gt;='2025'!Maxi_hp</f>
        <v>0</v>
      </c>
      <c r="I327" s="390">
        <f>IF(H327,Wh_hp,'2025'!Maxi_hp)</f>
        <v>13.987292778156712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6.6176819097777839E-2</v>
      </c>
      <c r="M327" s="850"/>
      <c r="N327" s="850"/>
      <c r="O327" s="48">
        <f>IF(t&lt;Tnet,'2025'!Resal+('2025'!Salim-'2025'!Resal)*(1-EXP(('2025'!Tnet-t)/('2025'!Tau_j))),Resal+(Salim-Resal)*(1-EXP((Tnet-t)/(Tau_j))))*Salcycl</f>
        <v>8.7791014850792881E-2</v>
      </c>
      <c r="P327" s="169">
        <f>(INDEX(Models!$BJ327:$BT327,,T327)*(1-R327)+INDEX(Models!$BJ327:$BT327,,T327+1)*R327-ERP_i)*Q327*Ramure*Pc/MaxiM</f>
        <v>2.5410795147848407E-2</v>
      </c>
      <c r="Q327" s="305">
        <f t="shared" si="105"/>
        <v>0.7</v>
      </c>
      <c r="R327" s="177">
        <f t="shared" si="106"/>
        <v>0.9753337451764188</v>
      </c>
      <c r="S327" s="817">
        <f t="shared" si="107"/>
        <v>-2</v>
      </c>
      <c r="T327" s="176">
        <f t="shared" si="108"/>
        <v>4</v>
      </c>
      <c r="U327" s="251">
        <f t="shared" si="109"/>
        <v>-1.0246662548235812</v>
      </c>
      <c r="V327" s="383">
        <f t="shared" si="110"/>
        <v>15.151002572820854</v>
      </c>
      <c r="W327" s="402">
        <f t="shared" si="111"/>
        <v>6.1365078946056606</v>
      </c>
      <c r="X327" s="157">
        <f t="shared" si="112"/>
        <v>46335</v>
      </c>
      <c r="Y327" s="385">
        <f t="shared" si="113"/>
        <v>5.8167122285664981</v>
      </c>
      <c r="Z327" s="385">
        <f t="shared" si="114"/>
        <v>6.2289225064499103</v>
      </c>
      <c r="AA327" s="386">
        <f t="shared" si="115"/>
        <v>7.1322170716688378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0.12664989808107016</v>
      </c>
      <c r="AD327" s="231">
        <f>(INDEX(Models!$BJ327:$BT327,,AH327)*(1-AF327)+INDEX(Models!$BJ327:$BT327,,AH327+1)*AF327-ERP_i)*AE327*Ramure*Pc/MaxiM</f>
        <v>9.1399072010225152E-2</v>
      </c>
      <c r="AE327" s="305">
        <f t="shared" si="117"/>
        <v>0.7</v>
      </c>
      <c r="AF327" s="177">
        <f t="shared" si="118"/>
        <v>0.59919711455247482</v>
      </c>
      <c r="AG327" s="817">
        <f t="shared" si="124"/>
        <v>1</v>
      </c>
      <c r="AH327" s="176">
        <f t="shared" si="119"/>
        <v>7</v>
      </c>
      <c r="AI327" s="225">
        <f t="shared" si="120"/>
        <v>1.5991971145524748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46336</v>
      </c>
      <c r="B328" s="411">
        <f>'2025'!Wh/'2025'!Env_an*'2026'!Env_an</f>
        <v>11.777812210700604</v>
      </c>
      <c r="C328" s="846"/>
      <c r="D328" s="393">
        <f t="shared" si="102"/>
        <v>12.612741278585188</v>
      </c>
      <c r="E328" s="385">
        <f t="shared" si="125"/>
        <v>13.82696412601581</v>
      </c>
      <c r="F328" s="385">
        <f t="shared" si="103"/>
        <v>14.082642112521002</v>
      </c>
      <c r="G328" s="110">
        <f t="shared" si="126"/>
        <v>0.78541219222008385</v>
      </c>
      <c r="H328" s="414" t="b">
        <f>Wh_hp&gt;='2025'!Maxi_hp</f>
        <v>0</v>
      </c>
      <c r="I328" s="390">
        <f>IF(H328,Wh_hp,'2025'!Maxi_hp)</f>
        <v>14.140247033170127</v>
      </c>
      <c r="J328" s="85">
        <f>IF(H328,An,'2025'!An_max)</f>
        <v>2025</v>
      </c>
      <c r="K328" s="197">
        <f t="shared" si="104"/>
        <v>46336</v>
      </c>
      <c r="L328" s="147">
        <f>IF(t&lt;Tvie,1-EXP((T0-t)*PertePVj)+'2025'!Pspv,1-EXP((T0-t)*PertePVj)+Pspv)</f>
        <v>6.6197272222033643E-2</v>
      </c>
      <c r="M328" s="850"/>
      <c r="N328" s="850"/>
      <c r="O328" s="48">
        <f>IF(t&lt;Tnet,'2025'!Resal+('2025'!Salim-'2025'!Resal)*(1-EXP(('2025'!Tnet-t)/('2025'!Tau_j))),Resal+(Salim-Resal)*(1-EXP((Tnet-t)/(Tau_j))))*Salcycl</f>
        <v>8.7815578052019908E-2</v>
      </c>
      <c r="P328" s="169">
        <f>(INDEX(Models!$BJ328:$BT328,,T328)*(1-R328)+INDEX(Models!$BJ328:$BT328,,T328+1)*R328-ERP_i)*Q328*Ramure*Pc/MaxiM</f>
        <v>2.5851186502708508E-2</v>
      </c>
      <c r="Q328" s="305">
        <f t="shared" si="105"/>
        <v>0.7</v>
      </c>
      <c r="R328" s="177">
        <f t="shared" si="106"/>
        <v>0.97537266068545403</v>
      </c>
      <c r="S328" s="817">
        <f t="shared" si="107"/>
        <v>-2</v>
      </c>
      <c r="T328" s="176">
        <f t="shared" si="108"/>
        <v>4</v>
      </c>
      <c r="U328" s="251">
        <f t="shared" si="109"/>
        <v>-1.024627339314546</v>
      </c>
      <c r="V328" s="383">
        <f t="shared" si="110"/>
        <v>14.878172825334971</v>
      </c>
      <c r="W328" s="402">
        <f t="shared" si="111"/>
        <v>11.777812210700604</v>
      </c>
      <c r="X328" s="157">
        <f t="shared" si="112"/>
        <v>46336</v>
      </c>
      <c r="Y328" s="385">
        <f t="shared" si="113"/>
        <v>10.74546229490951</v>
      </c>
      <c r="Z328" s="385">
        <f t="shared" si="114"/>
        <v>11.507208080746254</v>
      </c>
      <c r="AA328" s="386">
        <f t="shared" si="115"/>
        <v>13.175111009044464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0.12659498103304226</v>
      </c>
      <c r="AD328" s="231">
        <f>(INDEX(Models!$BJ328:$BT328,,AH328)*(1-AF328)+INDEX(Models!$BJ328:$BT328,,AH328+1)*AF328-ERP_i)*AE328*Ramure*Pc/MaxiM</f>
        <v>9.175899784592724E-2</v>
      </c>
      <c r="AE328" s="305">
        <f t="shared" si="117"/>
        <v>0.7</v>
      </c>
      <c r="AF328" s="177">
        <f t="shared" si="118"/>
        <v>0.59923603006151005</v>
      </c>
      <c r="AG328" s="817">
        <f t="shared" si="124"/>
        <v>1</v>
      </c>
      <c r="AH328" s="176">
        <f t="shared" si="119"/>
        <v>7</v>
      </c>
      <c r="AI328" s="225">
        <f t="shared" si="120"/>
        <v>1.59923603006151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46337</v>
      </c>
      <c r="B329" s="411">
        <f>'2025'!Wh/'2025'!Env_an*'2026'!Env_an</f>
        <v>13.723400696123456</v>
      </c>
      <c r="C329" s="846"/>
      <c r="D329" s="393">
        <f t="shared" si="102"/>
        <v>14.696574417873817</v>
      </c>
      <c r="E329" s="385">
        <f t="shared" si="125"/>
        <v>16.111850355452052</v>
      </c>
      <c r="F329" s="385">
        <f t="shared" si="103"/>
        <v>16.507217956570464</v>
      </c>
      <c r="G329" s="110">
        <f t="shared" si="126"/>
        <v>0.93671548096286605</v>
      </c>
      <c r="H329" s="414" t="b">
        <f>Wh_hp&gt;='2025'!Maxi_hp</f>
        <v>0</v>
      </c>
      <c r="I329" s="390">
        <f>IF(H329,Wh_hp,'2025'!Maxi_hp)</f>
        <v>16.527373461334747</v>
      </c>
      <c r="J329" s="85">
        <f>IF(H329,An,'2025'!An_max)</f>
        <v>2025</v>
      </c>
      <c r="K329" s="197">
        <f t="shared" si="104"/>
        <v>46337</v>
      </c>
      <c r="L329" s="147">
        <f>IF(t&lt;Tvie,1-EXP((T0-t)*PertePVj)+'2025'!Pspv,1-EXP((T0-t)*PertePVj)+Pspv)</f>
        <v>6.6217724898313568E-2</v>
      </c>
      <c r="M329" s="850"/>
      <c r="N329" s="850"/>
      <c r="O329" s="48">
        <f>IF(t&lt;Tnet,'2025'!Resal+('2025'!Salim-'2025'!Resal)*(1-EXP(('2025'!Tnet-t)/('2025'!Tau_j))),Resal+(Salim-Resal)*(1-EXP((Tnet-t)/(Tau_j))))*Salcycl</f>
        <v>8.7840682873480402E-2</v>
      </c>
      <c r="P329" s="169">
        <f>(INDEX(Models!$BJ329:$BT329,,T329)*(1-R329)+INDEX(Models!$BJ329:$BT329,,T329+1)*R329-ERP_i)*Q329*Ramure*Pc/MaxiM</f>
        <v>2.624097713887066E-2</v>
      </c>
      <c r="Q329" s="305">
        <f t="shared" si="105"/>
        <v>0.7</v>
      </c>
      <c r="R329" s="177">
        <f t="shared" si="106"/>
        <v>0.97541001504145108</v>
      </c>
      <c r="S329" s="817">
        <f t="shared" si="107"/>
        <v>-2</v>
      </c>
      <c r="T329" s="176">
        <f t="shared" si="108"/>
        <v>4</v>
      </c>
      <c r="U329" s="251">
        <f t="shared" si="109"/>
        <v>-1.0245899849585489</v>
      </c>
      <c r="V329" s="383">
        <f t="shared" si="110"/>
        <v>14.616184187456842</v>
      </c>
      <c r="W329" s="402">
        <f t="shared" si="111"/>
        <v>13.723400696123456</v>
      </c>
      <c r="X329" s="157">
        <f t="shared" si="112"/>
        <v>46337</v>
      </c>
      <c r="Y329" s="385">
        <f t="shared" si="113"/>
        <v>12.33249889503681</v>
      </c>
      <c r="Z329" s="385">
        <f t="shared" si="114"/>
        <v>13.207038968151149</v>
      </c>
      <c r="AA329" s="386">
        <f t="shared" si="115"/>
        <v>15.120389539369807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0.12654108984671061</v>
      </c>
      <c r="AD329" s="231">
        <f>(INDEX(Models!$BJ329:$BT329,,AH329)*(1-AF329)+INDEX(Models!$BJ329:$BT329,,AH329+1)*AF329-ERP_i)*AE329*Ramure*Pc/MaxiM</f>
        <v>9.2045308437904261E-2</v>
      </c>
      <c r="AE329" s="305">
        <f t="shared" si="117"/>
        <v>0.7</v>
      </c>
      <c r="AF329" s="177">
        <f t="shared" si="118"/>
        <v>0.5992733844175071</v>
      </c>
      <c r="AG329" s="817">
        <f t="shared" si="124"/>
        <v>1</v>
      </c>
      <c r="AH329" s="176">
        <f t="shared" si="119"/>
        <v>7</v>
      </c>
      <c r="AI329" s="225">
        <f t="shared" si="120"/>
        <v>1.5992733844175071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46338</v>
      </c>
      <c r="B330" s="411">
        <f>'2025'!Wh/'2025'!Env_an*'2026'!Env_an</f>
        <v>13.521016866229264</v>
      </c>
      <c r="C330" s="846"/>
      <c r="D330" s="393">
        <f t="shared" si="102"/>
        <v>14.480156004474866</v>
      </c>
      <c r="E330" s="385">
        <f t="shared" si="125"/>
        <v>15.875038733122324</v>
      </c>
      <c r="F330" s="385">
        <f t="shared" si="103"/>
        <v>16.271076874549664</v>
      </c>
      <c r="G330" s="110">
        <f t="shared" si="126"/>
        <v>0.93898864130741333</v>
      </c>
      <c r="H330" s="414" t="b">
        <f>Wh_hp&gt;='2025'!Maxi_hp</f>
        <v>0</v>
      </c>
      <c r="I330" s="390">
        <f>IF(H330,Wh_hp,'2025'!Maxi_hp)</f>
        <v>16.290472965777397</v>
      </c>
      <c r="J330" s="85">
        <f>IF(H330,An,'2025'!An_max)</f>
        <v>2025</v>
      </c>
      <c r="K330" s="197">
        <f t="shared" si="104"/>
        <v>46338</v>
      </c>
      <c r="L330" s="147">
        <f>IF(t&lt;Tvie,1-EXP((T0-t)*PertePVj)+'2025'!Pspv,1-EXP((T0-t)*PertePVj)+Pspv)</f>
        <v>6.6238177126627273E-2</v>
      </c>
      <c r="M330" s="850"/>
      <c r="N330" s="850"/>
      <c r="O330" s="48">
        <f>IF(t&lt;Tnet,'2025'!Resal+('2025'!Salim-'2025'!Resal)*(1-EXP(('2025'!Tnet-t)/('2025'!Tau_j))),Resal+(Salim-Resal)*(1-EXP((Tnet-t)/(Tau_j))))*Salcycl</f>
        <v>8.786641419255993E-2</v>
      </c>
      <c r="P330" s="169">
        <f>(INDEX(Models!$BJ330:$BT330,,T330)*(1-R330)+INDEX(Models!$BJ330:$BT330,,T330+1)*R330-ERP_i)*Q330*Ramure*Pc/MaxiM</f>
        <v>2.6574383259521699E-2</v>
      </c>
      <c r="Q330" s="305">
        <f t="shared" si="105"/>
        <v>0.7</v>
      </c>
      <c r="R330" s="177">
        <f t="shared" si="106"/>
        <v>0.9754458706525142</v>
      </c>
      <c r="S330" s="817">
        <f t="shared" si="107"/>
        <v>-2</v>
      </c>
      <c r="T330" s="176">
        <f t="shared" si="108"/>
        <v>4</v>
      </c>
      <c r="U330" s="251">
        <f t="shared" si="109"/>
        <v>-1.0245541293474858</v>
      </c>
      <c r="V330" s="383">
        <f t="shared" si="110"/>
        <v>14.366576512340247</v>
      </c>
      <c r="W330" s="402">
        <f t="shared" si="111"/>
        <v>13.521016866229264</v>
      </c>
      <c r="X330" s="157">
        <f t="shared" si="112"/>
        <v>46338</v>
      </c>
      <c r="Y330" s="385">
        <f t="shared" si="113"/>
        <v>12.15024278878917</v>
      </c>
      <c r="Z330" s="385">
        <f t="shared" si="114"/>
        <v>13.012143451528605</v>
      </c>
      <c r="AA330" s="386">
        <f t="shared" si="115"/>
        <v>14.896359265546534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0.12648834392547792</v>
      </c>
      <c r="AD330" s="231">
        <f>(INDEX(Models!$BJ330:$BT330,,AH330)*(1-AF330)+INDEX(Models!$BJ330:$BT330,,AH330+1)*AF330-ERP_i)*AE330*Ramure*Pc/MaxiM</f>
        <v>9.2244329002248091E-2</v>
      </c>
      <c r="AE330" s="305">
        <f t="shared" si="117"/>
        <v>0.7</v>
      </c>
      <c r="AF330" s="177">
        <f t="shared" si="118"/>
        <v>0.59930924002857022</v>
      </c>
      <c r="AG330" s="817">
        <f t="shared" si="124"/>
        <v>1</v>
      </c>
      <c r="AH330" s="176">
        <f t="shared" si="119"/>
        <v>7</v>
      </c>
      <c r="AI330" s="225">
        <f t="shared" si="120"/>
        <v>1.5993092400285702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46339</v>
      </c>
      <c r="B331" s="411">
        <f>'2025'!Wh/'2025'!Env_an*'2026'!Env_an</f>
        <v>13.54304832034456</v>
      </c>
      <c r="C331" s="846"/>
      <c r="D331" s="393">
        <f t="shared" si="102"/>
        <v>14.504067978150516</v>
      </c>
      <c r="E331" s="385">
        <f t="shared" si="125"/>
        <v>15.901715105596749</v>
      </c>
      <c r="F331" s="385">
        <f t="shared" si="103"/>
        <v>16.31391502899541</v>
      </c>
      <c r="G331" s="110">
        <f t="shared" si="126"/>
        <v>0.95710352430897438</v>
      </c>
      <c r="H331" s="414" t="b">
        <f>Wh_hp&gt;='2025'!Maxi_hp</f>
        <v>0</v>
      </c>
      <c r="I331" s="390">
        <f>IF(H331,Wh_hp,'2025'!Maxi_hp)</f>
        <v>17.166565954887307</v>
      </c>
      <c r="J331" s="85">
        <f>IF(H331,An,'2025'!An_max)</f>
        <v>2020</v>
      </c>
      <c r="K331" s="197">
        <f t="shared" si="104"/>
        <v>46339</v>
      </c>
      <c r="L331" s="147">
        <f>IF(t&lt;Tvie,1-EXP((T0-t)*PertePVj)+'2025'!Pspv,1-EXP((T0-t)*PertePVj)+Pspv)</f>
        <v>6.6258628906984751E-2</v>
      </c>
      <c r="M331" s="850"/>
      <c r="N331" s="850"/>
      <c r="O331" s="48">
        <f>IF(t&lt;Tnet,'2025'!Resal+('2025'!Salim-'2025'!Resal)*(1-EXP(('2025'!Tnet-t)/('2025'!Tau_j))),Resal+(Salim-Resal)*(1-EXP((Tnet-t)/(Tau_j))))*Salcycl</f>
        <v>8.7892854208809101E-2</v>
      </c>
      <c r="P331" s="169">
        <f>(INDEX(Models!$BJ331:$BT331,,T331)*(1-R331)+INDEX(Models!$BJ331:$BT331,,T331+1)*R331-ERP_i)*Q331*Ramure*Pc/MaxiM</f>
        <v>2.6852481211489664E-2</v>
      </c>
      <c r="Q331" s="305">
        <f t="shared" si="105"/>
        <v>0.7</v>
      </c>
      <c r="R331" s="177">
        <f t="shared" si="106"/>
        <v>0.97548028744926496</v>
      </c>
      <c r="S331" s="817">
        <f t="shared" si="107"/>
        <v>-2</v>
      </c>
      <c r="T331" s="176">
        <f t="shared" si="108"/>
        <v>4</v>
      </c>
      <c r="U331" s="251">
        <f t="shared" si="109"/>
        <v>-1.024519712550735</v>
      </c>
      <c r="V331" s="383">
        <f t="shared" si="110"/>
        <v>14.1270154395052</v>
      </c>
      <c r="W331" s="402">
        <f t="shared" si="111"/>
        <v>13.54304832034456</v>
      </c>
      <c r="X331" s="157">
        <f t="shared" si="112"/>
        <v>46339</v>
      </c>
      <c r="Y331" s="385">
        <f t="shared" si="113"/>
        <v>12.150434267306828</v>
      </c>
      <c r="Z331" s="385">
        <f t="shared" si="114"/>
        <v>13.012633523010575</v>
      </c>
      <c r="AA331" s="386">
        <f t="shared" si="115"/>
        <v>14.896042317620594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0.12643685849241487</v>
      </c>
      <c r="AD331" s="231">
        <f>(INDEX(Models!$BJ331:$BT331,,AH331)*(1-AF331)+INDEX(Models!$BJ331:$BT331,,AH331+1)*AF331-ERP_i)*AE331*Ramure*Pc/MaxiM</f>
        <v>9.2366345021498847E-2</v>
      </c>
      <c r="AE331" s="305">
        <f t="shared" si="117"/>
        <v>0.7</v>
      </c>
      <c r="AF331" s="177">
        <f t="shared" si="118"/>
        <v>0.59934365682532098</v>
      </c>
      <c r="AG331" s="817">
        <f t="shared" si="124"/>
        <v>1</v>
      </c>
      <c r="AH331" s="176">
        <f t="shared" si="119"/>
        <v>7</v>
      </c>
      <c r="AI331" s="225">
        <f t="shared" si="120"/>
        <v>1.599343656825321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46340</v>
      </c>
      <c r="B332" s="411">
        <f>'2025'!Wh/'2025'!Env_an*'2026'!Env_an</f>
        <v>6.0881707609864915</v>
      </c>
      <c r="C332" s="846"/>
      <c r="D332" s="393">
        <f t="shared" si="102"/>
        <v>6.5203323949809668</v>
      </c>
      <c r="E332" s="385">
        <f t="shared" si="125"/>
        <v>7.1488608254373611</v>
      </c>
      <c r="F332" s="385">
        <f t="shared" si="103"/>
        <v>7.1872797058225926</v>
      </c>
      <c r="G332" s="110">
        <f t="shared" si="126"/>
        <v>0.42860843293712109</v>
      </c>
      <c r="H332" s="414" t="b">
        <f>Wh_hp&gt;='2025'!Maxi_hp</f>
        <v>0</v>
      </c>
      <c r="I332" s="390">
        <f>IF(H332,Wh_hp,'2025'!Maxi_hp)</f>
        <v>12.052084330395068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6.6279080239395771E-2</v>
      </c>
      <c r="M332" s="850"/>
      <c r="N332" s="850"/>
      <c r="O332" s="48">
        <f>IF(t&lt;Tnet,'2025'!Resal+('2025'!Salim-'2025'!Resal)*(1-EXP(('2025'!Tnet-t)/('2025'!Tau_j))),Resal+(Salim-Resal)*(1-EXP((Tnet-t)/(Tau_j))))*Salcycl</f>
        <v>8.7920082066773403E-2</v>
      </c>
      <c r="P332" s="169">
        <f>(INDEX(Models!$BJ332:$BT332,,T332)*(1-R332)+INDEX(Models!$BJ332:$BT332,,T332+1)*R332-ERP_i)*Q332*Ramure*Pc/MaxiM</f>
        <v>2.7078499155403325E-2</v>
      </c>
      <c r="Q332" s="305">
        <f t="shared" si="105"/>
        <v>0.7</v>
      </c>
      <c r="R332" s="177">
        <f t="shared" si="106"/>
        <v>0.97551332298182669</v>
      </c>
      <c r="S332" s="817">
        <f t="shared" si="107"/>
        <v>-2</v>
      </c>
      <c r="T332" s="176">
        <f t="shared" si="108"/>
        <v>4</v>
      </c>
      <c r="U332" s="251">
        <f t="shared" si="109"/>
        <v>-1.0244866770181733</v>
      </c>
      <c r="V332" s="383">
        <f t="shared" si="110"/>
        <v>13.894138341933372</v>
      </c>
      <c r="W332" s="402">
        <f t="shared" si="111"/>
        <v>6.0881707609864915</v>
      </c>
      <c r="X332" s="157">
        <f t="shared" si="112"/>
        <v>46340</v>
      </c>
      <c r="Y332" s="385">
        <f t="shared" si="113"/>
        <v>5.7557782811105067</v>
      </c>
      <c r="Z332" s="385">
        <f t="shared" si="114"/>
        <v>6.1643454262395929</v>
      </c>
      <c r="AA332" s="386">
        <f t="shared" si="115"/>
        <v>7.0561491419192555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0.12638674406435432</v>
      </c>
      <c r="AD332" s="231">
        <f>(INDEX(Models!$BJ332:$BT332,,AH332)*(1-AF332)+INDEX(Models!$BJ332:$BT332,,AH332+1)*AF332-ERP_i)*AE332*Ramure*Pc/MaxiM</f>
        <v>9.2423798619311243E-2</v>
      </c>
      <c r="AE332" s="305">
        <f t="shared" si="117"/>
        <v>0.7</v>
      </c>
      <c r="AF332" s="177">
        <f t="shared" si="118"/>
        <v>0.59937669235788271</v>
      </c>
      <c r="AG332" s="817">
        <f t="shared" si="124"/>
        <v>1</v>
      </c>
      <c r="AH332" s="176">
        <f t="shared" si="119"/>
        <v>7</v>
      </c>
      <c r="AI332" s="225">
        <f t="shared" si="120"/>
        <v>1.5993766923578827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46341</v>
      </c>
      <c r="B333" s="411">
        <f>'2025'!Wh/'2025'!Env_an*'2026'!Env_an</f>
        <v>7.5329309605937249</v>
      </c>
      <c r="C333" s="846"/>
      <c r="D333" s="393">
        <f t="shared" si="102"/>
        <v>8.0678239025208054</v>
      </c>
      <c r="E333" s="385">
        <f t="shared" si="125"/>
        <v>8.8457954559977612</v>
      </c>
      <c r="F333" s="385">
        <f t="shared" si="103"/>
        <v>8.9332706530078703</v>
      </c>
      <c r="G333" s="110">
        <f t="shared" si="126"/>
        <v>0.54142194446773972</v>
      </c>
      <c r="H333" s="414" t="b">
        <f>Wh_hp&gt;='2025'!Maxi_hp</f>
        <v>0</v>
      </c>
      <c r="I333" s="390">
        <f>IF(H333,Wh_hp,'2025'!Maxi_hp)</f>
        <v>15.011200511504091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6.6299531123870103E-2</v>
      </c>
      <c r="M333" s="850"/>
      <c r="N333" s="850"/>
      <c r="O333" s="48">
        <f>IF(t&lt;Tnet,'2025'!Resal+('2025'!Salim-'2025'!Resal)*(1-EXP(('2025'!Tnet-t)/('2025'!Tau_j))),Resal+(Salim-Resal)*(1-EXP((Tnet-t)/(Tau_j))))*Salcycl</f>
        <v>8.7948173496309345E-2</v>
      </c>
      <c r="P333" s="169">
        <f>(INDEX(Models!$BJ333:$BT333,,T333)*(1-R333)+INDEX(Models!$BJ333:$BT333,,T333+1)*R333-ERP_i)*Q333*Ramure*Pc/MaxiM</f>
        <v>2.7290939497101138E-2</v>
      </c>
      <c r="Q333" s="305">
        <f t="shared" si="105"/>
        <v>0.7</v>
      </c>
      <c r="R333" s="177">
        <f t="shared" si="106"/>
        <v>0.97554503251312186</v>
      </c>
      <c r="S333" s="817">
        <f t="shared" si="107"/>
        <v>-2</v>
      </c>
      <c r="T333" s="176">
        <f t="shared" si="108"/>
        <v>4</v>
      </c>
      <c r="U333" s="251">
        <f t="shared" si="109"/>
        <v>-1.0244549674868781</v>
      </c>
      <c r="V333" s="383">
        <f t="shared" si="110"/>
        <v>13.667361870062313</v>
      </c>
      <c r="W333" s="402">
        <f t="shared" si="111"/>
        <v>7.5329309605937249</v>
      </c>
      <c r="X333" s="157">
        <f t="shared" si="112"/>
        <v>46341</v>
      </c>
      <c r="Y333" s="385">
        <f t="shared" si="113"/>
        <v>7.0454480268848192</v>
      </c>
      <c r="Z333" s="385">
        <f t="shared" si="114"/>
        <v>7.5457261313847628</v>
      </c>
      <c r="AA333" s="386">
        <f t="shared" si="115"/>
        <v>8.6368950995828566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0.12633810595323713</v>
      </c>
      <c r="AD333" s="231">
        <f>(INDEX(Models!$BJ333:$BT333,,AH333)*(1-AF333)+INDEX(Models!$BJ333:$BT333,,AH333+1)*AF333-ERP_i)*AE333*Ramure*Pc/MaxiM</f>
        <v>9.2464693689197158E-2</v>
      </c>
      <c r="AE333" s="305">
        <f t="shared" si="117"/>
        <v>0.7</v>
      </c>
      <c r="AF333" s="177">
        <f t="shared" si="118"/>
        <v>0.59940840188917788</v>
      </c>
      <c r="AG333" s="817">
        <f t="shared" si="124"/>
        <v>1</v>
      </c>
      <c r="AH333" s="176">
        <f t="shared" si="119"/>
        <v>7</v>
      </c>
      <c r="AI333" s="225">
        <f t="shared" si="120"/>
        <v>1.5994084018891779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46342</v>
      </c>
      <c r="B334" s="411">
        <f>'2025'!Wh/'2025'!Env_an*'2026'!Env_an</f>
        <v>12.115502220381062</v>
      </c>
      <c r="C334" s="846"/>
      <c r="D334" s="393">
        <f t="shared" si="102"/>
        <v>12.976075294648757</v>
      </c>
      <c r="E334" s="385">
        <f t="shared" si="125"/>
        <v>14.22779704781275</v>
      </c>
      <c r="F334" s="385">
        <f t="shared" si="103"/>
        <v>14.571709726367255</v>
      </c>
      <c r="G334" s="110">
        <f t="shared" si="126"/>
        <v>0.89741565183793737</v>
      </c>
      <c r="H334" s="414" t="b">
        <f>Wh_hp&gt;='2025'!Maxi_hp</f>
        <v>0</v>
      </c>
      <c r="I334" s="390">
        <f>IF(H334,Wh_hp,'2025'!Maxi_hp)</f>
        <v>14.601945997401224</v>
      </c>
      <c r="J334" s="85">
        <f>IF(H334,An,'2025'!An_max)</f>
        <v>2025</v>
      </c>
      <c r="K334" s="197">
        <f t="shared" si="104"/>
        <v>46342</v>
      </c>
      <c r="L334" s="147">
        <f>IF(t&lt;Tvie,1-EXP((T0-t)*PertePVj)+'2025'!Pspv,1-EXP((T0-t)*PertePVj)+Pspv)</f>
        <v>6.6319981560417518E-2</v>
      </c>
      <c r="M334" s="850"/>
      <c r="N334" s="850"/>
      <c r="O334" s="48">
        <f>IF(t&lt;Tnet,'2025'!Resal+('2025'!Salim-'2025'!Resal)*(1-EXP(('2025'!Tnet-t)/('2025'!Tau_j))),Resal+(Salim-Resal)*(1-EXP((Tnet-t)/(Tau_j))))*Salcycl</f>
        <v>8.7977200472958747E-2</v>
      </c>
      <c r="P334" s="169">
        <f>(INDEX(Models!$BJ334:$BT334,,T334)*(1-R334)+INDEX(Models!$BJ334:$BT334,,T334+1)*R334-ERP_i)*Q334*Ramure*Pc/MaxiM</f>
        <v>2.7489005352658444E-2</v>
      </c>
      <c r="Q334" s="305">
        <f t="shared" si="105"/>
        <v>0.7</v>
      </c>
      <c r="R334" s="177">
        <f t="shared" si="106"/>
        <v>0.97557546910861137</v>
      </c>
      <c r="S334" s="817">
        <f t="shared" si="107"/>
        <v>-2</v>
      </c>
      <c r="T334" s="176">
        <f t="shared" si="108"/>
        <v>4</v>
      </c>
      <c r="U334" s="251">
        <f t="shared" si="109"/>
        <v>-1.0244245308913886</v>
      </c>
      <c r="V334" s="383">
        <f t="shared" si="110"/>
        <v>13.446682527501734</v>
      </c>
      <c r="W334" s="402">
        <f t="shared" si="111"/>
        <v>12.115502220381062</v>
      </c>
      <c r="X334" s="157">
        <f t="shared" si="112"/>
        <v>46342</v>
      </c>
      <c r="Y334" s="385">
        <f t="shared" si="113"/>
        <v>10.943153810788042</v>
      </c>
      <c r="Z334" s="385">
        <f t="shared" si="114"/>
        <v>11.72045411133125</v>
      </c>
      <c r="AA334" s="386">
        <f t="shared" si="115"/>
        <v>13.414597650782136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0.12629104379825426</v>
      </c>
      <c r="AD334" s="231">
        <f>(INDEX(Models!$BJ334:$BT334,,AH334)*(1-AF334)+INDEX(Models!$BJ334:$BT334,,AH334+1)*AF334-ERP_i)*AE334*Ramure*Pc/MaxiM</f>
        <v>9.2488186748672249E-2</v>
      </c>
      <c r="AE334" s="305">
        <f t="shared" si="117"/>
        <v>0.7</v>
      </c>
      <c r="AF334" s="177">
        <f t="shared" si="118"/>
        <v>0.59943883848466739</v>
      </c>
      <c r="AG334" s="817">
        <f t="shared" si="124"/>
        <v>1</v>
      </c>
      <c r="AH334" s="176">
        <f t="shared" si="119"/>
        <v>7</v>
      </c>
      <c r="AI334" s="225">
        <f t="shared" si="120"/>
        <v>1.5994388384846674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46343</v>
      </c>
      <c r="B335" s="411">
        <f>'2025'!Wh/'2025'!Env_an*'2026'!Env_an</f>
        <v>9.1448331091218851</v>
      </c>
      <c r="C335" s="846"/>
      <c r="D335" s="393">
        <f t="shared" ref="D335:D379" si="127">Wh/(1-Ppv)</f>
        <v>9.7946118886718097</v>
      </c>
      <c r="E335" s="385">
        <f t="shared" si="125"/>
        <v>10.739791169996062</v>
      </c>
      <c r="F335" s="385">
        <f t="shared" ref="F335:F379" si="128">Wh_sa/(1-Pvg*MEDIAN((-Sdif+Wh/Env_an)/Csdif,0,1))</f>
        <v>10.908447346814203</v>
      </c>
      <c r="G335" s="110">
        <f t="shared" si="126"/>
        <v>0.68253834950315728</v>
      </c>
      <c r="H335" s="414" t="b">
        <f>Wh_hp&gt;='2025'!Maxi_hp</f>
        <v>0</v>
      </c>
      <c r="I335" s="390">
        <f>IF(H335,Wh_hp,'2025'!Maxi_hp)</f>
        <v>16.318890198291346</v>
      </c>
      <c r="J335" s="85">
        <f>IF(H335,An,'2025'!An_max)</f>
        <v>2018</v>
      </c>
      <c r="K335" s="197">
        <f t="shared" ref="K335:K379" si="129">t</f>
        <v>46343</v>
      </c>
      <c r="L335" s="147">
        <f>IF(t&lt;Tvie,1-EXP((T0-t)*PertePVj)+'2025'!Pspv,1-EXP((T0-t)*PertePVj)+Pspv)</f>
        <v>6.6340431549048007E-2</v>
      </c>
      <c r="M335" s="850"/>
      <c r="N335" s="850"/>
      <c r="O335" s="48">
        <f>IF(t&lt;Tnet,'2025'!Resal+('2025'!Salim-'2025'!Resal)*(1-EXP(('2025'!Tnet-t)/('2025'!Tau_j))),Resal+(Salim-Resal)*(1-EXP((Tnet-t)/(Tau_j))))*Salcycl</f>
        <v>8.8007230900803354E-2</v>
      </c>
      <c r="P335" s="169">
        <f>(INDEX(Models!$BJ335:$BT335,,T335)*(1-R335)+INDEX(Models!$BJ335:$BT335,,T335+1)*R335-ERP_i)*Q335*Ramure*Pc/MaxiM</f>
        <v>2.7671873059590339E-2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0.97560468372260556</v>
      </c>
      <c r="S335" s="817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-1.0243953162773944</v>
      </c>
      <c r="V335" s="383">
        <f t="shared" ref="V335:V379" si="135">MaxiM*(1-Ppv)*(1-Pvg)*(1-Psa)</f>
        <v>13.232097066092688</v>
      </c>
      <c r="W335" s="402">
        <f t="shared" ref="W335:W379" si="136">Wh*(A335&gt;Tmaj)</f>
        <v>9.1448331091218851</v>
      </c>
      <c r="X335" s="157">
        <f t="shared" ref="X335:X379" si="137">t</f>
        <v>46343</v>
      </c>
      <c r="Y335" s="385">
        <f t="shared" ref="Y335:Y379" si="138">Wh_pvt_s*(1-Ppv)</f>
        <v>8.4391042979715447</v>
      </c>
      <c r="Z335" s="385">
        <f t="shared" ref="Z335:Z379" si="139">Wh_sa_s*(1-Psa_s)</f>
        <v>9.0387380830606006</v>
      </c>
      <c r="AA335" s="386">
        <f t="shared" ref="AA335:AA379" si="140">Wh_hp*(1-Pvg_s*MEDIAN((-Sdif+Wh/Env_an)/Csdif,0,1))</f>
        <v>10.344713127633415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0.12624565113209538</v>
      </c>
      <c r="AD335" s="231">
        <f>(INDEX(Models!$BJ335:$BT335,,AH335)*(1-AF335)+INDEX(Models!$BJ335:$BT335,,AH335+1)*AF335-ERP_i)*AE335*Ramure*Pc/MaxiM</f>
        <v>9.2493391269854272E-2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0.59946805309866158</v>
      </c>
      <c r="AG335" s="817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1.5994680530986616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46344</v>
      </c>
      <c r="B336" s="411">
        <f>'2025'!Wh/'2025'!Env_an*'2026'!Env_an</f>
        <v>7.6273348343497389</v>
      </c>
      <c r="C336" s="846"/>
      <c r="D336" s="393">
        <f t="shared" si="127"/>
        <v>8.1694679238082788</v>
      </c>
      <c r="E336" s="385">
        <f t="shared" si="125"/>
        <v>8.9581263966489857</v>
      </c>
      <c r="F336" s="385">
        <f t="shared" si="128"/>
        <v>9.0610633809158845</v>
      </c>
      <c r="G336" s="110">
        <f t="shared" si="126"/>
        <v>0.57589325761737131</v>
      </c>
      <c r="H336" s="414" t="b">
        <f>Wh_hp&gt;='2025'!Maxi_hp</f>
        <v>0</v>
      </c>
      <c r="I336" s="390">
        <f>IF(H336,Wh_hp,'2025'!Maxi_hp)</f>
        <v>14.520944266694507</v>
      </c>
      <c r="J336" s="85">
        <f>IF(H336,An,'2025'!An_max)</f>
        <v>2018</v>
      </c>
      <c r="K336" s="197">
        <f t="shared" si="129"/>
        <v>46344</v>
      </c>
      <c r="L336" s="147">
        <f>IF(t&lt;Tvie,1-EXP((T0-t)*PertePVj)+'2025'!Pspv,1-EXP((T0-t)*PertePVj)+Pspv)</f>
        <v>6.6360881089771118E-2</v>
      </c>
      <c r="M336" s="850"/>
      <c r="N336" s="850"/>
      <c r="O336" s="48">
        <f>IF(t&lt;Tnet,'2025'!Resal+('2025'!Salim-'2025'!Resal)*(1-EXP(('2025'!Tnet-t)/('2025'!Tau_j))),Resal+(Salim-Resal)*(1-EXP((Tnet-t)/(Tau_j))))*Salcycl</f>
        <v>8.8038328320051998E-2</v>
      </c>
      <c r="P336" s="169">
        <f>(INDEX(Models!$BJ336:$BT336,,T336)*(1-R336)+INDEX(Models!$BJ336:$BT336,,T336+1)*R336-ERP_i)*Q336*Ramure*Pc/MaxiM</f>
        <v>2.7838693015794582E-2</v>
      </c>
      <c r="Q336" s="305">
        <f t="shared" si="130"/>
        <v>0.7</v>
      </c>
      <c r="R336" s="177">
        <f t="shared" si="131"/>
        <v>0.97563272528126888</v>
      </c>
      <c r="S336" s="817">
        <f t="shared" si="132"/>
        <v>-2</v>
      </c>
      <c r="T336" s="176">
        <f t="shared" si="133"/>
        <v>4</v>
      </c>
      <c r="U336" s="251">
        <f t="shared" si="134"/>
        <v>-1.0243672747187311</v>
      </c>
      <c r="V336" s="383">
        <f t="shared" si="135"/>
        <v>13.023602489665373</v>
      </c>
      <c r="W336" s="402">
        <f t="shared" si="136"/>
        <v>7.6273348343497389</v>
      </c>
      <c r="X336" s="157">
        <f t="shared" si="137"/>
        <v>46344</v>
      </c>
      <c r="Y336" s="385">
        <f t="shared" si="138"/>
        <v>7.1131540161950539</v>
      </c>
      <c r="Z336" s="385">
        <f t="shared" si="139"/>
        <v>7.6187403378060434</v>
      </c>
      <c r="AA336" s="386">
        <f t="shared" si="140"/>
        <v>8.7191095292690814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0.12620201498435374</v>
      </c>
      <c r="AD336" s="231">
        <f>(INDEX(Models!$BJ336:$BT336,,AH336)*(1-AF336)+INDEX(Models!$BJ336:$BT336,,AH336+1)*AF336-ERP_i)*AE336*Ramure*Pc/MaxiM</f>
        <v>9.2479378226987277E-2</v>
      </c>
      <c r="AE336" s="305">
        <f t="shared" si="142"/>
        <v>0.7</v>
      </c>
      <c r="AF336" s="177">
        <f t="shared" si="143"/>
        <v>0.5994960946573249</v>
      </c>
      <c r="AG336" s="817">
        <f t="shared" ref="AG336:AG379" si="149">INDEX(Echel_vg,AH336)</f>
        <v>1</v>
      </c>
      <c r="AH336" s="176">
        <f t="shared" si="144"/>
        <v>7</v>
      </c>
      <c r="AI336" s="225">
        <f t="shared" si="145"/>
        <v>1.5994960946573249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46345</v>
      </c>
      <c r="B337" s="411">
        <f>'2025'!Wh/'2025'!Env_an*'2026'!Env_an</f>
        <v>5.1852007862420324</v>
      </c>
      <c r="C337" s="846"/>
      <c r="D337" s="393">
        <f t="shared" si="127"/>
        <v>5.5538743534939732</v>
      </c>
      <c r="E337" s="385">
        <f t="shared" si="125"/>
        <v>6.0902456472818578</v>
      </c>
      <c r="F337" s="385">
        <f t="shared" si="128"/>
        <v>6.115780636014331</v>
      </c>
      <c r="G337" s="110">
        <f t="shared" si="126"/>
        <v>0.39475304529346794</v>
      </c>
      <c r="H337" s="414" t="b">
        <f>Wh_hp&gt;='2025'!Maxi_hp</f>
        <v>0</v>
      </c>
      <c r="I337" s="390">
        <f>IF(H337,Wh_hp,'2025'!Maxi_hp)</f>
        <v>15.038910963249226</v>
      </c>
      <c r="J337" s="85">
        <f>IF(H337,An,'2025'!An_max)</f>
        <v>2020</v>
      </c>
      <c r="K337" s="197">
        <f t="shared" si="129"/>
        <v>46345</v>
      </c>
      <c r="L337" s="147">
        <f>IF(t&lt;Tvie,1-EXP((T0-t)*PertePVj)+'2025'!Pspv,1-EXP((T0-t)*PertePVj)+Pspv)</f>
        <v>6.6381330182596954E-2</v>
      </c>
      <c r="M337" s="850"/>
      <c r="N337" s="850"/>
      <c r="O337" s="48">
        <f>IF(t&lt;Tnet,'2025'!Resal+('2025'!Salim-'2025'!Resal)*(1-EXP(('2025'!Tnet-t)/('2025'!Tau_j))),Resal+(Salim-Resal)*(1-EXP((Tnet-t)/(Tau_j))))*Salcycl</f>
        <v>8.8070551641422315E-2</v>
      </c>
      <c r="P337" s="169">
        <f>(INDEX(Models!$BJ337:$BT337,,T337)*(1-R337)+INDEX(Models!$BJ337:$BT337,,T337+1)*R337-ERP_i)*Q337*Ramure*Pc/MaxiM</f>
        <v>2.7988590887346124E-2</v>
      </c>
      <c r="Q337" s="305">
        <f t="shared" si="130"/>
        <v>0.7</v>
      </c>
      <c r="R337" s="177">
        <f t="shared" si="131"/>
        <v>0.97565964076243938</v>
      </c>
      <c r="S337" s="817">
        <f t="shared" si="132"/>
        <v>-2</v>
      </c>
      <c r="T337" s="176">
        <f t="shared" si="133"/>
        <v>4</v>
      </c>
      <c r="U337" s="251">
        <f t="shared" si="134"/>
        <v>-1.0243403592375606</v>
      </c>
      <c r="V337" s="383">
        <f t="shared" si="135"/>
        <v>12.821196053661961</v>
      </c>
      <c r="W337" s="402">
        <f t="shared" si="136"/>
        <v>5.1852007862420324</v>
      </c>
      <c r="X337" s="157">
        <f t="shared" si="137"/>
        <v>46345</v>
      </c>
      <c r="Y337" s="385">
        <f t="shared" si="138"/>
        <v>4.9206482964215512</v>
      </c>
      <c r="Z337" s="385">
        <f t="shared" si="139"/>
        <v>5.2705118861686113</v>
      </c>
      <c r="AA337" s="386">
        <f t="shared" si="140"/>
        <v>6.0314396069002552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0.12616021552484843</v>
      </c>
      <c r="AD337" s="231">
        <f>(INDEX(Models!$BJ337:$BT337,,AH337)*(1-AF337)+INDEX(Models!$BJ337:$BT337,,AH337+1)*AF337-ERP_i)*AE337*Ramure*Pc/MaxiM</f>
        <v>9.2445177228123704E-2</v>
      </c>
      <c r="AE337" s="305">
        <f t="shared" si="142"/>
        <v>0.7</v>
      </c>
      <c r="AF337" s="177">
        <f t="shared" si="143"/>
        <v>0.5995230101384954</v>
      </c>
      <c r="AG337" s="817">
        <f t="shared" si="149"/>
        <v>1</v>
      </c>
      <c r="AH337" s="176">
        <f t="shared" si="144"/>
        <v>7</v>
      </c>
      <c r="AI337" s="225">
        <f t="shared" si="145"/>
        <v>1.5995230101384954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46346</v>
      </c>
      <c r="B338" s="411">
        <f>'2025'!Wh/'2025'!Env_an*'2026'!Env_an</f>
        <v>9.887488112683517</v>
      </c>
      <c r="C338" s="846"/>
      <c r="D338" s="393">
        <f t="shared" si="127"/>
        <v>10.590731525030389</v>
      </c>
      <c r="E338" s="385">
        <f t="shared" si="125"/>
        <v>11.613968041692187</v>
      </c>
      <c r="F338" s="385">
        <f t="shared" si="128"/>
        <v>11.84380996695695</v>
      </c>
      <c r="G338" s="110">
        <f t="shared" si="126"/>
        <v>0.77621499488733359</v>
      </c>
      <c r="H338" s="414" t="b">
        <f>Wh_hp&gt;='2025'!Maxi_hp</f>
        <v>0</v>
      </c>
      <c r="I338" s="390">
        <f>IF(H338,Wh_hp,'2025'!Maxi_hp)</f>
        <v>14.953005209630511</v>
      </c>
      <c r="J338" s="85">
        <f>IF(H338,An,'2025'!An_max)</f>
        <v>2019</v>
      </c>
      <c r="K338" s="197">
        <f t="shared" si="129"/>
        <v>46346</v>
      </c>
      <c r="L338" s="147">
        <f>IF(t&lt;Tvie,1-EXP((T0-t)*PertePVj)+'2025'!Pspv,1-EXP((T0-t)*PertePVj)+Pspv)</f>
        <v>6.6401778827535063E-2</v>
      </c>
      <c r="M338" s="850"/>
      <c r="N338" s="850"/>
      <c r="O338" s="48">
        <f>IF(t&lt;Tnet,'2025'!Resal+('2025'!Salim-'2025'!Resal)*(1-EXP(('2025'!Tnet-t)/('2025'!Tau_j))),Resal+(Salim-Resal)*(1-EXP((Tnet-t)/(Tau_j))))*Salcycl</f>
        <v>8.810395490917082E-2</v>
      </c>
      <c r="P338" s="169">
        <f>(INDEX(Models!$BJ338:$BT338,,T338)*(1-R338)+INDEX(Models!$BJ338:$BT338,,T338+1)*R338-ERP_i)*Q338*Ramure*Pc/MaxiM</f>
        <v>2.8114834402827853E-2</v>
      </c>
      <c r="Q338" s="305">
        <f t="shared" si="130"/>
        <v>0.7</v>
      </c>
      <c r="R338" s="177">
        <f t="shared" si="131"/>
        <v>0.97568547527237848</v>
      </c>
      <c r="S338" s="817">
        <f t="shared" si="132"/>
        <v>-2</v>
      </c>
      <c r="T338" s="176">
        <f t="shared" si="133"/>
        <v>4</v>
      </c>
      <c r="U338" s="251">
        <f t="shared" si="134"/>
        <v>-1.0243145247276215</v>
      </c>
      <c r="V338" s="383">
        <f t="shared" si="135"/>
        <v>12.624951064215084</v>
      </c>
      <c r="W338" s="402">
        <f t="shared" si="136"/>
        <v>9.887488112683517</v>
      </c>
      <c r="X338" s="157">
        <f t="shared" si="137"/>
        <v>46346</v>
      </c>
      <c r="Y338" s="385">
        <f t="shared" si="138"/>
        <v>9.0467810213656321</v>
      </c>
      <c r="Z338" s="385">
        <f t="shared" si="139"/>
        <v>9.6902294972286658</v>
      </c>
      <c r="AA338" s="386">
        <f t="shared" si="140"/>
        <v>11.088745719526678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0.12612032574931364</v>
      </c>
      <c r="AD338" s="231">
        <f>(INDEX(Models!$BJ338:$BT338,,AH338)*(1-AF338)+INDEX(Models!$BJ338:$BT338,,AH338+1)*AF338-ERP_i)*AE338*Ramure*Pc/MaxiM</f>
        <v>9.236133162191433E-2</v>
      </c>
      <c r="AE338" s="305">
        <f t="shared" si="142"/>
        <v>0.7</v>
      </c>
      <c r="AF338" s="177">
        <f t="shared" si="143"/>
        <v>0.5995488446484345</v>
      </c>
      <c r="AG338" s="817">
        <f t="shared" si="149"/>
        <v>1</v>
      </c>
      <c r="AH338" s="176">
        <f t="shared" si="144"/>
        <v>7</v>
      </c>
      <c r="AI338" s="225">
        <f t="shared" si="145"/>
        <v>1.5995488446484345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46347</v>
      </c>
      <c r="B339" s="411">
        <f>'2025'!Wh/'2025'!Env_an*'2026'!Env_an</f>
        <v>1.9445261542020531</v>
      </c>
      <c r="C339" s="846"/>
      <c r="D339" s="393">
        <f t="shared" si="127"/>
        <v>2.0828753752401967</v>
      </c>
      <c r="E339" s="385">
        <f t="shared" si="125"/>
        <v>2.2842016843362458</v>
      </c>
      <c r="F339" s="385">
        <f t="shared" si="128"/>
        <v>2.2842016843362458</v>
      </c>
      <c r="G339" s="110">
        <f t="shared" si="126"/>
        <v>0.15196456871242037</v>
      </c>
      <c r="H339" s="414" t="b">
        <f>Wh_hp&gt;='2025'!Maxi_hp</f>
        <v>0</v>
      </c>
      <c r="I339" s="390">
        <f>IF(H339,Wh_hp,'2025'!Maxi_hp)</f>
        <v>14.614708080024094</v>
      </c>
      <c r="J339" s="85">
        <f>IF(H339,An,'2025'!An_max)</f>
        <v>2018</v>
      </c>
      <c r="K339" s="197">
        <f t="shared" si="129"/>
        <v>46347</v>
      </c>
      <c r="L339" s="147">
        <f>IF(t&lt;Tvie,1-EXP((T0-t)*PertePVj)+'2025'!Pspv,1-EXP((T0-t)*PertePVj)+Pspv)</f>
        <v>6.6422227024595437E-2</v>
      </c>
      <c r="M339" s="850"/>
      <c r="N339" s="850"/>
      <c r="O339" s="48">
        <f>IF(t&lt;Tnet,'2025'!Resal+('2025'!Salim-'2025'!Resal)*(1-EXP(('2025'!Tnet-t)/('2025'!Tau_j))),Resal+(Salim-Resal)*(1-EXP((Tnet-t)/(Tau_j))))*Salcycl</f>
        <v>8.8138587094401713E-2</v>
      </c>
      <c r="P339" s="169">
        <f>(INDEX(Models!$BJ339:$BT339,,T339)*(1-R339)+INDEX(Models!$BJ339:$BT339,,T339+1)*R339-ERP_i)*Q339*Ramure*Pc/MaxiM</f>
        <v>2.822840617511348E-2</v>
      </c>
      <c r="Q339" s="305">
        <f t="shared" si="130"/>
        <v>0.7</v>
      </c>
      <c r="R339" s="177">
        <f t="shared" si="131"/>
        <v>0.97571027211956363</v>
      </c>
      <c r="S339" s="817">
        <f t="shared" si="132"/>
        <v>-2</v>
      </c>
      <c r="T339" s="176">
        <f t="shared" si="133"/>
        <v>4</v>
      </c>
      <c r="U339" s="251">
        <f t="shared" si="134"/>
        <v>-1.0242897278804364</v>
      </c>
      <c r="V339" s="383">
        <f t="shared" si="135"/>
        <v>12.434709591280289</v>
      </c>
      <c r="W339" s="402">
        <f t="shared" si="136"/>
        <v>1.9445261542020531</v>
      </c>
      <c r="X339" s="157">
        <f t="shared" si="137"/>
        <v>46347</v>
      </c>
      <c r="Y339" s="385">
        <f t="shared" si="138"/>
        <v>1.8636117111319299</v>
      </c>
      <c r="Z339" s="385">
        <f t="shared" si="139"/>
        <v>1.9962040282861655</v>
      </c>
      <c r="AA339" s="386">
        <f t="shared" si="140"/>
        <v>2.2842016843362458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0.12608241120957231</v>
      </c>
      <c r="AD339" s="231">
        <f>(INDEX(Models!$BJ339:$BT339,,AH339)*(1-AF339)+INDEX(Models!$BJ339:$BT339,,AH339+1)*AF339-ERP_i)*AE339*Ramure*Pc/MaxiM</f>
        <v>9.220850198686259E-2</v>
      </c>
      <c r="AE339" s="305">
        <f t="shared" si="142"/>
        <v>0.7</v>
      </c>
      <c r="AF339" s="177">
        <f t="shared" si="143"/>
        <v>0.59957364149561965</v>
      </c>
      <c r="AG339" s="817">
        <f t="shared" si="149"/>
        <v>1</v>
      </c>
      <c r="AH339" s="176">
        <f t="shared" si="144"/>
        <v>7</v>
      </c>
      <c r="AI339" s="225">
        <f t="shared" si="145"/>
        <v>1.5995736414956196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46348</v>
      </c>
      <c r="B340" s="411">
        <f>'2025'!Wh/'2025'!Env_an*'2026'!Env_an</f>
        <v>5.6335419001973035</v>
      </c>
      <c r="C340" s="846"/>
      <c r="D340" s="393">
        <f t="shared" si="127"/>
        <v>6.0344895251421526</v>
      </c>
      <c r="E340" s="385">
        <f t="shared" si="125"/>
        <v>6.6180310505340811</v>
      </c>
      <c r="F340" s="385">
        <f t="shared" si="128"/>
        <v>6.6611257223065827</v>
      </c>
      <c r="G340" s="110">
        <f t="shared" si="126"/>
        <v>0.44974569890397348</v>
      </c>
      <c r="H340" s="414" t="b">
        <f>Wh_hp&gt;='2025'!Maxi_hp</f>
        <v>0</v>
      </c>
      <c r="I340" s="390">
        <f>IF(H340,Wh_hp,'2025'!Maxi_hp)</f>
        <v>15.138714921882022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6.6442674773787735E-2</v>
      </c>
      <c r="M340" s="850"/>
      <c r="N340" s="850"/>
      <c r="O340" s="48">
        <f>IF(t&lt;Tnet,'2025'!Resal+('2025'!Salim-'2025'!Resal)*(1-EXP(('2025'!Tnet-t)/('2025'!Tau_j))),Resal+(Salim-Resal)*(1-EXP((Tnet-t)/(Tau_j))))*Salcycl</f>
        <v>8.8174491920045645E-2</v>
      </c>
      <c r="P340" s="169">
        <f>(INDEX(Models!$BJ340:$BT340,,T340)*(1-R340)+INDEX(Models!$BJ340:$BT340,,T340+1)*R340-ERP_i)*Q340*Ramure*Pc/MaxiM</f>
        <v>2.8328603111108016E-2</v>
      </c>
      <c r="Q340" s="305">
        <f t="shared" si="130"/>
        <v>0.7</v>
      </c>
      <c r="R340" s="177">
        <f t="shared" si="131"/>
        <v>0.9757340728856323</v>
      </c>
      <c r="S340" s="817">
        <f t="shared" si="132"/>
        <v>-2</v>
      </c>
      <c r="T340" s="176">
        <f t="shared" si="133"/>
        <v>4</v>
      </c>
      <c r="U340" s="251">
        <f t="shared" si="134"/>
        <v>-1.0242659271143677</v>
      </c>
      <c r="V340" s="383">
        <f t="shared" si="135"/>
        <v>12.250470217787358</v>
      </c>
      <c r="W340" s="402">
        <f t="shared" si="136"/>
        <v>5.6335419001973035</v>
      </c>
      <c r="X340" s="157">
        <f t="shared" si="137"/>
        <v>46348</v>
      </c>
      <c r="Y340" s="385">
        <f t="shared" si="138"/>
        <v>5.320550300647831</v>
      </c>
      <c r="Z340" s="385">
        <f t="shared" si="139"/>
        <v>5.6992218440989655</v>
      </c>
      <c r="AA340" s="386">
        <f t="shared" si="140"/>
        <v>6.5211959656493574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0.12604652978996039</v>
      </c>
      <c r="AD340" s="231">
        <f>(INDEX(Models!$BJ340:$BT340,,AH340)*(1-AF340)+INDEX(Models!$BJ340:$BT340,,AH340+1)*AF340-ERP_i)*AE340*Ramure*Pc/MaxiM</f>
        <v>9.1983866606586404E-2</v>
      </c>
      <c r="AE340" s="305">
        <f t="shared" si="142"/>
        <v>0.7</v>
      </c>
      <c r="AF340" s="177">
        <f t="shared" si="143"/>
        <v>0.59959744226168832</v>
      </c>
      <c r="AG340" s="817">
        <f t="shared" si="149"/>
        <v>1</v>
      </c>
      <c r="AH340" s="176">
        <f t="shared" si="144"/>
        <v>7</v>
      </c>
      <c r="AI340" s="225">
        <f t="shared" si="145"/>
        <v>1.5995974422616883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46349</v>
      </c>
      <c r="B341" s="411">
        <f>'2025'!Wh/'2025'!Env_an*'2026'!Env_an</f>
        <v>7.4722813594597719</v>
      </c>
      <c r="C341" s="846"/>
      <c r="D341" s="393">
        <f t="shared" si="127"/>
        <v>8.0042701431030867</v>
      </c>
      <c r="E341" s="385">
        <f t="shared" si="125"/>
        <v>8.7786498366588166</v>
      </c>
      <c r="F341" s="385">
        <f t="shared" si="128"/>
        <v>8.8938019443089811</v>
      </c>
      <c r="G341" s="110">
        <f t="shared" si="126"/>
        <v>0.60926511701089137</v>
      </c>
      <c r="H341" s="414" t="b">
        <f>Wh_hp&gt;='2025'!Maxi_hp</f>
        <v>0</v>
      </c>
      <c r="I341" s="390">
        <f>IF(H341,Wh_hp,'2025'!Maxi_hp)</f>
        <v>14.559641419504979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6.646312207512195E-2</v>
      </c>
      <c r="M341" s="850"/>
      <c r="N341" s="850"/>
      <c r="O341" s="48">
        <f>IF(t&lt;Tnet,'2025'!Resal+('2025'!Salim-'2025'!Resal)*(1-EXP(('2025'!Tnet-t)/('2025'!Tau_j))),Resal+(Salim-Resal)*(1-EXP((Tnet-t)/(Tau_j))))*Salcycl</f>
        <v>8.8211707718650792E-2</v>
      </c>
      <c r="P341" s="169">
        <f>(INDEX(Models!$BJ341:$BT341,,T341)*(1-R341)+INDEX(Models!$BJ341:$BT341,,T341+1)*R341-ERP_i)*Q341*Ramure*Pc/MaxiM</f>
        <v>2.8414528405517919E-2</v>
      </c>
      <c r="Q341" s="305">
        <f t="shared" si="130"/>
        <v>0.7</v>
      </c>
      <c r="R341" s="177">
        <f t="shared" si="131"/>
        <v>0.97575691749358184</v>
      </c>
      <c r="S341" s="817">
        <f t="shared" si="132"/>
        <v>-2</v>
      </c>
      <c r="T341" s="176">
        <f t="shared" si="133"/>
        <v>4</v>
      </c>
      <c r="U341" s="251">
        <f t="shared" si="134"/>
        <v>-1.0242430825064182</v>
      </c>
      <c r="V341" s="383">
        <f t="shared" si="135"/>
        <v>12.072233932072756</v>
      </c>
      <c r="W341" s="402">
        <f t="shared" si="136"/>
        <v>7.4722813594597719</v>
      </c>
      <c r="X341" s="157">
        <f t="shared" si="137"/>
        <v>46349</v>
      </c>
      <c r="Y341" s="385">
        <f t="shared" si="138"/>
        <v>6.9532943327357684</v>
      </c>
      <c r="Z341" s="385">
        <f t="shared" si="139"/>
        <v>7.448333854996676</v>
      </c>
      <c r="AA341" s="386">
        <f t="shared" si="140"/>
        <v>8.5222452588441797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0.12601273153140299</v>
      </c>
      <c r="AD341" s="231">
        <f>(INDEX(Models!$BJ341:$BT341,,AH341)*(1-AF341)+INDEX(Models!$BJ341:$BT341,,AH341+1)*AF341-ERP_i)*AE341*Ramure*Pc/MaxiM</f>
        <v>9.1684018719605367E-2</v>
      </c>
      <c r="AE341" s="305">
        <f t="shared" si="142"/>
        <v>0.7</v>
      </c>
      <c r="AF341" s="177">
        <f t="shared" si="143"/>
        <v>0.59962028686963786</v>
      </c>
      <c r="AG341" s="817">
        <f t="shared" si="149"/>
        <v>1</v>
      </c>
      <c r="AH341" s="176">
        <f t="shared" si="144"/>
        <v>7</v>
      </c>
      <c r="AI341" s="225">
        <f t="shared" si="145"/>
        <v>1.5996202868696379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46350</v>
      </c>
      <c r="B342" s="411">
        <f>'2025'!Wh/'2025'!Env_an*'2026'!Env_an</f>
        <v>7.2398483793611659</v>
      </c>
      <c r="C342" s="846"/>
      <c r="D342" s="393">
        <f t="shared" si="127"/>
        <v>7.755458970392227</v>
      </c>
      <c r="E342" s="385">
        <f t="shared" si="125"/>
        <v>8.5061269473901575</v>
      </c>
      <c r="F342" s="385">
        <f t="shared" si="128"/>
        <v>8.6142309385269442</v>
      </c>
      <c r="G342" s="110">
        <f t="shared" si="126"/>
        <v>0.59857211914930453</v>
      </c>
      <c r="H342" s="414" t="b">
        <f>Wh_hp&gt;='2025'!Maxi_hp</f>
        <v>0</v>
      </c>
      <c r="I342" s="390">
        <f>IF(H342,Wh_hp,'2025'!Maxi_hp)</f>
        <v>14.017853674238541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6.6483568928607739E-2</v>
      </c>
      <c r="M342" s="850"/>
      <c r="N342" s="850"/>
      <c r="O342" s="48">
        <f>IF(t&lt;Tnet,'2025'!Resal+('2025'!Salim-'2025'!Resal)*(1-EXP(('2025'!Tnet-t)/('2025'!Tau_j))),Resal+(Salim-Resal)*(1-EXP((Tnet-t)/(Tau_j))))*Salcycl</f>
        <v>8.8250267323867093E-2</v>
      </c>
      <c r="P342" s="169">
        <f>(INDEX(Models!$BJ342:$BT342,,T342)*(1-R342)+INDEX(Models!$BJ342:$BT342,,T342+1)*R342-ERP_i)*Q342*Ramure*Pc/MaxiM</f>
        <v>2.8485387017644304E-2</v>
      </c>
      <c r="Q342" s="305">
        <f t="shared" si="130"/>
        <v>0.7</v>
      </c>
      <c r="R342" s="177">
        <f t="shared" si="131"/>
        <v>0.97577884427332995</v>
      </c>
      <c r="S342" s="817">
        <f t="shared" si="132"/>
        <v>-2</v>
      </c>
      <c r="T342" s="176">
        <f t="shared" si="133"/>
        <v>4</v>
      </c>
      <c r="U342" s="251">
        <f t="shared" si="134"/>
        <v>-1.0242211557266701</v>
      </c>
      <c r="V342" s="383">
        <f t="shared" si="135"/>
        <v>11.900000375581383</v>
      </c>
      <c r="W342" s="402">
        <f t="shared" si="136"/>
        <v>7.2398483793611659</v>
      </c>
      <c r="X342" s="157">
        <f t="shared" si="137"/>
        <v>46350</v>
      </c>
      <c r="Y342" s="385">
        <f t="shared" si="138"/>
        <v>6.7457229538016383</v>
      </c>
      <c r="Z342" s="385">
        <f t="shared" si="139"/>
        <v>7.226142710803285</v>
      </c>
      <c r="AA342" s="386">
        <f t="shared" si="140"/>
        <v>8.2677186588612699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0.12598105850416583</v>
      </c>
      <c r="AD342" s="231">
        <f>(INDEX(Models!$BJ342:$BT342,,AH342)*(1-AF342)+INDEX(Models!$BJ342:$BT342,,AH342+1)*AF342-ERP_i)*AE342*Ramure*Pc/MaxiM</f>
        <v>9.1305938743311943E-2</v>
      </c>
      <c r="AE342" s="305">
        <f t="shared" si="142"/>
        <v>0.7</v>
      </c>
      <c r="AF342" s="177">
        <f t="shared" si="143"/>
        <v>0.59964221364938597</v>
      </c>
      <c r="AG342" s="817">
        <f t="shared" si="149"/>
        <v>1</v>
      </c>
      <c r="AH342" s="176">
        <f t="shared" si="144"/>
        <v>7</v>
      </c>
      <c r="AI342" s="225">
        <f t="shared" si="145"/>
        <v>1.599642213649386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46351</v>
      </c>
      <c r="B343" s="411">
        <f>'2025'!Wh/'2025'!Env_an*'2026'!Env_an</f>
        <v>3.0523908012980066</v>
      </c>
      <c r="C343" s="846"/>
      <c r="D343" s="393">
        <f t="shared" si="127"/>
        <v>3.2698488814507005</v>
      </c>
      <c r="E343" s="385">
        <f t="shared" si="125"/>
        <v>3.5865018389230943</v>
      </c>
      <c r="F343" s="385">
        <f t="shared" si="128"/>
        <v>3.5865018389230943</v>
      </c>
      <c r="G343" s="110">
        <f t="shared" si="126"/>
        <v>0.25271286192202547</v>
      </c>
      <c r="H343" s="414" t="b">
        <f>Wh_hp&gt;='2025'!Maxi_hp</f>
        <v>0</v>
      </c>
      <c r="I343" s="390">
        <f>IF(H343,Wh_hp,'2025'!Maxi_hp)</f>
        <v>14.256922771094214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6.6504015334254984E-2</v>
      </c>
      <c r="M343" s="850"/>
      <c r="N343" s="850"/>
      <c r="O343" s="48">
        <f>IF(t&lt;Tnet,'2025'!Resal+('2025'!Salim-'2025'!Resal)*(1-EXP(('2025'!Tnet-t)/('2025'!Tau_j))),Resal+(Salim-Resal)*(1-EXP((Tnet-t)/(Tau_j))))*Salcycl</f>
        <v>8.8290197996238634E-2</v>
      </c>
      <c r="P343" s="169">
        <f>(INDEX(Models!$BJ343:$BT343,,T343)*(1-R343)+INDEX(Models!$BJ343:$BT343,,T343+1)*R343-ERP_i)*Q343*Ramure*Pc/MaxiM</f>
        <v>2.8540518493279713E-2</v>
      </c>
      <c r="Q343" s="305">
        <f t="shared" si="130"/>
        <v>0.7</v>
      </c>
      <c r="R343" s="177">
        <f t="shared" si="131"/>
        <v>0.97579989002472711</v>
      </c>
      <c r="S343" s="817">
        <f t="shared" si="132"/>
        <v>-2</v>
      </c>
      <c r="T343" s="176">
        <f t="shared" si="133"/>
        <v>4</v>
      </c>
      <c r="U343" s="251">
        <f t="shared" si="134"/>
        <v>-1.0242001099752729</v>
      </c>
      <c r="V343" s="383">
        <f t="shared" si="135"/>
        <v>11.73376757570724</v>
      </c>
      <c r="W343" s="402">
        <f t="shared" si="136"/>
        <v>3.0523908012980066</v>
      </c>
      <c r="X343" s="157">
        <f t="shared" si="137"/>
        <v>46351</v>
      </c>
      <c r="Y343" s="385">
        <f t="shared" si="138"/>
        <v>2.9263011748820866</v>
      </c>
      <c r="Z343" s="385">
        <f t="shared" si="139"/>
        <v>3.1347763921340288</v>
      </c>
      <c r="AA343" s="386">
        <f t="shared" si="140"/>
        <v>3.5865018389230943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0.12595154472992087</v>
      </c>
      <c r="AD343" s="231">
        <f>(INDEX(Models!$BJ343:$BT343,,AH343)*(1-AF343)+INDEX(Models!$BJ343:$BT343,,AH343+1)*AF343-ERP_i)*AE343*Ramure*Pc/MaxiM</f>
        <v>9.0847094187722507E-2</v>
      </c>
      <c r="AE343" s="305">
        <f t="shared" si="142"/>
        <v>0.7</v>
      </c>
      <c r="AF343" s="177">
        <f t="shared" si="143"/>
        <v>0.59966325940078313</v>
      </c>
      <c r="AG343" s="817">
        <f t="shared" si="149"/>
        <v>1</v>
      </c>
      <c r="AH343" s="176">
        <f t="shared" si="144"/>
        <v>7</v>
      </c>
      <c r="AI343" s="225">
        <f t="shared" si="145"/>
        <v>1.5996632594007831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46352</v>
      </c>
      <c r="B344" s="411">
        <f>'2025'!Wh/'2025'!Env_an*'2026'!Env_an</f>
        <v>6.033166765713176</v>
      </c>
      <c r="C344" s="846"/>
      <c r="D344" s="393">
        <f t="shared" si="127"/>
        <v>6.4631225088811703</v>
      </c>
      <c r="E344" s="385">
        <f t="shared" si="125"/>
        <v>7.0893341828493375</v>
      </c>
      <c r="F344" s="385">
        <f t="shared" si="128"/>
        <v>7.1539682592270371</v>
      </c>
      <c r="G344" s="110">
        <f t="shared" si="126"/>
        <v>0.51100868298299118</v>
      </c>
      <c r="H344" s="414" t="b">
        <f>Wh_hp&gt;='2025'!Maxi_hp</f>
        <v>0</v>
      </c>
      <c r="I344" s="390">
        <f>IF(H344,Wh_hp,'2025'!Maxi_hp)</f>
        <v>13.332457203646875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6.6524461292073456E-2</v>
      </c>
      <c r="M344" s="850"/>
      <c r="N344" s="850"/>
      <c r="O344" s="48">
        <f>IF(t&lt;Tnet,'2025'!Resal+('2025'!Salim-'2025'!Resal)*(1-EXP(('2025'!Tnet-t)/('2025'!Tau_j))),Resal+(Salim-Resal)*(1-EXP((Tnet-t)/(Tau_j))))*Salcycl</f>
        <v>8.8331521383645722E-2</v>
      </c>
      <c r="P344" s="169">
        <f>(INDEX(Models!$BJ344:$BT344,,T344)*(1-R344)+INDEX(Models!$BJ344:$BT344,,T344+1)*R344-ERP_i)*Q344*Ramure*Pc/MaxiM</f>
        <v>2.8579254923683128E-2</v>
      </c>
      <c r="Q344" s="305">
        <f t="shared" si="130"/>
        <v>0.7</v>
      </c>
      <c r="R344" s="177">
        <f t="shared" si="131"/>
        <v>0.97582009007812553</v>
      </c>
      <c r="S344" s="817">
        <f t="shared" si="132"/>
        <v>-2</v>
      </c>
      <c r="T344" s="176">
        <f t="shared" si="133"/>
        <v>4</v>
      </c>
      <c r="U344" s="251">
        <f t="shared" si="134"/>
        <v>-1.0241799099218745</v>
      </c>
      <c r="V344" s="383">
        <f t="shared" si="135"/>
        <v>11.573533794238893</v>
      </c>
      <c r="W344" s="402">
        <f t="shared" si="136"/>
        <v>6.033166765713176</v>
      </c>
      <c r="X344" s="157">
        <f t="shared" si="137"/>
        <v>46352</v>
      </c>
      <c r="Y344" s="385">
        <f t="shared" si="138"/>
        <v>5.6704874821648295</v>
      </c>
      <c r="Z344" s="385">
        <f t="shared" si="139"/>
        <v>6.0745967591327084</v>
      </c>
      <c r="AA344" s="386">
        <f t="shared" si="140"/>
        <v>6.9497369351655935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0.12592421615337485</v>
      </c>
      <c r="AD344" s="231">
        <f>(INDEX(Models!$BJ344:$BT344,,AH344)*(1-AF344)+INDEX(Models!$BJ344:$BT344,,AH344+1)*AF344-ERP_i)*AE344*Ramure*Pc/MaxiM</f>
        <v>9.0304981533969458E-2</v>
      </c>
      <c r="AE344" s="305">
        <f t="shared" si="142"/>
        <v>0.7</v>
      </c>
      <c r="AF344" s="177">
        <f t="shared" si="143"/>
        <v>0.59968345945418156</v>
      </c>
      <c r="AG344" s="817">
        <f t="shared" si="149"/>
        <v>1</v>
      </c>
      <c r="AH344" s="176">
        <f t="shared" si="144"/>
        <v>7</v>
      </c>
      <c r="AI344" s="225">
        <f t="shared" si="145"/>
        <v>1.5996834594541816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46353</v>
      </c>
      <c r="B345" s="411">
        <f>'2025'!Wh/'2025'!Env_an*'2026'!Env_an</f>
        <v>8.3045076375246332</v>
      </c>
      <c r="C345" s="846"/>
      <c r="D345" s="393">
        <f t="shared" si="127"/>
        <v>8.8965261403997395</v>
      </c>
      <c r="E345" s="385">
        <f t="shared" si="125"/>
        <v>9.7589676188027781</v>
      </c>
      <c r="F345" s="385">
        <f t="shared" si="128"/>
        <v>9.9324378601178314</v>
      </c>
      <c r="G345" s="110">
        <f t="shared" si="126"/>
        <v>0.71912497305937573</v>
      </c>
      <c r="H345" s="414" t="b">
        <f>Wh_hp&gt;='2025'!Maxi_hp</f>
        <v>0</v>
      </c>
      <c r="I345" s="390">
        <f>IF(H345,Wh_hp,'2025'!Maxi_hp)</f>
        <v>14.406333862137721</v>
      </c>
      <c r="J345" s="85">
        <f>IF(H345,An,'2025'!An_max)</f>
        <v>2018</v>
      </c>
      <c r="K345" s="197">
        <f t="shared" si="129"/>
        <v>46353</v>
      </c>
      <c r="L345" s="147">
        <f>IF(t&lt;Tvie,1-EXP((T0-t)*PertePVj)+'2025'!Pspv,1-EXP((T0-t)*PertePVj)+Pspv)</f>
        <v>6.6544906802072923E-2</v>
      </c>
      <c r="M345" s="850"/>
      <c r="N345" s="850"/>
      <c r="O345" s="48">
        <f>IF(t&lt;Tnet,'2025'!Resal+('2025'!Salim-'2025'!Resal)*(1-EXP(('2025'!Tnet-t)/('2025'!Tau_j))),Resal+(Salim-Resal)*(1-EXP((Tnet-t)/(Tau_j))))*Salcycl</f>
        <v>8.8374253516463858E-2</v>
      </c>
      <c r="P345" s="169">
        <f>(INDEX(Models!$BJ345:$BT345,,T345)*(1-R345)+INDEX(Models!$BJ345:$BT345,,T345+1)*R345-ERP_i)*Q345*Ramure*Pc/MaxiM</f>
        <v>2.8606206578348829E-2</v>
      </c>
      <c r="Q345" s="305">
        <f t="shared" si="130"/>
        <v>0.7</v>
      </c>
      <c r="R345" s="177">
        <f t="shared" si="131"/>
        <v>0.97583947835258611</v>
      </c>
      <c r="S345" s="817">
        <f t="shared" si="132"/>
        <v>-2</v>
      </c>
      <c r="T345" s="176">
        <f t="shared" si="133"/>
        <v>4</v>
      </c>
      <c r="U345" s="251">
        <f t="shared" si="134"/>
        <v>-1.0241605216474139</v>
      </c>
      <c r="V345" s="383">
        <f t="shared" si="135"/>
        <v>11.417126738612877</v>
      </c>
      <c r="W345" s="402">
        <f t="shared" si="136"/>
        <v>8.3045076375246332</v>
      </c>
      <c r="X345" s="157">
        <f t="shared" si="137"/>
        <v>46353</v>
      </c>
      <c r="Y345" s="385">
        <f t="shared" si="138"/>
        <v>7.6604189547098489</v>
      </c>
      <c r="Z345" s="385">
        <f t="shared" si="139"/>
        <v>8.2065211390791095</v>
      </c>
      <c r="AA345" s="386">
        <f t="shared" si="140"/>
        <v>9.3885283168355063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0.1258990906633175</v>
      </c>
      <c r="AD345" s="231">
        <f>(INDEX(Models!$BJ345:$BT345,,AH345)*(1-AF345)+INDEX(Models!$BJ345:$BT345,,AH345+1)*AF345-ERP_i)*AE345*Ramure*Pc/MaxiM</f>
        <v>8.9693705601131143E-2</v>
      </c>
      <c r="AE345" s="305">
        <f t="shared" si="142"/>
        <v>0.7</v>
      </c>
      <c r="AF345" s="177">
        <f t="shared" si="143"/>
        <v>0.59970284772864213</v>
      </c>
      <c r="AG345" s="817">
        <f t="shared" si="149"/>
        <v>1</v>
      </c>
      <c r="AH345" s="176">
        <f t="shared" si="144"/>
        <v>7</v>
      </c>
      <c r="AI345" s="225">
        <f t="shared" si="145"/>
        <v>1.5997028477286421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46354</v>
      </c>
      <c r="B346" s="411">
        <f>'2025'!Wh/'2025'!Env_an*'2026'!Env_an</f>
        <v>5.5383710183648436</v>
      </c>
      <c r="C346" s="846"/>
      <c r="D346" s="393">
        <f t="shared" si="127"/>
        <v>5.9333248764936286</v>
      </c>
      <c r="E346" s="385">
        <f t="shared" si="125"/>
        <v>6.5088247809941784</v>
      </c>
      <c r="F346" s="385">
        <f t="shared" si="128"/>
        <v>6.5602560977864872</v>
      </c>
      <c r="G346" s="110">
        <f t="shared" si="126"/>
        <v>0.48142829711322688</v>
      </c>
      <c r="H346" s="414" t="b">
        <f>Wh_hp&gt;='2025'!Maxi_hp</f>
        <v>0</v>
      </c>
      <c r="I346" s="390">
        <f>IF(H346,Wh_hp,'2025'!Maxi_hp)</f>
        <v>11.673950035161885</v>
      </c>
      <c r="J346" s="85">
        <f>IF(H346,An,'2025'!An_max)</f>
        <v>2018</v>
      </c>
      <c r="K346" s="197">
        <f t="shared" si="129"/>
        <v>46354</v>
      </c>
      <c r="L346" s="147">
        <f>IF(t&lt;Tvie,1-EXP((T0-t)*PertePVj)+'2025'!Pspv,1-EXP((T0-t)*PertePVj)+Pspv)</f>
        <v>6.6565351864263378E-2</v>
      </c>
      <c r="M346" s="850"/>
      <c r="N346" s="850"/>
      <c r="O346" s="48">
        <f>IF(t&lt;Tnet,'2025'!Resal+('2025'!Salim-'2025'!Resal)*(1-EXP(('2025'!Tnet-t)/('2025'!Tau_j))),Resal+(Salim-Resal)*(1-EXP((Tnet-t)/(Tau_j))))*Salcycl</f>
        <v>8.8418404837231776E-2</v>
      </c>
      <c r="P346" s="169">
        <f>(INDEX(Models!$BJ346:$BT346,,T346)*(1-R346)+INDEX(Models!$BJ346:$BT346,,T346+1)*R346-ERP_i)*Q346*Ramure*Pc/MaxiM</f>
        <v>2.8623155776332558E-2</v>
      </c>
      <c r="Q346" s="305">
        <f t="shared" si="130"/>
        <v>0.7</v>
      </c>
      <c r="R346" s="177">
        <f t="shared" si="131"/>
        <v>0.97585808741182101</v>
      </c>
      <c r="S346" s="817">
        <f t="shared" si="132"/>
        <v>-2</v>
      </c>
      <c r="T346" s="176">
        <f t="shared" si="133"/>
        <v>4</v>
      </c>
      <c r="U346" s="251">
        <f t="shared" si="134"/>
        <v>-1.024141912588179</v>
      </c>
      <c r="V346" s="383">
        <f t="shared" si="135"/>
        <v>11.263059860866502</v>
      </c>
      <c r="W346" s="402">
        <f t="shared" si="136"/>
        <v>5.5383710183648436</v>
      </c>
      <c r="X346" s="157">
        <f t="shared" si="137"/>
        <v>46354</v>
      </c>
      <c r="Y346" s="385">
        <f t="shared" si="138"/>
        <v>5.2221959858988756</v>
      </c>
      <c r="Z346" s="385">
        <f t="shared" si="139"/>
        <v>5.5946026819646004</v>
      </c>
      <c r="AA346" s="386">
        <f t="shared" si="140"/>
        <v>6.4002404947671279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0.12587617816255842</v>
      </c>
      <c r="AD346" s="231">
        <f>(INDEX(Models!$BJ346:$BT346,,AH346)*(1-AF346)+INDEX(Models!$BJ346:$BT346,,AH346+1)*AF346-ERP_i)*AE346*Ramure*Pc/MaxiM</f>
        <v>8.9053748134868604E-2</v>
      </c>
      <c r="AE346" s="305">
        <f t="shared" si="142"/>
        <v>0.7</v>
      </c>
      <c r="AF346" s="177">
        <f t="shared" si="143"/>
        <v>0.59972145678787703</v>
      </c>
      <c r="AG346" s="817">
        <f t="shared" si="149"/>
        <v>1</v>
      </c>
      <c r="AH346" s="176">
        <f t="shared" si="144"/>
        <v>7</v>
      </c>
      <c r="AI346" s="225">
        <f t="shared" si="145"/>
        <v>1.599721456787877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46355</v>
      </c>
      <c r="B347" s="411">
        <f>'2025'!Wh/'2025'!Env_an*'2026'!Env_an</f>
        <v>6.1909741529958104</v>
      </c>
      <c r="C347" s="846"/>
      <c r="D347" s="393">
        <f t="shared" si="127"/>
        <v>6.6326118990262755</v>
      </c>
      <c r="E347" s="385">
        <f t="shared" si="125"/>
        <v>7.2763025875266552</v>
      </c>
      <c r="F347" s="385">
        <f t="shared" si="128"/>
        <v>7.3536302644482259</v>
      </c>
      <c r="G347" s="110">
        <f t="shared" si="126"/>
        <v>0.54692862275483023</v>
      </c>
      <c r="H347" s="414" t="b">
        <f>Wh_hp&gt;='2025'!Maxi_hp</f>
        <v>0</v>
      </c>
      <c r="I347" s="390">
        <f>IF(H347,Wh_hp,'2025'!Maxi_hp)</f>
        <v>13.75945482004663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6.6585796478654369E-2</v>
      </c>
      <c r="M347" s="850"/>
      <c r="N347" s="850"/>
      <c r="O347" s="48">
        <f>IF(t&lt;Tnet,'2025'!Resal+('2025'!Salim-'2025'!Resal)*(1-EXP(('2025'!Tnet-t)/('2025'!Tau_j))),Resal+(Salim-Resal)*(1-EXP((Tnet-t)/(Tau_j))))*Salcycl</f>
        <v>8.846398026434768E-2</v>
      </c>
      <c r="P347" s="169">
        <f>(INDEX(Models!$BJ347:$BT347,,T347)*(1-R347)+INDEX(Models!$BJ347:$BT347,,T347+1)*R347-ERP_i)*Q347*Ramure*Pc/MaxiM</f>
        <v>2.8627559965561569E-2</v>
      </c>
      <c r="Q347" s="305">
        <f t="shared" si="130"/>
        <v>0.7</v>
      </c>
      <c r="R347" s="177">
        <f t="shared" si="131"/>
        <v>0.97587594851795001</v>
      </c>
      <c r="S347" s="817">
        <f t="shared" si="132"/>
        <v>-2</v>
      </c>
      <c r="T347" s="176">
        <f t="shared" si="133"/>
        <v>4</v>
      </c>
      <c r="U347" s="251">
        <f t="shared" si="134"/>
        <v>-1.02412405148205</v>
      </c>
      <c r="V347" s="383">
        <f t="shared" si="135"/>
        <v>11.112330641167071</v>
      </c>
      <c r="W347" s="402">
        <f t="shared" si="136"/>
        <v>6.1909741529958104</v>
      </c>
      <c r="X347" s="157">
        <f t="shared" si="137"/>
        <v>46355</v>
      </c>
      <c r="Y347" s="385">
        <f t="shared" si="138"/>
        <v>5.8053178979984636</v>
      </c>
      <c r="Z347" s="385">
        <f t="shared" si="139"/>
        <v>6.2194445682288206</v>
      </c>
      <c r="AA347" s="386">
        <f t="shared" si="140"/>
        <v>7.1148928247110419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0.12585548068583705</v>
      </c>
      <c r="AD347" s="231">
        <f>(INDEX(Models!$BJ347:$BT347,,AH347)*(1-AF347)+INDEX(Models!$BJ347:$BT347,,AH347+1)*AF347-ERP_i)*AE347*Ramure*Pc/MaxiM</f>
        <v>8.8383236690696698E-2</v>
      </c>
      <c r="AE347" s="305">
        <f t="shared" si="142"/>
        <v>0.7</v>
      </c>
      <c r="AF347" s="177">
        <f t="shared" si="143"/>
        <v>0.59973931789400603</v>
      </c>
      <c r="AG347" s="817">
        <f t="shared" si="149"/>
        <v>1</v>
      </c>
      <c r="AH347" s="176">
        <f t="shared" si="144"/>
        <v>7</v>
      </c>
      <c r="AI347" s="225">
        <f t="shared" si="145"/>
        <v>1.599739317894006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46356</v>
      </c>
      <c r="B348" s="411">
        <f>'2025'!Wh/'2025'!Env_an*'2026'!Env_an</f>
        <v>2.3005284192029127</v>
      </c>
      <c r="C348" s="846"/>
      <c r="D348" s="393">
        <f t="shared" si="127"/>
        <v>2.4646923081993499</v>
      </c>
      <c r="E348" s="385">
        <f t="shared" si="125"/>
        <v>2.7040285205815304</v>
      </c>
      <c r="F348" s="385">
        <f t="shared" si="128"/>
        <v>2.7040285205815304</v>
      </c>
      <c r="G348" s="110">
        <f t="shared" si="126"/>
        <v>0.20378513049322494</v>
      </c>
      <c r="H348" s="414" t="b">
        <f>Wh_hp&gt;='2025'!Maxi_hp</f>
        <v>0</v>
      </c>
      <c r="I348" s="390">
        <f>IF(H348,Wh_hp,'2025'!Maxi_hp)</f>
        <v>12.01500433375004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6.6606240645255888E-2</v>
      </c>
      <c r="M348" s="850"/>
      <c r="N348" s="850"/>
      <c r="O348" s="48">
        <f>IF(t&lt;Tnet,'2025'!Resal+('2025'!Salim-'2025'!Resal)*(1-EXP(('2025'!Tnet-t)/('2025'!Tau_j))),Resal+(Salim-Resal)*(1-EXP((Tnet-t)/(Tau_j))))*Salcycl</f>
        <v>8.8510979289045624E-2</v>
      </c>
      <c r="P348" s="169">
        <f>(INDEX(Models!$BJ348:$BT348,,T348)*(1-R348)+INDEX(Models!$BJ348:$BT348,,T348+1)*R348-ERP_i)*Q348*Ramure*Pc/MaxiM</f>
        <v>2.8616394311921325E-2</v>
      </c>
      <c r="Q348" s="305">
        <f t="shared" si="130"/>
        <v>0.7</v>
      </c>
      <c r="R348" s="177">
        <f t="shared" si="131"/>
        <v>0.97589309168315919</v>
      </c>
      <c r="S348" s="817">
        <f t="shared" si="132"/>
        <v>-2</v>
      </c>
      <c r="T348" s="176">
        <f t="shared" si="133"/>
        <v>4</v>
      </c>
      <c r="U348" s="251">
        <f t="shared" si="134"/>
        <v>-1.0241069083168408</v>
      </c>
      <c r="V348" s="383">
        <f t="shared" si="135"/>
        <v>10.965940377615119</v>
      </c>
      <c r="W348" s="402">
        <f t="shared" si="136"/>
        <v>2.3005284192029127</v>
      </c>
      <c r="X348" s="157">
        <f t="shared" si="137"/>
        <v>46356</v>
      </c>
      <c r="Y348" s="385">
        <f t="shared" si="138"/>
        <v>2.2063204228755833</v>
      </c>
      <c r="Z348" s="385">
        <f t="shared" si="139"/>
        <v>2.3637617037431387</v>
      </c>
      <c r="AA348" s="386">
        <f t="shared" si="140"/>
        <v>2.7040285205815304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0.1258369925644178</v>
      </c>
      <c r="AD348" s="231">
        <f>(INDEX(Models!$BJ348:$BT348,,AH348)*(1-AF348)+INDEX(Models!$BJ348:$BT348,,AH348+1)*AF348-ERP_i)*AE348*Ramure*Pc/MaxiM</f>
        <v>8.767353858990283E-2</v>
      </c>
      <c r="AE348" s="305">
        <f t="shared" si="142"/>
        <v>0.7</v>
      </c>
      <c r="AF348" s="177">
        <f t="shared" si="143"/>
        <v>0.59975646105921521</v>
      </c>
      <c r="AG348" s="817">
        <f t="shared" si="149"/>
        <v>1</v>
      </c>
      <c r="AH348" s="176">
        <f t="shared" si="144"/>
        <v>7</v>
      </c>
      <c r="AI348" s="225">
        <f t="shared" si="145"/>
        <v>1.5997564610592152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46357</v>
      </c>
      <c r="B349" s="411">
        <f>'2025'!Wh/'2025'!Env_an*'2026'!Env_an</f>
        <v>2.1288559317911355</v>
      </c>
      <c r="C349" s="846"/>
      <c r="D349" s="393">
        <f t="shared" si="127"/>
        <v>2.2808193636227019</v>
      </c>
      <c r="E349" s="385">
        <f t="shared" si="125"/>
        <v>2.5024333498802123</v>
      </c>
      <c r="F349" s="385">
        <f t="shared" si="128"/>
        <v>2.5024333498802123</v>
      </c>
      <c r="G349" s="110">
        <f t="shared" si="126"/>
        <v>0.19104114299777661</v>
      </c>
      <c r="H349" s="414" t="b">
        <f>Wh_hp&gt;='2025'!Maxi_hp</f>
        <v>0</v>
      </c>
      <c r="I349" s="390">
        <f>IF(H349,Wh_hp,'2025'!Maxi_hp)</f>
        <v>12.606497833534238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6.6626684364077704E-2</v>
      </c>
      <c r="M349" s="850"/>
      <c r="N349" s="850"/>
      <c r="O349" s="48">
        <f>IF(t&lt;Tnet,'2025'!Resal+('2025'!Salim-'2025'!Resal)*(1-EXP(('2025'!Tnet-t)/('2025'!Tau_j))),Resal+(Salim-Resal)*(1-EXP((Tnet-t)/(Tau_j))))*Salcycl</f>
        <v>8.8559396104643015E-2</v>
      </c>
      <c r="P349" s="169">
        <f>(INDEX(Models!$BJ349:$BT349,,T349)*(1-R349)+INDEX(Models!$BJ349:$BT349,,T349+1)*R349-ERP_i)*Q349*Ramure*Pc/MaxiM</f>
        <v>2.8586491216660917E-2</v>
      </c>
      <c r="Q349" s="305">
        <f t="shared" si="130"/>
        <v>0.7</v>
      </c>
      <c r="R349" s="177">
        <f t="shared" si="131"/>
        <v>0.97590954571933475</v>
      </c>
      <c r="S349" s="817">
        <f t="shared" si="132"/>
        <v>-2</v>
      </c>
      <c r="T349" s="176">
        <f t="shared" si="133"/>
        <v>4</v>
      </c>
      <c r="U349" s="251">
        <f t="shared" si="134"/>
        <v>-1.0240904542806653</v>
      </c>
      <c r="V349" s="383">
        <f t="shared" si="135"/>
        <v>10.824890272036949</v>
      </c>
      <c r="W349" s="402">
        <f t="shared" si="136"/>
        <v>2.1288559317911355</v>
      </c>
      <c r="X349" s="157">
        <f t="shared" si="137"/>
        <v>46357</v>
      </c>
      <c r="Y349" s="385">
        <f t="shared" si="138"/>
        <v>2.0418245346400345</v>
      </c>
      <c r="Z349" s="385">
        <f t="shared" si="139"/>
        <v>2.1875754325040955</v>
      </c>
      <c r="AA349" s="386">
        <f t="shared" si="140"/>
        <v>2.5024333498802123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0.12582070063571871</v>
      </c>
      <c r="AD349" s="231">
        <f>(INDEX(Models!$BJ349:$BT349,,AH349)*(1-AF349)+INDEX(Models!$BJ349:$BT349,,AH349+1)*AF349-ERP_i)*AE349*Ramure*Pc/MaxiM</f>
        <v>8.6915848355917896E-2</v>
      </c>
      <c r="AE349" s="305">
        <f t="shared" si="142"/>
        <v>0.7</v>
      </c>
      <c r="AF349" s="177">
        <f t="shared" si="143"/>
        <v>0.59977291509539077</v>
      </c>
      <c r="AG349" s="817">
        <f t="shared" si="149"/>
        <v>1</v>
      </c>
      <c r="AH349" s="176">
        <f t="shared" si="144"/>
        <v>7</v>
      </c>
      <c r="AI349" s="225">
        <f t="shared" si="145"/>
        <v>1.5997729150953908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46358</v>
      </c>
      <c r="B350" s="411">
        <f>'2025'!Wh/'2025'!Env_an*'2026'!Env_an</f>
        <v>3.2888329384604313</v>
      </c>
      <c r="C350" s="846"/>
      <c r="D350" s="393">
        <f t="shared" si="127"/>
        <v>3.5236758099082017</v>
      </c>
      <c r="E350" s="385">
        <f t="shared" si="125"/>
        <v>3.8662622953093599</v>
      </c>
      <c r="F350" s="385">
        <f t="shared" si="128"/>
        <v>3.8674683141421617</v>
      </c>
      <c r="G350" s="110">
        <f t="shared" si="126"/>
        <v>0.29896444620904944</v>
      </c>
      <c r="H350" s="414" t="b">
        <f>Wh_hp&gt;='2025'!Maxi_hp</f>
        <v>0</v>
      </c>
      <c r="I350" s="390">
        <f>IF(H350,Wh_hp,'2025'!Maxi_hp)</f>
        <v>5.9138462610467215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6.6647127635129588E-2</v>
      </c>
      <c r="M350" s="850"/>
      <c r="N350" s="850"/>
      <c r="O350" s="48">
        <f>IF(t&lt;Tnet,'2025'!Resal+('2025'!Salim-'2025'!Resal)*(1-EXP(('2025'!Tnet-t)/('2025'!Tau_j))),Resal+(Salim-Resal)*(1-EXP((Tnet-t)/(Tau_j))))*Salcycl</f>
        <v>8.8609219766799627E-2</v>
      </c>
      <c r="P350" s="169">
        <f>(INDEX(Models!$BJ350:$BT350,,T350)*(1-R350)+INDEX(Models!$BJ350:$BT350,,T350+1)*R350-ERP_i)*Q350*Ramure*Pc/MaxiM</f>
        <v>2.8534560800175076E-2</v>
      </c>
      <c r="Q350" s="305">
        <f t="shared" si="130"/>
        <v>0.7</v>
      </c>
      <c r="R350" s="177">
        <f t="shared" si="131"/>
        <v>0.97592533828575645</v>
      </c>
      <c r="S350" s="817">
        <f t="shared" si="132"/>
        <v>-2</v>
      </c>
      <c r="T350" s="176">
        <f t="shared" si="133"/>
        <v>4</v>
      </c>
      <c r="U350" s="251">
        <f t="shared" si="134"/>
        <v>-1.0240746617142436</v>
      </c>
      <c r="V350" s="383">
        <f t="shared" si="135"/>
        <v>10.690181394224213</v>
      </c>
      <c r="W350" s="402">
        <f t="shared" si="136"/>
        <v>3.2888329384604313</v>
      </c>
      <c r="X350" s="157">
        <f t="shared" si="137"/>
        <v>46358</v>
      </c>
      <c r="Y350" s="385">
        <f t="shared" si="138"/>
        <v>3.1526177956941326</v>
      </c>
      <c r="Z350" s="385">
        <f t="shared" si="139"/>
        <v>3.3777340693303159</v>
      </c>
      <c r="AA350" s="386">
        <f t="shared" si="140"/>
        <v>3.8638292275203918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0.12580658449597854</v>
      </c>
      <c r="AD350" s="231">
        <f>(INDEX(Models!$BJ350:$BT350,,AH350)*(1-AF350)+INDEX(Models!$BJ350:$BT350,,AH350+1)*AF350-ERP_i)*AE350*Ramure*Pc/MaxiM</f>
        <v>8.6101257825913838E-2</v>
      </c>
      <c r="AE350" s="305">
        <f t="shared" si="142"/>
        <v>0.7</v>
      </c>
      <c r="AF350" s="177">
        <f t="shared" si="143"/>
        <v>0.59978870766181247</v>
      </c>
      <c r="AG350" s="817">
        <f t="shared" si="149"/>
        <v>1</v>
      </c>
      <c r="AH350" s="176">
        <f t="shared" si="144"/>
        <v>7</v>
      </c>
      <c r="AI350" s="225">
        <f t="shared" si="145"/>
        <v>1.5997887076618125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46359</v>
      </c>
      <c r="B351" s="411">
        <f>'2025'!Wh/'2025'!Env_an*'2026'!Env_an</f>
        <v>5.7320427768996209</v>
      </c>
      <c r="C351" s="846"/>
      <c r="D351" s="393">
        <f t="shared" si="127"/>
        <v>6.1414803509131328</v>
      </c>
      <c r="E351" s="385">
        <f t="shared" si="125"/>
        <v>6.7389594204188228</v>
      </c>
      <c r="F351" s="385">
        <f t="shared" si="128"/>
        <v>6.8061015973346146</v>
      </c>
      <c r="G351" s="110">
        <f t="shared" si="126"/>
        <v>0.53247261693808123</v>
      </c>
      <c r="H351" s="414" t="b">
        <f>Wh_hp&gt;='2025'!Maxi_hp</f>
        <v>0</v>
      </c>
      <c r="I351" s="390">
        <f>IF(H351,Wh_hp,'2025'!Maxi_hp)</f>
        <v>10.154627758831777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6.6667570458421421E-2</v>
      </c>
      <c r="M351" s="850"/>
      <c r="N351" s="850"/>
      <c r="O351" s="48">
        <f>IF(t&lt;Tnet,'2025'!Resal+('2025'!Salim-'2025'!Resal)*(1-EXP(('2025'!Tnet-t)/('2025'!Tau_j))),Resal+(Salim-Resal)*(1-EXP((Tnet-t)/(Tau_j))))*Salcycl</f>
        <v>8.8660434383288966E-2</v>
      </c>
      <c r="P351" s="169">
        <f>(INDEX(Models!$BJ351:$BT351,,T351)*(1-R351)+INDEX(Models!$BJ351:$BT351,,T351+1)*R351-ERP_i)*Q351*Ramure*Pc/MaxiM</f>
        <v>2.845721990347724E-2</v>
      </c>
      <c r="Q351" s="305">
        <f t="shared" si="130"/>
        <v>0.7</v>
      </c>
      <c r="R351" s="177">
        <f t="shared" si="131"/>
        <v>0.97594049593491916</v>
      </c>
      <c r="S351" s="817">
        <f t="shared" si="132"/>
        <v>-2</v>
      </c>
      <c r="T351" s="176">
        <f t="shared" si="133"/>
        <v>4</v>
      </c>
      <c r="U351" s="251">
        <f t="shared" si="134"/>
        <v>-1.0240595040650808</v>
      </c>
      <c r="V351" s="383">
        <f t="shared" si="135"/>
        <v>10.562814657215879</v>
      </c>
      <c r="W351" s="402">
        <f t="shared" si="136"/>
        <v>5.7320427768996209</v>
      </c>
      <c r="X351" s="157">
        <f t="shared" si="137"/>
        <v>46359</v>
      </c>
      <c r="Y351" s="385">
        <f t="shared" si="138"/>
        <v>5.389204771581996</v>
      </c>
      <c r="Z351" s="385">
        <f t="shared" si="139"/>
        <v>5.7741535609439731</v>
      </c>
      <c r="AA351" s="386">
        <f t="shared" si="140"/>
        <v>6.6050308907568818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0.12579461679363874</v>
      </c>
      <c r="AD351" s="231">
        <f>(INDEX(Models!$BJ351:$BT351,,AH351)*(1-AF351)+INDEX(Models!$BJ351:$BT351,,AH351+1)*AF351-ERP_i)*AE351*Ramure*Pc/MaxiM</f>
        <v>8.5220848892140447E-2</v>
      </c>
      <c r="AE351" s="305">
        <f t="shared" si="142"/>
        <v>0.7</v>
      </c>
      <c r="AF351" s="177">
        <f t="shared" si="143"/>
        <v>0.59980386531097518</v>
      </c>
      <c r="AG351" s="817">
        <f t="shared" si="149"/>
        <v>1</v>
      </c>
      <c r="AH351" s="176">
        <f t="shared" si="144"/>
        <v>7</v>
      </c>
      <c r="AI351" s="225">
        <f t="shared" si="145"/>
        <v>1.5998038653109752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46360</v>
      </c>
      <c r="B352" s="411">
        <f>'2025'!Wh/'2025'!Env_an*'2026'!Env_an</f>
        <v>8.2444724766315431</v>
      </c>
      <c r="C352" s="846"/>
      <c r="D352" s="393">
        <f t="shared" si="127"/>
        <v>8.8335653993532635</v>
      </c>
      <c r="E352" s="385">
        <f t="shared" si="125"/>
        <v>9.6935055440753892</v>
      </c>
      <c r="F352" s="385">
        <f t="shared" si="128"/>
        <v>9.8896249033723702</v>
      </c>
      <c r="G352" s="110">
        <f t="shared" si="126"/>
        <v>0.78255173854320992</v>
      </c>
      <c r="H352" s="414" t="b">
        <f>Wh_hp&gt;='2025'!Maxi_hp</f>
        <v>0</v>
      </c>
      <c r="I352" s="390">
        <f>IF(H352,Wh_hp,'2025'!Maxi_hp)</f>
        <v>9.9346026351631416</v>
      </c>
      <c r="J352" s="85">
        <f>IF(H352,An,'2025'!An_max)</f>
        <v>2025</v>
      </c>
      <c r="K352" s="197">
        <f t="shared" si="129"/>
        <v>46360</v>
      </c>
      <c r="L352" s="147">
        <f>IF(t&lt;Tvie,1-EXP((T0-t)*PertePVj)+'2025'!Pspv,1-EXP((T0-t)*PertePVj)+Pspv)</f>
        <v>6.6688012833962862E-2</v>
      </c>
      <c r="M352" s="850"/>
      <c r="N352" s="850"/>
      <c r="O352" s="48">
        <f>IF(t&lt;Tnet,'2025'!Resal+('2025'!Salim-'2025'!Resal)*(1-EXP(('2025'!Tnet-t)/('2025'!Tau_j))),Resal+(Salim-Resal)*(1-EXP((Tnet-t)/(Tau_j))))*Salcycl</f>
        <v>8.8713019331558146E-2</v>
      </c>
      <c r="P352" s="169">
        <f>(INDEX(Models!$BJ352:$BT352,,T352)*(1-R352)+INDEX(Models!$BJ352:$BT352,,T352+1)*R352-ERP_i)*Q352*Ramure*Pc/MaxiM</f>
        <v>2.8363105302071888E-2</v>
      </c>
      <c r="Q352" s="305">
        <f t="shared" si="130"/>
        <v>0.7</v>
      </c>
      <c r="R352" s="177">
        <f t="shared" si="131"/>
        <v>0.9759550441565541</v>
      </c>
      <c r="S352" s="817">
        <f t="shared" si="132"/>
        <v>-2</v>
      </c>
      <c r="T352" s="176">
        <f t="shared" si="133"/>
        <v>4</v>
      </c>
      <c r="U352" s="251">
        <f t="shared" si="134"/>
        <v>-1.0240449558434459</v>
      </c>
      <c r="V352" s="383">
        <f t="shared" si="135"/>
        <v>10.443660995530765</v>
      </c>
      <c r="W352" s="402">
        <f t="shared" si="136"/>
        <v>8.2444724766315431</v>
      </c>
      <c r="X352" s="157">
        <f t="shared" si="137"/>
        <v>46360</v>
      </c>
      <c r="Y352" s="385">
        <f t="shared" si="138"/>
        <v>7.5932314899055715</v>
      </c>
      <c r="Z352" s="385">
        <f t="shared" si="139"/>
        <v>8.135791240571228</v>
      </c>
      <c r="AA352" s="386">
        <f t="shared" si="140"/>
        <v>9.3063937820502201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0.12578476356081139</v>
      </c>
      <c r="AD352" s="231">
        <f>(INDEX(Models!$BJ352:$BT352,,AH352)*(1-AF352)+INDEX(Models!$BJ352:$BT352,,AH352+1)*AF352-ERP_i)*AE352*Ramure*Pc/MaxiM</f>
        <v>8.4347846988710312E-2</v>
      </c>
      <c r="AE352" s="305">
        <f t="shared" si="142"/>
        <v>0.7</v>
      </c>
      <c r="AF352" s="177">
        <f t="shared" si="143"/>
        <v>0.59981841353261012</v>
      </c>
      <c r="AG352" s="817">
        <f t="shared" si="149"/>
        <v>1</v>
      </c>
      <c r="AH352" s="176">
        <f t="shared" si="144"/>
        <v>7</v>
      </c>
      <c r="AI352" s="225">
        <f t="shared" si="145"/>
        <v>1.5998184135326101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46361</v>
      </c>
      <c r="B353" s="411">
        <f>'2025'!Wh/'2025'!Env_an*'2026'!Env_an</f>
        <v>9.6026113953624588</v>
      </c>
      <c r="C353" s="846"/>
      <c r="D353" s="393">
        <f t="shared" si="127"/>
        <v>10.288972877078034</v>
      </c>
      <c r="E353" s="385">
        <f t="shared" si="125"/>
        <v>11.291263932378877</v>
      </c>
      <c r="F353" s="385">
        <f t="shared" si="128"/>
        <v>11.585541577069517</v>
      </c>
      <c r="G353" s="110">
        <f t="shared" si="126"/>
        <v>0.92653393542345763</v>
      </c>
      <c r="H353" s="414" t="b">
        <f>Wh_hp&gt;='2025'!Maxi_hp</f>
        <v>0</v>
      </c>
      <c r="I353" s="390">
        <f>IF(H353,Wh_hp,'2025'!Maxi_hp)</f>
        <v>11.60322248058047</v>
      </c>
      <c r="J353" s="85">
        <f>IF(H353,An,'2025'!An_max)</f>
        <v>2025</v>
      </c>
      <c r="K353" s="197">
        <f t="shared" si="129"/>
        <v>46361</v>
      </c>
      <c r="L353" s="147">
        <f>IF(t&lt;Tvie,1-EXP((T0-t)*PertePVj)+'2025'!Pspv,1-EXP((T0-t)*PertePVj)+Pspv)</f>
        <v>6.6708454761763902E-2</v>
      </c>
      <c r="M353" s="850"/>
      <c r="N353" s="850"/>
      <c r="O353" s="48">
        <f>IF(t&lt;Tnet,'2025'!Resal+('2025'!Salim-'2025'!Resal)*(1-EXP(('2025'!Tnet-t)/('2025'!Tau_j))),Resal+(Salim-Resal)*(1-EXP((Tnet-t)/(Tau_j))))*Salcycl</f>
        <v>8.8766949502142853E-2</v>
      </c>
      <c r="P353" s="169">
        <f>(INDEX(Models!$BJ353:$BT353,,T353)*(1-R353)+INDEX(Models!$BJ353:$BT353,,T353+1)*R353-ERP_i)*Q353*Ramure*Pc/MaxiM</f>
        <v>2.8256029294096881E-2</v>
      </c>
      <c r="Q353" s="305">
        <f t="shared" si="130"/>
        <v>0.7</v>
      </c>
      <c r="R353" s="177">
        <f t="shared" si="131"/>
        <v>0.97596900741992298</v>
      </c>
      <c r="S353" s="817">
        <f t="shared" si="132"/>
        <v>-2</v>
      </c>
      <c r="T353" s="176">
        <f t="shared" si="133"/>
        <v>4</v>
      </c>
      <c r="U353" s="251">
        <f t="shared" si="134"/>
        <v>-1.024030992580077</v>
      </c>
      <c r="V353" s="383">
        <f t="shared" si="135"/>
        <v>10.333647885643405</v>
      </c>
      <c r="W353" s="402">
        <f t="shared" si="136"/>
        <v>9.6026113953624588</v>
      </c>
      <c r="X353" s="157">
        <f t="shared" si="137"/>
        <v>46361</v>
      </c>
      <c r="Y353" s="385">
        <f t="shared" si="138"/>
        <v>8.7430860033614692</v>
      </c>
      <c r="Z353" s="385">
        <f t="shared" si="139"/>
        <v>9.3680115800574093</v>
      </c>
      <c r="AA353" s="386">
        <f t="shared" si="140"/>
        <v>10.715814402982696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0.12577698457992451</v>
      </c>
      <c r="AD353" s="231">
        <f>(INDEX(Models!$BJ353:$BT353,,AH353)*(1-AF353)+INDEX(Models!$BJ353:$BT353,,AH353+1)*AF353-ERP_i)*AE353*Ramure*Pc/MaxiM</f>
        <v>8.3509695528193595E-2</v>
      </c>
      <c r="AE353" s="305">
        <f t="shared" si="142"/>
        <v>0.7</v>
      </c>
      <c r="AF353" s="177">
        <f t="shared" si="143"/>
        <v>0.59983237679597901</v>
      </c>
      <c r="AG353" s="817">
        <f t="shared" si="149"/>
        <v>1</v>
      </c>
      <c r="AH353" s="176">
        <f t="shared" si="144"/>
        <v>7</v>
      </c>
      <c r="AI353" s="225">
        <f t="shared" si="145"/>
        <v>1.599832376795979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46362</v>
      </c>
      <c r="B354" s="411">
        <f>'2025'!Wh/'2025'!Env_an*'2026'!Env_an</f>
        <v>6.9619784341652737</v>
      </c>
      <c r="C354" s="846"/>
      <c r="D354" s="393">
        <f t="shared" si="127"/>
        <v>7.4597599841356486</v>
      </c>
      <c r="E354" s="385">
        <f t="shared" si="125"/>
        <v>8.1869421619284548</v>
      </c>
      <c r="F354" s="385">
        <f t="shared" si="128"/>
        <v>8.3140140006478997</v>
      </c>
      <c r="G354" s="110">
        <f t="shared" si="126"/>
        <v>0.67141739444925763</v>
      </c>
      <c r="H354" s="414" t="b">
        <f>Wh_hp&gt;='2025'!Maxi_hp</f>
        <v>0</v>
      </c>
      <c r="I354" s="390">
        <f>IF(H354,Wh_hp,'2025'!Maxi_hp)</f>
        <v>11.896832592856089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6.6728896241834201E-2</v>
      </c>
      <c r="M354" s="850"/>
      <c r="N354" s="850"/>
      <c r="O354" s="48">
        <f>IF(t&lt;Tnet,'2025'!Resal+('2025'!Salim-'2025'!Resal)*(1-EXP(('2025'!Tnet-t)/('2025'!Tau_j))),Resal+(Salim-Resal)*(1-EXP((Tnet-t)/(Tau_j))))*Salcycl</f>
        <v>8.8822195565812764E-2</v>
      </c>
      <c r="P354" s="169">
        <f>(INDEX(Models!$BJ354:$BT354,,T354)*(1-R354)+INDEX(Models!$BJ354:$BT354,,T354+1)*R354-ERP_i)*Q354*Ramure*Pc/MaxiM</f>
        <v>2.8133057591900712E-2</v>
      </c>
      <c r="Q354" s="305">
        <f t="shared" si="130"/>
        <v>0.7</v>
      </c>
      <c r="R354" s="177">
        <f t="shared" si="131"/>
        <v>0.97598240921444601</v>
      </c>
      <c r="S354" s="817">
        <f t="shared" si="132"/>
        <v>-2</v>
      </c>
      <c r="T354" s="176">
        <f t="shared" si="133"/>
        <v>4</v>
      </c>
      <c r="U354" s="251">
        <f t="shared" si="134"/>
        <v>-1.024017590785554</v>
      </c>
      <c r="V354" s="383">
        <f t="shared" si="135"/>
        <v>10.2337764206938</v>
      </c>
      <c r="W354" s="402">
        <f t="shared" si="136"/>
        <v>6.9619784341652737</v>
      </c>
      <c r="X354" s="157">
        <f t="shared" si="137"/>
        <v>46362</v>
      </c>
      <c r="Y354" s="385">
        <f t="shared" si="138"/>
        <v>6.478568459031373</v>
      </c>
      <c r="Z354" s="385">
        <f t="shared" si="139"/>
        <v>6.941786189396618</v>
      </c>
      <c r="AA354" s="386">
        <f t="shared" si="140"/>
        <v>7.940468739584591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0.12577123378237989</v>
      </c>
      <c r="AD354" s="231">
        <f>(INDEX(Models!$BJ354:$BT354,,AH354)*(1-AF354)+INDEX(Models!$BJ354:$BT354,,AH354+1)*AF354-ERP_i)*AE354*Ramure*Pc/MaxiM</f>
        <v>8.2701017381812708E-2</v>
      </c>
      <c r="AE354" s="305">
        <f t="shared" si="142"/>
        <v>0.7</v>
      </c>
      <c r="AF354" s="177">
        <f t="shared" si="143"/>
        <v>0.59984577859050203</v>
      </c>
      <c r="AG354" s="817">
        <f t="shared" si="149"/>
        <v>1</v>
      </c>
      <c r="AH354" s="176">
        <f t="shared" si="144"/>
        <v>7</v>
      </c>
      <c r="AI354" s="225">
        <f t="shared" si="145"/>
        <v>1.599845778590502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46363</v>
      </c>
      <c r="B355" s="411">
        <f>'2025'!Wh/'2025'!Env_an*'2026'!Env_an</f>
        <v>8.1208671199266789</v>
      </c>
      <c r="C355" s="846"/>
      <c r="D355" s="393">
        <f t="shared" si="127"/>
        <v>8.7016998157895156</v>
      </c>
      <c r="E355" s="385">
        <f t="shared" si="125"/>
        <v>9.5505395906188788</v>
      </c>
      <c r="F355" s="385">
        <f t="shared" si="128"/>
        <v>9.7455758497986746</v>
      </c>
      <c r="G355" s="110">
        <f t="shared" si="126"/>
        <v>0.79395902311284583</v>
      </c>
      <c r="H355" s="414" t="b">
        <f>Wh_hp&gt;='2025'!Maxi_hp</f>
        <v>0</v>
      </c>
      <c r="I355" s="390">
        <f>IF(H355,Wh_hp,'2025'!Maxi_hp)</f>
        <v>11.718067390953806</v>
      </c>
      <c r="J355" s="85">
        <f>IF(H355,An,'2025'!An_max)</f>
        <v>2018</v>
      </c>
      <c r="K355" s="197">
        <f t="shared" si="129"/>
        <v>46363</v>
      </c>
      <c r="L355" s="147">
        <f>IF(t&lt;Tvie,1-EXP((T0-t)*PertePVj)+'2025'!Pspv,1-EXP((T0-t)*PertePVj)+Pspv)</f>
        <v>6.6749337274183751E-2</v>
      </c>
      <c r="M355" s="850"/>
      <c r="N355" s="850"/>
      <c r="O355" s="48">
        <f>IF(t&lt;Tnet,'2025'!Resal+('2025'!Salim-'2025'!Resal)*(1-EXP(('2025'!Tnet-t)/('2025'!Tau_j))),Resal+(Salim-Resal)*(1-EXP((Tnet-t)/(Tau_j))))*Salcycl</f>
        <v>8.8878724262150183E-2</v>
      </c>
      <c r="P355" s="169">
        <f>(INDEX(Models!$BJ355:$BT355,,T355)*(1-R355)+INDEX(Models!$BJ355:$BT355,,T355+1)*R355-ERP_i)*Q355*Ramure*Pc/MaxiM</f>
        <v>2.7991270948717228E-2</v>
      </c>
      <c r="Q355" s="305">
        <f t="shared" si="130"/>
        <v>0.7</v>
      </c>
      <c r="R355" s="177">
        <f t="shared" si="131"/>
        <v>0.97599527208873105</v>
      </c>
      <c r="S355" s="817">
        <f t="shared" si="132"/>
        <v>-2</v>
      </c>
      <c r="T355" s="176">
        <f t="shared" si="133"/>
        <v>4</v>
      </c>
      <c r="U355" s="251">
        <f t="shared" si="134"/>
        <v>-1.024004727911269</v>
      </c>
      <c r="V355" s="383">
        <f t="shared" si="135"/>
        <v>10.145047327002715</v>
      </c>
      <c r="W355" s="402">
        <f t="shared" si="136"/>
        <v>8.1208671199266789</v>
      </c>
      <c r="X355" s="157">
        <f t="shared" si="137"/>
        <v>46363</v>
      </c>
      <c r="Y355" s="385">
        <f t="shared" si="138"/>
        <v>7.4855205642062757</v>
      </c>
      <c r="Z355" s="385">
        <f t="shared" si="139"/>
        <v>8.0209110619249344</v>
      </c>
      <c r="AA355" s="386">
        <f t="shared" si="140"/>
        <v>9.1748026891686987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0.12576745967583466</v>
      </c>
      <c r="AD355" s="231">
        <f>(INDEX(Models!$BJ355:$BT355,,AH355)*(1-AF355)+INDEX(Models!$BJ355:$BT355,,AH355+1)*AF355-ERP_i)*AE355*Ramure*Pc/MaxiM</f>
        <v>8.1916389581289037E-2</v>
      </c>
      <c r="AE355" s="305">
        <f t="shared" si="142"/>
        <v>0.7</v>
      </c>
      <c r="AF355" s="177">
        <f t="shared" si="143"/>
        <v>0.59985864146478707</v>
      </c>
      <c r="AG355" s="817">
        <f t="shared" si="149"/>
        <v>1</v>
      </c>
      <c r="AH355" s="176">
        <f t="shared" si="144"/>
        <v>7</v>
      </c>
      <c r="AI355" s="225">
        <f t="shared" si="145"/>
        <v>1.5998586414647871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46364</v>
      </c>
      <c r="B356" s="411">
        <f>'2025'!Wh/'2025'!Env_an*'2026'!Env_an</f>
        <v>2.6727080698599925</v>
      </c>
      <c r="C356" s="846"/>
      <c r="D356" s="393">
        <f t="shared" si="127"/>
        <v>2.863932185702049</v>
      </c>
      <c r="E356" s="385">
        <f t="shared" si="125"/>
        <v>3.1435044666347163</v>
      </c>
      <c r="F356" s="385">
        <f t="shared" si="128"/>
        <v>3.1435044666347163</v>
      </c>
      <c r="G356" s="110">
        <f t="shared" si="126"/>
        <v>0.25806649725175002</v>
      </c>
      <c r="H356" s="414" t="b">
        <f>Wh_hp&gt;='2025'!Maxi_hp</f>
        <v>0</v>
      </c>
      <c r="I356" s="390">
        <f>IF(H356,Wh_hp,'2025'!Maxi_hp)</f>
        <v>10.360105711351219</v>
      </c>
      <c r="J356" s="85">
        <f>IF(H356,An,'2025'!An_max)</f>
        <v>2018</v>
      </c>
      <c r="K356" s="197">
        <f t="shared" si="129"/>
        <v>46364</v>
      </c>
      <c r="L356" s="147">
        <f>IF(t&lt;Tvie,1-EXP((T0-t)*PertePVj)+'2025'!Pspv,1-EXP((T0-t)*PertePVj)+Pspv)</f>
        <v>6.6769777858822099E-2</v>
      </c>
      <c r="M356" s="850"/>
      <c r="N356" s="850"/>
      <c r="O356" s="48">
        <f>IF(t&lt;Tnet,'2025'!Resal+('2025'!Salim-'2025'!Resal)*(1-EXP(('2025'!Tnet-t)/('2025'!Tau_j))),Resal+(Salim-Resal)*(1-EXP((Tnet-t)/(Tau_j))))*Salcycl</f>
        <v>8.893649870711462E-2</v>
      </c>
      <c r="P356" s="169">
        <f>(INDEX(Models!$BJ356:$BT356,,T356)*(1-R356)+INDEX(Models!$BJ356:$BT356,,T356+1)*R356-ERP_i)*Q356*Ramure*Pc/MaxiM</f>
        <v>2.7827814046751782E-2</v>
      </c>
      <c r="Q356" s="305">
        <f t="shared" si="130"/>
        <v>0.7</v>
      </c>
      <c r="R356" s="177">
        <f t="shared" si="131"/>
        <v>0.97600761768806521</v>
      </c>
      <c r="S356" s="817">
        <f t="shared" si="132"/>
        <v>-2</v>
      </c>
      <c r="T356" s="176">
        <f t="shared" si="133"/>
        <v>4</v>
      </c>
      <c r="U356" s="251">
        <f t="shared" si="134"/>
        <v>-1.0239923823119348</v>
      </c>
      <c r="V356" s="383">
        <f t="shared" si="135"/>
        <v>10.068460936856674</v>
      </c>
      <c r="W356" s="402">
        <f t="shared" si="136"/>
        <v>2.6727080698599925</v>
      </c>
      <c r="X356" s="157">
        <f t="shared" si="137"/>
        <v>46364</v>
      </c>
      <c r="Y356" s="385">
        <f t="shared" si="138"/>
        <v>2.5646657088347586</v>
      </c>
      <c r="Z356" s="385">
        <f t="shared" si="139"/>
        <v>2.7481597230643255</v>
      </c>
      <c r="AA356" s="386">
        <f t="shared" si="140"/>
        <v>3.1435044666347163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0.12576560579652293</v>
      </c>
      <c r="AD356" s="231">
        <f>(INDEX(Models!$BJ356:$BT356,,AH356)*(1-AF356)+INDEX(Models!$BJ356:$BT356,,AH356+1)*AF356-ERP_i)*AE356*Ramure*Pc/MaxiM</f>
        <v>8.1150375034549138E-2</v>
      </c>
      <c r="AE356" s="305">
        <f t="shared" si="142"/>
        <v>0.7</v>
      </c>
      <c r="AF356" s="177">
        <f t="shared" si="143"/>
        <v>0.59987098706412123</v>
      </c>
      <c r="AG356" s="817">
        <f t="shared" si="149"/>
        <v>1</v>
      </c>
      <c r="AH356" s="176">
        <f t="shared" si="144"/>
        <v>7</v>
      </c>
      <c r="AI356" s="225">
        <f t="shared" si="145"/>
        <v>1.5998709870641212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46365</v>
      </c>
      <c r="B357" s="411">
        <f>'2025'!Wh/'2025'!Env_an*'2026'!Env_an</f>
        <v>3.8058231048198525</v>
      </c>
      <c r="C357" s="846"/>
      <c r="D357" s="393">
        <f t="shared" si="127"/>
        <v>4.0782074708284162</v>
      </c>
      <c r="E357" s="385">
        <f t="shared" si="125"/>
        <v>4.476605083238228</v>
      </c>
      <c r="F357" s="385">
        <f t="shared" si="128"/>
        <v>4.4908604608255844</v>
      </c>
      <c r="G357" s="110">
        <f t="shared" si="126"/>
        <v>0.37105530424600297</v>
      </c>
      <c r="H357" s="414" t="b">
        <f>Wh_hp&gt;='2025'!Maxi_hp</f>
        <v>0</v>
      </c>
      <c r="I357" s="390">
        <f>IF(H357,Wh_hp,'2025'!Maxi_hp)</f>
        <v>6.3586080107423522</v>
      </c>
      <c r="J357" s="85">
        <f>IF(H357,An,'2025'!An_max)</f>
        <v>2019</v>
      </c>
      <c r="K357" s="197">
        <f t="shared" si="129"/>
        <v>46365</v>
      </c>
      <c r="L357" s="147">
        <f>IF(t&lt;Tvie,1-EXP((T0-t)*PertePVj)+'2025'!Pspv,1-EXP((T0-t)*PertePVj)+Pspv)</f>
        <v>6.6790217995759238E-2</v>
      </c>
      <c r="M357" s="850"/>
      <c r="N357" s="850"/>
      <c r="O357" s="48">
        <f>IF(t&lt;Tnet,'2025'!Resal+('2025'!Salim-'2025'!Resal)*(1-EXP(('2025'!Tnet-t)/('2025'!Tau_j))),Resal+(Salim-Resal)*(1-EXP((Tnet-t)/(Tau_j))))*Salcycl</f>
        <v>8.8995478717015769E-2</v>
      </c>
      <c r="P357" s="169">
        <f>(INDEX(Models!$BJ357:$BT357,,T357)*(1-R357)+INDEX(Models!$BJ357:$BT357,,T357+1)*R357-ERP_i)*Q357*Ramure*Pc/MaxiM</f>
        <v>2.7639951629173494E-2</v>
      </c>
      <c r="Q357" s="305">
        <f t="shared" si="130"/>
        <v>0.7</v>
      </c>
      <c r="R357" s="177">
        <f t="shared" si="131"/>
        <v>0.97601946679042517</v>
      </c>
      <c r="S357" s="817">
        <f t="shared" si="132"/>
        <v>-2</v>
      </c>
      <c r="T357" s="176">
        <f t="shared" si="133"/>
        <v>4</v>
      </c>
      <c r="U357" s="251">
        <f t="shared" si="134"/>
        <v>-1.0239805332095748</v>
      </c>
      <c r="V357" s="383">
        <f t="shared" si="135"/>
        <v>10.005017166404492</v>
      </c>
      <c r="W357" s="402">
        <f t="shared" si="136"/>
        <v>3.8058231048198525</v>
      </c>
      <c r="X357" s="157">
        <f t="shared" si="137"/>
        <v>46365</v>
      </c>
      <c r="Y357" s="385">
        <f t="shared" si="138"/>
        <v>3.6300127527608281</v>
      </c>
      <c r="Z357" s="385">
        <f t="shared" si="139"/>
        <v>3.8898142976648868</v>
      </c>
      <c r="AA357" s="386">
        <f t="shared" si="140"/>
        <v>4.4493952050181242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0.1257656111828705</v>
      </c>
      <c r="AD357" s="231">
        <f>(INDEX(Models!$BJ357:$BT357,,AH357)*(1-AF357)+INDEX(Models!$BJ357:$BT357,,AH357+1)*AF357-ERP_i)*AE357*Ramure*Pc/MaxiM</f>
        <v>8.0397566306912749E-2</v>
      </c>
      <c r="AE357" s="305">
        <f t="shared" si="142"/>
        <v>0.7</v>
      </c>
      <c r="AF357" s="177">
        <f t="shared" si="143"/>
        <v>0.59988283616648119</v>
      </c>
      <c r="AG357" s="817">
        <f t="shared" si="149"/>
        <v>1</v>
      </c>
      <c r="AH357" s="176">
        <f t="shared" si="144"/>
        <v>7</v>
      </c>
      <c r="AI357" s="225">
        <f t="shared" si="145"/>
        <v>1.5998828361664812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46366</v>
      </c>
      <c r="B358" s="411">
        <f>'2025'!Wh/'2025'!Env_an*'2026'!Env_an</f>
        <v>6.5531710339042535</v>
      </c>
      <c r="C358" s="846"/>
      <c r="D358" s="393">
        <f t="shared" si="127"/>
        <v>7.022338058048943</v>
      </c>
      <c r="E358" s="385">
        <f t="shared" si="125"/>
        <v>7.7088549214002864</v>
      </c>
      <c r="F358" s="385">
        <f t="shared" si="128"/>
        <v>7.8185895044441578</v>
      </c>
      <c r="G358" s="110">
        <f t="shared" si="126"/>
        <v>0.649292832879936</v>
      </c>
      <c r="H358" s="414" t="b">
        <f>Wh_hp&gt;='2025'!Maxi_hp</f>
        <v>0</v>
      </c>
      <c r="I358" s="390">
        <f>IF(H358,Wh_hp,'2025'!Maxi_hp)</f>
        <v>11.203024909325297</v>
      </c>
      <c r="J358" s="85">
        <f>IF(H358,An,'2025'!An_max)</f>
        <v>2019</v>
      </c>
      <c r="K358" s="197">
        <f t="shared" si="129"/>
        <v>46366</v>
      </c>
      <c r="L358" s="147">
        <f>IF(t&lt;Tvie,1-EXP((T0-t)*PertePVj)+'2025'!Pspv,1-EXP((T0-t)*PertePVj)+Pspv)</f>
        <v>6.6810657685004826E-2</v>
      </c>
      <c r="M358" s="850"/>
      <c r="N358" s="850"/>
      <c r="O358" s="48">
        <f>IF(t&lt;Tnet,'2025'!Resal+('2025'!Salim-'2025'!Resal)*(1-EXP(('2025'!Tnet-t)/('2025'!Tau_j))),Resal+(Salim-Resal)*(1-EXP((Tnet-t)/(Tau_j))))*Salcycl</f>
        <v>8.9055621146212974E-2</v>
      </c>
      <c r="P358" s="169">
        <f>(INDEX(Models!$BJ358:$BT358,,T358)*(1-R358)+INDEX(Models!$BJ358:$BT358,,T358+1)*R358-ERP_i)*Q358*Ramure*Pc/MaxiM</f>
        <v>2.7425130663370666E-2</v>
      </c>
      <c r="Q358" s="305">
        <f t="shared" si="130"/>
        <v>0.7</v>
      </c>
      <c r="R358" s="177">
        <f t="shared" si="131"/>
        <v>0.97603083934106971</v>
      </c>
      <c r="S358" s="817">
        <f t="shared" si="132"/>
        <v>-2</v>
      </c>
      <c r="T358" s="176">
        <f t="shared" si="133"/>
        <v>4</v>
      </c>
      <c r="U358" s="251">
        <f t="shared" si="134"/>
        <v>-1.0239691606589303</v>
      </c>
      <c r="V358" s="383">
        <f t="shared" si="135"/>
        <v>9.9557154930701444</v>
      </c>
      <c r="W358" s="402">
        <f t="shared" si="136"/>
        <v>6.5531710339042535</v>
      </c>
      <c r="X358" s="157">
        <f t="shared" si="137"/>
        <v>46366</v>
      </c>
      <c r="Y358" s="385">
        <f t="shared" si="138"/>
        <v>6.1185861255507756</v>
      </c>
      <c r="Z358" s="385">
        <f t="shared" si="139"/>
        <v>6.5566395243779647</v>
      </c>
      <c r="AA358" s="386">
        <f t="shared" si="140"/>
        <v>7.4998800157711161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0.12576741086652843</v>
      </c>
      <c r="AD358" s="231">
        <f>(INDEX(Models!$BJ358:$BT358,,AH358)*(1-AF358)+INDEX(Models!$BJ358:$BT358,,AH358+1)*AF358-ERP_i)*AE358*Ramure*Pc/MaxiM</f>
        <v>7.9652641200812432E-2</v>
      </c>
      <c r="AE358" s="305">
        <f t="shared" si="142"/>
        <v>0.7</v>
      </c>
      <c r="AF358" s="177">
        <f t="shared" si="143"/>
        <v>0.59989420871712573</v>
      </c>
      <c r="AG358" s="817">
        <f t="shared" si="149"/>
        <v>1</v>
      </c>
      <c r="AH358" s="176">
        <f t="shared" si="144"/>
        <v>7</v>
      </c>
      <c r="AI358" s="225">
        <f t="shared" si="145"/>
        <v>1.5998942087171257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46367</v>
      </c>
      <c r="B359" s="411">
        <f>'2025'!Wh/'2025'!Env_an*'2026'!Env_an</f>
        <v>7.6393621232831457</v>
      </c>
      <c r="C359" s="846"/>
      <c r="D359" s="393">
        <f t="shared" si="127"/>
        <v>8.1864731005529485</v>
      </c>
      <c r="E359" s="385">
        <f t="shared" si="125"/>
        <v>8.9874023603291366</v>
      </c>
      <c r="F359" s="385">
        <f t="shared" si="128"/>
        <v>9.1544798997054855</v>
      </c>
      <c r="G359" s="110">
        <f t="shared" si="126"/>
        <v>0.76299885307971427</v>
      </c>
      <c r="H359" s="414" t="b">
        <f>Wh_hp&gt;='2025'!Maxi_hp</f>
        <v>0</v>
      </c>
      <c r="I359" s="390">
        <f>IF(H359,Wh_hp,'2025'!Maxi_hp)</f>
        <v>10.504365744752464</v>
      </c>
      <c r="J359" s="85">
        <f>IF(H359,An,'2025'!An_max)</f>
        <v>2021</v>
      </c>
      <c r="K359" s="197">
        <f t="shared" si="129"/>
        <v>46367</v>
      </c>
      <c r="L359" s="147">
        <f>IF(t&lt;Tvie,1-EXP((T0-t)*PertePVj)+'2025'!Pspv,1-EXP((T0-t)*PertePVj)+Pspv)</f>
        <v>6.6831096926568856E-2</v>
      </c>
      <c r="M359" s="850"/>
      <c r="N359" s="850"/>
      <c r="O359" s="48">
        <f>IF(t&lt;Tnet,'2025'!Resal+('2025'!Salim-'2025'!Resal)*(1-EXP(('2025'!Tnet-t)/('2025'!Tau_j))),Resal+(Salim-Resal)*(1-EXP((Tnet-t)/(Tau_j))))*Salcycl</f>
        <v>8.9116880235776533E-2</v>
      </c>
      <c r="P359" s="169">
        <f>(INDEX(Models!$BJ359:$BT359,,T359)*(1-R359)+INDEX(Models!$BJ359:$BT359,,T359+1)*R359-ERP_i)*Q359*Ramure*Pc/MaxiM</f>
        <v>2.7181986506398411E-2</v>
      </c>
      <c r="Q359" s="305">
        <f t="shared" si="130"/>
        <v>0.7</v>
      </c>
      <c r="R359" s="177">
        <f t="shared" si="131"/>
        <v>0.97604175448576114</v>
      </c>
      <c r="S359" s="817">
        <f t="shared" si="132"/>
        <v>-2</v>
      </c>
      <c r="T359" s="176">
        <f t="shared" si="133"/>
        <v>4</v>
      </c>
      <c r="U359" s="251">
        <f t="shared" si="134"/>
        <v>-1.0239582455142389</v>
      </c>
      <c r="V359" s="383">
        <f t="shared" si="135"/>
        <v>9.9212023145191566</v>
      </c>
      <c r="W359" s="402">
        <f t="shared" si="136"/>
        <v>7.6393621232831457</v>
      </c>
      <c r="X359" s="157">
        <f t="shared" si="137"/>
        <v>46367</v>
      </c>
      <c r="Y359" s="385">
        <f t="shared" si="138"/>
        <v>7.0725503742982312</v>
      </c>
      <c r="Z359" s="385">
        <f t="shared" si="139"/>
        <v>7.5790677882690778</v>
      </c>
      <c r="AA359" s="386">
        <f t="shared" si="140"/>
        <v>8.6694301340869266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0.12577093637685643</v>
      </c>
      <c r="AD359" s="231">
        <f>(INDEX(Models!$BJ359:$BT359,,AH359)*(1-AF359)+INDEX(Models!$BJ359:$BT359,,AH359+1)*AF359-ERP_i)*AE359*Ramure*Pc/MaxiM</f>
        <v>7.891315752667645E-2</v>
      </c>
      <c r="AE359" s="305">
        <f t="shared" si="142"/>
        <v>0.7</v>
      </c>
      <c r="AF359" s="177">
        <f t="shared" si="143"/>
        <v>0.59990512386181716</v>
      </c>
      <c r="AG359" s="817">
        <f t="shared" si="149"/>
        <v>1</v>
      </c>
      <c r="AH359" s="176">
        <f t="shared" si="144"/>
        <v>7</v>
      </c>
      <c r="AI359" s="225">
        <f t="shared" si="145"/>
        <v>1.5999051238618172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46368</v>
      </c>
      <c r="B360" s="411">
        <f>'2025'!Wh/'2025'!Env_an*'2026'!Env_an</f>
        <v>3.0776501647366503</v>
      </c>
      <c r="C360" s="846"/>
      <c r="D360" s="393">
        <f t="shared" si="127"/>
        <v>3.2981355942249007</v>
      </c>
      <c r="E360" s="385">
        <f t="shared" si="125"/>
        <v>3.621058745129436</v>
      </c>
      <c r="F360" s="385">
        <f t="shared" si="128"/>
        <v>3.6225697334223361</v>
      </c>
      <c r="G360" s="110">
        <f t="shared" si="126"/>
        <v>0.30260914315281401</v>
      </c>
      <c r="H360" s="414" t="b">
        <f>Wh_hp&gt;='2025'!Maxi_hp</f>
        <v>0</v>
      </c>
      <c r="I360" s="390">
        <f>IF(H360,Wh_hp,'2025'!Maxi_hp)</f>
        <v>10.718459481317785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6.6851535720461097E-2</v>
      </c>
      <c r="M360" s="850"/>
      <c r="N360" s="850"/>
      <c r="O360" s="48">
        <f>IF(t&lt;Tnet,'2025'!Resal+('2025'!Salim-'2025'!Resal)*(1-EXP(('2025'!Tnet-t)/('2025'!Tau_j))),Resal+(Salim-Resal)*(1-EXP((Tnet-t)/(Tau_j))))*Salcycl</f>
        <v>8.9179207970290011E-2</v>
      </c>
      <c r="P360" s="169">
        <f>(INDEX(Models!$BJ360:$BT360,,T360)*(1-R360)+INDEX(Models!$BJ360:$BT360,,T360+1)*R360-ERP_i)*Q360*Ramure*Pc/MaxiM</f>
        <v>2.6912954251768942E-2</v>
      </c>
      <c r="Q360" s="305">
        <f t="shared" si="130"/>
        <v>0.7</v>
      </c>
      <c r="R360" s="177">
        <f t="shared" si="131"/>
        <v>0.97605223060267576</v>
      </c>
      <c r="S360" s="817">
        <f t="shared" si="132"/>
        <v>-2</v>
      </c>
      <c r="T360" s="176">
        <f t="shared" si="133"/>
        <v>4</v>
      </c>
      <c r="U360" s="251">
        <f t="shared" si="134"/>
        <v>-1.0239477693973242</v>
      </c>
      <c r="V360" s="383">
        <f t="shared" si="135"/>
        <v>9.9007952921737523</v>
      </c>
      <c r="W360" s="402">
        <f t="shared" si="136"/>
        <v>3.0776501647366503</v>
      </c>
      <c r="X360" s="157">
        <f t="shared" si="137"/>
        <v>46368</v>
      </c>
      <c r="Y360" s="385">
        <f t="shared" si="138"/>
        <v>2.9516413517564741</v>
      </c>
      <c r="Z360" s="385">
        <f t="shared" si="139"/>
        <v>3.1630994045897767</v>
      </c>
      <c r="AA360" s="386">
        <f t="shared" si="140"/>
        <v>3.6181800376341471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0.12577611625482801</v>
      </c>
      <c r="AD360" s="231">
        <f>(INDEX(Models!$BJ360:$BT360,,AH360)*(1-AF360)+INDEX(Models!$BJ360:$BT360,,AH360+1)*AF360-ERP_i)*AE360*Ramure*Pc/MaxiM</f>
        <v>7.8187026651259484E-2</v>
      </c>
      <c r="AE360" s="305">
        <f t="shared" si="142"/>
        <v>0.7</v>
      </c>
      <c r="AF360" s="177">
        <f t="shared" si="143"/>
        <v>0.59991559997873178</v>
      </c>
      <c r="AG360" s="817">
        <f t="shared" si="149"/>
        <v>1</v>
      </c>
      <c r="AH360" s="176">
        <f t="shared" si="144"/>
        <v>7</v>
      </c>
      <c r="AI360" s="225">
        <f t="shared" si="145"/>
        <v>1.5999155999787318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46369</v>
      </c>
      <c r="B361" s="411">
        <f>'2025'!Wh/'2025'!Env_an*'2026'!Env_an</f>
        <v>3.0533120619879011</v>
      </c>
      <c r="C361" s="846"/>
      <c r="D361" s="393">
        <f t="shared" si="127"/>
        <v>3.2721255574056922</v>
      </c>
      <c r="E361" s="385">
        <f t="shared" ref="E361:E379" si="150">Wh_pvt/(1-Psa)</f>
        <v>3.5927519158446608</v>
      </c>
      <c r="F361" s="385">
        <f t="shared" si="128"/>
        <v>3.5939313045239896</v>
      </c>
      <c r="G361" s="110">
        <f t="shared" ref="G361:G379" si="151">+Wh_hp/MaxiM</f>
        <v>0.30050071770405284</v>
      </c>
      <c r="H361" s="414" t="b">
        <f>Wh_hp&gt;='2025'!Maxi_hp</f>
        <v>0</v>
      </c>
      <c r="I361" s="390">
        <f>IF(H361,Wh_hp,'2025'!Maxi_hp)</f>
        <v>11.207179441431046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6.6871974066691209E-2</v>
      </c>
      <c r="M361" s="850"/>
      <c r="N361" s="850"/>
      <c r="O361" s="48">
        <f>IF(t&lt;Tnet,'2025'!Resal+('2025'!Salim-'2025'!Resal)*(1-EXP(('2025'!Tnet-t)/('2025'!Tau_j))),Resal+(Salim-Resal)*(1-EXP((Tnet-t)/(Tau_j))))*Salcycl</f>
        <v>8.924255443994078E-2</v>
      </c>
      <c r="P361" s="169">
        <f>(INDEX(Models!$BJ361:$BT361,,T361)*(1-R361)+INDEX(Models!$BJ361:$BT361,,T361+1)*R361-ERP_i)*Q361*Ramure*Pc/MaxiM</f>
        <v>2.6638453659717069E-2</v>
      </c>
      <c r="Q361" s="305">
        <f t="shared" si="130"/>
        <v>0.7</v>
      </c>
      <c r="R361" s="177">
        <f t="shared" si="131"/>
        <v>0.97606228533305162</v>
      </c>
      <c r="S361" s="817">
        <f t="shared" si="132"/>
        <v>-2</v>
      </c>
      <c r="T361" s="176">
        <f t="shared" si="133"/>
        <v>4</v>
      </c>
      <c r="U361" s="251">
        <f t="shared" si="134"/>
        <v>-1.0239377146669484</v>
      </c>
      <c r="V361" s="383">
        <f t="shared" si="135"/>
        <v>9.893327976952385</v>
      </c>
      <c r="W361" s="402">
        <f t="shared" si="136"/>
        <v>3.0533120619879011</v>
      </c>
      <c r="X361" s="157">
        <f t="shared" si="137"/>
        <v>46369</v>
      </c>
      <c r="Y361" s="385">
        <f t="shared" si="138"/>
        <v>2.92897482281567</v>
      </c>
      <c r="Z361" s="385">
        <f t="shared" si="139"/>
        <v>3.1388777760544997</v>
      </c>
      <c r="AA361" s="386">
        <f t="shared" si="140"/>
        <v>3.5905013662365262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0.1257828765723063</v>
      </c>
      <c r="AD361" s="231">
        <f>(INDEX(Models!$BJ361:$BT361,,AH361)*(1-AF361)+INDEX(Models!$BJ361:$BT361,,AH361+1)*AF361-ERP_i)*AE361*Ramure*Pc/MaxiM</f>
        <v>7.7470857341347066E-2</v>
      </c>
      <c r="AE361" s="305">
        <f t="shared" si="142"/>
        <v>0.7</v>
      </c>
      <c r="AF361" s="177">
        <f t="shared" si="143"/>
        <v>0.59992565470910764</v>
      </c>
      <c r="AG361" s="817">
        <f t="shared" si="149"/>
        <v>1</v>
      </c>
      <c r="AH361" s="176">
        <f t="shared" si="144"/>
        <v>7</v>
      </c>
      <c r="AI361" s="225">
        <f t="shared" si="145"/>
        <v>1.5999256547091076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46370</v>
      </c>
      <c r="B362" s="411">
        <f>'2025'!Wh/'2025'!Env_an*'2026'!Env_an</f>
        <v>7.1927797080673788</v>
      </c>
      <c r="C362" s="846"/>
      <c r="D362" s="393">
        <f t="shared" si="127"/>
        <v>7.7084141210516641</v>
      </c>
      <c r="E362" s="385">
        <f t="shared" si="150"/>
        <v>8.4643376038847578</v>
      </c>
      <c r="F362" s="385">
        <f t="shared" si="128"/>
        <v>8.6025781203198211</v>
      </c>
      <c r="G362" s="110">
        <f t="shared" si="151"/>
        <v>0.71910274852454581</v>
      </c>
      <c r="H362" s="414" t="b">
        <f>Wh_hp&gt;='2025'!Maxi_hp</f>
        <v>0</v>
      </c>
      <c r="I362" s="390">
        <f>IF(H362,Wh_hp,'2025'!Maxi_hp)</f>
        <v>10.863458902037726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6.6892411965269072E-2</v>
      </c>
      <c r="M362" s="850"/>
      <c r="N362" s="850"/>
      <c r="O362" s="48">
        <f>IF(t&lt;Tnet,'2025'!Resal+('2025'!Salim-'2025'!Resal)*(1-EXP(('2025'!Tnet-t)/('2025'!Tau_j))),Resal+(Salim-Resal)*(1-EXP((Tnet-t)/(Tau_j))))*Salcycl</f>
        <v>8.9306868205039164E-2</v>
      </c>
      <c r="P362" s="169">
        <f>(INDEX(Models!$BJ362:$BT362,,T362)*(1-R362)+INDEX(Models!$BJ362:$BT362,,T362+1)*R362-ERP_i)*Q362*Ramure*Pc/MaxiM</f>
        <v>2.6361959010891518E-2</v>
      </c>
      <c r="Q362" s="305">
        <f t="shared" si="130"/>
        <v>0.7</v>
      </c>
      <c r="R362" s="177">
        <f t="shared" si="131"/>
        <v>0.97607193561062111</v>
      </c>
      <c r="S362" s="817">
        <f t="shared" si="132"/>
        <v>-2</v>
      </c>
      <c r="T362" s="176">
        <f t="shared" si="133"/>
        <v>4</v>
      </c>
      <c r="U362" s="251">
        <f t="shared" si="134"/>
        <v>-1.0239280643893789</v>
      </c>
      <c r="V362" s="383">
        <f t="shared" si="135"/>
        <v>9.8978072636395993</v>
      </c>
      <c r="W362" s="402">
        <f t="shared" si="136"/>
        <v>7.1927797080673788</v>
      </c>
      <c r="X362" s="157">
        <f t="shared" si="137"/>
        <v>46370</v>
      </c>
      <c r="Y362" s="385">
        <f t="shared" si="138"/>
        <v>6.6889751593329656</v>
      </c>
      <c r="Z362" s="385">
        <f t="shared" si="139"/>
        <v>7.168492942406548</v>
      </c>
      <c r="AA362" s="386">
        <f t="shared" si="140"/>
        <v>8.1999774679911859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0.12579114145265194</v>
      </c>
      <c r="AD362" s="231">
        <f>(INDEX(Models!$BJ362:$BT362,,AH362)*(1-AF362)+INDEX(Models!$BJ362:$BT362,,AH362+1)*AF362-ERP_i)*AE362*Ramure*Pc/MaxiM</f>
        <v>7.6774466474387001E-2</v>
      </c>
      <c r="AE362" s="305">
        <f t="shared" si="142"/>
        <v>0.7</v>
      </c>
      <c r="AF362" s="177">
        <f t="shared" si="143"/>
        <v>0.59993530498667713</v>
      </c>
      <c r="AG362" s="817">
        <f t="shared" si="149"/>
        <v>1</v>
      </c>
      <c r="AH362" s="176">
        <f t="shared" si="144"/>
        <v>7</v>
      </c>
      <c r="AI362" s="225">
        <f t="shared" si="145"/>
        <v>1.5999353049866771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46371</v>
      </c>
      <c r="B363" s="411">
        <f>'2025'!Wh/'2025'!Env_an*'2026'!Env_an</f>
        <v>3.5805556561857972</v>
      </c>
      <c r="C363" s="846"/>
      <c r="D363" s="393">
        <f t="shared" si="127"/>
        <v>3.8373217913734914</v>
      </c>
      <c r="E363" s="385">
        <f t="shared" si="150"/>
        <v>4.213929506552013</v>
      </c>
      <c r="F363" s="385">
        <f t="shared" si="128"/>
        <v>4.2235606460782815</v>
      </c>
      <c r="G363" s="110">
        <f t="shared" si="151"/>
        <v>0.35257091938541074</v>
      </c>
      <c r="H363" s="414" t="b">
        <f>Wh_hp&gt;='2025'!Maxi_hp</f>
        <v>0</v>
      </c>
      <c r="I363" s="390">
        <f>IF(H363,Wh_hp,'2025'!Maxi_hp)</f>
        <v>11.20513204000641</v>
      </c>
      <c r="J363" s="85">
        <f>IF(H363,An,'2025'!An_max)</f>
        <v>2021</v>
      </c>
      <c r="K363" s="197">
        <f t="shared" si="129"/>
        <v>46371</v>
      </c>
      <c r="L363" s="147">
        <f>IF(t&lt;Tvie,1-EXP((T0-t)*PertePVj)+'2025'!Pspv,1-EXP((T0-t)*PertePVj)+Pspv)</f>
        <v>6.6912849416204456E-2</v>
      </c>
      <c r="M363" s="850"/>
      <c r="N363" s="850"/>
      <c r="O363" s="48">
        <f>IF(t&lt;Tnet,'2025'!Resal+('2025'!Salim-'2025'!Resal)*(1-EXP(('2025'!Tnet-t)/('2025'!Tau_j))),Resal+(Salim-Resal)*(1-EXP((Tnet-t)/(Tau_j))))*Salcycl</f>
        <v>8.9372096660125452E-2</v>
      </c>
      <c r="P363" s="169">
        <f>(INDEX(Models!$BJ363:$BT363,,T363)*(1-R363)+INDEX(Models!$BJ363:$BT363,,T363+1)*R363-ERP_i)*Q363*Ramure*Pc/MaxiM</f>
        <v>2.6086868835407635E-2</v>
      </c>
      <c r="Q363" s="305">
        <f t="shared" si="130"/>
        <v>0.7</v>
      </c>
      <c r="R363" s="177">
        <f t="shared" si="131"/>
        <v>0.97608119768987756</v>
      </c>
      <c r="S363" s="817">
        <f t="shared" si="132"/>
        <v>-2</v>
      </c>
      <c r="T363" s="176">
        <f t="shared" si="133"/>
        <v>4</v>
      </c>
      <c r="U363" s="251">
        <f t="shared" si="134"/>
        <v>-1.0239188023101224</v>
      </c>
      <c r="V363" s="383">
        <f t="shared" si="135"/>
        <v>9.9132402262482557</v>
      </c>
      <c r="W363" s="402">
        <f t="shared" si="136"/>
        <v>3.5805556561857972</v>
      </c>
      <c r="X363" s="157">
        <f t="shared" si="137"/>
        <v>46371</v>
      </c>
      <c r="Y363" s="385">
        <f t="shared" si="138"/>
        <v>3.4222553471778019</v>
      </c>
      <c r="Z363" s="385">
        <f t="shared" si="139"/>
        <v>3.6676695687392464</v>
      </c>
      <c r="AA363" s="386">
        <f t="shared" si="140"/>
        <v>4.1954622123415888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0.12580083358867108</v>
      </c>
      <c r="AD363" s="231">
        <f>(INDEX(Models!$BJ363:$BT363,,AH363)*(1-AF363)+INDEX(Models!$BJ363:$BT363,,AH363+1)*AF363-ERP_i)*AE363*Ramure*Pc/MaxiM</f>
        <v>7.6107313508467916E-2</v>
      </c>
      <c r="AE363" s="305">
        <f t="shared" si="142"/>
        <v>0.7</v>
      </c>
      <c r="AF363" s="177">
        <f t="shared" si="143"/>
        <v>0.59994456706593358</v>
      </c>
      <c r="AG363" s="817">
        <f t="shared" si="149"/>
        <v>1</v>
      </c>
      <c r="AH363" s="176">
        <f t="shared" si="144"/>
        <v>7</v>
      </c>
      <c r="AI363" s="225">
        <f t="shared" si="145"/>
        <v>1.5999445670659336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46372</v>
      </c>
      <c r="B364" s="411">
        <f>'2025'!Wh/'2025'!Env_an*'2026'!Env_an</f>
        <v>2.9917083001448797</v>
      </c>
      <c r="C364" s="846"/>
      <c r="D364" s="393">
        <f t="shared" si="127"/>
        <v>3.2063176797559123</v>
      </c>
      <c r="E364" s="385">
        <f t="shared" si="150"/>
        <v>3.5212520795939475</v>
      </c>
      <c r="F364" s="385">
        <f t="shared" si="128"/>
        <v>3.5213842952169254</v>
      </c>
      <c r="G364" s="110">
        <f t="shared" si="151"/>
        <v>0.29325784168092128</v>
      </c>
      <c r="H364" s="414" t="b">
        <f>Wh_hp&gt;='2025'!Maxi_hp</f>
        <v>0</v>
      </c>
      <c r="I364" s="390">
        <f>IF(H364,Wh_hp,'2025'!Maxi_hp)</f>
        <v>11.238528761899044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6.6933286419507354E-2</v>
      </c>
      <c r="M364" s="850"/>
      <c r="N364" s="850"/>
      <c r="O364" s="48">
        <f>IF(t&lt;Tnet,'2025'!Resal+('2025'!Salim-'2025'!Resal)*(1-EXP(('2025'!Tnet-t)/('2025'!Tau_j))),Resal+(Salim-Resal)*(1-EXP((Tnet-t)/(Tau_j))))*Salcycl</f>
        <v>8.943818639486667E-2</v>
      </c>
      <c r="P364" s="169">
        <f>(INDEX(Models!$BJ364:$BT364,,T364)*(1-R364)+INDEX(Models!$BJ364:$BT364,,T364+1)*R364-ERP_i)*Q364*Ramure*Pc/MaxiM</f>
        <v>2.581646681762003E-2</v>
      </c>
      <c r="Q364" s="305">
        <f t="shared" si="130"/>
        <v>0.7</v>
      </c>
      <c r="R364" s="177">
        <f t="shared" si="131"/>
        <v>0.97609008717322276</v>
      </c>
      <c r="S364" s="817">
        <f t="shared" si="132"/>
        <v>-2</v>
      </c>
      <c r="T364" s="176">
        <f t="shared" si="133"/>
        <v>4</v>
      </c>
      <c r="U364" s="251">
        <f t="shared" si="134"/>
        <v>-1.0239099128267772</v>
      </c>
      <c r="V364" s="383">
        <f t="shared" si="135"/>
        <v>9.9386341307060473</v>
      </c>
      <c r="W364" s="402">
        <f t="shared" si="136"/>
        <v>2.9917083001448797</v>
      </c>
      <c r="X364" s="157">
        <f t="shared" si="137"/>
        <v>46372</v>
      </c>
      <c r="Y364" s="385">
        <f t="shared" si="138"/>
        <v>2.8719927950213955</v>
      </c>
      <c r="Z364" s="385">
        <f t="shared" si="139"/>
        <v>3.0780144154972451</v>
      </c>
      <c r="AA364" s="386">
        <f t="shared" si="140"/>
        <v>3.5209977424836958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0.125811874753993</v>
      </c>
      <c r="AD364" s="231">
        <f>(INDEX(Models!$BJ364:$BT364,,AH364)*(1-AF364)+INDEX(Models!$BJ364:$BT364,,AH364+1)*AF364-ERP_i)*AE364*Ramure*Pc/MaxiM</f>
        <v>7.5478416135068102E-2</v>
      </c>
      <c r="AE364" s="305">
        <f t="shared" si="142"/>
        <v>0.7</v>
      </c>
      <c r="AF364" s="177">
        <f t="shared" si="143"/>
        <v>0.59995345654927879</v>
      </c>
      <c r="AG364" s="817">
        <f t="shared" si="149"/>
        <v>1</v>
      </c>
      <c r="AH364" s="176">
        <f t="shared" si="144"/>
        <v>7</v>
      </c>
      <c r="AI364" s="225">
        <f t="shared" si="145"/>
        <v>1.5999534565492788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46373</v>
      </c>
      <c r="B365" s="411">
        <f>'2025'!Wh/'2025'!Env_an*'2026'!Env_an</f>
        <v>1.7484035190538123</v>
      </c>
      <c r="C365" s="846"/>
      <c r="D365" s="393">
        <f t="shared" si="127"/>
        <v>1.8738658114889157</v>
      </c>
      <c r="E365" s="385">
        <f t="shared" si="150"/>
        <v>2.0580738866649</v>
      </c>
      <c r="F365" s="385">
        <f t="shared" si="128"/>
        <v>2.0580738866649</v>
      </c>
      <c r="G365" s="110">
        <f t="shared" si="151"/>
        <v>0.1708338126627289</v>
      </c>
      <c r="H365" s="414" t="b">
        <f>Wh_hp&gt;='2025'!Maxi_hp</f>
        <v>0</v>
      </c>
      <c r="I365" s="390">
        <f>IF(H365,Wh_hp,'2025'!Maxi_hp)</f>
        <v>12.021783785395716</v>
      </c>
      <c r="J365" s="85">
        <f>IF(H365,An,'2025'!An_max)</f>
        <v>2018</v>
      </c>
      <c r="K365" s="197">
        <f t="shared" si="129"/>
        <v>46373</v>
      </c>
      <c r="L365" s="147">
        <f>IF(t&lt;Tvie,1-EXP((T0-t)*PertePVj)+'2025'!Pspv,1-EXP((T0-t)*PertePVj)+Pspv)</f>
        <v>6.6953722975187313E-2</v>
      </c>
      <c r="M365" s="850"/>
      <c r="N365" s="850"/>
      <c r="O365" s="48">
        <f>IF(t&lt;Tnet,'2025'!Resal+('2025'!Salim-'2025'!Resal)*(1-EXP(('2025'!Tnet-t)/('2025'!Tau_j))),Resal+(Salim-Resal)*(1-EXP((Tnet-t)/(Tau_j))))*Salcycl</f>
        <v>8.9505083549013334E-2</v>
      </c>
      <c r="P365" s="169">
        <f>(INDEX(Models!$BJ365:$BT365,,T365)*(1-R365)+INDEX(Models!$BJ365:$BT365,,T365+1)*R365-ERP_i)*Q365*Ramure*Pc/MaxiM</f>
        <v>2.5553891186539057E-2</v>
      </c>
      <c r="Q365" s="305">
        <f t="shared" si="130"/>
        <v>0.7</v>
      </c>
      <c r="R365" s="177">
        <f t="shared" si="131"/>
        <v>0.97609861903703532</v>
      </c>
      <c r="S365" s="817">
        <f t="shared" si="132"/>
        <v>-2</v>
      </c>
      <c r="T365" s="176">
        <f t="shared" si="133"/>
        <v>4</v>
      </c>
      <c r="U365" s="251">
        <f t="shared" si="134"/>
        <v>-1.0239013809629647</v>
      </c>
      <c r="V365" s="383">
        <f t="shared" si="135"/>
        <v>9.9729964415262007</v>
      </c>
      <c r="W365" s="402">
        <f t="shared" si="136"/>
        <v>1.7484035190538123</v>
      </c>
      <c r="X365" s="157">
        <f t="shared" si="137"/>
        <v>46373</v>
      </c>
      <c r="Y365" s="385">
        <f t="shared" si="138"/>
        <v>1.6786607385961698</v>
      </c>
      <c r="Z365" s="385">
        <f t="shared" si="139"/>
        <v>1.7991184145216077</v>
      </c>
      <c r="AA365" s="386">
        <f t="shared" si="140"/>
        <v>2.0580738866649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0.12582418630408285</v>
      </c>
      <c r="AD365" s="231">
        <f>(INDEX(Models!$BJ365:$BT365,,AH365)*(1-AF365)+INDEX(Models!$BJ365:$BT365,,AH365+1)*AF365-ERP_i)*AE365*Ramure*Pc/MaxiM</f>
        <v>7.4896291346305877E-2</v>
      </c>
      <c r="AE365" s="305">
        <f t="shared" si="142"/>
        <v>0.7</v>
      </c>
      <c r="AF365" s="177">
        <f t="shared" si="143"/>
        <v>0.59996198841309134</v>
      </c>
      <c r="AG365" s="817">
        <f t="shared" si="149"/>
        <v>1</v>
      </c>
      <c r="AH365" s="176">
        <f t="shared" si="144"/>
        <v>7</v>
      </c>
      <c r="AI365" s="225">
        <f t="shared" si="145"/>
        <v>1.5999619884130913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46374</v>
      </c>
      <c r="B366" s="411">
        <f>'2025'!Wh/'2025'!Env_an*'2026'!Env_an</f>
        <v>9.3259942103637723</v>
      </c>
      <c r="C366" s="846"/>
      <c r="D366" s="393">
        <f t="shared" si="127"/>
        <v>9.9954297098572376</v>
      </c>
      <c r="E366" s="385">
        <f t="shared" si="150"/>
        <v>10.978833878202874</v>
      </c>
      <c r="F366" s="385">
        <f t="shared" si="128"/>
        <v>11.235318309227541</v>
      </c>
      <c r="G366" s="110">
        <f t="shared" si="151"/>
        <v>0.92881422967090044</v>
      </c>
      <c r="H366" s="414" t="b">
        <f>Wh_hp&gt;='2025'!Maxi_hp</f>
        <v>0</v>
      </c>
      <c r="I366" s="390">
        <f>IF(H366,Wh_hp,'2025'!Maxi_hp)</f>
        <v>11.681754622743613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6.6974159083254325E-2</v>
      </c>
      <c r="M366" s="850"/>
      <c r="N366" s="850"/>
      <c r="O366" s="48">
        <f>IF(t&lt;Tnet,'2025'!Resal+('2025'!Salim-'2025'!Resal)*(1-EXP(('2025'!Tnet-t)/('2025'!Tau_j))),Resal+(Salim-Resal)*(1-EXP((Tnet-t)/(Tau_j))))*Salcycl</f>
        <v>8.9572734158776535E-2</v>
      </c>
      <c r="P366" s="169">
        <f>(INDEX(Models!$BJ366:$BT366,,T366)*(1-R366)+INDEX(Models!$BJ366:$BT366,,T366+1)*R366-ERP_i)*Q366*Ramure*Pc/MaxiM</f>
        <v>2.5317239666973697E-2</v>
      </c>
      <c r="Q366" s="305">
        <f t="shared" si="130"/>
        <v>0.7</v>
      </c>
      <c r="R366" s="177">
        <f t="shared" si="131"/>
        <v>0.97610680765670454</v>
      </c>
      <c r="S366" s="817">
        <f t="shared" si="132"/>
        <v>-2</v>
      </c>
      <c r="T366" s="176">
        <f t="shared" si="133"/>
        <v>4</v>
      </c>
      <c r="U366" s="251">
        <f t="shared" si="134"/>
        <v>-1.0238931923432955</v>
      </c>
      <c r="V366" s="383">
        <f t="shared" si="135"/>
        <v>10.015179396656221</v>
      </c>
      <c r="W366" s="402">
        <f t="shared" si="136"/>
        <v>9.3259942103637723</v>
      </c>
      <c r="X366" s="157">
        <f t="shared" si="137"/>
        <v>46374</v>
      </c>
      <c r="Y366" s="385">
        <f t="shared" si="138"/>
        <v>8.549033078576656</v>
      </c>
      <c r="Z366" s="385">
        <f t="shared" si="139"/>
        <v>9.1626970054514167</v>
      </c>
      <c r="AA366" s="386">
        <f t="shared" si="140"/>
        <v>10.481688465751418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0.1258376896632411</v>
      </c>
      <c r="AD366" s="231">
        <f>(INDEX(Models!$BJ366:$BT366,,AH366)*(1-AF366)+INDEX(Models!$BJ366:$BT366,,AH366+1)*AF366-ERP_i)*AE366*Ramure*Pc/MaxiM</f>
        <v>7.4389807175601341E-2</v>
      </c>
      <c r="AE366" s="305">
        <f t="shared" si="142"/>
        <v>0.7</v>
      </c>
      <c r="AF366" s="177">
        <f t="shared" si="143"/>
        <v>0.59997017703276057</v>
      </c>
      <c r="AG366" s="817">
        <f t="shared" si="149"/>
        <v>1</v>
      </c>
      <c r="AH366" s="176">
        <f t="shared" si="144"/>
        <v>7</v>
      </c>
      <c r="AI366" s="225">
        <f t="shared" si="145"/>
        <v>1.5999701770327606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46375</v>
      </c>
      <c r="B367" s="411">
        <f>'2025'!Wh/'2025'!Env_an*'2026'!Env_an</f>
        <v>9.3134744672559471</v>
      </c>
      <c r="C367" s="846"/>
      <c r="D367" s="393">
        <f t="shared" si="127"/>
        <v>9.9822299150535816</v>
      </c>
      <c r="E367" s="385">
        <f t="shared" si="150"/>
        <v>10.965158625907861</v>
      </c>
      <c r="F367" s="385">
        <f t="shared" si="128"/>
        <v>11.216657700935725</v>
      </c>
      <c r="G367" s="110">
        <f t="shared" si="151"/>
        <v>0.92286341914661285</v>
      </c>
      <c r="H367" s="414" t="b">
        <f>Wh_hp&gt;='2025'!Maxi_hp</f>
        <v>0</v>
      </c>
      <c r="I367" s="390">
        <f>IF(H367,Wh_hp,'2025'!Maxi_hp)</f>
        <v>11.859161695286367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6.6994594743718161E-2</v>
      </c>
      <c r="M367" s="850"/>
      <c r="N367" s="850"/>
      <c r="O367" s="48">
        <f>IF(t&lt;Tnet,'2025'!Resal+('2025'!Salim-'2025'!Resal)*(1-EXP(('2025'!Tnet-t)/('2025'!Tau_j))),Resal+(Salim-Resal)*(1-EXP((Tnet-t)/(Tau_j))))*Salcycl</f>
        <v>8.9641084492099371E-2</v>
      </c>
      <c r="P367" s="169">
        <f>(INDEX(Models!$BJ367:$BT367,,T367)*(1-R367)+INDEX(Models!$BJ367:$BT367,,T367+1)*R367-ERP_i)*Q367*Ramure*Pc/MaxiM</f>
        <v>2.5096680718657078E-2</v>
      </c>
      <c r="Q367" s="305">
        <f t="shared" si="130"/>
        <v>0.7</v>
      </c>
      <c r="R367" s="177">
        <f t="shared" si="131"/>
        <v>0.97611466683067061</v>
      </c>
      <c r="S367" s="817">
        <f t="shared" si="132"/>
        <v>-2</v>
      </c>
      <c r="T367" s="176">
        <f t="shared" si="133"/>
        <v>4</v>
      </c>
      <c r="U367" s="251">
        <f t="shared" si="134"/>
        <v>-1.0238853331693294</v>
      </c>
      <c r="V367" s="383">
        <f t="shared" si="135"/>
        <v>10.064318999223158</v>
      </c>
      <c r="W367" s="402">
        <f t="shared" si="136"/>
        <v>9.3134744672559471</v>
      </c>
      <c r="X367" s="157">
        <f t="shared" si="137"/>
        <v>46375</v>
      </c>
      <c r="Y367" s="385">
        <f t="shared" si="138"/>
        <v>8.5442848888488534</v>
      </c>
      <c r="Z367" s="385">
        <f t="shared" si="139"/>
        <v>9.1578085622149992</v>
      </c>
      <c r="AA367" s="386">
        <f t="shared" si="140"/>
        <v>10.476271496672743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0.12585230679411902</v>
      </c>
      <c r="AD367" s="231">
        <f>(INDEX(Models!$BJ367:$BT367,,AH367)*(1-AF367)+INDEX(Models!$BJ367:$BT367,,AH367+1)*AF367-ERP_i)*AE367*Ramure*Pc/MaxiM</f>
        <v>7.3881926503418766E-2</v>
      </c>
      <c r="AE367" s="305">
        <f t="shared" si="142"/>
        <v>0.7</v>
      </c>
      <c r="AF367" s="177">
        <f t="shared" si="143"/>
        <v>0.59997803620672663</v>
      </c>
      <c r="AG367" s="817">
        <f t="shared" si="149"/>
        <v>1</v>
      </c>
      <c r="AH367" s="176">
        <f t="shared" si="144"/>
        <v>7</v>
      </c>
      <c r="AI367" s="225">
        <f t="shared" si="145"/>
        <v>1.5999780362067266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46376</v>
      </c>
      <c r="B368" s="411">
        <f>'2025'!Wh/'2025'!Env_an*'2026'!Env_an</f>
        <v>2.4025655048412946</v>
      </c>
      <c r="C368" s="846"/>
      <c r="D368" s="393">
        <f t="shared" si="127"/>
        <v>2.5751384877395225</v>
      </c>
      <c r="E368" s="385">
        <f t="shared" si="150"/>
        <v>2.828921242604074</v>
      </c>
      <c r="F368" s="385">
        <f t="shared" si="128"/>
        <v>2.828921242604074</v>
      </c>
      <c r="G368" s="110">
        <f t="shared" si="151"/>
        <v>0.23151064556531695</v>
      </c>
      <c r="H368" s="414" t="b">
        <f>Wh_hp&gt;='2025'!Maxi_hp</f>
        <v>0</v>
      </c>
      <c r="I368" s="390">
        <f>IF(H368,Wh_hp,'2025'!Maxi_hp)</f>
        <v>10.857367407751404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6.7015029956588479E-2</v>
      </c>
      <c r="M368" s="850"/>
      <c r="N368" s="850"/>
      <c r="O368" s="48">
        <f>IF(t&lt;Tnet,'2025'!Resal+('2025'!Salim-'2025'!Resal)*(1-EXP(('2025'!Tnet-t)/('2025'!Tau_j))),Resal+(Salim-Resal)*(1-EXP((Tnet-t)/(Tau_j))))*Salcycl</f>
        <v>8.9710081370430669E-2</v>
      </c>
      <c r="P368" s="169">
        <f>(INDEX(Models!$BJ368:$BT368,,T368)*(1-R368)+INDEX(Models!$BJ368:$BT368,,T368+1)*R368-ERP_i)*Q368*Ramure*Pc/MaxiM</f>
        <v>2.4894750311745869E-2</v>
      </c>
      <c r="Q368" s="305">
        <f t="shared" si="130"/>
        <v>0.7</v>
      </c>
      <c r="R368" s="177">
        <f t="shared" si="131"/>
        <v>0.97612220980350894</v>
      </c>
      <c r="S368" s="817">
        <f t="shared" si="132"/>
        <v>-2</v>
      </c>
      <c r="T368" s="176">
        <f t="shared" si="133"/>
        <v>4</v>
      </c>
      <c r="U368" s="251">
        <f t="shared" si="134"/>
        <v>-1.0238777901964911</v>
      </c>
      <c r="V368" s="383">
        <f t="shared" si="135"/>
        <v>10.119423367206185</v>
      </c>
      <c r="W368" s="402">
        <f t="shared" si="136"/>
        <v>2.4025655048412946</v>
      </c>
      <c r="X368" s="157">
        <f t="shared" si="137"/>
        <v>46376</v>
      </c>
      <c r="Y368" s="385">
        <f t="shared" si="138"/>
        <v>2.3071325315665283</v>
      </c>
      <c r="Z368" s="385">
        <f t="shared" si="139"/>
        <v>2.472850694967978</v>
      </c>
      <c r="AA368" s="386">
        <f t="shared" si="140"/>
        <v>2.828921242604074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0.12586796064648534</v>
      </c>
      <c r="AD368" s="231">
        <f>(INDEX(Models!$BJ368:$BT368,,AH368)*(1-AF368)+INDEX(Models!$BJ368:$BT368,,AH368+1)*AF368-ERP_i)*AE368*Ramure*Pc/MaxiM</f>
        <v>7.3380598900398442E-2</v>
      </c>
      <c r="AE368" s="305">
        <f t="shared" si="142"/>
        <v>0.7</v>
      </c>
      <c r="AF368" s="177">
        <f t="shared" si="143"/>
        <v>0.59998557917956497</v>
      </c>
      <c r="AG368" s="817">
        <f t="shared" si="149"/>
        <v>1</v>
      </c>
      <c r="AH368" s="176">
        <f t="shared" si="144"/>
        <v>7</v>
      </c>
      <c r="AI368" s="225">
        <f t="shared" si="145"/>
        <v>1.599985579179565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46377</v>
      </c>
      <c r="B369" s="411">
        <f>'2025'!Wh/'2025'!Env_an*'2026'!Env_an</f>
        <v>8.4931374692993362</v>
      </c>
      <c r="C369" s="846"/>
      <c r="D369" s="393">
        <f t="shared" si="127"/>
        <v>9.1033872651627199</v>
      </c>
      <c r="E369" s="385">
        <f t="shared" si="150"/>
        <v>10.001300772872847</v>
      </c>
      <c r="F369" s="385">
        <f t="shared" si="128"/>
        <v>10.193603180568623</v>
      </c>
      <c r="G369" s="110">
        <f t="shared" si="151"/>
        <v>0.82936362802253527</v>
      </c>
      <c r="H369" s="414" t="b">
        <f>Wh_hp&gt;='2025'!Maxi_hp</f>
        <v>0</v>
      </c>
      <c r="I369" s="390">
        <f>IF(H369,Wh_hp,'2025'!Maxi_hp)</f>
        <v>10.896065094329265</v>
      </c>
      <c r="J369" s="85">
        <f>IF(H369,An,'2025'!An_max)</f>
        <v>2021</v>
      </c>
      <c r="K369" s="197">
        <f t="shared" si="129"/>
        <v>46377</v>
      </c>
      <c r="L369" s="147">
        <f>IF(t&lt;Tvie,1-EXP((T0-t)*PertePVj)+'2025'!Pspv,1-EXP((T0-t)*PertePVj)+Pspv)</f>
        <v>6.7035464721875271E-2</v>
      </c>
      <c r="M369" s="850"/>
      <c r="N369" s="850"/>
      <c r="O369" s="48">
        <f>IF(t&lt;Tnet,'2025'!Resal+('2025'!Salim-'2025'!Resal)*(1-EXP(('2025'!Tnet-t)/('2025'!Tau_j))),Resal+(Salim-Resal)*(1-EXP((Tnet-t)/(Tau_j))))*Salcycl</f>
        <v>8.9779672474763914E-2</v>
      </c>
      <c r="P369" s="169">
        <f>(INDEX(Models!$BJ369:$BT369,,T369)*(1-R369)+INDEX(Models!$BJ369:$BT369,,T369+1)*R369-ERP_i)*Q369*Ramure*Pc/MaxiM</f>
        <v>2.4713800066415013E-2</v>
      </c>
      <c r="Q369" s="305">
        <f t="shared" si="130"/>
        <v>0.7</v>
      </c>
      <c r="R369" s="177">
        <f t="shared" si="131"/>
        <v>0.97612944928809586</v>
      </c>
      <c r="S369" s="817">
        <f t="shared" si="132"/>
        <v>-2</v>
      </c>
      <c r="T369" s="176">
        <f t="shared" si="133"/>
        <v>4</v>
      </c>
      <c r="U369" s="251">
        <f t="shared" si="134"/>
        <v>-1.0238705507119041</v>
      </c>
      <c r="V369" s="383">
        <f t="shared" si="135"/>
        <v>10.179500837309838</v>
      </c>
      <c r="W369" s="402">
        <f t="shared" si="136"/>
        <v>8.4931374692993362</v>
      </c>
      <c r="X369" s="157">
        <f t="shared" si="137"/>
        <v>46377</v>
      </c>
      <c r="Y369" s="385">
        <f t="shared" si="138"/>
        <v>7.8505145822086382</v>
      </c>
      <c r="Z369" s="385">
        <f t="shared" si="139"/>
        <v>8.4145905716216021</v>
      </c>
      <c r="AA369" s="386">
        <f t="shared" si="140"/>
        <v>9.626406692487107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0.125884575582212</v>
      </c>
      <c r="AD369" s="231">
        <f>(INDEX(Models!$BJ369:$BT369,,AH369)*(1-AF369)+INDEX(Models!$BJ369:$BT369,,AH369+1)*AF369-ERP_i)*AE369*Ramure*Pc/MaxiM</f>
        <v>7.2893422254989584E-2</v>
      </c>
      <c r="AE369" s="305">
        <f t="shared" si="142"/>
        <v>0.7</v>
      </c>
      <c r="AF369" s="177">
        <f t="shared" si="143"/>
        <v>0.59999281866415188</v>
      </c>
      <c r="AG369" s="817">
        <f t="shared" si="149"/>
        <v>1</v>
      </c>
      <c r="AH369" s="176">
        <f t="shared" si="144"/>
        <v>7</v>
      </c>
      <c r="AI369" s="225">
        <f t="shared" si="145"/>
        <v>1.5999928186641519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46378</v>
      </c>
      <c r="B370" s="411">
        <f>'2025'!Wh/'2025'!Env_an*'2026'!Env_an</f>
        <v>9.5725809246910387</v>
      </c>
      <c r="C370" s="846"/>
      <c r="D370" s="393">
        <f t="shared" si="127"/>
        <v>10.260615737680984</v>
      </c>
      <c r="E370" s="385">
        <f t="shared" si="150"/>
        <v>11.273541237993747</v>
      </c>
      <c r="F370" s="385">
        <f t="shared" si="128"/>
        <v>11.530182088653195</v>
      </c>
      <c r="G370" s="110">
        <f t="shared" si="151"/>
        <v>0.93230127552629238</v>
      </c>
      <c r="H370" s="414" t="b">
        <f>Wh_hp&gt;='2025'!Maxi_hp</f>
        <v>0</v>
      </c>
      <c r="I370" s="390">
        <f>IF(H370,Wh_hp,'2025'!Maxi_hp)</f>
        <v>12.677093484896854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6.7055899039588196E-2</v>
      </c>
      <c r="M370" s="850"/>
      <c r="N370" s="850"/>
      <c r="O370" s="48">
        <f>IF(t&lt;Tnet,'2025'!Resal+('2025'!Salim-'2025'!Resal)*(1-EXP(('2025'!Tnet-t)/('2025'!Tau_j))),Resal+(Salim-Resal)*(1-EXP((Tnet-t)/(Tau_j))))*Salcycl</f>
        <v>8.9849806633875748E-2</v>
      </c>
      <c r="P370" s="169">
        <f>(INDEX(Models!$BJ370:$BT370,,T370)*(1-R370)+INDEX(Models!$BJ370:$BT370,,T370+1)*R370-ERP_i)*Q370*Ramure*Pc/MaxiM</f>
        <v>2.4556007783597091E-2</v>
      </c>
      <c r="Q370" s="305">
        <f t="shared" si="130"/>
        <v>0.7</v>
      </c>
      <c r="R370" s="177">
        <f t="shared" si="131"/>
        <v>0.97613639748689329</v>
      </c>
      <c r="S370" s="817">
        <f t="shared" si="132"/>
        <v>-2</v>
      </c>
      <c r="T370" s="176">
        <f t="shared" si="133"/>
        <v>4</v>
      </c>
      <c r="U370" s="251">
        <f t="shared" si="134"/>
        <v>-1.0238636025131067</v>
      </c>
      <c r="V370" s="383">
        <f t="shared" si="135"/>
        <v>10.243559971795438</v>
      </c>
      <c r="W370" s="402">
        <f t="shared" si="136"/>
        <v>9.5725809246910387</v>
      </c>
      <c r="X370" s="157">
        <f t="shared" si="137"/>
        <v>46378</v>
      </c>
      <c r="Y370" s="385">
        <f t="shared" si="138"/>
        <v>8.7853966124150169</v>
      </c>
      <c r="Z370" s="385">
        <f t="shared" si="139"/>
        <v>9.4168520958232769</v>
      </c>
      <c r="AA370" s="386">
        <f t="shared" si="140"/>
        <v>10.773223292693432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0.12590207777370271</v>
      </c>
      <c r="AD370" s="231">
        <f>(INDEX(Models!$BJ370:$BT370,,AH370)*(1-AF370)+INDEX(Models!$BJ370:$BT370,,AH370+1)*AF370-ERP_i)*AE370*Ramure*Pc/MaxiM</f>
        <v>7.2427620301631593E-2</v>
      </c>
      <c r="AE370" s="305">
        <f t="shared" si="142"/>
        <v>0.7</v>
      </c>
      <c r="AF370" s="177">
        <f t="shared" si="143"/>
        <v>0.59999976686294931</v>
      </c>
      <c r="AG370" s="817">
        <f t="shared" si="149"/>
        <v>1</v>
      </c>
      <c r="AH370" s="176">
        <f t="shared" si="144"/>
        <v>7</v>
      </c>
      <c r="AI370" s="225">
        <f t="shared" si="145"/>
        <v>1.5999997668629493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46379</v>
      </c>
      <c r="B371" s="411">
        <f>'2025'!Wh/'2025'!Env_an*'2026'!Env_an</f>
        <v>9.4310230425539849</v>
      </c>
      <c r="C371" s="846"/>
      <c r="D371" s="393">
        <f t="shared" si="127"/>
        <v>10.109104715896878</v>
      </c>
      <c r="E371" s="385">
        <f t="shared" si="150"/>
        <v>11.107935058206401</v>
      </c>
      <c r="F371" s="385">
        <f t="shared" si="128"/>
        <v>11.351385751529223</v>
      </c>
      <c r="G371" s="110">
        <f t="shared" si="151"/>
        <v>0.9119087708419561</v>
      </c>
      <c r="H371" s="414" t="b">
        <f>Wh_hp&gt;='2025'!Maxi_hp</f>
        <v>0</v>
      </c>
      <c r="I371" s="390">
        <f>IF(H371,Wh_hp,'2025'!Maxi_hp)</f>
        <v>11.766325638958318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6.7076332909737135E-2</v>
      </c>
      <c r="M371" s="850"/>
      <c r="N371" s="850"/>
      <c r="O371" s="48">
        <f>IF(t&lt;Tnet,'2025'!Resal+('2025'!Salim-'2025'!Resal)*(1-EXP(('2025'!Tnet-t)/('2025'!Tau_j))),Resal+(Salim-Resal)*(1-EXP((Tnet-t)/(Tau_j))))*Salcycl</f>
        <v>8.9920434092887427E-2</v>
      </c>
      <c r="P371" s="169">
        <f>(INDEX(Models!$BJ371:$BT371,,T371)*(1-R371)+INDEX(Models!$BJ371:$BT371,,T371+1)*R371-ERP_i)*Q371*Ramure*Pc/MaxiM</f>
        <v>2.442324303475981E-2</v>
      </c>
      <c r="Q371" s="305">
        <f t="shared" si="130"/>
        <v>0.7</v>
      </c>
      <c r="R371" s="177">
        <f t="shared" si="131"/>
        <v>0.97613639748689329</v>
      </c>
      <c r="S371" s="817">
        <f t="shared" si="132"/>
        <v>-2</v>
      </c>
      <c r="T371" s="176">
        <f t="shared" si="133"/>
        <v>4</v>
      </c>
      <c r="U371" s="251">
        <f t="shared" si="134"/>
        <v>-1.0238636025131067</v>
      </c>
      <c r="V371" s="383">
        <f t="shared" si="135"/>
        <v>10.310611148611141</v>
      </c>
      <c r="W371" s="402">
        <f t="shared" si="136"/>
        <v>9.4310230425539849</v>
      </c>
      <c r="X371" s="157">
        <f t="shared" si="137"/>
        <v>46379</v>
      </c>
      <c r="Y371" s="385">
        <f t="shared" si="138"/>
        <v>8.6713195131278482</v>
      </c>
      <c r="Z371" s="385">
        <f t="shared" si="139"/>
        <v>9.2947792182968332</v>
      </c>
      <c r="AA371" s="386">
        <f t="shared" si="140"/>
        <v>10.633790299217445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0.12592039557326526</v>
      </c>
      <c r="AD371" s="231">
        <f>(INDEX(Models!$BJ371:$BT371,,AH371)*(1-AF371)+INDEX(Models!$BJ371:$BT371,,AH371+1)*AF371-ERP_i)*AE371*Ramure*Pc/MaxiM</f>
        <v>7.1989970097184955E-2</v>
      </c>
      <c r="AE371" s="305">
        <f t="shared" si="142"/>
        <v>0.7</v>
      </c>
      <c r="AF371" s="177">
        <f t="shared" si="143"/>
        <v>0.59999976686294931</v>
      </c>
      <c r="AG371" s="817">
        <f t="shared" si="149"/>
        <v>1</v>
      </c>
      <c r="AH371" s="176">
        <f t="shared" si="144"/>
        <v>7</v>
      </c>
      <c r="AI371" s="225">
        <f t="shared" si="145"/>
        <v>1.5999997668629493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46380</v>
      </c>
      <c r="B372" s="411">
        <f>'2025'!Wh/'2025'!Env_an*'2026'!Env_an</f>
        <v>9.6382645889578136</v>
      </c>
      <c r="C372" s="846"/>
      <c r="D372" s="393">
        <f t="shared" si="127"/>
        <v>10.331473020053108</v>
      </c>
      <c r="E372" s="385">
        <f t="shared" si="150"/>
        <v>11.353161093336913</v>
      </c>
      <c r="F372" s="385">
        <f t="shared" si="128"/>
        <v>11.606604689126545</v>
      </c>
      <c r="G372" s="110">
        <f t="shared" si="151"/>
        <v>0.9262165386571436</v>
      </c>
      <c r="H372" s="414" t="b">
        <f>Wh_hp&gt;='2025'!Maxi_hp</f>
        <v>0</v>
      </c>
      <c r="I372" s="390">
        <f>IF(H372,Wh_hp,'2025'!Maxi_hp)</f>
        <v>11.621904660823359</v>
      </c>
      <c r="J372" s="85">
        <f>IF(H372,An,'2025'!An_max)</f>
        <v>2025</v>
      </c>
      <c r="K372" s="197">
        <f t="shared" si="129"/>
        <v>46380</v>
      </c>
      <c r="L372" s="147">
        <f>IF(t&lt;Tvie,1-EXP((T0-t)*PertePVj)+'2025'!Pspv,1-EXP((T0-t)*PertePVj)+Pspv)</f>
        <v>6.7096766332331859E-2</v>
      </c>
      <c r="M372" s="850"/>
      <c r="N372" s="850"/>
      <c r="O372" s="48">
        <f>IF(t&lt;Tnet,'2025'!Resal+('2025'!Salim-'2025'!Resal)*(1-EXP(('2025'!Tnet-t)/('2025'!Tau_j))),Resal+(Salim-Resal)*(1-EXP((Tnet-t)/(Tau_j))))*Salcycl</f>
        <v>8.9991506760476292E-2</v>
      </c>
      <c r="P372" s="169">
        <f>(INDEX(Models!$BJ372:$BT372,,T372)*(1-R372)+INDEX(Models!$BJ372:$BT372,,T372+1)*R372-ERP_i)*Q372*Ramure*Pc/MaxiM</f>
        <v>2.4317508347274332E-2</v>
      </c>
      <c r="Q372" s="305">
        <f t="shared" si="130"/>
        <v>0.7</v>
      </c>
      <c r="R372" s="177">
        <f t="shared" si="131"/>
        <v>0.97613639748689329</v>
      </c>
      <c r="S372" s="817">
        <f t="shared" si="132"/>
        <v>-2</v>
      </c>
      <c r="T372" s="176">
        <f t="shared" si="133"/>
        <v>4</v>
      </c>
      <c r="U372" s="251">
        <f t="shared" si="134"/>
        <v>-1.0238636025131067</v>
      </c>
      <c r="V372" s="383">
        <f t="shared" si="135"/>
        <v>10.379662139096416</v>
      </c>
      <c r="W372" s="402">
        <f t="shared" si="136"/>
        <v>9.6382645889578136</v>
      </c>
      <c r="X372" s="157">
        <f t="shared" si="137"/>
        <v>46380</v>
      </c>
      <c r="Y372" s="385">
        <f t="shared" si="138"/>
        <v>8.855808172412333</v>
      </c>
      <c r="Z372" s="385">
        <f t="shared" si="139"/>
        <v>9.4927403537836526</v>
      </c>
      <c r="AA372" s="386">
        <f t="shared" si="140"/>
        <v>10.860506701478471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0.12593945985122601</v>
      </c>
      <c r="AD372" s="231">
        <f>(INDEX(Models!$BJ372:$BT372,,AH372)*(1-AF372)+INDEX(Models!$BJ372:$BT372,,AH372+1)*AF372-ERP_i)*AE372*Ramure*Pc/MaxiM</f>
        <v>7.1586910633860357E-2</v>
      </c>
      <c r="AE372" s="305">
        <f t="shared" si="142"/>
        <v>0.7</v>
      </c>
      <c r="AF372" s="177">
        <f t="shared" si="143"/>
        <v>0.59999976686294931</v>
      </c>
      <c r="AG372" s="817">
        <f t="shared" si="149"/>
        <v>1</v>
      </c>
      <c r="AH372" s="176">
        <f t="shared" si="144"/>
        <v>7</v>
      </c>
      <c r="AI372" s="225">
        <f t="shared" si="145"/>
        <v>1.5999997668629493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46381</v>
      </c>
      <c r="B373" s="411">
        <f>'2025'!Wh/'2025'!Env_an*'2026'!Env_an</f>
        <v>5.7457417110138769</v>
      </c>
      <c r="C373" s="846"/>
      <c r="D373" s="393">
        <f t="shared" si="127"/>
        <v>6.1591249262479248</v>
      </c>
      <c r="E373" s="385">
        <f t="shared" si="150"/>
        <v>6.768737594216355</v>
      </c>
      <c r="F373" s="385">
        <f t="shared" si="128"/>
        <v>6.8277523463783165</v>
      </c>
      <c r="G373" s="110">
        <f t="shared" si="151"/>
        <v>0.54102986513880258</v>
      </c>
      <c r="H373" s="414" t="b">
        <f>Wh_hp&gt;='2025'!Maxi_hp</f>
        <v>0</v>
      </c>
      <c r="I373" s="390">
        <f>IF(H373,Wh_hp,'2025'!Maxi_hp)</f>
        <v>7.2647215358617787</v>
      </c>
      <c r="J373" s="85">
        <f>IF(H373,An,'2025'!An_max)</f>
        <v>2018</v>
      </c>
      <c r="K373" s="197">
        <f t="shared" si="129"/>
        <v>46381</v>
      </c>
      <c r="L373" s="147">
        <f>IF(t&lt;Tvie,1-EXP((T0-t)*PertePVj)+'2025'!Pspv,1-EXP((T0-t)*PertePVj)+Pspv)</f>
        <v>6.7117199307382247E-2</v>
      </c>
      <c r="M373" s="850"/>
      <c r="N373" s="850"/>
      <c r="O373" s="48">
        <f>IF(t&lt;Tnet,'2025'!Resal+('2025'!Salim-'2025'!Resal)*(1-EXP(('2025'!Tnet-t)/('2025'!Tau_j))),Resal+(Salim-Resal)*(1-EXP((Tnet-t)/(Tau_j))))*Salcycl</f>
        <v>9.0062978433278762E-2</v>
      </c>
      <c r="P373" s="169">
        <f>(INDEX(Models!$BJ373:$BT373,,T373)*(1-R373)+INDEX(Models!$BJ373:$BT373,,T373+1)*R373-ERP_i)*Q373*Ramure*Pc/MaxiM</f>
        <v>2.4233038524436486E-2</v>
      </c>
      <c r="Q373" s="305">
        <f t="shared" si="130"/>
        <v>0.7</v>
      </c>
      <c r="R373" s="177">
        <f t="shared" si="131"/>
        <v>0.97613639748689329</v>
      </c>
      <c r="S373" s="817">
        <f t="shared" si="132"/>
        <v>-2</v>
      </c>
      <c r="T373" s="176">
        <f t="shared" si="133"/>
        <v>4</v>
      </c>
      <c r="U373" s="251">
        <f t="shared" si="134"/>
        <v>-1.0238636025131067</v>
      </c>
      <c r="V373" s="383">
        <f t="shared" si="135"/>
        <v>10.453002434803572</v>
      </c>
      <c r="W373" s="402">
        <f t="shared" si="136"/>
        <v>5.7457417110138769</v>
      </c>
      <c r="X373" s="157">
        <f t="shared" si="137"/>
        <v>46381</v>
      </c>
      <c r="Y373" s="385">
        <f t="shared" si="138"/>
        <v>5.4258104966692065</v>
      </c>
      <c r="Z373" s="385">
        <f t="shared" si="139"/>
        <v>5.8161759361849308</v>
      </c>
      <c r="AA373" s="386">
        <f t="shared" si="140"/>
        <v>6.6543529373052248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0.12595920430089566</v>
      </c>
      <c r="AD373" s="231">
        <f>(INDEX(Models!$BJ373:$BT373,,AH373)*(1-AF373)+INDEX(Models!$BJ373:$BT373,,AH373+1)*AF373-ERP_i)*AE373*Ramure*Pc/MaxiM</f>
        <v>7.1202443562767226E-2</v>
      </c>
      <c r="AE373" s="305">
        <f t="shared" si="142"/>
        <v>0.7</v>
      </c>
      <c r="AF373" s="177">
        <f t="shared" si="143"/>
        <v>0.59999976686294931</v>
      </c>
      <c r="AG373" s="817">
        <f t="shared" si="149"/>
        <v>1</v>
      </c>
      <c r="AH373" s="176">
        <f t="shared" si="144"/>
        <v>7</v>
      </c>
      <c r="AI373" s="225">
        <f t="shared" si="145"/>
        <v>1.5999997668629493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46382</v>
      </c>
      <c r="B374" s="411">
        <f>'2025'!Wh/'2025'!Env_an*'2026'!Env_an</f>
        <v>9.9375591331639708</v>
      </c>
      <c r="C374" s="846"/>
      <c r="D374" s="393">
        <f t="shared" si="127"/>
        <v>10.652760227332033</v>
      </c>
      <c r="E374" s="385">
        <f t="shared" si="150"/>
        <v>11.708064321867123</v>
      </c>
      <c r="F374" s="385">
        <f t="shared" si="128"/>
        <v>11.974017045864978</v>
      </c>
      <c r="G374" s="110">
        <f t="shared" si="151"/>
        <v>0.94155363575540552</v>
      </c>
      <c r="H374" s="414" t="b">
        <f>Wh_hp&gt;='2025'!Maxi_hp</f>
        <v>0</v>
      </c>
      <c r="I374" s="390">
        <f>IF(H374,Wh_hp,'2025'!Maxi_hp)</f>
        <v>12.958648457601393</v>
      </c>
      <c r="J374" s="85">
        <f>IF(H374,An,'2025'!An_max)</f>
        <v>2018</v>
      </c>
      <c r="K374" s="197">
        <f t="shared" si="129"/>
        <v>46382</v>
      </c>
      <c r="L374" s="147">
        <f>IF(t&lt;Tvie,1-EXP((T0-t)*PertePVj)+'2025'!Pspv,1-EXP((T0-t)*PertePVj)+Pspv)</f>
        <v>6.7137631834897959E-2</v>
      </c>
      <c r="M374" s="850"/>
      <c r="N374" s="850"/>
      <c r="O374" s="48">
        <f>IF(t&lt;Tnet,'2025'!Resal+('2025'!Salim-'2025'!Resal)*(1-EXP(('2025'!Tnet-t)/('2025'!Tau_j))),Resal+(Salim-Resal)*(1-EXP((Tnet-t)/(Tau_j))))*Salcycl</f>
        <v>9.0134804996253967E-2</v>
      </c>
      <c r="P374" s="169">
        <f>(INDEX(Models!$BJ374:$BT374,,T374)*(1-R374)+INDEX(Models!$BJ374:$BT374,,T374+1)*R374-ERP_i)*Q374*Ramure*Pc/MaxiM</f>
        <v>2.4163299009194308E-2</v>
      </c>
      <c r="Q374" s="305">
        <f t="shared" si="130"/>
        <v>0.7</v>
      </c>
      <c r="R374" s="177">
        <f t="shared" si="131"/>
        <v>0.97613639748689329</v>
      </c>
      <c r="S374" s="817">
        <f t="shared" si="132"/>
        <v>-2</v>
      </c>
      <c r="T374" s="176">
        <f t="shared" si="133"/>
        <v>4</v>
      </c>
      <c r="U374" s="251">
        <f t="shared" si="134"/>
        <v>-1.0238636025131067</v>
      </c>
      <c r="V374" s="383">
        <f t="shared" si="135"/>
        <v>10.53335160805951</v>
      </c>
      <c r="W374" s="402">
        <f t="shared" si="136"/>
        <v>9.9375591331639708</v>
      </c>
      <c r="X374" s="157">
        <f t="shared" si="137"/>
        <v>46382</v>
      </c>
      <c r="Y374" s="385">
        <f t="shared" si="138"/>
        <v>9.12737727486941</v>
      </c>
      <c r="Z374" s="385">
        <f t="shared" si="139"/>
        <v>9.784269991319885</v>
      </c>
      <c r="AA374" s="386">
        <f t="shared" si="140"/>
        <v>11.194555192814004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0.12597956570881955</v>
      </c>
      <c r="AD374" s="231">
        <f>(INDEX(Models!$BJ374:$BT374,,AH374)*(1-AF374)+INDEX(Models!$BJ374:$BT374,,AH374+1)*AF374-ERP_i)*AE374*Ramure*Pc/MaxiM</f>
        <v>7.0818488107244629E-2</v>
      </c>
      <c r="AE374" s="305">
        <f t="shared" si="142"/>
        <v>0.7</v>
      </c>
      <c r="AF374" s="177">
        <f t="shared" si="143"/>
        <v>0.59999976686294931</v>
      </c>
      <c r="AG374" s="817">
        <f t="shared" si="149"/>
        <v>1</v>
      </c>
      <c r="AH374" s="176">
        <f t="shared" si="144"/>
        <v>7</v>
      </c>
      <c r="AI374" s="225">
        <f t="shared" si="145"/>
        <v>1.5999997668629493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46383</v>
      </c>
      <c r="B375" s="411">
        <f>'2025'!Wh/'2025'!Env_an*'2026'!Env_an</f>
        <v>3.8504271397069583</v>
      </c>
      <c r="C375" s="846"/>
      <c r="D375" s="393">
        <f t="shared" si="127"/>
        <v>4.1276308351511029</v>
      </c>
      <c r="E375" s="385">
        <f t="shared" si="150"/>
        <v>4.536889802183989</v>
      </c>
      <c r="F375" s="385">
        <f t="shared" si="128"/>
        <v>4.5466903426439149</v>
      </c>
      <c r="G375" s="110">
        <f t="shared" si="151"/>
        <v>0.35457493005472168</v>
      </c>
      <c r="H375" s="414" t="b">
        <f>Wh_hp&gt;='2025'!Maxi_hp</f>
        <v>0</v>
      </c>
      <c r="I375" s="390">
        <f>IF(H375,Wh_hp,'2025'!Maxi_hp)</f>
        <v>13.195050919032267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6.7158063914888988E-2</v>
      </c>
      <c r="M375" s="850"/>
      <c r="N375" s="850"/>
      <c r="O375" s="48">
        <f>IF(t&lt;Tnet,'2025'!Resal+('2025'!Salim-'2025'!Resal)*(1-EXP(('2025'!Tnet-t)/('2025'!Tau_j))),Resal+(Salim-Resal)*(1-EXP((Tnet-t)/(Tau_j))))*Salcycl</f>
        <v>9.0206944598009722E-2</v>
      </c>
      <c r="P375" s="169">
        <f>(INDEX(Models!$BJ375:$BT375,,T375)*(1-R375)+INDEX(Models!$BJ375:$BT375,,T375+1)*R375-ERP_i)*Q375*Ramure*Pc/MaxiM</f>
        <v>2.4120490335130577E-2</v>
      </c>
      <c r="Q375" s="305">
        <f t="shared" si="130"/>
        <v>0.7</v>
      </c>
      <c r="R375" s="177">
        <f t="shared" si="131"/>
        <v>0.97613639748689329</v>
      </c>
      <c r="S375" s="817">
        <f t="shared" si="132"/>
        <v>-2</v>
      </c>
      <c r="T375" s="176">
        <f t="shared" si="133"/>
        <v>4</v>
      </c>
      <c r="U375" s="251">
        <f t="shared" si="134"/>
        <v>-1.0238636025131067</v>
      </c>
      <c r="V375" s="383">
        <f t="shared" si="135"/>
        <v>10.620237516241232</v>
      </c>
      <c r="W375" s="402">
        <f t="shared" si="136"/>
        <v>3.8504271397069583</v>
      </c>
      <c r="X375" s="157">
        <f t="shared" si="137"/>
        <v>46383</v>
      </c>
      <c r="Y375" s="385">
        <f t="shared" si="138"/>
        <v>3.6835717400240924</v>
      </c>
      <c r="Z375" s="385">
        <f t="shared" si="139"/>
        <v>3.9487630192560395</v>
      </c>
      <c r="AA375" s="386">
        <f t="shared" si="140"/>
        <v>4.5180379940969191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0.12600048418908177</v>
      </c>
      <c r="AD375" s="231">
        <f>(INDEX(Models!$BJ375:$BT375,,AH375)*(1-AF375)+INDEX(Models!$BJ375:$BT375,,AH375+1)*AF375-ERP_i)*AE375*Ramure*Pc/MaxiM</f>
        <v>7.0517406568800706E-2</v>
      </c>
      <c r="AE375" s="305">
        <f t="shared" si="142"/>
        <v>0.7</v>
      </c>
      <c r="AF375" s="177">
        <f t="shared" si="143"/>
        <v>0.59999976686294931</v>
      </c>
      <c r="AG375" s="817">
        <f t="shared" si="149"/>
        <v>1</v>
      </c>
      <c r="AH375" s="176">
        <f t="shared" si="144"/>
        <v>7</v>
      </c>
      <c r="AI375" s="225">
        <f t="shared" si="145"/>
        <v>1.5999997668629493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46384</v>
      </c>
      <c r="B376" s="411">
        <f>'2025'!Wh/'2025'!Env_an*'2026'!Env_an</f>
        <v>10.465655398200285</v>
      </c>
      <c r="C376" s="846"/>
      <c r="D376" s="393">
        <f t="shared" si="127"/>
        <v>11.219354772852677</v>
      </c>
      <c r="E376" s="385">
        <f t="shared" si="150"/>
        <v>12.332747276927506</v>
      </c>
      <c r="F376" s="385">
        <f t="shared" si="128"/>
        <v>12.62688442038848</v>
      </c>
      <c r="G376" s="110">
        <f t="shared" si="151"/>
        <v>0.9760726081207991</v>
      </c>
      <c r="H376" s="414" t="b">
        <f>Wh_hp&gt;='2025'!Maxi_hp</f>
        <v>0</v>
      </c>
      <c r="I376" s="390">
        <f>IF(H376,Wh_hp,'2025'!Maxi_hp)</f>
        <v>12.632226999078489</v>
      </c>
      <c r="J376" s="85">
        <f>IF(H376,An,'2025'!An_max)</f>
        <v>2025</v>
      </c>
      <c r="K376" s="197">
        <f t="shared" si="129"/>
        <v>46384</v>
      </c>
      <c r="L376" s="147">
        <f>IF(t&lt;Tvie,1-EXP((T0-t)*PertePVj)+'2025'!Pspv,1-EXP((T0-t)*PertePVj)+Pspv)</f>
        <v>6.7178495547364991E-2</v>
      </c>
      <c r="M376" s="850"/>
      <c r="N376" s="850"/>
      <c r="O376" s="48">
        <f>IF(t&lt;Tnet,'2025'!Resal+('2025'!Salim-'2025'!Resal)*(1-EXP(('2025'!Tnet-t)/('2025'!Tau_j))),Resal+(Salim-Resal)*(1-EXP((Tnet-t)/(Tau_j))))*Salcycl</f>
        <v>9.0279357800333707E-2</v>
      </c>
      <c r="P376" s="169">
        <f>(INDEX(Models!$BJ376:$BT376,,T376)*(1-R376)+INDEX(Models!$BJ376:$BT376,,T376+1)*R376-ERP_i)*Q376*Ramure*Pc/MaxiM</f>
        <v>2.4090577265201276E-2</v>
      </c>
      <c r="Q376" s="305">
        <f t="shared" si="130"/>
        <v>0.7</v>
      </c>
      <c r="R376" s="177">
        <f t="shared" si="131"/>
        <v>0.97613639748689329</v>
      </c>
      <c r="S376" s="817">
        <f t="shared" si="132"/>
        <v>-2</v>
      </c>
      <c r="T376" s="176">
        <f t="shared" si="133"/>
        <v>4</v>
      </c>
      <c r="U376" s="251">
        <f t="shared" si="134"/>
        <v>-1.0238636025131067</v>
      </c>
      <c r="V376" s="383">
        <f t="shared" si="135"/>
        <v>10.713470791998226</v>
      </c>
      <c r="W376" s="402">
        <f t="shared" si="136"/>
        <v>10.465655398200285</v>
      </c>
      <c r="X376" s="157">
        <f t="shared" si="137"/>
        <v>46384</v>
      </c>
      <c r="Y376" s="385">
        <f t="shared" si="138"/>
        <v>9.5946885646472051</v>
      </c>
      <c r="Z376" s="385">
        <f t="shared" si="139"/>
        <v>10.285663997719711</v>
      </c>
      <c r="AA376" s="386">
        <f t="shared" si="140"/>
        <v>11.768789215092768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0.12602190338076896</v>
      </c>
      <c r="AD376" s="231">
        <f>(INDEX(Models!$BJ376:$BT376,,AH376)*(1-AF376)+INDEX(Models!$BJ376:$BT376,,AH376+1)*AF376-ERP_i)*AE376*Ramure*Pc/MaxiM</f>
        <v>7.028017135421008E-2</v>
      </c>
      <c r="AE376" s="305">
        <f t="shared" si="142"/>
        <v>0.7</v>
      </c>
      <c r="AF376" s="177">
        <f t="shared" si="143"/>
        <v>0.59999976686294931</v>
      </c>
      <c r="AG376" s="817">
        <f t="shared" si="149"/>
        <v>1</v>
      </c>
      <c r="AH376" s="176">
        <f t="shared" si="144"/>
        <v>7</v>
      </c>
      <c r="AI376" s="225">
        <f t="shared" si="145"/>
        <v>1.5999997668629493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46385</v>
      </c>
      <c r="B377" s="411">
        <f>'2025'!Wh/'2025'!Env_an*'2026'!Env_an</f>
        <v>5.9732239403034066</v>
      </c>
      <c r="C377" s="846"/>
      <c r="D377" s="393">
        <f t="shared" si="127"/>
        <v>6.4035345921921012</v>
      </c>
      <c r="E377" s="385">
        <f t="shared" si="150"/>
        <v>7.0395742599409719</v>
      </c>
      <c r="F377" s="385">
        <f t="shared" si="128"/>
        <v>7.1012219693526992</v>
      </c>
      <c r="G377" s="110">
        <f t="shared" si="151"/>
        <v>0.54384854230679958</v>
      </c>
      <c r="H377" s="414" t="b">
        <f>Wh_hp&gt;='2025'!Maxi_hp</f>
        <v>0</v>
      </c>
      <c r="I377" s="390">
        <f>IF(H377,Wh_hp,'2025'!Maxi_hp)</f>
        <v>12.09881611457118</v>
      </c>
      <c r="J377" s="85">
        <f>IF(H377,An,'2025'!An_max)</f>
        <v>2019</v>
      </c>
      <c r="K377" s="197">
        <f t="shared" si="129"/>
        <v>46385</v>
      </c>
      <c r="L377" s="147">
        <f>IF(t&lt;Tvie,1-EXP((T0-t)*PertePVj)+'2025'!Pspv,1-EXP((T0-t)*PertePVj)+Pspv)</f>
        <v>6.719892673233574E-2</v>
      </c>
      <c r="M377" s="850"/>
      <c r="N377" s="850"/>
      <c r="O377" s="48">
        <f>IF(t&lt;Tnet,'2025'!Resal+('2025'!Salim-'2025'!Resal)*(1-EXP(('2025'!Tnet-t)/('2025'!Tau_j))),Resal+(Salim-Resal)*(1-EXP((Tnet-t)/(Tau_j))))*Salcycl</f>
        <v>9.0352007701415174E-2</v>
      </c>
      <c r="P377" s="169">
        <f>(INDEX(Models!$BJ377:$BT377,,T377)*(1-R377)+INDEX(Models!$BJ377:$BT377,,T377+1)*R377-ERP_i)*Q377*Ramure*Pc/MaxiM</f>
        <v>2.4073944758867524E-2</v>
      </c>
      <c r="Q377" s="305">
        <f t="shared" si="130"/>
        <v>0.7</v>
      </c>
      <c r="R377" s="177">
        <f t="shared" si="131"/>
        <v>0.97613639748689329</v>
      </c>
      <c r="S377" s="817">
        <f t="shared" si="132"/>
        <v>-2</v>
      </c>
      <c r="T377" s="176">
        <f t="shared" si="133"/>
        <v>4</v>
      </c>
      <c r="U377" s="251">
        <f t="shared" si="134"/>
        <v>-1.0238636025131067</v>
      </c>
      <c r="V377" s="383">
        <f t="shared" si="135"/>
        <v>10.812706994758527</v>
      </c>
      <c r="W377" s="402">
        <f t="shared" si="136"/>
        <v>5.9732239403034066</v>
      </c>
      <c r="X377" s="157">
        <f t="shared" si="137"/>
        <v>46385</v>
      </c>
      <c r="Y377" s="385">
        <f t="shared" si="138"/>
        <v>5.642753325960296</v>
      </c>
      <c r="Z377" s="385">
        <f t="shared" si="139"/>
        <v>6.0492568969644891</v>
      </c>
      <c r="AA377" s="386">
        <f t="shared" si="140"/>
        <v>6.9216932078774667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0.12604377060804609</v>
      </c>
      <c r="AD377" s="231">
        <f>(INDEX(Models!$BJ377:$BT377,,AH377)*(1-AF377)+INDEX(Models!$BJ377:$BT377,,AH377+1)*AF377-ERP_i)*AE377*Ramure*Pc/MaxiM</f>
        <v>7.0107478892970213E-2</v>
      </c>
      <c r="AE377" s="305">
        <f t="shared" si="142"/>
        <v>0.7</v>
      </c>
      <c r="AF377" s="177">
        <f t="shared" si="143"/>
        <v>0.59999976686294931</v>
      </c>
      <c r="AG377" s="817">
        <f t="shared" si="149"/>
        <v>1</v>
      </c>
      <c r="AH377" s="176">
        <f t="shared" si="144"/>
        <v>7</v>
      </c>
      <c r="AI377" s="225">
        <f t="shared" si="145"/>
        <v>1.5999997668629493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46386</v>
      </c>
      <c r="B378" s="411">
        <f>'2025'!Wh/'2025'!Env_an*'2026'!Env_an</f>
        <v>7.6154437291381543</v>
      </c>
      <c r="C378" s="846"/>
      <c r="D378" s="393">
        <f t="shared" si="127"/>
        <v>8.1642386022088633</v>
      </c>
      <c r="E378" s="385">
        <f t="shared" si="150"/>
        <v>8.975881423606717</v>
      </c>
      <c r="F378" s="385">
        <f t="shared" si="128"/>
        <v>9.1002837312228131</v>
      </c>
      <c r="G378" s="110">
        <f t="shared" si="151"/>
        <v>0.69018267024328517</v>
      </c>
      <c r="H378" s="414" t="b">
        <f>Wh_hp&gt;='2025'!Maxi_hp</f>
        <v>0</v>
      </c>
      <c r="I378" s="390">
        <f>IF(H378,Wh_hp,'2025'!Maxi_hp)</f>
        <v>12.623938379603631</v>
      </c>
      <c r="J378" s="85">
        <f>IF(H378,An,'2025'!An_max)</f>
        <v>2019</v>
      </c>
      <c r="K378" s="197">
        <f t="shared" si="129"/>
        <v>46386</v>
      </c>
      <c r="L378" s="147">
        <f>IF(t&lt;Tvie,1-EXP((T0-t)*PertePVj)+'2025'!Pspv,1-EXP((T0-t)*PertePVj)+Pspv)</f>
        <v>6.7219357469811225E-2</v>
      </c>
      <c r="M378" s="850"/>
      <c r="N378" s="850"/>
      <c r="O378" s="48">
        <f>IF(t&lt;Tnet,'2025'!Resal+('2025'!Salim-'2025'!Resal)*(1-EXP(('2025'!Tnet-t)/('2025'!Tau_j))),Resal+(Salim-Resal)*(1-EXP((Tnet-t)/(Tau_j))))*Salcycl</f>
        <v>9.0424860032488744E-2</v>
      </c>
      <c r="P378" s="169">
        <f>(INDEX(Models!$BJ378:$BT378,,T378)*(1-R378)+INDEX(Models!$BJ378:$BT378,,T378+1)*R378-ERP_i)*Q378*Ramure*Pc/MaxiM</f>
        <v>2.4070922219614682E-2</v>
      </c>
      <c r="Q378" s="305">
        <f t="shared" si="130"/>
        <v>0.7</v>
      </c>
      <c r="R378" s="177">
        <f t="shared" si="131"/>
        <v>0.97613639748689329</v>
      </c>
      <c r="S378" s="817">
        <f t="shared" si="132"/>
        <v>-2</v>
      </c>
      <c r="T378" s="176">
        <f t="shared" si="133"/>
        <v>4</v>
      </c>
      <c r="U378" s="251">
        <f t="shared" si="134"/>
        <v>-1.0238636025131067</v>
      </c>
      <c r="V378" s="383">
        <f t="shared" si="135"/>
        <v>10.917601731769379</v>
      </c>
      <c r="W378" s="402">
        <f t="shared" si="136"/>
        <v>7.6154437291381543</v>
      </c>
      <c r="X378" s="157">
        <f t="shared" si="137"/>
        <v>46386</v>
      </c>
      <c r="Y378" s="385">
        <f t="shared" si="138"/>
        <v>7.1235376097320575</v>
      </c>
      <c r="Z378" s="385">
        <f t="shared" si="139"/>
        <v>7.6368840485468255</v>
      </c>
      <c r="AA378" s="386">
        <f t="shared" si="140"/>
        <v>8.7385138601941161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0.1260660370026373</v>
      </c>
      <c r="AD378" s="231">
        <f>(INDEX(Models!$BJ378:$BT378,,AH378)*(1-AF378)+INDEX(Models!$BJ378:$BT378,,AH378+1)*AF378-ERP_i)*AE378*Ramure*Pc/MaxiM</f>
        <v>6.9999782108584957E-2</v>
      </c>
      <c r="AE378" s="305">
        <f t="shared" si="142"/>
        <v>0.7</v>
      </c>
      <c r="AF378" s="177">
        <f t="shared" si="143"/>
        <v>0.59999976686294931</v>
      </c>
      <c r="AG378" s="817">
        <f t="shared" si="149"/>
        <v>1</v>
      </c>
      <c r="AH378" s="176">
        <f t="shared" si="144"/>
        <v>7</v>
      </c>
      <c r="AI378" s="225">
        <f t="shared" si="145"/>
        <v>1.5999997668629493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46387</v>
      </c>
      <c r="B379" s="411">
        <f>'2025'!Wh/'2025'!Env_an*'2026'!Env_an</f>
        <v>7.1601937210522033</v>
      </c>
      <c r="C379" s="846"/>
      <c r="D379" s="393">
        <f t="shared" si="127"/>
        <v>7.6763498561496872</v>
      </c>
      <c r="E379" s="385">
        <f t="shared" si="150"/>
        <v>8.4401671140617882</v>
      </c>
      <c r="F379" s="385">
        <f t="shared" si="128"/>
        <v>8.5428202139387519</v>
      </c>
      <c r="G379" s="110">
        <f t="shared" si="151"/>
        <v>0.64135593062231722</v>
      </c>
      <c r="H379" s="414" t="b">
        <f>Wh_hp&gt;='2025'!Maxi_hp</f>
        <v>0</v>
      </c>
      <c r="I379" s="390">
        <f>IF(H379,Wh_hp,'2025'!Maxi_hp)</f>
        <v>12.634141180813497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6.7239787759800995E-2</v>
      </c>
      <c r="M379" s="850"/>
      <c r="N379" s="850"/>
      <c r="O379" s="48">
        <f>IF(t&lt;Tnet,'2025'!Resal+('2025'!Salim-'2025'!Resal)*(1-EXP(('2025'!Tnet-t)/('2025'!Tau_j))),Resal+(Salim-Resal)*(1-EXP((Tnet-t)/(Tau_j))))*Salcycl</f>
        <v>9.0497883227873416E-2</v>
      </c>
      <c r="P379" s="169">
        <f>(INDEX(Models!$BJ379:$BT379,,T379)*(1-R379)+INDEX(Models!$BJ379:$BT379,,T379+1)*R379-ERP_i)*Q379*Ramure*Pc/MaxiM</f>
        <v>2.4081787404578173E-2</v>
      </c>
      <c r="Q379" s="306">
        <f t="shared" si="130"/>
        <v>0.7</v>
      </c>
      <c r="R379" s="177">
        <f t="shared" si="131"/>
        <v>0.97613639748689329</v>
      </c>
      <c r="S379" s="817">
        <f t="shared" si="132"/>
        <v>-2</v>
      </c>
      <c r="T379" s="176">
        <f t="shared" si="133"/>
        <v>4</v>
      </c>
      <c r="U379" s="307">
        <f t="shared" si="134"/>
        <v>-1.0238636025131067</v>
      </c>
      <c r="V379" s="383">
        <f t="shared" si="135"/>
        <v>11.027810666825266</v>
      </c>
      <c r="W379" s="402">
        <f t="shared" si="136"/>
        <v>7.1601937210522033</v>
      </c>
      <c r="X379" s="157">
        <f t="shared" si="137"/>
        <v>46387</v>
      </c>
      <c r="Y379" s="385">
        <f t="shared" si="138"/>
        <v>6.7205949851238067</v>
      </c>
      <c r="Z379" s="385">
        <f t="shared" si="139"/>
        <v>7.2050618121703911</v>
      </c>
      <c r="AA379" s="386">
        <f t="shared" si="140"/>
        <v>8.2446141416260144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0.12608865758884408</v>
      </c>
      <c r="AD379" s="231">
        <f>(INDEX(Models!$BJ379:$BT379,,AH379)*(1-AF379)+INDEX(Models!$BJ379:$BT379,,AH379+1)*AF379-ERP_i)*AE379*Ramure*Pc/MaxiM</f>
        <v>6.9957314925676195E-2</v>
      </c>
      <c r="AE379" s="306">
        <f t="shared" si="142"/>
        <v>0.7</v>
      </c>
      <c r="AF379" s="177">
        <f t="shared" si="143"/>
        <v>0.59999976686294931</v>
      </c>
      <c r="AG379" s="817">
        <f t="shared" si="149"/>
        <v>1</v>
      </c>
      <c r="AH379" s="176">
        <f t="shared" si="144"/>
        <v>7</v>
      </c>
      <c r="AI379" s="222">
        <f t="shared" si="145"/>
        <v>1.5999997668629493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54"/>
      <c r="D380" s="401"/>
      <c r="E380" s="387"/>
      <c r="F380" s="387"/>
      <c r="G380" s="122"/>
      <c r="H380" s="414" t="b">
        <f>Wh_hp&gt;='2025'!Maxi_hp</f>
        <v>0</v>
      </c>
      <c r="I380" s="390">
        <f>IF(H380,Wh_hp,'2025'!Maxi_hp)</f>
        <v>9.8304510021791351</v>
      </c>
      <c r="J380" s="85">
        <f>IF(H380,An,'2025'!An_max)</f>
        <v>2020</v>
      </c>
      <c r="K380" s="234"/>
      <c r="L380" s="214"/>
      <c r="M380" s="855"/>
      <c r="N380" s="855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0.91442029206145692</v>
      </c>
      <c r="C381" s="375"/>
      <c r="D381" s="373">
        <f>MIN(D15:D380)</f>
        <v>0.97274495554029083</v>
      </c>
      <c r="E381" s="373">
        <f>MIN(E15:E380)</f>
        <v>1.0296264830499675</v>
      </c>
      <c r="F381" s="374">
        <f>MIN(F15:F380)</f>
        <v>1.0296264830499675</v>
      </c>
      <c r="G381" s="125">
        <f>+MIN(G15:G380)</f>
        <v>6.8891318397358944E-2</v>
      </c>
      <c r="H381" s="94"/>
      <c r="I381" s="374">
        <f>MIN(I15:I380)</f>
        <v>5.9138462610467215</v>
      </c>
      <c r="J381" s="57">
        <f>MIN(J15:J380)</f>
        <v>2018</v>
      </c>
      <c r="K381" s="200" t="s">
        <v>7</v>
      </c>
      <c r="L381" s="146">
        <f t="shared" ref="L381:T381" si="152">MIN(L15:L380)</f>
        <v>5.9773520330569929E-2</v>
      </c>
      <c r="M381" s="852"/>
      <c r="N381" s="852"/>
      <c r="O381" s="47">
        <f t="shared" si="152"/>
        <v>5.4126177013056095E-2</v>
      </c>
      <c r="P381" s="168">
        <f t="shared" si="152"/>
        <v>0</v>
      </c>
      <c r="Q381" s="310">
        <f t="shared" si="152"/>
        <v>0.7</v>
      </c>
      <c r="R381" s="311">
        <f t="shared" si="152"/>
        <v>0.47613767052306422</v>
      </c>
      <c r="S381" s="817">
        <f t="shared" si="152"/>
        <v>-2</v>
      </c>
      <c r="T381" s="176">
        <f t="shared" si="152"/>
        <v>4</v>
      </c>
      <c r="U381" s="252">
        <f>MIN(U15:U380)</f>
        <v>-1.5238623294769358</v>
      </c>
      <c r="V381" s="57">
        <f>MIN(V15:V380)</f>
        <v>9.893327976952385</v>
      </c>
      <c r="W381" s="58"/>
      <c r="X381" s="112" t="s">
        <v>7</v>
      </c>
      <c r="Y381" s="373">
        <f>MIN(Y15:Y380)</f>
        <v>0.85841675133483963</v>
      </c>
      <c r="Z381" s="373">
        <f>MIN(Z15:Z380)</f>
        <v>0.9131693290946008</v>
      </c>
      <c r="AA381" s="373">
        <f>MIN(AA15:AA380)</f>
        <v>1.0296264830499675</v>
      </c>
      <c r="AB381" s="200" t="s">
        <v>7</v>
      </c>
      <c r="AC381" s="47">
        <f t="shared" ref="AC381:AH381" si="153">MIN(AC15:AC380)</f>
        <v>0.11272262600342338</v>
      </c>
      <c r="AD381" s="168">
        <f t="shared" si="153"/>
        <v>6.5219174102078892E-7</v>
      </c>
      <c r="AE381" s="310">
        <f t="shared" si="153"/>
        <v>0.7</v>
      </c>
      <c r="AF381" s="311">
        <f t="shared" si="153"/>
        <v>0.10000103989912024</v>
      </c>
      <c r="AG381" s="817">
        <f t="shared" si="153"/>
        <v>1</v>
      </c>
      <c r="AH381" s="176">
        <f t="shared" si="153"/>
        <v>7</v>
      </c>
      <c r="AI381" s="226">
        <f>MIN(AI15:AI380)</f>
        <v>1.1000010398991202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18.942560725972271</v>
      </c>
      <c r="C382" s="375"/>
      <c r="D382" s="375">
        <f>AVERAGE(D15:D380)</f>
        <v>20.224277231363157</v>
      </c>
      <c r="E382" s="375">
        <f>AVERAGE(E15:E380)</f>
        <v>21.879060388339663</v>
      </c>
      <c r="F382" s="376">
        <f>AVERAGE(F15:F380)</f>
        <v>21.924129283479832</v>
      </c>
      <c r="G382" s="126">
        <f>AVERAGE(G15:G380)</f>
        <v>0.69191856356695958</v>
      </c>
      <c r="H382" s="94"/>
      <c r="I382" s="376">
        <f>AVERAGE(I15:I380)</f>
        <v>29.005410204654968</v>
      </c>
      <c r="J382" s="59">
        <f>AVERAGE(J15:J380)</f>
        <v>2021</v>
      </c>
      <c r="K382" s="200" t="s">
        <v>8</v>
      </c>
      <c r="L382" s="147">
        <f t="shared" ref="L382:V382" si="154">AVERAGE(L15:L380)</f>
        <v>6.3511600889275127E-2</v>
      </c>
      <c r="M382" s="850"/>
      <c r="N382" s="850"/>
      <c r="O382" s="48">
        <f t="shared" si="154"/>
        <v>7.5480681312674269E-2</v>
      </c>
      <c r="P382" s="169">
        <f t="shared" si="154"/>
        <v>6.7171705501161069E-3</v>
      </c>
      <c r="Q382" s="312">
        <f t="shared" si="154"/>
        <v>0.69999999999999529</v>
      </c>
      <c r="R382" s="177">
        <f t="shared" si="154"/>
        <v>0.75602126752220744</v>
      </c>
      <c r="S382" s="817">
        <f t="shared" si="154"/>
        <v>-2</v>
      </c>
      <c r="T382" s="176">
        <f t="shared" si="154"/>
        <v>4</v>
      </c>
      <c r="U382" s="251">
        <f>AVERAGE(U15:U380)</f>
        <v>-1.2439787324777916</v>
      </c>
      <c r="V382" s="59">
        <f t="shared" si="154"/>
        <v>26.650651819951221</v>
      </c>
      <c r="X382" s="112" t="s">
        <v>8</v>
      </c>
      <c r="Y382" s="375">
        <f>AVERAGE(Y15:Y380)</f>
        <v>17.813997333374441</v>
      </c>
      <c r="Z382" s="375">
        <f>AVERAGE(Z15:Z380)</f>
        <v>19.019496266816944</v>
      </c>
      <c r="AA382" s="375">
        <f>AVERAGE(AA15:AA380)</f>
        <v>21.692000532664476</v>
      </c>
      <c r="AB382" s="200" t="s">
        <v>8</v>
      </c>
      <c r="AC382" s="48">
        <f t="shared" ref="AC382:AH382" si="155">AVERAGE(AC15:AC380)</f>
        <v>0.12255194828834819</v>
      </c>
      <c r="AD382" s="169">
        <f t="shared" si="155"/>
        <v>2.9884933094949082E-2</v>
      </c>
      <c r="AE382" s="312">
        <f t="shared" si="155"/>
        <v>0.69999999999999529</v>
      </c>
      <c r="AF382" s="177">
        <f t="shared" si="155"/>
        <v>0.37988463689826379</v>
      </c>
      <c r="AG382" s="817">
        <f t="shared" si="155"/>
        <v>1</v>
      </c>
      <c r="AH382" s="176">
        <f t="shared" si="155"/>
        <v>7</v>
      </c>
      <c r="AI382" s="225">
        <f>AVERAGE(AI15:AI380)</f>
        <v>1.3798846368982636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38.01841198669468</v>
      </c>
      <c r="C383" s="377"/>
      <c r="D383" s="377">
        <f>MAX(D15:D380)</f>
        <v>40.566665420204856</v>
      </c>
      <c r="E383" s="377">
        <f>MAX(E15:E380)</f>
        <v>43.771585370686978</v>
      </c>
      <c r="F383" s="378">
        <f>MAX(F15:F380)</f>
        <v>43.771585370686978</v>
      </c>
      <c r="G383" s="127">
        <f>+MAX(G15:G380)</f>
        <v>1.0412989230211516</v>
      </c>
      <c r="H383" s="94"/>
      <c r="I383" s="378">
        <f>MAX(I15:I380)</f>
        <v>45.292153927540518</v>
      </c>
      <c r="J383" s="60">
        <f>MAX(J15:J380)</f>
        <v>2026</v>
      </c>
      <c r="K383" s="200" t="s">
        <v>9</v>
      </c>
      <c r="L383" s="148">
        <f t="shared" ref="L383:T383" si="156">MAX(L15:L380)</f>
        <v>6.7239787759800995E-2</v>
      </c>
      <c r="M383" s="853"/>
      <c r="N383" s="853"/>
      <c r="O383" s="49">
        <f t="shared" si="156"/>
        <v>9.0497883227873416E-2</v>
      </c>
      <c r="P383" s="170">
        <f t="shared" si="156"/>
        <v>2.8627559965561569E-2</v>
      </c>
      <c r="Q383" s="313">
        <f t="shared" si="156"/>
        <v>0.7</v>
      </c>
      <c r="R383" s="314">
        <f t="shared" si="156"/>
        <v>0.97613639748689329</v>
      </c>
      <c r="S383" s="818">
        <f t="shared" si="156"/>
        <v>-2</v>
      </c>
      <c r="T383" s="233">
        <f t="shared" si="156"/>
        <v>4</v>
      </c>
      <c r="U383" s="253">
        <f>MAX(U15:U380)</f>
        <v>-1.0238636025131067</v>
      </c>
      <c r="V383" s="60">
        <f>MAX(V15:V380)</f>
        <v>37.881549915289035</v>
      </c>
      <c r="X383" s="112" t="s">
        <v>9</v>
      </c>
      <c r="Y383" s="377">
        <f>MAX(Y15:Y380)</f>
        <v>35.997919721200098</v>
      </c>
      <c r="Z383" s="377">
        <f>MAX(Z15:Z380)</f>
        <v>38.410745973934567</v>
      </c>
      <c r="AA383" s="377">
        <f>MAX(AA15:AA380)</f>
        <v>43.771547860054774</v>
      </c>
      <c r="AB383" s="200" t="s">
        <v>9</v>
      </c>
      <c r="AC383" s="49">
        <f t="shared" ref="AC383:AH383" si="157">MAX(AC15:AC380)</f>
        <v>0.12843568345718179</v>
      </c>
      <c r="AD383" s="170">
        <f t="shared" si="157"/>
        <v>9.2493391269854272E-2</v>
      </c>
      <c r="AE383" s="313">
        <f t="shared" si="157"/>
        <v>0.7</v>
      </c>
      <c r="AF383" s="314">
        <f t="shared" si="157"/>
        <v>0.59999976686294931</v>
      </c>
      <c r="AG383" s="818">
        <f t="shared" si="157"/>
        <v>1</v>
      </c>
      <c r="AH383" s="233">
        <f t="shared" si="157"/>
        <v>7</v>
      </c>
      <c r="AI383" s="227">
        <f>MAX(AI15:AI380)</f>
        <v>1.5999997668629493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65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67</v>
      </c>
      <c r="H384" s="404"/>
      <c r="I384" s="405" t="s">
        <v>6</v>
      </c>
      <c r="J384" s="405" t="s">
        <v>113</v>
      </c>
      <c r="K384" s="406"/>
      <c r="L384" s="405" t="s">
        <v>66</v>
      </c>
      <c r="M384" s="407"/>
      <c r="N384" s="407"/>
      <c r="O384" s="407" t="s">
        <v>66</v>
      </c>
      <c r="P384" s="407" t="s">
        <v>66</v>
      </c>
      <c r="Q384" s="405" t="s">
        <v>66</v>
      </c>
      <c r="R384" s="405" t="s">
        <v>67</v>
      </c>
      <c r="S384" s="405" t="s">
        <v>81</v>
      </c>
      <c r="T384" s="405" t="s">
        <v>67</v>
      </c>
      <c r="U384" s="408" t="s">
        <v>81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66</v>
      </c>
      <c r="AD384" s="405" t="s">
        <v>66</v>
      </c>
      <c r="AE384" s="405" t="s">
        <v>66</v>
      </c>
      <c r="AF384" s="405" t="s">
        <v>67</v>
      </c>
      <c r="AG384" s="405" t="s">
        <v>81</v>
      </c>
      <c r="AH384" s="405" t="s">
        <v>67</v>
      </c>
      <c r="AI384" s="408" t="s">
        <v>81</v>
      </c>
      <c r="AJ384" s="835"/>
      <c r="AK384" s="835"/>
      <c r="AL384" s="835"/>
      <c r="AM384" s="835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4" priority="3" stopIfTrue="1" operator="lessThan">
      <formula>0.01</formula>
    </cfRule>
    <cfRule type="cellIs" dxfId="3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39">
        <f>'2026'!An+1</f>
        <v>2027</v>
      </c>
      <c r="K1" s="1240"/>
      <c r="L1" s="113" t="str">
        <f>"Calcul pertes et enveloppes en "&amp;TEXT(An,0)</f>
        <v>Calcul pertes et enveloppes en 2027</v>
      </c>
      <c r="M1" s="243"/>
      <c r="N1" s="243"/>
      <c r="V1" s="458"/>
      <c r="W1" s="456"/>
      <c r="X1" s="486" t="str">
        <f>"Prévision sans nettoyage ni taille végétation en "&amp;TEXT(An,0)</f>
        <v>Prévision sans nettoyage ni taille végétation en 2027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4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91"/>
      <c r="R2" s="18"/>
      <c r="S2" s="494"/>
      <c r="T2" s="494"/>
      <c r="U2" s="294" t="s">
        <v>75</v>
      </c>
      <c r="V2" s="495">
        <f>PertePVan</f>
        <v>8.0000000000000002E-3</v>
      </c>
      <c r="W2" s="451" t="s">
        <v>14</v>
      </c>
      <c r="X2" s="496"/>
      <c r="Y2" s="497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40" t="s">
        <v>272</v>
      </c>
      <c r="AK2" s="840" t="s">
        <v>274</v>
      </c>
      <c r="AL2" s="840" t="s">
        <v>273</v>
      </c>
      <c r="AM2" s="840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49">
        <f>Tmaj</f>
        <v>44926</v>
      </c>
      <c r="F3" s="1249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51"/>
      <c r="U3" s="209" t="s">
        <v>164</v>
      </c>
      <c r="V3" s="634">
        <f>Salim_i</f>
        <v>0.14000000000000001</v>
      </c>
      <c r="W3" s="451"/>
      <c r="X3" s="501" t="s">
        <v>92</v>
      </c>
      <c r="Y3" s="502"/>
      <c r="Z3" s="503"/>
      <c r="AA3" s="497"/>
      <c r="AB3" s="497"/>
      <c r="AC3" s="429"/>
      <c r="AD3" s="429"/>
      <c r="AE3" s="429"/>
      <c r="AF3" s="429"/>
      <c r="AG3" s="429"/>
      <c r="AH3" s="429"/>
      <c r="AI3" s="429"/>
      <c r="AJ3" s="838">
        <f>AL11-AJ11</f>
        <v>59.221897439483456</v>
      </c>
      <c r="AK3" s="839">
        <f>AM11-AK11</f>
        <v>0</v>
      </c>
      <c r="AL3" s="838"/>
      <c r="AM3" s="839"/>
      <c r="AN3" s="837" t="s">
        <v>281</v>
      </c>
    </row>
    <row r="4" spans="1:40" s="19" customFormat="1" ht="16.5" customHeight="1" x14ac:dyDescent="0.3">
      <c r="A4" s="35"/>
      <c r="B4" s="28"/>
      <c r="C4" s="28"/>
      <c r="D4" s="83" t="s">
        <v>128</v>
      </c>
      <c r="E4" s="1188" t="str">
        <f>Station</f>
        <v>Donneville</v>
      </c>
      <c r="F4" s="1189"/>
      <c r="G4" s="1189"/>
      <c r="H4" s="1189"/>
      <c r="I4" s="1190"/>
      <c r="J4" s="158"/>
      <c r="K4" s="191"/>
      <c r="L4" s="505"/>
      <c r="M4" s="504"/>
      <c r="N4" s="504"/>
      <c r="O4" s="429"/>
      <c r="P4" s="34"/>
      <c r="Q4" s="504"/>
      <c r="R4" s="34"/>
      <c r="S4" s="494"/>
      <c r="T4" s="409"/>
      <c r="U4" s="295" t="s">
        <v>78</v>
      </c>
      <c r="V4" s="633">
        <f>Persistant</f>
        <v>0.8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9"/>
      <c r="AD4" s="429"/>
      <c r="AE4" s="429"/>
      <c r="AF4" s="429"/>
      <c r="AG4" s="429"/>
      <c r="AH4" s="429"/>
      <c r="AI4" s="429"/>
      <c r="AJ4" s="838">
        <f>AL12-AJ12</f>
        <v>404.82633829714422</v>
      </c>
      <c r="AK4" s="839">
        <f>AM12-AK12</f>
        <v>56.790025174501622</v>
      </c>
      <c r="AL4" s="838"/>
      <c r="AM4" s="839"/>
      <c r="AN4" s="837" t="s">
        <v>282</v>
      </c>
    </row>
    <row r="5" spans="1:40" s="35" customFormat="1" ht="16.5" customHeight="1" x14ac:dyDescent="0.25">
      <c r="D5" s="161" t="s">
        <v>20</v>
      </c>
      <c r="E5" s="1250">
        <f>T0</f>
        <v>43209</v>
      </c>
      <c r="F5" s="1250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464.24556491959504</v>
      </c>
      <c r="AA5" s="237">
        <f>Wh_Pvg_s-Wh_Pvg</f>
        <v>56.790025174501622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1758.963527361617</v>
      </c>
      <c r="AK5" s="515">
        <f>SUMIF(AK15:AK380,"VRAI",Wh)</f>
        <v>0</v>
      </c>
      <c r="AL5" s="515">
        <f>SUMIF(AJ15:AJ380,"VRAI",Wh_s)</f>
        <v>1669.8437158384215</v>
      </c>
      <c r="AM5" s="515">
        <f>SUMIF(AK15:AK380,"VRAI",Wh_s)</f>
        <v>0</v>
      </c>
      <c r="AN5" s="837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51">
        <f>Tservice</f>
        <v>43249</v>
      </c>
      <c r="F6" s="1251"/>
      <c r="G6" s="95"/>
      <c r="H6" s="35"/>
      <c r="I6" s="35"/>
      <c r="J6" s="8"/>
      <c r="K6" s="193"/>
      <c r="L6" s="154" t="s">
        <v>79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2"/>
      <c r="X6" s="496"/>
      <c r="Y6" s="497"/>
      <c r="Z6" s="462"/>
      <c r="AA6" s="462"/>
      <c r="AB6" s="515"/>
      <c r="AC6" s="462"/>
      <c r="AD6" s="462"/>
      <c r="AE6" s="462"/>
      <c r="AF6" s="462"/>
      <c r="AG6" s="462"/>
      <c r="AH6" s="462"/>
      <c r="AI6" s="462"/>
      <c r="AJ6" s="515">
        <f>SUMIF(AJ15:AJ380,"FAUX",Wh)</f>
        <v>5274.106205830516</v>
      </c>
      <c r="AK6" s="515">
        <f>SUMIF(AK15:AK380,"FAUX",Wh)</f>
        <v>7033.0697331921319</v>
      </c>
      <c r="AL6" s="515">
        <f>SUMIF(AJ15:AJ380,"FAUX",Wh_s)</f>
        <v>4833.1802652705173</v>
      </c>
      <c r="AM6" s="515">
        <f>SUMIF(AK15:AK380,"FAUX",Wh_s)</f>
        <v>6503.0239811089423</v>
      </c>
      <c r="AN6" s="837" t="s">
        <v>279</v>
      </c>
    </row>
    <row r="7" spans="1:40" s="40" customFormat="1" ht="15" customHeight="1" x14ac:dyDescent="0.25">
      <c r="A7" s="183"/>
      <c r="B7" s="178"/>
      <c r="C7" s="178"/>
      <c r="D7" s="22" t="s">
        <v>108</v>
      </c>
      <c r="E7" s="320" t="b">
        <f>AND(YEAR(Tnet)=An,Resal_2027="I")</f>
        <v>0</v>
      </c>
      <c r="F7" s="320" t="b">
        <f>YEAR(Tnet)=An</f>
        <v>1</v>
      </c>
      <c r="J7" s="178"/>
      <c r="K7" s="191"/>
      <c r="L7" s="189" t="s">
        <v>77</v>
      </c>
      <c r="M7" s="848"/>
      <c r="N7" s="848"/>
      <c r="O7" s="18"/>
      <c r="P7" s="118"/>
      <c r="Q7" s="118"/>
      <c r="R7" s="141"/>
      <c r="S7" s="141"/>
      <c r="T7" s="141"/>
      <c r="U7" s="141"/>
      <c r="V7" s="429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1888.6677959044355</v>
      </c>
      <c r="AK7" s="515">
        <f>SUMIF(AK15:AK380,"VRAI",Wh_sa)</f>
        <v>0</v>
      </c>
      <c r="AL7" s="515">
        <f>SUMIF(AJ15:AJ380,"VRAI",Wh_pvt_s)</f>
        <v>1792.9982541480645</v>
      </c>
      <c r="AM7" s="515">
        <f>SUMIF(AK15:AK380,"VRAI",Wh_sa_s)</f>
        <v>0</v>
      </c>
      <c r="AN7" s="837" t="s">
        <v>270</v>
      </c>
    </row>
    <row r="8" spans="1:40" s="6" customFormat="1" ht="15" customHeight="1" x14ac:dyDescent="0.25">
      <c r="A8" s="34"/>
      <c r="B8" s="210"/>
      <c r="C8" s="210"/>
      <c r="D8" s="22" t="s">
        <v>80</v>
      </c>
      <c r="E8" s="320" t="b">
        <f>AND(YEAR(Tnet)=An,Resal_2027&lt;&gt;"I")</f>
        <v>1</v>
      </c>
      <c r="F8" s="321" t="b">
        <f>YEAR(Ttai)=An</f>
        <v>0</v>
      </c>
      <c r="H8" s="179" t="s">
        <v>72</v>
      </c>
      <c r="I8" s="98"/>
      <c r="J8" s="158"/>
      <c r="K8" s="191"/>
      <c r="L8" s="114"/>
      <c r="M8" s="114"/>
      <c r="N8" s="114"/>
      <c r="O8" s="115" t="s">
        <v>59</v>
      </c>
      <c r="P8" s="18"/>
      <c r="Q8" s="18"/>
      <c r="R8" s="18"/>
      <c r="S8" s="18"/>
      <c r="T8" s="18"/>
      <c r="U8" s="18"/>
      <c r="V8" s="517"/>
      <c r="W8" s="404"/>
      <c r="X8" s="1237" t="s">
        <v>98</v>
      </c>
      <c r="Y8" s="1238"/>
      <c r="Z8" s="497"/>
      <c r="AA8" s="497"/>
      <c r="AB8" s="462"/>
      <c r="AC8" s="519" t="s">
        <v>59</v>
      </c>
      <c r="AD8" s="462"/>
      <c r="AE8" s="462"/>
      <c r="AF8" s="462"/>
      <c r="AG8" s="462"/>
      <c r="AH8" s="462"/>
      <c r="AI8" s="462"/>
      <c r="AJ8" s="515">
        <f>SUMIF(AJ15:AJ380,"FAUX",Wh_pvt)</f>
        <v>5680.9121126008104</v>
      </c>
      <c r="AK8" s="515">
        <f>SUMIF(AK15:AK380,"FAUX",Wh_sa)</f>
        <v>7967.4280145159019</v>
      </c>
      <c r="AL8" s="515">
        <f>SUMIF(AJ15:AJ380,"FAUX",Wh_pvt_s)</f>
        <v>5205.9479667819305</v>
      </c>
      <c r="AM8" s="515">
        <f>SUMIF(AK15:AK380,"FAUX",Wh_sa_s)</f>
        <v>7896.4346233271754</v>
      </c>
      <c r="AN8" s="837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7569.5799085052458</v>
      </c>
      <c r="E9" s="184">
        <f>SUM(E$15:E$380)</f>
        <v>7967.4280145159019</v>
      </c>
      <c r="F9" s="184">
        <f>SUM(F$15:F$380)</f>
        <v>7995.7412999598391</v>
      </c>
      <c r="H9" s="1241">
        <f>+SUM(Wh)</f>
        <v>7033.0697331921319</v>
      </c>
      <c r="I9" s="1242"/>
      <c r="J9" s="1243"/>
      <c r="K9" s="191"/>
      <c r="L9" s="232"/>
      <c r="M9" s="232"/>
      <c r="N9" s="232"/>
      <c r="O9" s="223">
        <f>Tnet_2027</f>
        <v>46507</v>
      </c>
      <c r="P9" s="244" t="s">
        <v>87</v>
      </c>
      <c r="Q9" s="245"/>
      <c r="R9" s="245"/>
      <c r="S9" s="245"/>
      <c r="T9" s="245"/>
      <c r="U9" s="246"/>
      <c r="V9" s="462"/>
      <c r="W9" s="520"/>
      <c r="X9" s="1235">
        <f>+SUM(Wh_s)</f>
        <v>6503.0239811089423</v>
      </c>
      <c r="Y9" s="1236"/>
      <c r="Z9" s="515">
        <f>SUM(Z$15:Z$380)</f>
        <v>6998.9462209299963</v>
      </c>
      <c r="AA9" s="515">
        <f>SUM(AA$15:AA$380)</f>
        <v>7896.4346233271754</v>
      </c>
      <c r="AB9" s="515">
        <f>F9</f>
        <v>7995.7412999598391</v>
      </c>
      <c r="AC9" s="325">
        <f>IF(An_Tnet,Tnet,'2026'!Tnet_s)</f>
        <v>46507</v>
      </c>
      <c r="AD9" s="316" t="s">
        <v>87</v>
      </c>
      <c r="AE9" s="316"/>
      <c r="AF9" s="316"/>
      <c r="AG9" s="316"/>
      <c r="AH9" s="316"/>
      <c r="AI9" s="317"/>
      <c r="AJ9" s="515">
        <f>SUMIF(AJ15:AJ380,"VRAI",Wh_sa)</f>
        <v>2088.705644501305</v>
      </c>
      <c r="AK9" s="515">
        <f>SUMIF(AK15:AK380,"VRAI",Wh_hp)</f>
        <v>0</v>
      </c>
      <c r="AL9" s="515">
        <f>SUMIF(AJ15:AJ380,"VRAI",Wh_sa_s)</f>
        <v>2056.6281824511448</v>
      </c>
      <c r="AM9" s="515">
        <f>SUMIF(AK15:AK380,"VRAI",Wh_hp)</f>
        <v>0</v>
      </c>
      <c r="AN9" s="837" t="s">
        <v>276</v>
      </c>
    </row>
    <row r="10" spans="1:40" s="19" customFormat="1" ht="15" customHeight="1" x14ac:dyDescent="0.25">
      <c r="A10" s="206"/>
      <c r="B10" s="207"/>
      <c r="C10" s="844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IF(Inflex,'2026'!Resal+('2026'!Salim-'2026'!Resal)*(1-EXP(-(Tnet-'2026'!Tnet)/('2026'!Tau_j))),IF(An_Tnet,Resal_2027,'2026'!Resal))</f>
        <v>1.7000000000000001E-2</v>
      </c>
      <c r="P10" s="422" t="b">
        <f>NOT(Acti_tai)</f>
        <v>1</v>
      </c>
      <c r="Q10" s="257">
        <f>IF(Acti_tai,'2026'!PousD,Dens-Dd)</f>
        <v>0</v>
      </c>
      <c r="R10" s="274"/>
      <c r="S10" s="275"/>
      <c r="T10" s="276"/>
      <c r="U10" s="266">
        <f>IF(Acti_tai,'2026'!PousH,Hdtf-Hdd)</f>
        <v>0.5</v>
      </c>
      <c r="V10" s="429"/>
      <c r="W10" s="504"/>
      <c r="X10" s="505"/>
      <c r="Y10" s="521" t="s">
        <v>26</v>
      </c>
      <c r="Z10" s="511" t="s">
        <v>27</v>
      </c>
      <c r="AA10" s="511" t="s">
        <v>28</v>
      </c>
      <c r="AB10" s="429"/>
      <c r="AC10" s="318">
        <f>IF(OR(Inflex,GainD),'2026'!Resal_s+('2026'!Salim-'2026'!Resal_s)*(1-EXP(('2026'!Tnet_s-Tnet)/('2026'!Tau_j))),IF(Acti_net,'2026'!Resal+('2026'!Salim-'2026'!Resal)*(1-EXP(('2026'!Tnet-Tnet)/'2026'!Tau_j)),'2026'!Resal_s))</f>
        <v>9.8964965794769641E-2</v>
      </c>
      <c r="AD10" s="429"/>
      <c r="AE10" s="429"/>
      <c r="AF10" s="260"/>
      <c r="AG10" s="261"/>
      <c r="AH10" s="262"/>
      <c r="AI10" s="472"/>
      <c r="AJ10" s="515">
        <f>SUMIF(AJ15:AJ380,"FAUX",Wh_sa)</f>
        <v>5878.7223700146005</v>
      </c>
      <c r="AK10" s="515">
        <f>SUMIF(AK15:AK380,"FAUX",Wh_hp)</f>
        <v>7995.7412999598391</v>
      </c>
      <c r="AL10" s="515">
        <f>SUMIF(AJ15:AJ380,"FAUX",Wh_sa_s)</f>
        <v>5839.8064408760274</v>
      </c>
      <c r="AM10" s="515">
        <f>SUMIF(AK15:AK380,"FAUX",Wh_hp)</f>
        <v>7995.7412999598391</v>
      </c>
      <c r="AN10" s="837" t="s">
        <v>277</v>
      </c>
    </row>
    <row r="11" spans="1:40" s="40" customFormat="1" ht="15" customHeight="1" x14ac:dyDescent="0.25">
      <c r="A11" s="216"/>
      <c r="B11" s="217" t="s">
        <v>43</v>
      </c>
      <c r="C11" s="845"/>
      <c r="D11" s="50">
        <f>D$9-Prod_an</f>
        <v>536.5101753131139</v>
      </c>
      <c r="E11" s="51">
        <f>(E$9-D$9)*Prod_an/D$9</f>
        <v>369.64977008134849</v>
      </c>
      <c r="F11" s="186">
        <f>(F$9-E$9)*Prod_an/E$9</f>
        <v>24.992922501488536</v>
      </c>
      <c r="G11" s="185" t="s">
        <v>6</v>
      </c>
      <c r="K11" s="194"/>
      <c r="L11" s="211">
        <f>Tvie_2027</f>
        <v>43209</v>
      </c>
      <c r="M11" s="849"/>
      <c r="N11" s="849"/>
      <c r="O11" s="202">
        <f>IF(An_Tnet,Salim_2027,'2026'!Salim)</f>
        <v>0.14666666666666667</v>
      </c>
      <c r="P11" s="256">
        <f>Ttai_2027</f>
        <v>45747</v>
      </c>
      <c r="Q11" s="272">
        <f>Dens_2027</f>
        <v>0.7</v>
      </c>
      <c r="R11" s="277"/>
      <c r="S11" s="230"/>
      <c r="T11" s="230"/>
      <c r="U11" s="266">
        <f>Htf_2027</f>
        <v>-0.52386360251310671</v>
      </c>
      <c r="V11" s="429"/>
      <c r="W11" s="518"/>
      <c r="X11" s="525" t="s">
        <v>43</v>
      </c>
      <c r="Y11" s="50">
        <f>Z$9-Prod_an_s</f>
        <v>495.92223982105406</v>
      </c>
      <c r="Z11" s="51">
        <f>(AA$9-Z$9)*Prod_an_s/Z$9</f>
        <v>833.89533500094353</v>
      </c>
      <c r="AA11" s="186">
        <f>(AB$9-AA$9)*Prod_an_s/AA$9</f>
        <v>81.782947675990158</v>
      </c>
      <c r="AB11" s="526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8">
        <f>IF($AJ7=0,0,($AJ9-$AJ7)*$AJ5/$AJ7)</f>
        <v>186.3002485332695</v>
      </c>
      <c r="AK11" s="839">
        <f>IF($AK7=0,0,($AK9-$AK7)*$AK5/$AK7)</f>
        <v>0</v>
      </c>
      <c r="AL11" s="838">
        <f>IF($AL7=0,0,($AL9-$AL7)*$AL5/$AL7)</f>
        <v>245.52214597275295</v>
      </c>
      <c r="AM11" s="839">
        <f>IF($AM7=0,0,($AM9-$AM7)*$AM5/$AM7)</f>
        <v>0</v>
      </c>
      <c r="AN11" s="837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4.129892302115179E-2</v>
      </c>
      <c r="K12" s="191"/>
      <c r="L12" s="212">
        <f>Pspv_2027</f>
        <v>0</v>
      </c>
      <c r="M12" s="212"/>
      <c r="N12" s="212"/>
      <c r="O12" s="205">
        <f>IF(An_Tnet,Tau_2027*365,'2026'!Tau_j)</f>
        <v>730</v>
      </c>
      <c r="P12" s="281">
        <f>INDEX(Croivg,MIN(MAX(Ttai-$A$15,0)+1,366))</f>
        <v>2.3909964587625958E-6</v>
      </c>
      <c r="Q12" s="280">
        <f>'2026'!Df</f>
        <v>0.7</v>
      </c>
      <c r="R12" s="278"/>
      <c r="S12" s="279"/>
      <c r="T12" s="279"/>
      <c r="U12" s="267">
        <f>'2026'!Hdf</f>
        <v>-1.0238636025131067</v>
      </c>
      <c r="V12" s="40"/>
      <c r="W12" s="34"/>
      <c r="X12" s="54"/>
      <c r="Y12" s="34"/>
      <c r="AB12" s="319" t="s">
        <v>102</v>
      </c>
      <c r="AC12" s="318" t="b">
        <f>NOT(An_Tnet)</f>
        <v>0</v>
      </c>
      <c r="AE12" s="296">
        <f>'2026'!Df_s</f>
        <v>0.7</v>
      </c>
      <c r="AF12" s="203"/>
      <c r="AG12" s="203"/>
      <c r="AH12" s="203"/>
      <c r="AI12" s="297">
        <f>'2026'!Hdf_s</f>
        <v>1.5999997668629493</v>
      </c>
      <c r="AJ12" s="838">
        <f>IF($AJ8=0,0,($AJ10-$AJ8)*$AJ6/$AJ8)</f>
        <v>183.64521145978023</v>
      </c>
      <c r="AK12" s="839">
        <f>IF($AK8=0,0,($AK10-$AK8)*$AK6/$AK8)</f>
        <v>24.992922501488536</v>
      </c>
      <c r="AL12" s="838">
        <f>IF($AL8=0,0,($AL10-$AL8)*$AL6/$AL8)</f>
        <v>588.47154975692445</v>
      </c>
      <c r="AM12" s="839">
        <f>IF($AM8=0,0,($AM10-$AM8)*$AM6/$AM8)</f>
        <v>81.782947675990158</v>
      </c>
      <c r="AN12" s="837" t="s">
        <v>284</v>
      </c>
    </row>
    <row r="13" spans="1:40" s="37" customFormat="1" ht="11.25" x14ac:dyDescent="0.2">
      <c r="A13" s="130" t="s">
        <v>64</v>
      </c>
      <c r="B13" s="124" t="s">
        <v>34</v>
      </c>
      <c r="C13" s="124"/>
      <c r="D13" s="124" t="s">
        <v>68</v>
      </c>
      <c r="E13" s="124" t="s">
        <v>69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42" t="s">
        <v>46</v>
      </c>
      <c r="X13" s="259"/>
      <c r="Y13" s="124" t="s">
        <v>96</v>
      </c>
      <c r="Z13" s="124" t="s">
        <v>97</v>
      </c>
      <c r="AA13" s="124" t="s">
        <v>70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369.94545999304972</v>
      </c>
      <c r="AK13" s="73">
        <f>+AK11+AK12</f>
        <v>24.992922501488536</v>
      </c>
      <c r="AL13" s="73">
        <f>+AL11+AL12</f>
        <v>833.99369572967737</v>
      </c>
      <c r="AM13" s="73">
        <f>+AM11+AM12</f>
        <v>81.782947675990158</v>
      </c>
      <c r="AN13" s="836" t="s">
        <v>285</v>
      </c>
    </row>
    <row r="14" spans="1:40" s="46" customFormat="1" ht="40.5" customHeight="1" thickBot="1" x14ac:dyDescent="0.25">
      <c r="A14" s="45" t="s">
        <v>2</v>
      </c>
      <c r="B14" s="416" t="s">
        <v>187</v>
      </c>
      <c r="C14" s="416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3" t="s">
        <v>112</v>
      </c>
      <c r="I14" s="415" t="s">
        <v>3</v>
      </c>
      <c r="J14" s="79" t="s">
        <v>31</v>
      </c>
      <c r="K14" s="196"/>
      <c r="L14" s="23" t="s">
        <v>63</v>
      </c>
      <c r="M14" s="23"/>
      <c r="N14" s="23"/>
      <c r="O14" s="23" t="s">
        <v>61</v>
      </c>
      <c r="P14" s="23" t="s">
        <v>83</v>
      </c>
      <c r="Q14" s="23" t="s">
        <v>84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2027</v>
      </c>
      <c r="W14" s="843" t="s">
        <v>111</v>
      </c>
      <c r="X14" s="258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131</v>
      </c>
      <c r="AD14" s="23" t="s">
        <v>132</v>
      </c>
      <c r="AE14" s="23" t="s">
        <v>95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7" t="s">
        <v>268</v>
      </c>
      <c r="AK14" s="697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46388</v>
      </c>
      <c r="B15" s="410">
        <f>'2026'!Wh/'2026'!Env_an*'2027'!Env_an</f>
        <v>10.868753015075322</v>
      </c>
      <c r="C15" s="846"/>
      <c r="D15" s="393">
        <f t="shared" ref="D15:D78" si="0">Wh/(1-Ppv)</f>
        <v>11.652502895433805</v>
      </c>
      <c r="E15" s="400">
        <f t="shared" ref="E15:E79" si="1">Wh_pvt/(1-Psa)</f>
        <v>12.812988717603808</v>
      </c>
      <c r="F15" s="400">
        <f t="shared" ref="F15:F78" si="2">Wh_sa/(1-Pvg*MEDIAN((-Sdif+Wh/Env_an)/Csdif,0,1))</f>
        <v>13.118106048627224</v>
      </c>
      <c r="G15" s="123">
        <f>+Wh_hp/MaxiM</f>
        <v>0.97454297627162534</v>
      </c>
      <c r="H15" s="414" t="b">
        <f>Wh_hp&gt;='2026'!Maxi_hp</f>
        <v>0</v>
      </c>
      <c r="I15" s="396">
        <f>IF(H15,Wh_hp,'2026'!Maxi_hp)</f>
        <v>13.124015434171136</v>
      </c>
      <c r="J15" s="84">
        <f>IF(H15,An,'2026'!An_max)</f>
        <v>2026</v>
      </c>
      <c r="K15" s="197">
        <f t="shared" ref="K15:K78" si="3">t</f>
        <v>46388</v>
      </c>
      <c r="L15" s="146">
        <f>IF(t&lt;Tvie,1-EXP((T0-t)*PertePVj)+'2026'!Pspv,1-EXP((T0-t)*PertePVj)+Pspv)</f>
        <v>6.7260217602315042E-2</v>
      </c>
      <c r="M15" s="850"/>
      <c r="N15" s="850"/>
      <c r="O15" s="48">
        <f>IF(t&lt;Tnet,'2026'!Resal+('2026'!Salim-'2026'!Resal)*(1-EXP(('2026'!Tnet-t)/('2026'!Tau_j))),Resal+(Salim-Resal)*(1-EXP((Tnet-t)/(Tau_j))))*Salcycl</f>
        <v>9.0571048468622045E-2</v>
      </c>
      <c r="P15" s="302">
        <f>(INDEX(Models!$BJ15:$BT15,,T15)*(1-R15)+INDEX(Models!$BJ15:$BT15,,T15+1)*R15-ERP_i)*Q15*Ramure*Pc/MaxiM</f>
        <v>2.4106800278481895E-2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0.97613759298512259</v>
      </c>
      <c r="S15" s="816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-1.0238624070148774</v>
      </c>
      <c r="V15" s="382">
        <f t="shared" ref="V15:V78" si="9">MaxiM*(1-Ppv)*(1-Pvg)*(1-Psa)</f>
        <v>11.142989198174329</v>
      </c>
      <c r="W15" s="402">
        <f t="shared" ref="W15:W78" si="10">Wh*(A15&gt;Tmaj)</f>
        <v>10.868753015075322</v>
      </c>
      <c r="X15" s="156">
        <f t="shared" ref="X15:X78" si="11">t</f>
        <v>46388</v>
      </c>
      <c r="Y15" s="385">
        <f t="shared" ref="Y15:Y78" si="12">Wh_pvt_s*(1-Ppv)</f>
        <v>9.9707367329441468</v>
      </c>
      <c r="Z15" s="385">
        <f>Wh_sa_s*(1-Psa_s)</f>
        <v>10.689730320404626</v>
      </c>
      <c r="AA15" s="386">
        <f t="shared" ref="AA15:AA78" si="13">Wh_hp*(1-Pvg_s*MEDIAN((-Sdif+Wh/Env_an)/Csdif,0,1))</f>
        <v>12.23237453932231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0.12611159133156721</v>
      </c>
      <c r="AD15" s="231">
        <f>(INDEX(Models!$BJ15:$BT15,,AH15)*(1-AF15)+INDEX(Models!$BJ15:$BT15,,AH15+1)*AF15-ERP_i)*AE15*Ramure*Pc/MaxiM</f>
        <v>6.9980136898658188E-2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0.60000096236117861</v>
      </c>
      <c r="AG15" s="816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1.6000009623611786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46389</v>
      </c>
      <c r="B16" s="411">
        <f>'2026'!Wh/'2026'!Env_an*'2027'!Env_an</f>
        <v>8.4860576368933955</v>
      </c>
      <c r="C16" s="846"/>
      <c r="D16" s="393">
        <f t="shared" si="0"/>
        <v>9.098189728319495</v>
      </c>
      <c r="E16" s="385">
        <f t="shared" si="1"/>
        <v>10.005094844045203</v>
      </c>
      <c r="F16" s="385">
        <f t="shared" si="2"/>
        <v>10.163980880282194</v>
      </c>
      <c r="G16" s="110">
        <f t="shared" ref="G16:G79" si="21">+Wh_hp/MaxiM</f>
        <v>0.74694268754277093</v>
      </c>
      <c r="H16" s="414" t="b">
        <f>Wh_hp&gt;='2026'!Maxi_hp</f>
        <v>0</v>
      </c>
      <c r="I16" s="390">
        <f>IF(H16,Wh_hp,'2026'!Maxi_hp)</f>
        <v>13.53519224964062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6.7280646997363136E-2</v>
      </c>
      <c r="M16" s="850"/>
      <c r="N16" s="850"/>
      <c r="O16" s="48">
        <f>IF(t&lt;Tnet,'2026'!Resal+('2026'!Salim-'2026'!Resal)*(1-EXP(('2026'!Tnet-t)/('2026'!Tau_j))),Resal+(Salim-Resal)*(1-EXP((Tnet-t)/(Tau_j))))*Salcycl</f>
        <v>9.0644329700230425E-2</v>
      </c>
      <c r="P16" s="169">
        <f>(INDEX(Models!$BJ16:$BT16,,T16)*(1-R16)+INDEX(Models!$BJ16:$BT16,,T16+1)*R16-ERP_i)*Q16*Ramure*Pc/MaxiM</f>
        <v>2.4131927623126475E-2</v>
      </c>
      <c r="Q16" s="305">
        <f t="shared" si="4"/>
        <v>0.7</v>
      </c>
      <c r="R16" s="177">
        <f t="shared" si="5"/>
        <v>0.976166807599117</v>
      </c>
      <c r="S16" s="817">
        <f t="shared" si="6"/>
        <v>-2</v>
      </c>
      <c r="T16" s="176">
        <f t="shared" si="7"/>
        <v>4</v>
      </c>
      <c r="U16" s="251">
        <f t="shared" si="8"/>
        <v>-1.023833192400883</v>
      </c>
      <c r="V16" s="383">
        <f t="shared" si="9"/>
        <v>11.262957259411088</v>
      </c>
      <c r="W16" s="402">
        <f t="shared" si="10"/>
        <v>8.4860576368933955</v>
      </c>
      <c r="X16" s="157">
        <f t="shared" si="11"/>
        <v>46389</v>
      </c>
      <c r="Y16" s="385">
        <f t="shared" si="12"/>
        <v>7.9082811651338956</v>
      </c>
      <c r="Z16" s="385">
        <f t="shared" ref="Z16:Z78" si="22">Wh_sa_s*(1-Psa_s)</f>
        <v>8.4787360095781548</v>
      </c>
      <c r="AA16" s="386">
        <f t="shared" si="13"/>
        <v>9.7025674219752265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0.12613480114811995</v>
      </c>
      <c r="AD16" s="231">
        <f>(INDEX(Models!$BJ16:$BT16,,AH16)*(1-AF16)+INDEX(Models!$BJ16:$BT16,,AH16+1)*AF16-ERP_i)*AE16*Ramure*Pc/MaxiM</f>
        <v>7.008039500457891E-2</v>
      </c>
      <c r="AE16" s="305">
        <f t="shared" si="15"/>
        <v>0.7</v>
      </c>
      <c r="AF16" s="177">
        <f t="shared" ref="AF16:AF78" si="23">(Hp_vg_s-AG16)/(INDEX(Echel_vg,AH16+1)-AG16)</f>
        <v>0.60003017697517302</v>
      </c>
      <c r="AG16" s="817">
        <f t="shared" ref="AG16:AG79" si="24">INDEX(Echel_vg,AH16)</f>
        <v>1</v>
      </c>
      <c r="AH16" s="176">
        <f t="shared" si="16"/>
        <v>7</v>
      </c>
      <c r="AI16" s="225">
        <f t="shared" si="17"/>
        <v>1.600030176975173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46390</v>
      </c>
      <c r="B17" s="411">
        <f>'2026'!Wh/'2026'!Env_an*'2027'!Env_an</f>
        <v>9.7367661818896352</v>
      </c>
      <c r="C17" s="846"/>
      <c r="D17" s="393">
        <f t="shared" si="0"/>
        <v>10.439345356546161</v>
      </c>
      <c r="E17" s="385">
        <f t="shared" si="1"/>
        <v>11.480862871921317</v>
      </c>
      <c r="F17" s="385">
        <f t="shared" si="2"/>
        <v>11.705071762805584</v>
      </c>
      <c r="G17" s="110">
        <f t="shared" si="21"/>
        <v>0.85068824763674289</v>
      </c>
      <c r="H17" s="414" t="b">
        <f>Wh_hp&gt;='2026'!Maxi_hp</f>
        <v>0</v>
      </c>
      <c r="I17" s="390">
        <f>IF(H17,Wh_hp,'2026'!Maxi_hp)</f>
        <v>14.124165439868252</v>
      </c>
      <c r="J17" s="85">
        <f>IF(H17,An,'2026'!An_max)</f>
        <v>2019</v>
      </c>
      <c r="K17" s="197">
        <f t="shared" si="3"/>
        <v>46390</v>
      </c>
      <c r="L17" s="147">
        <f>IF(t&lt;Tvie,1-EXP((T0-t)*PertePVj)+'2026'!Pspv,1-EXP((T0-t)*PertePVj)+Pspv)</f>
        <v>6.7301075944954936E-2</v>
      </c>
      <c r="M17" s="850"/>
      <c r="N17" s="850"/>
      <c r="O17" s="48">
        <f>IF(t&lt;Tnet,'2026'!Resal+('2026'!Salim-'2026'!Resal)*(1-EXP(('2026'!Tnet-t)/('2026'!Tau_j))),Resal+(Salim-Resal)*(1-EXP((Tnet-t)/(Tau_j))))*Salcycl</f>
        <v>9.0717703625081289E-2</v>
      </c>
      <c r="P17" s="169">
        <f>(INDEX(Models!$BJ17:$BT17,,T17)*(1-R17)+INDEX(Models!$BJ17:$BT17,,T17+1)*R17-ERP_i)*Q17*Ramure*Pc/MaxiM</f>
        <v>2.4157138101137319E-2</v>
      </c>
      <c r="Q17" s="305">
        <f t="shared" si="4"/>
        <v>0.7</v>
      </c>
      <c r="R17" s="177">
        <f t="shared" si="5"/>
        <v>0.97619724419460652</v>
      </c>
      <c r="S17" s="817">
        <f t="shared" si="6"/>
        <v>-2</v>
      </c>
      <c r="T17" s="176">
        <f t="shared" si="7"/>
        <v>4</v>
      </c>
      <c r="U17" s="251">
        <f t="shared" si="8"/>
        <v>-1.0238027558053935</v>
      </c>
      <c r="V17" s="383">
        <f t="shared" si="9"/>
        <v>11.387378300787429</v>
      </c>
      <c r="W17" s="402">
        <f t="shared" si="10"/>
        <v>9.7367661818896352</v>
      </c>
      <c r="X17" s="157">
        <f t="shared" si="11"/>
        <v>46390</v>
      </c>
      <c r="Y17" s="385">
        <f t="shared" si="12"/>
        <v>9.0085385930365405</v>
      </c>
      <c r="Z17" s="385">
        <f t="shared" si="22"/>
        <v>9.6585707999646875</v>
      </c>
      <c r="AA17" s="386">
        <f t="shared" si="13"/>
        <v>11.052997688545817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0.12615825388493199</v>
      </c>
      <c r="AD17" s="231">
        <f>(INDEX(Models!$BJ17:$BT17,,AH17)*(1-AF17)+INDEX(Models!$BJ17:$BT17,,AH17+1)*AF17-ERP_i)*AE17*Ramure*Pc/MaxiM</f>
        <v>7.0256997400675966E-2</v>
      </c>
      <c r="AE17" s="305">
        <f t="shared" si="15"/>
        <v>0.7</v>
      </c>
      <c r="AF17" s="177">
        <f>(Hp_vg_s-AG17)/(INDEX(Echel_vg,AH17+1)-AG17)</f>
        <v>0.60006061357066254</v>
      </c>
      <c r="AG17" s="817">
        <f>INDEX(Echel_vg,AH17)</f>
        <v>1</v>
      </c>
      <c r="AH17" s="176">
        <f t="shared" si="16"/>
        <v>7</v>
      </c>
      <c r="AI17" s="225">
        <f t="shared" si="17"/>
        <v>1.6000606135706625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46391</v>
      </c>
      <c r="B18" s="411">
        <f>'2026'!Wh/'2026'!Env_an*'2027'!Env_an</f>
        <v>10.211966034112613</v>
      </c>
      <c r="C18" s="846"/>
      <c r="D18" s="393">
        <f t="shared" si="0"/>
        <v>10.94907418020502</v>
      </c>
      <c r="E18" s="385">
        <f t="shared" si="1"/>
        <v>12.042419270596902</v>
      </c>
      <c r="F18" s="385">
        <f t="shared" si="2"/>
        <v>12.29158534185289</v>
      </c>
      <c r="G18" s="110">
        <f t="shared" si="21"/>
        <v>0.88322973060001253</v>
      </c>
      <c r="H18" s="414" t="b">
        <f>Wh_hp&gt;='2026'!Maxi_hp</f>
        <v>0</v>
      </c>
      <c r="I18" s="390">
        <f>IF(H18,Wh_hp,'2026'!Maxi_hp)</f>
        <v>14.134069142951605</v>
      </c>
      <c r="J18" s="85">
        <f>IF(H18,An,'2026'!An_max)</f>
        <v>2019</v>
      </c>
      <c r="K18" s="197">
        <f t="shared" si="3"/>
        <v>46391</v>
      </c>
      <c r="L18" s="147">
        <f>IF(t&lt;Tvie,1-EXP((T0-t)*PertePVj)+'2026'!Pspv,1-EXP((T0-t)*PertePVj)+Pspv)</f>
        <v>6.7321504445100433E-2</v>
      </c>
      <c r="M18" s="850"/>
      <c r="N18" s="850"/>
      <c r="O18" s="48">
        <f>IF(t&lt;Tnet,'2026'!Resal+('2026'!Salim-'2026'!Resal)*(1-EXP(('2026'!Tnet-t)/('2026'!Tau_j))),Resal+(Salim-Resal)*(1-EXP((Tnet-t)/(Tau_j))))*Salcycl</f>
        <v>9.0791149670517005E-2</v>
      </c>
      <c r="P18" s="169">
        <f>(INDEX(Models!$BJ18:$BT18,,T18)*(1-R18)+INDEX(Models!$BJ18:$BT18,,T18+1)*R18-ERP_i)*Q18*Ramure*Pc/MaxiM</f>
        <v>2.4183039683244593E-2</v>
      </c>
      <c r="Q18" s="305">
        <f t="shared" si="4"/>
        <v>0.7</v>
      </c>
      <c r="R18" s="177">
        <f t="shared" si="5"/>
        <v>0.97622895372590168</v>
      </c>
      <c r="S18" s="817">
        <f t="shared" si="6"/>
        <v>-2</v>
      </c>
      <c r="T18" s="176">
        <f t="shared" si="7"/>
        <v>4</v>
      </c>
      <c r="U18" s="251">
        <f t="shared" si="8"/>
        <v>-1.0237710462740983</v>
      </c>
      <c r="V18" s="383">
        <f t="shared" si="9"/>
        <v>11.515908394219485</v>
      </c>
      <c r="W18" s="402">
        <f t="shared" si="10"/>
        <v>10.211966034112613</v>
      </c>
      <c r="X18" s="157">
        <f t="shared" si="11"/>
        <v>46391</v>
      </c>
      <c r="Y18" s="385">
        <f t="shared" si="12"/>
        <v>9.4254606925962232</v>
      </c>
      <c r="Z18" s="385">
        <f>Wh_sa_s*(1-Psa_s)</f>
        <v>10.105798233279218</v>
      </c>
      <c r="AA18" s="386">
        <f t="shared" si="13"/>
        <v>11.565105446539121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0.12618192026053707</v>
      </c>
      <c r="AD18" s="231">
        <f>(INDEX(Models!$BJ18:$BT18,,AH18)*(1-AF18)+INDEX(Models!$BJ18:$BT18,,AH18+1)*AF18-ERP_i)*AE18*Ramure*Pc/MaxiM</f>
        <v>7.0509167034233752E-2</v>
      </c>
      <c r="AE18" s="305">
        <f t="shared" si="15"/>
        <v>0.7</v>
      </c>
      <c r="AF18" s="177">
        <f t="shared" si="23"/>
        <v>0.6000923231019577</v>
      </c>
      <c r="AG18" s="817">
        <f t="shared" si="24"/>
        <v>1</v>
      </c>
      <c r="AH18" s="176">
        <f t="shared" si="16"/>
        <v>7</v>
      </c>
      <c r="AI18" s="225">
        <f t="shared" si="17"/>
        <v>1.6000923231019577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46392</v>
      </c>
      <c r="B19" s="411">
        <f>'2026'!Wh/'2026'!Env_an*'2027'!Env_an</f>
        <v>8.4487425887854357</v>
      </c>
      <c r="C19" s="846"/>
      <c r="D19" s="393">
        <f t="shared" si="0"/>
        <v>9.0587782202029707</v>
      </c>
      <c r="E19" s="385">
        <f t="shared" si="1"/>
        <v>9.964168943097123</v>
      </c>
      <c r="F19" s="385">
        <f t="shared" si="2"/>
        <v>10.112933504578184</v>
      </c>
      <c r="G19" s="110">
        <f t="shared" si="21"/>
        <v>0.71833240286036604</v>
      </c>
      <c r="H19" s="414" t="b">
        <f>Wh_hp&gt;='2026'!Maxi_hp</f>
        <v>0</v>
      </c>
      <c r="I19" s="390">
        <f>IF(H19,Wh_hp,'2026'!Maxi_hp)</f>
        <v>14.283254951142144</v>
      </c>
      <c r="J19" s="85">
        <f>IF(H19,An,'2026'!An_max)</f>
        <v>2019</v>
      </c>
      <c r="K19" s="197">
        <f t="shared" si="3"/>
        <v>46392</v>
      </c>
      <c r="L19" s="147">
        <f>IF(t&lt;Tvie,1-EXP((T0-t)*PertePVj)+'2026'!Pspv,1-EXP((T0-t)*PertePVj)+Pspv)</f>
        <v>6.7341932497809398E-2</v>
      </c>
      <c r="M19" s="850"/>
      <c r="N19" s="850"/>
      <c r="O19" s="48">
        <f>IF(t&lt;Tnet,'2026'!Resal+('2026'!Salim-'2026'!Resal)*(1-EXP(('2026'!Tnet-t)/('2026'!Tau_j))),Resal+(Salim-Resal)*(1-EXP((Tnet-t)/(Tau_j))))*Salcycl</f>
        <v>9.0864649933638422E-2</v>
      </c>
      <c r="P19" s="169">
        <f>(INDEX(Models!$BJ19:$BT19,,T19)*(1-R19)+INDEX(Models!$BJ19:$BT19,,T19+1)*R19-ERP_i)*Q19*Ramure*Pc/MaxiM</f>
        <v>2.4210215518723044E-2</v>
      </c>
      <c r="Q19" s="305">
        <f t="shared" si="4"/>
        <v>0.7</v>
      </c>
      <c r="R19" s="177">
        <f t="shared" si="5"/>
        <v>0.97626198925846319</v>
      </c>
      <c r="S19" s="817">
        <f t="shared" si="6"/>
        <v>-2</v>
      </c>
      <c r="T19" s="176">
        <f t="shared" si="7"/>
        <v>4</v>
      </c>
      <c r="U19" s="251">
        <f t="shared" si="8"/>
        <v>-1.0237380107415368</v>
      </c>
      <c r="V19" s="383">
        <f t="shared" si="9"/>
        <v>11.648203722357087</v>
      </c>
      <c r="W19" s="402">
        <f t="shared" si="10"/>
        <v>8.4487425887854357</v>
      </c>
      <c r="X19" s="157">
        <f t="shared" si="11"/>
        <v>46392</v>
      </c>
      <c r="Y19" s="385">
        <f t="shared" si="12"/>
        <v>7.8868268303958589</v>
      </c>
      <c r="Z19" s="385">
        <f t="shared" si="22"/>
        <v>8.4562897220393527</v>
      </c>
      <c r="AA19" s="386">
        <f t="shared" si="13"/>
        <v>9.6776672103509807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0.12620577477651573</v>
      </c>
      <c r="AD19" s="231">
        <f>(INDEX(Models!$BJ19:$BT19,,AH19)*(1-AF19)+INDEX(Models!$BJ19:$BT19,,AH19+1)*AF19-ERP_i)*AE19*Ramure*Pc/MaxiM</f>
        <v>7.0836029000214129E-2</v>
      </c>
      <c r="AE19" s="305">
        <f t="shared" si="15"/>
        <v>0.7</v>
      </c>
      <c r="AF19" s="177">
        <f t="shared" si="23"/>
        <v>0.60012535863451921</v>
      </c>
      <c r="AG19" s="817">
        <f t="shared" si="24"/>
        <v>1</v>
      </c>
      <c r="AH19" s="176">
        <f t="shared" si="16"/>
        <v>7</v>
      </c>
      <c r="AI19" s="225">
        <f t="shared" si="17"/>
        <v>1.6001253586345192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46393</v>
      </c>
      <c r="B20" s="411">
        <f>'2026'!Wh/'2026'!Env_an*'2027'!Env_an</f>
        <v>12.107269191179123</v>
      </c>
      <c r="C20" s="846"/>
      <c r="D20" s="393">
        <f t="shared" si="0"/>
        <v>12.981750546243696</v>
      </c>
      <c r="E20" s="385">
        <f t="shared" si="1"/>
        <v>14.280382687564654</v>
      </c>
      <c r="F20" s="385">
        <f t="shared" si="2"/>
        <v>14.635126795331709</v>
      </c>
      <c r="G20" s="110">
        <f t="shared" si="21"/>
        <v>1.0274398158824209</v>
      </c>
      <c r="H20" s="414" t="b">
        <f>Wh_hp&gt;='2026'!Maxi_hp</f>
        <v>1</v>
      </c>
      <c r="I20" s="390">
        <f>IF(H20,Wh_hp,'2026'!Maxi_hp)</f>
        <v>14.635126795331709</v>
      </c>
      <c r="J20" s="85">
        <f>IF(H20,An,'2026'!An_max)</f>
        <v>2027</v>
      </c>
      <c r="K20" s="197">
        <f t="shared" si="3"/>
        <v>46393</v>
      </c>
      <c r="L20" s="147">
        <f>IF(t&lt;Tvie,1-EXP((T0-t)*PertePVj)+'2026'!Pspv,1-EXP((T0-t)*PertePVj)+Pspv)</f>
        <v>6.736236010309149E-2</v>
      </c>
      <c r="M20" s="850"/>
      <c r="N20" s="850"/>
      <c r="O20" s="48">
        <f>IF(t&lt;Tnet,'2026'!Resal+('2026'!Salim-'2026'!Resal)*(1-EXP(('2026'!Tnet-t)/('2026'!Tau_j))),Resal+(Salim-Resal)*(1-EXP((Tnet-t)/(Tau_j))))*Salcycl</f>
        <v>9.0938189104120049E-2</v>
      </c>
      <c r="P20" s="169">
        <f>(INDEX(Models!$BJ20:$BT20,,T20)*(1-R20)+INDEX(Models!$BJ20:$BT20,,T20+1)*R20-ERP_i)*Q20*Ramure*Pc/MaxiM</f>
        <v>2.4239223392325631E-2</v>
      </c>
      <c r="Q20" s="305">
        <f t="shared" si="4"/>
        <v>0.7</v>
      </c>
      <c r="R20" s="177">
        <f t="shared" si="5"/>
        <v>0.97629640605521395</v>
      </c>
      <c r="S20" s="817">
        <f t="shared" si="6"/>
        <v>-2</v>
      </c>
      <c r="T20" s="176">
        <f t="shared" si="7"/>
        <v>4</v>
      </c>
      <c r="U20" s="251">
        <f t="shared" si="8"/>
        <v>-1.023703593944786</v>
      </c>
      <c r="V20" s="383">
        <f t="shared" si="9"/>
        <v>11.783920580088427</v>
      </c>
      <c r="W20" s="402">
        <f t="shared" si="10"/>
        <v>12.107269191179123</v>
      </c>
      <c r="X20" s="157">
        <f t="shared" si="11"/>
        <v>46393</v>
      </c>
      <c r="Y20" s="385">
        <f t="shared" si="12"/>
        <v>11.076734213201881</v>
      </c>
      <c r="Z20" s="385">
        <f t="shared" si="22"/>
        <v>11.876782299314314</v>
      </c>
      <c r="AA20" s="386">
        <f t="shared" si="13"/>
        <v>13.59256957891694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0.12622979559831982</v>
      </c>
      <c r="AD20" s="231">
        <f>(INDEX(Models!$BJ20:$BT20,,AH20)*(1-AF20)+INDEX(Models!$BJ20:$BT20,,AH20+1)*AF20-ERP_i)*AE20*Ramure*Pc/MaxiM</f>
        <v>7.1236637098854666E-2</v>
      </c>
      <c r="AE20" s="305">
        <f t="shared" si="15"/>
        <v>0.7</v>
      </c>
      <c r="AF20" s="177">
        <f t="shared" si="23"/>
        <v>0.60015977543126997</v>
      </c>
      <c r="AG20" s="817">
        <f t="shared" si="24"/>
        <v>1</v>
      </c>
      <c r="AH20" s="176">
        <f t="shared" si="16"/>
        <v>7</v>
      </c>
      <c r="AI20" s="225">
        <f t="shared" si="17"/>
        <v>1.60015977543127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46394</v>
      </c>
      <c r="B21" s="411">
        <f>'2026'!Wh/'2026'!Env_an*'2027'!Env_an</f>
        <v>5.393828620598379</v>
      </c>
      <c r="C21" s="846"/>
      <c r="D21" s="393">
        <f t="shared" si="0"/>
        <v>5.7835396419041132</v>
      </c>
      <c r="E21" s="385">
        <f t="shared" si="1"/>
        <v>6.3626121346304583</v>
      </c>
      <c r="F21" s="385">
        <f t="shared" si="2"/>
        <v>6.396410979131649</v>
      </c>
      <c r="G21" s="110">
        <f t="shared" si="21"/>
        <v>0.44376420728322119</v>
      </c>
      <c r="H21" s="414" t="b">
        <f>Wh_hp&gt;='2026'!Maxi_hp</f>
        <v>0</v>
      </c>
      <c r="I21" s="390">
        <f>IF(H21,Wh_hp,'2026'!Maxi_hp)</f>
        <v>8.971852492930589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6.73827872609567E-2</v>
      </c>
      <c r="M21" s="850"/>
      <c r="N21" s="850"/>
      <c r="O21" s="48">
        <f>IF(t&lt;Tnet,'2026'!Resal+('2026'!Salim-'2026'!Resal)*(1-EXP(('2026'!Tnet-t)/('2026'!Tau_j))),Resal+(Salim-Resal)*(1-EXP((Tnet-t)/(Tau_j))))*Salcycl</f>
        <v>9.1011754366507269E-2</v>
      </c>
      <c r="P21" s="169">
        <f>(INDEX(Models!$BJ21:$BT21,,T21)*(1-R21)+INDEX(Models!$BJ21:$BT21,,T21+1)*R21-ERP_i)*Q21*Ramure*Pc/MaxiM</f>
        <v>2.42705956353826E-2</v>
      </c>
      <c r="Q21" s="305">
        <f t="shared" si="4"/>
        <v>0.7</v>
      </c>
      <c r="R21" s="177">
        <f t="shared" si="5"/>
        <v>0.97633226166627707</v>
      </c>
      <c r="S21" s="817">
        <f t="shared" si="6"/>
        <v>-2</v>
      </c>
      <c r="T21" s="176">
        <f t="shared" si="7"/>
        <v>4</v>
      </c>
      <c r="U21" s="251">
        <f t="shared" si="8"/>
        <v>-1.0236677383337229</v>
      </c>
      <c r="V21" s="383">
        <f t="shared" si="9"/>
        <v>11.922715381687246</v>
      </c>
      <c r="W21" s="402">
        <f t="shared" si="10"/>
        <v>5.393828620598379</v>
      </c>
      <c r="X21" s="157">
        <f t="shared" si="11"/>
        <v>46394</v>
      </c>
      <c r="Y21" s="385">
        <f t="shared" si="12"/>
        <v>5.1308724329524011</v>
      </c>
      <c r="Z21" s="385">
        <f t="shared" si="22"/>
        <v>5.5015845331476596</v>
      </c>
      <c r="AA21" s="386">
        <f t="shared" si="13"/>
        <v>6.2965487785257732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0.12625396440814049</v>
      </c>
      <c r="AD21" s="231">
        <f>(INDEX(Models!$BJ21:$BT21,,AH21)*(1-AF21)+INDEX(Models!$BJ21:$BT21,,AH21+1)*AF21-ERP_i)*AE21*Ramure*Pc/MaxiM</f>
        <v>7.1709998549781495E-2</v>
      </c>
      <c r="AE21" s="305">
        <f t="shared" si="15"/>
        <v>0.7</v>
      </c>
      <c r="AF21" s="177">
        <f t="shared" si="23"/>
        <v>0.60019563104233309</v>
      </c>
      <c r="AG21" s="817">
        <f t="shared" si="24"/>
        <v>1</v>
      </c>
      <c r="AH21" s="176">
        <f t="shared" si="16"/>
        <v>7</v>
      </c>
      <c r="AI21" s="225">
        <f t="shared" si="17"/>
        <v>1.6001956310423331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46395</v>
      </c>
      <c r="B22" s="411">
        <f>'2026'!Wh/'2026'!Env_an*'2027'!Env_an</f>
        <v>4.3485453160818954</v>
      </c>
      <c r="C22" s="846"/>
      <c r="D22" s="393">
        <f t="shared" si="0"/>
        <v>4.6628354088586859</v>
      </c>
      <c r="E22" s="385">
        <f t="shared" si="1"/>
        <v>5.1301135187577787</v>
      </c>
      <c r="F22" s="385">
        <f t="shared" si="2"/>
        <v>5.1409035705384003</v>
      </c>
      <c r="G22" s="110">
        <f t="shared" si="21"/>
        <v>0.35242807486231581</v>
      </c>
      <c r="H22" s="414" t="b">
        <f>Wh_hp&gt;='2026'!Maxi_hp</f>
        <v>0</v>
      </c>
      <c r="I22" s="390">
        <f>IF(H22,Wh_hp,'2026'!Maxi_hp)</f>
        <v>12.341431159322497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6.7403213971414577E-2</v>
      </c>
      <c r="M22" s="850"/>
      <c r="N22" s="850"/>
      <c r="O22" s="48">
        <f>IF(t&lt;Tnet,'2026'!Resal+('2026'!Salim-'2026'!Resal)*(1-EXP(('2026'!Tnet-t)/('2026'!Tau_j))),Resal+(Salim-Resal)*(1-EXP((Tnet-t)/(Tau_j))))*Salcycl</f>
        <v>9.1085335283621699E-2</v>
      </c>
      <c r="P22" s="169">
        <f>(INDEX(Models!$BJ22:$BT22,,T22)*(1-R22)+INDEX(Models!$BJ22:$BT22,,T22+1)*R22-ERP_i)*Q22*Ramure*Pc/MaxiM</f>
        <v>2.4304839454712276E-2</v>
      </c>
      <c r="Q22" s="305">
        <f t="shared" si="4"/>
        <v>0.7</v>
      </c>
      <c r="R22" s="177">
        <f t="shared" si="5"/>
        <v>0.97636961602227434</v>
      </c>
      <c r="S22" s="817">
        <f t="shared" si="6"/>
        <v>-2</v>
      </c>
      <c r="T22" s="176">
        <f t="shared" si="7"/>
        <v>4</v>
      </c>
      <c r="U22" s="251">
        <f t="shared" si="8"/>
        <v>-1.0236303839777257</v>
      </c>
      <c r="V22" s="383">
        <f t="shared" si="9"/>
        <v>12.064244660908525</v>
      </c>
      <c r="W22" s="402">
        <f t="shared" si="10"/>
        <v>4.3485453160818954</v>
      </c>
      <c r="X22" s="157">
        <f t="shared" si="11"/>
        <v>46395</v>
      </c>
      <c r="Y22" s="385">
        <f t="shared" si="12"/>
        <v>4.1628252352982624</v>
      </c>
      <c r="Z22" s="385">
        <f t="shared" si="22"/>
        <v>4.4636924527967077</v>
      </c>
      <c r="AA22" s="386">
        <f t="shared" si="13"/>
        <v>5.1088261631625276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0.12627826623219085</v>
      </c>
      <c r="AD22" s="231">
        <f>(INDEX(Models!$BJ22:$BT22,,AH22)*(1-AF22)+INDEX(Models!$BJ22:$BT22,,AH22+1)*AF22-ERP_i)*AE22*Ramure*Pc/MaxiM</f>
        <v>7.2255096847096925E-2</v>
      </c>
      <c r="AE22" s="305">
        <f t="shared" si="15"/>
        <v>0.7</v>
      </c>
      <c r="AF22" s="177">
        <f t="shared" si="23"/>
        <v>0.60023298539833037</v>
      </c>
      <c r="AG22" s="817">
        <f t="shared" si="24"/>
        <v>1</v>
      </c>
      <c r="AH22" s="176">
        <f t="shared" si="16"/>
        <v>7</v>
      </c>
      <c r="AI22" s="225">
        <f t="shared" si="17"/>
        <v>1.6002329853983304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46396</v>
      </c>
      <c r="B23" s="411">
        <f>'2026'!Wh/'2026'!Env_an*'2027'!Env_an</f>
        <v>1.1996610335745161</v>
      </c>
      <c r="C23" s="846"/>
      <c r="D23" s="393">
        <f t="shared" si="0"/>
        <v>1.2863944287373354</v>
      </c>
      <c r="E23" s="385">
        <f t="shared" si="1"/>
        <v>1.4154228524989259</v>
      </c>
      <c r="F23" s="385">
        <f t="shared" si="2"/>
        <v>1.4154228524989259</v>
      </c>
      <c r="G23" s="110">
        <f t="shared" si="21"/>
        <v>9.586947218335036E-2</v>
      </c>
      <c r="H23" s="414" t="b">
        <f>Wh_hp&gt;='2026'!Maxi_hp</f>
        <v>0</v>
      </c>
      <c r="I23" s="390">
        <f>IF(H23,Wh_hp,'2026'!Maxi_hp)</f>
        <v>13.592706813048993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6.7423640234475224E-2</v>
      </c>
      <c r="M23" s="850"/>
      <c r="N23" s="850"/>
      <c r="O23" s="48">
        <f>IF(t&lt;Tnet,'2026'!Resal+('2026'!Salim-'2026'!Resal)*(1-EXP(('2026'!Tnet-t)/('2026'!Tau_j))),Resal+(Salim-Resal)*(1-EXP((Tnet-t)/(Tau_j))))*Salcycl</f>
        <v>9.1158923662841146E-2</v>
      </c>
      <c r="P23" s="169">
        <f>(INDEX(Models!$BJ23:$BT23,,T23)*(1-R23)+INDEX(Models!$BJ23:$BT23,,T23+1)*R23-ERP_i)*Q23*Ramure*Pc/MaxiM</f>
        <v>2.4341023011716364E-2</v>
      </c>
      <c r="Q23" s="305">
        <f t="shared" si="4"/>
        <v>0.7</v>
      </c>
      <c r="R23" s="177">
        <f t="shared" si="5"/>
        <v>0.97640853153130935</v>
      </c>
      <c r="S23" s="817">
        <f t="shared" si="6"/>
        <v>-2</v>
      </c>
      <c r="T23" s="176">
        <f t="shared" si="7"/>
        <v>4</v>
      </c>
      <c r="U23" s="251">
        <f t="shared" si="8"/>
        <v>-1.0235914684686906</v>
      </c>
      <c r="V23" s="383">
        <f t="shared" si="9"/>
        <v>12.208892258335524</v>
      </c>
      <c r="W23" s="402">
        <f t="shared" si="10"/>
        <v>1.1996610335745161</v>
      </c>
      <c r="X23" s="157">
        <f t="shared" si="11"/>
        <v>46396</v>
      </c>
      <c r="Y23" s="385">
        <f t="shared" si="12"/>
        <v>1.1532716182634701</v>
      </c>
      <c r="Z23" s="385">
        <f t="shared" si="22"/>
        <v>1.2366511398095426</v>
      </c>
      <c r="AA23" s="386">
        <f t="shared" si="13"/>
        <v>1.4154228524989259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0.12630268924495758</v>
      </c>
      <c r="AD23" s="231">
        <f>(INDEX(Models!$BJ23:$BT23,,AH23)*(1-AF23)+INDEX(Models!$BJ23:$BT23,,AH23+1)*AF23-ERP_i)*AE23*Ramure*Pc/MaxiM</f>
        <v>7.2866677989103831E-2</v>
      </c>
      <c r="AE23" s="305">
        <f t="shared" si="15"/>
        <v>0.7</v>
      </c>
      <c r="AF23" s="177">
        <f t="shared" si="23"/>
        <v>0.60027190090736537</v>
      </c>
      <c r="AG23" s="817">
        <f t="shared" si="24"/>
        <v>1</v>
      </c>
      <c r="AH23" s="176">
        <f t="shared" si="16"/>
        <v>7</v>
      </c>
      <c r="AI23" s="225">
        <f t="shared" si="17"/>
        <v>1.6002719009073654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46397</v>
      </c>
      <c r="B24" s="411">
        <f>'2026'!Wh/'2026'!Env_an*'2027'!Env_an</f>
        <v>0.86155089730146739</v>
      </c>
      <c r="C24" s="846"/>
      <c r="D24" s="393">
        <f t="shared" si="0"/>
        <v>0.92385975568495737</v>
      </c>
      <c r="E24" s="385">
        <f t="shared" si="1"/>
        <v>1.0166074043303255</v>
      </c>
      <c r="F24" s="385">
        <f t="shared" si="2"/>
        <v>1.0166074043303255</v>
      </c>
      <c r="G24" s="110">
        <f t="shared" si="21"/>
        <v>6.8020224352984396E-2</v>
      </c>
      <c r="H24" s="414" t="b">
        <f>Wh_hp&gt;='2026'!Maxi_hp</f>
        <v>0</v>
      </c>
      <c r="I24" s="390">
        <f>IF(H24,Wh_hp,'2026'!Maxi_hp)</f>
        <v>10.238443369739281</v>
      </c>
      <c r="J24" s="85">
        <f>IF(H24,An,'2026'!An_max)</f>
        <v>2019</v>
      </c>
      <c r="K24" s="197">
        <f t="shared" si="3"/>
        <v>46397</v>
      </c>
      <c r="L24" s="147">
        <f>IF(t&lt;Tvie,1-EXP((T0-t)*PertePVj)+'2026'!Pspv,1-EXP((T0-t)*PertePVj)+Pspv)</f>
        <v>6.7444066050148188E-2</v>
      </c>
      <c r="M24" s="850"/>
      <c r="N24" s="850"/>
      <c r="O24" s="48">
        <f>IF(t&lt;Tnet,'2026'!Resal+('2026'!Salim-'2026'!Resal)*(1-EXP(('2026'!Tnet-t)/('2026'!Tau_j))),Resal+(Salim-Resal)*(1-EXP((Tnet-t)/(Tau_j))))*Salcycl</f>
        <v>9.1232513407143945E-2</v>
      </c>
      <c r="P24" s="169">
        <f>(INDEX(Models!$BJ24:$BT24,,T24)*(1-R24)+INDEX(Models!$BJ24:$BT24,,T24+1)*R24-ERP_i)*Q24*Ramure*Pc/MaxiM</f>
        <v>2.4371957743321623E-2</v>
      </c>
      <c r="Q24" s="305">
        <f t="shared" si="4"/>
        <v>0.7</v>
      </c>
      <c r="R24" s="177">
        <f t="shared" si="5"/>
        <v>0.97644907317977903</v>
      </c>
      <c r="S24" s="817">
        <f t="shared" si="6"/>
        <v>-2</v>
      </c>
      <c r="T24" s="176">
        <f t="shared" si="7"/>
        <v>4</v>
      </c>
      <c r="U24" s="251">
        <f t="shared" si="8"/>
        <v>-1.023550926820221</v>
      </c>
      <c r="V24" s="383">
        <f t="shared" si="9"/>
        <v>12.357401393984608</v>
      </c>
      <c r="W24" s="402">
        <f t="shared" si="10"/>
        <v>0.86155089730146739</v>
      </c>
      <c r="X24" s="157">
        <f t="shared" si="11"/>
        <v>46397</v>
      </c>
      <c r="Y24" s="385">
        <f t="shared" si="12"/>
        <v>0.82827959267796925</v>
      </c>
      <c r="Z24" s="385">
        <f t="shared" si="22"/>
        <v>0.88818221248111218</v>
      </c>
      <c r="AA24" s="386">
        <f t="shared" si="13"/>
        <v>1.0166074043303255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0.12632722455313164</v>
      </c>
      <c r="AD24" s="231">
        <f>(INDEX(Models!$BJ24:$BT24,,AH24)*(1-AF24)+INDEX(Models!$BJ24:$BT24,,AH24+1)*AF24-ERP_i)*AE24*Ramure*Pc/MaxiM</f>
        <v>7.3509929965444393E-2</v>
      </c>
      <c r="AE24" s="305">
        <f t="shared" si="15"/>
        <v>0.7</v>
      </c>
      <c r="AF24" s="177">
        <f t="shared" si="23"/>
        <v>0.60031244255583505</v>
      </c>
      <c r="AG24" s="817">
        <f t="shared" si="24"/>
        <v>1</v>
      </c>
      <c r="AH24" s="176">
        <f t="shared" si="16"/>
        <v>7</v>
      </c>
      <c r="AI24" s="225">
        <f t="shared" si="17"/>
        <v>1.600312442555835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46398</v>
      </c>
      <c r="B25" s="411">
        <f>'2026'!Wh/'2026'!Env_an*'2027'!Env_an</f>
        <v>12.459451442592668</v>
      </c>
      <c r="C25" s="846"/>
      <c r="D25" s="393">
        <f t="shared" si="0"/>
        <v>13.360833263651541</v>
      </c>
      <c r="E25" s="385">
        <f t="shared" si="1"/>
        <v>14.703337690327276</v>
      </c>
      <c r="F25" s="385">
        <f t="shared" si="2"/>
        <v>15.068706345420203</v>
      </c>
      <c r="G25" s="110">
        <f t="shared" si="21"/>
        <v>0.99581674966800737</v>
      </c>
      <c r="H25" s="414" t="b">
        <f>Wh_hp&gt;='2026'!Maxi_hp</f>
        <v>0</v>
      </c>
      <c r="I25" s="390">
        <f>IF(H25,Wh_hp,'2026'!Maxi_hp)</f>
        <v>15.069833990447261</v>
      </c>
      <c r="J25" s="85">
        <f>IF(H25,An,'2026'!An_max)</f>
        <v>2026</v>
      </c>
      <c r="K25" s="197">
        <f t="shared" si="3"/>
        <v>46398</v>
      </c>
      <c r="L25" s="147">
        <f>IF(t&lt;Tvie,1-EXP((T0-t)*PertePVj)+'2026'!Pspv,1-EXP((T0-t)*PertePVj)+Pspv)</f>
        <v>6.7464491418443462E-2</v>
      </c>
      <c r="M25" s="850"/>
      <c r="N25" s="850"/>
      <c r="O25" s="48">
        <f>IF(t&lt;Tnet,'2026'!Resal+('2026'!Salim-'2026'!Resal)*(1-EXP(('2026'!Tnet-t)/('2026'!Tau_j))),Resal+(Salim-Resal)*(1-EXP((Tnet-t)/(Tau_j))))*Salcycl</f>
        <v>9.1306100352909259E-2</v>
      </c>
      <c r="P25" s="169">
        <f>(INDEX(Models!$BJ25:$BT25,,T25)*(1-R25)+INDEX(Models!$BJ25:$BT25,,T25+1)*R25-ERP_i)*Q25*Ramure*Pc/MaxiM</f>
        <v>2.4387586739322377E-2</v>
      </c>
      <c r="Q25" s="305">
        <f t="shared" si="4"/>
        <v>0.7</v>
      </c>
      <c r="R25" s="177">
        <f t="shared" si="5"/>
        <v>0.97649130863714495</v>
      </c>
      <c r="S25" s="817">
        <f t="shared" si="6"/>
        <v>-2</v>
      </c>
      <c r="T25" s="176">
        <f t="shared" si="7"/>
        <v>4</v>
      </c>
      <c r="U25" s="251">
        <f t="shared" si="8"/>
        <v>-1.023508691362855</v>
      </c>
      <c r="V25" s="383">
        <f t="shared" si="9"/>
        <v>12.509986766650812</v>
      </c>
      <c r="W25" s="402">
        <f t="shared" si="10"/>
        <v>12.459451442592668</v>
      </c>
      <c r="X25" s="157">
        <f t="shared" si="11"/>
        <v>46398</v>
      </c>
      <c r="Y25" s="385">
        <f t="shared" si="12"/>
        <v>11.37196947408548</v>
      </c>
      <c r="Z25" s="385">
        <f t="shared" si="22"/>
        <v>12.194677167181483</v>
      </c>
      <c r="AA25" s="386">
        <f t="shared" si="13"/>
        <v>13.95833939553961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0.1263518659620575</v>
      </c>
      <c r="AD25" s="231">
        <f>(INDEX(Models!$BJ25:$BT25,,AH25)*(1-AF25)+INDEX(Models!$BJ25:$BT25,,AH25+1)*AF25-ERP_i)*AE25*Ramure*Pc/MaxiM</f>
        <v>7.4114650847108082E-2</v>
      </c>
      <c r="AE25" s="305">
        <f t="shared" si="15"/>
        <v>0.7</v>
      </c>
      <c r="AF25" s="177">
        <f t="shared" si="23"/>
        <v>0.60035467801320097</v>
      </c>
      <c r="AG25" s="817">
        <f t="shared" si="24"/>
        <v>1</v>
      </c>
      <c r="AH25" s="176">
        <f t="shared" si="16"/>
        <v>7</v>
      </c>
      <c r="AI25" s="225">
        <f t="shared" si="17"/>
        <v>1.600354678013201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46399</v>
      </c>
      <c r="B26" s="411">
        <f>'2026'!Wh/'2026'!Env_an*'2027'!Env_an</f>
        <v>10.161488193873632</v>
      </c>
      <c r="C26" s="846"/>
      <c r="D26" s="393">
        <f t="shared" si="0"/>
        <v>10.896862015340556</v>
      </c>
      <c r="E26" s="385">
        <f t="shared" si="1"/>
        <v>11.992756270830393</v>
      </c>
      <c r="F26" s="385">
        <f t="shared" si="2"/>
        <v>12.206335936673073</v>
      </c>
      <c r="G26" s="110">
        <f t="shared" si="21"/>
        <v>0.79659206929215931</v>
      </c>
      <c r="H26" s="414" t="b">
        <f>Wh_hp&gt;='2026'!Maxi_hp</f>
        <v>0</v>
      </c>
      <c r="I26" s="390">
        <f>IF(H26,Wh_hp,'2026'!Maxi_hp)</f>
        <v>15.033013193258533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6.7484916339370704E-2</v>
      </c>
      <c r="M26" s="850"/>
      <c r="N26" s="850"/>
      <c r="O26" s="48">
        <f>IF(t&lt;Tnet,'2026'!Resal+('2026'!Salim-'2026'!Resal)*(1-EXP(('2026'!Tnet-t)/('2026'!Tau_j))),Resal+(Salim-Resal)*(1-EXP((Tnet-t)/(Tau_j))))*Salcycl</f>
        <v>9.1379682096545761E-2</v>
      </c>
      <c r="P26" s="169">
        <f>(INDEX(Models!$BJ26:$BT26,,T26)*(1-R26)+INDEX(Models!$BJ26:$BT26,,T26+1)*R26-ERP_i)*Q26*Ramure*Pc/MaxiM</f>
        <v>2.4388213475772004E-2</v>
      </c>
      <c r="Q26" s="305">
        <f t="shared" si="4"/>
        <v>0.7</v>
      </c>
      <c r="R26" s="177">
        <f t="shared" si="5"/>
        <v>0.97653530836481606</v>
      </c>
      <c r="S26" s="817">
        <f t="shared" si="6"/>
        <v>-2</v>
      </c>
      <c r="T26" s="176">
        <f t="shared" si="7"/>
        <v>4</v>
      </c>
      <c r="U26" s="251">
        <f t="shared" si="8"/>
        <v>-1.0234646916351839</v>
      </c>
      <c r="V26" s="383">
        <f t="shared" si="9"/>
        <v>12.666735083226687</v>
      </c>
      <c r="W26" s="402">
        <f t="shared" si="10"/>
        <v>10.161488193873632</v>
      </c>
      <c r="X26" s="157">
        <f t="shared" si="11"/>
        <v>46399</v>
      </c>
      <c r="Y26" s="385">
        <f t="shared" si="12"/>
        <v>9.4112919856909283</v>
      </c>
      <c r="Z26" s="385">
        <f t="shared" si="22"/>
        <v>10.092375073169309</v>
      </c>
      <c r="AA26" s="386">
        <f t="shared" si="13"/>
        <v>11.552317835747116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0.12637660972763473</v>
      </c>
      <c r="AD26" s="231">
        <f>(INDEX(Models!$BJ26:$BT26,,AH26)*(1-AF26)+INDEX(Models!$BJ26:$BT26,,AH26+1)*AF26-ERP_i)*AE26*Ramure*Pc/MaxiM</f>
        <v>7.4680953355128546E-2</v>
      </c>
      <c r="AE26" s="305">
        <f t="shared" si="15"/>
        <v>0.7</v>
      </c>
      <c r="AF26" s="177">
        <f t="shared" si="23"/>
        <v>0.60039867774087208</v>
      </c>
      <c r="AG26" s="817">
        <f t="shared" si="24"/>
        <v>1</v>
      </c>
      <c r="AH26" s="176">
        <f t="shared" si="16"/>
        <v>7</v>
      </c>
      <c r="AI26" s="225">
        <f t="shared" si="17"/>
        <v>1.6003986777408721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46400</v>
      </c>
      <c r="B27" s="411">
        <f>'2026'!Wh/'2026'!Env_an*'2027'!Env_an</f>
        <v>3.098587246522444</v>
      </c>
      <c r="C27" s="846"/>
      <c r="D27" s="393">
        <f t="shared" si="0"/>
        <v>3.3229007973340692</v>
      </c>
      <c r="E27" s="385">
        <f t="shared" si="1"/>
        <v>3.6573801248046092</v>
      </c>
      <c r="F27" s="385">
        <f t="shared" si="2"/>
        <v>3.6573801248046092</v>
      </c>
      <c r="G27" s="110">
        <f t="shared" si="21"/>
        <v>0.23566609966471011</v>
      </c>
      <c r="H27" s="414" t="b">
        <f>Wh_hp&gt;='2026'!Maxi_hp</f>
        <v>0</v>
      </c>
      <c r="I27" s="390">
        <f>IF(H27,Wh_hp,'2026'!Maxi_hp)</f>
        <v>10.493774411231749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6.7505340812939685E-2</v>
      </c>
      <c r="M27" s="850"/>
      <c r="N27" s="850"/>
      <c r="O27" s="48">
        <f>IF(t&lt;Tnet,'2026'!Resal+('2026'!Salim-'2026'!Resal)*(1-EXP(('2026'!Tnet-t)/('2026'!Tau_j))),Resal+(Salim-Resal)*(1-EXP((Tnet-t)/(Tau_j))))*Salcycl</f>
        <v>9.1453257812081828E-2</v>
      </c>
      <c r="P27" s="169">
        <f>(INDEX(Models!$BJ27:$BT27,,T27)*(1-R27)+INDEX(Models!$BJ27:$BT27,,T27+1)*R27-ERP_i)*Q27*Ramure*Pc/MaxiM</f>
        <v>2.4374154026097973E-2</v>
      </c>
      <c r="Q27" s="305">
        <f t="shared" si="4"/>
        <v>0.7</v>
      </c>
      <c r="R27" s="177">
        <f t="shared" si="5"/>
        <v>0.97658114572928523</v>
      </c>
      <c r="S27" s="817">
        <f t="shared" si="6"/>
        <v>-2</v>
      </c>
      <c r="T27" s="176">
        <f t="shared" si="7"/>
        <v>4</v>
      </c>
      <c r="U27" s="251">
        <f t="shared" si="8"/>
        <v>-1.0234188542707148</v>
      </c>
      <c r="V27" s="383">
        <f t="shared" si="9"/>
        <v>12.827733000263562</v>
      </c>
      <c r="W27" s="402">
        <f t="shared" si="10"/>
        <v>3.098587246522444</v>
      </c>
      <c r="X27" s="157">
        <f t="shared" si="11"/>
        <v>46400</v>
      </c>
      <c r="Y27" s="385">
        <f t="shared" si="12"/>
        <v>2.9793968616058111</v>
      </c>
      <c r="Z27" s="385">
        <f t="shared" si="22"/>
        <v>3.1950819581135401</v>
      </c>
      <c r="AA27" s="386">
        <f t="shared" si="13"/>
        <v>3.6573801248046092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0.12640145429667815</v>
      </c>
      <c r="AD27" s="231">
        <f>(INDEX(Models!$BJ27:$BT27,,AH27)*(1-AF27)+INDEX(Models!$BJ27:$BT27,,AH27+1)*AF27-ERP_i)*AE27*Ramure*Pc/MaxiM</f>
        <v>7.5208992716128173E-2</v>
      </c>
      <c r="AE27" s="305">
        <f t="shared" si="15"/>
        <v>0.7</v>
      </c>
      <c r="AF27" s="177">
        <f t="shared" si="23"/>
        <v>0.60044451510534125</v>
      </c>
      <c r="AG27" s="817">
        <f t="shared" si="24"/>
        <v>1</v>
      </c>
      <c r="AH27" s="176">
        <f t="shared" si="16"/>
        <v>7</v>
      </c>
      <c r="AI27" s="225">
        <f t="shared" si="17"/>
        <v>1.6004445151053412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46401</v>
      </c>
      <c r="B28" s="411">
        <f>'2026'!Wh/'2026'!Env_an*'2027'!Env_an</f>
        <v>12.948257260397629</v>
      </c>
      <c r="C28" s="846"/>
      <c r="D28" s="393">
        <f t="shared" si="0"/>
        <v>13.885914239940607</v>
      </c>
      <c r="E28" s="385">
        <f t="shared" si="1"/>
        <v>15.284891914107684</v>
      </c>
      <c r="F28" s="385">
        <f t="shared" si="2"/>
        <v>15.664373743265461</v>
      </c>
      <c r="G28" s="110">
        <f t="shared" si="21"/>
        <v>0.99642874773117429</v>
      </c>
      <c r="H28" s="414" t="b">
        <f>Wh_hp&gt;='2026'!Maxi_hp</f>
        <v>0</v>
      </c>
      <c r="I28" s="390">
        <f>IF(H28,Wh_hp,'2026'!Maxi_hp)</f>
        <v>15.665372601124893</v>
      </c>
      <c r="J28" s="85">
        <f>IF(H28,An,'2026'!An_max)</f>
        <v>2026</v>
      </c>
      <c r="K28" s="197">
        <f t="shared" si="3"/>
        <v>46401</v>
      </c>
      <c r="L28" s="147">
        <f>IF(t&lt;Tvie,1-EXP((T0-t)*PertePVj)+'2026'!Pspv,1-EXP((T0-t)*PertePVj)+Pspv)</f>
        <v>6.7525764839160396E-2</v>
      </c>
      <c r="M28" s="850"/>
      <c r="N28" s="850"/>
      <c r="O28" s="48">
        <f>IF(t&lt;Tnet,'2026'!Resal+('2026'!Salim-'2026'!Resal)*(1-EXP(('2026'!Tnet-t)/('2026'!Tau_j))),Resal+(Salim-Resal)*(1-EXP((Tnet-t)/(Tau_j))))*Salcycl</f>
        <v>9.1526828061888041E-2</v>
      </c>
      <c r="P28" s="169">
        <f>(INDEX(Models!$BJ28:$BT28,,T28)*(1-R28)+INDEX(Models!$BJ28:$BT28,,T28+1)*R28-ERP_i)*Q28*Ramure*Pc/MaxiM</f>
        <v>2.4345736318255474E-2</v>
      </c>
      <c r="Q28" s="305">
        <f t="shared" si="4"/>
        <v>0.7</v>
      </c>
      <c r="R28" s="177">
        <f t="shared" si="5"/>
        <v>0.97662889711967482</v>
      </c>
      <c r="S28" s="817">
        <f t="shared" si="6"/>
        <v>-2</v>
      </c>
      <c r="T28" s="176">
        <f t="shared" si="7"/>
        <v>4</v>
      </c>
      <c r="U28" s="251">
        <f t="shared" si="8"/>
        <v>-1.0233711028803252</v>
      </c>
      <c r="V28" s="383">
        <f t="shared" si="9"/>
        <v>12.993067126283233</v>
      </c>
      <c r="W28" s="402">
        <f t="shared" si="10"/>
        <v>12.948257260397629</v>
      </c>
      <c r="X28" s="157">
        <f t="shared" si="11"/>
        <v>46401</v>
      </c>
      <c r="Y28" s="385">
        <f t="shared" si="12"/>
        <v>11.79880486021929</v>
      </c>
      <c r="Z28" s="385">
        <f t="shared" si="22"/>
        <v>12.653223451459922</v>
      </c>
      <c r="AA28" s="386">
        <f t="shared" si="13"/>
        <v>14.484438920797954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0.12642640003877686</v>
      </c>
      <c r="AD28" s="231">
        <f>(INDEX(Models!$BJ28:$BT28,,AH28)*(1-AF28)+INDEX(Models!$BJ28:$BT28,,AH28+1)*AF28-ERP_i)*AE28*Ramure*Pc/MaxiM</f>
        <v>7.5698965940679777E-2</v>
      </c>
      <c r="AE28" s="305">
        <f t="shared" si="15"/>
        <v>0.7</v>
      </c>
      <c r="AF28" s="177">
        <f t="shared" si="23"/>
        <v>0.60049226649573084</v>
      </c>
      <c r="AG28" s="817">
        <f t="shared" si="24"/>
        <v>1</v>
      </c>
      <c r="AH28" s="176">
        <f t="shared" si="16"/>
        <v>7</v>
      </c>
      <c r="AI28" s="225">
        <f t="shared" si="17"/>
        <v>1.6004922664957308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46402</v>
      </c>
      <c r="B29" s="411">
        <f>'2026'!Wh/'2026'!Env_an*'2027'!Env_an</f>
        <v>13.23461974345871</v>
      </c>
      <c r="C29" s="846"/>
      <c r="D29" s="393">
        <f t="shared" si="0"/>
        <v>14.193324729946111</v>
      </c>
      <c r="E29" s="385">
        <f t="shared" si="1"/>
        <v>15.624538634336808</v>
      </c>
      <c r="F29" s="385">
        <f t="shared" si="2"/>
        <v>16.013724985870393</v>
      </c>
      <c r="G29" s="110">
        <f t="shared" si="21"/>
        <v>1.0054544313032812</v>
      </c>
      <c r="H29" s="414" t="b">
        <f>Wh_hp&gt;='2026'!Maxi_hp</f>
        <v>1</v>
      </c>
      <c r="I29" s="390">
        <f>IF(H29,Wh_hp,'2026'!Maxi_hp)</f>
        <v>16.013724985870393</v>
      </c>
      <c r="J29" s="85">
        <f>IF(H29,An,'2026'!An_max)</f>
        <v>2027</v>
      </c>
      <c r="K29" s="197">
        <f t="shared" si="3"/>
        <v>46402</v>
      </c>
      <c r="L29" s="147">
        <f>IF(t&lt;Tvie,1-EXP((T0-t)*PertePVj)+'2026'!Pspv,1-EXP((T0-t)*PertePVj)+Pspv)</f>
        <v>6.7546188418042385E-2</v>
      </c>
      <c r="M29" s="850"/>
      <c r="N29" s="850"/>
      <c r="O29" s="48">
        <f>IF(t&lt;Tnet,'2026'!Resal+('2026'!Salim-'2026'!Resal)*(1-EXP(('2026'!Tnet-t)/('2026'!Tau_j))),Resal+(Salim-Resal)*(1-EXP((Tnet-t)/(Tau_j))))*Salcycl</f>
        <v>9.1600394602720028E-2</v>
      </c>
      <c r="P29" s="169">
        <f>(INDEX(Models!$BJ29:$BT29,,T29)*(1-R29)+INDEX(Models!$BJ29:$BT29,,T29+1)*R29-ERP_i)*Q29*Ramure*Pc/MaxiM</f>
        <v>2.4303299318364689E-2</v>
      </c>
      <c r="Q29" s="305">
        <f t="shared" si="4"/>
        <v>0.7</v>
      </c>
      <c r="R29" s="177">
        <f t="shared" si="5"/>
        <v>0.976678642069847</v>
      </c>
      <c r="S29" s="817">
        <f t="shared" si="6"/>
        <v>-2</v>
      </c>
      <c r="T29" s="176">
        <f t="shared" si="7"/>
        <v>4</v>
      </c>
      <c r="U29" s="251">
        <f t="shared" si="8"/>
        <v>-1.023321357930153</v>
      </c>
      <c r="V29" s="383">
        <f t="shared" si="9"/>
        <v>13.162824024062287</v>
      </c>
      <c r="W29" s="402">
        <f t="shared" si="10"/>
        <v>13.23461974345871</v>
      </c>
      <c r="X29" s="157">
        <f t="shared" si="11"/>
        <v>46402</v>
      </c>
      <c r="Y29" s="385">
        <f t="shared" si="12"/>
        <v>12.050572585595164</v>
      </c>
      <c r="Z29" s="385">
        <f t="shared" si="22"/>
        <v>12.923506168258056</v>
      </c>
      <c r="AA29" s="386">
        <f t="shared" si="13"/>
        <v>14.794262039654186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0.12645144897270308</v>
      </c>
      <c r="AD29" s="231">
        <f>(INDEX(Models!$BJ29:$BT29,,AH29)*(1-AF29)+INDEX(Models!$BJ29:$BT29,,AH29+1)*AF29-ERP_i)*AE29*Ramure*Pc/MaxiM</f>
        <v>7.6151110831002358E-2</v>
      </c>
      <c r="AE29" s="305">
        <f t="shared" si="15"/>
        <v>0.7</v>
      </c>
      <c r="AF29" s="177">
        <f t="shared" si="23"/>
        <v>0.60054201144590302</v>
      </c>
      <c r="AG29" s="817">
        <f t="shared" si="24"/>
        <v>1</v>
      </c>
      <c r="AH29" s="176">
        <f t="shared" si="16"/>
        <v>7</v>
      </c>
      <c r="AI29" s="225">
        <f t="shared" si="17"/>
        <v>1.600542011445903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46403</v>
      </c>
      <c r="B30" s="411">
        <f>'2026'!Wh/'2026'!Env_an*'2027'!Env_an</f>
        <v>13.308691819061711</v>
      </c>
      <c r="C30" s="846"/>
      <c r="D30" s="393">
        <f t="shared" si="0"/>
        <v>14.273075142857342</v>
      </c>
      <c r="E30" s="385">
        <f t="shared" si="1"/>
        <v>15.713603394912434</v>
      </c>
      <c r="F30" s="385">
        <f t="shared" si="2"/>
        <v>16.102860255624609</v>
      </c>
      <c r="G30" s="110">
        <f t="shared" si="21"/>
        <v>0.99779500622220962</v>
      </c>
      <c r="H30" s="414" t="b">
        <f>Wh_hp&gt;='2026'!Maxi_hp</f>
        <v>0</v>
      </c>
      <c r="I30" s="390">
        <f>IF(H30,Wh_hp,'2026'!Maxi_hp)</f>
        <v>16.103491584734822</v>
      </c>
      <c r="J30" s="85">
        <f>IF(H30,An,'2026'!An_max)</f>
        <v>2026</v>
      </c>
      <c r="K30" s="197">
        <f t="shared" si="3"/>
        <v>46403</v>
      </c>
      <c r="L30" s="147">
        <f>IF(t&lt;Tvie,1-EXP((T0-t)*PertePVj)+'2026'!Pspv,1-EXP((T0-t)*PertePVj)+Pspv)</f>
        <v>6.7566611549595645E-2</v>
      </c>
      <c r="M30" s="850"/>
      <c r="N30" s="850"/>
      <c r="O30" s="48">
        <f>IF(t&lt;Tnet,'2026'!Resal+('2026'!Salim-'2026'!Resal)*(1-EXP(('2026'!Tnet-t)/('2026'!Tau_j))),Resal+(Salim-Resal)*(1-EXP((Tnet-t)/(Tau_j))))*Salcycl</f>
        <v>9.1673960189264284E-2</v>
      </c>
      <c r="P30" s="169">
        <f>(INDEX(Models!$BJ30:$BT30,,T30)*(1-R30)+INDEX(Models!$BJ30:$BT30,,T30+1)*R30-ERP_i)*Q30*Ramure*Pc/MaxiM</f>
        <v>2.4246915019908465E-2</v>
      </c>
      <c r="Q30" s="305">
        <f t="shared" si="4"/>
        <v>0.7</v>
      </c>
      <c r="R30" s="177">
        <f t="shared" si="5"/>
        <v>0.97673046338524028</v>
      </c>
      <c r="S30" s="817">
        <f t="shared" si="6"/>
        <v>-2</v>
      </c>
      <c r="T30" s="176">
        <f t="shared" si="7"/>
        <v>4</v>
      </c>
      <c r="U30" s="251">
        <f t="shared" si="8"/>
        <v>-1.0232695366147597</v>
      </c>
      <c r="V30" s="383">
        <f t="shared" si="9"/>
        <v>13.337093997050138</v>
      </c>
      <c r="W30" s="402">
        <f t="shared" si="10"/>
        <v>13.308691819061711</v>
      </c>
      <c r="X30" s="157">
        <f t="shared" si="11"/>
        <v>46403</v>
      </c>
      <c r="Y30" s="385">
        <f t="shared" si="12"/>
        <v>12.114723953634281</v>
      </c>
      <c r="Z30" s="385">
        <f t="shared" si="22"/>
        <v>12.992589179767082</v>
      </c>
      <c r="AA30" s="386">
        <f t="shared" si="13"/>
        <v>14.873773554957145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0.12647660449039852</v>
      </c>
      <c r="AD30" s="231">
        <f>(INDEX(Models!$BJ30:$BT30,,AH30)*(1-AF30)+INDEX(Models!$BJ30:$BT30,,AH30+1)*AF30-ERP_i)*AE30*Ramure*Pc/MaxiM</f>
        <v>7.6560142648891161E-2</v>
      </c>
      <c r="AE30" s="305">
        <f t="shared" si="15"/>
        <v>0.7</v>
      </c>
      <c r="AF30" s="177">
        <f t="shared" si="23"/>
        <v>0.6005938327612963</v>
      </c>
      <c r="AG30" s="817">
        <f t="shared" si="24"/>
        <v>1</v>
      </c>
      <c r="AH30" s="176">
        <f t="shared" si="16"/>
        <v>7</v>
      </c>
      <c r="AI30" s="225">
        <f t="shared" si="17"/>
        <v>1.6005938327612963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46404</v>
      </c>
      <c r="B31" s="411">
        <f>'2026'!Wh/'2026'!Env_an*'2027'!Env_an</f>
        <v>9.6466174664939413</v>
      </c>
      <c r="C31" s="846"/>
      <c r="D31" s="393">
        <f t="shared" si="0"/>
        <v>10.345863711330152</v>
      </c>
      <c r="E31" s="385">
        <f t="shared" si="1"/>
        <v>11.390955746970382</v>
      </c>
      <c r="F31" s="385">
        <f t="shared" si="2"/>
        <v>11.556092553059315</v>
      </c>
      <c r="G31" s="110">
        <f t="shared" si="21"/>
        <v>0.70656149165305826</v>
      </c>
      <c r="H31" s="414" t="b">
        <f>Wh_hp&gt;='2026'!Maxi_hp</f>
        <v>0</v>
      </c>
      <c r="I31" s="390">
        <f>IF(H31,Wh_hp,'2026'!Maxi_hp)</f>
        <v>11.616523941152511</v>
      </c>
      <c r="J31" s="85">
        <f>IF(H31,An,'2026'!An_max)</f>
        <v>2026</v>
      </c>
      <c r="K31" s="197">
        <f t="shared" si="3"/>
        <v>46404</v>
      </c>
      <c r="L31" s="147">
        <f>IF(t&lt;Tvie,1-EXP((T0-t)*PertePVj)+'2026'!Pspv,1-EXP((T0-t)*PertePVj)+Pspv)</f>
        <v>6.7587034233829946E-2</v>
      </c>
      <c r="M31" s="850"/>
      <c r="N31" s="850"/>
      <c r="O31" s="48">
        <f>IF(t&lt;Tnet,'2026'!Resal+('2026'!Salim-'2026'!Resal)*(1-EXP(('2026'!Tnet-t)/('2026'!Tau_j))),Resal+(Salim-Resal)*(1-EXP((Tnet-t)/(Tau_j))))*Salcycl</f>
        <v>9.1747528377343568E-2</v>
      </c>
      <c r="P31" s="169">
        <f>(INDEX(Models!$BJ31:$BT31,,T31)*(1-R31)+INDEX(Models!$BJ31:$BT31,,T31+1)*R31-ERP_i)*Q31*Ramure*Pc/MaxiM</f>
        <v>2.4178155169028076E-2</v>
      </c>
      <c r="Q31" s="305">
        <f t="shared" si="4"/>
        <v>0.7</v>
      </c>
      <c r="R31" s="177">
        <f t="shared" si="5"/>
        <v>0.97678444727459435</v>
      </c>
      <c r="S31" s="817">
        <f t="shared" si="6"/>
        <v>-2</v>
      </c>
      <c r="T31" s="176">
        <f t="shared" si="7"/>
        <v>4</v>
      </c>
      <c r="U31" s="251">
        <f t="shared" si="8"/>
        <v>-1.0232155527254057</v>
      </c>
      <c r="V31" s="383">
        <f t="shared" si="9"/>
        <v>13.515946861576914</v>
      </c>
      <c r="W31" s="402">
        <f t="shared" si="10"/>
        <v>9.6466174664939413</v>
      </c>
      <c r="X31" s="157">
        <f t="shared" si="11"/>
        <v>46404</v>
      </c>
      <c r="Y31" s="385">
        <f t="shared" si="12"/>
        <v>8.9842030603567355</v>
      </c>
      <c r="Z31" s="385">
        <f t="shared" si="22"/>
        <v>9.635433429407918</v>
      </c>
      <c r="AA31" s="386">
        <f t="shared" si="13"/>
        <v>11.030857548988648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0.126501871081516</v>
      </c>
      <c r="AD31" s="231">
        <f>(INDEX(Models!$BJ31:$BT31,,AH31)*(1-AF31)+INDEX(Models!$BJ31:$BT31,,AH31+1)*AF31-ERP_i)*AE31*Ramure*Pc/MaxiM</f>
        <v>7.6901168972509898E-2</v>
      </c>
      <c r="AE31" s="305">
        <f t="shared" si="15"/>
        <v>0.7</v>
      </c>
      <c r="AF31" s="177">
        <f t="shared" si="23"/>
        <v>0.60064781665065037</v>
      </c>
      <c r="AG31" s="817">
        <f t="shared" si="24"/>
        <v>1</v>
      </c>
      <c r="AH31" s="176">
        <f t="shared" si="16"/>
        <v>7</v>
      </c>
      <c r="AI31" s="225">
        <f t="shared" si="17"/>
        <v>1.6006478166506504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46405</v>
      </c>
      <c r="B32" s="411">
        <f>'2026'!Wh/'2026'!Env_an*'2027'!Env_an</f>
        <v>2.3365432998645077</v>
      </c>
      <c r="C32" s="846"/>
      <c r="D32" s="393">
        <f t="shared" si="0"/>
        <v>2.505965235436507</v>
      </c>
      <c r="E32" s="385">
        <f t="shared" si="1"/>
        <v>2.7593299564898714</v>
      </c>
      <c r="F32" s="385">
        <f t="shared" si="2"/>
        <v>2.7593299564898714</v>
      </c>
      <c r="G32" s="110">
        <f t="shared" si="21"/>
        <v>0.16644723904313402</v>
      </c>
      <c r="H32" s="414" t="b">
        <f>Wh_hp&gt;='2026'!Maxi_hp</f>
        <v>0</v>
      </c>
      <c r="I32" s="390">
        <f>IF(H32,Wh_hp,'2026'!Maxi_hp)</f>
        <v>16.33584148224859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6.7607456470755056E-2</v>
      </c>
      <c r="M32" s="850"/>
      <c r="N32" s="850"/>
      <c r="O32" s="48">
        <f>IF(t&lt;Tnet,'2026'!Resal+('2026'!Salim-'2026'!Resal)*(1-EXP(('2026'!Tnet-t)/('2026'!Tau_j))),Resal+(Salim-Resal)*(1-EXP((Tnet-t)/(Tau_j))))*Salcycl</f>
        <v>9.1821103328892414E-2</v>
      </c>
      <c r="P32" s="169">
        <f>(INDEX(Models!$BJ32:$BT32,,T32)*(1-R32)+INDEX(Models!$BJ32:$BT32,,T32+1)*R32-ERP_i)*Q32*Ramure*Pc/MaxiM</f>
        <v>2.4097349660416947E-2</v>
      </c>
      <c r="Q32" s="305">
        <f t="shared" si="4"/>
        <v>0.7</v>
      </c>
      <c r="R32" s="177">
        <f t="shared" si="5"/>
        <v>0.97684068348673603</v>
      </c>
      <c r="S32" s="817">
        <f t="shared" si="6"/>
        <v>-2</v>
      </c>
      <c r="T32" s="176">
        <f t="shared" si="7"/>
        <v>4</v>
      </c>
      <c r="U32" s="251">
        <f t="shared" si="8"/>
        <v>-1.023159316513264</v>
      </c>
      <c r="V32" s="383">
        <f t="shared" si="9"/>
        <v>13.699469045443614</v>
      </c>
      <c r="W32" s="402">
        <f t="shared" si="10"/>
        <v>2.3365432998645077</v>
      </c>
      <c r="X32" s="157">
        <f t="shared" si="11"/>
        <v>46405</v>
      </c>
      <c r="Y32" s="385">
        <f t="shared" si="12"/>
        <v>2.2472520553141173</v>
      </c>
      <c r="Z32" s="385">
        <f t="shared" si="22"/>
        <v>2.4101995140458041</v>
      </c>
      <c r="AA32" s="386">
        <f t="shared" si="13"/>
        <v>2.7593299564898714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0.1265272540614151</v>
      </c>
      <c r="AD32" s="231">
        <f>(INDEX(Models!$BJ32:$BT32,,AH32)*(1-AF32)+INDEX(Models!$BJ32:$BT32,,AH32+1)*AF32-ERP_i)*AE32*Ramure*Pc/MaxiM</f>
        <v>7.7175762796441769E-2</v>
      </c>
      <c r="AE32" s="305">
        <f t="shared" si="15"/>
        <v>0.7</v>
      </c>
      <c r="AF32" s="177">
        <f t="shared" si="23"/>
        <v>0.60070405286279205</v>
      </c>
      <c r="AG32" s="817">
        <f t="shared" si="24"/>
        <v>1</v>
      </c>
      <c r="AH32" s="176">
        <f t="shared" si="16"/>
        <v>7</v>
      </c>
      <c r="AI32" s="225">
        <f t="shared" si="17"/>
        <v>1.600704052862792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46406</v>
      </c>
      <c r="B33" s="411">
        <f>'2026'!Wh/'2026'!Env_an*'2027'!Env_an</f>
        <v>7.003561794775174</v>
      </c>
      <c r="C33" s="846"/>
      <c r="D33" s="393">
        <f t="shared" si="0"/>
        <v>7.5115521276075183</v>
      </c>
      <c r="E33" s="385">
        <f t="shared" si="1"/>
        <v>8.2716751479742463</v>
      </c>
      <c r="F33" s="385">
        <f t="shared" si="2"/>
        <v>8.3300346307428459</v>
      </c>
      <c r="G33" s="110">
        <f t="shared" si="21"/>
        <v>0.49566490855786638</v>
      </c>
      <c r="H33" s="414" t="b">
        <f>Wh_hp&gt;='2026'!Maxi_hp</f>
        <v>0</v>
      </c>
      <c r="I33" s="390">
        <f>IF(H33,Wh_hp,'2026'!Maxi_hp)</f>
        <v>16.836051106728092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6.7627878260380636E-2</v>
      </c>
      <c r="M33" s="850"/>
      <c r="N33" s="850"/>
      <c r="O33" s="48">
        <f>IF(t&lt;Tnet,'2026'!Resal+('2026'!Salim-'2026'!Resal)*(1-EXP(('2026'!Tnet-t)/('2026'!Tau_j))),Resal+(Salim-Resal)*(1-EXP((Tnet-t)/(Tau_j))))*Salcycl</f>
        <v>9.1894689620745582E-2</v>
      </c>
      <c r="P33" s="169">
        <f>(INDEX(Models!$BJ33:$BT33,,T33)*(1-R33)+INDEX(Models!$BJ33:$BT33,,T33+1)*R33-ERP_i)*Q33*Ramure*Pc/MaxiM</f>
        <v>2.4004835689247057E-2</v>
      </c>
      <c r="Q33" s="305">
        <f t="shared" si="4"/>
        <v>0.7</v>
      </c>
      <c r="R33" s="177">
        <f t="shared" si="5"/>
        <v>0.97689926545259698</v>
      </c>
      <c r="S33" s="817">
        <f t="shared" si="6"/>
        <v>-2</v>
      </c>
      <c r="T33" s="176">
        <f t="shared" si="7"/>
        <v>4</v>
      </c>
      <c r="U33" s="251">
        <f t="shared" si="8"/>
        <v>-1.023100734547403</v>
      </c>
      <c r="V33" s="383">
        <f t="shared" si="9"/>
        <v>13.887746939803385</v>
      </c>
      <c r="W33" s="402">
        <f t="shared" si="10"/>
        <v>7.003561794775174</v>
      </c>
      <c r="X33" s="157">
        <f t="shared" si="11"/>
        <v>46406</v>
      </c>
      <c r="Y33" s="385">
        <f t="shared" si="12"/>
        <v>6.6305817618358116</v>
      </c>
      <c r="Z33" s="385">
        <f t="shared" si="22"/>
        <v>7.1115186814728819</v>
      </c>
      <c r="AA33" s="386">
        <f t="shared" si="13"/>
        <v>8.1418983885249432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0.12655275930540491</v>
      </c>
      <c r="AD33" s="231">
        <f>(INDEX(Models!$BJ33:$BT33,,AH33)*(1-AF33)+INDEX(Models!$BJ33:$BT33,,AH33+1)*AF33-ERP_i)*AE33*Ramure*Pc/MaxiM</f>
        <v>7.7385531320422682E-2</v>
      </c>
      <c r="AE33" s="305">
        <f t="shared" si="15"/>
        <v>0.7</v>
      </c>
      <c r="AF33" s="177">
        <f t="shared" si="23"/>
        <v>0.600762634828653</v>
      </c>
      <c r="AG33" s="817">
        <f t="shared" si="24"/>
        <v>1</v>
      </c>
      <c r="AH33" s="176">
        <f t="shared" si="16"/>
        <v>7</v>
      </c>
      <c r="AI33" s="225">
        <f t="shared" si="17"/>
        <v>1.600762634828653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46407</v>
      </c>
      <c r="B34" s="411">
        <f>'2026'!Wh/'2026'!Env_an*'2027'!Env_an</f>
        <v>3.7338616205833186</v>
      </c>
      <c r="C34" s="846"/>
      <c r="D34" s="393">
        <f t="shared" si="0"/>
        <v>4.0047780456584006</v>
      </c>
      <c r="E34" s="385">
        <f t="shared" si="1"/>
        <v>4.4103944946375035</v>
      </c>
      <c r="F34" s="385">
        <f t="shared" si="2"/>
        <v>4.4103944946375035</v>
      </c>
      <c r="G34" s="110">
        <f t="shared" si="21"/>
        <v>0.25883482740326508</v>
      </c>
      <c r="H34" s="414" t="b">
        <f>Wh_hp&gt;='2026'!Maxi_hp</f>
        <v>0</v>
      </c>
      <c r="I34" s="390">
        <f>IF(H34,Wh_hp,'2026'!Maxi_hp)</f>
        <v>7.5521238527845549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6.7648299602716788E-2</v>
      </c>
      <c r="M34" s="850"/>
      <c r="N34" s="850"/>
      <c r="O34" s="48">
        <f>IF(t&lt;Tnet,'2026'!Resal+('2026'!Salim-'2026'!Resal)*(1-EXP(('2026'!Tnet-t)/('2026'!Tau_j))),Resal+(Salim-Resal)*(1-EXP((Tnet-t)/(Tau_j))))*Salcycl</f>
        <v>9.1968292059198431E-2</v>
      </c>
      <c r="P34" s="169">
        <f>(INDEX(Models!$BJ34:$BT34,,T34)*(1-R34)+INDEX(Models!$BJ34:$BT34,,T34+1)*R34-ERP_i)*Q34*Ramure*Pc/MaxiM</f>
        <v>2.3901090110852573E-2</v>
      </c>
      <c r="Q34" s="305">
        <f t="shared" si="4"/>
        <v>0.7</v>
      </c>
      <c r="R34" s="177">
        <f t="shared" si="5"/>
        <v>0.97696029043263977</v>
      </c>
      <c r="S34" s="817">
        <f t="shared" si="6"/>
        <v>-2</v>
      </c>
      <c r="T34" s="176">
        <f t="shared" si="7"/>
        <v>4</v>
      </c>
      <c r="U34" s="251">
        <f t="shared" si="8"/>
        <v>-1.0230397095673602</v>
      </c>
      <c r="V34" s="383">
        <f t="shared" si="9"/>
        <v>14.080864982864076</v>
      </c>
      <c r="W34" s="402">
        <f t="shared" si="10"/>
        <v>3.7338616205833186</v>
      </c>
      <c r="X34" s="157">
        <f t="shared" si="11"/>
        <v>46407</v>
      </c>
      <c r="Y34" s="385">
        <f t="shared" si="12"/>
        <v>3.591543542451245</v>
      </c>
      <c r="Z34" s="385">
        <f t="shared" si="22"/>
        <v>3.8521338470459772</v>
      </c>
      <c r="AA34" s="386">
        <f t="shared" si="13"/>
        <v>4.4103944946375035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0.1265783929918973</v>
      </c>
      <c r="AD34" s="231">
        <f>(INDEX(Models!$BJ34:$BT34,,AH34)*(1-AF34)+INDEX(Models!$BJ34:$BT34,,AH34+1)*AF34-ERP_i)*AE34*Ramure*Pc/MaxiM</f>
        <v>7.7532544933863967E-2</v>
      </c>
      <c r="AE34" s="305">
        <f t="shared" si="15"/>
        <v>0.7</v>
      </c>
      <c r="AF34" s="177">
        <f t="shared" si="23"/>
        <v>0.60082365980869579</v>
      </c>
      <c r="AG34" s="817">
        <f t="shared" si="24"/>
        <v>1</v>
      </c>
      <c r="AH34" s="176">
        <f t="shared" si="16"/>
        <v>7</v>
      </c>
      <c r="AI34" s="225">
        <f t="shared" si="17"/>
        <v>1.6008236598086958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46408</v>
      </c>
      <c r="B35" s="411">
        <f>'2026'!Wh/'2026'!Env_an*'2027'!Env_an</f>
        <v>10.234887893527345</v>
      </c>
      <c r="C35" s="846"/>
      <c r="D35" s="393">
        <f t="shared" si="0"/>
        <v>10.977737332798453</v>
      </c>
      <c r="E35" s="385">
        <f t="shared" si="1"/>
        <v>12.090577219619405</v>
      </c>
      <c r="F35" s="385">
        <f t="shared" si="2"/>
        <v>12.264272424776767</v>
      </c>
      <c r="G35" s="110">
        <f t="shared" si="21"/>
        <v>0.7097863303919133</v>
      </c>
      <c r="H35" s="414" t="b">
        <f>Wh_hp&gt;='2026'!Maxi_hp</f>
        <v>0</v>
      </c>
      <c r="I35" s="390">
        <f>IF(H35,Wh_hp,'2026'!Maxi_hp)</f>
        <v>12.326649551477209</v>
      </c>
      <c r="J35" s="85">
        <f>IF(H35,An,'2026'!An_max)</f>
        <v>2026</v>
      </c>
      <c r="K35" s="197">
        <f t="shared" si="3"/>
        <v>46408</v>
      </c>
      <c r="L35" s="147">
        <f>IF(t&lt;Tvie,1-EXP((T0-t)*PertePVj)+'2026'!Pspv,1-EXP((T0-t)*PertePVj)+Pspv)</f>
        <v>6.7668720497773061E-2</v>
      </c>
      <c r="M35" s="850"/>
      <c r="N35" s="850"/>
      <c r="O35" s="48">
        <f>IF(t&lt;Tnet,'2026'!Resal+('2026'!Salim-'2026'!Resal)*(1-EXP(('2026'!Tnet-t)/('2026'!Tau_j))),Resal+(Salim-Resal)*(1-EXP((Tnet-t)/(Tau_j))))*Salcycl</f>
        <v>9.2041915502193206E-2</v>
      </c>
      <c r="P35" s="169">
        <f>(INDEX(Models!$BJ35:$BT35,,T35)*(1-R35)+INDEX(Models!$BJ35:$BT35,,T35+1)*R35-ERP_i)*Q35*Ramure*Pc/MaxiM</f>
        <v>2.3786652550697819E-2</v>
      </c>
      <c r="Q35" s="305">
        <f t="shared" si="4"/>
        <v>0.7</v>
      </c>
      <c r="R35" s="177">
        <f t="shared" si="5"/>
        <v>0.97702385966987593</v>
      </c>
      <c r="S35" s="817">
        <f t="shared" si="6"/>
        <v>-2</v>
      </c>
      <c r="T35" s="176">
        <f t="shared" si="7"/>
        <v>4</v>
      </c>
      <c r="U35" s="251">
        <f t="shared" si="8"/>
        <v>-1.0229761403301241</v>
      </c>
      <c r="V35" s="383">
        <f t="shared" si="9"/>
        <v>14.278906638453561</v>
      </c>
      <c r="W35" s="402">
        <f t="shared" si="10"/>
        <v>10.234887893527345</v>
      </c>
      <c r="X35" s="157">
        <f t="shared" si="11"/>
        <v>46408</v>
      </c>
      <c r="Y35" s="385">
        <f t="shared" si="12"/>
        <v>9.5251918175025256</v>
      </c>
      <c r="Z35" s="385">
        <f t="shared" si="22"/>
        <v>10.216531427099646</v>
      </c>
      <c r="AA35" s="386">
        <f t="shared" si="13"/>
        <v>11.69748122795372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0.12660416135697791</v>
      </c>
      <c r="AD35" s="231">
        <f>(INDEX(Models!$BJ35:$BT35,,AH35)*(1-AF35)+INDEX(Models!$BJ35:$BT35,,AH35+1)*AF35-ERP_i)*AE35*Ramure*Pc/MaxiM</f>
        <v>7.761909867005104E-2</v>
      </c>
      <c r="AE35" s="305">
        <f t="shared" si="15"/>
        <v>0.7</v>
      </c>
      <c r="AF35" s="177">
        <f t="shared" si="23"/>
        <v>0.60088722904593195</v>
      </c>
      <c r="AG35" s="817">
        <f t="shared" si="24"/>
        <v>1</v>
      </c>
      <c r="AH35" s="176">
        <f t="shared" si="16"/>
        <v>7</v>
      </c>
      <c r="AI35" s="225">
        <f t="shared" si="17"/>
        <v>1.6008872290459319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46409</v>
      </c>
      <c r="B36" s="411">
        <f>'2026'!Wh/'2026'!Env_an*'2027'!Env_an</f>
        <v>14.717375627700189</v>
      </c>
      <c r="C36" s="846"/>
      <c r="D36" s="393">
        <f t="shared" si="0"/>
        <v>15.785910337488403</v>
      </c>
      <c r="E36" s="385">
        <f t="shared" si="1"/>
        <v>17.387576792318661</v>
      </c>
      <c r="F36" s="385">
        <f t="shared" si="2"/>
        <v>17.808971984336939</v>
      </c>
      <c r="G36" s="110">
        <f t="shared" si="21"/>
        <v>1.0162560121867492</v>
      </c>
      <c r="H36" s="414" t="b">
        <f>Wh_hp&gt;='2026'!Maxi_hp</f>
        <v>1</v>
      </c>
      <c r="I36" s="390">
        <f>IF(H36,Wh_hp,'2026'!Maxi_hp)</f>
        <v>17.808971984336939</v>
      </c>
      <c r="J36" s="85">
        <f>IF(H36,An,'2026'!An_max)</f>
        <v>2027</v>
      </c>
      <c r="K36" s="197">
        <f t="shared" si="3"/>
        <v>46409</v>
      </c>
      <c r="L36" s="147">
        <f>IF(t&lt;Tvie,1-EXP((T0-t)*PertePVj)+'2026'!Pspv,1-EXP((T0-t)*PertePVj)+Pspv)</f>
        <v>6.7689140945559223E-2</v>
      </c>
      <c r="M36" s="850"/>
      <c r="N36" s="850"/>
      <c r="O36" s="48">
        <f>IF(t&lt;Tnet,'2026'!Resal+('2026'!Salim-'2026'!Resal)*(1-EXP(('2026'!Tnet-t)/('2026'!Tau_j))),Resal+(Salim-Resal)*(1-EXP((Tnet-t)/(Tau_j))))*Salcycl</f>
        <v>9.2115564690867666E-2</v>
      </c>
      <c r="P36" s="169">
        <f>(INDEX(Models!$BJ36:$BT36,,T36)*(1-R36)+INDEX(Models!$BJ36:$BT36,,T36+1)*R36-ERP_i)*Q36*Ramure*Pc/MaxiM</f>
        <v>2.3661960521297751E-2</v>
      </c>
      <c r="Q36" s="305">
        <f t="shared" si="4"/>
        <v>0.7</v>
      </c>
      <c r="R36" s="177">
        <f t="shared" si="5"/>
        <v>0.97709007854865804</v>
      </c>
      <c r="S36" s="817">
        <f t="shared" si="6"/>
        <v>-2</v>
      </c>
      <c r="T36" s="176">
        <f t="shared" si="7"/>
        <v>4</v>
      </c>
      <c r="U36" s="251">
        <f t="shared" si="8"/>
        <v>-1.022909921451342</v>
      </c>
      <c r="V36" s="383">
        <f t="shared" si="9"/>
        <v>14.481956762087716</v>
      </c>
      <c r="W36" s="402">
        <f t="shared" si="10"/>
        <v>14.717375627700189</v>
      </c>
      <c r="X36" s="157">
        <f t="shared" si="11"/>
        <v>46409</v>
      </c>
      <c r="Y36" s="385">
        <f t="shared" si="12"/>
        <v>13.375034493391754</v>
      </c>
      <c r="Z36" s="385">
        <f t="shared" si="22"/>
        <v>14.346110380991218</v>
      </c>
      <c r="AA36" s="386">
        <f t="shared" si="13"/>
        <v>16.426155625248125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0.12663007046272801</v>
      </c>
      <c r="AD36" s="231">
        <f>(INDEX(Models!$BJ36:$BT36,,AH36)*(1-AF36)+INDEX(Models!$BJ36:$BT36,,AH36+1)*AF36-ERP_i)*AE36*Ramure*Pc/MaxiM</f>
        <v>7.7647174710870834E-2</v>
      </c>
      <c r="AE36" s="305">
        <f t="shared" si="15"/>
        <v>0.7</v>
      </c>
      <c r="AF36" s="177">
        <f t="shared" si="23"/>
        <v>0.60095344792471406</v>
      </c>
      <c r="AG36" s="817">
        <f t="shared" si="24"/>
        <v>1</v>
      </c>
      <c r="AH36" s="176">
        <f t="shared" si="16"/>
        <v>7</v>
      </c>
      <c r="AI36" s="225">
        <f t="shared" si="17"/>
        <v>1.6009534479247141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46410</v>
      </c>
      <c r="B37" s="411">
        <f>'2026'!Wh/'2026'!Env_an*'2027'!Env_an</f>
        <v>14.769885831688692</v>
      </c>
      <c r="C37" s="846"/>
      <c r="D37" s="393">
        <f t="shared" si="0"/>
        <v>15.842579965399112</v>
      </c>
      <c r="E37" s="385">
        <f t="shared" si="1"/>
        <v>17.451412491312002</v>
      </c>
      <c r="F37" s="385">
        <f t="shared" si="2"/>
        <v>17.871865098354338</v>
      </c>
      <c r="G37" s="110">
        <f t="shared" si="21"/>
        <v>1.0053655173674529</v>
      </c>
      <c r="H37" s="414" t="b">
        <f>Wh_hp&gt;='2026'!Maxi_hp</f>
        <v>1</v>
      </c>
      <c r="I37" s="390">
        <f>IF(H37,Wh_hp,'2026'!Maxi_hp)</f>
        <v>17.871865098354338</v>
      </c>
      <c r="J37" s="85">
        <f>IF(H37,An,'2026'!An_max)</f>
        <v>2027</v>
      </c>
      <c r="K37" s="197">
        <f t="shared" si="3"/>
        <v>46410</v>
      </c>
      <c r="L37" s="147">
        <f>IF(t&lt;Tvie,1-EXP((T0-t)*PertePVj)+'2026'!Pspv,1-EXP((T0-t)*PertePVj)+Pspv)</f>
        <v>6.7709560946085268E-2</v>
      </c>
      <c r="M37" s="850"/>
      <c r="N37" s="850"/>
      <c r="O37" s="48">
        <f>IF(t&lt;Tnet,'2026'!Resal+('2026'!Salim-'2026'!Resal)*(1-EXP(('2026'!Tnet-t)/('2026'!Tau_j))),Resal+(Salim-Resal)*(1-EXP((Tnet-t)/(Tau_j))))*Salcycl</f>
        <v>9.2189244092065956E-2</v>
      </c>
      <c r="P37" s="169">
        <f>(INDEX(Models!$BJ37:$BT37,,T37)*(1-R37)+INDEX(Models!$BJ37:$BT37,,T37+1)*R37-ERP_i)*Q37*Ramure*Pc/MaxiM</f>
        <v>2.352595013046796E-2</v>
      </c>
      <c r="Q37" s="305">
        <f t="shared" si="4"/>
        <v>0.7</v>
      </c>
      <c r="R37" s="177">
        <f t="shared" si="5"/>
        <v>0.97715905675943526</v>
      </c>
      <c r="S37" s="817">
        <f t="shared" si="6"/>
        <v>-2</v>
      </c>
      <c r="T37" s="176">
        <f t="shared" si="7"/>
        <v>4</v>
      </c>
      <c r="U37" s="251">
        <f t="shared" si="8"/>
        <v>-1.0228409432405647</v>
      </c>
      <c r="V37" s="383">
        <f t="shared" si="9"/>
        <v>14.691060690408003</v>
      </c>
      <c r="W37" s="402">
        <f t="shared" si="10"/>
        <v>14.769885831688692</v>
      </c>
      <c r="X37" s="157">
        <f t="shared" si="11"/>
        <v>46410</v>
      </c>
      <c r="Y37" s="385">
        <f t="shared" si="12"/>
        <v>13.422060010772283</v>
      </c>
      <c r="Z37" s="385">
        <f t="shared" si="22"/>
        <v>14.396865449347464</v>
      </c>
      <c r="AA37" s="386">
        <f t="shared" si="13"/>
        <v>16.484761475571297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0.12665612598143305</v>
      </c>
      <c r="AD37" s="231">
        <f>(INDEX(Models!$BJ37:$BT37,,AH37)*(1-AF37)+INDEX(Models!$BJ37:$BT37,,AH37+1)*AF37-ERP_i)*AE37*Ramure*Pc/MaxiM</f>
        <v>7.7613814515126764E-2</v>
      </c>
      <c r="AE37" s="305">
        <f t="shared" si="15"/>
        <v>0.7</v>
      </c>
      <c r="AF37" s="177">
        <f t="shared" si="23"/>
        <v>0.60102242613549128</v>
      </c>
      <c r="AG37" s="817">
        <f t="shared" si="24"/>
        <v>1</v>
      </c>
      <c r="AH37" s="176">
        <f t="shared" si="16"/>
        <v>7</v>
      </c>
      <c r="AI37" s="225">
        <f t="shared" si="17"/>
        <v>1.6010224261354913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46411</v>
      </c>
      <c r="B38" s="411">
        <f>'2026'!Wh/'2026'!Env_an*'2027'!Env_an</f>
        <v>15.033439378306804</v>
      </c>
      <c r="C38" s="846"/>
      <c r="D38" s="393">
        <f t="shared" si="0"/>
        <v>16.125627837264695</v>
      </c>
      <c r="E38" s="385">
        <f t="shared" si="1"/>
        <v>17.764646683749127</v>
      </c>
      <c r="F38" s="385">
        <f t="shared" si="2"/>
        <v>18.189713580371087</v>
      </c>
      <c r="G38" s="110">
        <f t="shared" si="21"/>
        <v>1.0084823817632185</v>
      </c>
      <c r="H38" s="414" t="b">
        <f>Wh_hp&gt;='2026'!Maxi_hp</f>
        <v>1</v>
      </c>
      <c r="I38" s="390">
        <f>IF(H38,Wh_hp,'2026'!Maxi_hp)</f>
        <v>18.189713580371087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6.7729980499360964E-2</v>
      </c>
      <c r="M38" s="850"/>
      <c r="N38" s="850"/>
      <c r="O38" s="48">
        <f>IF(t&lt;Tnet,'2026'!Resal+('2026'!Salim-'2026'!Resal)*(1-EXP(('2026'!Tnet-t)/('2026'!Tau_j))),Resal+(Salim-Resal)*(1-EXP((Tnet-t)/(Tau_j))))*Salcycl</f>
        <v>9.2262957753265429E-2</v>
      </c>
      <c r="P38" s="169">
        <f>(INDEX(Models!$BJ38:$BT38,,T38)*(1-R38)+INDEX(Models!$BJ38:$BT38,,T38+1)*R38-ERP_i)*Q38*Ramure*Pc/MaxiM</f>
        <v>2.3368531601325324E-2</v>
      </c>
      <c r="Q38" s="305">
        <f t="shared" si="4"/>
        <v>0.7</v>
      </c>
      <c r="R38" s="177">
        <f t="shared" si="5"/>
        <v>0.97723090846966465</v>
      </c>
      <c r="S38" s="817">
        <f t="shared" si="6"/>
        <v>-2</v>
      </c>
      <c r="T38" s="176">
        <f t="shared" si="7"/>
        <v>4</v>
      </c>
      <c r="U38" s="251">
        <f t="shared" si="8"/>
        <v>-1.0227690915303354</v>
      </c>
      <c r="V38" s="383">
        <f t="shared" si="9"/>
        <v>14.906992576332884</v>
      </c>
      <c r="W38" s="402">
        <f t="shared" si="10"/>
        <v>15.033439378306804</v>
      </c>
      <c r="X38" s="157">
        <f t="shared" si="11"/>
        <v>46411</v>
      </c>
      <c r="Y38" s="385">
        <f t="shared" si="12"/>
        <v>13.661266030531294</v>
      </c>
      <c r="Z38" s="385">
        <f t="shared" si="22"/>
        <v>14.6537652662571</v>
      </c>
      <c r="AA38" s="386">
        <f t="shared" si="13"/>
        <v>16.779421532321845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0.12668233299760293</v>
      </c>
      <c r="AD38" s="231">
        <f>(INDEX(Models!$BJ38:$BT38,,AH38)*(1-AF38)+INDEX(Models!$BJ38:$BT38,,AH38+1)*AF38-ERP_i)*AE38*Ramure*Pc/MaxiM</f>
        <v>7.7532394439191132E-2</v>
      </c>
      <c r="AE38" s="305">
        <f t="shared" si="15"/>
        <v>0.7</v>
      </c>
      <c r="AF38" s="177">
        <f t="shared" si="23"/>
        <v>0.60109427784572067</v>
      </c>
      <c r="AG38" s="817">
        <f t="shared" si="24"/>
        <v>1</v>
      </c>
      <c r="AH38" s="176">
        <f t="shared" si="16"/>
        <v>7</v>
      </c>
      <c r="AI38" s="225">
        <f t="shared" si="17"/>
        <v>1.6010942778457207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46412</v>
      </c>
      <c r="B39" s="411">
        <f>'2026'!Wh/'2026'!Env_an*'2027'!Env_an</f>
        <v>14.260501801840606</v>
      </c>
      <c r="C39" s="846"/>
      <c r="D39" s="393">
        <f t="shared" si="0"/>
        <v>15.296870919337911</v>
      </c>
      <c r="E39" s="385">
        <f t="shared" si="1"/>
        <v>16.853023664061954</v>
      </c>
      <c r="F39" s="385">
        <f t="shared" si="2"/>
        <v>17.219696064134062</v>
      </c>
      <c r="G39" s="110">
        <f t="shared" si="21"/>
        <v>0.94075312576445846</v>
      </c>
      <c r="H39" s="414" t="b">
        <f>Wh_hp&gt;='2026'!Maxi_hp</f>
        <v>0</v>
      </c>
      <c r="I39" s="390">
        <f>IF(H39,Wh_hp,'2026'!Maxi_hp)</f>
        <v>17.237055511632921</v>
      </c>
      <c r="J39" s="85">
        <f>IF(H39,An,'2026'!An_max)</f>
        <v>2026</v>
      </c>
      <c r="K39" s="197">
        <f t="shared" si="3"/>
        <v>46412</v>
      </c>
      <c r="L39" s="147">
        <f>IF(t&lt;Tvie,1-EXP((T0-t)*PertePVj)+'2026'!Pspv,1-EXP((T0-t)*PertePVj)+Pspv)</f>
        <v>6.7750399605395972E-2</v>
      </c>
      <c r="M39" s="850"/>
      <c r="N39" s="850"/>
      <c r="O39" s="48">
        <f>IF(t&lt;Tnet,'2026'!Resal+('2026'!Salim-'2026'!Resal)*(1-EXP(('2026'!Tnet-t)/('2026'!Tau_j))),Resal+(Salim-Resal)*(1-EXP((Tnet-t)/(Tau_j))))*Salcycl</f>
        <v>9.2336709171212034E-2</v>
      </c>
      <c r="P39" s="169">
        <f>(INDEX(Models!$BJ39:$BT39,,T39)*(1-R39)+INDEX(Models!$BJ39:$BT39,,T39+1)*R39-ERP_i)*Q39*Ramure*Pc/MaxiM</f>
        <v>2.3196361306077311E-2</v>
      </c>
      <c r="Q39" s="305">
        <f t="shared" si="4"/>
        <v>0.7</v>
      </c>
      <c r="R39" s="177">
        <f t="shared" si="5"/>
        <v>0.97730575250107288</v>
      </c>
      <c r="S39" s="817">
        <f t="shared" si="6"/>
        <v>-2</v>
      </c>
      <c r="T39" s="176">
        <f t="shared" si="7"/>
        <v>4</v>
      </c>
      <c r="U39" s="251">
        <f t="shared" si="8"/>
        <v>-1.0226942474989271</v>
      </c>
      <c r="V39" s="383">
        <f t="shared" si="9"/>
        <v>15.129133588467299</v>
      </c>
      <c r="W39" s="402">
        <f t="shared" si="10"/>
        <v>14.260501801840606</v>
      </c>
      <c r="X39" s="157">
        <f t="shared" si="11"/>
        <v>46412</v>
      </c>
      <c r="Y39" s="385">
        <f t="shared" si="12"/>
        <v>13.022525826306849</v>
      </c>
      <c r="Z39" s="385">
        <f t="shared" si="22"/>
        <v>13.968926155392991</v>
      </c>
      <c r="AA39" s="386">
        <f t="shared" si="13"/>
        <v>15.995723407164141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0.12670869582949851</v>
      </c>
      <c r="AD39" s="231">
        <f>(INDEX(Models!$BJ39:$BT39,,AH39)*(1-AF39)+INDEX(Models!$BJ39:$BT39,,AH39+1)*AF39-ERP_i)*AE39*Ramure*Pc/MaxiM</f>
        <v>7.743073101288836E-2</v>
      </c>
      <c r="AE39" s="305">
        <f t="shared" si="15"/>
        <v>0.7</v>
      </c>
      <c r="AF39" s="177">
        <f t="shared" si="23"/>
        <v>0.6011691218771289</v>
      </c>
      <c r="AG39" s="817">
        <f t="shared" si="24"/>
        <v>1</v>
      </c>
      <c r="AH39" s="176">
        <f t="shared" si="16"/>
        <v>7</v>
      </c>
      <c r="AI39" s="225">
        <f t="shared" si="17"/>
        <v>1.6011691218771289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46413</v>
      </c>
      <c r="B40" s="411">
        <f>'2026'!Wh/'2026'!Env_an*'2027'!Env_an</f>
        <v>15.502411154972624</v>
      </c>
      <c r="C40" s="846"/>
      <c r="D40" s="393">
        <f t="shared" si="0"/>
        <v>16.629399142072891</v>
      </c>
      <c r="E40" s="385">
        <f t="shared" si="1"/>
        <v>18.32259976961948</v>
      </c>
      <c r="F40" s="385">
        <f t="shared" si="2"/>
        <v>18.754153438721254</v>
      </c>
      <c r="G40" s="110">
        <f t="shared" si="21"/>
        <v>1.0094728002838942</v>
      </c>
      <c r="H40" s="414" t="b">
        <f>Wh_hp&gt;='2026'!Maxi_hp</f>
        <v>1</v>
      </c>
      <c r="I40" s="390">
        <f>IF(H40,Wh_hp,'2026'!Maxi_hp)</f>
        <v>18.754153438721254</v>
      </c>
      <c r="J40" s="85">
        <f>IF(H40,An,'2026'!An_max)</f>
        <v>2027</v>
      </c>
      <c r="K40" s="197">
        <f t="shared" si="3"/>
        <v>46413</v>
      </c>
      <c r="L40" s="147">
        <f>IF(t&lt;Tvie,1-EXP((T0-t)*PertePVj)+'2026'!Pspv,1-EXP((T0-t)*PertePVj)+Pspv)</f>
        <v>6.7770818264200061E-2</v>
      </c>
      <c r="M40" s="850"/>
      <c r="N40" s="850"/>
      <c r="O40" s="48">
        <f>IF(t&lt;Tnet,'2026'!Resal+('2026'!Salim-'2026'!Resal)*(1-EXP(('2026'!Tnet-t)/('2026'!Tau_j))),Resal+(Salim-Resal)*(1-EXP((Tnet-t)/(Tau_j))))*Salcycl</f>
        <v>9.2410501175388224E-2</v>
      </c>
      <c r="P40" s="169">
        <f>(INDEX(Models!$BJ40:$BT40,,T40)*(1-R40)+INDEX(Models!$BJ40:$BT40,,T40+1)*R40-ERP_i)*Q40*Ramure*Pc/MaxiM</f>
        <v>2.3011098342128104E-2</v>
      </c>
      <c r="Q40" s="305">
        <f t="shared" si="4"/>
        <v>0.7</v>
      </c>
      <c r="R40" s="177">
        <f t="shared" si="5"/>
        <v>0.97738371251346567</v>
      </c>
      <c r="S40" s="817">
        <f t="shared" si="6"/>
        <v>-2</v>
      </c>
      <c r="T40" s="176">
        <f t="shared" si="7"/>
        <v>4</v>
      </c>
      <c r="U40" s="251">
        <f t="shared" si="8"/>
        <v>-1.0226162874865343</v>
      </c>
      <c r="V40" s="383">
        <f t="shared" si="9"/>
        <v>15.356937948811378</v>
      </c>
      <c r="W40" s="402">
        <f t="shared" si="10"/>
        <v>15.502411154972624</v>
      </c>
      <c r="X40" s="157">
        <f t="shared" si="11"/>
        <v>46413</v>
      </c>
      <c r="Y40" s="385">
        <f t="shared" si="12"/>
        <v>14.087071328149158</v>
      </c>
      <c r="Z40" s="385">
        <f t="shared" si="22"/>
        <v>15.111167515609406</v>
      </c>
      <c r="AA40" s="386">
        <f t="shared" si="13"/>
        <v>17.30422184068787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0.12673521787162229</v>
      </c>
      <c r="AD40" s="231">
        <f>(INDEX(Models!$BJ40:$BT40,,AH40)*(1-AF40)+INDEX(Models!$BJ40:$BT40,,AH40+1)*AF40-ERP_i)*AE40*Ramure*Pc/MaxiM</f>
        <v>7.7312559203005365E-2</v>
      </c>
      <c r="AE40" s="305">
        <f t="shared" si="15"/>
        <v>0.7</v>
      </c>
      <c r="AF40" s="177">
        <f t="shared" si="23"/>
        <v>0.6012470818895217</v>
      </c>
      <c r="AG40" s="817">
        <f t="shared" si="24"/>
        <v>1</v>
      </c>
      <c r="AH40" s="176">
        <f t="shared" si="16"/>
        <v>7</v>
      </c>
      <c r="AI40" s="225">
        <f t="shared" si="17"/>
        <v>1.6012470818895217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46414</v>
      </c>
      <c r="B41" s="411">
        <f>'2026'!Wh/'2026'!Env_an*'2027'!Env_an</f>
        <v>13.243374536936974</v>
      </c>
      <c r="C41" s="846"/>
      <c r="D41" s="393">
        <f t="shared" si="0"/>
        <v>14.206447155538825</v>
      </c>
      <c r="E41" s="385">
        <f t="shared" si="1"/>
        <v>15.65421701948134</v>
      </c>
      <c r="F41" s="385">
        <f t="shared" si="2"/>
        <v>15.939677372040419</v>
      </c>
      <c r="G41" s="110">
        <f t="shared" si="21"/>
        <v>0.84524326372766989</v>
      </c>
      <c r="H41" s="414" t="b">
        <f>Wh_hp&gt;='2026'!Maxi_hp</f>
        <v>0</v>
      </c>
      <c r="I41" s="390">
        <f>IF(H41,Wh_hp,'2026'!Maxi_hp)</f>
        <v>15.98101708179443</v>
      </c>
      <c r="J41" s="85">
        <f>IF(H41,An,'2026'!An_max)</f>
        <v>2026</v>
      </c>
      <c r="K41" s="197">
        <f t="shared" si="3"/>
        <v>46414</v>
      </c>
      <c r="L41" s="147">
        <f>IF(t&lt;Tvie,1-EXP((T0-t)*PertePVj)+'2026'!Pspv,1-EXP((T0-t)*PertePVj)+Pspv)</f>
        <v>6.7791236475783223E-2</v>
      </c>
      <c r="M41" s="850"/>
      <c r="N41" s="850"/>
      <c r="O41" s="48">
        <f>IF(t&lt;Tnet,'2026'!Resal+('2026'!Salim-'2026'!Resal)*(1-EXP(('2026'!Tnet-t)/('2026'!Tau_j))),Resal+(Salim-Resal)*(1-EXP((Tnet-t)/(Tau_j))))*Salcycl</f>
        <v>9.2484335827259595E-2</v>
      </c>
      <c r="P41" s="169">
        <f>(INDEX(Models!$BJ41:$BT41,,T41)*(1-R41)+INDEX(Models!$BJ41:$BT41,,T41+1)*R41-ERP_i)*Q41*Ramure*Pc/MaxiM</f>
        <v>2.2814310237459338E-2</v>
      </c>
      <c r="Q41" s="305">
        <f t="shared" si="4"/>
        <v>0.7</v>
      </c>
      <c r="R41" s="177">
        <f t="shared" si="5"/>
        <v>0.97746491719528739</v>
      </c>
      <c r="S41" s="817">
        <f t="shared" si="6"/>
        <v>-2</v>
      </c>
      <c r="T41" s="176">
        <f t="shared" si="7"/>
        <v>4</v>
      </c>
      <c r="U41" s="251">
        <f t="shared" si="8"/>
        <v>-1.0225350828047126</v>
      </c>
      <c r="V41" s="383">
        <f t="shared" si="9"/>
        <v>15.589860107199767</v>
      </c>
      <c r="W41" s="402">
        <f t="shared" si="10"/>
        <v>13.243374536936974</v>
      </c>
      <c r="X41" s="157">
        <f t="shared" si="11"/>
        <v>46414</v>
      </c>
      <c r="Y41" s="385">
        <f t="shared" si="12"/>
        <v>12.189403377387102</v>
      </c>
      <c r="Z41" s="385">
        <f t="shared" si="22"/>
        <v>13.075830065472719</v>
      </c>
      <c r="AA41" s="386">
        <f t="shared" si="13"/>
        <v>14.973957374655765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0.12676190145937841</v>
      </c>
      <c r="AD41" s="231">
        <f>(INDEX(Models!$BJ41:$BT41,,AH41)*(1-AF41)+INDEX(Models!$BJ41:$BT41,,AH41+1)*AF41-ERP_i)*AE41*Ramure*Pc/MaxiM</f>
        <v>7.7181420906050777E-2</v>
      </c>
      <c r="AE41" s="305">
        <f t="shared" si="15"/>
        <v>0.7</v>
      </c>
      <c r="AF41" s="177">
        <f t="shared" si="23"/>
        <v>0.60132828657134341</v>
      </c>
      <c r="AG41" s="817">
        <f t="shared" si="24"/>
        <v>1</v>
      </c>
      <c r="AH41" s="176">
        <f t="shared" si="16"/>
        <v>7</v>
      </c>
      <c r="AI41" s="225">
        <f t="shared" si="17"/>
        <v>1.6013282865713434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46415</v>
      </c>
      <c r="B42" s="411">
        <f>'2026'!Wh/'2026'!Env_an*'2027'!Env_an</f>
        <v>2.4766589723135994</v>
      </c>
      <c r="C42" s="846"/>
      <c r="D42" s="393">
        <f t="shared" si="0"/>
        <v>2.6568225011382505</v>
      </c>
      <c r="E42" s="385">
        <f t="shared" si="1"/>
        <v>2.9278159140471609</v>
      </c>
      <c r="F42" s="385">
        <f t="shared" si="2"/>
        <v>2.9278159140471609</v>
      </c>
      <c r="G42" s="110">
        <f t="shared" si="21"/>
        <v>0.15294204361182329</v>
      </c>
      <c r="H42" s="414" t="b">
        <f>Wh_hp&gt;='2026'!Maxi_hp</f>
        <v>0</v>
      </c>
      <c r="I42" s="390">
        <f>IF(H42,Wh_hp,'2026'!Maxi_hp)</f>
        <v>11.238202055607671</v>
      </c>
      <c r="J42" s="85">
        <f>IF(H42,An,'2026'!An_max)</f>
        <v>2020</v>
      </c>
      <c r="K42" s="197">
        <f t="shared" si="3"/>
        <v>46415</v>
      </c>
      <c r="L42" s="147">
        <f>IF(t&lt;Tvie,1-EXP((T0-t)*PertePVj)+'2026'!Pspv,1-EXP((T0-t)*PertePVj)+Pspv)</f>
        <v>6.7811654240155117E-2</v>
      </c>
      <c r="M42" s="850"/>
      <c r="N42" s="850"/>
      <c r="O42" s="48">
        <f>IF(t&lt;Tnet,'2026'!Resal+('2026'!Salim-'2026'!Resal)*(1-EXP(('2026'!Tnet-t)/('2026'!Tau_j))),Resal+(Salim-Resal)*(1-EXP((Tnet-t)/(Tau_j))))*Salcycl</f>
        <v>9.2558214336062067E-2</v>
      </c>
      <c r="P42" s="169">
        <f>(INDEX(Models!$BJ42:$BT42,,T42)*(1-R42)+INDEX(Models!$BJ42:$BT42,,T42+1)*R42-ERP_i)*Q42*Ramure*Pc/MaxiM</f>
        <v>2.2607469998482652E-2</v>
      </c>
      <c r="Q42" s="305">
        <f t="shared" si="4"/>
        <v>0.7</v>
      </c>
      <c r="R42" s="177">
        <f t="shared" si="5"/>
        <v>0.97754950046113342</v>
      </c>
      <c r="S42" s="817">
        <f t="shared" si="6"/>
        <v>-2</v>
      </c>
      <c r="T42" s="176">
        <f t="shared" si="7"/>
        <v>4</v>
      </c>
      <c r="U42" s="251">
        <f t="shared" si="8"/>
        <v>-1.0224504995388666</v>
      </c>
      <c r="V42" s="383">
        <f t="shared" si="9"/>
        <v>15.827354739971682</v>
      </c>
      <c r="W42" s="402">
        <f t="shared" si="10"/>
        <v>2.4766589723135994</v>
      </c>
      <c r="X42" s="157">
        <f t="shared" si="11"/>
        <v>46415</v>
      </c>
      <c r="Y42" s="385">
        <f t="shared" si="12"/>
        <v>2.3832344033076072</v>
      </c>
      <c r="Z42" s="385">
        <f t="shared" si="22"/>
        <v>2.5566018006425368</v>
      </c>
      <c r="AA42" s="386">
        <f t="shared" si="13"/>
        <v>2.9278159140471609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0.12678874775685242</v>
      </c>
      <c r="AD42" s="231">
        <f>(INDEX(Models!$BJ42:$BT42,,AH42)*(1-AF42)+INDEX(Models!$BJ42:$BT42,,AH42+1)*AF42-ERP_i)*AE42*Ramure*Pc/MaxiM</f>
        <v>7.7040661841426133E-2</v>
      </c>
      <c r="AE42" s="305">
        <f t="shared" si="15"/>
        <v>0.7</v>
      </c>
      <c r="AF42" s="177">
        <f t="shared" si="23"/>
        <v>0.60141286983718945</v>
      </c>
      <c r="AG42" s="817">
        <f t="shared" si="24"/>
        <v>1</v>
      </c>
      <c r="AH42" s="176">
        <f t="shared" si="16"/>
        <v>7</v>
      </c>
      <c r="AI42" s="225">
        <f t="shared" si="17"/>
        <v>1.6014128698371894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46416</v>
      </c>
      <c r="B43" s="411">
        <f>'2026'!Wh/'2026'!Env_an*'2027'!Env_an</f>
        <v>4.2332104629976079</v>
      </c>
      <c r="C43" s="846"/>
      <c r="D43" s="393">
        <f t="shared" si="0"/>
        <v>4.5412530659253827</v>
      </c>
      <c r="E43" s="385">
        <f t="shared" si="1"/>
        <v>5.0048643456131154</v>
      </c>
      <c r="F43" s="385">
        <f t="shared" si="2"/>
        <v>5.0048643456131154</v>
      </c>
      <c r="G43" s="110">
        <f t="shared" si="21"/>
        <v>0.25754261895929637</v>
      </c>
      <c r="H43" s="414" t="b">
        <f>Wh_hp&gt;='2026'!Maxi_hp</f>
        <v>0</v>
      </c>
      <c r="I43" s="390">
        <f>IF(H43,Wh_hp,'2026'!Maxi_hp)</f>
        <v>14.430567184560136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6.7832071557325624E-2</v>
      </c>
      <c r="M43" s="850"/>
      <c r="N43" s="850"/>
      <c r="O43" s="48">
        <f>IF(t&lt;Tnet,'2026'!Resal+('2026'!Salim-'2026'!Resal)*(1-EXP(('2026'!Tnet-t)/('2026'!Tau_j))),Resal+(Salim-Resal)*(1-EXP((Tnet-t)/(Tau_j))))*Salcycl</f>
        <v>9.2632136991704833E-2</v>
      </c>
      <c r="P43" s="169">
        <f>(INDEX(Models!$BJ43:$BT43,,T43)*(1-R43)+INDEX(Models!$BJ43:$BT43,,T43+1)*R43-ERP_i)*Q43*Ramure*Pc/MaxiM</f>
        <v>2.2391954849105493E-2</v>
      </c>
      <c r="Q43" s="305">
        <f t="shared" si="4"/>
        <v>0.7</v>
      </c>
      <c r="R43" s="177">
        <f t="shared" si="5"/>
        <v>0.97763760165641855</v>
      </c>
      <c r="S43" s="817">
        <f t="shared" si="6"/>
        <v>-2</v>
      </c>
      <c r="T43" s="176">
        <f t="shared" si="7"/>
        <v>4</v>
      </c>
      <c r="U43" s="251">
        <f t="shared" si="8"/>
        <v>-1.0223623983435814</v>
      </c>
      <c r="V43" s="383">
        <f t="shared" si="9"/>
        <v>16.068876763645346</v>
      </c>
      <c r="W43" s="402">
        <f t="shared" si="10"/>
        <v>4.2332104629976079</v>
      </c>
      <c r="X43" s="157">
        <f t="shared" si="11"/>
        <v>46416</v>
      </c>
      <c r="Y43" s="385">
        <f t="shared" si="12"/>
        <v>4.0737310915343565</v>
      </c>
      <c r="Z43" s="385">
        <f t="shared" si="22"/>
        <v>4.3701686866014926</v>
      </c>
      <c r="AA43" s="386">
        <f t="shared" si="13"/>
        <v>5.0048643456131154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0.12681575666839978</v>
      </c>
      <c r="AD43" s="231">
        <f>(INDEX(Models!$BJ43:$BT43,,AH43)*(1-AF43)+INDEX(Models!$BJ43:$BT43,,AH43+1)*AF43-ERP_i)*AE43*Ramure*Pc/MaxiM</f>
        <v>7.6893431853205782E-2</v>
      </c>
      <c r="AE43" s="305">
        <f t="shared" si="15"/>
        <v>0.7</v>
      </c>
      <c r="AF43" s="177">
        <f t="shared" si="23"/>
        <v>0.60150097103247457</v>
      </c>
      <c r="AG43" s="817">
        <f t="shared" si="24"/>
        <v>1</v>
      </c>
      <c r="AH43" s="176">
        <f t="shared" si="16"/>
        <v>7</v>
      </c>
      <c r="AI43" s="225">
        <f t="shared" si="17"/>
        <v>1.6015009710324746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46417</v>
      </c>
      <c r="B44" s="411">
        <f>'2026'!Wh/'2026'!Env_an*'2027'!Env_an</f>
        <v>2.7460630791893381</v>
      </c>
      <c r="C44" s="846"/>
      <c r="D44" s="393">
        <f t="shared" si="0"/>
        <v>2.9459533443974446</v>
      </c>
      <c r="E44" s="385">
        <f t="shared" si="1"/>
        <v>3.2469670021062735</v>
      </c>
      <c r="F44" s="385">
        <f t="shared" si="2"/>
        <v>3.2469670021062735</v>
      </c>
      <c r="G44" s="110">
        <f t="shared" si="21"/>
        <v>0.16459513366301406</v>
      </c>
      <c r="H44" s="414" t="b">
        <f>Wh_hp&gt;='2026'!Maxi_hp</f>
        <v>0</v>
      </c>
      <c r="I44" s="390">
        <f>IF(H44,Wh_hp,'2026'!Maxi_hp)</f>
        <v>7.5125643185257411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6.7852488427304403E-2</v>
      </c>
      <c r="M44" s="850"/>
      <c r="N44" s="850"/>
      <c r="O44" s="48">
        <f>IF(t&lt;Tnet,'2026'!Resal+('2026'!Salim-'2026'!Resal)*(1-EXP(('2026'!Tnet-t)/('2026'!Tau_j))),Resal+(Salim-Resal)*(1-EXP((Tnet-t)/(Tau_j))))*Salcycl</f>
        <v>9.2706103115173175E-2</v>
      </c>
      <c r="P44" s="169">
        <f>(INDEX(Models!$BJ44:$BT44,,T44)*(1-R44)+INDEX(Models!$BJ44:$BT44,,T44+1)*R44-ERP_i)*Q44*Ramure*Pc/MaxiM</f>
        <v>2.2136333049221343E-2</v>
      </c>
      <c r="Q44" s="305">
        <f t="shared" si="4"/>
        <v>0.7</v>
      </c>
      <c r="R44" s="177">
        <f t="shared" si="5"/>
        <v>0.97772936576941216</v>
      </c>
      <c r="S44" s="817">
        <f t="shared" si="6"/>
        <v>-2</v>
      </c>
      <c r="T44" s="176">
        <f t="shared" si="7"/>
        <v>4</v>
      </c>
      <c r="U44" s="251">
        <f t="shared" si="8"/>
        <v>-1.0222706342305878</v>
      </c>
      <c r="V44" s="383">
        <f t="shared" si="9"/>
        <v>16.314427119042083</v>
      </c>
      <c r="W44" s="402">
        <f t="shared" si="10"/>
        <v>2.7460630791893381</v>
      </c>
      <c r="X44" s="157">
        <f t="shared" si="11"/>
        <v>46417</v>
      </c>
      <c r="Y44" s="385">
        <f t="shared" si="12"/>
        <v>2.6427427863785402</v>
      </c>
      <c r="Z44" s="385">
        <f t="shared" si="22"/>
        <v>2.8351122044189894</v>
      </c>
      <c r="AA44" s="386">
        <f t="shared" si="13"/>
        <v>3.2469670021062735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0.12684292677446934</v>
      </c>
      <c r="AD44" s="231">
        <f>(INDEX(Models!$BJ44:$BT44,,AH44)*(1-AF44)+INDEX(Models!$BJ44:$BT44,,AH44+1)*AF44-ERP_i)*AE44*Ramure*Pc/MaxiM</f>
        <v>7.6702195954751529E-2</v>
      </c>
      <c r="AE44" s="305">
        <f t="shared" si="15"/>
        <v>0.7</v>
      </c>
      <c r="AF44" s="177">
        <f t="shared" si="23"/>
        <v>0.60159273514546818</v>
      </c>
      <c r="AG44" s="817">
        <f t="shared" si="24"/>
        <v>1</v>
      </c>
      <c r="AH44" s="176">
        <f t="shared" si="16"/>
        <v>7</v>
      </c>
      <c r="AI44" s="225">
        <f t="shared" si="17"/>
        <v>1.6015927351454682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46418</v>
      </c>
      <c r="B45" s="411">
        <f>'2026'!Wh/'2026'!Env_an*'2027'!Env_an</f>
        <v>6.4449106917856716</v>
      </c>
      <c r="C45" s="846"/>
      <c r="D45" s="393">
        <f t="shared" si="0"/>
        <v>6.9141973506834313</v>
      </c>
      <c r="E45" s="385">
        <f t="shared" si="1"/>
        <v>7.6213026574049829</v>
      </c>
      <c r="F45" s="385">
        <f t="shared" si="2"/>
        <v>7.6425527123633108</v>
      </c>
      <c r="G45" s="110">
        <f t="shared" si="21"/>
        <v>0.38166602697964852</v>
      </c>
      <c r="H45" s="414" t="b">
        <f>Wh_hp&gt;='2026'!Maxi_hp</f>
        <v>0</v>
      </c>
      <c r="I45" s="390">
        <f>IF(H45,Wh_hp,'2026'!Maxi_hp)</f>
        <v>13.77882589725804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6.7872904850101445E-2</v>
      </c>
      <c r="M45" s="850"/>
      <c r="N45" s="850"/>
      <c r="O45" s="48">
        <f>IF(t&lt;Tnet,'2026'!Resal+('2026'!Salim-'2026'!Resal)*(1-EXP(('2026'!Tnet-t)/('2026'!Tau_j))),Resal+(Salim-Resal)*(1-EXP((Tnet-t)/(Tau_j))))*Salcycl</f>
        <v>9.2780111026625672E-2</v>
      </c>
      <c r="P45" s="169">
        <f>(INDEX(Models!$BJ45:$BT45,,T45)*(1-R45)+INDEX(Models!$BJ45:$BT45,,T45+1)*R45-ERP_i)*Q45*Ramure*Pc/MaxiM</f>
        <v>2.1843464527937104E-2</v>
      </c>
      <c r="Q45" s="305">
        <f t="shared" si="4"/>
        <v>0.7</v>
      </c>
      <c r="R45" s="177">
        <f t="shared" si="5"/>
        <v>0.97782494365084216</v>
      </c>
      <c r="S45" s="817">
        <f t="shared" si="6"/>
        <v>-2</v>
      </c>
      <c r="T45" s="176">
        <f t="shared" si="7"/>
        <v>4</v>
      </c>
      <c r="U45" s="251">
        <f t="shared" si="8"/>
        <v>-1.0221750563491578</v>
      </c>
      <c r="V45" s="383">
        <f t="shared" si="9"/>
        <v>16.5634573858656</v>
      </c>
      <c r="W45" s="402">
        <f t="shared" si="10"/>
        <v>6.4449106917856716</v>
      </c>
      <c r="X45" s="157">
        <f t="shared" si="11"/>
        <v>46418</v>
      </c>
      <c r="Y45" s="385">
        <f t="shared" si="12"/>
        <v>6.1594777517236796</v>
      </c>
      <c r="Z45" s="385">
        <f t="shared" si="22"/>
        <v>6.607980589528033</v>
      </c>
      <c r="AA45" s="386">
        <f t="shared" si="13"/>
        <v>7.5681542515043114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0.12687025529182705</v>
      </c>
      <c r="AD45" s="231">
        <f>(INDEX(Models!$BJ45:$BT45,,AH45)*(1-AF45)+INDEX(Models!$BJ45:$BT45,,AH45+1)*AF45-ERP_i)*AE45*Ramure*Pc/MaxiM</f>
        <v>7.6476044127585116E-2</v>
      </c>
      <c r="AE45" s="305">
        <f t="shared" si="15"/>
        <v>0.7</v>
      </c>
      <c r="AF45" s="177">
        <f t="shared" si="23"/>
        <v>0.60168831302689818</v>
      </c>
      <c r="AG45" s="817">
        <f t="shared" si="24"/>
        <v>1</v>
      </c>
      <c r="AH45" s="176">
        <f t="shared" si="16"/>
        <v>7</v>
      </c>
      <c r="AI45" s="225">
        <f t="shared" si="17"/>
        <v>1.6016883130268982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46419</v>
      </c>
      <c r="B46" s="411">
        <f>'2026'!Wh/'2026'!Env_an*'2027'!Env_an</f>
        <v>8.0284708332080239</v>
      </c>
      <c r="C46" s="846"/>
      <c r="D46" s="393">
        <f t="shared" si="0"/>
        <v>8.613253195782498</v>
      </c>
      <c r="E46" s="385">
        <f t="shared" si="1"/>
        <v>9.4948935411409376</v>
      </c>
      <c r="F46" s="385">
        <f t="shared" si="2"/>
        <v>9.5469642564548849</v>
      </c>
      <c r="G46" s="110">
        <f t="shared" si="21"/>
        <v>0.46973620607118405</v>
      </c>
      <c r="H46" s="414" t="b">
        <f>Wh_hp&gt;='2026'!Maxi_hp</f>
        <v>0</v>
      </c>
      <c r="I46" s="390">
        <f>IF(H46,Wh_hp,'2026'!Maxi_hp)</f>
        <v>16.408521217221892</v>
      </c>
      <c r="J46" s="85">
        <f>IF(H46,An,'2026'!An_max)</f>
        <v>2019</v>
      </c>
      <c r="K46" s="197">
        <f t="shared" si="3"/>
        <v>46419</v>
      </c>
      <c r="L46" s="147">
        <f>IF(t&lt;Tvie,1-EXP((T0-t)*PertePVj)+'2026'!Pspv,1-EXP((T0-t)*PertePVj)+Pspv)</f>
        <v>6.78933208257263E-2</v>
      </c>
      <c r="M46" s="850"/>
      <c r="N46" s="850"/>
      <c r="O46" s="48">
        <f>IF(t&lt;Tnet,'2026'!Resal+('2026'!Salim-'2026'!Resal)*(1-EXP(('2026'!Tnet-t)/('2026'!Tau_j))),Resal+(Salim-Resal)*(1-EXP((Tnet-t)/(Tau_j))))*Salcycl</f>
        <v>9.2854158031191486E-2</v>
      </c>
      <c r="P46" s="169">
        <f>(INDEX(Models!$BJ46:$BT46,,T46)*(1-R46)+INDEX(Models!$BJ46:$BT46,,T46+1)*R46-ERP_i)*Q46*Ramure*Pc/MaxiM</f>
        <v>2.1515824480933022E-2</v>
      </c>
      <c r="Q46" s="305">
        <f t="shared" si="4"/>
        <v>0.7</v>
      </c>
      <c r="R46" s="177">
        <f t="shared" si="5"/>
        <v>0.97792449224128264</v>
      </c>
      <c r="S46" s="817">
        <f t="shared" si="6"/>
        <v>-2</v>
      </c>
      <c r="T46" s="176">
        <f t="shared" si="7"/>
        <v>4</v>
      </c>
      <c r="U46" s="251">
        <f t="shared" si="8"/>
        <v>-1.0220755077587174</v>
      </c>
      <c r="V46" s="383">
        <f t="shared" si="9"/>
        <v>16.815423186996309</v>
      </c>
      <c r="W46" s="402">
        <f t="shared" si="10"/>
        <v>8.0284708332080239</v>
      </c>
      <c r="X46" s="157">
        <f t="shared" si="11"/>
        <v>46419</v>
      </c>
      <c r="Y46" s="385">
        <f t="shared" si="12"/>
        <v>7.6194358317784037</v>
      </c>
      <c r="Z46" s="385">
        <f t="shared" si="22"/>
        <v>8.1744246683525983</v>
      </c>
      <c r="AA46" s="386">
        <f t="shared" si="13"/>
        <v>9.3625054299726944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0.12689773805808746</v>
      </c>
      <c r="AD46" s="231">
        <f>(INDEX(Models!$BJ46:$BT46,,AH46)*(1-AF46)+INDEX(Models!$BJ46:$BT46,,AH46+1)*AF46-ERP_i)*AE46*Ramure*Pc/MaxiM</f>
        <v>7.6219113000866104E-2</v>
      </c>
      <c r="AE46" s="305">
        <f t="shared" si="15"/>
        <v>0.7</v>
      </c>
      <c r="AF46" s="177">
        <f t="shared" si="23"/>
        <v>0.60178786161733866</v>
      </c>
      <c r="AG46" s="817">
        <f t="shared" si="24"/>
        <v>1</v>
      </c>
      <c r="AH46" s="176">
        <f t="shared" si="16"/>
        <v>7</v>
      </c>
      <c r="AI46" s="225">
        <f t="shared" si="17"/>
        <v>1.6017878616173387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46420</v>
      </c>
      <c r="B47" s="411">
        <f>'2026'!Wh/'2026'!Env_an*'2027'!Env_an</f>
        <v>3.5362822666252862</v>
      </c>
      <c r="C47" s="846"/>
      <c r="D47" s="393">
        <f t="shared" si="0"/>
        <v>3.7939431193774773</v>
      </c>
      <c r="E47" s="385">
        <f t="shared" si="1"/>
        <v>4.182627316215596</v>
      </c>
      <c r="F47" s="385">
        <f t="shared" si="2"/>
        <v>4.182627316215596</v>
      </c>
      <c r="G47" s="110">
        <f t="shared" si="21"/>
        <v>0.20278348882302918</v>
      </c>
      <c r="H47" s="414" t="b">
        <f>Wh_hp&gt;='2026'!Maxi_hp</f>
        <v>0</v>
      </c>
      <c r="I47" s="390">
        <f>IF(H47,Wh_hp,'2026'!Maxi_hp)</f>
        <v>18.666071177776274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6.7913736354188958E-2</v>
      </c>
      <c r="M47" s="850"/>
      <c r="N47" s="850"/>
      <c r="O47" s="48">
        <f>IF(t&lt;Tnet,'2026'!Resal+('2026'!Salim-'2026'!Resal)*(1-EXP(('2026'!Tnet-t)/('2026'!Tau_j))),Resal+(Salim-Resal)*(1-EXP((Tnet-t)/(Tau_j))))*Salcycl</f>
        <v>9.2928240422289643E-2</v>
      </c>
      <c r="P47" s="169">
        <f>(INDEX(Models!$BJ47:$BT47,,T47)*(1-R47)+INDEX(Models!$BJ47:$BT47,,T47+1)*R47-ERP_i)*Q47*Ramure*Pc/MaxiM</f>
        <v>2.1155732944325222E-2</v>
      </c>
      <c r="Q47" s="305">
        <f t="shared" si="4"/>
        <v>0.7</v>
      </c>
      <c r="R47" s="177">
        <f t="shared" si="5"/>
        <v>0.97802817480652737</v>
      </c>
      <c r="S47" s="817">
        <f t="shared" si="6"/>
        <v>-2</v>
      </c>
      <c r="T47" s="176">
        <f t="shared" si="7"/>
        <v>4</v>
      </c>
      <c r="U47" s="251">
        <f t="shared" si="8"/>
        <v>-1.0219718251934726</v>
      </c>
      <c r="V47" s="383">
        <f t="shared" si="9"/>
        <v>17.069780402080273</v>
      </c>
      <c r="W47" s="402">
        <f t="shared" si="10"/>
        <v>3.5362822666252862</v>
      </c>
      <c r="X47" s="157">
        <f t="shared" si="11"/>
        <v>46420</v>
      </c>
      <c r="Y47" s="385">
        <f t="shared" si="12"/>
        <v>3.4037420970671026</v>
      </c>
      <c r="Z47" s="385">
        <f t="shared" si="22"/>
        <v>3.6517457984559578</v>
      </c>
      <c r="AA47" s="386">
        <f t="shared" si="13"/>
        <v>4.182627316215596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0.1269253695402093</v>
      </c>
      <c r="AD47" s="231">
        <f>(INDEX(Models!$BJ47:$BT47,,AH47)*(1-AF47)+INDEX(Models!$BJ47:$BT47,,AH47+1)*AF47-ERP_i)*AE47*Ramure*Pc/MaxiM</f>
        <v>7.5935295720040166E-2</v>
      </c>
      <c r="AE47" s="305">
        <f t="shared" si="15"/>
        <v>0.7</v>
      </c>
      <c r="AF47" s="177">
        <f t="shared" si="23"/>
        <v>0.60189154418258339</v>
      </c>
      <c r="AG47" s="817">
        <f t="shared" si="24"/>
        <v>1</v>
      </c>
      <c r="AH47" s="176">
        <f t="shared" si="16"/>
        <v>7</v>
      </c>
      <c r="AI47" s="225">
        <f t="shared" si="17"/>
        <v>1.6018915441825834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46421</v>
      </c>
      <c r="B48" s="411">
        <f>'2026'!Wh/'2026'!Env_an*'2027'!Env_an</f>
        <v>7.5425992127537711</v>
      </c>
      <c r="C48" s="846"/>
      <c r="D48" s="393">
        <f t="shared" si="0"/>
        <v>8.0923458620121398</v>
      </c>
      <c r="E48" s="385">
        <f t="shared" si="1"/>
        <v>8.9221244324705946</v>
      </c>
      <c r="F48" s="385">
        <f t="shared" si="2"/>
        <v>8.9580881970302357</v>
      </c>
      <c r="G48" s="110">
        <f t="shared" si="21"/>
        <v>0.42801296287944379</v>
      </c>
      <c r="H48" s="414" t="b">
        <f>Wh_hp&gt;='2026'!Maxi_hp</f>
        <v>0</v>
      </c>
      <c r="I48" s="390">
        <f>IF(H48,Wh_hp,'2026'!Maxi_hp)</f>
        <v>16.889504299779531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6.793415143549919E-2</v>
      </c>
      <c r="M48" s="850"/>
      <c r="N48" s="850"/>
      <c r="O48" s="48">
        <f>IF(t&lt;Tnet,'2026'!Resal+('2026'!Salim-'2026'!Resal)*(1-EXP(('2026'!Tnet-t)/('2026'!Tau_j))),Resal+(Salim-Resal)*(1-EXP((Tnet-t)/(Tau_j))))*Salcycl</f>
        <v>9.3002353502111404E-2</v>
      </c>
      <c r="P48" s="169">
        <f>(INDEX(Models!$BJ48:$BT48,,T48)*(1-R48)+INDEX(Models!$BJ48:$BT48,,T48+1)*R48-ERP_i)*Q48*Ramure*Pc/MaxiM</f>
        <v>2.0765352486857385E-2</v>
      </c>
      <c r="Q48" s="305">
        <f t="shared" si="4"/>
        <v>0.7</v>
      </c>
      <c r="R48" s="177">
        <f t="shared" si="5"/>
        <v>0.97813616118116053</v>
      </c>
      <c r="S48" s="817">
        <f t="shared" si="6"/>
        <v>-2</v>
      </c>
      <c r="T48" s="176">
        <f t="shared" si="7"/>
        <v>4</v>
      </c>
      <c r="U48" s="251">
        <f t="shared" si="8"/>
        <v>-1.0218638388188395</v>
      </c>
      <c r="V48" s="383">
        <f t="shared" si="9"/>
        <v>17.325985182207464</v>
      </c>
      <c r="W48" s="402">
        <f t="shared" si="10"/>
        <v>7.5425992127537711</v>
      </c>
      <c r="X48" s="157">
        <f t="shared" si="11"/>
        <v>46421</v>
      </c>
      <c r="Y48" s="385">
        <f t="shared" si="12"/>
        <v>7.1829447555457193</v>
      </c>
      <c r="Z48" s="385">
        <f t="shared" si="22"/>
        <v>7.7064777843843997</v>
      </c>
      <c r="AA48" s="386">
        <f t="shared" si="13"/>
        <v>8.8271067256185436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0.12695314286636966</v>
      </c>
      <c r="AD48" s="231">
        <f>(INDEX(Models!$BJ48:$BT48,,AH48)*(1-AF48)+INDEX(Models!$BJ48:$BT48,,AH48+1)*AF48-ERP_i)*AE48*Ramure*Pc/MaxiM</f>
        <v>7.5628245719394568E-2</v>
      </c>
      <c r="AE48" s="305">
        <f t="shared" si="15"/>
        <v>0.7</v>
      </c>
      <c r="AF48" s="177">
        <f t="shared" si="23"/>
        <v>0.60199953055721656</v>
      </c>
      <c r="AG48" s="817">
        <f t="shared" si="24"/>
        <v>1</v>
      </c>
      <c r="AH48" s="176">
        <f t="shared" si="16"/>
        <v>7</v>
      </c>
      <c r="AI48" s="225">
        <f t="shared" si="17"/>
        <v>1.6019995305572166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46422</v>
      </c>
      <c r="B49" s="411">
        <f>'2026'!Wh/'2026'!Env_an*'2027'!Env_an</f>
        <v>7.3179392293816639</v>
      </c>
      <c r="C49" s="846"/>
      <c r="D49" s="393">
        <f t="shared" si="0"/>
        <v>7.8514833751426867</v>
      </c>
      <c r="E49" s="385">
        <f t="shared" si="1"/>
        <v>8.6572718675652425</v>
      </c>
      <c r="F49" s="385">
        <f t="shared" si="2"/>
        <v>8.6866068527949221</v>
      </c>
      <c r="G49" s="110">
        <f t="shared" si="21"/>
        <v>0.40909591558308189</v>
      </c>
      <c r="H49" s="414" t="b">
        <f>Wh_hp&gt;='2026'!Maxi_hp</f>
        <v>0</v>
      </c>
      <c r="I49" s="390">
        <f>IF(H49,Wh_hp,'2026'!Maxi_hp)</f>
        <v>17.966121132529384</v>
      </c>
      <c r="J49" s="85">
        <f>IF(H49,An,'2026'!An_max)</f>
        <v>2019</v>
      </c>
      <c r="K49" s="197">
        <f t="shared" si="3"/>
        <v>46422</v>
      </c>
      <c r="L49" s="147">
        <f>IF(t&lt;Tvie,1-EXP((T0-t)*PertePVj)+'2026'!Pspv,1-EXP((T0-t)*PertePVj)+Pspv)</f>
        <v>6.7954566069666655E-2</v>
      </c>
      <c r="M49" s="850"/>
      <c r="N49" s="850"/>
      <c r="O49" s="48">
        <f>IF(t&lt;Tnet,'2026'!Resal+('2026'!Salim-'2026'!Resal)*(1-EXP(('2026'!Tnet-t)/('2026'!Tau_j))),Resal+(Salim-Resal)*(1-EXP((Tnet-t)/(Tau_j))))*Salcycl</f>
        <v>9.3076491618736157E-2</v>
      </c>
      <c r="P49" s="169">
        <f>(INDEX(Models!$BJ49:$BT49,,T49)*(1-R49)+INDEX(Models!$BJ49:$BT49,,T49+1)*R49-ERP_i)*Q49*Ramure*Pc/MaxiM</f>
        <v>2.0346687737454853E-2</v>
      </c>
      <c r="Q49" s="305">
        <f t="shared" si="4"/>
        <v>0.7</v>
      </c>
      <c r="R49" s="177">
        <f t="shared" si="5"/>
        <v>0.97824862802052648</v>
      </c>
      <c r="S49" s="817">
        <f t="shared" si="6"/>
        <v>-2</v>
      </c>
      <c r="T49" s="176">
        <f t="shared" si="7"/>
        <v>4</v>
      </c>
      <c r="U49" s="251">
        <f t="shared" si="8"/>
        <v>-1.0217513719794735</v>
      </c>
      <c r="V49" s="383">
        <f t="shared" si="9"/>
        <v>17.58349395607916</v>
      </c>
      <c r="W49" s="402">
        <f t="shared" si="10"/>
        <v>7.3179392293816639</v>
      </c>
      <c r="X49" s="157">
        <f t="shared" si="11"/>
        <v>46422</v>
      </c>
      <c r="Y49" s="385">
        <f t="shared" si="12"/>
        <v>6.9798943355766232</v>
      </c>
      <c r="Z49" s="385">
        <f t="shared" si="22"/>
        <v>7.4887919424090459</v>
      </c>
      <c r="AA49" s="386">
        <f t="shared" si="13"/>
        <v>8.5780405355268652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0.12698104988039874</v>
      </c>
      <c r="AD49" s="231">
        <f>(INDEX(Models!$BJ49:$BT49,,AH49)*(1-AF49)+INDEX(Models!$BJ49:$BT49,,AH49+1)*AF49-ERP_i)*AE49*Ramure*Pc/MaxiM</f>
        <v>7.5301382937930567E-2</v>
      </c>
      <c r="AE49" s="305">
        <f t="shared" si="15"/>
        <v>0.7</v>
      </c>
      <c r="AF49" s="177">
        <f t="shared" si="23"/>
        <v>0.6021119973965825</v>
      </c>
      <c r="AG49" s="817">
        <f t="shared" si="24"/>
        <v>1</v>
      </c>
      <c r="AH49" s="176">
        <f t="shared" si="16"/>
        <v>7</v>
      </c>
      <c r="AI49" s="225">
        <f t="shared" si="17"/>
        <v>1.6021119973965825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46423</v>
      </c>
      <c r="B50" s="411">
        <f>'2026'!Wh/'2026'!Env_an*'2027'!Env_an</f>
        <v>6.7910285550640879</v>
      </c>
      <c r="C50" s="846"/>
      <c r="D50" s="393">
        <f t="shared" si="0"/>
        <v>7.2863157224411141</v>
      </c>
      <c r="E50" s="385">
        <f t="shared" si="1"/>
        <v>8.0347587040038331</v>
      </c>
      <c r="F50" s="385">
        <f t="shared" si="2"/>
        <v>8.05321867841071</v>
      </c>
      <c r="G50" s="110">
        <f t="shared" si="21"/>
        <v>0.37390745095129552</v>
      </c>
      <c r="H50" s="414" t="b">
        <f>Wh_hp&gt;='2026'!Maxi_hp</f>
        <v>0</v>
      </c>
      <c r="I50" s="390">
        <f>IF(H50,Wh_hp,'2026'!Maxi_hp)</f>
        <v>21.61065608350567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6.7974980256701234E-2</v>
      </c>
      <c r="M50" s="850"/>
      <c r="N50" s="850"/>
      <c r="O50" s="48">
        <f>IF(t&lt;Tnet,'2026'!Resal+('2026'!Salim-'2026'!Resal)*(1-EXP(('2026'!Tnet-t)/('2026'!Tau_j))),Resal+(Salim-Resal)*(1-EXP((Tnet-t)/(Tau_j))))*Salcycl</f>
        <v>9.3150648219187823E-2</v>
      </c>
      <c r="P50" s="169">
        <f>(INDEX(Models!$BJ50:$BT50,,T50)*(1-R50)+INDEX(Models!$BJ50:$BT50,,T50+1)*R50-ERP_i)*Q50*Ramure*Pc/MaxiM</f>
        <v>1.990158639473372E-2</v>
      </c>
      <c r="Q50" s="305">
        <f t="shared" si="4"/>
        <v>0.7</v>
      </c>
      <c r="R50" s="177">
        <f t="shared" si="5"/>
        <v>0.97836575906130729</v>
      </c>
      <c r="S50" s="817">
        <f t="shared" si="6"/>
        <v>-2</v>
      </c>
      <c r="T50" s="176">
        <f t="shared" si="7"/>
        <v>4</v>
      </c>
      <c r="U50" s="251">
        <f t="shared" si="8"/>
        <v>-1.0216342409386927</v>
      </c>
      <c r="V50" s="383">
        <f t="shared" si="9"/>
        <v>17.84176343304291</v>
      </c>
      <c r="W50" s="402">
        <f t="shared" si="10"/>
        <v>6.7910285550640879</v>
      </c>
      <c r="X50" s="157">
        <f t="shared" si="11"/>
        <v>46423</v>
      </c>
      <c r="Y50" s="385">
        <f t="shared" si="12"/>
        <v>6.4959248159705059</v>
      </c>
      <c r="Z50" s="385">
        <f t="shared" si="22"/>
        <v>6.9696893091557071</v>
      </c>
      <c r="AA50" s="386">
        <f t="shared" si="13"/>
        <v>7.9836905049112916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0.12700908121774077</v>
      </c>
      <c r="AD50" s="231">
        <f>(INDEX(Models!$BJ50:$BT50,,AH50)*(1-AF50)+INDEX(Models!$BJ50:$BT50,,AH50+1)*AF50-ERP_i)*AE50*Ramure*Pc/MaxiM</f>
        <v>7.4957901959565115E-2</v>
      </c>
      <c r="AE50" s="305">
        <f t="shared" si="15"/>
        <v>0.7</v>
      </c>
      <c r="AF50" s="177">
        <f t="shared" si="23"/>
        <v>0.60222912843736331</v>
      </c>
      <c r="AG50" s="817">
        <f t="shared" si="24"/>
        <v>1</v>
      </c>
      <c r="AH50" s="176">
        <f t="shared" si="16"/>
        <v>7</v>
      </c>
      <c r="AI50" s="225">
        <f t="shared" si="17"/>
        <v>1.6022291284373633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46424</v>
      </c>
      <c r="B51" s="411">
        <f>'2026'!Wh/'2026'!Env_an*'2027'!Env_an</f>
        <v>13.918314630648547</v>
      </c>
      <c r="C51" s="846"/>
      <c r="D51" s="393">
        <f t="shared" si="0"/>
        <v>14.933740177887023</v>
      </c>
      <c r="E51" s="385">
        <f t="shared" si="1"/>
        <v>16.469065805984535</v>
      </c>
      <c r="F51" s="385">
        <f t="shared" si="2"/>
        <v>16.686202223115455</v>
      </c>
      <c r="G51" s="110">
        <f t="shared" si="21"/>
        <v>0.76384323001582588</v>
      </c>
      <c r="H51" s="414" t="b">
        <f>Wh_hp&gt;='2026'!Maxi_hp</f>
        <v>0</v>
      </c>
      <c r="I51" s="390">
        <f>IF(H51,Wh_hp,'2026'!Maxi_hp)</f>
        <v>22.282786270723793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6.7995393996612807E-2</v>
      </c>
      <c r="M51" s="850"/>
      <c r="N51" s="850"/>
      <c r="O51" s="48">
        <f>IF(t&lt;Tnet,'2026'!Resal+('2026'!Salim-'2026'!Resal)*(1-EXP(('2026'!Tnet-t)/('2026'!Tau_j))),Resal+(Salim-Resal)*(1-EXP((Tnet-t)/(Tau_j))))*Salcycl</f>
        <v>9.322481591758558E-2</v>
      </c>
      <c r="P51" s="169">
        <f>(INDEX(Models!$BJ51:$BT51,,T51)*(1-R51)+INDEX(Models!$BJ51:$BT51,,T51+1)*R51-ERP_i)*Q51*Ramure*Pc/MaxiM</f>
        <v>1.9428869255066355E-2</v>
      </c>
      <c r="Q51" s="305">
        <f t="shared" si="4"/>
        <v>0.7</v>
      </c>
      <c r="R51" s="177">
        <f t="shared" si="5"/>
        <v>0.97848774539090133</v>
      </c>
      <c r="S51" s="817">
        <f t="shared" si="6"/>
        <v>-2</v>
      </c>
      <c r="T51" s="176">
        <f t="shared" si="7"/>
        <v>4</v>
      </c>
      <c r="U51" s="251">
        <f t="shared" si="8"/>
        <v>-1.0215122546090987</v>
      </c>
      <c r="V51" s="383">
        <f t="shared" si="9"/>
        <v>18.102979371434326</v>
      </c>
      <c r="W51" s="402">
        <f t="shared" si="10"/>
        <v>13.918314630648547</v>
      </c>
      <c r="X51" s="157">
        <f t="shared" si="11"/>
        <v>46424</v>
      </c>
      <c r="Y51" s="385">
        <f t="shared" si="12"/>
        <v>12.897751263830786</v>
      </c>
      <c r="Z51" s="385">
        <f t="shared" si="22"/>
        <v>13.83872051785108</v>
      </c>
      <c r="AA51" s="386">
        <f t="shared" si="13"/>
        <v>15.852589522012209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0.12703722640170298</v>
      </c>
      <c r="AD51" s="231">
        <f>(INDEX(Models!$BJ51:$BT51,,AH51)*(1-AF51)+INDEX(Models!$BJ51:$BT51,,AH51+1)*AF51-ERP_i)*AE51*Ramure*Pc/MaxiM</f>
        <v>7.4589755109261385E-2</v>
      </c>
      <c r="AE51" s="305">
        <f t="shared" si="15"/>
        <v>0.7</v>
      </c>
      <c r="AF51" s="177">
        <f t="shared" si="23"/>
        <v>0.60235111476695735</v>
      </c>
      <c r="AG51" s="817">
        <f t="shared" si="24"/>
        <v>1</v>
      </c>
      <c r="AH51" s="176">
        <f t="shared" si="16"/>
        <v>7</v>
      </c>
      <c r="AI51" s="225">
        <f t="shared" si="17"/>
        <v>1.6023511147669574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46425</v>
      </c>
      <c r="B52" s="411">
        <f>'2026'!Wh/'2026'!Env_an*'2027'!Env_an</f>
        <v>8.1651728285899914</v>
      </c>
      <c r="C52" s="846"/>
      <c r="D52" s="393">
        <f t="shared" si="0"/>
        <v>8.7610636451272299</v>
      </c>
      <c r="E52" s="385">
        <f t="shared" si="1"/>
        <v>9.6625718019836988</v>
      </c>
      <c r="F52" s="385">
        <f t="shared" si="2"/>
        <v>9.7004303705010528</v>
      </c>
      <c r="G52" s="110">
        <f t="shared" si="21"/>
        <v>0.43779706401340152</v>
      </c>
      <c r="H52" s="414" t="b">
        <f>Wh_hp&gt;='2026'!Maxi_hp</f>
        <v>0</v>
      </c>
      <c r="I52" s="390">
        <f>IF(H52,Wh_hp,'2026'!Maxi_hp)</f>
        <v>15.348596284444294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6.8015807289411034E-2</v>
      </c>
      <c r="M52" s="850"/>
      <c r="N52" s="850"/>
      <c r="O52" s="48">
        <f>IF(t&lt;Tnet,'2026'!Resal+('2026'!Salim-'2026'!Resal)*(1-EXP(('2026'!Tnet-t)/('2026'!Tau_j))),Resal+(Salim-Resal)*(1-EXP((Tnet-t)/(Tau_j))))*Salcycl</f>
        <v>9.3298986577402904E-2</v>
      </c>
      <c r="P52" s="169">
        <f>(INDEX(Models!$BJ52:$BT52,,T52)*(1-R52)+INDEX(Models!$BJ52:$BT52,,T52+1)*R52-ERP_i)*Q52*Ramure*Pc/MaxiM</f>
        <v>1.8907140323913697E-2</v>
      </c>
      <c r="Q52" s="305">
        <f t="shared" si="4"/>
        <v>0.7</v>
      </c>
      <c r="R52" s="177">
        <f t="shared" si="5"/>
        <v>0.97861478572580296</v>
      </c>
      <c r="S52" s="817">
        <f t="shared" si="6"/>
        <v>-2</v>
      </c>
      <c r="T52" s="176">
        <f t="shared" si="7"/>
        <v>4</v>
      </c>
      <c r="U52" s="251">
        <f t="shared" si="8"/>
        <v>-1.021385214274197</v>
      </c>
      <c r="V52" s="383">
        <f t="shared" si="9"/>
        <v>18.369651637232952</v>
      </c>
      <c r="W52" s="402">
        <f t="shared" si="10"/>
        <v>8.1651728285899914</v>
      </c>
      <c r="X52" s="157">
        <f t="shared" si="11"/>
        <v>46425</v>
      </c>
      <c r="Y52" s="385">
        <f t="shared" si="12"/>
        <v>7.7711570667616829</v>
      </c>
      <c r="Z52" s="385">
        <f t="shared" si="22"/>
        <v>8.3382927817262633</v>
      </c>
      <c r="AA52" s="386">
        <f t="shared" si="13"/>
        <v>9.5520254188348126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0.12706547395856943</v>
      </c>
      <c r="AD52" s="231">
        <f>(INDEX(Models!$BJ52:$BT52,,AH52)*(1-AF52)+INDEX(Models!$BJ52:$BT52,,AH52+1)*AF52-ERP_i)*AE52*Ramure*Pc/MaxiM</f>
        <v>7.4115671981391115E-2</v>
      </c>
      <c r="AE52" s="305">
        <f t="shared" si="15"/>
        <v>0.7</v>
      </c>
      <c r="AF52" s="177">
        <f t="shared" si="23"/>
        <v>0.60247815510185898</v>
      </c>
      <c r="AG52" s="817">
        <f t="shared" si="24"/>
        <v>1</v>
      </c>
      <c r="AH52" s="176">
        <f t="shared" si="16"/>
        <v>7</v>
      </c>
      <c r="AI52" s="225">
        <f t="shared" si="17"/>
        <v>1.602478155101859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46426</v>
      </c>
      <c r="B53" s="411">
        <f>'2026'!Wh/'2026'!Env_an*'2027'!Env_an</f>
        <v>19.410849344271043</v>
      </c>
      <c r="C53" s="846"/>
      <c r="D53" s="393">
        <f t="shared" si="0"/>
        <v>20.827901001780361</v>
      </c>
      <c r="E53" s="385">
        <f t="shared" si="1"/>
        <v>22.972958537569095</v>
      </c>
      <c r="F53" s="385">
        <f t="shared" si="2"/>
        <v>23.402327715383755</v>
      </c>
      <c r="G53" s="110">
        <f t="shared" si="21"/>
        <v>1.0412989230211518</v>
      </c>
      <c r="H53" s="414" t="b">
        <f>Wh_hp&gt;='2026'!Maxi_hp</f>
        <v>1</v>
      </c>
      <c r="I53" s="390">
        <f>IF(H53,Wh_hp,'2026'!Maxi_hp)</f>
        <v>23.402327715383755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6.8036220135105796E-2</v>
      </c>
      <c r="M53" s="850"/>
      <c r="N53" s="850"/>
      <c r="O53" s="48">
        <f>IF(t&lt;Tnet,'2026'!Resal+('2026'!Salim-'2026'!Resal)*(1-EXP(('2026'!Tnet-t)/('2026'!Tau_j))),Resal+(Salim-Resal)*(1-EXP((Tnet-t)/(Tau_j))))*Salcycl</f>
        <v>9.3373151406719757E-2</v>
      </c>
      <c r="P53" s="169">
        <f>(INDEX(Models!$BJ53:$BT53,,T53)*(1-R53)+INDEX(Models!$BJ53:$BT53,,T53+1)*R53-ERP_i)*Q53*Ramure*Pc/MaxiM</f>
        <v>1.8347285066536843E-2</v>
      </c>
      <c r="Q53" s="305">
        <f t="shared" si="4"/>
        <v>0.7</v>
      </c>
      <c r="R53" s="177">
        <f t="shared" si="5"/>
        <v>0.97874708669916921</v>
      </c>
      <c r="S53" s="817">
        <f t="shared" si="6"/>
        <v>-2</v>
      </c>
      <c r="T53" s="176">
        <f t="shared" si="7"/>
        <v>4</v>
      </c>
      <c r="U53" s="251">
        <f t="shared" si="8"/>
        <v>-1.0212529133008308</v>
      </c>
      <c r="V53" s="383">
        <f t="shared" si="9"/>
        <v>18.640996274109035</v>
      </c>
      <c r="W53" s="402">
        <f t="shared" si="10"/>
        <v>19.410849344271043</v>
      </c>
      <c r="X53" s="157">
        <f t="shared" si="11"/>
        <v>46426</v>
      </c>
      <c r="Y53" s="385">
        <f t="shared" si="12"/>
        <v>17.638278153592108</v>
      </c>
      <c r="Z53" s="385">
        <f t="shared" si="22"/>
        <v>18.925926666537524</v>
      </c>
      <c r="AA53" s="386">
        <f t="shared" si="13"/>
        <v>21.681512763867147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0.12709381154998953</v>
      </c>
      <c r="AD53" s="231">
        <f>(INDEX(Models!$BJ53:$BT53,,AH53)*(1-AF53)+INDEX(Models!$BJ53:$BT53,,AH53+1)*AF53-ERP_i)*AE53*Ramure*Pc/MaxiM</f>
        <v>7.3531785916552891E-2</v>
      </c>
      <c r="AE53" s="305">
        <f t="shared" si="15"/>
        <v>0.7</v>
      </c>
      <c r="AF53" s="177">
        <f t="shared" si="23"/>
        <v>0.60261045607522523</v>
      </c>
      <c r="AG53" s="817">
        <f t="shared" si="24"/>
        <v>1</v>
      </c>
      <c r="AH53" s="176">
        <f t="shared" si="16"/>
        <v>7</v>
      </c>
      <c r="AI53" s="225">
        <f t="shared" si="17"/>
        <v>1.6026104560752252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46427</v>
      </c>
      <c r="B54" s="411">
        <f>'2026'!Wh/'2026'!Env_an*'2027'!Env_an</f>
        <v>19.446460086984704</v>
      </c>
      <c r="C54" s="846"/>
      <c r="D54" s="393">
        <f t="shared" si="0"/>
        <v>20.866568469556764</v>
      </c>
      <c r="E54" s="385">
        <f t="shared" si="1"/>
        <v>23.017490868513139</v>
      </c>
      <c r="F54" s="385">
        <f t="shared" si="2"/>
        <v>23.433477340738431</v>
      </c>
      <c r="G54" s="110">
        <f t="shared" si="21"/>
        <v>1.0280223278458309</v>
      </c>
      <c r="H54" s="414" t="b">
        <f>Wh_hp&gt;='2026'!Maxi_hp</f>
        <v>1</v>
      </c>
      <c r="I54" s="390">
        <f>IF(H54,Wh_hp,'2026'!Maxi_hp)</f>
        <v>23.433477340738431</v>
      </c>
      <c r="J54" s="85">
        <f>IF(H54,An,'2026'!An_max)</f>
        <v>2027</v>
      </c>
      <c r="K54" s="197">
        <f t="shared" si="3"/>
        <v>46427</v>
      </c>
      <c r="L54" s="147">
        <f>IF(t&lt;Tvie,1-EXP((T0-t)*PertePVj)+'2026'!Pspv,1-EXP((T0-t)*PertePVj)+Pspv)</f>
        <v>6.8056632533706862E-2</v>
      </c>
      <c r="M54" s="850"/>
      <c r="N54" s="850"/>
      <c r="O54" s="48">
        <f>IF(t&lt;Tnet,'2026'!Resal+('2026'!Salim-'2026'!Resal)*(1-EXP(('2026'!Tnet-t)/('2026'!Tau_j))),Resal+(Salim-Resal)*(1-EXP((Tnet-t)/(Tau_j))))*Salcycl</f>
        <v>9.3447301065240726E-2</v>
      </c>
      <c r="P54" s="169">
        <f>(INDEX(Models!$BJ54:$BT54,,T54)*(1-R54)+INDEX(Models!$BJ54:$BT54,,T54+1)*R54-ERP_i)*Q54*Ramure*Pc/MaxiM</f>
        <v>1.7751802951673307E-2</v>
      </c>
      <c r="Q54" s="305">
        <f t="shared" si="4"/>
        <v>0.7</v>
      </c>
      <c r="R54" s="177">
        <f t="shared" si="5"/>
        <v>0.97888486315776024</v>
      </c>
      <c r="S54" s="817">
        <f t="shared" si="6"/>
        <v>-2</v>
      </c>
      <c r="T54" s="176">
        <f t="shared" si="7"/>
        <v>4</v>
      </c>
      <c r="U54" s="251">
        <f t="shared" si="8"/>
        <v>-1.0211151368422398</v>
      </c>
      <c r="V54" s="383">
        <f t="shared" si="9"/>
        <v>18.916379109910757</v>
      </c>
      <c r="W54" s="402">
        <f t="shared" si="10"/>
        <v>19.446460086984704</v>
      </c>
      <c r="X54" s="157">
        <f t="shared" si="11"/>
        <v>46427</v>
      </c>
      <c r="Y54" s="385">
        <f t="shared" si="12"/>
        <v>17.673876189426188</v>
      </c>
      <c r="Z54" s="385">
        <f t="shared" si="22"/>
        <v>18.964538840462776</v>
      </c>
      <c r="AA54" s="386">
        <f t="shared" si="13"/>
        <v>21.72645404428593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0.12712222612090435</v>
      </c>
      <c r="AD54" s="231">
        <f>(INDEX(Models!$BJ54:$BT54,,AH54)*(1-AF54)+INDEX(Models!$BJ54:$BT54,,AH54+1)*AF54-ERP_i)*AE54*Ramure*Pc/MaxiM</f>
        <v>7.2845496706751639E-2</v>
      </c>
      <c r="AE54" s="305">
        <f t="shared" si="15"/>
        <v>0.7</v>
      </c>
      <c r="AF54" s="177">
        <f t="shared" si="23"/>
        <v>0.60274823253381626</v>
      </c>
      <c r="AG54" s="817">
        <f t="shared" si="24"/>
        <v>1</v>
      </c>
      <c r="AH54" s="176">
        <f t="shared" si="16"/>
        <v>7</v>
      </c>
      <c r="AI54" s="225">
        <f t="shared" si="17"/>
        <v>1.6027482325338163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46428</v>
      </c>
      <c r="B55" s="411">
        <f>'2026'!Wh/'2026'!Env_an*'2027'!Env_an</f>
        <v>18.444074424851795</v>
      </c>
      <c r="C55" s="846"/>
      <c r="D55" s="393">
        <f t="shared" si="0"/>
        <v>19.791415498144531</v>
      </c>
      <c r="E55" s="385">
        <f t="shared" si="1"/>
        <v>21.833296518026106</v>
      </c>
      <c r="F55" s="385">
        <f t="shared" si="2"/>
        <v>22.192049971438543</v>
      </c>
      <c r="G55" s="110">
        <f t="shared" si="21"/>
        <v>0.9599359624644711</v>
      </c>
      <c r="H55" s="414" t="b">
        <f>Wh_hp&gt;='2026'!Maxi_hp</f>
        <v>0</v>
      </c>
      <c r="I55" s="390">
        <f>IF(H55,Wh_hp,'2026'!Maxi_hp)</f>
        <v>22.203187789262444</v>
      </c>
      <c r="J55" s="85">
        <f>IF(H55,An,'2026'!An_max)</f>
        <v>2026</v>
      </c>
      <c r="K55" s="197">
        <f t="shared" si="3"/>
        <v>46428</v>
      </c>
      <c r="L55" s="147">
        <f>IF(t&lt;Tvie,1-EXP((T0-t)*PertePVj)+'2026'!Pspv,1-EXP((T0-t)*PertePVj)+Pspv)</f>
        <v>6.8077044485223892E-2</v>
      </c>
      <c r="M55" s="850"/>
      <c r="N55" s="850"/>
      <c r="O55" s="48">
        <f>IF(t&lt;Tnet,'2026'!Resal+('2026'!Salim-'2026'!Resal)*(1-EXP(('2026'!Tnet-t)/('2026'!Tau_j))),Resal+(Salim-Resal)*(1-EXP((Tnet-t)/(Tau_j))))*Salcycl</f>
        <v>9.3521425781752585E-2</v>
      </c>
      <c r="P55" s="169">
        <f>(INDEX(Models!$BJ55:$BT55,,T55)*(1-R55)+INDEX(Models!$BJ55:$BT55,,T55+1)*R55-ERP_i)*Q55*Ramure*Pc/MaxiM</f>
        <v>1.7123011922913805E-2</v>
      </c>
      <c r="Q55" s="305">
        <f t="shared" si="4"/>
        <v>0.7</v>
      </c>
      <c r="R55" s="177">
        <f t="shared" si="5"/>
        <v>0.97902833846842285</v>
      </c>
      <c r="S55" s="817">
        <f t="shared" si="6"/>
        <v>-2</v>
      </c>
      <c r="T55" s="176">
        <f t="shared" si="7"/>
        <v>4</v>
      </c>
      <c r="U55" s="251">
        <f t="shared" si="8"/>
        <v>-1.0209716615315771</v>
      </c>
      <c r="V55" s="383">
        <f t="shared" si="9"/>
        <v>19.195166329057411</v>
      </c>
      <c r="W55" s="402">
        <f t="shared" si="10"/>
        <v>18.444074424851795</v>
      </c>
      <c r="X55" s="157">
        <f t="shared" si="11"/>
        <v>46428</v>
      </c>
      <c r="Y55" s="385">
        <f t="shared" si="12"/>
        <v>16.823488463441176</v>
      </c>
      <c r="Z55" s="385">
        <f t="shared" si="22"/>
        <v>18.052445606029963</v>
      </c>
      <c r="AA55" s="386">
        <f t="shared" si="13"/>
        <v>20.682202173987495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0.12715070406114887</v>
      </c>
      <c r="AD55" s="231">
        <f>(INDEX(Models!$BJ55:$BT55,,AH55)*(1-AF55)+INDEX(Models!$BJ55:$BT55,,AH55+1)*AF55-ERP_i)*AE55*Ramure*Pc/MaxiM</f>
        <v>7.2063813160894427E-2</v>
      </c>
      <c r="AE55" s="305">
        <f t="shared" si="15"/>
        <v>0.7</v>
      </c>
      <c r="AF55" s="177">
        <f t="shared" si="23"/>
        <v>0.60289170784447887</v>
      </c>
      <c r="AG55" s="817">
        <f t="shared" si="24"/>
        <v>1</v>
      </c>
      <c r="AH55" s="176">
        <f t="shared" si="16"/>
        <v>7</v>
      </c>
      <c r="AI55" s="225">
        <f t="shared" si="17"/>
        <v>1.6028917078444789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46429</v>
      </c>
      <c r="B56" s="411">
        <f>'2026'!Wh/'2026'!Env_an*'2027'!Env_an</f>
        <v>9.9966939018316996</v>
      </c>
      <c r="C56" s="846"/>
      <c r="D56" s="393">
        <f t="shared" si="0"/>
        <v>10.727188122925496</v>
      </c>
      <c r="E56" s="385">
        <f t="shared" si="1"/>
        <v>11.834879798298301</v>
      </c>
      <c r="F56" s="385">
        <f t="shared" si="2"/>
        <v>11.894538873944066</v>
      </c>
      <c r="G56" s="110">
        <f t="shared" si="21"/>
        <v>0.50735846923734573</v>
      </c>
      <c r="H56" s="414" t="b">
        <f>Wh_hp&gt;='2026'!Maxi_hp</f>
        <v>0</v>
      </c>
      <c r="I56" s="390">
        <f>IF(H56,Wh_hp,'2026'!Maxi_hp)</f>
        <v>19.987799360241688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6.8097455989666877E-2</v>
      </c>
      <c r="M56" s="850"/>
      <c r="N56" s="850"/>
      <c r="O56" s="48">
        <f>IF(t&lt;Tnet,'2026'!Resal+('2026'!Salim-'2026'!Resal)*(1-EXP(('2026'!Tnet-t)/('2026'!Tau_j))),Resal+(Salim-Resal)*(1-EXP((Tnet-t)/(Tau_j))))*Salcycl</f>
        <v>9.3595515480611471E-2</v>
      </c>
      <c r="P56" s="169">
        <f>(INDEX(Models!$BJ56:$BT56,,T56)*(1-R56)+INDEX(Models!$BJ56:$BT56,,T56+1)*R56-ERP_i)*Q56*Ramure*Pc/MaxiM</f>
        <v>1.6463046130180462E-2</v>
      </c>
      <c r="Q56" s="305">
        <f t="shared" si="4"/>
        <v>0.7</v>
      </c>
      <c r="R56" s="177">
        <f t="shared" si="5"/>
        <v>0.97917774483428399</v>
      </c>
      <c r="S56" s="817">
        <f t="shared" si="6"/>
        <v>-2</v>
      </c>
      <c r="T56" s="176">
        <f t="shared" si="7"/>
        <v>4</v>
      </c>
      <c r="U56" s="251">
        <f t="shared" si="8"/>
        <v>-1.020822255165716</v>
      </c>
      <c r="V56" s="383">
        <f t="shared" si="9"/>
        <v>19.476724474990803</v>
      </c>
      <c r="W56" s="402">
        <f t="shared" si="10"/>
        <v>9.9966939018316996</v>
      </c>
      <c r="X56" s="157">
        <f t="shared" si="11"/>
        <v>46429</v>
      </c>
      <c r="Y56" s="385">
        <f t="shared" si="12"/>
        <v>9.4649800878284527</v>
      </c>
      <c r="Z56" s="385">
        <f t="shared" si="22"/>
        <v>10.15662007649107</v>
      </c>
      <c r="AA56" s="386">
        <f t="shared" si="13"/>
        <v>11.636547206060552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0.12717923137876377</v>
      </c>
      <c r="AD56" s="231">
        <f>(INDEX(Models!$BJ56:$BT56,,AH56)*(1-AF56)+INDEX(Models!$BJ56:$BT56,,AH56+1)*AF56-ERP_i)*AE56*Ramure*Pc/MaxiM</f>
        <v>7.1193337871805623E-2</v>
      </c>
      <c r="AE56" s="305">
        <f t="shared" si="15"/>
        <v>0.7</v>
      </c>
      <c r="AF56" s="177">
        <f t="shared" si="23"/>
        <v>0.60304111421034001</v>
      </c>
      <c r="AG56" s="817">
        <f t="shared" si="24"/>
        <v>1</v>
      </c>
      <c r="AH56" s="176">
        <f t="shared" si="16"/>
        <v>7</v>
      </c>
      <c r="AI56" s="225">
        <f t="shared" si="17"/>
        <v>1.60304111421034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46430</v>
      </c>
      <c r="B57" s="411">
        <f>'2026'!Wh/'2026'!Env_an*'2027'!Env_an</f>
        <v>15.889666229062788</v>
      </c>
      <c r="C57" s="846"/>
      <c r="D57" s="393">
        <f t="shared" si="0"/>
        <v>17.051154504606185</v>
      </c>
      <c r="E57" s="385">
        <f t="shared" si="1"/>
        <v>18.813397134737993</v>
      </c>
      <c r="F57" s="385">
        <f t="shared" si="2"/>
        <v>19.029568954153834</v>
      </c>
      <c r="G57" s="110">
        <f t="shared" si="21"/>
        <v>0.800525588897123</v>
      </c>
      <c r="H57" s="414" t="b">
        <f>Wh_hp&gt;='2026'!Maxi_hp</f>
        <v>0</v>
      </c>
      <c r="I57" s="390">
        <f>IF(H57,Wh_hp,'2026'!Maxi_hp)</f>
        <v>24.323485541278668</v>
      </c>
      <c r="J57" s="85">
        <f>IF(H57,An,'2026'!An_max)</f>
        <v>2019</v>
      </c>
      <c r="K57" s="197">
        <f t="shared" si="3"/>
        <v>46430</v>
      </c>
      <c r="L57" s="147">
        <f>IF(t&lt;Tvie,1-EXP((T0-t)*PertePVj)+'2026'!Pspv,1-EXP((T0-t)*PertePVj)+Pspv)</f>
        <v>6.8117867047045588E-2</v>
      </c>
      <c r="M57" s="850"/>
      <c r="N57" s="850"/>
      <c r="O57" s="48">
        <f>IF(t&lt;Tnet,'2026'!Resal+('2026'!Salim-'2026'!Resal)*(1-EXP(('2026'!Tnet-t)/('2026'!Tau_j))),Resal+(Salim-Resal)*(1-EXP((Tnet-t)/(Tau_j))))*Salcycl</f>
        <v>9.3669559915785613E-2</v>
      </c>
      <c r="P57" s="169">
        <f>(INDEX(Models!$BJ57:$BT57,,T57)*(1-R57)+INDEX(Models!$BJ57:$BT57,,T57+1)*R57-ERP_i)*Q57*Ramure*Pc/MaxiM</f>
        <v>1.577385559045039E-2</v>
      </c>
      <c r="Q57" s="305">
        <f t="shared" si="4"/>
        <v>0.7</v>
      </c>
      <c r="R57" s="177">
        <f t="shared" si="5"/>
        <v>0.97933332362080683</v>
      </c>
      <c r="S57" s="817">
        <f t="shared" si="6"/>
        <v>-2</v>
      </c>
      <c r="T57" s="176">
        <f t="shared" si="7"/>
        <v>4</v>
      </c>
      <c r="U57" s="251">
        <f t="shared" si="8"/>
        <v>-1.0206666763791932</v>
      </c>
      <c r="V57" s="383">
        <f t="shared" si="9"/>
        <v>19.760420450703688</v>
      </c>
      <c r="W57" s="402">
        <f t="shared" si="10"/>
        <v>15.889666229062788</v>
      </c>
      <c r="X57" s="157">
        <f t="shared" si="11"/>
        <v>46430</v>
      </c>
      <c r="Y57" s="385">
        <f t="shared" si="12"/>
        <v>14.694576188785545</v>
      </c>
      <c r="Z57" s="385">
        <f t="shared" si="22"/>
        <v>15.768706866630517</v>
      </c>
      <c r="AA57" s="386">
        <f t="shared" si="13"/>
        <v>18.06696571774399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0.12720779388297065</v>
      </c>
      <c r="AD57" s="231">
        <f>(INDEX(Models!$BJ57:$BT57,,AH57)*(1-AF57)+INDEX(Models!$BJ57:$BT57,,AH57+1)*AF57-ERP_i)*AE57*Ramure*Pc/MaxiM</f>
        <v>7.0240258342000789E-2</v>
      </c>
      <c r="AE57" s="305">
        <f t="shared" si="15"/>
        <v>0.7</v>
      </c>
      <c r="AF57" s="177">
        <f t="shared" si="23"/>
        <v>0.60319669299686285</v>
      </c>
      <c r="AG57" s="817">
        <f t="shared" si="24"/>
        <v>1</v>
      </c>
      <c r="AH57" s="176">
        <f t="shared" si="16"/>
        <v>7</v>
      </c>
      <c r="AI57" s="225">
        <f t="shared" si="17"/>
        <v>1.6031966929968628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46431</v>
      </c>
      <c r="B58" s="411">
        <f>'2026'!Wh/'2026'!Env_an*'2027'!Env_an</f>
        <v>18.234523707008595</v>
      </c>
      <c r="C58" s="846"/>
      <c r="D58" s="393">
        <f t="shared" si="0"/>
        <v>19.567842813811875</v>
      </c>
      <c r="E58" s="385">
        <f t="shared" si="1"/>
        <v>21.59194871179951</v>
      </c>
      <c r="F58" s="385">
        <f t="shared" si="2"/>
        <v>21.879003565212514</v>
      </c>
      <c r="G58" s="110">
        <f t="shared" si="21"/>
        <v>0.90786568907686127</v>
      </c>
      <c r="H58" s="414" t="b">
        <f>Wh_hp&gt;='2026'!Maxi_hp</f>
        <v>0</v>
      </c>
      <c r="I58" s="390">
        <f>IF(H58,Wh_hp,'2026'!Maxi_hp)</f>
        <v>24.939074122850123</v>
      </c>
      <c r="J58" s="85">
        <f>IF(H58,An,'2026'!An_max)</f>
        <v>2019</v>
      </c>
      <c r="K58" s="197">
        <f t="shared" si="3"/>
        <v>46431</v>
      </c>
      <c r="L58" s="147">
        <f>IF(t&lt;Tvie,1-EXP((T0-t)*PertePVj)+'2026'!Pspv,1-EXP((T0-t)*PertePVj)+Pspv)</f>
        <v>6.8138277657369684E-2</v>
      </c>
      <c r="M58" s="850"/>
      <c r="N58" s="850"/>
      <c r="O58" s="48">
        <f>IF(t&lt;Tnet,'2026'!Resal+('2026'!Salim-'2026'!Resal)*(1-EXP(('2026'!Tnet-t)/('2026'!Tau_j))),Resal+(Salim-Resal)*(1-EXP((Tnet-t)/(Tau_j))))*Salcycl</f>
        <v>9.3743548810928112E-2</v>
      </c>
      <c r="P58" s="169">
        <f>(INDEX(Models!$BJ58:$BT58,,T58)*(1-R58)+INDEX(Models!$BJ58:$BT58,,T58+1)*R58-ERP_i)*Q58*Ramure*Pc/MaxiM</f>
        <v>1.5064311491619237E-2</v>
      </c>
      <c r="Q58" s="305">
        <f t="shared" si="4"/>
        <v>0.7</v>
      </c>
      <c r="R58" s="177">
        <f t="shared" si="5"/>
        <v>0.97949532569184594</v>
      </c>
      <c r="S58" s="817">
        <f t="shared" si="6"/>
        <v>-2</v>
      </c>
      <c r="T58" s="176">
        <f t="shared" si="7"/>
        <v>4</v>
      </c>
      <c r="U58" s="251">
        <f t="shared" si="8"/>
        <v>-1.0205046743081541</v>
      </c>
      <c r="V58" s="383">
        <f t="shared" si="9"/>
        <v>20.045476944330666</v>
      </c>
      <c r="W58" s="402">
        <f t="shared" si="10"/>
        <v>18.234523707008595</v>
      </c>
      <c r="X58" s="157">
        <f t="shared" si="11"/>
        <v>46431</v>
      </c>
      <c r="Y58" s="385">
        <f t="shared" si="12"/>
        <v>16.722332362337912</v>
      </c>
      <c r="Z58" s="385">
        <f t="shared" si="22"/>
        <v>17.945079147901069</v>
      </c>
      <c r="AA58" s="386">
        <f t="shared" si="13"/>
        <v>20.561213463413917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0.12723637737470733</v>
      </c>
      <c r="AD58" s="231">
        <f>(INDEX(Models!$BJ58:$BT58,,AH58)*(1-AF58)+INDEX(Models!$BJ58:$BT58,,AH58+1)*AF58-ERP_i)*AE58*Ramure*Pc/MaxiM</f>
        <v>6.9156122385796381E-2</v>
      </c>
      <c r="AE58" s="305">
        <f t="shared" si="15"/>
        <v>0.7</v>
      </c>
      <c r="AF58" s="177">
        <f t="shared" si="23"/>
        <v>0.60335869506790196</v>
      </c>
      <c r="AG58" s="817">
        <f t="shared" si="24"/>
        <v>1</v>
      </c>
      <c r="AH58" s="176">
        <f t="shared" si="16"/>
        <v>7</v>
      </c>
      <c r="AI58" s="225">
        <f t="shared" si="17"/>
        <v>1.603358695067902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46432</v>
      </c>
      <c r="B59" s="411">
        <f>'2026'!Wh/'2026'!Env_an*'2027'!Env_an</f>
        <v>10.088529668328531</v>
      </c>
      <c r="C59" s="846"/>
      <c r="D59" s="393">
        <f t="shared" si="0"/>
        <v>10.82644602301856</v>
      </c>
      <c r="E59" s="385">
        <f t="shared" si="1"/>
        <v>11.947312697542351</v>
      </c>
      <c r="F59" s="385">
        <f t="shared" si="2"/>
        <v>11.995606365167927</v>
      </c>
      <c r="G59" s="110">
        <f t="shared" si="21"/>
        <v>0.49107128787375459</v>
      </c>
      <c r="H59" s="414" t="b">
        <f>Wh_hp&gt;='2026'!Maxi_hp</f>
        <v>0</v>
      </c>
      <c r="I59" s="390">
        <f>IF(H59,Wh_hp,'2026'!Maxi_hp)</f>
        <v>25.04355830581331</v>
      </c>
      <c r="J59" s="85">
        <f>IF(H59,An,'2026'!An_max)</f>
        <v>2019</v>
      </c>
      <c r="K59" s="197">
        <f t="shared" si="3"/>
        <v>46432</v>
      </c>
      <c r="L59" s="147">
        <f>IF(t&lt;Tvie,1-EXP((T0-t)*PertePVj)+'2026'!Pspv,1-EXP((T0-t)*PertePVj)+Pspv)</f>
        <v>6.8158687820649044E-2</v>
      </c>
      <c r="M59" s="850"/>
      <c r="N59" s="850"/>
      <c r="O59" s="48">
        <f>IF(t&lt;Tnet,'2026'!Resal+('2026'!Salim-'2026'!Resal)*(1-EXP(('2026'!Tnet-t)/('2026'!Tau_j))),Resal+(Salim-Resal)*(1-EXP((Tnet-t)/(Tau_j))))*Salcycl</f>
        <v>9.3817472003922778E-2</v>
      </c>
      <c r="P59" s="169">
        <f>(INDEX(Models!$BJ59:$BT59,,T59)*(1-R59)+INDEX(Models!$BJ59:$BT59,,T59+1)*R59-ERP_i)*Q59*Ramure*Pc/MaxiM</f>
        <v>1.4362180028658748E-2</v>
      </c>
      <c r="Q59" s="305">
        <f t="shared" si="4"/>
        <v>0.7</v>
      </c>
      <c r="R59" s="177">
        <f t="shared" si="5"/>
        <v>0.97966401175582773</v>
      </c>
      <c r="S59" s="817">
        <f t="shared" si="6"/>
        <v>-2</v>
      </c>
      <c r="T59" s="176">
        <f t="shared" si="7"/>
        <v>4</v>
      </c>
      <c r="U59" s="251">
        <f t="shared" si="8"/>
        <v>-1.0203359882441723</v>
      </c>
      <c r="V59" s="383">
        <f t="shared" si="9"/>
        <v>20.330715728049203</v>
      </c>
      <c r="W59" s="402">
        <f t="shared" si="10"/>
        <v>10.088529668328531</v>
      </c>
      <c r="X59" s="157">
        <f t="shared" si="11"/>
        <v>46432</v>
      </c>
      <c r="Y59" s="385">
        <f t="shared" si="12"/>
        <v>9.5695323101794489</v>
      </c>
      <c r="Z59" s="385">
        <f t="shared" si="22"/>
        <v>10.269487073714979</v>
      </c>
      <c r="AA59" s="386">
        <f t="shared" si="13"/>
        <v>11.767015984598018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0.12726496784258404</v>
      </c>
      <c r="AD59" s="231">
        <f>(INDEX(Models!$BJ59:$BT59,,AH59)*(1-AF59)+INDEX(Models!$BJ59:$BT59,,AH59+1)*AF59-ERP_i)*AE59*Ramure*Pc/MaxiM</f>
        <v>6.798109068912471E-2</v>
      </c>
      <c r="AE59" s="305">
        <f t="shared" si="15"/>
        <v>0.7</v>
      </c>
      <c r="AF59" s="177">
        <f t="shared" si="23"/>
        <v>0.60352738113188376</v>
      </c>
      <c r="AG59" s="817">
        <f t="shared" si="24"/>
        <v>1</v>
      </c>
      <c r="AH59" s="176">
        <f t="shared" si="16"/>
        <v>7</v>
      </c>
      <c r="AI59" s="225">
        <f t="shared" si="17"/>
        <v>1.6035273811318838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46433</v>
      </c>
      <c r="B60" s="411">
        <f>'2026'!Wh/'2026'!Env_an*'2027'!Env_an</f>
        <v>12.745456548761499</v>
      </c>
      <c r="C60" s="846"/>
      <c r="D60" s="393">
        <f t="shared" si="0"/>
        <v>13.678010994463744</v>
      </c>
      <c r="E60" s="385">
        <f t="shared" si="1"/>
        <v>15.095331597905052</v>
      </c>
      <c r="F60" s="385">
        <f t="shared" si="2"/>
        <v>15.189717276849407</v>
      </c>
      <c r="G60" s="110">
        <f t="shared" si="21"/>
        <v>0.61360907266642217</v>
      </c>
      <c r="H60" s="414" t="b">
        <f>Wh_hp&gt;='2026'!Maxi_hp</f>
        <v>0</v>
      </c>
      <c r="I60" s="390">
        <f>IF(H60,Wh_hp,'2026'!Maxi_hp)</f>
        <v>25.359879246140192</v>
      </c>
      <c r="J60" s="85">
        <f>IF(H60,An,'2026'!An_max)</f>
        <v>2019</v>
      </c>
      <c r="K60" s="197">
        <f t="shared" si="3"/>
        <v>46433</v>
      </c>
      <c r="L60" s="147">
        <f>IF(t&lt;Tvie,1-EXP((T0-t)*PertePVj)+'2026'!Pspv,1-EXP((T0-t)*PertePVj)+Pspv)</f>
        <v>6.817909753689344E-2</v>
      </c>
      <c r="M60" s="850"/>
      <c r="N60" s="850"/>
      <c r="O60" s="48">
        <f>IF(t&lt;Tnet,'2026'!Resal+('2026'!Salim-'2026'!Resal)*(1-EXP(('2026'!Tnet-t)/('2026'!Tau_j))),Resal+(Salim-Resal)*(1-EXP((Tnet-t)/(Tau_j))))*Salcycl</f>
        <v>9.3891319594331044E-2</v>
      </c>
      <c r="P60" s="169">
        <f>(INDEX(Models!$BJ60:$BT60,,T60)*(1-R60)+INDEX(Models!$BJ60:$BT60,,T60+1)*R60-ERP_i)*Q60*Ramure*Pc/MaxiM</f>
        <v>1.3667569276287967E-2</v>
      </c>
      <c r="Q60" s="305">
        <f t="shared" si="4"/>
        <v>0.7</v>
      </c>
      <c r="R60" s="177">
        <f t="shared" si="5"/>
        <v>0.97983965272215823</v>
      </c>
      <c r="S60" s="817">
        <f t="shared" si="6"/>
        <v>-2</v>
      </c>
      <c r="T60" s="176">
        <f t="shared" si="7"/>
        <v>4</v>
      </c>
      <c r="U60" s="251">
        <f t="shared" si="8"/>
        <v>-1.0201603472778418</v>
      </c>
      <c r="V60" s="383">
        <f t="shared" si="9"/>
        <v>20.61550464478983</v>
      </c>
      <c r="W60" s="402">
        <f t="shared" si="10"/>
        <v>12.745456548761499</v>
      </c>
      <c r="X60" s="157">
        <f t="shared" si="11"/>
        <v>46433</v>
      </c>
      <c r="Y60" s="385">
        <f t="shared" si="12"/>
        <v>11.977676763307141</v>
      </c>
      <c r="Z60" s="385">
        <f t="shared" si="22"/>
        <v>12.854054606036669</v>
      </c>
      <c r="AA60" s="386">
        <f t="shared" si="13"/>
        <v>14.728955687812148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0.12729355166211234</v>
      </c>
      <c r="AD60" s="231">
        <f>(INDEX(Models!$BJ60:$BT60,,AH60)*(1-AF60)+INDEX(Models!$BJ60:$BT60,,AH60+1)*AF60-ERP_i)*AE60*Ramure*Pc/MaxiM</f>
        <v>6.672083104611623E-2</v>
      </c>
      <c r="AE60" s="305">
        <f t="shared" si="15"/>
        <v>0.7</v>
      </c>
      <c r="AF60" s="177">
        <f t="shared" si="23"/>
        <v>0.60370302209821425</v>
      </c>
      <c r="AG60" s="817">
        <f t="shared" si="24"/>
        <v>1</v>
      </c>
      <c r="AH60" s="176">
        <f t="shared" si="16"/>
        <v>7</v>
      </c>
      <c r="AI60" s="225">
        <f t="shared" si="17"/>
        <v>1.6037030220982142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46434</v>
      </c>
      <c r="B61" s="411">
        <f>'2026'!Wh/'2026'!Env_an*'2027'!Env_an</f>
        <v>5.5724217685074597</v>
      </c>
      <c r="C61" s="846"/>
      <c r="D61" s="393">
        <f t="shared" si="0"/>
        <v>5.9802734697071696</v>
      </c>
      <c r="E61" s="385">
        <f t="shared" si="1"/>
        <v>6.6004889563379123</v>
      </c>
      <c r="F61" s="385">
        <f t="shared" si="2"/>
        <v>6.6004889563379123</v>
      </c>
      <c r="G61" s="110">
        <f t="shared" si="21"/>
        <v>0.26317207569067885</v>
      </c>
      <c r="H61" s="414" t="b">
        <f>Wh_hp&gt;='2026'!Maxi_hp</f>
        <v>0</v>
      </c>
      <c r="I61" s="390">
        <f>IF(H61,Wh_hp,'2026'!Maxi_hp)</f>
        <v>25.832581952942551</v>
      </c>
      <c r="J61" s="85">
        <f>IF(H61,An,'2026'!An_max)</f>
        <v>2019</v>
      </c>
      <c r="K61" s="197">
        <f t="shared" si="3"/>
        <v>46434</v>
      </c>
      <c r="L61" s="147">
        <f>IF(t&lt;Tvie,1-EXP((T0-t)*PertePVj)+'2026'!Pspv,1-EXP((T0-t)*PertePVj)+Pspv)</f>
        <v>6.8199506806112753E-2</v>
      </c>
      <c r="M61" s="850"/>
      <c r="N61" s="850"/>
      <c r="O61" s="48">
        <f>IF(t&lt;Tnet,'2026'!Resal+('2026'!Salim-'2026'!Resal)*(1-EXP(('2026'!Tnet-t)/('2026'!Tau_j))),Resal+(Salim-Resal)*(1-EXP((Tnet-t)/(Tau_j))))*Salcycl</f>
        <v>9.3965082092168389E-2</v>
      </c>
      <c r="P61" s="169">
        <f>(INDEX(Models!$BJ61:$BT61,,T61)*(1-R61)+INDEX(Models!$BJ61:$BT61,,T61+1)*R61-ERP_i)*Q61*Ramure*Pc/MaxiM</f>
        <v>1.2980497137385907E-2</v>
      </c>
      <c r="Q61" s="305">
        <f t="shared" si="4"/>
        <v>0.7</v>
      </c>
      <c r="R61" s="177">
        <f t="shared" si="5"/>
        <v>0.98002253006794615</v>
      </c>
      <c r="S61" s="817">
        <f t="shared" si="6"/>
        <v>-2</v>
      </c>
      <c r="T61" s="176">
        <f t="shared" si="7"/>
        <v>4</v>
      </c>
      <c r="U61" s="251">
        <f t="shared" si="8"/>
        <v>-1.0199774699320538</v>
      </c>
      <c r="V61" s="383">
        <f t="shared" si="9"/>
        <v>20.899211853151208</v>
      </c>
      <c r="W61" s="402">
        <f t="shared" si="10"/>
        <v>5.5724217685074597</v>
      </c>
      <c r="X61" s="157">
        <f t="shared" si="11"/>
        <v>46434</v>
      </c>
      <c r="Y61" s="385">
        <f t="shared" si="12"/>
        <v>5.3672647077027005</v>
      </c>
      <c r="Z61" s="385">
        <f t="shared" si="22"/>
        <v>5.7601007371283828</v>
      </c>
      <c r="AA61" s="386">
        <f t="shared" si="13"/>
        <v>6.6004889563379123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0.12732211579606892</v>
      </c>
      <c r="AD61" s="231">
        <f>(INDEX(Models!$BJ61:$BT61,,AH61)*(1-AF61)+INDEX(Models!$BJ61:$BT61,,AH61+1)*AF61-ERP_i)*AE61*Ramure*Pc/MaxiM</f>
        <v>6.538054951859737E-2</v>
      </c>
      <c r="AE61" s="305">
        <f t="shared" si="15"/>
        <v>0.7</v>
      </c>
      <c r="AF61" s="177">
        <f t="shared" si="23"/>
        <v>0.60388589944400217</v>
      </c>
      <c r="AG61" s="817">
        <f t="shared" si="24"/>
        <v>1</v>
      </c>
      <c r="AH61" s="176">
        <f t="shared" si="16"/>
        <v>7</v>
      </c>
      <c r="AI61" s="225">
        <f t="shared" si="17"/>
        <v>1.6038858994440022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46435</v>
      </c>
      <c r="B62" s="411">
        <f>'2026'!Wh/'2026'!Env_an*'2027'!Env_an</f>
        <v>9.5194592106737748</v>
      </c>
      <c r="C62" s="846"/>
      <c r="D62" s="393">
        <f t="shared" si="0"/>
        <v>10.216422705678372</v>
      </c>
      <c r="E62" s="385">
        <f t="shared" si="1"/>
        <v>11.276887076645107</v>
      </c>
      <c r="F62" s="385">
        <f t="shared" si="2"/>
        <v>11.306576814774413</v>
      </c>
      <c r="G62" s="110">
        <f t="shared" si="21"/>
        <v>0.44506983574125641</v>
      </c>
      <c r="H62" s="414" t="b">
        <f>Wh_hp&gt;='2026'!Maxi_hp</f>
        <v>0</v>
      </c>
      <c r="I62" s="390">
        <f>IF(H62,Wh_hp,'2026'!Maxi_hp)</f>
        <v>26.057323912775445</v>
      </c>
      <c r="J62" s="85">
        <f>IF(H62,An,'2026'!An_max)</f>
        <v>2019</v>
      </c>
      <c r="K62" s="197">
        <f t="shared" si="3"/>
        <v>46435</v>
      </c>
      <c r="L62" s="147">
        <f>IF(t&lt;Tvie,1-EXP((T0-t)*PertePVj)+'2026'!Pspv,1-EXP((T0-t)*PertePVj)+Pspv)</f>
        <v>6.8219915628316641E-2</v>
      </c>
      <c r="M62" s="850"/>
      <c r="N62" s="850"/>
      <c r="O62" s="48">
        <f>IF(t&lt;Tnet,'2026'!Resal+('2026'!Salim-'2026'!Resal)*(1-EXP(('2026'!Tnet-t)/('2026'!Tau_j))),Resal+(Salim-Resal)*(1-EXP((Tnet-t)/(Tau_j))))*Salcycl</f>
        <v>9.4038750566457247E-2</v>
      </c>
      <c r="P62" s="169">
        <f>(INDEX(Models!$BJ62:$BT62,,T62)*(1-R62)+INDEX(Models!$BJ62:$BT62,,T62+1)*R62-ERP_i)*Q62*Ramure*Pc/MaxiM</f>
        <v>1.2300899265163283E-2</v>
      </c>
      <c r="Q62" s="305">
        <f t="shared" si="4"/>
        <v>0.7</v>
      </c>
      <c r="R62" s="177">
        <f t="shared" si="5"/>
        <v>0.98021293621510264</v>
      </c>
      <c r="S62" s="817">
        <f t="shared" si="6"/>
        <v>-2</v>
      </c>
      <c r="T62" s="176">
        <f t="shared" si="7"/>
        <v>4</v>
      </c>
      <c r="U62" s="251">
        <f t="shared" si="8"/>
        <v>-1.0197870637848974</v>
      </c>
      <c r="V62" s="383">
        <f t="shared" si="9"/>
        <v>21.181205823962827</v>
      </c>
      <c r="W62" s="402">
        <f t="shared" si="10"/>
        <v>9.5194592106737748</v>
      </c>
      <c r="X62" s="157">
        <f t="shared" si="11"/>
        <v>46435</v>
      </c>
      <c r="Y62" s="385">
        <f t="shared" si="12"/>
        <v>9.0680379879331987</v>
      </c>
      <c r="Z62" s="385">
        <f t="shared" si="22"/>
        <v>9.7319508540987396</v>
      </c>
      <c r="AA62" s="386">
        <f t="shared" si="13"/>
        <v>11.152189400847227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0.12735064799389023</v>
      </c>
      <c r="AD62" s="231">
        <f>(INDEX(Models!$BJ62:$BT62,,AH62)*(1-AF62)+INDEX(Models!$BJ62:$BT62,,AH62+1)*AF62-ERP_i)*AE62*Ramure*Pc/MaxiM</f>
        <v>6.3964997544143559E-2</v>
      </c>
      <c r="AE62" s="305">
        <f t="shared" si="15"/>
        <v>0.7</v>
      </c>
      <c r="AF62" s="177">
        <f t="shared" si="23"/>
        <v>0.60407630559115866</v>
      </c>
      <c r="AG62" s="817">
        <f t="shared" si="24"/>
        <v>1</v>
      </c>
      <c r="AH62" s="176">
        <f t="shared" si="16"/>
        <v>7</v>
      </c>
      <c r="AI62" s="225">
        <f t="shared" si="17"/>
        <v>1.6040763055911587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46436</v>
      </c>
      <c r="B63" s="411">
        <f>'2026'!Wh/'2026'!Env_an*'2027'!Env_an</f>
        <v>17.961160852294778</v>
      </c>
      <c r="C63" s="846"/>
      <c r="D63" s="393">
        <f t="shared" si="0"/>
        <v>19.276602449108918</v>
      </c>
      <c r="E63" s="385">
        <f t="shared" si="1"/>
        <v>21.279241131578157</v>
      </c>
      <c r="F63" s="385">
        <f t="shared" si="2"/>
        <v>21.47075177850628</v>
      </c>
      <c r="G63" s="110">
        <f t="shared" si="21"/>
        <v>0.83463894285589768</v>
      </c>
      <c r="H63" s="414" t="b">
        <f>Wh_hp&gt;='2026'!Maxi_hp</f>
        <v>0</v>
      </c>
      <c r="I63" s="390">
        <f>IF(H63,Wh_hp,'2026'!Maxi_hp)</f>
        <v>25.702210502087123</v>
      </c>
      <c r="J63" s="85">
        <f>IF(H63,An,'2026'!An_max)</f>
        <v>2019</v>
      </c>
      <c r="K63" s="197">
        <f t="shared" si="3"/>
        <v>46436</v>
      </c>
      <c r="L63" s="147">
        <f>IF(t&lt;Tvie,1-EXP((T0-t)*PertePVj)+'2026'!Pspv,1-EXP((T0-t)*PertePVj)+Pspv)</f>
        <v>6.8240324003514874E-2</v>
      </c>
      <c r="M63" s="850"/>
      <c r="N63" s="850"/>
      <c r="O63" s="48">
        <f>IF(t&lt;Tnet,'2026'!Resal+('2026'!Salim-'2026'!Resal)*(1-EXP(('2026'!Tnet-t)/('2026'!Tau_j))),Resal+(Salim-Resal)*(1-EXP((Tnet-t)/(Tau_j))))*Salcycl</f>
        <v>9.4112316792037576E-2</v>
      </c>
      <c r="P63" s="169">
        <f>(INDEX(Models!$BJ63:$BT63,,T63)*(1-R63)+INDEX(Models!$BJ63:$BT63,,T63+1)*R63-ERP_i)*Q63*Ramure*Pc/MaxiM</f>
        <v>1.1628636263226371E-2</v>
      </c>
      <c r="Q63" s="305">
        <f t="shared" si="4"/>
        <v>0.7</v>
      </c>
      <c r="R63" s="177">
        <f t="shared" si="5"/>
        <v>0.98041117491785079</v>
      </c>
      <c r="S63" s="817">
        <f t="shared" si="6"/>
        <v>-2</v>
      </c>
      <c r="T63" s="176">
        <f t="shared" si="7"/>
        <v>4</v>
      </c>
      <c r="U63" s="251">
        <f t="shared" si="8"/>
        <v>-1.0195888250821492</v>
      </c>
      <c r="V63" s="383">
        <f t="shared" si="9"/>
        <v>21.460855340590701</v>
      </c>
      <c r="W63" s="402">
        <f t="shared" si="10"/>
        <v>17.961160852294778</v>
      </c>
      <c r="X63" s="157">
        <f t="shared" si="11"/>
        <v>46436</v>
      </c>
      <c r="Y63" s="385">
        <f t="shared" si="12"/>
        <v>16.620675089130174</v>
      </c>
      <c r="Z63" s="385">
        <f t="shared" si="22"/>
        <v>17.837942033019331</v>
      </c>
      <c r="AA63" s="386">
        <f t="shared" si="13"/>
        <v>20.441801003301322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0.1273791369880507</v>
      </c>
      <c r="AD63" s="231">
        <f>(INDEX(Models!$BJ63:$BT63,,AH63)*(1-AF63)+INDEX(Models!$BJ63:$BT63,,AH63+1)*AF63-ERP_i)*AE63*Ramure*Pc/MaxiM</f>
        <v>6.2478480907195703E-2</v>
      </c>
      <c r="AE63" s="305">
        <f t="shared" si="15"/>
        <v>0.7</v>
      </c>
      <c r="AF63" s="177">
        <f t="shared" si="23"/>
        <v>0.60427454429390681</v>
      </c>
      <c r="AG63" s="817">
        <f t="shared" si="24"/>
        <v>1</v>
      </c>
      <c r="AH63" s="176">
        <f t="shared" si="16"/>
        <v>7</v>
      </c>
      <c r="AI63" s="225">
        <f t="shared" si="17"/>
        <v>1.6042745442939068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46437</v>
      </c>
      <c r="B64" s="411">
        <f>'2026'!Wh/'2026'!Env_an*'2027'!Env_an</f>
        <v>11.579925204735309</v>
      </c>
      <c r="C64" s="846"/>
      <c r="D64" s="393">
        <f t="shared" si="0"/>
        <v>12.428289331137938</v>
      </c>
      <c r="E64" s="385">
        <f t="shared" si="1"/>
        <v>13.720572018055062</v>
      </c>
      <c r="F64" s="385">
        <f t="shared" si="2"/>
        <v>13.770764084671226</v>
      </c>
      <c r="G64" s="110">
        <f t="shared" si="21"/>
        <v>0.5288027557899605</v>
      </c>
      <c r="H64" s="414" t="b">
        <f>Wh_hp&gt;='2026'!Maxi_hp</f>
        <v>0</v>
      </c>
      <c r="I64" s="390">
        <f>IF(H64,Wh_hp,'2026'!Maxi_hp)</f>
        <v>25.212086475297145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6.8260731931717333E-2</v>
      </c>
      <c r="M64" s="850"/>
      <c r="N64" s="850"/>
      <c r="O64" s="48">
        <f>IF(t&lt;Tnet,'2026'!Resal+('2026'!Salim-'2026'!Resal)*(1-EXP(('2026'!Tnet-t)/('2026'!Tau_j))),Resal+(Salim-Resal)*(1-EXP((Tnet-t)/(Tau_j))))*Salcycl</f>
        <v>9.4185773393164293E-2</v>
      </c>
      <c r="P64" s="169">
        <f>(INDEX(Models!$BJ64:$BT64,,T64)*(1-R64)+INDEX(Models!$BJ64:$BT64,,T64+1)*R64-ERP_i)*Q64*Ramure*Pc/MaxiM</f>
        <v>1.0963500161317974E-2</v>
      </c>
      <c r="Q64" s="305">
        <f t="shared" si="4"/>
        <v>0.7</v>
      </c>
      <c r="R64" s="177">
        <f t="shared" si="5"/>
        <v>0.98061756166065983</v>
      </c>
      <c r="S64" s="817">
        <f t="shared" si="6"/>
        <v>-2</v>
      </c>
      <c r="T64" s="176">
        <f t="shared" si="7"/>
        <v>4</v>
      </c>
      <c r="U64" s="251">
        <f t="shared" si="8"/>
        <v>-1.0193824383393402</v>
      </c>
      <c r="V64" s="383">
        <f t="shared" si="9"/>
        <v>21.737529494203905</v>
      </c>
      <c r="W64" s="402">
        <f t="shared" si="10"/>
        <v>11.579925204735309</v>
      </c>
      <c r="X64" s="157">
        <f t="shared" si="11"/>
        <v>46437</v>
      </c>
      <c r="Y64" s="385">
        <f t="shared" si="12"/>
        <v>10.969255085951445</v>
      </c>
      <c r="Z64" s="385">
        <f t="shared" si="22"/>
        <v>11.772880527718149</v>
      </c>
      <c r="AA64" s="386">
        <f t="shared" si="13"/>
        <v>13.491843567735087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0.12740757268545061</v>
      </c>
      <c r="AD64" s="231">
        <f>(INDEX(Models!$BJ64:$BT64,,AH64)*(1-AF64)+INDEX(Models!$BJ64:$BT64,,AH64+1)*AF64-ERP_i)*AE64*Ramure*Pc/MaxiM</f>
        <v>6.0924869976153997E-2</v>
      </c>
      <c r="AE64" s="305">
        <f t="shared" si="15"/>
        <v>0.7</v>
      </c>
      <c r="AF64" s="177">
        <f t="shared" si="23"/>
        <v>0.60448093103671585</v>
      </c>
      <c r="AG64" s="817">
        <f t="shared" si="24"/>
        <v>1</v>
      </c>
      <c r="AH64" s="176">
        <f t="shared" si="16"/>
        <v>7</v>
      </c>
      <c r="AI64" s="225">
        <f t="shared" si="17"/>
        <v>1.6044809310367159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46438</v>
      </c>
      <c r="B65" s="411">
        <f>'2026'!Wh/'2026'!Env_an*'2027'!Env_an</f>
        <v>13.007359742026203</v>
      </c>
      <c r="C65" s="846"/>
      <c r="D65" s="393">
        <f t="shared" si="0"/>
        <v>13.960605813893695</v>
      </c>
      <c r="E65" s="385">
        <f t="shared" si="1"/>
        <v>15.413465406511122</v>
      </c>
      <c r="F65" s="385">
        <f t="shared" si="2"/>
        <v>15.479757371829688</v>
      </c>
      <c r="G65" s="110">
        <f t="shared" si="21"/>
        <v>0.58734271494942047</v>
      </c>
      <c r="H65" s="414" t="b">
        <f>Wh_hp&gt;='2026'!Maxi_hp</f>
        <v>0</v>
      </c>
      <c r="I65" s="390">
        <f>IF(H65,Wh_hp,'2026'!Maxi_hp)</f>
        <v>26.392814303463727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6.82811394129339E-2</v>
      </c>
      <c r="M65" s="850"/>
      <c r="N65" s="850"/>
      <c r="O65" s="48">
        <f>IF(t&lt;Tnet,'2026'!Resal+('2026'!Salim-'2026'!Resal)*(1-EXP(('2026'!Tnet-t)/('2026'!Tau_j))),Resal+(Salim-Resal)*(1-EXP((Tnet-t)/(Tau_j))))*Salcycl</f>
        <v>9.425911398248539E-2</v>
      </c>
      <c r="P65" s="169">
        <f>(INDEX(Models!$BJ65:$BT65,,T65)*(1-R65)+INDEX(Models!$BJ65:$BT65,,T65+1)*R65-ERP_i)*Q65*Ramure*Pc/MaxiM</f>
        <v>1.030448777216344E-2</v>
      </c>
      <c r="Q65" s="305">
        <f t="shared" si="4"/>
        <v>0.7</v>
      </c>
      <c r="R65" s="177">
        <f t="shared" si="5"/>
        <v>0.98083242406657001</v>
      </c>
      <c r="S65" s="817">
        <f t="shared" si="6"/>
        <v>-2</v>
      </c>
      <c r="T65" s="176">
        <f t="shared" si="7"/>
        <v>4</v>
      </c>
      <c r="U65" s="251">
        <f t="shared" si="8"/>
        <v>-1.01916757593343</v>
      </c>
      <c r="V65" s="383">
        <f t="shared" si="9"/>
        <v>22.012178375209842</v>
      </c>
      <c r="W65" s="402">
        <f t="shared" si="10"/>
        <v>13.007359742026203</v>
      </c>
      <c r="X65" s="157">
        <f t="shared" si="11"/>
        <v>46438</v>
      </c>
      <c r="Y65" s="385">
        <f t="shared" si="12"/>
        <v>12.274633566820958</v>
      </c>
      <c r="Z65" s="385">
        <f t="shared" si="22"/>
        <v>13.174181704432646</v>
      </c>
      <c r="AA65" s="386">
        <f t="shared" si="13"/>
        <v>15.09824023732504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0.12743594635193586</v>
      </c>
      <c r="AD65" s="231">
        <f>(INDEX(Models!$BJ65:$BT65,,AH65)*(1-AF65)+INDEX(Models!$BJ65:$BT65,,AH65+1)*AF65-ERP_i)*AE65*Ramure*Pc/MaxiM</f>
        <v>5.9303395645035964E-2</v>
      </c>
      <c r="AE65" s="305">
        <f t="shared" si="15"/>
        <v>0.7</v>
      </c>
      <c r="AF65" s="177">
        <f t="shared" si="23"/>
        <v>0.60469579344262603</v>
      </c>
      <c r="AG65" s="817">
        <f t="shared" si="24"/>
        <v>1</v>
      </c>
      <c r="AH65" s="176">
        <f t="shared" si="16"/>
        <v>7</v>
      </c>
      <c r="AI65" s="225">
        <f t="shared" si="17"/>
        <v>1.604695793442626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46439</v>
      </c>
      <c r="B66" s="411">
        <f>'2026'!Wh/'2026'!Env_an*'2027'!Env_an</f>
        <v>13.467601064867495</v>
      </c>
      <c r="C66" s="846"/>
      <c r="D66" s="393">
        <f t="shared" si="0"/>
        <v>14.454892581941913</v>
      </c>
      <c r="E66" s="385">
        <f t="shared" si="1"/>
        <v>15.960482098822043</v>
      </c>
      <c r="F66" s="385">
        <f t="shared" si="2"/>
        <v>16.027733671413209</v>
      </c>
      <c r="G66" s="110">
        <f t="shared" si="21"/>
        <v>0.6009928531345462</v>
      </c>
      <c r="H66" s="414" t="b">
        <f>Wh_hp&gt;='2026'!Maxi_hp</f>
        <v>0</v>
      </c>
      <c r="I66" s="390">
        <f>IF(H66,Wh_hp,'2026'!Maxi_hp)</f>
        <v>25.140056728294933</v>
      </c>
      <c r="J66" s="85">
        <f>IF(H66,An,'2026'!An_max)</f>
        <v>2019</v>
      </c>
      <c r="K66" s="197">
        <f t="shared" si="3"/>
        <v>46439</v>
      </c>
      <c r="L66" s="147">
        <f>IF(t&lt;Tvie,1-EXP((T0-t)*PertePVj)+'2026'!Pspv,1-EXP((T0-t)*PertePVj)+Pspv)</f>
        <v>6.8301546447174122E-2</v>
      </c>
      <c r="M66" s="850"/>
      <c r="N66" s="850"/>
      <c r="O66" s="48">
        <f>IF(t&lt;Tnet,'2026'!Resal+('2026'!Salim-'2026'!Resal)*(1-EXP(('2026'!Tnet-t)/('2026'!Tau_j))),Resal+(Salim-Resal)*(1-EXP((Tnet-t)/(Tau_j))))*Salcycl</f>
        <v>9.43323332940708E-2</v>
      </c>
      <c r="P66" s="169">
        <f>(INDEX(Models!$BJ66:$BT66,,T66)*(1-R66)+INDEX(Models!$BJ66:$BT66,,T66+1)*R66-ERP_i)*Q66*Ramure*Pc/MaxiM</f>
        <v>9.6520783907521161E-3</v>
      </c>
      <c r="Q66" s="305">
        <f t="shared" si="4"/>
        <v>0.7</v>
      </c>
      <c r="R66" s="177">
        <f t="shared" si="5"/>
        <v>0.98105610231585683</v>
      </c>
      <c r="S66" s="817">
        <f t="shared" si="6"/>
        <v>-2</v>
      </c>
      <c r="T66" s="176">
        <f t="shared" si="7"/>
        <v>4</v>
      </c>
      <c r="U66" s="251">
        <f t="shared" si="8"/>
        <v>-1.0189438976841432</v>
      </c>
      <c r="V66" s="383">
        <f t="shared" si="9"/>
        <v>22.286139370581722</v>
      </c>
      <c r="W66" s="402">
        <f t="shared" si="10"/>
        <v>13.467601064867495</v>
      </c>
      <c r="X66" s="157">
        <f t="shared" si="11"/>
        <v>46439</v>
      </c>
      <c r="Y66" s="385">
        <f t="shared" si="12"/>
        <v>12.703533992682781</v>
      </c>
      <c r="Z66" s="385">
        <f t="shared" si="22"/>
        <v>13.634812791886329</v>
      </c>
      <c r="AA66" s="386">
        <f t="shared" si="13"/>
        <v>15.6266523225014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0.12746425078818366</v>
      </c>
      <c r="AD66" s="231">
        <f>(INDEX(Models!$BJ66:$BT66,,AH66)*(1-AF66)+INDEX(Models!$BJ66:$BT66,,AH66+1)*AF66-ERP_i)*AE66*Ramure*Pc/MaxiM</f>
        <v>5.7563986559829909E-2</v>
      </c>
      <c r="AE66" s="305">
        <f t="shared" si="15"/>
        <v>0.7</v>
      </c>
      <c r="AF66" s="177">
        <f t="shared" si="23"/>
        <v>0.60491947169191285</v>
      </c>
      <c r="AG66" s="817">
        <f t="shared" si="24"/>
        <v>1</v>
      </c>
      <c r="AH66" s="176">
        <f t="shared" si="16"/>
        <v>7</v>
      </c>
      <c r="AI66" s="225">
        <f t="shared" si="17"/>
        <v>1.6049194716919128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46440</v>
      </c>
      <c r="B67" s="411">
        <f>'2026'!Wh/'2026'!Env_an*'2027'!Env_an</f>
        <v>20.987099273004734</v>
      </c>
      <c r="C67" s="846"/>
      <c r="D67" s="393">
        <f t="shared" si="0"/>
        <v>22.526128356634675</v>
      </c>
      <c r="E67" s="385">
        <f t="shared" si="1"/>
        <v>24.874407417994906</v>
      </c>
      <c r="F67" s="385">
        <f t="shared" si="2"/>
        <v>25.078159177753911</v>
      </c>
      <c r="G67" s="110">
        <f t="shared" si="21"/>
        <v>0.92947684154805532</v>
      </c>
      <c r="H67" s="414" t="b">
        <f>Wh_hp&gt;='2026'!Maxi_hp</f>
        <v>0</v>
      </c>
      <c r="I67" s="390">
        <f>IF(H67,Wh_hp,'2026'!Maxi_hp)</f>
        <v>26.553607822777124</v>
      </c>
      <c r="J67" s="85">
        <f>IF(H67,An,'2026'!An_max)</f>
        <v>2019</v>
      </c>
      <c r="K67" s="197">
        <f t="shared" si="3"/>
        <v>46440</v>
      </c>
      <c r="L67" s="147">
        <f>IF(t&lt;Tvie,1-EXP((T0-t)*PertePVj)+'2026'!Pspv,1-EXP((T0-t)*PertePVj)+Pspv)</f>
        <v>6.8321953034447991E-2</v>
      </c>
      <c r="M67" s="850"/>
      <c r="N67" s="850"/>
      <c r="O67" s="48">
        <f>IF(t&lt;Tnet,'2026'!Resal+('2026'!Salim-'2026'!Resal)*(1-EXP(('2026'!Tnet-t)/('2026'!Tau_j))),Resal+(Salim-Resal)*(1-EXP((Tnet-t)/(Tau_j))))*Salcycl</f>
        <v>9.4405427309251722E-2</v>
      </c>
      <c r="P67" s="169">
        <f>(INDEX(Models!$BJ67:$BT67,,T67)*(1-R67)+INDEX(Models!$BJ67:$BT67,,T67+1)*R67-ERP_i)*Q67*Ramure*Pc/MaxiM</f>
        <v>9.0228382006659787E-3</v>
      </c>
      <c r="Q67" s="305">
        <f t="shared" si="4"/>
        <v>0.7</v>
      </c>
      <c r="R67" s="177">
        <f t="shared" si="5"/>
        <v>0.98128894957492596</v>
      </c>
      <c r="S67" s="817">
        <f t="shared" si="6"/>
        <v>-2</v>
      </c>
      <c r="T67" s="176">
        <f t="shared" si="7"/>
        <v>4</v>
      </c>
      <c r="U67" s="251">
        <f t="shared" si="8"/>
        <v>-1.018711050425074</v>
      </c>
      <c r="V67" s="383">
        <f t="shared" si="9"/>
        <v>22.559028885837254</v>
      </c>
      <c r="W67" s="402">
        <f t="shared" si="10"/>
        <v>20.987099273004734</v>
      </c>
      <c r="X67" s="157">
        <f t="shared" si="11"/>
        <v>46440</v>
      </c>
      <c r="Y67" s="385">
        <f t="shared" si="12"/>
        <v>19.362168025925612</v>
      </c>
      <c r="Z67" s="385">
        <f t="shared" si="22"/>
        <v>20.782037409797969</v>
      </c>
      <c r="AA67" s="386">
        <f t="shared" si="13"/>
        <v>23.818748773186229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0.12749248049531525</v>
      </c>
      <c r="AD67" s="231">
        <f>(INDEX(Models!$BJ67:$BT67,,AH67)*(1-AF67)+INDEX(Models!$BJ67:$BT67,,AH67+1)*AF67-ERP_i)*AE67*Ramure*Pc/MaxiM</f>
        <v>5.5771083018325902E-2</v>
      </c>
      <c r="AE67" s="305">
        <f t="shared" si="15"/>
        <v>0.7</v>
      </c>
      <c r="AF67" s="177">
        <f t="shared" si="23"/>
        <v>0.60515231895098198</v>
      </c>
      <c r="AG67" s="817">
        <f t="shared" si="24"/>
        <v>1</v>
      </c>
      <c r="AH67" s="176">
        <f t="shared" si="16"/>
        <v>7</v>
      </c>
      <c r="AI67" s="225">
        <f t="shared" si="17"/>
        <v>1.605152318950982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46441</v>
      </c>
      <c r="B68" s="411">
        <f>'2026'!Wh/'2026'!Env_an*'2027'!Env_an</f>
        <v>21.462370375995722</v>
      </c>
      <c r="C68" s="846"/>
      <c r="D68" s="393">
        <f t="shared" si="0"/>
        <v>23.036756674892924</v>
      </c>
      <c r="E68" s="385">
        <f t="shared" si="1"/>
        <v>25.440316946971439</v>
      </c>
      <c r="F68" s="385">
        <f t="shared" si="2"/>
        <v>25.637603609091492</v>
      </c>
      <c r="G68" s="110">
        <f t="shared" si="21"/>
        <v>0.93937742133807245</v>
      </c>
      <c r="H68" s="414" t="b">
        <f>Wh_hp&gt;='2026'!Maxi_hp</f>
        <v>0</v>
      </c>
      <c r="I68" s="390">
        <f>IF(H68,Wh_hp,'2026'!Maxi_hp)</f>
        <v>27.261868971635646</v>
      </c>
      <c r="J68" s="85">
        <f>IF(H68,An,'2026'!An_max)</f>
        <v>2019</v>
      </c>
      <c r="K68" s="197">
        <f t="shared" si="3"/>
        <v>46441</v>
      </c>
      <c r="L68" s="147">
        <f>IF(t&lt;Tvie,1-EXP((T0-t)*PertePVj)+'2026'!Pspv,1-EXP((T0-t)*PertePVj)+Pspv)</f>
        <v>6.8342359174765277E-2</v>
      </c>
      <c r="M68" s="850"/>
      <c r="N68" s="850"/>
      <c r="O68" s="48">
        <f>IF(t&lt;Tnet,'2026'!Resal+('2026'!Salim-'2026'!Resal)*(1-EXP(('2026'!Tnet-t)/('2026'!Tau_j))),Resal+(Salim-Resal)*(1-EXP((Tnet-t)/(Tau_j))))*Salcycl</f>
        <v>9.4478393374129999E-2</v>
      </c>
      <c r="P68" s="169">
        <f>(INDEX(Models!$BJ68:$BT68,,T68)*(1-R68)+INDEX(Models!$BJ68:$BT68,,T68+1)*R68-ERP_i)*Q68*Ramure*Pc/MaxiM</f>
        <v>8.415841958956817E-3</v>
      </c>
      <c r="Q68" s="305">
        <f t="shared" si="4"/>
        <v>0.7</v>
      </c>
      <c r="R68" s="177">
        <f t="shared" si="5"/>
        <v>0.98153133243530388</v>
      </c>
      <c r="S68" s="817">
        <f t="shared" si="6"/>
        <v>-2</v>
      </c>
      <c r="T68" s="176">
        <f t="shared" si="7"/>
        <v>4</v>
      </c>
      <c r="U68" s="251">
        <f t="shared" si="8"/>
        <v>-1.0184686675646961</v>
      </c>
      <c r="V68" s="383">
        <f t="shared" si="9"/>
        <v>22.830848825371458</v>
      </c>
      <c r="W68" s="402">
        <f t="shared" si="10"/>
        <v>21.462370375995722</v>
      </c>
      <c r="X68" s="157">
        <f t="shared" si="11"/>
        <v>46441</v>
      </c>
      <c r="Y68" s="385">
        <f t="shared" si="12"/>
        <v>19.812013775153936</v>
      </c>
      <c r="Z68" s="385">
        <f t="shared" si="22"/>
        <v>21.265337079836581</v>
      </c>
      <c r="AA68" s="386">
        <f t="shared" si="13"/>
        <v>24.373455528707019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0.12752063182874096</v>
      </c>
      <c r="AD68" s="231">
        <f>(INDEX(Models!$BJ68:$BT68,,AH68)*(1-AF68)+INDEX(Models!$BJ68:$BT68,,AH68+1)*AF68-ERP_i)*AE68*Ramure*Pc/MaxiM</f>
        <v>5.3925948885284229E-2</v>
      </c>
      <c r="AE68" s="305">
        <f t="shared" si="15"/>
        <v>0.7</v>
      </c>
      <c r="AF68" s="177">
        <f t="shared" si="23"/>
        <v>0.6053947018113599</v>
      </c>
      <c r="AG68" s="817">
        <f t="shared" si="24"/>
        <v>1</v>
      </c>
      <c r="AH68" s="176">
        <f t="shared" si="16"/>
        <v>7</v>
      </c>
      <c r="AI68" s="225">
        <f t="shared" si="17"/>
        <v>1.6053947018113599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46442</v>
      </c>
      <c r="B69" s="411">
        <f>'2026'!Wh/'2026'!Env_an*'2027'!Env_an</f>
        <v>13.870088781700304</v>
      </c>
      <c r="C69" s="846"/>
      <c r="D69" s="393">
        <f t="shared" si="0"/>
        <v>14.887864351768986</v>
      </c>
      <c r="E69" s="385">
        <f t="shared" si="1"/>
        <v>16.442525353288399</v>
      </c>
      <c r="F69" s="385">
        <f t="shared" si="2"/>
        <v>16.497962575720535</v>
      </c>
      <c r="G69" s="110">
        <f t="shared" si="21"/>
        <v>0.59770233716941057</v>
      </c>
      <c r="H69" s="414" t="b">
        <f>Wh_hp&gt;='2026'!Maxi_hp</f>
        <v>0</v>
      </c>
      <c r="I69" s="390">
        <f>IF(H69,Wh_hp,'2026'!Maxi_hp)</f>
        <v>27.125715294135134</v>
      </c>
      <c r="J69" s="85">
        <f>IF(H69,An,'2026'!An_max)</f>
        <v>2019</v>
      </c>
      <c r="K69" s="197">
        <f t="shared" si="3"/>
        <v>46442</v>
      </c>
      <c r="L69" s="147">
        <f>IF(t&lt;Tvie,1-EXP((T0-t)*PertePVj)+'2026'!Pspv,1-EXP((T0-t)*PertePVj)+Pspv)</f>
        <v>6.8362764868135639E-2</v>
      </c>
      <c r="M69" s="850"/>
      <c r="N69" s="850"/>
      <c r="O69" s="48">
        <f>IF(t&lt;Tnet,'2026'!Resal+('2026'!Salim-'2026'!Resal)*(1-EXP(('2026'!Tnet-t)/('2026'!Tau_j))),Resal+(Salim-Resal)*(1-EXP((Tnet-t)/(Tau_j))))*Salcycl</f>
        <v>9.4551230307727205E-2</v>
      </c>
      <c r="P69" s="169">
        <f>(INDEX(Models!$BJ69:$BT69,,T69)*(1-R69)+INDEX(Models!$BJ69:$BT69,,T69+1)*R69-ERP_i)*Q69*Ramure*Pc/MaxiM</f>
        <v>7.8302613241798633E-3</v>
      </c>
      <c r="Q69" s="305">
        <f t="shared" si="4"/>
        <v>0.7</v>
      </c>
      <c r="R69" s="177">
        <f t="shared" si="5"/>
        <v>0.98178363136252211</v>
      </c>
      <c r="S69" s="817">
        <f t="shared" si="6"/>
        <v>-2</v>
      </c>
      <c r="T69" s="176">
        <f t="shared" si="7"/>
        <v>4</v>
      </c>
      <c r="U69" s="251">
        <f t="shared" si="8"/>
        <v>-1.0182163686374779</v>
      </c>
      <c r="V69" s="383">
        <f t="shared" si="9"/>
        <v>23.101599886327431</v>
      </c>
      <c r="W69" s="402">
        <f t="shared" si="10"/>
        <v>13.870088781700304</v>
      </c>
      <c r="X69" s="157">
        <f t="shared" si="11"/>
        <v>46442</v>
      </c>
      <c r="Y69" s="385">
        <f t="shared" si="12"/>
        <v>13.110266962176647</v>
      </c>
      <c r="Z69" s="385">
        <f t="shared" si="22"/>
        <v>14.072287439564407</v>
      </c>
      <c r="AA69" s="386">
        <f t="shared" si="13"/>
        <v>16.12959656337668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0.12754870313889502</v>
      </c>
      <c r="AD69" s="231">
        <f>(INDEX(Models!$BJ69:$BT69,,AH69)*(1-AF69)+INDEX(Models!$BJ69:$BT69,,AH69+1)*AF69-ERP_i)*AE69*Ramure*Pc/MaxiM</f>
        <v>5.2030062348983691E-2</v>
      </c>
      <c r="AE69" s="305">
        <f t="shared" si="15"/>
        <v>0.7</v>
      </c>
      <c r="AF69" s="177">
        <f t="shared" si="23"/>
        <v>0.60564700073857813</v>
      </c>
      <c r="AG69" s="817">
        <f t="shared" si="24"/>
        <v>1</v>
      </c>
      <c r="AH69" s="176">
        <f t="shared" si="16"/>
        <v>7</v>
      </c>
      <c r="AI69" s="225">
        <f t="shared" si="17"/>
        <v>1.6056470007385781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46443</v>
      </c>
      <c r="B70" s="411">
        <f>'2026'!Wh/'2026'!Env_an*'2027'!Env_an</f>
        <v>19.349333496717719</v>
      </c>
      <c r="C70" s="846"/>
      <c r="D70" s="393">
        <f t="shared" si="0"/>
        <v>20.769626391461042</v>
      </c>
      <c r="E70" s="385">
        <f t="shared" si="1"/>
        <v>22.940330846662068</v>
      </c>
      <c r="F70" s="385">
        <f t="shared" si="2"/>
        <v>23.066717835879736</v>
      </c>
      <c r="G70" s="110">
        <f t="shared" si="21"/>
        <v>0.82642374178606104</v>
      </c>
      <c r="H70" s="414" t="b">
        <f>Wh_hp&gt;='2026'!Maxi_hp</f>
        <v>0</v>
      </c>
      <c r="I70" s="390">
        <f>IF(H70,Wh_hp,'2026'!Maxi_hp)</f>
        <v>27.521029362463523</v>
      </c>
      <c r="J70" s="85">
        <f>IF(H70,An,'2026'!An_max)</f>
        <v>2019</v>
      </c>
      <c r="K70" s="197">
        <f t="shared" si="3"/>
        <v>46443</v>
      </c>
      <c r="L70" s="147">
        <f>IF(t&lt;Tvie,1-EXP((T0-t)*PertePVj)+'2026'!Pspv,1-EXP((T0-t)*PertePVj)+Pspv)</f>
        <v>6.8383170114568959E-2</v>
      </c>
      <c r="M70" s="850"/>
      <c r="N70" s="850"/>
      <c r="O70" s="48">
        <f>IF(t&lt;Tnet,'2026'!Resal+('2026'!Salim-'2026'!Resal)*(1-EXP(('2026'!Tnet-t)/('2026'!Tau_j))),Resal+(Salim-Resal)*(1-EXP((Tnet-t)/(Tau_j))))*Salcycl</f>
        <v>9.4623938499861462E-2</v>
      </c>
      <c r="P70" s="169">
        <f>(INDEX(Models!$BJ70:$BT70,,T70)*(1-R70)+INDEX(Models!$BJ70:$BT70,,T70+1)*R70-ERP_i)*Q70*Ramure*Pc/MaxiM</f>
        <v>7.265310740211299E-3</v>
      </c>
      <c r="Q70" s="305">
        <f t="shared" si="4"/>
        <v>0.7</v>
      </c>
      <c r="R70" s="177">
        <f t="shared" si="5"/>
        <v>0.98204624115465822</v>
      </c>
      <c r="S70" s="817">
        <f t="shared" si="6"/>
        <v>-2</v>
      </c>
      <c r="T70" s="176">
        <f t="shared" si="7"/>
        <v>4</v>
      </c>
      <c r="U70" s="251">
        <f t="shared" si="8"/>
        <v>-1.0179537588453418</v>
      </c>
      <c r="V70" s="383">
        <f t="shared" si="9"/>
        <v>23.371282695482485</v>
      </c>
      <c r="W70" s="402">
        <f t="shared" si="10"/>
        <v>19.349333496717719</v>
      </c>
      <c r="X70" s="157">
        <f t="shared" si="11"/>
        <v>46443</v>
      </c>
      <c r="Y70" s="385">
        <f t="shared" si="12"/>
        <v>18.03966356040878</v>
      </c>
      <c r="Z70" s="385">
        <f t="shared" si="22"/>
        <v>19.363823174627782</v>
      </c>
      <c r="AA70" s="386">
        <f t="shared" si="13"/>
        <v>22.19544464410755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0.12757669489768506</v>
      </c>
      <c r="AD70" s="231">
        <f>(INDEX(Models!$BJ70:$BT70,,AH70)*(1-AF70)+INDEX(Models!$BJ70:$BT70,,AH70+1)*AF70-ERP_i)*AE70*Ramure*Pc/MaxiM</f>
        <v>5.0084826903651458E-2</v>
      </c>
      <c r="AE70" s="305">
        <f t="shared" si="15"/>
        <v>0.7</v>
      </c>
      <c r="AF70" s="177">
        <f t="shared" si="23"/>
        <v>0.60590961053071424</v>
      </c>
      <c r="AG70" s="817">
        <f t="shared" si="24"/>
        <v>1</v>
      </c>
      <c r="AH70" s="176">
        <f t="shared" si="16"/>
        <v>7</v>
      </c>
      <c r="AI70" s="225">
        <f t="shared" si="17"/>
        <v>1.6059096105307142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46444</v>
      </c>
      <c r="B71" s="411">
        <f>'2026'!Wh/'2026'!Env_an*'2027'!Env_an</f>
        <v>24.244626666681732</v>
      </c>
      <c r="C71" s="846"/>
      <c r="D71" s="393">
        <f t="shared" si="0"/>
        <v>26.024817199621122</v>
      </c>
      <c r="E71" s="385">
        <f t="shared" si="1"/>
        <v>28.747064133192772</v>
      </c>
      <c r="F71" s="385">
        <f t="shared" si="2"/>
        <v>28.941558485562069</v>
      </c>
      <c r="G71" s="110">
        <f t="shared" si="21"/>
        <v>1.02558085752066</v>
      </c>
      <c r="H71" s="414" t="b">
        <f>Wh_hp&gt;='2026'!Maxi_hp</f>
        <v>1</v>
      </c>
      <c r="I71" s="390">
        <f>IF(H71,Wh_hp,'2026'!Maxi_hp)</f>
        <v>28.941558485562069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6.8403574914075005E-2</v>
      </c>
      <c r="M71" s="850"/>
      <c r="N71" s="850"/>
      <c r="O71" s="48">
        <f>IF(t&lt;Tnet,'2026'!Resal+('2026'!Salim-'2026'!Resal)*(1-EXP(('2026'!Tnet-t)/('2026'!Tau_j))),Resal+(Salim-Resal)*(1-EXP((Tnet-t)/(Tau_j))))*Salcycl</f>
        <v>9.4696519997964246E-2</v>
      </c>
      <c r="P71" s="169">
        <f>(INDEX(Models!$BJ71:$BT71,,T71)*(1-R71)+INDEX(Models!$BJ71:$BT71,,T71+1)*R71-ERP_i)*Q71*Ramure*Pc/MaxiM</f>
        <v>6.7202446083311357E-3</v>
      </c>
      <c r="Q71" s="305">
        <f t="shared" si="4"/>
        <v>0.7</v>
      </c>
      <c r="R71" s="177">
        <f t="shared" si="5"/>
        <v>0.98231957141022352</v>
      </c>
      <c r="S71" s="817">
        <f t="shared" si="6"/>
        <v>-2</v>
      </c>
      <c r="T71" s="176">
        <f t="shared" si="7"/>
        <v>4</v>
      </c>
      <c r="U71" s="251">
        <f t="shared" si="8"/>
        <v>-1.0176804285897765</v>
      </c>
      <c r="V71" s="383">
        <f t="shared" si="9"/>
        <v>23.639897809026074</v>
      </c>
      <c r="W71" s="402">
        <f t="shared" si="10"/>
        <v>24.244626666681732</v>
      </c>
      <c r="X71" s="157">
        <f t="shared" si="11"/>
        <v>46444</v>
      </c>
      <c r="Y71" s="385">
        <f t="shared" si="12"/>
        <v>22.39021477846968</v>
      </c>
      <c r="Z71" s="385">
        <f t="shared" si="22"/>
        <v>24.034242914150877</v>
      </c>
      <c r="AA71" s="386">
        <f t="shared" si="13"/>
        <v>27.54971333457738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0.12760460980965163</v>
      </c>
      <c r="AD71" s="231">
        <f>(INDEX(Models!$BJ71:$BT71,,AH71)*(1-AF71)+INDEX(Models!$BJ71:$BT71,,AH71+1)*AF71-ERP_i)*AE71*Ramure*Pc/MaxiM</f>
        <v>4.8091575706920978E-2</v>
      </c>
      <c r="AE71" s="305">
        <f t="shared" si="15"/>
        <v>0.7</v>
      </c>
      <c r="AF71" s="177">
        <f t="shared" si="23"/>
        <v>0.60618294078627954</v>
      </c>
      <c r="AG71" s="817">
        <f t="shared" si="24"/>
        <v>1</v>
      </c>
      <c r="AH71" s="176">
        <f t="shared" si="16"/>
        <v>7</v>
      </c>
      <c r="AI71" s="225">
        <f t="shared" si="17"/>
        <v>1.6061829407862795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46445</v>
      </c>
      <c r="B72" s="411">
        <f>'2026'!Wh/'2026'!Env_an*'2027'!Env_an</f>
        <v>16.395864961365088</v>
      </c>
      <c r="C72" s="846"/>
      <c r="D72" s="393">
        <f t="shared" si="0"/>
        <v>17.600136324310139</v>
      </c>
      <c r="E72" s="385">
        <f t="shared" si="1"/>
        <v>19.442701263975582</v>
      </c>
      <c r="F72" s="385">
        <f t="shared" si="2"/>
        <v>19.509369615666571</v>
      </c>
      <c r="G72" s="110">
        <f t="shared" si="21"/>
        <v>0.68389471460338813</v>
      </c>
      <c r="H72" s="414" t="b">
        <f>Wh_hp&gt;='2026'!Maxi_hp</f>
        <v>0</v>
      </c>
      <c r="I72" s="390">
        <f>IF(H72,Wh_hp,'2026'!Maxi_hp)</f>
        <v>28.603433631443369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6.8423979266663548E-2</v>
      </c>
      <c r="M72" s="850"/>
      <c r="N72" s="850"/>
      <c r="O72" s="48">
        <f>IF(t&lt;Tnet,'2026'!Resal+('2026'!Salim-'2026'!Resal)*(1-EXP(('2026'!Tnet-t)/('2026'!Tau_j))),Resal+(Salim-Resal)*(1-EXP((Tnet-t)/(Tau_j))))*Salcycl</f>
        <v>9.476897858218096E-2</v>
      </c>
      <c r="P72" s="169">
        <f>(INDEX(Models!$BJ72:$BT72,,T72)*(1-R72)+INDEX(Models!$BJ72:$BT72,,T72+1)*R72-ERP_i)*Q72*Ramure*Pc/MaxiM</f>
        <v>6.2001368540206088E-3</v>
      </c>
      <c r="Q72" s="305">
        <f t="shared" si="4"/>
        <v>0.7</v>
      </c>
      <c r="R72" s="177">
        <f t="shared" si="5"/>
        <v>0.98260404700503368</v>
      </c>
      <c r="S72" s="817">
        <f t="shared" si="6"/>
        <v>-2</v>
      </c>
      <c r="T72" s="176">
        <f t="shared" si="7"/>
        <v>4</v>
      </c>
      <c r="U72" s="251">
        <f t="shared" si="8"/>
        <v>-1.0173959529949663</v>
      </c>
      <c r="V72" s="383">
        <f t="shared" si="9"/>
        <v>23.907306612834905</v>
      </c>
      <c r="W72" s="402">
        <f t="shared" si="10"/>
        <v>16.395864961365088</v>
      </c>
      <c r="X72" s="157">
        <f t="shared" si="11"/>
        <v>46445</v>
      </c>
      <c r="Y72" s="385">
        <f t="shared" si="12"/>
        <v>15.452597559008174</v>
      </c>
      <c r="Z72" s="385">
        <f t="shared" si="22"/>
        <v>16.587586214213513</v>
      </c>
      <c r="AA72" s="386">
        <f t="shared" si="13"/>
        <v>19.014446685332114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0.12763245290701525</v>
      </c>
      <c r="AD72" s="231">
        <f>(INDEX(Models!$BJ72:$BT72,,AH72)*(1-AF72)+INDEX(Models!$BJ72:$BT72,,AH72+1)*AF72-ERP_i)*AE72*Ramure*Pc/MaxiM</f>
        <v>4.6027685137462256E-2</v>
      </c>
      <c r="AE72" s="305">
        <f t="shared" si="15"/>
        <v>0.7</v>
      </c>
      <c r="AF72" s="177">
        <f t="shared" si="23"/>
        <v>0.6064674163810897</v>
      </c>
      <c r="AG72" s="817">
        <f t="shared" si="24"/>
        <v>1</v>
      </c>
      <c r="AH72" s="176">
        <f t="shared" si="16"/>
        <v>7</v>
      </c>
      <c r="AI72" s="225">
        <f t="shared" si="17"/>
        <v>1.6064674163810897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46446</v>
      </c>
      <c r="B73" s="411">
        <f>'2026'!Wh/'2026'!Env_an*'2027'!Env_an</f>
        <v>21.438105701200687</v>
      </c>
      <c r="C73" s="846"/>
      <c r="D73" s="393">
        <f t="shared" si="0"/>
        <v>23.013232182751029</v>
      </c>
      <c r="E73" s="385">
        <f t="shared" si="1"/>
        <v>25.424527971586024</v>
      </c>
      <c r="F73" s="385">
        <f t="shared" si="2"/>
        <v>25.54656400422148</v>
      </c>
      <c r="G73" s="110">
        <f t="shared" si="21"/>
        <v>0.88601675369776045</v>
      </c>
      <c r="H73" s="414" t="b">
        <f>Wh_hp&gt;='2026'!Maxi_hp</f>
        <v>0</v>
      </c>
      <c r="I73" s="390">
        <f>IF(H73,Wh_hp,'2026'!Maxi_hp)</f>
        <v>25.558645788295358</v>
      </c>
      <c r="J73" s="85">
        <f>IF(H73,An,'2026'!An_max)</f>
        <v>2026</v>
      </c>
      <c r="K73" s="197">
        <f t="shared" si="3"/>
        <v>46446</v>
      </c>
      <c r="L73" s="147">
        <f>IF(t&lt;Tvie,1-EXP((T0-t)*PertePVj)+'2026'!Pspv,1-EXP((T0-t)*PertePVj)+Pspv)</f>
        <v>6.844438317234447E-2</v>
      </c>
      <c r="M73" s="850"/>
      <c r="N73" s="850"/>
      <c r="O73" s="48">
        <f>IF(t&lt;Tnet,'2026'!Resal+('2026'!Salim-'2026'!Resal)*(1-EXP(('2026'!Tnet-t)/('2026'!Tau_j))),Resal+(Salim-Resal)*(1-EXP((Tnet-t)/(Tau_j))))*Salcycl</f>
        <v>9.4841319828230949E-2</v>
      </c>
      <c r="P73" s="169">
        <f>(INDEX(Models!$BJ73:$BT73,,T73)*(1-R73)+INDEX(Models!$BJ73:$BT73,,T73+1)*R73-ERP_i)*Q73*Ramure*Pc/MaxiM</f>
        <v>5.6981737766265824E-3</v>
      </c>
      <c r="Q73" s="305">
        <f t="shared" si="4"/>
        <v>0.7</v>
      </c>
      <c r="R73" s="177">
        <f t="shared" si="5"/>
        <v>0.98290010857762122</v>
      </c>
      <c r="S73" s="817">
        <f t="shared" si="6"/>
        <v>-2</v>
      </c>
      <c r="T73" s="176">
        <f t="shared" si="7"/>
        <v>4</v>
      </c>
      <c r="U73" s="251">
        <f t="shared" si="8"/>
        <v>-1.0170998914223788</v>
      </c>
      <c r="V73" s="383">
        <f t="shared" si="9"/>
        <v>24.173654371834434</v>
      </c>
      <c r="W73" s="402">
        <f t="shared" si="10"/>
        <v>21.438105701200687</v>
      </c>
      <c r="X73" s="157">
        <f t="shared" si="11"/>
        <v>46446</v>
      </c>
      <c r="Y73" s="385">
        <f t="shared" si="12"/>
        <v>19.9952434567303</v>
      </c>
      <c r="Z73" s="385">
        <f t="shared" si="22"/>
        <v>21.464358214942269</v>
      </c>
      <c r="AA73" s="386">
        <f t="shared" si="13"/>
        <v>24.605502343426636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0.12766023162796841</v>
      </c>
      <c r="AD73" s="231">
        <f>(INDEX(Models!$BJ73:$BT73,,AH73)*(1-AF73)+INDEX(Models!$BJ73:$BT73,,AH73+1)*AF73-ERP_i)*AE73*Ramure*Pc/MaxiM</f>
        <v>4.3940570353906437E-2</v>
      </c>
      <c r="AE73" s="305">
        <f t="shared" si="15"/>
        <v>0.7</v>
      </c>
      <c r="AF73" s="177">
        <f t="shared" si="23"/>
        <v>0.60676347795367724</v>
      </c>
      <c r="AG73" s="817">
        <f t="shared" si="24"/>
        <v>1</v>
      </c>
      <c r="AH73" s="176">
        <f t="shared" si="16"/>
        <v>7</v>
      </c>
      <c r="AI73" s="225">
        <f t="shared" si="17"/>
        <v>1.6067634779536772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46447</v>
      </c>
      <c r="B74" s="411">
        <f>'2026'!Wh/'2026'!Env_an*'2027'!Env_an</f>
        <v>24.059752356101239</v>
      </c>
      <c r="C74" s="846"/>
      <c r="D74" s="393">
        <f t="shared" si="0"/>
        <v>25.828065338603547</v>
      </c>
      <c r="E74" s="385">
        <f t="shared" si="1"/>
        <v>28.53657280101654</v>
      </c>
      <c r="F74" s="385">
        <f t="shared" si="2"/>
        <v>28.682802377253598</v>
      </c>
      <c r="G74" s="110">
        <f t="shared" si="21"/>
        <v>0.98436987242605234</v>
      </c>
      <c r="H74" s="414" t="b">
        <f>Wh_hp&gt;='2026'!Maxi_hp</f>
        <v>0</v>
      </c>
      <c r="I74" s="390">
        <f>IF(H74,Wh_hp,'2026'!Maxi_hp)</f>
        <v>28.684503067174212</v>
      </c>
      <c r="J74" s="85">
        <f>IF(H74,An,'2026'!An_max)</f>
        <v>2026</v>
      </c>
      <c r="K74" s="197">
        <f t="shared" si="3"/>
        <v>46447</v>
      </c>
      <c r="L74" s="147">
        <f>IF(t&lt;Tvie,1-EXP((T0-t)*PertePVj)+'2026'!Pspv,1-EXP((T0-t)*PertePVj)+Pspv)</f>
        <v>6.8464786631127428E-2</v>
      </c>
      <c r="M74" s="850"/>
      <c r="N74" s="850"/>
      <c r="O74" s="48">
        <f>IF(t&lt;Tnet,'2026'!Resal+('2026'!Salim-'2026'!Resal)*(1-EXP(('2026'!Tnet-t)/('2026'!Tau_j))),Resal+(Salim-Resal)*(1-EXP((Tnet-t)/(Tau_j))))*Salcycl</f>
        <v>9.491355115763965E-2</v>
      </c>
      <c r="P74" s="169">
        <f>(INDEX(Models!$BJ74:$BT74,,T74)*(1-R74)+INDEX(Models!$BJ74:$BT74,,T74+1)*R74-ERP_i)*Q74*Ramure*Pc/MaxiM</f>
        <v>5.2137263897148326E-3</v>
      </c>
      <c r="Q74" s="305">
        <f t="shared" si="4"/>
        <v>0.7</v>
      </c>
      <c r="R74" s="177">
        <f t="shared" si="5"/>
        <v>0.98320821302268002</v>
      </c>
      <c r="S74" s="817">
        <f t="shared" si="6"/>
        <v>-2</v>
      </c>
      <c r="T74" s="176">
        <f t="shared" si="7"/>
        <v>4</v>
      </c>
      <c r="U74" s="251">
        <f t="shared" si="8"/>
        <v>-1.01679178697732</v>
      </c>
      <c r="V74" s="383">
        <f t="shared" si="9"/>
        <v>24.438941432659519</v>
      </c>
      <c r="W74" s="402">
        <f t="shared" si="10"/>
        <v>24.059752356101239</v>
      </c>
      <c r="X74" s="157">
        <f t="shared" si="11"/>
        <v>46447</v>
      </c>
      <c r="Y74" s="385">
        <f t="shared" si="12"/>
        <v>22.35398886394583</v>
      </c>
      <c r="Z74" s="385">
        <f t="shared" si="22"/>
        <v>23.996933817566831</v>
      </c>
      <c r="AA74" s="386">
        <f t="shared" si="13"/>
        <v>27.509575248056535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0.12768795587775794</v>
      </c>
      <c r="AD74" s="231">
        <f>(INDEX(Models!$BJ74:$BT74,,AH74)*(1-AF74)+INDEX(Models!$BJ74:$BT74,,AH74+1)*AF74-ERP_i)*AE74*Ramure*Pc/MaxiM</f>
        <v>4.1830698016301987E-2</v>
      </c>
      <c r="AE74" s="305">
        <f t="shared" si="15"/>
        <v>0.7</v>
      </c>
      <c r="AF74" s="177">
        <f t="shared" si="23"/>
        <v>0.60707158239873604</v>
      </c>
      <c r="AG74" s="817">
        <f t="shared" si="24"/>
        <v>1</v>
      </c>
      <c r="AH74" s="176">
        <f t="shared" si="16"/>
        <v>7</v>
      </c>
      <c r="AI74" s="225">
        <f t="shared" si="17"/>
        <v>1.607071582398736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46448</v>
      </c>
      <c r="B75" s="411">
        <f>'2026'!Wh/'2026'!Env_an*'2027'!Env_an</f>
        <v>8.8493487617475619</v>
      </c>
      <c r="C75" s="846"/>
      <c r="D75" s="393">
        <f t="shared" si="0"/>
        <v>9.4999549801642882</v>
      </c>
      <c r="E75" s="385">
        <f t="shared" si="1"/>
        <v>10.497021748614065</v>
      </c>
      <c r="F75" s="385">
        <f t="shared" si="2"/>
        <v>10.501167580666575</v>
      </c>
      <c r="G75" s="110">
        <f t="shared" si="21"/>
        <v>0.35666787694171392</v>
      </c>
      <c r="H75" s="414" t="b">
        <f>Wh_hp&gt;='2026'!Maxi_hp</f>
        <v>0</v>
      </c>
      <c r="I75" s="390">
        <f>IF(H75,Wh_hp,'2026'!Maxi_hp)</f>
        <v>19.932639932535867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6.8485189643022304E-2</v>
      </c>
      <c r="M75" s="850"/>
      <c r="N75" s="850"/>
      <c r="O75" s="48">
        <f>IF(t&lt;Tnet,'2026'!Resal+('2026'!Salim-'2026'!Resal)*(1-EXP(('2026'!Tnet-t)/('2026'!Tau_j))),Resal+(Salim-Resal)*(1-EXP((Tnet-t)/(Tau_j))))*Salcycl</f>
        <v>9.498568187509189E-2</v>
      </c>
      <c r="P75" s="169">
        <f>(INDEX(Models!$BJ75:$BT75,,T75)*(1-R75)+INDEX(Models!$BJ75:$BT75,,T75+1)*R75-ERP_i)*Q75*Ramure*Pc/MaxiM</f>
        <v>4.7461956405728655E-3</v>
      </c>
      <c r="Q75" s="305">
        <f t="shared" si="4"/>
        <v>0.7</v>
      </c>
      <c r="R75" s="177">
        <f t="shared" si="5"/>
        <v>0.98352883399194169</v>
      </c>
      <c r="S75" s="817">
        <f t="shared" si="6"/>
        <v>-2</v>
      </c>
      <c r="T75" s="176">
        <f t="shared" si="7"/>
        <v>4</v>
      </c>
      <c r="U75" s="251">
        <f t="shared" si="8"/>
        <v>-1.0164711660080583</v>
      </c>
      <c r="V75" s="383">
        <f t="shared" si="9"/>
        <v>24.703168075671989</v>
      </c>
      <c r="W75" s="402">
        <f t="shared" si="10"/>
        <v>8.8493487617475619</v>
      </c>
      <c r="X75" s="157">
        <f t="shared" si="11"/>
        <v>46448</v>
      </c>
      <c r="Y75" s="385">
        <f t="shared" si="12"/>
        <v>8.5045030623644973</v>
      </c>
      <c r="Z75" s="385">
        <f t="shared" si="22"/>
        <v>9.1297561432280165</v>
      </c>
      <c r="AA75" s="386">
        <f t="shared" si="13"/>
        <v>10.466490678626419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0.12771563807228573</v>
      </c>
      <c r="AD75" s="231">
        <f>(INDEX(Models!$BJ75:$BT75,,AH75)*(1-AF75)+INDEX(Models!$BJ75:$BT75,,AH75+1)*AF75-ERP_i)*AE75*Ramure*Pc/MaxiM</f>
        <v>3.9698511470544304E-2</v>
      </c>
      <c r="AE75" s="305">
        <f t="shared" si="15"/>
        <v>0.7</v>
      </c>
      <c r="AF75" s="177">
        <f t="shared" si="23"/>
        <v>0.60739220336799771</v>
      </c>
      <c r="AG75" s="817">
        <f t="shared" si="24"/>
        <v>1</v>
      </c>
      <c r="AH75" s="176">
        <f t="shared" si="16"/>
        <v>7</v>
      </c>
      <c r="AI75" s="225">
        <f t="shared" si="17"/>
        <v>1.6073922033679977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46449</v>
      </c>
      <c r="B76" s="411">
        <f>'2026'!Wh/'2026'!Env_an*'2027'!Env_an</f>
        <v>22.702983640498285</v>
      </c>
      <c r="C76" s="846"/>
      <c r="D76" s="393">
        <f t="shared" si="0"/>
        <v>24.372646202261198</v>
      </c>
      <c r="E76" s="385">
        <f t="shared" si="1"/>
        <v>26.932818619384207</v>
      </c>
      <c r="F76" s="385">
        <f t="shared" si="2"/>
        <v>27.03389210005199</v>
      </c>
      <c r="G76" s="110">
        <f t="shared" si="21"/>
        <v>0.90883617280492257</v>
      </c>
      <c r="H76" s="414" t="b">
        <f>Wh_hp&gt;='2026'!Maxi_hp</f>
        <v>0</v>
      </c>
      <c r="I76" s="390">
        <f>IF(H76,Wh_hp,'2026'!Maxi_hp)</f>
        <v>27.041589991679619</v>
      </c>
      <c r="J76" s="85">
        <f>IF(H76,An,'2026'!An_max)</f>
        <v>2026</v>
      </c>
      <c r="K76" s="197">
        <f t="shared" si="3"/>
        <v>46449</v>
      </c>
      <c r="L76" s="147">
        <f>IF(t&lt;Tvie,1-EXP((T0-t)*PertePVj)+'2026'!Pspv,1-EXP((T0-t)*PertePVj)+Pspv)</f>
        <v>6.8505592208038868E-2</v>
      </c>
      <c r="M76" s="850"/>
      <c r="N76" s="850"/>
      <c r="O76" s="48">
        <f>IF(t&lt;Tnet,'2026'!Resal+('2026'!Salim-'2026'!Resal)*(1-EXP(('2026'!Tnet-t)/('2026'!Tau_j))),Resal+(Salim-Resal)*(1-EXP((Tnet-t)/(Tau_j))))*Salcycl</f>
        <v>9.505772319278874E-2</v>
      </c>
      <c r="P76" s="169">
        <f>(INDEX(Models!$BJ76:$BT76,,T76)*(1-R76)+INDEX(Models!$BJ76:$BT76,,T76+1)*R76-ERP_i)*Q76*Ramure*Pc/MaxiM</f>
        <v>4.2950104814924303E-3</v>
      </c>
      <c r="Q76" s="305">
        <f t="shared" si="4"/>
        <v>0.7</v>
      </c>
      <c r="R76" s="177">
        <f t="shared" si="5"/>
        <v>0.98386246240179953</v>
      </c>
      <c r="S76" s="817">
        <f t="shared" si="6"/>
        <v>-2</v>
      </c>
      <c r="T76" s="176">
        <f t="shared" si="7"/>
        <v>4</v>
      </c>
      <c r="U76" s="251">
        <f t="shared" si="8"/>
        <v>-1.0161375375982005</v>
      </c>
      <c r="V76" s="383">
        <f t="shared" si="9"/>
        <v>24.966334515549097</v>
      </c>
      <c r="W76" s="402">
        <f t="shared" si="10"/>
        <v>22.702983640498285</v>
      </c>
      <c r="X76" s="157">
        <f t="shared" si="11"/>
        <v>46449</v>
      </c>
      <c r="Y76" s="385">
        <f t="shared" si="12"/>
        <v>21.247232496425504</v>
      </c>
      <c r="Z76" s="385">
        <f t="shared" si="22"/>
        <v>22.809833659431732</v>
      </c>
      <c r="AA76" s="386">
        <f t="shared" si="13"/>
        <v>26.150367753748917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0.12774329316413868</v>
      </c>
      <c r="AD76" s="231">
        <f>(INDEX(Models!$BJ76:$BT76,,AH76)*(1-AF76)+INDEX(Models!$BJ76:$BT76,,AH76+1)*AF76-ERP_i)*AE76*Ramure*Pc/MaxiM</f>
        <v>3.7544431070880471E-2</v>
      </c>
      <c r="AE76" s="305">
        <f t="shared" si="15"/>
        <v>0.7</v>
      </c>
      <c r="AF76" s="177">
        <f t="shared" si="23"/>
        <v>0.60772583177785555</v>
      </c>
      <c r="AG76" s="817">
        <f t="shared" si="24"/>
        <v>1</v>
      </c>
      <c r="AH76" s="176">
        <f t="shared" si="16"/>
        <v>7</v>
      </c>
      <c r="AI76" s="225">
        <f t="shared" si="17"/>
        <v>1.6077258317778556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46450</v>
      </c>
      <c r="B77" s="411">
        <f>'2026'!Wh/'2026'!Env_an*'2027'!Env_an</f>
        <v>3.4658050520023478</v>
      </c>
      <c r="C77" s="846"/>
      <c r="D77" s="393">
        <f t="shared" si="0"/>
        <v>3.7207748481346412</v>
      </c>
      <c r="E77" s="385">
        <f t="shared" si="1"/>
        <v>4.1119426726523116</v>
      </c>
      <c r="F77" s="385">
        <f t="shared" si="2"/>
        <v>4.1119426726523116</v>
      </c>
      <c r="G77" s="110">
        <f t="shared" si="21"/>
        <v>0.13684667847163051</v>
      </c>
      <c r="H77" s="414" t="b">
        <f>Wh_hp&gt;='2026'!Maxi_hp</f>
        <v>0</v>
      </c>
      <c r="I77" s="390">
        <f>IF(H77,Wh_hp,'2026'!Maxi_hp)</f>
        <v>21.87797527558812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6.852599432618689E-2</v>
      </c>
      <c r="M77" s="850"/>
      <c r="N77" s="850"/>
      <c r="O77" s="48">
        <f>IF(t&lt;Tnet,'2026'!Resal+('2026'!Salim-'2026'!Resal)*(1-EXP(('2026'!Tnet-t)/('2026'!Tau_j))),Resal+(Salim-Resal)*(1-EXP((Tnet-t)/(Tau_j))))*Salcycl</f>
        <v>9.512968824182487E-2</v>
      </c>
      <c r="P77" s="169">
        <f>(INDEX(Models!$BJ77:$BT77,,T77)*(1-R77)+INDEX(Models!$BJ77:$BT77,,T77+1)*R77-ERP_i)*Q77*Ramure*Pc/MaxiM</f>
        <v>3.8596260777034991E-3</v>
      </c>
      <c r="Q77" s="305">
        <f t="shared" si="4"/>
        <v>0.7</v>
      </c>
      <c r="R77" s="177">
        <f t="shared" si="5"/>
        <v>0.98420960694689774</v>
      </c>
      <c r="S77" s="817">
        <f t="shared" si="6"/>
        <v>-2</v>
      </c>
      <c r="T77" s="176">
        <f t="shared" si="7"/>
        <v>4</v>
      </c>
      <c r="U77" s="251">
        <f t="shared" si="8"/>
        <v>-1.0157903930531023</v>
      </c>
      <c r="V77" s="383">
        <f t="shared" si="9"/>
        <v>25.228440901904104</v>
      </c>
      <c r="W77" s="402">
        <f t="shared" si="10"/>
        <v>3.4658050520023478</v>
      </c>
      <c r="X77" s="157">
        <f t="shared" si="11"/>
        <v>46450</v>
      </c>
      <c r="Y77" s="385">
        <f t="shared" si="12"/>
        <v>3.3407835885923531</v>
      </c>
      <c r="Z77" s="385">
        <f t="shared" si="22"/>
        <v>3.5865558976878638</v>
      </c>
      <c r="AA77" s="386">
        <f t="shared" si="13"/>
        <v>4.1119426726523116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0.12777093865113637</v>
      </c>
      <c r="AD77" s="231">
        <f>(INDEX(Models!$BJ77:$BT77,,AH77)*(1-AF77)+INDEX(Models!$BJ77:$BT77,,AH77+1)*AF77-ERP_i)*AE77*Ramure*Pc/MaxiM</f>
        <v>3.5368854329863801E-2</v>
      </c>
      <c r="AE77" s="305">
        <f t="shared" si="15"/>
        <v>0.7</v>
      </c>
      <c r="AF77" s="177">
        <f t="shared" si="23"/>
        <v>0.60807297632295376</v>
      </c>
      <c r="AG77" s="817">
        <f t="shared" si="24"/>
        <v>1</v>
      </c>
      <c r="AH77" s="176">
        <f t="shared" si="16"/>
        <v>7</v>
      </c>
      <c r="AI77" s="225">
        <f t="shared" si="17"/>
        <v>1.6080729763229538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46451</v>
      </c>
      <c r="B78" s="411">
        <f>'2026'!Wh/'2026'!Env_an*'2027'!Env_an</f>
        <v>8.8837507788518497</v>
      </c>
      <c r="C78" s="846"/>
      <c r="D78" s="393">
        <f t="shared" si="0"/>
        <v>9.5375129160247241</v>
      </c>
      <c r="E78" s="385">
        <f t="shared" si="1"/>
        <v>10.541036359527155</v>
      </c>
      <c r="F78" s="385">
        <f t="shared" si="2"/>
        <v>10.543550340829555</v>
      </c>
      <c r="G78" s="110">
        <f t="shared" si="21"/>
        <v>0.34741014006677318</v>
      </c>
      <c r="H78" s="414" t="b">
        <f>Wh_hp&gt;='2026'!Maxi_hp</f>
        <v>0</v>
      </c>
      <c r="I78" s="390">
        <f>IF(H78,Wh_hp,'2026'!Maxi_hp)</f>
        <v>29.771929629009751</v>
      </c>
      <c r="J78" s="85">
        <f>IF(H78,An,'2026'!An_max)</f>
        <v>2019</v>
      </c>
      <c r="K78" s="197">
        <f t="shared" si="3"/>
        <v>46451</v>
      </c>
      <c r="L78" s="147">
        <f>IF(t&lt;Tvie,1-EXP((T0-t)*PertePVj)+'2026'!Pspv,1-EXP((T0-t)*PertePVj)+Pspv)</f>
        <v>6.8546395997476139E-2</v>
      </c>
      <c r="M78" s="850"/>
      <c r="N78" s="850"/>
      <c r="O78" s="48">
        <f>IF(t&lt;Tnet,'2026'!Resal+('2026'!Salim-'2026'!Resal)*(1-EXP(('2026'!Tnet-t)/('2026'!Tau_j))),Resal+(Salim-Resal)*(1-EXP((Tnet-t)/(Tau_j))))*Salcycl</f>
        <v>9.5201592070729452E-2</v>
      </c>
      <c r="P78" s="169">
        <f>(INDEX(Models!$BJ78:$BT78,,T78)*(1-R78)+INDEX(Models!$BJ78:$BT78,,T78+1)*R78-ERP_i)*Q78*Ramure*Pc/MaxiM</f>
        <v>3.4395221426438628E-3</v>
      </c>
      <c r="Q78" s="305">
        <f t="shared" si="4"/>
        <v>0.7</v>
      </c>
      <c r="R78" s="177">
        <f t="shared" si="5"/>
        <v>0.98457079461879338</v>
      </c>
      <c r="S78" s="817">
        <f t="shared" si="6"/>
        <v>-2</v>
      </c>
      <c r="T78" s="176">
        <f t="shared" si="7"/>
        <v>4</v>
      </c>
      <c r="U78" s="251">
        <f t="shared" si="8"/>
        <v>-1.0154292053812066</v>
      </c>
      <c r="V78" s="383">
        <f t="shared" si="9"/>
        <v>25.489487323834283</v>
      </c>
      <c r="W78" s="402">
        <f t="shared" si="10"/>
        <v>8.8837507788518497</v>
      </c>
      <c r="X78" s="157">
        <f t="shared" si="11"/>
        <v>46451</v>
      </c>
      <c r="Y78" s="385">
        <f t="shared" si="12"/>
        <v>8.5460422471139275</v>
      </c>
      <c r="Z78" s="385">
        <f t="shared" si="22"/>
        <v>9.1749521504785232</v>
      </c>
      <c r="AA78" s="386">
        <f t="shared" si="13"/>
        <v>10.519304478683523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0.12779859456765563</v>
      </c>
      <c r="AD78" s="231">
        <f>(INDEX(Models!$BJ78:$BT78,,AH78)*(1-AF78)+INDEX(Models!$BJ78:$BT78,,AH78+1)*AF78-ERP_i)*AE78*Ramure*Pc/MaxiM</f>
        <v>3.3172155910284939E-2</v>
      </c>
      <c r="AE78" s="305">
        <f t="shared" si="15"/>
        <v>0.7</v>
      </c>
      <c r="AF78" s="177">
        <f t="shared" si="23"/>
        <v>0.6084341639948494</v>
      </c>
      <c r="AG78" s="817">
        <f t="shared" si="24"/>
        <v>1</v>
      </c>
      <c r="AH78" s="176">
        <f t="shared" si="16"/>
        <v>7</v>
      </c>
      <c r="AI78" s="225">
        <f t="shared" si="17"/>
        <v>1.6084341639948494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46452</v>
      </c>
      <c r="B79" s="411">
        <f>'2026'!Wh/'2026'!Env_an*'2027'!Env_an</f>
        <v>12.081473639073756</v>
      </c>
      <c r="C79" s="846"/>
      <c r="D79" s="393">
        <f t="shared" ref="D79:D142" si="25">Wh/(1-Ppv)</f>
        <v>12.970842786191938</v>
      </c>
      <c r="E79" s="385">
        <f t="shared" si="1"/>
        <v>14.336754911836577</v>
      </c>
      <c r="F79" s="385">
        <f t="shared" ref="F79:F142" si="26">Wh_sa/(1-Pvg*MEDIAN((-Sdif+Wh/Env_an)/Csdif,0,1))</f>
        <v>14.347275707109672</v>
      </c>
      <c r="G79" s="110">
        <f t="shared" si="21"/>
        <v>0.46809850150968335</v>
      </c>
      <c r="H79" s="414" t="b">
        <f>Wh_hp&gt;='2026'!Maxi_hp</f>
        <v>0</v>
      </c>
      <c r="I79" s="390">
        <f>IF(H79,Wh_hp,'2026'!Maxi_hp)</f>
        <v>15.983360810169867</v>
      </c>
      <c r="J79" s="85">
        <f>IF(H79,An,'2026'!An_max)</f>
        <v>2019</v>
      </c>
      <c r="K79" s="197">
        <f t="shared" ref="K79:K142" si="27">t</f>
        <v>46452</v>
      </c>
      <c r="L79" s="147">
        <f>IF(t&lt;Tvie,1-EXP((T0-t)*PertePVj)+'2026'!Pspv,1-EXP((T0-t)*PertePVj)+Pspv)</f>
        <v>6.8566797221916498E-2</v>
      </c>
      <c r="M79" s="850"/>
      <c r="N79" s="850"/>
      <c r="O79" s="48">
        <f>IF(t&lt;Tnet,'2026'!Resal+('2026'!Salim-'2026'!Resal)*(1-EXP(('2026'!Tnet-t)/('2026'!Tau_j))),Resal+(Salim-Resal)*(1-EXP((Tnet-t)/(Tau_j))))*Salcycl</f>
        <v>9.5273451631437786E-2</v>
      </c>
      <c r="P79" s="169">
        <f>(INDEX(Models!$BJ79:$BT79,,T79)*(1-R79)+INDEX(Models!$BJ79:$BT79,,T79+1)*R79-ERP_i)*Q79*Ramure*Pc/MaxiM</f>
        <v>3.0341095640114978E-3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0.98494657122869156</v>
      </c>
      <c r="S79" s="817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-1.0150534287713084</v>
      </c>
      <c r="V79" s="383">
        <f t="shared" ref="V79:V142" si="33">MaxiM*(1-Ppv)*(1-Pvg)*(1-Psa)</f>
        <v>25.750255511074396</v>
      </c>
      <c r="W79" s="402">
        <f t="shared" ref="W79:W142" si="34">Wh*(A79&gt;Tmaj)</f>
        <v>12.081473639073756</v>
      </c>
      <c r="X79" s="157">
        <f t="shared" ref="X79:X142" si="35">t</f>
        <v>46452</v>
      </c>
      <c r="Y79" s="385">
        <f t="shared" ref="Y79:Y142" si="36">Wh_pvt_s*(1-Ppv)</f>
        <v>11.568124983037842</v>
      </c>
      <c r="Z79" s="385">
        <f t="shared" ref="Z79:Z142" si="37">Wh_sa_s*(1-Psa_s)</f>
        <v>12.419704331491369</v>
      </c>
      <c r="AA79" s="386">
        <f t="shared" ref="AA79:AA142" si="38">Wh_hp*(1-Pvg_s*MEDIAN((-Sdif+Wh/Env_an)/Csdif,0,1))</f>
        <v>14.239943369022335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0.12782628345915517</v>
      </c>
      <c r="AD79" s="231">
        <f>(INDEX(Models!$BJ79:$BT79,,AH79)*(1-AF79)+INDEX(Models!$BJ79:$BT79,,AH79+1)*AF79-ERP_i)*AE79*Ramure*Pc/MaxiM</f>
        <v>3.0953750649569345E-2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0.60880994060474758</v>
      </c>
      <c r="AG79" s="817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1.6088099406047476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46453</v>
      </c>
      <c r="B80" s="411">
        <f>'2026'!Wh/'2026'!Env_an*'2027'!Env_an</f>
        <v>22.895837142651924</v>
      </c>
      <c r="C80" s="846"/>
      <c r="D80" s="393">
        <f t="shared" si="25"/>
        <v>24.581836424704914</v>
      </c>
      <c r="E80" s="385">
        <f t="shared" ref="E80:E143" si="47">Wh_pvt/(1-Psa)</f>
        <v>27.172617394878603</v>
      </c>
      <c r="F80" s="385">
        <f t="shared" si="26"/>
        <v>27.232630368392147</v>
      </c>
      <c r="G80" s="110">
        <f t="shared" ref="G80:G143" si="48">+Wh_hp/MaxiM</f>
        <v>0.87983959193816541</v>
      </c>
      <c r="H80" s="414" t="b">
        <f>Wh_hp&gt;='2026'!Maxi_hp</f>
        <v>0</v>
      </c>
      <c r="I80" s="390">
        <f>IF(H80,Wh_hp,'2026'!Maxi_hp)</f>
        <v>29.519413340694289</v>
      </c>
      <c r="J80" s="85">
        <f>IF(H80,An,'2026'!An_max)</f>
        <v>2019</v>
      </c>
      <c r="K80" s="197">
        <f t="shared" si="27"/>
        <v>46453</v>
      </c>
      <c r="L80" s="147">
        <f>IF(t&lt;Tvie,1-EXP((T0-t)*PertePVj)+'2026'!Pspv,1-EXP((T0-t)*PertePVj)+Pspv)</f>
        <v>6.8587197999517624E-2</v>
      </c>
      <c r="M80" s="850"/>
      <c r="N80" s="850"/>
      <c r="O80" s="48">
        <f>IF(t&lt;Tnet,'2026'!Resal+('2026'!Salim-'2026'!Resal)*(1-EXP(('2026'!Tnet-t)/('2026'!Tau_j))),Resal+(Salim-Resal)*(1-EXP((Tnet-t)/(Tau_j))))*Salcycl</f>
        <v>9.5345285753075465E-2</v>
      </c>
      <c r="P80" s="169">
        <f>(INDEX(Models!$BJ80:$BT80,,T80)*(1-R80)+INDEX(Models!$BJ80:$BT80,,T80+1)*R80-ERP_i)*Q80*Ramure*Pc/MaxiM</f>
        <v>2.6585528567253085E-3</v>
      </c>
      <c r="Q80" s="305">
        <f t="shared" si="28"/>
        <v>0.7</v>
      </c>
      <c r="R80" s="177">
        <f t="shared" si="29"/>
        <v>0.98533750193312719</v>
      </c>
      <c r="S80" s="817">
        <f t="shared" si="30"/>
        <v>-2</v>
      </c>
      <c r="T80" s="176">
        <f t="shared" si="31"/>
        <v>4</v>
      </c>
      <c r="U80" s="251">
        <f t="shared" si="32"/>
        <v>-1.0146624980668728</v>
      </c>
      <c r="V80" s="383">
        <f t="shared" si="33"/>
        <v>26.010877975528647</v>
      </c>
      <c r="W80" s="402">
        <f t="shared" si="34"/>
        <v>22.895837142651924</v>
      </c>
      <c r="X80" s="157">
        <f t="shared" si="35"/>
        <v>46453</v>
      </c>
      <c r="Y80" s="385">
        <f t="shared" si="36"/>
        <v>21.594715261286787</v>
      </c>
      <c r="Z80" s="385">
        <f t="shared" si="37"/>
        <v>23.184902778774134</v>
      </c>
      <c r="AA80" s="386">
        <f t="shared" si="38"/>
        <v>26.583741237519245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0.1278540303404746</v>
      </c>
      <c r="AD80" s="231">
        <f>(INDEX(Models!$BJ80:$BT80,,AH80)*(1-AF80)+INDEX(Models!$BJ80:$BT80,,AH80+1)*AF80-ERP_i)*AE80*Ramure*Pc/MaxiM</f>
        <v>2.8745552029526982E-2</v>
      </c>
      <c r="AE80" s="305">
        <f t="shared" si="40"/>
        <v>0.7</v>
      </c>
      <c r="AF80" s="177">
        <f t="shared" si="41"/>
        <v>0.60920087130918321</v>
      </c>
      <c r="AG80" s="817">
        <f t="shared" ref="AG80:AG143" si="49">INDEX(Echel_vg,AH80)</f>
        <v>1</v>
      </c>
      <c r="AH80" s="176">
        <f t="shared" si="42"/>
        <v>7</v>
      </c>
      <c r="AI80" s="225">
        <f t="shared" si="43"/>
        <v>1.6092008713091832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46454</v>
      </c>
      <c r="B81" s="411">
        <f>'2026'!Wh/'2026'!Env_an*'2027'!Env_an</f>
        <v>19.002589181635397</v>
      </c>
      <c r="C81" s="846"/>
      <c r="D81" s="393">
        <f t="shared" si="25"/>
        <v>20.40234507772383</v>
      </c>
      <c r="E81" s="385">
        <f t="shared" si="47"/>
        <v>22.554423058833915</v>
      </c>
      <c r="F81" s="385">
        <f t="shared" si="26"/>
        <v>22.585985791098441</v>
      </c>
      <c r="G81" s="110">
        <f t="shared" si="48"/>
        <v>0.72266719845902339</v>
      </c>
      <c r="H81" s="414" t="b">
        <f>Wh_hp&gt;='2026'!Maxi_hp</f>
        <v>0</v>
      </c>
      <c r="I81" s="390">
        <f>IF(H81,Wh_hp,'2026'!Maxi_hp)</f>
        <v>22.596492480241718</v>
      </c>
      <c r="J81" s="85">
        <f>IF(H81,An,'2026'!An_max)</f>
        <v>2026</v>
      </c>
      <c r="K81" s="197">
        <f t="shared" si="27"/>
        <v>46454</v>
      </c>
      <c r="L81" s="147">
        <f>IF(t&lt;Tvie,1-EXP((T0-t)*PertePVj)+'2026'!Pspv,1-EXP((T0-t)*PertePVj)+Pspv)</f>
        <v>6.8607598330289399E-2</v>
      </c>
      <c r="M81" s="850"/>
      <c r="N81" s="850"/>
      <c r="O81" s="48">
        <f>IF(t&lt;Tnet,'2026'!Resal+('2026'!Salim-'2026'!Resal)*(1-EXP(('2026'!Tnet-t)/('2026'!Tau_j))),Resal+(Salim-Resal)*(1-EXP((Tnet-t)/(Tau_j))))*Salcycl</f>
        <v>9.5417115104045186E-2</v>
      </c>
      <c r="P81" s="169">
        <f>(INDEX(Models!$BJ81:$BT81,,T81)*(1-R81)+INDEX(Models!$BJ81:$BT81,,T81+1)*R81-ERP_i)*Q81*Ramure*Pc/MaxiM</f>
        <v>2.3107651802505443E-3</v>
      </c>
      <c r="Q81" s="305">
        <f t="shared" si="28"/>
        <v>0.7</v>
      </c>
      <c r="R81" s="177">
        <f t="shared" si="29"/>
        <v>0.98574417176133733</v>
      </c>
      <c r="S81" s="817">
        <f t="shared" si="30"/>
        <v>-2</v>
      </c>
      <c r="T81" s="176">
        <f t="shared" si="31"/>
        <v>4</v>
      </c>
      <c r="U81" s="251">
        <f t="shared" si="32"/>
        <v>-1.0142558282386627</v>
      </c>
      <c r="V81" s="383">
        <f t="shared" si="33"/>
        <v>26.271027018627663</v>
      </c>
      <c r="W81" s="402">
        <f t="shared" si="34"/>
        <v>19.002589181635397</v>
      </c>
      <c r="X81" s="157">
        <f t="shared" si="35"/>
        <v>46454</v>
      </c>
      <c r="Y81" s="385">
        <f t="shared" si="36"/>
        <v>18.051232481877026</v>
      </c>
      <c r="Z81" s="385">
        <f t="shared" si="37"/>
        <v>19.380910182986799</v>
      </c>
      <c r="AA81" s="386">
        <f t="shared" si="38"/>
        <v>22.222803715130215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0.12788186263862533</v>
      </c>
      <c r="AD81" s="231">
        <f>(INDEX(Models!$BJ81:$BT81,,AH81)*(1-AF81)+INDEX(Models!$BJ81:$BT81,,AH81+1)*AF81-ERP_i)*AE81*Ramure*Pc/MaxiM</f>
        <v>2.658922200413338E-2</v>
      </c>
      <c r="AE81" s="305">
        <f t="shared" si="40"/>
        <v>0.7</v>
      </c>
      <c r="AF81" s="177">
        <f t="shared" si="41"/>
        <v>0.60960754113739335</v>
      </c>
      <c r="AG81" s="817">
        <f t="shared" si="49"/>
        <v>1</v>
      </c>
      <c r="AH81" s="176">
        <f t="shared" si="42"/>
        <v>7</v>
      </c>
      <c r="AI81" s="225">
        <f t="shared" si="43"/>
        <v>1.6096075411373933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46455</v>
      </c>
      <c r="B82" s="411">
        <f>'2026'!Wh/'2026'!Env_an*'2027'!Env_an</f>
        <v>21.350848472698836</v>
      </c>
      <c r="C82" s="846"/>
      <c r="D82" s="393">
        <f t="shared" si="25"/>
        <v>22.924082355666656</v>
      </c>
      <c r="E82" s="385">
        <f t="shared" si="47"/>
        <v>25.34417093458508</v>
      </c>
      <c r="F82" s="385">
        <f t="shared" si="26"/>
        <v>25.380591807834882</v>
      </c>
      <c r="G82" s="110">
        <f t="shared" si="48"/>
        <v>0.80432368108980867</v>
      </c>
      <c r="H82" s="414" t="b">
        <f>Wh_hp&gt;='2026'!Maxi_hp</f>
        <v>0</v>
      </c>
      <c r="I82" s="390">
        <f>IF(H82,Wh_hp,'2026'!Maxi_hp)</f>
        <v>30.249266737760252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6.8627998214241592E-2</v>
      </c>
      <c r="M82" s="850"/>
      <c r="N82" s="850"/>
      <c r="O82" s="48">
        <f>IF(t&lt;Tnet,'2026'!Resal+('2026'!Salim-'2026'!Resal)*(1-EXP(('2026'!Tnet-t)/('2026'!Tau_j))),Resal+(Salim-Resal)*(1-EXP((Tnet-t)/(Tau_j))))*Salcycl</f>
        <v>9.5488962143004313E-2</v>
      </c>
      <c r="P82" s="169">
        <f>(INDEX(Models!$BJ82:$BT82,,T82)*(1-R82)+INDEX(Models!$BJ82:$BT82,,T82+1)*R82-ERP_i)*Q82*Ramure*Pc/MaxiM</f>
        <v>1.9899963241265988E-3</v>
      </c>
      <c r="Q82" s="305">
        <f t="shared" si="28"/>
        <v>0.7</v>
      </c>
      <c r="R82" s="177">
        <f t="shared" si="29"/>
        <v>0.9861671861429242</v>
      </c>
      <c r="S82" s="817">
        <f t="shared" si="30"/>
        <v>-2</v>
      </c>
      <c r="T82" s="176">
        <f t="shared" si="31"/>
        <v>4</v>
      </c>
      <c r="U82" s="251">
        <f t="shared" si="32"/>
        <v>-1.0138328138570758</v>
      </c>
      <c r="V82" s="383">
        <f t="shared" si="33"/>
        <v>26.53034104418634</v>
      </c>
      <c r="W82" s="402">
        <f t="shared" si="34"/>
        <v>21.350848472698836</v>
      </c>
      <c r="X82" s="157">
        <f t="shared" si="35"/>
        <v>46455</v>
      </c>
      <c r="Y82" s="385">
        <f t="shared" si="36"/>
        <v>20.251177976622149</v>
      </c>
      <c r="Z82" s="385">
        <f t="shared" si="37"/>
        <v>21.743382813519968</v>
      </c>
      <c r="AA82" s="386">
        <f t="shared" si="38"/>
        <v>24.932493296977409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0.12790981012091795</v>
      </c>
      <c r="AD82" s="231">
        <f>(INDEX(Models!$BJ82:$BT82,,AH82)*(1-AF82)+INDEX(Models!$BJ82:$BT82,,AH82+1)*AF82-ERP_i)*AE82*Ramure*Pc/MaxiM</f>
        <v>2.448360815889675E-2</v>
      </c>
      <c r="AE82" s="305">
        <f t="shared" si="40"/>
        <v>0.7</v>
      </c>
      <c r="AF82" s="177">
        <f t="shared" si="41"/>
        <v>0.61003055551898022</v>
      </c>
      <c r="AG82" s="817">
        <f t="shared" si="49"/>
        <v>1</v>
      </c>
      <c r="AH82" s="176">
        <f t="shared" si="42"/>
        <v>7</v>
      </c>
      <c r="AI82" s="225">
        <f t="shared" si="43"/>
        <v>1.6100305555189802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46456</v>
      </c>
      <c r="B83" s="411">
        <f>'2026'!Wh/'2026'!Env_an*'2027'!Env_an</f>
        <v>14.768865439757223</v>
      </c>
      <c r="C83" s="846"/>
      <c r="D83" s="393">
        <f t="shared" si="25"/>
        <v>15.857454265944408</v>
      </c>
      <c r="E83" s="385">
        <f t="shared" si="47"/>
        <v>17.532914496811593</v>
      </c>
      <c r="F83" s="385">
        <f t="shared" si="26"/>
        <v>17.543593682529568</v>
      </c>
      <c r="G83" s="110">
        <f t="shared" si="48"/>
        <v>0.55071496801686481</v>
      </c>
      <c r="H83" s="414" t="b">
        <f>Wh_hp&gt;='2026'!Maxi_hp</f>
        <v>0</v>
      </c>
      <c r="I83" s="390">
        <f>IF(H83,Wh_hp,'2026'!Maxi_hp)</f>
        <v>30.500189061416798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6.8648397651383863E-2</v>
      </c>
      <c r="M83" s="850"/>
      <c r="N83" s="850"/>
      <c r="O83" s="48">
        <f>IF(t&lt;Tnet,'2026'!Resal+('2026'!Salim-'2026'!Resal)*(1-EXP(('2026'!Tnet-t)/('2026'!Tau_j))),Resal+(Salim-Resal)*(1-EXP((Tnet-t)/(Tau_j))))*Salcycl</f>
        <v>9.5560851059410007E-2</v>
      </c>
      <c r="P83" s="169">
        <f>(INDEX(Models!$BJ83:$BT83,,T83)*(1-R83)+INDEX(Models!$BJ83:$BT83,,T83+1)*R83-ERP_i)*Q83*Ramure*Pc/MaxiM</f>
        <v>1.6955089351925667E-3</v>
      </c>
      <c r="Q83" s="305">
        <f t="shared" si="28"/>
        <v>0.7</v>
      </c>
      <c r="R83" s="177">
        <f t="shared" si="29"/>
        <v>0.9866071714342608</v>
      </c>
      <c r="S83" s="817">
        <f t="shared" si="30"/>
        <v>-2</v>
      </c>
      <c r="T83" s="176">
        <f t="shared" si="31"/>
        <v>4</v>
      </c>
      <c r="U83" s="251">
        <f t="shared" si="32"/>
        <v>-1.0133928285657392</v>
      </c>
      <c r="V83" s="383">
        <f t="shared" si="33"/>
        <v>26.78845849892857</v>
      </c>
      <c r="W83" s="402">
        <f t="shared" si="34"/>
        <v>14.768865439757223</v>
      </c>
      <c r="X83" s="157">
        <f t="shared" si="35"/>
        <v>46456</v>
      </c>
      <c r="Y83" s="385">
        <f t="shared" si="36"/>
        <v>14.134113439829706</v>
      </c>
      <c r="Z83" s="385">
        <f t="shared" si="37"/>
        <v>15.175915738145836</v>
      </c>
      <c r="AA83" s="386">
        <f t="shared" si="38"/>
        <v>17.40233387259963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0.12793790480938536</v>
      </c>
      <c r="AD83" s="231">
        <f>(INDEX(Models!$BJ83:$BT83,,AH83)*(1-AF83)+INDEX(Models!$BJ83:$BT83,,AH83+1)*AF83-ERP_i)*AE83*Ramure*Pc/MaxiM</f>
        <v>2.2427484289991098E-2</v>
      </c>
      <c r="AE83" s="305">
        <f t="shared" si="40"/>
        <v>0.7</v>
      </c>
      <c r="AF83" s="177">
        <f t="shared" si="41"/>
        <v>0.61047054081031682</v>
      </c>
      <c r="AG83" s="817">
        <f t="shared" si="49"/>
        <v>1</v>
      </c>
      <c r="AH83" s="176">
        <f t="shared" si="42"/>
        <v>7</v>
      </c>
      <c r="AI83" s="225">
        <f t="shared" si="43"/>
        <v>1.6104705408103168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46457</v>
      </c>
      <c r="B84" s="411">
        <f>'2026'!Wh/'2026'!Env_an*'2027'!Env_an</f>
        <v>9.563164158509208</v>
      </c>
      <c r="C84" s="846"/>
      <c r="D84" s="393">
        <f t="shared" si="25"/>
        <v>10.268274190777172</v>
      </c>
      <c r="E84" s="385">
        <f t="shared" si="47"/>
        <v>11.354098510266104</v>
      </c>
      <c r="F84" s="385">
        <f t="shared" si="26"/>
        <v>11.355338954286456</v>
      </c>
      <c r="G84" s="110">
        <f t="shared" si="48"/>
        <v>0.35313582945422634</v>
      </c>
      <c r="H84" s="414" t="b">
        <f>Wh_hp&gt;='2026'!Maxi_hp</f>
        <v>0</v>
      </c>
      <c r="I84" s="390">
        <f>IF(H84,Wh_hp,'2026'!Maxi_hp)</f>
        <v>23.683748695587767</v>
      </c>
      <c r="J84" s="85">
        <f>IF(H84,An,'2026'!An_max)</f>
        <v>2020</v>
      </c>
      <c r="K84" s="197">
        <f t="shared" si="27"/>
        <v>46457</v>
      </c>
      <c r="L84" s="147">
        <f>IF(t&lt;Tvie,1-EXP((T0-t)*PertePVj)+'2026'!Pspv,1-EXP((T0-t)*PertePVj)+Pspv)</f>
        <v>6.8668796641726204E-2</v>
      </c>
      <c r="M84" s="850"/>
      <c r="N84" s="850"/>
      <c r="O84" s="48">
        <f>IF(t&lt;Tnet,'2026'!Resal+('2026'!Salim-'2026'!Resal)*(1-EXP(('2026'!Tnet-t)/('2026'!Tau_j))),Resal+(Salim-Resal)*(1-EXP((Tnet-t)/(Tau_j))))*Salcycl</f>
        <v>9.5632807704385855E-2</v>
      </c>
      <c r="P84" s="169">
        <f>(INDEX(Models!$BJ84:$BT84,,T84)*(1-R84)+INDEX(Models!$BJ84:$BT84,,T84+1)*R84-ERP_i)*Q84*Ramure*Pc/MaxiM</f>
        <v>1.4265814903646563E-3</v>
      </c>
      <c r="Q84" s="305">
        <f t="shared" si="28"/>
        <v>0.7</v>
      </c>
      <c r="R84" s="177">
        <f t="shared" si="29"/>
        <v>0.98706477544192572</v>
      </c>
      <c r="S84" s="817">
        <f t="shared" si="30"/>
        <v>-2</v>
      </c>
      <c r="T84" s="176">
        <f t="shared" si="31"/>
        <v>4</v>
      </c>
      <c r="U84" s="251">
        <f t="shared" si="32"/>
        <v>-1.0129352245580743</v>
      </c>
      <c r="V84" s="383">
        <f t="shared" si="33"/>
        <v>27.045017869992432</v>
      </c>
      <c r="W84" s="402">
        <f t="shared" si="34"/>
        <v>9.563164158509208</v>
      </c>
      <c r="X84" s="157">
        <f t="shared" si="35"/>
        <v>46457</v>
      </c>
      <c r="Y84" s="385">
        <f t="shared" si="36"/>
        <v>9.207844746001447</v>
      </c>
      <c r="Z84" s="385">
        <f t="shared" si="37"/>
        <v>9.8867564114667399</v>
      </c>
      <c r="AA84" s="386">
        <f t="shared" si="38"/>
        <v>11.337583697697456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0.12796618088255995</v>
      </c>
      <c r="AD84" s="231">
        <f>(INDEX(Models!$BJ84:$BT84,,AH84)*(1-AF84)+INDEX(Models!$BJ84:$BT84,,AH84+1)*AF84-ERP_i)*AE84*Ramure*Pc/MaxiM</f>
        <v>2.0419559440788864E-2</v>
      </c>
      <c r="AE84" s="305">
        <f t="shared" si="40"/>
        <v>0.7</v>
      </c>
      <c r="AF84" s="177">
        <f t="shared" si="41"/>
        <v>0.61092814481798174</v>
      </c>
      <c r="AG84" s="817">
        <f t="shared" si="49"/>
        <v>1</v>
      </c>
      <c r="AH84" s="176">
        <f t="shared" si="42"/>
        <v>7</v>
      </c>
      <c r="AI84" s="225">
        <f t="shared" si="43"/>
        <v>1.6109281448179817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46458</v>
      </c>
      <c r="B85" s="411">
        <f>'2026'!Wh/'2026'!Env_an*'2027'!Env_an</f>
        <v>9.6335689538510287</v>
      </c>
      <c r="C85" s="846"/>
      <c r="D85" s="393">
        <f t="shared" si="25"/>
        <v>10.344096626010439</v>
      </c>
      <c r="E85" s="385">
        <f t="shared" si="47"/>
        <v>11.438850174995551</v>
      </c>
      <c r="F85" s="385">
        <f t="shared" si="26"/>
        <v>11.439872148250201</v>
      </c>
      <c r="G85" s="110">
        <f t="shared" si="48"/>
        <v>0.35249661128421561</v>
      </c>
      <c r="H85" s="414" t="b">
        <f>Wh_hp&gt;='2026'!Maxi_hp</f>
        <v>0</v>
      </c>
      <c r="I85" s="390">
        <f>IF(H85,Wh_hp,'2026'!Maxi_hp)</f>
        <v>29.411637891813143</v>
      </c>
      <c r="J85" s="85">
        <f>IF(H85,An,'2026'!An_max)</f>
        <v>2020</v>
      </c>
      <c r="K85" s="197">
        <f t="shared" si="27"/>
        <v>46458</v>
      </c>
      <c r="L85" s="147">
        <f>IF(t&lt;Tvie,1-EXP((T0-t)*PertePVj)+'2026'!Pspv,1-EXP((T0-t)*PertePVj)+Pspv)</f>
        <v>6.8689195185278273E-2</v>
      </c>
      <c r="M85" s="850"/>
      <c r="N85" s="850"/>
      <c r="O85" s="48">
        <f>IF(t&lt;Tnet,'2026'!Resal+('2026'!Salim-'2026'!Resal)*(1-EXP(('2026'!Tnet-t)/('2026'!Tau_j))),Resal+(Salim-Resal)*(1-EXP((Tnet-t)/(Tau_j))))*Salcycl</f>
        <v>9.5704859512729626E-2</v>
      </c>
      <c r="P85" s="169">
        <f>(INDEX(Models!$BJ85:$BT85,,T85)*(1-R85)+INDEX(Models!$BJ85:$BT85,,T85+1)*R85-ERP_i)*Q85*Ramure*Pc/MaxiM</f>
        <v>1.1825109540827368E-3</v>
      </c>
      <c r="Q85" s="305">
        <f t="shared" si="28"/>
        <v>0.7</v>
      </c>
      <c r="R85" s="177">
        <f t="shared" si="29"/>
        <v>0.98754066794128104</v>
      </c>
      <c r="S85" s="817">
        <f t="shared" si="30"/>
        <v>-2</v>
      </c>
      <c r="T85" s="176">
        <f t="shared" si="31"/>
        <v>4</v>
      </c>
      <c r="U85" s="251">
        <f t="shared" si="32"/>
        <v>-1.012459332058719</v>
      </c>
      <c r="V85" s="383">
        <f t="shared" si="33"/>
        <v>27.299657677487566</v>
      </c>
      <c r="W85" s="402">
        <f t="shared" si="34"/>
        <v>9.6335689538510287</v>
      </c>
      <c r="X85" s="157">
        <f t="shared" si="35"/>
        <v>46458</v>
      </c>
      <c r="Y85" s="385">
        <f t="shared" si="36"/>
        <v>9.2774562753564513</v>
      </c>
      <c r="Z85" s="385">
        <f t="shared" si="37"/>
        <v>9.9617187166663896</v>
      </c>
      <c r="AA85" s="386">
        <f t="shared" si="38"/>
        <v>11.423919586391877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0.12799467456574667</v>
      </c>
      <c r="AD85" s="231">
        <f>(INDEX(Models!$BJ85:$BT85,,AH85)*(1-AF85)+INDEX(Models!$BJ85:$BT85,,AH85+1)*AF85-ERP_i)*AE85*Ramure*Pc/MaxiM</f>
        <v>1.8458486127012421E-2</v>
      </c>
      <c r="AE85" s="305">
        <f t="shared" si="40"/>
        <v>0.7</v>
      </c>
      <c r="AF85" s="177">
        <f t="shared" si="41"/>
        <v>0.61140403731733706</v>
      </c>
      <c r="AG85" s="817">
        <f t="shared" si="49"/>
        <v>1</v>
      </c>
      <c r="AH85" s="176">
        <f t="shared" si="42"/>
        <v>7</v>
      </c>
      <c r="AI85" s="225">
        <f t="shared" si="43"/>
        <v>1.6114040373173371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46459</v>
      </c>
      <c r="B86" s="411">
        <f>'2026'!Wh/'2026'!Env_an*'2027'!Env_an</f>
        <v>5.2611937800411717</v>
      </c>
      <c r="C86" s="846"/>
      <c r="D86" s="393">
        <f t="shared" si="25"/>
        <v>5.6493589347523177</v>
      </c>
      <c r="E86" s="385">
        <f t="shared" si="47"/>
        <v>6.2477498980101949</v>
      </c>
      <c r="F86" s="385">
        <f t="shared" si="26"/>
        <v>6.2477498980101949</v>
      </c>
      <c r="G86" s="110">
        <f t="shared" si="48"/>
        <v>0.19077112850710004</v>
      </c>
      <c r="H86" s="414" t="b">
        <f>Wh_hp&gt;='2026'!Maxi_hp</f>
        <v>0</v>
      </c>
      <c r="I86" s="390">
        <f>IF(H86,Wh_hp,'2026'!Maxi_hp)</f>
        <v>29.39742528369991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6.8709593282049841E-2</v>
      </c>
      <c r="M86" s="850"/>
      <c r="N86" s="850"/>
      <c r="O86" s="48">
        <f>IF(t&lt;Tnet,'2026'!Resal+('2026'!Salim-'2026'!Resal)*(1-EXP(('2026'!Tnet-t)/('2026'!Tau_j))),Resal+(Salim-Resal)*(1-EXP((Tnet-t)/(Tau_j))))*Salcycl</f>
        <v>9.5777035416935399E-2</v>
      </c>
      <c r="P86" s="169">
        <f>(INDEX(Models!$BJ86:$BT86,,T86)*(1-R86)+INDEX(Models!$BJ86:$BT86,,T86+1)*R86-ERP_i)*Q86*Ramure*Pc/MaxiM</f>
        <v>9.6869151703677292E-4</v>
      </c>
      <c r="Q86" s="305">
        <f t="shared" si="28"/>
        <v>0.7</v>
      </c>
      <c r="R86" s="177">
        <f t="shared" si="29"/>
        <v>0.98803554118812675</v>
      </c>
      <c r="S86" s="817">
        <f t="shared" si="30"/>
        <v>-2</v>
      </c>
      <c r="T86" s="176">
        <f t="shared" si="31"/>
        <v>4</v>
      </c>
      <c r="U86" s="251">
        <f t="shared" si="32"/>
        <v>-1.0119644588118732</v>
      </c>
      <c r="V86" s="383">
        <f t="shared" si="33"/>
        <v>27.551848895527918</v>
      </c>
      <c r="W86" s="402">
        <f t="shared" si="34"/>
        <v>5.2611937800411717</v>
      </c>
      <c r="X86" s="157">
        <f t="shared" si="35"/>
        <v>46459</v>
      </c>
      <c r="Y86" s="385">
        <f t="shared" si="36"/>
        <v>5.0735691501158477</v>
      </c>
      <c r="Z86" s="385">
        <f t="shared" si="37"/>
        <v>5.4478915637025613</v>
      </c>
      <c r="AA86" s="386">
        <f t="shared" si="38"/>
        <v>6.2477498980101949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0.12802342401099873</v>
      </c>
      <c r="AD86" s="231">
        <f>(INDEX(Models!$BJ86:$BT86,,AH86)*(1-AF86)+INDEX(Models!$BJ86:$BT86,,AH86+1)*AF86-ERP_i)*AE86*Ramure*Pc/MaxiM</f>
        <v>1.6597369481456906E-2</v>
      </c>
      <c r="AE86" s="305">
        <f t="shared" si="40"/>
        <v>0.7</v>
      </c>
      <c r="AF86" s="177">
        <f t="shared" si="41"/>
        <v>0.61189891056418277</v>
      </c>
      <c r="AG86" s="817">
        <f t="shared" si="49"/>
        <v>1</v>
      </c>
      <c r="AH86" s="176">
        <f t="shared" si="42"/>
        <v>7</v>
      </c>
      <c r="AI86" s="225">
        <f t="shared" si="43"/>
        <v>1.6118989105641828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46460</v>
      </c>
      <c r="B87" s="411">
        <f>'2026'!Wh/'2026'!Env_an*'2027'!Env_an</f>
        <v>7.5292068024373933</v>
      </c>
      <c r="C87" s="846"/>
      <c r="D87" s="393">
        <f t="shared" si="25"/>
        <v>8.0848805707518832</v>
      </c>
      <c r="E87" s="385">
        <f t="shared" si="47"/>
        <v>8.9419619524963494</v>
      </c>
      <c r="F87" s="385">
        <f t="shared" si="26"/>
        <v>8.9419619524963494</v>
      </c>
      <c r="G87" s="110">
        <f t="shared" si="48"/>
        <v>0.27061038629937667</v>
      </c>
      <c r="H87" s="414" t="b">
        <f>Wh_hp&gt;='2026'!Maxi_hp</f>
        <v>0</v>
      </c>
      <c r="I87" s="390">
        <f>IF(H87,Wh_hp,'2026'!Maxi_hp)</f>
        <v>27.041870864735497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6.8729990932050788E-2</v>
      </c>
      <c r="M87" s="850"/>
      <c r="N87" s="850"/>
      <c r="O87" s="48">
        <f>IF(t&lt;Tnet,'2026'!Resal+('2026'!Salim-'2026'!Resal)*(1-EXP(('2026'!Tnet-t)/('2026'!Tau_j))),Resal+(Salim-Resal)*(1-EXP((Tnet-t)/(Tau_j))))*Salcycl</f>
        <v>9.5849365754144503E-2</v>
      </c>
      <c r="P87" s="169">
        <f>(INDEX(Models!$BJ87:$BT87,,T87)*(1-R87)+INDEX(Models!$BJ87:$BT87,,T87+1)*R87-ERP_i)*Q87*Ramure*Pc/MaxiM</f>
        <v>7.7928512340331611E-4</v>
      </c>
      <c r="Q87" s="305">
        <f t="shared" si="28"/>
        <v>0.7</v>
      </c>
      <c r="R87" s="177">
        <f t="shared" si="29"/>
        <v>0.98855011042116447</v>
      </c>
      <c r="S87" s="817">
        <f t="shared" si="30"/>
        <v>-2</v>
      </c>
      <c r="T87" s="176">
        <f t="shared" si="31"/>
        <v>4</v>
      </c>
      <c r="U87" s="251">
        <f t="shared" si="32"/>
        <v>-1.0114498895788355</v>
      </c>
      <c r="V87" s="383">
        <f t="shared" si="33"/>
        <v>27.801369734797042</v>
      </c>
      <c r="W87" s="402">
        <f t="shared" si="34"/>
        <v>7.5292068024373933</v>
      </c>
      <c r="X87" s="157">
        <f t="shared" si="35"/>
        <v>46460</v>
      </c>
      <c r="Y87" s="385">
        <f t="shared" si="36"/>
        <v>7.2610392912949129</v>
      </c>
      <c r="Z87" s="385">
        <f t="shared" si="37"/>
        <v>7.7969216452723948</v>
      </c>
      <c r="AA87" s="386">
        <f t="shared" si="38"/>
        <v>8.9419619524963494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0.12805246916805449</v>
      </c>
      <c r="AD87" s="231">
        <f>(INDEX(Models!$BJ87:$BT87,,AH87)*(1-AF87)+INDEX(Models!$BJ87:$BT87,,AH87+1)*AF87-ERP_i)*AE87*Ramure*Pc/MaxiM</f>
        <v>1.4854032366655227E-2</v>
      </c>
      <c r="AE87" s="305">
        <f t="shared" si="40"/>
        <v>0.7</v>
      </c>
      <c r="AF87" s="177">
        <f t="shared" si="41"/>
        <v>0.61241347979722049</v>
      </c>
      <c r="AG87" s="817">
        <f t="shared" si="49"/>
        <v>1</v>
      </c>
      <c r="AH87" s="176">
        <f t="shared" si="42"/>
        <v>7</v>
      </c>
      <c r="AI87" s="225">
        <f t="shared" si="43"/>
        <v>1.6124134797972205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46461</v>
      </c>
      <c r="B88" s="411">
        <f>'2026'!Wh/'2026'!Env_an*'2027'!Env_an</f>
        <v>7.7056794937924158</v>
      </c>
      <c r="C88" s="846"/>
      <c r="D88" s="393">
        <f t="shared" si="25"/>
        <v>8.2745586098691319</v>
      </c>
      <c r="E88" s="385">
        <f t="shared" si="47"/>
        <v>9.1524819002391791</v>
      </c>
      <c r="F88" s="385">
        <f t="shared" si="26"/>
        <v>9.1524819002391791</v>
      </c>
      <c r="G88" s="110">
        <f t="shared" si="48"/>
        <v>0.27456466713529759</v>
      </c>
      <c r="H88" s="414" t="b">
        <f>Wh_hp&gt;='2026'!Maxi_hp</f>
        <v>0</v>
      </c>
      <c r="I88" s="390">
        <f>IF(H88,Wh_hp,'2026'!Maxi_hp)</f>
        <v>29.113438237494268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6.8750388135290885E-2</v>
      </c>
      <c r="M88" s="850"/>
      <c r="N88" s="850"/>
      <c r="O88" s="48">
        <f>IF(t&lt;Tnet,'2026'!Resal+('2026'!Salim-'2026'!Resal)*(1-EXP(('2026'!Tnet-t)/('2026'!Tau_j))),Resal+(Salim-Resal)*(1-EXP((Tnet-t)/(Tau_j))))*Salcycl</f>
        <v>9.5921882166967717E-2</v>
      </c>
      <c r="P88" s="169">
        <f>(INDEX(Models!$BJ88:$BT88,,T88)*(1-R88)+INDEX(Models!$BJ88:$BT88,,T88+1)*R88-ERP_i)*Q88*Ramure*Pc/MaxiM</f>
        <v>6.1363803457251955E-4</v>
      </c>
      <c r="Q88" s="305">
        <f t="shared" si="28"/>
        <v>0.7</v>
      </c>
      <c r="R88" s="177">
        <f t="shared" si="29"/>
        <v>0.98908511435279611</v>
      </c>
      <c r="S88" s="817">
        <f t="shared" si="30"/>
        <v>-2</v>
      </c>
      <c r="T88" s="176">
        <f t="shared" si="31"/>
        <v>4</v>
      </c>
      <c r="U88" s="251">
        <f t="shared" si="32"/>
        <v>-1.0109148856472039</v>
      </c>
      <c r="V88" s="383">
        <f t="shared" si="33"/>
        <v>28.047858728952882</v>
      </c>
      <c r="W88" s="402">
        <f t="shared" si="34"/>
        <v>7.7056794937924158</v>
      </c>
      <c r="X88" s="157">
        <f t="shared" si="35"/>
        <v>46461</v>
      </c>
      <c r="Y88" s="385">
        <f t="shared" si="36"/>
        <v>7.4315721877320815</v>
      </c>
      <c r="Z88" s="385">
        <f t="shared" si="37"/>
        <v>7.9802150712860991</v>
      </c>
      <c r="AA88" s="386">
        <f t="shared" si="38"/>
        <v>9.1524819002391791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0.12808185164752359</v>
      </c>
      <c r="AD88" s="231">
        <f>(INDEX(Models!$BJ88:$BT88,,AH88)*(1-AF88)+INDEX(Models!$BJ88:$BT88,,AH88+1)*AF88-ERP_i)*AE88*Ramure*Pc/MaxiM</f>
        <v>1.3225127729796442E-2</v>
      </c>
      <c r="AE88" s="305">
        <f t="shared" si="40"/>
        <v>0.7</v>
      </c>
      <c r="AF88" s="177">
        <f t="shared" si="41"/>
        <v>0.61294848372885213</v>
      </c>
      <c r="AG88" s="817">
        <f t="shared" si="49"/>
        <v>1</v>
      </c>
      <c r="AH88" s="176">
        <f t="shared" si="42"/>
        <v>7</v>
      </c>
      <c r="AI88" s="225">
        <f t="shared" si="43"/>
        <v>1.6129484837288521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46462</v>
      </c>
      <c r="B89" s="411">
        <f>'2026'!Wh/'2026'!Env_an*'2027'!Env_an</f>
        <v>5.9200606024366413</v>
      </c>
      <c r="C89" s="846"/>
      <c r="D89" s="393">
        <f t="shared" si="25"/>
        <v>6.3572539460638149</v>
      </c>
      <c r="E89" s="385">
        <f t="shared" si="47"/>
        <v>7.0323186887194717</v>
      </c>
      <c r="F89" s="385">
        <f t="shared" si="26"/>
        <v>7.0323186887194717</v>
      </c>
      <c r="G89" s="110">
        <f t="shared" si="48"/>
        <v>0.20915771971635622</v>
      </c>
      <c r="H89" s="414" t="b">
        <f>Wh_hp&gt;='2026'!Maxi_hp</f>
        <v>0</v>
      </c>
      <c r="I89" s="390">
        <f>IF(H89,Wh_hp,'2026'!Maxi_hp)</f>
        <v>33.759513299417414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6.8770784891779901E-2</v>
      </c>
      <c r="M89" s="850"/>
      <c r="N89" s="850"/>
      <c r="O89" s="48">
        <f>IF(t&lt;Tnet,'2026'!Resal+('2026'!Salim-'2026'!Resal)*(1-EXP(('2026'!Tnet-t)/('2026'!Tau_j))),Resal+(Salim-Resal)*(1-EXP((Tnet-t)/(Tau_j))))*Salcycl</f>
        <v>9.5994617499136722E-2</v>
      </c>
      <c r="P89" s="169">
        <f>(INDEX(Models!$BJ89:$BT89,,T89)*(1-R89)+INDEX(Models!$BJ89:$BT89,,T89+1)*R89-ERP_i)*Q89*Ramure*Pc/MaxiM</f>
        <v>4.7112478307916169E-4</v>
      </c>
      <c r="Q89" s="305">
        <f t="shared" si="28"/>
        <v>0.7</v>
      </c>
      <c r="R89" s="177">
        <f t="shared" si="29"/>
        <v>0.9896413156455679</v>
      </c>
      <c r="S89" s="817">
        <f t="shared" si="30"/>
        <v>-2</v>
      </c>
      <c r="T89" s="176">
        <f t="shared" si="31"/>
        <v>4</v>
      </c>
      <c r="U89" s="251">
        <f t="shared" si="32"/>
        <v>-1.0103586843544321</v>
      </c>
      <c r="V89" s="383">
        <f t="shared" si="33"/>
        <v>28.290954420396513</v>
      </c>
      <c r="W89" s="402">
        <f t="shared" si="34"/>
        <v>5.9200606024366413</v>
      </c>
      <c r="X89" s="157">
        <f t="shared" si="35"/>
        <v>46462</v>
      </c>
      <c r="Y89" s="385">
        <f t="shared" si="36"/>
        <v>5.7097360039846325</v>
      </c>
      <c r="Z89" s="385">
        <f t="shared" si="37"/>
        <v>6.1313969872831926</v>
      </c>
      <c r="AA89" s="386">
        <f t="shared" si="38"/>
        <v>7.0323186887194717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0.12811161457762801</v>
      </c>
      <c r="AD89" s="231">
        <f>(INDEX(Models!$BJ89:$BT89,,AH89)*(1-AF89)+INDEX(Models!$BJ89:$BT89,,AH89+1)*AF89-ERP_i)*AE89*Ramure*Pc/MaxiM</f>
        <v>1.1707393999591E-2</v>
      </c>
      <c r="AE89" s="305">
        <f t="shared" si="40"/>
        <v>0.7</v>
      </c>
      <c r="AF89" s="177">
        <f t="shared" si="41"/>
        <v>0.61350468502162392</v>
      </c>
      <c r="AG89" s="817">
        <f t="shared" si="49"/>
        <v>1</v>
      </c>
      <c r="AH89" s="176">
        <f t="shared" si="42"/>
        <v>7</v>
      </c>
      <c r="AI89" s="225">
        <f t="shared" si="43"/>
        <v>1.6135046850216239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46463</v>
      </c>
      <c r="B90" s="411">
        <f>'2026'!Wh/'2026'!Env_an*'2027'!Env_an</f>
        <v>6.942599344368233</v>
      </c>
      <c r="C90" s="846"/>
      <c r="D90" s="393">
        <f t="shared" si="25"/>
        <v>7.4554699270633895</v>
      </c>
      <c r="E90" s="385">
        <f t="shared" si="47"/>
        <v>8.2478180602534898</v>
      </c>
      <c r="F90" s="385">
        <f t="shared" si="26"/>
        <v>8.2478180602534898</v>
      </c>
      <c r="G90" s="110">
        <f t="shared" si="48"/>
        <v>0.243255857227378</v>
      </c>
      <c r="H90" s="414" t="b">
        <f>Wh_hp&gt;='2026'!Maxi_hp</f>
        <v>0</v>
      </c>
      <c r="I90" s="390">
        <f>IF(H90,Wh_hp,'2026'!Maxi_hp)</f>
        <v>18.204761461001336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6.8791181201527496E-2</v>
      </c>
      <c r="M90" s="850"/>
      <c r="N90" s="850"/>
      <c r="O90" s="48">
        <f>IF(t&lt;Tnet,'2026'!Resal+('2026'!Salim-'2026'!Resal)*(1-EXP(('2026'!Tnet-t)/('2026'!Tau_j))),Resal+(Salim-Resal)*(1-EXP((Tnet-t)/(Tau_j))))*Salcycl</f>
        <v>9.6067605686945612E-2</v>
      </c>
      <c r="P90" s="169">
        <f>(INDEX(Models!$BJ90:$BT90,,T90)*(1-R90)+INDEX(Models!$BJ90:$BT90,,T90+1)*R90-ERP_i)*Q90*Ramure*Pc/MaxiM</f>
        <v>3.5114971126311181E-4</v>
      </c>
      <c r="Q90" s="305">
        <f t="shared" si="28"/>
        <v>0.7</v>
      </c>
      <c r="R90" s="177">
        <f t="shared" si="29"/>
        <v>0.99021950137133219</v>
      </c>
      <c r="S90" s="817">
        <f t="shared" si="30"/>
        <v>-2</v>
      </c>
      <c r="T90" s="176">
        <f t="shared" si="31"/>
        <v>4</v>
      </c>
      <c r="U90" s="251">
        <f t="shared" si="32"/>
        <v>-1.0097804986286678</v>
      </c>
      <c r="V90" s="383">
        <f t="shared" si="33"/>
        <v>28.530295351227164</v>
      </c>
      <c r="W90" s="402">
        <f t="shared" si="34"/>
        <v>6.942599344368233</v>
      </c>
      <c r="X90" s="157">
        <f t="shared" si="35"/>
        <v>46463</v>
      </c>
      <c r="Y90" s="385">
        <f t="shared" si="36"/>
        <v>6.6962553712353667</v>
      </c>
      <c r="Z90" s="385">
        <f t="shared" si="37"/>
        <v>7.1909277876851121</v>
      </c>
      <c r="AA90" s="386">
        <f t="shared" si="38"/>
        <v>8.2478180602534898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0.12814180245579937</v>
      </c>
      <c r="AD90" s="231">
        <f>(INDEX(Models!$BJ90:$BT90,,AH90)*(1-AF90)+INDEX(Models!$BJ90:$BT90,,AH90+1)*AF90-ERP_i)*AE90*Ramure*Pc/MaxiM</f>
        <v>1.0297663230660682E-2</v>
      </c>
      <c r="AE90" s="305">
        <f t="shared" si="40"/>
        <v>0.7</v>
      </c>
      <c r="AF90" s="177">
        <f t="shared" si="41"/>
        <v>0.61408287074738821</v>
      </c>
      <c r="AG90" s="817">
        <f t="shared" si="49"/>
        <v>1</v>
      </c>
      <c r="AH90" s="176">
        <f t="shared" si="42"/>
        <v>7</v>
      </c>
      <c r="AI90" s="225">
        <f t="shared" si="43"/>
        <v>1.6140828707473882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46464</v>
      </c>
      <c r="B91" s="411">
        <f>'2026'!Wh/'2026'!Env_an*'2027'!Env_an</f>
        <v>8.6635809304950104</v>
      </c>
      <c r="C91" s="846"/>
      <c r="D91" s="393">
        <f t="shared" si="25"/>
        <v>9.3037893482225034</v>
      </c>
      <c r="E91" s="385">
        <f t="shared" si="47"/>
        <v>10.293406526871372</v>
      </c>
      <c r="F91" s="385">
        <f t="shared" si="26"/>
        <v>10.293410917056997</v>
      </c>
      <c r="G91" s="110">
        <f t="shared" si="48"/>
        <v>0.30110324568218233</v>
      </c>
      <c r="H91" s="414" t="b">
        <f>Wh_hp&gt;='2026'!Maxi_hp</f>
        <v>0</v>
      </c>
      <c r="I91" s="390">
        <f>IF(H91,Wh_hp,'2026'!Maxi_hp)</f>
        <v>22.615966613904025</v>
      </c>
      <c r="J91" s="85">
        <f>IF(H91,An,'2026'!An_max)</f>
        <v>2019</v>
      </c>
      <c r="K91" s="197">
        <f t="shared" si="27"/>
        <v>46464</v>
      </c>
      <c r="L91" s="147">
        <f>IF(t&lt;Tvie,1-EXP((T0-t)*PertePVj)+'2026'!Pspv,1-EXP((T0-t)*PertePVj)+Pspv)</f>
        <v>6.8811577064543661E-2</v>
      </c>
      <c r="M91" s="850"/>
      <c r="N91" s="850"/>
      <c r="O91" s="48">
        <f>IF(t&lt;Tnet,'2026'!Resal+('2026'!Salim-'2026'!Resal)*(1-EXP(('2026'!Tnet-t)/('2026'!Tau_j))),Resal+(Salim-Resal)*(1-EXP((Tnet-t)/(Tau_j))))*Salcycl</f>
        <v>9.6140881647434284E-2</v>
      </c>
      <c r="P91" s="169">
        <f>(INDEX(Models!$BJ91:$BT91,,T91)*(1-R91)+INDEX(Models!$BJ91:$BT91,,T91+1)*R91-ERP_i)*Q91*Ramure*Pc/MaxiM</f>
        <v>2.5314835048202992E-4</v>
      </c>
      <c r="Q91" s="305">
        <f t="shared" si="28"/>
        <v>0.7</v>
      </c>
      <c r="R91" s="177">
        <f t="shared" si="29"/>
        <v>0.99082048344995766</v>
      </c>
      <c r="S91" s="817">
        <f t="shared" si="30"/>
        <v>-2</v>
      </c>
      <c r="T91" s="176">
        <f t="shared" si="31"/>
        <v>4</v>
      </c>
      <c r="U91" s="251">
        <f t="shared" si="32"/>
        <v>-1.0091795165500423</v>
      </c>
      <c r="V91" s="383">
        <f t="shared" si="33"/>
        <v>28.765520058649347</v>
      </c>
      <c r="W91" s="402">
        <f t="shared" si="34"/>
        <v>8.6635809304950104</v>
      </c>
      <c r="X91" s="157">
        <f t="shared" si="35"/>
        <v>46464</v>
      </c>
      <c r="Y91" s="385">
        <f t="shared" si="36"/>
        <v>8.3564319598681447</v>
      </c>
      <c r="Z91" s="385">
        <f t="shared" si="37"/>
        <v>8.9739431398057192</v>
      </c>
      <c r="AA91" s="386">
        <f t="shared" si="38"/>
        <v>10.293254959647298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0.12817246099641794</v>
      </c>
      <c r="AD91" s="231">
        <f>(INDEX(Models!$BJ91:$BT91,,AH91)*(1-AF91)+INDEX(Models!$BJ91:$BT91,,AH91+1)*AF91-ERP_i)*AE91*Ramure*Pc/MaxiM</f>
        <v>8.9928682718826633E-3</v>
      </c>
      <c r="AE91" s="305">
        <f t="shared" si="40"/>
        <v>0.7</v>
      </c>
      <c r="AF91" s="177">
        <f t="shared" si="41"/>
        <v>0.61468385282601368</v>
      </c>
      <c r="AG91" s="817">
        <f t="shared" si="49"/>
        <v>1</v>
      </c>
      <c r="AH91" s="176">
        <f t="shared" si="42"/>
        <v>7</v>
      </c>
      <c r="AI91" s="225">
        <f t="shared" si="43"/>
        <v>1.6146838528260137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46465</v>
      </c>
      <c r="B92" s="411">
        <f>'2026'!Wh/'2026'!Env_an*'2027'!Env_an</f>
        <v>17.399059088221126</v>
      </c>
      <c r="C92" s="846"/>
      <c r="D92" s="393">
        <f t="shared" si="25"/>
        <v>18.685198131830273</v>
      </c>
      <c r="E92" s="385">
        <f t="shared" si="47"/>
        <v>20.674372118619754</v>
      </c>
      <c r="F92" s="385">
        <f t="shared" si="26"/>
        <v>20.675937124884047</v>
      </c>
      <c r="G92" s="110">
        <f t="shared" si="48"/>
        <v>0.59998424658498828</v>
      </c>
      <c r="H92" s="414" t="b">
        <f>Wh_hp&gt;='2026'!Maxi_hp</f>
        <v>0</v>
      </c>
      <c r="I92" s="390">
        <f>IF(H92,Wh_hp,'2026'!Maxi_hp)</f>
        <v>31.49075258123468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6.8831972480838055E-2</v>
      </c>
      <c r="M92" s="850"/>
      <c r="N92" s="850"/>
      <c r="O92" s="48">
        <f>IF(t&lt;Tnet,'2026'!Resal+('2026'!Salim-'2026'!Resal)*(1-EXP(('2026'!Tnet-t)/('2026'!Tau_j))),Resal+(Salim-Resal)*(1-EXP((Tnet-t)/(Tau_j))))*Salcycl</f>
        <v>9.6214481164242471E-2</v>
      </c>
      <c r="P92" s="169">
        <f>(INDEX(Models!$BJ92:$BT92,,T92)*(1-R92)+INDEX(Models!$BJ92:$BT92,,T92+1)*R92-ERP_i)*Q92*Ramure*Pc/MaxiM</f>
        <v>1.7658866454064561E-4</v>
      </c>
      <c r="Q92" s="305">
        <f t="shared" si="28"/>
        <v>0.7</v>
      </c>
      <c r="R92" s="177">
        <f t="shared" si="29"/>
        <v>0.99144509906416411</v>
      </c>
      <c r="S92" s="817">
        <f t="shared" si="30"/>
        <v>-2</v>
      </c>
      <c r="T92" s="176">
        <f t="shared" si="31"/>
        <v>4</v>
      </c>
      <c r="U92" s="251">
        <f t="shared" si="32"/>
        <v>-1.0085549009358359</v>
      </c>
      <c r="V92" s="383">
        <f t="shared" si="33"/>
        <v>28.99626706875539</v>
      </c>
      <c r="W92" s="402">
        <f t="shared" si="34"/>
        <v>17.399059088221126</v>
      </c>
      <c r="X92" s="157">
        <f t="shared" si="35"/>
        <v>46465</v>
      </c>
      <c r="Y92" s="385">
        <f t="shared" si="36"/>
        <v>16.728451290502971</v>
      </c>
      <c r="Z92" s="385">
        <f t="shared" si="37"/>
        <v>17.965018982740713</v>
      </c>
      <c r="AA92" s="386">
        <f t="shared" si="38"/>
        <v>20.606898290357925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0.12820363697594223</v>
      </c>
      <c r="AD92" s="231">
        <f>(INDEX(Models!$BJ92:$BT92,,AH92)*(1-AF92)+INDEX(Models!$BJ92:$BT92,,AH92+1)*AF92-ERP_i)*AE92*Ramure*Pc/MaxiM</f>
        <v>7.7900490678900324E-3</v>
      </c>
      <c r="AE92" s="305">
        <f t="shared" si="40"/>
        <v>0.7</v>
      </c>
      <c r="AF92" s="177">
        <f t="shared" si="41"/>
        <v>0.61530846844022014</v>
      </c>
      <c r="AG92" s="817">
        <f t="shared" si="49"/>
        <v>1</v>
      </c>
      <c r="AH92" s="176">
        <f t="shared" si="42"/>
        <v>7</v>
      </c>
      <c r="AI92" s="225">
        <f t="shared" si="43"/>
        <v>1.6153084684402201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46466</v>
      </c>
      <c r="B93" s="411">
        <f>'2026'!Wh/'2026'!Env_an*'2027'!Env_an</f>
        <v>19.397309839897087</v>
      </c>
      <c r="C93" s="846"/>
      <c r="D93" s="393">
        <f t="shared" si="25"/>
        <v>20.831615913349019</v>
      </c>
      <c r="E93" s="385">
        <f t="shared" si="47"/>
        <v>23.051177890371644</v>
      </c>
      <c r="F93" s="385">
        <f t="shared" si="26"/>
        <v>23.052626918183371</v>
      </c>
      <c r="G93" s="110">
        <f t="shared" si="48"/>
        <v>0.66370615261305277</v>
      </c>
      <c r="H93" s="414" t="b">
        <f>Wh_hp&gt;='2026'!Maxi_hp</f>
        <v>0</v>
      </c>
      <c r="I93" s="390">
        <f>IF(H93,Wh_hp,'2026'!Maxi_hp)</f>
        <v>35.290557656198175</v>
      </c>
      <c r="J93" s="85">
        <f>IF(H93,An,'2026'!An_max)</f>
        <v>2019</v>
      </c>
      <c r="K93" s="197">
        <f t="shared" si="27"/>
        <v>46466</v>
      </c>
      <c r="L93" s="147">
        <f>IF(t&lt;Tvie,1-EXP((T0-t)*PertePVj)+'2026'!Pspv,1-EXP((T0-t)*PertePVj)+Pspv)</f>
        <v>6.8852367450420449E-2</v>
      </c>
      <c r="M93" s="850"/>
      <c r="N93" s="850"/>
      <c r="O93" s="48">
        <f>IF(t&lt;Tnet,'2026'!Resal+('2026'!Salim-'2026'!Resal)*(1-EXP(('2026'!Tnet-t)/('2026'!Tau_j))),Resal+(Salim-Resal)*(1-EXP((Tnet-t)/(Tau_j))))*Salcycl</f>
        <v>9.6288440772032136E-2</v>
      </c>
      <c r="P93" s="169">
        <f>(INDEX(Models!$BJ93:$BT93,,T93)*(1-R93)+INDEX(Models!$BJ93:$BT93,,T93+1)*R93-ERP_i)*Q93*Ramure*Pc/MaxiM</f>
        <v>1.2096441724215083E-4</v>
      </c>
      <c r="Q93" s="305">
        <f t="shared" si="28"/>
        <v>0.7</v>
      </c>
      <c r="R93" s="177">
        <f t="shared" si="29"/>
        <v>0.99209421104678563</v>
      </c>
      <c r="S93" s="817">
        <f t="shared" si="30"/>
        <v>-2</v>
      </c>
      <c r="T93" s="176">
        <f t="shared" si="31"/>
        <v>4</v>
      </c>
      <c r="U93" s="251">
        <f t="shared" si="32"/>
        <v>-1.0079057889532144</v>
      </c>
      <c r="V93" s="383">
        <f t="shared" si="33"/>
        <v>29.224051295206706</v>
      </c>
      <c r="W93" s="402">
        <f t="shared" si="34"/>
        <v>19.397309839897087</v>
      </c>
      <c r="X93" s="157">
        <f t="shared" si="35"/>
        <v>46466</v>
      </c>
      <c r="Y93" s="385">
        <f t="shared" si="36"/>
        <v>18.647762660187848</v>
      </c>
      <c r="Z93" s="385">
        <f t="shared" si="37"/>
        <v>20.026644549509644</v>
      </c>
      <c r="AA93" s="386">
        <f t="shared" si="38"/>
        <v>22.972536446047748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0.12823537807663027</v>
      </c>
      <c r="AD93" s="231">
        <f>(INDEX(Models!$BJ93:$BT93,,AH93)*(1-AF93)+INDEX(Models!$BJ93:$BT93,,AH93+1)*AF93-ERP_i)*AE93*Ramure*Pc/MaxiM</f>
        <v>6.6859291520271402E-3</v>
      </c>
      <c r="AE93" s="305">
        <f t="shared" si="40"/>
        <v>0.7</v>
      </c>
      <c r="AF93" s="177">
        <f t="shared" si="41"/>
        <v>0.61595758042284166</v>
      </c>
      <c r="AG93" s="817">
        <f t="shared" si="49"/>
        <v>1</v>
      </c>
      <c r="AH93" s="176">
        <f t="shared" si="42"/>
        <v>7</v>
      </c>
      <c r="AI93" s="225">
        <f t="shared" si="43"/>
        <v>1.6159575804228417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46467</v>
      </c>
      <c r="B94" s="411">
        <f>'2026'!Wh/'2026'!Env_an*'2027'!Env_an</f>
        <v>27.77991560828886</v>
      </c>
      <c r="C94" s="846"/>
      <c r="D94" s="393">
        <f t="shared" si="25"/>
        <v>29.834714820674478</v>
      </c>
      <c r="E94" s="385">
        <f t="shared" si="47"/>
        <v>33.01625336226423</v>
      </c>
      <c r="F94" s="385">
        <f t="shared" si="26"/>
        <v>33.018857246815912</v>
      </c>
      <c r="G94" s="110">
        <f t="shared" si="48"/>
        <v>0.9432738260952539</v>
      </c>
      <c r="H94" s="414" t="b">
        <f>Wh_hp&gt;='2026'!Maxi_hp</f>
        <v>0</v>
      </c>
      <c r="I94" s="390">
        <f>IF(H94,Wh_hp,'2026'!Maxi_hp)</f>
        <v>35.232626438185896</v>
      </c>
      <c r="J94" s="85">
        <f>IF(H94,An,'2026'!An_max)</f>
        <v>2019</v>
      </c>
      <c r="K94" s="197">
        <f t="shared" si="27"/>
        <v>46467</v>
      </c>
      <c r="L94" s="147">
        <f>IF(t&lt;Tvie,1-EXP((T0-t)*PertePVj)+'2026'!Pspv,1-EXP((T0-t)*PertePVj)+Pspv)</f>
        <v>6.8872761973300611E-2</v>
      </c>
      <c r="M94" s="850"/>
      <c r="N94" s="850"/>
      <c r="O94" s="48">
        <f>IF(t&lt;Tnet,'2026'!Resal+('2026'!Salim-'2026'!Resal)*(1-EXP(('2026'!Tnet-t)/('2026'!Tau_j))),Resal+(Salim-Resal)*(1-EXP((Tnet-t)/(Tau_j))))*Salcycl</f>
        <v>9.6362797640330664E-2</v>
      </c>
      <c r="P94" s="169">
        <f>(INDEX(Models!$BJ94:$BT94,,T94)*(1-R94)+INDEX(Models!$BJ94:$BT94,,T94+1)*R94-ERP_i)*Q94*Ramure*Pc/MaxiM</f>
        <v>8.5813855959480554E-5</v>
      </c>
      <c r="Q94" s="305">
        <f t="shared" si="28"/>
        <v>0.7</v>
      </c>
      <c r="R94" s="177">
        <f t="shared" si="29"/>
        <v>0.992768708236486</v>
      </c>
      <c r="S94" s="817">
        <f t="shared" si="30"/>
        <v>-2</v>
      </c>
      <c r="T94" s="176">
        <f t="shared" si="31"/>
        <v>4</v>
      </c>
      <c r="U94" s="251">
        <f t="shared" si="32"/>
        <v>-1.007231291763514</v>
      </c>
      <c r="V94" s="383">
        <f t="shared" si="33"/>
        <v>29.450326789217208</v>
      </c>
      <c r="W94" s="402">
        <f t="shared" si="34"/>
        <v>27.77991560828886</v>
      </c>
      <c r="X94" s="157">
        <f t="shared" si="35"/>
        <v>46467</v>
      </c>
      <c r="Y94" s="385">
        <f t="shared" si="36"/>
        <v>26.660527305880375</v>
      </c>
      <c r="Z94" s="385">
        <f t="shared" si="37"/>
        <v>28.632528635271118</v>
      </c>
      <c r="AA94" s="386">
        <f t="shared" si="38"/>
        <v>32.845553285459047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0.12826773272999067</v>
      </c>
      <c r="AD94" s="231">
        <f>(INDEX(Models!$BJ94:$BT94,,AH94)*(1-AF94)+INDEX(Models!$BJ94:$BT94,,AH94+1)*AF94-ERP_i)*AE94*Ramure*Pc/MaxiM</f>
        <v>5.7114211025543447E-3</v>
      </c>
      <c r="AE94" s="305">
        <f t="shared" si="40"/>
        <v>0.7</v>
      </c>
      <c r="AF94" s="177">
        <f t="shared" si="41"/>
        <v>0.61663207761254202</v>
      </c>
      <c r="AG94" s="817">
        <f t="shared" si="49"/>
        <v>1</v>
      </c>
      <c r="AH94" s="176">
        <f t="shared" si="42"/>
        <v>7</v>
      </c>
      <c r="AI94" s="225">
        <f t="shared" si="43"/>
        <v>1.616632077612542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46468</v>
      </c>
      <c r="B95" s="411">
        <f>'2026'!Wh/'2026'!Env_an*'2027'!Env_an</f>
        <v>25.645528707721063</v>
      </c>
      <c r="C95" s="846"/>
      <c r="D95" s="393">
        <f t="shared" si="25"/>
        <v>27.54305681924955</v>
      </c>
      <c r="E95" s="385">
        <f t="shared" si="47"/>
        <v>30.482738655225312</v>
      </c>
      <c r="F95" s="385">
        <f t="shared" si="26"/>
        <v>30.484134990368638</v>
      </c>
      <c r="G95" s="110">
        <f t="shared" si="48"/>
        <v>0.86420220367973311</v>
      </c>
      <c r="H95" s="414" t="b">
        <f>Wh_hp&gt;='2026'!Maxi_hp</f>
        <v>0</v>
      </c>
      <c r="I95" s="390">
        <f>IF(H95,Wh_hp,'2026'!Maxi_hp)</f>
        <v>34.33751568572859</v>
      </c>
      <c r="J95" s="85">
        <f>IF(H95,An,'2026'!An_max)</f>
        <v>2019</v>
      </c>
      <c r="K95" s="197">
        <f t="shared" si="27"/>
        <v>46468</v>
      </c>
      <c r="L95" s="147">
        <f>IF(t&lt;Tvie,1-EXP((T0-t)*PertePVj)+'2026'!Pspv,1-EXP((T0-t)*PertePVj)+Pspv)</f>
        <v>6.8893156049488535E-2</v>
      </c>
      <c r="M95" s="850"/>
      <c r="N95" s="850"/>
      <c r="O95" s="48">
        <f>IF(t&lt;Tnet,'2026'!Resal+('2026'!Salim-'2026'!Resal)*(1-EXP(('2026'!Tnet-t)/('2026'!Tau_j))),Resal+(Salim-Resal)*(1-EXP((Tnet-t)/(Tau_j))))*Salcycl</f>
        <v>9.6437589457594453E-2</v>
      </c>
      <c r="P95" s="169">
        <f>(INDEX(Models!$BJ95:$BT95,,T95)*(1-R95)+INDEX(Models!$BJ95:$BT95,,T95+1)*R95-ERP_i)*Q95*Ramure*Pc/MaxiM</f>
        <v>5.6829223332437925E-5</v>
      </c>
      <c r="Q95" s="305">
        <f t="shared" si="28"/>
        <v>0.7</v>
      </c>
      <c r="R95" s="177">
        <f t="shared" si="29"/>
        <v>0.99346950579766058</v>
      </c>
      <c r="S95" s="817">
        <f t="shared" si="30"/>
        <v>-2</v>
      </c>
      <c r="T95" s="176">
        <f t="shared" si="31"/>
        <v>4</v>
      </c>
      <c r="U95" s="251">
        <f t="shared" si="32"/>
        <v>-1.0065304942023394</v>
      </c>
      <c r="V95" s="383">
        <f t="shared" si="33"/>
        <v>29.675052749687538</v>
      </c>
      <c r="W95" s="402">
        <f t="shared" si="34"/>
        <v>25.645528707721063</v>
      </c>
      <c r="X95" s="157">
        <f t="shared" si="35"/>
        <v>46468</v>
      </c>
      <c r="Y95" s="385">
        <f t="shared" si="36"/>
        <v>24.645867517308613</v>
      </c>
      <c r="Z95" s="385">
        <f t="shared" si="37"/>
        <v>26.469430095412925</v>
      </c>
      <c r="AA95" s="386">
        <f t="shared" si="38"/>
        <v>30.365323928211946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0.12830074996102409</v>
      </c>
      <c r="AD95" s="231">
        <f>(INDEX(Models!$BJ95:$BT95,,AH95)*(1-AF95)+INDEX(Models!$BJ95:$BT95,,AH95+1)*AF95-ERP_i)*AE95*Ramure*Pc/MaxiM</f>
        <v>4.8354726427596107E-3</v>
      </c>
      <c r="AE95" s="305">
        <f t="shared" si="40"/>
        <v>0.7</v>
      </c>
      <c r="AF95" s="177">
        <f t="shared" si="41"/>
        <v>0.6173328751737166</v>
      </c>
      <c r="AG95" s="817">
        <f t="shared" si="49"/>
        <v>1</v>
      </c>
      <c r="AH95" s="176">
        <f t="shared" si="42"/>
        <v>7</v>
      </c>
      <c r="AI95" s="225">
        <f t="shared" si="43"/>
        <v>1.6173328751737166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46469</v>
      </c>
      <c r="B96" s="411">
        <f>'2026'!Wh/'2026'!Env_an*'2027'!Env_an</f>
        <v>28.801798630427605</v>
      </c>
      <c r="C96" s="846"/>
      <c r="D96" s="393">
        <f t="shared" si="25"/>
        <v>30.933538577967433</v>
      </c>
      <c r="E96" s="385">
        <f t="shared" si="47"/>
        <v>34.237939881874638</v>
      </c>
      <c r="F96" s="385">
        <f t="shared" si="26"/>
        <v>34.239039104348286</v>
      </c>
      <c r="G96" s="110">
        <f t="shared" si="48"/>
        <v>0.96334075399830099</v>
      </c>
      <c r="H96" s="414" t="b">
        <f>Wh_hp&gt;='2026'!Maxi_hp</f>
        <v>0</v>
      </c>
      <c r="I96" s="390">
        <f>IF(H96,Wh_hp,'2026'!Maxi_hp)</f>
        <v>36.330998993590491</v>
      </c>
      <c r="J96" s="85">
        <f>IF(H96,An,'2026'!An_max)</f>
        <v>2021</v>
      </c>
      <c r="K96" s="197">
        <f t="shared" si="27"/>
        <v>46469</v>
      </c>
      <c r="L96" s="147">
        <f>IF(t&lt;Tvie,1-EXP((T0-t)*PertePVj)+'2026'!Pspv,1-EXP((T0-t)*PertePVj)+Pspv)</f>
        <v>6.8913549678993768E-2</v>
      </c>
      <c r="M96" s="850"/>
      <c r="N96" s="850"/>
      <c r="O96" s="48">
        <f>IF(t&lt;Tnet,'2026'!Resal+('2026'!Salim-'2026'!Resal)*(1-EXP(('2026'!Tnet-t)/('2026'!Tau_j))),Resal+(Salim-Resal)*(1-EXP((Tnet-t)/(Tau_j))))*Salcycl</f>
        <v>9.6512854316229996E-2</v>
      </c>
      <c r="P96" s="169">
        <f>(INDEX(Models!$BJ96:$BT96,,T96)*(1-R96)+INDEX(Models!$BJ96:$BT96,,T96+1)*R96-ERP_i)*Q96*Ramure*Pc/MaxiM</f>
        <v>3.387850769057656E-5</v>
      </c>
      <c r="Q96" s="305">
        <f t="shared" si="28"/>
        <v>0.7</v>
      </c>
      <c r="R96" s="177">
        <f t="shared" si="29"/>
        <v>0.9941975454999552</v>
      </c>
      <c r="S96" s="817">
        <f t="shared" si="30"/>
        <v>-2</v>
      </c>
      <c r="T96" s="176">
        <f t="shared" si="31"/>
        <v>4</v>
      </c>
      <c r="U96" s="251">
        <f t="shared" si="32"/>
        <v>-1.0058024545000448</v>
      </c>
      <c r="V96" s="383">
        <f t="shared" si="33"/>
        <v>29.897777510847188</v>
      </c>
      <c r="W96" s="402">
        <f t="shared" si="34"/>
        <v>28.801798630427605</v>
      </c>
      <c r="X96" s="157">
        <f t="shared" si="35"/>
        <v>46469</v>
      </c>
      <c r="Y96" s="385">
        <f t="shared" si="36"/>
        <v>27.681464174166326</v>
      </c>
      <c r="Z96" s="385">
        <f t="shared" si="37"/>
        <v>29.730283546305198</v>
      </c>
      <c r="AA96" s="386">
        <f t="shared" si="38"/>
        <v>34.107444699873774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0.12833447923422939</v>
      </c>
      <c r="AD96" s="231">
        <f>(INDEX(Models!$BJ96:$BT96,,AH96)*(1-AF96)+INDEX(Models!$BJ96:$BT96,,AH96+1)*AF96-ERP_i)*AE96*Ramure*Pc/MaxiM</f>
        <v>4.0557959384169397E-3</v>
      </c>
      <c r="AE96" s="305">
        <f t="shared" si="40"/>
        <v>0.7</v>
      </c>
      <c r="AF96" s="177">
        <f t="shared" si="41"/>
        <v>0.61806091487601122</v>
      </c>
      <c r="AG96" s="817">
        <f t="shared" si="49"/>
        <v>1</v>
      </c>
      <c r="AH96" s="176">
        <f t="shared" si="42"/>
        <v>7</v>
      </c>
      <c r="AI96" s="225">
        <f t="shared" si="43"/>
        <v>1.6180609148760112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46470</v>
      </c>
      <c r="B97" s="411">
        <f>'2026'!Wh/'2026'!Env_an*'2027'!Env_an</f>
        <v>28.512107443578252</v>
      </c>
      <c r="C97" s="846"/>
      <c r="D97" s="393">
        <f t="shared" si="25"/>
        <v>30.623076875142647</v>
      </c>
      <c r="E97" s="385">
        <f t="shared" si="47"/>
        <v>33.897156835047532</v>
      </c>
      <c r="F97" s="385">
        <f t="shared" si="26"/>
        <v>33.897684059676365</v>
      </c>
      <c r="G97" s="110">
        <f t="shared" si="48"/>
        <v>0.94667720340268358</v>
      </c>
      <c r="H97" s="414" t="b">
        <f>Wh_hp&gt;='2026'!Maxi_hp</f>
        <v>0</v>
      </c>
      <c r="I97" s="390">
        <f>IF(H97,Wh_hp,'2026'!Maxi_hp)</f>
        <v>35.972058370872873</v>
      </c>
      <c r="J97" s="85">
        <f>IF(H97,An,'2026'!An_max)</f>
        <v>2021</v>
      </c>
      <c r="K97" s="197">
        <f t="shared" si="27"/>
        <v>46470</v>
      </c>
      <c r="L97" s="147">
        <f>IF(t&lt;Tvie,1-EXP((T0-t)*PertePVj)+'2026'!Pspv,1-EXP((T0-t)*PertePVj)+Pspv)</f>
        <v>6.8933942861826192E-2</v>
      </c>
      <c r="M97" s="850"/>
      <c r="N97" s="850"/>
      <c r="O97" s="48">
        <f>IF(t&lt;Tnet,'2026'!Resal+('2026'!Salim-'2026'!Resal)*(1-EXP(('2026'!Tnet-t)/('2026'!Tau_j))),Resal+(Salim-Resal)*(1-EXP((Tnet-t)/(Tau_j))))*Salcycl</f>
        <v>9.6588630599239236E-2</v>
      </c>
      <c r="P97" s="169">
        <f>(INDEX(Models!$BJ97:$BT97,,T97)*(1-R97)+INDEX(Models!$BJ97:$BT97,,T97+1)*R97-ERP_i)*Q97*Ramure*Pc/MaxiM</f>
        <v>1.6835861149036676E-5</v>
      </c>
      <c r="Q97" s="305">
        <f t="shared" si="28"/>
        <v>0.7</v>
      </c>
      <c r="R97" s="177">
        <f t="shared" si="29"/>
        <v>0.99495379595251499</v>
      </c>
      <c r="S97" s="817">
        <f t="shared" si="30"/>
        <v>-2</v>
      </c>
      <c r="T97" s="176">
        <f t="shared" si="31"/>
        <v>4</v>
      </c>
      <c r="U97" s="251">
        <f t="shared" si="32"/>
        <v>-1.005046204047485</v>
      </c>
      <c r="V97" s="383">
        <f t="shared" si="33"/>
        <v>30.118049505348758</v>
      </c>
      <c r="W97" s="402">
        <f t="shared" si="34"/>
        <v>28.512107443578252</v>
      </c>
      <c r="X97" s="157">
        <f t="shared" si="35"/>
        <v>46470</v>
      </c>
      <c r="Y97" s="385">
        <f t="shared" si="36"/>
        <v>27.423882620422511</v>
      </c>
      <c r="Z97" s="385">
        <f t="shared" si="37"/>
        <v>29.454282443412819</v>
      </c>
      <c r="AA97" s="386">
        <f t="shared" si="38"/>
        <v>33.79214534575091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0.12836897030225222</v>
      </c>
      <c r="AD97" s="231">
        <f>(INDEX(Models!$BJ97:$BT97,,AH97)*(1-AF97)+INDEX(Models!$BJ97:$BT97,,AH97+1)*AF97-ERP_i)*AE97*Ramure*Pc/MaxiM</f>
        <v>3.3701671665749815E-3</v>
      </c>
      <c r="AE97" s="305">
        <f t="shared" si="40"/>
        <v>0.7</v>
      </c>
      <c r="AF97" s="177">
        <f t="shared" si="41"/>
        <v>0.61881716532857101</v>
      </c>
      <c r="AG97" s="817">
        <f t="shared" si="49"/>
        <v>1</v>
      </c>
      <c r="AH97" s="176">
        <f t="shared" si="42"/>
        <v>7</v>
      </c>
      <c r="AI97" s="225">
        <f t="shared" si="43"/>
        <v>1.618817165328571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46471</v>
      </c>
      <c r="B98" s="411">
        <f>'2026'!Wh/'2026'!Env_an*'2027'!Env_an</f>
        <v>25.461937303476581</v>
      </c>
      <c r="C98" s="846"/>
      <c r="D98" s="393">
        <f t="shared" si="25"/>
        <v>27.3476782901195</v>
      </c>
      <c r="E98" s="385">
        <f t="shared" si="47"/>
        <v>30.274125307187891</v>
      </c>
      <c r="F98" s="385">
        <f t="shared" si="26"/>
        <v>30.274255521301573</v>
      </c>
      <c r="G98" s="110">
        <f t="shared" si="48"/>
        <v>0.83934578702728013</v>
      </c>
      <c r="H98" s="414" t="b">
        <f>Wh_hp&gt;='2026'!Maxi_hp</f>
        <v>0</v>
      </c>
      <c r="I98" s="390">
        <f>IF(H98,Wh_hp,'2026'!Maxi_hp)</f>
        <v>33.539793588319633</v>
      </c>
      <c r="J98" s="85">
        <f>IF(H98,An,'2026'!An_max)</f>
        <v>2020</v>
      </c>
      <c r="K98" s="197">
        <f t="shared" si="27"/>
        <v>46471</v>
      </c>
      <c r="L98" s="147">
        <f>IF(t&lt;Tvie,1-EXP((T0-t)*PertePVj)+'2026'!Pspv,1-EXP((T0-t)*PertePVj)+Pspv)</f>
        <v>6.8954335597995575E-2</v>
      </c>
      <c r="M98" s="850"/>
      <c r="N98" s="850"/>
      <c r="O98" s="48">
        <f>IF(t&lt;Tnet,'2026'!Resal+('2026'!Salim-'2026'!Resal)*(1-EXP(('2026'!Tnet-t)/('2026'!Tau_j))),Resal+(Salim-Resal)*(1-EXP((Tnet-t)/(Tau_j))))*Salcycl</f>
        <v>9.6664956869078431E-2</v>
      </c>
      <c r="P98" s="169">
        <f>(INDEX(Models!$BJ98:$BT98,,T98)*(1-R98)+INDEX(Models!$BJ98:$BT98,,T98+1)*R98-ERP_i)*Q98*Ramure*Pc/MaxiM</f>
        <v>5.582316686333917E-6</v>
      </c>
      <c r="Q98" s="305">
        <f t="shared" si="28"/>
        <v>0.7</v>
      </c>
      <c r="R98" s="177">
        <f t="shared" si="29"/>
        <v>0.99573925278776221</v>
      </c>
      <c r="S98" s="817">
        <f t="shared" si="30"/>
        <v>-2</v>
      </c>
      <c r="T98" s="176">
        <f t="shared" si="31"/>
        <v>4</v>
      </c>
      <c r="U98" s="251">
        <f t="shared" si="32"/>
        <v>-1.0042607472122378</v>
      </c>
      <c r="V98" s="383">
        <f t="shared" si="33"/>
        <v>30.335417268881208</v>
      </c>
      <c r="W98" s="402">
        <f t="shared" si="34"/>
        <v>25.461937303476581</v>
      </c>
      <c r="X98" s="157">
        <f t="shared" si="35"/>
        <v>46471</v>
      </c>
      <c r="Y98" s="385">
        <f t="shared" si="36"/>
        <v>24.514864340897283</v>
      </c>
      <c r="Z98" s="385">
        <f t="shared" si="37"/>
        <v>26.330463991412046</v>
      </c>
      <c r="AA98" s="386">
        <f t="shared" si="38"/>
        <v>30.209491829188984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0.12840427305794488</v>
      </c>
      <c r="AD98" s="231">
        <f>(INDEX(Models!$BJ98:$BT98,,AH98)*(1-AF98)+INDEX(Models!$BJ98:$BT98,,AH98+1)*AF98-ERP_i)*AE98*Ramure*Pc/MaxiM</f>
        <v>2.7764381979853625E-3</v>
      </c>
      <c r="AE98" s="305">
        <f t="shared" si="40"/>
        <v>0.7</v>
      </c>
      <c r="AF98" s="177">
        <f t="shared" si="41"/>
        <v>0.61960262216381823</v>
      </c>
      <c r="AG98" s="817">
        <f t="shared" si="49"/>
        <v>1</v>
      </c>
      <c r="AH98" s="176">
        <f t="shared" si="42"/>
        <v>7</v>
      </c>
      <c r="AI98" s="225">
        <f t="shared" si="43"/>
        <v>1.6196026221638182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46472</v>
      </c>
      <c r="B99" s="411">
        <f>'2026'!Wh/'2026'!Env_an*'2027'!Env_an</f>
        <v>27.093085581390358</v>
      </c>
      <c r="C99" s="846"/>
      <c r="D99" s="393">
        <f t="shared" si="25"/>
        <v>29.100268696161578</v>
      </c>
      <c r="E99" s="385">
        <f t="shared" si="47"/>
        <v>32.217001747705211</v>
      </c>
      <c r="F99" s="385">
        <f t="shared" si="26"/>
        <v>32.217001921896667</v>
      </c>
      <c r="G99" s="110">
        <f t="shared" si="48"/>
        <v>0.88686060761108954</v>
      </c>
      <c r="H99" s="414" t="b">
        <f>Wh_hp&gt;='2026'!Maxi_hp</f>
        <v>0</v>
      </c>
      <c r="I99" s="390">
        <f>IF(H99,Wh_hp,'2026'!Maxi_hp)</f>
        <v>37.971121713669092</v>
      </c>
      <c r="J99" s="85">
        <f>IF(H99,An,'2026'!An_max)</f>
        <v>2019</v>
      </c>
      <c r="K99" s="197">
        <f t="shared" si="27"/>
        <v>46472</v>
      </c>
      <c r="L99" s="147">
        <f>IF(t&lt;Tvie,1-EXP((T0-t)*PertePVj)+'2026'!Pspv,1-EXP((T0-t)*PertePVj)+Pspv)</f>
        <v>6.8974727887511689E-2</v>
      </c>
      <c r="M99" s="850"/>
      <c r="N99" s="850"/>
      <c r="O99" s="48">
        <f>IF(t&lt;Tnet,'2026'!Resal+('2026'!Salim-'2026'!Resal)*(1-EXP(('2026'!Tnet-t)/('2026'!Tau_j))),Resal+(Salim-Resal)*(1-EXP((Tnet-t)/(Tau_j))))*Salcycl</f>
        <v>9.6741871759237749E-2</v>
      </c>
      <c r="P99" s="169">
        <f>(INDEX(Models!$BJ99:$BT99,,T99)*(1-R99)+INDEX(Models!$BJ99:$BT99,,T99+1)*R99-ERP_i)*Q99*Ramure*Pc/MaxiM</f>
        <v>6.4491845978046987E-9</v>
      </c>
      <c r="Q99" s="305">
        <f t="shared" si="28"/>
        <v>0.7</v>
      </c>
      <c r="R99" s="177">
        <f t="shared" si="29"/>
        <v>0.9965549387891659</v>
      </c>
      <c r="S99" s="817">
        <f t="shared" si="30"/>
        <v>-2</v>
      </c>
      <c r="T99" s="176">
        <f t="shared" si="31"/>
        <v>4</v>
      </c>
      <c r="U99" s="251">
        <f t="shared" si="32"/>
        <v>-1.0034450612108341</v>
      </c>
      <c r="V99" s="383">
        <f t="shared" si="33"/>
        <v>30.54942943754066</v>
      </c>
      <c r="W99" s="402">
        <f t="shared" si="34"/>
        <v>27.093085581390358</v>
      </c>
      <c r="X99" s="157">
        <f t="shared" si="35"/>
        <v>46472</v>
      </c>
      <c r="Y99" s="385">
        <f t="shared" si="36"/>
        <v>26.092484871081329</v>
      </c>
      <c r="Z99" s="385">
        <f t="shared" si="37"/>
        <v>28.025538782505556</v>
      </c>
      <c r="AA99" s="386">
        <f t="shared" si="38"/>
        <v>32.155620780059323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0.12844043739049688</v>
      </c>
      <c r="AD99" s="231">
        <f>(INDEX(Models!$BJ99:$BT99,,AH99)*(1-AF99)+INDEX(Models!$BJ99:$BT99,,AH99+1)*AF99-ERP_i)*AE99*Ramure*Pc/MaxiM</f>
        <v>2.272547243693291E-3</v>
      </c>
      <c r="AE99" s="305">
        <f t="shared" si="40"/>
        <v>0.7</v>
      </c>
      <c r="AF99" s="177">
        <f t="shared" si="41"/>
        <v>0.62041830816522192</v>
      </c>
      <c r="AG99" s="817">
        <f t="shared" si="49"/>
        <v>1</v>
      </c>
      <c r="AH99" s="176">
        <f t="shared" si="42"/>
        <v>7</v>
      </c>
      <c r="AI99" s="225">
        <f t="shared" si="43"/>
        <v>1.6204183081652219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46473</v>
      </c>
      <c r="B100" s="411">
        <f>'2026'!Wh/'2026'!Env_an*'2027'!Env_an</f>
        <v>27.023778621825937</v>
      </c>
      <c r="C100" s="846"/>
      <c r="D100" s="393">
        <f t="shared" si="25"/>
        <v>29.026462905328646</v>
      </c>
      <c r="E100" s="385">
        <f t="shared" si="47"/>
        <v>32.138050076640312</v>
      </c>
      <c r="F100" s="385">
        <f t="shared" si="26"/>
        <v>32.13805020911775</v>
      </c>
      <c r="G100" s="110">
        <f t="shared" si="48"/>
        <v>0.87854679725723084</v>
      </c>
      <c r="H100" s="414" t="b">
        <f>Wh_hp&gt;='2026'!Maxi_hp</f>
        <v>0</v>
      </c>
      <c r="I100" s="390">
        <f>IF(H100,Wh_hp,'2026'!Maxi_hp)</f>
        <v>37.339002876856433</v>
      </c>
      <c r="J100" s="85">
        <f>IF(H100,An,'2026'!An_max)</f>
        <v>2019</v>
      </c>
      <c r="K100" s="197">
        <f t="shared" si="27"/>
        <v>46473</v>
      </c>
      <c r="L100" s="147">
        <f>IF(t&lt;Tvie,1-EXP((T0-t)*PertePVj)+'2026'!Pspv,1-EXP((T0-t)*PertePVj)+Pspv)</f>
        <v>6.8995119730384302E-2</v>
      </c>
      <c r="M100" s="850"/>
      <c r="N100" s="850"/>
      <c r="O100" s="48">
        <f>IF(t&lt;Tnet,'2026'!Resal+('2026'!Salim-'2026'!Resal)*(1-EXP(('2026'!Tnet-t)/('2026'!Tau_j))),Resal+(Salim-Resal)*(1-EXP((Tnet-t)/(Tau_j))))*Salcycl</f>
        <v>9.681941386896209E-2</v>
      </c>
      <c r="P100" s="169">
        <f>(INDEX(Models!$BJ100:$BT100,,T100)*(1-R100)+INDEX(Models!$BJ100:$BT100,,T100+1)*R100-ERP_i)*Q100*Ramure*Pc/MaxiM</f>
        <v>4.9874888362913183E-9</v>
      </c>
      <c r="Q100" s="305">
        <f t="shared" si="28"/>
        <v>0.7</v>
      </c>
      <c r="R100" s="177">
        <f t="shared" si="29"/>
        <v>0.99740190395713046</v>
      </c>
      <c r="S100" s="817">
        <f t="shared" si="30"/>
        <v>-2</v>
      </c>
      <c r="T100" s="176">
        <f t="shared" si="31"/>
        <v>4</v>
      </c>
      <c r="U100" s="251">
        <f t="shared" si="32"/>
        <v>-1.0025980960428695</v>
      </c>
      <c r="V100" s="383">
        <f t="shared" si="33"/>
        <v>30.759634754582716</v>
      </c>
      <c r="W100" s="402">
        <f t="shared" si="34"/>
        <v>27.023778621825937</v>
      </c>
      <c r="X100" s="157">
        <f t="shared" si="35"/>
        <v>46473</v>
      </c>
      <c r="Y100" s="385">
        <f t="shared" si="36"/>
        <v>26.03633843010703</v>
      </c>
      <c r="Z100" s="385">
        <f t="shared" si="37"/>
        <v>27.965845273084927</v>
      </c>
      <c r="AA100" s="386">
        <f t="shared" si="38"/>
        <v>32.088495353495844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0.12847751304617591</v>
      </c>
      <c r="AD100" s="231">
        <f>(INDEX(Models!$BJ100:$BT100,,AH100)*(1-AF100)+INDEX(Models!$BJ100:$BT100,,AH100+1)*AF100-ERP_i)*AE100*Ramure*Pc/MaxiM</f>
        <v>1.8656330895167081E-3</v>
      </c>
      <c r="AE100" s="305">
        <f t="shared" si="40"/>
        <v>0.7</v>
      </c>
      <c r="AF100" s="177">
        <f t="shared" si="41"/>
        <v>0.62126527333318649</v>
      </c>
      <c r="AG100" s="817">
        <f t="shared" si="49"/>
        <v>1</v>
      </c>
      <c r="AH100" s="176">
        <f t="shared" si="42"/>
        <v>7</v>
      </c>
      <c r="AI100" s="225">
        <f t="shared" si="43"/>
        <v>1.6212652733331865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46474</v>
      </c>
      <c r="B101" s="411">
        <f>'2026'!Wh/'2026'!Env_an*'2027'!Env_an</f>
        <v>20.879414246067395</v>
      </c>
      <c r="C101" s="846"/>
      <c r="D101" s="393">
        <f t="shared" si="25"/>
        <v>22.427241802207085</v>
      </c>
      <c r="E101" s="385">
        <f t="shared" si="47"/>
        <v>24.83355413532032</v>
      </c>
      <c r="F101" s="385">
        <f t="shared" si="26"/>
        <v>24.833554184717546</v>
      </c>
      <c r="G101" s="110">
        <f t="shared" si="48"/>
        <v>0.67427441688250833</v>
      </c>
      <c r="H101" s="414" t="b">
        <f>Wh_hp&gt;='2026'!Maxi_hp</f>
        <v>0</v>
      </c>
      <c r="I101" s="390">
        <f>IF(H101,Wh_hp,'2026'!Maxi_hp)</f>
        <v>36.534422327632868</v>
      </c>
      <c r="J101" s="85">
        <f>IF(H101,An,'2026'!An_max)</f>
        <v>2019</v>
      </c>
      <c r="K101" s="197">
        <f t="shared" si="27"/>
        <v>46474</v>
      </c>
      <c r="L101" s="147">
        <f>IF(t&lt;Tvie,1-EXP((T0-t)*PertePVj)+'2026'!Pspv,1-EXP((T0-t)*PertePVj)+Pspv)</f>
        <v>6.9015511126623186E-2</v>
      </c>
      <c r="M101" s="850"/>
      <c r="N101" s="850"/>
      <c r="O101" s="48">
        <f>IF(t&lt;Tnet,'2026'!Resal+('2026'!Salim-'2026'!Resal)*(1-EXP(('2026'!Tnet-t)/('2026'!Tau_j))),Resal+(Salim-Resal)*(1-EXP((Tnet-t)/(Tau_j))))*Salcycl</f>
        <v>9.689762166144314E-2</v>
      </c>
      <c r="P101" s="169">
        <f>(INDEX(Models!$BJ101:$BT101,,T101)*(1-R101)+INDEX(Models!$BJ101:$BT101,,T101+1)*R101-ERP_i)*Q101*Ramure*Pc/MaxiM</f>
        <v>3.7202451757312921E-9</v>
      </c>
      <c r="Q101" s="305">
        <f t="shared" si="28"/>
        <v>0.7</v>
      </c>
      <c r="R101" s="177">
        <f t="shared" si="29"/>
        <v>0.99828122550679477</v>
      </c>
      <c r="S101" s="817">
        <f t="shared" si="30"/>
        <v>-2</v>
      </c>
      <c r="T101" s="176">
        <f t="shared" si="31"/>
        <v>4</v>
      </c>
      <c r="U101" s="251">
        <f t="shared" si="32"/>
        <v>-1.0017187744932052</v>
      </c>
      <c r="V101" s="383">
        <f t="shared" si="33"/>
        <v>30.965751757953747</v>
      </c>
      <c r="W101" s="402">
        <f t="shared" si="34"/>
        <v>20.879414246067395</v>
      </c>
      <c r="X101" s="157">
        <f t="shared" si="35"/>
        <v>46474</v>
      </c>
      <c r="Y101" s="385">
        <f t="shared" si="36"/>
        <v>20.132205130592663</v>
      </c>
      <c r="Z101" s="385">
        <f t="shared" si="37"/>
        <v>21.624640765986857</v>
      </c>
      <c r="AA101" s="386">
        <f t="shared" si="38"/>
        <v>24.813570400979192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0.1285155494940983</v>
      </c>
      <c r="AD101" s="231">
        <f>(INDEX(Models!$BJ101:$BT101,,AH101)*(1-AF101)+INDEX(Models!$BJ101:$BT101,,AH101+1)*AF101-ERP_i)*AE101*Ramure*Pc/MaxiM</f>
        <v>1.5050354761939346E-3</v>
      </c>
      <c r="AE101" s="305">
        <f t="shared" si="40"/>
        <v>0.7</v>
      </c>
      <c r="AF101" s="177">
        <f t="shared" si="41"/>
        <v>0.62214459488285079</v>
      </c>
      <c r="AG101" s="817">
        <f t="shared" si="49"/>
        <v>1</v>
      </c>
      <c r="AH101" s="176">
        <f t="shared" si="42"/>
        <v>7</v>
      </c>
      <c r="AI101" s="225">
        <f t="shared" si="43"/>
        <v>1.6221445948828508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46475</v>
      </c>
      <c r="B102" s="411">
        <f>'2026'!Wh/'2026'!Env_an*'2027'!Env_an</f>
        <v>16.795600628440493</v>
      </c>
      <c r="C102" s="846"/>
      <c r="D102" s="393">
        <f t="shared" si="25"/>
        <v>18.041083072803858</v>
      </c>
      <c r="E102" s="385">
        <f t="shared" si="47"/>
        <v>19.978531831565853</v>
      </c>
      <c r="F102" s="385">
        <f t="shared" si="26"/>
        <v>19.978531849589334</v>
      </c>
      <c r="G102" s="110">
        <f t="shared" si="48"/>
        <v>0.53888480538827133</v>
      </c>
      <c r="H102" s="414" t="b">
        <f>Wh_hp&gt;='2026'!Maxi_hp</f>
        <v>0</v>
      </c>
      <c r="I102" s="390">
        <f>IF(H102,Wh_hp,'2026'!Maxi_hp)</f>
        <v>36.692193713560719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6.903590207623822E-2</v>
      </c>
      <c r="M102" s="850"/>
      <c r="N102" s="850"/>
      <c r="O102" s="48">
        <f>IF(t&lt;Tnet,'2026'!Resal+('2026'!Salim-'2026'!Resal)*(1-EXP(('2026'!Tnet-t)/('2026'!Tau_j))),Resal+(Salim-Resal)*(1-EXP((Tnet-t)/(Tau_j))))*Salcycl</f>
        <v>9.6976533365722525E-2</v>
      </c>
      <c r="P102" s="169">
        <f>(INDEX(Models!$BJ102:$BT102,,T102)*(1-R102)+INDEX(Models!$BJ102:$BT102,,T102+1)*R102-ERP_i)*Q102*Ramure*Pc/MaxiM</f>
        <v>2.6435321194497985E-9</v>
      </c>
      <c r="Q102" s="305">
        <f t="shared" si="28"/>
        <v>0.7</v>
      </c>
      <c r="R102" s="177">
        <f t="shared" si="29"/>
        <v>0.99919400779118117</v>
      </c>
      <c r="S102" s="817">
        <f t="shared" si="30"/>
        <v>-2</v>
      </c>
      <c r="T102" s="176">
        <f t="shared" si="31"/>
        <v>4</v>
      </c>
      <c r="U102" s="251">
        <f t="shared" si="32"/>
        <v>-1.0008059922088188</v>
      </c>
      <c r="V102" s="383">
        <f t="shared" si="33"/>
        <v>31.167330069905063</v>
      </c>
      <c r="W102" s="402">
        <f t="shared" si="34"/>
        <v>16.795600628440493</v>
      </c>
      <c r="X102" s="157">
        <f t="shared" si="35"/>
        <v>46475</v>
      </c>
      <c r="Y102" s="385">
        <f t="shared" si="36"/>
        <v>16.201689926706951</v>
      </c>
      <c r="Z102" s="385">
        <f t="shared" si="37"/>
        <v>17.403130757501817</v>
      </c>
      <c r="AA102" s="386">
        <f t="shared" si="38"/>
        <v>19.970420032709622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0.12855459579732595</v>
      </c>
      <c r="AD102" s="231">
        <f>(INDEX(Models!$BJ102:$BT102,,AH102)*(1-AF102)+INDEX(Models!$BJ102:$BT102,,AH102+1)*AF102-ERP_i)*AE102*Ramure*Pc/MaxiM</f>
        <v>1.1897729186783337E-3</v>
      </c>
      <c r="AE102" s="305">
        <f t="shared" si="40"/>
        <v>0.7</v>
      </c>
      <c r="AF102" s="177">
        <f t="shared" si="41"/>
        <v>0.62305737716723719</v>
      </c>
      <c r="AG102" s="817">
        <f t="shared" si="49"/>
        <v>1</v>
      </c>
      <c r="AH102" s="176">
        <f t="shared" si="42"/>
        <v>7</v>
      </c>
      <c r="AI102" s="225">
        <f t="shared" si="43"/>
        <v>1.6230573771672372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46476</v>
      </c>
      <c r="B103" s="411">
        <f>'2026'!Wh/'2026'!Env_an*'2027'!Env_an</f>
        <v>4.1532075730472107</v>
      </c>
      <c r="C103" s="846"/>
      <c r="D103" s="393">
        <f t="shared" si="25"/>
        <v>4.4612875514825037</v>
      </c>
      <c r="E103" s="385">
        <f t="shared" si="47"/>
        <v>4.9408252060327573</v>
      </c>
      <c r="F103" s="385">
        <f t="shared" si="26"/>
        <v>4.9408252060327573</v>
      </c>
      <c r="G103" s="110">
        <f t="shared" si="48"/>
        <v>0.13241991532381292</v>
      </c>
      <c r="H103" s="414" t="b">
        <f>Wh_hp&gt;='2026'!Maxi_hp</f>
        <v>0</v>
      </c>
      <c r="I103" s="390">
        <f>IF(H103,Wh_hp,'2026'!Maxi_hp)</f>
        <v>36.462755841463355</v>
      </c>
      <c r="J103" s="85">
        <f>IF(H103,An,'2026'!An_max)</f>
        <v>2019</v>
      </c>
      <c r="K103" s="197">
        <f t="shared" si="27"/>
        <v>46476</v>
      </c>
      <c r="L103" s="147">
        <f>IF(t&lt;Tvie,1-EXP((T0-t)*PertePVj)+'2026'!Pspv,1-EXP((T0-t)*PertePVj)+Pspv)</f>
        <v>6.9056292579239176E-2</v>
      </c>
      <c r="M103" s="850"/>
      <c r="N103" s="850"/>
      <c r="O103" s="48">
        <f>IF(t&lt;Tnet,'2026'!Resal+('2026'!Salim-'2026'!Resal)*(1-EXP(('2026'!Tnet-t)/('2026'!Tau_j))),Resal+(Salim-Resal)*(1-EXP((Tnet-t)/(Tau_j))))*Salcycl</f>
        <v>9.7056186882453738E-2</v>
      </c>
      <c r="P103" s="169">
        <f>(INDEX(Models!$BJ103:$BT103,,T103)*(1-R103)+INDEX(Models!$BJ103:$BT103,,T103+1)*R103-ERP_i)*Q103*Ramure*Pc/MaxiM</f>
        <v>1.0762984994523424E-8</v>
      </c>
      <c r="Q103" s="305">
        <f t="shared" si="28"/>
        <v>0.7</v>
      </c>
      <c r="R103" s="177">
        <f t="shared" si="29"/>
        <v>1.4138214279946215E-4</v>
      </c>
      <c r="S103" s="817">
        <f t="shared" si="30"/>
        <v>-1</v>
      </c>
      <c r="T103" s="176">
        <f t="shared" si="31"/>
        <v>5</v>
      </c>
      <c r="U103" s="251">
        <f t="shared" si="32"/>
        <v>-0.99985861785720054</v>
      </c>
      <c r="V103" s="383">
        <f t="shared" si="33"/>
        <v>31.363919227634735</v>
      </c>
      <c r="W103" s="402">
        <f t="shared" si="34"/>
        <v>4.1532075730472107</v>
      </c>
      <c r="X103" s="157">
        <f t="shared" si="35"/>
        <v>46476</v>
      </c>
      <c r="Y103" s="385">
        <f t="shared" si="36"/>
        <v>4.0081420754466013</v>
      </c>
      <c r="Z103" s="385">
        <f t="shared" si="37"/>
        <v>4.3054612684921798</v>
      </c>
      <c r="AA103" s="386">
        <f t="shared" si="38"/>
        <v>4.9408252060327573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0.12859470048946417</v>
      </c>
      <c r="AD103" s="231">
        <f>(INDEX(Models!$BJ103:$BT103,,AH103)*(1-AF103)+INDEX(Models!$BJ103:$BT103,,AH103+1)*AF103-ERP_i)*AE103*Ramure*Pc/MaxiM</f>
        <v>9.1892164807708522E-4</v>
      </c>
      <c r="AE103" s="305">
        <f t="shared" si="40"/>
        <v>0.7</v>
      </c>
      <c r="AF103" s="177">
        <f t="shared" si="41"/>
        <v>0.62400475151885537</v>
      </c>
      <c r="AG103" s="817">
        <f t="shared" si="49"/>
        <v>1</v>
      </c>
      <c r="AH103" s="176">
        <f t="shared" si="42"/>
        <v>7</v>
      </c>
      <c r="AI103" s="225">
        <f t="shared" si="43"/>
        <v>1.6240047515188554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46477</v>
      </c>
      <c r="B104" s="411">
        <f>'2026'!Wh/'2026'!Env_an*'2027'!Env_an</f>
        <v>17.923661462121174</v>
      </c>
      <c r="C104" s="846"/>
      <c r="D104" s="393">
        <f t="shared" si="25"/>
        <v>19.25363897089478</v>
      </c>
      <c r="E104" s="385">
        <f t="shared" si="47"/>
        <v>21.325085711594994</v>
      </c>
      <c r="F104" s="385">
        <f t="shared" si="26"/>
        <v>21.325086069346032</v>
      </c>
      <c r="G104" s="110">
        <f t="shared" si="48"/>
        <v>0.56801210360533405</v>
      </c>
      <c r="H104" s="414" t="b">
        <f>Wh_hp&gt;='2026'!Maxi_hp</f>
        <v>0</v>
      </c>
      <c r="I104" s="390">
        <f>IF(H104,Wh_hp,'2026'!Maxi_hp)</f>
        <v>33.190656549107899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6.9076682635635711E-2</v>
      </c>
      <c r="M104" s="850"/>
      <c r="N104" s="850"/>
      <c r="O104" s="48">
        <f>IF(t&lt;Tnet,'2026'!Resal+('2026'!Salim-'2026'!Resal)*(1-EXP(('2026'!Tnet-t)/('2026'!Tau_j))),Resal+(Salim-Resal)*(1-EXP((Tnet-t)/(Tau_j))))*Salcycl</f>
        <v>9.7136619693580659E-2</v>
      </c>
      <c r="P104" s="169">
        <f>(INDEX(Models!$BJ104:$BT104,,T104)*(1-R104)+INDEX(Models!$BJ104:$BT104,,T104+1)*R104-ERP_i)*Q104*Ramure*Pc/MaxiM</f>
        <v>4.3816099841609569E-8</v>
      </c>
      <c r="Q104" s="305">
        <f t="shared" si="28"/>
        <v>0.7</v>
      </c>
      <c r="R104" s="177">
        <f t="shared" si="29"/>
        <v>1.1245066264636838E-3</v>
      </c>
      <c r="S104" s="817">
        <f t="shared" si="30"/>
        <v>-1</v>
      </c>
      <c r="T104" s="176">
        <f t="shared" si="31"/>
        <v>5</v>
      </c>
      <c r="U104" s="251">
        <f t="shared" si="32"/>
        <v>-0.99887549337353632</v>
      </c>
      <c r="V104" s="383">
        <f t="shared" si="33"/>
        <v>31.555068745363304</v>
      </c>
      <c r="W104" s="402">
        <f t="shared" si="34"/>
        <v>17.923661462121174</v>
      </c>
      <c r="X104" s="157">
        <f t="shared" si="35"/>
        <v>46477</v>
      </c>
      <c r="Y104" s="385">
        <f t="shared" si="36"/>
        <v>17.293756535963915</v>
      </c>
      <c r="Z104" s="385">
        <f t="shared" si="37"/>
        <v>18.576993629213309</v>
      </c>
      <c r="AA104" s="386">
        <f t="shared" si="38"/>
        <v>21.319439111005583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0.12863591145681505</v>
      </c>
      <c r="AD104" s="231">
        <f>(INDEX(Models!$BJ104:$BT104,,AH104)*(1-AF104)+INDEX(Models!$BJ104:$BT104,,AH104+1)*AF104-ERP_i)*AE104*Ramure*Pc/MaxiM</f>
        <v>6.9161976941893946E-4</v>
      </c>
      <c r="AE104" s="305">
        <f t="shared" si="40"/>
        <v>0.7</v>
      </c>
      <c r="AF104" s="177">
        <f t="shared" si="41"/>
        <v>0.62498787600251982</v>
      </c>
      <c r="AG104" s="817">
        <f t="shared" si="49"/>
        <v>1</v>
      </c>
      <c r="AH104" s="176">
        <f t="shared" si="42"/>
        <v>7</v>
      </c>
      <c r="AI104" s="225">
        <f t="shared" si="43"/>
        <v>1.6249878760025198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46478</v>
      </c>
      <c r="B105" s="411">
        <f>'2026'!Wh/'2026'!Env_an*'2027'!Env_an</f>
        <v>19.734045900783983</v>
      </c>
      <c r="C105" s="846"/>
      <c r="D105" s="393">
        <f t="shared" si="25"/>
        <v>21.198822468401318</v>
      </c>
      <c r="E105" s="385">
        <f t="shared" si="47"/>
        <v>23.481659345270259</v>
      </c>
      <c r="F105" s="385">
        <f t="shared" si="26"/>
        <v>23.481659789058817</v>
      </c>
      <c r="G105" s="110">
        <f t="shared" si="48"/>
        <v>0.62173408353313686</v>
      </c>
      <c r="H105" s="414" t="b">
        <f>Wh_hp&gt;='2026'!Maxi_hp</f>
        <v>0</v>
      </c>
      <c r="I105" s="390">
        <f>IF(H105,Wh_hp,'2026'!Maxi_hp)</f>
        <v>33.527563379735113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6.9097072245437707E-2</v>
      </c>
      <c r="M105" s="850"/>
      <c r="N105" s="850"/>
      <c r="O105" s="48">
        <f>IF(t&lt;Tnet,'2026'!Resal+('2026'!Salim-'2026'!Resal)*(1-EXP(('2026'!Tnet-t)/('2026'!Tau_j))),Resal+(Salim-Resal)*(1-EXP((Tnet-t)/(Tau_j))))*Salcycl</f>
        <v>9.7217868775903007E-2</v>
      </c>
      <c r="P105" s="169">
        <f>(INDEX(Models!$BJ105:$BT105,,T105)*(1-R105)+INDEX(Models!$BJ105:$BT105,,T105+1)*R105-ERP_i)*Q105*Ramure*Pc/MaxiM</f>
        <v>4.1119541174134267E-8</v>
      </c>
      <c r="Q105" s="305">
        <f t="shared" si="28"/>
        <v>0.7</v>
      </c>
      <c r="R105" s="177">
        <f t="shared" si="29"/>
        <v>2.1445656957489456E-3</v>
      </c>
      <c r="S105" s="817">
        <f t="shared" si="30"/>
        <v>-1</v>
      </c>
      <c r="T105" s="176">
        <f t="shared" si="31"/>
        <v>5</v>
      </c>
      <c r="U105" s="251">
        <f t="shared" si="32"/>
        <v>-0.99785543430425105</v>
      </c>
      <c r="V105" s="383">
        <f t="shared" si="33"/>
        <v>31.740330769944521</v>
      </c>
      <c r="W105" s="402">
        <f t="shared" si="34"/>
        <v>19.734045900783983</v>
      </c>
      <c r="X105" s="157">
        <f t="shared" si="35"/>
        <v>46478</v>
      </c>
      <c r="Y105" s="385">
        <f t="shared" si="36"/>
        <v>19.041909703400179</v>
      </c>
      <c r="Z105" s="385">
        <f t="shared" si="37"/>
        <v>20.455311865149366</v>
      </c>
      <c r="AA105" s="386">
        <f t="shared" si="38"/>
        <v>23.47618715066616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0.12867827582602448</v>
      </c>
      <c r="AD105" s="231">
        <f>(INDEX(Models!$BJ105:$BT105,,AH105)*(1-AF105)+INDEX(Models!$BJ105:$BT105,,AH105+1)*AF105-ERP_i)*AE105*Ramure*Pc/MaxiM</f>
        <v>5.0707116120981958E-4</v>
      </c>
      <c r="AE105" s="305">
        <f t="shared" si="40"/>
        <v>0.7</v>
      </c>
      <c r="AF105" s="177">
        <f t="shared" si="41"/>
        <v>0.62600793507180508</v>
      </c>
      <c r="AG105" s="817">
        <f t="shared" si="49"/>
        <v>1</v>
      </c>
      <c r="AH105" s="176">
        <f t="shared" si="42"/>
        <v>7</v>
      </c>
      <c r="AI105" s="225">
        <f t="shared" si="43"/>
        <v>1.6260079350718051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46479</v>
      </c>
      <c r="B106" s="411">
        <f>'2026'!Wh/'2026'!Env_an*'2027'!Env_an</f>
        <v>12.1799352902517</v>
      </c>
      <c r="C106" s="846"/>
      <c r="D106" s="393">
        <f t="shared" si="25"/>
        <v>13.084288065691883</v>
      </c>
      <c r="E106" s="385">
        <f t="shared" si="47"/>
        <v>14.494613535358029</v>
      </c>
      <c r="F106" s="385">
        <f t="shared" si="26"/>
        <v>14.494613569720142</v>
      </c>
      <c r="G106" s="110">
        <f t="shared" si="48"/>
        <v>0.38158581684648829</v>
      </c>
      <c r="H106" s="414" t="b">
        <f>Wh_hp&gt;='2026'!Maxi_hp</f>
        <v>0</v>
      </c>
      <c r="I106" s="390">
        <f>IF(H106,Wh_hp,'2026'!Maxi_hp)</f>
        <v>29.015475964814325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6.9117461408654934E-2</v>
      </c>
      <c r="M106" s="850"/>
      <c r="N106" s="850"/>
      <c r="O106" s="48">
        <f>IF(t&lt;Tnet,'2026'!Resal+('2026'!Salim-'2026'!Resal)*(1-EXP(('2026'!Tnet-t)/('2026'!Tau_j))),Resal+(Salim-Resal)*(1-EXP((Tnet-t)/(Tau_j))))*Salcycl</f>
        <v>9.7299970518414297E-2</v>
      </c>
      <c r="P106" s="169">
        <f>(INDEX(Models!$BJ106:$BT106,,T106)*(1-R106)+INDEX(Models!$BJ106:$BT106,,T106+1)*R106-ERP_i)*Q106*Ramure*Pc/MaxiM</f>
        <v>2.0340263030705288E-8</v>
      </c>
      <c r="Q106" s="305">
        <f t="shared" si="28"/>
        <v>0.7</v>
      </c>
      <c r="R106" s="177">
        <f t="shared" si="29"/>
        <v>3.2027697451882942E-3</v>
      </c>
      <c r="S106" s="817">
        <f t="shared" si="30"/>
        <v>-1</v>
      </c>
      <c r="T106" s="176">
        <f t="shared" si="31"/>
        <v>5</v>
      </c>
      <c r="U106" s="251">
        <f t="shared" si="32"/>
        <v>-0.99679723025481171</v>
      </c>
      <c r="V106" s="383">
        <f t="shared" si="33"/>
        <v>31.919255207232563</v>
      </c>
      <c r="W106" s="402">
        <f t="shared" si="34"/>
        <v>12.1799352902517</v>
      </c>
      <c r="X106" s="157">
        <f t="shared" si="35"/>
        <v>46479</v>
      </c>
      <c r="Y106" s="385">
        <f t="shared" si="36"/>
        <v>11.755467369893609</v>
      </c>
      <c r="Z106" s="385">
        <f t="shared" si="37"/>
        <v>12.628303660827639</v>
      </c>
      <c r="AA106" s="386">
        <f t="shared" si="38"/>
        <v>14.49399771337748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0.12872183985705107</v>
      </c>
      <c r="AD106" s="231">
        <f>(INDEX(Models!$BJ106:$BT106,,AH106)*(1-AF106)+INDEX(Models!$BJ106:$BT106,,AH106+1)*AF106-ERP_i)*AE106*Ramure*Pc/MaxiM</f>
        <v>3.6454917063055426E-4</v>
      </c>
      <c r="AE106" s="305">
        <f t="shared" si="40"/>
        <v>0.7</v>
      </c>
      <c r="AF106" s="177">
        <f t="shared" si="41"/>
        <v>0.62706613912124443</v>
      </c>
      <c r="AG106" s="817">
        <f t="shared" si="49"/>
        <v>1</v>
      </c>
      <c r="AH106" s="176">
        <f t="shared" si="42"/>
        <v>7</v>
      </c>
      <c r="AI106" s="225">
        <f t="shared" si="43"/>
        <v>1.6270661391212444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46480</v>
      </c>
      <c r="B107" s="411">
        <f>'2026'!Wh/'2026'!Env_an*'2027'!Env_an</f>
        <v>14.475843567670189</v>
      </c>
      <c r="C107" s="846"/>
      <c r="D107" s="393">
        <f t="shared" si="25"/>
        <v>15.551006741028933</v>
      </c>
      <c r="E107" s="385">
        <f t="shared" si="47"/>
        <v>17.228798109230073</v>
      </c>
      <c r="F107" s="385">
        <f t="shared" si="26"/>
        <v>17.228798109618662</v>
      </c>
      <c r="G107" s="110">
        <f t="shared" si="48"/>
        <v>0.45107971277908943</v>
      </c>
      <c r="H107" s="414" t="b">
        <f>Wh_hp&gt;='2026'!Maxi_hp</f>
        <v>0</v>
      </c>
      <c r="I107" s="390">
        <f>IF(H107,Wh_hp,'2026'!Maxi_hp)</f>
        <v>37.337963589482051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6.9137850125297162E-2</v>
      </c>
      <c r="M107" s="850"/>
      <c r="N107" s="850"/>
      <c r="O107" s="48">
        <f>IF(t&lt;Tnet,'2026'!Resal+('2026'!Salim-'2026'!Resal)*(1-EXP(('2026'!Tnet-t)/('2026'!Tau_j))),Resal+(Salim-Resal)*(1-EXP((Tnet-t)/(Tau_j))))*Salcycl</f>
        <v>9.7382960643220259E-2</v>
      </c>
      <c r="P107" s="169">
        <f>(INDEX(Models!$BJ107:$BT107,,T107)*(1-R107)+INDEX(Models!$BJ107:$BT107,,T107+1)*R107-ERP_i)*Q107*Ramure*Pc/MaxiM</f>
        <v>1.045025477916647E-10</v>
      </c>
      <c r="Q107" s="305">
        <f t="shared" si="28"/>
        <v>0.7</v>
      </c>
      <c r="R107" s="177">
        <f t="shared" si="29"/>
        <v>4.3003545500018836E-3</v>
      </c>
      <c r="S107" s="817">
        <f t="shared" si="30"/>
        <v>-1</v>
      </c>
      <c r="T107" s="176">
        <f t="shared" si="31"/>
        <v>5</v>
      </c>
      <c r="U107" s="251">
        <f t="shared" si="32"/>
        <v>-0.99569964544999812</v>
      </c>
      <c r="V107" s="383">
        <f t="shared" si="33"/>
        <v>32.091542040981317</v>
      </c>
      <c r="W107" s="402">
        <f t="shared" si="34"/>
        <v>14.475843567670189</v>
      </c>
      <c r="X107" s="157">
        <f t="shared" si="35"/>
        <v>46480</v>
      </c>
      <c r="Y107" s="385">
        <f t="shared" si="36"/>
        <v>13.971729076168154</v>
      </c>
      <c r="Z107" s="385">
        <f t="shared" si="37"/>
        <v>15.009450194154736</v>
      </c>
      <c r="AA107" s="386">
        <f t="shared" si="38"/>
        <v>17.227818671301797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0.12876664884118105</v>
      </c>
      <c r="AD107" s="231">
        <f>(INDEX(Models!$BJ107:$BT107,,AH107)*(1-AF107)+INDEX(Models!$BJ107:$BT107,,AH107+1)*AF107-ERP_i)*AE107*Ramure*Pc/MaxiM</f>
        <v>2.6339892470726223E-4</v>
      </c>
      <c r="AE107" s="305">
        <f t="shared" si="40"/>
        <v>0.7</v>
      </c>
      <c r="AF107" s="177">
        <f t="shared" si="41"/>
        <v>0.62816372392605802</v>
      </c>
      <c r="AG107" s="817">
        <f t="shared" si="49"/>
        <v>1</v>
      </c>
      <c r="AH107" s="176">
        <f t="shared" si="42"/>
        <v>7</v>
      </c>
      <c r="AI107" s="225">
        <f t="shared" si="43"/>
        <v>1.628163723926058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46481</v>
      </c>
      <c r="B108" s="411">
        <f>'2026'!Wh/'2026'!Env_an*'2027'!Env_an</f>
        <v>26.362466587887067</v>
      </c>
      <c r="C108" s="846"/>
      <c r="D108" s="393">
        <f t="shared" si="25"/>
        <v>28.321104268508851</v>
      </c>
      <c r="E108" s="385">
        <f t="shared" si="47"/>
        <v>31.379573177661999</v>
      </c>
      <c r="F108" s="385">
        <f t="shared" si="26"/>
        <v>31.379573179851974</v>
      </c>
      <c r="G108" s="110">
        <f t="shared" si="48"/>
        <v>0.81725099800146483</v>
      </c>
      <c r="H108" s="414" t="b">
        <f>Wh_hp&gt;='2026'!Maxi_hp</f>
        <v>0</v>
      </c>
      <c r="I108" s="390">
        <f>IF(H108,Wh_hp,'2026'!Maxi_hp)</f>
        <v>39.674347557533999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6.9158238395374161E-2</v>
      </c>
      <c r="M108" s="850"/>
      <c r="N108" s="850"/>
      <c r="O108" s="48">
        <f>IF(t&lt;Tnet,'2026'!Resal+('2026'!Salim-'2026'!Resal)*(1-EXP(('2026'!Tnet-t)/('2026'!Tau_j))),Resal+(Salim-Resal)*(1-EXP((Tnet-t)/(Tau_j))))*Salcycl</f>
        <v>9.746687412977191E-2</v>
      </c>
      <c r="P108" s="169">
        <f>(INDEX(Models!$BJ108:$BT108,,T108)*(1-R108)+INDEX(Models!$BJ108:$BT108,,T108+1)*R108-ERP_i)*Q108*Ramure*Pc/MaxiM</f>
        <v>9.4447099537075583E-11</v>
      </c>
      <c r="Q108" s="305">
        <f t="shared" si="28"/>
        <v>0.7</v>
      </c>
      <c r="R108" s="177">
        <f t="shared" si="29"/>
        <v>5.4385805848545798E-3</v>
      </c>
      <c r="S108" s="817">
        <f t="shared" si="30"/>
        <v>-1</v>
      </c>
      <c r="T108" s="176">
        <f t="shared" si="31"/>
        <v>5</v>
      </c>
      <c r="U108" s="251">
        <f t="shared" si="32"/>
        <v>-0.99456141941514542</v>
      </c>
      <c r="V108" s="383">
        <f t="shared" si="33"/>
        <v>32.257490846392066</v>
      </c>
      <c r="W108" s="402">
        <f t="shared" si="34"/>
        <v>26.362466587887067</v>
      </c>
      <c r="X108" s="157">
        <f t="shared" si="35"/>
        <v>46481</v>
      </c>
      <c r="Y108" s="385">
        <f t="shared" si="36"/>
        <v>25.443046456437337</v>
      </c>
      <c r="Z108" s="385">
        <f t="shared" si="37"/>
        <v>27.333374485237425</v>
      </c>
      <c r="AA108" s="386">
        <f t="shared" si="38"/>
        <v>31.374855854731038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0.12881274700371878</v>
      </c>
      <c r="AD108" s="231">
        <f>(INDEX(Models!$BJ108:$BT108,,AH108)*(1-AF108)+INDEX(Models!$BJ108:$BT108,,AH108+1)*AF108-ERP_i)*AE108*Ramure*Pc/MaxiM</f>
        <v>2.0344427809331793E-4</v>
      </c>
      <c r="AE108" s="305">
        <f t="shared" si="40"/>
        <v>0.7</v>
      </c>
      <c r="AF108" s="177">
        <f t="shared" si="41"/>
        <v>0.62930194996091049</v>
      </c>
      <c r="AG108" s="817">
        <f t="shared" si="49"/>
        <v>1</v>
      </c>
      <c r="AH108" s="176">
        <f t="shared" si="42"/>
        <v>7</v>
      </c>
      <c r="AI108" s="225">
        <f t="shared" si="43"/>
        <v>1.6293019499609105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46482</v>
      </c>
      <c r="B109" s="411">
        <f>'2026'!Wh/'2026'!Env_an*'2027'!Env_an</f>
        <v>32.499786961704707</v>
      </c>
      <c r="C109" s="846"/>
      <c r="D109" s="393">
        <f t="shared" si="25"/>
        <v>34.915170490431272</v>
      </c>
      <c r="E109" s="385">
        <f t="shared" si="47"/>
        <v>38.689387787589411</v>
      </c>
      <c r="F109" s="385">
        <f t="shared" si="26"/>
        <v>38.689387790565426</v>
      </c>
      <c r="G109" s="110">
        <f t="shared" si="48"/>
        <v>1.0025367346454543</v>
      </c>
      <c r="H109" s="414" t="b">
        <f>Wh_hp&gt;='2026'!Maxi_hp</f>
        <v>0</v>
      </c>
      <c r="I109" s="390">
        <f>IF(H109,Wh_hp,'2026'!Maxi_hp)</f>
        <v>39.549856186864908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6.91786262188957E-2</v>
      </c>
      <c r="M109" s="850"/>
      <c r="N109" s="850"/>
      <c r="O109" s="48">
        <f>IF(t&lt;Tnet,'2026'!Resal+('2026'!Salim-'2026'!Resal)*(1-EXP(('2026'!Tnet-t)/('2026'!Tau_j))),Resal+(Salim-Resal)*(1-EXP((Tnet-t)/(Tau_j))))*Salcycl</f>
        <v>9.7551745142082924E-2</v>
      </c>
      <c r="P109" s="169">
        <f>(INDEX(Models!$BJ109:$BT109,,T109)*(1-R109)+INDEX(Models!$BJ109:$BT109,,T109+1)*R109-ERP_i)*Q109*Ramure*Pc/MaxiM</f>
        <v>7.6920794737292521E-11</v>
      </c>
      <c r="Q109" s="305">
        <f t="shared" si="28"/>
        <v>0.7</v>
      </c>
      <c r="R109" s="177">
        <f t="shared" si="29"/>
        <v>6.6187322128732351E-3</v>
      </c>
      <c r="S109" s="817">
        <f t="shared" si="30"/>
        <v>-1</v>
      </c>
      <c r="T109" s="176">
        <f t="shared" si="31"/>
        <v>5</v>
      </c>
      <c r="U109" s="251">
        <f t="shared" si="32"/>
        <v>-0.99338126778712676</v>
      </c>
      <c r="V109" s="383">
        <f t="shared" si="33"/>
        <v>32.417552233832325</v>
      </c>
      <c r="W109" s="402">
        <f t="shared" si="34"/>
        <v>32.499786961704707</v>
      </c>
      <c r="X109" s="157">
        <f t="shared" si="35"/>
        <v>46482</v>
      </c>
      <c r="Y109" s="385">
        <f t="shared" si="36"/>
        <v>31.36747691464543</v>
      </c>
      <c r="Z109" s="385">
        <f t="shared" si="37"/>
        <v>33.698707182912123</v>
      </c>
      <c r="AA109" s="386">
        <f t="shared" si="38"/>
        <v>38.683465396813894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0.12886017741089792</v>
      </c>
      <c r="AD109" s="231">
        <f>(INDEX(Models!$BJ109:$BT109,,AH109)*(1-AF109)+INDEX(Models!$BJ109:$BT109,,AH109+1)*AF109-ERP_i)*AE109*Ramure*Pc/MaxiM</f>
        <v>1.5307540619630575E-4</v>
      </c>
      <c r="AE109" s="305">
        <f t="shared" si="40"/>
        <v>0.7</v>
      </c>
      <c r="AF109" s="177">
        <f t="shared" si="41"/>
        <v>0.63048210158892926</v>
      </c>
      <c r="AG109" s="817">
        <f t="shared" si="49"/>
        <v>1</v>
      </c>
      <c r="AH109" s="176">
        <f t="shared" si="42"/>
        <v>7</v>
      </c>
      <c r="AI109" s="225">
        <f t="shared" si="43"/>
        <v>1.6304821015889293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46483</v>
      </c>
      <c r="B110" s="411">
        <f>'2026'!Wh/'2026'!Env_an*'2027'!Env_an</f>
        <v>7.4750611009117387</v>
      </c>
      <c r="C110" s="846"/>
      <c r="D110" s="393">
        <f t="shared" si="25"/>
        <v>8.0307833898945518</v>
      </c>
      <c r="E110" s="385">
        <f t="shared" si="47"/>
        <v>8.8997319168260081</v>
      </c>
      <c r="F110" s="385">
        <f t="shared" si="26"/>
        <v>8.8997319168260081</v>
      </c>
      <c r="G110" s="110">
        <f t="shared" si="48"/>
        <v>0.22949222362805125</v>
      </c>
      <c r="H110" s="414" t="b">
        <f>Wh_hp&gt;='2026'!Maxi_hp</f>
        <v>0</v>
      </c>
      <c r="I110" s="390">
        <f>IF(H110,Wh_hp,'2026'!Maxi_hp)</f>
        <v>39.474372462150207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6.919901359587155E-2</v>
      </c>
      <c r="M110" s="850"/>
      <c r="N110" s="850"/>
      <c r="O110" s="48">
        <f>IF(t&lt;Tnet,'2026'!Resal+('2026'!Salim-'2026'!Resal)*(1-EXP(('2026'!Tnet-t)/('2026'!Tau_j))),Resal+(Salim-Resal)*(1-EXP((Tnet-t)/(Tau_j))))*Salcycl</f>
        <v>9.7637606958542816E-2</v>
      </c>
      <c r="P110" s="169">
        <f>(INDEX(Models!$BJ110:$BT110,,T110)*(1-R110)+INDEX(Models!$BJ110:$BT110,,T110+1)*R110-ERP_i)*Q110*Ramure*Pc/MaxiM</f>
        <v>5.5273381777567308E-11</v>
      </c>
      <c r="Q110" s="305">
        <f t="shared" si="28"/>
        <v>0.7</v>
      </c>
      <c r="R110" s="177">
        <f t="shared" si="29"/>
        <v>7.8421167359135069E-3</v>
      </c>
      <c r="S110" s="817">
        <f t="shared" si="30"/>
        <v>-1</v>
      </c>
      <c r="T110" s="176">
        <f t="shared" si="31"/>
        <v>5</v>
      </c>
      <c r="U110" s="251">
        <f t="shared" si="32"/>
        <v>-0.99215788326408649</v>
      </c>
      <c r="V110" s="383">
        <f t="shared" si="33"/>
        <v>32.572176008080113</v>
      </c>
      <c r="W110" s="402">
        <f t="shared" si="34"/>
        <v>7.4750611009117387</v>
      </c>
      <c r="X110" s="157">
        <f t="shared" si="35"/>
        <v>46483</v>
      </c>
      <c r="Y110" s="385">
        <f t="shared" si="36"/>
        <v>7.2160128071734038</v>
      </c>
      <c r="Z110" s="385">
        <f t="shared" si="37"/>
        <v>7.752476536418718</v>
      </c>
      <c r="AA110" s="386">
        <f t="shared" si="38"/>
        <v>8.8997319168260081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0.12890898188048419</v>
      </c>
      <c r="AD110" s="231">
        <f>(INDEX(Models!$BJ110:$BT110,,AH110)*(1-AF110)+INDEX(Models!$BJ110:$BT110,,AH110+1)*AF110-ERP_i)*AE110*Ramure*Pc/MaxiM</f>
        <v>1.121741584010359E-4</v>
      </c>
      <c r="AE110" s="305">
        <f t="shared" si="40"/>
        <v>0.7</v>
      </c>
      <c r="AF110" s="177">
        <f t="shared" si="41"/>
        <v>0.63170548611196953</v>
      </c>
      <c r="AG110" s="817">
        <f t="shared" si="49"/>
        <v>1</v>
      </c>
      <c r="AH110" s="176">
        <f t="shared" si="42"/>
        <v>7</v>
      </c>
      <c r="AI110" s="225">
        <f t="shared" si="43"/>
        <v>1.6317054861119695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46484</v>
      </c>
      <c r="B111" s="411">
        <f>'2026'!Wh/'2026'!Env_an*'2027'!Env_an</f>
        <v>24.163737718245422</v>
      </c>
      <c r="C111" s="846"/>
      <c r="D111" s="393">
        <f t="shared" si="25"/>
        <v>25.960723431396026</v>
      </c>
      <c r="E111" s="385">
        <f t="shared" si="47"/>
        <v>28.772501523593089</v>
      </c>
      <c r="F111" s="385">
        <f t="shared" si="26"/>
        <v>28.772501524188868</v>
      </c>
      <c r="G111" s="110">
        <f t="shared" si="48"/>
        <v>0.73845965075216913</v>
      </c>
      <c r="H111" s="414" t="b">
        <f>Wh_hp&gt;='2026'!Maxi_hp</f>
        <v>0</v>
      </c>
      <c r="I111" s="390">
        <f>IF(H111,Wh_hp,'2026'!Maxi_hp)</f>
        <v>39.698812303963905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6.9219400526311592E-2</v>
      </c>
      <c r="M111" s="850"/>
      <c r="N111" s="850"/>
      <c r="O111" s="48">
        <f>IF(t&lt;Tnet,'2026'!Resal+('2026'!Salim-'2026'!Resal)*(1-EXP(('2026'!Tnet-t)/('2026'!Tau_j))),Resal+(Salim-Resal)*(1-EXP((Tnet-t)/(Tau_j))))*Salcycl</f>
        <v>9.7724491903890945E-2</v>
      </c>
      <c r="P111" s="169">
        <f>(INDEX(Models!$BJ111:$BT111,,T111)*(1-R111)+INDEX(Models!$BJ111:$BT111,,T111+1)*R111-ERP_i)*Q111*Ramure*Pc/MaxiM</f>
        <v>3.305796260394485E-11</v>
      </c>
      <c r="Q111" s="305">
        <f t="shared" si="28"/>
        <v>0.7</v>
      </c>
      <c r="R111" s="177">
        <f t="shared" si="29"/>
        <v>9.1100632968624806E-3</v>
      </c>
      <c r="S111" s="817">
        <f t="shared" si="30"/>
        <v>-1</v>
      </c>
      <c r="T111" s="176">
        <f t="shared" si="31"/>
        <v>5</v>
      </c>
      <c r="U111" s="251">
        <f t="shared" si="32"/>
        <v>-0.99088993670313752</v>
      </c>
      <c r="V111" s="383">
        <f t="shared" si="33"/>
        <v>32.721811805607288</v>
      </c>
      <c r="W111" s="402">
        <f t="shared" si="34"/>
        <v>24.163737718245422</v>
      </c>
      <c r="X111" s="157">
        <f t="shared" si="35"/>
        <v>46484</v>
      </c>
      <c r="Y111" s="385">
        <f t="shared" si="36"/>
        <v>23.326066224740995</v>
      </c>
      <c r="Z111" s="385">
        <f t="shared" si="37"/>
        <v>25.06075678621875</v>
      </c>
      <c r="AA111" s="386">
        <f t="shared" si="38"/>
        <v>28.771048166724981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0.12895920089548041</v>
      </c>
      <c r="AD111" s="231">
        <f>(INDEX(Models!$BJ111:$BT111,,AH111)*(1-AF111)+INDEX(Models!$BJ111:$BT111,,AH111+1)*AF111-ERP_i)*AE111*Ramure*Pc/MaxiM</f>
        <v>8.0642360201698104E-5</v>
      </c>
      <c r="AE111" s="305">
        <f t="shared" si="40"/>
        <v>0.7</v>
      </c>
      <c r="AF111" s="177">
        <f t="shared" si="41"/>
        <v>0.63297343267291861</v>
      </c>
      <c r="AG111" s="817">
        <f t="shared" si="49"/>
        <v>1</v>
      </c>
      <c r="AH111" s="176">
        <f t="shared" si="42"/>
        <v>7</v>
      </c>
      <c r="AI111" s="225">
        <f t="shared" si="43"/>
        <v>1.6329734326729186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46485</v>
      </c>
      <c r="B112" s="411">
        <f>'2026'!Wh/'2026'!Env_an*'2027'!Env_an</f>
        <v>19.052844506813308</v>
      </c>
      <c r="C112" s="846"/>
      <c r="D112" s="393">
        <f t="shared" si="25"/>
        <v>20.470196556438566</v>
      </c>
      <c r="E112" s="385">
        <f t="shared" si="47"/>
        <v>22.689512986247859</v>
      </c>
      <c r="F112" s="385">
        <f t="shared" si="26"/>
        <v>22.689512986375227</v>
      </c>
      <c r="G112" s="110">
        <f t="shared" si="48"/>
        <v>0.57969687524659885</v>
      </c>
      <c r="H112" s="414" t="b">
        <f>Wh_hp&gt;='2026'!Maxi_hp</f>
        <v>0</v>
      </c>
      <c r="I112" s="390">
        <f>IF(H112,Wh_hp,'2026'!Maxi_hp)</f>
        <v>36.829222658134903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6.9239787010225484E-2</v>
      </c>
      <c r="M112" s="850"/>
      <c r="N112" s="850"/>
      <c r="O112" s="48">
        <f>IF(t&lt;Tnet,'2026'!Resal+('2026'!Salim-'2026'!Resal)*(1-EXP(('2026'!Tnet-t)/('2026'!Tau_j))),Resal+(Salim-Resal)*(1-EXP((Tnet-t)/(Tau_j))))*Salcycl</f>
        <v>9.7812431282876033E-2</v>
      </c>
      <c r="P112" s="169">
        <f>(INDEX(Models!$BJ112:$BT112,,T112)*(1-R112)+INDEX(Models!$BJ112:$BT112,,T112+1)*R112-ERP_i)*Q112*Ramure*Pc/MaxiM</f>
        <v>1.4049038815339352E-11</v>
      </c>
      <c r="Q112" s="305">
        <f t="shared" si="28"/>
        <v>0.7</v>
      </c>
      <c r="R112" s="177">
        <f t="shared" si="29"/>
        <v>1.0423921624606036E-2</v>
      </c>
      <c r="S112" s="817">
        <f t="shared" si="30"/>
        <v>-1</v>
      </c>
      <c r="T112" s="176">
        <f t="shared" si="31"/>
        <v>5</v>
      </c>
      <c r="U112" s="251">
        <f t="shared" si="32"/>
        <v>-0.98957607837539396</v>
      </c>
      <c r="V112" s="383">
        <f t="shared" si="33"/>
        <v>32.866909104085899</v>
      </c>
      <c r="W112" s="402">
        <f t="shared" si="34"/>
        <v>19.052844506813308</v>
      </c>
      <c r="X112" s="157">
        <f t="shared" si="35"/>
        <v>46485</v>
      </c>
      <c r="Y112" s="385">
        <f t="shared" si="36"/>
        <v>18.393551111373277</v>
      </c>
      <c r="Z112" s="385">
        <f t="shared" si="37"/>
        <v>19.761857946516404</v>
      </c>
      <c r="AA112" s="386">
        <f t="shared" si="38"/>
        <v>22.688983531158804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0.12901087352029569</v>
      </c>
      <c r="AD112" s="231">
        <f>(INDEX(Models!$BJ112:$BT112,,AH112)*(1-AF112)+INDEX(Models!$BJ112:$BT112,,AH112+1)*AF112-ERP_i)*AE112*Ramure*Pc/MaxiM</f>
        <v>5.8400219960910641E-5</v>
      </c>
      <c r="AE112" s="305">
        <f t="shared" si="40"/>
        <v>0.7</v>
      </c>
      <c r="AF112" s="177">
        <f t="shared" si="41"/>
        <v>0.63428729100066206</v>
      </c>
      <c r="AG112" s="817">
        <f t="shared" si="49"/>
        <v>1</v>
      </c>
      <c r="AH112" s="176">
        <f t="shared" si="42"/>
        <v>7</v>
      </c>
      <c r="AI112" s="225">
        <f t="shared" si="43"/>
        <v>1.6342872910006621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46486</v>
      </c>
      <c r="B113" s="411">
        <f>'2026'!Wh/'2026'!Env_an*'2027'!Env_an</f>
        <v>22.998066955893467</v>
      </c>
      <c r="C113" s="846"/>
      <c r="D113" s="393">
        <f t="shared" si="25"/>
        <v>24.709447570540256</v>
      </c>
      <c r="E113" s="385">
        <f t="shared" si="47"/>
        <v>27.391073531962292</v>
      </c>
      <c r="F113" s="385">
        <f t="shared" si="26"/>
        <v>27.391073531997382</v>
      </c>
      <c r="G113" s="110">
        <f t="shared" si="48"/>
        <v>0.69674396015459528</v>
      </c>
      <c r="H113" s="414" t="b">
        <f>Wh_hp&gt;='2026'!Maxi_hp</f>
        <v>0</v>
      </c>
      <c r="I113" s="390">
        <f>IF(H113,Wh_hp,'2026'!Maxi_hp)</f>
        <v>33.294727279888392</v>
      </c>
      <c r="J113" s="85">
        <f>IF(H113,An,'2026'!An_max)</f>
        <v>2020</v>
      </c>
      <c r="K113" s="197">
        <f t="shared" si="27"/>
        <v>46486</v>
      </c>
      <c r="L113" s="147">
        <f>IF(t&lt;Tvie,1-EXP((T0-t)*PertePVj)+'2026'!Pspv,1-EXP((T0-t)*PertePVj)+Pspv)</f>
        <v>6.9260173047623108E-2</v>
      </c>
      <c r="M113" s="850"/>
      <c r="N113" s="850"/>
      <c r="O113" s="48">
        <f>IF(t&lt;Tnet,'2026'!Resal+('2026'!Salim-'2026'!Resal)*(1-EXP(('2026'!Tnet-t)/('2026'!Tau_j))),Resal+(Salim-Resal)*(1-EXP((Tnet-t)/(Tau_j))))*Salcycl</f>
        <v>9.7901455315100458E-2</v>
      </c>
      <c r="P113" s="169">
        <f>(INDEX(Models!$BJ113:$BT113,,T113)*(1-R113)+INDEX(Models!$BJ113:$BT113,,T113+1)*R113-ERP_i)*Q113*Ramure*Pc/MaxiM</f>
        <v>2.2602752672186024E-12</v>
      </c>
      <c r="Q113" s="305">
        <f t="shared" si="28"/>
        <v>0.7</v>
      </c>
      <c r="R113" s="177">
        <f t="shared" si="29"/>
        <v>1.1785060612172105E-2</v>
      </c>
      <c r="S113" s="817">
        <f t="shared" si="30"/>
        <v>-1</v>
      </c>
      <c r="T113" s="176">
        <f t="shared" si="31"/>
        <v>5</v>
      </c>
      <c r="U113" s="251">
        <f t="shared" si="32"/>
        <v>-0.9882149393878279</v>
      </c>
      <c r="V113" s="383">
        <f t="shared" si="33"/>
        <v>33.007917213617574</v>
      </c>
      <c r="W113" s="402">
        <f t="shared" si="34"/>
        <v>22.998066955893467</v>
      </c>
      <c r="X113" s="157">
        <f t="shared" si="35"/>
        <v>46486</v>
      </c>
      <c r="Y113" s="385">
        <f t="shared" si="36"/>
        <v>22.203038096630902</v>
      </c>
      <c r="Z113" s="385">
        <f t="shared" si="37"/>
        <v>23.855257348697258</v>
      </c>
      <c r="AA113" s="386">
        <f t="shared" si="38"/>
        <v>27.39036894888995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0.12906403731870725</v>
      </c>
      <c r="AD113" s="231">
        <f>(INDEX(Models!$BJ113:$BT113,,AH113)*(1-AF113)+INDEX(Models!$BJ113:$BT113,,AH113+1)*AF113-ERP_i)*AE113*Ramure*Pc/MaxiM</f>
        <v>4.5384848377627994E-5</v>
      </c>
      <c r="AE113" s="305">
        <f t="shared" si="40"/>
        <v>0.7</v>
      </c>
      <c r="AF113" s="177">
        <f t="shared" si="41"/>
        <v>0.63564842998822813</v>
      </c>
      <c r="AG113" s="817">
        <f t="shared" si="49"/>
        <v>1</v>
      </c>
      <c r="AH113" s="176">
        <f t="shared" si="42"/>
        <v>7</v>
      </c>
      <c r="AI113" s="225">
        <f t="shared" si="43"/>
        <v>1.6356484299882281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46487</v>
      </c>
      <c r="B114" s="411">
        <f>'2026'!Wh/'2026'!Env_an*'2027'!Env_an</f>
        <v>32.557251430924488</v>
      </c>
      <c r="C114" s="846"/>
      <c r="D114" s="393">
        <f t="shared" si="25"/>
        <v>34.980736389581281</v>
      </c>
      <c r="E114" s="385">
        <f t="shared" si="47"/>
        <v>38.780942750477593</v>
      </c>
      <c r="F114" s="385">
        <f t="shared" si="26"/>
        <v>38.780942750551752</v>
      </c>
      <c r="G114" s="110">
        <f t="shared" si="48"/>
        <v>0.98225889903605701</v>
      </c>
      <c r="H114" s="414" t="b">
        <f>Wh_hp&gt;='2026'!Maxi_hp</f>
        <v>0</v>
      </c>
      <c r="I114" s="390">
        <f>IF(H114,Wh_hp,'2026'!Maxi_hp)</f>
        <v>38.780942750553663</v>
      </c>
      <c r="J114" s="85">
        <f>IF(H114,An,'2026'!An_max)</f>
        <v>2026</v>
      </c>
      <c r="K114" s="197">
        <f t="shared" si="27"/>
        <v>46487</v>
      </c>
      <c r="L114" s="147">
        <f>IF(t&lt;Tvie,1-EXP((T0-t)*PertePVj)+'2026'!Pspv,1-EXP((T0-t)*PertePVj)+Pspv)</f>
        <v>6.9280558638514123E-2</v>
      </c>
      <c r="M114" s="850"/>
      <c r="N114" s="850"/>
      <c r="O114" s="48">
        <f>IF(t&lt;Tnet,'2026'!Resal+('2026'!Salim-'2026'!Resal)*(1-EXP(('2026'!Tnet-t)/('2026'!Tau_j))),Resal+(Salim-Resal)*(1-EXP((Tnet-t)/(Tau_j))))*Salcycl</f>
        <v>9.7991593070529764E-2</v>
      </c>
      <c r="P114" s="169">
        <f>(INDEX(Models!$BJ114:$BT114,,T114)*(1-R114)+INDEX(Models!$BJ114:$BT114,,T114+1)*R114-ERP_i)*Q114*Ramure*Pc/MaxiM</f>
        <v>1.9619252948378651E-12</v>
      </c>
      <c r="Q114" s="305">
        <f t="shared" si="28"/>
        <v>0.7</v>
      </c>
      <c r="R114" s="177">
        <f t="shared" si="29"/>
        <v>1.3194866718514664E-2</v>
      </c>
      <c r="S114" s="817">
        <f t="shared" si="30"/>
        <v>-1</v>
      </c>
      <c r="T114" s="176">
        <f t="shared" si="31"/>
        <v>5</v>
      </c>
      <c r="U114" s="251">
        <f t="shared" si="32"/>
        <v>-0.98680513328148534</v>
      </c>
      <c r="V114" s="383">
        <f t="shared" si="33"/>
        <v>33.145285283618243</v>
      </c>
      <c r="W114" s="402">
        <f t="shared" si="34"/>
        <v>32.557251430924488</v>
      </c>
      <c r="X114" s="157">
        <f t="shared" si="35"/>
        <v>46487</v>
      </c>
      <c r="Y114" s="385">
        <f t="shared" si="36"/>
        <v>31.432470156357965</v>
      </c>
      <c r="Z114" s="385">
        <f t="shared" si="37"/>
        <v>33.772229051514763</v>
      </c>
      <c r="AA114" s="386">
        <f t="shared" si="38"/>
        <v>38.779372284054084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0.12911872827292364</v>
      </c>
      <c r="AD114" s="231">
        <f>(INDEX(Models!$BJ114:$BT114,,AH114)*(1-AF114)+INDEX(Models!$BJ114:$BT114,,AH114+1)*AF114-ERP_i)*AE114*Ramure*Pc/MaxiM</f>
        <v>4.1548863095945262E-5</v>
      </c>
      <c r="AE114" s="305">
        <f t="shared" si="40"/>
        <v>0.7</v>
      </c>
      <c r="AF114" s="177">
        <f t="shared" si="41"/>
        <v>0.63705823609457068</v>
      </c>
      <c r="AG114" s="817">
        <f t="shared" si="49"/>
        <v>1</v>
      </c>
      <c r="AH114" s="176">
        <f t="shared" si="42"/>
        <v>7</v>
      </c>
      <c r="AI114" s="225">
        <f t="shared" si="43"/>
        <v>1.6370582360945707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46488</v>
      </c>
      <c r="B115" s="411">
        <f>'2026'!Wh/'2026'!Env_an*'2027'!Env_an</f>
        <v>26.094223942087456</v>
      </c>
      <c r="C115" s="846"/>
      <c r="D115" s="393">
        <f t="shared" si="25"/>
        <v>28.037230475068633</v>
      </c>
      <c r="E115" s="385">
        <f t="shared" si="47"/>
        <v>31.086260164318578</v>
      </c>
      <c r="F115" s="385">
        <f t="shared" si="26"/>
        <v>31.086260164353604</v>
      </c>
      <c r="G115" s="110">
        <f t="shared" si="48"/>
        <v>0.78409391684218066</v>
      </c>
      <c r="H115" s="414" t="b">
        <f>Wh_hp&gt;='2026'!Maxi_hp</f>
        <v>0</v>
      </c>
      <c r="I115" s="390">
        <f>IF(H115,Wh_hp,'2026'!Maxi_hp)</f>
        <v>39.310121110453636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6.9300943782908409E-2</v>
      </c>
      <c r="M115" s="850"/>
      <c r="N115" s="850"/>
      <c r="O115" s="48">
        <f>IF(t&lt;Tnet,'2026'!Resal+('2026'!Salim-'2026'!Resal)*(1-EXP(('2026'!Tnet-t)/('2026'!Tau_j))),Resal+(Salim-Resal)*(1-EXP((Tnet-t)/(Tau_j))))*Salcycl</f>
        <v>9.8082872405143268E-2</v>
      </c>
      <c r="P115" s="169">
        <f>(INDEX(Models!$BJ115:$BT115,,T115)*(1-R115)+INDEX(Models!$BJ115:$BT115,,T115+1)*R115-ERP_i)*Q115*Ramure*Pc/MaxiM</f>
        <v>1.6292236672087152E-12</v>
      </c>
      <c r="Q115" s="305">
        <f t="shared" si="28"/>
        <v>0.7</v>
      </c>
      <c r="R115" s="177">
        <f t="shared" si="29"/>
        <v>1.4654742184411762E-2</v>
      </c>
      <c r="S115" s="817">
        <f t="shared" si="30"/>
        <v>-1</v>
      </c>
      <c r="T115" s="176">
        <f t="shared" si="31"/>
        <v>5</v>
      </c>
      <c r="U115" s="251">
        <f t="shared" si="32"/>
        <v>-0.98534525781558824</v>
      </c>
      <c r="V115" s="383">
        <f t="shared" si="33"/>
        <v>33.279462296002585</v>
      </c>
      <c r="W115" s="402">
        <f t="shared" si="34"/>
        <v>26.094223942087456</v>
      </c>
      <c r="X115" s="157">
        <f t="shared" si="35"/>
        <v>46488</v>
      </c>
      <c r="Y115" s="385">
        <f t="shared" si="36"/>
        <v>25.19400411660353</v>
      </c>
      <c r="Z115" s="385">
        <f t="shared" si="37"/>
        <v>27.069979225085692</v>
      </c>
      <c r="AA115" s="386">
        <f t="shared" si="38"/>
        <v>31.085440387255307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0.12917498070305322</v>
      </c>
      <c r="AD115" s="231">
        <f>(INDEX(Models!$BJ115:$BT115,,AH115)*(1-AF115)+INDEX(Models!$BJ115:$BT115,,AH115+1)*AF115-ERP_i)*AE115*Ramure*Pc/MaxiM</f>
        <v>3.8132538626299094E-5</v>
      </c>
      <c r="AE115" s="305">
        <f t="shared" si="40"/>
        <v>0.7</v>
      </c>
      <c r="AF115" s="177">
        <f t="shared" si="41"/>
        <v>0.63851811156046767</v>
      </c>
      <c r="AG115" s="817">
        <f t="shared" si="49"/>
        <v>1</v>
      </c>
      <c r="AH115" s="176">
        <f t="shared" si="42"/>
        <v>7</v>
      </c>
      <c r="AI115" s="225">
        <f t="shared" si="43"/>
        <v>1.6385181115604677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46489</v>
      </c>
      <c r="B116" s="411">
        <f>'2026'!Wh/'2026'!Env_an*'2027'!Env_an</f>
        <v>22.139087196920901</v>
      </c>
      <c r="C116" s="846"/>
      <c r="D116" s="393">
        <f t="shared" si="25"/>
        <v>23.788110627680311</v>
      </c>
      <c r="E116" s="385">
        <f t="shared" si="47"/>
        <v>26.377755180688222</v>
      </c>
      <c r="F116" s="385">
        <f t="shared" si="26"/>
        <v>26.377755180705716</v>
      </c>
      <c r="G116" s="110">
        <f t="shared" si="48"/>
        <v>0.66263073247327386</v>
      </c>
      <c r="H116" s="414" t="b">
        <f>Wh_hp&gt;='2026'!Maxi_hp</f>
        <v>0</v>
      </c>
      <c r="I116" s="390">
        <f>IF(H116,Wh_hp,'2026'!Maxi_hp)</f>
        <v>40.636382536630947</v>
      </c>
      <c r="J116" s="85">
        <f>IF(H116,An,'2026'!An_max)</f>
        <v>2019</v>
      </c>
      <c r="K116" s="197">
        <f t="shared" si="27"/>
        <v>46489</v>
      </c>
      <c r="L116" s="147">
        <f>IF(t&lt;Tvie,1-EXP((T0-t)*PertePVj)+'2026'!Pspv,1-EXP((T0-t)*PertePVj)+Pspv)</f>
        <v>6.9321328480815736E-2</v>
      </c>
      <c r="M116" s="850"/>
      <c r="N116" s="850"/>
      <c r="O116" s="48">
        <f>IF(t&lt;Tnet,'2026'!Resal+('2026'!Salim-'2026'!Resal)*(1-EXP(('2026'!Tnet-t)/('2026'!Tau_j))),Resal+(Salim-Resal)*(1-EXP((Tnet-t)/(Tau_j))))*Salcycl</f>
        <v>9.817531989620755E-2</v>
      </c>
      <c r="P116" s="169">
        <f>(INDEX(Models!$BJ116:$BT116,,T116)*(1-R116)+INDEX(Models!$BJ116:$BT116,,T116+1)*R116-ERP_i)*Q116*Ramure*Pc/MaxiM</f>
        <v>1.2799968780555802E-12</v>
      </c>
      <c r="Q116" s="305">
        <f t="shared" si="28"/>
        <v>0.7</v>
      </c>
      <c r="R116" s="177">
        <f t="shared" si="29"/>
        <v>1.6166103053040115E-2</v>
      </c>
      <c r="S116" s="817">
        <f t="shared" si="30"/>
        <v>-1</v>
      </c>
      <c r="T116" s="176">
        <f t="shared" si="31"/>
        <v>5</v>
      </c>
      <c r="U116" s="251">
        <f t="shared" si="32"/>
        <v>-0.98383389694695988</v>
      </c>
      <c r="V116" s="383">
        <f t="shared" si="33"/>
        <v>33.410897068225232</v>
      </c>
      <c r="W116" s="402">
        <f t="shared" si="34"/>
        <v>22.139087196920901</v>
      </c>
      <c r="X116" s="157">
        <f t="shared" si="35"/>
        <v>46489</v>
      </c>
      <c r="Y116" s="385">
        <f t="shared" si="36"/>
        <v>21.376260750884583</v>
      </c>
      <c r="Z116" s="385">
        <f t="shared" si="37"/>
        <v>22.968465277055561</v>
      </c>
      <c r="AA116" s="386">
        <f t="shared" si="38"/>
        <v>26.377275113435484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0.12923282718629323</v>
      </c>
      <c r="AD116" s="231">
        <f>(INDEX(Models!$BJ116:$BT116,,AH116)*(1-AF116)+INDEX(Models!$BJ116:$BT116,,AH116+1)*AF116-ERP_i)*AE116*Ramure*Pc/MaxiM</f>
        <v>3.5131581251288345E-5</v>
      </c>
      <c r="AE116" s="305">
        <f t="shared" si="40"/>
        <v>0.7</v>
      </c>
      <c r="AF116" s="177">
        <f t="shared" si="41"/>
        <v>0.64002947242909602</v>
      </c>
      <c r="AG116" s="817">
        <f t="shared" si="49"/>
        <v>1</v>
      </c>
      <c r="AH116" s="176">
        <f t="shared" si="42"/>
        <v>7</v>
      </c>
      <c r="AI116" s="225">
        <f t="shared" si="43"/>
        <v>1.640029472429096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46490</v>
      </c>
      <c r="B117" s="411">
        <f>'2026'!Wh/'2026'!Env_an*'2027'!Env_an</f>
        <v>4.3005080687471198</v>
      </c>
      <c r="C117" s="846"/>
      <c r="D117" s="393">
        <f t="shared" si="25"/>
        <v>4.6209313639409375</v>
      </c>
      <c r="E117" s="385">
        <f t="shared" si="47"/>
        <v>5.1245118144330446</v>
      </c>
      <c r="F117" s="385">
        <f t="shared" si="26"/>
        <v>5.1245118144330446</v>
      </c>
      <c r="G117" s="110">
        <f t="shared" si="48"/>
        <v>0.12822013013151784</v>
      </c>
      <c r="H117" s="414" t="b">
        <f>Wh_hp&gt;='2026'!Maxi_hp</f>
        <v>0</v>
      </c>
      <c r="I117" s="390">
        <f>IF(H117,Wh_hp,'2026'!Maxi_hp)</f>
        <v>40.953213285754423</v>
      </c>
      <c r="J117" s="85">
        <f>IF(H117,An,'2026'!An_max)</f>
        <v>2019</v>
      </c>
      <c r="K117" s="197">
        <f t="shared" si="27"/>
        <v>46490</v>
      </c>
      <c r="L117" s="147">
        <f>IF(t&lt;Tvie,1-EXP((T0-t)*PertePVj)+'2026'!Pspv,1-EXP((T0-t)*PertePVj)+Pspv)</f>
        <v>6.9341712732245875E-2</v>
      </c>
      <c r="M117" s="850"/>
      <c r="N117" s="850"/>
      <c r="O117" s="48">
        <f>IF(t&lt;Tnet,'2026'!Resal+('2026'!Salim-'2026'!Resal)*(1-EXP(('2026'!Tnet-t)/('2026'!Tau_j))),Resal+(Salim-Resal)*(1-EXP((Tnet-t)/(Tau_j))))*Salcycl</f>
        <v>9.8268960776670772E-2</v>
      </c>
      <c r="P117" s="169">
        <f>(INDEX(Models!$BJ117:$BT117,,T117)*(1-R117)+INDEX(Models!$BJ117:$BT117,,T117+1)*R117-ERP_i)*Q117*Ramure*Pc/MaxiM</f>
        <v>9.3329422343342793E-13</v>
      </c>
      <c r="Q117" s="305">
        <f t="shared" si="28"/>
        <v>0.7</v>
      </c>
      <c r="R117" s="177">
        <f t="shared" si="29"/>
        <v>1.7730376985961582E-2</v>
      </c>
      <c r="S117" s="817">
        <f t="shared" si="30"/>
        <v>-1</v>
      </c>
      <c r="T117" s="176">
        <f t="shared" si="31"/>
        <v>5</v>
      </c>
      <c r="U117" s="251">
        <f t="shared" si="32"/>
        <v>-0.98226962301403842</v>
      </c>
      <c r="V117" s="383">
        <f t="shared" si="33"/>
        <v>33.540038247754019</v>
      </c>
      <c r="W117" s="402">
        <f t="shared" si="34"/>
        <v>4.3005080687471198</v>
      </c>
      <c r="X117" s="157">
        <f t="shared" si="35"/>
        <v>46490</v>
      </c>
      <c r="Y117" s="385">
        <f t="shared" si="36"/>
        <v>4.1525525162723893</v>
      </c>
      <c r="Z117" s="385">
        <f t="shared" si="37"/>
        <v>4.4619519033817872</v>
      </c>
      <c r="AA117" s="386">
        <f t="shared" si="38"/>
        <v>5.1245118144330446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0.1292922984751787</v>
      </c>
      <c r="AD117" s="231">
        <f>(INDEX(Models!$BJ117:$BT117,,AH117)*(1-AF117)+INDEX(Models!$BJ117:$BT117,,AH117+1)*AF117-ERP_i)*AE117*Ramure*Pc/MaxiM</f>
        <v>3.2542386099730571E-5</v>
      </c>
      <c r="AE117" s="305">
        <f t="shared" si="40"/>
        <v>0.7</v>
      </c>
      <c r="AF117" s="177">
        <f t="shared" si="41"/>
        <v>0.6415937463620176</v>
      </c>
      <c r="AG117" s="817">
        <f t="shared" si="49"/>
        <v>1</v>
      </c>
      <c r="AH117" s="176">
        <f t="shared" si="42"/>
        <v>7</v>
      </c>
      <c r="AI117" s="225">
        <f t="shared" si="43"/>
        <v>1.6415937463620176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46491</v>
      </c>
      <c r="B118" s="411">
        <f>'2026'!Wh/'2026'!Env_an*'2027'!Env_an</f>
        <v>24.380347004884758</v>
      </c>
      <c r="C118" s="846"/>
      <c r="D118" s="393">
        <f t="shared" si="25"/>
        <v>26.197457587068424</v>
      </c>
      <c r="E118" s="385">
        <f t="shared" si="47"/>
        <v>29.055463983470137</v>
      </c>
      <c r="F118" s="385">
        <f t="shared" si="26"/>
        <v>29.055463983480866</v>
      </c>
      <c r="G118" s="110">
        <f t="shared" si="48"/>
        <v>0.72415436210727213</v>
      </c>
      <c r="H118" s="414" t="b">
        <f>Wh_hp&gt;='2026'!Maxi_hp</f>
        <v>0</v>
      </c>
      <c r="I118" s="390">
        <f>IF(H118,Wh_hp,'2026'!Maxi_hp)</f>
        <v>29.05546398348784</v>
      </c>
      <c r="J118" s="85">
        <f>IF(H118,An,'2026'!An_max)</f>
        <v>2026</v>
      </c>
      <c r="K118" s="197">
        <f t="shared" si="27"/>
        <v>46491</v>
      </c>
      <c r="L118" s="147">
        <f>IF(t&lt;Tvie,1-EXP((T0-t)*PertePVj)+'2026'!Pspv,1-EXP((T0-t)*PertePVj)+Pspv)</f>
        <v>6.9362096537208595E-2</v>
      </c>
      <c r="M118" s="850"/>
      <c r="N118" s="850"/>
      <c r="O118" s="48">
        <f>IF(t&lt;Tnet,'2026'!Resal+('2026'!Salim-'2026'!Resal)*(1-EXP(('2026'!Tnet-t)/('2026'!Tau_j))),Resal+(Salim-Resal)*(1-EXP((Tnet-t)/(Tau_j))))*Salcycl</f>
        <v>9.8363818868205097E-2</v>
      </c>
      <c r="P118" s="169">
        <f>(INDEX(Models!$BJ118:$BT118,,T118)*(1-R118)+INDEX(Models!$BJ118:$BT118,,T118+1)*R118-ERP_i)*Q118*Ramure*Pc/MaxiM</f>
        <v>6.0946946009070542E-13</v>
      </c>
      <c r="Q118" s="305">
        <f t="shared" si="28"/>
        <v>0.7</v>
      </c>
      <c r="R118" s="177">
        <f t="shared" si="29"/>
        <v>1.9349000865525157E-2</v>
      </c>
      <c r="S118" s="817">
        <f t="shared" si="30"/>
        <v>-1</v>
      </c>
      <c r="T118" s="176">
        <f t="shared" si="31"/>
        <v>5</v>
      </c>
      <c r="U118" s="251">
        <f t="shared" si="32"/>
        <v>-0.98065099913447484</v>
      </c>
      <c r="V118" s="383">
        <f t="shared" si="33"/>
        <v>33.667334315204101</v>
      </c>
      <c r="W118" s="402">
        <f t="shared" si="34"/>
        <v>24.380347004884758</v>
      </c>
      <c r="X118" s="157">
        <f t="shared" si="35"/>
        <v>46491</v>
      </c>
      <c r="Y118" s="385">
        <f t="shared" si="36"/>
        <v>23.541951382349435</v>
      </c>
      <c r="Z118" s="385">
        <f t="shared" si="37"/>
        <v>25.296574849092941</v>
      </c>
      <c r="AA118" s="386">
        <f t="shared" si="38"/>
        <v>29.054929439100704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0.12935342341427106</v>
      </c>
      <c r="AD118" s="231">
        <f>(INDEX(Models!$BJ118:$BT118,,AH118)*(1-AF118)+INDEX(Models!$BJ118:$BT118,,AH118+1)*AF118-ERP_i)*AE118*Ramure*Pc/MaxiM</f>
        <v>3.0361977581686241E-5</v>
      </c>
      <c r="AE118" s="305">
        <f t="shared" si="40"/>
        <v>0.7</v>
      </c>
      <c r="AF118" s="177">
        <f t="shared" si="41"/>
        <v>0.64321237024158129</v>
      </c>
      <c r="AG118" s="817">
        <f t="shared" si="49"/>
        <v>1</v>
      </c>
      <c r="AH118" s="176">
        <f t="shared" si="42"/>
        <v>7</v>
      </c>
      <c r="AI118" s="225">
        <f t="shared" si="43"/>
        <v>1.6432123702415813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46492</v>
      </c>
      <c r="B119" s="411">
        <f>'2026'!Wh/'2026'!Env_an*'2027'!Env_an</f>
        <v>27.039677543825142</v>
      </c>
      <c r="C119" s="846"/>
      <c r="D119" s="393">
        <f t="shared" si="25"/>
        <v>29.055629149121366</v>
      </c>
      <c r="E119" s="385">
        <f t="shared" si="47"/>
        <v>32.228882199804104</v>
      </c>
      <c r="F119" s="385">
        <f t="shared" si="26"/>
        <v>32.228882199811707</v>
      </c>
      <c r="G119" s="110">
        <f t="shared" si="48"/>
        <v>0.80015064202098929</v>
      </c>
      <c r="H119" s="414" t="b">
        <f>Wh_hp&gt;='2026'!Maxi_hp</f>
        <v>0</v>
      </c>
      <c r="I119" s="390">
        <f>IF(H119,Wh_hp,'2026'!Maxi_hp)</f>
        <v>39.087125925166902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6.9382479895713556E-2</v>
      </c>
      <c r="M119" s="850"/>
      <c r="N119" s="850"/>
      <c r="O119" s="48">
        <f>IF(t&lt;Tnet,'2026'!Resal+('2026'!Salim-'2026'!Resal)*(1-EXP(('2026'!Tnet-t)/('2026'!Tau_j))),Resal+(Salim-Resal)*(1-EXP((Tnet-t)/(Tau_j))))*Salcycl</f>
        <v>9.845991651246376E-2</v>
      </c>
      <c r="P119" s="169">
        <f>(INDEX(Models!$BJ119:$BT119,,T119)*(1-R119)+INDEX(Models!$BJ119:$BT119,,T119+1)*R119-ERP_i)*Q119*Ramure*Pc/MaxiM</f>
        <v>3.3025972264488628E-13</v>
      </c>
      <c r="Q119" s="305">
        <f t="shared" si="28"/>
        <v>0.7</v>
      </c>
      <c r="R119" s="177">
        <f t="shared" si="29"/>
        <v>2.1023418175056707E-2</v>
      </c>
      <c r="S119" s="817">
        <f t="shared" si="30"/>
        <v>-1</v>
      </c>
      <c r="T119" s="176">
        <f t="shared" si="31"/>
        <v>5</v>
      </c>
      <c r="U119" s="251">
        <f t="shared" si="32"/>
        <v>-0.97897658182494329</v>
      </c>
      <c r="V119" s="383">
        <f t="shared" si="33"/>
        <v>33.793233578525694</v>
      </c>
      <c r="W119" s="402">
        <f t="shared" si="34"/>
        <v>27.039677543825142</v>
      </c>
      <c r="X119" s="157">
        <f t="shared" si="35"/>
        <v>46492</v>
      </c>
      <c r="Y119" s="385">
        <f t="shared" si="36"/>
        <v>26.11067887137521</v>
      </c>
      <c r="Z119" s="385">
        <f t="shared" si="37"/>
        <v>28.057368690468248</v>
      </c>
      <c r="AA119" s="386">
        <f t="shared" si="38"/>
        <v>32.228223888848667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0.12941622885472082</v>
      </c>
      <c r="AD119" s="231">
        <f>(INDEX(Models!$BJ119:$BT119,,AH119)*(1-AF119)+INDEX(Models!$BJ119:$BT119,,AH119+1)*AF119-ERP_i)*AE119*Ramure*Pc/MaxiM</f>
        <v>2.8587952636761209E-5</v>
      </c>
      <c r="AE119" s="305">
        <f t="shared" si="40"/>
        <v>0.7</v>
      </c>
      <c r="AF119" s="177">
        <f t="shared" si="41"/>
        <v>0.64488678755111262</v>
      </c>
      <c r="AG119" s="817">
        <f t="shared" si="49"/>
        <v>1</v>
      </c>
      <c r="AH119" s="176">
        <f t="shared" si="42"/>
        <v>7</v>
      </c>
      <c r="AI119" s="225">
        <f t="shared" si="43"/>
        <v>1.6448867875511126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46493</v>
      </c>
      <c r="B120" s="411">
        <f>'2026'!Wh/'2026'!Env_an*'2027'!Env_an</f>
        <v>27.221148428814388</v>
      </c>
      <c r="C120" s="846"/>
      <c r="D120" s="393">
        <f t="shared" si="25"/>
        <v>29.25127033051622</v>
      </c>
      <c r="E120" s="385">
        <f t="shared" si="47"/>
        <v>32.449394180087246</v>
      </c>
      <c r="F120" s="385">
        <f t="shared" si="26"/>
        <v>32.449394180090017</v>
      </c>
      <c r="G120" s="110">
        <f t="shared" si="48"/>
        <v>0.80255323488472219</v>
      </c>
      <c r="H120" s="414" t="b">
        <f>Wh_hp&gt;='2026'!Maxi_hp</f>
        <v>0</v>
      </c>
      <c r="I120" s="390">
        <f>IF(H120,Wh_hp,'2026'!Maxi_hp)</f>
        <v>34.469326384256924</v>
      </c>
      <c r="J120" s="85">
        <f>IF(H120,An,'2026'!An_max)</f>
        <v>2020</v>
      </c>
      <c r="K120" s="197">
        <f t="shared" si="27"/>
        <v>46493</v>
      </c>
      <c r="L120" s="147">
        <f>IF(t&lt;Tvie,1-EXP((T0-t)*PertePVj)+'2026'!Pspv,1-EXP((T0-t)*PertePVj)+Pspv)</f>
        <v>6.9402862807770749E-2</v>
      </c>
      <c r="M120" s="850"/>
      <c r="N120" s="850"/>
      <c r="O120" s="48">
        <f>IF(t&lt;Tnet,'2026'!Resal+('2026'!Salim-'2026'!Resal)*(1-EXP(('2026'!Tnet-t)/('2026'!Tau_j))),Resal+(Salim-Resal)*(1-EXP((Tnet-t)/(Tau_j))))*Salcycl</f>
        <v>9.8557274500168504E-2</v>
      </c>
      <c r="P120" s="169">
        <f>(INDEX(Models!$BJ120:$BT120,,T120)*(1-R120)+INDEX(Models!$BJ120:$BT120,,T120+1)*R120-ERP_i)*Q120*Ramure*Pc/MaxiM</f>
        <v>1.1886107667724955E-13</v>
      </c>
      <c r="Q120" s="305">
        <f t="shared" si="28"/>
        <v>0.7</v>
      </c>
      <c r="R120" s="177">
        <f t="shared" si="29"/>
        <v>2.2755076148699094E-2</v>
      </c>
      <c r="S120" s="817">
        <f t="shared" si="30"/>
        <v>-1</v>
      </c>
      <c r="T120" s="176">
        <f t="shared" si="31"/>
        <v>5</v>
      </c>
      <c r="U120" s="251">
        <f t="shared" si="32"/>
        <v>-0.97724492385130091</v>
      </c>
      <c r="V120" s="383">
        <f t="shared" si="33"/>
        <v>33.918184172198231</v>
      </c>
      <c r="W120" s="402">
        <f t="shared" si="34"/>
        <v>27.221148428814388</v>
      </c>
      <c r="X120" s="157">
        <f t="shared" si="35"/>
        <v>46493</v>
      </c>
      <c r="Y120" s="385">
        <f t="shared" si="36"/>
        <v>26.286829183767541</v>
      </c>
      <c r="Z120" s="385">
        <f t="shared" si="37"/>
        <v>28.247270632144218</v>
      </c>
      <c r="AA120" s="386">
        <f t="shared" si="38"/>
        <v>32.448760086098638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0.12948073956620543</v>
      </c>
      <c r="AD120" s="231">
        <f>(INDEX(Models!$BJ120:$BT120,,AH120)*(1-AF120)+INDEX(Models!$BJ120:$BT120,,AH120+1)*AF120-ERP_i)*AE120*Ramure*Pc/MaxiM</f>
        <v>2.721842631109382E-5</v>
      </c>
      <c r="AE120" s="305">
        <f t="shared" si="40"/>
        <v>0.7</v>
      </c>
      <c r="AF120" s="177">
        <f t="shared" si="41"/>
        <v>0.646618445524755</v>
      </c>
      <c r="AG120" s="817">
        <f t="shared" si="49"/>
        <v>1</v>
      </c>
      <c r="AH120" s="176">
        <f t="shared" si="42"/>
        <v>7</v>
      </c>
      <c r="AI120" s="225">
        <f t="shared" si="43"/>
        <v>1.646618445524755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46494</v>
      </c>
      <c r="B121" s="411">
        <f>'2026'!Wh/'2026'!Env_an*'2027'!Env_an</f>
        <v>33.750995551947639</v>
      </c>
      <c r="C121" s="846"/>
      <c r="D121" s="393">
        <f t="shared" si="25"/>
        <v>36.268900314260691</v>
      </c>
      <c r="E121" s="385">
        <f t="shared" si="47"/>
        <v>40.238684423665177</v>
      </c>
      <c r="F121" s="385">
        <f t="shared" si="26"/>
        <v>40.238684423665177</v>
      </c>
      <c r="G121" s="110">
        <f t="shared" si="48"/>
        <v>0.99145449222032633</v>
      </c>
      <c r="H121" s="414" t="b">
        <f>Wh_hp&gt;='2026'!Maxi_hp</f>
        <v>1</v>
      </c>
      <c r="I121" s="390">
        <f>IF(H121,Wh_hp,'2026'!Maxi_hp)</f>
        <v>40.238684423665177</v>
      </c>
      <c r="J121" s="85">
        <f>IF(H121,An,'2026'!An_max)</f>
        <v>2027</v>
      </c>
      <c r="K121" s="197">
        <f t="shared" si="27"/>
        <v>46494</v>
      </c>
      <c r="L121" s="147">
        <f>IF(t&lt;Tvie,1-EXP((T0-t)*PertePVj)+'2026'!Pspv,1-EXP((T0-t)*PertePVj)+Pspv)</f>
        <v>6.9423245273389944E-2</v>
      </c>
      <c r="M121" s="850"/>
      <c r="N121" s="850"/>
      <c r="O121" s="48">
        <f>IF(t&lt;Tnet,'2026'!Resal+('2026'!Salim-'2026'!Resal)*(1-EXP(('2026'!Tnet-t)/('2026'!Tau_j))),Resal+(Salim-Resal)*(1-EXP((Tnet-t)/(Tau_j))))*Salcycl</f>
        <v>9.8655911997703766E-2</v>
      </c>
      <c r="P121" s="169">
        <f>(INDEX(Models!$BJ121:$BT121,,T121)*(1-R121)+INDEX(Models!$BJ121:$BT121,,T121+1)*R121-ERP_i)*Q121*Ramure*Pc/MaxiM</f>
        <v>0</v>
      </c>
      <c r="Q121" s="305">
        <f t="shared" si="28"/>
        <v>0.7</v>
      </c>
      <c r="R121" s="177">
        <f t="shared" si="29"/>
        <v>2.4545422683375895E-2</v>
      </c>
      <c r="S121" s="817">
        <f t="shared" si="30"/>
        <v>-1</v>
      </c>
      <c r="T121" s="176">
        <f t="shared" si="31"/>
        <v>5</v>
      </c>
      <c r="U121" s="251">
        <f t="shared" si="32"/>
        <v>-0.97545457731662411</v>
      </c>
      <c r="V121" s="383">
        <f t="shared" si="33"/>
        <v>34.041900880759052</v>
      </c>
      <c r="W121" s="402">
        <f t="shared" si="34"/>
        <v>33.750995551947639</v>
      </c>
      <c r="X121" s="157">
        <f t="shared" si="35"/>
        <v>46494</v>
      </c>
      <c r="Y121" s="385">
        <f t="shared" si="36"/>
        <v>32.593428648216239</v>
      </c>
      <c r="Z121" s="385">
        <f t="shared" si="37"/>
        <v>35.024976158781996</v>
      </c>
      <c r="AA121" s="386">
        <f t="shared" si="38"/>
        <v>40.237640951805048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0.12954697814582525</v>
      </c>
      <c r="AD121" s="231">
        <f>(INDEX(Models!$BJ121:$BT121,,AH121)*(1-AF121)+INDEX(Models!$BJ121:$BT121,,AH121+1)*AF121-ERP_i)*AE121*Ramure*Pc/MaxiM</f>
        <v>2.6252544657550657E-5</v>
      </c>
      <c r="AE121" s="305">
        <f t="shared" si="40"/>
        <v>0.7</v>
      </c>
      <c r="AF121" s="177">
        <f t="shared" si="41"/>
        <v>0.64840879205943192</v>
      </c>
      <c r="AG121" s="817">
        <f t="shared" si="49"/>
        <v>1</v>
      </c>
      <c r="AH121" s="176">
        <f t="shared" si="42"/>
        <v>7</v>
      </c>
      <c r="AI121" s="225">
        <f t="shared" si="43"/>
        <v>1.6484087920594319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46495</v>
      </c>
      <c r="B122" s="411">
        <f>'2026'!Wh/'2026'!Env_an*'2027'!Env_an</f>
        <v>24.169694289835199</v>
      </c>
      <c r="C122" s="846"/>
      <c r="D122" s="393">
        <f t="shared" si="25"/>
        <v>25.97338001083628</v>
      </c>
      <c r="E122" s="385">
        <f t="shared" si="47"/>
        <v>28.819471293246426</v>
      </c>
      <c r="F122" s="385">
        <f t="shared" si="26"/>
        <v>28.819471293246426</v>
      </c>
      <c r="G122" s="110">
        <f t="shared" si="48"/>
        <v>0.70746753370031912</v>
      </c>
      <c r="H122" s="414" t="b">
        <f>Wh_hp&gt;='2026'!Maxi_hp</f>
        <v>1</v>
      </c>
      <c r="I122" s="390">
        <f>IF(H122,Wh_hp,'2026'!Maxi_hp)</f>
        <v>28.819471293246426</v>
      </c>
      <c r="J122" s="85">
        <f>IF(H122,An,'2026'!An_max)</f>
        <v>2027</v>
      </c>
      <c r="K122" s="197">
        <f t="shared" si="27"/>
        <v>46495</v>
      </c>
      <c r="L122" s="147">
        <f>IF(t&lt;Tvie,1-EXP((T0-t)*PertePVj)+'2026'!Pspv,1-EXP((T0-t)*PertePVj)+Pspv)</f>
        <v>6.944362729258069E-2</v>
      </c>
      <c r="M122" s="850"/>
      <c r="N122" s="850"/>
      <c r="O122" s="48">
        <f>IF(t&lt;Tnet,'2026'!Resal+('2026'!Salim-'2026'!Resal)*(1-EXP(('2026'!Tnet-t)/('2026'!Tau_j))),Resal+(Salim-Resal)*(1-EXP((Tnet-t)/(Tau_j))))*Salcycl</f>
        <v>9.8755846470962125E-2</v>
      </c>
      <c r="P122" s="169">
        <f>(INDEX(Models!$BJ122:$BT122,,T122)*(1-R122)+INDEX(Models!$BJ122:$BT122,,T122+1)*R122-ERP_i)*Q122*Ramure*Pc/MaxiM</f>
        <v>0</v>
      </c>
      <c r="Q122" s="305">
        <f t="shared" si="28"/>
        <v>0.7</v>
      </c>
      <c r="R122" s="177">
        <f t="shared" si="29"/>
        <v>2.6395903006098731E-2</v>
      </c>
      <c r="S122" s="817">
        <f t="shared" si="30"/>
        <v>-1</v>
      </c>
      <c r="T122" s="176">
        <f t="shared" si="31"/>
        <v>5</v>
      </c>
      <c r="U122" s="251">
        <f t="shared" si="32"/>
        <v>-0.97360409699390127</v>
      </c>
      <c r="V122" s="383">
        <f t="shared" si="33"/>
        <v>34.163679799437134</v>
      </c>
      <c r="W122" s="402">
        <f t="shared" si="34"/>
        <v>24.169694289835199</v>
      </c>
      <c r="X122" s="157">
        <f t="shared" si="35"/>
        <v>46495</v>
      </c>
      <c r="Y122" s="385">
        <f t="shared" si="36"/>
        <v>23.341761735666047</v>
      </c>
      <c r="Z122" s="385">
        <f t="shared" si="37"/>
        <v>25.083662226452823</v>
      </c>
      <c r="AA122" s="386">
        <f t="shared" si="38"/>
        <v>28.819041246787897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0.12961496492363045</v>
      </c>
      <c r="AD122" s="231">
        <f>(INDEX(Models!$BJ122:$BT122,,AH122)*(1-AF122)+INDEX(Models!$BJ122:$BT122,,AH122+1)*AF122-ERP_i)*AE122*Ramure*Pc/MaxiM</f>
        <v>2.5635063392158575E-5</v>
      </c>
      <c r="AE122" s="305">
        <f t="shared" si="40"/>
        <v>0.7</v>
      </c>
      <c r="AF122" s="177">
        <f t="shared" si="41"/>
        <v>0.65025927238215475</v>
      </c>
      <c r="AG122" s="817">
        <f t="shared" si="49"/>
        <v>1</v>
      </c>
      <c r="AH122" s="176">
        <f t="shared" si="42"/>
        <v>7</v>
      </c>
      <c r="AI122" s="225">
        <f t="shared" si="43"/>
        <v>1.6502592723821548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46496</v>
      </c>
      <c r="B123" s="411">
        <f>'2026'!Wh/'2026'!Env_an*'2027'!Env_an</f>
        <v>5.9216430494674182</v>
      </c>
      <c r="C123" s="846"/>
      <c r="D123" s="393">
        <f t="shared" si="25"/>
        <v>6.3636905029829913</v>
      </c>
      <c r="E123" s="385">
        <f t="shared" si="47"/>
        <v>7.0617994746801047</v>
      </c>
      <c r="F123" s="385">
        <f t="shared" si="26"/>
        <v>7.0617994746801047</v>
      </c>
      <c r="G123" s="110">
        <f t="shared" si="48"/>
        <v>0.1727265450862363</v>
      </c>
      <c r="H123" s="414" t="b">
        <f>Wh_hp&gt;='2026'!Maxi_hp</f>
        <v>0</v>
      </c>
      <c r="I123" s="390">
        <f>IF(H123,Wh_hp,'2026'!Maxi_hp)</f>
        <v>38.947990013439039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6.9464008865352977E-2</v>
      </c>
      <c r="M123" s="850"/>
      <c r="N123" s="850"/>
      <c r="O123" s="48">
        <f>IF(t&lt;Tnet,'2026'!Resal+('2026'!Salim-'2026'!Resal)*(1-EXP(('2026'!Tnet-t)/('2026'!Tau_j))),Resal+(Salim-Resal)*(1-EXP((Tnet-t)/(Tau_j))))*Salcycl</f>
        <v>9.8857093606263477E-2</v>
      </c>
      <c r="P123" s="169">
        <f>(INDEX(Models!$BJ123:$BT123,,T123)*(1-R123)+INDEX(Models!$BJ123:$BT123,,T123+1)*R123-ERP_i)*Q123*Ramure*Pc/MaxiM</f>
        <v>0</v>
      </c>
      <c r="Q123" s="305">
        <f t="shared" si="28"/>
        <v>0.7</v>
      </c>
      <c r="R123" s="177">
        <f t="shared" si="29"/>
        <v>2.8307956090735664E-2</v>
      </c>
      <c r="S123" s="817">
        <f t="shared" si="30"/>
        <v>-1</v>
      </c>
      <c r="T123" s="176">
        <f t="shared" si="31"/>
        <v>5</v>
      </c>
      <c r="U123" s="251">
        <f t="shared" si="32"/>
        <v>-0.97169204390926434</v>
      </c>
      <c r="V123" s="383">
        <f t="shared" si="33"/>
        <v>34.283341026192289</v>
      </c>
      <c r="W123" s="402">
        <f t="shared" si="34"/>
        <v>5.9216430494674182</v>
      </c>
      <c r="X123" s="157">
        <f t="shared" si="35"/>
        <v>46496</v>
      </c>
      <c r="Y123" s="385">
        <f t="shared" si="36"/>
        <v>5.7190667592636162</v>
      </c>
      <c r="Z123" s="385">
        <f t="shared" si="37"/>
        <v>6.1459920021901411</v>
      </c>
      <c r="AA123" s="386">
        <f t="shared" si="38"/>
        <v>7.0617994746801047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0.12968471786455665</v>
      </c>
      <c r="AD123" s="231">
        <f>(INDEX(Models!$BJ123:$BT123,,AH123)*(1-AF123)+INDEX(Models!$BJ123:$BT123,,AH123+1)*AF123-ERP_i)*AE123*Ramure*Pc/MaxiM</f>
        <v>2.496780283064782E-5</v>
      </c>
      <c r="AE123" s="305">
        <f t="shared" si="40"/>
        <v>0.7</v>
      </c>
      <c r="AF123" s="177">
        <f t="shared" si="41"/>
        <v>0.65217132546679157</v>
      </c>
      <c r="AG123" s="817">
        <f t="shared" si="49"/>
        <v>1</v>
      </c>
      <c r="AH123" s="176">
        <f t="shared" si="42"/>
        <v>7</v>
      </c>
      <c r="AI123" s="225">
        <f t="shared" si="43"/>
        <v>1.6521713254667916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46497</v>
      </c>
      <c r="B124" s="411">
        <f>'2026'!Wh/'2026'!Env_an*'2027'!Env_an</f>
        <v>6.0558544456858794</v>
      </c>
      <c r="C124" s="846"/>
      <c r="D124" s="393">
        <f t="shared" si="25"/>
        <v>6.5080632506874005</v>
      </c>
      <c r="E124" s="385">
        <f t="shared" si="47"/>
        <v>7.2228323350049655</v>
      </c>
      <c r="F124" s="385">
        <f t="shared" si="26"/>
        <v>7.2228323350049655</v>
      </c>
      <c r="G124" s="110">
        <f t="shared" si="48"/>
        <v>0.17603867347887311</v>
      </c>
      <c r="H124" s="414" t="b">
        <f>Wh_hp&gt;='2026'!Maxi_hp</f>
        <v>0</v>
      </c>
      <c r="I124" s="390">
        <f>IF(H124,Wh_hp,'2026'!Maxi_hp)</f>
        <v>34.517360529046911</v>
      </c>
      <c r="J124" s="85">
        <f>IF(H124,An,'2026'!An_max)</f>
        <v>2019</v>
      </c>
      <c r="K124" s="197">
        <f t="shared" si="27"/>
        <v>46497</v>
      </c>
      <c r="L124" s="147">
        <f>IF(t&lt;Tvie,1-EXP((T0-t)*PertePVj)+'2026'!Pspv,1-EXP((T0-t)*PertePVj)+Pspv)</f>
        <v>6.9484389991716466E-2</v>
      </c>
      <c r="M124" s="850"/>
      <c r="N124" s="850"/>
      <c r="O124" s="48">
        <f>IF(t&lt;Tnet,'2026'!Resal+('2026'!Salim-'2026'!Resal)*(1-EXP(('2026'!Tnet-t)/('2026'!Tau_j))),Resal+(Salim-Resal)*(1-EXP((Tnet-t)/(Tau_j))))*Salcycl</f>
        <v>9.8959667228254153E-2</v>
      </c>
      <c r="P124" s="169">
        <f>(INDEX(Models!$BJ124:$BT124,,T124)*(1-R124)+INDEX(Models!$BJ124:$BT124,,T124+1)*R124-ERP_i)*Q124*Ramure*Pc/MaxiM</f>
        <v>0</v>
      </c>
      <c r="Q124" s="305">
        <f t="shared" si="28"/>
        <v>0.7</v>
      </c>
      <c r="R124" s="177">
        <f t="shared" si="29"/>
        <v>3.0283010819404876E-2</v>
      </c>
      <c r="S124" s="817">
        <f t="shared" si="30"/>
        <v>-1</v>
      </c>
      <c r="T124" s="176">
        <f t="shared" si="31"/>
        <v>5</v>
      </c>
      <c r="U124" s="251">
        <f t="shared" si="32"/>
        <v>-0.96971698918059512</v>
      </c>
      <c r="V124" s="383">
        <f t="shared" si="33"/>
        <v>34.400704833831064</v>
      </c>
      <c r="W124" s="402">
        <f t="shared" si="34"/>
        <v>6.0558544456858794</v>
      </c>
      <c r="X124" s="157">
        <f t="shared" si="35"/>
        <v>46497</v>
      </c>
      <c r="Y124" s="385">
        <f t="shared" si="36"/>
        <v>5.8488718824811627</v>
      </c>
      <c r="Z124" s="385">
        <f t="shared" si="37"/>
        <v>6.285624679019727</v>
      </c>
      <c r="AA124" s="386">
        <f t="shared" si="38"/>
        <v>7.2228323350049655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0.12975625246665701</v>
      </c>
      <c r="AD124" s="231">
        <f>(INDEX(Models!$BJ124:$BT124,,AH124)*(1-AF124)+INDEX(Models!$BJ124:$BT124,,AH124+1)*AF124-ERP_i)*AE124*Ramure*Pc/MaxiM</f>
        <v>2.4250319332765288E-5</v>
      </c>
      <c r="AE124" s="305">
        <f t="shared" si="40"/>
        <v>0.7</v>
      </c>
      <c r="AF124" s="177">
        <f t="shared" si="41"/>
        <v>0.65414638019546079</v>
      </c>
      <c r="AG124" s="817">
        <f t="shared" si="49"/>
        <v>1</v>
      </c>
      <c r="AH124" s="176">
        <f t="shared" si="42"/>
        <v>7</v>
      </c>
      <c r="AI124" s="225">
        <f t="shared" si="43"/>
        <v>1.6541463801954608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46498</v>
      </c>
      <c r="B125" s="411">
        <f>'2026'!Wh/'2026'!Env_an*'2027'!Env_an</f>
        <v>6.4692809182143503</v>
      </c>
      <c r="C125" s="846"/>
      <c r="D125" s="393">
        <f t="shared" si="25"/>
        <v>6.9525137951370493</v>
      </c>
      <c r="E125" s="385">
        <f t="shared" si="47"/>
        <v>7.7169860544404987</v>
      </c>
      <c r="F125" s="385">
        <f t="shared" si="26"/>
        <v>7.7169860544404987</v>
      </c>
      <c r="G125" s="110">
        <f t="shared" si="48"/>
        <v>0.18743068287766884</v>
      </c>
      <c r="H125" s="414" t="b">
        <f>Wh_hp&gt;='2026'!Maxi_hp</f>
        <v>0</v>
      </c>
      <c r="I125" s="390">
        <f>IF(H125,Wh_hp,'2026'!Maxi_hp)</f>
        <v>37.760094952186769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6.9504770671681038E-2</v>
      </c>
      <c r="M125" s="850"/>
      <c r="N125" s="850"/>
      <c r="O125" s="48">
        <f>IF(t&lt;Tnet,'2026'!Resal+('2026'!Salim-'2026'!Resal)*(1-EXP(('2026'!Tnet-t)/('2026'!Tau_j))),Resal+(Salim-Resal)*(1-EXP((Tnet-t)/(Tau_j))))*Salcycl</f>
        <v>9.9063579214783912E-2</v>
      </c>
      <c r="P125" s="169">
        <f>(INDEX(Models!$BJ125:$BT125,,T125)*(1-R125)+INDEX(Models!$BJ125:$BT125,,T125+1)*R125-ERP_i)*Q125*Ramure*Pc/MaxiM</f>
        <v>0</v>
      </c>
      <c r="Q125" s="305">
        <f t="shared" si="28"/>
        <v>0.7</v>
      </c>
      <c r="R125" s="177">
        <f t="shared" si="29"/>
        <v>3.2322481884877963E-2</v>
      </c>
      <c r="S125" s="817">
        <f t="shared" si="30"/>
        <v>-1</v>
      </c>
      <c r="T125" s="176">
        <f t="shared" si="31"/>
        <v>5</v>
      </c>
      <c r="U125" s="251">
        <f t="shared" si="32"/>
        <v>-0.96767751811512204</v>
      </c>
      <c r="V125" s="383">
        <f t="shared" si="33"/>
        <v>34.515591678426965</v>
      </c>
      <c r="W125" s="402">
        <f t="shared" si="34"/>
        <v>6.4692809182143503</v>
      </c>
      <c r="X125" s="157">
        <f t="shared" si="35"/>
        <v>46498</v>
      </c>
      <c r="Y125" s="385">
        <f t="shared" si="36"/>
        <v>6.2483619855033332</v>
      </c>
      <c r="Z125" s="385">
        <f t="shared" si="37"/>
        <v>6.7150929833500959</v>
      </c>
      <c r="AA125" s="386">
        <f t="shared" si="38"/>
        <v>7.7169860544404987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0.12982958165563802</v>
      </c>
      <c r="AD125" s="231">
        <f>(INDEX(Models!$BJ125:$BT125,,AH125)*(1-AF125)+INDEX(Models!$BJ125:$BT125,,AH125+1)*AF125-ERP_i)*AE125*Ramure*Pc/MaxiM</f>
        <v>2.3482141998356754E-5</v>
      </c>
      <c r="AE125" s="305">
        <f t="shared" si="40"/>
        <v>0.7</v>
      </c>
      <c r="AF125" s="177">
        <f t="shared" si="41"/>
        <v>0.65618585126093398</v>
      </c>
      <c r="AG125" s="817">
        <f t="shared" si="49"/>
        <v>1</v>
      </c>
      <c r="AH125" s="176">
        <f t="shared" si="42"/>
        <v>7</v>
      </c>
      <c r="AI125" s="225">
        <f t="shared" si="43"/>
        <v>1.656185851260934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46499</v>
      </c>
      <c r="B126" s="411">
        <f>'2026'!Wh/'2026'!Env_an*'2027'!Env_an</f>
        <v>17.056514353228948</v>
      </c>
      <c r="C126" s="846"/>
      <c r="D126" s="393">
        <f t="shared" si="25"/>
        <v>18.330978392186722</v>
      </c>
      <c r="E126" s="385">
        <f t="shared" si="47"/>
        <v>20.348961263903767</v>
      </c>
      <c r="F126" s="385">
        <f t="shared" si="26"/>
        <v>20.348961263903767</v>
      </c>
      <c r="G126" s="110">
        <f t="shared" si="48"/>
        <v>0.49256676467485072</v>
      </c>
      <c r="H126" s="414" t="b">
        <f>Wh_hp&gt;='2026'!Maxi_hp</f>
        <v>0</v>
      </c>
      <c r="I126" s="390">
        <f>IF(H126,Wh_hp,'2026'!Maxi_hp)</f>
        <v>41.180654227850937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6.952515090525635E-2</v>
      </c>
      <c r="M126" s="850"/>
      <c r="N126" s="850"/>
      <c r="O126" s="48">
        <f>IF(t&lt;Tnet,'2026'!Resal+('2026'!Salim-'2026'!Resal)*(1-EXP(('2026'!Tnet-t)/('2026'!Tau_j))),Resal+(Salim-Resal)*(1-EXP((Tnet-t)/(Tau_j))))*Salcycl</f>
        <v>9.9168839408853141E-2</v>
      </c>
      <c r="P126" s="169">
        <f>(INDEX(Models!$BJ126:$BT126,,T126)*(1-R126)+INDEX(Models!$BJ126:$BT126,,T126+1)*R126-ERP_i)*Q126*Ramure*Pc/MaxiM</f>
        <v>0</v>
      </c>
      <c r="Q126" s="305">
        <f t="shared" si="28"/>
        <v>0.7</v>
      </c>
      <c r="R126" s="177">
        <f t="shared" si="29"/>
        <v>3.4427765431760404E-2</v>
      </c>
      <c r="S126" s="817">
        <f t="shared" si="30"/>
        <v>-1</v>
      </c>
      <c r="T126" s="176">
        <f t="shared" si="31"/>
        <v>5</v>
      </c>
      <c r="U126" s="251">
        <f t="shared" si="32"/>
        <v>-0.9655722345682396</v>
      </c>
      <c r="V126" s="383">
        <f t="shared" si="33"/>
        <v>34.627822209011924</v>
      </c>
      <c r="W126" s="402">
        <f t="shared" si="34"/>
        <v>17.056514353228948</v>
      </c>
      <c r="X126" s="157">
        <f t="shared" si="35"/>
        <v>46499</v>
      </c>
      <c r="Y126" s="385">
        <f t="shared" si="36"/>
        <v>16.474452518423508</v>
      </c>
      <c r="Z126" s="385">
        <f t="shared" si="37"/>
        <v>17.705424853182713</v>
      </c>
      <c r="AA126" s="386">
        <f t="shared" si="38"/>
        <v>20.348834400286531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0.12990471567583228</v>
      </c>
      <c r="AD126" s="231">
        <f>(INDEX(Models!$BJ126:$BT126,,AH126)*(1-AF126)+INDEX(Models!$BJ126:$BT126,,AH126+1)*AF126-ERP_i)*AE126*Ramure*Pc/MaxiM</f>
        <v>2.2662694858550281E-5</v>
      </c>
      <c r="AE126" s="305">
        <f t="shared" si="40"/>
        <v>0.7</v>
      </c>
      <c r="AF126" s="177">
        <f t="shared" si="41"/>
        <v>0.65829113480781642</v>
      </c>
      <c r="AG126" s="817">
        <f t="shared" si="49"/>
        <v>1</v>
      </c>
      <c r="AH126" s="176">
        <f t="shared" si="42"/>
        <v>7</v>
      </c>
      <c r="AI126" s="225">
        <f t="shared" si="43"/>
        <v>1.6582911348078164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46500</v>
      </c>
      <c r="B127" s="411">
        <f>'2026'!Wh/'2026'!Env_an*'2027'!Env_an</f>
        <v>5.3220679270181552</v>
      </c>
      <c r="C127" s="846"/>
      <c r="D127" s="393">
        <f t="shared" si="25"/>
        <v>5.719858523522257</v>
      </c>
      <c r="E127" s="385">
        <f t="shared" si="47"/>
        <v>6.3502860653964861</v>
      </c>
      <c r="F127" s="385">
        <f t="shared" si="26"/>
        <v>6.3502860653964861</v>
      </c>
      <c r="G127" s="110">
        <f t="shared" si="48"/>
        <v>0.15320939168221789</v>
      </c>
      <c r="H127" s="414" t="b">
        <f>Wh_hp&gt;='2026'!Maxi_hp</f>
        <v>0</v>
      </c>
      <c r="I127" s="390">
        <f>IF(H127,Wh_hp,'2026'!Maxi_hp)</f>
        <v>41.263564610244281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6.9545530692452284E-2</v>
      </c>
      <c r="M127" s="850"/>
      <c r="N127" s="850"/>
      <c r="O127" s="48">
        <f>IF(t&lt;Tnet,'2026'!Resal+('2026'!Salim-'2026'!Resal)*(1-EXP(('2026'!Tnet-t)/('2026'!Tau_j))),Resal+(Salim-Resal)*(1-EXP((Tnet-t)/(Tau_j))))*Salcycl</f>
        <v>9.927545552782388E-2</v>
      </c>
      <c r="P127" s="169">
        <f>(INDEX(Models!$BJ127:$BT127,,T127)*(1-R127)+INDEX(Models!$BJ127:$BT127,,T127+1)*R127-ERP_i)*Q127*Ramure*Pc/MaxiM</f>
        <v>0</v>
      </c>
      <c r="Q127" s="305">
        <f t="shared" si="28"/>
        <v>0.7</v>
      </c>
      <c r="R127" s="177">
        <f t="shared" si="29"/>
        <v>3.6600234435793744E-2</v>
      </c>
      <c r="S127" s="817">
        <f t="shared" si="30"/>
        <v>-1</v>
      </c>
      <c r="T127" s="176">
        <f t="shared" si="31"/>
        <v>5</v>
      </c>
      <c r="U127" s="251">
        <f t="shared" si="32"/>
        <v>-0.96339976556420626</v>
      </c>
      <c r="V127" s="383">
        <f t="shared" si="33"/>
        <v>34.737217272274151</v>
      </c>
      <c r="W127" s="402">
        <f t="shared" si="34"/>
        <v>5.3220679270181552</v>
      </c>
      <c r="X127" s="157">
        <f t="shared" si="35"/>
        <v>46500</v>
      </c>
      <c r="Y127" s="385">
        <f t="shared" si="36"/>
        <v>5.140635637300818</v>
      </c>
      <c r="Z127" s="385">
        <f t="shared" si="37"/>
        <v>5.5248653285813365</v>
      </c>
      <c r="AA127" s="386">
        <f t="shared" si="38"/>
        <v>6.3502860653964861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0.12998166197787092</v>
      </c>
      <c r="AD127" s="231">
        <f>(INDEX(Models!$BJ127:$BT127,,AH127)*(1-AF127)+INDEX(Models!$BJ127:$BT127,,AH127+1)*AF127-ERP_i)*AE127*Ramure*Pc/MaxiM</f>
        <v>2.1791229062294803E-5</v>
      </c>
      <c r="AE127" s="305">
        <f t="shared" si="40"/>
        <v>0.7</v>
      </c>
      <c r="AF127" s="177">
        <f t="shared" si="41"/>
        <v>0.66046360381184988</v>
      </c>
      <c r="AG127" s="817">
        <f t="shared" si="49"/>
        <v>1</v>
      </c>
      <c r="AH127" s="176">
        <f t="shared" si="42"/>
        <v>7</v>
      </c>
      <c r="AI127" s="225">
        <f t="shared" si="43"/>
        <v>1.6604636038118499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46501</v>
      </c>
      <c r="B128" s="411">
        <f>'2026'!Wh/'2026'!Env_an*'2027'!Env_an</f>
        <v>20.920339432591579</v>
      </c>
      <c r="C128" s="846"/>
      <c r="D128" s="393">
        <f t="shared" si="25"/>
        <v>22.484493698355173</v>
      </c>
      <c r="E128" s="385">
        <f t="shared" si="47"/>
        <v>24.965667437147502</v>
      </c>
      <c r="F128" s="385">
        <f t="shared" si="26"/>
        <v>24.965667437147502</v>
      </c>
      <c r="G128" s="110">
        <f t="shared" si="48"/>
        <v>0.60040698093413458</v>
      </c>
      <c r="H128" s="414" t="b">
        <f>Wh_hp&gt;='2026'!Maxi_hp</f>
        <v>0</v>
      </c>
      <c r="I128" s="390">
        <f>IF(H128,Wh_hp,'2026'!Maxi_hp)</f>
        <v>38.769139149526289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6.9565910033278611E-2</v>
      </c>
      <c r="M128" s="850"/>
      <c r="N128" s="850"/>
      <c r="O128" s="48">
        <f>IF(t&lt;Tnet,'2026'!Resal+('2026'!Salim-'2026'!Resal)*(1-EXP(('2026'!Tnet-t)/('2026'!Tau_j))),Resal+(Salim-Resal)*(1-EXP((Tnet-t)/(Tau_j))))*Salcycl</f>
        <v>9.9383433070188348E-2</v>
      </c>
      <c r="P128" s="169">
        <f>(INDEX(Models!$BJ128:$BT128,,T128)*(1-R128)+INDEX(Models!$BJ128:$BT128,,T128+1)*R128-ERP_i)*Q128*Ramure*Pc/MaxiM</f>
        <v>0</v>
      </c>
      <c r="Q128" s="305">
        <f t="shared" si="28"/>
        <v>0.7</v>
      </c>
      <c r="R128" s="177">
        <f t="shared" si="29"/>
        <v>3.8841233822375254E-2</v>
      </c>
      <c r="S128" s="817">
        <f t="shared" si="30"/>
        <v>-1</v>
      </c>
      <c r="T128" s="176">
        <f t="shared" si="31"/>
        <v>5</v>
      </c>
      <c r="U128" s="251">
        <f t="shared" si="32"/>
        <v>-0.96115876617762475</v>
      </c>
      <c r="V128" s="383">
        <f t="shared" si="33"/>
        <v>34.843597920935167</v>
      </c>
      <c r="W128" s="402">
        <f t="shared" si="34"/>
        <v>20.920339432591579</v>
      </c>
      <c r="X128" s="157">
        <f t="shared" si="35"/>
        <v>46501</v>
      </c>
      <c r="Y128" s="385">
        <f t="shared" si="36"/>
        <v>20.207565144301086</v>
      </c>
      <c r="Z128" s="385">
        <f t="shared" si="37"/>
        <v>21.718427304210064</v>
      </c>
      <c r="AA128" s="386">
        <f t="shared" si="38"/>
        <v>24.965443498524284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0.13006042510344967</v>
      </c>
      <c r="AD128" s="231">
        <f>(INDEX(Models!$BJ128:$BT128,,AH128)*(1-AF128)+INDEX(Models!$BJ128:$BT128,,AH128+1)*AF128-ERP_i)*AE128*Ramure*Pc/MaxiM</f>
        <v>2.0901326146356079E-5</v>
      </c>
      <c r="AE128" s="305">
        <f t="shared" si="40"/>
        <v>0.7</v>
      </c>
      <c r="AF128" s="177">
        <f t="shared" si="41"/>
        <v>0.66270460319843139</v>
      </c>
      <c r="AG128" s="817">
        <f t="shared" si="49"/>
        <v>1</v>
      </c>
      <c r="AH128" s="176">
        <f t="shared" si="42"/>
        <v>7</v>
      </c>
      <c r="AI128" s="225">
        <f t="shared" si="43"/>
        <v>1.6627046031984314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46502</v>
      </c>
      <c r="B129" s="411">
        <f>'2026'!Wh/'2026'!Env_an*'2027'!Env_an</f>
        <v>28.997649802872061</v>
      </c>
      <c r="C129" s="846"/>
      <c r="D129" s="393">
        <f t="shared" si="25"/>
        <v>31.166404211147885</v>
      </c>
      <c r="E129" s="385">
        <f t="shared" si="47"/>
        <v>34.609832496093716</v>
      </c>
      <c r="F129" s="385">
        <f t="shared" si="26"/>
        <v>34.609832496093716</v>
      </c>
      <c r="G129" s="110">
        <f t="shared" si="48"/>
        <v>0.82976586975157329</v>
      </c>
      <c r="H129" s="414" t="b">
        <f>Wh_hp&gt;='2026'!Maxi_hp</f>
        <v>0</v>
      </c>
      <c r="I129" s="390">
        <f>IF(H129,Wh_hp,'2026'!Maxi_hp)</f>
        <v>37.502516618915408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6.9586288927744988E-2</v>
      </c>
      <c r="M129" s="850"/>
      <c r="N129" s="850"/>
      <c r="O129" s="48">
        <f>IF(t&lt;Tnet,'2026'!Resal+('2026'!Salim-'2026'!Resal)*(1-EXP(('2026'!Tnet-t)/('2026'!Tau_j))),Resal+(Salim-Resal)*(1-EXP((Tnet-t)/(Tau_j))))*Salcycl</f>
        <v>9.9492775220292692E-2</v>
      </c>
      <c r="P129" s="169">
        <f>(INDEX(Models!$BJ129:$BT129,,T129)*(1-R129)+INDEX(Models!$BJ129:$BT129,,T129+1)*R129-ERP_i)*Q129*Ramure*Pc/MaxiM</f>
        <v>0</v>
      </c>
      <c r="Q129" s="305">
        <f t="shared" si="28"/>
        <v>0.7</v>
      </c>
      <c r="R129" s="177">
        <f t="shared" si="29"/>
        <v>4.1152075327341109E-2</v>
      </c>
      <c r="S129" s="817">
        <f t="shared" si="30"/>
        <v>-1</v>
      </c>
      <c r="T129" s="176">
        <f t="shared" si="31"/>
        <v>5</v>
      </c>
      <c r="U129" s="251">
        <f t="shared" si="32"/>
        <v>-0.95884792467265889</v>
      </c>
      <c r="V129" s="383">
        <f t="shared" si="33"/>
        <v>34.94678542460872</v>
      </c>
      <c r="W129" s="402">
        <f t="shared" si="34"/>
        <v>28.997649802872061</v>
      </c>
      <c r="X129" s="157">
        <f t="shared" si="35"/>
        <v>46502</v>
      </c>
      <c r="Y129" s="385">
        <f t="shared" si="36"/>
        <v>28.01030811125289</v>
      </c>
      <c r="Z129" s="385">
        <f t="shared" si="37"/>
        <v>30.105218547319577</v>
      </c>
      <c r="AA129" s="386">
        <f t="shared" si="38"/>
        <v>34.609308835827107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0.13014100656771724</v>
      </c>
      <c r="AD129" s="231">
        <f>(INDEX(Models!$BJ129:$BT129,,AH129)*(1-AF129)+INDEX(Models!$BJ129:$BT129,,AH129+1)*AF129-ERP_i)*AE129*Ramure*Pc/MaxiM</f>
        <v>1.9992365812207966E-5</v>
      </c>
      <c r="AE129" s="305">
        <f t="shared" si="40"/>
        <v>0.7</v>
      </c>
      <c r="AF129" s="177">
        <f t="shared" si="41"/>
        <v>0.66501544470339713</v>
      </c>
      <c r="AG129" s="817">
        <f t="shared" si="49"/>
        <v>1</v>
      </c>
      <c r="AH129" s="176">
        <f t="shared" si="42"/>
        <v>7</v>
      </c>
      <c r="AI129" s="225">
        <f t="shared" si="43"/>
        <v>1.6650154447033971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46503</v>
      </c>
      <c r="B130" s="411">
        <f>'2026'!Wh/'2026'!Env_an*'2027'!Env_an</f>
        <v>33.491692056017051</v>
      </c>
      <c r="C130" s="846"/>
      <c r="D130" s="393">
        <f t="shared" si="25"/>
        <v>35.997347446111867</v>
      </c>
      <c r="E130" s="385">
        <f t="shared" si="47"/>
        <v>39.979438787830865</v>
      </c>
      <c r="F130" s="385">
        <f t="shared" si="26"/>
        <v>39.979438787830865</v>
      </c>
      <c r="G130" s="110">
        <f t="shared" si="48"/>
        <v>0.95563309531538709</v>
      </c>
      <c r="H130" s="414" t="b">
        <f>Wh_hp&gt;='2026'!Maxi_hp</f>
        <v>1</v>
      </c>
      <c r="I130" s="390">
        <f>IF(H130,Wh_hp,'2026'!Maxi_hp)</f>
        <v>39.979438787830865</v>
      </c>
      <c r="J130" s="85">
        <f>IF(H130,An,'2026'!An_max)</f>
        <v>2027</v>
      </c>
      <c r="K130" s="197">
        <f t="shared" si="27"/>
        <v>46503</v>
      </c>
      <c r="L130" s="147">
        <f>IF(t&lt;Tvie,1-EXP((T0-t)*PertePVj)+'2026'!Pspv,1-EXP((T0-t)*PertePVj)+Pspv)</f>
        <v>6.9606667375861297E-2</v>
      </c>
      <c r="M130" s="850"/>
      <c r="N130" s="850"/>
      <c r="O130" s="48">
        <f>IF(t&lt;Tnet,'2026'!Resal+('2026'!Salim-'2026'!Resal)*(1-EXP(('2026'!Tnet-t)/('2026'!Tau_j))),Resal+(Salim-Resal)*(1-EXP((Tnet-t)/(Tau_j))))*Salcycl</f>
        <v>9.9603482751515884E-2</v>
      </c>
      <c r="P130" s="169">
        <f>(INDEX(Models!$BJ130:$BT130,,T130)*(1-R130)+INDEX(Models!$BJ130:$BT130,,T130+1)*R130-ERP_i)*Q130*Ramure*Pc/MaxiM</f>
        <v>0</v>
      </c>
      <c r="Q130" s="305">
        <f t="shared" si="28"/>
        <v>0.7</v>
      </c>
      <c r="R130" s="177">
        <f t="shared" si="29"/>
        <v>4.3534032105200016E-2</v>
      </c>
      <c r="S130" s="817">
        <f t="shared" si="30"/>
        <v>-1</v>
      </c>
      <c r="T130" s="176">
        <f t="shared" si="31"/>
        <v>5</v>
      </c>
      <c r="U130" s="251">
        <f t="shared" si="32"/>
        <v>-0.95646596789479998</v>
      </c>
      <c r="V130" s="383">
        <f t="shared" si="33"/>
        <v>35.046601274272319</v>
      </c>
      <c r="W130" s="402">
        <f t="shared" si="34"/>
        <v>33.491692056017051</v>
      </c>
      <c r="X130" s="157">
        <f t="shared" si="35"/>
        <v>46503</v>
      </c>
      <c r="Y130" s="385">
        <f t="shared" si="36"/>
        <v>32.352157298800726</v>
      </c>
      <c r="Z130" s="385">
        <f t="shared" si="37"/>
        <v>34.772559265394463</v>
      </c>
      <c r="AA130" s="386">
        <f t="shared" si="38"/>
        <v>39.97872494487828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0.13022340473994484</v>
      </c>
      <c r="AD130" s="231">
        <f>(INDEX(Models!$BJ130:$BT130,,AH130)*(1-AF130)+INDEX(Models!$BJ130:$BT130,,AH130+1)*AF130-ERP_i)*AE130*Ramure*Pc/MaxiM</f>
        <v>1.9063522659280015E-5</v>
      </c>
      <c r="AE130" s="305">
        <f t="shared" si="40"/>
        <v>0.7</v>
      </c>
      <c r="AF130" s="177">
        <f t="shared" si="41"/>
        <v>0.66739740148125604</v>
      </c>
      <c r="AG130" s="817">
        <f t="shared" si="49"/>
        <v>1</v>
      </c>
      <c r="AH130" s="176">
        <f t="shared" si="42"/>
        <v>7</v>
      </c>
      <c r="AI130" s="225">
        <f t="shared" si="43"/>
        <v>1.667397401481256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46504</v>
      </c>
      <c r="B131" s="411">
        <f>'2026'!Wh/'2026'!Env_an*'2027'!Env_an</f>
        <v>24.29755111177786</v>
      </c>
      <c r="C131" s="846"/>
      <c r="D131" s="393">
        <f t="shared" si="25"/>
        <v>26.115925867213335</v>
      </c>
      <c r="E131" s="385">
        <f t="shared" si="47"/>
        <v>29.008527228448127</v>
      </c>
      <c r="F131" s="385">
        <f t="shared" si="26"/>
        <v>29.008527228448127</v>
      </c>
      <c r="G131" s="110">
        <f t="shared" si="48"/>
        <v>0.69139353311522544</v>
      </c>
      <c r="H131" s="414" t="b">
        <f>Wh_hp&gt;='2026'!Maxi_hp</f>
        <v>1</v>
      </c>
      <c r="I131" s="390">
        <f>IF(H131,Wh_hp,'2026'!Maxi_hp)</f>
        <v>29.008527228448127</v>
      </c>
      <c r="J131" s="85">
        <f>IF(H131,An,'2026'!An_max)</f>
        <v>2027</v>
      </c>
      <c r="K131" s="197">
        <f t="shared" si="27"/>
        <v>46504</v>
      </c>
      <c r="L131" s="147">
        <f>IF(t&lt;Tvie,1-EXP((T0-t)*PertePVj)+'2026'!Pspv,1-EXP((T0-t)*PertePVj)+Pspv)</f>
        <v>6.9627045377637309E-2</v>
      </c>
      <c r="M131" s="850"/>
      <c r="N131" s="850"/>
      <c r="O131" s="48">
        <f>IF(t&lt;Tnet,'2026'!Resal+('2026'!Salim-'2026'!Resal)*(1-EXP(('2026'!Tnet-t)/('2026'!Tau_j))),Resal+(Salim-Resal)*(1-EXP((Tnet-t)/(Tau_j))))*Salcycl</f>
        <v>9.9715553928503814E-2</v>
      </c>
      <c r="P131" s="169">
        <f>(INDEX(Models!$BJ131:$BT131,,T131)*(1-R131)+INDEX(Models!$BJ131:$BT131,,T131+1)*R131-ERP_i)*Q131*Ramure*Pc/MaxiM</f>
        <v>0</v>
      </c>
      <c r="Q131" s="305">
        <f t="shared" si="28"/>
        <v>0.7</v>
      </c>
      <c r="R131" s="177">
        <f t="shared" si="29"/>
        <v>4.5988333092334965E-2</v>
      </c>
      <c r="S131" s="817">
        <f t="shared" si="30"/>
        <v>-1</v>
      </c>
      <c r="T131" s="176">
        <f t="shared" si="31"/>
        <v>5</v>
      </c>
      <c r="U131" s="251">
        <f t="shared" si="32"/>
        <v>-0.95401166690766503</v>
      </c>
      <c r="V131" s="383">
        <f t="shared" si="33"/>
        <v>35.1428671921473</v>
      </c>
      <c r="W131" s="402">
        <f t="shared" si="34"/>
        <v>24.29755111177786</v>
      </c>
      <c r="X131" s="157">
        <f t="shared" si="35"/>
        <v>46504</v>
      </c>
      <c r="Y131" s="385">
        <f t="shared" si="36"/>
        <v>23.471671930128675</v>
      </c>
      <c r="Z131" s="385">
        <f t="shared" si="37"/>
        <v>25.228239722054045</v>
      </c>
      <c r="AA131" s="386">
        <f t="shared" si="38"/>
        <v>29.008233427301391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0.13030761472326569</v>
      </c>
      <c r="AD131" s="231">
        <f>(INDEX(Models!$BJ131:$BT131,,AH131)*(1-AF131)+INDEX(Models!$BJ131:$BT131,,AH131+1)*AF131-ERP_i)*AE131*Ramure*Pc/MaxiM</f>
        <v>1.8113909800290817E-5</v>
      </c>
      <c r="AE131" s="305">
        <f t="shared" si="40"/>
        <v>0.7</v>
      </c>
      <c r="AF131" s="177">
        <f t="shared" si="41"/>
        <v>0.66985170246839099</v>
      </c>
      <c r="AG131" s="817">
        <f t="shared" si="49"/>
        <v>1</v>
      </c>
      <c r="AH131" s="176">
        <f t="shared" si="42"/>
        <v>7</v>
      </c>
      <c r="AI131" s="225">
        <f t="shared" si="43"/>
        <v>1.669851702468391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46505</v>
      </c>
      <c r="B132" s="411">
        <f>'2026'!Wh/'2026'!Env_an*'2027'!Env_an</f>
        <v>15.549691413415095</v>
      </c>
      <c r="C132" s="846"/>
      <c r="D132" s="393">
        <f t="shared" si="25"/>
        <v>16.71376185406821</v>
      </c>
      <c r="E132" s="385">
        <f t="shared" si="47"/>
        <v>18.567318392381061</v>
      </c>
      <c r="F132" s="385">
        <f t="shared" si="26"/>
        <v>18.567318392381061</v>
      </c>
      <c r="G132" s="110">
        <f t="shared" si="48"/>
        <v>0.44130871640097452</v>
      </c>
      <c r="H132" s="414" t="b">
        <f>Wh_hp&gt;='2026'!Maxi_hp</f>
        <v>0</v>
      </c>
      <c r="I132" s="390">
        <f>IF(H132,Wh_hp,'2026'!Maxi_hp)</f>
        <v>31.162451823892468</v>
      </c>
      <c r="J132" s="85">
        <f>IF(H132,An,'2026'!An_max)</f>
        <v>2019</v>
      </c>
      <c r="K132" s="197">
        <f t="shared" si="27"/>
        <v>46505</v>
      </c>
      <c r="L132" s="147">
        <f>IF(t&lt;Tvie,1-EXP((T0-t)*PertePVj)+'2026'!Pspv,1-EXP((T0-t)*PertePVj)+Pspv)</f>
        <v>6.9647422933082792E-2</v>
      </c>
      <c r="M132" s="850"/>
      <c r="N132" s="850"/>
      <c r="O132" s="48">
        <f>IF(t&lt;Tnet,'2026'!Resal+('2026'!Salim-'2026'!Resal)*(1-EXP(('2026'!Tnet-t)/('2026'!Tau_j))),Resal+(Salim-Resal)*(1-EXP((Tnet-t)/(Tau_j))))*Salcycl</f>
        <v>9.9828984409156399E-2</v>
      </c>
      <c r="P132" s="169">
        <f>(INDEX(Models!$BJ132:$BT132,,T132)*(1-R132)+INDEX(Models!$BJ132:$BT132,,T132+1)*R132-ERP_i)*Q132*Ramure*Pc/MaxiM</f>
        <v>0</v>
      </c>
      <c r="Q132" s="305">
        <f t="shared" si="28"/>
        <v>0.7</v>
      </c>
      <c r="R132" s="177">
        <f t="shared" si="29"/>
        <v>4.851615713521229E-2</v>
      </c>
      <c r="S132" s="817">
        <f t="shared" si="30"/>
        <v>-1</v>
      </c>
      <c r="T132" s="176">
        <f t="shared" si="31"/>
        <v>5</v>
      </c>
      <c r="U132" s="251">
        <f t="shared" si="32"/>
        <v>-0.95148384286478771</v>
      </c>
      <c r="V132" s="383">
        <f t="shared" si="33"/>
        <v>35.235405138217558</v>
      </c>
      <c r="W132" s="402">
        <f t="shared" si="34"/>
        <v>15.549691413415095</v>
      </c>
      <c r="X132" s="157">
        <f t="shared" si="35"/>
        <v>46505</v>
      </c>
      <c r="Y132" s="385">
        <f t="shared" si="36"/>
        <v>15.021661110776574</v>
      </c>
      <c r="Z132" s="385">
        <f t="shared" si="37"/>
        <v>16.146202505435866</v>
      </c>
      <c r="AA132" s="386">
        <f t="shared" si="38"/>
        <v>18.56725413896573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0.13039362823439687</v>
      </c>
      <c r="AD132" s="231">
        <f>(INDEX(Models!$BJ132:$BT132,,AH132)*(1-AF132)+INDEX(Models!$BJ132:$BT132,,AH132+1)*AF132-ERP_i)*AE132*Ramure*Pc/MaxiM</f>
        <v>1.7142577476720092E-5</v>
      </c>
      <c r="AE132" s="305">
        <f t="shared" si="40"/>
        <v>0.7</v>
      </c>
      <c r="AF132" s="177">
        <f t="shared" si="41"/>
        <v>0.67237952651126842</v>
      </c>
      <c r="AG132" s="817">
        <f t="shared" si="49"/>
        <v>1</v>
      </c>
      <c r="AH132" s="176">
        <f t="shared" si="42"/>
        <v>7</v>
      </c>
      <c r="AI132" s="225">
        <f t="shared" si="43"/>
        <v>1.6723795265112684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46506</v>
      </c>
      <c r="B133" s="411">
        <f>'2026'!Wh/'2026'!Env_an*'2027'!Env_an</f>
        <v>26.470789136210144</v>
      </c>
      <c r="C133" s="846"/>
      <c r="D133" s="393">
        <f t="shared" si="25"/>
        <v>28.453050574204649</v>
      </c>
      <c r="E133" s="385">
        <f t="shared" si="47"/>
        <v>31.612525457458464</v>
      </c>
      <c r="F133" s="385">
        <f t="shared" si="26"/>
        <v>31.612525457458464</v>
      </c>
      <c r="G133" s="110">
        <f t="shared" si="48"/>
        <v>0.74937043282633198</v>
      </c>
      <c r="H133" s="414" t="b">
        <f>Wh_hp&gt;='2026'!Maxi_hp</f>
        <v>0</v>
      </c>
      <c r="I133" s="390">
        <f>IF(H133,Wh_hp,'2026'!Maxi_hp)</f>
        <v>39.72311913554482</v>
      </c>
      <c r="J133" s="85">
        <f>IF(H133,An,'2026'!An_max)</f>
        <v>2019</v>
      </c>
      <c r="K133" s="197">
        <f t="shared" si="27"/>
        <v>46506</v>
      </c>
      <c r="L133" s="147">
        <f>IF(t&lt;Tvie,1-EXP((T0-t)*PertePVj)+'2026'!Pspv,1-EXP((T0-t)*PertePVj)+Pspv)</f>
        <v>6.9667800042207517E-2</v>
      </c>
      <c r="M133" s="850"/>
      <c r="N133" s="850"/>
      <c r="O133" s="48">
        <f>IF(t&lt;Tnet,'2026'!Resal+('2026'!Salim-'2026'!Resal)*(1-EXP(('2026'!Tnet-t)/('2026'!Tau_j))),Resal+(Salim-Resal)*(1-EXP((Tnet-t)/(Tau_j))))*Salcycl</f>
        <v>9.9943767147157317E-2</v>
      </c>
      <c r="P133" s="169">
        <f>(INDEX(Models!$BJ133:$BT133,,T133)*(1-R133)+INDEX(Models!$BJ133:$BT133,,T133+1)*R133-ERP_i)*Q133*Ramure*Pc/MaxiM</f>
        <v>0</v>
      </c>
      <c r="Q133" s="305">
        <f t="shared" si="28"/>
        <v>0.7</v>
      </c>
      <c r="R133" s="177">
        <f t="shared" si="29"/>
        <v>5.1118626896344388E-2</v>
      </c>
      <c r="S133" s="817">
        <f t="shared" si="30"/>
        <v>-1</v>
      </c>
      <c r="T133" s="176">
        <f t="shared" si="31"/>
        <v>5</v>
      </c>
      <c r="U133" s="251">
        <f t="shared" si="32"/>
        <v>-0.94888137310365561</v>
      </c>
      <c r="V133" s="383">
        <f t="shared" si="33"/>
        <v>35.324037320731598</v>
      </c>
      <c r="W133" s="402">
        <f t="shared" si="34"/>
        <v>26.470789136210144</v>
      </c>
      <c r="X133" s="157">
        <f t="shared" si="35"/>
        <v>46506</v>
      </c>
      <c r="Y133" s="385">
        <f t="shared" si="36"/>
        <v>25.572406674485627</v>
      </c>
      <c r="Z133" s="385">
        <f t="shared" si="37"/>
        <v>27.487392864232586</v>
      </c>
      <c r="AA133" s="386">
        <f t="shared" si="38"/>
        <v>31.612197741080159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0.13048143348437227</v>
      </c>
      <c r="AD133" s="231">
        <f>(INDEX(Models!$BJ133:$BT133,,AH133)*(1-AF133)+INDEX(Models!$BJ133:$BT133,,AH133+1)*AF133-ERP_i)*AE133*Ramure*Pc/MaxiM</f>
        <v>1.6148511637271611E-5</v>
      </c>
      <c r="AE133" s="305">
        <f t="shared" si="40"/>
        <v>0.7</v>
      </c>
      <c r="AF133" s="177">
        <f t="shared" si="41"/>
        <v>0.67498199627240041</v>
      </c>
      <c r="AG133" s="817">
        <f t="shared" si="49"/>
        <v>1</v>
      </c>
      <c r="AH133" s="176">
        <f t="shared" si="42"/>
        <v>7</v>
      </c>
      <c r="AI133" s="225">
        <f t="shared" si="43"/>
        <v>1.6749819962724004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46507</v>
      </c>
      <c r="B134" s="411">
        <f>'2026'!Wh/'2026'!Env_an*'2027'!Env_an</f>
        <v>30.424032330129549</v>
      </c>
      <c r="C134" s="846"/>
      <c r="D134" s="393">
        <f t="shared" si="25"/>
        <v>32.703048126781511</v>
      </c>
      <c r="E134" s="385">
        <f t="shared" si="47"/>
        <v>33.274981308646517</v>
      </c>
      <c r="F134" s="385">
        <f t="shared" si="26"/>
        <v>33.274981308646517</v>
      </c>
      <c r="G134" s="110">
        <f t="shared" si="48"/>
        <v>0.78677650351398976</v>
      </c>
      <c r="H134" s="414" t="b">
        <f>Wh_hp&gt;='2026'!Maxi_hp</f>
        <v>0</v>
      </c>
      <c r="I134" s="390">
        <f>IF(H134,Wh_hp,'2026'!Maxi_hp)</f>
        <v>43.204941551644787</v>
      </c>
      <c r="J134" s="85">
        <f>IF(H134,An,'2026'!An_max)</f>
        <v>2019</v>
      </c>
      <c r="K134" s="197">
        <f t="shared" si="27"/>
        <v>46507</v>
      </c>
      <c r="L134" s="147">
        <f>IF(t&lt;Tvie,1-EXP((T0-t)*PertePVj)+'2026'!Pspv,1-EXP((T0-t)*PertePVj)+Pspv)</f>
        <v>6.9688176705021254E-2</v>
      </c>
      <c r="M134" s="850"/>
      <c r="N134" s="850"/>
      <c r="O134" s="48">
        <f>IF(t&lt;Tnet,'2026'!Resal+('2026'!Salim-'2026'!Resal)*(1-EXP(('2026'!Tnet-t)/('2026'!Tau_j))),Resal+(Salim-Resal)*(1-EXP((Tnet-t)/(Tau_j))))*Salcycl</f>
        <v>1.7188084241429463E-2</v>
      </c>
      <c r="P134" s="169">
        <f>(INDEX(Models!$BJ134:$BT134,,T134)*(1-R134)+INDEX(Models!$BJ134:$BT134,,T134+1)*R134-ERP_i)*Q134*Ramure*Pc/MaxiM</f>
        <v>0</v>
      </c>
      <c r="Q134" s="305">
        <f t="shared" si="28"/>
        <v>0.7</v>
      </c>
      <c r="R134" s="177">
        <f t="shared" si="29"/>
        <v>5.3796802553623513E-2</v>
      </c>
      <c r="S134" s="817">
        <f t="shared" si="30"/>
        <v>-1</v>
      </c>
      <c r="T134" s="176">
        <f t="shared" si="31"/>
        <v>5</v>
      </c>
      <c r="U134" s="251">
        <f t="shared" si="32"/>
        <v>-0.94620319744637649</v>
      </c>
      <c r="V134" s="383">
        <f t="shared" si="33"/>
        <v>38.669218252256272</v>
      </c>
      <c r="W134" s="402">
        <f t="shared" si="34"/>
        <v>30.424032330129549</v>
      </c>
      <c r="X134" s="157">
        <f t="shared" si="35"/>
        <v>46507</v>
      </c>
      <c r="Y134" s="385">
        <f t="shared" si="36"/>
        <v>27.858350523668598</v>
      </c>
      <c r="Z134" s="385">
        <f t="shared" si="37"/>
        <v>29.945175183305619</v>
      </c>
      <c r="AA134" s="386">
        <f t="shared" si="38"/>
        <v>33.274631197071102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0.10005989229592269</v>
      </c>
      <c r="AD134" s="231">
        <f>(INDEX(Models!$BJ134:$BT134,,AH134)*(1-AF134)+INDEX(Models!$BJ134:$BT134,,AH134+1)*AF134-ERP_i)*AE134*Ramure*Pc/MaxiM</f>
        <v>1.5130632485738939E-5</v>
      </c>
      <c r="AE134" s="305">
        <f t="shared" si="40"/>
        <v>0.7</v>
      </c>
      <c r="AF134" s="177">
        <f t="shared" si="41"/>
        <v>0.67766017192967953</v>
      </c>
      <c r="AG134" s="817">
        <f t="shared" si="49"/>
        <v>1</v>
      </c>
      <c r="AH134" s="176">
        <f t="shared" si="42"/>
        <v>7</v>
      </c>
      <c r="AI134" s="225">
        <f t="shared" si="43"/>
        <v>1.6776601719296795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46508</v>
      </c>
      <c r="B135" s="411">
        <f>'2026'!Wh/'2026'!Env_an*'2027'!Env_an</f>
        <v>31.35730181768896</v>
      </c>
      <c r="C135" s="846"/>
      <c r="D135" s="393">
        <f t="shared" si="25"/>
        <v>33.70696561401806</v>
      </c>
      <c r="E135" s="385">
        <f t="shared" si="47"/>
        <v>34.303031324274393</v>
      </c>
      <c r="F135" s="385">
        <f t="shared" si="26"/>
        <v>34.303031324274393</v>
      </c>
      <c r="G135" s="110">
        <f t="shared" si="48"/>
        <v>0.80911148570637659</v>
      </c>
      <c r="H135" s="414" t="b">
        <f>Wh_hp&gt;='2026'!Maxi_hp</f>
        <v>0</v>
      </c>
      <c r="I135" s="390">
        <f>IF(H135,Wh_hp,'2026'!Maxi_hp)</f>
        <v>40.273883228930465</v>
      </c>
      <c r="J135" s="85">
        <f>IF(H135,An,'2026'!An_max)</f>
        <v>2019</v>
      </c>
      <c r="K135" s="197">
        <f t="shared" si="27"/>
        <v>46508</v>
      </c>
      <c r="L135" s="147">
        <f>IF(t&lt;Tvie,1-EXP((T0-t)*PertePVj)+'2026'!Pspv,1-EXP((T0-t)*PertePVj)+Pspv)</f>
        <v>6.9708552921533773E-2</v>
      </c>
      <c r="M135" s="850"/>
      <c r="N135" s="850"/>
      <c r="O135" s="48">
        <f>IF(t&lt;Tnet,'2026'!Resal+('2026'!Salim-'2026'!Resal)*(1-EXP(('2026'!Tnet-t)/('2026'!Tau_j))),Resal+(Salim-Resal)*(1-EXP((Tnet-t)/(Tau_j))))*Salcycl</f>
        <v>1.7376473368245087E-2</v>
      </c>
      <c r="P135" s="169">
        <f>(INDEX(Models!$BJ135:$BT135,,T135)*(1-R135)+INDEX(Models!$BJ135:$BT135,,T135+1)*R135-ERP_i)*Q135*Ramure*Pc/MaxiM</f>
        <v>0</v>
      </c>
      <c r="Q135" s="305">
        <f t="shared" si="28"/>
        <v>0.7</v>
      </c>
      <c r="R135" s="177">
        <f t="shared" si="29"/>
        <v>5.655167531168348E-2</v>
      </c>
      <c r="S135" s="817">
        <f t="shared" si="30"/>
        <v>-1</v>
      </c>
      <c r="T135" s="176">
        <f t="shared" si="31"/>
        <v>5</v>
      </c>
      <c r="U135" s="251">
        <f t="shared" si="32"/>
        <v>-0.94344832468831652</v>
      </c>
      <c r="V135" s="383">
        <f t="shared" si="33"/>
        <v>38.755230115554681</v>
      </c>
      <c r="W135" s="402">
        <f t="shared" si="34"/>
        <v>31.35730181768896</v>
      </c>
      <c r="X135" s="157">
        <f t="shared" si="35"/>
        <v>46508</v>
      </c>
      <c r="Y135" s="385">
        <f t="shared" si="36"/>
        <v>28.714681305575443</v>
      </c>
      <c r="Z135" s="385">
        <f t="shared" si="37"/>
        <v>30.866328391766327</v>
      </c>
      <c r="AA135" s="386">
        <f t="shared" si="38"/>
        <v>34.302679858970514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0.10017734711492353</v>
      </c>
      <c r="AD135" s="231">
        <f>(INDEX(Models!$BJ135:$BT135,,AH135)*(1-AF135)+INDEX(Models!$BJ135:$BT135,,AH135+1)*AF135-ERP_i)*AE135*Ramure*Pc/MaxiM</f>
        <v>1.4087538103967778E-5</v>
      </c>
      <c r="AE135" s="305">
        <f t="shared" si="40"/>
        <v>0.7</v>
      </c>
      <c r="AF135" s="177">
        <f t="shared" si="41"/>
        <v>0.6804150446877395</v>
      </c>
      <c r="AG135" s="817">
        <f t="shared" si="49"/>
        <v>1</v>
      </c>
      <c r="AH135" s="176">
        <f t="shared" si="42"/>
        <v>7</v>
      </c>
      <c r="AI135" s="225">
        <f t="shared" si="43"/>
        <v>1.6804150446877395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46509</v>
      </c>
      <c r="B136" s="411">
        <f>'2026'!Wh/'2026'!Env_an*'2027'!Env_an</f>
        <v>18.26743723804006</v>
      </c>
      <c r="C136" s="846"/>
      <c r="D136" s="393">
        <f t="shared" si="25"/>
        <v>19.636682039731134</v>
      </c>
      <c r="E136" s="385">
        <f t="shared" si="47"/>
        <v>19.987767882573063</v>
      </c>
      <c r="F136" s="385">
        <f t="shared" si="26"/>
        <v>19.987767882573063</v>
      </c>
      <c r="G136" s="110">
        <f t="shared" si="48"/>
        <v>0.47035077435039907</v>
      </c>
      <c r="H136" s="414" t="b">
        <f>Wh_hp&gt;='2026'!Maxi_hp</f>
        <v>0</v>
      </c>
      <c r="I136" s="390">
        <f>IF(H136,Wh_hp,'2026'!Maxi_hp)</f>
        <v>28.08893330221149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6.9728928691754843E-2</v>
      </c>
      <c r="M136" s="850"/>
      <c r="N136" s="850"/>
      <c r="O136" s="48">
        <f>IF(t&lt;Tnet,'2026'!Resal+('2026'!Salim-'2026'!Resal)*(1-EXP(('2026'!Tnet-t)/('2026'!Tau_j))),Resal+(Salim-Resal)*(1-EXP((Tnet-t)/(Tau_j))))*Salcycl</f>
        <v>1.7565035020645551E-2</v>
      </c>
      <c r="P136" s="169">
        <f>(INDEX(Models!$BJ136:$BT136,,T136)*(1-R136)+INDEX(Models!$BJ136:$BT136,,T136+1)*R136-ERP_i)*Q136*Ramure*Pc/MaxiM</f>
        <v>0</v>
      </c>
      <c r="Q136" s="305">
        <f t="shared" si="28"/>
        <v>0.7</v>
      </c>
      <c r="R136" s="177">
        <f t="shared" si="29"/>
        <v>5.9384160747118608E-2</v>
      </c>
      <c r="S136" s="817">
        <f t="shared" si="30"/>
        <v>-1</v>
      </c>
      <c r="T136" s="176">
        <f t="shared" si="31"/>
        <v>5</v>
      </c>
      <c r="U136" s="251">
        <f t="shared" si="32"/>
        <v>-0.94061583925288139</v>
      </c>
      <c r="V136" s="383">
        <f t="shared" si="33"/>
        <v>38.837901911119836</v>
      </c>
      <c r="W136" s="402">
        <f t="shared" si="34"/>
        <v>18.26743723804006</v>
      </c>
      <c r="X136" s="157">
        <f t="shared" si="35"/>
        <v>46509</v>
      </c>
      <c r="Y136" s="385">
        <f t="shared" si="36"/>
        <v>16.729078934671964</v>
      </c>
      <c r="Z136" s="385">
        <f t="shared" si="37"/>
        <v>17.983015328151364</v>
      </c>
      <c r="AA136" s="386">
        <f t="shared" si="38"/>
        <v>19.987704449813151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0.1002961158794064</v>
      </c>
      <c r="AD136" s="231">
        <f>(INDEX(Models!$BJ136:$BT136,,AH136)*(1-AF136)+INDEX(Models!$BJ136:$BT136,,AH136+1)*AF136-ERP_i)*AE136*Ramure*Pc/MaxiM</f>
        <v>1.304077008808218E-5</v>
      </c>
      <c r="AE136" s="305">
        <f t="shared" si="40"/>
        <v>0.7</v>
      </c>
      <c r="AF136" s="177">
        <f t="shared" si="41"/>
        <v>0.68324753012317463</v>
      </c>
      <c r="AG136" s="817">
        <f t="shared" si="49"/>
        <v>1</v>
      </c>
      <c r="AH136" s="176">
        <f t="shared" si="42"/>
        <v>7</v>
      </c>
      <c r="AI136" s="225">
        <f t="shared" si="43"/>
        <v>1.6832475301231746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46510</v>
      </c>
      <c r="B137" s="411">
        <f>'2026'!Wh/'2026'!Env_an*'2027'!Env_an</f>
        <v>20.298986136478138</v>
      </c>
      <c r="C137" s="846"/>
      <c r="D137" s="393">
        <f t="shared" si="25"/>
        <v>21.820984627159689</v>
      </c>
      <c r="E137" s="385">
        <f t="shared" si="47"/>
        <v>22.215391637027537</v>
      </c>
      <c r="F137" s="385">
        <f t="shared" si="26"/>
        <v>22.215391637027537</v>
      </c>
      <c r="G137" s="110">
        <f t="shared" si="48"/>
        <v>0.52159504264757006</v>
      </c>
      <c r="H137" s="414" t="b">
        <f>Wh_hp&gt;='2026'!Maxi_hp</f>
        <v>0</v>
      </c>
      <c r="I137" s="390">
        <f>IF(H137,Wh_hp,'2026'!Maxi_hp)</f>
        <v>42.400180832539675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6.9749304015694236E-2</v>
      </c>
      <c r="M137" s="850"/>
      <c r="N137" s="850"/>
      <c r="O137" s="48">
        <f>IF(t&lt;Tnet,'2026'!Resal+('2026'!Salim-'2026'!Resal)*(1-EXP(('2026'!Tnet-t)/('2026'!Tau_j))),Resal+(Salim-Resal)*(1-EXP((Tnet-t)/(Tau_j))))*Salcycl</f>
        <v>1.7753772533565026E-2</v>
      </c>
      <c r="P137" s="169">
        <f>(INDEX(Models!$BJ137:$BT137,,T137)*(1-R137)+INDEX(Models!$BJ137:$BT137,,T137+1)*R137-ERP_i)*Q137*Ramure*Pc/MaxiM</f>
        <v>0</v>
      </c>
      <c r="Q137" s="305">
        <f t="shared" si="28"/>
        <v>0.7</v>
      </c>
      <c r="R137" s="177">
        <f t="shared" si="29"/>
        <v>6.2295092012682352E-2</v>
      </c>
      <c r="S137" s="817">
        <f t="shared" si="30"/>
        <v>-1</v>
      </c>
      <c r="T137" s="176">
        <f t="shared" si="31"/>
        <v>5</v>
      </c>
      <c r="U137" s="251">
        <f t="shared" si="32"/>
        <v>-0.93770490798731765</v>
      </c>
      <c r="V137" s="383">
        <f t="shared" si="33"/>
        <v>38.917137773093636</v>
      </c>
      <c r="W137" s="402">
        <f t="shared" si="34"/>
        <v>20.298986136478138</v>
      </c>
      <c r="X137" s="157">
        <f t="shared" si="35"/>
        <v>46510</v>
      </c>
      <c r="Y137" s="385">
        <f t="shared" si="36"/>
        <v>18.590623558622401</v>
      </c>
      <c r="Z137" s="385">
        <f t="shared" si="37"/>
        <v>19.984530663480463</v>
      </c>
      <c r="AA137" s="386">
        <f t="shared" si="38"/>
        <v>22.215306917055678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0.1004161797945969</v>
      </c>
      <c r="AD137" s="231">
        <f>(INDEX(Models!$BJ137:$BT137,,AH137)*(1-AF137)+INDEX(Models!$BJ137:$BT137,,AH137+1)*AF137-ERP_i)*AE137*Ramure*Pc/MaxiM</f>
        <v>1.2046748080195925E-5</v>
      </c>
      <c r="AE137" s="305">
        <f t="shared" si="40"/>
        <v>0.7</v>
      </c>
      <c r="AF137" s="177">
        <f t="shared" si="41"/>
        <v>0.68615846138873837</v>
      </c>
      <c r="AG137" s="817">
        <f t="shared" si="49"/>
        <v>1</v>
      </c>
      <c r="AH137" s="176">
        <f t="shared" si="42"/>
        <v>7</v>
      </c>
      <c r="AI137" s="225">
        <f t="shared" si="43"/>
        <v>1.6861584613887384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46511</v>
      </c>
      <c r="B138" s="411">
        <f>'2026'!Wh/'2026'!Env_an*'2027'!Env_an</f>
        <v>14.149275753469148</v>
      </c>
      <c r="C138" s="846"/>
      <c r="D138" s="393">
        <f t="shared" si="25"/>
        <v>15.210508013366645</v>
      </c>
      <c r="E138" s="385">
        <f t="shared" si="47"/>
        <v>15.488411761251902</v>
      </c>
      <c r="F138" s="385">
        <f t="shared" si="26"/>
        <v>15.488411761251902</v>
      </c>
      <c r="G138" s="110">
        <f t="shared" si="48"/>
        <v>0.36286854319506562</v>
      </c>
      <c r="H138" s="414" t="b">
        <f>Wh_hp&gt;='2026'!Maxi_hp</f>
        <v>0</v>
      </c>
      <c r="I138" s="390">
        <f>IF(H138,Wh_hp,'2026'!Maxi_hp)</f>
        <v>39.79073296578693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6.9769678893361831E-2</v>
      </c>
      <c r="M138" s="850"/>
      <c r="N138" s="850"/>
      <c r="O138" s="48">
        <f>IF(t&lt;Tnet,'2026'!Resal+('2026'!Salim-'2026'!Resal)*(1-EXP(('2026'!Tnet-t)/('2026'!Tau_j))),Resal+(Salim-Resal)*(1-EXP((Tnet-t)/(Tau_j))))*Salcycl</f>
        <v>1.7942688518941697E-2</v>
      </c>
      <c r="P138" s="169">
        <f>(INDEX(Models!$BJ138:$BT138,,T138)*(1-R138)+INDEX(Models!$BJ138:$BT138,,T138+1)*R138-ERP_i)*Q138*Ramure*Pc/MaxiM</f>
        <v>0</v>
      </c>
      <c r="Q138" s="305">
        <f t="shared" si="28"/>
        <v>0.7</v>
      </c>
      <c r="R138" s="177">
        <f t="shared" si="29"/>
        <v>6.5285212928972824E-2</v>
      </c>
      <c r="S138" s="817">
        <f t="shared" si="30"/>
        <v>-1</v>
      </c>
      <c r="T138" s="176">
        <f t="shared" si="31"/>
        <v>5</v>
      </c>
      <c r="U138" s="251">
        <f t="shared" si="32"/>
        <v>-0.93471478707102718</v>
      </c>
      <c r="V138" s="383">
        <f t="shared" si="33"/>
        <v>38.992841950102537</v>
      </c>
      <c r="W138" s="402">
        <f t="shared" si="34"/>
        <v>14.149275753469148</v>
      </c>
      <c r="X138" s="157">
        <f t="shared" si="35"/>
        <v>46511</v>
      </c>
      <c r="Y138" s="385">
        <f t="shared" si="36"/>
        <v>12.959253864975135</v>
      </c>
      <c r="Z138" s="385">
        <f t="shared" si="37"/>
        <v>13.93123140681794</v>
      </c>
      <c r="AA138" s="386">
        <f t="shared" si="38"/>
        <v>15.488396313145026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0.10053751691551935</v>
      </c>
      <c r="AD138" s="231">
        <f>(INDEX(Models!$BJ138:$BT138,,AH138)*(1-AF138)+INDEX(Models!$BJ138:$BT138,,AH138+1)*AF138-ERP_i)*AE138*Ramure*Pc/MaxiM</f>
        <v>1.1105369744990733E-5</v>
      </c>
      <c r="AE138" s="305">
        <f t="shared" si="40"/>
        <v>0.7</v>
      </c>
      <c r="AF138" s="177">
        <f t="shared" si="41"/>
        <v>0.68914858230502873</v>
      </c>
      <c r="AG138" s="817">
        <f t="shared" si="49"/>
        <v>1</v>
      </c>
      <c r="AH138" s="176">
        <f t="shared" si="42"/>
        <v>7</v>
      </c>
      <c r="AI138" s="225">
        <f t="shared" si="43"/>
        <v>1.6891485823050287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46512</v>
      </c>
      <c r="B139" s="411">
        <f>'2026'!Wh/'2026'!Env_an*'2027'!Env_an</f>
        <v>27.669481342205604</v>
      </c>
      <c r="C139" s="846"/>
      <c r="D139" s="393">
        <f t="shared" si="25"/>
        <v>29.745415474326183</v>
      </c>
      <c r="E139" s="385">
        <f t="shared" si="47"/>
        <v>30.294712686159116</v>
      </c>
      <c r="F139" s="385">
        <f t="shared" si="26"/>
        <v>30.294712686159116</v>
      </c>
      <c r="G139" s="110">
        <f t="shared" si="48"/>
        <v>0.70829486362927874</v>
      </c>
      <c r="H139" s="414" t="b">
        <f>Wh_hp&gt;='2026'!Maxi_hp</f>
        <v>0</v>
      </c>
      <c r="I139" s="390">
        <f>IF(H139,Wh_hp,'2026'!Maxi_hp)</f>
        <v>40.603023029597871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6.9790053324767176E-2</v>
      </c>
      <c r="M139" s="850"/>
      <c r="N139" s="850"/>
      <c r="O139" s="48">
        <f>IF(t&lt;Tnet,'2026'!Resal+('2026'!Salim-'2026'!Resal)*(1-EXP(('2026'!Tnet-t)/('2026'!Tau_j))),Resal+(Salim-Resal)*(1-EXP((Tnet-t)/(Tau_j))))*Salcycl</f>
        <v>1.8131784827386494E-2</v>
      </c>
      <c r="P139" s="169">
        <f>(INDEX(Models!$BJ139:$BT139,,T139)*(1-R139)+INDEX(Models!$BJ139:$BT139,,T139+1)*R139-ERP_i)*Q139*Ramure*Pc/MaxiM</f>
        <v>0</v>
      </c>
      <c r="Q139" s="305">
        <f t="shared" si="28"/>
        <v>0.7</v>
      </c>
      <c r="R139" s="177">
        <f t="shared" si="29"/>
        <v>6.8355170995549219E-2</v>
      </c>
      <c r="S139" s="817">
        <f t="shared" si="30"/>
        <v>-1</v>
      </c>
      <c r="T139" s="176">
        <f t="shared" si="31"/>
        <v>5</v>
      </c>
      <c r="U139" s="251">
        <f t="shared" si="32"/>
        <v>-0.93164482900445078</v>
      </c>
      <c r="V139" s="383">
        <f t="shared" si="33"/>
        <v>39.064918811394627</v>
      </c>
      <c r="W139" s="402">
        <f t="shared" si="34"/>
        <v>27.669481342205604</v>
      </c>
      <c r="X139" s="157">
        <f t="shared" si="35"/>
        <v>46512</v>
      </c>
      <c r="Y139" s="385">
        <f t="shared" si="36"/>
        <v>25.343645769347237</v>
      </c>
      <c r="Z139" s="385">
        <f t="shared" si="37"/>
        <v>27.245081457074061</v>
      </c>
      <c r="AA139" s="386">
        <f t="shared" si="38"/>
        <v>30.29453215618798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0.10066010207360261</v>
      </c>
      <c r="AD139" s="231">
        <f>(INDEX(Models!$BJ139:$BT139,,AH139)*(1-AF139)+INDEX(Models!$BJ139:$BT139,,AH139+1)*AF139-ERP_i)*AE139*Ramure*Pc/MaxiM</f>
        <v>1.0216604892311792E-5</v>
      </c>
      <c r="AE139" s="305">
        <f t="shared" si="40"/>
        <v>0.7</v>
      </c>
      <c r="AF139" s="177">
        <f t="shared" si="41"/>
        <v>0.69221854037160524</v>
      </c>
      <c r="AG139" s="817">
        <f t="shared" si="49"/>
        <v>1</v>
      </c>
      <c r="AH139" s="176">
        <f t="shared" si="42"/>
        <v>7</v>
      </c>
      <c r="AI139" s="225">
        <f t="shared" si="43"/>
        <v>1.6922185403716052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46513</v>
      </c>
      <c r="B140" s="411">
        <f>'2026'!Wh/'2026'!Env_an*'2027'!Env_an</f>
        <v>25.675333221696228</v>
      </c>
      <c r="C140" s="846"/>
      <c r="D140" s="393">
        <f t="shared" si="25"/>
        <v>27.602258695981671</v>
      </c>
      <c r="E140" s="385">
        <f t="shared" si="47"/>
        <v>28.117399326686311</v>
      </c>
      <c r="F140" s="385">
        <f t="shared" si="26"/>
        <v>28.117399326686311</v>
      </c>
      <c r="G140" s="110">
        <f t="shared" si="48"/>
        <v>0.65609981884152646</v>
      </c>
      <c r="H140" s="414" t="b">
        <f>Wh_hp&gt;='2026'!Maxi_hp</f>
        <v>0</v>
      </c>
      <c r="I140" s="390">
        <f>IF(H140,Wh_hp,'2026'!Maxi_hp)</f>
        <v>44.619992536921345</v>
      </c>
      <c r="J140" s="85">
        <f>IF(H140,An,'2026'!An_max)</f>
        <v>2019</v>
      </c>
      <c r="K140" s="197">
        <f t="shared" si="27"/>
        <v>46513</v>
      </c>
      <c r="L140" s="147">
        <f>IF(t&lt;Tvie,1-EXP((T0-t)*PertePVj)+'2026'!Pspv,1-EXP((T0-t)*PertePVj)+Pspv)</f>
        <v>6.9810427309920264E-2</v>
      </c>
      <c r="M140" s="850"/>
      <c r="N140" s="850"/>
      <c r="O140" s="48">
        <f>IF(t&lt;Tnet,'2026'!Resal+('2026'!Salim-'2026'!Resal)*(1-EXP(('2026'!Tnet-t)/('2026'!Tau_j))),Resal+(Salim-Resal)*(1-EXP((Tnet-t)/(Tau_j))))*Salcycl</f>
        <v>1.8321062510774911E-2</v>
      </c>
      <c r="P140" s="169">
        <f>(INDEX(Models!$BJ140:$BT140,,T140)*(1-R140)+INDEX(Models!$BJ140:$BT140,,T140+1)*R140-ERP_i)*Q140*Ramure*Pc/MaxiM</f>
        <v>0</v>
      </c>
      <c r="Q140" s="305">
        <f t="shared" si="28"/>
        <v>0.7</v>
      </c>
      <c r="R140" s="177">
        <f t="shared" si="29"/>
        <v>7.1505510356890567E-2</v>
      </c>
      <c r="S140" s="817">
        <f t="shared" si="30"/>
        <v>-1</v>
      </c>
      <c r="T140" s="176">
        <f t="shared" si="31"/>
        <v>5</v>
      </c>
      <c r="U140" s="251">
        <f t="shared" si="32"/>
        <v>-0.92849448964310943</v>
      </c>
      <c r="V140" s="383">
        <f t="shared" si="33"/>
        <v>39.133272841061114</v>
      </c>
      <c r="W140" s="402">
        <f t="shared" si="34"/>
        <v>25.675333221696228</v>
      </c>
      <c r="X140" s="157">
        <f t="shared" si="35"/>
        <v>46513</v>
      </c>
      <c r="Y140" s="385">
        <f t="shared" si="36"/>
        <v>23.51844556818531</v>
      </c>
      <c r="Z140" s="385">
        <f t="shared" si="37"/>
        <v>25.283497319982512</v>
      </c>
      <c r="AA140" s="386">
        <f t="shared" si="38"/>
        <v>28.11726515072035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0.10078390681126521</v>
      </c>
      <c r="AD140" s="231">
        <f>(INDEX(Models!$BJ140:$BT140,,AH140)*(1-AF140)+INDEX(Models!$BJ140:$BT140,,AH140+1)*AF140-ERP_i)*AE140*Ramure*Pc/MaxiM</f>
        <v>9.380497433830795E-6</v>
      </c>
      <c r="AE140" s="305">
        <f t="shared" si="40"/>
        <v>0.7</v>
      </c>
      <c r="AF140" s="177">
        <f t="shared" si="41"/>
        <v>0.6953688797329467</v>
      </c>
      <c r="AG140" s="817">
        <f t="shared" si="49"/>
        <v>1</v>
      </c>
      <c r="AH140" s="176">
        <f t="shared" si="42"/>
        <v>7</v>
      </c>
      <c r="AI140" s="225">
        <f t="shared" si="43"/>
        <v>1.6953688797329467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46514</v>
      </c>
      <c r="B141" s="411">
        <f>'2026'!Wh/'2026'!Env_an*'2027'!Env_an</f>
        <v>31.912556828230663</v>
      </c>
      <c r="C141" s="846"/>
      <c r="D141" s="393">
        <f t="shared" si="25"/>
        <v>34.308335362375615</v>
      </c>
      <c r="E141" s="385">
        <f t="shared" si="47"/>
        <v>34.955377641753962</v>
      </c>
      <c r="F141" s="385">
        <f t="shared" si="26"/>
        <v>34.955377641753962</v>
      </c>
      <c r="G141" s="110">
        <f t="shared" si="48"/>
        <v>0.81414134950341266</v>
      </c>
      <c r="H141" s="414" t="b">
        <f>Wh_hp&gt;='2026'!Maxi_hp</f>
        <v>0</v>
      </c>
      <c r="I141" s="390">
        <f>IF(H141,Wh_hp,'2026'!Maxi_hp)</f>
        <v>41.484775655026766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6.9830800848830754E-2</v>
      </c>
      <c r="M141" s="850"/>
      <c r="N141" s="850"/>
      <c r="O141" s="48">
        <f>IF(t&lt;Tnet,'2026'!Resal+('2026'!Salim-'2026'!Resal)*(1-EXP(('2026'!Tnet-t)/('2026'!Tau_j))),Resal+(Salim-Resal)*(1-EXP((Tnet-t)/(Tau_j))))*Salcycl</f>
        <v>1.8510521786080286E-2</v>
      </c>
      <c r="P141" s="169">
        <f>(INDEX(Models!$BJ141:$BT141,,T141)*(1-R141)+INDEX(Models!$BJ141:$BT141,,T141+1)*R141-ERP_i)*Q141*Ramure*Pc/MaxiM</f>
        <v>0</v>
      </c>
      <c r="Q141" s="305">
        <f t="shared" si="28"/>
        <v>0.7</v>
      </c>
      <c r="R141" s="177">
        <f t="shared" si="29"/>
        <v>7.4736664762042881E-2</v>
      </c>
      <c r="S141" s="817">
        <f t="shared" si="30"/>
        <v>-1</v>
      </c>
      <c r="T141" s="176">
        <f t="shared" si="31"/>
        <v>5</v>
      </c>
      <c r="U141" s="251">
        <f t="shared" si="32"/>
        <v>-0.92526333523795712</v>
      </c>
      <c r="V141" s="383">
        <f t="shared" si="33"/>
        <v>39.197808645508303</v>
      </c>
      <c r="W141" s="402">
        <f t="shared" si="34"/>
        <v>31.912556828230663</v>
      </c>
      <c r="X141" s="157">
        <f t="shared" si="35"/>
        <v>46514</v>
      </c>
      <c r="Y141" s="385">
        <f t="shared" si="36"/>
        <v>29.233237139087596</v>
      </c>
      <c r="Z141" s="385">
        <f t="shared" si="37"/>
        <v>31.427870505457005</v>
      </c>
      <c r="AA141" s="386">
        <f t="shared" si="38"/>
        <v>34.955156915563066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0.10090889932568455</v>
      </c>
      <c r="AD141" s="231">
        <f>(INDEX(Models!$BJ141:$BT141,,AH141)*(1-AF141)+INDEX(Models!$BJ141:$BT141,,AH141+1)*AF141-ERP_i)*AE141*Ramure*Pc/MaxiM</f>
        <v>8.5971672801317572E-6</v>
      </c>
      <c r="AE141" s="305">
        <f t="shared" si="40"/>
        <v>0.7</v>
      </c>
      <c r="AF141" s="177">
        <f t="shared" si="41"/>
        <v>0.6986000341380989</v>
      </c>
      <c r="AG141" s="817">
        <f t="shared" si="49"/>
        <v>1</v>
      </c>
      <c r="AH141" s="176">
        <f t="shared" si="42"/>
        <v>7</v>
      </c>
      <c r="AI141" s="225">
        <f t="shared" si="43"/>
        <v>1.6986000341380989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46515</v>
      </c>
      <c r="B142" s="411">
        <f>'2026'!Wh/'2026'!Env_an*'2027'!Env_an</f>
        <v>32.919941348897353</v>
      </c>
      <c r="C142" s="846"/>
      <c r="D142" s="393">
        <f t="shared" si="25"/>
        <v>35.392122665354215</v>
      </c>
      <c r="E142" s="385">
        <f t="shared" si="47"/>
        <v>36.066573431333197</v>
      </c>
      <c r="F142" s="385">
        <f t="shared" si="26"/>
        <v>36.066573431333197</v>
      </c>
      <c r="G142" s="110">
        <f t="shared" si="48"/>
        <v>0.83854449986401502</v>
      </c>
      <c r="H142" s="414" t="b">
        <f>Wh_hp&gt;='2026'!Maxi_hp</f>
        <v>0</v>
      </c>
      <c r="I142" s="390">
        <f>IF(H142,Wh_hp,'2026'!Maxi_hp)</f>
        <v>40.780889517262061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6.9851173941508526E-2</v>
      </c>
      <c r="M142" s="850"/>
      <c r="N142" s="850"/>
      <c r="O142" s="48">
        <f>IF(t&lt;Tnet,'2026'!Resal+('2026'!Salim-'2026'!Resal)*(1-EXP(('2026'!Tnet-t)/('2026'!Tau_j))),Resal+(Salim-Resal)*(1-EXP((Tnet-t)/(Tau_j))))*Salcycl</f>
        <v>1.8700162000780767E-2</v>
      </c>
      <c r="P142" s="169">
        <f>(INDEX(Models!$BJ142:$BT142,,T142)*(1-R142)+INDEX(Models!$BJ142:$BT142,,T142+1)*R142-ERP_i)*Q142*Ramure*Pc/MaxiM</f>
        <v>0</v>
      </c>
      <c r="Q142" s="305">
        <f t="shared" si="28"/>
        <v>0.7</v>
      </c>
      <c r="R142" s="177">
        <f t="shared" si="29"/>
        <v>7.80489505601758E-2</v>
      </c>
      <c r="S142" s="817">
        <f t="shared" si="30"/>
        <v>-1</v>
      </c>
      <c r="T142" s="176">
        <f t="shared" si="31"/>
        <v>5</v>
      </c>
      <c r="U142" s="251">
        <f t="shared" si="32"/>
        <v>-0.9219510494398242</v>
      </c>
      <c r="V142" s="383">
        <f t="shared" si="33"/>
        <v>39.258430952961838</v>
      </c>
      <c r="W142" s="402">
        <f t="shared" si="34"/>
        <v>32.919941348897353</v>
      </c>
      <c r="X142" s="157">
        <f t="shared" si="35"/>
        <v>46515</v>
      </c>
      <c r="Y142" s="385">
        <f t="shared" si="36"/>
        <v>30.157646755912218</v>
      </c>
      <c r="Z142" s="385">
        <f t="shared" si="37"/>
        <v>32.422388666236714</v>
      </c>
      <c r="AA142" s="386">
        <f t="shared" si="38"/>
        <v>36.066354383552792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0.10103504442294907</v>
      </c>
      <c r="AD142" s="231">
        <f>(INDEX(Models!$BJ142:$BT142,,AH142)*(1-AF142)+INDEX(Models!$BJ142:$BT142,,AH142+1)*AF142-ERP_i)*AE142*Ramure*Pc/MaxiM</f>
        <v>7.8942416915559148E-6</v>
      </c>
      <c r="AE142" s="305">
        <f t="shared" si="40"/>
        <v>0.7</v>
      </c>
      <c r="AF142" s="177">
        <f t="shared" si="41"/>
        <v>0.70191231993623182</v>
      </c>
      <c r="AG142" s="817">
        <f t="shared" si="49"/>
        <v>1</v>
      </c>
      <c r="AH142" s="176">
        <f t="shared" si="42"/>
        <v>7</v>
      </c>
      <c r="AI142" s="225">
        <f t="shared" si="43"/>
        <v>1.7019123199362318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46516</v>
      </c>
      <c r="B143" s="411">
        <f>'2026'!Wh/'2026'!Env_an*'2027'!Env_an</f>
        <v>37.093363620967622</v>
      </c>
      <c r="C143" s="846"/>
      <c r="D143" s="393">
        <f t="shared" ref="D143:D206" si="50">Wh/(1-Ppv)</f>
        <v>39.879828947169806</v>
      </c>
      <c r="E143" s="385">
        <f t="shared" si="47"/>
        <v>40.647662544730217</v>
      </c>
      <c r="F143" s="385">
        <f t="shared" ref="F143:F206" si="51">Wh_sa/(1-Pvg*MEDIAN((-Sdif+Wh/Env_an)/Csdif,0,1))</f>
        <v>40.647662544730217</v>
      </c>
      <c r="G143" s="110">
        <f t="shared" si="48"/>
        <v>0.9434903096571321</v>
      </c>
      <c r="H143" s="414" t="b">
        <f>Wh_hp&gt;='2026'!Maxi_hp</f>
        <v>1</v>
      </c>
      <c r="I143" s="390">
        <f>IF(H143,Wh_hp,'2026'!Maxi_hp)</f>
        <v>40.647662544730217</v>
      </c>
      <c r="J143" s="85">
        <f>IF(H143,An,'2026'!An_max)</f>
        <v>2027</v>
      </c>
      <c r="K143" s="197">
        <f t="shared" ref="K143:K206" si="52">t</f>
        <v>46516</v>
      </c>
      <c r="L143" s="147">
        <f>IF(t&lt;Tvie,1-EXP((T0-t)*PertePVj)+'2026'!Pspv,1-EXP((T0-t)*PertePVj)+Pspv)</f>
        <v>6.987154658796324E-2</v>
      </c>
      <c r="M143" s="850"/>
      <c r="N143" s="850"/>
      <c r="O143" s="48">
        <f>IF(t&lt;Tnet,'2026'!Resal+('2026'!Salim-'2026'!Resal)*(1-EXP(('2026'!Tnet-t)/('2026'!Tau_j))),Resal+(Salim-Resal)*(1-EXP((Tnet-t)/(Tau_j))))*Salcycl</f>
        <v>1.8889981600183285E-2</v>
      </c>
      <c r="P143" s="169">
        <f>(INDEX(Models!$BJ143:$BT143,,T143)*(1-R143)+INDEX(Models!$BJ143:$BT143,,T143+1)*R143-ERP_i)*Q143*Ramure*Pc/MaxiM</f>
        <v>0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8.144255977752124E-2</v>
      </c>
      <c r="S143" s="817">
        <f t="shared" ref="S143:S206" si="55">INDEX(Echel_vg,T143)</f>
        <v>-1</v>
      </c>
      <c r="T143" s="176">
        <f t="shared" ref="T143:T206" si="56">MIN(MATCH(Hp_vg,Echel_vg),10)</f>
        <v>5</v>
      </c>
      <c r="U143" s="251">
        <f t="shared" ref="U143:U206" si="57">IF(OR(t&lt;Ttai,Notai),Hdd+PousH*Croivg,Hdtf+PousH*(Croivg-Croi_tai))</f>
        <v>-0.91855744022247876</v>
      </c>
      <c r="V143" s="383">
        <f t="shared" ref="V143:V206" si="58">MaxiM*(1-Ppv)*(1-Pvg)*(1-Psa)</f>
        <v>39.315044618155639</v>
      </c>
      <c r="W143" s="402">
        <f t="shared" ref="W143:W206" si="59">Wh*(A143&gt;Tmaj)</f>
        <v>37.093363620967622</v>
      </c>
      <c r="X143" s="157">
        <f t="shared" ref="X143:X206" si="60">t</f>
        <v>46516</v>
      </c>
      <c r="Y143" s="385">
        <f t="shared" ref="Y143:Y206" si="61">Wh_pvt_s*(1-Ppv)</f>
        <v>33.982622843638282</v>
      </c>
      <c r="Z143" s="385">
        <f t="shared" ref="Z143:Z206" si="62">Wh_sa_s*(1-Psa_s)</f>
        <v>36.535408328793864</v>
      </c>
      <c r="AA143" s="386">
        <f t="shared" ref="AA143:AA206" si="63">Wh_hp*(1-Pvg_s*MEDIAN((-Sdif+Wh/Env_an)/Csdif,0,1))</f>
        <v>40.647392149216948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0.1011623034837746</v>
      </c>
      <c r="AD143" s="231">
        <f>(INDEX(Models!$BJ143:$BT143,,AH143)*(1-AF143)+INDEX(Models!$BJ143:$BT143,,AH143+1)*AF143-ERP_i)*AE143*Ramure*Pc/MaxiM</f>
        <v>7.2363561510123673E-6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0.70530592915357726</v>
      </c>
      <c r="AG143" s="817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1.7053059291535773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46517</v>
      </c>
      <c r="B144" s="411">
        <f>'2026'!Wh/'2026'!Env_an*'2027'!Env_an</f>
        <v>34.286163318838327</v>
      </c>
      <c r="C144" s="846"/>
      <c r="D144" s="393">
        <f t="shared" si="50"/>
        <v>36.862558246100228</v>
      </c>
      <c r="E144" s="385">
        <f t="shared" ref="E144:E169" si="72">Wh_pvt/(1-Psa)</f>
        <v>37.579575727883395</v>
      </c>
      <c r="F144" s="385">
        <f t="shared" si="51"/>
        <v>37.579575727883395</v>
      </c>
      <c r="G144" s="110">
        <f t="shared" ref="G144:G169" si="73">+Wh_hp/MaxiM</f>
        <v>0.87092438554929219</v>
      </c>
      <c r="H144" s="414" t="b">
        <f>Wh_hp&gt;='2026'!Maxi_hp</f>
        <v>1</v>
      </c>
      <c r="I144" s="390">
        <f>IF(H144,Wh_hp,'2026'!Maxi_hp)</f>
        <v>37.579575727883395</v>
      </c>
      <c r="J144" s="85">
        <f>IF(H144,An,'2026'!An_max)</f>
        <v>2027</v>
      </c>
      <c r="K144" s="197">
        <f t="shared" si="52"/>
        <v>46517</v>
      </c>
      <c r="L144" s="147">
        <f>IF(t&lt;Tvie,1-EXP((T0-t)*PertePVj)+'2026'!Pspv,1-EXP((T0-t)*PertePVj)+Pspv)</f>
        <v>6.9891918788204666E-2</v>
      </c>
      <c r="M144" s="850"/>
      <c r="N144" s="850"/>
      <c r="O144" s="48">
        <f>IF(t&lt;Tnet,'2026'!Resal+('2026'!Salim-'2026'!Resal)*(1-EXP(('2026'!Tnet-t)/('2026'!Tau_j))),Resal+(Salim-Resal)*(1-EXP((Tnet-t)/(Tau_j))))*Salcycl</f>
        <v>1.9079978097016038E-2</v>
      </c>
      <c r="P144" s="169">
        <f>(INDEX(Models!$BJ144:$BT144,,T144)*(1-R144)+INDEX(Models!$BJ144:$BT144,,T144+1)*R144-ERP_i)*Q144*Ramure*Pc/MaxiM</f>
        <v>0</v>
      </c>
      <c r="Q144" s="305">
        <f t="shared" si="53"/>
        <v>0.7</v>
      </c>
      <c r="R144" s="177">
        <f t="shared" si="54"/>
        <v>8.4917553324239448E-2</v>
      </c>
      <c r="S144" s="817">
        <f t="shared" si="55"/>
        <v>-1</v>
      </c>
      <c r="T144" s="176">
        <f t="shared" si="56"/>
        <v>5</v>
      </c>
      <c r="U144" s="251">
        <f t="shared" si="57"/>
        <v>-0.91508244667576055</v>
      </c>
      <c r="V144" s="383">
        <f t="shared" si="58"/>
        <v>39.367554620960618</v>
      </c>
      <c r="W144" s="402">
        <f t="shared" si="59"/>
        <v>34.286163318838327</v>
      </c>
      <c r="X144" s="157">
        <f t="shared" si="60"/>
        <v>46517</v>
      </c>
      <c r="Y144" s="385">
        <f t="shared" si="61"/>
        <v>31.412479028212843</v>
      </c>
      <c r="Z144" s="385">
        <f t="shared" si="62"/>
        <v>33.772934202750889</v>
      </c>
      <c r="AA144" s="386">
        <f t="shared" si="63"/>
        <v>37.579372706079546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0.10129063444193299</v>
      </c>
      <c r="AD144" s="231">
        <f>(INDEX(Models!$BJ144:$BT144,,AH144)*(1-AF144)+INDEX(Models!$BJ144:$BT144,,AH144+1)*AF144-ERP_i)*AE144*Ramure*Pc/MaxiM</f>
        <v>6.6238464507488573E-6</v>
      </c>
      <c r="AE144" s="305">
        <f t="shared" si="65"/>
        <v>0.7</v>
      </c>
      <c r="AF144" s="177">
        <f t="shared" si="66"/>
        <v>0.70878092270029547</v>
      </c>
      <c r="AG144" s="817">
        <f t="shared" ref="AG144:AG207" si="74">INDEX(Echel_vg,AH144)</f>
        <v>1</v>
      </c>
      <c r="AH144" s="176">
        <f t="shared" si="67"/>
        <v>7</v>
      </c>
      <c r="AI144" s="225">
        <f t="shared" si="68"/>
        <v>1.7087809227002955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46518</v>
      </c>
      <c r="B145" s="411">
        <f>'2026'!Wh/'2026'!Env_an*'2027'!Env_an</f>
        <v>36.971441992738029</v>
      </c>
      <c r="C145" s="846"/>
      <c r="D145" s="393">
        <f t="shared" si="50"/>
        <v>39.750489783691947</v>
      </c>
      <c r="E145" s="385">
        <f t="shared" si="72"/>
        <v>40.53153853163321</v>
      </c>
      <c r="F145" s="385">
        <f t="shared" si="51"/>
        <v>40.53153853163321</v>
      </c>
      <c r="G145" s="110">
        <f t="shared" si="73"/>
        <v>0.93798375328865224</v>
      </c>
      <c r="H145" s="414" t="b">
        <f>Wh_hp&gt;='2026'!Maxi_hp</f>
        <v>1</v>
      </c>
      <c r="I145" s="390">
        <f>IF(H145,Wh_hp,'2026'!Maxi_hp)</f>
        <v>40.53153853163321</v>
      </c>
      <c r="J145" s="85">
        <f>IF(H145,An,'2026'!An_max)</f>
        <v>2027</v>
      </c>
      <c r="K145" s="197">
        <f t="shared" si="52"/>
        <v>46518</v>
      </c>
      <c r="L145" s="147">
        <f>IF(t&lt;Tvie,1-EXP((T0-t)*PertePVj)+'2026'!Pspv,1-EXP((T0-t)*PertePVj)+Pspv)</f>
        <v>6.9912290542242683E-2</v>
      </c>
      <c r="M145" s="850"/>
      <c r="N145" s="850"/>
      <c r="O145" s="48">
        <f>IF(t&lt;Tnet,'2026'!Resal+('2026'!Salim-'2026'!Resal)*(1-EXP(('2026'!Tnet-t)/('2026'!Tau_j))),Resal+(Salim-Resal)*(1-EXP((Tnet-t)/(Tau_j))))*Salcycl</f>
        <v>1.9270148043644832E-2</v>
      </c>
      <c r="P145" s="169">
        <f>(INDEX(Models!$BJ145:$BT145,,T145)*(1-R145)+INDEX(Models!$BJ145:$BT145,,T145+1)*R145-ERP_i)*Q145*Ramure*Pc/MaxiM</f>
        <v>0</v>
      </c>
      <c r="Q145" s="305">
        <f t="shared" si="53"/>
        <v>0.7</v>
      </c>
      <c r="R145" s="177">
        <f t="shared" si="54"/>
        <v>8.8473854382603689E-2</v>
      </c>
      <c r="S145" s="817">
        <f t="shared" si="55"/>
        <v>-1</v>
      </c>
      <c r="T145" s="176">
        <f t="shared" si="56"/>
        <v>5</v>
      </c>
      <c r="U145" s="251">
        <f t="shared" si="57"/>
        <v>-0.91152614561739631</v>
      </c>
      <c r="V145" s="383">
        <f t="shared" si="58"/>
        <v>39.415866067096516</v>
      </c>
      <c r="W145" s="402">
        <f t="shared" si="59"/>
        <v>36.971441992738029</v>
      </c>
      <c r="X145" s="157">
        <f t="shared" si="60"/>
        <v>46518</v>
      </c>
      <c r="Y145" s="385">
        <f t="shared" si="61"/>
        <v>33.874379558076377</v>
      </c>
      <c r="Z145" s="385">
        <f t="shared" si="62"/>
        <v>36.420629166065638</v>
      </c>
      <c r="AA145" s="386">
        <f t="shared" si="63"/>
        <v>40.531314777488944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0.10141999177649129</v>
      </c>
      <c r="AD145" s="231">
        <f>(INDEX(Models!$BJ145:$BT145,,AH145)*(1-AF145)+INDEX(Models!$BJ145:$BT145,,AH145+1)*AF145-ERP_i)*AE145*Ramure*Pc/MaxiM</f>
        <v>6.05712336832506E-6</v>
      </c>
      <c r="AE145" s="305">
        <f t="shared" si="65"/>
        <v>0.7</v>
      </c>
      <c r="AF145" s="177">
        <f t="shared" si="66"/>
        <v>0.71233722375865982</v>
      </c>
      <c r="AG145" s="817">
        <f t="shared" si="74"/>
        <v>1</v>
      </c>
      <c r="AH145" s="176">
        <f t="shared" si="67"/>
        <v>7</v>
      </c>
      <c r="AI145" s="225">
        <f t="shared" si="68"/>
        <v>1.7123372237586598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46519</v>
      </c>
      <c r="B146" s="411">
        <f>'2026'!Wh/'2026'!Env_an*'2027'!Env_an</f>
        <v>28.450714365752663</v>
      </c>
      <c r="C146" s="846"/>
      <c r="D146" s="393">
        <f t="shared" si="50"/>
        <v>30.589951069937296</v>
      </c>
      <c r="E146" s="385">
        <f t="shared" si="72"/>
        <v>31.1970610715859</v>
      </c>
      <c r="F146" s="385">
        <f t="shared" si="51"/>
        <v>31.1970610715859</v>
      </c>
      <c r="G146" s="110">
        <f t="shared" si="73"/>
        <v>0.72100349372040817</v>
      </c>
      <c r="H146" s="414" t="b">
        <f>Wh_hp&gt;='2026'!Maxi_hp</f>
        <v>0</v>
      </c>
      <c r="I146" s="390">
        <f>IF(H146,Wh_hp,'2026'!Maxi_hp)</f>
        <v>40.951725833965142</v>
      </c>
      <c r="J146" s="85">
        <f>IF(H146,An,'2026'!An_max)</f>
        <v>2019</v>
      </c>
      <c r="K146" s="197">
        <f t="shared" si="52"/>
        <v>46519</v>
      </c>
      <c r="L146" s="147">
        <f>IF(t&lt;Tvie,1-EXP((T0-t)*PertePVj)+'2026'!Pspv,1-EXP((T0-t)*PertePVj)+Pspv)</f>
        <v>6.9932661850087063E-2</v>
      </c>
      <c r="M146" s="850"/>
      <c r="N146" s="850"/>
      <c r="O146" s="48">
        <f>IF(t&lt;Tnet,'2026'!Resal+('2026'!Salim-'2026'!Resal)*(1-EXP(('2026'!Tnet-t)/('2026'!Tau_j))),Resal+(Salim-Resal)*(1-EXP((Tnet-t)/(Tau_j))))*Salcycl</f>
        <v>1.9460487007269902E-2</v>
      </c>
      <c r="P146" s="169">
        <f>(INDEX(Models!$BJ146:$BT146,,T146)*(1-R146)+INDEX(Models!$BJ146:$BT146,,T146+1)*R146-ERP_i)*Q146*Ramure*Pc/MaxiM</f>
        <v>0</v>
      </c>
      <c r="Q146" s="305">
        <f t="shared" si="53"/>
        <v>0.7</v>
      </c>
      <c r="R146" s="177">
        <f t="shared" si="54"/>
        <v>9.2111242030432416E-2</v>
      </c>
      <c r="S146" s="817">
        <f t="shared" si="55"/>
        <v>-1</v>
      </c>
      <c r="T146" s="176">
        <f t="shared" si="56"/>
        <v>5</v>
      </c>
      <c r="U146" s="251">
        <f t="shared" si="57"/>
        <v>-0.90788875796956758</v>
      </c>
      <c r="V146" s="383">
        <f t="shared" si="58"/>
        <v>39.459884194105342</v>
      </c>
      <c r="W146" s="402">
        <f t="shared" si="59"/>
        <v>28.450714365752663</v>
      </c>
      <c r="X146" s="157">
        <f t="shared" si="60"/>
        <v>46519</v>
      </c>
      <c r="Y146" s="385">
        <f t="shared" si="61"/>
        <v>26.068760692547201</v>
      </c>
      <c r="Z146" s="385">
        <f t="shared" si="62"/>
        <v>28.028895998437164</v>
      </c>
      <c r="AA146" s="386">
        <f t="shared" si="63"/>
        <v>31.196957187192663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0.10155032651889803</v>
      </c>
      <c r="AD146" s="231">
        <f>(INDEX(Models!$BJ146:$BT146,,AH146)*(1-AF146)+INDEX(Models!$BJ146:$BT146,,AH146+1)*AF146-ERP_i)*AE146*Ramure*Pc/MaxiM</f>
        <v>5.5366741479901114E-6</v>
      </c>
      <c r="AE146" s="305">
        <f t="shared" si="65"/>
        <v>0.7</v>
      </c>
      <c r="AF146" s="177">
        <f t="shared" si="66"/>
        <v>0.71597461140648844</v>
      </c>
      <c r="AG146" s="817">
        <f t="shared" si="74"/>
        <v>1</v>
      </c>
      <c r="AH146" s="176">
        <f t="shared" si="67"/>
        <v>7</v>
      </c>
      <c r="AI146" s="225">
        <f t="shared" si="68"/>
        <v>1.7159746114064884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46520</v>
      </c>
      <c r="B147" s="411">
        <f>'2026'!Wh/'2026'!Env_an*'2027'!Env_an</f>
        <v>31.057787029853166</v>
      </c>
      <c r="C147" s="846"/>
      <c r="D147" s="393">
        <f t="shared" si="50"/>
        <v>33.393783456343797</v>
      </c>
      <c r="E147" s="385">
        <f t="shared" si="72"/>
        <v>34.063158222562791</v>
      </c>
      <c r="F147" s="385">
        <f t="shared" si="51"/>
        <v>34.063158222562791</v>
      </c>
      <c r="G147" s="110">
        <f t="shared" si="73"/>
        <v>0.78628275633076161</v>
      </c>
      <c r="H147" s="414" t="b">
        <f>Wh_hp&gt;='2026'!Maxi_hp</f>
        <v>0</v>
      </c>
      <c r="I147" s="390">
        <f>IF(H147,Wh_hp,'2026'!Maxi_hp)</f>
        <v>45.292153927540518</v>
      </c>
      <c r="J147" s="85">
        <f>IF(H147,An,'2026'!An_max)</f>
        <v>2019</v>
      </c>
      <c r="K147" s="197">
        <f t="shared" si="52"/>
        <v>46520</v>
      </c>
      <c r="L147" s="147">
        <f>IF(t&lt;Tvie,1-EXP((T0-t)*PertePVj)+'2026'!Pspv,1-EXP((T0-t)*PertePVj)+Pspv)</f>
        <v>6.9953032711747465E-2</v>
      </c>
      <c r="M147" s="850"/>
      <c r="N147" s="850"/>
      <c r="O147" s="48">
        <f>IF(t&lt;Tnet,'2026'!Resal+('2026'!Salim-'2026'!Resal)*(1-EXP(('2026'!Tnet-t)/('2026'!Tau_j))),Resal+(Salim-Resal)*(1-EXP((Tnet-t)/(Tau_j))))*Salcycl</f>
        <v>1.9650989548456187E-2</v>
      </c>
      <c r="P147" s="169">
        <f>(INDEX(Models!$BJ147:$BT147,,T147)*(1-R147)+INDEX(Models!$BJ147:$BT147,,T147+1)*R147-ERP_i)*Q147*Ramure*Pc/MaxiM</f>
        <v>0</v>
      </c>
      <c r="Q147" s="305">
        <f t="shared" si="53"/>
        <v>0.7</v>
      </c>
      <c r="R147" s="177">
        <f t="shared" si="54"/>
        <v>9.5829345155884593E-2</v>
      </c>
      <c r="S147" s="817">
        <f t="shared" si="55"/>
        <v>-1</v>
      </c>
      <c r="T147" s="176">
        <f t="shared" si="56"/>
        <v>5</v>
      </c>
      <c r="U147" s="251">
        <f t="shared" si="57"/>
        <v>-0.90417065484411541</v>
      </c>
      <c r="V147" s="383">
        <f t="shared" si="58"/>
        <v>39.499514366544553</v>
      </c>
      <c r="W147" s="402">
        <f t="shared" si="59"/>
        <v>31.057787029853166</v>
      </c>
      <c r="X147" s="157">
        <f t="shared" si="60"/>
        <v>46520</v>
      </c>
      <c r="Y147" s="385">
        <f t="shared" si="61"/>
        <v>28.458929983369057</v>
      </c>
      <c r="Z147" s="385">
        <f t="shared" si="62"/>
        <v>30.59945463436868</v>
      </c>
      <c r="AA147" s="386">
        <f t="shared" si="63"/>
        <v>34.063038413644065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0.10168158627587473</v>
      </c>
      <c r="AD147" s="231">
        <f>(INDEX(Models!$BJ147:$BT147,,AH147)*(1-AF147)+INDEX(Models!$BJ147:$BT147,,AH147+1)*AF147-ERP_i)*AE147*Ramure*Pc/MaxiM</f>
        <v>5.0630638838107607E-6</v>
      </c>
      <c r="AE147" s="305">
        <f t="shared" si="65"/>
        <v>0.7</v>
      </c>
      <c r="AF147" s="177">
        <f t="shared" si="66"/>
        <v>0.7196927145319405</v>
      </c>
      <c r="AG147" s="817">
        <f t="shared" si="74"/>
        <v>1</v>
      </c>
      <c r="AH147" s="176">
        <f t="shared" si="67"/>
        <v>7</v>
      </c>
      <c r="AI147" s="225">
        <f t="shared" si="68"/>
        <v>1.7196927145319405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46521</v>
      </c>
      <c r="B148" s="411">
        <f>'2026'!Wh/'2026'!Env_an*'2027'!Env_an</f>
        <v>32.344617517615809</v>
      </c>
      <c r="C148" s="846"/>
      <c r="D148" s="393">
        <f t="shared" si="50"/>
        <v>34.778164007755535</v>
      </c>
      <c r="E148" s="385">
        <f t="shared" si="72"/>
        <v>35.48218915799513</v>
      </c>
      <c r="F148" s="385">
        <f t="shared" si="51"/>
        <v>35.48218915799513</v>
      </c>
      <c r="G148" s="110">
        <f t="shared" si="73"/>
        <v>0.81813314729520159</v>
      </c>
      <c r="H148" s="414" t="b">
        <f>Wh_hp&gt;='2026'!Maxi_hp</f>
        <v>0</v>
      </c>
      <c r="I148" s="390">
        <f>IF(H148,Wh_hp,'2026'!Maxi_hp)</f>
        <v>43.95743971785987</v>
      </c>
      <c r="J148" s="85">
        <f>IF(H148,An,'2026'!An_max)</f>
        <v>2019</v>
      </c>
      <c r="K148" s="197">
        <f t="shared" si="52"/>
        <v>46521</v>
      </c>
      <c r="L148" s="147">
        <f>IF(t&lt;Tvie,1-EXP((T0-t)*PertePVj)+'2026'!Pspv,1-EXP((T0-t)*PertePVj)+Pspv)</f>
        <v>6.9973403127233658E-2</v>
      </c>
      <c r="M148" s="850"/>
      <c r="N148" s="850"/>
      <c r="O148" s="48">
        <f>IF(t&lt;Tnet,'2026'!Resal+('2026'!Salim-'2026'!Resal)*(1-EXP(('2026'!Tnet-t)/('2026'!Tau_j))),Resal+(Salim-Resal)*(1-EXP((Tnet-t)/(Tau_j))))*Salcycl</f>
        <v>1.9841649203342838E-2</v>
      </c>
      <c r="P148" s="169">
        <f>(INDEX(Models!$BJ148:$BT148,,T148)*(1-R148)+INDEX(Models!$BJ148:$BT148,,T148+1)*R148-ERP_i)*Q148*Ramure*Pc/MaxiM</f>
        <v>0</v>
      </c>
      <c r="Q148" s="305">
        <f t="shared" si="53"/>
        <v>0.7</v>
      </c>
      <c r="R148" s="177">
        <f t="shared" si="54"/>
        <v>9.9627636721487001E-2</v>
      </c>
      <c r="S148" s="817">
        <f t="shared" si="55"/>
        <v>-1</v>
      </c>
      <c r="T148" s="176">
        <f t="shared" si="56"/>
        <v>5</v>
      </c>
      <c r="U148" s="251">
        <f t="shared" si="57"/>
        <v>-0.900372363278513</v>
      </c>
      <c r="V148" s="383">
        <f t="shared" si="58"/>
        <v>39.534662083487383</v>
      </c>
      <c r="W148" s="402">
        <f t="shared" si="59"/>
        <v>32.344617517615809</v>
      </c>
      <c r="X148" s="157">
        <f t="shared" si="60"/>
        <v>46521</v>
      </c>
      <c r="Y148" s="385">
        <f t="shared" si="61"/>
        <v>29.639488460827067</v>
      </c>
      <c r="Z148" s="385">
        <f t="shared" si="62"/>
        <v>31.869506270563079</v>
      </c>
      <c r="AA148" s="386">
        <f t="shared" si="63"/>
        <v>35.482067375485478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0.10181371526897877</v>
      </c>
      <c r="AD148" s="231">
        <f>(INDEX(Models!$BJ148:$BT148,,AH148)*(1-AF148)+INDEX(Models!$BJ148:$BT148,,AH148+1)*AF148-ERP_i)*AE148*Ramure*Pc/MaxiM</f>
        <v>4.6369367916950445E-6</v>
      </c>
      <c r="AE148" s="305">
        <f t="shared" si="65"/>
        <v>0.7</v>
      </c>
      <c r="AF148" s="177">
        <f t="shared" si="66"/>
        <v>0.72349100609754302</v>
      </c>
      <c r="AG148" s="817">
        <f t="shared" si="74"/>
        <v>1</v>
      </c>
      <c r="AH148" s="176">
        <f t="shared" si="67"/>
        <v>7</v>
      </c>
      <c r="AI148" s="225">
        <f t="shared" si="68"/>
        <v>1.723491006097543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46522</v>
      </c>
      <c r="B149" s="411">
        <f>'2026'!Wh/'2026'!Env_an*'2027'!Env_an</f>
        <v>34.447438941641749</v>
      </c>
      <c r="C149" s="846"/>
      <c r="D149" s="393">
        <f t="shared" si="50"/>
        <v>37.040008921594207</v>
      </c>
      <c r="E149" s="385">
        <f t="shared" si="72"/>
        <v>37.797179347143974</v>
      </c>
      <c r="F149" s="385">
        <f t="shared" si="51"/>
        <v>37.797179347143974</v>
      </c>
      <c r="G149" s="110">
        <f t="shared" si="73"/>
        <v>0.87066710132476488</v>
      </c>
      <c r="H149" s="414" t="b">
        <f>Wh_hp&gt;='2026'!Maxi_hp</f>
        <v>0</v>
      </c>
      <c r="I149" s="390">
        <f>IF(H149,Wh_hp,'2026'!Maxi_hp)</f>
        <v>44.25827136765831</v>
      </c>
      <c r="J149" s="85">
        <f>IF(H149,An,'2026'!An_max)</f>
        <v>2019</v>
      </c>
      <c r="K149" s="197">
        <f t="shared" si="52"/>
        <v>46522</v>
      </c>
      <c r="L149" s="147">
        <f>IF(t&lt;Tvie,1-EXP((T0-t)*PertePVj)+'2026'!Pspv,1-EXP((T0-t)*PertePVj)+Pspv)</f>
        <v>6.9993773096555523E-2</v>
      </c>
      <c r="M149" s="850"/>
      <c r="N149" s="850"/>
      <c r="O149" s="48">
        <f>IF(t&lt;Tnet,'2026'!Resal+('2026'!Salim-'2026'!Resal)*(1-EXP(('2026'!Tnet-t)/('2026'!Tau_j))),Resal+(Salim-Resal)*(1-EXP((Tnet-t)/(Tau_j))))*Salcycl</f>
        <v>2.0032458469866676E-2</v>
      </c>
      <c r="P149" s="169">
        <f>(INDEX(Models!$BJ149:$BT149,,T149)*(1-R149)+INDEX(Models!$BJ149:$BT149,,T149+1)*R149-ERP_i)*Q149*Ramure*Pc/MaxiM</f>
        <v>0</v>
      </c>
      <c r="Q149" s="305">
        <f t="shared" si="53"/>
        <v>0.7</v>
      </c>
      <c r="R149" s="177">
        <f t="shared" si="54"/>
        <v>0.10350542843652655</v>
      </c>
      <c r="S149" s="817">
        <f t="shared" si="55"/>
        <v>-1</v>
      </c>
      <c r="T149" s="176">
        <f t="shared" si="56"/>
        <v>5</v>
      </c>
      <c r="U149" s="251">
        <f t="shared" si="57"/>
        <v>-0.89649457156347345</v>
      </c>
      <c r="V149" s="383">
        <f t="shared" si="58"/>
        <v>39.564420074249043</v>
      </c>
      <c r="W149" s="402">
        <f t="shared" si="59"/>
        <v>34.447438941641749</v>
      </c>
      <c r="X149" s="157">
        <f t="shared" si="60"/>
        <v>46522</v>
      </c>
      <c r="Y149" s="385">
        <f t="shared" si="61"/>
        <v>31.567913286754557</v>
      </c>
      <c r="Z149" s="385">
        <f t="shared" si="62"/>
        <v>33.943765507746448</v>
      </c>
      <c r="AA149" s="386">
        <f t="shared" si="63"/>
        <v>37.797048108262103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0.1019466543915994</v>
      </c>
      <c r="AD149" s="231">
        <f>(INDEX(Models!$BJ149:$BT149,,AH149)*(1-AF149)+INDEX(Models!$BJ149:$BT149,,AH149+1)*AF149-ERP_i)*AE149*Ramure*Pc/MaxiM</f>
        <v>4.2591048718997464E-6</v>
      </c>
      <c r="AE149" s="305">
        <f t="shared" si="65"/>
        <v>0.7</v>
      </c>
      <c r="AF149" s="177">
        <f t="shared" si="66"/>
        <v>0.72736879781258268</v>
      </c>
      <c r="AG149" s="817">
        <f t="shared" si="74"/>
        <v>1</v>
      </c>
      <c r="AH149" s="176">
        <f t="shared" si="67"/>
        <v>7</v>
      </c>
      <c r="AI149" s="225">
        <f t="shared" si="68"/>
        <v>1.7273687978125827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46523</v>
      </c>
      <c r="B150" s="411">
        <f>'2026'!Wh/'2026'!Env_an*'2027'!Env_an</f>
        <v>33.360276812919494</v>
      </c>
      <c r="C150" s="846"/>
      <c r="D150" s="393">
        <f t="shared" si="50"/>
        <v>35.871810897096537</v>
      </c>
      <c r="E150" s="385">
        <f t="shared" si="72"/>
        <v>36.612235094431369</v>
      </c>
      <c r="F150" s="385">
        <f t="shared" si="51"/>
        <v>36.612235094431369</v>
      </c>
      <c r="G150" s="110">
        <f t="shared" si="73"/>
        <v>0.84268080210566354</v>
      </c>
      <c r="H150" s="414" t="b">
        <f>Wh_hp&gt;='2026'!Maxi_hp</f>
        <v>1</v>
      </c>
      <c r="I150" s="390">
        <f>IF(H150,Wh_hp,'2026'!Maxi_hp)</f>
        <v>36.612235094431369</v>
      </c>
      <c r="J150" s="85">
        <f>IF(H150,An,'2026'!An_max)</f>
        <v>2027</v>
      </c>
      <c r="K150" s="197">
        <f t="shared" si="52"/>
        <v>46523</v>
      </c>
      <c r="L150" s="147">
        <f>IF(t&lt;Tvie,1-EXP((T0-t)*PertePVj)+'2026'!Pspv,1-EXP((T0-t)*PertePVj)+Pspv)</f>
        <v>7.0014142619722719E-2</v>
      </c>
      <c r="M150" s="850"/>
      <c r="N150" s="850"/>
      <c r="O150" s="48">
        <f>IF(t&lt;Tnet,'2026'!Resal+('2026'!Salim-'2026'!Resal)*(1-EXP(('2026'!Tnet-t)/('2026'!Tau_j))),Resal+(Salim-Resal)*(1-EXP((Tnet-t)/(Tau_j))))*Salcycl</f>
        <v>2.0223408798318569E-2</v>
      </c>
      <c r="P150" s="169">
        <f>(INDEX(Models!$BJ150:$BT150,,T150)*(1-R150)+INDEX(Models!$BJ150:$BT150,,T150+1)*R150-ERP_i)*Q150*Ramure*Pc/MaxiM</f>
        <v>0</v>
      </c>
      <c r="Q150" s="305">
        <f t="shared" si="53"/>
        <v>0.7</v>
      </c>
      <c r="R150" s="177">
        <f t="shared" si="54"/>
        <v>0.10746186589765272</v>
      </c>
      <c r="S150" s="817">
        <f t="shared" si="55"/>
        <v>-1</v>
      </c>
      <c r="T150" s="176">
        <f t="shared" si="56"/>
        <v>5</v>
      </c>
      <c r="U150" s="251">
        <f t="shared" si="57"/>
        <v>-0.89253813410234728</v>
      </c>
      <c r="V150" s="383">
        <f t="shared" si="58"/>
        <v>39.588272011845902</v>
      </c>
      <c r="W150" s="402">
        <f t="shared" si="59"/>
        <v>33.360276812919494</v>
      </c>
      <c r="X150" s="157">
        <f t="shared" si="60"/>
        <v>46523</v>
      </c>
      <c r="Y150" s="385">
        <f t="shared" si="61"/>
        <v>30.573048033192194</v>
      </c>
      <c r="Z150" s="385">
        <f t="shared" si="62"/>
        <v>32.874745127108611</v>
      </c>
      <c r="AA150" s="386">
        <f t="shared" si="63"/>
        <v>36.612123153779343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0.1020803412840301</v>
      </c>
      <c r="AD150" s="231">
        <f>(INDEX(Models!$BJ150:$BT150,,AH150)*(1-AF150)+INDEX(Models!$BJ150:$BT150,,AH150+1)*AF150-ERP_i)*AE150*Ramure*Pc/MaxiM</f>
        <v>3.9438026240462671E-6</v>
      </c>
      <c r="AE150" s="305">
        <f t="shared" si="65"/>
        <v>0.7</v>
      </c>
      <c r="AF150" s="177">
        <f t="shared" si="66"/>
        <v>0.73132523527370874</v>
      </c>
      <c r="AG150" s="817">
        <f t="shared" si="74"/>
        <v>1</v>
      </c>
      <c r="AH150" s="176">
        <f t="shared" si="67"/>
        <v>7</v>
      </c>
      <c r="AI150" s="225">
        <f t="shared" si="68"/>
        <v>1.7313252352737087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46524</v>
      </c>
      <c r="B151" s="411">
        <f>'2026'!Wh/'2026'!Env_an*'2027'!Env_an</f>
        <v>35.854233198695148</v>
      </c>
      <c r="C151" s="846"/>
      <c r="D151" s="393">
        <f t="shared" si="50"/>
        <v>38.554369650977144</v>
      </c>
      <c r="E151" s="385">
        <f t="shared" si="72"/>
        <v>39.357839903186999</v>
      </c>
      <c r="F151" s="385">
        <f t="shared" si="51"/>
        <v>39.357839903186999</v>
      </c>
      <c r="G151" s="110">
        <f t="shared" si="73"/>
        <v>0.90525654706792125</v>
      </c>
      <c r="H151" s="414" t="b">
        <f>Wh_hp&gt;='2026'!Maxi_hp</f>
        <v>0</v>
      </c>
      <c r="I151" s="390">
        <f>IF(H151,Wh_hp,'2026'!Maxi_hp)</f>
        <v>40.085945831650221</v>
      </c>
      <c r="J151" s="85">
        <f>IF(H151,An,'2026'!An_max)</f>
        <v>2021</v>
      </c>
      <c r="K151" s="197">
        <f t="shared" si="52"/>
        <v>46524</v>
      </c>
      <c r="L151" s="147">
        <f>IF(t&lt;Tvie,1-EXP((T0-t)*PertePVj)+'2026'!Pspv,1-EXP((T0-t)*PertePVj)+Pspv)</f>
        <v>7.0034511696745128E-2</v>
      </c>
      <c r="M151" s="850"/>
      <c r="N151" s="850"/>
      <c r="O151" s="48">
        <f>IF(t&lt;Tnet,'2026'!Resal+('2026'!Salim-'2026'!Resal)*(1-EXP(('2026'!Tnet-t)/('2026'!Tau_j))),Resal+(Salim-Resal)*(1-EXP((Tnet-t)/(Tau_j))))*Salcycl</f>
        <v>2.0414490586532243E-2</v>
      </c>
      <c r="P151" s="169">
        <f>(INDEX(Models!$BJ151:$BT151,,T151)*(1-R151)+INDEX(Models!$BJ151:$BT151,,T151+1)*R151-ERP_i)*Q151*Ramure*Pc/MaxiM</f>
        <v>0</v>
      </c>
      <c r="Q151" s="305">
        <f t="shared" si="53"/>
        <v>0.7</v>
      </c>
      <c r="R151" s="177">
        <f t="shared" si="54"/>
        <v>0.11149592425762656</v>
      </c>
      <c r="S151" s="817">
        <f t="shared" si="55"/>
        <v>-1</v>
      </c>
      <c r="T151" s="176">
        <f t="shared" si="56"/>
        <v>5</v>
      </c>
      <c r="U151" s="251">
        <f t="shared" si="57"/>
        <v>-0.88850407574237344</v>
      </c>
      <c r="V151" s="383">
        <f t="shared" si="58"/>
        <v>39.606709628143697</v>
      </c>
      <c r="W151" s="402">
        <f t="shared" si="59"/>
        <v>35.854233198695148</v>
      </c>
      <c r="X151" s="157">
        <f t="shared" si="60"/>
        <v>46524</v>
      </c>
      <c r="Y151" s="385">
        <f t="shared" si="61"/>
        <v>32.860123757695369</v>
      </c>
      <c r="Z151" s="385">
        <f t="shared" si="62"/>
        <v>35.334777656802601</v>
      </c>
      <c r="AA151" s="386">
        <f t="shared" si="63"/>
        <v>39.357715109827105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0.10221471042713115</v>
      </c>
      <c r="AD151" s="231">
        <f>(INDEX(Models!$BJ151:$BT151,,AH151)*(1-AF151)+INDEX(Models!$BJ151:$BT151,,AH151+1)*AF151-ERP_i)*AE151*Ramure*Pc/MaxiM</f>
        <v>3.6670663420221924E-6</v>
      </c>
      <c r="AE151" s="305">
        <f t="shared" si="65"/>
        <v>0.7</v>
      </c>
      <c r="AF151" s="177">
        <f t="shared" si="66"/>
        <v>0.73535929363368258</v>
      </c>
      <c r="AG151" s="817">
        <f t="shared" si="74"/>
        <v>1</v>
      </c>
      <c r="AH151" s="176">
        <f t="shared" si="67"/>
        <v>7</v>
      </c>
      <c r="AI151" s="225">
        <f t="shared" si="68"/>
        <v>1.7353592936336826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46525</v>
      </c>
      <c r="B152" s="411">
        <f>'2026'!Wh/'2026'!Env_an*'2027'!Env_an</f>
        <v>34.479539494804577</v>
      </c>
      <c r="C152" s="846"/>
      <c r="D152" s="393">
        <f t="shared" si="50"/>
        <v>37.076961602801028</v>
      </c>
      <c r="E152" s="385">
        <f t="shared" si="72"/>
        <v>37.857031988664168</v>
      </c>
      <c r="F152" s="385">
        <f t="shared" si="51"/>
        <v>37.857031988664168</v>
      </c>
      <c r="G152" s="110">
        <f t="shared" si="73"/>
        <v>0.87025099238758552</v>
      </c>
      <c r="H152" s="414" t="b">
        <f>Wh_hp&gt;='2026'!Maxi_hp</f>
        <v>0</v>
      </c>
      <c r="I152" s="390">
        <f>IF(H152,Wh_hp,'2026'!Maxi_hp)</f>
        <v>44.898392288883365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7.0054880327632518E-2</v>
      </c>
      <c r="M152" s="850"/>
      <c r="N152" s="850"/>
      <c r="O152" s="48">
        <f>IF(t&lt;Tnet,'2026'!Resal+('2026'!Salim-'2026'!Resal)*(1-EXP(('2026'!Tnet-t)/('2026'!Tau_j))),Resal+(Salim-Resal)*(1-EXP((Tnet-t)/(Tau_j))))*Salcycl</f>
        <v>2.0605693179981076E-2</v>
      </c>
      <c r="P152" s="169">
        <f>(INDEX(Models!$BJ152:$BT152,,T152)*(1-R152)+INDEX(Models!$BJ152:$BT152,,T152+1)*R152-ERP_i)*Q152*Ramure*Pc/MaxiM</f>
        <v>0</v>
      </c>
      <c r="Q152" s="305">
        <f t="shared" si="53"/>
        <v>0.7</v>
      </c>
      <c r="R152" s="177">
        <f t="shared" si="54"/>
        <v>0.11560640448158366</v>
      </c>
      <c r="S152" s="817">
        <f t="shared" si="55"/>
        <v>-1</v>
      </c>
      <c r="T152" s="176">
        <f t="shared" si="56"/>
        <v>5</v>
      </c>
      <c r="U152" s="251">
        <f t="shared" si="57"/>
        <v>-0.88439359551841634</v>
      </c>
      <c r="V152" s="383">
        <f t="shared" si="58"/>
        <v>39.620224275996399</v>
      </c>
      <c r="W152" s="402">
        <f t="shared" si="59"/>
        <v>34.479539494804577</v>
      </c>
      <c r="X152" s="157">
        <f t="shared" si="60"/>
        <v>46525</v>
      </c>
      <c r="Y152" s="385">
        <f t="shared" si="61"/>
        <v>31.601656775606546</v>
      </c>
      <c r="Z152" s="385">
        <f t="shared" si="62"/>
        <v>33.982281434779985</v>
      </c>
      <c r="AA152" s="386">
        <f t="shared" si="63"/>
        <v>37.856926221083398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0.10234969325495685</v>
      </c>
      <c r="AD152" s="231">
        <f>(INDEX(Models!$BJ152:$BT152,,AH152)*(1-AF152)+INDEX(Models!$BJ152:$BT152,,AH152+1)*AF152-ERP_i)*AE152*Ramure*Pc/MaxiM</f>
        <v>3.4295567924709284E-6</v>
      </c>
      <c r="AE152" s="305">
        <f t="shared" si="65"/>
        <v>0.7</v>
      </c>
      <c r="AF152" s="177">
        <f t="shared" si="66"/>
        <v>0.73946977385763968</v>
      </c>
      <c r="AG152" s="817">
        <f t="shared" si="74"/>
        <v>1</v>
      </c>
      <c r="AH152" s="176">
        <f t="shared" si="67"/>
        <v>7</v>
      </c>
      <c r="AI152" s="225">
        <f t="shared" si="68"/>
        <v>1.7394697738576397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46526</v>
      </c>
      <c r="B153" s="411">
        <f>'2026'!Wh/'2026'!Env_an*'2027'!Env_an</f>
        <v>35.579227975271948</v>
      </c>
      <c r="C153" s="846"/>
      <c r="D153" s="393">
        <f t="shared" si="50"/>
        <v>38.260330116340782</v>
      </c>
      <c r="E153" s="385">
        <f t="shared" si="72"/>
        <v>39.072930032792677</v>
      </c>
      <c r="F153" s="385">
        <f t="shared" si="51"/>
        <v>39.072930032792677</v>
      </c>
      <c r="G153" s="110">
        <f t="shared" si="73"/>
        <v>0.89780091371923687</v>
      </c>
      <c r="H153" s="414" t="b">
        <f>Wh_hp&gt;='2026'!Maxi_hp</f>
        <v>0</v>
      </c>
      <c r="I153" s="390">
        <f>IF(H153,Wh_hp,'2026'!Maxi_hp)</f>
        <v>44.234710656745264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7.007524851239455E-2</v>
      </c>
      <c r="M153" s="850"/>
      <c r="N153" s="850"/>
      <c r="O153" s="48">
        <f>IF(t&lt;Tnet,'2026'!Resal+('2026'!Salim-'2026'!Resal)*(1-EXP(('2026'!Tnet-t)/('2026'!Tau_j))),Resal+(Salim-Resal)*(1-EXP((Tnet-t)/(Tau_j))))*Salcycl</f>
        <v>2.0797004877031403E-2</v>
      </c>
      <c r="P153" s="169">
        <f>(INDEX(Models!$BJ153:$BT153,,T153)*(1-R153)+INDEX(Models!$BJ153:$BT153,,T153+1)*R153-ERP_i)*Q153*Ramure*Pc/MaxiM</f>
        <v>0</v>
      </c>
      <c r="Q153" s="305">
        <f t="shared" si="53"/>
        <v>0.7</v>
      </c>
      <c r="R153" s="177">
        <f t="shared" si="54"/>
        <v>0.11979193024888013</v>
      </c>
      <c r="S153" s="817">
        <f t="shared" si="55"/>
        <v>-1</v>
      </c>
      <c r="T153" s="176">
        <f t="shared" si="56"/>
        <v>5</v>
      </c>
      <c r="U153" s="251">
        <f t="shared" si="57"/>
        <v>-0.88020806975111987</v>
      </c>
      <c r="V153" s="383">
        <f t="shared" si="58"/>
        <v>39.629306933851481</v>
      </c>
      <c r="W153" s="402">
        <f t="shared" si="59"/>
        <v>35.579227975271948</v>
      </c>
      <c r="X153" s="157">
        <f t="shared" si="60"/>
        <v>46526</v>
      </c>
      <c r="Y153" s="385">
        <f t="shared" si="61"/>
        <v>32.611006144162317</v>
      </c>
      <c r="Z153" s="385">
        <f t="shared" si="62"/>
        <v>35.068435475014859</v>
      </c>
      <c r="AA153" s="386">
        <f t="shared" si="63"/>
        <v>39.072822185798842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0.10248521828657133</v>
      </c>
      <c r="AD153" s="231">
        <f>(INDEX(Models!$BJ153:$BT153,,AH153)*(1-AF153)+INDEX(Models!$BJ153:$BT153,,AH153+1)*AF153-ERP_i)*AE153*Ramure*Pc/MaxiM</f>
        <v>3.2320162061511397E-6</v>
      </c>
      <c r="AE153" s="305">
        <f t="shared" si="65"/>
        <v>0.7</v>
      </c>
      <c r="AF153" s="177">
        <f t="shared" si="66"/>
        <v>0.74365529962493615</v>
      </c>
      <c r="AG153" s="817">
        <f t="shared" si="74"/>
        <v>1</v>
      </c>
      <c r="AH153" s="176">
        <f t="shared" si="67"/>
        <v>7</v>
      </c>
      <c r="AI153" s="225">
        <f t="shared" si="68"/>
        <v>1.7436552996249362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46527</v>
      </c>
      <c r="B154" s="411">
        <f>'2026'!Wh/'2026'!Env_an*'2027'!Env_an</f>
        <v>31.734436489610971</v>
      </c>
      <c r="C154" s="846"/>
      <c r="D154" s="393">
        <f t="shared" si="50"/>
        <v>34.126558648612779</v>
      </c>
      <c r="E154" s="385">
        <f t="shared" si="72"/>
        <v>34.858176450271422</v>
      </c>
      <c r="F154" s="385">
        <f t="shared" si="51"/>
        <v>34.858176450271422</v>
      </c>
      <c r="G154" s="110">
        <f t="shared" si="73"/>
        <v>0.80067814561120909</v>
      </c>
      <c r="H154" s="414" t="b">
        <f>Wh_hp&gt;='2026'!Maxi_hp</f>
        <v>0</v>
      </c>
      <c r="I154" s="390">
        <f>IF(H154,Wh_hp,'2026'!Maxi_hp)</f>
        <v>43.678078338959317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7.0095616251041104E-2</v>
      </c>
      <c r="M154" s="850"/>
      <c r="N154" s="850"/>
      <c r="O154" s="48">
        <f>IF(t&lt;Tnet,'2026'!Resal+('2026'!Salim-'2026'!Resal)*(1-EXP(('2026'!Tnet-t)/('2026'!Tau_j))),Resal+(Salim-Resal)*(1-EXP((Tnet-t)/(Tau_j))))*Salcycl</f>
        <v>2.0988412939568591E-2</v>
      </c>
      <c r="P154" s="169">
        <f>(INDEX(Models!$BJ154:$BT154,,T154)*(1-R154)+INDEX(Models!$BJ154:$BT154,,T154+1)*R154-ERP_i)*Q154*Ramure*Pc/MaxiM</f>
        <v>0</v>
      </c>
      <c r="Q154" s="305">
        <f t="shared" si="53"/>
        <v>0.7</v>
      </c>
      <c r="R154" s="177">
        <f t="shared" si="54"/>
        <v>0.12405094555654073</v>
      </c>
      <c r="S154" s="817">
        <f t="shared" si="55"/>
        <v>-1</v>
      </c>
      <c r="T154" s="176">
        <f t="shared" si="56"/>
        <v>5</v>
      </c>
      <c r="U154" s="251">
        <f t="shared" si="57"/>
        <v>-0.87594905444345927</v>
      </c>
      <c r="V154" s="383">
        <f t="shared" si="58"/>
        <v>39.63444820313665</v>
      </c>
      <c r="W154" s="402">
        <f t="shared" si="59"/>
        <v>31.734436489610971</v>
      </c>
      <c r="X154" s="157">
        <f t="shared" si="60"/>
        <v>46527</v>
      </c>
      <c r="Y154" s="385">
        <f t="shared" si="61"/>
        <v>29.088264035458582</v>
      </c>
      <c r="Z154" s="385">
        <f t="shared" si="62"/>
        <v>31.280919354512235</v>
      </c>
      <c r="AA154" s="386">
        <f t="shared" si="63"/>
        <v>34.858099776383426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0.10262121127712055</v>
      </c>
      <c r="AD154" s="231">
        <f>(INDEX(Models!$BJ154:$BT154,,AH154)*(1-AF154)+INDEX(Models!$BJ154:$BT154,,AH154+1)*AF154-ERP_i)*AE154*Ramure*Pc/MaxiM</f>
        <v>3.0752627457936346E-6</v>
      </c>
      <c r="AE154" s="305">
        <f t="shared" si="65"/>
        <v>0.7</v>
      </c>
      <c r="AF154" s="177">
        <f t="shared" si="66"/>
        <v>0.74791431493259686</v>
      </c>
      <c r="AG154" s="817">
        <f t="shared" si="74"/>
        <v>1</v>
      </c>
      <c r="AH154" s="176">
        <f t="shared" si="67"/>
        <v>7</v>
      </c>
      <c r="AI154" s="225">
        <f t="shared" si="68"/>
        <v>1.7479143149325969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46528</v>
      </c>
      <c r="B155" s="411">
        <f>'2026'!Wh/'2026'!Env_an*'2027'!Env_an</f>
        <v>31.632110775843895</v>
      </c>
      <c r="C155" s="846"/>
      <c r="D155" s="393">
        <f t="shared" si="50"/>
        <v>34.017264751347014</v>
      </c>
      <c r="E155" s="385">
        <f t="shared" si="72"/>
        <v>34.753337080815953</v>
      </c>
      <c r="F155" s="385">
        <f t="shared" si="51"/>
        <v>34.753337080815953</v>
      </c>
      <c r="G155" s="110">
        <f t="shared" si="73"/>
        <v>0.79806237764452526</v>
      </c>
      <c r="H155" s="414" t="b">
        <f>Wh_hp&gt;='2026'!Maxi_hp</f>
        <v>0</v>
      </c>
      <c r="I155" s="390">
        <f>IF(H155,Wh_hp,'2026'!Maxi_hp)</f>
        <v>42.630970800856602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7.011598354358195E-2</v>
      </c>
      <c r="M155" s="850"/>
      <c r="N155" s="850"/>
      <c r="O155" s="48">
        <f>IF(t&lt;Tnet,'2026'!Resal+('2026'!Salim-'2026'!Resal)*(1-EXP(('2026'!Tnet-t)/('2026'!Tau_j))),Resal+(Salim-Resal)*(1-EXP((Tnet-t)/(Tau_j))))*Salcycl</f>
        <v>2.1179903609177601E-2</v>
      </c>
      <c r="P155" s="169">
        <f>(INDEX(Models!$BJ155:$BT155,,T155)*(1-R155)+INDEX(Models!$BJ155:$BT155,,T155+1)*R155-ERP_i)*Q155*Ramure*Pc/MaxiM</f>
        <v>0</v>
      </c>
      <c r="Q155" s="305">
        <f t="shared" si="53"/>
        <v>0.7</v>
      </c>
      <c r="R155" s="177">
        <f t="shared" si="54"/>
        <v>0.12838171307748358</v>
      </c>
      <c r="S155" s="817">
        <f t="shared" si="55"/>
        <v>-1</v>
      </c>
      <c r="T155" s="176">
        <f t="shared" si="56"/>
        <v>5</v>
      </c>
      <c r="U155" s="251">
        <f t="shared" si="57"/>
        <v>-0.87161828692251642</v>
      </c>
      <c r="V155" s="383">
        <f t="shared" si="58"/>
        <v>39.636138304383948</v>
      </c>
      <c r="W155" s="402">
        <f t="shared" si="59"/>
        <v>31.632110775843895</v>
      </c>
      <c r="X155" s="157">
        <f t="shared" si="60"/>
        <v>46528</v>
      </c>
      <c r="Y155" s="385">
        <f t="shared" si="61"/>
        <v>28.995738299582445</v>
      </c>
      <c r="Z155" s="385">
        <f t="shared" si="62"/>
        <v>31.18210205405915</v>
      </c>
      <c r="AA155" s="386">
        <f t="shared" si="63"/>
        <v>34.753263882513032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0.10275759538806377</v>
      </c>
      <c r="AD155" s="231">
        <f>(INDEX(Models!$BJ155:$BT155,,AH155)*(1-AF155)+INDEX(Models!$BJ155:$BT155,,AH155+1)*AF155-ERP_i)*AE155*Ramure*Pc/MaxiM</f>
        <v>2.9601846483258771E-6</v>
      </c>
      <c r="AE155" s="305">
        <f t="shared" si="65"/>
        <v>0.7</v>
      </c>
      <c r="AF155" s="177">
        <f t="shared" si="66"/>
        <v>0.7522450824535396</v>
      </c>
      <c r="AG155" s="817">
        <f t="shared" si="74"/>
        <v>1</v>
      </c>
      <c r="AH155" s="176">
        <f t="shared" si="67"/>
        <v>7</v>
      </c>
      <c r="AI155" s="225">
        <f t="shared" si="68"/>
        <v>1.7522450824535396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46529</v>
      </c>
      <c r="B156" s="411">
        <f>'2026'!Wh/'2026'!Env_an*'2027'!Env_an</f>
        <v>23.640995757030442</v>
      </c>
      <c r="C156" s="846"/>
      <c r="D156" s="393">
        <f t="shared" si="50"/>
        <v>25.424153064749376</v>
      </c>
      <c r="E156" s="385">
        <f t="shared" si="72"/>
        <v>25.979370190920459</v>
      </c>
      <c r="F156" s="385">
        <f t="shared" si="51"/>
        <v>25.979370190920459</v>
      </c>
      <c r="G156" s="110">
        <f t="shared" si="73"/>
        <v>0.59646966170846205</v>
      </c>
      <c r="H156" s="414" t="b">
        <f>Wh_hp&gt;='2026'!Maxi_hp</f>
        <v>0</v>
      </c>
      <c r="I156" s="390">
        <f>IF(H156,Wh_hp,'2026'!Maxi_hp)</f>
        <v>42.922836576302252</v>
      </c>
      <c r="J156" s="85">
        <f>IF(H156,An,'2026'!An_max)</f>
        <v>2019</v>
      </c>
      <c r="K156" s="197">
        <f t="shared" si="52"/>
        <v>46529</v>
      </c>
      <c r="L156" s="147">
        <f>IF(t&lt;Tvie,1-EXP((T0-t)*PertePVj)+'2026'!Pspv,1-EXP((T0-t)*PertePVj)+Pspv)</f>
        <v>7.0136350390026747E-2</v>
      </c>
      <c r="M156" s="850"/>
      <c r="N156" s="850"/>
      <c r="O156" s="48">
        <f>IF(t&lt;Tnet,'2026'!Resal+('2026'!Salim-'2026'!Resal)*(1-EXP(('2026'!Tnet-t)/('2026'!Tau_j))),Resal+(Salim-Resal)*(1-EXP((Tnet-t)/(Tau_j))))*Salcycl</f>
        <v>2.1371462129021374E-2</v>
      </c>
      <c r="P156" s="169">
        <f>(INDEX(Models!$BJ156:$BT156,,T156)*(1-R156)+INDEX(Models!$BJ156:$BT156,,T156+1)*R156-ERP_i)*Q156*Ramure*Pc/MaxiM</f>
        <v>0</v>
      </c>
      <c r="Q156" s="305">
        <f t="shared" si="53"/>
        <v>0.7</v>
      </c>
      <c r="R156" s="177">
        <f t="shared" si="54"/>
        <v>0.13278231332303925</v>
      </c>
      <c r="S156" s="817">
        <f t="shared" si="55"/>
        <v>-1</v>
      </c>
      <c r="T156" s="176">
        <f t="shared" si="56"/>
        <v>5</v>
      </c>
      <c r="U156" s="251">
        <f t="shared" si="57"/>
        <v>-0.86721768667696075</v>
      </c>
      <c r="V156" s="383">
        <f t="shared" si="58"/>
        <v>39.634867076584882</v>
      </c>
      <c r="W156" s="402">
        <f t="shared" si="59"/>
        <v>23.640995757030442</v>
      </c>
      <c r="X156" s="157">
        <f t="shared" si="60"/>
        <v>46529</v>
      </c>
      <c r="Y156" s="385">
        <f t="shared" si="61"/>
        <v>21.671600194679389</v>
      </c>
      <c r="Z156" s="385">
        <f t="shared" si="62"/>
        <v>23.306212909569521</v>
      </c>
      <c r="AA156" s="386">
        <f t="shared" si="63"/>
        <v>25.979338538960871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0.10289429137629895</v>
      </c>
      <c r="AD156" s="231">
        <f>(INDEX(Models!$BJ156:$BT156,,AH156)*(1-AF156)+INDEX(Models!$BJ156:$BT156,,AH156+1)*AF156-ERP_i)*AE156*Ramure*Pc/MaxiM</f>
        <v>2.8766681594619626E-6</v>
      </c>
      <c r="AE156" s="305">
        <f t="shared" si="65"/>
        <v>0.7</v>
      </c>
      <c r="AF156" s="177">
        <f t="shared" si="66"/>
        <v>0.75664568269909527</v>
      </c>
      <c r="AG156" s="817">
        <f t="shared" si="74"/>
        <v>1</v>
      </c>
      <c r="AH156" s="176">
        <f t="shared" si="67"/>
        <v>7</v>
      </c>
      <c r="AI156" s="225">
        <f t="shared" si="68"/>
        <v>1.7566456826990953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46530</v>
      </c>
      <c r="B157" s="411">
        <f>'2026'!Wh/'2026'!Env_an*'2027'!Env_an</f>
        <v>12.306415204540453</v>
      </c>
      <c r="C157" s="846"/>
      <c r="D157" s="393">
        <f t="shared" si="50"/>
        <v>13.234934775311183</v>
      </c>
      <c r="E157" s="385">
        <f t="shared" si="72"/>
        <v>13.526610052219137</v>
      </c>
      <c r="F157" s="385">
        <f t="shared" si="51"/>
        <v>13.526610052219137</v>
      </c>
      <c r="G157" s="110">
        <f t="shared" si="73"/>
        <v>0.31052400158052912</v>
      </c>
      <c r="H157" s="414" t="b">
        <f>Wh_hp&gt;='2026'!Maxi_hp</f>
        <v>0</v>
      </c>
      <c r="I157" s="390">
        <f>IF(H157,Wh_hp,'2026'!Maxi_hp)</f>
        <v>39.13669865982753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7.0156716790385376E-2</v>
      </c>
      <c r="M157" s="850"/>
      <c r="N157" s="850"/>
      <c r="O157" s="48">
        <f>IF(t&lt;Tnet,'2026'!Resal+('2026'!Salim-'2026'!Resal)*(1-EXP(('2026'!Tnet-t)/('2026'!Tau_j))),Resal+(Salim-Resal)*(1-EXP((Tnet-t)/(Tau_j))))*Salcycl</f>
        <v>2.1563072771518515E-2</v>
      </c>
      <c r="P157" s="169">
        <f>(INDEX(Models!$BJ157:$BT157,,T157)*(1-R157)+INDEX(Models!$BJ157:$BT157,,T157+1)*R157-ERP_i)*Q157*Ramure*Pc/MaxiM</f>
        <v>0</v>
      </c>
      <c r="Q157" s="305">
        <f t="shared" si="53"/>
        <v>0.7</v>
      </c>
      <c r="R157" s="177">
        <f t="shared" si="54"/>
        <v>0.13725064465481152</v>
      </c>
      <c r="S157" s="817">
        <f t="shared" si="55"/>
        <v>-1</v>
      </c>
      <c r="T157" s="176">
        <f t="shared" si="56"/>
        <v>5</v>
      </c>
      <c r="U157" s="251">
        <f t="shared" si="57"/>
        <v>-0.86274935534518848</v>
      </c>
      <c r="V157" s="383">
        <f t="shared" si="58"/>
        <v>39.631123977220149</v>
      </c>
      <c r="W157" s="402">
        <f t="shared" si="59"/>
        <v>12.306415204540453</v>
      </c>
      <c r="X157" s="157">
        <f t="shared" si="60"/>
        <v>46530</v>
      </c>
      <c r="Y157" s="385">
        <f t="shared" si="61"/>
        <v>11.28173874905851</v>
      </c>
      <c r="Z157" s="385">
        <f t="shared" si="62"/>
        <v>12.132946436002019</v>
      </c>
      <c r="AA157" s="386">
        <f t="shared" si="63"/>
        <v>13.526609483851914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0.10303121780174497</v>
      </c>
      <c r="AD157" s="231">
        <f>(INDEX(Models!$BJ157:$BT157,,AH157)*(1-AF157)+INDEX(Models!$BJ157:$BT157,,AH157+1)*AF157-ERP_i)*AE157*Ramure*Pc/MaxiM</f>
        <v>2.7948415402205452E-6</v>
      </c>
      <c r="AE157" s="305">
        <f t="shared" si="65"/>
        <v>0.7</v>
      </c>
      <c r="AF157" s="177">
        <f t="shared" si="66"/>
        <v>0.76111401403086765</v>
      </c>
      <c r="AG157" s="817">
        <f t="shared" si="74"/>
        <v>1</v>
      </c>
      <c r="AH157" s="176">
        <f t="shared" si="67"/>
        <v>7</v>
      </c>
      <c r="AI157" s="225">
        <f t="shared" si="68"/>
        <v>1.7611140140308676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46531</v>
      </c>
      <c r="B158" s="411">
        <f>'2026'!Wh/'2026'!Env_an*'2027'!Env_an</f>
        <v>11.014769255959177</v>
      </c>
      <c r="C158" s="846"/>
      <c r="D158" s="393">
        <f t="shared" si="50"/>
        <v>11.846093542706782</v>
      </c>
      <c r="E158" s="385">
        <f t="shared" si="72"/>
        <v>12.109533029431793</v>
      </c>
      <c r="F158" s="385">
        <f t="shared" si="51"/>
        <v>12.109533029431793</v>
      </c>
      <c r="G158" s="110">
        <f t="shared" si="73"/>
        <v>0.27797245681638089</v>
      </c>
      <c r="H158" s="414" t="b">
        <f>Wh_hp&gt;='2026'!Maxi_hp</f>
        <v>0</v>
      </c>
      <c r="I158" s="390">
        <f>IF(H158,Wh_hp,'2026'!Maxi_hp)</f>
        <v>19.559062636800455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7.0177082744667496E-2</v>
      </c>
      <c r="M158" s="850"/>
      <c r="N158" s="850"/>
      <c r="O158" s="48">
        <f>IF(t&lt;Tnet,'2026'!Resal+('2026'!Salim-'2026'!Resal)*(1-EXP(('2026'!Tnet-t)/('2026'!Tau_j))),Resal+(Salim-Resal)*(1-EXP((Tnet-t)/(Tau_j))))*Salcycl</f>
        <v>2.1754718871878045E-2</v>
      </c>
      <c r="P158" s="169">
        <f>(INDEX(Models!$BJ158:$BT158,,T158)*(1-R158)+INDEX(Models!$BJ158:$BT158,,T158+1)*R158-ERP_i)*Q158*Ramure*Pc/MaxiM</f>
        <v>0</v>
      </c>
      <c r="Q158" s="305">
        <f t="shared" si="53"/>
        <v>0.7</v>
      </c>
      <c r="R158" s="177">
        <f t="shared" si="54"/>
        <v>0.14178442418564108</v>
      </c>
      <c r="S158" s="817">
        <f t="shared" si="55"/>
        <v>-1</v>
      </c>
      <c r="T158" s="176">
        <f t="shared" si="56"/>
        <v>5</v>
      </c>
      <c r="U158" s="251">
        <f t="shared" si="57"/>
        <v>-0.85821557581435892</v>
      </c>
      <c r="V158" s="383">
        <f t="shared" si="58"/>
        <v>39.625398077605787</v>
      </c>
      <c r="W158" s="402">
        <f t="shared" si="59"/>
        <v>11.014769255959177</v>
      </c>
      <c r="X158" s="157">
        <f t="shared" si="60"/>
        <v>46531</v>
      </c>
      <c r="Y158" s="385">
        <f t="shared" si="61"/>
        <v>10.098075118631259</v>
      </c>
      <c r="Z158" s="385">
        <f t="shared" si="62"/>
        <v>10.860213198916341</v>
      </c>
      <c r="AA158" s="386">
        <f t="shared" si="63"/>
        <v>12.109533029431793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0.10316829125276966</v>
      </c>
      <c r="AD158" s="231">
        <f>(INDEX(Models!$BJ158:$BT158,,AH158)*(1-AF158)+INDEX(Models!$BJ158:$BT158,,AH158+1)*AF158-ERP_i)*AE158*Ramure*Pc/MaxiM</f>
        <v>2.7146681836192005E-6</v>
      </c>
      <c r="AE158" s="305">
        <f t="shared" si="65"/>
        <v>0.7</v>
      </c>
      <c r="AF158" s="177">
        <f t="shared" si="66"/>
        <v>0.76564779356169699</v>
      </c>
      <c r="AG158" s="817">
        <f t="shared" si="74"/>
        <v>1</v>
      </c>
      <c r="AH158" s="176">
        <f t="shared" si="67"/>
        <v>7</v>
      </c>
      <c r="AI158" s="225">
        <f t="shared" si="68"/>
        <v>1.765647793561697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46532</v>
      </c>
      <c r="B159" s="411">
        <f>'2026'!Wh/'2026'!Env_an*'2027'!Env_an</f>
        <v>27.132449908964471</v>
      </c>
      <c r="C159" s="846"/>
      <c r="D159" s="393">
        <f t="shared" si="50"/>
        <v>29.180872711074059</v>
      </c>
      <c r="E159" s="385">
        <f t="shared" si="72"/>
        <v>29.835657473081977</v>
      </c>
      <c r="F159" s="385">
        <f t="shared" si="51"/>
        <v>29.835657473081977</v>
      </c>
      <c r="G159" s="110">
        <f t="shared" si="73"/>
        <v>0.68484850226974292</v>
      </c>
      <c r="H159" s="414" t="b">
        <f>Wh_hp&gt;='2026'!Maxi_hp</f>
        <v>0</v>
      </c>
      <c r="I159" s="390">
        <f>IF(H159,Wh_hp,'2026'!Maxi_hp)</f>
        <v>41.574102486699203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7.0197448252882988E-2</v>
      </c>
      <c r="M159" s="850"/>
      <c r="N159" s="850"/>
      <c r="O159" s="48">
        <f>IF(t&lt;Tnet,'2026'!Resal+('2026'!Salim-'2026'!Resal)*(1-EXP(('2026'!Tnet-t)/('2026'!Tau_j))),Resal+(Salim-Resal)*(1-EXP((Tnet-t)/(Tau_j))))*Salcycl</f>
        <v>2.194638286750239E-2</v>
      </c>
      <c r="P159" s="169">
        <f>(INDEX(Models!$BJ159:$BT159,,T159)*(1-R159)+INDEX(Models!$BJ159:$BT159,,T159+1)*R159-ERP_i)*Q159*Ramure*Pc/MaxiM</f>
        <v>0</v>
      </c>
      <c r="Q159" s="305">
        <f t="shared" si="53"/>
        <v>0.7</v>
      </c>
      <c r="R159" s="177">
        <f t="shared" si="54"/>
        <v>0.14638118960335811</v>
      </c>
      <c r="S159" s="817">
        <f t="shared" si="55"/>
        <v>-1</v>
      </c>
      <c r="T159" s="176">
        <f t="shared" si="56"/>
        <v>5</v>
      </c>
      <c r="U159" s="251">
        <f t="shared" si="57"/>
        <v>-0.85361881039664189</v>
      </c>
      <c r="V159" s="383">
        <f t="shared" si="58"/>
        <v>39.618178062799863</v>
      </c>
      <c r="W159" s="402">
        <f t="shared" si="59"/>
        <v>27.132449908964471</v>
      </c>
      <c r="X159" s="157">
        <f t="shared" si="60"/>
        <v>46532</v>
      </c>
      <c r="Y159" s="385">
        <f t="shared" si="61"/>
        <v>24.875410621316167</v>
      </c>
      <c r="Z159" s="385">
        <f t="shared" si="62"/>
        <v>26.753433376338652</v>
      </c>
      <c r="AA159" s="386">
        <f t="shared" si="63"/>
        <v>29.835614232123461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0.10330542658868014</v>
      </c>
      <c r="AD159" s="231">
        <f>(INDEX(Models!$BJ159:$BT159,,AH159)*(1-AF159)+INDEX(Models!$BJ159:$BT159,,AH159+1)*AF159-ERP_i)*AE159*Ramure*Pc/MaxiM</f>
        <v>2.6361367706251385E-6</v>
      </c>
      <c r="AE159" s="305">
        <f t="shared" si="65"/>
        <v>0.7</v>
      </c>
      <c r="AF159" s="177">
        <f t="shared" si="66"/>
        <v>0.77024455897941424</v>
      </c>
      <c r="AG159" s="817">
        <f t="shared" si="74"/>
        <v>1</v>
      </c>
      <c r="AH159" s="176">
        <f t="shared" si="67"/>
        <v>7</v>
      </c>
      <c r="AI159" s="225">
        <f t="shared" si="68"/>
        <v>1.7702445589794142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46533</v>
      </c>
      <c r="B160" s="411">
        <f>'2026'!Wh/'2026'!Env_an*'2027'!Env_an</f>
        <v>14.52755241778925</v>
      </c>
      <c r="C160" s="846"/>
      <c r="D160" s="393">
        <f t="shared" si="50"/>
        <v>15.624683528930282</v>
      </c>
      <c r="E160" s="385">
        <f t="shared" si="72"/>
        <v>15.978414407576398</v>
      </c>
      <c r="F160" s="385">
        <f t="shared" si="51"/>
        <v>15.978414407576398</v>
      </c>
      <c r="G160" s="110">
        <f t="shared" si="73"/>
        <v>0.36676520926742362</v>
      </c>
      <c r="H160" s="414" t="b">
        <f>Wh_hp&gt;='2026'!Maxi_hp</f>
        <v>0</v>
      </c>
      <c r="I160" s="390">
        <f>IF(H160,Wh_hp,'2026'!Maxi_hp)</f>
        <v>43.15188461541296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7.0217813315041622E-2</v>
      </c>
      <c r="M160" s="850"/>
      <c r="N160" s="850"/>
      <c r="O160" s="48">
        <f>IF(t&lt;Tnet,'2026'!Resal+('2026'!Salim-'2026'!Resal)*(1-EXP(('2026'!Tnet-t)/('2026'!Tau_j))),Resal+(Salim-Resal)*(1-EXP((Tnet-t)/(Tau_j))))*Salcycl</f>
        <v>2.2138046343221085E-2</v>
      </c>
      <c r="P160" s="169">
        <f>(INDEX(Models!$BJ160:$BT160,,T160)*(1-R160)+INDEX(Models!$BJ160:$BT160,,T160+1)*R160-ERP_i)*Q160*Ramure*Pc/MaxiM</f>
        <v>0</v>
      </c>
      <c r="Q160" s="305">
        <f t="shared" si="53"/>
        <v>0.7</v>
      </c>
      <c r="R160" s="177">
        <f t="shared" si="54"/>
        <v>0.15103830194419043</v>
      </c>
      <c r="S160" s="817">
        <f t="shared" si="55"/>
        <v>-1</v>
      </c>
      <c r="T160" s="176">
        <f t="shared" si="56"/>
        <v>5</v>
      </c>
      <c r="U160" s="251">
        <f t="shared" si="57"/>
        <v>-0.84896169805580957</v>
      </c>
      <c r="V160" s="383">
        <f t="shared" si="58"/>
        <v>39.609952227493345</v>
      </c>
      <c r="W160" s="402">
        <f t="shared" si="59"/>
        <v>14.52755241778925</v>
      </c>
      <c r="X160" s="157">
        <f t="shared" si="60"/>
        <v>46533</v>
      </c>
      <c r="Y160" s="385">
        <f t="shared" si="61"/>
        <v>13.319653462724338</v>
      </c>
      <c r="Z160" s="385">
        <f t="shared" si="62"/>
        <v>14.325563184012134</v>
      </c>
      <c r="AA160" s="386">
        <f t="shared" si="63"/>
        <v>15.978410507281643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0.10344253719831993</v>
      </c>
      <c r="AD160" s="231">
        <f>(INDEX(Models!$BJ160:$BT160,,AH160)*(1-AF160)+INDEX(Models!$BJ160:$BT160,,AH160+1)*AF160-ERP_i)*AE160*Ramure*Pc/MaxiM</f>
        <v>2.5592432928964797E-6</v>
      </c>
      <c r="AE160" s="305">
        <f t="shared" si="65"/>
        <v>0.7</v>
      </c>
      <c r="AF160" s="177">
        <f t="shared" si="66"/>
        <v>0.77490167132024657</v>
      </c>
      <c r="AG160" s="817">
        <f t="shared" si="74"/>
        <v>1</v>
      </c>
      <c r="AH160" s="176">
        <f t="shared" si="67"/>
        <v>7</v>
      </c>
      <c r="AI160" s="225">
        <f t="shared" si="68"/>
        <v>1.7749016713202466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46534</v>
      </c>
      <c r="B161" s="411">
        <f>'2026'!Wh/'2026'!Env_an*'2027'!Env_an</f>
        <v>28.815706683813186</v>
      </c>
      <c r="C161" s="846"/>
      <c r="D161" s="393">
        <f t="shared" si="50"/>
        <v>30.99256820385925</v>
      </c>
      <c r="E161" s="385">
        <f t="shared" si="72"/>
        <v>31.700428957965599</v>
      </c>
      <c r="F161" s="385">
        <f t="shared" si="51"/>
        <v>31.700428957965599</v>
      </c>
      <c r="G161" s="110">
        <f t="shared" si="73"/>
        <v>0.72764715506818844</v>
      </c>
      <c r="H161" s="414" t="b">
        <f>Wh_hp&gt;='2026'!Maxi_hp</f>
        <v>0</v>
      </c>
      <c r="I161" s="390">
        <f>IF(H161,Wh_hp,'2026'!Maxi_hp)</f>
        <v>43.072441964376736</v>
      </c>
      <c r="J161" s="85">
        <f>IF(H161,An,'2026'!An_max)</f>
        <v>2021</v>
      </c>
      <c r="K161" s="197">
        <f t="shared" si="52"/>
        <v>46534</v>
      </c>
      <c r="L161" s="147">
        <f>IF(t&lt;Tvie,1-EXP((T0-t)*PertePVj)+'2026'!Pspv,1-EXP((T0-t)*PertePVj)+Pspv)</f>
        <v>7.0238177931153056E-2</v>
      </c>
      <c r="M161" s="850"/>
      <c r="N161" s="850"/>
      <c r="O161" s="48">
        <f>IF(t&lt;Tnet,'2026'!Resal+('2026'!Salim-'2026'!Resal)*(1-EXP(('2026'!Tnet-t)/('2026'!Tau_j))),Resal+(Salim-Resal)*(1-EXP((Tnet-t)/(Tau_j))))*Salcycl</f>
        <v>2.2329690082268705E-2</v>
      </c>
      <c r="P161" s="169">
        <f>(INDEX(Models!$BJ161:$BT161,,T161)*(1-R161)+INDEX(Models!$BJ161:$BT161,,T161+1)*R161-ERP_i)*Q161*Ramure*Pc/MaxiM</f>
        <v>0</v>
      </c>
      <c r="Q161" s="305">
        <f t="shared" si="53"/>
        <v>0.7</v>
      </c>
      <c r="R161" s="177">
        <f t="shared" si="54"/>
        <v>0.15575294933516637</v>
      </c>
      <c r="S161" s="817">
        <f t="shared" si="55"/>
        <v>-1</v>
      </c>
      <c r="T161" s="176">
        <f t="shared" si="56"/>
        <v>5</v>
      </c>
      <c r="U161" s="251">
        <f t="shared" si="57"/>
        <v>-0.84424705066483363</v>
      </c>
      <c r="V161" s="383">
        <f t="shared" si="58"/>
        <v>39.601208474611354</v>
      </c>
      <c r="W161" s="402">
        <f t="shared" si="59"/>
        <v>28.815706683813186</v>
      </c>
      <c r="X161" s="157">
        <f t="shared" si="60"/>
        <v>46534</v>
      </c>
      <c r="Y161" s="385">
        <f t="shared" si="61"/>
        <v>26.42092095419272</v>
      </c>
      <c r="Z161" s="385">
        <f t="shared" si="62"/>
        <v>28.416870134979909</v>
      </c>
      <c r="AA161" s="386">
        <f t="shared" si="63"/>
        <v>31.700380851584818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0.1035795352736513</v>
      </c>
      <c r="AD161" s="231">
        <f>(INDEX(Models!$BJ161:$BT161,,AH161)*(1-AF161)+INDEX(Models!$BJ161:$BT161,,AH161+1)*AF161-ERP_i)*AE161*Ramure*Pc/MaxiM</f>
        <v>2.4839908880278909E-6</v>
      </c>
      <c r="AE161" s="305">
        <f t="shared" si="65"/>
        <v>0.7</v>
      </c>
      <c r="AF161" s="177">
        <f t="shared" si="66"/>
        <v>0.77961631871122239</v>
      </c>
      <c r="AG161" s="817">
        <f t="shared" si="74"/>
        <v>1</v>
      </c>
      <c r="AH161" s="176">
        <f t="shared" si="67"/>
        <v>7</v>
      </c>
      <c r="AI161" s="225">
        <f t="shared" si="68"/>
        <v>1.7796163187112224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46535</v>
      </c>
      <c r="B162" s="411">
        <f>'2026'!Wh/'2026'!Env_an*'2027'!Env_an</f>
        <v>36.647946297003905</v>
      </c>
      <c r="C162" s="846"/>
      <c r="D162" s="393">
        <f t="shared" si="50"/>
        <v>39.417351980655695</v>
      </c>
      <c r="E162" s="385">
        <f t="shared" si="72"/>
        <v>40.325535220007595</v>
      </c>
      <c r="F162" s="385">
        <f t="shared" si="51"/>
        <v>40.325535220007595</v>
      </c>
      <c r="G162" s="110">
        <f t="shared" si="73"/>
        <v>0.92563003339562844</v>
      </c>
      <c r="H162" s="414" t="b">
        <f>Wh_hp&gt;='2026'!Maxi_hp</f>
        <v>0</v>
      </c>
      <c r="I162" s="390">
        <f>IF(H162,Wh_hp,'2026'!Maxi_hp)</f>
        <v>41.82650557784492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7.0258542101227173E-2</v>
      </c>
      <c r="M162" s="850"/>
      <c r="N162" s="850"/>
      <c r="O162" s="48">
        <f>IF(t&lt;Tnet,'2026'!Resal+('2026'!Salim-'2026'!Resal)*(1-EXP(('2026'!Tnet-t)/('2026'!Tau_j))),Resal+(Salim-Resal)*(1-EXP((Tnet-t)/(Tau_j))))*Salcycl</f>
        <v>2.2521294122868799E-2</v>
      </c>
      <c r="P162" s="169">
        <f>(INDEX(Models!$BJ162:$BT162,,T162)*(1-R162)+INDEX(Models!$BJ162:$BT162,,T162+1)*R162-ERP_i)*Q162*Ramure*Pc/MaxiM</f>
        <v>0</v>
      </c>
      <c r="Q162" s="305">
        <f t="shared" si="53"/>
        <v>0.7</v>
      </c>
      <c r="R162" s="177">
        <f t="shared" si="54"/>
        <v>0.16052215171670869</v>
      </c>
      <c r="S162" s="817">
        <f t="shared" si="55"/>
        <v>-1</v>
      </c>
      <c r="T162" s="176">
        <f t="shared" si="56"/>
        <v>5</v>
      </c>
      <c r="U162" s="251">
        <f t="shared" si="57"/>
        <v>-0.83947784828329131</v>
      </c>
      <c r="V162" s="383">
        <f t="shared" si="58"/>
        <v>39.592434314779858</v>
      </c>
      <c r="W162" s="402">
        <f t="shared" si="59"/>
        <v>36.647946297003905</v>
      </c>
      <c r="X162" s="157">
        <f t="shared" si="60"/>
        <v>46535</v>
      </c>
      <c r="Y162" s="385">
        <f t="shared" si="61"/>
        <v>33.603683403431617</v>
      </c>
      <c r="Z162" s="385">
        <f t="shared" si="62"/>
        <v>36.143040753906313</v>
      </c>
      <c r="AA162" s="386">
        <f t="shared" si="63"/>
        <v>40.325448346582448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0.10371633209703894</v>
      </c>
      <c r="AD162" s="231">
        <f>(INDEX(Models!$BJ162:$BT162,,AH162)*(1-AF162)+INDEX(Models!$BJ162:$BT162,,AH162+1)*AF162-ERP_i)*AE162*Ramure*Pc/MaxiM</f>
        <v>2.410389659579895E-6</v>
      </c>
      <c r="AE162" s="305">
        <f t="shared" si="65"/>
        <v>0.7</v>
      </c>
      <c r="AF162" s="177">
        <f t="shared" si="66"/>
        <v>0.78438552109276483</v>
      </c>
      <c r="AG162" s="817">
        <f t="shared" si="74"/>
        <v>1</v>
      </c>
      <c r="AH162" s="176">
        <f t="shared" si="67"/>
        <v>7</v>
      </c>
      <c r="AI162" s="225">
        <f t="shared" si="68"/>
        <v>1.7843855210927648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46536</v>
      </c>
      <c r="B163" s="411">
        <f>'2026'!Wh/'2026'!Env_an*'2027'!Env_an</f>
        <v>39.771058991048911</v>
      </c>
      <c r="C163" s="846"/>
      <c r="D163" s="393">
        <f t="shared" si="50"/>
        <v>42.777408451027974</v>
      </c>
      <c r="E163" s="385">
        <f t="shared" si="72"/>
        <v>43.771585370686971</v>
      </c>
      <c r="F163" s="385">
        <f t="shared" si="51"/>
        <v>43.771585370686971</v>
      </c>
      <c r="G163" s="110">
        <f t="shared" si="73"/>
        <v>1.0047588599605872</v>
      </c>
      <c r="H163" s="414" t="b">
        <f>Wh_hp&gt;='2026'!Maxi_hp</f>
        <v>1</v>
      </c>
      <c r="I163" s="390">
        <f>IF(H163,Wh_hp,'2026'!Maxi_hp)</f>
        <v>43.771585370686971</v>
      </c>
      <c r="J163" s="85">
        <f>IF(H163,An,'2026'!An_max)</f>
        <v>2027</v>
      </c>
      <c r="K163" s="197">
        <f t="shared" si="52"/>
        <v>46536</v>
      </c>
      <c r="L163" s="147">
        <f>IF(t&lt;Tvie,1-EXP((T0-t)*PertePVj)+'2026'!Pspv,1-EXP((T0-t)*PertePVj)+Pspv)</f>
        <v>7.0278905825273741E-2</v>
      </c>
      <c r="M163" s="850"/>
      <c r="N163" s="850"/>
      <c r="O163" s="48">
        <f>IF(t&lt;Tnet,'2026'!Resal+('2026'!Salim-'2026'!Resal)*(1-EXP(('2026'!Tnet-t)/('2026'!Tau_j))),Resal+(Salim-Resal)*(1-EXP((Tnet-t)/(Tau_j))))*Salcycl</f>
        <v>2.271283782023539E-2</v>
      </c>
      <c r="P163" s="169">
        <f>(INDEX(Models!$BJ163:$BT163,,T163)*(1-R163)+INDEX(Models!$BJ163:$BT163,,T163+1)*R163-ERP_i)*Q163*Ramure*Pc/MaxiM</f>
        <v>0</v>
      </c>
      <c r="Q163" s="305">
        <f t="shared" si="53"/>
        <v>0.7</v>
      </c>
      <c r="R163" s="177">
        <f t="shared" si="54"/>
        <v>0.16534276654793068</v>
      </c>
      <c r="S163" s="817">
        <f t="shared" si="55"/>
        <v>-1</v>
      </c>
      <c r="T163" s="176">
        <f t="shared" si="56"/>
        <v>5</v>
      </c>
      <c r="U163" s="251">
        <f t="shared" si="57"/>
        <v>-0.83465723345206932</v>
      </c>
      <c r="V163" s="383">
        <f t="shared" si="58"/>
        <v>39.582690510048316</v>
      </c>
      <c r="W163" s="402">
        <f t="shared" si="59"/>
        <v>39.771058991048911</v>
      </c>
      <c r="X163" s="157">
        <f t="shared" si="60"/>
        <v>46536</v>
      </c>
      <c r="Y163" s="385">
        <f t="shared" si="61"/>
        <v>36.46895166844898</v>
      </c>
      <c r="Z163" s="385">
        <f t="shared" si="62"/>
        <v>39.225690260175192</v>
      </c>
      <c r="AA163" s="386">
        <f t="shared" si="63"/>
        <v>43.77148300905116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0.10385283834079768</v>
      </c>
      <c r="AD163" s="231">
        <f>(INDEX(Models!$BJ163:$BT163,,AH163)*(1-AF163)+INDEX(Models!$BJ163:$BT163,,AH163+1)*AF163-ERP_i)*AE163*Ramure*Pc/MaxiM</f>
        <v>2.3385407438630497E-6</v>
      </c>
      <c r="AE163" s="305">
        <f t="shared" si="65"/>
        <v>0.7</v>
      </c>
      <c r="AF163" s="177">
        <f t="shared" si="66"/>
        <v>0.78920613592398681</v>
      </c>
      <c r="AG163" s="817">
        <f t="shared" si="74"/>
        <v>1</v>
      </c>
      <c r="AH163" s="176">
        <f t="shared" si="67"/>
        <v>7</v>
      </c>
      <c r="AI163" s="225">
        <f t="shared" si="68"/>
        <v>1.7892061359239868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46537</v>
      </c>
      <c r="B164" s="411">
        <f>'2026'!Wh/'2026'!Env_an*'2027'!Env_an</f>
        <v>32.936244600409069</v>
      </c>
      <c r="C164" s="846"/>
      <c r="D164" s="393">
        <f t="shared" si="50"/>
        <v>35.426716905602532</v>
      </c>
      <c r="E164" s="385">
        <f t="shared" si="72"/>
        <v>36.257161813807407</v>
      </c>
      <c r="F164" s="385">
        <f t="shared" si="51"/>
        <v>36.257161813807407</v>
      </c>
      <c r="G164" s="110">
        <f t="shared" si="73"/>
        <v>0.8323375255839105</v>
      </c>
      <c r="H164" s="414" t="b">
        <f>Wh_hp&gt;='2026'!Maxi_hp</f>
        <v>0</v>
      </c>
      <c r="I164" s="390">
        <f>IF(H164,Wh_hp,'2026'!Maxi_hp)</f>
        <v>42.658493741310721</v>
      </c>
      <c r="J164" s="85">
        <f>IF(H164,An,'2026'!An_max)</f>
        <v>2019</v>
      </c>
      <c r="K164" s="197">
        <f t="shared" si="52"/>
        <v>46537</v>
      </c>
      <c r="L164" s="147">
        <f>IF(t&lt;Tvie,1-EXP((T0-t)*PertePVj)+'2026'!Pspv,1-EXP((T0-t)*PertePVj)+Pspv)</f>
        <v>7.029926910330242E-2</v>
      </c>
      <c r="M164" s="850"/>
      <c r="N164" s="850"/>
      <c r="O164" s="48">
        <f>IF(t&lt;Tnet,'2026'!Resal+('2026'!Salim-'2026'!Resal)*(1-EXP(('2026'!Tnet-t)/('2026'!Tau_j))),Resal+(Salim-Resal)*(1-EXP((Tnet-t)/(Tau_j))))*Salcycl</f>
        <v>2.2904299913751709E-2</v>
      </c>
      <c r="P164" s="169">
        <f>(INDEX(Models!$BJ164:$BT164,,T164)*(1-R164)+INDEX(Models!$BJ164:$BT164,,T164+1)*R164-ERP_i)*Q164*Ramure*Pc/MaxiM</f>
        <v>0</v>
      </c>
      <c r="Q164" s="305">
        <f t="shared" si="53"/>
        <v>0.7</v>
      </c>
      <c r="R164" s="177">
        <f t="shared" si="54"/>
        <v>0.17021149548801828</v>
      </c>
      <c r="S164" s="817">
        <f t="shared" si="55"/>
        <v>-1</v>
      </c>
      <c r="T164" s="176">
        <f t="shared" si="56"/>
        <v>5</v>
      </c>
      <c r="U164" s="251">
        <f t="shared" si="57"/>
        <v>-0.82978850451198172</v>
      </c>
      <c r="V164" s="383">
        <f t="shared" si="58"/>
        <v>39.570779387008024</v>
      </c>
      <c r="W164" s="402">
        <f t="shared" si="59"/>
        <v>32.936244600409069</v>
      </c>
      <c r="X164" s="157">
        <f t="shared" si="60"/>
        <v>46537</v>
      </c>
      <c r="Y164" s="385">
        <f t="shared" si="61"/>
        <v>30.202965305663859</v>
      </c>
      <c r="Z164" s="385">
        <f t="shared" si="62"/>
        <v>32.486760848873445</v>
      </c>
      <c r="AA164" s="386">
        <f t="shared" si="63"/>
        <v>36.257099028139287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0.10398896437742206</v>
      </c>
      <c r="AD164" s="231">
        <f>(INDEX(Models!$BJ164:$BT164,,AH164)*(1-AF164)+INDEX(Models!$BJ164:$BT164,,AH164+1)*AF164-ERP_i)*AE164*Ramure*Pc/MaxiM</f>
        <v>2.2770767747034367E-6</v>
      </c>
      <c r="AE164" s="305">
        <f t="shared" si="65"/>
        <v>0.7</v>
      </c>
      <c r="AF164" s="177">
        <f t="shared" si="66"/>
        <v>0.7940748648640743</v>
      </c>
      <c r="AG164" s="817">
        <f t="shared" si="74"/>
        <v>1</v>
      </c>
      <c r="AH164" s="176">
        <f t="shared" si="67"/>
        <v>7</v>
      </c>
      <c r="AI164" s="225">
        <f t="shared" si="68"/>
        <v>1.7940748648640743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46538</v>
      </c>
      <c r="B165" s="411">
        <f>'2026'!Wh/'2026'!Env_an*'2027'!Env_an</f>
        <v>36.039979874231371</v>
      </c>
      <c r="C165" s="846"/>
      <c r="D165" s="393">
        <f t="shared" si="50"/>
        <v>38.765990024352227</v>
      </c>
      <c r="E165" s="385">
        <f t="shared" si="72"/>
        <v>39.682483106542961</v>
      </c>
      <c r="F165" s="385">
        <f t="shared" si="51"/>
        <v>39.682483106542961</v>
      </c>
      <c r="G165" s="110">
        <f t="shared" si="73"/>
        <v>0.91109441255163215</v>
      </c>
      <c r="H165" s="414" t="b">
        <f>Wh_hp&gt;='2026'!Maxi_hp</f>
        <v>0</v>
      </c>
      <c r="I165" s="390">
        <f>IF(H165,Wh_hp,'2026'!Maxi_hp)</f>
        <v>43.393408345276015</v>
      </c>
      <c r="J165" s="85">
        <f>IF(H165,An,'2026'!An_max)</f>
        <v>2019</v>
      </c>
      <c r="K165" s="197">
        <f t="shared" si="52"/>
        <v>46538</v>
      </c>
      <c r="L165" s="147">
        <f>IF(t&lt;Tvie,1-EXP((T0-t)*PertePVj)+'2026'!Pspv,1-EXP((T0-t)*PertePVj)+Pspv)</f>
        <v>7.031963193532309E-2</v>
      </c>
      <c r="M165" s="850"/>
      <c r="N165" s="850"/>
      <c r="O165" s="48">
        <f>IF(t&lt;Tnet,'2026'!Resal+('2026'!Salim-'2026'!Resal)*(1-EXP(('2026'!Tnet-t)/('2026'!Tau_j))),Resal+(Salim-Resal)*(1-EXP((Tnet-t)/(Tau_j))))*Salcycl</f>
        <v>2.3095658599036069E-2</v>
      </c>
      <c r="P165" s="169">
        <f>(INDEX(Models!$BJ165:$BT165,,T165)*(1-R165)+INDEX(Models!$BJ165:$BT165,,T165+1)*R165-ERP_i)*Q165*Ramure*Pc/MaxiM</f>
        <v>0</v>
      </c>
      <c r="Q165" s="305">
        <f t="shared" si="53"/>
        <v>0.7</v>
      </c>
      <c r="R165" s="177">
        <f t="shared" si="54"/>
        <v>0.17512489203764492</v>
      </c>
      <c r="S165" s="817">
        <f t="shared" si="55"/>
        <v>-1</v>
      </c>
      <c r="T165" s="176">
        <f t="shared" si="56"/>
        <v>5</v>
      </c>
      <c r="U165" s="251">
        <f t="shared" si="57"/>
        <v>-0.82487510796235508</v>
      </c>
      <c r="V165" s="383">
        <f t="shared" si="58"/>
        <v>39.55680045638406</v>
      </c>
      <c r="W165" s="402">
        <f t="shared" si="59"/>
        <v>36.039979874231371</v>
      </c>
      <c r="X165" s="157">
        <f t="shared" si="60"/>
        <v>46538</v>
      </c>
      <c r="Y165" s="385">
        <f t="shared" si="61"/>
        <v>33.05059354652132</v>
      </c>
      <c r="Z165" s="385">
        <f t="shared" si="62"/>
        <v>35.55049098791126</v>
      </c>
      <c r="AA165" s="386">
        <f t="shared" si="63"/>
        <v>39.682406510236241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0.10412462059878189</v>
      </c>
      <c r="AD165" s="231">
        <f>(INDEX(Models!$BJ165:$BT165,,AH165)*(1-AF165)+INDEX(Models!$BJ165:$BT165,,AH165+1)*AF165-ERP_i)*AE165*Ramure*Pc/MaxiM</f>
        <v>2.2110507789181344E-6</v>
      </c>
      <c r="AE165" s="305">
        <f t="shared" si="65"/>
        <v>0.7</v>
      </c>
      <c r="AF165" s="177">
        <f t="shared" si="66"/>
        <v>0.79898826141370094</v>
      </c>
      <c r="AG165" s="817">
        <f t="shared" si="74"/>
        <v>1</v>
      </c>
      <c r="AH165" s="176">
        <f t="shared" si="67"/>
        <v>7</v>
      </c>
      <c r="AI165" s="225">
        <f t="shared" si="68"/>
        <v>1.7989882614137009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46539</v>
      </c>
      <c r="B166" s="411">
        <f>'2026'!Wh/'2026'!Env_an*'2027'!Env_an</f>
        <v>36.857907791863767</v>
      </c>
      <c r="C166" s="846"/>
      <c r="D166" s="393">
        <f t="shared" si="50"/>
        <v>39.646653149241793</v>
      </c>
      <c r="E166" s="385">
        <f t="shared" si="72"/>
        <v>40.59191261840823</v>
      </c>
      <c r="F166" s="385">
        <f t="shared" si="51"/>
        <v>40.59191261840823</v>
      </c>
      <c r="G166" s="110">
        <f t="shared" si="73"/>
        <v>0.93214750939598023</v>
      </c>
      <c r="H166" s="414" t="b">
        <f>Wh_hp&gt;='2026'!Maxi_hp</f>
        <v>0</v>
      </c>
      <c r="I166" s="390">
        <f>IF(H166,Wh_hp,'2026'!Maxi_hp)</f>
        <v>43.566085731494503</v>
      </c>
      <c r="J166" s="85">
        <f>IF(H166,An,'2026'!An_max)</f>
        <v>2019</v>
      </c>
      <c r="K166" s="197">
        <f t="shared" si="52"/>
        <v>46539</v>
      </c>
      <c r="L166" s="147">
        <f>IF(t&lt;Tvie,1-EXP((T0-t)*PertePVj)+'2026'!Pspv,1-EXP((T0-t)*PertePVj)+Pspv)</f>
        <v>7.0339994321345523E-2</v>
      </c>
      <c r="M166" s="850"/>
      <c r="N166" s="850"/>
      <c r="O166" s="48">
        <f>IF(t&lt;Tnet,'2026'!Resal+('2026'!Salim-'2026'!Resal)*(1-EXP(('2026'!Tnet-t)/('2026'!Tau_j))),Resal+(Salim-Resal)*(1-EXP((Tnet-t)/(Tau_j))))*Salcycl</f>
        <v>2.3286891604554865E-2</v>
      </c>
      <c r="P166" s="169">
        <f>(INDEX(Models!$BJ166:$BT166,,T166)*(1-R166)+INDEX(Models!$BJ166:$BT166,,T166+1)*R166-ERP_i)*Q166*Ramure*Pc/MaxiM</f>
        <v>0</v>
      </c>
      <c r="Q166" s="305">
        <f t="shared" si="53"/>
        <v>0.7</v>
      </c>
      <c r="R166" s="177">
        <f t="shared" si="54"/>
        <v>0.18007937011472719</v>
      </c>
      <c r="S166" s="817">
        <f t="shared" si="55"/>
        <v>-1</v>
      </c>
      <c r="T166" s="176">
        <f t="shared" si="56"/>
        <v>5</v>
      </c>
      <c r="U166" s="251">
        <f t="shared" si="57"/>
        <v>-0.81992062988527281</v>
      </c>
      <c r="V166" s="383">
        <f t="shared" si="58"/>
        <v>39.540853159332293</v>
      </c>
      <c r="W166" s="402">
        <f t="shared" si="59"/>
        <v>36.857907791863767</v>
      </c>
      <c r="X166" s="157">
        <f t="shared" si="60"/>
        <v>46539</v>
      </c>
      <c r="Y166" s="385">
        <f t="shared" si="61"/>
        <v>33.802197013048904</v>
      </c>
      <c r="Z166" s="385">
        <f t="shared" si="62"/>
        <v>36.35974098764548</v>
      </c>
      <c r="AA166" s="386">
        <f t="shared" si="63"/>
        <v>40.591834159793777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0.10425971774244652</v>
      </c>
      <c r="AD166" s="231">
        <f>(INDEX(Models!$BJ166:$BT166,,AH166)*(1-AF166)+INDEX(Models!$BJ166:$BT166,,AH166+1)*AF166-ERP_i)*AE166*Ramure*Pc/MaxiM</f>
        <v>2.1403299477977623E-6</v>
      </c>
      <c r="AE166" s="305">
        <f t="shared" si="65"/>
        <v>0.7</v>
      </c>
      <c r="AF166" s="177">
        <f t="shared" si="66"/>
        <v>0.80394273949078321</v>
      </c>
      <c r="AG166" s="817">
        <f t="shared" si="74"/>
        <v>1</v>
      </c>
      <c r="AH166" s="176">
        <f t="shared" si="67"/>
        <v>7</v>
      </c>
      <c r="AI166" s="225">
        <f t="shared" si="68"/>
        <v>1.8039427394907832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46540</v>
      </c>
      <c r="B167" s="411">
        <f>'2026'!Wh/'2026'!Env_an*'2027'!Env_an</f>
        <v>29.430364743025351</v>
      </c>
      <c r="C167" s="846"/>
      <c r="D167" s="393">
        <f t="shared" si="50"/>
        <v>31.657820254597546</v>
      </c>
      <c r="E167" s="385">
        <f t="shared" si="72"/>
        <v>32.418951631784523</v>
      </c>
      <c r="F167" s="385">
        <f t="shared" si="51"/>
        <v>32.418951631784523</v>
      </c>
      <c r="G167" s="110">
        <f t="shared" si="73"/>
        <v>0.74463824331868678</v>
      </c>
      <c r="H167" s="414" t="b">
        <f>Wh_hp&gt;='2026'!Maxi_hp</f>
        <v>0</v>
      </c>
      <c r="I167" s="390">
        <f>IF(H167,Wh_hp,'2026'!Maxi_hp)</f>
        <v>42.879308484292096</v>
      </c>
      <c r="J167" s="85">
        <f>IF(H167,An,'2026'!An_max)</f>
        <v>2019</v>
      </c>
      <c r="K167" s="197">
        <f t="shared" si="52"/>
        <v>46540</v>
      </c>
      <c r="L167" s="147">
        <f>IF(t&lt;Tvie,1-EXP((T0-t)*PertePVj)+'2026'!Pspv,1-EXP((T0-t)*PertePVj)+Pspv)</f>
        <v>7.0360356261379375E-2</v>
      </c>
      <c r="M167" s="850"/>
      <c r="N167" s="850"/>
      <c r="O167" s="48">
        <f>IF(t&lt;Tnet,'2026'!Resal+('2026'!Salim-'2026'!Resal)*(1-EXP(('2026'!Tnet-t)/('2026'!Tau_j))),Resal+(Salim-Resal)*(1-EXP((Tnet-t)/(Tau_j))))*Salcycl</f>
        <v>2.3477976272395538E-2</v>
      </c>
      <c r="P167" s="169">
        <f>(INDEX(Models!$BJ167:$BT167,,T167)*(1-R167)+INDEX(Models!$BJ167:$BT167,,T167+1)*R167-ERP_i)*Q167*Ramure*Pc/MaxiM</f>
        <v>0</v>
      </c>
      <c r="Q167" s="305">
        <f t="shared" si="53"/>
        <v>0.7</v>
      </c>
      <c r="R167" s="177">
        <f t="shared" si="54"/>
        <v>0.1850712135291398</v>
      </c>
      <c r="S167" s="817">
        <f t="shared" si="55"/>
        <v>-1</v>
      </c>
      <c r="T167" s="176">
        <f t="shared" si="56"/>
        <v>5</v>
      </c>
      <c r="U167" s="251">
        <f t="shared" si="57"/>
        <v>-0.8149287864708602</v>
      </c>
      <c r="V167" s="383">
        <f t="shared" si="58"/>
        <v>39.523036866681423</v>
      </c>
      <c r="W167" s="402">
        <f t="shared" si="59"/>
        <v>29.430364743025351</v>
      </c>
      <c r="X167" s="157">
        <f t="shared" si="60"/>
        <v>46540</v>
      </c>
      <c r="Y167" s="385">
        <f t="shared" si="61"/>
        <v>26.99168182023779</v>
      </c>
      <c r="Z167" s="385">
        <f t="shared" si="62"/>
        <v>29.034564093769248</v>
      </c>
      <c r="AA167" s="386">
        <f t="shared" si="63"/>
        <v>32.418909112894212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0.10439416722319278</v>
      </c>
      <c r="AD167" s="231">
        <f>(INDEX(Models!$BJ167:$BT167,,AH167)*(1-AF167)+INDEX(Models!$BJ167:$BT167,,AH167+1)*AF167-ERP_i)*AE167*Ramure*Pc/MaxiM</f>
        <v>2.0647818851904511E-6</v>
      </c>
      <c r="AE167" s="305">
        <f t="shared" si="65"/>
        <v>0.7</v>
      </c>
      <c r="AF167" s="177">
        <f t="shared" si="66"/>
        <v>0.80893458290519593</v>
      </c>
      <c r="AG167" s="817">
        <f t="shared" si="74"/>
        <v>1</v>
      </c>
      <c r="AH167" s="176">
        <f t="shared" si="67"/>
        <v>7</v>
      </c>
      <c r="AI167" s="225">
        <f t="shared" si="68"/>
        <v>1.8089345829051959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46541</v>
      </c>
      <c r="B168" s="411">
        <f>'2026'!Wh/'2026'!Env_an*'2027'!Env_an</f>
        <v>35.641247844394236</v>
      </c>
      <c r="C168" s="846"/>
      <c r="D168" s="393">
        <f t="shared" si="50"/>
        <v>38.339617653302604</v>
      </c>
      <c r="E168" s="385">
        <f t="shared" si="72"/>
        <v>39.269073008719737</v>
      </c>
      <c r="F168" s="385">
        <f t="shared" si="51"/>
        <v>39.269073008719737</v>
      </c>
      <c r="G168" s="110">
        <f t="shared" si="73"/>
        <v>0.90223124954895295</v>
      </c>
      <c r="H168" s="414" t="b">
        <f>Wh_hp&gt;='2026'!Maxi_hp</f>
        <v>0</v>
      </c>
      <c r="I168" s="390">
        <f>IF(H168,Wh_hp,'2026'!Maxi_hp)</f>
        <v>40.900365987061008</v>
      </c>
      <c r="J168" s="85">
        <f>IF(H168,An,'2026'!An_max)</f>
        <v>2020</v>
      </c>
      <c r="K168" s="197">
        <f t="shared" si="52"/>
        <v>46541</v>
      </c>
      <c r="L168" s="147">
        <f>IF(t&lt;Tvie,1-EXP((T0-t)*PertePVj)+'2026'!Pspv,1-EXP((T0-t)*PertePVj)+Pspv)</f>
        <v>7.038071775543453E-2</v>
      </c>
      <c r="M168" s="850"/>
      <c r="N168" s="850"/>
      <c r="O168" s="48">
        <f>IF(t&lt;Tnet,'2026'!Resal+('2026'!Salim-'2026'!Resal)*(1-EXP(('2026'!Tnet-t)/('2026'!Tau_j))),Resal+(Salim-Resal)*(1-EXP((Tnet-t)/(Tau_j))))*Salcycl</f>
        <v>2.3668889642766731E-2</v>
      </c>
      <c r="P168" s="169">
        <f>(INDEX(Models!$BJ168:$BT168,,T168)*(1-R168)+INDEX(Models!$BJ168:$BT168,,T168+1)*R168-ERP_i)*Q168*Ramure*Pc/MaxiM</f>
        <v>0</v>
      </c>
      <c r="Q168" s="305">
        <f t="shared" si="53"/>
        <v>0.7</v>
      </c>
      <c r="R168" s="177">
        <f t="shared" si="54"/>
        <v>0.19009658631141169</v>
      </c>
      <c r="S168" s="817">
        <f t="shared" si="55"/>
        <v>-1</v>
      </c>
      <c r="T168" s="176">
        <f t="shared" si="56"/>
        <v>5</v>
      </c>
      <c r="U168" s="251">
        <f t="shared" si="57"/>
        <v>-0.80990341368858831</v>
      </c>
      <c r="V168" s="383">
        <f t="shared" si="58"/>
        <v>39.503450874941592</v>
      </c>
      <c r="W168" s="402">
        <f t="shared" si="59"/>
        <v>35.641247844394236</v>
      </c>
      <c r="X168" s="157">
        <f t="shared" si="60"/>
        <v>46541</v>
      </c>
      <c r="Y168" s="385">
        <f t="shared" si="61"/>
        <v>32.68941129847687</v>
      </c>
      <c r="Z168" s="385">
        <f t="shared" si="62"/>
        <v>35.164299969712651</v>
      </c>
      <c r="AA168" s="386">
        <f t="shared" si="63"/>
        <v>39.269005971225766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0.1045278814676599</v>
      </c>
      <c r="AD168" s="231">
        <f>(INDEX(Models!$BJ168:$BT168,,AH168)*(1-AF168)+INDEX(Models!$BJ168:$BT168,,AH168+1)*AF168-ERP_i)*AE168*Ramure*Pc/MaxiM</f>
        <v>1.9842750624933367E-6</v>
      </c>
      <c r="AE168" s="305">
        <f t="shared" si="65"/>
        <v>0.7</v>
      </c>
      <c r="AF168" s="177">
        <f t="shared" si="66"/>
        <v>0.81395995568746771</v>
      </c>
      <c r="AG168" s="817">
        <f t="shared" si="74"/>
        <v>1</v>
      </c>
      <c r="AH168" s="176">
        <f t="shared" si="67"/>
        <v>7</v>
      </c>
      <c r="AI168" s="225">
        <f t="shared" si="68"/>
        <v>1.8139599556874677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46542</v>
      </c>
      <c r="B169" s="411">
        <f>'2026'!Wh/'2026'!Env_an*'2027'!Env_an</f>
        <v>17.704894584088443</v>
      </c>
      <c r="C169" s="846"/>
      <c r="D169" s="393">
        <f t="shared" si="50"/>
        <v>19.045734865204679</v>
      </c>
      <c r="E169" s="385">
        <f t="shared" si="72"/>
        <v>19.511266034952595</v>
      </c>
      <c r="F169" s="385">
        <f t="shared" si="51"/>
        <v>19.511266034952595</v>
      </c>
      <c r="G169" s="110">
        <f t="shared" si="73"/>
        <v>0.44842731902256799</v>
      </c>
      <c r="H169" s="414" t="b">
        <f>Wh_hp&gt;='2026'!Maxi_hp</f>
        <v>0</v>
      </c>
      <c r="I169" s="390">
        <f>IF(H169,Wh_hp,'2026'!Maxi_hp)</f>
        <v>39.208479410281221</v>
      </c>
      <c r="J169" s="85">
        <f>IF(H169,An,'2026'!An_max)</f>
        <v>2019</v>
      </c>
      <c r="K169" s="197">
        <f t="shared" si="52"/>
        <v>46542</v>
      </c>
      <c r="L169" s="147">
        <f>IF(t&lt;Tvie,1-EXP((T0-t)*PertePVj)+'2026'!Pspv,1-EXP((T0-t)*PertePVj)+Pspv)</f>
        <v>7.0401078803520645E-2</v>
      </c>
      <c r="M169" s="850"/>
      <c r="N169" s="850"/>
      <c r="O169" s="48">
        <f>IF(t&lt;Tnet,'2026'!Resal+('2026'!Salim-'2026'!Resal)*(1-EXP(('2026'!Tnet-t)/('2026'!Tau_j))),Resal+(Salim-Resal)*(1-EXP((Tnet-t)/(Tau_j))))*Salcycl</f>
        <v>2.3859608541750336E-2</v>
      </c>
      <c r="P169" s="169">
        <f>(INDEX(Models!$BJ169:$BT169,,T169)*(1-R169)+INDEX(Models!$BJ169:$BT169,,T169+1)*R169-ERP_i)*Q169*Ramure*Pc/MaxiM</f>
        <v>0</v>
      </c>
      <c r="Q169" s="305">
        <f t="shared" si="53"/>
        <v>0.7</v>
      </c>
      <c r="R169" s="177">
        <f t="shared" si="54"/>
        <v>0.19515154384107147</v>
      </c>
      <c r="S169" s="817">
        <f t="shared" si="55"/>
        <v>-1</v>
      </c>
      <c r="T169" s="176">
        <f t="shared" si="56"/>
        <v>5</v>
      </c>
      <c r="U169" s="251">
        <f t="shared" si="57"/>
        <v>-0.80484845615892853</v>
      </c>
      <c r="V169" s="383">
        <f t="shared" si="58"/>
        <v>39.482194400375967</v>
      </c>
      <c r="W169" s="402">
        <f t="shared" si="59"/>
        <v>17.704894584088443</v>
      </c>
      <c r="X169" s="157">
        <f t="shared" si="60"/>
        <v>46542</v>
      </c>
      <c r="Y169" s="385">
        <f t="shared" si="61"/>
        <v>16.239344632942881</v>
      </c>
      <c r="Z169" s="385">
        <f t="shared" si="62"/>
        <v>17.469194792138261</v>
      </c>
      <c r="AA169" s="386">
        <f t="shared" si="63"/>
        <v>19.511258179831863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0.1046607742500386</v>
      </c>
      <c r="AD169" s="231">
        <f>(INDEX(Models!$BJ169:$BT169,,AH169)*(1-AF169)+INDEX(Models!$BJ169:$BT169,,AH169+1)*AF169-ERP_i)*AE169*Ramure*Pc/MaxiM</f>
        <v>1.8986792790838614E-6</v>
      </c>
      <c r="AE169" s="305">
        <f t="shared" si="65"/>
        <v>0.7</v>
      </c>
      <c r="AF169" s="177">
        <f t="shared" si="66"/>
        <v>0.8190149132171276</v>
      </c>
      <c r="AG169" s="817">
        <f t="shared" si="74"/>
        <v>1</v>
      </c>
      <c r="AH169" s="176">
        <f t="shared" si="67"/>
        <v>7</v>
      </c>
      <c r="AI169" s="225">
        <f t="shared" si="68"/>
        <v>1.8190149132171276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46543</v>
      </c>
      <c r="B170" s="411">
        <f>'2026'!Wh/'2026'!Env_an*'2027'!Env_an</f>
        <v>21.720707979059103</v>
      </c>
      <c r="C170" s="846"/>
      <c r="D170" s="393">
        <f t="shared" si="50"/>
        <v>23.366188614732415</v>
      </c>
      <c r="E170" s="385">
        <f t="shared" ref="E170:E232" si="75">Wh_pvt/(1-Psa)</f>
        <v>23.941996250314073</v>
      </c>
      <c r="F170" s="385">
        <f t="shared" si="51"/>
        <v>23.941996250314073</v>
      </c>
      <c r="G170" s="110">
        <f t="shared" ref="G170:G232" si="76">+Wh_hp/MaxiM</f>
        <v>0.55045759380578763</v>
      </c>
      <c r="H170" s="414" t="b">
        <f>Wh_hp&gt;='2026'!Maxi_hp</f>
        <v>0</v>
      </c>
      <c r="I170" s="390">
        <f>IF(H170,Wh_hp,'2026'!Maxi_hp)</f>
        <v>31.965848154895578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7.0421439405647601E-2</v>
      </c>
      <c r="M170" s="850"/>
      <c r="N170" s="850"/>
      <c r="O170" s="48">
        <f>IF(t&lt;Tnet,'2026'!Resal+('2026'!Salim-'2026'!Resal)*(1-EXP(('2026'!Tnet-t)/('2026'!Tau_j))),Resal+(Salim-Resal)*(1-EXP((Tnet-t)/(Tau_j))))*Salcycl</f>
        <v>2.4050109671790765E-2</v>
      </c>
      <c r="P170" s="169">
        <f>(INDEX(Models!$BJ170:$BT170,,T170)*(1-R170)+INDEX(Models!$BJ170:$BT170,,T170+1)*R170-ERP_i)*Q170*Ramure*Pc/MaxiM</f>
        <v>0</v>
      </c>
      <c r="Q170" s="305">
        <f t="shared" si="53"/>
        <v>0.7</v>
      </c>
      <c r="R170" s="177">
        <f t="shared" si="54"/>
        <v>0.20023204471134348</v>
      </c>
      <c r="S170" s="817">
        <f t="shared" si="55"/>
        <v>-1</v>
      </c>
      <c r="T170" s="176">
        <f t="shared" si="56"/>
        <v>5</v>
      </c>
      <c r="U170" s="251">
        <f t="shared" si="57"/>
        <v>-0.79976795528865652</v>
      </c>
      <c r="V170" s="383">
        <f t="shared" si="58"/>
        <v>39.459366576969423</v>
      </c>
      <c r="W170" s="402">
        <f t="shared" si="59"/>
        <v>21.720707979059103</v>
      </c>
      <c r="X170" s="157">
        <f t="shared" si="60"/>
        <v>46543</v>
      </c>
      <c r="Y170" s="385">
        <f t="shared" si="61"/>
        <v>19.923689316638615</v>
      </c>
      <c r="Z170" s="385">
        <f t="shared" si="62"/>
        <v>21.433034453698934</v>
      </c>
      <c r="AA170" s="386">
        <f t="shared" si="63"/>
        <v>23.941980717535664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0.10479276102662306</v>
      </c>
      <c r="AD170" s="231">
        <f>(INDEX(Models!$BJ170:$BT170,,AH170)*(1-AF170)+INDEX(Models!$BJ170:$BT170,,AH170+1)*AF170-ERP_i)*AE170*Ramure*Pc/MaxiM</f>
        <v>1.8132288658676093E-6</v>
      </c>
      <c r="AE170" s="305">
        <f t="shared" si="65"/>
        <v>0.7</v>
      </c>
      <c r="AF170" s="177">
        <f t="shared" si="66"/>
        <v>0.8240954140873995</v>
      </c>
      <c r="AG170" s="817">
        <f t="shared" si="74"/>
        <v>1</v>
      </c>
      <c r="AH170" s="176">
        <f t="shared" si="67"/>
        <v>7</v>
      </c>
      <c r="AI170" s="225">
        <f t="shared" si="68"/>
        <v>1.8240954140873995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46544</v>
      </c>
      <c r="B171" s="411">
        <f>'2026'!Wh/'2026'!Env_an*'2027'!Env_an</f>
        <v>30.140465542134194</v>
      </c>
      <c r="C171" s="846"/>
      <c r="D171" s="393">
        <f t="shared" si="50"/>
        <v>32.424506101852032</v>
      </c>
      <c r="E171" s="385">
        <f t="shared" si="75"/>
        <v>33.230013924667375</v>
      </c>
      <c r="F171" s="385">
        <f t="shared" si="51"/>
        <v>33.230013924667375</v>
      </c>
      <c r="G171" s="110">
        <f t="shared" si="76"/>
        <v>0.76430619378502151</v>
      </c>
      <c r="H171" s="414" t="b">
        <f>Wh_hp&gt;='2026'!Maxi_hp</f>
        <v>0</v>
      </c>
      <c r="I171" s="390">
        <f>IF(H171,Wh_hp,'2026'!Maxi_hp)</f>
        <v>41.05414814635413</v>
      </c>
      <c r="J171" s="85">
        <f>IF(H171,An,'2026'!An_max)</f>
        <v>2019</v>
      </c>
      <c r="K171" s="197">
        <f t="shared" si="52"/>
        <v>46544</v>
      </c>
      <c r="L171" s="147">
        <f>IF(t&lt;Tvie,1-EXP((T0-t)*PertePVj)+'2026'!Pspv,1-EXP((T0-t)*PertePVj)+Pspv)</f>
        <v>7.0441799561825058E-2</v>
      </c>
      <c r="M171" s="850"/>
      <c r="N171" s="850"/>
      <c r="O171" s="48">
        <f>IF(t&lt;Tnet,'2026'!Resal+('2026'!Salim-'2026'!Resal)*(1-EXP(('2026'!Tnet-t)/('2026'!Tau_j))),Resal+(Salim-Resal)*(1-EXP((Tnet-t)/(Tau_j))))*Salcycl</f>
        <v>2.4240369704371222E-2</v>
      </c>
      <c r="P171" s="169">
        <f>(INDEX(Models!$BJ171:$BT171,,T171)*(1-R171)+INDEX(Models!$BJ171:$BT171,,T171+1)*R171-ERP_i)*Q171*Ramure*Pc/MaxiM</f>
        <v>0</v>
      </c>
      <c r="Q171" s="305">
        <f t="shared" si="53"/>
        <v>0.7</v>
      </c>
      <c r="R171" s="177">
        <f t="shared" si="54"/>
        <v>0.20533396325848341</v>
      </c>
      <c r="S171" s="817">
        <f t="shared" si="55"/>
        <v>-1</v>
      </c>
      <c r="T171" s="176">
        <f t="shared" si="56"/>
        <v>5</v>
      </c>
      <c r="U171" s="251">
        <f t="shared" si="57"/>
        <v>-0.79466603674151659</v>
      </c>
      <c r="V171" s="383">
        <f t="shared" si="58"/>
        <v>39.435066452715269</v>
      </c>
      <c r="W171" s="402">
        <f t="shared" si="59"/>
        <v>30.140465542134194</v>
      </c>
      <c r="X171" s="157">
        <f t="shared" si="60"/>
        <v>46544</v>
      </c>
      <c r="Y171" s="385">
        <f t="shared" si="61"/>
        <v>27.648185688115266</v>
      </c>
      <c r="Z171" s="385">
        <f t="shared" si="62"/>
        <v>29.743361604558455</v>
      </c>
      <c r="AA171" s="386">
        <f t="shared" si="63"/>
        <v>33.229975560742609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0.10492375926701519</v>
      </c>
      <c r="AD171" s="231">
        <f>(INDEX(Models!$BJ171:$BT171,,AH171)*(1-AF171)+INDEX(Models!$BJ171:$BT171,,AH171+1)*AF171-ERP_i)*AE171*Ramure*Pc/MaxiM</f>
        <v>1.740548263308995E-6</v>
      </c>
      <c r="AE171" s="305">
        <f t="shared" si="65"/>
        <v>0.7</v>
      </c>
      <c r="AF171" s="177">
        <f t="shared" si="66"/>
        <v>0.82919733263453943</v>
      </c>
      <c r="AG171" s="817">
        <f t="shared" si="74"/>
        <v>1</v>
      </c>
      <c r="AH171" s="176">
        <f t="shared" si="67"/>
        <v>7</v>
      </c>
      <c r="AI171" s="225">
        <f t="shared" si="68"/>
        <v>1.8291973326345394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46545</v>
      </c>
      <c r="B172" s="411">
        <f>'2026'!Wh/'2026'!Env_an*'2027'!Env_an</f>
        <v>17.464840263527858</v>
      </c>
      <c r="C172" s="846"/>
      <c r="D172" s="393">
        <f t="shared" si="50"/>
        <v>18.788735109321468</v>
      </c>
      <c r="E172" s="385">
        <f t="shared" si="75"/>
        <v>19.259245514063291</v>
      </c>
      <c r="F172" s="385">
        <f t="shared" si="51"/>
        <v>19.259245514063291</v>
      </c>
      <c r="G172" s="110">
        <f t="shared" si="76"/>
        <v>0.4431644067877672</v>
      </c>
      <c r="H172" s="414" t="b">
        <f>Wh_hp&gt;='2026'!Maxi_hp</f>
        <v>0</v>
      </c>
      <c r="I172" s="390">
        <f>IF(H172,Wh_hp,'2026'!Maxi_hp)</f>
        <v>38.856191383459525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7.0462159272062896E-2</v>
      </c>
      <c r="M172" s="850"/>
      <c r="N172" s="850"/>
      <c r="O172" s="48">
        <f>IF(t&lt;Tnet,'2026'!Resal+('2026'!Salim-'2026'!Resal)*(1-EXP(('2026'!Tnet-t)/('2026'!Tau_j))),Resal+(Salim-Resal)*(1-EXP((Tnet-t)/(Tau_j))))*Salcycl</f>
        <v>2.4430365374295233E-2</v>
      </c>
      <c r="P172" s="169">
        <f>(INDEX(Models!$BJ172:$BT172,,T172)*(1-R172)+INDEX(Models!$BJ172:$BT172,,T172+1)*R172-ERP_i)*Q172*Ramure*Pc/MaxiM</f>
        <v>0</v>
      </c>
      <c r="Q172" s="305">
        <f t="shared" si="53"/>
        <v>0.7</v>
      </c>
      <c r="R172" s="177">
        <f t="shared" si="54"/>
        <v>0.21045310267630946</v>
      </c>
      <c r="S172" s="817">
        <f t="shared" si="55"/>
        <v>-1</v>
      </c>
      <c r="T172" s="176">
        <f t="shared" si="56"/>
        <v>5</v>
      </c>
      <c r="U172" s="251">
        <f t="shared" si="57"/>
        <v>-0.78954689732369054</v>
      </c>
      <c r="V172" s="383">
        <f t="shared" si="58"/>
        <v>39.409392983791285</v>
      </c>
      <c r="W172" s="402">
        <f t="shared" si="59"/>
        <v>17.464840263527858</v>
      </c>
      <c r="X172" s="157">
        <f t="shared" si="60"/>
        <v>46545</v>
      </c>
      <c r="Y172" s="385">
        <f t="shared" si="61"/>
        <v>16.021500097551677</v>
      </c>
      <c r="Z172" s="385">
        <f t="shared" si="62"/>
        <v>17.235984804023648</v>
      </c>
      <c r="AA172" s="386">
        <f t="shared" si="63"/>
        <v>19.259238892803008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0.1050536887797489</v>
      </c>
      <c r="AD172" s="231">
        <f>(INDEX(Models!$BJ172:$BT172,,AH172)*(1-AF172)+INDEX(Models!$BJ172:$BT172,,AH172+1)*AF172-ERP_i)*AE172*Ramure*Pc/MaxiM</f>
        <v>1.6809870693158453E-6</v>
      </c>
      <c r="AE172" s="305">
        <f t="shared" si="65"/>
        <v>0.7</v>
      </c>
      <c r="AF172" s="177">
        <f t="shared" si="66"/>
        <v>0.83431647205236548</v>
      </c>
      <c r="AG172" s="817">
        <f t="shared" si="74"/>
        <v>1</v>
      </c>
      <c r="AH172" s="176">
        <f t="shared" si="67"/>
        <v>7</v>
      </c>
      <c r="AI172" s="225">
        <f t="shared" si="68"/>
        <v>1.8343164720523655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46546</v>
      </c>
      <c r="B173" s="411">
        <f>'2026'!Wh/'2026'!Env_an*'2027'!Env_an</f>
        <v>15.4147565341492</v>
      </c>
      <c r="C173" s="846"/>
      <c r="D173" s="393">
        <f t="shared" si="50"/>
        <v>16.583611219314502</v>
      </c>
      <c r="E173" s="385">
        <f t="shared" si="75"/>
        <v>17.002206801709359</v>
      </c>
      <c r="F173" s="385">
        <f t="shared" si="51"/>
        <v>17.002206801709359</v>
      </c>
      <c r="G173" s="110">
        <f t="shared" si="76"/>
        <v>0.39141187199738947</v>
      </c>
      <c r="H173" s="414" t="b">
        <f>Wh_hp&gt;='2026'!Maxi_hp</f>
        <v>0</v>
      </c>
      <c r="I173" s="390">
        <f>IF(H173,Wh_hp,'2026'!Maxi_hp)</f>
        <v>43.845518262110815</v>
      </c>
      <c r="J173" s="85">
        <f>IF(H173,An,'2026'!An_max)</f>
        <v>2019</v>
      </c>
      <c r="K173" s="197">
        <f t="shared" si="52"/>
        <v>46546</v>
      </c>
      <c r="L173" s="147">
        <f>IF(t&lt;Tvie,1-EXP((T0-t)*PertePVj)+'2026'!Pspv,1-EXP((T0-t)*PertePVj)+Pspv)</f>
        <v>7.0482518536370886E-2</v>
      </c>
      <c r="M173" s="850"/>
      <c r="N173" s="850"/>
      <c r="O173" s="48">
        <f>IF(t&lt;Tnet,'2026'!Resal+('2026'!Salim-'2026'!Resal)*(1-EXP(('2026'!Tnet-t)/('2026'!Tau_j))),Resal+(Salim-Resal)*(1-EXP((Tnet-t)/(Tau_j))))*Salcycl</f>
        <v>2.4620073574965144E-2</v>
      </c>
      <c r="P173" s="169">
        <f>(INDEX(Models!$BJ173:$BT173,,T173)*(1-R173)+INDEX(Models!$BJ173:$BT173,,T173+1)*R173-ERP_i)*Q173*Ramure*Pc/MaxiM</f>
        <v>0</v>
      </c>
      <c r="Q173" s="305">
        <f t="shared" si="53"/>
        <v>0.7</v>
      </c>
      <c r="R173" s="177">
        <f t="shared" si="54"/>
        <v>0.21558520862957586</v>
      </c>
      <c r="S173" s="817">
        <f t="shared" si="55"/>
        <v>-1</v>
      </c>
      <c r="T173" s="176">
        <f t="shared" si="56"/>
        <v>5</v>
      </c>
      <c r="U173" s="251">
        <f t="shared" si="57"/>
        <v>-0.78441479137042414</v>
      </c>
      <c r="V173" s="383">
        <f t="shared" si="58"/>
        <v>39.382445032868119</v>
      </c>
      <c r="W173" s="402">
        <f t="shared" si="59"/>
        <v>15.4147565341492</v>
      </c>
      <c r="X173" s="157">
        <f t="shared" si="60"/>
        <v>46546</v>
      </c>
      <c r="Y173" s="385">
        <f t="shared" si="61"/>
        <v>14.141557579335849</v>
      </c>
      <c r="Z173" s="385">
        <f t="shared" si="62"/>
        <v>15.213869412190492</v>
      </c>
      <c r="AA173" s="386">
        <f t="shared" si="63"/>
        <v>17.002203171753568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0.10518247203010163</v>
      </c>
      <c r="AD173" s="231">
        <f>(INDEX(Models!$BJ173:$BT173,,AH173)*(1-AF173)+INDEX(Models!$BJ173:$BT173,,AH173+1)*AF173-ERP_i)*AE173*Ramure*Pc/MaxiM</f>
        <v>1.6349010723343678E-6</v>
      </c>
      <c r="AE173" s="305">
        <f t="shared" si="65"/>
        <v>0.7</v>
      </c>
      <c r="AF173" s="177">
        <f t="shared" si="66"/>
        <v>0.839448578005632</v>
      </c>
      <c r="AG173" s="817">
        <f t="shared" si="74"/>
        <v>1</v>
      </c>
      <c r="AH173" s="176">
        <f t="shared" si="67"/>
        <v>7</v>
      </c>
      <c r="AI173" s="225">
        <f t="shared" si="68"/>
        <v>1.839448578005632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46547</v>
      </c>
      <c r="B174" s="411">
        <f>'2026'!Wh/'2026'!Env_an*'2027'!Env_an</f>
        <v>30.170528468983086</v>
      </c>
      <c r="C174" s="846"/>
      <c r="D174" s="393">
        <f t="shared" si="50"/>
        <v>32.458979951569134</v>
      </c>
      <c r="E174" s="385">
        <f t="shared" si="75"/>
        <v>33.284757184799638</v>
      </c>
      <c r="F174" s="385">
        <f t="shared" si="51"/>
        <v>33.284757184799638</v>
      </c>
      <c r="G174" s="110">
        <f t="shared" si="76"/>
        <v>0.76663826039376759</v>
      </c>
      <c r="H174" s="414" t="b">
        <f>Wh_hp&gt;='2026'!Maxi_hp</f>
        <v>0</v>
      </c>
      <c r="I174" s="390">
        <f>IF(H174,Wh_hp,'2026'!Maxi_hp)</f>
        <v>42.32398609821027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7.0502877354758686E-2</v>
      </c>
      <c r="M174" s="850"/>
      <c r="N174" s="850"/>
      <c r="O174" s="48">
        <f>IF(t&lt;Tnet,'2026'!Resal+('2026'!Salim-'2026'!Resal)*(1-EXP(('2026'!Tnet-t)/('2026'!Tau_j))),Resal+(Salim-Resal)*(1-EXP((Tnet-t)/(Tau_j))))*Salcycl</f>
        <v>2.4809471454027041E-2</v>
      </c>
      <c r="P174" s="169">
        <f>(INDEX(Models!$BJ174:$BT174,,T174)*(1-R174)+INDEX(Models!$BJ174:$BT174,,T174+1)*R174-ERP_i)*Q174*Ramure*Pc/MaxiM</f>
        <v>0</v>
      </c>
      <c r="Q174" s="305">
        <f t="shared" si="53"/>
        <v>0.7</v>
      </c>
      <c r="R174" s="177">
        <f t="shared" si="54"/>
        <v>0.22072598327388171</v>
      </c>
      <c r="S174" s="817">
        <f t="shared" si="55"/>
        <v>-1</v>
      </c>
      <c r="T174" s="176">
        <f t="shared" si="56"/>
        <v>5</v>
      </c>
      <c r="U174" s="251">
        <f t="shared" si="57"/>
        <v>-0.77927401672611829</v>
      </c>
      <c r="V174" s="383">
        <f t="shared" si="58"/>
        <v>39.354321363359333</v>
      </c>
      <c r="W174" s="402">
        <f t="shared" si="59"/>
        <v>30.170528468983086</v>
      </c>
      <c r="X174" s="157">
        <f t="shared" si="60"/>
        <v>46547</v>
      </c>
      <c r="Y174" s="385">
        <f t="shared" si="61"/>
        <v>27.679965553070144</v>
      </c>
      <c r="Z174" s="385">
        <f t="shared" si="62"/>
        <v>29.779506443544616</v>
      </c>
      <c r="AA174" s="386">
        <f t="shared" si="63"/>
        <v>33.284721624398017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0.10531003444787843</v>
      </c>
      <c r="AD174" s="231">
        <f>(INDEX(Models!$BJ174:$BT174,,AH174)*(1-AF174)+INDEX(Models!$BJ174:$BT174,,AH174+1)*AF174-ERP_i)*AE174*Ramure*Pc/MaxiM</f>
        <v>1.6026510033440906E-6</v>
      </c>
      <c r="AE174" s="305">
        <f t="shared" si="65"/>
        <v>0.7</v>
      </c>
      <c r="AF174" s="177">
        <f t="shared" si="66"/>
        <v>0.84458935264993773</v>
      </c>
      <c r="AG174" s="817">
        <f t="shared" si="74"/>
        <v>1</v>
      </c>
      <c r="AH174" s="176">
        <f t="shared" si="67"/>
        <v>7</v>
      </c>
      <c r="AI174" s="225">
        <f t="shared" si="68"/>
        <v>1.8445893526499377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46548</v>
      </c>
      <c r="B175" s="411">
        <f>'2026'!Wh/'2026'!Env_an*'2027'!Env_an</f>
        <v>38.37680811693884</v>
      </c>
      <c r="C175" s="846"/>
      <c r="D175" s="393">
        <f t="shared" si="50"/>
        <v>41.288614833707449</v>
      </c>
      <c r="E175" s="385">
        <f t="shared" si="75"/>
        <v>42.347233701436778</v>
      </c>
      <c r="F175" s="385">
        <f t="shared" si="51"/>
        <v>42.347233701436778</v>
      </c>
      <c r="G175" s="110">
        <f t="shared" si="76"/>
        <v>0.9758853245892074</v>
      </c>
      <c r="H175" s="414" t="b">
        <f>Wh_hp&gt;='2026'!Maxi_hp</f>
        <v>1</v>
      </c>
      <c r="I175" s="390">
        <f>IF(H175,Wh_hp,'2026'!Maxi_hp)</f>
        <v>42.347233701436778</v>
      </c>
      <c r="J175" s="85">
        <f>IF(H175,An,'2026'!An_max)</f>
        <v>2027</v>
      </c>
      <c r="K175" s="197">
        <f t="shared" si="52"/>
        <v>46548</v>
      </c>
      <c r="L175" s="147">
        <f>IF(t&lt;Tvie,1-EXP((T0-t)*PertePVj)+'2026'!Pspv,1-EXP((T0-t)*PertePVj)+Pspv)</f>
        <v>7.0523235727236067E-2</v>
      </c>
      <c r="M175" s="850"/>
      <c r="N175" s="850"/>
      <c r="O175" s="48">
        <f>IF(t&lt;Tnet,'2026'!Resal+('2026'!Salim-'2026'!Resal)*(1-EXP(('2026'!Tnet-t)/('2026'!Tau_j))),Resal+(Salim-Resal)*(1-EXP((Tnet-t)/(Tau_j))))*Salcycl</f>
        <v>2.499853650873566E-2</v>
      </c>
      <c r="P175" s="169">
        <f>(INDEX(Models!$BJ175:$BT175,,T175)*(1-R175)+INDEX(Models!$BJ175:$BT175,,T175+1)*R175-ERP_i)*Q175*Ramure*Pc/MaxiM</f>
        <v>0</v>
      </c>
      <c r="Q175" s="305">
        <f t="shared" si="53"/>
        <v>0.7</v>
      </c>
      <c r="R175" s="177">
        <f t="shared" si="54"/>
        <v>0.22587109958489326</v>
      </c>
      <c r="S175" s="817">
        <f t="shared" si="55"/>
        <v>-1</v>
      </c>
      <c r="T175" s="176">
        <f t="shared" si="56"/>
        <v>5</v>
      </c>
      <c r="U175" s="251">
        <f t="shared" si="57"/>
        <v>-0.77412890041510674</v>
      </c>
      <c r="V175" s="383">
        <f t="shared" si="58"/>
        <v>39.325120636580237</v>
      </c>
      <c r="W175" s="402">
        <f t="shared" si="59"/>
        <v>38.37680811693884</v>
      </c>
      <c r="X175" s="157">
        <f t="shared" si="60"/>
        <v>46548</v>
      </c>
      <c r="Y175" s="385">
        <f t="shared" si="61"/>
        <v>35.210661769679163</v>
      </c>
      <c r="Z175" s="385">
        <f t="shared" si="62"/>
        <v>37.882239904327783</v>
      </c>
      <c r="AA175" s="386">
        <f t="shared" si="63"/>
        <v>42.3471689096407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0.10543630472299269</v>
      </c>
      <c r="AD175" s="231">
        <f>(INDEX(Models!$BJ175:$BT175,,AH175)*(1-AF175)+INDEX(Models!$BJ175:$BT175,,AH175+1)*AF175-ERP_i)*AE175*Ramure*Pc/MaxiM</f>
        <v>1.5846012590545566E-6</v>
      </c>
      <c r="AE175" s="305">
        <f t="shared" si="65"/>
        <v>0.7</v>
      </c>
      <c r="AF175" s="177">
        <f t="shared" si="66"/>
        <v>0.8497344689609494</v>
      </c>
      <c r="AG175" s="817">
        <f t="shared" si="74"/>
        <v>1</v>
      </c>
      <c r="AH175" s="176">
        <f t="shared" si="67"/>
        <v>7</v>
      </c>
      <c r="AI175" s="225">
        <f t="shared" si="68"/>
        <v>1.8497344689609494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46549</v>
      </c>
      <c r="B176" s="411">
        <f>'2026'!Wh/'2026'!Env_an*'2027'!Env_an</f>
        <v>36.359767558132418</v>
      </c>
      <c r="C176" s="846"/>
      <c r="D176" s="393">
        <f t="shared" si="50"/>
        <v>39.119389903467713</v>
      </c>
      <c r="E176" s="385">
        <f t="shared" si="75"/>
        <v>40.130158094722184</v>
      </c>
      <c r="F176" s="385">
        <f t="shared" si="51"/>
        <v>40.130158094722184</v>
      </c>
      <c r="G176" s="110">
        <f t="shared" si="76"/>
        <v>0.92530402780827692</v>
      </c>
      <c r="H176" s="414" t="b">
        <f>Wh_hp&gt;='2026'!Maxi_hp</f>
        <v>1</v>
      </c>
      <c r="I176" s="390">
        <f>IF(H176,Wh_hp,'2026'!Maxi_hp)</f>
        <v>40.130158094722184</v>
      </c>
      <c r="J176" s="85">
        <f>IF(H176,An,'2026'!An_max)</f>
        <v>2027</v>
      </c>
      <c r="K176" s="197">
        <f t="shared" si="52"/>
        <v>46549</v>
      </c>
      <c r="L176" s="147">
        <f>IF(t&lt;Tvie,1-EXP((T0-t)*PertePVj)+'2026'!Pspv,1-EXP((T0-t)*PertePVj)+Pspv)</f>
        <v>7.0543593653812908E-2</v>
      </c>
      <c r="M176" s="850"/>
      <c r="N176" s="850"/>
      <c r="O176" s="48">
        <f>IF(t&lt;Tnet,'2026'!Resal+('2026'!Salim-'2026'!Resal)*(1-EXP(('2026'!Tnet-t)/('2026'!Tau_j))),Resal+(Salim-Resal)*(1-EXP((Tnet-t)/(Tau_j))))*Salcycl</f>
        <v>2.5187246680381303E-2</v>
      </c>
      <c r="P176" s="169">
        <f>(INDEX(Models!$BJ176:$BT176,,T176)*(1-R176)+INDEX(Models!$BJ176:$BT176,,T176+1)*R176-ERP_i)*Q176*Ramure*Pc/MaxiM</f>
        <v>0</v>
      </c>
      <c r="Q176" s="305">
        <f t="shared" si="53"/>
        <v>0.7</v>
      </c>
      <c r="R176" s="177">
        <f t="shared" si="54"/>
        <v>0.23101621589590482</v>
      </c>
      <c r="S176" s="817">
        <f t="shared" si="55"/>
        <v>-1</v>
      </c>
      <c r="T176" s="176">
        <f t="shared" si="56"/>
        <v>5</v>
      </c>
      <c r="U176" s="251">
        <f t="shared" si="57"/>
        <v>-0.76898378410409518</v>
      </c>
      <c r="V176" s="383">
        <f t="shared" si="58"/>
        <v>39.294941408885954</v>
      </c>
      <c r="W176" s="402">
        <f t="shared" si="59"/>
        <v>36.359767558132418</v>
      </c>
      <c r="X176" s="157">
        <f t="shared" si="60"/>
        <v>46549</v>
      </c>
      <c r="Y176" s="385">
        <f t="shared" si="61"/>
        <v>33.361833100968099</v>
      </c>
      <c r="Z176" s="385">
        <f t="shared" si="62"/>
        <v>35.893919147986473</v>
      </c>
      <c r="AA176" s="386">
        <f t="shared" si="63"/>
        <v>40.130101414896508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0.1055612150867264</v>
      </c>
      <c r="AD176" s="231">
        <f>(INDEX(Models!$BJ176:$BT176,,AH176)*(1-AF176)+INDEX(Models!$BJ176:$BT176,,AH176+1)*AF176-ERP_i)*AE176*Ramure*Pc/MaxiM</f>
        <v>1.5811186051937523E-6</v>
      </c>
      <c r="AE176" s="305">
        <f t="shared" si="65"/>
        <v>0.7</v>
      </c>
      <c r="AF176" s="177">
        <f t="shared" si="66"/>
        <v>0.85487958527196084</v>
      </c>
      <c r="AG176" s="817">
        <f t="shared" si="74"/>
        <v>1</v>
      </c>
      <c r="AH176" s="176">
        <f t="shared" si="67"/>
        <v>7</v>
      </c>
      <c r="AI176" s="225">
        <f t="shared" si="68"/>
        <v>1.8548795852719608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46550</v>
      </c>
      <c r="B177" s="411">
        <f>'2026'!Wh/'2026'!Env_an*'2027'!Env_an</f>
        <v>28.78370282959283</v>
      </c>
      <c r="C177" s="846"/>
      <c r="D177" s="393">
        <f t="shared" si="50"/>
        <v>30.968997667700883</v>
      </c>
      <c r="E177" s="385">
        <f t="shared" si="75"/>
        <v>31.77531472267864</v>
      </c>
      <c r="F177" s="385">
        <f t="shared" si="51"/>
        <v>31.77531472267864</v>
      </c>
      <c r="G177" s="110">
        <f t="shared" si="76"/>
        <v>0.73309191471387913</v>
      </c>
      <c r="H177" s="414" t="b">
        <f>Wh_hp&gt;='2026'!Maxi_hp</f>
        <v>0</v>
      </c>
      <c r="I177" s="390">
        <f>IF(H177,Wh_hp,'2026'!Maxi_hp)</f>
        <v>42.346993291813639</v>
      </c>
      <c r="J177" s="85">
        <f>IF(H177,An,'2026'!An_max)</f>
        <v>2019</v>
      </c>
      <c r="K177" s="197">
        <f t="shared" si="52"/>
        <v>46550</v>
      </c>
      <c r="L177" s="147">
        <f>IF(t&lt;Tvie,1-EXP((T0-t)*PertePVj)+'2026'!Pspv,1-EXP((T0-t)*PertePVj)+Pspv)</f>
        <v>7.056395113449887E-2</v>
      </c>
      <c r="M177" s="850"/>
      <c r="N177" s="850"/>
      <c r="O177" s="48">
        <f>IF(t&lt;Tnet,'2026'!Resal+('2026'!Salim-'2026'!Resal)*(1-EXP(('2026'!Tnet-t)/('2026'!Tau_j))),Resal+(Salim-Resal)*(1-EXP((Tnet-t)/(Tau_j))))*Salcycl</f>
        <v>2.5375580447115863E-2</v>
      </c>
      <c r="P177" s="169">
        <f>(INDEX(Models!$BJ177:$BT177,,T177)*(1-R177)+INDEX(Models!$BJ177:$BT177,,T177+1)*R177-ERP_i)*Q177*Ramure*Pc/MaxiM</f>
        <v>0</v>
      </c>
      <c r="Q177" s="305">
        <f t="shared" si="53"/>
        <v>0.7</v>
      </c>
      <c r="R177" s="177">
        <f t="shared" si="54"/>
        <v>0.23615699054021078</v>
      </c>
      <c r="S177" s="817">
        <f t="shared" si="55"/>
        <v>-1</v>
      </c>
      <c r="T177" s="176">
        <f t="shared" si="56"/>
        <v>5</v>
      </c>
      <c r="U177" s="251">
        <f t="shared" si="57"/>
        <v>-0.76384300945978922</v>
      </c>
      <c r="V177" s="383">
        <f t="shared" si="58"/>
        <v>39.263429662605013</v>
      </c>
      <c r="W177" s="402">
        <f t="shared" si="59"/>
        <v>28.78370282959283</v>
      </c>
      <c r="X177" s="157">
        <f t="shared" si="60"/>
        <v>46550</v>
      </c>
      <c r="Y177" s="385">
        <f t="shared" si="61"/>
        <v>26.411897655172151</v>
      </c>
      <c r="Z177" s="385">
        <f t="shared" si="62"/>
        <v>28.41712206817386</v>
      </c>
      <c r="AA177" s="386">
        <f t="shared" si="63"/>
        <v>31.77528341321203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0.1056847015766304</v>
      </c>
      <c r="AD177" s="231">
        <f>(INDEX(Models!$BJ177:$BT177,,AH177)*(1-AF177)+INDEX(Models!$BJ177:$BT177,,AH177+1)*AF177-ERP_i)*AE177*Ramure*Pc/MaxiM</f>
        <v>1.5925892216770137E-6</v>
      </c>
      <c r="AE177" s="305">
        <f t="shared" si="65"/>
        <v>0.7</v>
      </c>
      <c r="AF177" s="177">
        <f t="shared" si="66"/>
        <v>0.8600203599162668</v>
      </c>
      <c r="AG177" s="817">
        <f t="shared" si="74"/>
        <v>1</v>
      </c>
      <c r="AH177" s="176">
        <f t="shared" si="67"/>
        <v>7</v>
      </c>
      <c r="AI177" s="225">
        <f t="shared" si="68"/>
        <v>1.8600203599162668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46551</v>
      </c>
      <c r="B178" s="411">
        <f>'2026'!Wh/'2026'!Env_an*'2027'!Env_an</f>
        <v>35.028254724292594</v>
      </c>
      <c r="C178" s="846"/>
      <c r="D178" s="393">
        <f t="shared" si="50"/>
        <v>37.688469252435851</v>
      </c>
      <c r="E178" s="385">
        <f t="shared" si="75"/>
        <v>38.677194364786097</v>
      </c>
      <c r="F178" s="385">
        <f t="shared" si="51"/>
        <v>38.677194364786097</v>
      </c>
      <c r="G178" s="110">
        <f t="shared" si="76"/>
        <v>0.89288931637677638</v>
      </c>
      <c r="H178" s="414" t="b">
        <f>Wh_hp&gt;='2026'!Maxi_hp</f>
        <v>0</v>
      </c>
      <c r="I178" s="390">
        <f>IF(H178,Wh_hp,'2026'!Maxi_hp)</f>
        <v>42.331938879997239</v>
      </c>
      <c r="J178" s="85">
        <f>IF(H178,An,'2026'!An_max)</f>
        <v>2019</v>
      </c>
      <c r="K178" s="197">
        <f t="shared" si="52"/>
        <v>46551</v>
      </c>
      <c r="L178" s="147">
        <f>IF(t&lt;Tvie,1-EXP((T0-t)*PertePVj)+'2026'!Pspv,1-EXP((T0-t)*PertePVj)+Pspv)</f>
        <v>7.0584308169303722E-2</v>
      </c>
      <c r="M178" s="850"/>
      <c r="N178" s="850"/>
      <c r="O178" s="48">
        <f>IF(t&lt;Tnet,'2026'!Resal+('2026'!Salim-'2026'!Resal)*(1-EXP(('2026'!Tnet-t)/('2026'!Tau_j))),Resal+(Salim-Resal)*(1-EXP((Tnet-t)/(Tau_j))))*Salcycl</f>
        <v>2.5563516914516259E-2</v>
      </c>
      <c r="P178" s="169">
        <f>(INDEX(Models!$BJ178:$BT178,,T178)*(1-R178)+INDEX(Models!$BJ178:$BT178,,T178+1)*R178-ERP_i)*Q178*Ramure*Pc/MaxiM</f>
        <v>0</v>
      </c>
      <c r="Q178" s="305">
        <f t="shared" si="53"/>
        <v>0.7</v>
      </c>
      <c r="R178" s="177">
        <f t="shared" si="54"/>
        <v>0.2412890964934773</v>
      </c>
      <c r="S178" s="817">
        <f t="shared" si="55"/>
        <v>-1</v>
      </c>
      <c r="T178" s="176">
        <f t="shared" si="56"/>
        <v>5</v>
      </c>
      <c r="U178" s="251">
        <f t="shared" si="57"/>
        <v>-0.7587109035065227</v>
      </c>
      <c r="V178" s="383">
        <f t="shared" si="58"/>
        <v>39.230231655623896</v>
      </c>
      <c r="W178" s="402">
        <f t="shared" si="59"/>
        <v>35.028254724292594</v>
      </c>
      <c r="X178" s="157">
        <f t="shared" si="60"/>
        <v>46551</v>
      </c>
      <c r="Y178" s="385">
        <f t="shared" si="61"/>
        <v>32.143693511136831</v>
      </c>
      <c r="Z178" s="385">
        <f t="shared" si="62"/>
        <v>34.584840554846338</v>
      </c>
      <c r="AA178" s="386">
        <f t="shared" si="63"/>
        <v>38.677141419540156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0.10580670428312322</v>
      </c>
      <c r="AD178" s="231">
        <f>(INDEX(Models!$BJ178:$BT178,,AH178)*(1-AF178)+INDEX(Models!$BJ178:$BT178,,AH178+1)*AF178-ERP_i)*AE178*Ramure*Pc/MaxiM</f>
        <v>1.6162049127051802E-6</v>
      </c>
      <c r="AE178" s="305">
        <f t="shared" si="65"/>
        <v>0.7</v>
      </c>
      <c r="AF178" s="177">
        <f t="shared" si="66"/>
        <v>0.86515246586953332</v>
      </c>
      <c r="AG178" s="817">
        <f t="shared" si="74"/>
        <v>1</v>
      </c>
      <c r="AH178" s="176">
        <f t="shared" si="67"/>
        <v>7</v>
      </c>
      <c r="AI178" s="225">
        <f t="shared" si="68"/>
        <v>1.8651524658695333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46552</v>
      </c>
      <c r="B179" s="411">
        <f>'2026'!Wh/'2026'!Env_an*'2027'!Env_an</f>
        <v>31.378511179103459</v>
      </c>
      <c r="C179" s="846"/>
      <c r="D179" s="393">
        <f t="shared" si="50"/>
        <v>33.76228606843717</v>
      </c>
      <c r="E179" s="385">
        <f t="shared" si="75"/>
        <v>34.654679976732957</v>
      </c>
      <c r="F179" s="385">
        <f t="shared" si="51"/>
        <v>34.654679976732957</v>
      </c>
      <c r="G179" s="110">
        <f t="shared" si="76"/>
        <v>0.8005652245803101</v>
      </c>
      <c r="H179" s="414" t="b">
        <f>Wh_hp&gt;='2026'!Maxi_hp</f>
        <v>0</v>
      </c>
      <c r="I179" s="390">
        <f>IF(H179,Wh_hp,'2026'!Maxi_hp)</f>
        <v>38.498125268407549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7.0604664758237345E-2</v>
      </c>
      <c r="M179" s="850"/>
      <c r="N179" s="850"/>
      <c r="O179" s="48">
        <f>IF(t&lt;Tnet,'2026'!Resal+('2026'!Salim-'2026'!Resal)*(1-EXP(('2026'!Tnet-t)/('2026'!Tau_j))),Resal+(Salim-Resal)*(1-EXP((Tnet-t)/(Tau_j))))*Salcycl</f>
        <v>2.5751035903229719E-2</v>
      </c>
      <c r="P179" s="169">
        <f>(INDEX(Models!$BJ179:$BT179,,T179)*(1-R179)+INDEX(Models!$BJ179:$BT179,,T179+1)*R179-ERP_i)*Q179*Ramure*Pc/MaxiM</f>
        <v>0</v>
      </c>
      <c r="Q179" s="305">
        <f t="shared" si="53"/>
        <v>0.7</v>
      </c>
      <c r="R179" s="177">
        <f t="shared" si="54"/>
        <v>0.24640823591130312</v>
      </c>
      <c r="S179" s="817">
        <f t="shared" si="55"/>
        <v>-1</v>
      </c>
      <c r="T179" s="176">
        <f t="shared" si="56"/>
        <v>5</v>
      </c>
      <c r="U179" s="251">
        <f t="shared" si="57"/>
        <v>-0.75359176408869688</v>
      </c>
      <c r="V179" s="383">
        <f t="shared" si="58"/>
        <v>39.195446186853033</v>
      </c>
      <c r="W179" s="402">
        <f t="shared" si="59"/>
        <v>31.378511179103459</v>
      </c>
      <c r="X179" s="157">
        <f t="shared" si="60"/>
        <v>46552</v>
      </c>
      <c r="Y179" s="385">
        <f t="shared" si="61"/>
        <v>28.796172691478738</v>
      </c>
      <c r="Z179" s="385">
        <f t="shared" si="62"/>
        <v>30.983771490512183</v>
      </c>
      <c r="AA179" s="386">
        <f t="shared" si="63"/>
        <v>34.654639271957336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0.10592716757596243</v>
      </c>
      <c r="AD179" s="231">
        <f>(INDEX(Models!$BJ179:$BT179,,AH179)*(1-AF179)+INDEX(Models!$BJ179:$BT179,,AH179+1)*AF179-ERP_i)*AE179*Ramure*Pc/MaxiM</f>
        <v>1.6425584681510686E-6</v>
      </c>
      <c r="AE179" s="305">
        <f t="shared" si="65"/>
        <v>0.7</v>
      </c>
      <c r="AF179" s="177">
        <f t="shared" si="66"/>
        <v>0.87027160528735914</v>
      </c>
      <c r="AG179" s="817">
        <f t="shared" si="74"/>
        <v>1</v>
      </c>
      <c r="AH179" s="176">
        <f t="shared" si="67"/>
        <v>7</v>
      </c>
      <c r="AI179" s="225">
        <f t="shared" si="68"/>
        <v>1.8702716052873591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46553</v>
      </c>
      <c r="B180" s="411">
        <f>'2026'!Wh/'2026'!Env_an*'2027'!Env_an</f>
        <v>35.563193193038501</v>
      </c>
      <c r="C180" s="846"/>
      <c r="D180" s="393">
        <f t="shared" si="50"/>
        <v>38.265709743474851</v>
      </c>
      <c r="E180" s="385">
        <f t="shared" si="75"/>
        <v>39.284680421129103</v>
      </c>
      <c r="F180" s="385">
        <f t="shared" si="51"/>
        <v>39.284680421129103</v>
      </c>
      <c r="G180" s="110">
        <f t="shared" si="76"/>
        <v>0.90817020478727073</v>
      </c>
      <c r="H180" s="414" t="b">
        <f>Wh_hp&gt;='2026'!Maxi_hp</f>
        <v>1</v>
      </c>
      <c r="I180" s="390">
        <f>IF(H180,Wh_hp,'2026'!Maxi_hp)</f>
        <v>39.284680421129103</v>
      </c>
      <c r="J180" s="85">
        <f>IF(H180,An,'2026'!An_max)</f>
        <v>2027</v>
      </c>
      <c r="K180" s="197">
        <f t="shared" si="52"/>
        <v>46553</v>
      </c>
      <c r="L180" s="147">
        <f>IF(t&lt;Tvie,1-EXP((T0-t)*PertePVj)+'2026'!Pspv,1-EXP((T0-t)*PertePVj)+Pspv)</f>
        <v>7.0625020901309399E-2</v>
      </c>
      <c r="M180" s="850"/>
      <c r="N180" s="850"/>
      <c r="O180" s="48">
        <f>IF(t&lt;Tnet,'2026'!Resal+('2026'!Salim-'2026'!Resal)*(1-EXP(('2026'!Tnet-t)/('2026'!Tau_j))),Resal+(Salim-Resal)*(1-EXP((Tnet-t)/(Tau_j))))*Salcycl</f>
        <v>2.5938118033059072E-2</v>
      </c>
      <c r="P180" s="169">
        <f>(INDEX(Models!$BJ180:$BT180,,T180)*(1-R180)+INDEX(Models!$BJ180:$BT180,,T180+1)*R180-ERP_i)*Q180*Ramure*Pc/MaxiM</f>
        <v>0</v>
      </c>
      <c r="Q180" s="305">
        <f t="shared" si="53"/>
        <v>0.7</v>
      </c>
      <c r="R180" s="177">
        <f t="shared" si="54"/>
        <v>0.25151015445844327</v>
      </c>
      <c r="S180" s="817">
        <f t="shared" si="55"/>
        <v>-1</v>
      </c>
      <c r="T180" s="176">
        <f t="shared" si="56"/>
        <v>5</v>
      </c>
      <c r="U180" s="251">
        <f t="shared" si="57"/>
        <v>-0.74848984554155673</v>
      </c>
      <c r="V180" s="383">
        <f t="shared" si="58"/>
        <v>39.159171932279811</v>
      </c>
      <c r="W180" s="402">
        <f t="shared" si="59"/>
        <v>35.563193193038501</v>
      </c>
      <c r="X180" s="157">
        <f t="shared" si="60"/>
        <v>46553</v>
      </c>
      <c r="Y180" s="385">
        <f t="shared" si="61"/>
        <v>32.638389601660052</v>
      </c>
      <c r="Z180" s="385">
        <f t="shared" si="62"/>
        <v>35.118644611363237</v>
      </c>
      <c r="AA180" s="386">
        <f t="shared" si="63"/>
        <v>39.284623364158584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0.10604604030889558</v>
      </c>
      <c r="AD180" s="231">
        <f>(INDEX(Models!$BJ180:$BT180,,AH180)*(1-AF180)+INDEX(Models!$BJ180:$BT180,,AH180+1)*AF180-ERP_i)*AE180*Ramure*Pc/MaxiM</f>
        <v>1.6717001626304409E-6</v>
      </c>
      <c r="AE180" s="305">
        <f t="shared" si="65"/>
        <v>0.7</v>
      </c>
      <c r="AF180" s="177">
        <f t="shared" si="66"/>
        <v>0.87537352383449929</v>
      </c>
      <c r="AG180" s="817">
        <f t="shared" si="74"/>
        <v>1</v>
      </c>
      <c r="AH180" s="176">
        <f t="shared" si="67"/>
        <v>7</v>
      </c>
      <c r="AI180" s="225">
        <f t="shared" si="68"/>
        <v>1.8753735238344993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46554</v>
      </c>
      <c r="B181" s="411">
        <f>'2026'!Wh/'2026'!Env_an*'2027'!Env_an</f>
        <v>33.553512326349761</v>
      </c>
      <c r="C181" s="846"/>
      <c r="D181" s="393">
        <f t="shared" si="50"/>
        <v>36.104100072739442</v>
      </c>
      <c r="E181" s="385">
        <f t="shared" si="75"/>
        <v>37.072612616521532</v>
      </c>
      <c r="F181" s="385">
        <f t="shared" si="51"/>
        <v>37.072612616521532</v>
      </c>
      <c r="G181" s="110">
        <f t="shared" si="76"/>
        <v>0.85767432083089734</v>
      </c>
      <c r="H181" s="414" t="b">
        <f>Wh_hp&gt;='2026'!Maxi_hp</f>
        <v>0</v>
      </c>
      <c r="I181" s="390">
        <f>IF(H181,Wh_hp,'2026'!Maxi_hp)</f>
        <v>44.363595434270344</v>
      </c>
      <c r="J181" s="85">
        <f>IF(H181,An,'2026'!An_max)</f>
        <v>2019</v>
      </c>
      <c r="K181" s="197">
        <f t="shared" si="52"/>
        <v>46554</v>
      </c>
      <c r="L181" s="147">
        <f>IF(t&lt;Tvie,1-EXP((T0-t)*PertePVj)+'2026'!Pspv,1-EXP((T0-t)*PertePVj)+Pspv)</f>
        <v>7.0645376598529652E-2</v>
      </c>
      <c r="M181" s="850"/>
      <c r="N181" s="850"/>
      <c r="O181" s="48">
        <f>IF(t&lt;Tnet,'2026'!Resal+('2026'!Salim-'2026'!Resal)*(1-EXP(('2026'!Tnet-t)/('2026'!Tau_j))),Resal+(Salim-Resal)*(1-EXP((Tnet-t)/(Tau_j))))*Salcycl</f>
        <v>2.612474480286477E-2</v>
      </c>
      <c r="P181" s="169">
        <f>(INDEX(Models!$BJ181:$BT181,,T181)*(1-R181)+INDEX(Models!$BJ181:$BT181,,T181+1)*R181-ERP_i)*Q181*Ramure*Pc/MaxiM</f>
        <v>0</v>
      </c>
      <c r="Q181" s="305">
        <f t="shared" si="53"/>
        <v>0.7</v>
      </c>
      <c r="R181" s="177">
        <f t="shared" si="54"/>
        <v>0.25659065532871517</v>
      </c>
      <c r="S181" s="817">
        <f t="shared" si="55"/>
        <v>-1</v>
      </c>
      <c r="T181" s="176">
        <f t="shared" si="56"/>
        <v>5</v>
      </c>
      <c r="U181" s="251">
        <f t="shared" si="57"/>
        <v>-0.74340934467128483</v>
      </c>
      <c r="V181" s="383">
        <f t="shared" si="58"/>
        <v>39.121507443342608</v>
      </c>
      <c r="W181" s="402">
        <f t="shared" si="59"/>
        <v>33.553512326349761</v>
      </c>
      <c r="X181" s="157">
        <f t="shared" si="60"/>
        <v>46554</v>
      </c>
      <c r="Y181" s="385">
        <f t="shared" si="61"/>
        <v>30.795854674006829</v>
      </c>
      <c r="Z181" s="385">
        <f t="shared" si="62"/>
        <v>33.136817635116429</v>
      </c>
      <c r="AA181" s="386">
        <f t="shared" si="63"/>
        <v>37.072562298471411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0.10616327600094863</v>
      </c>
      <c r="AD181" s="231">
        <f>(INDEX(Models!$BJ181:$BT181,,AH181)*(1-AF181)+INDEX(Models!$BJ181:$BT181,,AH181+1)*AF181-ERP_i)*AE181*Ramure*Pc/MaxiM</f>
        <v>1.7036799141061973E-6</v>
      </c>
      <c r="AE181" s="305">
        <f t="shared" si="65"/>
        <v>0.7</v>
      </c>
      <c r="AF181" s="177">
        <f t="shared" si="66"/>
        <v>0.88045402470477119</v>
      </c>
      <c r="AG181" s="817">
        <f t="shared" si="74"/>
        <v>1</v>
      </c>
      <c r="AH181" s="176">
        <f t="shared" si="67"/>
        <v>7</v>
      </c>
      <c r="AI181" s="225">
        <f t="shared" si="68"/>
        <v>1.8804540247047712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46555</v>
      </c>
      <c r="B182" s="411">
        <f>'2026'!Wh/'2026'!Env_an*'2027'!Env_an</f>
        <v>34.163628809739812</v>
      </c>
      <c r="C182" s="846"/>
      <c r="D182" s="393">
        <f t="shared" si="50"/>
        <v>36.761400047955853</v>
      </c>
      <c r="E182" s="385">
        <f t="shared" si="75"/>
        <v>37.754761758737089</v>
      </c>
      <c r="F182" s="385">
        <f t="shared" si="51"/>
        <v>37.754761758737089</v>
      </c>
      <c r="G182" s="110">
        <f t="shared" si="76"/>
        <v>0.87414019324402259</v>
      </c>
      <c r="H182" s="414" t="b">
        <f>Wh_hp&gt;='2026'!Maxi_hp</f>
        <v>0</v>
      </c>
      <c r="I182" s="390">
        <f>IF(H182,Wh_hp,'2026'!Maxi_hp)</f>
        <v>42.925961898835723</v>
      </c>
      <c r="J182" s="85">
        <f>IF(H182,An,'2026'!An_max)</f>
        <v>2019</v>
      </c>
      <c r="K182" s="197">
        <f t="shared" si="52"/>
        <v>46555</v>
      </c>
      <c r="L182" s="147">
        <f>IF(t&lt;Tvie,1-EXP((T0-t)*PertePVj)+'2026'!Pspv,1-EXP((T0-t)*PertePVj)+Pspv)</f>
        <v>7.0665731849907876E-2</v>
      </c>
      <c r="M182" s="850"/>
      <c r="N182" s="850"/>
      <c r="O182" s="48">
        <f>IF(t&lt;Tnet,'2026'!Resal+('2026'!Salim-'2026'!Resal)*(1-EXP(('2026'!Tnet-t)/('2026'!Tau_j))),Resal+(Salim-Resal)*(1-EXP((Tnet-t)/(Tau_j))))*Salcycl</f>
        <v>2.6310898665685721E-2</v>
      </c>
      <c r="P182" s="169">
        <f>(INDEX(Models!$BJ182:$BT182,,T182)*(1-R182)+INDEX(Models!$BJ182:$BT182,,T182+1)*R182-ERP_i)*Q182*Ramure*Pc/MaxiM</f>
        <v>0</v>
      </c>
      <c r="Q182" s="305">
        <f t="shared" si="53"/>
        <v>0.7</v>
      </c>
      <c r="R182" s="177">
        <f t="shared" si="54"/>
        <v>0.26164561285837484</v>
      </c>
      <c r="S182" s="817">
        <f t="shared" si="55"/>
        <v>-1</v>
      </c>
      <c r="T182" s="176">
        <f t="shared" si="56"/>
        <v>5</v>
      </c>
      <c r="U182" s="251">
        <f t="shared" si="57"/>
        <v>-0.73835438714162516</v>
      </c>
      <c r="V182" s="383">
        <f t="shared" si="58"/>
        <v>39.082551144290868</v>
      </c>
      <c r="W182" s="402">
        <f t="shared" si="59"/>
        <v>34.163628809739812</v>
      </c>
      <c r="X182" s="157">
        <f t="shared" si="60"/>
        <v>46555</v>
      </c>
      <c r="Y182" s="385">
        <f t="shared" si="61"/>
        <v>31.35776566544585</v>
      </c>
      <c r="Z182" s="385">
        <f t="shared" si="62"/>
        <v>33.742181624127319</v>
      </c>
      <c r="AA182" s="386">
        <f t="shared" si="63"/>
        <v>37.754707922076136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0.1062788329929734</v>
      </c>
      <c r="AD182" s="231">
        <f>(INDEX(Models!$BJ182:$BT182,,AH182)*(1-AF182)+INDEX(Models!$BJ182:$BT182,,AH182+1)*AF182-ERP_i)*AE182*Ramure*Pc/MaxiM</f>
        <v>1.7385471407310001E-6</v>
      </c>
      <c r="AE182" s="305">
        <f t="shared" si="65"/>
        <v>0.7</v>
      </c>
      <c r="AF182" s="177">
        <f t="shared" si="66"/>
        <v>0.88550898223443086</v>
      </c>
      <c r="AG182" s="817">
        <f t="shared" si="74"/>
        <v>1</v>
      </c>
      <c r="AH182" s="176">
        <f t="shared" si="67"/>
        <v>7</v>
      </c>
      <c r="AI182" s="225">
        <f t="shared" si="68"/>
        <v>1.8855089822344309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46556</v>
      </c>
      <c r="B183" s="411">
        <f>'2026'!Wh/'2026'!Env_an*'2027'!Env_an</f>
        <v>35.419433789627206</v>
      </c>
      <c r="C183" s="846"/>
      <c r="D183" s="393">
        <f t="shared" si="50"/>
        <v>38.113530079577473</v>
      </c>
      <c r="E183" s="385">
        <f t="shared" si="75"/>
        <v>39.150894218603867</v>
      </c>
      <c r="F183" s="385">
        <f t="shared" si="51"/>
        <v>39.150894218603867</v>
      </c>
      <c r="G183" s="110">
        <f t="shared" si="76"/>
        <v>0.90720428516913176</v>
      </c>
      <c r="H183" s="414" t="b">
        <f>Wh_hp&gt;='2026'!Maxi_hp</f>
        <v>0</v>
      </c>
      <c r="I183" s="390">
        <f>IF(H183,Wh_hp,'2026'!Maxi_hp)</f>
        <v>41.455412731300569</v>
      </c>
      <c r="J183" s="85">
        <f>IF(H183,An,'2026'!An_max)</f>
        <v>2019</v>
      </c>
      <c r="K183" s="197">
        <f t="shared" si="52"/>
        <v>46556</v>
      </c>
      <c r="L183" s="147">
        <f>IF(t&lt;Tvie,1-EXP((T0-t)*PertePVj)+'2026'!Pspv,1-EXP((T0-t)*PertePVj)+Pspv)</f>
        <v>7.068608665545395E-2</v>
      </c>
      <c r="M183" s="850"/>
      <c r="N183" s="850"/>
      <c r="O183" s="48">
        <f>IF(t&lt;Tnet,'2026'!Resal+('2026'!Salim-'2026'!Resal)*(1-EXP(('2026'!Tnet-t)/('2026'!Tau_j))),Resal+(Salim-Resal)*(1-EXP((Tnet-t)/(Tau_j))))*Salcycl</f>
        <v>2.6496563098511668E-2</v>
      </c>
      <c r="P183" s="169">
        <f>(INDEX(Models!$BJ183:$BT183,,T183)*(1-R183)+INDEX(Models!$BJ183:$BT183,,T183+1)*R183-ERP_i)*Q183*Ramure*Pc/MaxiM</f>
        <v>0</v>
      </c>
      <c r="Q183" s="305">
        <f t="shared" si="53"/>
        <v>0.7</v>
      </c>
      <c r="R183" s="177">
        <f t="shared" si="54"/>
        <v>0.26667098564064684</v>
      </c>
      <c r="S183" s="817">
        <f t="shared" si="55"/>
        <v>-1</v>
      </c>
      <c r="T183" s="176">
        <f t="shared" si="56"/>
        <v>5</v>
      </c>
      <c r="U183" s="251">
        <f t="shared" si="57"/>
        <v>-0.73332901435935316</v>
      </c>
      <c r="V183" s="383">
        <f t="shared" si="58"/>
        <v>39.042401329733465</v>
      </c>
      <c r="W183" s="402">
        <f t="shared" si="59"/>
        <v>35.419433789627206</v>
      </c>
      <c r="X183" s="157">
        <f t="shared" si="60"/>
        <v>46556</v>
      </c>
      <c r="Y183" s="385">
        <f t="shared" si="61"/>
        <v>32.51248585965201</v>
      </c>
      <c r="Z183" s="385">
        <f t="shared" si="62"/>
        <v>34.985471962473355</v>
      </c>
      <c r="AA183" s="386">
        <f t="shared" si="63"/>
        <v>39.15083389223755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0.10639267457825625</v>
      </c>
      <c r="AD183" s="231">
        <f>(INDEX(Models!$BJ183:$BT183,,AH183)*(1-AF183)+INDEX(Models!$BJ183:$BT183,,AH183+1)*AF183-ERP_i)*AE183*Ramure*Pc/MaxiM</f>
        <v>1.7763506251407506E-6</v>
      </c>
      <c r="AE183" s="305">
        <f t="shared" si="65"/>
        <v>0.7</v>
      </c>
      <c r="AF183" s="177">
        <f t="shared" si="66"/>
        <v>0.89053435501670286</v>
      </c>
      <c r="AG183" s="817">
        <f t="shared" si="74"/>
        <v>1</v>
      </c>
      <c r="AH183" s="176">
        <f t="shared" si="67"/>
        <v>7</v>
      </c>
      <c r="AI183" s="225">
        <f t="shared" si="68"/>
        <v>1.8905343550167029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46557</v>
      </c>
      <c r="B184" s="411">
        <f>'2026'!Wh/'2026'!Env_an*'2027'!Env_an</f>
        <v>36.263915186100114</v>
      </c>
      <c r="C184" s="846"/>
      <c r="D184" s="393">
        <f t="shared" si="50"/>
        <v>39.023099681994445</v>
      </c>
      <c r="E184" s="385">
        <f t="shared" si="75"/>
        <v>40.09284587657087</v>
      </c>
      <c r="F184" s="385">
        <f t="shared" si="51"/>
        <v>40.09284587657087</v>
      </c>
      <c r="G184" s="110">
        <f t="shared" si="76"/>
        <v>0.92981641456178798</v>
      </c>
      <c r="H184" s="414" t="b">
        <f>Wh_hp&gt;='2026'!Maxi_hp</f>
        <v>1</v>
      </c>
      <c r="I184" s="390">
        <f>IF(H184,Wh_hp,'2026'!Maxi_hp)</f>
        <v>40.09284587657087</v>
      </c>
      <c r="J184" s="85">
        <f>IF(H184,An,'2026'!An_max)</f>
        <v>2027</v>
      </c>
      <c r="K184" s="197">
        <f t="shared" si="52"/>
        <v>46557</v>
      </c>
      <c r="L184" s="147">
        <f>IF(t&lt;Tvie,1-EXP((T0-t)*PertePVj)+'2026'!Pspv,1-EXP((T0-t)*PertePVj)+Pspv)</f>
        <v>7.0706441015177424E-2</v>
      </c>
      <c r="M184" s="850"/>
      <c r="N184" s="850"/>
      <c r="O184" s="48">
        <f>IF(t&lt;Tnet,'2026'!Resal+('2026'!Salim-'2026'!Resal)*(1-EXP(('2026'!Tnet-t)/('2026'!Tau_j))),Resal+(Salim-Resal)*(1-EXP((Tnet-t)/(Tau_j))))*Salcycl</f>
        <v>2.6681722666176501E-2</v>
      </c>
      <c r="P184" s="169">
        <f>(INDEX(Models!$BJ184:$BT184,,T184)*(1-R184)+INDEX(Models!$BJ184:$BT184,,T184+1)*R184-ERP_i)*Q184*Ramure*Pc/MaxiM</f>
        <v>0</v>
      </c>
      <c r="Q184" s="305">
        <f t="shared" si="53"/>
        <v>0.7</v>
      </c>
      <c r="R184" s="177">
        <f t="shared" si="54"/>
        <v>0.27166282905505934</v>
      </c>
      <c r="S184" s="817">
        <f t="shared" si="55"/>
        <v>-1</v>
      </c>
      <c r="T184" s="176">
        <f t="shared" si="56"/>
        <v>5</v>
      </c>
      <c r="U184" s="251">
        <f t="shared" si="57"/>
        <v>-0.72833717094494066</v>
      </c>
      <c r="V184" s="383">
        <f t="shared" si="58"/>
        <v>39.001156161768655</v>
      </c>
      <c r="W184" s="402">
        <f t="shared" si="59"/>
        <v>36.263915186100114</v>
      </c>
      <c r="X184" s="157">
        <f t="shared" si="60"/>
        <v>46557</v>
      </c>
      <c r="Y184" s="385">
        <f t="shared" si="61"/>
        <v>33.289811924478578</v>
      </c>
      <c r="Z184" s="385">
        <f t="shared" si="62"/>
        <v>35.822708123410415</v>
      </c>
      <c r="AA184" s="386">
        <f t="shared" si="63"/>
        <v>40.09278044783148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0.10650476910618012</v>
      </c>
      <c r="AD184" s="231">
        <f>(INDEX(Models!$BJ184:$BT184,,AH184)*(1-AF184)+INDEX(Models!$BJ184:$BT184,,AH184+1)*AF184-ERP_i)*AE184*Ramure*Pc/MaxiM</f>
        <v>1.8137846959425177E-6</v>
      </c>
      <c r="AE184" s="305">
        <f t="shared" si="65"/>
        <v>0.7</v>
      </c>
      <c r="AF184" s="177">
        <f t="shared" si="66"/>
        <v>0.89552619843111536</v>
      </c>
      <c r="AG184" s="817">
        <f t="shared" si="74"/>
        <v>1</v>
      </c>
      <c r="AH184" s="176">
        <f t="shared" si="67"/>
        <v>7</v>
      </c>
      <c r="AI184" s="225">
        <f t="shared" si="68"/>
        <v>1.8955261984311154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46558</v>
      </c>
      <c r="B185" s="411">
        <f>'2026'!Wh/'2026'!Env_an*'2027'!Env_an</f>
        <v>20.380630225521141</v>
      </c>
      <c r="C185" s="846"/>
      <c r="D185" s="393">
        <f t="shared" si="50"/>
        <v>21.931795853261388</v>
      </c>
      <c r="E185" s="385">
        <f t="shared" si="75"/>
        <v>22.537290893212862</v>
      </c>
      <c r="F185" s="385">
        <f t="shared" si="51"/>
        <v>22.537290893212862</v>
      </c>
      <c r="G185" s="110">
        <f t="shared" si="76"/>
        <v>0.52313137883227301</v>
      </c>
      <c r="H185" s="414" t="b">
        <f>Wh_hp&gt;='2026'!Maxi_hp</f>
        <v>0</v>
      </c>
      <c r="I185" s="390">
        <f>IF(H185,Wh_hp,'2026'!Maxi_hp)</f>
        <v>39.022000068069346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7.0726794929088288E-2</v>
      </c>
      <c r="M185" s="850"/>
      <c r="N185" s="850"/>
      <c r="O185" s="48">
        <f>IF(t&lt;Tnet,'2026'!Resal+('2026'!Salim-'2026'!Resal)*(1-EXP(('2026'!Tnet-t)/('2026'!Tau_j))),Resal+(Salim-Resal)*(1-EXP((Tnet-t)/(Tau_j))))*Salcycl</f>
        <v>2.6866363078883623E-2</v>
      </c>
      <c r="P185" s="169">
        <f>(INDEX(Models!$BJ185:$BT185,,T185)*(1-R185)+INDEX(Models!$BJ185:$BT185,,T185+1)*R185-ERP_i)*Q185*Ramure*Pc/MaxiM</f>
        <v>0</v>
      </c>
      <c r="Q185" s="305">
        <f t="shared" si="53"/>
        <v>0.7</v>
      </c>
      <c r="R185" s="177">
        <f t="shared" si="54"/>
        <v>0.27661730713214161</v>
      </c>
      <c r="S185" s="817">
        <f t="shared" si="55"/>
        <v>-1</v>
      </c>
      <c r="T185" s="176">
        <f t="shared" si="56"/>
        <v>5</v>
      </c>
      <c r="U185" s="251">
        <f t="shared" si="57"/>
        <v>-0.72338269286785839</v>
      </c>
      <c r="V185" s="383">
        <f t="shared" si="58"/>
        <v>38.958913669094976</v>
      </c>
      <c r="W185" s="402">
        <f t="shared" si="59"/>
        <v>20.380630225521141</v>
      </c>
      <c r="X185" s="157">
        <f t="shared" si="60"/>
        <v>46558</v>
      </c>
      <c r="Y185" s="385">
        <f t="shared" si="61"/>
        <v>18.710417666278733</v>
      </c>
      <c r="Z185" s="385">
        <f t="shared" si="62"/>
        <v>20.134463755307529</v>
      </c>
      <c r="AA185" s="386">
        <f t="shared" si="63"/>
        <v>22.537277640628282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0.10661509005813398</v>
      </c>
      <c r="AD185" s="231">
        <f>(INDEX(Models!$BJ185:$BT185,,AH185)*(1-AF185)+INDEX(Models!$BJ185:$BT185,,AH185+1)*AF185-ERP_i)*AE185*Ramure*Pc/MaxiM</f>
        <v>1.8447446743428914E-6</v>
      </c>
      <c r="AE185" s="305">
        <f t="shared" si="65"/>
        <v>0.7</v>
      </c>
      <c r="AF185" s="177">
        <f t="shared" si="66"/>
        <v>0.90048067650819763</v>
      </c>
      <c r="AG185" s="817">
        <f t="shared" si="74"/>
        <v>1</v>
      </c>
      <c r="AH185" s="176">
        <f t="shared" si="67"/>
        <v>7</v>
      </c>
      <c r="AI185" s="225">
        <f t="shared" si="68"/>
        <v>1.9004806765081976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46559</v>
      </c>
      <c r="B186" s="411">
        <f>'2026'!Wh/'2026'!Env_an*'2027'!Env_an</f>
        <v>14.264073793410889</v>
      </c>
      <c r="C186" s="846"/>
      <c r="D186" s="393">
        <f t="shared" si="50"/>
        <v>15.350045758598185</v>
      </c>
      <c r="E186" s="385">
        <f t="shared" si="75"/>
        <v>15.776816067949104</v>
      </c>
      <c r="F186" s="385">
        <f t="shared" si="51"/>
        <v>15.776816067949104</v>
      </c>
      <c r="G186" s="110">
        <f t="shared" si="76"/>
        <v>0.36653709161787351</v>
      </c>
      <c r="H186" s="414" t="b">
        <f>Wh_hp&gt;='2026'!Maxi_hp</f>
        <v>0</v>
      </c>
      <c r="I186" s="390">
        <f>IF(H186,Wh_hp,'2026'!Maxi_hp)</f>
        <v>35.180212507104621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7.0747148397196091E-2</v>
      </c>
      <c r="M186" s="850"/>
      <c r="N186" s="850"/>
      <c r="O186" s="48">
        <f>IF(t&lt;Tnet,'2026'!Resal+('2026'!Salim-'2026'!Resal)*(1-EXP(('2026'!Tnet-t)/('2026'!Tau_j))),Resal+(Salim-Resal)*(1-EXP((Tnet-t)/(Tau_j))))*Salcycl</f>
        <v>2.7050471242921429E-2</v>
      </c>
      <c r="P186" s="169">
        <f>(INDEX(Models!$BJ186:$BT186,,T186)*(1-R186)+INDEX(Models!$BJ186:$BT186,,T186+1)*R186-ERP_i)*Q186*Ramure*Pc/MaxiM</f>
        <v>0</v>
      </c>
      <c r="Q186" s="305">
        <f t="shared" si="53"/>
        <v>0.7</v>
      </c>
      <c r="R186" s="177">
        <f t="shared" si="54"/>
        <v>0.28153070368176836</v>
      </c>
      <c r="S186" s="817">
        <f t="shared" si="55"/>
        <v>-1</v>
      </c>
      <c r="T186" s="176">
        <f t="shared" si="56"/>
        <v>5</v>
      </c>
      <c r="U186" s="251">
        <f t="shared" si="57"/>
        <v>-0.71846929631823164</v>
      </c>
      <c r="V186" s="383">
        <f t="shared" si="58"/>
        <v>38.915771744818763</v>
      </c>
      <c r="W186" s="402">
        <f t="shared" si="59"/>
        <v>14.264073793410889</v>
      </c>
      <c r="X186" s="157">
        <f t="shared" si="60"/>
        <v>46559</v>
      </c>
      <c r="Y186" s="385">
        <f t="shared" si="61"/>
        <v>13.096011270502437</v>
      </c>
      <c r="Z186" s="385">
        <f t="shared" si="62"/>
        <v>14.093054702941222</v>
      </c>
      <c r="AA186" s="386">
        <f t="shared" si="63"/>
        <v>15.77681326504341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0.10672361609507547</v>
      </c>
      <c r="AD186" s="231">
        <f>(INDEX(Models!$BJ186:$BT186,,AH186)*(1-AF186)+INDEX(Models!$BJ186:$BT186,,AH186+1)*AF186-ERP_i)*AE186*Ramure*Pc/MaxiM</f>
        <v>1.8690604591701383E-6</v>
      </c>
      <c r="AE186" s="305">
        <f t="shared" si="65"/>
        <v>0.7</v>
      </c>
      <c r="AF186" s="177">
        <f t="shared" si="66"/>
        <v>0.90539407305782449</v>
      </c>
      <c r="AG186" s="817">
        <f t="shared" si="74"/>
        <v>1</v>
      </c>
      <c r="AH186" s="176">
        <f t="shared" si="67"/>
        <v>7</v>
      </c>
      <c r="AI186" s="225">
        <f t="shared" si="68"/>
        <v>1.9053940730578245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46560</v>
      </c>
      <c r="B187" s="411">
        <f>'2026'!Wh/'2026'!Env_an*'2027'!Env_an</f>
        <v>29.760505405694559</v>
      </c>
      <c r="C187" s="846"/>
      <c r="D187" s="393">
        <f t="shared" si="50"/>
        <v>32.026974359115933</v>
      </c>
      <c r="E187" s="385">
        <f t="shared" si="75"/>
        <v>32.923617315425474</v>
      </c>
      <c r="F187" s="385">
        <f t="shared" si="51"/>
        <v>32.923617315425474</v>
      </c>
      <c r="G187" s="110">
        <f t="shared" si="76"/>
        <v>0.7656060140451908</v>
      </c>
      <c r="H187" s="414" t="b">
        <f>Wh_hp&gt;='2026'!Maxi_hp</f>
        <v>0</v>
      </c>
      <c r="I187" s="390">
        <f>IF(H187,Wh_hp,'2026'!Maxi_hp)</f>
        <v>43.398049823870345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7.0767501419510825E-2</v>
      </c>
      <c r="M187" s="850"/>
      <c r="N187" s="850"/>
      <c r="O187" s="48">
        <f>IF(t&lt;Tnet,'2026'!Resal+('2026'!Salim-'2026'!Resal)*(1-EXP(('2026'!Tnet-t)/('2026'!Tau_j))),Resal+(Salim-Resal)*(1-EXP((Tnet-t)/(Tau_j))))*Salcycl</f>
        <v>2.723403530417802E-2</v>
      </c>
      <c r="P187" s="169">
        <f>(INDEX(Models!$BJ187:$BT187,,T187)*(1-R187)+INDEX(Models!$BJ187:$BT187,,T187+1)*R187-ERP_i)*Q187*Ramure*Pc/MaxiM</f>
        <v>0</v>
      </c>
      <c r="Q187" s="305">
        <f t="shared" si="53"/>
        <v>0.7</v>
      </c>
      <c r="R187" s="177">
        <f t="shared" si="54"/>
        <v>0.28639943262185596</v>
      </c>
      <c r="S187" s="817">
        <f t="shared" si="55"/>
        <v>-1</v>
      </c>
      <c r="T187" s="176">
        <f t="shared" si="56"/>
        <v>5</v>
      </c>
      <c r="U187" s="251">
        <f t="shared" si="57"/>
        <v>-0.71360056737814404</v>
      </c>
      <c r="V187" s="383">
        <f t="shared" si="58"/>
        <v>38.871828146242741</v>
      </c>
      <c r="W187" s="402">
        <f t="shared" si="59"/>
        <v>29.760505405694559</v>
      </c>
      <c r="X187" s="157">
        <f t="shared" si="60"/>
        <v>46560</v>
      </c>
      <c r="Y187" s="385">
        <f t="shared" si="61"/>
        <v>27.325326306105175</v>
      </c>
      <c r="Z187" s="385">
        <f t="shared" si="62"/>
        <v>29.406339476770121</v>
      </c>
      <c r="AA187" s="386">
        <f t="shared" si="63"/>
        <v>32.923576001195826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0.10683033107636779</v>
      </c>
      <c r="AD187" s="231">
        <f>(INDEX(Models!$BJ187:$BT187,,AH187)*(1-AF187)+INDEX(Models!$BJ187:$BT187,,AH187+1)*AF187-ERP_i)*AE187*Ramure*Pc/MaxiM</f>
        <v>1.8865641305943717E-6</v>
      </c>
      <c r="AE187" s="305">
        <f t="shared" si="65"/>
        <v>0.7</v>
      </c>
      <c r="AF187" s="177">
        <f t="shared" si="66"/>
        <v>0.91026280199791199</v>
      </c>
      <c r="AG187" s="817">
        <f t="shared" si="74"/>
        <v>1</v>
      </c>
      <c r="AH187" s="176">
        <f t="shared" si="67"/>
        <v>7</v>
      </c>
      <c r="AI187" s="225">
        <f t="shared" si="68"/>
        <v>1.910262801997912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46561</v>
      </c>
      <c r="B188" s="411">
        <f>'2026'!Wh/'2026'!Env_an*'2027'!Env_an</f>
        <v>26.736185515483442</v>
      </c>
      <c r="C188" s="846"/>
      <c r="D188" s="393">
        <f t="shared" si="50"/>
        <v>28.772961729419279</v>
      </c>
      <c r="E188" s="385">
        <f t="shared" si="75"/>
        <v>29.584069484411511</v>
      </c>
      <c r="F188" s="385">
        <f t="shared" si="51"/>
        <v>29.584069484411511</v>
      </c>
      <c r="G188" s="110">
        <f t="shared" si="76"/>
        <v>0.68859456638491046</v>
      </c>
      <c r="H188" s="414" t="b">
        <f>Wh_hp&gt;='2026'!Maxi_hp</f>
        <v>0</v>
      </c>
      <c r="I188" s="390">
        <f>IF(H188,Wh_hp,'2026'!Maxi_hp)</f>
        <v>43.321618231322205</v>
      </c>
      <c r="J188" s="85">
        <f>IF(H188,An,'2026'!An_max)</f>
        <v>2018</v>
      </c>
      <c r="K188" s="197">
        <f t="shared" si="52"/>
        <v>46561</v>
      </c>
      <c r="L188" s="147">
        <f>IF(t&lt;Tvie,1-EXP((T0-t)*PertePVj)+'2026'!Pspv,1-EXP((T0-t)*PertePVj)+Pspv)</f>
        <v>7.0787853996042038E-2</v>
      </c>
      <c r="M188" s="850"/>
      <c r="N188" s="850"/>
      <c r="O188" s="48">
        <f>IF(t&lt;Tnet,'2026'!Resal+('2026'!Salim-'2026'!Resal)*(1-EXP(('2026'!Tnet-t)/('2026'!Tau_j))),Resal+(Salim-Resal)*(1-EXP((Tnet-t)/(Tau_j))))*Salcycl</f>
        <v>2.7417044684120265E-2</v>
      </c>
      <c r="P188" s="169">
        <f>(INDEX(Models!$BJ188:$BT188,,T188)*(1-R188)+INDEX(Models!$BJ188:$BT188,,T188+1)*R188-ERP_i)*Q188*Ramure*Pc/MaxiM</f>
        <v>0</v>
      </c>
      <c r="Q188" s="305">
        <f t="shared" si="53"/>
        <v>0.7</v>
      </c>
      <c r="R188" s="177">
        <f t="shared" si="54"/>
        <v>0.29122004745307795</v>
      </c>
      <c r="S188" s="817">
        <f t="shared" si="55"/>
        <v>-1</v>
      </c>
      <c r="T188" s="176">
        <f t="shared" si="56"/>
        <v>5</v>
      </c>
      <c r="U188" s="251">
        <f t="shared" si="57"/>
        <v>-0.70877995254692205</v>
      </c>
      <c r="V188" s="383">
        <f t="shared" si="58"/>
        <v>38.827180492938218</v>
      </c>
      <c r="W188" s="402">
        <f t="shared" si="59"/>
        <v>26.736185515483442</v>
      </c>
      <c r="X188" s="157">
        <f t="shared" si="60"/>
        <v>46561</v>
      </c>
      <c r="Y188" s="385">
        <f t="shared" si="61"/>
        <v>24.550214715247719</v>
      </c>
      <c r="Z188" s="385">
        <f t="shared" si="62"/>
        <v>26.420462561563578</v>
      </c>
      <c r="AA188" s="386">
        <f t="shared" si="63"/>
        <v>29.584038328519821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0.10693522404973582</v>
      </c>
      <c r="AD188" s="231">
        <f>(INDEX(Models!$BJ188:$BT188,,AH188)*(1-AF188)+INDEX(Models!$BJ188:$BT188,,AH188+1)*AF188-ERP_i)*AE188*Ramure*Pc/MaxiM</f>
        <v>1.8970710117929287E-6</v>
      </c>
      <c r="AE188" s="305">
        <f t="shared" si="65"/>
        <v>0.7</v>
      </c>
      <c r="AF188" s="177">
        <f t="shared" si="66"/>
        <v>0.91508341682913397</v>
      </c>
      <c r="AG188" s="817">
        <f t="shared" si="74"/>
        <v>1</v>
      </c>
      <c r="AH188" s="176">
        <f t="shared" si="67"/>
        <v>7</v>
      </c>
      <c r="AI188" s="225">
        <f t="shared" si="68"/>
        <v>1.915083416829134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46562</v>
      </c>
      <c r="B189" s="411">
        <f>'2026'!Wh/'2026'!Env_an*'2027'!Env_an</f>
        <v>30.341802962985255</v>
      </c>
      <c r="C189" s="846"/>
      <c r="D189" s="393">
        <f t="shared" si="50"/>
        <v>32.653972154133946</v>
      </c>
      <c r="E189" s="385">
        <f t="shared" si="75"/>
        <v>33.58078468897488</v>
      </c>
      <c r="F189" s="385">
        <f t="shared" si="51"/>
        <v>33.58078468897488</v>
      </c>
      <c r="G189" s="110">
        <f t="shared" si="76"/>
        <v>0.7823696727717907</v>
      </c>
      <c r="H189" s="414" t="b">
        <f>Wh_hp&gt;='2026'!Maxi_hp</f>
        <v>0</v>
      </c>
      <c r="I189" s="390">
        <f>IF(H189,Wh_hp,'2026'!Maxi_hp)</f>
        <v>42.706685617077156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7.0808206126799611E-2</v>
      </c>
      <c r="M189" s="850"/>
      <c r="N189" s="850"/>
      <c r="O189" s="48">
        <f>IF(t&lt;Tnet,'2026'!Resal+('2026'!Salim-'2026'!Resal)*(1-EXP(('2026'!Tnet-t)/('2026'!Tau_j))),Resal+(Salim-Resal)*(1-EXP((Tnet-t)/(Tau_j))))*Salcycl</f>
        <v>2.7599490107961127E-2</v>
      </c>
      <c r="P189" s="169">
        <f>(INDEX(Models!$BJ189:$BT189,,T189)*(1-R189)+INDEX(Models!$BJ189:$BT189,,T189+1)*R189-ERP_i)*Q189*Ramure*Pc/MaxiM</f>
        <v>0</v>
      </c>
      <c r="Q189" s="305">
        <f t="shared" si="53"/>
        <v>0.7</v>
      </c>
      <c r="R189" s="177">
        <f t="shared" si="54"/>
        <v>0.29598924983462027</v>
      </c>
      <c r="S189" s="817">
        <f t="shared" si="55"/>
        <v>-1</v>
      </c>
      <c r="T189" s="176">
        <f t="shared" si="56"/>
        <v>5</v>
      </c>
      <c r="U189" s="251">
        <f t="shared" si="57"/>
        <v>-0.70401075016537973</v>
      </c>
      <c r="V189" s="383">
        <f t="shared" si="58"/>
        <v>38.781926267016296</v>
      </c>
      <c r="W189" s="402">
        <f t="shared" si="59"/>
        <v>30.341802962985255</v>
      </c>
      <c r="X189" s="157">
        <f t="shared" si="60"/>
        <v>46562</v>
      </c>
      <c r="Y189" s="385">
        <f t="shared" si="61"/>
        <v>27.863038455018657</v>
      </c>
      <c r="Z189" s="385">
        <f t="shared" si="62"/>
        <v>29.986315676417725</v>
      </c>
      <c r="AA189" s="386">
        <f t="shared" si="63"/>
        <v>33.580740712801543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0.10703828921241045</v>
      </c>
      <c r="AD189" s="231">
        <f>(INDEX(Models!$BJ189:$BT189,,AH189)*(1-AF189)+INDEX(Models!$BJ189:$BT189,,AH189+1)*AF189-ERP_i)*AE189*Ramure*Pc/MaxiM</f>
        <v>1.9003983308756827E-6</v>
      </c>
      <c r="AE189" s="305">
        <f t="shared" si="65"/>
        <v>0.7</v>
      </c>
      <c r="AF189" s="177">
        <f t="shared" si="66"/>
        <v>0.91985261921067618</v>
      </c>
      <c r="AG189" s="817">
        <f t="shared" si="74"/>
        <v>1</v>
      </c>
      <c r="AH189" s="176">
        <f t="shared" si="67"/>
        <v>7</v>
      </c>
      <c r="AI189" s="225">
        <f t="shared" si="68"/>
        <v>1.9198526192106762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46563</v>
      </c>
      <c r="B190" s="411">
        <f>'2026'!Wh/'2026'!Env_an*'2027'!Env_an</f>
        <v>21.637301488293563</v>
      </c>
      <c r="C190" s="846"/>
      <c r="D190" s="393">
        <f t="shared" si="50"/>
        <v>23.286662187268188</v>
      </c>
      <c r="E190" s="385">
        <f t="shared" si="75"/>
        <v>23.952083735084258</v>
      </c>
      <c r="F190" s="385">
        <f t="shared" si="51"/>
        <v>23.952083735084258</v>
      </c>
      <c r="G190" s="110">
        <f t="shared" si="76"/>
        <v>0.55858143700897889</v>
      </c>
      <c r="H190" s="414" t="b">
        <f>Wh_hp&gt;='2026'!Maxi_hp</f>
        <v>0</v>
      </c>
      <c r="I190" s="390">
        <f>IF(H190,Wh_hp,'2026'!Maxi_hp)</f>
        <v>42.181442408546353</v>
      </c>
      <c r="J190" s="85">
        <f>IF(H190,An,'2026'!An_max)</f>
        <v>2018</v>
      </c>
      <c r="K190" s="197">
        <f t="shared" si="52"/>
        <v>46563</v>
      </c>
      <c r="L190" s="147">
        <f>IF(t&lt;Tvie,1-EXP((T0-t)*PertePVj)+'2026'!Pspv,1-EXP((T0-t)*PertePVj)+Pspv)</f>
        <v>7.0828557811793313E-2</v>
      </c>
      <c r="M190" s="850"/>
      <c r="N190" s="850"/>
      <c r="O190" s="48">
        <f>IF(t&lt;Tnet,'2026'!Resal+('2026'!Salim-'2026'!Resal)*(1-EXP(('2026'!Tnet-t)/('2026'!Tau_j))),Resal+(Salim-Resal)*(1-EXP((Tnet-t)/(Tau_j))))*Salcycl</f>
        <v>2.7781363624801561E-2</v>
      </c>
      <c r="P190" s="169">
        <f>(INDEX(Models!$BJ190:$BT190,,T190)*(1-R190)+INDEX(Models!$BJ190:$BT190,,T190+1)*R190-ERP_i)*Q190*Ramure*Pc/MaxiM</f>
        <v>0</v>
      </c>
      <c r="Q190" s="305">
        <f t="shared" si="53"/>
        <v>0.7</v>
      </c>
      <c r="R190" s="177">
        <f t="shared" si="54"/>
        <v>0.30070389722559621</v>
      </c>
      <c r="S190" s="817">
        <f t="shared" si="55"/>
        <v>-1</v>
      </c>
      <c r="T190" s="176">
        <f t="shared" si="56"/>
        <v>5</v>
      </c>
      <c r="U190" s="251">
        <f t="shared" si="57"/>
        <v>-0.69929610277440379</v>
      </c>
      <c r="V190" s="383">
        <f t="shared" si="58"/>
        <v>38.736162812989704</v>
      </c>
      <c r="W190" s="402">
        <f t="shared" si="59"/>
        <v>21.637301488293563</v>
      </c>
      <c r="X190" s="157">
        <f t="shared" si="60"/>
        <v>46563</v>
      </c>
      <c r="Y190" s="385">
        <f t="shared" si="61"/>
        <v>19.871124672887255</v>
      </c>
      <c r="Z190" s="385">
        <f t="shared" si="62"/>
        <v>21.385853859316413</v>
      </c>
      <c r="AA190" s="386">
        <f t="shared" si="63"/>
        <v>23.952066955955338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0.107139525843755</v>
      </c>
      <c r="AD190" s="231">
        <f>(INDEX(Models!$BJ190:$BT190,,AH190)*(1-AF190)+INDEX(Models!$BJ190:$BT190,,AH190+1)*AF190-ERP_i)*AE190*Ramure*Pc/MaxiM</f>
        <v>1.8963862818041632E-6</v>
      </c>
      <c r="AE190" s="305">
        <f t="shared" si="65"/>
        <v>0.7</v>
      </c>
      <c r="AF190" s="177">
        <f t="shared" si="66"/>
        <v>0.92456726660165223</v>
      </c>
      <c r="AG190" s="817">
        <f t="shared" si="74"/>
        <v>1</v>
      </c>
      <c r="AH190" s="176">
        <f t="shared" si="67"/>
        <v>7</v>
      </c>
      <c r="AI190" s="225">
        <f t="shared" si="68"/>
        <v>1.9245672666016522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46564</v>
      </c>
      <c r="B191" s="411">
        <f>'2026'!Wh/'2026'!Env_an*'2027'!Env_an</f>
        <v>7.7193034235702624</v>
      </c>
      <c r="C191" s="846"/>
      <c r="D191" s="393">
        <f t="shared" si="50"/>
        <v>8.3079097670609521</v>
      </c>
      <c r="E191" s="385">
        <f t="shared" si="75"/>
        <v>8.5469039237348525</v>
      </c>
      <c r="F191" s="385">
        <f t="shared" si="51"/>
        <v>8.5469039237348525</v>
      </c>
      <c r="G191" s="110">
        <f t="shared" si="76"/>
        <v>0.19951483075107551</v>
      </c>
      <c r="H191" s="414" t="b">
        <f>Wh_hp&gt;='2026'!Maxi_hp</f>
        <v>0</v>
      </c>
      <c r="I191" s="390">
        <f>IF(H191,Wh_hp,'2026'!Maxi_hp)</f>
        <v>41.141814363893154</v>
      </c>
      <c r="J191" s="85">
        <f>IF(H191,An,'2026'!An_max)</f>
        <v>2021</v>
      </c>
      <c r="K191" s="197">
        <f t="shared" si="52"/>
        <v>46564</v>
      </c>
      <c r="L191" s="147">
        <f>IF(t&lt;Tvie,1-EXP((T0-t)*PertePVj)+'2026'!Pspv,1-EXP((T0-t)*PertePVj)+Pspv)</f>
        <v>7.0848909051032916E-2</v>
      </c>
      <c r="M191" s="850"/>
      <c r="N191" s="850"/>
      <c r="O191" s="48">
        <f>IF(t&lt;Tnet,'2026'!Resal+('2026'!Salim-'2026'!Resal)*(1-EXP(('2026'!Tnet-t)/('2026'!Tau_j))),Resal+(Salim-Resal)*(1-EXP((Tnet-t)/(Tau_j))))*Salcycl</f>
        <v>2.7962658619598017E-2</v>
      </c>
      <c r="P191" s="169">
        <f>(INDEX(Models!$BJ191:$BT191,,T191)*(1-R191)+INDEX(Models!$BJ191:$BT191,,T191+1)*R191-ERP_i)*Q191*Ramure*Pc/MaxiM</f>
        <v>0</v>
      </c>
      <c r="Q191" s="305">
        <f t="shared" si="53"/>
        <v>0.7</v>
      </c>
      <c r="R191" s="177">
        <f t="shared" si="54"/>
        <v>0.30536100956642842</v>
      </c>
      <c r="S191" s="817">
        <f t="shared" si="55"/>
        <v>-1</v>
      </c>
      <c r="T191" s="176">
        <f t="shared" si="56"/>
        <v>5</v>
      </c>
      <c r="U191" s="251">
        <f t="shared" si="57"/>
        <v>-0.69463899043357158</v>
      </c>
      <c r="V191" s="383">
        <f t="shared" si="58"/>
        <v>38.690374016361936</v>
      </c>
      <c r="W191" s="402">
        <f t="shared" si="59"/>
        <v>7.7193034235702624</v>
      </c>
      <c r="X191" s="157">
        <f t="shared" si="60"/>
        <v>46564</v>
      </c>
      <c r="Y191" s="385">
        <f t="shared" si="61"/>
        <v>7.0897415431797137</v>
      </c>
      <c r="Z191" s="385">
        <f t="shared" si="62"/>
        <v>7.6303430219715604</v>
      </c>
      <c r="AA191" s="386">
        <f t="shared" si="63"/>
        <v>8.5469039237348525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0.10723893820989283</v>
      </c>
      <c r="AD191" s="231">
        <f>(INDEX(Models!$BJ191:$BT191,,AH191)*(1-AF191)+INDEX(Models!$BJ191:$BT191,,AH191+1)*AF191-ERP_i)*AE191*Ramure*Pc/MaxiM</f>
        <v>1.8848610307681287E-6</v>
      </c>
      <c r="AE191" s="305">
        <f t="shared" si="65"/>
        <v>0.7</v>
      </c>
      <c r="AF191" s="177">
        <f t="shared" si="66"/>
        <v>0.92922437894248455</v>
      </c>
      <c r="AG191" s="817">
        <f t="shared" si="74"/>
        <v>1</v>
      </c>
      <c r="AH191" s="176">
        <f t="shared" si="67"/>
        <v>7</v>
      </c>
      <c r="AI191" s="225">
        <f t="shared" si="68"/>
        <v>1.9292243789424846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46565</v>
      </c>
      <c r="B192" s="411">
        <f>'2026'!Wh/'2026'!Env_an*'2027'!Env_an</f>
        <v>9.9935509453923714</v>
      </c>
      <c r="C192" s="846"/>
      <c r="D192" s="393">
        <f t="shared" si="50"/>
        <v>10.755807028535237</v>
      </c>
      <c r="E192" s="385">
        <f t="shared" si="75"/>
        <v>11.06727751243362</v>
      </c>
      <c r="F192" s="385">
        <f t="shared" si="51"/>
        <v>11.06727751243362</v>
      </c>
      <c r="G192" s="110">
        <f t="shared" si="76"/>
        <v>0.25860024315056224</v>
      </c>
      <c r="H192" s="414" t="b">
        <f>Wh_hp&gt;='2026'!Maxi_hp</f>
        <v>0</v>
      </c>
      <c r="I192" s="390">
        <f>IF(H192,Wh_hp,'2026'!Maxi_hp)</f>
        <v>40.70663915680317</v>
      </c>
      <c r="J192" s="85">
        <f>IF(H192,An,'2026'!An_max)</f>
        <v>2019</v>
      </c>
      <c r="K192" s="197">
        <f t="shared" si="52"/>
        <v>46565</v>
      </c>
      <c r="L192" s="147">
        <f>IF(t&lt;Tvie,1-EXP((T0-t)*PertePVj)+'2026'!Pspv,1-EXP((T0-t)*PertePVj)+Pspv)</f>
        <v>7.0869259844528076E-2</v>
      </c>
      <c r="M192" s="850"/>
      <c r="N192" s="850"/>
      <c r="O192" s="48">
        <f>IF(t&lt;Tnet,'2026'!Resal+('2026'!Salim-'2026'!Resal)*(1-EXP(('2026'!Tnet-t)/('2026'!Tau_j))),Resal+(Salim-Resal)*(1-EXP((Tnet-t)/(Tau_j))))*Salcycl</f>
        <v>2.8143369816873154E-2</v>
      </c>
      <c r="P192" s="169">
        <f>(INDEX(Models!$BJ192:$BT192,,T192)*(1-R192)+INDEX(Models!$BJ192:$BT192,,T192+1)*R192-ERP_i)*Q192*Ramure*Pc/MaxiM</f>
        <v>0</v>
      </c>
      <c r="Q192" s="305">
        <f t="shared" si="53"/>
        <v>0.7</v>
      </c>
      <c r="R192" s="177">
        <f t="shared" si="54"/>
        <v>0.30995777498414556</v>
      </c>
      <c r="S192" s="817">
        <f t="shared" si="55"/>
        <v>-1</v>
      </c>
      <c r="T192" s="176">
        <f t="shared" si="56"/>
        <v>5</v>
      </c>
      <c r="U192" s="251">
        <f t="shared" si="57"/>
        <v>-0.69004222501585444</v>
      </c>
      <c r="V192" s="383">
        <f t="shared" si="58"/>
        <v>38.64478557189107</v>
      </c>
      <c r="W192" s="402">
        <f t="shared" si="59"/>
        <v>9.9935509453923714</v>
      </c>
      <c r="X192" s="157">
        <f t="shared" si="60"/>
        <v>46565</v>
      </c>
      <c r="Y192" s="385">
        <f t="shared" si="61"/>
        <v>9.1792117613882258</v>
      </c>
      <c r="Z192" s="385">
        <f t="shared" si="62"/>
        <v>9.8793542874840874</v>
      </c>
      <c r="AA192" s="386">
        <f t="shared" si="63"/>
        <v>11.06727751243362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0.10733653544107394</v>
      </c>
      <c r="AD192" s="231">
        <f>(INDEX(Models!$BJ192:$BT192,,AH192)*(1-AF192)+INDEX(Models!$BJ192:$BT192,,AH192+1)*AF192-ERP_i)*AE192*Ramure*Pc/MaxiM</f>
        <v>1.8720555957568911E-6</v>
      </c>
      <c r="AE192" s="305">
        <f t="shared" si="65"/>
        <v>0.7</v>
      </c>
      <c r="AF192" s="177">
        <f t="shared" si="66"/>
        <v>0.93382114436020158</v>
      </c>
      <c r="AG192" s="817">
        <f t="shared" si="74"/>
        <v>1</v>
      </c>
      <c r="AH192" s="176">
        <f t="shared" si="67"/>
        <v>7</v>
      </c>
      <c r="AI192" s="225">
        <f t="shared" si="68"/>
        <v>1.9338211443602016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46566</v>
      </c>
      <c r="B193" s="411">
        <f>'2026'!Wh/'2026'!Env_an*'2027'!Env_an</f>
        <v>38.843813902279607</v>
      </c>
      <c r="C193" s="846"/>
      <c r="D193" s="393">
        <f t="shared" si="50"/>
        <v>41.807533667036836</v>
      </c>
      <c r="E193" s="385">
        <f t="shared" si="75"/>
        <v>43.026185543990671</v>
      </c>
      <c r="F193" s="385">
        <f t="shared" si="51"/>
        <v>43.026185543990671</v>
      </c>
      <c r="G193" s="110">
        <f t="shared" si="76"/>
        <v>1.0063396886575584</v>
      </c>
      <c r="H193" s="414" t="b">
        <f>Wh_hp&gt;='2026'!Maxi_hp</f>
        <v>1</v>
      </c>
      <c r="I193" s="390">
        <f>IF(H193,Wh_hp,'2026'!Maxi_hp)</f>
        <v>43.026185543990671</v>
      </c>
      <c r="J193" s="85">
        <f>IF(H193,An,'2026'!An_max)</f>
        <v>2027</v>
      </c>
      <c r="K193" s="197">
        <f t="shared" si="52"/>
        <v>46566</v>
      </c>
      <c r="L193" s="147">
        <f>IF(t&lt;Tvie,1-EXP((T0-t)*PertePVj)+'2026'!Pspv,1-EXP((T0-t)*PertePVj)+Pspv)</f>
        <v>7.0889610192288677E-2</v>
      </c>
      <c r="M193" s="850"/>
      <c r="N193" s="850"/>
      <c r="O193" s="48">
        <f>IF(t&lt;Tnet,'2026'!Resal+('2026'!Salim-'2026'!Resal)*(1-EXP(('2026'!Tnet-t)/('2026'!Tau_j))),Resal+(Salim-Resal)*(1-EXP((Tnet-t)/(Tau_j))))*Salcycl</f>
        <v>2.8323493276155326E-2</v>
      </c>
      <c r="P193" s="169">
        <f>(INDEX(Models!$BJ193:$BT193,,T193)*(1-R193)+INDEX(Models!$BJ193:$BT193,,T193+1)*R193-ERP_i)*Q193*Ramure*Pc/MaxiM</f>
        <v>0</v>
      </c>
      <c r="Q193" s="305">
        <f t="shared" si="53"/>
        <v>0.7</v>
      </c>
      <c r="R193" s="177">
        <f t="shared" si="54"/>
        <v>0.31449155451497512</v>
      </c>
      <c r="S193" s="817">
        <f t="shared" si="55"/>
        <v>-1</v>
      </c>
      <c r="T193" s="176">
        <f t="shared" si="56"/>
        <v>5</v>
      </c>
      <c r="U193" s="251">
        <f t="shared" si="57"/>
        <v>-0.68550844548502488</v>
      </c>
      <c r="V193" s="383">
        <f t="shared" si="58"/>
        <v>38.599107577776905</v>
      </c>
      <c r="W193" s="402">
        <f t="shared" si="59"/>
        <v>38.843813902279607</v>
      </c>
      <c r="X193" s="157">
        <f t="shared" si="60"/>
        <v>46566</v>
      </c>
      <c r="Y193" s="385">
        <f t="shared" si="61"/>
        <v>35.68128655340584</v>
      </c>
      <c r="Z193" s="385">
        <f t="shared" si="62"/>
        <v>38.403710629896672</v>
      </c>
      <c r="AA193" s="386">
        <f t="shared" si="63"/>
        <v>43.026105448554191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0.10743233138273363</v>
      </c>
      <c r="AD193" s="231">
        <f>(INDEX(Models!$BJ193:$BT193,,AH193)*(1-AF193)+INDEX(Models!$BJ193:$BT193,,AH193+1)*AF193-ERP_i)*AE193*Ramure*Pc/MaxiM</f>
        <v>1.8615509478692124E-6</v>
      </c>
      <c r="AE193" s="305">
        <f t="shared" si="65"/>
        <v>0.7</v>
      </c>
      <c r="AF193" s="177">
        <f t="shared" si="66"/>
        <v>0.93835492389103115</v>
      </c>
      <c r="AG193" s="817">
        <f t="shared" si="74"/>
        <v>1</v>
      </c>
      <c r="AH193" s="176">
        <f t="shared" si="67"/>
        <v>7</v>
      </c>
      <c r="AI193" s="225">
        <f t="shared" si="68"/>
        <v>1.9383549238910311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46567</v>
      </c>
      <c r="B194" s="411">
        <f>'2026'!Wh/'2026'!Env_an*'2027'!Env_an</f>
        <v>37.526749697314983</v>
      </c>
      <c r="C194" s="846"/>
      <c r="D194" s="393">
        <f t="shared" si="50"/>
        <v>40.390864270942814</v>
      </c>
      <c r="E194" s="385">
        <f t="shared" si="75"/>
        <v>41.575903340599005</v>
      </c>
      <c r="F194" s="385">
        <f t="shared" si="51"/>
        <v>41.575903340599005</v>
      </c>
      <c r="G194" s="110">
        <f t="shared" si="76"/>
        <v>0.97337952215864754</v>
      </c>
      <c r="H194" s="414" t="b">
        <f>Wh_hp&gt;='2026'!Maxi_hp</f>
        <v>1</v>
      </c>
      <c r="I194" s="390">
        <f>IF(H194,Wh_hp,'2026'!Maxi_hp)</f>
        <v>41.575903340599005</v>
      </c>
      <c r="J194" s="85">
        <f>IF(H194,An,'2026'!An_max)</f>
        <v>2027</v>
      </c>
      <c r="K194" s="197">
        <f t="shared" si="52"/>
        <v>46567</v>
      </c>
      <c r="L194" s="147">
        <f>IF(t&lt;Tvie,1-EXP((T0-t)*PertePVj)+'2026'!Pspv,1-EXP((T0-t)*PertePVj)+Pspv)</f>
        <v>7.0909960094324487E-2</v>
      </c>
      <c r="M194" s="850"/>
      <c r="N194" s="850"/>
      <c r="O194" s="48">
        <f>IF(t&lt;Tnet,'2026'!Resal+('2026'!Salim-'2026'!Resal)*(1-EXP(('2026'!Tnet-t)/('2026'!Tau_j))),Resal+(Salim-Resal)*(1-EXP((Tnet-t)/(Tau_j))))*Salcycl</f>
        <v>2.8503026379200741E-2</v>
      </c>
      <c r="P194" s="169">
        <f>(INDEX(Models!$BJ194:$BT194,,T194)*(1-R194)+INDEX(Models!$BJ194:$BT194,,T194+1)*R194-ERP_i)*Q194*Ramure*Pc/MaxiM</f>
        <v>0</v>
      </c>
      <c r="Q194" s="305">
        <f t="shared" si="53"/>
        <v>0.7</v>
      </c>
      <c r="R194" s="177">
        <f t="shared" si="54"/>
        <v>0.31895988584674739</v>
      </c>
      <c r="S194" s="817">
        <f t="shared" si="55"/>
        <v>-1</v>
      </c>
      <c r="T194" s="176">
        <f t="shared" si="56"/>
        <v>5</v>
      </c>
      <c r="U194" s="251">
        <f t="shared" si="57"/>
        <v>-0.68104011415325261</v>
      </c>
      <c r="V194" s="383">
        <f t="shared" si="58"/>
        <v>38.553050319049788</v>
      </c>
      <c r="W194" s="402">
        <f t="shared" si="59"/>
        <v>37.526749697314983</v>
      </c>
      <c r="X194" s="157">
        <f t="shared" si="60"/>
        <v>46567</v>
      </c>
      <c r="Y194" s="385">
        <f t="shared" si="61"/>
        <v>34.474194650416884</v>
      </c>
      <c r="Z194" s="385">
        <f t="shared" si="62"/>
        <v>37.105332281806426</v>
      </c>
      <c r="AA194" s="386">
        <f t="shared" si="63"/>
        <v>41.575829213413307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0.10752634442140234</v>
      </c>
      <c r="AD194" s="231">
        <f>(INDEX(Models!$BJ194:$BT194,,AH194)*(1-AF194)+INDEX(Models!$BJ194:$BT194,,AH194+1)*AF194-ERP_i)*AE194*Ramure*Pc/MaxiM</f>
        <v>1.8534204597692047E-6</v>
      </c>
      <c r="AE194" s="305">
        <f t="shared" si="65"/>
        <v>0.7</v>
      </c>
      <c r="AF194" s="177">
        <f t="shared" si="66"/>
        <v>0.94282325522280352</v>
      </c>
      <c r="AG194" s="817">
        <f t="shared" si="74"/>
        <v>1</v>
      </c>
      <c r="AH194" s="176">
        <f t="shared" si="67"/>
        <v>7</v>
      </c>
      <c r="AI194" s="225">
        <f t="shared" si="68"/>
        <v>1.9428232552228035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46568</v>
      </c>
      <c r="B195" s="411">
        <f>'2026'!Wh/'2026'!Env_an*'2027'!Env_an</f>
        <v>9.1255122290123261</v>
      </c>
      <c r="C195" s="846"/>
      <c r="D195" s="393">
        <f t="shared" si="50"/>
        <v>9.8222042144100836</v>
      </c>
      <c r="E195" s="385">
        <f t="shared" si="75"/>
        <v>10.112243249778217</v>
      </c>
      <c r="F195" s="385">
        <f t="shared" si="51"/>
        <v>10.112243249778217</v>
      </c>
      <c r="G195" s="110">
        <f t="shared" si="76"/>
        <v>0.23698736253264646</v>
      </c>
      <c r="H195" s="414" t="b">
        <f>Wh_hp&gt;='2026'!Maxi_hp</f>
        <v>0</v>
      </c>
      <c r="I195" s="390">
        <f>IF(H195,Wh_hp,'2026'!Maxi_hp)</f>
        <v>39.940934900012763</v>
      </c>
      <c r="J195" s="85">
        <f>IF(H195,An,'2026'!An_max)</f>
        <v>2018</v>
      </c>
      <c r="K195" s="197">
        <f t="shared" si="52"/>
        <v>46568</v>
      </c>
      <c r="L195" s="147">
        <f>IF(t&lt;Tvie,1-EXP((T0-t)*PertePVj)+'2026'!Pspv,1-EXP((T0-t)*PertePVj)+Pspv)</f>
        <v>7.0930309550645054E-2</v>
      </c>
      <c r="M195" s="850"/>
      <c r="N195" s="850"/>
      <c r="O195" s="48">
        <f>IF(t&lt;Tnet,'2026'!Resal+('2026'!Salim-'2026'!Resal)*(1-EXP(('2026'!Tnet-t)/('2026'!Tau_j))),Resal+(Salim-Resal)*(1-EXP((Tnet-t)/(Tau_j))))*Salcycl</f>
        <v>2.8681967809120395E-2</v>
      </c>
      <c r="P195" s="169">
        <f>(INDEX(Models!$BJ195:$BT195,,T195)*(1-R195)+INDEX(Models!$BJ195:$BT195,,T195+1)*R195-ERP_i)*Q195*Ramure*Pc/MaxiM</f>
        <v>0</v>
      </c>
      <c r="Q195" s="305">
        <f t="shared" si="53"/>
        <v>0.7</v>
      </c>
      <c r="R195" s="177">
        <f t="shared" si="54"/>
        <v>0.32336048609230295</v>
      </c>
      <c r="S195" s="817">
        <f t="shared" si="55"/>
        <v>-1</v>
      </c>
      <c r="T195" s="176">
        <f t="shared" si="56"/>
        <v>5</v>
      </c>
      <c r="U195" s="251">
        <f t="shared" si="57"/>
        <v>-0.67663951390769705</v>
      </c>
      <c r="V195" s="383">
        <f t="shared" si="58"/>
        <v>38.506324267629381</v>
      </c>
      <c r="W195" s="402">
        <f t="shared" si="59"/>
        <v>9.1255122290123261</v>
      </c>
      <c r="X195" s="157">
        <f t="shared" si="60"/>
        <v>46568</v>
      </c>
      <c r="Y195" s="385">
        <f t="shared" si="61"/>
        <v>8.3839042759601039</v>
      </c>
      <c r="Z195" s="385">
        <f t="shared" si="62"/>
        <v>9.0239778158139412</v>
      </c>
      <c r="AA195" s="386">
        <f t="shared" si="63"/>
        <v>10.112243249778217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0.10761859728682285</v>
      </c>
      <c r="AD195" s="231">
        <f>(INDEX(Models!$BJ195:$BT195,,AH195)*(1-AF195)+INDEX(Models!$BJ195:$BT195,,AH195+1)*AF195-ERP_i)*AE195*Ramure*Pc/MaxiM</f>
        <v>1.8477363906216887E-6</v>
      </c>
      <c r="AE195" s="305">
        <f t="shared" si="65"/>
        <v>0.7</v>
      </c>
      <c r="AF195" s="177">
        <f t="shared" si="66"/>
        <v>0.94722385546835897</v>
      </c>
      <c r="AG195" s="817">
        <f t="shared" si="74"/>
        <v>1</v>
      </c>
      <c r="AH195" s="176">
        <f t="shared" si="67"/>
        <v>7</v>
      </c>
      <c r="AI195" s="225">
        <f t="shared" si="68"/>
        <v>1.947223855468359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46569</v>
      </c>
      <c r="B196" s="411">
        <f>'2026'!Wh/'2026'!Env_an*'2027'!Env_an</f>
        <v>35.351576775130354</v>
      </c>
      <c r="C196" s="846"/>
      <c r="D196" s="393">
        <f t="shared" si="50"/>
        <v>38.05134474384792</v>
      </c>
      <c r="E196" s="385">
        <f t="shared" si="75"/>
        <v>39.182154153910105</v>
      </c>
      <c r="F196" s="385">
        <f t="shared" si="51"/>
        <v>39.182154153910105</v>
      </c>
      <c r="G196" s="110">
        <f t="shared" si="76"/>
        <v>0.91921026590989607</v>
      </c>
      <c r="H196" s="414" t="b">
        <f>Wh_hp&gt;='2026'!Maxi_hp</f>
        <v>0</v>
      </c>
      <c r="I196" s="390">
        <f>IF(H196,Wh_hp,'2026'!Maxi_hp)</f>
        <v>41.378085246589393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7.0950658561260482E-2</v>
      </c>
      <c r="M196" s="850"/>
      <c r="N196" s="850"/>
      <c r="O196" s="48">
        <f>IF(t&lt;Tnet,'2026'!Resal+('2026'!Salim-'2026'!Resal)*(1-EXP(('2026'!Tnet-t)/('2026'!Tau_j))),Resal+(Salim-Resal)*(1-EXP((Tnet-t)/(Tau_j))))*Salcycl</f>
        <v>2.8860317521601585E-2</v>
      </c>
      <c r="P196" s="169">
        <f>(INDEX(Models!$BJ196:$BT196,,T196)*(1-R196)+INDEX(Models!$BJ196:$BT196,,T196+1)*R196-ERP_i)*Q196*Ramure*Pc/MaxiM</f>
        <v>0</v>
      </c>
      <c r="Q196" s="305">
        <f t="shared" si="53"/>
        <v>0.7</v>
      </c>
      <c r="R196" s="177">
        <f t="shared" si="54"/>
        <v>0.32769125361324591</v>
      </c>
      <c r="S196" s="817">
        <f t="shared" si="55"/>
        <v>-1</v>
      </c>
      <c r="T196" s="176">
        <f t="shared" si="56"/>
        <v>5</v>
      </c>
      <c r="U196" s="251">
        <f t="shared" si="57"/>
        <v>-0.67230874638675409</v>
      </c>
      <c r="V196" s="383">
        <f t="shared" si="58"/>
        <v>38.458640080718624</v>
      </c>
      <c r="W196" s="402">
        <f t="shared" si="59"/>
        <v>35.351576775130354</v>
      </c>
      <c r="X196" s="157">
        <f t="shared" si="60"/>
        <v>46569</v>
      </c>
      <c r="Y196" s="385">
        <f t="shared" si="61"/>
        <v>32.481257600352251</v>
      </c>
      <c r="Z196" s="385">
        <f t="shared" si="62"/>
        <v>34.961821887792631</v>
      </c>
      <c r="AA196" s="386">
        <f t="shared" si="63"/>
        <v>39.182090221135645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0.10770911683181507</v>
      </c>
      <c r="AD196" s="231">
        <f>(INDEX(Models!$BJ196:$BT196,,AH196)*(1-AF196)+INDEX(Models!$BJ196:$BT196,,AH196+1)*AF196-ERP_i)*AE196*Ramure*Pc/MaxiM</f>
        <v>1.8445699738551398E-6</v>
      </c>
      <c r="AE196" s="305">
        <f t="shared" si="65"/>
        <v>0.7</v>
      </c>
      <c r="AF196" s="177">
        <f t="shared" si="66"/>
        <v>0.95155462298930193</v>
      </c>
      <c r="AG196" s="817">
        <f t="shared" si="74"/>
        <v>1</v>
      </c>
      <c r="AH196" s="176">
        <f t="shared" si="67"/>
        <v>7</v>
      </c>
      <c r="AI196" s="225">
        <f t="shared" si="68"/>
        <v>1.9515546229893019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46570</v>
      </c>
      <c r="B197" s="411">
        <f>'2026'!Wh/'2026'!Env_an*'2027'!Env_an</f>
        <v>36.43160767479543</v>
      </c>
      <c r="C197" s="846"/>
      <c r="D197" s="393">
        <f t="shared" si="50"/>
        <v>39.214715530135827</v>
      </c>
      <c r="E197" s="385">
        <f t="shared" si="75"/>
        <v>40.387490579650731</v>
      </c>
      <c r="F197" s="385">
        <f t="shared" si="51"/>
        <v>40.387490579650731</v>
      </c>
      <c r="G197" s="110">
        <f t="shared" si="76"/>
        <v>0.9484999756678768</v>
      </c>
      <c r="H197" s="414" t="b">
        <f>Wh_hp&gt;='2026'!Maxi_hp</f>
        <v>1</v>
      </c>
      <c r="I197" s="390">
        <f>IF(H197,Wh_hp,'2026'!Maxi_hp)</f>
        <v>40.387490579650731</v>
      </c>
      <c r="J197" s="85">
        <f>IF(H197,An,'2026'!An_max)</f>
        <v>2027</v>
      </c>
      <c r="K197" s="197">
        <f t="shared" si="52"/>
        <v>46570</v>
      </c>
      <c r="L197" s="147">
        <f>IF(t&lt;Tvie,1-EXP((T0-t)*PertePVj)+'2026'!Pspv,1-EXP((T0-t)*PertePVj)+Pspv)</f>
        <v>7.0971007126180208E-2</v>
      </c>
      <c r="M197" s="850"/>
      <c r="N197" s="850"/>
      <c r="O197" s="48">
        <f>IF(t&lt;Tnet,'2026'!Resal+('2026'!Salim-'2026'!Resal)*(1-EXP(('2026'!Tnet-t)/('2026'!Tau_j))),Resal+(Salim-Resal)*(1-EXP((Tnet-t)/(Tau_j))))*Salcycl</f>
        <v>2.9038076708479819E-2</v>
      </c>
      <c r="P197" s="169">
        <f>(INDEX(Models!$BJ197:$BT197,,T197)*(1-R197)+INDEX(Models!$BJ197:$BT197,,T197+1)*R197-ERP_i)*Q197*Ramure*Pc/MaxiM</f>
        <v>0</v>
      </c>
      <c r="Q197" s="305">
        <f t="shared" si="53"/>
        <v>0.7</v>
      </c>
      <c r="R197" s="177">
        <f t="shared" si="54"/>
        <v>0.33195026892090651</v>
      </c>
      <c r="S197" s="817">
        <f t="shared" si="55"/>
        <v>-1</v>
      </c>
      <c r="T197" s="176">
        <f t="shared" si="56"/>
        <v>5</v>
      </c>
      <c r="U197" s="251">
        <f t="shared" si="57"/>
        <v>-0.66804973107909349</v>
      </c>
      <c r="V197" s="383">
        <f t="shared" si="58"/>
        <v>38.409708602409268</v>
      </c>
      <c r="W197" s="402">
        <f t="shared" si="59"/>
        <v>36.43160767479543</v>
      </c>
      <c r="X197" s="157">
        <f t="shared" si="60"/>
        <v>46570</v>
      </c>
      <c r="Y197" s="385">
        <f t="shared" si="61"/>
        <v>33.476390098295532</v>
      </c>
      <c r="Z197" s="385">
        <f t="shared" si="62"/>
        <v>36.033740986641391</v>
      </c>
      <c r="AA197" s="386">
        <f t="shared" si="63"/>
        <v>40.387421584635391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0.10779793379160092</v>
      </c>
      <c r="AD197" s="231">
        <f>(INDEX(Models!$BJ197:$BT197,,AH197)*(1-AF197)+INDEX(Models!$BJ197:$BT197,,AH197+1)*AF197-ERP_i)*AE197*Ramure*Pc/MaxiM</f>
        <v>1.8439915293679354E-6</v>
      </c>
      <c r="AE197" s="305">
        <f t="shared" si="65"/>
        <v>0.7</v>
      </c>
      <c r="AF197" s="177">
        <f t="shared" si="66"/>
        <v>0.95581363829696242</v>
      </c>
      <c r="AG197" s="817">
        <f t="shared" si="74"/>
        <v>1</v>
      </c>
      <c r="AH197" s="176">
        <f t="shared" si="67"/>
        <v>7</v>
      </c>
      <c r="AI197" s="225">
        <f t="shared" si="68"/>
        <v>1.9558136382969624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46571</v>
      </c>
      <c r="B198" s="411">
        <f>'2026'!Wh/'2026'!Env_an*'2027'!Env_an</f>
        <v>30.146796840090502</v>
      </c>
      <c r="C198" s="846"/>
      <c r="D198" s="393">
        <f t="shared" si="50"/>
        <v>32.450501952061295</v>
      </c>
      <c r="E198" s="385">
        <f t="shared" si="75"/>
        <v>33.427082447456463</v>
      </c>
      <c r="F198" s="385">
        <f t="shared" si="51"/>
        <v>33.427082447456463</v>
      </c>
      <c r="G198" s="110">
        <f t="shared" si="76"/>
        <v>0.78590702429233328</v>
      </c>
      <c r="H198" s="414" t="b">
        <f>Wh_hp&gt;='2026'!Maxi_hp</f>
        <v>0</v>
      </c>
      <c r="I198" s="390">
        <f>IF(H198,Wh_hp,'2026'!Maxi_hp)</f>
        <v>34.016353689339262</v>
      </c>
      <c r="J198" s="85">
        <f>IF(H198,An,'2026'!An_max)</f>
        <v>2019</v>
      </c>
      <c r="K198" s="197">
        <f t="shared" si="52"/>
        <v>46571</v>
      </c>
      <c r="L198" s="147">
        <f>IF(t&lt;Tvie,1-EXP((T0-t)*PertePVj)+'2026'!Pspv,1-EXP((T0-t)*PertePVj)+Pspv)</f>
        <v>7.0991355245414223E-2</v>
      </c>
      <c r="M198" s="850"/>
      <c r="N198" s="850"/>
      <c r="O198" s="48">
        <f>IF(t&lt;Tnet,'2026'!Resal+('2026'!Salim-'2026'!Resal)*(1-EXP(('2026'!Tnet-t)/('2026'!Tau_j))),Resal+(Salim-Resal)*(1-EXP((Tnet-t)/(Tau_j))))*Salcycl</f>
        <v>2.9215247753980347E-2</v>
      </c>
      <c r="P198" s="169">
        <f>(INDEX(Models!$BJ198:$BT198,,T198)*(1-R198)+INDEX(Models!$BJ198:$BT198,,T198+1)*R198-ERP_i)*Q198*Ramure*Pc/MaxiM</f>
        <v>0</v>
      </c>
      <c r="Q198" s="305">
        <f t="shared" si="53"/>
        <v>0.7</v>
      </c>
      <c r="R198" s="177">
        <f t="shared" si="54"/>
        <v>0.33613579468820298</v>
      </c>
      <c r="S198" s="817">
        <f t="shared" si="55"/>
        <v>-1</v>
      </c>
      <c r="T198" s="176">
        <f t="shared" si="56"/>
        <v>5</v>
      </c>
      <c r="U198" s="251">
        <f t="shared" si="57"/>
        <v>-0.66386420531179702</v>
      </c>
      <c r="V198" s="383">
        <f t="shared" si="58"/>
        <v>38.359240862156767</v>
      </c>
      <c r="W198" s="402">
        <f t="shared" si="59"/>
        <v>30.146796840090502</v>
      </c>
      <c r="X198" s="157">
        <f t="shared" si="60"/>
        <v>46571</v>
      </c>
      <c r="Y198" s="385">
        <f t="shared" si="61"/>
        <v>27.703744255928122</v>
      </c>
      <c r="Z198" s="385">
        <f t="shared" si="62"/>
        <v>29.820760455083345</v>
      </c>
      <c r="AA198" s="386">
        <f t="shared" si="63"/>
        <v>33.427039354378763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0.10788508252445685</v>
      </c>
      <c r="AD198" s="231">
        <f>(INDEX(Models!$BJ198:$BT198,,AH198)*(1-AF198)+INDEX(Models!$BJ198:$BT198,,AH198+1)*AF198-ERP_i)*AE198*Ramure*Pc/MaxiM</f>
        <v>1.8571795915143376E-6</v>
      </c>
      <c r="AE198" s="305">
        <f t="shared" si="65"/>
        <v>0.7</v>
      </c>
      <c r="AF198" s="177">
        <f t="shared" si="66"/>
        <v>0.95999916406425889</v>
      </c>
      <c r="AG198" s="817">
        <f t="shared" si="74"/>
        <v>1</v>
      </c>
      <c r="AH198" s="176">
        <f t="shared" si="67"/>
        <v>7</v>
      </c>
      <c r="AI198" s="225">
        <f t="shared" si="68"/>
        <v>1.9599991640642589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46572</v>
      </c>
      <c r="B199" s="411">
        <f>'2026'!Wh/'2026'!Env_an*'2027'!Env_an</f>
        <v>28.888149626597212</v>
      </c>
      <c r="C199" s="846"/>
      <c r="D199" s="393">
        <f t="shared" si="50"/>
        <v>31.096354730588757</v>
      </c>
      <c r="E199" s="385">
        <f t="shared" si="75"/>
        <v>32.038010626508665</v>
      </c>
      <c r="F199" s="385">
        <f t="shared" si="51"/>
        <v>32.038010626508665</v>
      </c>
      <c r="G199" s="110">
        <f t="shared" si="76"/>
        <v>0.75412297448543486</v>
      </c>
      <c r="H199" s="414" t="b">
        <f>Wh_hp&gt;='2026'!Maxi_hp</f>
        <v>0</v>
      </c>
      <c r="I199" s="390">
        <f>IF(H199,Wh_hp,'2026'!Maxi_hp)</f>
        <v>39.345572837234378</v>
      </c>
      <c r="J199" s="85">
        <f>IF(H199,An,'2026'!An_max)</f>
        <v>2019</v>
      </c>
      <c r="K199" s="197">
        <f t="shared" si="52"/>
        <v>46572</v>
      </c>
      <c r="L199" s="147">
        <f>IF(t&lt;Tvie,1-EXP((T0-t)*PertePVj)+'2026'!Pspv,1-EXP((T0-t)*PertePVj)+Pspv)</f>
        <v>7.1011702918972186E-2</v>
      </c>
      <c r="M199" s="850"/>
      <c r="N199" s="850"/>
      <c r="O199" s="48">
        <f>IF(t&lt;Tnet,'2026'!Resal+('2026'!Salim-'2026'!Resal)*(1-EXP(('2026'!Tnet-t)/('2026'!Tau_j))),Resal+(Salim-Resal)*(1-EXP((Tnet-t)/(Tau_j))))*Salcycl</f>
        <v>2.9391834184010347E-2</v>
      </c>
      <c r="P199" s="169">
        <f>(INDEX(Models!$BJ199:$BT199,,T199)*(1-R199)+INDEX(Models!$BJ199:$BT199,,T199+1)*R199-ERP_i)*Q199*Ramure*Pc/MaxiM</f>
        <v>0</v>
      </c>
      <c r="Q199" s="305">
        <f t="shared" si="53"/>
        <v>0.7</v>
      </c>
      <c r="R199" s="177">
        <f t="shared" si="54"/>
        <v>0.34024627491216008</v>
      </c>
      <c r="S199" s="817">
        <f t="shared" si="55"/>
        <v>-1</v>
      </c>
      <c r="T199" s="176">
        <f t="shared" si="56"/>
        <v>5</v>
      </c>
      <c r="U199" s="251">
        <f t="shared" si="57"/>
        <v>-0.65975372508783992</v>
      </c>
      <c r="V199" s="383">
        <f t="shared" si="58"/>
        <v>38.306948076086179</v>
      </c>
      <c r="W199" s="402">
        <f t="shared" si="59"/>
        <v>28.888149626597212</v>
      </c>
      <c r="X199" s="157">
        <f t="shared" si="60"/>
        <v>46572</v>
      </c>
      <c r="Y199" s="385">
        <f t="shared" si="61"/>
        <v>26.549382232827931</v>
      </c>
      <c r="Z199" s="385">
        <f t="shared" si="62"/>
        <v>28.578812366365312</v>
      </c>
      <c r="AA199" s="386">
        <f t="shared" si="63"/>
        <v>32.037971382933897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0.10797060073570144</v>
      </c>
      <c r="AD199" s="231">
        <f>(INDEX(Models!$BJ199:$BT199,,AH199)*(1-AF199)+INDEX(Models!$BJ199:$BT199,,AH199+1)*AF199-ERP_i)*AE199*Ramure*Pc/MaxiM</f>
        <v>1.8881112776245478E-6</v>
      </c>
      <c r="AE199" s="305">
        <f t="shared" si="65"/>
        <v>0.7</v>
      </c>
      <c r="AF199" s="177">
        <f t="shared" si="66"/>
        <v>0.96410964428821622</v>
      </c>
      <c r="AG199" s="817">
        <f t="shared" si="74"/>
        <v>1</v>
      </c>
      <c r="AH199" s="176">
        <f t="shared" si="67"/>
        <v>7</v>
      </c>
      <c r="AI199" s="225">
        <f t="shared" si="68"/>
        <v>1.9641096442882162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46573</v>
      </c>
      <c r="B200" s="411">
        <f>'2026'!Wh/'2026'!Env_an*'2027'!Env_an</f>
        <v>36.047747494384126</v>
      </c>
      <c r="C200" s="846"/>
      <c r="D200" s="393">
        <f t="shared" si="50"/>
        <v>38.804080915905701</v>
      </c>
      <c r="E200" s="385">
        <f t="shared" si="75"/>
        <v>39.986392186605805</v>
      </c>
      <c r="F200" s="385">
        <f t="shared" si="51"/>
        <v>39.986392186605805</v>
      </c>
      <c r="G200" s="110">
        <f t="shared" si="76"/>
        <v>0.94236215268924417</v>
      </c>
      <c r="H200" s="414" t="b">
        <f>Wh_hp&gt;='2026'!Maxi_hp</f>
        <v>0</v>
      </c>
      <c r="I200" s="390">
        <f>IF(H200,Wh_hp,'2026'!Maxi_hp)</f>
        <v>42.685652702898089</v>
      </c>
      <c r="J200" s="85">
        <f>IF(H200,An,'2026'!An_max)</f>
        <v>2020</v>
      </c>
      <c r="K200" s="197">
        <f t="shared" si="52"/>
        <v>46573</v>
      </c>
      <c r="L200" s="147">
        <f>IF(t&lt;Tvie,1-EXP((T0-t)*PertePVj)+'2026'!Pspv,1-EXP((T0-t)*PertePVj)+Pspv)</f>
        <v>7.1032050146863868E-2</v>
      </c>
      <c r="M200" s="850"/>
      <c r="N200" s="850"/>
      <c r="O200" s="48">
        <f>IF(t&lt;Tnet,'2026'!Resal+('2026'!Salim-'2026'!Resal)*(1-EXP(('2026'!Tnet-t)/('2026'!Tau_j))),Resal+(Salim-Resal)*(1-EXP((Tnet-t)/(Tau_j))))*Salcycl</f>
        <v>2.9567840608939626E-2</v>
      </c>
      <c r="P200" s="169">
        <f>(INDEX(Models!$BJ200:$BT200,,T200)*(1-R200)+INDEX(Models!$BJ200:$BT200,,T200+1)*R200-ERP_i)*Q200*Ramure*Pc/MaxiM</f>
        <v>0</v>
      </c>
      <c r="Q200" s="305">
        <f t="shared" si="53"/>
        <v>0.7</v>
      </c>
      <c r="R200" s="177">
        <f t="shared" si="54"/>
        <v>0.34428033327213392</v>
      </c>
      <c r="S200" s="817">
        <f t="shared" si="55"/>
        <v>-1</v>
      </c>
      <c r="T200" s="176">
        <f t="shared" si="56"/>
        <v>5</v>
      </c>
      <c r="U200" s="251">
        <f t="shared" si="57"/>
        <v>-0.65571966672786608</v>
      </c>
      <c r="V200" s="383">
        <f t="shared" si="58"/>
        <v>38.25254164920959</v>
      </c>
      <c r="W200" s="402">
        <f t="shared" si="59"/>
        <v>36.047747494384126</v>
      </c>
      <c r="X200" s="157">
        <f t="shared" si="60"/>
        <v>46573</v>
      </c>
      <c r="Y200" s="385">
        <f t="shared" si="61"/>
        <v>33.132216038659458</v>
      </c>
      <c r="Z200" s="385">
        <f t="shared" si="62"/>
        <v>35.665618005333172</v>
      </c>
      <c r="AA200" s="386">
        <f t="shared" si="63"/>
        <v>39.986321106412632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0.10805452918714609</v>
      </c>
      <c r="AD200" s="231">
        <f>(INDEX(Models!$BJ200:$BT200,,AH200)*(1-AF200)+INDEX(Models!$BJ200:$BT200,,AH200+1)*AF200-ERP_i)*AE200*Ramure*Pc/MaxiM</f>
        <v>1.9371108485161717E-6</v>
      </c>
      <c r="AE200" s="305">
        <f t="shared" si="65"/>
        <v>0.7</v>
      </c>
      <c r="AF200" s="177">
        <f t="shared" si="66"/>
        <v>0.96814370264818983</v>
      </c>
      <c r="AG200" s="817">
        <f t="shared" si="74"/>
        <v>1</v>
      </c>
      <c r="AH200" s="176">
        <f t="shared" si="67"/>
        <v>7</v>
      </c>
      <c r="AI200" s="225">
        <f t="shared" si="68"/>
        <v>1.9681437026481898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46574</v>
      </c>
      <c r="B201" s="411">
        <f>'2026'!Wh/'2026'!Env_an*'2027'!Env_an</f>
        <v>28.79289672329114</v>
      </c>
      <c r="C201" s="846"/>
      <c r="D201" s="393">
        <f t="shared" si="50"/>
        <v>30.995178445057629</v>
      </c>
      <c r="E201" s="385">
        <f t="shared" si="75"/>
        <v>31.945337323291515</v>
      </c>
      <c r="F201" s="385">
        <f t="shared" si="51"/>
        <v>31.945337323291515</v>
      </c>
      <c r="G201" s="110">
        <f t="shared" si="76"/>
        <v>0.75382495193533117</v>
      </c>
      <c r="H201" s="414" t="b">
        <f>Wh_hp&gt;='2026'!Maxi_hp</f>
        <v>0</v>
      </c>
      <c r="I201" s="390">
        <f>IF(H201,Wh_hp,'2026'!Maxi_hp)</f>
        <v>42.389212353371924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7.1052396929099038E-2</v>
      </c>
      <c r="M201" s="850"/>
      <c r="N201" s="850"/>
      <c r="O201" s="48">
        <f>IF(t&lt;Tnet,'2026'!Resal+('2026'!Salim-'2026'!Resal)*(1-EXP(('2026'!Tnet-t)/('2026'!Tau_j))),Resal+(Salim-Resal)*(1-EXP((Tnet-t)/(Tau_j))))*Salcycl</f>
        <v>2.9743272660361551E-2</v>
      </c>
      <c r="P201" s="169">
        <f>(INDEX(Models!$BJ201:$BT201,,T201)*(1-R201)+INDEX(Models!$BJ201:$BT201,,T201+1)*R201-ERP_i)*Q201*Ramure*Pc/MaxiM</f>
        <v>0</v>
      </c>
      <c r="Q201" s="305">
        <f t="shared" si="53"/>
        <v>0.7</v>
      </c>
      <c r="R201" s="177">
        <f t="shared" si="54"/>
        <v>0.34823677073326009</v>
      </c>
      <c r="S201" s="817">
        <f t="shared" si="55"/>
        <v>-1</v>
      </c>
      <c r="T201" s="176">
        <f t="shared" si="56"/>
        <v>5</v>
      </c>
      <c r="U201" s="251">
        <f t="shared" si="57"/>
        <v>-0.65176322926673991</v>
      </c>
      <c r="V201" s="383">
        <f t="shared" si="58"/>
        <v>38.195733173026106</v>
      </c>
      <c r="W201" s="402">
        <f t="shared" si="59"/>
        <v>28.79289672329114</v>
      </c>
      <c r="X201" s="157">
        <f t="shared" si="60"/>
        <v>46574</v>
      </c>
      <c r="Y201" s="385">
        <f t="shared" si="61"/>
        <v>26.466488410916455</v>
      </c>
      <c r="Z201" s="385">
        <f t="shared" si="62"/>
        <v>28.490830186141753</v>
      </c>
      <c r="AA201" s="386">
        <f t="shared" si="63"/>
        <v>31.94529580844199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0.1081369113942387</v>
      </c>
      <c r="AD201" s="231">
        <f>(INDEX(Models!$BJ201:$BT201,,AH201)*(1-AF201)+INDEX(Models!$BJ201:$BT201,,AH201+1)*AF201-ERP_i)*AE201*Ramure*Pc/MaxiM</f>
        <v>2.0044981485080695E-6</v>
      </c>
      <c r="AE201" s="305">
        <f t="shared" si="65"/>
        <v>0.7</v>
      </c>
      <c r="AF201" s="177">
        <f t="shared" si="66"/>
        <v>0.97210014010931611</v>
      </c>
      <c r="AG201" s="817">
        <f t="shared" si="74"/>
        <v>1</v>
      </c>
      <c r="AH201" s="176">
        <f t="shared" si="67"/>
        <v>7</v>
      </c>
      <c r="AI201" s="225">
        <f t="shared" si="68"/>
        <v>1.9721001401093161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46575</v>
      </c>
      <c r="B202" s="411">
        <f>'2026'!Wh/'2026'!Env_an*'2027'!Env_an</f>
        <v>37.098101429340204</v>
      </c>
      <c r="C202" s="846"/>
      <c r="D202" s="393">
        <f t="shared" si="50"/>
        <v>39.936497890868573</v>
      </c>
      <c r="E202" s="385">
        <f t="shared" si="75"/>
        <v>41.168172925291458</v>
      </c>
      <c r="F202" s="385">
        <f t="shared" si="51"/>
        <v>41.168172925291458</v>
      </c>
      <c r="G202" s="110">
        <f t="shared" si="76"/>
        <v>0.9727783034594627</v>
      </c>
      <c r="H202" s="414" t="b">
        <f>Wh_hp&gt;='2026'!Maxi_hp</f>
        <v>1</v>
      </c>
      <c r="I202" s="390">
        <f>IF(H202,Wh_hp,'2026'!Maxi_hp)</f>
        <v>41.168172925291458</v>
      </c>
      <c r="J202" s="85">
        <f>IF(H202,An,'2026'!An_max)</f>
        <v>2027</v>
      </c>
      <c r="K202" s="197">
        <f t="shared" si="52"/>
        <v>46575</v>
      </c>
      <c r="L202" s="147">
        <f>IF(t&lt;Tvie,1-EXP((T0-t)*PertePVj)+'2026'!Pspv,1-EXP((T0-t)*PertePVj)+Pspv)</f>
        <v>7.1072743265687466E-2</v>
      </c>
      <c r="M202" s="850"/>
      <c r="N202" s="850"/>
      <c r="O202" s="48">
        <f>IF(t&lt;Tnet,'2026'!Resal+('2026'!Salim-'2026'!Resal)*(1-EXP(('2026'!Tnet-t)/('2026'!Tau_j))),Resal+(Salim-Resal)*(1-EXP((Tnet-t)/(Tau_j))))*Salcycl</f>
        <v>2.9918136922375101E-2</v>
      </c>
      <c r="P202" s="169">
        <f>(INDEX(Models!$BJ202:$BT202,,T202)*(1-R202)+INDEX(Models!$BJ202:$BT202,,T202+1)*R202-ERP_i)*Q202*Ramure*Pc/MaxiM</f>
        <v>0</v>
      </c>
      <c r="Q202" s="305">
        <f t="shared" si="53"/>
        <v>0.7</v>
      </c>
      <c r="R202" s="177">
        <f t="shared" si="54"/>
        <v>0.35211456244829964</v>
      </c>
      <c r="S202" s="817">
        <f t="shared" si="55"/>
        <v>-1</v>
      </c>
      <c r="T202" s="176">
        <f t="shared" si="56"/>
        <v>5</v>
      </c>
      <c r="U202" s="251">
        <f t="shared" si="57"/>
        <v>-0.64788543755170036</v>
      </c>
      <c r="V202" s="383">
        <f t="shared" si="58"/>
        <v>38.136234430197838</v>
      </c>
      <c r="W202" s="402">
        <f t="shared" si="59"/>
        <v>37.098101429340204</v>
      </c>
      <c r="X202" s="157">
        <f t="shared" si="60"/>
        <v>46575</v>
      </c>
      <c r="Y202" s="385">
        <f t="shared" si="61"/>
        <v>34.103678814645129</v>
      </c>
      <c r="Z202" s="385">
        <f t="shared" si="62"/>
        <v>36.712970329386408</v>
      </c>
      <c r="AA202" s="386">
        <f t="shared" si="63"/>
        <v>41.168090206447388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0.10821779331321178</v>
      </c>
      <c r="AD202" s="231">
        <f>(INDEX(Models!$BJ202:$BT202,,AH202)*(1-AF202)+INDEX(Models!$BJ202:$BT202,,AH202+1)*AF202-ERP_i)*AE202*Ramure*Pc/MaxiM</f>
        <v>2.0905902779305488E-6</v>
      </c>
      <c r="AE202" s="305">
        <f t="shared" si="65"/>
        <v>0.7</v>
      </c>
      <c r="AF202" s="177">
        <f t="shared" si="66"/>
        <v>0.97597793182435577</v>
      </c>
      <c r="AG202" s="817">
        <f t="shared" si="74"/>
        <v>1</v>
      </c>
      <c r="AH202" s="176">
        <f t="shared" si="67"/>
        <v>7</v>
      </c>
      <c r="AI202" s="225">
        <f t="shared" si="68"/>
        <v>1.9759779318243558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46576</v>
      </c>
      <c r="B203" s="411">
        <f>'2026'!Wh/'2026'!Env_an*'2027'!Env_an</f>
        <v>38.265807406014744</v>
      </c>
      <c r="C203" s="846"/>
      <c r="D203" s="393">
        <f t="shared" si="50"/>
        <v>41.194447968174714</v>
      </c>
      <c r="E203" s="385">
        <f t="shared" si="75"/>
        <v>42.472550687835628</v>
      </c>
      <c r="F203" s="385">
        <f t="shared" si="51"/>
        <v>42.472550687835628</v>
      </c>
      <c r="G203" s="110">
        <f t="shared" si="76"/>
        <v>1.0050441570188646</v>
      </c>
      <c r="H203" s="414" t="b">
        <f>Wh_hp&gt;='2026'!Maxi_hp</f>
        <v>0</v>
      </c>
      <c r="I203" s="390">
        <f>IF(H203,Wh_hp,'2026'!Maxi_hp)</f>
        <v>44.11830918893618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7.1093089156638922E-2</v>
      </c>
      <c r="M203" s="850"/>
      <c r="N203" s="850"/>
      <c r="O203" s="48">
        <f>IF(t&lt;Tnet,'2026'!Resal+('2026'!Salim-'2026'!Resal)*(1-EXP(('2026'!Tnet-t)/('2026'!Tau_j))),Resal+(Salim-Resal)*(1-EXP((Tnet-t)/(Tau_j))))*Salcycl</f>
        <v>3.0092440857971973E-2</v>
      </c>
      <c r="P203" s="169">
        <f>(INDEX(Models!$BJ203:$BT203,,T203)*(1-R203)+INDEX(Models!$BJ203:$BT203,,T203+1)*R203-ERP_i)*Q203*Ramure*Pc/MaxiM</f>
        <v>0</v>
      </c>
      <c r="Q203" s="305">
        <f t="shared" si="53"/>
        <v>0.7</v>
      </c>
      <c r="R203" s="177">
        <f t="shared" si="54"/>
        <v>0.35591285401390205</v>
      </c>
      <c r="S203" s="817">
        <f t="shared" si="55"/>
        <v>-1</v>
      </c>
      <c r="T203" s="176">
        <f t="shared" si="56"/>
        <v>5</v>
      </c>
      <c r="U203" s="251">
        <f t="shared" si="57"/>
        <v>-0.64408714598609795</v>
      </c>
      <c r="V203" s="383">
        <f t="shared" si="58"/>
        <v>38.07375739541412</v>
      </c>
      <c r="W203" s="402">
        <f t="shared" si="59"/>
        <v>38.265807406014744</v>
      </c>
      <c r="X203" s="157">
        <f t="shared" si="60"/>
        <v>46576</v>
      </c>
      <c r="Y203" s="385">
        <f t="shared" si="61"/>
        <v>35.180313303562777</v>
      </c>
      <c r="Z203" s="385">
        <f t="shared" si="62"/>
        <v>37.87280823610444</v>
      </c>
      <c r="AA203" s="386">
        <f t="shared" si="63"/>
        <v>42.472457430711401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0.10829722302060642</v>
      </c>
      <c r="AD203" s="231">
        <f>(INDEX(Models!$BJ203:$BT203,,AH203)*(1-AF203)+INDEX(Models!$BJ203:$BT203,,AH203+1)*AF203-ERP_i)*AE203*Ramure*Pc/MaxiM</f>
        <v>2.1957034065548247E-6</v>
      </c>
      <c r="AE203" s="305">
        <f t="shared" si="65"/>
        <v>0.7</v>
      </c>
      <c r="AF203" s="177">
        <f t="shared" si="66"/>
        <v>0.97977622338995807</v>
      </c>
      <c r="AG203" s="817">
        <f t="shared" si="74"/>
        <v>1</v>
      </c>
      <c r="AH203" s="176">
        <f t="shared" si="67"/>
        <v>7</v>
      </c>
      <c r="AI203" s="225">
        <f t="shared" si="68"/>
        <v>1.9797762233899581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46577</v>
      </c>
      <c r="B204" s="411">
        <f>'2026'!Wh/'2026'!Env_an*'2027'!Env_an</f>
        <v>37.53442813950295</v>
      </c>
      <c r="C204" s="846"/>
      <c r="D204" s="393">
        <f t="shared" si="50"/>
        <v>40.407978258808264</v>
      </c>
      <c r="E204" s="385">
        <f t="shared" si="75"/>
        <v>41.669144620844989</v>
      </c>
      <c r="F204" s="385">
        <f t="shared" si="51"/>
        <v>41.669144620844989</v>
      </c>
      <c r="G204" s="110">
        <f t="shared" si="76"/>
        <v>0.98753983585729632</v>
      </c>
      <c r="H204" s="414" t="b">
        <f>Wh_hp&gt;='2026'!Maxi_hp</f>
        <v>0</v>
      </c>
      <c r="I204" s="390">
        <f>IF(H204,Wh_hp,'2026'!Maxi_hp)</f>
        <v>42.583630575998079</v>
      </c>
      <c r="J204" s="85">
        <f>IF(H204,An,'2026'!An_max)</f>
        <v>2021</v>
      </c>
      <c r="K204" s="197">
        <f t="shared" si="52"/>
        <v>46577</v>
      </c>
      <c r="L204" s="147">
        <f>IF(t&lt;Tvie,1-EXP((T0-t)*PertePVj)+'2026'!Pspv,1-EXP((T0-t)*PertePVj)+Pspv)</f>
        <v>7.1113434601963177E-2</v>
      </c>
      <c r="M204" s="850"/>
      <c r="N204" s="850"/>
      <c r="O204" s="48">
        <f>IF(t&lt;Tnet,'2026'!Resal+('2026'!Salim-'2026'!Resal)*(1-EXP(('2026'!Tnet-t)/('2026'!Tau_j))),Resal+(Salim-Resal)*(1-EXP((Tnet-t)/(Tau_j))))*Salcycl</f>
        <v>3.0266192731151571E-2</v>
      </c>
      <c r="P204" s="169">
        <f>(INDEX(Models!$BJ204:$BT204,,T204)*(1-R204)+INDEX(Models!$BJ204:$BT204,,T204+1)*R204-ERP_i)*Q204*Ramure*Pc/MaxiM</f>
        <v>0</v>
      </c>
      <c r="Q204" s="305">
        <f t="shared" si="53"/>
        <v>0.7</v>
      </c>
      <c r="R204" s="177">
        <f t="shared" si="54"/>
        <v>0.35963095713935411</v>
      </c>
      <c r="S204" s="817">
        <f t="shared" si="55"/>
        <v>-1</v>
      </c>
      <c r="T204" s="176">
        <f t="shared" si="56"/>
        <v>5</v>
      </c>
      <c r="U204" s="251">
        <f t="shared" si="57"/>
        <v>-0.64036904286064589</v>
      </c>
      <c r="V204" s="383">
        <f t="shared" si="58"/>
        <v>38.008014235616962</v>
      </c>
      <c r="W204" s="402">
        <f t="shared" si="59"/>
        <v>37.53442813950295</v>
      </c>
      <c r="X204" s="157">
        <f t="shared" si="60"/>
        <v>46577</v>
      </c>
      <c r="Y204" s="385">
        <f t="shared" si="61"/>
        <v>34.511067444770632</v>
      </c>
      <c r="Z204" s="385">
        <f t="shared" si="62"/>
        <v>37.153155972260521</v>
      </c>
      <c r="AA204" s="386">
        <f t="shared" si="63"/>
        <v>41.669049662888654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0.10837525038758165</v>
      </c>
      <c r="AD204" s="231">
        <f>(INDEX(Models!$BJ204:$BT204,,AH204)*(1-AF204)+INDEX(Models!$BJ204:$BT204,,AH204+1)*AF204-ERP_i)*AE204*Ramure*Pc/MaxiM</f>
        <v>2.3201547246474304E-6</v>
      </c>
      <c r="AE204" s="305">
        <f t="shared" si="65"/>
        <v>0.7</v>
      </c>
      <c r="AF204" s="177">
        <f t="shared" si="66"/>
        <v>0.98349432651541013</v>
      </c>
      <c r="AG204" s="817">
        <f t="shared" si="74"/>
        <v>1</v>
      </c>
      <c r="AH204" s="176">
        <f t="shared" si="67"/>
        <v>7</v>
      </c>
      <c r="AI204" s="225">
        <f t="shared" si="68"/>
        <v>1.9834943265154101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46578</v>
      </c>
      <c r="B205" s="411">
        <f>'2026'!Wh/'2026'!Env_an*'2027'!Env_an</f>
        <v>37.090160003427663</v>
      </c>
      <c r="C205" s="846"/>
      <c r="D205" s="393">
        <f t="shared" si="50"/>
        <v>39.930572550611338</v>
      </c>
      <c r="E205" s="385">
        <f t="shared" si="75"/>
        <v>41.184194792398188</v>
      </c>
      <c r="F205" s="385">
        <f t="shared" si="51"/>
        <v>41.184194792398188</v>
      </c>
      <c r="G205" s="110">
        <f t="shared" si="76"/>
        <v>0.97763637188711294</v>
      </c>
      <c r="H205" s="414" t="b">
        <f>Wh_hp&gt;='2026'!Maxi_hp</f>
        <v>1</v>
      </c>
      <c r="I205" s="390">
        <f>IF(H205,Wh_hp,'2026'!Maxi_hp)</f>
        <v>41.184194792398188</v>
      </c>
      <c r="J205" s="85">
        <f>IF(H205,An,'2026'!An_max)</f>
        <v>2027</v>
      </c>
      <c r="K205" s="197">
        <f t="shared" si="52"/>
        <v>46578</v>
      </c>
      <c r="L205" s="147">
        <f>IF(t&lt;Tvie,1-EXP((T0-t)*PertePVj)+'2026'!Pspv,1-EXP((T0-t)*PertePVj)+Pspv)</f>
        <v>7.1133779601669889E-2</v>
      </c>
      <c r="M205" s="850"/>
      <c r="N205" s="850"/>
      <c r="O205" s="48">
        <f>IF(t&lt;Tnet,'2026'!Resal+('2026'!Salim-'2026'!Resal)*(1-EXP(('2026'!Tnet-t)/('2026'!Tau_j))),Resal+(Salim-Resal)*(1-EXP((Tnet-t)/(Tau_j))))*Salcycl</f>
        <v>3.04394015254183E-2</v>
      </c>
      <c r="P205" s="169">
        <f>(INDEX(Models!$BJ205:$BT205,,T205)*(1-R205)+INDEX(Models!$BJ205:$BT205,,T205+1)*R205-ERP_i)*Q205*Ramure*Pc/MaxiM</f>
        <v>0</v>
      </c>
      <c r="Q205" s="305">
        <f t="shared" si="53"/>
        <v>0.7</v>
      </c>
      <c r="R205" s="177">
        <f t="shared" si="54"/>
        <v>0.36326834478718284</v>
      </c>
      <c r="S205" s="817">
        <f t="shared" si="55"/>
        <v>-1</v>
      </c>
      <c r="T205" s="176">
        <f t="shared" si="56"/>
        <v>5</v>
      </c>
      <c r="U205" s="251">
        <f t="shared" si="57"/>
        <v>-0.63673165521281716</v>
      </c>
      <c r="V205" s="383">
        <f t="shared" si="58"/>
        <v>37.938604853492954</v>
      </c>
      <c r="W205" s="402">
        <f t="shared" si="59"/>
        <v>37.090160003427663</v>
      </c>
      <c r="X205" s="157">
        <f t="shared" si="60"/>
        <v>46578</v>
      </c>
      <c r="Y205" s="385">
        <f t="shared" si="61"/>
        <v>34.105740121071364</v>
      </c>
      <c r="Z205" s="385">
        <f t="shared" si="62"/>
        <v>36.717601923822393</v>
      </c>
      <c r="AA205" s="386">
        <f t="shared" si="63"/>
        <v>41.18409654572325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0.10845192675143626</v>
      </c>
      <c r="AD205" s="231">
        <f>(INDEX(Models!$BJ205:$BT205,,AH205)*(1-AF205)+INDEX(Models!$BJ205:$BT205,,AH205+1)*AF205-ERP_i)*AE205*Ramure*Pc/MaxiM</f>
        <v>2.4642718337303229E-6</v>
      </c>
      <c r="AE205" s="305">
        <f t="shared" si="65"/>
        <v>0.7</v>
      </c>
      <c r="AF205" s="177">
        <f t="shared" si="66"/>
        <v>0.98713171416323897</v>
      </c>
      <c r="AG205" s="817">
        <f t="shared" si="74"/>
        <v>1</v>
      </c>
      <c r="AH205" s="176">
        <f t="shared" si="67"/>
        <v>7</v>
      </c>
      <c r="AI205" s="225">
        <f t="shared" si="68"/>
        <v>1.987131714163239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46579</v>
      </c>
      <c r="B206" s="411">
        <f>'2026'!Wh/'2026'!Env_an*'2027'!Env_an</f>
        <v>35.778708618217031</v>
      </c>
      <c r="C206" s="846"/>
      <c r="D206" s="393">
        <f t="shared" si="50"/>
        <v>38.519532194399467</v>
      </c>
      <c r="E206" s="385">
        <f t="shared" si="75"/>
        <v>39.735931586193566</v>
      </c>
      <c r="F206" s="385">
        <f t="shared" si="51"/>
        <v>39.735931586193566</v>
      </c>
      <c r="G206" s="110">
        <f t="shared" si="76"/>
        <v>0.94488739869950933</v>
      </c>
      <c r="H206" s="414" t="b">
        <f>Wh_hp&gt;='2026'!Maxi_hp</f>
        <v>0</v>
      </c>
      <c r="I206" s="390">
        <f>IF(H206,Wh_hp,'2026'!Maxi_hp)</f>
        <v>41.921892854152688</v>
      </c>
      <c r="J206" s="85">
        <f>IF(H206,An,'2026'!An_max)</f>
        <v>2019</v>
      </c>
      <c r="K206" s="197">
        <f t="shared" si="52"/>
        <v>46579</v>
      </c>
      <c r="L206" s="147">
        <f>IF(t&lt;Tvie,1-EXP((T0-t)*PertePVj)+'2026'!Pspv,1-EXP((T0-t)*PertePVj)+Pspv)</f>
        <v>7.1154124155768939E-2</v>
      </c>
      <c r="M206" s="850"/>
      <c r="N206" s="850"/>
      <c r="O206" s="48">
        <f>IF(t&lt;Tnet,'2026'!Resal+('2026'!Salim-'2026'!Resal)*(1-EXP(('2026'!Tnet-t)/('2026'!Tau_j))),Resal+(Salim-Resal)*(1-EXP((Tnet-t)/(Tau_j))))*Salcycl</f>
        <v>3.0612076859341617E-2</v>
      </c>
      <c r="P206" s="169">
        <f>(INDEX(Models!$BJ206:$BT206,,T206)*(1-R206)+INDEX(Models!$BJ206:$BT206,,T206+1)*R206-ERP_i)*Q206*Ramure*Pc/MaxiM</f>
        <v>0</v>
      </c>
      <c r="Q206" s="305">
        <f t="shared" si="53"/>
        <v>0.7</v>
      </c>
      <c r="R206" s="177">
        <f t="shared" si="54"/>
        <v>0.36682464584554708</v>
      </c>
      <c r="S206" s="817">
        <f t="shared" si="55"/>
        <v>-1</v>
      </c>
      <c r="T206" s="176">
        <f t="shared" si="56"/>
        <v>5</v>
      </c>
      <c r="U206" s="251">
        <f t="shared" si="57"/>
        <v>-0.63317535415445292</v>
      </c>
      <c r="V206" s="383">
        <f t="shared" si="58"/>
        <v>37.865579186960119</v>
      </c>
      <c r="W206" s="402">
        <f t="shared" si="59"/>
        <v>35.778708618217031</v>
      </c>
      <c r="X206" s="157">
        <f t="shared" si="60"/>
        <v>46579</v>
      </c>
      <c r="Y206" s="385">
        <f t="shared" si="61"/>
        <v>32.902890876772858</v>
      </c>
      <c r="Z206" s="385">
        <f t="shared" si="62"/>
        <v>35.423412788335106</v>
      </c>
      <c r="AA206" s="386">
        <f t="shared" si="63"/>
        <v>39.735835960645765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0.10852730458676305</v>
      </c>
      <c r="AD206" s="231">
        <f>(INDEX(Models!$BJ206:$BT206,,AH206)*(1-AF206)+INDEX(Models!$BJ206:$BT206,,AH206+1)*AF206-ERP_i)*AE206*Ramure*Pc/MaxiM</f>
        <v>2.6121895398026768E-6</v>
      </c>
      <c r="AE206" s="305">
        <f t="shared" si="65"/>
        <v>0.7</v>
      </c>
      <c r="AF206" s="177">
        <f t="shared" si="66"/>
        <v>0.9906880152216031</v>
      </c>
      <c r="AG206" s="817">
        <f t="shared" si="74"/>
        <v>1</v>
      </c>
      <c r="AH206" s="176">
        <f t="shared" si="67"/>
        <v>7</v>
      </c>
      <c r="AI206" s="225">
        <f t="shared" si="68"/>
        <v>1.9906880152216031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46580</v>
      </c>
      <c r="B207" s="411">
        <f>'2026'!Wh/'2026'!Env_an*'2027'!Env_an</f>
        <v>35.596211184945737</v>
      </c>
      <c r="C207" s="846"/>
      <c r="D207" s="393">
        <f t="shared" ref="D207:D270" si="77">Wh/(1-Ppv)</f>
        <v>38.323893959316344</v>
      </c>
      <c r="E207" s="385">
        <f t="shared" si="75"/>
        <v>39.541137383491275</v>
      </c>
      <c r="F207" s="385">
        <f t="shared" ref="F207:F270" si="78">Wh_sa/(1-Pvg*MEDIAN((-Sdif+Wh/Env_an)/Csdif,0,1))</f>
        <v>39.541137383491275</v>
      </c>
      <c r="G207" s="110">
        <f t="shared" si="76"/>
        <v>0.94196474269522568</v>
      </c>
      <c r="H207" s="414" t="b">
        <f>Wh_hp&gt;='2026'!Maxi_hp</f>
        <v>0</v>
      </c>
      <c r="I207" s="390">
        <f>IF(H207,Wh_hp,'2026'!Maxi_hp)</f>
        <v>42.496597456132768</v>
      </c>
      <c r="J207" s="85">
        <f>IF(H207,An,'2026'!An_max)</f>
        <v>2019</v>
      </c>
      <c r="K207" s="197">
        <f t="shared" ref="K207:K270" si="79">t</f>
        <v>46580</v>
      </c>
      <c r="L207" s="147">
        <f>IF(t&lt;Tvie,1-EXP((T0-t)*PertePVj)+'2026'!Pspv,1-EXP((T0-t)*PertePVj)+Pspv)</f>
        <v>7.1174468264269986E-2</v>
      </c>
      <c r="M207" s="850"/>
      <c r="N207" s="850"/>
      <c r="O207" s="48">
        <f>IF(t&lt;Tnet,'2026'!Resal+('2026'!Salim-'2026'!Resal)*(1-EXP(('2026'!Tnet-t)/('2026'!Tau_j))),Resal+(Salim-Resal)*(1-EXP((Tnet-t)/(Tau_j))))*Salcycl</f>
        <v>3.0784228899878266E-2</v>
      </c>
      <c r="P207" s="169">
        <f>(INDEX(Models!$BJ207:$BT207,,T207)*(1-R207)+INDEX(Models!$BJ207:$BT207,,T207+1)*R207-ERP_i)*Q207*Ramure*Pc/MaxiM</f>
        <v>0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0.37029963939226529</v>
      </c>
      <c r="S207" s="817">
        <f t="shared" ref="S207:S270" si="82">INDEX(Echel_vg,T207)</f>
        <v>-1</v>
      </c>
      <c r="T207" s="176">
        <f t="shared" ref="T207:T270" si="83">MIN(MATCH(Hp_vg,Echel_vg),10)</f>
        <v>5</v>
      </c>
      <c r="U207" s="251">
        <f t="shared" ref="U207:U270" si="84">IF(OR(t&lt;Ttai,Notai),Hdd+PousH*Croivg,Hdtf+PousH*(Croivg-Croi_tai))</f>
        <v>-0.62970036060773471</v>
      </c>
      <c r="V207" s="383">
        <f t="shared" ref="V207:V270" si="85">MaxiM*(1-Ppv)*(1-Pvg)*(1-Psa)</f>
        <v>37.789324346784973</v>
      </c>
      <c r="W207" s="402">
        <f t="shared" ref="W207:W270" si="86">Wh*(A207&gt;Tmaj)</f>
        <v>35.596211184945737</v>
      </c>
      <c r="X207" s="157">
        <f t="shared" ref="X207:X270" si="87">t</f>
        <v>46580</v>
      </c>
      <c r="Y207" s="385">
        <f t="shared" ref="Y207:Y270" si="88">Wh_pvt_s*(1-Ppv)</f>
        <v>32.738149967977762</v>
      </c>
      <c r="Z207" s="385">
        <f t="shared" ref="Z207:Z270" si="89">Wh_sa_s*(1-Psa_s)</f>
        <v>35.246823918372257</v>
      </c>
      <c r="AA207" s="386">
        <f t="shared" ref="AA207:AA270" si="90">Wh_hp*(1-Pvg_s*MEDIAN((-Sdif+Wh/Env_an)/Csdif,0,1))</f>
        <v>39.541037408465506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0.10860143717862808</v>
      </c>
      <c r="AD207" s="231">
        <f>(INDEX(Models!$BJ207:$BT207,,AH207)*(1-AF207)+INDEX(Models!$BJ207:$BT207,,AH207+1)*AF207-ERP_i)*AE207*Ramure*Pc/MaxiM</f>
        <v>2.7569521622853268E-6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0.99416300876832131</v>
      </c>
      <c r="AG207" s="817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1.9941630087683213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46581</v>
      </c>
      <c r="B208" s="411">
        <f>'2026'!Wh/'2026'!Env_an*'2027'!Env_an</f>
        <v>35.451238873119692</v>
      </c>
      <c r="C208" s="846"/>
      <c r="D208" s="393">
        <f t="shared" si="77"/>
        <v>38.168648634142173</v>
      </c>
      <c r="E208" s="385">
        <f t="shared" si="75"/>
        <v>39.387936405089441</v>
      </c>
      <c r="F208" s="385">
        <f t="shared" si="78"/>
        <v>39.387936405089441</v>
      </c>
      <c r="G208" s="110">
        <f t="shared" si="76"/>
        <v>0.9400961381139501</v>
      </c>
      <c r="H208" s="414" t="b">
        <f>Wh_hp&gt;='2026'!Maxi_hp</f>
        <v>1</v>
      </c>
      <c r="I208" s="390">
        <f>IF(H208,Wh_hp,'2026'!Maxi_hp)</f>
        <v>39.387936405089441</v>
      </c>
      <c r="J208" s="85">
        <f>IF(H208,An,'2026'!An_max)</f>
        <v>2027</v>
      </c>
      <c r="K208" s="197">
        <f t="shared" si="79"/>
        <v>46581</v>
      </c>
      <c r="L208" s="147">
        <f>IF(t&lt;Tvie,1-EXP((T0-t)*PertePVj)+'2026'!Pspv,1-EXP((T0-t)*PertePVj)+Pspv)</f>
        <v>7.1194811927182911E-2</v>
      </c>
      <c r="M208" s="850"/>
      <c r="N208" s="850"/>
      <c r="O208" s="48">
        <f>IF(t&lt;Tnet,'2026'!Resal+('2026'!Salim-'2026'!Resal)*(1-EXP(('2026'!Tnet-t)/('2026'!Tau_j))),Resal+(Salim-Resal)*(1-EXP((Tnet-t)/(Tau_j))))*Salcycl</f>
        <v>3.0955868274168297E-2</v>
      </c>
      <c r="P208" s="169">
        <f>(INDEX(Models!$BJ208:$BT208,,T208)*(1-R208)+INDEX(Models!$BJ208:$BT208,,T208+1)*R208-ERP_i)*Q208*Ramure*Pc/MaxiM</f>
        <v>0</v>
      </c>
      <c r="Q208" s="305">
        <f t="shared" si="80"/>
        <v>0.7</v>
      </c>
      <c r="R208" s="177">
        <f t="shared" si="81"/>
        <v>0.37369324860961073</v>
      </c>
      <c r="S208" s="817">
        <f t="shared" si="82"/>
        <v>-1</v>
      </c>
      <c r="T208" s="176">
        <f t="shared" si="83"/>
        <v>5</v>
      </c>
      <c r="U208" s="251">
        <f t="shared" si="84"/>
        <v>-0.62630675139038927</v>
      </c>
      <c r="V208" s="383">
        <f t="shared" si="85"/>
        <v>37.710227109583776</v>
      </c>
      <c r="W208" s="402">
        <f t="shared" si="86"/>
        <v>35.451238873119692</v>
      </c>
      <c r="X208" s="157">
        <f t="shared" si="87"/>
        <v>46581</v>
      </c>
      <c r="Y208" s="385">
        <f t="shared" si="88"/>
        <v>32.607920263392309</v>
      </c>
      <c r="Z208" s="385">
        <f t="shared" si="89"/>
        <v>35.107383854143471</v>
      </c>
      <c r="AA208" s="386">
        <f t="shared" si="90"/>
        <v>39.387832010470873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0.10867437830011779</v>
      </c>
      <c r="AD208" s="231">
        <f>(INDEX(Models!$BJ208:$BT208,,AH208)*(1-AF208)+INDEX(Models!$BJ208:$BT208,,AH208+1)*AF208-ERP_i)*AE208*Ramure*Pc/MaxiM</f>
        <v>2.8984627063786905E-6</v>
      </c>
      <c r="AE208" s="305">
        <f t="shared" si="92"/>
        <v>0.7</v>
      </c>
      <c r="AF208" s="177">
        <f t="shared" si="93"/>
        <v>0.99755661798566675</v>
      </c>
      <c r="AG208" s="817">
        <f t="shared" ref="AG208:AG271" si="99">INDEX(Echel_vg,AH208)</f>
        <v>1</v>
      </c>
      <c r="AH208" s="176">
        <f t="shared" si="94"/>
        <v>7</v>
      </c>
      <c r="AI208" s="225">
        <f t="shared" si="95"/>
        <v>1.9975566179856667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46582</v>
      </c>
      <c r="B209" s="411">
        <f>'2026'!Wh/'2026'!Env_an*'2027'!Env_an</f>
        <v>34.824562079866595</v>
      </c>
      <c r="C209" s="846"/>
      <c r="D209" s="393">
        <f t="shared" si="77"/>
        <v>37.494757018010169</v>
      </c>
      <c r="E209" s="385">
        <f t="shared" si="75"/>
        <v>38.699351978486845</v>
      </c>
      <c r="F209" s="385">
        <f t="shared" si="78"/>
        <v>38.699351978486845</v>
      </c>
      <c r="G209" s="110">
        <f t="shared" si="76"/>
        <v>0.92547938709795585</v>
      </c>
      <c r="H209" s="414" t="b">
        <f>Wh_hp&gt;='2026'!Maxi_hp</f>
        <v>0</v>
      </c>
      <c r="I209" s="390">
        <f>IF(H209,Wh_hp,'2026'!Maxi_hp)</f>
        <v>42.613851519576691</v>
      </c>
      <c r="J209" s="85">
        <f>IF(H209,An,'2026'!An_max)</f>
        <v>2020</v>
      </c>
      <c r="K209" s="197">
        <f t="shared" si="79"/>
        <v>46582</v>
      </c>
      <c r="L209" s="147">
        <f>IF(t&lt;Tvie,1-EXP((T0-t)*PertePVj)+'2026'!Pspv,1-EXP((T0-t)*PertePVj)+Pspv)</f>
        <v>7.1215155144517372E-2</v>
      </c>
      <c r="M209" s="850"/>
      <c r="N209" s="850"/>
      <c r="O209" s="48">
        <f>IF(t&lt;Tnet,'2026'!Resal+('2026'!Salim-'2026'!Resal)*(1-EXP(('2026'!Tnet-t)/('2026'!Tau_j))),Resal+(Salim-Resal)*(1-EXP((Tnet-t)/(Tau_j))))*Salcycl</f>
        <v>3.1127005980521757E-2</v>
      </c>
      <c r="P209" s="169">
        <f>(INDEX(Models!$BJ209:$BT209,,T209)*(1-R209)+INDEX(Models!$BJ209:$BT209,,T209+1)*R209-ERP_i)*Q209*Ramure*Pc/MaxiM</f>
        <v>0</v>
      </c>
      <c r="Q209" s="305">
        <f t="shared" si="80"/>
        <v>0.7</v>
      </c>
      <c r="R209" s="177">
        <f t="shared" si="81"/>
        <v>0.37700553440774365</v>
      </c>
      <c r="S209" s="817">
        <f t="shared" si="82"/>
        <v>-1</v>
      </c>
      <c r="T209" s="176">
        <f t="shared" si="83"/>
        <v>5</v>
      </c>
      <c r="U209" s="251">
        <f t="shared" si="84"/>
        <v>-0.62299446559225635</v>
      </c>
      <c r="V209" s="383">
        <f t="shared" si="85"/>
        <v>37.628673923323852</v>
      </c>
      <c r="W209" s="402">
        <f t="shared" si="86"/>
        <v>34.824562079866595</v>
      </c>
      <c r="X209" s="157">
        <f t="shared" si="87"/>
        <v>46582</v>
      </c>
      <c r="Y209" s="385">
        <f t="shared" si="88"/>
        <v>32.034579580596528</v>
      </c>
      <c r="Z209" s="385">
        <f t="shared" si="89"/>
        <v>34.49085087685841</v>
      </c>
      <c r="AA209" s="386">
        <f t="shared" si="90"/>
        <v>38.699246136473811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0.10874618189652557</v>
      </c>
      <c r="AD209" s="231">
        <f>(INDEX(Models!$BJ209:$BT209,,AH209)*(1-AF209)+INDEX(Models!$BJ209:$BT209,,AH209+1)*AF209-ERP_i)*AE209*Ramure*Pc/MaxiM</f>
        <v>3.060831600872542E-6</v>
      </c>
      <c r="AE209" s="305">
        <f t="shared" si="92"/>
        <v>0.7</v>
      </c>
      <c r="AF209" s="177">
        <f t="shared" si="93"/>
        <v>8.6890378379989031E-4</v>
      </c>
      <c r="AG209" s="817">
        <f t="shared" si="99"/>
        <v>2</v>
      </c>
      <c r="AH209" s="176">
        <f t="shared" si="94"/>
        <v>8</v>
      </c>
      <c r="AI209" s="225">
        <f t="shared" si="95"/>
        <v>2.0008689037837999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46583</v>
      </c>
      <c r="B210" s="411">
        <f>'2026'!Wh/'2026'!Env_an*'2027'!Env_an</f>
        <v>33.716263692400325</v>
      </c>
      <c r="C210" s="846"/>
      <c r="D210" s="393">
        <f t="shared" si="77"/>
        <v>36.30227427594042</v>
      </c>
      <c r="E210" s="385">
        <f t="shared" si="75"/>
        <v>37.475158803509267</v>
      </c>
      <c r="F210" s="385">
        <f t="shared" si="78"/>
        <v>37.475158803509267</v>
      </c>
      <c r="G210" s="110">
        <f t="shared" si="76"/>
        <v>0.89802152000179791</v>
      </c>
      <c r="H210" s="414" t="b">
        <f>Wh_hp&gt;='2026'!Maxi_hp</f>
        <v>0</v>
      </c>
      <c r="I210" s="390">
        <f>IF(H210,Wh_hp,'2026'!Maxi_hp)</f>
        <v>43.03729894617058</v>
      </c>
      <c r="J210" s="85">
        <f>IF(H210,An,'2026'!An_max)</f>
        <v>2019</v>
      </c>
      <c r="K210" s="197">
        <f t="shared" si="79"/>
        <v>46583</v>
      </c>
      <c r="L210" s="147">
        <f>IF(t&lt;Tvie,1-EXP((T0-t)*PertePVj)+'2026'!Pspv,1-EXP((T0-t)*PertePVj)+Pspv)</f>
        <v>7.1235497916283141E-2</v>
      </c>
      <c r="M210" s="850"/>
      <c r="N210" s="850"/>
      <c r="O210" s="48">
        <f>IF(t&lt;Tnet,'2026'!Resal+('2026'!Salim-'2026'!Resal)*(1-EXP(('2026'!Tnet-t)/('2026'!Tau_j))),Resal+(Salim-Resal)*(1-EXP((Tnet-t)/(Tau_j))))*Salcycl</f>
        <v>3.1297653299310772E-2</v>
      </c>
      <c r="P210" s="169">
        <f>(INDEX(Models!$BJ210:$BT210,,T210)*(1-R210)+INDEX(Models!$BJ210:$BT210,,T210+1)*R210-ERP_i)*Q210*Ramure*Pc/MaxiM</f>
        <v>0</v>
      </c>
      <c r="Q210" s="305">
        <f t="shared" si="80"/>
        <v>0.7</v>
      </c>
      <c r="R210" s="177">
        <f t="shared" si="81"/>
        <v>0.38023668881289607</v>
      </c>
      <c r="S210" s="817">
        <f t="shared" si="82"/>
        <v>-1</v>
      </c>
      <c r="T210" s="176">
        <f t="shared" si="83"/>
        <v>5</v>
      </c>
      <c r="U210" s="251">
        <f t="shared" si="84"/>
        <v>-0.61976331118710393</v>
      </c>
      <c r="V210" s="383">
        <f t="shared" si="85"/>
        <v>37.545050916299672</v>
      </c>
      <c r="W210" s="402">
        <f t="shared" si="86"/>
        <v>33.716263692400325</v>
      </c>
      <c r="X210" s="157">
        <f t="shared" si="87"/>
        <v>46583</v>
      </c>
      <c r="Y210" s="385">
        <f t="shared" si="88"/>
        <v>31.018072843128522</v>
      </c>
      <c r="Z210" s="385">
        <f t="shared" si="89"/>
        <v>33.397134336571163</v>
      </c>
      <c r="AA210" s="386">
        <f t="shared" si="90"/>
        <v>37.47505355881993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0.10881690177835671</v>
      </c>
      <c r="AD210" s="231">
        <f>(INDEX(Models!$BJ210:$BT210,,AH210)*(1-AF210)+INDEX(Models!$BJ210:$BT210,,AH210+1)*AF210-ERP_i)*AE210*Ramure*Pc/MaxiM</f>
        <v>3.2872893755762729E-6</v>
      </c>
      <c r="AE210" s="305">
        <f t="shared" si="92"/>
        <v>0.7</v>
      </c>
      <c r="AF210" s="177">
        <f t="shared" si="93"/>
        <v>4.1000581889520937E-3</v>
      </c>
      <c r="AG210" s="817">
        <f t="shared" si="99"/>
        <v>2</v>
      </c>
      <c r="AH210" s="176">
        <f t="shared" si="94"/>
        <v>8</v>
      </c>
      <c r="AI210" s="225">
        <f t="shared" si="95"/>
        <v>2.0041000581889521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46584</v>
      </c>
      <c r="B211" s="411">
        <f>'2026'!Wh/'2026'!Env_an*'2027'!Env_an</f>
        <v>34.94330807871917</v>
      </c>
      <c r="C211" s="846"/>
      <c r="D211" s="393">
        <f t="shared" si="77"/>
        <v>37.62425605760221</v>
      </c>
      <c r="E211" s="385">
        <f t="shared" si="75"/>
        <v>38.846676342561302</v>
      </c>
      <c r="F211" s="385">
        <f t="shared" si="78"/>
        <v>38.846676342561302</v>
      </c>
      <c r="G211" s="110">
        <f t="shared" si="76"/>
        <v>0.93282293048919585</v>
      </c>
      <c r="H211" s="414" t="b">
        <f>Wh_hp&gt;='2026'!Maxi_hp</f>
        <v>0</v>
      </c>
      <c r="I211" s="390">
        <f>IF(H211,Wh_hp,'2026'!Maxi_hp)</f>
        <v>41.785421826741953</v>
      </c>
      <c r="J211" s="85">
        <f>IF(H211,An,'2026'!An_max)</f>
        <v>2019</v>
      </c>
      <c r="K211" s="197">
        <f t="shared" si="79"/>
        <v>46584</v>
      </c>
      <c r="L211" s="147">
        <f>IF(t&lt;Tvie,1-EXP((T0-t)*PertePVj)+'2026'!Pspv,1-EXP((T0-t)*PertePVj)+Pspv)</f>
        <v>7.1255840242490098E-2</v>
      </c>
      <c r="M211" s="850"/>
      <c r="N211" s="850"/>
      <c r="O211" s="48">
        <f>IF(t&lt;Tnet,'2026'!Resal+('2026'!Salim-'2026'!Resal)*(1-EXP(('2026'!Tnet-t)/('2026'!Tau_j))),Resal+(Salim-Resal)*(1-EXP((Tnet-t)/(Tau_j))))*Salcycl</f>
        <v>3.1467821704473133E-2</v>
      </c>
      <c r="P211" s="169">
        <f>(INDEX(Models!$BJ211:$BT211,,T211)*(1-R211)+INDEX(Models!$BJ211:$BT211,,T211+1)*R211-ERP_i)*Q211*Ramure*Pc/MaxiM</f>
        <v>0</v>
      </c>
      <c r="Q211" s="305">
        <f t="shared" si="80"/>
        <v>0.7</v>
      </c>
      <c r="R211" s="177">
        <f t="shared" si="81"/>
        <v>0.38338702817423753</v>
      </c>
      <c r="S211" s="817">
        <f t="shared" si="82"/>
        <v>-1</v>
      </c>
      <c r="T211" s="176">
        <f t="shared" si="83"/>
        <v>5</v>
      </c>
      <c r="U211" s="251">
        <f t="shared" si="84"/>
        <v>-0.61661297182576247</v>
      </c>
      <c r="V211" s="383">
        <f t="shared" si="85"/>
        <v>37.459743898441708</v>
      </c>
      <c r="W211" s="402">
        <f t="shared" si="86"/>
        <v>34.94330807871917</v>
      </c>
      <c r="X211" s="157">
        <f t="shared" si="87"/>
        <v>46584</v>
      </c>
      <c r="Y211" s="385">
        <f t="shared" si="88"/>
        <v>32.150043370980292</v>
      </c>
      <c r="Z211" s="385">
        <f t="shared" si="89"/>
        <v>34.616684296969893</v>
      </c>
      <c r="AA211" s="386">
        <f t="shared" si="90"/>
        <v>38.846553042502372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0.10888659132522108</v>
      </c>
      <c r="AD211" s="231">
        <f>(INDEX(Models!$BJ211:$BT211,,AH211)*(1-AF211)+INDEX(Models!$BJ211:$BT211,,AH211+1)*AF211-ERP_i)*AE211*Ramure*Pc/MaxiM</f>
        <v>3.5109548892491451E-6</v>
      </c>
      <c r="AE211" s="305">
        <f t="shared" si="92"/>
        <v>0.7</v>
      </c>
      <c r="AF211" s="177">
        <f t="shared" si="93"/>
        <v>7.2503975502935525E-3</v>
      </c>
      <c r="AG211" s="817">
        <f t="shared" si="99"/>
        <v>2</v>
      </c>
      <c r="AH211" s="176">
        <f t="shared" si="94"/>
        <v>8</v>
      </c>
      <c r="AI211" s="225">
        <f t="shared" si="95"/>
        <v>2.0072503975502936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46585</v>
      </c>
      <c r="B212" s="411">
        <f>'2026'!Wh/'2026'!Env_an*'2027'!Env_an</f>
        <v>34.255883428948948</v>
      </c>
      <c r="C212" s="846"/>
      <c r="D212" s="393">
        <f t="shared" si="77"/>
        <v>36.88489814685817</v>
      </c>
      <c r="E212" s="385">
        <f t="shared" si="75"/>
        <v>38.08997045466694</v>
      </c>
      <c r="F212" s="385">
        <f t="shared" si="78"/>
        <v>38.08997045466694</v>
      </c>
      <c r="G212" s="110">
        <f t="shared" si="76"/>
        <v>0.91659103096557981</v>
      </c>
      <c r="H212" s="414" t="b">
        <f>Wh_hp&gt;='2026'!Maxi_hp</f>
        <v>0</v>
      </c>
      <c r="I212" s="390">
        <f>IF(H212,Wh_hp,'2026'!Maxi_hp)</f>
        <v>41.903533821101661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7.1276182123147791E-2</v>
      </c>
      <c r="M212" s="850"/>
      <c r="N212" s="850"/>
      <c r="O212" s="48">
        <f>IF(t&lt;Tnet,'2026'!Resal+('2026'!Salim-'2026'!Resal)*(1-EXP(('2026'!Tnet-t)/('2026'!Tau_j))),Resal+(Salim-Resal)*(1-EXP((Tnet-t)/(Tau_j))))*Salcycl</f>
        <v>3.1637522776317192E-2</v>
      </c>
      <c r="P212" s="169">
        <f>(INDEX(Models!$BJ212:$BT212,,T212)*(1-R212)+INDEX(Models!$BJ212:$BT212,,T212+1)*R212-ERP_i)*Q212*Ramure*Pc/MaxiM</f>
        <v>0</v>
      </c>
      <c r="Q212" s="305">
        <f t="shared" si="80"/>
        <v>0.7</v>
      </c>
      <c r="R212" s="177">
        <f t="shared" si="81"/>
        <v>0.38645698624081382</v>
      </c>
      <c r="S212" s="817">
        <f t="shared" si="82"/>
        <v>-1</v>
      </c>
      <c r="T212" s="176">
        <f t="shared" si="83"/>
        <v>5</v>
      </c>
      <c r="U212" s="251">
        <f t="shared" si="84"/>
        <v>-0.61354301375918618</v>
      </c>
      <c r="V212" s="383">
        <f t="shared" si="85"/>
        <v>37.373138369968778</v>
      </c>
      <c r="W212" s="402">
        <f t="shared" si="86"/>
        <v>34.255883428948948</v>
      </c>
      <c r="X212" s="157">
        <f t="shared" si="87"/>
        <v>46585</v>
      </c>
      <c r="Y212" s="385">
        <f t="shared" si="88"/>
        <v>31.520657870409892</v>
      </c>
      <c r="Z212" s="385">
        <f t="shared" si="89"/>
        <v>33.939753954484559</v>
      </c>
      <c r="AA212" s="386">
        <f t="shared" si="90"/>
        <v>38.089844512255397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0.10895530320255159</v>
      </c>
      <c r="AD212" s="231">
        <f>(INDEX(Models!$BJ212:$BT212,,AH212)*(1-AF212)+INDEX(Models!$BJ212:$BT212,,AH212+1)*AF212-ERP_i)*AE212*Ramure*Pc/MaxiM</f>
        <v>3.7537228670464494E-6</v>
      </c>
      <c r="AE212" s="305">
        <f t="shared" si="92"/>
        <v>0.7</v>
      </c>
      <c r="AF212" s="177">
        <f t="shared" si="93"/>
        <v>1.0320355616869836E-2</v>
      </c>
      <c r="AG212" s="817">
        <f t="shared" si="99"/>
        <v>2</v>
      </c>
      <c r="AH212" s="176">
        <f t="shared" si="94"/>
        <v>8</v>
      </c>
      <c r="AI212" s="225">
        <f t="shared" si="95"/>
        <v>2.0103203556168698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46586</v>
      </c>
      <c r="B213" s="411">
        <f>'2026'!Wh/'2026'!Env_an*'2027'!Env_an</f>
        <v>34.183949153831918</v>
      </c>
      <c r="C213" s="846"/>
      <c r="D213" s="393">
        <f t="shared" si="77"/>
        <v>36.808249372345919</v>
      </c>
      <c r="E213" s="385">
        <f t="shared" si="75"/>
        <v>38.017461969582492</v>
      </c>
      <c r="F213" s="385">
        <f t="shared" si="78"/>
        <v>38.017461969582492</v>
      </c>
      <c r="G213" s="110">
        <f t="shared" si="76"/>
        <v>0.91681322685587829</v>
      </c>
      <c r="H213" s="414" t="b">
        <f>Wh_hp&gt;='2026'!Maxi_hp</f>
        <v>1</v>
      </c>
      <c r="I213" s="390">
        <f>IF(H213,Wh_hp,'2026'!Maxi_hp)</f>
        <v>38.017461969582492</v>
      </c>
      <c r="J213" s="85">
        <f>IF(H213,An,'2026'!An_max)</f>
        <v>2027</v>
      </c>
      <c r="K213" s="197">
        <f t="shared" si="79"/>
        <v>46586</v>
      </c>
      <c r="L213" s="147">
        <f>IF(t&lt;Tvie,1-EXP((T0-t)*PertePVj)+'2026'!Pspv,1-EXP((T0-t)*PertePVj)+Pspv)</f>
        <v>7.1296523558266212E-2</v>
      </c>
      <c r="M213" s="850"/>
      <c r="N213" s="850"/>
      <c r="O213" s="48">
        <f>IF(t&lt;Tnet,'2026'!Resal+('2026'!Salim-'2026'!Resal)*(1-EXP(('2026'!Tnet-t)/('2026'!Tau_j))),Resal+(Salim-Resal)*(1-EXP((Tnet-t)/(Tau_j))))*Salcycl</f>
        <v>3.1806768116294924E-2</v>
      </c>
      <c r="P213" s="169">
        <f>(INDEX(Models!$BJ213:$BT213,,T213)*(1-R213)+INDEX(Models!$BJ213:$BT213,,T213+1)*R213-ERP_i)*Q213*Ramure*Pc/MaxiM</f>
        <v>0</v>
      </c>
      <c r="Q213" s="305">
        <f t="shared" si="80"/>
        <v>0.7</v>
      </c>
      <c r="R213" s="177">
        <f t="shared" si="81"/>
        <v>0.38944710715710418</v>
      </c>
      <c r="S213" s="817">
        <f t="shared" si="82"/>
        <v>-1</v>
      </c>
      <c r="T213" s="176">
        <f t="shared" si="83"/>
        <v>5</v>
      </c>
      <c r="U213" s="251">
        <f t="shared" si="84"/>
        <v>-0.61055289284289582</v>
      </c>
      <c r="V213" s="383">
        <f t="shared" si="85"/>
        <v>37.28561952695911</v>
      </c>
      <c r="W213" s="402">
        <f t="shared" si="86"/>
        <v>34.183949153831918</v>
      </c>
      <c r="X213" s="157">
        <f t="shared" si="87"/>
        <v>46586</v>
      </c>
      <c r="Y213" s="385">
        <f t="shared" si="88"/>
        <v>31.457565474026417</v>
      </c>
      <c r="Z213" s="385">
        <f t="shared" si="89"/>
        <v>33.872561341704035</v>
      </c>
      <c r="AA213" s="386">
        <f t="shared" si="90"/>
        <v>38.017327864557153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0.10902308909293974</v>
      </c>
      <c r="AD213" s="231">
        <f>(INDEX(Models!$BJ213:$BT213,,AH213)*(1-AF213)+INDEX(Models!$BJ213:$BT213,,AH213+1)*AF213-ERP_i)*AE213*Ramure*Pc/MaxiM</f>
        <v>4.0031908402242662E-6</v>
      </c>
      <c r="AE213" s="305">
        <f t="shared" si="92"/>
        <v>0.7</v>
      </c>
      <c r="AF213" s="177">
        <f t="shared" si="93"/>
        <v>1.3310476533160198E-2</v>
      </c>
      <c r="AG213" s="817">
        <f t="shared" si="99"/>
        <v>2</v>
      </c>
      <c r="AH213" s="176">
        <f t="shared" si="94"/>
        <v>8</v>
      </c>
      <c r="AI213" s="225">
        <f t="shared" si="95"/>
        <v>2.0133104765331602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46587</v>
      </c>
      <c r="B214" s="411">
        <f>'2026'!Wh/'2026'!Env_an*'2027'!Env_an</f>
        <v>26.536745760193764</v>
      </c>
      <c r="C214" s="846"/>
      <c r="D214" s="393">
        <f t="shared" si="77"/>
        <v>28.574596379715565</v>
      </c>
      <c r="E214" s="385">
        <f t="shared" si="75"/>
        <v>29.518466138299036</v>
      </c>
      <c r="F214" s="385">
        <f t="shared" si="78"/>
        <v>29.518466138299036</v>
      </c>
      <c r="G214" s="110">
        <f t="shared" si="76"/>
        <v>0.71339993834079896</v>
      </c>
      <c r="H214" s="414" t="b">
        <f>Wh_hp&gt;='2026'!Maxi_hp</f>
        <v>0</v>
      </c>
      <c r="I214" s="390">
        <f>IF(H214,Wh_hp,'2026'!Maxi_hp)</f>
        <v>42.433234679233138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7.1316864547854908E-2</v>
      </c>
      <c r="M214" s="850"/>
      <c r="N214" s="850"/>
      <c r="O214" s="48">
        <f>IF(t&lt;Tnet,'2026'!Resal+('2026'!Salim-'2026'!Resal)*(1-EXP(('2026'!Tnet-t)/('2026'!Tau_j))),Resal+(Salim-Resal)*(1-EXP((Tnet-t)/(Tau_j))))*Salcycl</f>
        <v>3.197556926438113E-2</v>
      </c>
      <c r="P214" s="169">
        <f>(INDEX(Models!$BJ214:$BT214,,T214)*(1-R214)+INDEX(Models!$BJ214:$BT214,,T214+1)*R214-ERP_i)*Q214*Ramure*Pc/MaxiM</f>
        <v>0</v>
      </c>
      <c r="Q214" s="305">
        <f t="shared" si="80"/>
        <v>0.7</v>
      </c>
      <c r="R214" s="177">
        <f t="shared" si="81"/>
        <v>0.39235803842266792</v>
      </c>
      <c r="S214" s="817">
        <f t="shared" si="82"/>
        <v>-1</v>
      </c>
      <c r="T214" s="176">
        <f t="shared" si="83"/>
        <v>5</v>
      </c>
      <c r="U214" s="251">
        <f t="shared" si="84"/>
        <v>-0.60764196157733208</v>
      </c>
      <c r="V214" s="383">
        <f t="shared" si="85"/>
        <v>37.197572264881344</v>
      </c>
      <c r="W214" s="402">
        <f t="shared" si="86"/>
        <v>26.536745760193764</v>
      </c>
      <c r="X214" s="157">
        <f t="shared" si="87"/>
        <v>46587</v>
      </c>
      <c r="Y214" s="385">
        <f t="shared" si="88"/>
        <v>24.422723188930309</v>
      </c>
      <c r="Z214" s="385">
        <f t="shared" si="89"/>
        <v>26.298230533754328</v>
      </c>
      <c r="AA214" s="386">
        <f t="shared" si="90"/>
        <v>29.518391888444139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0.10908999944371764</v>
      </c>
      <c r="AD214" s="231">
        <f>(INDEX(Models!$BJ214:$BT214,,AH214)*(1-AF214)+INDEX(Models!$BJ214:$BT214,,AH214+1)*AF214-ERP_i)*AE214*Ramure*Pc/MaxiM</f>
        <v>4.2592139397714002E-6</v>
      </c>
      <c r="AE214" s="305">
        <f t="shared" si="92"/>
        <v>0.7</v>
      </c>
      <c r="AF214" s="177">
        <f t="shared" si="93"/>
        <v>1.6221407798723941E-2</v>
      </c>
      <c r="AG214" s="817">
        <f t="shared" si="99"/>
        <v>2</v>
      </c>
      <c r="AH214" s="176">
        <f t="shared" si="94"/>
        <v>8</v>
      </c>
      <c r="AI214" s="225">
        <f t="shared" si="95"/>
        <v>2.0162214077987239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46588</v>
      </c>
      <c r="B215" s="411">
        <f>'2026'!Wh/'2026'!Env_an*'2027'!Env_an</f>
        <v>25.971545146938766</v>
      </c>
      <c r="C215" s="846"/>
      <c r="D215" s="393">
        <f t="shared" si="77"/>
        <v>27.966604551557985</v>
      </c>
      <c r="E215" s="385">
        <f t="shared" si="75"/>
        <v>28.895417034199355</v>
      </c>
      <c r="F215" s="385">
        <f t="shared" si="78"/>
        <v>28.895417034199355</v>
      </c>
      <c r="G215" s="110">
        <f t="shared" si="76"/>
        <v>0.69986467891079773</v>
      </c>
      <c r="H215" s="414" t="b">
        <f>Wh_hp&gt;='2026'!Maxi_hp</f>
        <v>0</v>
      </c>
      <c r="I215" s="390">
        <f>IF(H215,Wh_hp,'2026'!Maxi_hp)</f>
        <v>41.130665538224456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7.1337205091923761E-2</v>
      </c>
      <c r="M215" s="850"/>
      <c r="N215" s="850"/>
      <c r="O215" s="48">
        <f>IF(t&lt;Tnet,'2026'!Resal+('2026'!Salim-'2026'!Resal)*(1-EXP(('2026'!Tnet-t)/('2026'!Tau_j))),Resal+(Salim-Resal)*(1-EXP((Tnet-t)/(Tau_j))))*Salcycl</f>
        <v>3.2143937619660175E-2</v>
      </c>
      <c r="P215" s="169">
        <f>(INDEX(Models!$BJ215:$BT215,,T215)*(1-R215)+INDEX(Models!$BJ215:$BT215,,T215+1)*R215-ERP_i)*Q215*Ramure*Pc/MaxiM</f>
        <v>0</v>
      </c>
      <c r="Q215" s="305">
        <f t="shared" si="80"/>
        <v>0.7</v>
      </c>
      <c r="R215" s="177">
        <f t="shared" si="81"/>
        <v>0.39519052385810305</v>
      </c>
      <c r="S215" s="817">
        <f t="shared" si="82"/>
        <v>-1</v>
      </c>
      <c r="T215" s="176">
        <f t="shared" si="83"/>
        <v>5</v>
      </c>
      <c r="U215" s="251">
        <f t="shared" si="84"/>
        <v>-0.60480947614189695</v>
      </c>
      <c r="V215" s="383">
        <f t="shared" si="85"/>
        <v>37.109381184028877</v>
      </c>
      <c r="W215" s="402">
        <f t="shared" si="86"/>
        <v>25.971545146938766</v>
      </c>
      <c r="X215" s="157">
        <f t="shared" si="87"/>
        <v>46588</v>
      </c>
      <c r="Y215" s="385">
        <f t="shared" si="88"/>
        <v>23.904931882407002</v>
      </c>
      <c r="Z215" s="385">
        <f t="shared" si="89"/>
        <v>25.741239999577278</v>
      </c>
      <c r="AA215" s="386">
        <f t="shared" si="90"/>
        <v>28.89534239956863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0.10915608323223877</v>
      </c>
      <c r="AD215" s="231">
        <f>(INDEX(Models!$BJ215:$BT215,,AH215)*(1-AF215)+INDEX(Models!$BJ215:$BT215,,AH215+1)*AF215-ERP_i)*AE215*Ramure*Pc/MaxiM</f>
        <v>4.5216445394219926E-6</v>
      </c>
      <c r="AE215" s="305">
        <f t="shared" si="92"/>
        <v>0.7</v>
      </c>
      <c r="AF215" s="177">
        <f t="shared" si="93"/>
        <v>1.9053893234159069E-2</v>
      </c>
      <c r="AG215" s="817">
        <f t="shared" si="99"/>
        <v>2</v>
      </c>
      <c r="AH215" s="176">
        <f t="shared" si="94"/>
        <v>8</v>
      </c>
      <c r="AI215" s="225">
        <f t="shared" si="95"/>
        <v>2.0190538932341591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46589</v>
      </c>
      <c r="B216" s="411">
        <f>'2026'!Wh/'2026'!Env_an*'2027'!Env_an</f>
        <v>33.907304190286794</v>
      </c>
      <c r="C216" s="846"/>
      <c r="D216" s="393">
        <f t="shared" si="77"/>
        <v>36.512765504826973</v>
      </c>
      <c r="E216" s="385">
        <f t="shared" si="75"/>
        <v>37.731956107423237</v>
      </c>
      <c r="F216" s="385">
        <f t="shared" si="78"/>
        <v>37.731956107423237</v>
      </c>
      <c r="G216" s="110">
        <f t="shared" si="76"/>
        <v>0.91588314241112123</v>
      </c>
      <c r="H216" s="414" t="b">
        <f>Wh_hp&gt;='2026'!Maxi_hp</f>
        <v>1</v>
      </c>
      <c r="I216" s="390">
        <f>IF(H216,Wh_hp,'2026'!Maxi_hp)</f>
        <v>37.731956107423237</v>
      </c>
      <c r="J216" s="85">
        <f>IF(H216,An,'2026'!An_max)</f>
        <v>2027</v>
      </c>
      <c r="K216" s="197">
        <f t="shared" si="79"/>
        <v>46589</v>
      </c>
      <c r="L216" s="147">
        <f>IF(t&lt;Tvie,1-EXP((T0-t)*PertePVj)+'2026'!Pspv,1-EXP((T0-t)*PertePVj)+Pspv)</f>
        <v>7.135754519048243E-2</v>
      </c>
      <c r="M216" s="850"/>
      <c r="N216" s="850"/>
      <c r="O216" s="48">
        <f>IF(t&lt;Tnet,'2026'!Resal+('2026'!Salim-'2026'!Resal)*(1-EXP(('2026'!Tnet-t)/('2026'!Tau_j))),Resal+(Salim-Resal)*(1-EXP((Tnet-t)/(Tau_j))))*Salcycl</f>
        <v>3.2311884364680687E-2</v>
      </c>
      <c r="P216" s="169">
        <f>(INDEX(Models!$BJ216:$BT216,,T216)*(1-R216)+INDEX(Models!$BJ216:$BT216,,T216+1)*R216-ERP_i)*Q216*Ramure*Pc/MaxiM</f>
        <v>0</v>
      </c>
      <c r="Q216" s="305">
        <f t="shared" si="80"/>
        <v>0.7</v>
      </c>
      <c r="R216" s="177">
        <f t="shared" si="81"/>
        <v>0.39794539661616302</v>
      </c>
      <c r="S216" s="817">
        <f t="shared" si="82"/>
        <v>-1</v>
      </c>
      <c r="T216" s="176">
        <f t="shared" si="83"/>
        <v>5</v>
      </c>
      <c r="U216" s="251">
        <f t="shared" si="84"/>
        <v>-0.60205460338383698</v>
      </c>
      <c r="V216" s="383">
        <f t="shared" si="85"/>
        <v>37.021430595418138</v>
      </c>
      <c r="W216" s="402">
        <f t="shared" si="86"/>
        <v>33.907304190286794</v>
      </c>
      <c r="X216" s="157">
        <f t="shared" si="87"/>
        <v>46589</v>
      </c>
      <c r="Y216" s="385">
        <f t="shared" si="88"/>
        <v>31.212302376766562</v>
      </c>
      <c r="Z216" s="385">
        <f t="shared" si="89"/>
        <v>33.610677839587687</v>
      </c>
      <c r="AA216" s="386">
        <f t="shared" si="90"/>
        <v>37.73179707884514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0.10922138775012152</v>
      </c>
      <c r="AD216" s="231">
        <f>(INDEX(Models!$BJ216:$BT216,,AH216)*(1-AF216)+INDEX(Models!$BJ216:$BT216,,AH216+1)*AF216-ERP_i)*AE216*Ramure*Pc/MaxiM</f>
        <v>4.7903316087778202E-6</v>
      </c>
      <c r="AE216" s="305">
        <f t="shared" si="92"/>
        <v>0.7</v>
      </c>
      <c r="AF216" s="177">
        <f t="shared" si="93"/>
        <v>2.1808765992219037E-2</v>
      </c>
      <c r="AG216" s="817">
        <f t="shared" si="99"/>
        <v>2</v>
      </c>
      <c r="AH216" s="176">
        <f t="shared" si="94"/>
        <v>8</v>
      </c>
      <c r="AI216" s="225">
        <f t="shared" si="95"/>
        <v>2.021808765992219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46590</v>
      </c>
      <c r="B217" s="411">
        <f>'2026'!Wh/'2026'!Env_an*'2027'!Env_an</f>
        <v>26.910162563517066</v>
      </c>
      <c r="C217" s="846"/>
      <c r="D217" s="393">
        <f t="shared" si="77"/>
        <v>28.978593255861774</v>
      </c>
      <c r="E217" s="385">
        <f t="shared" si="75"/>
        <v>29.951397279492866</v>
      </c>
      <c r="F217" s="385">
        <f t="shared" si="78"/>
        <v>29.951397279492866</v>
      </c>
      <c r="G217" s="110">
        <f t="shared" si="76"/>
        <v>0.72859929625709574</v>
      </c>
      <c r="H217" s="414" t="b">
        <f>Wh_hp&gt;='2026'!Maxi_hp</f>
        <v>0</v>
      </c>
      <c r="I217" s="390">
        <f>IF(H217,Wh_hp,'2026'!Maxi_hp)</f>
        <v>39.921621323756099</v>
      </c>
      <c r="J217" s="85">
        <f>IF(H217,An,'2026'!An_max)</f>
        <v>2018</v>
      </c>
      <c r="K217" s="197">
        <f t="shared" si="79"/>
        <v>46590</v>
      </c>
      <c r="L217" s="147">
        <f>IF(t&lt;Tvie,1-EXP((T0-t)*PertePVj)+'2026'!Pspv,1-EXP((T0-t)*PertePVj)+Pspv)</f>
        <v>7.1377884843540795E-2</v>
      </c>
      <c r="M217" s="850"/>
      <c r="N217" s="850"/>
      <c r="O217" s="48">
        <f>IF(t&lt;Tnet,'2026'!Resal+('2026'!Salim-'2026'!Resal)*(1-EXP(('2026'!Tnet-t)/('2026'!Tau_j))),Resal+(Salim-Resal)*(1-EXP((Tnet-t)/(Tau_j))))*Salcycl</f>
        <v>3.2479420394091345E-2</v>
      </c>
      <c r="P217" s="169">
        <f>(INDEX(Models!$BJ217:$BT217,,T217)*(1-R217)+INDEX(Models!$BJ217:$BT217,,T217+1)*R217-ERP_i)*Q217*Ramure*Pc/MaxiM</f>
        <v>0</v>
      </c>
      <c r="Q217" s="305">
        <f t="shared" si="80"/>
        <v>0.7</v>
      </c>
      <c r="R217" s="177">
        <f t="shared" si="81"/>
        <v>0.40062357227344214</v>
      </c>
      <c r="S217" s="817">
        <f t="shared" si="82"/>
        <v>-1</v>
      </c>
      <c r="T217" s="176">
        <f t="shared" si="83"/>
        <v>5</v>
      </c>
      <c r="U217" s="251">
        <f t="shared" si="84"/>
        <v>-0.59937642772655786</v>
      </c>
      <c r="V217" s="383">
        <f t="shared" si="85"/>
        <v>36.934104523237778</v>
      </c>
      <c r="W217" s="402">
        <f t="shared" si="86"/>
        <v>26.910162563517066</v>
      </c>
      <c r="X217" s="157">
        <f t="shared" si="87"/>
        <v>46590</v>
      </c>
      <c r="Y217" s="385">
        <f t="shared" si="88"/>
        <v>24.773824791267778</v>
      </c>
      <c r="Z217" s="385">
        <f t="shared" si="89"/>
        <v>26.678047385392876</v>
      </c>
      <c r="AA217" s="386">
        <f t="shared" si="90"/>
        <v>29.951304391357812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0.10928595840752117</v>
      </c>
      <c r="AD217" s="231">
        <f>(INDEX(Models!$BJ217:$BT217,,AH217)*(1-AF217)+INDEX(Models!$BJ217:$BT217,,AH217+1)*AF217-ERP_i)*AE217*Ramure*Pc/MaxiM</f>
        <v>5.0651200383876421E-6</v>
      </c>
      <c r="AE217" s="305">
        <f t="shared" si="92"/>
        <v>0.7</v>
      </c>
      <c r="AF217" s="177">
        <f t="shared" si="93"/>
        <v>2.4486941649498384E-2</v>
      </c>
      <c r="AG217" s="817">
        <f t="shared" si="99"/>
        <v>2</v>
      </c>
      <c r="AH217" s="176">
        <f t="shared" si="94"/>
        <v>8</v>
      </c>
      <c r="AI217" s="225">
        <f t="shared" si="95"/>
        <v>2.0244869416494984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46591</v>
      </c>
      <c r="B218" s="411">
        <f>'2026'!Wh/'2026'!Env_an*'2027'!Env_an</f>
        <v>31.499080624646751</v>
      </c>
      <c r="C218" s="846"/>
      <c r="D218" s="393">
        <f t="shared" si="77"/>
        <v>33.920978228217827</v>
      </c>
      <c r="E218" s="385">
        <f t="shared" si="75"/>
        <v>35.065754349983763</v>
      </c>
      <c r="F218" s="385">
        <f t="shared" si="78"/>
        <v>35.065754349983763</v>
      </c>
      <c r="G218" s="110">
        <f t="shared" si="76"/>
        <v>0.85484321954634568</v>
      </c>
      <c r="H218" s="414" t="b">
        <f>Wh_hp&gt;='2026'!Maxi_hp</f>
        <v>0</v>
      </c>
      <c r="I218" s="390">
        <f>IF(H218,Wh_hp,'2026'!Maxi_hp)</f>
        <v>40.234800142137267</v>
      </c>
      <c r="J218" s="85">
        <f>IF(H218,An,'2026'!An_max)</f>
        <v>2018</v>
      </c>
      <c r="K218" s="197">
        <f t="shared" si="79"/>
        <v>46591</v>
      </c>
      <c r="L218" s="147">
        <f>IF(t&lt;Tvie,1-EXP((T0-t)*PertePVj)+'2026'!Pspv,1-EXP((T0-t)*PertePVj)+Pspv)</f>
        <v>7.1398224051108627E-2</v>
      </c>
      <c r="M218" s="850"/>
      <c r="N218" s="850"/>
      <c r="O218" s="48">
        <f>IF(t&lt;Tnet,'2026'!Resal+('2026'!Salim-'2026'!Resal)*(1-EXP(('2026'!Tnet-t)/('2026'!Tau_j))),Resal+(Salim-Resal)*(1-EXP((Tnet-t)/(Tau_j))))*Salcycl</f>
        <v>3.2646556248018245E-2</v>
      </c>
      <c r="P218" s="169">
        <f>(INDEX(Models!$BJ218:$BT218,,T218)*(1-R218)+INDEX(Models!$BJ218:$BT218,,T218+1)*R218-ERP_i)*Q218*Ramure*Pc/MaxiM</f>
        <v>0</v>
      </c>
      <c r="Q218" s="305">
        <f t="shared" si="80"/>
        <v>0.7</v>
      </c>
      <c r="R218" s="177">
        <f t="shared" si="81"/>
        <v>0.40322604203457435</v>
      </c>
      <c r="S218" s="817">
        <f t="shared" si="82"/>
        <v>-1</v>
      </c>
      <c r="T218" s="176">
        <f t="shared" si="83"/>
        <v>5</v>
      </c>
      <c r="U218" s="251">
        <f t="shared" si="84"/>
        <v>-0.59677395796542565</v>
      </c>
      <c r="V218" s="383">
        <f t="shared" si="85"/>
        <v>36.847786710366506</v>
      </c>
      <c r="W218" s="402">
        <f t="shared" si="86"/>
        <v>31.499080624646751</v>
      </c>
      <c r="X218" s="157">
        <f t="shared" si="87"/>
        <v>46591</v>
      </c>
      <c r="Y218" s="385">
        <f t="shared" si="88"/>
        <v>29.001336118508004</v>
      </c>
      <c r="Z218" s="385">
        <f t="shared" si="89"/>
        <v>31.231187436479971</v>
      </c>
      <c r="AA218" s="386">
        <f t="shared" si="90"/>
        <v>35.06560576593337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0.10934983855828839</v>
      </c>
      <c r="AD218" s="231">
        <f>(INDEX(Models!$BJ218:$BT218,,AH218)*(1-AF218)+INDEX(Models!$BJ218:$BT218,,AH218+1)*AF218-ERP_i)*AE218*Ramure*Pc/MaxiM</f>
        <v>5.3458499408491489E-6</v>
      </c>
      <c r="AE218" s="305">
        <f t="shared" si="92"/>
        <v>0.7</v>
      </c>
      <c r="AF218" s="177">
        <f t="shared" si="93"/>
        <v>2.7089411410630149E-2</v>
      </c>
      <c r="AG218" s="817">
        <f t="shared" si="99"/>
        <v>2</v>
      </c>
      <c r="AH218" s="176">
        <f t="shared" si="94"/>
        <v>8</v>
      </c>
      <c r="AI218" s="225">
        <f t="shared" si="95"/>
        <v>2.0270894114106301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46592</v>
      </c>
      <c r="B219" s="411">
        <f>'2026'!Wh/'2026'!Env_an*'2027'!Env_an</f>
        <v>34.033038576265767</v>
      </c>
      <c r="C219" s="846"/>
      <c r="D219" s="393">
        <f t="shared" si="77"/>
        <v>36.650569582104701</v>
      </c>
      <c r="E219" s="385">
        <f t="shared" si="75"/>
        <v>37.893996743141429</v>
      </c>
      <c r="F219" s="385">
        <f t="shared" si="78"/>
        <v>37.893996743141429</v>
      </c>
      <c r="G219" s="110">
        <f t="shared" si="76"/>
        <v>0.92575883065534437</v>
      </c>
      <c r="H219" s="414" t="b">
        <f>Wh_hp&gt;='2026'!Maxi_hp</f>
        <v>1</v>
      </c>
      <c r="I219" s="390">
        <f>IF(H219,Wh_hp,'2026'!Maxi_hp)</f>
        <v>37.893996743141429</v>
      </c>
      <c r="J219" s="85">
        <f>IF(H219,An,'2026'!An_max)</f>
        <v>2027</v>
      </c>
      <c r="K219" s="197">
        <f t="shared" si="79"/>
        <v>46592</v>
      </c>
      <c r="L219" s="147">
        <f>IF(t&lt;Tvie,1-EXP((T0-t)*PertePVj)+'2026'!Pspv,1-EXP((T0-t)*PertePVj)+Pspv)</f>
        <v>7.1418562813195474E-2</v>
      </c>
      <c r="M219" s="850"/>
      <c r="N219" s="850"/>
      <c r="O219" s="48">
        <f>IF(t&lt;Tnet,'2026'!Resal+('2026'!Salim-'2026'!Resal)*(1-EXP(('2026'!Tnet-t)/('2026'!Tau_j))),Resal+(Salim-Resal)*(1-EXP((Tnet-t)/(Tau_j))))*Salcycl</f>
        <v>3.2813302050588807E-2</v>
      </c>
      <c r="P219" s="169">
        <f>(INDEX(Models!$BJ219:$BT219,,T219)*(1-R219)+INDEX(Models!$BJ219:$BT219,,T219+1)*R219-ERP_i)*Q219*Ramure*Pc/MaxiM</f>
        <v>0</v>
      </c>
      <c r="Q219" s="305">
        <f t="shared" si="80"/>
        <v>0.7</v>
      </c>
      <c r="R219" s="177">
        <f t="shared" si="81"/>
        <v>0.40575386607745156</v>
      </c>
      <c r="S219" s="817">
        <f t="shared" si="82"/>
        <v>-1</v>
      </c>
      <c r="T219" s="176">
        <f t="shared" si="83"/>
        <v>5</v>
      </c>
      <c r="U219" s="251">
        <f t="shared" si="84"/>
        <v>-0.59424613392254844</v>
      </c>
      <c r="V219" s="383">
        <f t="shared" si="85"/>
        <v>36.762315896218652</v>
      </c>
      <c r="W219" s="402">
        <f t="shared" si="86"/>
        <v>34.033038576265767</v>
      </c>
      <c r="X219" s="157">
        <f t="shared" si="87"/>
        <v>46592</v>
      </c>
      <c r="Y219" s="385">
        <f t="shared" si="88"/>
        <v>31.337514071602506</v>
      </c>
      <c r="Z219" s="385">
        <f t="shared" si="89"/>
        <v>33.747728326921397</v>
      </c>
      <c r="AA219" s="386">
        <f t="shared" si="90"/>
        <v>37.89380594454029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0.10941306934666074</v>
      </c>
      <c r="AD219" s="231">
        <f>(INDEX(Models!$BJ219:$BT219,,AH219)*(1-AF219)+INDEX(Models!$BJ219:$BT219,,AH219+1)*AF219-ERP_i)*AE219*Ramure*Pc/MaxiM</f>
        <v>5.6324302956581564E-6</v>
      </c>
      <c r="AE219" s="305">
        <f t="shared" si="92"/>
        <v>0.7</v>
      </c>
      <c r="AF219" s="177">
        <f t="shared" si="93"/>
        <v>2.9617235453507362E-2</v>
      </c>
      <c r="AG219" s="817">
        <f t="shared" si="99"/>
        <v>2</v>
      </c>
      <c r="AH219" s="176">
        <f t="shared" si="94"/>
        <v>8</v>
      </c>
      <c r="AI219" s="225">
        <f t="shared" si="95"/>
        <v>2.0296172354535074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46593</v>
      </c>
      <c r="B220" s="411">
        <f>'2026'!Wh/'2026'!Env_an*'2027'!Env_an</f>
        <v>19.173669212780396</v>
      </c>
      <c r="C220" s="846"/>
      <c r="D220" s="393">
        <f t="shared" si="77"/>
        <v>20.648796547808907</v>
      </c>
      <c r="E220" s="385">
        <f t="shared" si="75"/>
        <v>21.353011775298441</v>
      </c>
      <c r="F220" s="385">
        <f t="shared" si="78"/>
        <v>21.353011775298441</v>
      </c>
      <c r="G220" s="110">
        <f t="shared" si="76"/>
        <v>0.52276883637109139</v>
      </c>
      <c r="H220" s="414" t="b">
        <f>Wh_hp&gt;='2026'!Maxi_hp</f>
        <v>0</v>
      </c>
      <c r="I220" s="390">
        <f>IF(H220,Wh_hp,'2026'!Maxi_hp)</f>
        <v>41.517040985591251</v>
      </c>
      <c r="J220" s="85">
        <f>IF(H220,An,'2026'!An_max)</f>
        <v>2020</v>
      </c>
      <c r="K220" s="197">
        <f t="shared" si="79"/>
        <v>46593</v>
      </c>
      <c r="L220" s="147">
        <f>IF(t&lt;Tvie,1-EXP((T0-t)*PertePVj)+'2026'!Pspv,1-EXP((T0-t)*PertePVj)+Pspv)</f>
        <v>7.1438901129811327E-2</v>
      </c>
      <c r="M220" s="850"/>
      <c r="N220" s="850"/>
      <c r="O220" s="48">
        <f>IF(t&lt;Tnet,'2026'!Resal+('2026'!Salim-'2026'!Resal)*(1-EXP(('2026'!Tnet-t)/('2026'!Tau_j))),Resal+(Salim-Resal)*(1-EXP((Tnet-t)/(Tau_j))))*Salcycl</f>
        <v>3.2979667453945913E-2</v>
      </c>
      <c r="P220" s="169">
        <f>(INDEX(Models!$BJ220:$BT220,,T220)*(1-R220)+INDEX(Models!$BJ220:$BT220,,T220+1)*R220-ERP_i)*Q220*Ramure*Pc/MaxiM</f>
        <v>0</v>
      </c>
      <c r="Q220" s="305">
        <f t="shared" si="80"/>
        <v>0.7</v>
      </c>
      <c r="R220" s="177">
        <f t="shared" si="81"/>
        <v>0.40820816706458651</v>
      </c>
      <c r="S220" s="817">
        <f t="shared" si="82"/>
        <v>-1</v>
      </c>
      <c r="T220" s="176">
        <f t="shared" si="83"/>
        <v>5</v>
      </c>
      <c r="U220" s="251">
        <f t="shared" si="84"/>
        <v>-0.59179183293541349</v>
      </c>
      <c r="V220" s="383">
        <f t="shared" si="85"/>
        <v>36.677146529771001</v>
      </c>
      <c r="W220" s="402">
        <f t="shared" si="86"/>
        <v>19.173669212780396</v>
      </c>
      <c r="X220" s="157">
        <f t="shared" si="87"/>
        <v>46593</v>
      </c>
      <c r="Y220" s="385">
        <f t="shared" si="88"/>
        <v>17.656904927654821</v>
      </c>
      <c r="Z220" s="385">
        <f t="shared" si="89"/>
        <v>19.015339915853215</v>
      </c>
      <c r="AA220" s="386">
        <f t="shared" si="90"/>
        <v>21.352971157853933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0.10947568957591665</v>
      </c>
      <c r="AD220" s="231">
        <f>(INDEX(Models!$BJ220:$BT220,,AH220)*(1-AF220)+INDEX(Models!$BJ220:$BT220,,AH220+1)*AF220-ERP_i)*AE220*Ramure*Pc/MaxiM</f>
        <v>5.9771899826840261E-6</v>
      </c>
      <c r="AE220" s="305">
        <f t="shared" si="92"/>
        <v>0.7</v>
      </c>
      <c r="AF220" s="177">
        <f t="shared" si="93"/>
        <v>3.2071536440642756E-2</v>
      </c>
      <c r="AG220" s="817">
        <f t="shared" si="99"/>
        <v>2</v>
      </c>
      <c r="AH220" s="176">
        <f t="shared" si="94"/>
        <v>8</v>
      </c>
      <c r="AI220" s="225">
        <f t="shared" si="95"/>
        <v>2.0320715364406428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46594</v>
      </c>
      <c r="B221" s="411">
        <f>'2026'!Wh/'2026'!Env_an*'2027'!Env_an</f>
        <v>35.288627521312122</v>
      </c>
      <c r="C221" s="846"/>
      <c r="D221" s="393">
        <f t="shared" si="77"/>
        <v>38.004392487136954</v>
      </c>
      <c r="E221" s="385">
        <f t="shared" si="75"/>
        <v>39.307257543631849</v>
      </c>
      <c r="F221" s="385">
        <f t="shared" si="78"/>
        <v>39.307257543631849</v>
      </c>
      <c r="G221" s="110">
        <f t="shared" si="76"/>
        <v>0.96437868220477874</v>
      </c>
      <c r="H221" s="414" t="b">
        <f>Wh_hp&gt;='2026'!Maxi_hp</f>
        <v>0</v>
      </c>
      <c r="I221" s="390">
        <f>IF(H221,Wh_hp,'2026'!Maxi_hp)</f>
        <v>40.464552652725096</v>
      </c>
      <c r="J221" s="85">
        <f>IF(H221,An,'2026'!An_max)</f>
        <v>2020</v>
      </c>
      <c r="K221" s="197">
        <f t="shared" si="79"/>
        <v>46594</v>
      </c>
      <c r="L221" s="147">
        <f>IF(t&lt;Tvie,1-EXP((T0-t)*PertePVj)+'2026'!Pspv,1-EXP((T0-t)*PertePVj)+Pspv)</f>
        <v>7.1459239000965846E-2</v>
      </c>
      <c r="M221" s="850"/>
      <c r="N221" s="850"/>
      <c r="O221" s="48">
        <f>IF(t&lt;Tnet,'2026'!Resal+('2026'!Salim-'2026'!Resal)*(1-EXP(('2026'!Tnet-t)/('2026'!Tau_j))),Resal+(Salim-Resal)*(1-EXP((Tnet-t)/(Tau_j))))*Salcycl</f>
        <v>3.3145661588033344E-2</v>
      </c>
      <c r="P221" s="169">
        <f>(INDEX(Models!$BJ221:$BT221,,T221)*(1-R221)+INDEX(Models!$BJ221:$BT221,,T221+1)*R221-ERP_i)*Q221*Ramure*Pc/MaxiM</f>
        <v>0</v>
      </c>
      <c r="Q221" s="305">
        <f t="shared" si="80"/>
        <v>0.7</v>
      </c>
      <c r="R221" s="177">
        <f t="shared" si="81"/>
        <v>0.41059012384244542</v>
      </c>
      <c r="S221" s="817">
        <f t="shared" si="82"/>
        <v>-1</v>
      </c>
      <c r="T221" s="176">
        <f t="shared" si="83"/>
        <v>5</v>
      </c>
      <c r="U221" s="251">
        <f t="shared" si="84"/>
        <v>-0.58940987615755458</v>
      </c>
      <c r="V221" s="383">
        <f t="shared" si="85"/>
        <v>36.592085839801719</v>
      </c>
      <c r="W221" s="402">
        <f t="shared" si="86"/>
        <v>35.288627521312122</v>
      </c>
      <c r="X221" s="157">
        <f t="shared" si="87"/>
        <v>46594</v>
      </c>
      <c r="Y221" s="385">
        <f t="shared" si="88"/>
        <v>32.500242302956046</v>
      </c>
      <c r="Z221" s="385">
        <f t="shared" si="89"/>
        <v>35.001416920015913</v>
      </c>
      <c r="AA221" s="386">
        <f t="shared" si="90"/>
        <v>39.307018746683035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0.10953773559920406</v>
      </c>
      <c r="AD221" s="231">
        <f>(INDEX(Models!$BJ221:$BT221,,AH221)*(1-AF221)+INDEX(Models!$BJ221:$BT221,,AH221+1)*AF221-ERP_i)*AE221*Ramure*Pc/MaxiM</f>
        <v>6.400860764107898E-6</v>
      </c>
      <c r="AE221" s="305">
        <f t="shared" si="92"/>
        <v>0.7</v>
      </c>
      <c r="AF221" s="177">
        <f t="shared" si="93"/>
        <v>3.4453493218501663E-2</v>
      </c>
      <c r="AG221" s="817">
        <f t="shared" si="99"/>
        <v>2</v>
      </c>
      <c r="AH221" s="176">
        <f t="shared" si="94"/>
        <v>8</v>
      </c>
      <c r="AI221" s="225">
        <f t="shared" si="95"/>
        <v>2.0344534932185017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46595</v>
      </c>
      <c r="B222" s="411">
        <f>'2026'!Wh/'2026'!Env_an*'2027'!Env_an</f>
        <v>37.045666566067993</v>
      </c>
      <c r="C222" s="846"/>
      <c r="D222" s="393">
        <f t="shared" si="77"/>
        <v>39.897524734567412</v>
      </c>
      <c r="E222" s="385">
        <f t="shared" si="75"/>
        <v>41.272360426201736</v>
      </c>
      <c r="F222" s="385">
        <f t="shared" si="78"/>
        <v>41.272360426201736</v>
      </c>
      <c r="G222" s="110">
        <f t="shared" si="76"/>
        <v>1.01475679197081</v>
      </c>
      <c r="H222" s="414" t="b">
        <f>Wh_hp&gt;='2026'!Maxi_hp</f>
        <v>1</v>
      </c>
      <c r="I222" s="390">
        <f>IF(H222,Wh_hp,'2026'!Maxi_hp)</f>
        <v>41.272360426201736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7.1479576426668689E-2</v>
      </c>
      <c r="M222" s="850"/>
      <c r="N222" s="850"/>
      <c r="O222" s="48">
        <f>IF(t&lt;Tnet,'2026'!Resal+('2026'!Salim-'2026'!Resal)*(1-EXP(('2026'!Tnet-t)/('2026'!Tau_j))),Resal+(Salim-Resal)*(1-EXP((Tnet-t)/(Tau_j))))*Salcycl</f>
        <v>3.3311293016367122E-2</v>
      </c>
      <c r="P222" s="169">
        <f>(INDEX(Models!$BJ222:$BT222,,T222)*(1-R222)+INDEX(Models!$BJ222:$BT222,,T222+1)*R222-ERP_i)*Q222*Ramure*Pc/MaxiM</f>
        <v>0</v>
      </c>
      <c r="Q222" s="305">
        <f t="shared" si="80"/>
        <v>0.7</v>
      </c>
      <c r="R222" s="177">
        <f t="shared" si="81"/>
        <v>0.41290096534741139</v>
      </c>
      <c r="S222" s="817">
        <f t="shared" si="82"/>
        <v>-1</v>
      </c>
      <c r="T222" s="176">
        <f t="shared" si="83"/>
        <v>5</v>
      </c>
      <c r="U222" s="251">
        <f t="shared" si="84"/>
        <v>-0.58709903465258861</v>
      </c>
      <c r="V222" s="383">
        <f t="shared" si="85"/>
        <v>36.506941228863077</v>
      </c>
      <c r="W222" s="402">
        <f t="shared" si="86"/>
        <v>37.045666566067993</v>
      </c>
      <c r="X222" s="157">
        <f t="shared" si="87"/>
        <v>46595</v>
      </c>
      <c r="Y222" s="385">
        <f t="shared" si="88"/>
        <v>34.121906665310568</v>
      </c>
      <c r="Z222" s="385">
        <f t="shared" si="89"/>
        <v>36.748687265268039</v>
      </c>
      <c r="AA222" s="386">
        <f t="shared" si="90"/>
        <v>41.272075414824947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0.10959924123253814</v>
      </c>
      <c r="AD222" s="231">
        <f>(INDEX(Models!$BJ222:$BT222,,AH222)*(1-AF222)+INDEX(Models!$BJ222:$BT222,,AH222+1)*AF222-ERP_i)*AE222*Ramure*Pc/MaxiM</f>
        <v>6.9056233723225147E-6</v>
      </c>
      <c r="AE222" s="305">
        <f t="shared" si="92"/>
        <v>0.7</v>
      </c>
      <c r="AF222" s="177">
        <f t="shared" si="93"/>
        <v>3.6764334723467407E-2</v>
      </c>
      <c r="AG222" s="817">
        <f t="shared" si="99"/>
        <v>2</v>
      </c>
      <c r="AH222" s="176">
        <f t="shared" si="94"/>
        <v>8</v>
      </c>
      <c r="AI222" s="225">
        <f t="shared" si="95"/>
        <v>2.0367643347234674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46596</v>
      </c>
      <c r="B223" s="411">
        <f>'2026'!Wh/'2026'!Env_an*'2027'!Env_an</f>
        <v>29.891717017268508</v>
      </c>
      <c r="C223" s="846"/>
      <c r="D223" s="393">
        <f t="shared" si="77"/>
        <v>32.193553289746788</v>
      </c>
      <c r="E223" s="385">
        <f t="shared" si="75"/>
        <v>33.308611338770767</v>
      </c>
      <c r="F223" s="385">
        <f t="shared" si="78"/>
        <v>33.308611338770767</v>
      </c>
      <c r="G223" s="110">
        <f t="shared" si="76"/>
        <v>0.82071579641018777</v>
      </c>
      <c r="H223" s="414" t="b">
        <f>Wh_hp&gt;='2026'!Maxi_hp</f>
        <v>0</v>
      </c>
      <c r="I223" s="390">
        <f>IF(H223,Wh_hp,'2026'!Maxi_hp)</f>
        <v>39.810455578458225</v>
      </c>
      <c r="J223" s="85">
        <f>IF(H223,An,'2026'!An_max)</f>
        <v>2019</v>
      </c>
      <c r="K223" s="197">
        <f t="shared" si="79"/>
        <v>46596</v>
      </c>
      <c r="L223" s="147">
        <f>IF(t&lt;Tvie,1-EXP((T0-t)*PertePVj)+'2026'!Pspv,1-EXP((T0-t)*PertePVj)+Pspv)</f>
        <v>7.1499913406929849E-2</v>
      </c>
      <c r="M223" s="850"/>
      <c r="N223" s="850"/>
      <c r="O223" s="48">
        <f>IF(t&lt;Tnet,'2026'!Resal+('2026'!Salim-'2026'!Resal)*(1-EXP(('2026'!Tnet-t)/('2026'!Tau_j))),Resal+(Salim-Resal)*(1-EXP((Tnet-t)/(Tau_j))))*Salcycl</f>
        <v>3.3476569697940654E-2</v>
      </c>
      <c r="P223" s="169">
        <f>(INDEX(Models!$BJ223:$BT223,,T223)*(1-R223)+INDEX(Models!$BJ223:$BT223,,T223+1)*R223-ERP_i)*Q223*Ramure*Pc/MaxiM</f>
        <v>0</v>
      </c>
      <c r="Q223" s="305">
        <f t="shared" si="80"/>
        <v>0.7</v>
      </c>
      <c r="R223" s="177">
        <f t="shared" si="81"/>
        <v>0.4151419647339929</v>
      </c>
      <c r="S223" s="817">
        <f t="shared" si="82"/>
        <v>-1</v>
      </c>
      <c r="T223" s="176">
        <f t="shared" si="83"/>
        <v>5</v>
      </c>
      <c r="U223" s="251">
        <f t="shared" si="84"/>
        <v>-0.5848580352660071</v>
      </c>
      <c r="V223" s="383">
        <f t="shared" si="85"/>
        <v>36.421520272931183</v>
      </c>
      <c r="W223" s="402">
        <f t="shared" si="86"/>
        <v>29.891717017268508</v>
      </c>
      <c r="X223" s="157">
        <f t="shared" si="87"/>
        <v>46596</v>
      </c>
      <c r="Y223" s="385">
        <f t="shared" si="88"/>
        <v>27.535427529177099</v>
      </c>
      <c r="Z223" s="385">
        <f t="shared" si="89"/>
        <v>29.655815790187358</v>
      </c>
      <c r="AA223" s="386">
        <f t="shared" si="90"/>
        <v>33.308425665766691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0.10966023768974963</v>
      </c>
      <c r="AD223" s="231">
        <f>(INDEX(Models!$BJ223:$BT223,,AH223)*(1-AF223)+INDEX(Models!$BJ223:$BT223,,AH223+1)*AF223-ERP_i)*AE223*Ramure*Pc/MaxiM</f>
        <v>7.4935830433516196E-6</v>
      </c>
      <c r="AE223" s="305">
        <f t="shared" si="92"/>
        <v>0.7</v>
      </c>
      <c r="AF223" s="177">
        <f t="shared" si="93"/>
        <v>3.9005334110048917E-2</v>
      </c>
      <c r="AG223" s="817">
        <f t="shared" si="99"/>
        <v>2</v>
      </c>
      <c r="AH223" s="176">
        <f t="shared" si="94"/>
        <v>8</v>
      </c>
      <c r="AI223" s="225">
        <f t="shared" si="95"/>
        <v>2.0390053341100489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46597</v>
      </c>
      <c r="B224" s="411">
        <f>'2026'!Wh/'2026'!Env_an*'2027'!Env_an</f>
        <v>19.061659279575149</v>
      </c>
      <c r="C224" s="846"/>
      <c r="D224" s="393">
        <f t="shared" si="77"/>
        <v>20.529967700835112</v>
      </c>
      <c r="E224" s="385">
        <f t="shared" si="75"/>
        <v>21.244670252956535</v>
      </c>
      <c r="F224" s="385">
        <f t="shared" si="78"/>
        <v>21.244670252956535</v>
      </c>
      <c r="G224" s="110">
        <f t="shared" si="76"/>
        <v>0.52459965330494807</v>
      </c>
      <c r="H224" s="414" t="b">
        <f>Wh_hp&gt;='2026'!Maxi_hp</f>
        <v>0</v>
      </c>
      <c r="I224" s="390">
        <f>IF(H224,Wh_hp,'2026'!Maxi_hp)</f>
        <v>38.323446514546944</v>
      </c>
      <c r="J224" s="85">
        <f>IF(H224,An,'2026'!An_max)</f>
        <v>2021</v>
      </c>
      <c r="K224" s="197">
        <f t="shared" si="79"/>
        <v>46597</v>
      </c>
      <c r="L224" s="147">
        <f>IF(t&lt;Tvie,1-EXP((T0-t)*PertePVj)+'2026'!Pspv,1-EXP((T0-t)*PertePVj)+Pspv)</f>
        <v>7.1520249941758873E-2</v>
      </c>
      <c r="M224" s="850"/>
      <c r="N224" s="850"/>
      <c r="O224" s="48">
        <f>IF(t&lt;Tnet,'2026'!Resal+('2026'!Salim-'2026'!Resal)*(1-EXP(('2026'!Tnet-t)/('2026'!Tau_j))),Resal+(Salim-Resal)*(1-EXP((Tnet-t)/(Tau_j))))*Salcycl</f>
        <v>3.3641498955341964E-2</v>
      </c>
      <c r="P224" s="169">
        <f>(INDEX(Models!$BJ224:$BT224,,T224)*(1-R224)+INDEX(Models!$BJ224:$BT224,,T224+1)*R224-ERP_i)*Q224*Ramure*Pc/MaxiM</f>
        <v>0</v>
      </c>
      <c r="Q224" s="305">
        <f t="shared" si="80"/>
        <v>0.7</v>
      </c>
      <c r="R224" s="177">
        <f t="shared" si="81"/>
        <v>0.41731443373802624</v>
      </c>
      <c r="S224" s="817">
        <f t="shared" si="82"/>
        <v>-1</v>
      </c>
      <c r="T224" s="176">
        <f t="shared" si="83"/>
        <v>5</v>
      </c>
      <c r="U224" s="251">
        <f t="shared" si="84"/>
        <v>-0.58268556626197376</v>
      </c>
      <c r="V224" s="383">
        <f t="shared" si="85"/>
        <v>36.335630722376152</v>
      </c>
      <c r="W224" s="402">
        <f t="shared" si="86"/>
        <v>19.061659279575149</v>
      </c>
      <c r="X224" s="157">
        <f t="shared" si="87"/>
        <v>46597</v>
      </c>
      <c r="Y224" s="385">
        <f t="shared" si="88"/>
        <v>17.560931241624953</v>
      </c>
      <c r="Z224" s="385">
        <f t="shared" si="89"/>
        <v>18.913639463352219</v>
      </c>
      <c r="AA224" s="386">
        <f t="shared" si="90"/>
        <v>21.24461458417229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0.10972075353895562</v>
      </c>
      <c r="AD224" s="231">
        <f>(INDEX(Models!$BJ224:$BT224,,AH224)*(1-AF224)+INDEX(Models!$BJ224:$BT224,,AH224+1)*AF224-ERP_i)*AE224*Ramure*Pc/MaxiM</f>
        <v>8.1667770688289197E-6</v>
      </c>
      <c r="AE224" s="305">
        <f t="shared" si="92"/>
        <v>0.7</v>
      </c>
      <c r="AF224" s="177">
        <f t="shared" si="93"/>
        <v>4.1177803114082145E-2</v>
      </c>
      <c r="AG224" s="817">
        <f t="shared" si="99"/>
        <v>2</v>
      </c>
      <c r="AH224" s="176">
        <f t="shared" si="94"/>
        <v>8</v>
      </c>
      <c r="AI224" s="225">
        <f t="shared" si="95"/>
        <v>2.0411778031140821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46598</v>
      </c>
      <c r="B225" s="411">
        <f>'2026'!Wh/'2026'!Env_an*'2027'!Env_an</f>
        <v>30.459527077427534</v>
      </c>
      <c r="C225" s="846"/>
      <c r="D225" s="393">
        <f t="shared" si="77"/>
        <v>32.806525109400177</v>
      </c>
      <c r="E225" s="385">
        <f t="shared" si="75"/>
        <v>33.954390193564485</v>
      </c>
      <c r="F225" s="385">
        <f t="shared" si="78"/>
        <v>33.954390193564485</v>
      </c>
      <c r="G225" s="110">
        <f t="shared" si="76"/>
        <v>0.8402841301166718</v>
      </c>
      <c r="H225" s="414" t="b">
        <f>Wh_hp&gt;='2026'!Maxi_hp</f>
        <v>0</v>
      </c>
      <c r="I225" s="390">
        <f>IF(H225,Wh_hp,'2026'!Maxi_hp)</f>
        <v>37.359921298844867</v>
      </c>
      <c r="J225" s="85">
        <f>IF(H225,An,'2026'!An_max)</f>
        <v>2018</v>
      </c>
      <c r="K225" s="197">
        <f t="shared" si="79"/>
        <v>46598</v>
      </c>
      <c r="L225" s="147">
        <f>IF(t&lt;Tvie,1-EXP((T0-t)*PertePVj)+'2026'!Pspv,1-EXP((T0-t)*PertePVj)+Pspv)</f>
        <v>7.1540586031165643E-2</v>
      </c>
      <c r="M225" s="850"/>
      <c r="N225" s="850"/>
      <c r="O225" s="48">
        <f>IF(t&lt;Tnet,'2026'!Resal+('2026'!Salim-'2026'!Resal)*(1-EXP(('2026'!Tnet-t)/('2026'!Tau_j))),Resal+(Salim-Resal)*(1-EXP((Tnet-t)/(Tau_j))))*Salcycl</f>
        <v>3.3806087449094226E-2</v>
      </c>
      <c r="P225" s="169">
        <f>(INDEX(Models!$BJ225:$BT225,,T225)*(1-R225)+INDEX(Models!$BJ225:$BT225,,T225+1)*R225-ERP_i)*Q225*Ramure*Pc/MaxiM</f>
        <v>0</v>
      </c>
      <c r="Q225" s="305">
        <f t="shared" si="80"/>
        <v>0.7</v>
      </c>
      <c r="R225" s="177">
        <f t="shared" si="81"/>
        <v>0.41941971728490868</v>
      </c>
      <c r="S225" s="817">
        <f t="shared" si="82"/>
        <v>-1</v>
      </c>
      <c r="T225" s="176">
        <f t="shared" si="83"/>
        <v>5</v>
      </c>
      <c r="U225" s="251">
        <f t="shared" si="84"/>
        <v>-0.58058028271509132</v>
      </c>
      <c r="V225" s="383">
        <f t="shared" si="85"/>
        <v>36.24908050232758</v>
      </c>
      <c r="W225" s="402">
        <f t="shared" si="86"/>
        <v>30.459527077427534</v>
      </c>
      <c r="X225" s="157">
        <f t="shared" si="87"/>
        <v>46598</v>
      </c>
      <c r="Y225" s="385">
        <f t="shared" si="88"/>
        <v>28.064209671239215</v>
      </c>
      <c r="Z225" s="385">
        <f t="shared" si="89"/>
        <v>30.226641303872061</v>
      </c>
      <c r="AA225" s="386">
        <f t="shared" si="90"/>
        <v>33.954156237381191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0.10978081467992404</v>
      </c>
      <c r="AD225" s="231">
        <f>(INDEX(Models!$BJ225:$BT225,,AH225)*(1-AF225)+INDEX(Models!$BJ225:$BT225,,AH225+1)*AF225-ERP_i)*AE225*Ramure*Pc/MaxiM</f>
        <v>8.9271826713550671E-6</v>
      </c>
      <c r="AE225" s="305">
        <f t="shared" si="92"/>
        <v>0.7</v>
      </c>
      <c r="AF225" s="177">
        <f t="shared" si="93"/>
        <v>4.3283086660964809E-2</v>
      </c>
      <c r="AG225" s="817">
        <f t="shared" si="99"/>
        <v>2</v>
      </c>
      <c r="AH225" s="176">
        <f t="shared" si="94"/>
        <v>8</v>
      </c>
      <c r="AI225" s="225">
        <f t="shared" si="95"/>
        <v>2.0432830866609648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46599</v>
      </c>
      <c r="B226" s="411">
        <f>'2026'!Wh/'2026'!Env_an*'2027'!Env_an</f>
        <v>35.493776701114108</v>
      </c>
      <c r="C226" s="846"/>
      <c r="D226" s="393">
        <f t="shared" si="77"/>
        <v>38.229516109074872</v>
      </c>
      <c r="E226" s="385">
        <f t="shared" si="75"/>
        <v>39.573853410368137</v>
      </c>
      <c r="F226" s="385">
        <f t="shared" si="78"/>
        <v>39.573853410368137</v>
      </c>
      <c r="G226" s="110">
        <f t="shared" si="76"/>
        <v>0.98153014317355869</v>
      </c>
      <c r="H226" s="414" t="b">
        <f>Wh_hp&gt;='2026'!Maxi_hp</f>
        <v>1</v>
      </c>
      <c r="I226" s="390">
        <f>IF(H226,Wh_hp,'2026'!Maxi_hp)</f>
        <v>39.573853410368137</v>
      </c>
      <c r="J226" s="85">
        <f>IF(H226,An,'2026'!An_max)</f>
        <v>2027</v>
      </c>
      <c r="K226" s="197">
        <f t="shared" si="79"/>
        <v>46599</v>
      </c>
      <c r="L226" s="147">
        <f>IF(t&lt;Tvie,1-EXP((T0-t)*PertePVj)+'2026'!Pspv,1-EXP((T0-t)*PertePVj)+Pspv)</f>
        <v>7.1560921675159817E-2</v>
      </c>
      <c r="M226" s="850"/>
      <c r="N226" s="850"/>
      <c r="O226" s="48">
        <f>IF(t&lt;Tnet,'2026'!Resal+('2026'!Salim-'2026'!Resal)*(1-EXP(('2026'!Tnet-t)/('2026'!Tau_j))),Resal+(Salim-Resal)*(1-EXP((Tnet-t)/(Tau_j))))*Salcycl</f>
        <v>3.3970341158161124E-2</v>
      </c>
      <c r="P226" s="169">
        <f>(INDEX(Models!$BJ226:$BT226,,T226)*(1-R226)+INDEX(Models!$BJ226:$BT226,,T226+1)*R226-ERP_i)*Q226*Ramure*Pc/MaxiM</f>
        <v>0</v>
      </c>
      <c r="Q226" s="305">
        <f t="shared" si="80"/>
        <v>0.7</v>
      </c>
      <c r="R226" s="177">
        <f t="shared" si="81"/>
        <v>0.42145918835038176</v>
      </c>
      <c r="S226" s="817">
        <f t="shared" si="82"/>
        <v>-1</v>
      </c>
      <c r="T226" s="176">
        <f t="shared" si="83"/>
        <v>5</v>
      </c>
      <c r="U226" s="251">
        <f t="shared" si="84"/>
        <v>-0.57854081164961824</v>
      </c>
      <c r="V226" s="383">
        <f t="shared" si="85"/>
        <v>36.161677711040944</v>
      </c>
      <c r="W226" s="402">
        <f t="shared" si="86"/>
        <v>35.493776701114108</v>
      </c>
      <c r="X226" s="157">
        <f t="shared" si="87"/>
        <v>46599</v>
      </c>
      <c r="Y226" s="385">
        <f t="shared" si="88"/>
        <v>32.705851510606244</v>
      </c>
      <c r="Z226" s="385">
        <f t="shared" si="89"/>
        <v>35.22670714121233</v>
      </c>
      <c r="AA226" s="386">
        <f t="shared" si="90"/>
        <v>39.573475246416507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0.10984044434151111</v>
      </c>
      <c r="AD226" s="231">
        <f>(INDEX(Models!$BJ226:$BT226,,AH226)*(1-AF226)+INDEX(Models!$BJ226:$BT226,,AH226+1)*AF226-ERP_i)*AE226*Ramure*Pc/MaxiM</f>
        <v>9.8148746614511392E-6</v>
      </c>
      <c r="AE226" s="305">
        <f t="shared" si="92"/>
        <v>0.7</v>
      </c>
      <c r="AF226" s="177">
        <f t="shared" si="93"/>
        <v>4.5322557726438006E-2</v>
      </c>
      <c r="AG226" s="817">
        <f t="shared" si="99"/>
        <v>2</v>
      </c>
      <c r="AH226" s="176">
        <f t="shared" si="94"/>
        <v>8</v>
      </c>
      <c r="AI226" s="225">
        <f t="shared" si="95"/>
        <v>2.045322557726438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46600</v>
      </c>
      <c r="B227" s="411">
        <f>'2026'!Wh/'2026'!Env_an*'2027'!Env_an</f>
        <v>35.390320211139105</v>
      </c>
      <c r="C227" s="846"/>
      <c r="D227" s="393">
        <f t="shared" si="77"/>
        <v>38.118920447437191</v>
      </c>
      <c r="E227" s="385">
        <f t="shared" si="75"/>
        <v>39.466065603726229</v>
      </c>
      <c r="F227" s="385">
        <f t="shared" si="78"/>
        <v>39.466065603726229</v>
      </c>
      <c r="G227" s="110">
        <f t="shared" si="76"/>
        <v>0.98106877598447162</v>
      </c>
      <c r="H227" s="414" t="b">
        <f>Wh_hp&gt;='2026'!Maxi_hp</f>
        <v>1</v>
      </c>
      <c r="I227" s="390">
        <f>IF(H227,Wh_hp,'2026'!Maxi_hp)</f>
        <v>39.466065603726229</v>
      </c>
      <c r="J227" s="85">
        <f>IF(H227,An,'2026'!An_max)</f>
        <v>2027</v>
      </c>
      <c r="K227" s="197">
        <f t="shared" si="79"/>
        <v>46600</v>
      </c>
      <c r="L227" s="147">
        <f>IF(t&lt;Tvie,1-EXP((T0-t)*PertePVj)+'2026'!Pspv,1-EXP((T0-t)*PertePVj)+Pspv)</f>
        <v>7.1581256873751165E-2</v>
      </c>
      <c r="M227" s="850"/>
      <c r="N227" s="850"/>
      <c r="O227" s="48">
        <f>IF(t&lt;Tnet,'2026'!Resal+('2026'!Salim-'2026'!Resal)*(1-EXP(('2026'!Tnet-t)/('2026'!Tau_j))),Resal+(Salim-Resal)*(1-EXP((Tnet-t)/(Tau_j))))*Salcycl</f>
        <v>3.4134265366493541E-2</v>
      </c>
      <c r="P227" s="169">
        <f>(INDEX(Models!$BJ227:$BT227,,T227)*(1-R227)+INDEX(Models!$BJ227:$BT227,,T227+1)*R227-ERP_i)*Q227*Ramure*Pc/MaxiM</f>
        <v>0</v>
      </c>
      <c r="Q227" s="305">
        <f t="shared" si="80"/>
        <v>0.7</v>
      </c>
      <c r="R227" s="177">
        <f t="shared" si="81"/>
        <v>0.42343424307905098</v>
      </c>
      <c r="S227" s="817">
        <f t="shared" si="82"/>
        <v>-1</v>
      </c>
      <c r="T227" s="176">
        <f t="shared" si="83"/>
        <v>5</v>
      </c>
      <c r="U227" s="251">
        <f t="shared" si="84"/>
        <v>-0.57656575692094902</v>
      </c>
      <c r="V227" s="383">
        <f t="shared" si="85"/>
        <v>36.073230620988866</v>
      </c>
      <c r="W227" s="402">
        <f t="shared" si="86"/>
        <v>35.390320211139105</v>
      </c>
      <c r="X227" s="157">
        <f t="shared" si="87"/>
        <v>46600</v>
      </c>
      <c r="Y227" s="385">
        <f t="shared" si="88"/>
        <v>32.613854685305689</v>
      </c>
      <c r="Z227" s="385">
        <f t="shared" si="89"/>
        <v>35.128388915852348</v>
      </c>
      <c r="AA227" s="386">
        <f t="shared" si="90"/>
        <v>39.46565062330351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0.10989966309817056</v>
      </c>
      <c r="AD227" s="231">
        <f>(INDEX(Models!$BJ227:$BT227,,AH227)*(1-AF227)+INDEX(Models!$BJ227:$BT227,,AH227+1)*AF227-ERP_i)*AE227*Ramure*Pc/MaxiM</f>
        <v>1.0807141680288602E-5</v>
      </c>
      <c r="AE227" s="305">
        <f t="shared" si="92"/>
        <v>0.7</v>
      </c>
      <c r="AF227" s="177">
        <f t="shared" si="93"/>
        <v>4.7297612455106997E-2</v>
      </c>
      <c r="AG227" s="817">
        <f t="shared" si="99"/>
        <v>2</v>
      </c>
      <c r="AH227" s="176">
        <f t="shared" si="94"/>
        <v>8</v>
      </c>
      <c r="AI227" s="225">
        <f t="shared" si="95"/>
        <v>2.047297612455107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46601</v>
      </c>
      <c r="B228" s="411">
        <f>'2026'!Wh/'2026'!Env_an*'2027'!Env_an</f>
        <v>35.282821033135853</v>
      </c>
      <c r="C228" s="846"/>
      <c r="D228" s="393">
        <f t="shared" si="77"/>
        <v>38.003965447297986</v>
      </c>
      <c r="E228" s="385">
        <f t="shared" si="75"/>
        <v>39.353713796788703</v>
      </c>
      <c r="F228" s="385">
        <f t="shared" si="78"/>
        <v>39.353713796788703</v>
      </c>
      <c r="G228" s="110">
        <f t="shared" si="76"/>
        <v>0.98052647141622518</v>
      </c>
      <c r="H228" s="414" t="b">
        <f>Wh_hp&gt;='2026'!Maxi_hp</f>
        <v>1</v>
      </c>
      <c r="I228" s="390">
        <f>IF(H228,Wh_hp,'2026'!Maxi_hp)</f>
        <v>39.353713796788703</v>
      </c>
      <c r="J228" s="85">
        <f>IF(H228,An,'2026'!An_max)</f>
        <v>2027</v>
      </c>
      <c r="K228" s="197">
        <f t="shared" si="79"/>
        <v>46601</v>
      </c>
      <c r="L228" s="147">
        <f>IF(t&lt;Tvie,1-EXP((T0-t)*PertePVj)+'2026'!Pspv,1-EXP((T0-t)*PertePVj)+Pspv)</f>
        <v>7.1601591626949568E-2</v>
      </c>
      <c r="M228" s="850"/>
      <c r="N228" s="850"/>
      <c r="O228" s="48">
        <f>IF(t&lt;Tnet,'2026'!Resal+('2026'!Salim-'2026'!Resal)*(1-EXP(('2026'!Tnet-t)/('2026'!Tau_j))),Resal+(Salim-Resal)*(1-EXP((Tnet-t)/(Tau_j))))*Salcycl</f>
        <v>3.4297864655428251E-2</v>
      </c>
      <c r="P228" s="169">
        <f>(INDEX(Models!$BJ228:$BT228,,T228)*(1-R228)+INDEX(Models!$BJ228:$BT228,,T228+1)*R228-ERP_i)*Q228*Ramure*Pc/MaxiM</f>
        <v>0</v>
      </c>
      <c r="Q228" s="305">
        <f t="shared" si="80"/>
        <v>0.7</v>
      </c>
      <c r="R228" s="177">
        <f t="shared" si="81"/>
        <v>0.4253462961636878</v>
      </c>
      <c r="S228" s="817">
        <f t="shared" si="82"/>
        <v>-1</v>
      </c>
      <c r="T228" s="176">
        <f t="shared" si="83"/>
        <v>5</v>
      </c>
      <c r="U228" s="251">
        <f t="shared" si="84"/>
        <v>-0.5746537038363122</v>
      </c>
      <c r="V228" s="383">
        <f t="shared" si="85"/>
        <v>35.983547677376869</v>
      </c>
      <c r="W228" s="402">
        <f t="shared" si="86"/>
        <v>35.282821033135853</v>
      </c>
      <c r="X228" s="157">
        <f t="shared" si="87"/>
        <v>46601</v>
      </c>
      <c r="Y228" s="385">
        <f t="shared" si="88"/>
        <v>32.51811374755659</v>
      </c>
      <c r="Z228" s="385">
        <f t="shared" si="89"/>
        <v>35.026033494113996</v>
      </c>
      <c r="AA228" s="386">
        <f t="shared" si="90"/>
        <v>39.353258311510956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0.10995848890436691</v>
      </c>
      <c r="AD228" s="231">
        <f>(INDEX(Models!$BJ228:$BT228,,AH228)*(1-AF228)+INDEX(Models!$BJ228:$BT228,,AH228+1)*AF228-ERP_i)*AE228*Ramure*Pc/MaxiM</f>
        <v>1.1905335486902373E-5</v>
      </c>
      <c r="AE228" s="305">
        <f t="shared" si="92"/>
        <v>0.7</v>
      </c>
      <c r="AF228" s="177">
        <f t="shared" si="93"/>
        <v>4.9209665539743597E-2</v>
      </c>
      <c r="AG228" s="817">
        <f t="shared" si="99"/>
        <v>2</v>
      </c>
      <c r="AH228" s="176">
        <f t="shared" si="94"/>
        <v>8</v>
      </c>
      <c r="AI228" s="225">
        <f t="shared" si="95"/>
        <v>2.0492096655397436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46602</v>
      </c>
      <c r="B229" s="411">
        <f>'2026'!Wh/'2026'!Env_an*'2027'!Env_an</f>
        <v>32.919580898574083</v>
      </c>
      <c r="C229" s="846"/>
      <c r="D229" s="393">
        <f t="shared" si="77"/>
        <v>35.459239956437067</v>
      </c>
      <c r="E229" s="385">
        <f t="shared" si="75"/>
        <v>36.724819198888646</v>
      </c>
      <c r="F229" s="385">
        <f t="shared" si="78"/>
        <v>36.724819198888646</v>
      </c>
      <c r="G229" s="110">
        <f t="shared" si="76"/>
        <v>0.91717317612526739</v>
      </c>
      <c r="H229" s="414" t="b">
        <f>Wh_hp&gt;='2026'!Maxi_hp</f>
        <v>0</v>
      </c>
      <c r="I229" s="390">
        <f>IF(H229,Wh_hp,'2026'!Maxi_hp)</f>
        <v>38.935712166326411</v>
      </c>
      <c r="J229" s="85">
        <f>IF(H229,An,'2026'!An_max)</f>
        <v>2019</v>
      </c>
      <c r="K229" s="197">
        <f t="shared" si="79"/>
        <v>46602</v>
      </c>
      <c r="L229" s="147">
        <f>IF(t&lt;Tvie,1-EXP((T0-t)*PertePVj)+'2026'!Pspv,1-EXP((T0-t)*PertePVj)+Pspv)</f>
        <v>7.1621925934764685E-2</v>
      </c>
      <c r="M229" s="850"/>
      <c r="N229" s="850"/>
      <c r="O229" s="48">
        <f>IF(t&lt;Tnet,'2026'!Resal+('2026'!Salim-'2026'!Resal)*(1-EXP(('2026'!Tnet-t)/('2026'!Tau_j))),Resal+(Salim-Resal)*(1-EXP((Tnet-t)/(Tau_j))))*Salcycl</f>
        <v>3.4461142901688696E-2</v>
      </c>
      <c r="P229" s="169">
        <f>(INDEX(Models!$BJ229:$BT229,,T229)*(1-R229)+INDEX(Models!$BJ229:$BT229,,T229+1)*R229-ERP_i)*Q229*Ramure*Pc/MaxiM</f>
        <v>0</v>
      </c>
      <c r="Q229" s="305">
        <f t="shared" si="80"/>
        <v>0.7</v>
      </c>
      <c r="R229" s="177">
        <f t="shared" si="81"/>
        <v>0.42719677648641075</v>
      </c>
      <c r="S229" s="817">
        <f t="shared" si="82"/>
        <v>-1</v>
      </c>
      <c r="T229" s="176">
        <f t="shared" si="83"/>
        <v>5</v>
      </c>
      <c r="U229" s="251">
        <f t="shared" si="84"/>
        <v>-0.57280322351358925</v>
      </c>
      <c r="V229" s="383">
        <f t="shared" si="85"/>
        <v>35.892437497624684</v>
      </c>
      <c r="W229" s="402">
        <f t="shared" si="86"/>
        <v>32.919580898574083</v>
      </c>
      <c r="X229" s="157">
        <f t="shared" si="87"/>
        <v>46602</v>
      </c>
      <c r="Y229" s="385">
        <f t="shared" si="88"/>
        <v>30.343191837431085</v>
      </c>
      <c r="Z229" s="385">
        <f t="shared" si="89"/>
        <v>32.684089257475215</v>
      </c>
      <c r="AA229" s="386">
        <f t="shared" si="90"/>
        <v>36.724394678532541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0.11001693714557284</v>
      </c>
      <c r="AD229" s="231">
        <f>(INDEX(Models!$BJ229:$BT229,,AH229)*(1-AF229)+INDEX(Models!$BJ229:$BT229,,AH229+1)*AF229-ERP_i)*AE229*Ramure*Pc/MaxiM</f>
        <v>1.3110819887255367E-5</v>
      </c>
      <c r="AE229" s="305">
        <f t="shared" si="92"/>
        <v>0.7</v>
      </c>
      <c r="AF229" s="177">
        <f t="shared" si="93"/>
        <v>5.1060145862466655E-2</v>
      </c>
      <c r="AG229" s="817">
        <f t="shared" si="99"/>
        <v>2</v>
      </c>
      <c r="AH229" s="176">
        <f t="shared" si="94"/>
        <v>8</v>
      </c>
      <c r="AI229" s="225">
        <f t="shared" si="95"/>
        <v>2.0510601458624667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46603</v>
      </c>
      <c r="B230" s="411">
        <f>'2026'!Wh/'2026'!Env_an*'2027'!Env_an</f>
        <v>32.362534709750385</v>
      </c>
      <c r="C230" s="846"/>
      <c r="D230" s="393">
        <f t="shared" si="77"/>
        <v>34.859982642769793</v>
      </c>
      <c r="E230" s="385">
        <f t="shared" si="75"/>
        <v>36.110268301949525</v>
      </c>
      <c r="F230" s="385">
        <f t="shared" si="78"/>
        <v>36.110268301949525</v>
      </c>
      <c r="G230" s="110">
        <f t="shared" si="76"/>
        <v>0.9039887678098768</v>
      </c>
      <c r="H230" s="414" t="b">
        <f>Wh_hp&gt;='2026'!Maxi_hp</f>
        <v>0</v>
      </c>
      <c r="I230" s="390">
        <f>IF(H230,Wh_hp,'2026'!Maxi_hp)</f>
        <v>36.542089306289583</v>
      </c>
      <c r="J230" s="85">
        <f>IF(H230,An,'2026'!An_max)</f>
        <v>2019</v>
      </c>
      <c r="K230" s="197">
        <f t="shared" si="79"/>
        <v>46603</v>
      </c>
      <c r="L230" s="147">
        <f>IF(t&lt;Tvie,1-EXP((T0-t)*PertePVj)+'2026'!Pspv,1-EXP((T0-t)*PertePVj)+Pspv)</f>
        <v>7.1642259797206176E-2</v>
      </c>
      <c r="M230" s="850"/>
      <c r="N230" s="850"/>
      <c r="O230" s="48">
        <f>IF(t&lt;Tnet,'2026'!Resal+('2026'!Salim-'2026'!Resal)*(1-EXP(('2026'!Tnet-t)/('2026'!Tau_j))),Resal+(Salim-Resal)*(1-EXP((Tnet-t)/(Tau_j))))*Salcycl</f>
        <v>3.4624103280679025E-2</v>
      </c>
      <c r="P230" s="169">
        <f>(INDEX(Models!$BJ230:$BT230,,T230)*(1-R230)+INDEX(Models!$BJ230:$BT230,,T230+1)*R230-ERP_i)*Q230*Ramure*Pc/MaxiM</f>
        <v>0</v>
      </c>
      <c r="Q230" s="305">
        <f t="shared" si="80"/>
        <v>0.7</v>
      </c>
      <c r="R230" s="177">
        <f t="shared" si="81"/>
        <v>0.42898712302108755</v>
      </c>
      <c r="S230" s="817">
        <f t="shared" si="82"/>
        <v>-1</v>
      </c>
      <c r="T230" s="176">
        <f t="shared" si="83"/>
        <v>5</v>
      </c>
      <c r="U230" s="251">
        <f t="shared" si="84"/>
        <v>-0.57101287697891245</v>
      </c>
      <c r="V230" s="383">
        <f t="shared" si="85"/>
        <v>35.799708870449969</v>
      </c>
      <c r="W230" s="402">
        <f t="shared" si="86"/>
        <v>32.362534709750385</v>
      </c>
      <c r="X230" s="157">
        <f t="shared" si="87"/>
        <v>46603</v>
      </c>
      <c r="Y230" s="385">
        <f t="shared" si="88"/>
        <v>29.832803645060007</v>
      </c>
      <c r="Z230" s="385">
        <f t="shared" si="89"/>
        <v>32.135029798473184</v>
      </c>
      <c r="AA230" s="386">
        <f t="shared" si="90"/>
        <v>36.10981885676339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0.11007502070439569</v>
      </c>
      <c r="AD230" s="231">
        <f>(INDEX(Models!$BJ230:$BT230,,AH230)*(1-AF230)+INDEX(Models!$BJ230:$BT230,,AH230+1)*AF230-ERP_i)*AE230*Ramure*Pc/MaxiM</f>
        <v>1.4424979202513285E-5</v>
      </c>
      <c r="AE230" s="305">
        <f t="shared" si="92"/>
        <v>0.7</v>
      </c>
      <c r="AF230" s="177">
        <f t="shared" si="93"/>
        <v>5.2850492397143789E-2</v>
      </c>
      <c r="AG230" s="817">
        <f t="shared" si="99"/>
        <v>2</v>
      </c>
      <c r="AH230" s="176">
        <f t="shared" si="94"/>
        <v>8</v>
      </c>
      <c r="AI230" s="225">
        <f t="shared" si="95"/>
        <v>2.0528504923971438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46604</v>
      </c>
      <c r="B231" s="411">
        <f>'2026'!Wh/'2026'!Env_an*'2027'!Env_an</f>
        <v>29.379929854968829</v>
      </c>
      <c r="C231" s="846"/>
      <c r="D231" s="393">
        <f t="shared" si="77"/>
        <v>31.647900472624674</v>
      </c>
      <c r="E231" s="385">
        <f t="shared" si="75"/>
        <v>32.788505976326974</v>
      </c>
      <c r="F231" s="385">
        <f t="shared" si="78"/>
        <v>32.788505976326974</v>
      </c>
      <c r="G231" s="110">
        <f t="shared" si="76"/>
        <v>0.82284804230311581</v>
      </c>
      <c r="H231" s="414" t="b">
        <f>Wh_hp&gt;='2026'!Maxi_hp</f>
        <v>0</v>
      </c>
      <c r="I231" s="390">
        <f>IF(H231,Wh_hp,'2026'!Maxi_hp)</f>
        <v>40.51327472097406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7.1662593214283921E-2</v>
      </c>
      <c r="M231" s="850"/>
      <c r="N231" s="850"/>
      <c r="O231" s="48">
        <f>IF(t&lt;Tnet,'2026'!Resal+('2026'!Salim-'2026'!Resal)*(1-EXP(('2026'!Tnet-t)/('2026'!Tau_j))),Resal+(Salim-Resal)*(1-EXP((Tnet-t)/(Tau_j))))*Salcycl</f>
        <v>3.4786748274709588E-2</v>
      </c>
      <c r="P231" s="169">
        <f>(INDEX(Models!$BJ231:$BT231,,T231)*(1-R231)+INDEX(Models!$BJ231:$BT231,,T231+1)*R231-ERP_i)*Q231*Ramure*Pc/MaxiM</f>
        <v>0</v>
      </c>
      <c r="Q231" s="305">
        <f t="shared" si="80"/>
        <v>0.7</v>
      </c>
      <c r="R231" s="177">
        <f t="shared" si="81"/>
        <v>0.43071878099472993</v>
      </c>
      <c r="S231" s="817">
        <f t="shared" si="82"/>
        <v>-1</v>
      </c>
      <c r="T231" s="176">
        <f t="shared" si="83"/>
        <v>5</v>
      </c>
      <c r="U231" s="251">
        <f t="shared" si="84"/>
        <v>-0.56928121900527007</v>
      </c>
      <c r="V231" s="383">
        <f t="shared" si="85"/>
        <v>35.705170753928869</v>
      </c>
      <c r="W231" s="402">
        <f t="shared" si="86"/>
        <v>29.379929854968829</v>
      </c>
      <c r="X231" s="157">
        <f t="shared" si="87"/>
        <v>46604</v>
      </c>
      <c r="Y231" s="385">
        <f t="shared" si="88"/>
        <v>27.086167576659115</v>
      </c>
      <c r="Z231" s="385">
        <f t="shared" si="89"/>
        <v>29.177072235452098</v>
      </c>
      <c r="AA231" s="386">
        <f t="shared" si="90"/>
        <v>32.788117819564846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0.11013275004026055</v>
      </c>
      <c r="AD231" s="231">
        <f>(INDEX(Models!$BJ231:$BT231,,AH231)*(1-AF231)+INDEX(Models!$BJ231:$BT231,,AH231+1)*AF231-ERP_i)*AE231*Ramure*Pc/MaxiM</f>
        <v>1.5849226866512786E-5</v>
      </c>
      <c r="AE231" s="305">
        <f t="shared" si="92"/>
        <v>0.7</v>
      </c>
      <c r="AF231" s="177">
        <f t="shared" si="93"/>
        <v>5.4582150370785953E-2</v>
      </c>
      <c r="AG231" s="817">
        <f t="shared" si="99"/>
        <v>2</v>
      </c>
      <c r="AH231" s="176">
        <f t="shared" si="94"/>
        <v>8</v>
      </c>
      <c r="AI231" s="225">
        <f t="shared" si="95"/>
        <v>2.054582150370786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46605</v>
      </c>
      <c r="B232" s="411">
        <f>'2026'!Wh/'2026'!Env_an*'2027'!Env_an</f>
        <v>31.881592202197428</v>
      </c>
      <c r="C232" s="846"/>
      <c r="D232" s="393">
        <f t="shared" si="77"/>
        <v>34.343429741318722</v>
      </c>
      <c r="E232" s="385">
        <f t="shared" si="75"/>
        <v>35.587168530065945</v>
      </c>
      <c r="F232" s="385">
        <f t="shared" si="78"/>
        <v>35.587168530065945</v>
      </c>
      <c r="G232" s="110">
        <f t="shared" si="76"/>
        <v>0.89533324268037595</v>
      </c>
      <c r="H232" s="414" t="b">
        <f>Wh_hp&gt;='2026'!Maxi_hp</f>
        <v>0</v>
      </c>
      <c r="I232" s="390">
        <f>IF(H232,Wh_hp,'2026'!Maxi_hp)</f>
        <v>40.005159812023336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7.1682926186007689E-2</v>
      </c>
      <c r="M232" s="850"/>
      <c r="N232" s="850"/>
      <c r="O232" s="48">
        <f>IF(t&lt;Tnet,'2026'!Resal+('2026'!Salim-'2026'!Resal)*(1-EXP(('2026'!Tnet-t)/('2026'!Tau_j))),Resal+(Salim-Resal)*(1-EXP((Tnet-t)/(Tau_j))))*Salcycl</f>
        <v>3.4949079685742616E-2</v>
      </c>
      <c r="P232" s="169">
        <f>(INDEX(Models!$BJ232:$BT232,,T232)*(1-R232)+INDEX(Models!$BJ232:$BT232,,T232+1)*R232-ERP_i)*Q232*Ramure*Pc/MaxiM</f>
        <v>0</v>
      </c>
      <c r="Q232" s="305">
        <f t="shared" si="80"/>
        <v>0.7</v>
      </c>
      <c r="R232" s="177">
        <f t="shared" si="81"/>
        <v>0.43239319830426148</v>
      </c>
      <c r="S232" s="817">
        <f t="shared" si="82"/>
        <v>-1</v>
      </c>
      <c r="T232" s="176">
        <f t="shared" si="83"/>
        <v>5</v>
      </c>
      <c r="U232" s="251">
        <f t="shared" si="84"/>
        <v>-0.56760680169573852</v>
      </c>
      <c r="V232" s="383">
        <f t="shared" si="85"/>
        <v>35.60863227500959</v>
      </c>
      <c r="W232" s="402">
        <f t="shared" si="86"/>
        <v>31.881592202197428</v>
      </c>
      <c r="X232" s="157">
        <f t="shared" si="87"/>
        <v>46605</v>
      </c>
      <c r="Y232" s="385">
        <f t="shared" si="88"/>
        <v>29.395480867089091</v>
      </c>
      <c r="Z232" s="385">
        <f t="shared" si="89"/>
        <v>31.665345490542048</v>
      </c>
      <c r="AA232" s="386">
        <f t="shared" si="90"/>
        <v>35.586642354620217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0.11019013328097993</v>
      </c>
      <c r="AD232" s="231">
        <f>(INDEX(Models!$BJ232:$BT232,,AH232)*(1-AF232)+INDEX(Models!$BJ232:$BT232,,AH232+1)*AF232-ERP_i)*AE232*Ramure*Pc/MaxiM</f>
        <v>1.7385014166849928E-5</v>
      </c>
      <c r="AE232" s="305">
        <f t="shared" si="92"/>
        <v>0.7</v>
      </c>
      <c r="AF232" s="177">
        <f t="shared" si="93"/>
        <v>5.6256567680317282E-2</v>
      </c>
      <c r="AG232" s="817">
        <f t="shared" si="99"/>
        <v>2</v>
      </c>
      <c r="AH232" s="176">
        <f t="shared" si="94"/>
        <v>8</v>
      </c>
      <c r="AI232" s="225">
        <f t="shared" si="95"/>
        <v>2.0562565676803173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46606</v>
      </c>
      <c r="B233" s="411">
        <f>'2026'!Wh/'2026'!Env_an*'2027'!Env_an</f>
        <v>34.158135692019165</v>
      </c>
      <c r="C233" s="846"/>
      <c r="D233" s="393">
        <f t="shared" si="77"/>
        <v>36.796569645003203</v>
      </c>
      <c r="E233" s="385">
        <f t="shared" ref="E233:E296" si="100">Wh_pvt/(1-Psa)</f>
        <v>38.135550728798144</v>
      </c>
      <c r="F233" s="385">
        <f t="shared" si="78"/>
        <v>38.135550728798144</v>
      </c>
      <c r="G233" s="110">
        <f t="shared" ref="G233:G296" si="101">+Wh_hp/MaxiM</f>
        <v>0.96191968918351112</v>
      </c>
      <c r="H233" s="414" t="b">
        <f>Wh_hp&gt;='2026'!Maxi_hp</f>
        <v>0</v>
      </c>
      <c r="I233" s="390">
        <f>IF(H233,Wh_hp,'2026'!Maxi_hp)</f>
        <v>38.644291488995613</v>
      </c>
      <c r="J233" s="85">
        <f>IF(H233,An,'2026'!An_max)</f>
        <v>2020</v>
      </c>
      <c r="K233" s="197">
        <f t="shared" si="79"/>
        <v>46606</v>
      </c>
      <c r="L233" s="147">
        <f>IF(t&lt;Tvie,1-EXP((T0-t)*PertePVj)+'2026'!Pspv,1-EXP((T0-t)*PertePVj)+Pspv)</f>
        <v>7.1703258712387252E-2</v>
      </c>
      <c r="M233" s="850"/>
      <c r="N233" s="850"/>
      <c r="O233" s="48">
        <f>IF(t&lt;Tnet,'2026'!Resal+('2026'!Salim-'2026'!Resal)*(1-EXP(('2026'!Tnet-t)/('2026'!Tau_j))),Resal+(Salim-Resal)*(1-EXP((Tnet-t)/(Tau_j))))*Salcycl</f>
        <v>3.511109865220341E-2</v>
      </c>
      <c r="P233" s="169">
        <f>(INDEX(Models!$BJ233:$BT233,,T233)*(1-R233)+INDEX(Models!$BJ233:$BT233,,T233+1)*R233-ERP_i)*Q233*Ramure*Pc/MaxiM</f>
        <v>0</v>
      </c>
      <c r="Q233" s="305">
        <f t="shared" si="80"/>
        <v>0.7</v>
      </c>
      <c r="R233" s="177">
        <f t="shared" si="81"/>
        <v>0.43401182218382495</v>
      </c>
      <c r="S233" s="817">
        <f t="shared" si="82"/>
        <v>-1</v>
      </c>
      <c r="T233" s="176">
        <f t="shared" si="83"/>
        <v>5</v>
      </c>
      <c r="U233" s="251">
        <f t="shared" si="84"/>
        <v>-0.56598817781617505</v>
      </c>
      <c r="V233" s="383">
        <f t="shared" si="85"/>
        <v>35.510382078791835</v>
      </c>
      <c r="W233" s="402">
        <f t="shared" si="86"/>
        <v>34.158135692019165</v>
      </c>
      <c r="X233" s="157">
        <f t="shared" si="87"/>
        <v>46606</v>
      </c>
      <c r="Y233" s="385">
        <f t="shared" si="88"/>
        <v>31.497668421696787</v>
      </c>
      <c r="Z233" s="385">
        <f t="shared" si="89"/>
        <v>33.930603244397162</v>
      </c>
      <c r="AA233" s="386">
        <f t="shared" si="90"/>
        <v>38.134864359554356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0.11024717632446104</v>
      </c>
      <c r="AD233" s="231">
        <f>(INDEX(Models!$BJ233:$BT233,,AH233)*(1-AF233)+INDEX(Models!$BJ233:$BT233,,AH233+1)*AF233-ERP_i)*AE233*Ramure*Pc/MaxiM</f>
        <v>1.903358221486798E-5</v>
      </c>
      <c r="AE233" s="305">
        <f t="shared" si="92"/>
        <v>0.7</v>
      </c>
      <c r="AF233" s="177">
        <f t="shared" si="93"/>
        <v>5.7875191559880967E-2</v>
      </c>
      <c r="AG233" s="817">
        <f t="shared" si="99"/>
        <v>2</v>
      </c>
      <c r="AH233" s="176">
        <f t="shared" si="94"/>
        <v>8</v>
      </c>
      <c r="AI233" s="225">
        <f t="shared" si="95"/>
        <v>2.057875191559881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46607</v>
      </c>
      <c r="B234" s="411">
        <f>'2026'!Wh/'2026'!Env_an*'2027'!Env_an</f>
        <v>34.794997554337158</v>
      </c>
      <c r="C234" s="846"/>
      <c r="D234" s="393">
        <f t="shared" si="77"/>
        <v>37.483444811527342</v>
      </c>
      <c r="E234" s="385">
        <f t="shared" si="100"/>
        <v>38.853932004616937</v>
      </c>
      <c r="F234" s="385">
        <f t="shared" si="78"/>
        <v>38.853932004616937</v>
      </c>
      <c r="G234" s="110">
        <f t="shared" si="101"/>
        <v>0.98260874568327972</v>
      </c>
      <c r="H234" s="414" t="b">
        <f>Wh_hp&gt;='2026'!Maxi_hp</f>
        <v>0</v>
      </c>
      <c r="I234" s="390">
        <f>IF(H234,Wh_hp,'2026'!Maxi_hp)</f>
        <v>38.853932004616951</v>
      </c>
      <c r="J234" s="85">
        <f>IF(H234,An,'2026'!An_max)</f>
        <v>2026</v>
      </c>
      <c r="K234" s="197">
        <f t="shared" si="79"/>
        <v>46607</v>
      </c>
      <c r="L234" s="147">
        <f>IF(t&lt;Tvie,1-EXP((T0-t)*PertePVj)+'2026'!Pspv,1-EXP((T0-t)*PertePVj)+Pspv)</f>
        <v>7.1723590793432157E-2</v>
      </c>
      <c r="M234" s="850"/>
      <c r="N234" s="850"/>
      <c r="O234" s="48">
        <f>IF(t&lt;Tnet,'2026'!Resal+('2026'!Salim-'2026'!Resal)*(1-EXP(('2026'!Tnet-t)/('2026'!Tau_j))),Resal+(Salim-Resal)*(1-EXP((Tnet-t)/(Tau_j))))*Salcycl</f>
        <v>3.5272805669365498E-2</v>
      </c>
      <c r="P234" s="169">
        <f>(INDEX(Models!$BJ234:$BT234,,T234)*(1-R234)+INDEX(Models!$BJ234:$BT234,,T234+1)*R234-ERP_i)*Q234*Ramure*Pc/MaxiM</f>
        <v>0</v>
      </c>
      <c r="Q234" s="305">
        <f t="shared" si="80"/>
        <v>0.7</v>
      </c>
      <c r="R234" s="177">
        <f t="shared" si="81"/>
        <v>0.43557609611674653</v>
      </c>
      <c r="S234" s="817">
        <f t="shared" si="82"/>
        <v>-1</v>
      </c>
      <c r="T234" s="176">
        <f t="shared" si="83"/>
        <v>5</v>
      </c>
      <c r="U234" s="251">
        <f t="shared" si="84"/>
        <v>-0.56442390388325347</v>
      </c>
      <c r="V234" s="383">
        <f t="shared" si="85"/>
        <v>35.410836416015869</v>
      </c>
      <c r="W234" s="402">
        <f t="shared" si="86"/>
        <v>34.794997554337158</v>
      </c>
      <c r="X234" s="157">
        <f t="shared" si="87"/>
        <v>46607</v>
      </c>
      <c r="Y234" s="385">
        <f t="shared" si="88"/>
        <v>32.088185088649048</v>
      </c>
      <c r="Z234" s="385">
        <f t="shared" si="89"/>
        <v>34.567489564962663</v>
      </c>
      <c r="AA234" s="386">
        <f t="shared" si="90"/>
        <v>38.853141991369718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0.11030388294874588</v>
      </c>
      <c r="AD234" s="231">
        <f>(INDEX(Models!$BJ234:$BT234,,AH234)*(1-AF234)+INDEX(Models!$BJ234:$BT234,,AH234+1)*AF234-ERP_i)*AE234*Ramure*Pc/MaxiM</f>
        <v>2.0850937655097855E-5</v>
      </c>
      <c r="AE234" s="305">
        <f t="shared" si="92"/>
        <v>0.7</v>
      </c>
      <c r="AF234" s="177">
        <f t="shared" si="93"/>
        <v>5.9439465492802768E-2</v>
      </c>
      <c r="AG234" s="817">
        <f t="shared" si="99"/>
        <v>2</v>
      </c>
      <c r="AH234" s="176">
        <f t="shared" si="94"/>
        <v>8</v>
      </c>
      <c r="AI234" s="225">
        <f t="shared" si="95"/>
        <v>2.0594394654928028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46608</v>
      </c>
      <c r="B235" s="411">
        <f>'2026'!Wh/'2026'!Env_an*'2027'!Env_an</f>
        <v>32.740450504102192</v>
      </c>
      <c r="C235" s="846"/>
      <c r="D235" s="393">
        <f t="shared" si="77"/>
        <v>35.27092501218052</v>
      </c>
      <c r="E235" s="385">
        <f t="shared" si="100"/>
        <v>36.566634473861747</v>
      </c>
      <c r="F235" s="385">
        <f t="shared" si="78"/>
        <v>36.566634473861747</v>
      </c>
      <c r="G235" s="110">
        <f t="shared" si="101"/>
        <v>0.92722895070303679</v>
      </c>
      <c r="H235" s="414" t="b">
        <f>Wh_hp&gt;='2026'!Maxi_hp</f>
        <v>0</v>
      </c>
      <c r="I235" s="390">
        <f>IF(H235,Wh_hp,'2026'!Maxi_hp)</f>
        <v>38.382501503737309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7.1743922429152396E-2</v>
      </c>
      <c r="M235" s="850"/>
      <c r="N235" s="850"/>
      <c r="O235" s="48">
        <f>IF(t&lt;Tnet,'2026'!Resal+('2026'!Salim-'2026'!Resal)*(1-EXP(('2026'!Tnet-t)/('2026'!Tau_j))),Resal+(Salim-Resal)*(1-EXP((Tnet-t)/(Tau_j))))*Salcycl</f>
        <v>3.543420061278596E-2</v>
      </c>
      <c r="P235" s="169">
        <f>(INDEX(Models!$BJ235:$BT235,,T235)*(1-R235)+INDEX(Models!$BJ235:$BT235,,T235+1)*R235-ERP_i)*Q235*Ramure*Pc/MaxiM</f>
        <v>0</v>
      </c>
      <c r="Q235" s="305">
        <f t="shared" si="80"/>
        <v>0.7</v>
      </c>
      <c r="R235" s="177">
        <f t="shared" si="81"/>
        <v>0.43708745698537488</v>
      </c>
      <c r="S235" s="817">
        <f t="shared" si="82"/>
        <v>-1</v>
      </c>
      <c r="T235" s="176">
        <f t="shared" si="83"/>
        <v>5</v>
      </c>
      <c r="U235" s="251">
        <f t="shared" si="84"/>
        <v>-0.56291254301462512</v>
      </c>
      <c r="V235" s="383">
        <f t="shared" si="85"/>
        <v>35.309995960844368</v>
      </c>
      <c r="W235" s="402">
        <f t="shared" si="86"/>
        <v>32.740450504102192</v>
      </c>
      <c r="X235" s="157">
        <f t="shared" si="87"/>
        <v>46608</v>
      </c>
      <c r="Y235" s="385">
        <f t="shared" si="88"/>
        <v>30.196604064834332</v>
      </c>
      <c r="Z235" s="385">
        <f t="shared" si="89"/>
        <v>32.530467394143862</v>
      </c>
      <c r="AA235" s="386">
        <f t="shared" si="90"/>
        <v>36.565888129841753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0.11036025492854221</v>
      </c>
      <c r="AD235" s="231">
        <f>(INDEX(Models!$BJ235:$BT235,,AH235)*(1-AF235)+INDEX(Models!$BJ235:$BT235,,AH235+1)*AF235-ERP_i)*AE235*Ramure*Pc/MaxiM</f>
        <v>2.2778546657083625E-5</v>
      </c>
      <c r="AE235" s="305">
        <f t="shared" si="92"/>
        <v>0.7</v>
      </c>
      <c r="AF235" s="177">
        <f t="shared" si="93"/>
        <v>6.0950826361430899E-2</v>
      </c>
      <c r="AG235" s="817">
        <f t="shared" si="99"/>
        <v>2</v>
      </c>
      <c r="AH235" s="176">
        <f t="shared" si="94"/>
        <v>8</v>
      </c>
      <c r="AI235" s="225">
        <f t="shared" si="95"/>
        <v>2.0609508263614309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46609</v>
      </c>
      <c r="B236" s="411">
        <f>'2026'!Wh/'2026'!Env_an*'2027'!Env_an</f>
        <v>31.501197135926457</v>
      </c>
      <c r="C236" s="846"/>
      <c r="D236" s="393">
        <f t="shared" si="77"/>
        <v>33.936634371992312</v>
      </c>
      <c r="E236" s="385">
        <f t="shared" si="100"/>
        <v>35.189204040046462</v>
      </c>
      <c r="F236" s="385">
        <f t="shared" si="78"/>
        <v>35.189204040046462</v>
      </c>
      <c r="G236" s="110">
        <f t="shared" si="101"/>
        <v>0.89472055039147258</v>
      </c>
      <c r="H236" s="414" t="b">
        <f>Wh_hp&gt;='2026'!Maxi_hp</f>
        <v>0</v>
      </c>
      <c r="I236" s="390">
        <f>IF(H236,Wh_hp,'2026'!Maxi_hp)</f>
        <v>35.976281897663725</v>
      </c>
      <c r="J236" s="85">
        <f>IF(H236,An,'2026'!An_max)</f>
        <v>2018</v>
      </c>
      <c r="K236" s="197">
        <f t="shared" si="79"/>
        <v>46609</v>
      </c>
      <c r="L236" s="147">
        <f>IF(t&lt;Tvie,1-EXP((T0-t)*PertePVj)+'2026'!Pspv,1-EXP((T0-t)*PertePVj)+Pspv)</f>
        <v>7.1764253619557627E-2</v>
      </c>
      <c r="M236" s="850"/>
      <c r="N236" s="850"/>
      <c r="O236" s="48">
        <f>IF(t&lt;Tnet,'2026'!Resal+('2026'!Salim-'2026'!Resal)*(1-EXP(('2026'!Tnet-t)/('2026'!Tau_j))),Resal+(Salim-Resal)*(1-EXP((Tnet-t)/(Tau_j))))*Salcycl</f>
        <v>3.5595282764244521E-2</v>
      </c>
      <c r="P236" s="169">
        <f>(INDEX(Models!$BJ236:$BT236,,T236)*(1-R236)+INDEX(Models!$BJ236:$BT236,,T236+1)*R236-ERP_i)*Q236*Ramure*Pc/MaxiM</f>
        <v>0</v>
      </c>
      <c r="Q236" s="305">
        <f t="shared" si="80"/>
        <v>0.7</v>
      </c>
      <c r="R236" s="177">
        <f t="shared" si="81"/>
        <v>0.43854733245127198</v>
      </c>
      <c r="S236" s="817">
        <f t="shared" si="82"/>
        <v>-1</v>
      </c>
      <c r="T236" s="176">
        <f t="shared" si="83"/>
        <v>5</v>
      </c>
      <c r="U236" s="251">
        <f t="shared" si="84"/>
        <v>-0.56145266754872802</v>
      </c>
      <c r="V236" s="383">
        <f t="shared" si="85"/>
        <v>35.207861406719168</v>
      </c>
      <c r="W236" s="402">
        <f t="shared" si="86"/>
        <v>31.501197135926457</v>
      </c>
      <c r="X236" s="157">
        <f t="shared" si="87"/>
        <v>46609</v>
      </c>
      <c r="Y236" s="385">
        <f t="shared" si="88"/>
        <v>29.056640234609258</v>
      </c>
      <c r="Z236" s="385">
        <f t="shared" si="89"/>
        <v>31.303082592878553</v>
      </c>
      <c r="AA236" s="386">
        <f t="shared" si="90"/>
        <v>35.188462105222968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0.11041629215639165</v>
      </c>
      <c r="AD236" s="231">
        <f>(INDEX(Models!$BJ236:$BT236,,AH236)*(1-AF236)+INDEX(Models!$BJ236:$BT236,,AH236+1)*AF236-ERP_i)*AE236*Ramure*Pc/MaxiM</f>
        <v>2.4816550047833366E-5</v>
      </c>
      <c r="AE236" s="305">
        <f t="shared" si="92"/>
        <v>0.7</v>
      </c>
      <c r="AF236" s="177">
        <f t="shared" si="93"/>
        <v>6.2410701827328108E-2</v>
      </c>
      <c r="AG236" s="817">
        <f t="shared" si="99"/>
        <v>2</v>
      </c>
      <c r="AH236" s="176">
        <f t="shared" si="94"/>
        <v>8</v>
      </c>
      <c r="AI236" s="225">
        <f t="shared" si="95"/>
        <v>2.0624107018273281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46610</v>
      </c>
      <c r="B237" s="411">
        <f>'2026'!Wh/'2026'!Env_an*'2027'!Env_an</f>
        <v>29.411665267315595</v>
      </c>
      <c r="C237" s="846"/>
      <c r="D237" s="393">
        <f t="shared" si="77"/>
        <v>31.686249519120491</v>
      </c>
      <c r="E237" s="385">
        <f t="shared" si="100"/>
        <v>32.861237601450838</v>
      </c>
      <c r="F237" s="385">
        <f t="shared" si="78"/>
        <v>32.861237601450838</v>
      </c>
      <c r="G237" s="110">
        <f t="shared" si="101"/>
        <v>0.83783335505649248</v>
      </c>
      <c r="H237" s="414" t="b">
        <f>Wh_hp&gt;='2026'!Maxi_hp</f>
        <v>0</v>
      </c>
      <c r="I237" s="390">
        <f>IF(H237,Wh_hp,'2026'!Maxi_hp)</f>
        <v>36.771034850041509</v>
      </c>
      <c r="J237" s="85">
        <f>IF(H237,An,'2026'!An_max)</f>
        <v>2018</v>
      </c>
      <c r="K237" s="197">
        <f t="shared" si="79"/>
        <v>46610</v>
      </c>
      <c r="L237" s="147">
        <f>IF(t&lt;Tvie,1-EXP((T0-t)*PertePVj)+'2026'!Pspv,1-EXP((T0-t)*PertePVj)+Pspv)</f>
        <v>7.1784584364657622E-2</v>
      </c>
      <c r="M237" s="850"/>
      <c r="N237" s="850"/>
      <c r="O237" s="48">
        <f>IF(t&lt;Tnet,'2026'!Resal+('2026'!Salim-'2026'!Resal)*(1-EXP(('2026'!Tnet-t)/('2026'!Tau_j))),Resal+(Salim-Resal)*(1-EXP((Tnet-t)/(Tau_j))))*Salcycl</f>
        <v>3.5756050839621224E-2</v>
      </c>
      <c r="P237" s="169">
        <f>(INDEX(Models!$BJ237:$BT237,,T237)*(1-R237)+INDEX(Models!$BJ237:$BT237,,T237+1)*R237-ERP_i)*Q237*Ramure*Pc/MaxiM</f>
        <v>0</v>
      </c>
      <c r="Q237" s="305">
        <f t="shared" si="80"/>
        <v>0.7</v>
      </c>
      <c r="R237" s="177">
        <f t="shared" si="81"/>
        <v>0.43995713855761442</v>
      </c>
      <c r="S237" s="817">
        <f t="shared" si="82"/>
        <v>-1</v>
      </c>
      <c r="T237" s="176">
        <f t="shared" si="83"/>
        <v>5</v>
      </c>
      <c r="U237" s="251">
        <f t="shared" si="84"/>
        <v>-0.56004286144238558</v>
      </c>
      <c r="V237" s="383">
        <f t="shared" si="85"/>
        <v>35.104433464972828</v>
      </c>
      <c r="W237" s="402">
        <f t="shared" si="86"/>
        <v>29.411665267315595</v>
      </c>
      <c r="X237" s="157">
        <f t="shared" si="87"/>
        <v>46610</v>
      </c>
      <c r="Y237" s="385">
        <f t="shared" si="88"/>
        <v>27.132094504345975</v>
      </c>
      <c r="Z237" s="385">
        <f t="shared" si="89"/>
        <v>29.230385584336233</v>
      </c>
      <c r="AA237" s="386">
        <f t="shared" si="90"/>
        <v>32.86055677465302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0.1104719927666265</v>
      </c>
      <c r="AD237" s="231">
        <f>(INDEX(Models!$BJ237:$BT237,,AH237)*(1-AF237)+INDEX(Models!$BJ237:$BT237,,AH237+1)*AF237-ERP_i)*AE237*Ramure*Pc/MaxiM</f>
        <v>2.6965161979608898E-5</v>
      </c>
      <c r="AE237" s="305">
        <f t="shared" si="92"/>
        <v>0.7</v>
      </c>
      <c r="AF237" s="177">
        <f t="shared" si="93"/>
        <v>6.3820507933670445E-2</v>
      </c>
      <c r="AG237" s="817">
        <f t="shared" si="99"/>
        <v>2</v>
      </c>
      <c r="AH237" s="176">
        <f t="shared" si="94"/>
        <v>8</v>
      </c>
      <c r="AI237" s="225">
        <f t="shared" si="95"/>
        <v>2.0638205079336704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46611</v>
      </c>
      <c r="B238" s="411">
        <f>'2026'!Wh/'2026'!Env_an*'2027'!Env_an</f>
        <v>30.669226160863687</v>
      </c>
      <c r="C238" s="846"/>
      <c r="D238" s="393">
        <f t="shared" si="77"/>
        <v>33.04178900039846</v>
      </c>
      <c r="E238" s="385">
        <f t="shared" si="100"/>
        <v>34.272746192459856</v>
      </c>
      <c r="F238" s="385">
        <f t="shared" si="78"/>
        <v>34.272746192459856</v>
      </c>
      <c r="G238" s="110">
        <f t="shared" si="101"/>
        <v>0.87627079344443637</v>
      </c>
      <c r="H238" s="414" t="b">
        <f>Wh_hp&gt;='2026'!Maxi_hp</f>
        <v>1</v>
      </c>
      <c r="I238" s="390">
        <f>IF(H238,Wh_hp,'2026'!Maxi_hp)</f>
        <v>34.272746192459856</v>
      </c>
      <c r="J238" s="85">
        <f>IF(H238,An,'2026'!An_max)</f>
        <v>2027</v>
      </c>
      <c r="K238" s="197">
        <f t="shared" si="79"/>
        <v>46611</v>
      </c>
      <c r="L238" s="147">
        <f>IF(t&lt;Tvie,1-EXP((T0-t)*PertePVj)+'2026'!Pspv,1-EXP((T0-t)*PertePVj)+Pspv)</f>
        <v>7.1804914664462149E-2</v>
      </c>
      <c r="M238" s="850"/>
      <c r="N238" s="850"/>
      <c r="O238" s="48">
        <f>IF(t&lt;Tnet,'2026'!Resal+('2026'!Salim-'2026'!Resal)*(1-EXP(('2026'!Tnet-t)/('2026'!Tau_j))),Resal+(Salim-Resal)*(1-EXP((Tnet-t)/(Tau_j))))*Salcycl</f>
        <v>3.591650301813893E-2</v>
      </c>
      <c r="P238" s="169">
        <f>(INDEX(Models!$BJ238:$BT238,,T238)*(1-R238)+INDEX(Models!$BJ238:$BT238,,T238+1)*R238-ERP_i)*Q238*Ramure*Pc/MaxiM</f>
        <v>0</v>
      </c>
      <c r="Q238" s="305">
        <f t="shared" si="80"/>
        <v>0.7</v>
      </c>
      <c r="R238" s="177">
        <f t="shared" si="81"/>
        <v>0.44131827754518049</v>
      </c>
      <c r="S238" s="817">
        <f t="shared" si="82"/>
        <v>-1</v>
      </c>
      <c r="T238" s="176">
        <f t="shared" si="83"/>
        <v>5</v>
      </c>
      <c r="U238" s="251">
        <f t="shared" si="84"/>
        <v>-0.55868172245481951</v>
      </c>
      <c r="V238" s="383">
        <f t="shared" si="85"/>
        <v>34.999712863085847</v>
      </c>
      <c r="W238" s="402">
        <f t="shared" si="86"/>
        <v>30.669226160863687</v>
      </c>
      <c r="X238" s="157">
        <f t="shared" si="87"/>
        <v>46611</v>
      </c>
      <c r="Y238" s="385">
        <f t="shared" si="88"/>
        <v>28.295040352085728</v>
      </c>
      <c r="Z238" s="385">
        <f t="shared" si="89"/>
        <v>30.483936835172116</v>
      </c>
      <c r="AA238" s="386">
        <f t="shared" si="90"/>
        <v>34.271921623344831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0.11052735326029903</v>
      </c>
      <c r="AD238" s="231">
        <f>(INDEX(Models!$BJ238:$BT238,,AH238)*(1-AF238)+INDEX(Models!$BJ238:$BT238,,AH238+1)*AF238-ERP_i)*AE238*Ramure*Pc/MaxiM</f>
        <v>2.9224668249812226E-5</v>
      </c>
      <c r="AE238" s="305">
        <f t="shared" si="92"/>
        <v>0.7</v>
      </c>
      <c r="AF238" s="177">
        <f t="shared" si="93"/>
        <v>6.5181646921236513E-2</v>
      </c>
      <c r="AG238" s="817">
        <f t="shared" si="99"/>
        <v>2</v>
      </c>
      <c r="AH238" s="176">
        <f t="shared" si="94"/>
        <v>8</v>
      </c>
      <c r="AI238" s="225">
        <f t="shared" si="95"/>
        <v>2.0651816469212365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46612</v>
      </c>
      <c r="B239" s="411">
        <f>'2026'!Wh/'2026'!Env_an*'2027'!Env_an</f>
        <v>22.070970100258101</v>
      </c>
      <c r="C239" s="846"/>
      <c r="D239" s="393">
        <f t="shared" si="77"/>
        <v>23.778895051740552</v>
      </c>
      <c r="E239" s="385">
        <f t="shared" si="100"/>
        <v>24.668864729093141</v>
      </c>
      <c r="F239" s="385">
        <f t="shared" si="78"/>
        <v>24.668864729093141</v>
      </c>
      <c r="G239" s="110">
        <f t="shared" si="101"/>
        <v>0.63252019370320178</v>
      </c>
      <c r="H239" s="414" t="b">
        <f>Wh_hp&gt;='2026'!Maxi_hp</f>
        <v>0</v>
      </c>
      <c r="I239" s="390">
        <f>IF(H239,Wh_hp,'2026'!Maxi_hp)</f>
        <v>34.50916616392346</v>
      </c>
      <c r="J239" s="85">
        <f>IF(H239,An,'2026'!An_max)</f>
        <v>2019</v>
      </c>
      <c r="K239" s="197">
        <f t="shared" si="79"/>
        <v>46612</v>
      </c>
      <c r="L239" s="147">
        <f>IF(t&lt;Tvie,1-EXP((T0-t)*PertePVj)+'2026'!Pspv,1-EXP((T0-t)*PertePVj)+Pspv)</f>
        <v>7.1825244518980869E-2</v>
      </c>
      <c r="M239" s="850"/>
      <c r="N239" s="850"/>
      <c r="O239" s="48">
        <f>IF(t&lt;Tnet,'2026'!Resal+('2026'!Salim-'2026'!Resal)*(1-EXP(('2026'!Tnet-t)/('2026'!Tau_j))),Resal+(Salim-Resal)*(1-EXP((Tnet-t)/(Tau_j))))*Salcycl</f>
        <v>3.6076636972394001E-2</v>
      </c>
      <c r="P239" s="169">
        <f>(INDEX(Models!$BJ239:$BT239,,T239)*(1-R239)+INDEX(Models!$BJ239:$BT239,,T239+1)*R239-ERP_i)*Q239*Ramure*Pc/MaxiM</f>
        <v>0</v>
      </c>
      <c r="Q239" s="305">
        <f t="shared" si="80"/>
        <v>0.7</v>
      </c>
      <c r="R239" s="177">
        <f t="shared" si="81"/>
        <v>0.44263213587292416</v>
      </c>
      <c r="S239" s="817">
        <f t="shared" si="82"/>
        <v>-1</v>
      </c>
      <c r="T239" s="176">
        <f t="shared" si="83"/>
        <v>5</v>
      </c>
      <c r="U239" s="251">
        <f t="shared" si="84"/>
        <v>-0.55736786412707584</v>
      </c>
      <c r="V239" s="383">
        <f t="shared" si="85"/>
        <v>34.893700343446255</v>
      </c>
      <c r="W239" s="402">
        <f t="shared" si="86"/>
        <v>22.070970100258101</v>
      </c>
      <c r="X239" s="157">
        <f t="shared" si="87"/>
        <v>46612</v>
      </c>
      <c r="Y239" s="385">
        <f t="shared" si="88"/>
        <v>20.364705406440738</v>
      </c>
      <c r="Z239" s="385">
        <f t="shared" si="89"/>
        <v>21.9405939303821</v>
      </c>
      <c r="AA239" s="386">
        <f t="shared" si="90"/>
        <v>24.668494480561826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0.11058236862931556</v>
      </c>
      <c r="AD239" s="231">
        <f>(INDEX(Models!$BJ239:$BT239,,AH239)*(1-AF239)+INDEX(Models!$BJ239:$BT239,,AH239+1)*AF239-ERP_i)*AE239*Ramure*Pc/MaxiM</f>
        <v>3.159542460253452E-5</v>
      </c>
      <c r="AE239" s="305">
        <f t="shared" si="92"/>
        <v>0.7</v>
      </c>
      <c r="AF239" s="177">
        <f t="shared" si="93"/>
        <v>6.649550524898018E-2</v>
      </c>
      <c r="AG239" s="817">
        <f t="shared" si="99"/>
        <v>2</v>
      </c>
      <c r="AH239" s="176">
        <f t="shared" si="94"/>
        <v>8</v>
      </c>
      <c r="AI239" s="225">
        <f t="shared" si="95"/>
        <v>2.0664955052489802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46613</v>
      </c>
      <c r="B240" s="411">
        <f>'2026'!Wh/'2026'!Env_an*'2027'!Env_an</f>
        <v>23.359190918893681</v>
      </c>
      <c r="C240" s="846"/>
      <c r="D240" s="393">
        <f t="shared" si="77"/>
        <v>25.167353904410792</v>
      </c>
      <c r="E240" s="385">
        <f t="shared" si="100"/>
        <v>26.113618741612473</v>
      </c>
      <c r="F240" s="385">
        <f t="shared" si="78"/>
        <v>26.113618741612473</v>
      </c>
      <c r="G240" s="110">
        <f t="shared" si="101"/>
        <v>0.6715036094729967</v>
      </c>
      <c r="H240" s="414" t="b">
        <f>Wh_hp&gt;='2026'!Maxi_hp</f>
        <v>0</v>
      </c>
      <c r="I240" s="390">
        <f>IF(H240,Wh_hp,'2026'!Maxi_hp)</f>
        <v>38.844476104478311</v>
      </c>
      <c r="J240" s="85">
        <f>IF(H240,An,'2026'!An_max)</f>
        <v>2019</v>
      </c>
      <c r="K240" s="197">
        <f t="shared" si="79"/>
        <v>46613</v>
      </c>
      <c r="L240" s="147">
        <f>IF(t&lt;Tvie,1-EXP((T0-t)*PertePVj)+'2026'!Pspv,1-EXP((T0-t)*PertePVj)+Pspv)</f>
        <v>7.1845573928223549E-2</v>
      </c>
      <c r="M240" s="850"/>
      <c r="N240" s="850"/>
      <c r="O240" s="48">
        <f>IF(t&lt;Tnet,'2026'!Resal+('2026'!Salim-'2026'!Resal)*(1-EXP(('2026'!Tnet-t)/('2026'!Tau_j))),Resal+(Salim-Resal)*(1-EXP((Tnet-t)/(Tau_j))))*Salcycl</f>
        <v>3.6236449898603786E-2</v>
      </c>
      <c r="P240" s="169">
        <f>(INDEX(Models!$BJ240:$BT240,,T240)*(1-R240)+INDEX(Models!$BJ240:$BT240,,T240+1)*R240-ERP_i)*Q240*Ramure*Pc/MaxiM</f>
        <v>0</v>
      </c>
      <c r="Q240" s="305">
        <f t="shared" si="80"/>
        <v>0.7</v>
      </c>
      <c r="R240" s="177">
        <f t="shared" si="81"/>
        <v>0.44390008243387302</v>
      </c>
      <c r="S240" s="817">
        <f t="shared" si="82"/>
        <v>-1</v>
      </c>
      <c r="T240" s="176">
        <f t="shared" si="83"/>
        <v>5</v>
      </c>
      <c r="U240" s="251">
        <f t="shared" si="84"/>
        <v>-0.55609991756612698</v>
      </c>
      <c r="V240" s="383">
        <f t="shared" si="85"/>
        <v>34.78639666170406</v>
      </c>
      <c r="W240" s="402">
        <f t="shared" si="86"/>
        <v>23.359190918893681</v>
      </c>
      <c r="X240" s="157">
        <f t="shared" si="87"/>
        <v>46613</v>
      </c>
      <c r="Y240" s="385">
        <f t="shared" si="88"/>
        <v>21.555520355949941</v>
      </c>
      <c r="Z240" s="385">
        <f t="shared" si="89"/>
        <v>23.224066761367791</v>
      </c>
      <c r="AA240" s="386">
        <f t="shared" si="90"/>
        <v>26.113147960363445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0.1106370324780806</v>
      </c>
      <c r="AD240" s="231">
        <f>(INDEX(Models!$BJ240:$BT240,,AH240)*(1-AF240)+INDEX(Models!$BJ240:$BT240,,AH240+1)*AF240-ERP_i)*AE240*Ramure*Pc/MaxiM</f>
        <v>3.3969339303615972E-5</v>
      </c>
      <c r="AE240" s="305">
        <f t="shared" si="92"/>
        <v>0.7</v>
      </c>
      <c r="AF240" s="177">
        <f t="shared" si="93"/>
        <v>6.7763451809929265E-2</v>
      </c>
      <c r="AG240" s="817">
        <f t="shared" si="99"/>
        <v>2</v>
      </c>
      <c r="AH240" s="176">
        <f t="shared" si="94"/>
        <v>8</v>
      </c>
      <c r="AI240" s="225">
        <f t="shared" si="95"/>
        <v>2.0677634518099293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46614</v>
      </c>
      <c r="B241" s="411">
        <f>'2026'!Wh/'2026'!Env_an*'2027'!Env_an</f>
        <v>22.320282103690957</v>
      </c>
      <c r="C241" s="846"/>
      <c r="D241" s="393">
        <f t="shared" si="77"/>
        <v>24.048553084348679</v>
      </c>
      <c r="E241" s="385">
        <f t="shared" si="100"/>
        <v>24.956882236542427</v>
      </c>
      <c r="F241" s="385">
        <f t="shared" si="78"/>
        <v>24.956882236542427</v>
      </c>
      <c r="G241" s="110">
        <f t="shared" si="101"/>
        <v>0.64364753355286675</v>
      </c>
      <c r="H241" s="414" t="b">
        <f>Wh_hp&gt;='2026'!Maxi_hp</f>
        <v>0</v>
      </c>
      <c r="I241" s="390">
        <f>IF(H241,Wh_hp,'2026'!Maxi_hp)</f>
        <v>38.017729507891737</v>
      </c>
      <c r="J241" s="85">
        <f>IF(H241,An,'2026'!An_max)</f>
        <v>2018</v>
      </c>
      <c r="K241" s="197">
        <f t="shared" si="79"/>
        <v>46614</v>
      </c>
      <c r="L241" s="147">
        <f>IF(t&lt;Tvie,1-EXP((T0-t)*PertePVj)+'2026'!Pspv,1-EXP((T0-t)*PertePVj)+Pspv)</f>
        <v>7.1865902892200073E-2</v>
      </c>
      <c r="M241" s="850"/>
      <c r="N241" s="850"/>
      <c r="O241" s="48">
        <f>IF(t&lt;Tnet,'2026'!Resal+('2026'!Salim-'2026'!Resal)*(1-EXP(('2026'!Tnet-t)/('2026'!Tau_j))),Resal+(Salim-Resal)*(1-EXP((Tnet-t)/(Tau_j))))*Salcycl</f>
        <v>3.6395938546512498E-2</v>
      </c>
      <c r="P241" s="169">
        <f>(INDEX(Models!$BJ241:$BT241,,T241)*(1-R241)+INDEX(Models!$BJ241:$BT241,,T241+1)*R241-ERP_i)*Q241*Ramure*Pc/MaxiM</f>
        <v>0</v>
      </c>
      <c r="Q241" s="305">
        <f t="shared" si="80"/>
        <v>0.7</v>
      </c>
      <c r="R241" s="177">
        <f t="shared" si="81"/>
        <v>0.44512346695691329</v>
      </c>
      <c r="S241" s="817">
        <f t="shared" si="82"/>
        <v>-1</v>
      </c>
      <c r="T241" s="176">
        <f t="shared" si="83"/>
        <v>5</v>
      </c>
      <c r="U241" s="251">
        <f t="shared" si="84"/>
        <v>-0.55487653304308671</v>
      </c>
      <c r="V241" s="383">
        <f t="shared" si="85"/>
        <v>34.677802586277842</v>
      </c>
      <c r="W241" s="402">
        <f t="shared" si="86"/>
        <v>22.320282103690957</v>
      </c>
      <c r="X241" s="157">
        <f t="shared" si="87"/>
        <v>46614</v>
      </c>
      <c r="Y241" s="385">
        <f t="shared" si="88"/>
        <v>20.598985853486603</v>
      </c>
      <c r="Z241" s="385">
        <f t="shared" si="89"/>
        <v>22.193975975751805</v>
      </c>
      <c r="AA241" s="386">
        <f t="shared" si="90"/>
        <v>24.956437402062967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0.11069133714104609</v>
      </c>
      <c r="AD241" s="231">
        <f>(INDEX(Models!$BJ241:$BT241,,AH241)*(1-AF241)+INDEX(Models!$BJ241:$BT241,,AH241+1)*AF241-ERP_i)*AE241*Ramure*Pc/MaxiM</f>
        <v>3.6307213702140568E-5</v>
      </c>
      <c r="AE241" s="305">
        <f t="shared" si="92"/>
        <v>0.7</v>
      </c>
      <c r="AF241" s="177">
        <f t="shared" si="93"/>
        <v>6.8986836332969315E-2</v>
      </c>
      <c r="AG241" s="817">
        <f t="shared" si="99"/>
        <v>2</v>
      </c>
      <c r="AH241" s="176">
        <f t="shared" si="94"/>
        <v>8</v>
      </c>
      <c r="AI241" s="225">
        <f t="shared" si="95"/>
        <v>2.0689868363329693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46615</v>
      </c>
      <c r="B242" s="411">
        <f>'2026'!Wh/'2026'!Env_an*'2027'!Env_an</f>
        <v>22.07701299133792</v>
      </c>
      <c r="C242" s="846"/>
      <c r="D242" s="393">
        <f t="shared" si="77"/>
        <v>23.786968514538291</v>
      </c>
      <c r="E242" s="385">
        <f t="shared" si="100"/>
        <v>24.689495471907193</v>
      </c>
      <c r="F242" s="385">
        <f t="shared" si="78"/>
        <v>24.689495471907193</v>
      </c>
      <c r="G242" s="110">
        <f t="shared" si="101"/>
        <v>0.63865612094815305</v>
      </c>
      <c r="H242" s="414" t="b">
        <f>Wh_hp&gt;='2026'!Maxi_hp</f>
        <v>0</v>
      </c>
      <c r="I242" s="390">
        <f>IF(H242,Wh_hp,'2026'!Maxi_hp)</f>
        <v>38.177761326018796</v>
      </c>
      <c r="J242" s="85">
        <f>IF(H242,An,'2026'!An_max)</f>
        <v>2019</v>
      </c>
      <c r="K242" s="197">
        <f t="shared" si="79"/>
        <v>46615</v>
      </c>
      <c r="L242" s="147">
        <f>IF(t&lt;Tvie,1-EXP((T0-t)*PertePVj)+'2026'!Pspv,1-EXP((T0-t)*PertePVj)+Pspv)</f>
        <v>7.1886231410920098E-2</v>
      </c>
      <c r="M242" s="850"/>
      <c r="N242" s="850"/>
      <c r="O242" s="48">
        <f>IF(t&lt;Tnet,'2026'!Resal+('2026'!Salim-'2026'!Resal)*(1-EXP(('2026'!Tnet-t)/('2026'!Tau_j))),Resal+(Salim-Resal)*(1-EXP((Tnet-t)/(Tau_j))))*Salcycl</f>
        <v>3.6555099248416718E-2</v>
      </c>
      <c r="P242" s="169">
        <f>(INDEX(Models!$BJ242:$BT242,,T242)*(1-R242)+INDEX(Models!$BJ242:$BT242,,T242+1)*R242-ERP_i)*Q242*Ramure*Pc/MaxiM</f>
        <v>0</v>
      </c>
      <c r="Q242" s="305">
        <f t="shared" si="80"/>
        <v>0.7</v>
      </c>
      <c r="R242" s="177">
        <f t="shared" si="81"/>
        <v>0.44630361858493206</v>
      </c>
      <c r="S242" s="817">
        <f t="shared" si="82"/>
        <v>-1</v>
      </c>
      <c r="T242" s="176">
        <f t="shared" si="83"/>
        <v>5</v>
      </c>
      <c r="U242" s="251">
        <f t="shared" si="84"/>
        <v>-0.55369638141506794</v>
      </c>
      <c r="V242" s="383">
        <f t="shared" si="85"/>
        <v>34.567918895950214</v>
      </c>
      <c r="W242" s="402">
        <f t="shared" si="86"/>
        <v>22.07701299133792</v>
      </c>
      <c r="X242" s="157">
        <f t="shared" si="87"/>
        <v>46615</v>
      </c>
      <c r="Y242" s="385">
        <f t="shared" si="88"/>
        <v>20.37658970461575</v>
      </c>
      <c r="Z242" s="385">
        <f t="shared" si="89"/>
        <v>21.95484044546853</v>
      </c>
      <c r="AA242" s="386">
        <f t="shared" si="90"/>
        <v>24.689034309837531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0.11074527379467168</v>
      </c>
      <c r="AD242" s="231">
        <f>(INDEX(Models!$BJ242:$BT242,,AH242)*(1-AF242)+INDEX(Models!$BJ242:$BT242,,AH242+1)*AF242-ERP_i)*AE242*Ramure*Pc/MaxiM</f>
        <v>3.8608281830753986E-5</v>
      </c>
      <c r="AE242" s="305">
        <f t="shared" si="92"/>
        <v>0.7</v>
      </c>
      <c r="AF242" s="177">
        <f t="shared" si="93"/>
        <v>7.0166987960988081E-2</v>
      </c>
      <c r="AG242" s="817">
        <f t="shared" si="99"/>
        <v>2</v>
      </c>
      <c r="AH242" s="176">
        <f t="shared" si="94"/>
        <v>8</v>
      </c>
      <c r="AI242" s="225">
        <f t="shared" si="95"/>
        <v>2.0701669879609881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46616</v>
      </c>
      <c r="B243" s="411">
        <f>'2026'!Wh/'2026'!Env_an*'2027'!Env_an</f>
        <v>17.535634093989373</v>
      </c>
      <c r="C243" s="846"/>
      <c r="D243" s="393">
        <f t="shared" si="77"/>
        <v>18.894254962353113</v>
      </c>
      <c r="E243" s="385">
        <f t="shared" si="100"/>
        <v>19.614375739992656</v>
      </c>
      <c r="F243" s="385">
        <f t="shared" si="78"/>
        <v>19.614375739992656</v>
      </c>
      <c r="G243" s="110">
        <f t="shared" si="101"/>
        <v>0.50891729303206334</v>
      </c>
      <c r="H243" s="414" t="b">
        <f>Wh_hp&gt;='2026'!Maxi_hp</f>
        <v>0</v>
      </c>
      <c r="I243" s="390">
        <f>IF(H243,Wh_hp,'2026'!Maxi_hp)</f>
        <v>37.316431373615615</v>
      </c>
      <c r="J243" s="85">
        <f>IF(H243,An,'2026'!An_max)</f>
        <v>2019</v>
      </c>
      <c r="K243" s="197">
        <f t="shared" si="79"/>
        <v>46616</v>
      </c>
      <c r="L243" s="147">
        <f>IF(t&lt;Tvie,1-EXP((T0-t)*PertePVj)+'2026'!Pspv,1-EXP((T0-t)*PertePVj)+Pspv)</f>
        <v>7.1906559484393395E-2</v>
      </c>
      <c r="M243" s="850"/>
      <c r="N243" s="850"/>
      <c r="O243" s="48">
        <f>IF(t&lt;Tnet,'2026'!Resal+('2026'!Salim-'2026'!Resal)*(1-EXP(('2026'!Tnet-t)/('2026'!Tau_j))),Resal+(Salim-Resal)*(1-EXP((Tnet-t)/(Tau_j))))*Salcycl</f>
        <v>3.6713927946799674E-2</v>
      </c>
      <c r="P243" s="169">
        <f>(INDEX(Models!$BJ243:$BT243,,T243)*(1-R243)+INDEX(Models!$BJ243:$BT243,,T243+1)*R243-ERP_i)*Q243*Ramure*Pc/MaxiM</f>
        <v>0</v>
      </c>
      <c r="Q243" s="305">
        <f t="shared" si="80"/>
        <v>0.7</v>
      </c>
      <c r="R243" s="177">
        <f t="shared" si="81"/>
        <v>0.44744184461978476</v>
      </c>
      <c r="S243" s="817">
        <f t="shared" si="82"/>
        <v>-1</v>
      </c>
      <c r="T243" s="176">
        <f t="shared" si="83"/>
        <v>5</v>
      </c>
      <c r="U243" s="251">
        <f t="shared" si="84"/>
        <v>-0.55255815538021524</v>
      </c>
      <c r="V243" s="383">
        <f t="shared" si="85"/>
        <v>34.456746379189305</v>
      </c>
      <c r="W243" s="402">
        <f t="shared" si="86"/>
        <v>17.535634093989373</v>
      </c>
      <c r="X243" s="157">
        <f t="shared" si="87"/>
        <v>46616</v>
      </c>
      <c r="Y243" s="385">
        <f t="shared" si="88"/>
        <v>16.186797002100441</v>
      </c>
      <c r="Z243" s="385">
        <f t="shared" si="89"/>
        <v>17.440913054086227</v>
      </c>
      <c r="AA243" s="386">
        <f t="shared" si="90"/>
        <v>19.614136477515014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0.11079883256242755</v>
      </c>
      <c r="AD243" s="231">
        <f>(INDEX(Models!$BJ243:$BT243,,AH243)*(1-AF243)+INDEX(Models!$BJ243:$BT243,,AH243+1)*AF243-ERP_i)*AE243*Ramure*Pc/MaxiM</f>
        <v>4.0871799118775291E-5</v>
      </c>
      <c r="AE243" s="305">
        <f t="shared" si="92"/>
        <v>0.7</v>
      </c>
      <c r="AF243" s="177">
        <f t="shared" si="93"/>
        <v>7.1305213995840777E-2</v>
      </c>
      <c r="AG243" s="817">
        <f t="shared" si="99"/>
        <v>2</v>
      </c>
      <c r="AH243" s="176">
        <f t="shared" si="94"/>
        <v>8</v>
      </c>
      <c r="AI243" s="225">
        <f t="shared" si="95"/>
        <v>2.0713052139958408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46617</v>
      </c>
      <c r="B244" s="411">
        <f>'2026'!Wh/'2026'!Env_an*'2027'!Env_an</f>
        <v>26.015941124305314</v>
      </c>
      <c r="C244" s="846"/>
      <c r="D244" s="393">
        <f t="shared" si="77"/>
        <v>28.032210784951999</v>
      </c>
      <c r="E244" s="385">
        <f t="shared" si="100"/>
        <v>29.10539722199421</v>
      </c>
      <c r="F244" s="385">
        <f t="shared" si="78"/>
        <v>29.10539722199421</v>
      </c>
      <c r="G244" s="110">
        <f t="shared" si="101"/>
        <v>0.75750421047860439</v>
      </c>
      <c r="H244" s="414" t="b">
        <f>Wh_hp&gt;='2026'!Maxi_hp</f>
        <v>0</v>
      </c>
      <c r="I244" s="390">
        <f>IF(H244,Wh_hp,'2026'!Maxi_hp)</f>
        <v>36.873994716439007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7.1926887112629734E-2</v>
      </c>
      <c r="M244" s="850"/>
      <c r="N244" s="850"/>
      <c r="O244" s="48">
        <f>IF(t&lt;Tnet,'2026'!Resal+('2026'!Salim-'2026'!Resal)*(1-EXP(('2026'!Tnet-t)/('2026'!Tau_j))),Resal+(Salim-Resal)*(1-EXP((Tnet-t)/(Tau_j))))*Salcycl</f>
        <v>3.6872420220096895E-2</v>
      </c>
      <c r="P244" s="169">
        <f>(INDEX(Models!$BJ244:$BT244,,T244)*(1-R244)+INDEX(Models!$BJ244:$BT244,,T244+1)*R244-ERP_i)*Q244*Ramure*Pc/MaxiM</f>
        <v>0</v>
      </c>
      <c r="Q244" s="305">
        <f t="shared" si="80"/>
        <v>0.7</v>
      </c>
      <c r="R244" s="177">
        <f t="shared" si="81"/>
        <v>0.44853942942459835</v>
      </c>
      <c r="S244" s="817">
        <f t="shared" si="82"/>
        <v>-1</v>
      </c>
      <c r="T244" s="176">
        <f t="shared" si="83"/>
        <v>5</v>
      </c>
      <c r="U244" s="251">
        <f t="shared" si="84"/>
        <v>-0.55146057057540165</v>
      </c>
      <c r="V244" s="383">
        <f t="shared" si="85"/>
        <v>34.3442858329038</v>
      </c>
      <c r="W244" s="402">
        <f t="shared" si="86"/>
        <v>26.015941124305314</v>
      </c>
      <c r="X244" s="157">
        <f t="shared" si="87"/>
        <v>46617</v>
      </c>
      <c r="Y244" s="385">
        <f t="shared" si="88"/>
        <v>24.016932824838882</v>
      </c>
      <c r="Z244" s="385">
        <f t="shared" si="89"/>
        <v>25.878276712616657</v>
      </c>
      <c r="AA244" s="386">
        <f t="shared" si="90"/>
        <v>29.104577402892016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0.11085200261161579</v>
      </c>
      <c r="AD244" s="231">
        <f>(INDEX(Models!$BJ244:$BT244,,AH244)*(1-AF244)+INDEX(Models!$BJ244:$BT244,,AH244+1)*AF244-ERP_i)*AE244*Ramure*Pc/MaxiM</f>
        <v>4.3097040439453561E-5</v>
      </c>
      <c r="AE244" s="305">
        <f t="shared" si="92"/>
        <v>0.7</v>
      </c>
      <c r="AF244" s="177">
        <f t="shared" si="93"/>
        <v>7.2402798800654367E-2</v>
      </c>
      <c r="AG244" s="817">
        <f t="shared" si="99"/>
        <v>2</v>
      </c>
      <c r="AH244" s="176">
        <f t="shared" si="94"/>
        <v>8</v>
      </c>
      <c r="AI244" s="225">
        <f t="shared" si="95"/>
        <v>2.0724027988006544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46618</v>
      </c>
      <c r="B245" s="411">
        <f>'2026'!Wh/'2026'!Env_an*'2027'!Env_an</f>
        <v>26.224809032527091</v>
      </c>
      <c r="C245" s="846"/>
      <c r="D245" s="393">
        <f t="shared" si="77"/>
        <v>28.257885151029782</v>
      </c>
      <c r="E245" s="385">
        <f t="shared" si="100"/>
        <v>29.344529856319895</v>
      </c>
      <c r="F245" s="385">
        <f t="shared" si="78"/>
        <v>29.344529856319895</v>
      </c>
      <c r="G245" s="110">
        <f t="shared" si="101"/>
        <v>0.76612319051297284</v>
      </c>
      <c r="H245" s="414" t="b">
        <f>Wh_hp&gt;='2026'!Maxi_hp</f>
        <v>0</v>
      </c>
      <c r="I245" s="390">
        <f>IF(H245,Wh_hp,'2026'!Maxi_hp)</f>
        <v>35.384293693834039</v>
      </c>
      <c r="J245" s="85">
        <f>IF(H245,An,'2026'!An_max)</f>
        <v>2018</v>
      </c>
      <c r="K245" s="197">
        <f t="shared" si="79"/>
        <v>46618</v>
      </c>
      <c r="L245" s="147">
        <f>IF(t&lt;Tvie,1-EXP((T0-t)*PertePVj)+'2026'!Pspv,1-EXP((T0-t)*PertePVj)+Pspv)</f>
        <v>7.1947214295638884E-2</v>
      </c>
      <c r="M245" s="850"/>
      <c r="N245" s="850"/>
      <c r="O245" s="48">
        <f>IF(t&lt;Tnet,'2026'!Resal+('2026'!Salim-'2026'!Resal)*(1-EXP(('2026'!Tnet-t)/('2026'!Tau_j))),Resal+(Salim-Resal)*(1-EXP((Tnet-t)/(Tau_j))))*Salcycl</f>
        <v>3.7030571306157119E-2</v>
      </c>
      <c r="P245" s="169">
        <f>(INDEX(Models!$BJ245:$BT245,,T245)*(1-R245)+INDEX(Models!$BJ245:$BT245,,T245+1)*R245-ERP_i)*Q245*Ramure*Pc/MaxiM</f>
        <v>0</v>
      </c>
      <c r="Q245" s="305">
        <f t="shared" si="80"/>
        <v>0.7</v>
      </c>
      <c r="R245" s="177">
        <f t="shared" si="81"/>
        <v>0.44959763347403769</v>
      </c>
      <c r="S245" s="817">
        <f t="shared" si="82"/>
        <v>-1</v>
      </c>
      <c r="T245" s="176">
        <f t="shared" si="83"/>
        <v>5</v>
      </c>
      <c r="U245" s="251">
        <f t="shared" si="84"/>
        <v>-0.55040236652596231</v>
      </c>
      <c r="V245" s="383">
        <f t="shared" si="85"/>
        <v>34.230538061336787</v>
      </c>
      <c r="W245" s="402">
        <f t="shared" si="86"/>
        <v>26.224809032527091</v>
      </c>
      <c r="X245" s="157">
        <f t="shared" si="87"/>
        <v>46618</v>
      </c>
      <c r="Y245" s="385">
        <f t="shared" si="88"/>
        <v>24.21224266366962</v>
      </c>
      <c r="Z245" s="385">
        <f t="shared" si="89"/>
        <v>26.089294743394724</v>
      </c>
      <c r="AA245" s="386">
        <f t="shared" si="90"/>
        <v>29.343645009941302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0.11090477224094142</v>
      </c>
      <c r="AD245" s="231">
        <f>(INDEX(Models!$BJ245:$BT245,,AH245)*(1-AF245)+INDEX(Models!$BJ245:$BT245,,AH245+1)*AF245-ERP_i)*AE245*Ramure*Pc/MaxiM</f>
        <v>4.5283298244508842E-5</v>
      </c>
      <c r="AE245" s="305">
        <f t="shared" si="92"/>
        <v>0.7</v>
      </c>
      <c r="AF245" s="177">
        <f t="shared" si="93"/>
        <v>7.3461002850093493E-2</v>
      </c>
      <c r="AG245" s="817">
        <f t="shared" si="99"/>
        <v>2</v>
      </c>
      <c r="AH245" s="176">
        <f t="shared" si="94"/>
        <v>8</v>
      </c>
      <c r="AI245" s="225">
        <f t="shared" si="95"/>
        <v>2.0734610028500935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46619</v>
      </c>
      <c r="B246" s="411">
        <f>'2026'!Wh/'2026'!Env_an*'2027'!Env_an</f>
        <v>32.547264573494665</v>
      </c>
      <c r="C246" s="846"/>
      <c r="D246" s="393">
        <f t="shared" si="77"/>
        <v>35.071256677528687</v>
      </c>
      <c r="E246" s="385">
        <f t="shared" si="100"/>
        <v>36.425875849219473</v>
      </c>
      <c r="F246" s="385">
        <f t="shared" si="78"/>
        <v>36.425875849219473</v>
      </c>
      <c r="G246" s="110">
        <f t="shared" si="101"/>
        <v>0.95403147767658569</v>
      </c>
      <c r="H246" s="414" t="b">
        <f>Wh_hp&gt;='2026'!Maxi_hp</f>
        <v>0</v>
      </c>
      <c r="I246" s="390">
        <f>IF(H246,Wh_hp,'2026'!Maxi_hp)</f>
        <v>36.556455204531737</v>
      </c>
      <c r="J246" s="85">
        <f>IF(H246,An,'2026'!An_max)</f>
        <v>2021</v>
      </c>
      <c r="K246" s="197">
        <f t="shared" si="79"/>
        <v>46619</v>
      </c>
      <c r="L246" s="147">
        <f>IF(t&lt;Tvie,1-EXP((T0-t)*PertePVj)+'2026'!Pspv,1-EXP((T0-t)*PertePVj)+Pspv)</f>
        <v>7.1967541033430504E-2</v>
      </c>
      <c r="M246" s="850"/>
      <c r="N246" s="850"/>
      <c r="O246" s="48">
        <f>IF(t&lt;Tnet,'2026'!Resal+('2026'!Salim-'2026'!Resal)*(1-EXP(('2026'!Tnet-t)/('2026'!Tau_j))),Resal+(Salim-Resal)*(1-EXP((Tnet-t)/(Tau_j))))*Salcycl</f>
        <v>3.7188376123008522E-2</v>
      </c>
      <c r="P246" s="169">
        <f>(INDEX(Models!$BJ246:$BT246,,T246)*(1-R246)+INDEX(Models!$BJ246:$BT246,,T246+1)*R246-ERP_i)*Q246*Ramure*Pc/MaxiM</f>
        <v>0</v>
      </c>
      <c r="Q246" s="305">
        <f t="shared" si="80"/>
        <v>0.7</v>
      </c>
      <c r="R246" s="177">
        <f t="shared" si="81"/>
        <v>0.45061769254332296</v>
      </c>
      <c r="S246" s="817">
        <f t="shared" si="82"/>
        <v>-1</v>
      </c>
      <c r="T246" s="176">
        <f t="shared" si="83"/>
        <v>5</v>
      </c>
      <c r="U246" s="251">
        <f t="shared" si="84"/>
        <v>-0.54938230745667704</v>
      </c>
      <c r="V246" s="383">
        <f t="shared" si="85"/>
        <v>34.115503874944579</v>
      </c>
      <c r="W246" s="402">
        <f t="shared" si="86"/>
        <v>32.547264573494665</v>
      </c>
      <c r="X246" s="157">
        <f t="shared" si="87"/>
        <v>46619</v>
      </c>
      <c r="Y246" s="385">
        <f t="shared" si="88"/>
        <v>30.052224674940664</v>
      </c>
      <c r="Z246" s="385">
        <f t="shared" si="89"/>
        <v>32.382730134682966</v>
      </c>
      <c r="AA246" s="386">
        <f t="shared" si="90"/>
        <v>36.424261629505594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0.11095712895793536</v>
      </c>
      <c r="AD246" s="231">
        <f>(INDEX(Models!$BJ246:$BT246,,AH246)*(1-AF246)+INDEX(Models!$BJ246:$BT246,,AH246+1)*AF246-ERP_i)*AE246*Ramure*Pc/MaxiM</f>
        <v>4.7429880779362059E-5</v>
      </c>
      <c r="AE246" s="305">
        <f t="shared" si="92"/>
        <v>0.7</v>
      </c>
      <c r="AF246" s="177">
        <f t="shared" si="93"/>
        <v>7.4481061919378977E-2</v>
      </c>
      <c r="AG246" s="817">
        <f t="shared" si="99"/>
        <v>2</v>
      </c>
      <c r="AH246" s="176">
        <f t="shared" si="94"/>
        <v>8</v>
      </c>
      <c r="AI246" s="225">
        <f t="shared" si="95"/>
        <v>2.074481061919379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46620</v>
      </c>
      <c r="B247" s="411">
        <f>'2026'!Wh/'2026'!Env_an*'2027'!Env_an</f>
        <v>20.400725772004034</v>
      </c>
      <c r="C247" s="846"/>
      <c r="D247" s="393">
        <f t="shared" si="77"/>
        <v>21.983253293489955</v>
      </c>
      <c r="E247" s="385">
        <f t="shared" si="100"/>
        <v>22.836085857498066</v>
      </c>
      <c r="F247" s="385">
        <f t="shared" si="78"/>
        <v>22.836085857498066</v>
      </c>
      <c r="G247" s="110">
        <f t="shared" si="101"/>
        <v>0.60001015234876909</v>
      </c>
      <c r="H247" s="414" t="b">
        <f>Wh_hp&gt;='2026'!Maxi_hp</f>
        <v>0</v>
      </c>
      <c r="I247" s="390">
        <f>IF(H247,Wh_hp,'2026'!Maxi_hp)</f>
        <v>36.591801967762351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7.1987867326014365E-2</v>
      </c>
      <c r="M247" s="850"/>
      <c r="N247" s="850"/>
      <c r="O247" s="48">
        <f>IF(t&lt;Tnet,'2026'!Resal+('2026'!Salim-'2026'!Resal)*(1-EXP(('2026'!Tnet-t)/('2026'!Tau_j))),Resal+(Salim-Resal)*(1-EXP((Tnet-t)/(Tau_j))))*Salcycl</f>
        <v>3.734582928659326E-2</v>
      </c>
      <c r="P247" s="169">
        <f>(INDEX(Models!$BJ247:$BT247,,T247)*(1-R247)+INDEX(Models!$BJ247:$BT247,,T247+1)*R247-ERP_i)*Q247*Ramure*Pc/MaxiM</f>
        <v>0</v>
      </c>
      <c r="Q247" s="305">
        <f t="shared" si="80"/>
        <v>0.7</v>
      </c>
      <c r="R247" s="177">
        <f t="shared" si="81"/>
        <v>0.45160081702698718</v>
      </c>
      <c r="S247" s="817">
        <f t="shared" si="82"/>
        <v>-1</v>
      </c>
      <c r="T247" s="176">
        <f t="shared" si="83"/>
        <v>5</v>
      </c>
      <c r="U247" s="251">
        <f t="shared" si="84"/>
        <v>-0.54839918297301282</v>
      </c>
      <c r="V247" s="383">
        <f t="shared" si="85"/>
        <v>34.000634309510254</v>
      </c>
      <c r="W247" s="402">
        <f t="shared" si="86"/>
        <v>20.400725772004034</v>
      </c>
      <c r="X247" s="157">
        <f t="shared" si="87"/>
        <v>46620</v>
      </c>
      <c r="Y247" s="385">
        <f t="shared" si="88"/>
        <v>18.839242503590857</v>
      </c>
      <c r="Z247" s="385">
        <f t="shared" si="89"/>
        <v>20.300642459605815</v>
      </c>
      <c r="AA247" s="386">
        <f t="shared" si="90"/>
        <v>22.83560105711231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0.11100905954551007</v>
      </c>
      <c r="AD247" s="231">
        <f>(INDEX(Models!$BJ247:$BT247,,AH247)*(1-AF247)+INDEX(Models!$BJ247:$BT247,,AH247+1)*AF247-ERP_i)*AE247*Ramure*Pc/MaxiM</f>
        <v>4.9533997520111137E-5</v>
      </c>
      <c r="AE247" s="305">
        <f t="shared" si="92"/>
        <v>0.7</v>
      </c>
      <c r="AF247" s="177">
        <f t="shared" si="93"/>
        <v>7.5464186403042977E-2</v>
      </c>
      <c r="AG247" s="817">
        <f t="shared" si="99"/>
        <v>2</v>
      </c>
      <c r="AH247" s="176">
        <f t="shared" si="94"/>
        <v>8</v>
      </c>
      <c r="AI247" s="225">
        <f t="shared" si="95"/>
        <v>2.075464186403043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46621</v>
      </c>
      <c r="B248" s="411">
        <f>'2026'!Wh/'2026'!Env_an*'2027'!Env_an</f>
        <v>16.914056428916147</v>
      </c>
      <c r="C248" s="846"/>
      <c r="D248" s="393">
        <f t="shared" si="77"/>
        <v>18.226514829647229</v>
      </c>
      <c r="E248" s="385">
        <f t="shared" si="100"/>
        <v>18.936696334394476</v>
      </c>
      <c r="F248" s="385">
        <f t="shared" si="78"/>
        <v>18.936696334394476</v>
      </c>
      <c r="G248" s="110">
        <f t="shared" si="101"/>
        <v>0.49913210889415505</v>
      </c>
      <c r="H248" s="414" t="b">
        <f>Wh_hp&gt;='2026'!Maxi_hp</f>
        <v>0</v>
      </c>
      <c r="I248" s="390">
        <f>IF(H248,Wh_hp,'2026'!Maxi_hp)</f>
        <v>38.793135012494737</v>
      </c>
      <c r="J248" s="85">
        <f>IF(H248,An,'2026'!An_max)</f>
        <v>2019</v>
      </c>
      <c r="K248" s="197">
        <f t="shared" si="79"/>
        <v>46621</v>
      </c>
      <c r="L248" s="147">
        <f>IF(t&lt;Tvie,1-EXP((T0-t)*PertePVj)+'2026'!Pspv,1-EXP((T0-t)*PertePVj)+Pspv)</f>
        <v>7.2008193173400237E-2</v>
      </c>
      <c r="M248" s="850"/>
      <c r="N248" s="850"/>
      <c r="O248" s="48">
        <f>IF(t&lt;Tnet,'2026'!Resal+('2026'!Salim-'2026'!Resal)*(1-EXP(('2026'!Tnet-t)/('2026'!Tau_j))),Resal+(Salim-Resal)*(1-EXP((Tnet-t)/(Tau_j))))*Salcycl</f>
        <v>3.7502925125189594E-2</v>
      </c>
      <c r="P248" s="169">
        <f>(INDEX(Models!$BJ248:$BT248,,T248)*(1-R248)+INDEX(Models!$BJ248:$BT248,,T248+1)*R248-ERP_i)*Q248*Ramure*Pc/MaxiM</f>
        <v>0</v>
      </c>
      <c r="Q248" s="305">
        <f t="shared" si="80"/>
        <v>0.7</v>
      </c>
      <c r="R248" s="177">
        <f t="shared" si="81"/>
        <v>0.45254819137860558</v>
      </c>
      <c r="S248" s="817">
        <f t="shared" si="82"/>
        <v>-1</v>
      </c>
      <c r="T248" s="176">
        <f t="shared" si="83"/>
        <v>5</v>
      </c>
      <c r="U248" s="251">
        <f t="shared" si="84"/>
        <v>-0.54745180862139442</v>
      </c>
      <c r="V248" s="383">
        <f t="shared" si="85"/>
        <v>33.886933193678601</v>
      </c>
      <c r="W248" s="402">
        <f t="shared" si="86"/>
        <v>16.914056428916147</v>
      </c>
      <c r="X248" s="157">
        <f t="shared" si="87"/>
        <v>46621</v>
      </c>
      <c r="Y248" s="385">
        <f t="shared" si="88"/>
        <v>15.621191319733976</v>
      </c>
      <c r="Z248" s="385">
        <f t="shared" si="89"/>
        <v>16.8333289203844</v>
      </c>
      <c r="AA248" s="386">
        <f t="shared" si="90"/>
        <v>18.936417910806167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0.11106055011711734</v>
      </c>
      <c r="AD248" s="231">
        <f>(INDEX(Models!$BJ248:$BT248,,AH248)*(1-AF248)+INDEX(Models!$BJ248:$BT248,,AH248+1)*AF248-ERP_i)*AE248*Ramure*Pc/MaxiM</f>
        <v>5.1684290430930989E-5</v>
      </c>
      <c r="AE248" s="305">
        <f t="shared" si="92"/>
        <v>0.7</v>
      </c>
      <c r="AF248" s="177">
        <f t="shared" si="93"/>
        <v>7.64115607546616E-2</v>
      </c>
      <c r="AG248" s="817">
        <f t="shared" si="99"/>
        <v>2</v>
      </c>
      <c r="AH248" s="176">
        <f t="shared" si="94"/>
        <v>8</v>
      </c>
      <c r="AI248" s="225">
        <f t="shared" si="95"/>
        <v>2.0764115607546616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46622</v>
      </c>
      <c r="B249" s="411">
        <f>'2026'!Wh/'2026'!Env_an*'2027'!Env_an</f>
        <v>30.288215249911129</v>
      </c>
      <c r="C249" s="846"/>
      <c r="D249" s="393">
        <f t="shared" si="77"/>
        <v>32.63916602633072</v>
      </c>
      <c r="E249" s="385">
        <f t="shared" si="100"/>
        <v>33.916447842136613</v>
      </c>
      <c r="F249" s="385">
        <f t="shared" si="78"/>
        <v>33.916447842136613</v>
      </c>
      <c r="G249" s="110">
        <f t="shared" si="101"/>
        <v>0.89679802720028423</v>
      </c>
      <c r="H249" s="414" t="b">
        <f>Wh_hp&gt;='2026'!Maxi_hp</f>
        <v>0</v>
      </c>
      <c r="I249" s="390">
        <f>IF(H249,Wh_hp,'2026'!Maxi_hp)</f>
        <v>36.458624208406086</v>
      </c>
      <c r="J249" s="85">
        <f>IF(H249,An,'2026'!An_max)</f>
        <v>2019</v>
      </c>
      <c r="K249" s="197">
        <f t="shared" si="79"/>
        <v>46622</v>
      </c>
      <c r="L249" s="147">
        <f>IF(t&lt;Tvie,1-EXP((T0-t)*PertePVj)+'2026'!Pspv,1-EXP((T0-t)*PertePVj)+Pspv)</f>
        <v>7.2028518575598E-2</v>
      </c>
      <c r="M249" s="850"/>
      <c r="N249" s="850"/>
      <c r="O249" s="48">
        <f>IF(t&lt;Tnet,'2026'!Resal+('2026'!Salim-'2026'!Resal)*(1-EXP(('2026'!Tnet-t)/('2026'!Tau_j))),Resal+(Salim-Resal)*(1-EXP((Tnet-t)/(Tau_j))))*Salcycl</f>
        <v>3.76596576903033E-2</v>
      </c>
      <c r="P249" s="169">
        <f>(INDEX(Models!$BJ249:$BT249,,T249)*(1-R249)+INDEX(Models!$BJ249:$BT249,,T249+1)*R249-ERP_i)*Q249*Ramure*Pc/MaxiM</f>
        <v>0</v>
      </c>
      <c r="Q249" s="305">
        <f t="shared" si="80"/>
        <v>0.7</v>
      </c>
      <c r="R249" s="177">
        <f t="shared" si="81"/>
        <v>0.45346097366299176</v>
      </c>
      <c r="S249" s="817">
        <f t="shared" si="82"/>
        <v>-1</v>
      </c>
      <c r="T249" s="176">
        <f t="shared" si="83"/>
        <v>5</v>
      </c>
      <c r="U249" s="251">
        <f t="shared" si="84"/>
        <v>-0.54653902633700824</v>
      </c>
      <c r="V249" s="383">
        <f t="shared" si="85"/>
        <v>33.773730908472196</v>
      </c>
      <c r="W249" s="402">
        <f t="shared" si="86"/>
        <v>30.288215249911129</v>
      </c>
      <c r="X249" s="157">
        <f t="shared" si="87"/>
        <v>46622</v>
      </c>
      <c r="Y249" s="385">
        <f t="shared" si="88"/>
        <v>27.975142333682708</v>
      </c>
      <c r="Z249" s="385">
        <f t="shared" si="89"/>
        <v>30.146553955237824</v>
      </c>
      <c r="AA249" s="386">
        <f t="shared" si="90"/>
        <v>33.914891324784463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0.11111158616017143</v>
      </c>
      <c r="AD249" s="231">
        <f>(INDEX(Models!$BJ249:$BT249,,AH249)*(1-AF249)+INDEX(Models!$BJ249:$BT249,,AH249+1)*AF249-ERP_i)*AE249*Ramure*Pc/MaxiM</f>
        <v>5.3828746497691888E-5</v>
      </c>
      <c r="AE249" s="305">
        <f t="shared" si="92"/>
        <v>0.7</v>
      </c>
      <c r="AF249" s="177">
        <f t="shared" si="93"/>
        <v>7.7324343039047783E-2</v>
      </c>
      <c r="AG249" s="817">
        <f t="shared" si="99"/>
        <v>2</v>
      </c>
      <c r="AH249" s="176">
        <f t="shared" si="94"/>
        <v>8</v>
      </c>
      <c r="AI249" s="225">
        <f t="shared" si="95"/>
        <v>2.0773243430390478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46623</v>
      </c>
      <c r="B250" s="411">
        <f>'2026'!Wh/'2026'!Env_an*'2027'!Env_an</f>
        <v>29.762315114815106</v>
      </c>
      <c r="C250" s="846"/>
      <c r="D250" s="393">
        <f t="shared" si="77"/>
        <v>32.073148362805284</v>
      </c>
      <c r="E250" s="385">
        <f t="shared" si="100"/>
        <v>33.333696106921295</v>
      </c>
      <c r="F250" s="385">
        <f t="shared" si="78"/>
        <v>33.333696106921295</v>
      </c>
      <c r="G250" s="110">
        <f t="shared" si="101"/>
        <v>0.88419483878773952</v>
      </c>
      <c r="H250" s="414" t="b">
        <f>Wh_hp&gt;='2026'!Maxi_hp</f>
        <v>0</v>
      </c>
      <c r="I250" s="390">
        <f>IF(H250,Wh_hp,'2026'!Maxi_hp)</f>
        <v>36.227969880355467</v>
      </c>
      <c r="J250" s="85">
        <f>IF(H250,An,'2026'!An_max)</f>
        <v>2019</v>
      </c>
      <c r="K250" s="197">
        <f t="shared" si="79"/>
        <v>46623</v>
      </c>
      <c r="L250" s="147">
        <f>IF(t&lt;Tvie,1-EXP((T0-t)*PertePVj)+'2026'!Pspv,1-EXP((T0-t)*PertePVj)+Pspv)</f>
        <v>7.2048843532617202E-2</v>
      </c>
      <c r="M250" s="850"/>
      <c r="N250" s="850"/>
      <c r="O250" s="48">
        <f>IF(t&lt;Tnet,'2026'!Resal+('2026'!Salim-'2026'!Resal)*(1-EXP(('2026'!Tnet-t)/('2026'!Tau_j))),Resal+(Salim-Resal)*(1-EXP((Tnet-t)/(Tau_j))))*Salcycl</f>
        <v>3.7816020763874303E-2</v>
      </c>
      <c r="P250" s="169">
        <f>(INDEX(Models!$BJ250:$BT250,,T250)*(1-R250)+INDEX(Models!$BJ250:$BT250,,T250+1)*R250-ERP_i)*Q250*Ramure*Pc/MaxiM</f>
        <v>0</v>
      </c>
      <c r="Q250" s="305">
        <f t="shared" si="80"/>
        <v>0.7</v>
      </c>
      <c r="R250" s="177">
        <f t="shared" si="81"/>
        <v>0.45434029521265606</v>
      </c>
      <c r="S250" s="817">
        <f t="shared" si="82"/>
        <v>-1</v>
      </c>
      <c r="T250" s="176">
        <f t="shared" si="83"/>
        <v>5</v>
      </c>
      <c r="U250" s="251">
        <f t="shared" si="84"/>
        <v>-0.54565970478734394</v>
      </c>
      <c r="V250" s="383">
        <f t="shared" si="85"/>
        <v>33.660358338689505</v>
      </c>
      <c r="W250" s="402">
        <f t="shared" si="86"/>
        <v>29.762315114815106</v>
      </c>
      <c r="X250" s="157">
        <f t="shared" si="87"/>
        <v>46623</v>
      </c>
      <c r="Y250" s="385">
        <f t="shared" si="88"/>
        <v>27.492285229274721</v>
      </c>
      <c r="Z250" s="385">
        <f t="shared" si="89"/>
        <v>29.626866713475632</v>
      </c>
      <c r="AA250" s="386">
        <f t="shared" si="90"/>
        <v>33.332139038700035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0.11116215256759923</v>
      </c>
      <c r="AD250" s="231">
        <f>(INDEX(Models!$BJ250:$BT250,,AH250)*(1-AF250)+INDEX(Models!$BJ250:$BT250,,AH250+1)*AF250-ERP_i)*AE250*Ramure*Pc/MaxiM</f>
        <v>5.5971183953502668E-5</v>
      </c>
      <c r="AE250" s="305">
        <f t="shared" si="92"/>
        <v>0.7</v>
      </c>
      <c r="AF250" s="177">
        <f t="shared" si="93"/>
        <v>7.8203664588712307E-2</v>
      </c>
      <c r="AG250" s="817">
        <f t="shared" si="99"/>
        <v>2</v>
      </c>
      <c r="AH250" s="176">
        <f t="shared" si="94"/>
        <v>8</v>
      </c>
      <c r="AI250" s="225">
        <f t="shared" si="95"/>
        <v>2.0782036645887123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46624</v>
      </c>
      <c r="B251" s="411">
        <f>'2026'!Wh/'2026'!Env_an*'2027'!Env_an</f>
        <v>21.946324009792995</v>
      </c>
      <c r="C251" s="846"/>
      <c r="D251" s="393">
        <f t="shared" si="77"/>
        <v>23.650818847718483</v>
      </c>
      <c r="E251" s="385">
        <f t="shared" si="100"/>
        <v>24.584335425781227</v>
      </c>
      <c r="F251" s="385">
        <f t="shared" si="78"/>
        <v>24.584335425781227</v>
      </c>
      <c r="G251" s="110">
        <f t="shared" si="101"/>
        <v>0.65421295911940547</v>
      </c>
      <c r="H251" s="414" t="b">
        <f>Wh_hp&gt;='2026'!Maxi_hp</f>
        <v>0</v>
      </c>
      <c r="I251" s="390">
        <f>IF(H251,Wh_hp,'2026'!Maxi_hp)</f>
        <v>34.955028036144711</v>
      </c>
      <c r="J251" s="85">
        <f>IF(H251,An,'2026'!An_max)</f>
        <v>2020</v>
      </c>
      <c r="K251" s="197">
        <f t="shared" si="79"/>
        <v>46624</v>
      </c>
      <c r="L251" s="147">
        <f>IF(t&lt;Tvie,1-EXP((T0-t)*PertePVj)+'2026'!Pspv,1-EXP((T0-t)*PertePVj)+Pspv)</f>
        <v>7.2069168044467724E-2</v>
      </c>
      <c r="M251" s="850"/>
      <c r="N251" s="850"/>
      <c r="O251" s="48">
        <f>IF(t&lt;Tnet,'2026'!Resal+('2026'!Salim-'2026'!Resal)*(1-EXP(('2026'!Tnet-t)/('2026'!Tau_j))),Resal+(Salim-Resal)*(1-EXP((Tnet-t)/(Tau_j))))*Salcycl</f>
        <v>3.7972007861712516E-2</v>
      </c>
      <c r="P251" s="169">
        <f>(INDEX(Models!$BJ251:$BT251,,T251)*(1-R251)+INDEX(Models!$BJ251:$BT251,,T251+1)*R251-ERP_i)*Q251*Ramure*Pc/MaxiM</f>
        <v>0</v>
      </c>
      <c r="Q251" s="305">
        <f t="shared" si="80"/>
        <v>0.7</v>
      </c>
      <c r="R251" s="177">
        <f t="shared" si="81"/>
        <v>0.45518726038062063</v>
      </c>
      <c r="S251" s="817">
        <f t="shared" si="82"/>
        <v>-1</v>
      </c>
      <c r="T251" s="176">
        <f t="shared" si="83"/>
        <v>5</v>
      </c>
      <c r="U251" s="251">
        <f t="shared" si="84"/>
        <v>-0.54481273961937937</v>
      </c>
      <c r="V251" s="383">
        <f t="shared" si="85"/>
        <v>33.546146868343222</v>
      </c>
      <c r="W251" s="402">
        <f t="shared" si="86"/>
        <v>21.946324009792995</v>
      </c>
      <c r="X251" s="157">
        <f t="shared" si="87"/>
        <v>46624</v>
      </c>
      <c r="Y251" s="385">
        <f t="shared" si="88"/>
        <v>20.274930505216467</v>
      </c>
      <c r="Z251" s="385">
        <f t="shared" si="89"/>
        <v>21.849614008933017</v>
      </c>
      <c r="AA251" s="386">
        <f t="shared" si="90"/>
        <v>24.58361246222988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0.11121223365757828</v>
      </c>
      <c r="AD251" s="231">
        <f>(INDEX(Models!$BJ251:$BT251,,AH251)*(1-AF251)+INDEX(Models!$BJ251:$BT251,,AH251+1)*AF251-ERP_i)*AE251*Ramure*Pc/MaxiM</f>
        <v>5.8115439134049153E-5</v>
      </c>
      <c r="AE251" s="305">
        <f t="shared" si="92"/>
        <v>0.7</v>
      </c>
      <c r="AF251" s="177">
        <f t="shared" si="93"/>
        <v>7.9050629756676649E-2</v>
      </c>
      <c r="AG251" s="817">
        <f t="shared" si="99"/>
        <v>2</v>
      </c>
      <c r="AH251" s="176">
        <f t="shared" si="94"/>
        <v>8</v>
      </c>
      <c r="AI251" s="225">
        <f t="shared" si="95"/>
        <v>2.0790506297566766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46625</v>
      </c>
      <c r="B252" s="411">
        <f>'2026'!Wh/'2026'!Env_an*'2027'!Env_an</f>
        <v>26.708992771563288</v>
      </c>
      <c r="C252" s="846"/>
      <c r="D252" s="393">
        <f t="shared" si="77"/>
        <v>28.784018010886559</v>
      </c>
      <c r="E252" s="385">
        <f t="shared" si="100"/>
        <v>29.92498628400536</v>
      </c>
      <c r="F252" s="385">
        <f t="shared" si="78"/>
        <v>29.92498628400536</v>
      </c>
      <c r="G252" s="110">
        <f t="shared" si="101"/>
        <v>0.79894258213670943</v>
      </c>
      <c r="H252" s="414" t="b">
        <f>Wh_hp&gt;='2026'!Maxi_hp</f>
        <v>0</v>
      </c>
      <c r="I252" s="390">
        <f>IF(H252,Wh_hp,'2026'!Maxi_hp)</f>
        <v>36.589991055920372</v>
      </c>
      <c r="J252" s="85">
        <f>IF(H252,An,'2026'!An_max)</f>
        <v>2020</v>
      </c>
      <c r="K252" s="197">
        <f t="shared" si="79"/>
        <v>46625</v>
      </c>
      <c r="L252" s="147">
        <f>IF(t&lt;Tvie,1-EXP((T0-t)*PertePVj)+'2026'!Pspv,1-EXP((T0-t)*PertePVj)+Pspv)</f>
        <v>7.2089492111159226E-2</v>
      </c>
      <c r="M252" s="850"/>
      <c r="N252" s="850"/>
      <c r="O252" s="48">
        <f>IF(t&lt;Tnet,'2026'!Resal+('2026'!Salim-'2026'!Resal)*(1-EXP(('2026'!Tnet-t)/('2026'!Tau_j))),Resal+(Salim-Resal)*(1-EXP((Tnet-t)/(Tau_j))))*Salcycl</f>
        <v>3.8127612233147111E-2</v>
      </c>
      <c r="P252" s="169">
        <f>(INDEX(Models!$BJ252:$BT252,,T252)*(1-R252)+INDEX(Models!$BJ252:$BT252,,T252+1)*R252-ERP_i)*Q252*Ramure*Pc/MaxiM</f>
        <v>0</v>
      </c>
      <c r="Q252" s="305">
        <f t="shared" si="80"/>
        <v>0.7</v>
      </c>
      <c r="R252" s="177">
        <f t="shared" si="81"/>
        <v>0.45600294638202432</v>
      </c>
      <c r="S252" s="817">
        <f t="shared" si="82"/>
        <v>-1</v>
      </c>
      <c r="T252" s="176">
        <f t="shared" si="83"/>
        <v>5</v>
      </c>
      <c r="U252" s="251">
        <f t="shared" si="84"/>
        <v>-0.54399705361797568</v>
      </c>
      <c r="V252" s="383">
        <f t="shared" si="85"/>
        <v>33.430428379636709</v>
      </c>
      <c r="W252" s="402">
        <f t="shared" si="86"/>
        <v>26.708992771563288</v>
      </c>
      <c r="X252" s="157">
        <f t="shared" si="87"/>
        <v>46625</v>
      </c>
      <c r="Y252" s="385">
        <f t="shared" si="88"/>
        <v>24.67716347700652</v>
      </c>
      <c r="Z252" s="385">
        <f t="shared" si="89"/>
        <v>26.594335625265625</v>
      </c>
      <c r="AA252" s="386">
        <f t="shared" si="90"/>
        <v>29.923700837559977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0.11126181318172254</v>
      </c>
      <c r="AD252" s="231">
        <f>(INDEX(Models!$BJ252:$BT252,,AH252)*(1-AF252)+INDEX(Models!$BJ252:$BT252,,AH252+1)*AF252-ERP_i)*AE252*Ramure*Pc/MaxiM</f>
        <v>6.0265324222676098E-5</v>
      </c>
      <c r="AE252" s="305">
        <f t="shared" si="92"/>
        <v>0.7</v>
      </c>
      <c r="AF252" s="177">
        <f t="shared" si="93"/>
        <v>7.986631575808012E-2</v>
      </c>
      <c r="AG252" s="817">
        <f t="shared" si="99"/>
        <v>2</v>
      </c>
      <c r="AH252" s="176">
        <f t="shared" si="94"/>
        <v>8</v>
      </c>
      <c r="AI252" s="225">
        <f t="shared" si="95"/>
        <v>2.0798663157580801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46626</v>
      </c>
      <c r="B253" s="411">
        <f>'2026'!Wh/'2026'!Env_an*'2027'!Env_an</f>
        <v>32.310531034947722</v>
      </c>
      <c r="C253" s="846"/>
      <c r="D253" s="393">
        <f t="shared" si="77"/>
        <v>34.821503215341686</v>
      </c>
      <c r="E253" s="385">
        <f t="shared" si="100"/>
        <v>36.207633790648693</v>
      </c>
      <c r="F253" s="385">
        <f t="shared" si="78"/>
        <v>36.207633790648693</v>
      </c>
      <c r="G253" s="110">
        <f t="shared" si="101"/>
        <v>0.96992110613832649</v>
      </c>
      <c r="H253" s="414" t="b">
        <f>Wh_hp&gt;='2026'!Maxi_hp</f>
        <v>1</v>
      </c>
      <c r="I253" s="390">
        <f>IF(H253,Wh_hp,'2026'!Maxi_hp)</f>
        <v>36.207633790648693</v>
      </c>
      <c r="J253" s="85">
        <f>IF(H253,An,'2026'!An_max)</f>
        <v>2027</v>
      </c>
      <c r="K253" s="197">
        <f t="shared" si="79"/>
        <v>46626</v>
      </c>
      <c r="L253" s="147">
        <f>IF(t&lt;Tvie,1-EXP((T0-t)*PertePVj)+'2026'!Pspv,1-EXP((T0-t)*PertePVj)+Pspv)</f>
        <v>7.2109815732701477E-2</v>
      </c>
      <c r="M253" s="850"/>
      <c r="N253" s="850"/>
      <c r="O253" s="48">
        <f>IF(t&lt;Tnet,'2026'!Resal+('2026'!Salim-'2026'!Resal)*(1-EXP(('2026'!Tnet-t)/('2026'!Tau_j))),Resal+(Salim-Resal)*(1-EXP((Tnet-t)/(Tau_j))))*Salcycl</f>
        <v>3.8282826856943078E-2</v>
      </c>
      <c r="P253" s="169">
        <f>(INDEX(Models!$BJ253:$BT253,,T253)*(1-R253)+INDEX(Models!$BJ253:$BT253,,T253+1)*R253-ERP_i)*Q253*Ramure*Pc/MaxiM</f>
        <v>0</v>
      </c>
      <c r="Q253" s="305">
        <f t="shared" si="80"/>
        <v>0.7</v>
      </c>
      <c r="R253" s="177">
        <f t="shared" si="81"/>
        <v>0.45678840321727154</v>
      </c>
      <c r="S253" s="817">
        <f t="shared" si="82"/>
        <v>-1</v>
      </c>
      <c r="T253" s="176">
        <f t="shared" si="83"/>
        <v>5</v>
      </c>
      <c r="U253" s="251">
        <f t="shared" si="84"/>
        <v>-0.54321159678272846</v>
      </c>
      <c r="V253" s="383">
        <f t="shared" si="85"/>
        <v>33.31253524690257</v>
      </c>
      <c r="W253" s="402">
        <f t="shared" si="86"/>
        <v>32.310531034947722</v>
      </c>
      <c r="X253" s="157">
        <f t="shared" si="87"/>
        <v>46626</v>
      </c>
      <c r="Y253" s="385">
        <f t="shared" si="88"/>
        <v>29.855245321727406</v>
      </c>
      <c r="Z253" s="385">
        <f t="shared" si="89"/>
        <v>32.175408068684739</v>
      </c>
      <c r="AA253" s="386">
        <f t="shared" si="90"/>
        <v>36.205470663482714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0.11131087432217118</v>
      </c>
      <c r="AD253" s="231">
        <f>(INDEX(Models!$BJ253:$BT253,,AH253)*(1-AF253)+INDEX(Models!$BJ253:$BT253,,AH253+1)*AF253-ERP_i)*AE253*Ramure*Pc/MaxiM</f>
        <v>6.2424674540060483E-5</v>
      </c>
      <c r="AE253" s="305">
        <f t="shared" si="92"/>
        <v>0.7</v>
      </c>
      <c r="AF253" s="177">
        <f t="shared" si="93"/>
        <v>8.0651772593327564E-2</v>
      </c>
      <c r="AG253" s="817">
        <f t="shared" si="99"/>
        <v>2</v>
      </c>
      <c r="AH253" s="176">
        <f t="shared" si="94"/>
        <v>8</v>
      </c>
      <c r="AI253" s="225">
        <f t="shared" si="95"/>
        <v>2.0806517725933276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46627</v>
      </c>
      <c r="B254" s="411">
        <f>'2026'!Wh/'2026'!Env_an*'2027'!Env_an</f>
        <v>31.259729563542276</v>
      </c>
      <c r="C254" s="846"/>
      <c r="D254" s="393">
        <f t="shared" si="77"/>
        <v>33.689777925096351</v>
      </c>
      <c r="E254" s="385">
        <f t="shared" si="100"/>
        <v>35.036498392506317</v>
      </c>
      <c r="F254" s="385">
        <f t="shared" si="78"/>
        <v>35.036498392603093</v>
      </c>
      <c r="G254" s="110">
        <f t="shared" si="101"/>
        <v>0.9417907207440821</v>
      </c>
      <c r="H254" s="414" t="b">
        <f>Wh_hp&gt;='2026'!Maxi_hp</f>
        <v>0</v>
      </c>
      <c r="I254" s="390">
        <f>IF(H254,Wh_hp,'2026'!Maxi_hp)</f>
        <v>37.6474142668485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7.2130138909104358E-2</v>
      </c>
      <c r="M254" s="850"/>
      <c r="N254" s="850"/>
      <c r="O254" s="48">
        <f>IF(t&lt;Tnet,'2026'!Resal+('2026'!Salim-'2026'!Resal)*(1-EXP(('2026'!Tnet-t)/('2026'!Tau_j))),Resal+(Salim-Resal)*(1-EXP((Tnet-t)/(Tau_j))))*Salcycl</f>
        <v>3.8437644433611695E-2</v>
      </c>
      <c r="P254" s="169">
        <f>(INDEX(Models!$BJ254:$BT254,,T254)*(1-R254)+INDEX(Models!$BJ254:$BT254,,T254+1)*R254-ERP_i)*Q254*Ramure*Pc/MaxiM</f>
        <v>3.0126863744901563E-12</v>
      </c>
      <c r="Q254" s="305">
        <f t="shared" si="80"/>
        <v>0.7</v>
      </c>
      <c r="R254" s="177">
        <f t="shared" si="81"/>
        <v>0.45754465366983132</v>
      </c>
      <c r="S254" s="817">
        <f t="shared" si="82"/>
        <v>-1</v>
      </c>
      <c r="T254" s="176">
        <f t="shared" si="83"/>
        <v>5</v>
      </c>
      <c r="U254" s="251">
        <f t="shared" si="84"/>
        <v>-0.54245534633016868</v>
      </c>
      <c r="V254" s="383">
        <f t="shared" si="85"/>
        <v>33.191800338441453</v>
      </c>
      <c r="W254" s="402">
        <f t="shared" si="86"/>
        <v>31.259729563542276</v>
      </c>
      <c r="X254" s="157">
        <f t="shared" si="87"/>
        <v>46627</v>
      </c>
      <c r="Y254" s="385">
        <f t="shared" si="88"/>
        <v>28.887323442290075</v>
      </c>
      <c r="Z254" s="385">
        <f t="shared" si="89"/>
        <v>31.132947252244275</v>
      </c>
      <c r="AA254" s="386">
        <f t="shared" si="90"/>
        <v>35.034351616357768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0.1113593996782262</v>
      </c>
      <c r="AD254" s="231">
        <f>(INDEX(Models!$BJ254:$BT254,,AH254)*(1-AF254)+INDEX(Models!$BJ254:$BT254,,AH254+1)*AF254-ERP_i)*AE254*Ramure*Pc/MaxiM</f>
        <v>6.6829881634357973E-5</v>
      </c>
      <c r="AE254" s="305">
        <f t="shared" si="92"/>
        <v>0.7</v>
      </c>
      <c r="AF254" s="177">
        <f t="shared" si="93"/>
        <v>8.1408023045887568E-2</v>
      </c>
      <c r="AG254" s="817">
        <f t="shared" si="99"/>
        <v>2</v>
      </c>
      <c r="AH254" s="176">
        <f t="shared" si="94"/>
        <v>8</v>
      </c>
      <c r="AI254" s="225">
        <f t="shared" si="95"/>
        <v>2.0814080230458876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46628</v>
      </c>
      <c r="B255" s="411">
        <f>'2026'!Wh/'2026'!Env_an*'2027'!Env_an</f>
        <v>21.426059914241762</v>
      </c>
      <c r="C255" s="846"/>
      <c r="D255" s="393">
        <f t="shared" si="77"/>
        <v>23.092170689788386</v>
      </c>
      <c r="E255" s="385">
        <f t="shared" si="100"/>
        <v>24.019117864495321</v>
      </c>
      <c r="F255" s="385">
        <f t="shared" si="78"/>
        <v>24.019117864603754</v>
      </c>
      <c r="G255" s="110">
        <f t="shared" si="101"/>
        <v>0.64794807510735641</v>
      </c>
      <c r="H255" s="414" t="b">
        <f>Wh_hp&gt;='2026'!Maxi_hp</f>
        <v>0</v>
      </c>
      <c r="I255" s="390">
        <f>IF(H255,Wh_hp,'2026'!Maxi_hp)</f>
        <v>37.163900184673778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7.2150461640377417E-2</v>
      </c>
      <c r="M255" s="850"/>
      <c r="N255" s="850"/>
      <c r="O255" s="48">
        <f>IF(t&lt;Tnet,'2026'!Resal+('2026'!Salim-'2026'!Resal)*(1-EXP(('2026'!Tnet-t)/('2026'!Tau_j))),Resal+(Salim-Resal)*(1-EXP((Tnet-t)/(Tau_j))))*Salcycl</f>
        <v>3.8592057374310734E-2</v>
      </c>
      <c r="P255" s="169">
        <f>(INDEX(Models!$BJ255:$BT255,,T255)*(1-R255)+INDEX(Models!$BJ255:$BT255,,T255+1)*R255-ERP_i)*Q255*Ramure*Pc/MaxiM</f>
        <v>9.08212423573315E-12</v>
      </c>
      <c r="Q255" s="305">
        <f t="shared" si="80"/>
        <v>0.7</v>
      </c>
      <c r="R255" s="177">
        <f t="shared" si="81"/>
        <v>0.45827269337212595</v>
      </c>
      <c r="S255" s="817">
        <f t="shared" si="82"/>
        <v>-1</v>
      </c>
      <c r="T255" s="176">
        <f t="shared" si="83"/>
        <v>5</v>
      </c>
      <c r="U255" s="251">
        <f t="shared" si="84"/>
        <v>-0.54172730662787405</v>
      </c>
      <c r="V255" s="383">
        <f t="shared" si="85"/>
        <v>33.067557011561277</v>
      </c>
      <c r="W255" s="402">
        <f t="shared" si="86"/>
        <v>21.426059914241762</v>
      </c>
      <c r="X255" s="157">
        <f t="shared" si="87"/>
        <v>46628</v>
      </c>
      <c r="Y255" s="385">
        <f t="shared" si="88"/>
        <v>19.802563452097786</v>
      </c>
      <c r="Z255" s="385">
        <f t="shared" si="89"/>
        <v>21.342429600285652</v>
      </c>
      <c r="AA255" s="386">
        <f t="shared" si="90"/>
        <v>24.018238402617783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0.11140737124336697</v>
      </c>
      <c r="AD255" s="231">
        <f>(INDEX(Models!$BJ255:$BT255,,AH255)*(1-AF255)+INDEX(Models!$BJ255:$BT255,,AH255+1)*AF255-ERP_i)*AE255*Ramure*Pc/MaxiM</f>
        <v>7.3662019403518208E-5</v>
      </c>
      <c r="AE255" s="305">
        <f t="shared" si="92"/>
        <v>0.7</v>
      </c>
      <c r="AF255" s="177">
        <f t="shared" si="93"/>
        <v>8.2136062748181971E-2</v>
      </c>
      <c r="AG255" s="817">
        <f t="shared" si="99"/>
        <v>2</v>
      </c>
      <c r="AH255" s="176">
        <f t="shared" si="94"/>
        <v>8</v>
      </c>
      <c r="AI255" s="225">
        <f t="shared" si="95"/>
        <v>2.082136062748182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46629</v>
      </c>
      <c r="B256" s="411">
        <f>'2026'!Wh/'2026'!Env_an*'2027'!Env_an</f>
        <v>30.886683327243698</v>
      </c>
      <c r="C256" s="846"/>
      <c r="D256" s="393">
        <f t="shared" si="77"/>
        <v>33.289190286499839</v>
      </c>
      <c r="E256" s="385">
        <f t="shared" si="100"/>
        <v>34.631005215799242</v>
      </c>
      <c r="F256" s="385">
        <f t="shared" si="78"/>
        <v>34.631005216375122</v>
      </c>
      <c r="G256" s="110">
        <f t="shared" si="101"/>
        <v>0.93768945287986694</v>
      </c>
      <c r="H256" s="414" t="b">
        <f>Wh_hp&gt;='2026'!Maxi_hp</f>
        <v>0</v>
      </c>
      <c r="I256" s="390">
        <f>IF(H256,Wh_hp,'2026'!Maxi_hp)</f>
        <v>35.748351799960105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7.2170783926530646E-2</v>
      </c>
      <c r="M256" s="850"/>
      <c r="N256" s="850"/>
      <c r="O256" s="48">
        <f>IF(t&lt;Tnet,'2026'!Resal+('2026'!Salim-'2026'!Resal)*(1-EXP(('2026'!Tnet-t)/('2026'!Tau_j))),Resal+(Salim-Resal)*(1-EXP((Tnet-t)/(Tau_j))))*Salcycl</f>
        <v>3.8746057786599966E-2</v>
      </c>
      <c r="P256" s="169">
        <f>(INDEX(Models!$BJ256:$BT256,,T256)*(1-R256)+INDEX(Models!$BJ256:$BT256,,T256+1)*R256-ERP_i)*Q256*Ramure*Pc/MaxiM</f>
        <v>1.8254058020248145E-11</v>
      </c>
      <c r="Q256" s="305">
        <f t="shared" si="80"/>
        <v>0.7</v>
      </c>
      <c r="R256" s="177">
        <f t="shared" si="81"/>
        <v>0.45897349093330075</v>
      </c>
      <c r="S256" s="817">
        <f t="shared" si="82"/>
        <v>-1</v>
      </c>
      <c r="T256" s="176">
        <f t="shared" si="83"/>
        <v>5</v>
      </c>
      <c r="U256" s="251">
        <f t="shared" si="84"/>
        <v>-0.54102650906669925</v>
      </c>
      <c r="V256" s="383">
        <f t="shared" si="85"/>
        <v>32.939139106591384</v>
      </c>
      <c r="W256" s="402">
        <f t="shared" si="86"/>
        <v>30.886683327243698</v>
      </c>
      <c r="X256" s="157">
        <f t="shared" si="87"/>
        <v>46629</v>
      </c>
      <c r="Y256" s="385">
        <f t="shared" si="88"/>
        <v>28.548273360270862</v>
      </c>
      <c r="Z256" s="385">
        <f t="shared" si="89"/>
        <v>30.768888137717678</v>
      </c>
      <c r="AA256" s="386">
        <f t="shared" si="90"/>
        <v>34.62838706663959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0.11145477037364203</v>
      </c>
      <c r="AD256" s="231">
        <f>(INDEX(Models!$BJ256:$BT256,,AH256)*(1-AF256)+INDEX(Models!$BJ256:$BT256,,AH256+1)*AF256-ERP_i)*AE256*Ramure*Pc/MaxiM</f>
        <v>8.2988552393141034E-5</v>
      </c>
      <c r="AE256" s="305">
        <f t="shared" si="92"/>
        <v>0.7</v>
      </c>
      <c r="AF256" s="177">
        <f t="shared" si="93"/>
        <v>8.2836860309356553E-2</v>
      </c>
      <c r="AG256" s="817">
        <f t="shared" si="99"/>
        <v>2</v>
      </c>
      <c r="AH256" s="176">
        <f t="shared" si="94"/>
        <v>8</v>
      </c>
      <c r="AI256" s="225">
        <f t="shared" si="95"/>
        <v>2.0828368603093566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46630</v>
      </c>
      <c r="B257" s="411">
        <f>'2026'!Wh/'2026'!Env_an*'2027'!Env_an</f>
        <v>14.472663926944206</v>
      </c>
      <c r="C257" s="846"/>
      <c r="D257" s="393">
        <f t="shared" si="77"/>
        <v>15.598755322255665</v>
      </c>
      <c r="E257" s="385">
        <f t="shared" si="100"/>
        <v>16.230100341434429</v>
      </c>
      <c r="F257" s="385">
        <f t="shared" si="78"/>
        <v>16.230100341534506</v>
      </c>
      <c r="G257" s="110">
        <f t="shared" si="101"/>
        <v>0.44116065496053608</v>
      </c>
      <c r="H257" s="414" t="b">
        <f>Wh_hp&gt;='2026'!Maxi_hp</f>
        <v>0</v>
      </c>
      <c r="I257" s="390">
        <f>IF(H257,Wh_hp,'2026'!Maxi_hp)</f>
        <v>35.974532803787852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7.2191105767573482E-2</v>
      </c>
      <c r="M257" s="850"/>
      <c r="N257" s="850"/>
      <c r="O257" s="48">
        <f>IF(t&lt;Tnet,'2026'!Resal+('2026'!Salim-'2026'!Resal)*(1-EXP(('2026'!Tnet-t)/('2026'!Tau_j))),Resal+(Salim-Resal)*(1-EXP((Tnet-t)/(Tau_j))))*Salcycl</f>
        <v>3.8899637457384041E-2</v>
      </c>
      <c r="P257" s="169">
        <f>(INDEX(Models!$BJ257:$BT257,,T257)*(1-R257)+INDEX(Models!$BJ257:$BT257,,T257+1)*R257-ERP_i)*Q257*Ramure*Pc/MaxiM</f>
        <v>3.0576669519884833E-11</v>
      </c>
      <c r="Q257" s="305">
        <f t="shared" si="80"/>
        <v>0.7</v>
      </c>
      <c r="R257" s="177">
        <f t="shared" si="81"/>
        <v>0.45964798812300089</v>
      </c>
      <c r="S257" s="817">
        <f t="shared" si="82"/>
        <v>-1</v>
      </c>
      <c r="T257" s="176">
        <f t="shared" si="83"/>
        <v>5</v>
      </c>
      <c r="U257" s="251">
        <f t="shared" si="84"/>
        <v>-0.54035201187699911</v>
      </c>
      <c r="V257" s="383">
        <f t="shared" si="85"/>
        <v>32.805880950298182</v>
      </c>
      <c r="W257" s="402">
        <f t="shared" si="86"/>
        <v>14.472663926944206</v>
      </c>
      <c r="X257" s="157">
        <f t="shared" si="87"/>
        <v>46630</v>
      </c>
      <c r="Y257" s="385">
        <f t="shared" si="88"/>
        <v>13.379136601207881</v>
      </c>
      <c r="Z257" s="385">
        <f t="shared" si="89"/>
        <v>14.420142644004722</v>
      </c>
      <c r="AA257" s="386">
        <f t="shared" si="90"/>
        <v>16.229789814893508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0.11150157774860002</v>
      </c>
      <c r="AD257" s="231">
        <f>(INDEX(Models!$BJ257:$BT257,,AH257)*(1-AF257)+INDEX(Models!$BJ257:$BT257,,AH257+1)*AF257-ERP_i)*AE257*Ramure*Pc/MaxiM</f>
        <v>9.4877238567364072E-5</v>
      </c>
      <c r="AE257" s="305">
        <f t="shared" si="92"/>
        <v>0.7</v>
      </c>
      <c r="AF257" s="177">
        <f t="shared" si="93"/>
        <v>8.3511357499056693E-2</v>
      </c>
      <c r="AG257" s="817">
        <f t="shared" si="99"/>
        <v>2</v>
      </c>
      <c r="AH257" s="176">
        <f t="shared" si="94"/>
        <v>8</v>
      </c>
      <c r="AI257" s="225">
        <f t="shared" si="95"/>
        <v>2.0835113574990567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46631</v>
      </c>
      <c r="B258" s="411">
        <f>'2026'!Wh/'2026'!Env_an*'2027'!Env_an</f>
        <v>27.294396842150906</v>
      </c>
      <c r="C258" s="846"/>
      <c r="D258" s="393">
        <f t="shared" si="77"/>
        <v>29.418768069868594</v>
      </c>
      <c r="E258" s="385">
        <f t="shared" si="100"/>
        <v>30.614343532503447</v>
      </c>
      <c r="F258" s="385">
        <f t="shared" si="78"/>
        <v>30.614343533583202</v>
      </c>
      <c r="G258" s="110">
        <f t="shared" si="101"/>
        <v>0.83553123313431421</v>
      </c>
      <c r="H258" s="414" t="b">
        <f>Wh_hp&gt;='2026'!Maxi_hp</f>
        <v>0</v>
      </c>
      <c r="I258" s="390">
        <f>IF(H258,Wh_hp,'2026'!Maxi_hp)</f>
        <v>36.800779305473014</v>
      </c>
      <c r="J258" s="85">
        <f>IF(H258,An,'2026'!An_max)</f>
        <v>2018</v>
      </c>
      <c r="K258" s="197">
        <f t="shared" si="79"/>
        <v>46631</v>
      </c>
      <c r="L258" s="147">
        <f>IF(t&lt;Tvie,1-EXP((T0-t)*PertePVj)+'2026'!Pspv,1-EXP((T0-t)*PertePVj)+Pspv)</f>
        <v>7.2211427163516029E-2</v>
      </c>
      <c r="M258" s="850"/>
      <c r="N258" s="850"/>
      <c r="O258" s="48">
        <f>IF(t&lt;Tnet,'2026'!Resal+('2026'!Salim-'2026'!Resal)*(1-EXP(('2026'!Tnet-t)/('2026'!Tau_j))),Resal+(Salim-Resal)*(1-EXP((Tnet-t)/(Tau_j))))*Salcycl</f>
        <v>3.9052787833438303E-2</v>
      </c>
      <c r="P258" s="169">
        <f>(INDEX(Models!$BJ258:$BT258,,T258)*(1-R258)+INDEX(Models!$BJ258:$BT258,,T258+1)*R258-ERP_i)*Q258*Ramure*Pc/MaxiM</f>
        <v>4.6101372704274761E-11</v>
      </c>
      <c r="Q258" s="305">
        <f t="shared" si="80"/>
        <v>0.7</v>
      </c>
      <c r="R258" s="177">
        <f t="shared" si="81"/>
        <v>0.46029710010562241</v>
      </c>
      <c r="S258" s="817">
        <f t="shared" si="82"/>
        <v>-1</v>
      </c>
      <c r="T258" s="176">
        <f t="shared" si="83"/>
        <v>5</v>
      </c>
      <c r="U258" s="251">
        <f t="shared" si="84"/>
        <v>-0.53970289989437759</v>
      </c>
      <c r="V258" s="383">
        <f t="shared" si="85"/>
        <v>32.667117349361376</v>
      </c>
      <c r="W258" s="402">
        <f t="shared" si="86"/>
        <v>27.294396842150906</v>
      </c>
      <c r="X258" s="157">
        <f t="shared" si="87"/>
        <v>46631</v>
      </c>
      <c r="Y258" s="385">
        <f t="shared" si="88"/>
        <v>25.233163482433216</v>
      </c>
      <c r="Z258" s="385">
        <f t="shared" si="89"/>
        <v>27.197105268594829</v>
      </c>
      <c r="AA258" s="386">
        <f t="shared" si="90"/>
        <v>30.611781311429283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0.11154777332606726</v>
      </c>
      <c r="AD258" s="231">
        <f>(INDEX(Models!$BJ258:$BT258,,AH258)*(1-AF258)+INDEX(Models!$BJ258:$BT258,,AH258+1)*AF258-ERP_i)*AE258*Ramure*Pc/MaxiM</f>
        <v>1.0939691271429098E-4</v>
      </c>
      <c r="AE258" s="305">
        <f t="shared" si="92"/>
        <v>0.7</v>
      </c>
      <c r="AF258" s="177">
        <f t="shared" si="93"/>
        <v>8.4160469481678213E-2</v>
      </c>
      <c r="AG258" s="817">
        <f t="shared" si="99"/>
        <v>2</v>
      </c>
      <c r="AH258" s="176">
        <f t="shared" si="94"/>
        <v>8</v>
      </c>
      <c r="AI258" s="225">
        <f t="shared" si="95"/>
        <v>2.0841604694816782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46632</v>
      </c>
      <c r="B259" s="411">
        <f>'2026'!Wh/'2026'!Env_an*'2027'!Env_an</f>
        <v>26.913520007639505</v>
      </c>
      <c r="C259" s="846"/>
      <c r="D259" s="393">
        <f t="shared" si="77"/>
        <v>29.008882286001295</v>
      </c>
      <c r="E259" s="385">
        <f t="shared" si="100"/>
        <v>30.19259819451554</v>
      </c>
      <c r="F259" s="385">
        <f t="shared" si="78"/>
        <v>30.192598195991909</v>
      </c>
      <c r="G259" s="110">
        <f t="shared" si="101"/>
        <v>0.82754345004257668</v>
      </c>
      <c r="H259" s="414" t="b">
        <f>Wh_hp&gt;='2026'!Maxi_hp</f>
        <v>0</v>
      </c>
      <c r="I259" s="390">
        <f>IF(H259,Wh_hp,'2026'!Maxi_hp)</f>
        <v>34.771079559810111</v>
      </c>
      <c r="J259" s="85">
        <f>IF(H259,An,'2026'!An_max)</f>
        <v>2018</v>
      </c>
      <c r="K259" s="197">
        <f t="shared" si="79"/>
        <v>46632</v>
      </c>
      <c r="L259" s="147">
        <f>IF(t&lt;Tvie,1-EXP((T0-t)*PertePVj)+'2026'!Pspv,1-EXP((T0-t)*PertePVj)+Pspv)</f>
        <v>7.2231748114367722E-2</v>
      </c>
      <c r="M259" s="850"/>
      <c r="N259" s="850"/>
      <c r="O259" s="48">
        <f>IF(t&lt;Tnet,'2026'!Resal+('2026'!Salim-'2026'!Resal)*(1-EXP(('2026'!Tnet-t)/('2026'!Tau_j))),Resal+(Salim-Resal)*(1-EXP((Tnet-t)/(Tau_j))))*Salcycl</f>
        <v>3.9205499999972325E-2</v>
      </c>
      <c r="P259" s="169">
        <f>(INDEX(Models!$BJ259:$BT259,,T259)*(1-R259)+INDEX(Models!$BJ259:$BT259,,T259+1)*R259-ERP_i)*Q259*Ramure*Pc/MaxiM</f>
        <v>6.4883650610538895E-11</v>
      </c>
      <c r="Q259" s="305">
        <f t="shared" si="80"/>
        <v>0.7</v>
      </c>
      <c r="R259" s="177">
        <f t="shared" si="81"/>
        <v>0.46092171571982898</v>
      </c>
      <c r="S259" s="817">
        <f t="shared" si="82"/>
        <v>-1</v>
      </c>
      <c r="T259" s="176">
        <f t="shared" si="83"/>
        <v>5</v>
      </c>
      <c r="U259" s="251">
        <f t="shared" si="84"/>
        <v>-0.53907828428017102</v>
      </c>
      <c r="V259" s="383">
        <f t="shared" si="85"/>
        <v>32.522183585435421</v>
      </c>
      <c r="W259" s="402">
        <f t="shared" si="86"/>
        <v>26.913520007639505</v>
      </c>
      <c r="X259" s="157">
        <f t="shared" si="87"/>
        <v>46632</v>
      </c>
      <c r="Y259" s="385">
        <f t="shared" si="88"/>
        <v>24.883436491756459</v>
      </c>
      <c r="Z259" s="385">
        <f t="shared" si="89"/>
        <v>26.820745850251285</v>
      </c>
      <c r="AA259" s="386">
        <f t="shared" si="90"/>
        <v>30.189717103555008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0.11159333629221078</v>
      </c>
      <c r="AD259" s="231">
        <f>(INDEX(Models!$BJ259:$BT259,,AH259)*(1-AF259)+INDEX(Models!$BJ259:$BT259,,AH259+1)*AF259-ERP_i)*AE259*Ramure*Pc/MaxiM</f>
        <v>1.2661830916300582E-4</v>
      </c>
      <c r="AE259" s="305">
        <f t="shared" si="92"/>
        <v>0.7</v>
      </c>
      <c r="AF259" s="177">
        <f t="shared" si="93"/>
        <v>8.4785085095885115E-2</v>
      </c>
      <c r="AG259" s="817">
        <f t="shared" si="99"/>
        <v>2</v>
      </c>
      <c r="AH259" s="176">
        <f t="shared" si="94"/>
        <v>8</v>
      </c>
      <c r="AI259" s="225">
        <f t="shared" si="95"/>
        <v>2.0847850850958851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46633</v>
      </c>
      <c r="B260" s="411">
        <f>'2026'!Wh/'2026'!Env_an*'2027'!Env_an</f>
        <v>26.144477175889484</v>
      </c>
      <c r="C260" s="846"/>
      <c r="D260" s="393">
        <f t="shared" si="77"/>
        <v>28.180582560830054</v>
      </c>
      <c r="E260" s="385">
        <f t="shared" si="100"/>
        <v>29.335148428894367</v>
      </c>
      <c r="F260" s="385">
        <f t="shared" si="78"/>
        <v>29.335148430744944</v>
      </c>
      <c r="G260" s="110">
        <f t="shared" si="101"/>
        <v>0.80766579105238723</v>
      </c>
      <c r="H260" s="414" t="b">
        <f>Wh_hp&gt;='2026'!Maxi_hp</f>
        <v>0</v>
      </c>
      <c r="I260" s="390">
        <f>IF(H260,Wh_hp,'2026'!Maxi_hp)</f>
        <v>37.558631129408738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7.2252068620138443E-2</v>
      </c>
      <c r="M260" s="850"/>
      <c r="N260" s="850"/>
      <c r="O260" s="48">
        <f>IF(t&lt;Tnet,'2026'!Resal+('2026'!Salim-'2026'!Resal)*(1-EXP(('2026'!Tnet-t)/('2026'!Tau_j))),Resal+(Salim-Resal)*(1-EXP((Tnet-t)/(Tau_j))))*Salcycl</f>
        <v>3.9357764657740685E-2</v>
      </c>
      <c r="P260" s="169">
        <f>(INDEX(Models!$BJ260:$BT260,,T260)*(1-R260)+INDEX(Models!$BJ260:$BT260,,T260+1)*R260-ERP_i)*Q260*Ramure*Pc/MaxiM</f>
        <v>8.6983940836146675E-11</v>
      </c>
      <c r="Q260" s="305">
        <f t="shared" si="80"/>
        <v>0.7</v>
      </c>
      <c r="R260" s="177">
        <f t="shared" si="81"/>
        <v>0.46152269779845445</v>
      </c>
      <c r="S260" s="817">
        <f t="shared" si="82"/>
        <v>-1</v>
      </c>
      <c r="T260" s="176">
        <f t="shared" si="83"/>
        <v>5</v>
      </c>
      <c r="U260" s="251">
        <f t="shared" si="84"/>
        <v>-0.53847730220154555</v>
      </c>
      <c r="V260" s="383">
        <f t="shared" si="85"/>
        <v>32.370415417989186</v>
      </c>
      <c r="W260" s="402">
        <f t="shared" si="86"/>
        <v>26.144477175889484</v>
      </c>
      <c r="X260" s="157">
        <f t="shared" si="87"/>
        <v>46633</v>
      </c>
      <c r="Y260" s="385">
        <f t="shared" si="88"/>
        <v>24.174748066727961</v>
      </c>
      <c r="Z260" s="385">
        <f t="shared" si="89"/>
        <v>26.057452944974269</v>
      </c>
      <c r="AA260" s="386">
        <f t="shared" si="90"/>
        <v>29.332029208328311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0.11163824500843889</v>
      </c>
      <c r="AD260" s="231">
        <f>(INDEX(Models!$BJ260:$BT260,,AH260)*(1-AF260)+INDEX(Models!$BJ260:$BT260,,AH260+1)*AF260-ERP_i)*AE260*Ramure*Pc/MaxiM</f>
        <v>1.4661492877375261E-4</v>
      </c>
      <c r="AE260" s="305">
        <f t="shared" si="92"/>
        <v>0.7</v>
      </c>
      <c r="AF260" s="177">
        <f t="shared" si="93"/>
        <v>8.5386067174510583E-2</v>
      </c>
      <c r="AG260" s="817">
        <f t="shared" si="99"/>
        <v>2</v>
      </c>
      <c r="AH260" s="176">
        <f t="shared" si="94"/>
        <v>8</v>
      </c>
      <c r="AI260" s="225">
        <f t="shared" si="95"/>
        <v>2.0853860671745106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46634</v>
      </c>
      <c r="B261" s="411">
        <f>'2026'!Wh/'2026'!Env_an*'2027'!Env_an</f>
        <v>28.9662322831309</v>
      </c>
      <c r="C261" s="846"/>
      <c r="D261" s="393">
        <f t="shared" si="77"/>
        <v>31.222776954911364</v>
      </c>
      <c r="E261" s="385">
        <f t="shared" si="100"/>
        <v>32.507119329811793</v>
      </c>
      <c r="F261" s="385">
        <f t="shared" si="78"/>
        <v>32.507119332941571</v>
      </c>
      <c r="G261" s="110">
        <f t="shared" si="101"/>
        <v>0.89924908521763192</v>
      </c>
      <c r="H261" s="414" t="b">
        <f>Wh_hp&gt;='2026'!Maxi_hp</f>
        <v>0</v>
      </c>
      <c r="I261" s="390">
        <f>IF(H261,Wh_hp,'2026'!Maxi_hp)</f>
        <v>36.263260924320456</v>
      </c>
      <c r="J261" s="85">
        <f>IF(H261,An,'2026'!An_max)</f>
        <v>2019</v>
      </c>
      <c r="K261" s="197">
        <f t="shared" si="79"/>
        <v>46634</v>
      </c>
      <c r="L261" s="147">
        <f>IF(t&lt;Tvie,1-EXP((T0-t)*PertePVj)+'2026'!Pspv,1-EXP((T0-t)*PertePVj)+Pspv)</f>
        <v>7.2272388680837962E-2</v>
      </c>
      <c r="M261" s="850"/>
      <c r="N261" s="850"/>
      <c r="O261" s="48">
        <f>IF(t&lt;Tnet,'2026'!Resal+('2026'!Salim-'2026'!Resal)*(1-EXP(('2026'!Tnet-t)/('2026'!Tau_j))),Resal+(Salim-Resal)*(1-EXP((Tnet-t)/(Tau_j))))*Salcycl</f>
        <v>3.9509572099259413E-2</v>
      </c>
      <c r="P261" s="169">
        <f>(INDEX(Models!$BJ261:$BT261,,T261)*(1-R261)+INDEX(Models!$BJ261:$BT261,,T261+1)*R261-ERP_i)*Q261*Ramure*Pc/MaxiM</f>
        <v>1.1246707914877718E-10</v>
      </c>
      <c r="Q261" s="305">
        <f t="shared" si="80"/>
        <v>0.7</v>
      </c>
      <c r="R261" s="177">
        <f t="shared" si="81"/>
        <v>0.46210088352421863</v>
      </c>
      <c r="S261" s="817">
        <f t="shared" si="82"/>
        <v>-1</v>
      </c>
      <c r="T261" s="176">
        <f t="shared" si="83"/>
        <v>5</v>
      </c>
      <c r="U261" s="251">
        <f t="shared" si="84"/>
        <v>-0.53789911647578137</v>
      </c>
      <c r="V261" s="383">
        <f t="shared" si="85"/>
        <v>32.211578258822193</v>
      </c>
      <c r="W261" s="402">
        <f t="shared" si="86"/>
        <v>28.9662322831309</v>
      </c>
      <c r="X261" s="157">
        <f t="shared" si="87"/>
        <v>46634</v>
      </c>
      <c r="Y261" s="385">
        <f t="shared" si="88"/>
        <v>26.78577330254166</v>
      </c>
      <c r="Z261" s="385">
        <f t="shared" si="89"/>
        <v>28.872454560724147</v>
      </c>
      <c r="AA261" s="386">
        <f t="shared" si="90"/>
        <v>32.502403489477928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0.111682476956786</v>
      </c>
      <c r="AD261" s="231">
        <f>(INDEX(Models!$BJ261:$BT261,,AH261)*(1-AF261)+INDEX(Models!$BJ261:$BT261,,AH261+1)*AF261-ERP_i)*AE261*Ramure*Pc/MaxiM</f>
        <v>1.6946169871456807E-4</v>
      </c>
      <c r="AE261" s="305">
        <f t="shared" si="92"/>
        <v>0.7</v>
      </c>
      <c r="AF261" s="177">
        <f t="shared" si="93"/>
        <v>8.5964252900274651E-2</v>
      </c>
      <c r="AG261" s="817">
        <f t="shared" si="99"/>
        <v>2</v>
      </c>
      <c r="AH261" s="176">
        <f t="shared" si="94"/>
        <v>8</v>
      </c>
      <c r="AI261" s="225">
        <f t="shared" si="95"/>
        <v>2.0859642529002747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46635</v>
      </c>
      <c r="B262" s="411">
        <f>'2026'!Wh/'2026'!Env_an*'2027'!Env_an</f>
        <v>25.675119864501344</v>
      </c>
      <c r="C262" s="846"/>
      <c r="D262" s="393">
        <f t="shared" si="77"/>
        <v>27.675884510247638</v>
      </c>
      <c r="E262" s="385">
        <f t="shared" si="100"/>
        <v>28.818867066224545</v>
      </c>
      <c r="F262" s="385">
        <f t="shared" si="78"/>
        <v>28.818867082570844</v>
      </c>
      <c r="G262" s="110">
        <f t="shared" si="101"/>
        <v>0.80118917387609034</v>
      </c>
      <c r="H262" s="414" t="b">
        <f>Wh_hp&gt;='2026'!Maxi_hp</f>
        <v>0</v>
      </c>
      <c r="I262" s="390">
        <f>IF(H262,Wh_hp,'2026'!Maxi_hp)</f>
        <v>35.661957440699879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7.2292708296476049E-2</v>
      </c>
      <c r="M262" s="850"/>
      <c r="N262" s="850"/>
      <c r="O262" s="48">
        <f>IF(t&lt;Tnet,'2026'!Resal+('2026'!Salim-'2026'!Resal)*(1-EXP(('2026'!Tnet-t)/('2026'!Tau_j))),Resal+(Salim-Resal)*(1-EXP((Tnet-t)/(Tau_j))))*Salcycl</f>
        <v>3.9660912184728933E-2</v>
      </c>
      <c r="P262" s="169">
        <f>(INDEX(Models!$BJ262:$BT262,,T262)*(1-R262)+INDEX(Models!$BJ262:$BT262,,T262+1)*R262-ERP_i)*Q262*Ramure*Pc/MaxiM</f>
        <v>7.9220738980034295E-10</v>
      </c>
      <c r="Q262" s="305">
        <f t="shared" si="80"/>
        <v>0.7</v>
      </c>
      <c r="R262" s="177">
        <f t="shared" si="81"/>
        <v>0.46265708481699064</v>
      </c>
      <c r="S262" s="817">
        <f t="shared" si="82"/>
        <v>-1</v>
      </c>
      <c r="T262" s="176">
        <f t="shared" si="83"/>
        <v>5</v>
      </c>
      <c r="U262" s="251">
        <f t="shared" si="84"/>
        <v>-0.53734291518300936</v>
      </c>
      <c r="V262" s="383">
        <f t="shared" si="85"/>
        <v>32.0462640982906</v>
      </c>
      <c r="W262" s="402">
        <f t="shared" si="86"/>
        <v>25.675119864501344</v>
      </c>
      <c r="X262" s="157">
        <f t="shared" si="87"/>
        <v>46635</v>
      </c>
      <c r="Y262" s="385">
        <f t="shared" si="88"/>
        <v>23.744779256755528</v>
      </c>
      <c r="Z262" s="385">
        <f t="shared" si="89"/>
        <v>25.595119785200382</v>
      </c>
      <c r="AA262" s="386">
        <f t="shared" si="90"/>
        <v>28.814442430453088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0.11172600868550227</v>
      </c>
      <c r="AD262" s="231">
        <f>(INDEX(Models!$BJ262:$BT262,,AH262)*(1-AF262)+INDEX(Models!$BJ262:$BT262,,AH262+1)*AF262-ERP_i)*AE262*Ramure*Pc/MaxiM</f>
        <v>2.1443643829937079E-4</v>
      </c>
      <c r="AE262" s="305">
        <f t="shared" si="92"/>
        <v>0.7</v>
      </c>
      <c r="AF262" s="177">
        <f t="shared" si="93"/>
        <v>8.6520454193046437E-2</v>
      </c>
      <c r="AG262" s="817">
        <f t="shared" si="99"/>
        <v>2</v>
      </c>
      <c r="AH262" s="176">
        <f t="shared" si="94"/>
        <v>8</v>
      </c>
      <c r="AI262" s="225">
        <f t="shared" si="95"/>
        <v>2.0865204541930464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46636</v>
      </c>
      <c r="B263" s="411">
        <f>'2026'!Wh/'2026'!Env_an*'2027'!Env_an</f>
        <v>29.35972337645843</v>
      </c>
      <c r="C263" s="846"/>
      <c r="D263" s="393">
        <f t="shared" si="77"/>
        <v>31.648308368818885</v>
      </c>
      <c r="E263" s="385">
        <f t="shared" si="100"/>
        <v>32.960525366106943</v>
      </c>
      <c r="F263" s="385">
        <f t="shared" si="78"/>
        <v>32.960525428629374</v>
      </c>
      <c r="G263" s="110">
        <f t="shared" si="101"/>
        <v>0.92108795568327961</v>
      </c>
      <c r="H263" s="414" t="b">
        <f>Wh_hp&gt;='2026'!Maxi_hp</f>
        <v>0</v>
      </c>
      <c r="I263" s="390">
        <f>IF(H263,Wh_hp,'2026'!Maxi_hp)</f>
        <v>37.214641888290501</v>
      </c>
      <c r="J263" s="85">
        <f>IF(H263,An,'2026'!An_max)</f>
        <v>2019</v>
      </c>
      <c r="K263" s="197">
        <f t="shared" si="79"/>
        <v>46636</v>
      </c>
      <c r="L263" s="147">
        <f>IF(t&lt;Tvie,1-EXP((T0-t)*PertePVj)+'2026'!Pspv,1-EXP((T0-t)*PertePVj)+Pspv)</f>
        <v>7.2313027467062252E-2</v>
      </c>
      <c r="M263" s="850"/>
      <c r="N263" s="850"/>
      <c r="O263" s="48">
        <f>IF(t&lt;Tnet,'2026'!Resal+('2026'!Salim-'2026'!Resal)*(1-EXP(('2026'!Tnet-t)/('2026'!Tau_j))),Resal+(Salim-Resal)*(1-EXP((Tnet-t)/(Tau_j))))*Salcycl</f>
        <v>3.9811774318300172E-2</v>
      </c>
      <c r="P263" s="169">
        <f>(INDEX(Models!$BJ263:$BT263,,T263)*(1-R263)+INDEX(Models!$BJ263:$BT263,,T263+1)*R263-ERP_i)*Q263*Ramure*Pc/MaxiM</f>
        <v>2.1378964072944946E-9</v>
      </c>
      <c r="Q263" s="305">
        <f t="shared" si="80"/>
        <v>0.7</v>
      </c>
      <c r="R263" s="177">
        <f t="shared" si="81"/>
        <v>0.46319208874862228</v>
      </c>
      <c r="S263" s="817">
        <f t="shared" si="82"/>
        <v>-1</v>
      </c>
      <c r="T263" s="176">
        <f t="shared" si="83"/>
        <v>5</v>
      </c>
      <c r="U263" s="251">
        <f t="shared" si="84"/>
        <v>-0.53680791125137772</v>
      </c>
      <c r="V263" s="383">
        <f t="shared" si="85"/>
        <v>31.875048618568599</v>
      </c>
      <c r="W263" s="402">
        <f t="shared" si="86"/>
        <v>29.35972337645843</v>
      </c>
      <c r="X263" s="157">
        <f t="shared" si="87"/>
        <v>46636</v>
      </c>
      <c r="Y263" s="385">
        <f t="shared" si="88"/>
        <v>27.152698321712876</v>
      </c>
      <c r="Z263" s="385">
        <f t="shared" si="89"/>
        <v>29.269246120354257</v>
      </c>
      <c r="AA263" s="386">
        <f t="shared" si="90"/>
        <v>32.95228386434853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0.11176881575662179</v>
      </c>
      <c r="AD263" s="231">
        <f>(INDEX(Models!$BJ263:$BT263,,AH263)*(1-AF263)+INDEX(Models!$BJ263:$BT263,,AH263+1)*AF263-ERP_i)*AE263*Ramure*Pc/MaxiM</f>
        <v>2.8181263231596287E-4</v>
      </c>
      <c r="AE263" s="305">
        <f t="shared" si="92"/>
        <v>0.7</v>
      </c>
      <c r="AF263" s="177">
        <f t="shared" si="93"/>
        <v>8.7055458124678076E-2</v>
      </c>
      <c r="AG263" s="817">
        <f t="shared" si="99"/>
        <v>2</v>
      </c>
      <c r="AH263" s="176">
        <f t="shared" si="94"/>
        <v>8</v>
      </c>
      <c r="AI263" s="225">
        <f t="shared" si="95"/>
        <v>2.0870554581246781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46637</v>
      </c>
      <c r="B264" s="411">
        <f>'2026'!Wh/'2026'!Env_an*'2027'!Env_an</f>
        <v>22.300095916624478</v>
      </c>
      <c r="C264" s="846"/>
      <c r="D264" s="393">
        <f t="shared" si="77"/>
        <v>24.038910771556669</v>
      </c>
      <c r="E264" s="385">
        <f t="shared" si="100"/>
        <v>25.039544750333093</v>
      </c>
      <c r="F264" s="385">
        <f t="shared" si="78"/>
        <v>25.039544810404866</v>
      </c>
      <c r="G264" s="110">
        <f t="shared" si="101"/>
        <v>0.70350618782932217</v>
      </c>
      <c r="H264" s="414" t="b">
        <f>Wh_hp&gt;='2026'!Maxi_hp</f>
        <v>0</v>
      </c>
      <c r="I264" s="390">
        <f>IF(H264,Wh_hp,'2026'!Maxi_hp)</f>
        <v>35.695847850032024</v>
      </c>
      <c r="J264" s="85">
        <f>IF(H264,An,'2026'!An_max)</f>
        <v>2019</v>
      </c>
      <c r="K264" s="197">
        <f t="shared" si="79"/>
        <v>46637</v>
      </c>
      <c r="L264" s="147">
        <f>IF(t&lt;Tvie,1-EXP((T0-t)*PertePVj)+'2026'!Pspv,1-EXP((T0-t)*PertePVj)+Pspv)</f>
        <v>7.2333346192606673E-2</v>
      </c>
      <c r="M264" s="850"/>
      <c r="N264" s="850"/>
      <c r="O264" s="48">
        <f>IF(t&lt;Tnet,'2026'!Resal+('2026'!Salim-'2026'!Resal)*(1-EXP(('2026'!Tnet-t)/('2026'!Tau_j))),Resal+(Salim-Resal)*(1-EXP((Tnet-t)/(Tau_j))))*Salcycl</f>
        <v>3.9962147425348551E-2</v>
      </c>
      <c r="P264" s="169">
        <f>(INDEX(Models!$BJ264:$BT264,,T264)*(1-R264)+INDEX(Models!$BJ264:$BT264,,T264+1)*R264-ERP_i)*Q264*Ramure*Pc/MaxiM</f>
        <v>4.1619022576766891E-9</v>
      </c>
      <c r="Q264" s="305">
        <f t="shared" si="80"/>
        <v>0.7</v>
      </c>
      <c r="R264" s="177">
        <f t="shared" si="81"/>
        <v>0.46370665798165978</v>
      </c>
      <c r="S264" s="817">
        <f t="shared" si="82"/>
        <v>-1</v>
      </c>
      <c r="T264" s="176">
        <f t="shared" si="83"/>
        <v>5</v>
      </c>
      <c r="U264" s="251">
        <f t="shared" si="84"/>
        <v>-0.53629334201834022</v>
      </c>
      <c r="V264" s="383">
        <f t="shared" si="85"/>
        <v>31.698507082248316</v>
      </c>
      <c r="W264" s="402">
        <f t="shared" si="86"/>
        <v>22.300095916624478</v>
      </c>
      <c r="X264" s="157">
        <f t="shared" si="87"/>
        <v>46637</v>
      </c>
      <c r="Y264" s="385">
        <f t="shared" si="88"/>
        <v>20.626744629922651</v>
      </c>
      <c r="Z264" s="385">
        <f t="shared" si="89"/>
        <v>22.235082553916264</v>
      </c>
      <c r="AA264" s="386">
        <f t="shared" si="90"/>
        <v>25.034175571864171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0.11181087269731377</v>
      </c>
      <c r="AD264" s="231">
        <f>(INDEX(Models!$BJ264:$BT264,,AH264)*(1-AF264)+INDEX(Models!$BJ264:$BT264,,AH264+1)*AF264-ERP_i)*AE264*Ramure*Pc/MaxiM</f>
        <v>3.7199243577046992E-4</v>
      </c>
      <c r="AE264" s="305">
        <f t="shared" si="92"/>
        <v>0.7</v>
      </c>
      <c r="AF264" s="177">
        <f t="shared" si="93"/>
        <v>8.7570027357716018E-2</v>
      </c>
      <c r="AG264" s="817">
        <f t="shared" si="99"/>
        <v>2</v>
      </c>
      <c r="AH264" s="176">
        <f t="shared" si="94"/>
        <v>8</v>
      </c>
      <c r="AI264" s="225">
        <f t="shared" si="95"/>
        <v>2.087570027357716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46638</v>
      </c>
      <c r="B265" s="411">
        <f>'2026'!Wh/'2026'!Env_an*'2027'!Env_an</f>
        <v>24.6685809801509</v>
      </c>
      <c r="C265" s="846"/>
      <c r="D265" s="393">
        <f t="shared" si="77"/>
        <v>26.592657174827007</v>
      </c>
      <c r="E265" s="385">
        <f t="shared" si="100"/>
        <v>27.703917255977778</v>
      </c>
      <c r="F265" s="385">
        <f t="shared" si="78"/>
        <v>27.703917387358995</v>
      </c>
      <c r="G265" s="110">
        <f t="shared" si="101"/>
        <v>0.78270181695160257</v>
      </c>
      <c r="H265" s="414" t="b">
        <f>Wh_hp&gt;='2026'!Maxi_hp</f>
        <v>0</v>
      </c>
      <c r="I265" s="390">
        <f>IF(H265,Wh_hp,'2026'!Maxi_hp)</f>
        <v>32.004308101052679</v>
      </c>
      <c r="J265" s="85">
        <f>IF(H265,An,'2026'!An_max)</f>
        <v>2018</v>
      </c>
      <c r="K265" s="197">
        <f t="shared" si="79"/>
        <v>46638</v>
      </c>
      <c r="L265" s="147">
        <f>IF(t&lt;Tvie,1-EXP((T0-t)*PertePVj)+'2026'!Pspv,1-EXP((T0-t)*PertePVj)+Pspv)</f>
        <v>7.2353664473118751E-2</v>
      </c>
      <c r="M265" s="850"/>
      <c r="N265" s="850"/>
      <c r="O265" s="48">
        <f>IF(t&lt;Tnet,'2026'!Resal+('2026'!Salim-'2026'!Resal)*(1-EXP(('2026'!Tnet-t)/('2026'!Tau_j))),Resal+(Salim-Resal)*(1-EXP((Tnet-t)/(Tau_j))))*Salcycl</f>
        <v>4.011201993144102E-2</v>
      </c>
      <c r="P265" s="169">
        <f>(INDEX(Models!$BJ265:$BT265,,T265)*(1-R265)+INDEX(Models!$BJ265:$BT265,,T265+1)*R265-ERP_i)*Q265*Ramure*Pc/MaxiM</f>
        <v>6.8771928261291412E-9</v>
      </c>
      <c r="Q265" s="305">
        <f t="shared" si="80"/>
        <v>0.7</v>
      </c>
      <c r="R265" s="177">
        <f t="shared" si="81"/>
        <v>0.46420153122850571</v>
      </c>
      <c r="S265" s="817">
        <f t="shared" si="82"/>
        <v>-1</v>
      </c>
      <c r="T265" s="176">
        <f t="shared" si="83"/>
        <v>5</v>
      </c>
      <c r="U265" s="251">
        <f t="shared" si="84"/>
        <v>-0.53579846877149429</v>
      </c>
      <c r="V265" s="383">
        <f t="shared" si="85"/>
        <v>31.517214337848277</v>
      </c>
      <c r="W265" s="402">
        <f t="shared" si="86"/>
        <v>24.6685809801509</v>
      </c>
      <c r="X265" s="157">
        <f t="shared" si="87"/>
        <v>46638</v>
      </c>
      <c r="Y265" s="385">
        <f t="shared" si="88"/>
        <v>22.817260140480826</v>
      </c>
      <c r="Z265" s="385">
        <f t="shared" si="89"/>
        <v>24.596938797285457</v>
      </c>
      <c r="AA265" s="386">
        <f t="shared" si="90"/>
        <v>27.69464439864803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0.11185215295682932</v>
      </c>
      <c r="AD265" s="231">
        <f>(INDEX(Models!$BJ265:$BT265,,AH265)*(1-AF265)+INDEX(Models!$BJ265:$BT265,,AH265+1)*AF265-ERP_i)*AE265*Ramure*Pc/MaxiM</f>
        <v>4.8539763113589375E-4</v>
      </c>
      <c r="AE265" s="305">
        <f t="shared" si="92"/>
        <v>0.7</v>
      </c>
      <c r="AF265" s="177">
        <f t="shared" si="93"/>
        <v>8.8064900604561736E-2</v>
      </c>
      <c r="AG265" s="817">
        <f t="shared" si="99"/>
        <v>2</v>
      </c>
      <c r="AH265" s="176">
        <f t="shared" si="94"/>
        <v>8</v>
      </c>
      <c r="AI265" s="225">
        <f t="shared" si="95"/>
        <v>2.0880649006045617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46639</v>
      </c>
      <c r="B266" s="411">
        <f>'2026'!Wh/'2026'!Env_an*'2027'!Env_an</f>
        <v>13.754848113059177</v>
      </c>
      <c r="C266" s="846"/>
      <c r="D266" s="393">
        <f t="shared" si="77"/>
        <v>14.828010265700875</v>
      </c>
      <c r="E266" s="385">
        <f t="shared" si="100"/>
        <v>15.450050620804348</v>
      </c>
      <c r="F266" s="385">
        <f t="shared" si="78"/>
        <v>15.450050652397225</v>
      </c>
      <c r="G266" s="110">
        <f t="shared" si="101"/>
        <v>0.43900676710906789</v>
      </c>
      <c r="H266" s="414" t="b">
        <f>Wh_hp&gt;='2026'!Maxi_hp</f>
        <v>0</v>
      </c>
      <c r="I266" s="390">
        <f>IF(H266,Wh_hp,'2026'!Maxi_hp)</f>
        <v>33.483412316512208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7.2373982308608364E-2</v>
      </c>
      <c r="M266" s="850"/>
      <c r="N266" s="850"/>
      <c r="O266" s="48">
        <f>IF(t&lt;Tnet,'2026'!Resal+('2026'!Salim-'2026'!Resal)*(1-EXP(('2026'!Tnet-t)/('2026'!Tau_j))),Resal+(Salim-Resal)*(1-EXP((Tnet-t)/(Tau_j))))*Salcycl</f>
        <v>4.026137974369226E-2</v>
      </c>
      <c r="P266" s="169">
        <f>(INDEX(Models!$BJ266:$BT266,,T266)*(1-R266)+INDEX(Models!$BJ266:$BT266,,T266+1)*R266-ERP_i)*Q266*Ramure*Pc/MaxiM</f>
        <v>1.0297252433589597E-8</v>
      </c>
      <c r="Q266" s="305">
        <f t="shared" si="80"/>
        <v>0.7</v>
      </c>
      <c r="R266" s="177">
        <f t="shared" si="81"/>
        <v>0.46467742372786081</v>
      </c>
      <c r="S266" s="817">
        <f t="shared" si="82"/>
        <v>-1</v>
      </c>
      <c r="T266" s="176">
        <f t="shared" si="83"/>
        <v>5</v>
      </c>
      <c r="U266" s="251">
        <f t="shared" si="84"/>
        <v>-0.53532257627213919</v>
      </c>
      <c r="V266" s="383">
        <f t="shared" si="85"/>
        <v>31.331744815977302</v>
      </c>
      <c r="W266" s="402">
        <f t="shared" si="86"/>
        <v>13.754848113059177</v>
      </c>
      <c r="X266" s="157">
        <f t="shared" si="87"/>
        <v>46639</v>
      </c>
      <c r="Y266" s="385">
        <f t="shared" si="88"/>
        <v>12.726665126114039</v>
      </c>
      <c r="Z266" s="385">
        <f t="shared" si="89"/>
        <v>13.719607776620194</v>
      </c>
      <c r="AA266" s="386">
        <f t="shared" si="90"/>
        <v>15.448140869697761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0.11189262887084134</v>
      </c>
      <c r="AD266" s="231">
        <f>(INDEX(Models!$BJ266:$BT266,,AH266)*(1-AF266)+INDEX(Models!$BJ266:$BT266,,AH266+1)*AF266-ERP_i)*AE266*Ramure*Pc/MaxiM</f>
        <v>6.2246671413561112E-4</v>
      </c>
      <c r="AE266" s="305">
        <f t="shared" si="92"/>
        <v>0.7</v>
      </c>
      <c r="AF266" s="177">
        <f t="shared" si="93"/>
        <v>8.8540793103916826E-2</v>
      </c>
      <c r="AG266" s="817">
        <f t="shared" si="99"/>
        <v>2</v>
      </c>
      <c r="AH266" s="176">
        <f t="shared" si="94"/>
        <v>8</v>
      </c>
      <c r="AI266" s="225">
        <f t="shared" si="95"/>
        <v>2.0885407931039168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46640</v>
      </c>
      <c r="B267" s="411">
        <f>'2026'!Wh/'2026'!Env_an*'2027'!Env_an</f>
        <v>29.482409914305251</v>
      </c>
      <c r="C267" s="846"/>
      <c r="D267" s="393">
        <f t="shared" si="77"/>
        <v>31.783342755161133</v>
      </c>
      <c r="E267" s="385">
        <f t="shared" si="100"/>
        <v>33.121801864355952</v>
      </c>
      <c r="F267" s="385">
        <f t="shared" si="78"/>
        <v>33.121802306086735</v>
      </c>
      <c r="G267" s="110">
        <f t="shared" si="101"/>
        <v>0.94668849781527764</v>
      </c>
      <c r="H267" s="414" t="b">
        <f>Wh_hp&gt;='2026'!Maxi_hp</f>
        <v>0</v>
      </c>
      <c r="I267" s="390">
        <f>IF(H267,Wh_hp,'2026'!Maxi_hp)</f>
        <v>33.121802342501994</v>
      </c>
      <c r="J267" s="85">
        <f>IF(H267,An,'2026'!An_max)</f>
        <v>2026</v>
      </c>
      <c r="K267" s="197">
        <f t="shared" si="79"/>
        <v>46640</v>
      </c>
      <c r="L267" s="147">
        <f>IF(t&lt;Tvie,1-EXP((T0-t)*PertePVj)+'2026'!Pspv,1-EXP((T0-t)*PertePVj)+Pspv)</f>
        <v>7.2394299699085174E-2</v>
      </c>
      <c r="M267" s="850"/>
      <c r="N267" s="850"/>
      <c r="O267" s="48">
        <f>IF(t&lt;Tnet,'2026'!Resal+('2026'!Salim-'2026'!Resal)*(1-EXP(('2026'!Tnet-t)/('2026'!Tau_j))),Resal+(Salim-Resal)*(1-EXP((Tnet-t)/(Tau_j))))*Salcycl</f>
        <v>4.04102142352104E-2</v>
      </c>
      <c r="P267" s="169">
        <f>(INDEX(Models!$BJ267:$BT267,,T267)*(1-R267)+INDEX(Models!$BJ267:$BT267,,T267+1)*R267-ERP_i)*Q267*Ramure*Pc/MaxiM</f>
        <v>1.4435991125831249E-8</v>
      </c>
      <c r="Q267" s="305">
        <f t="shared" si="80"/>
        <v>0.7</v>
      </c>
      <c r="R267" s="177">
        <f t="shared" si="81"/>
        <v>0.46513502773552573</v>
      </c>
      <c r="S267" s="817">
        <f t="shared" si="82"/>
        <v>-1</v>
      </c>
      <c r="T267" s="176">
        <f t="shared" si="83"/>
        <v>5</v>
      </c>
      <c r="U267" s="251">
        <f t="shared" si="84"/>
        <v>-0.53486497226447427</v>
      </c>
      <c r="V267" s="383">
        <f t="shared" si="85"/>
        <v>31.142672536879193</v>
      </c>
      <c r="W267" s="402">
        <f t="shared" si="86"/>
        <v>29.482409914305251</v>
      </c>
      <c r="X267" s="157">
        <f t="shared" si="87"/>
        <v>46640</v>
      </c>
      <c r="Y267" s="385">
        <f t="shared" si="88"/>
        <v>27.265215092283817</v>
      </c>
      <c r="Z267" s="385">
        <f t="shared" si="89"/>
        <v>29.393108605778291</v>
      </c>
      <c r="AA267" s="386">
        <f t="shared" si="90"/>
        <v>33.09782313550695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0.11193227163493676</v>
      </c>
      <c r="AD267" s="231">
        <f>(INDEX(Models!$BJ267:$BT267,,AH267)*(1-AF267)+INDEX(Models!$BJ267:$BT267,,AH267+1)*AF267-ERP_i)*AE267*Ramure*Pc/MaxiM</f>
        <v>7.836517346110879E-4</v>
      </c>
      <c r="AE267" s="305">
        <f t="shared" si="92"/>
        <v>0.7</v>
      </c>
      <c r="AF267" s="177">
        <f t="shared" si="93"/>
        <v>8.8998397111581973E-2</v>
      </c>
      <c r="AG267" s="817">
        <f t="shared" si="99"/>
        <v>2</v>
      </c>
      <c r="AH267" s="176">
        <f t="shared" si="94"/>
        <v>8</v>
      </c>
      <c r="AI267" s="225">
        <f t="shared" si="95"/>
        <v>2.088998397111582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46641</v>
      </c>
      <c r="B268" s="411">
        <f>'2026'!Wh/'2026'!Env_an*'2027'!Env_an</f>
        <v>29.371414473194211</v>
      </c>
      <c r="C268" s="846"/>
      <c r="D268" s="393">
        <f t="shared" si="77"/>
        <v>31.66437828822427</v>
      </c>
      <c r="E268" s="385">
        <f t="shared" si="100"/>
        <v>33.002927876221712</v>
      </c>
      <c r="F268" s="385">
        <f t="shared" si="78"/>
        <v>33.003042530574028</v>
      </c>
      <c r="G268" s="110">
        <f t="shared" si="101"/>
        <v>0.94898138834404944</v>
      </c>
      <c r="H268" s="414" t="b">
        <f>Wh_hp&gt;='2026'!Maxi_hp</f>
        <v>0</v>
      </c>
      <c r="I268" s="390">
        <f>IF(H268,Wh_hp,'2026'!Maxi_hp)</f>
        <v>33.003051543676364</v>
      </c>
      <c r="J268" s="85">
        <f>IF(H268,An,'2026'!An_max)</f>
        <v>2025</v>
      </c>
      <c r="K268" s="197">
        <f t="shared" si="79"/>
        <v>46641</v>
      </c>
      <c r="L268" s="147">
        <f>IF(t&lt;Tvie,1-EXP((T0-t)*PertePVj)+'2026'!Pspv,1-EXP((T0-t)*PertePVj)+Pspv)</f>
        <v>7.241461664455906E-2</v>
      </c>
      <c r="M268" s="850"/>
      <c r="N268" s="850"/>
      <c r="O268" s="48">
        <f>IF(t&lt;Tnet,'2026'!Resal+('2026'!Salim-'2026'!Resal)*(1-EXP(('2026'!Tnet-t)/('2026'!Tau_j))),Resal+(Salim-Resal)*(1-EXP((Tnet-t)/(Tau_j))))*Salcycl</f>
        <v>4.055851023332542E-2</v>
      </c>
      <c r="P268" s="169">
        <f>(INDEX(Models!$BJ268:$BT268,,T268)*(1-R268)+INDEX(Models!$BJ268:$BT268,,T268+1)*R268-ERP_i)*Q268*Ramure*Pc/MaxiM</f>
        <v>3.7471595967219781E-6</v>
      </c>
      <c r="Q268" s="305">
        <f t="shared" si="80"/>
        <v>0.7</v>
      </c>
      <c r="R268" s="177">
        <f t="shared" si="81"/>
        <v>0.46557501302686244</v>
      </c>
      <c r="S268" s="817">
        <f t="shared" si="82"/>
        <v>-1</v>
      </c>
      <c r="T268" s="176">
        <f t="shared" si="83"/>
        <v>5</v>
      </c>
      <c r="U268" s="251">
        <f t="shared" si="84"/>
        <v>-0.53442498697313756</v>
      </c>
      <c r="V268" s="383">
        <f t="shared" si="85"/>
        <v>30.950455733301002</v>
      </c>
      <c r="W268" s="402">
        <f t="shared" si="86"/>
        <v>29.371414473194211</v>
      </c>
      <c r="X268" s="157">
        <f t="shared" si="87"/>
        <v>46641</v>
      </c>
      <c r="Y268" s="385">
        <f t="shared" si="88"/>
        <v>27.159686857879191</v>
      </c>
      <c r="Z268" s="385">
        <f t="shared" si="89"/>
        <v>29.279985805330316</v>
      </c>
      <c r="AA268" s="386">
        <f t="shared" si="90"/>
        <v>32.971882107930981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0.11197105128895946</v>
      </c>
      <c r="AD268" s="231">
        <f>(INDEX(Models!$BJ268:$BT268,,AH268)*(1-AF268)+INDEX(Models!$BJ268:$BT268,,AH268+1)*AF268-ERP_i)*AE268*Ramure*Pc/MaxiM</f>
        <v>1.0183920137493718E-3</v>
      </c>
      <c r="AE268" s="305">
        <f t="shared" si="92"/>
        <v>0.7</v>
      </c>
      <c r="AF268" s="177">
        <f t="shared" si="93"/>
        <v>8.943838240291857E-2</v>
      </c>
      <c r="AG268" s="817">
        <f t="shared" si="99"/>
        <v>2</v>
      </c>
      <c r="AH268" s="176">
        <f t="shared" si="94"/>
        <v>8</v>
      </c>
      <c r="AI268" s="225">
        <f t="shared" si="95"/>
        <v>2.0894383824029186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46642</v>
      </c>
      <c r="B269" s="411">
        <f>'2026'!Wh/'2026'!Env_an*'2027'!Env_an</f>
        <v>20.620773114575179</v>
      </c>
      <c r="C269" s="846"/>
      <c r="D269" s="393">
        <f t="shared" si="77"/>
        <v>22.231079900941946</v>
      </c>
      <c r="E269" s="385">
        <f t="shared" si="100"/>
        <v>23.174423886243616</v>
      </c>
      <c r="F269" s="385">
        <f t="shared" si="78"/>
        <v>23.174562256565746</v>
      </c>
      <c r="G269" s="110">
        <f t="shared" si="101"/>
        <v>0.67046711237259093</v>
      </c>
      <c r="H269" s="414" t="b">
        <f>Wh_hp&gt;='2026'!Maxi_hp</f>
        <v>0</v>
      </c>
      <c r="I269" s="390">
        <f>IF(H269,Wh_hp,'2026'!Maxi_hp)</f>
        <v>34.361918081315721</v>
      </c>
      <c r="J269" s="85">
        <f>IF(H269,An,'2026'!An_max)</f>
        <v>2019</v>
      </c>
      <c r="K269" s="197">
        <f t="shared" si="79"/>
        <v>46642</v>
      </c>
      <c r="L269" s="147">
        <f>IF(t&lt;Tvie,1-EXP((T0-t)*PertePVj)+'2026'!Pspv,1-EXP((T0-t)*PertePVj)+Pspv)</f>
        <v>7.2434933145039682E-2</v>
      </c>
      <c r="M269" s="850"/>
      <c r="N269" s="850"/>
      <c r="O269" s="48">
        <f>IF(t&lt;Tnet,'2026'!Resal+('2026'!Salim-'2026'!Resal)*(1-EXP(('2026'!Tnet-t)/('2026'!Tau_j))),Resal+(Salim-Resal)*(1-EXP((Tnet-t)/(Tau_j))))*Salcycl</f>
        <v>4.0706254012279557E-2</v>
      </c>
      <c r="P269" s="169">
        <f>(INDEX(Models!$BJ269:$BT269,,T269)*(1-R269)+INDEX(Models!$BJ269:$BT269,,T269+1)*R269-ERP_i)*Q269*Ramure*Pc/MaxiM</f>
        <v>1.1281727822104522E-5</v>
      </c>
      <c r="Q269" s="305">
        <f t="shared" si="80"/>
        <v>0.7</v>
      </c>
      <c r="R269" s="177">
        <f t="shared" si="81"/>
        <v>0.46599802740844942</v>
      </c>
      <c r="S269" s="817">
        <f t="shared" si="82"/>
        <v>-1</v>
      </c>
      <c r="T269" s="176">
        <f t="shared" si="83"/>
        <v>5</v>
      </c>
      <c r="U269" s="251">
        <f t="shared" si="84"/>
        <v>-0.53400197259155058</v>
      </c>
      <c r="V269" s="383">
        <f t="shared" si="85"/>
        <v>30.755667530354852</v>
      </c>
      <c r="W269" s="402">
        <f t="shared" si="86"/>
        <v>20.620773114575179</v>
      </c>
      <c r="X269" s="157">
        <f t="shared" si="87"/>
        <v>46642</v>
      </c>
      <c r="Y269" s="385">
        <f t="shared" si="88"/>
        <v>19.074789994092246</v>
      </c>
      <c r="Z269" s="385">
        <f t="shared" si="89"/>
        <v>20.564368663395229</v>
      </c>
      <c r="AA269" s="386">
        <f t="shared" si="90"/>
        <v>23.15830588124707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0.11200893671381799</v>
      </c>
      <c r="AD269" s="231">
        <f>(INDEX(Models!$BJ269:$BT269,,AH269)*(1-AF269)+INDEX(Models!$BJ269:$BT269,,AH269+1)*AF269-ERP_i)*AE269*Ramure*Pc/MaxiM</f>
        <v>1.3254287400547085E-3</v>
      </c>
      <c r="AE269" s="305">
        <f t="shared" si="92"/>
        <v>0.7</v>
      </c>
      <c r="AF269" s="177">
        <f t="shared" si="93"/>
        <v>8.9861396784505665E-2</v>
      </c>
      <c r="AG269" s="817">
        <f t="shared" si="99"/>
        <v>2</v>
      </c>
      <c r="AH269" s="176">
        <f t="shared" si="94"/>
        <v>8</v>
      </c>
      <c r="AI269" s="225">
        <f t="shared" si="95"/>
        <v>2.0898613967845057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46643</v>
      </c>
      <c r="B270" s="411">
        <f>'2026'!Wh/'2026'!Env_an*'2027'!Env_an</f>
        <v>7.7572158040865142</v>
      </c>
      <c r="C270" s="846"/>
      <c r="D270" s="393">
        <f t="shared" si="77"/>
        <v>8.3631714776030659</v>
      </c>
      <c r="E270" s="385">
        <f t="shared" si="100"/>
        <v>8.7193884130348227</v>
      </c>
      <c r="F270" s="385">
        <f t="shared" si="78"/>
        <v>8.7193884130348227</v>
      </c>
      <c r="G270" s="110">
        <f t="shared" si="101"/>
        <v>0.25383913257801161</v>
      </c>
      <c r="H270" s="414" t="b">
        <f>Wh_hp&gt;='2026'!Maxi_hp</f>
        <v>0</v>
      </c>
      <c r="I270" s="390">
        <f>IF(H270,Wh_hp,'2026'!Maxi_hp)</f>
        <v>32.643598753916862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7.2455249200536809E-2</v>
      </c>
      <c r="M270" s="850"/>
      <c r="N270" s="850"/>
      <c r="O270" s="48">
        <f>IF(t&lt;Tnet,'2026'!Resal+('2026'!Salim-'2026'!Resal)*(1-EXP(('2026'!Tnet-t)/('2026'!Tau_j))),Resal+(Salim-Resal)*(1-EXP((Tnet-t)/(Tau_j))))*Salcycl</f>
        <v>4.0853431291034061E-2</v>
      </c>
      <c r="P270" s="169">
        <f>(INDEX(Models!$BJ270:$BT270,,T270)*(1-R270)+INDEX(Models!$BJ270:$BT270,,T270+1)*R270-ERP_i)*Q270*Ramure*Pc/MaxiM</f>
        <v>2.2693367226260496E-5</v>
      </c>
      <c r="Q270" s="305">
        <f t="shared" si="80"/>
        <v>0.7</v>
      </c>
      <c r="R270" s="177">
        <f t="shared" si="81"/>
        <v>0.46640469723665956</v>
      </c>
      <c r="S270" s="817">
        <f t="shared" si="82"/>
        <v>-1</v>
      </c>
      <c r="T270" s="176">
        <f t="shared" si="83"/>
        <v>5</v>
      </c>
      <c r="U270" s="251">
        <f t="shared" si="84"/>
        <v>-0.53359530276334044</v>
      </c>
      <c r="V270" s="383">
        <f t="shared" si="85"/>
        <v>30.558880689350261</v>
      </c>
      <c r="W270" s="402">
        <f t="shared" si="86"/>
        <v>7.7572158040865142</v>
      </c>
      <c r="X270" s="157">
        <f t="shared" si="87"/>
        <v>46643</v>
      </c>
      <c r="Y270" s="385">
        <f t="shared" si="88"/>
        <v>7.1814379953407714</v>
      </c>
      <c r="Z270" s="385">
        <f t="shared" si="89"/>
        <v>7.7424167288435344</v>
      </c>
      <c r="AA270" s="386">
        <f t="shared" si="90"/>
        <v>8.7193884130348227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0.11204589564226661</v>
      </c>
      <c r="AD270" s="231">
        <f>(INDEX(Models!$BJ270:$BT270,,AH270)*(1-AF270)+INDEX(Models!$BJ270:$BT270,,AH270+1)*AF270-ERP_i)*AE270*Ramure*Pc/MaxiM</f>
        <v>1.7060274251393258E-3</v>
      </c>
      <c r="AE270" s="305">
        <f t="shared" si="92"/>
        <v>0.7</v>
      </c>
      <c r="AF270" s="177">
        <f t="shared" si="93"/>
        <v>9.0268066612715359E-2</v>
      </c>
      <c r="AG270" s="817">
        <f t="shared" si="99"/>
        <v>2</v>
      </c>
      <c r="AH270" s="176">
        <f t="shared" si="94"/>
        <v>8</v>
      </c>
      <c r="AI270" s="225">
        <f t="shared" si="95"/>
        <v>2.0902680666127154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46644</v>
      </c>
      <c r="B271" s="411">
        <f>'2026'!Wh/'2026'!Env_an*'2027'!Env_an</f>
        <v>23.012723576736438</v>
      </c>
      <c r="C271" s="846"/>
      <c r="D271" s="393">
        <f t="shared" ref="D271:D334" si="102">Wh/(1-Ppv)</f>
        <v>24.81090815903806</v>
      </c>
      <c r="E271" s="385">
        <f t="shared" si="100"/>
        <v>25.871646364649934</v>
      </c>
      <c r="F271" s="385">
        <f t="shared" ref="F271:F334" si="103">Wh_sa/(1-Pvg*MEDIAN((-Sdif+Wh/Env_an)/Csdif,0,1))</f>
        <v>25.87229058618211</v>
      </c>
      <c r="G271" s="110">
        <f t="shared" si="101"/>
        <v>0.75796820575928736</v>
      </c>
      <c r="H271" s="414" t="b">
        <f>Wh_hp&gt;='2026'!Maxi_hp</f>
        <v>0</v>
      </c>
      <c r="I271" s="390">
        <f>IF(H271,Wh_hp,'2026'!Maxi_hp)</f>
        <v>31.813436700328825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7.24755648110601E-2</v>
      </c>
      <c r="M271" s="850"/>
      <c r="N271" s="850"/>
      <c r="O271" s="48">
        <f>IF(t&lt;Tnet,'2026'!Resal+('2026'!Salim-'2026'!Resal)*(1-EXP(('2026'!Tnet-t)/('2026'!Tau_j))),Resal+(Salim-Resal)*(1-EXP((Tnet-t)/(Tau_j))))*Salcycl</f>
        <v>4.100002723681434E-2</v>
      </c>
      <c r="P271" s="169">
        <f>(INDEX(Models!$BJ271:$BT271,,T271)*(1-R271)+INDEX(Models!$BJ271:$BT271,,T271+1)*R271-ERP_i)*Q271*Ramure*Pc/MaxiM</f>
        <v>3.8058670160658548E-5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0.46679562794109508</v>
      </c>
      <c r="S271" s="817">
        <f t="shared" ref="S271:S334" si="107">INDEX(Echel_vg,T271)</f>
        <v>-1</v>
      </c>
      <c r="T271" s="176">
        <f t="shared" ref="T271:T334" si="108">MIN(MATCH(Hp_vg,Echel_vg),10)</f>
        <v>5</v>
      </c>
      <c r="U271" s="251">
        <f t="shared" ref="U271:U334" si="109">IF(OR(t&lt;Ttai,Notai),Hdd+PousH*Croivg,Hdtf+PousH*(Croivg-Croi_tai))</f>
        <v>-0.53320437205890492</v>
      </c>
      <c r="V271" s="383">
        <f t="shared" ref="V271:V334" si="110">MaxiM*(1-Ppv)*(1-Pvg)*(1-Psa)</f>
        <v>30.360667609581036</v>
      </c>
      <c r="W271" s="402">
        <f t="shared" ref="W271:W334" si="111">Wh*(A271&gt;Tmaj)</f>
        <v>23.012723576736438</v>
      </c>
      <c r="X271" s="157">
        <f t="shared" ref="X271:X334" si="112">t</f>
        <v>46644</v>
      </c>
      <c r="Y271" s="385">
        <f t="shared" ref="Y271:Y334" si="113">Wh_pvt_s*(1-Ppv)</f>
        <v>21.277399954325237</v>
      </c>
      <c r="Z271" s="385">
        <f t="shared" ref="Z271:Z334" si="114">Wh_sa_s*(1-Psa_s)</f>
        <v>22.939988583687239</v>
      </c>
      <c r="AA271" s="386">
        <f t="shared" ref="AA271:AA334" si="115">Wh_hp*(1-Pvg_s*MEDIAN((-Sdif+Wh/Env_an)/Csdif,0,1))</f>
        <v>25.835703142408683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0.11208189468504143</v>
      </c>
      <c r="AD271" s="231">
        <f>(INDEX(Models!$BJ271:$BT271,,AH271)*(1-AF271)+INDEX(Models!$BJ271:$BT271,,AH271+1)*AF271-ERP_i)*AE271*Ramure*Pc/MaxiM</f>
        <v>2.1614761150408443E-3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9.0658997317150991E-2</v>
      </c>
      <c r="AG271" s="817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2.090658997317151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46645</v>
      </c>
      <c r="B272" s="411">
        <f>'2026'!Wh/'2026'!Env_an*'2027'!Env_an</f>
        <v>27.917048540371471</v>
      </c>
      <c r="C272" s="846"/>
      <c r="D272" s="393">
        <f t="shared" si="102"/>
        <v>30.099110006829658</v>
      </c>
      <c r="E272" s="385">
        <f t="shared" si="100"/>
        <v>31.39071311993062</v>
      </c>
      <c r="F272" s="385">
        <f t="shared" si="103"/>
        <v>31.392325017363344</v>
      </c>
      <c r="G272" s="110">
        <f t="shared" si="101"/>
        <v>0.92557681649880919</v>
      </c>
      <c r="H272" s="414" t="b">
        <f>Wh_hp&gt;='2026'!Maxi_hp</f>
        <v>0</v>
      </c>
      <c r="I272" s="390">
        <f>IF(H272,Wh_hp,'2026'!Maxi_hp)</f>
        <v>32.156591580426863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7.2495879976619437E-2</v>
      </c>
      <c r="M272" s="850"/>
      <c r="N272" s="850"/>
      <c r="O272" s="48">
        <f>IF(t&lt;Tnet,'2026'!Resal+('2026'!Salim-'2026'!Resal)*(1-EXP(('2026'!Tnet-t)/('2026'!Tau_j))),Resal+(Salim-Resal)*(1-EXP((Tnet-t)/(Tau_j))))*Salcycl</f>
        <v>4.1146026474973403E-2</v>
      </c>
      <c r="P272" s="169">
        <f>(INDEX(Models!$BJ272:$BT272,,T272)*(1-R272)+INDEX(Models!$BJ272:$BT272,,T272+1)*R272-ERP_i)*Q272*Ramure*Pc/MaxiM</f>
        <v>5.7454942024807006E-5</v>
      </c>
      <c r="Q272" s="305">
        <f t="shared" si="105"/>
        <v>0.7</v>
      </c>
      <c r="R272" s="177">
        <f t="shared" si="106"/>
        <v>0.46717140455099315</v>
      </c>
      <c r="S272" s="817">
        <f t="shared" si="107"/>
        <v>-1</v>
      </c>
      <c r="T272" s="176">
        <f t="shared" si="108"/>
        <v>5</v>
      </c>
      <c r="U272" s="251">
        <f t="shared" si="109"/>
        <v>-0.53282859544900685</v>
      </c>
      <c r="V272" s="383">
        <f t="shared" si="110"/>
        <v>30.161600327995224</v>
      </c>
      <c r="W272" s="402">
        <f t="shared" si="111"/>
        <v>27.917048540371471</v>
      </c>
      <c r="X272" s="157">
        <f t="shared" si="112"/>
        <v>46645</v>
      </c>
      <c r="Y272" s="385">
        <f t="shared" si="113"/>
        <v>25.789837936248738</v>
      </c>
      <c r="Z272" s="385">
        <f t="shared" si="114"/>
        <v>27.805631672664298</v>
      </c>
      <c r="AA272" s="386">
        <f t="shared" si="115"/>
        <v>31.316770927441965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0.11211689937358643</v>
      </c>
      <c r="AD272" s="231">
        <f>(INDEX(Models!$BJ272:$BT272,,AH272)*(1-AF272)+INDEX(Models!$BJ272:$BT272,,AH272+1)*AF272-ERP_i)*AE272*Ramure*Pc/MaxiM</f>
        <v>2.6930720082074815E-3</v>
      </c>
      <c r="AE272" s="305">
        <f t="shared" si="117"/>
        <v>0.7</v>
      </c>
      <c r="AF272" s="177">
        <f t="shared" si="118"/>
        <v>9.1034773927049173E-2</v>
      </c>
      <c r="AG272" s="817">
        <f t="shared" ref="AG272:AG335" si="124">INDEX(Echel_vg,AH272)</f>
        <v>2</v>
      </c>
      <c r="AH272" s="176">
        <f t="shared" si="119"/>
        <v>8</v>
      </c>
      <c r="AI272" s="225">
        <f t="shared" si="120"/>
        <v>2.0910347739270492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46646</v>
      </c>
      <c r="B273" s="411">
        <f>'2026'!Wh/'2026'!Env_an*'2027'!Env_an</f>
        <v>20.884943126435289</v>
      </c>
      <c r="C273" s="846"/>
      <c r="D273" s="393">
        <f t="shared" si="102"/>
        <v>22.517852071408878</v>
      </c>
      <c r="E273" s="385">
        <f t="shared" si="100"/>
        <v>23.487692067466167</v>
      </c>
      <c r="F273" s="385">
        <f t="shared" si="103"/>
        <v>23.488770682125956</v>
      </c>
      <c r="G273" s="110">
        <f t="shared" si="101"/>
        <v>0.69701744492073514</v>
      </c>
      <c r="H273" s="414" t="b">
        <f>Wh_hp&gt;='2026'!Maxi_hp</f>
        <v>0</v>
      </c>
      <c r="I273" s="390">
        <f>IF(H273,Wh_hp,'2026'!Maxi_hp)</f>
        <v>31.548663581663206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7.251619469722459E-2</v>
      </c>
      <c r="M273" s="850"/>
      <c r="N273" s="850"/>
      <c r="O273" s="48">
        <f>IF(t&lt;Tnet,'2026'!Resal+('2026'!Salim-'2026'!Resal)*(1-EXP(('2026'!Tnet-t)/('2026'!Tau_j))),Resal+(Salim-Resal)*(1-EXP((Tnet-t)/(Tau_j))))*Salcycl</f>
        <v>4.129141310570289E-2</v>
      </c>
      <c r="P273" s="169">
        <f>(INDEX(Models!$BJ273:$BT273,,T273)*(1-R273)+INDEX(Models!$BJ273:$BT273,,T273+1)*R273-ERP_i)*Q273*Ramure*Pc/MaxiM</f>
        <v>8.0959489932821928E-5</v>
      </c>
      <c r="Q273" s="305">
        <f t="shared" si="105"/>
        <v>0.7</v>
      </c>
      <c r="R273" s="177">
        <f t="shared" si="106"/>
        <v>0.46753259222288879</v>
      </c>
      <c r="S273" s="817">
        <f t="shared" si="107"/>
        <v>-1</v>
      </c>
      <c r="T273" s="176">
        <f t="shared" si="108"/>
        <v>5</v>
      </c>
      <c r="U273" s="251">
        <f t="shared" si="109"/>
        <v>-0.53246740777711121</v>
      </c>
      <c r="V273" s="383">
        <f t="shared" si="110"/>
        <v>29.962250523898113</v>
      </c>
      <c r="W273" s="402">
        <f t="shared" si="111"/>
        <v>20.884943126435289</v>
      </c>
      <c r="X273" s="157">
        <f t="shared" si="112"/>
        <v>46646</v>
      </c>
      <c r="Y273" s="385">
        <f t="shared" si="113"/>
        <v>19.305969419683734</v>
      </c>
      <c r="Z273" s="385">
        <f t="shared" si="114"/>
        <v>20.815424818529674</v>
      </c>
      <c r="AA273" s="386">
        <f t="shared" si="115"/>
        <v>23.444777061928217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0.11215087422043889</v>
      </c>
      <c r="AD273" s="231">
        <f>(INDEX(Models!$BJ273:$BT273,,AH273)*(1-AF273)+INDEX(Models!$BJ273:$BT273,,AH273+1)*AF273-ERP_i)*AE273*Ramure*Pc/MaxiM</f>
        <v>3.302107030702967E-3</v>
      </c>
      <c r="AE273" s="305">
        <f t="shared" si="117"/>
        <v>0.7</v>
      </c>
      <c r="AF273" s="177">
        <f t="shared" si="118"/>
        <v>9.1395961598944808E-2</v>
      </c>
      <c r="AG273" s="817">
        <f t="shared" si="124"/>
        <v>2</v>
      </c>
      <c r="AH273" s="176">
        <f t="shared" si="119"/>
        <v>8</v>
      </c>
      <c r="AI273" s="225">
        <f t="shared" si="120"/>
        <v>2.0913959615989448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46647</v>
      </c>
      <c r="B274" s="411">
        <f>'2026'!Wh/'2026'!Env_an*'2027'!Env_an</f>
        <v>29.453961269190469</v>
      </c>
      <c r="C274" s="846"/>
      <c r="D274" s="393">
        <f t="shared" si="102"/>
        <v>31.757542538490462</v>
      </c>
      <c r="E274" s="385">
        <f t="shared" si="100"/>
        <v>33.130336831728194</v>
      </c>
      <c r="F274" s="385">
        <f t="shared" si="103"/>
        <v>33.133883358324965</v>
      </c>
      <c r="G274" s="110">
        <f t="shared" si="101"/>
        <v>0.98960878322933388</v>
      </c>
      <c r="H274" s="414" t="b">
        <f>Wh_hp&gt;='2026'!Maxi_hp</f>
        <v>0</v>
      </c>
      <c r="I274" s="390">
        <f>IF(H274,Wh_hp,'2026'!Maxi_hp)</f>
        <v>33.133936794378606</v>
      </c>
      <c r="J274" s="85">
        <f>IF(H274,An,'2026'!An_max)</f>
        <v>2025</v>
      </c>
      <c r="K274" s="197">
        <f t="shared" si="104"/>
        <v>46647</v>
      </c>
      <c r="L274" s="147">
        <f>IF(t&lt;Tvie,1-EXP((T0-t)*PertePVj)+'2026'!Pspv,1-EXP((T0-t)*PertePVj)+Pspv)</f>
        <v>7.2536508972885105E-2</v>
      </c>
      <c r="M274" s="850"/>
      <c r="N274" s="850"/>
      <c r="O274" s="48">
        <f>IF(t&lt;Tnet,'2026'!Resal+('2026'!Salim-'2026'!Resal)*(1-EXP(('2026'!Tnet-t)/('2026'!Tau_j))),Resal+(Salim-Resal)*(1-EXP((Tnet-t)/(Tau_j))))*Salcycl</f>
        <v>4.1436170728063201E-2</v>
      </c>
      <c r="P274" s="169">
        <f>(INDEX(Models!$BJ274:$BT274,,T274)*(1-R274)+INDEX(Models!$BJ274:$BT274,,T274+1)*R274-ERP_i)*Q274*Ramure*Pc/MaxiM</f>
        <v>1.0864884971115462E-4</v>
      </c>
      <c r="Q274" s="305">
        <f t="shared" si="105"/>
        <v>0.7</v>
      </c>
      <c r="R274" s="177">
        <f t="shared" si="106"/>
        <v>0.46787973676798711</v>
      </c>
      <c r="S274" s="817">
        <f t="shared" si="107"/>
        <v>-1</v>
      </c>
      <c r="T274" s="176">
        <f t="shared" si="108"/>
        <v>5</v>
      </c>
      <c r="U274" s="251">
        <f t="shared" si="109"/>
        <v>-0.53212026323201289</v>
      </c>
      <c r="V274" s="383">
        <f t="shared" si="110"/>
        <v>29.763189520729892</v>
      </c>
      <c r="W274" s="402">
        <f t="shared" si="111"/>
        <v>29.453961269190469</v>
      </c>
      <c r="X274" s="157">
        <f t="shared" si="112"/>
        <v>46647</v>
      </c>
      <c r="Y274" s="385">
        <f t="shared" si="113"/>
        <v>27.175767574685768</v>
      </c>
      <c r="Z274" s="385">
        <f t="shared" si="114"/>
        <v>29.30117232387239</v>
      </c>
      <c r="AA274" s="386">
        <f t="shared" si="115"/>
        <v>33.003646200811616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0.11218378279816174</v>
      </c>
      <c r="AD274" s="231">
        <f>(INDEX(Models!$BJ274:$BT274,,AH274)*(1-AF274)+INDEX(Models!$BJ274:$BT274,,AH274+1)*AF274-ERP_i)*AE274*Ramure*Pc/MaxiM</f>
        <v>3.9898523153253452E-3</v>
      </c>
      <c r="AE274" s="305">
        <f t="shared" si="117"/>
        <v>0.7</v>
      </c>
      <c r="AF274" s="177">
        <f t="shared" si="118"/>
        <v>9.1743106144043018E-2</v>
      </c>
      <c r="AG274" s="817">
        <f t="shared" si="124"/>
        <v>2</v>
      </c>
      <c r="AH274" s="176">
        <f t="shared" si="119"/>
        <v>8</v>
      </c>
      <c r="AI274" s="225">
        <f t="shared" si="120"/>
        <v>2.091743106144043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46648</v>
      </c>
      <c r="B275" s="411">
        <f>'2026'!Wh/'2026'!Env_an*'2027'!Env_an</f>
        <v>29.569464986429267</v>
      </c>
      <c r="C275" s="846"/>
      <c r="D275" s="393">
        <f t="shared" si="102"/>
        <v>31.88277806497663</v>
      </c>
      <c r="E275" s="385">
        <f t="shared" si="100"/>
        <v>33.265987209863972</v>
      </c>
      <c r="F275" s="385">
        <f t="shared" si="103"/>
        <v>33.270665157690047</v>
      </c>
      <c r="G275" s="110">
        <f t="shared" si="101"/>
        <v>1.0001857505520066</v>
      </c>
      <c r="H275" s="414" t="b">
        <f>Wh_hp&gt;='2026'!Maxi_hp</f>
        <v>0</v>
      </c>
      <c r="I275" s="390">
        <f>IF(H275,Wh_hp,'2026'!Maxi_hp)</f>
        <v>33.270665157690054</v>
      </c>
      <c r="J275" s="85">
        <f>IF(H275,An,'2026'!An_max)</f>
        <v>2023</v>
      </c>
      <c r="K275" s="197">
        <f t="shared" si="104"/>
        <v>46648</v>
      </c>
      <c r="L275" s="147">
        <f>IF(t&lt;Tvie,1-EXP((T0-t)*PertePVj)+'2026'!Pspv,1-EXP((T0-t)*PertePVj)+Pspv)</f>
        <v>7.2556822803610976E-2</v>
      </c>
      <c r="M275" s="850"/>
      <c r="N275" s="850"/>
      <c r="O275" s="48">
        <f>IF(t&lt;Tnet,'2026'!Resal+('2026'!Salim-'2026'!Resal)*(1-EXP(('2026'!Tnet-t)/('2026'!Tau_j))),Resal+(Salim-Resal)*(1-EXP((Tnet-t)/(Tau_j))))*Salcycl</f>
        <v>4.1580282471737132E-2</v>
      </c>
      <c r="P275" s="169">
        <f>(INDEX(Models!$BJ275:$BT275,,T275)*(1-R275)+INDEX(Models!$BJ275:$BT275,,T275+1)*R275-ERP_i)*Q275*Ramure*Pc/MaxiM</f>
        <v>1.4060277436307681E-4</v>
      </c>
      <c r="Q275" s="305">
        <f t="shared" si="105"/>
        <v>0.7</v>
      </c>
      <c r="R275" s="177">
        <f t="shared" si="106"/>
        <v>0.46821336517784495</v>
      </c>
      <c r="S275" s="817">
        <f t="shared" si="107"/>
        <v>-1</v>
      </c>
      <c r="T275" s="176">
        <f t="shared" si="108"/>
        <v>5</v>
      </c>
      <c r="U275" s="251">
        <f t="shared" si="109"/>
        <v>-0.53178663482215505</v>
      </c>
      <c r="V275" s="383">
        <f t="shared" si="110"/>
        <v>29.563973462039183</v>
      </c>
      <c r="W275" s="402">
        <f t="shared" si="111"/>
        <v>29.569464986429267</v>
      </c>
      <c r="X275" s="157">
        <f t="shared" si="112"/>
        <v>46648</v>
      </c>
      <c r="Y275" s="385">
        <f t="shared" si="113"/>
        <v>27.263721301932986</v>
      </c>
      <c r="Z275" s="385">
        <f t="shared" si="114"/>
        <v>29.396648735235459</v>
      </c>
      <c r="AA275" s="386">
        <f t="shared" si="115"/>
        <v>33.112373153331646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0.11221558783751275</v>
      </c>
      <c r="AD275" s="231">
        <f>(INDEX(Models!$BJ275:$BT275,,AH275)*(1-AF275)+INDEX(Models!$BJ275:$BT275,,AH275+1)*AF275-ERP_i)*AE275*Ramure*Pc/MaxiM</f>
        <v>4.7577048312126367E-3</v>
      </c>
      <c r="AE275" s="305">
        <f t="shared" si="117"/>
        <v>0.7</v>
      </c>
      <c r="AF275" s="177">
        <f t="shared" si="118"/>
        <v>9.2076734553900863E-2</v>
      </c>
      <c r="AG275" s="817">
        <f t="shared" si="124"/>
        <v>2</v>
      </c>
      <c r="AH275" s="176">
        <f t="shared" si="119"/>
        <v>8</v>
      </c>
      <c r="AI275" s="225">
        <f t="shared" si="120"/>
        <v>2.0920767345539009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46649</v>
      </c>
      <c r="B276" s="411">
        <f>'2026'!Wh/'2026'!Env_an*'2027'!Env_an</f>
        <v>28.978503535076296</v>
      </c>
      <c r="C276" s="846"/>
      <c r="D276" s="393">
        <f t="shared" si="102"/>
        <v>31.246268197453784</v>
      </c>
      <c r="E276" s="385">
        <f t="shared" si="100"/>
        <v>32.606743179878322</v>
      </c>
      <c r="F276" s="385">
        <f t="shared" si="103"/>
        <v>32.612911639367603</v>
      </c>
      <c r="G276" s="110">
        <f t="shared" si="101"/>
        <v>0.98689558897479079</v>
      </c>
      <c r="H276" s="414" t="b">
        <f>Wh_hp&gt;='2026'!Maxi_hp</f>
        <v>0</v>
      </c>
      <c r="I276" s="390">
        <f>IF(H276,Wh_hp,'2026'!Maxi_hp)</f>
        <v>32.613027266121748</v>
      </c>
      <c r="J276" s="85">
        <f>IF(H276,An,'2026'!An_max)</f>
        <v>2025</v>
      </c>
      <c r="K276" s="197">
        <f t="shared" si="104"/>
        <v>46649</v>
      </c>
      <c r="L276" s="147">
        <f>IF(t&lt;Tvie,1-EXP((T0-t)*PertePVj)+'2026'!Pspv,1-EXP((T0-t)*PertePVj)+Pspv)</f>
        <v>7.2577136189411751E-2</v>
      </c>
      <c r="M276" s="850"/>
      <c r="N276" s="850"/>
      <c r="O276" s="48">
        <f>IF(t&lt;Tnet,'2026'!Resal+('2026'!Salim-'2026'!Resal)*(1-EXP(('2026'!Tnet-t)/('2026'!Tau_j))),Resal+(Salim-Resal)*(1-EXP((Tnet-t)/(Tau_j))))*Salcycl</f>
        <v>4.1723731036839344E-2</v>
      </c>
      <c r="P276" s="169">
        <f>(INDEX(Models!$BJ276:$BT276,,T276)*(1-R276)+INDEX(Models!$BJ276:$BT276,,T276+1)*R276-ERP_i)*Q276*Ramure*Pc/MaxiM</f>
        <v>1.92749031387312E-4</v>
      </c>
      <c r="Q276" s="305">
        <f t="shared" si="105"/>
        <v>0.7</v>
      </c>
      <c r="R276" s="177">
        <f t="shared" si="106"/>
        <v>0.46853398614710651</v>
      </c>
      <c r="S276" s="817">
        <f t="shared" si="107"/>
        <v>-1</v>
      </c>
      <c r="T276" s="176">
        <f t="shared" si="108"/>
        <v>5</v>
      </c>
      <c r="U276" s="251">
        <f t="shared" si="109"/>
        <v>-0.53146601385289349</v>
      </c>
      <c r="V276" s="383">
        <f t="shared" si="110"/>
        <v>29.3631862399018</v>
      </c>
      <c r="W276" s="402">
        <f t="shared" si="111"/>
        <v>28.978503535076296</v>
      </c>
      <c r="X276" s="157">
        <f t="shared" si="112"/>
        <v>46649</v>
      </c>
      <c r="Y276" s="385">
        <f t="shared" si="113"/>
        <v>26.701532886506122</v>
      </c>
      <c r="Z276" s="385">
        <f t="shared" si="114"/>
        <v>28.791109135260111</v>
      </c>
      <c r="AA276" s="386">
        <f t="shared" si="115"/>
        <v>32.431413755099378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0.11224625134532966</v>
      </c>
      <c r="AD276" s="231">
        <f>(INDEX(Models!$BJ276:$BT276,,AH276)*(1-AF276)+INDEX(Models!$BJ276:$BT276,,AH276+1)*AF276-ERP_i)*AE276*Ramure*Pc/MaxiM</f>
        <v>5.6713578896535272E-3</v>
      </c>
      <c r="AE276" s="305">
        <f t="shared" si="117"/>
        <v>0.7</v>
      </c>
      <c r="AF276" s="177">
        <f t="shared" si="118"/>
        <v>9.2397355523162528E-2</v>
      </c>
      <c r="AG276" s="817">
        <f t="shared" si="124"/>
        <v>2</v>
      </c>
      <c r="AH276" s="176">
        <f t="shared" si="119"/>
        <v>8</v>
      </c>
      <c r="AI276" s="225">
        <f t="shared" si="120"/>
        <v>2.0923973555231625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46650</v>
      </c>
      <c r="B277" s="411">
        <f>'2026'!Wh/'2026'!Env_an*'2027'!Env_an</f>
        <v>30.230061072308271</v>
      </c>
      <c r="C277" s="846"/>
      <c r="D277" s="393">
        <f t="shared" si="102"/>
        <v>32.596482556532777</v>
      </c>
      <c r="E277" s="385">
        <f t="shared" si="100"/>
        <v>34.020814963400944</v>
      </c>
      <c r="F277" s="385">
        <f t="shared" si="103"/>
        <v>34.029849011308066</v>
      </c>
      <c r="G277" s="110">
        <f t="shared" si="101"/>
        <v>1.0366734671014803</v>
      </c>
      <c r="H277" s="414" t="b">
        <f>Wh_hp&gt;='2026'!Maxi_hp</f>
        <v>1</v>
      </c>
      <c r="I277" s="390">
        <f>IF(H277,Wh_hp,'2026'!Maxi_hp)</f>
        <v>34.029849011308066</v>
      </c>
      <c r="J277" s="85">
        <f>IF(H277,An,'2026'!An_max)</f>
        <v>2027</v>
      </c>
      <c r="K277" s="197">
        <f t="shared" si="104"/>
        <v>46650</v>
      </c>
      <c r="L277" s="147">
        <f>IF(t&lt;Tvie,1-EXP((T0-t)*PertePVj)+'2026'!Pspv,1-EXP((T0-t)*PertePVj)+Pspv)</f>
        <v>7.2597449130297198E-2</v>
      </c>
      <c r="M277" s="850"/>
      <c r="N277" s="850"/>
      <c r="O277" s="48">
        <f>IF(t&lt;Tnet,'2026'!Resal+('2026'!Salim-'2026'!Resal)*(1-EXP(('2026'!Tnet-t)/('2026'!Tau_j))),Resal+(Salim-Resal)*(1-EXP((Tnet-t)/(Tau_j))))*Salcycl</f>
        <v>4.1866498742033235E-2</v>
      </c>
      <c r="P277" s="169">
        <f>(INDEX(Models!$BJ277:$BT277,,T277)*(1-R277)+INDEX(Models!$BJ277:$BT277,,T277+1)*R277-ERP_i)*Q277*Ramure*Pc/MaxiM</f>
        <v>2.6547422834942018E-4</v>
      </c>
      <c r="Q277" s="305">
        <f t="shared" si="105"/>
        <v>0.7</v>
      </c>
      <c r="R277" s="177">
        <f t="shared" si="106"/>
        <v>0.46884209059216531</v>
      </c>
      <c r="S277" s="817">
        <f t="shared" si="107"/>
        <v>-1</v>
      </c>
      <c r="T277" s="176">
        <f t="shared" si="108"/>
        <v>5</v>
      </c>
      <c r="U277" s="251">
        <f t="shared" si="109"/>
        <v>-0.53115790940783469</v>
      </c>
      <c r="V277" s="383">
        <f t="shared" si="110"/>
        <v>29.160639325351841</v>
      </c>
      <c r="W277" s="402">
        <f t="shared" si="111"/>
        <v>30.230061072308271</v>
      </c>
      <c r="X277" s="157">
        <f t="shared" si="112"/>
        <v>46650</v>
      </c>
      <c r="Y277" s="385">
        <f t="shared" si="113"/>
        <v>27.827960401726962</v>
      </c>
      <c r="Z277" s="385">
        <f t="shared" si="114"/>
        <v>30.006344467815364</v>
      </c>
      <c r="AA277" s="386">
        <f t="shared" si="115"/>
        <v>33.801424205868436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0.11227573474238958</v>
      </c>
      <c r="AD277" s="231">
        <f>(INDEX(Models!$BJ277:$BT277,,AH277)*(1-AF277)+INDEX(Models!$BJ277:$BT277,,AH277+1)*AF277-ERP_i)*AE277*Ramure*Pc/MaxiM</f>
        <v>6.712483659969324E-3</v>
      </c>
      <c r="AE277" s="305">
        <f t="shared" si="117"/>
        <v>0.7</v>
      </c>
      <c r="AF277" s="177">
        <f t="shared" si="118"/>
        <v>9.2705459968221327E-2</v>
      </c>
      <c r="AG277" s="817">
        <f t="shared" si="124"/>
        <v>2</v>
      </c>
      <c r="AH277" s="176">
        <f t="shared" si="119"/>
        <v>8</v>
      </c>
      <c r="AI277" s="225">
        <f t="shared" si="120"/>
        <v>2.0927054599682213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46651</v>
      </c>
      <c r="B278" s="411">
        <f>'2026'!Wh/'2026'!Env_an*'2027'!Env_an</f>
        <v>29.171013255932255</v>
      </c>
      <c r="C278" s="846"/>
      <c r="D278" s="393">
        <f t="shared" si="102"/>
        <v>31.455220996131178</v>
      </c>
      <c r="E278" s="385">
        <f t="shared" si="100"/>
        <v>32.834553558280177</v>
      </c>
      <c r="F278" s="385">
        <f t="shared" si="103"/>
        <v>32.846351220278983</v>
      </c>
      <c r="G278" s="110">
        <f t="shared" si="101"/>
        <v>1.0074204906842539</v>
      </c>
      <c r="H278" s="414" t="b">
        <f>Wh_hp&gt;='2026'!Maxi_hp</f>
        <v>1</v>
      </c>
      <c r="I278" s="390">
        <f>IF(H278,Wh_hp,'2026'!Maxi_hp)</f>
        <v>32.846351220278983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7.26177616262772E-2</v>
      </c>
      <c r="M278" s="850"/>
      <c r="N278" s="850"/>
      <c r="O278" s="48">
        <f>IF(t&lt;Tnet,'2026'!Resal+('2026'!Salim-'2026'!Resal)*(1-EXP(('2026'!Tnet-t)/('2026'!Tau_j))),Resal+(Salim-Resal)*(1-EXP((Tnet-t)/(Tau_j))))*Salcycl</f>
        <v>4.2008567581122529E-2</v>
      </c>
      <c r="P278" s="169">
        <f>(INDEX(Models!$BJ278:$BT278,,T278)*(1-R278)+INDEX(Models!$BJ278:$BT278,,T278+1)*R278-ERP_i)*Q278*Ramure*Pc/MaxiM</f>
        <v>3.591772468022984E-4</v>
      </c>
      <c r="Q278" s="305">
        <f t="shared" si="105"/>
        <v>0.7</v>
      </c>
      <c r="R278" s="177">
        <f t="shared" si="106"/>
        <v>0.46913815216475296</v>
      </c>
      <c r="S278" s="817">
        <f t="shared" si="107"/>
        <v>-1</v>
      </c>
      <c r="T278" s="176">
        <f t="shared" si="108"/>
        <v>5</v>
      </c>
      <c r="U278" s="251">
        <f t="shared" si="109"/>
        <v>-0.53086184783524704</v>
      </c>
      <c r="V278" s="383">
        <f t="shared" si="110"/>
        <v>28.956144455746479</v>
      </c>
      <c r="W278" s="402">
        <f t="shared" si="111"/>
        <v>29.171013255932255</v>
      </c>
      <c r="X278" s="157">
        <f t="shared" si="112"/>
        <v>46651</v>
      </c>
      <c r="Y278" s="385">
        <f t="shared" si="113"/>
        <v>26.827046003837996</v>
      </c>
      <c r="Z278" s="385">
        <f t="shared" si="114"/>
        <v>28.927711674619168</v>
      </c>
      <c r="AA278" s="386">
        <f t="shared" si="115"/>
        <v>32.587407899466555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0.11230399902126913</v>
      </c>
      <c r="AD278" s="231">
        <f>(INDEX(Models!$BJ278:$BT278,,AH278)*(1-AF278)+INDEX(Models!$BJ278:$BT278,,AH278+1)*AF278-ERP_i)*AE278*Ramure*Pc/MaxiM</f>
        <v>7.8834729335951793E-3</v>
      </c>
      <c r="AE278" s="305">
        <f t="shared" si="117"/>
        <v>0.7</v>
      </c>
      <c r="AF278" s="177">
        <f t="shared" si="118"/>
        <v>9.3001521540808874E-2</v>
      </c>
      <c r="AG278" s="817">
        <f t="shared" si="124"/>
        <v>2</v>
      </c>
      <c r="AH278" s="176">
        <f t="shared" si="119"/>
        <v>8</v>
      </c>
      <c r="AI278" s="225">
        <f t="shared" si="120"/>
        <v>2.0930015215408089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46652</v>
      </c>
      <c r="B279" s="411">
        <f>'2026'!Wh/'2026'!Env_an*'2027'!Env_an</f>
        <v>28.079944722309474</v>
      </c>
      <c r="C279" s="846"/>
      <c r="D279" s="393">
        <f t="shared" si="102"/>
        <v>30.27938060133404</v>
      </c>
      <c r="E279" s="385">
        <f t="shared" si="100"/>
        <v>31.611816098436364</v>
      </c>
      <c r="F279" s="385">
        <f t="shared" si="103"/>
        <v>31.62631647627099</v>
      </c>
      <c r="G279" s="110">
        <f t="shared" si="101"/>
        <v>0.97669483277977065</v>
      </c>
      <c r="H279" s="414" t="b">
        <f>Wh_hp&gt;='2026'!Maxi_hp</f>
        <v>0</v>
      </c>
      <c r="I279" s="390">
        <f>IF(H279,Wh_hp,'2026'!Maxi_hp)</f>
        <v>31.626779860957342</v>
      </c>
      <c r="J279" s="85">
        <f>IF(H279,An,'2026'!An_max)</f>
        <v>2025</v>
      </c>
      <c r="K279" s="197">
        <f t="shared" si="104"/>
        <v>46652</v>
      </c>
      <c r="L279" s="147">
        <f>IF(t&lt;Tvie,1-EXP((T0-t)*PertePVj)+'2026'!Pspv,1-EXP((T0-t)*PertePVj)+Pspv)</f>
        <v>7.2638073677361303E-2</v>
      </c>
      <c r="M279" s="850"/>
      <c r="N279" s="850"/>
      <c r="O279" s="48">
        <f>IF(t&lt;Tnet,'2026'!Resal+('2026'!Salim-'2026'!Resal)*(1-EXP(('2026'!Tnet-t)/('2026'!Tau_j))),Resal+(Salim-Resal)*(1-EXP((Tnet-t)/(Tau_j))))*Salcycl</f>
        <v>4.2149919288194018E-2</v>
      </c>
      <c r="P279" s="169">
        <f>(INDEX(Models!$BJ279:$BT279,,T279)*(1-R279)+INDEX(Models!$BJ279:$BT279,,T279+1)*R279-ERP_i)*Q279*Ramure*Pc/MaxiM</f>
        <v>4.7427036715193721E-4</v>
      </c>
      <c r="Q279" s="305">
        <f t="shared" si="105"/>
        <v>0.7</v>
      </c>
      <c r="R279" s="177">
        <f t="shared" si="106"/>
        <v>0.46942262775956312</v>
      </c>
      <c r="S279" s="817">
        <f t="shared" si="107"/>
        <v>-1</v>
      </c>
      <c r="T279" s="176">
        <f t="shared" si="108"/>
        <v>5</v>
      </c>
      <c r="U279" s="251">
        <f t="shared" si="109"/>
        <v>-0.53057737224043688</v>
      </c>
      <c r="V279" s="383">
        <f t="shared" si="110"/>
        <v>28.749513655319525</v>
      </c>
      <c r="W279" s="402">
        <f t="shared" si="111"/>
        <v>28.079944722309474</v>
      </c>
      <c r="X279" s="157">
        <f t="shared" si="112"/>
        <v>46652</v>
      </c>
      <c r="Y279" s="385">
        <f t="shared" si="113"/>
        <v>25.803264422762055</v>
      </c>
      <c r="Z279" s="385">
        <f t="shared" si="114"/>
        <v>27.824373300597241</v>
      </c>
      <c r="AA279" s="386">
        <f t="shared" si="115"/>
        <v>31.345437832054596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0.11233100492399659</v>
      </c>
      <c r="AD279" s="231">
        <f>(INDEX(Models!$BJ279:$BT279,,AH279)*(1-AF279)+INDEX(Models!$BJ279:$BT279,,AH279+1)*AF279-ERP_i)*AE279*Ramure*Pc/MaxiM</f>
        <v>9.1868239046532154E-3</v>
      </c>
      <c r="AE279" s="305">
        <f t="shared" si="117"/>
        <v>0.7</v>
      </c>
      <c r="AF279" s="177">
        <f t="shared" si="118"/>
        <v>9.3285997135619247E-2</v>
      </c>
      <c r="AG279" s="817">
        <f t="shared" si="124"/>
        <v>2</v>
      </c>
      <c r="AH279" s="176">
        <f t="shared" si="119"/>
        <v>8</v>
      </c>
      <c r="AI279" s="225">
        <f t="shared" si="120"/>
        <v>2.0932859971356192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46653</v>
      </c>
      <c r="B280" s="411">
        <f>'2026'!Wh/'2026'!Env_an*'2027'!Env_an</f>
        <v>17.372314836960584</v>
      </c>
      <c r="C280" s="846"/>
      <c r="D280" s="393">
        <f t="shared" si="102"/>
        <v>18.733457618283023</v>
      </c>
      <c r="E280" s="385">
        <f t="shared" si="100"/>
        <v>19.560689656886943</v>
      </c>
      <c r="F280" s="385">
        <f t="shared" si="103"/>
        <v>19.565963123408128</v>
      </c>
      <c r="G280" s="110">
        <f t="shared" si="101"/>
        <v>0.60848064290238757</v>
      </c>
      <c r="H280" s="414" t="b">
        <f>Wh_hp&gt;='2026'!Maxi_hp</f>
        <v>0</v>
      </c>
      <c r="I280" s="390">
        <f>IF(H280,Wh_hp,'2026'!Maxi_hp)</f>
        <v>30.447289439965701</v>
      </c>
      <c r="J280" s="85">
        <f>IF(H280,An,'2026'!An_max)</f>
        <v>2018</v>
      </c>
      <c r="K280" s="197">
        <f t="shared" si="104"/>
        <v>46653</v>
      </c>
      <c r="L280" s="147">
        <f>IF(t&lt;Tvie,1-EXP((T0-t)*PertePVj)+'2026'!Pspv,1-EXP((T0-t)*PertePVj)+Pspv)</f>
        <v>7.265838528355939E-2</v>
      </c>
      <c r="M280" s="850"/>
      <c r="N280" s="850"/>
      <c r="O280" s="48">
        <f>IF(t&lt;Tnet,'2026'!Resal+('2026'!Salim-'2026'!Resal)*(1-EXP(('2026'!Tnet-t)/('2026'!Tau_j))),Resal+(Salim-Resal)*(1-EXP((Tnet-t)/(Tau_j))))*Salcycl</f>
        <v>4.2290535411294627E-2</v>
      </c>
      <c r="P280" s="169">
        <f>(INDEX(Models!$BJ280:$BT280,,T280)*(1-R280)+INDEX(Models!$BJ280:$BT280,,T280+1)*R280-ERP_i)*Q280*Ramure*Pc/MaxiM</f>
        <v>6.1118448396268532E-4</v>
      </c>
      <c r="Q280" s="305">
        <f t="shared" si="105"/>
        <v>0.7</v>
      </c>
      <c r="R280" s="177">
        <f t="shared" si="106"/>
        <v>0.46969595801512831</v>
      </c>
      <c r="S280" s="817">
        <f t="shared" si="107"/>
        <v>-1</v>
      </c>
      <c r="T280" s="176">
        <f t="shared" si="108"/>
        <v>5</v>
      </c>
      <c r="U280" s="251">
        <f t="shared" si="109"/>
        <v>-0.53030404198487169</v>
      </c>
      <c r="V280" s="383">
        <f t="shared" si="110"/>
        <v>28.540559143693688</v>
      </c>
      <c r="W280" s="402">
        <f t="shared" si="111"/>
        <v>17.372314836960584</v>
      </c>
      <c r="X280" s="157">
        <f t="shared" si="112"/>
        <v>46653</v>
      </c>
      <c r="Y280" s="385">
        <f t="shared" si="113"/>
        <v>16.030230376842201</v>
      </c>
      <c r="Z280" s="385">
        <f t="shared" si="114"/>
        <v>17.286219147777459</v>
      </c>
      <c r="AA280" s="386">
        <f t="shared" si="115"/>
        <v>19.47428590251398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0.11235671313904555</v>
      </c>
      <c r="AD280" s="231">
        <f>(INDEX(Models!$BJ280:$BT280,,AH280)*(1-AF280)+INDEX(Models!$BJ280:$BT280,,AH280+1)*AF280-ERP_i)*AE280*Ramure*Pc/MaxiM</f>
        <v>1.0625211086144228E-2</v>
      </c>
      <c r="AE280" s="305">
        <f t="shared" si="117"/>
        <v>0.7</v>
      </c>
      <c r="AF280" s="177">
        <f t="shared" si="118"/>
        <v>9.3559327391184333E-2</v>
      </c>
      <c r="AG280" s="817">
        <f t="shared" si="124"/>
        <v>2</v>
      </c>
      <c r="AH280" s="176">
        <f t="shared" si="119"/>
        <v>8</v>
      </c>
      <c r="AI280" s="225">
        <f t="shared" si="120"/>
        <v>2.0935593273911843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46654</v>
      </c>
      <c r="B281" s="411">
        <f>'2026'!Wh/'2026'!Env_an*'2027'!Env_an</f>
        <v>10.844023933765067</v>
      </c>
      <c r="C281" s="846"/>
      <c r="D281" s="393">
        <f t="shared" si="102"/>
        <v>11.693923014808117</v>
      </c>
      <c r="E281" s="385">
        <f t="shared" si="100"/>
        <v>12.212086706793812</v>
      </c>
      <c r="F281" s="385">
        <f t="shared" si="103"/>
        <v>12.213199451033525</v>
      </c>
      <c r="G281" s="110">
        <f t="shared" si="101"/>
        <v>0.38252750304223676</v>
      </c>
      <c r="H281" s="414" t="b">
        <f>Wh_hp&gt;='2026'!Maxi_hp</f>
        <v>0</v>
      </c>
      <c r="I281" s="390">
        <f>IF(H281,Wh_hp,'2026'!Maxi_hp)</f>
        <v>26.744687251171772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7.267869644488123E-2</v>
      </c>
      <c r="M281" s="850"/>
      <c r="N281" s="850"/>
      <c r="O281" s="48">
        <f>IF(t&lt;Tnet,'2026'!Resal+('2026'!Salim-'2026'!Resal)*(1-EXP(('2026'!Tnet-t)/('2026'!Tau_j))),Resal+(Salim-Resal)*(1-EXP((Tnet-t)/(Tau_j))))*Salcycl</f>
        <v>4.2430397394527981E-2</v>
      </c>
      <c r="P281" s="169">
        <f>(INDEX(Models!$BJ281:$BT281,,T281)*(1-R281)+INDEX(Models!$BJ281:$BT281,,T281+1)*R281-ERP_i)*Q281*Ramure*Pc/MaxiM</f>
        <v>7.7036931164874026E-4</v>
      </c>
      <c r="Q281" s="305">
        <f t="shared" si="105"/>
        <v>0.7</v>
      </c>
      <c r="R281" s="177">
        <f t="shared" si="106"/>
        <v>0.46995856780726442</v>
      </c>
      <c r="S281" s="817">
        <f t="shared" si="107"/>
        <v>-1</v>
      </c>
      <c r="T281" s="176">
        <f t="shared" si="108"/>
        <v>5</v>
      </c>
      <c r="U281" s="251">
        <f t="shared" si="109"/>
        <v>-0.53004143219273558</v>
      </c>
      <c r="V281" s="383">
        <f t="shared" si="110"/>
        <v>28.329093390300969</v>
      </c>
      <c r="W281" s="402">
        <f t="shared" si="111"/>
        <v>10.844023933765067</v>
      </c>
      <c r="X281" s="157">
        <f t="shared" si="112"/>
        <v>46654</v>
      </c>
      <c r="Y281" s="385">
        <f t="shared" si="113"/>
        <v>10.038274758180709</v>
      </c>
      <c r="Z281" s="385">
        <f t="shared" si="114"/>
        <v>10.825023343792992</v>
      </c>
      <c r="AA281" s="386">
        <f t="shared" si="115"/>
        <v>12.195575325140812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0.11238108451697788</v>
      </c>
      <c r="AD281" s="231">
        <f>(INDEX(Models!$BJ281:$BT281,,AH281)*(1-AF281)+INDEX(Models!$BJ281:$BT281,,AH281+1)*AF281-ERP_i)*AE281*Ramure*Pc/MaxiM</f>
        <v>1.2201443285723404E-2</v>
      </c>
      <c r="AE281" s="305">
        <f t="shared" si="117"/>
        <v>0.7</v>
      </c>
      <c r="AF281" s="177">
        <f t="shared" si="118"/>
        <v>9.3821937183320436E-2</v>
      </c>
      <c r="AG281" s="817">
        <f t="shared" si="124"/>
        <v>2</v>
      </c>
      <c r="AH281" s="176">
        <f t="shared" si="119"/>
        <v>8</v>
      </c>
      <c r="AI281" s="225">
        <f t="shared" si="120"/>
        <v>2.0938219371833204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46655</v>
      </c>
      <c r="B282" s="411">
        <f>'2026'!Wh/'2026'!Env_an*'2027'!Env_an</f>
        <v>20.261453120193831</v>
      </c>
      <c r="C282" s="846"/>
      <c r="D282" s="393">
        <f t="shared" si="102"/>
        <v>21.849920658630225</v>
      </c>
      <c r="E282" s="385">
        <f t="shared" si="100"/>
        <v>22.821416650486135</v>
      </c>
      <c r="F282" s="385">
        <f t="shared" si="103"/>
        <v>22.834859991142974</v>
      </c>
      <c r="G282" s="110">
        <f t="shared" si="101"/>
        <v>0.7204031042781851</v>
      </c>
      <c r="H282" s="414" t="b">
        <f>Wh_hp&gt;='2026'!Maxi_hp</f>
        <v>0</v>
      </c>
      <c r="I282" s="390">
        <f>IF(H282,Wh_hp,'2026'!Maxi_hp)</f>
        <v>31.944717903389673</v>
      </c>
      <c r="J282" s="85">
        <f>IF(H282,An,'2026'!An_max)</f>
        <v>2018</v>
      </c>
      <c r="K282" s="197">
        <f t="shared" si="104"/>
        <v>46655</v>
      </c>
      <c r="L282" s="147">
        <f>IF(t&lt;Tvie,1-EXP((T0-t)*PertePVj)+'2026'!Pspv,1-EXP((T0-t)*PertePVj)+Pspv)</f>
        <v>7.2699007161336482E-2</v>
      </c>
      <c r="M282" s="850"/>
      <c r="N282" s="850"/>
      <c r="O282" s="48">
        <f>IF(t&lt;Tnet,'2026'!Resal+('2026'!Salim-'2026'!Resal)*(1-EXP(('2026'!Tnet-t)/('2026'!Tau_j))),Resal+(Salim-Resal)*(1-EXP((Tnet-t)/(Tau_j))))*Salcycl</f>
        <v>4.2569486668357921E-2</v>
      </c>
      <c r="P282" s="169">
        <f>(INDEX(Models!$BJ282:$BT282,,T282)*(1-R282)+INDEX(Models!$BJ282:$BT282,,T282+1)*R282-ERP_i)*Q282*Ramure*Pc/MaxiM</f>
        <v>9.7960251461059046E-4</v>
      </c>
      <c r="Q282" s="305">
        <f t="shared" si="105"/>
        <v>0.7</v>
      </c>
      <c r="R282" s="177">
        <f t="shared" si="106"/>
        <v>0.47021086673448265</v>
      </c>
      <c r="S282" s="817">
        <f t="shared" si="107"/>
        <v>-1</v>
      </c>
      <c r="T282" s="176">
        <f t="shared" si="108"/>
        <v>5</v>
      </c>
      <c r="U282" s="251">
        <f t="shared" si="109"/>
        <v>-0.52978913326551735</v>
      </c>
      <c r="V282" s="383">
        <f t="shared" si="110"/>
        <v>28.114160653282344</v>
      </c>
      <c r="W282" s="402">
        <f t="shared" si="111"/>
        <v>20.261453120193831</v>
      </c>
      <c r="X282" s="157">
        <f t="shared" si="112"/>
        <v>46655</v>
      </c>
      <c r="Y282" s="385">
        <f t="shared" si="113"/>
        <v>18.637064140333564</v>
      </c>
      <c r="Z282" s="385">
        <f t="shared" si="114"/>
        <v>20.098182018851926</v>
      </c>
      <c r="AA282" s="386">
        <f t="shared" si="115"/>
        <v>22.643391629978488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0.11240408030380301</v>
      </c>
      <c r="AD282" s="231">
        <f>(INDEX(Models!$BJ282:$BT282,,AH282)*(1-AF282)+INDEX(Models!$BJ282:$BT282,,AH282+1)*AF282-ERP_i)*AE282*Ramure*Pc/MaxiM</f>
        <v>1.3952104082827666E-2</v>
      </c>
      <c r="AE282" s="305">
        <f t="shared" si="117"/>
        <v>0.7</v>
      </c>
      <c r="AF282" s="177">
        <f t="shared" si="118"/>
        <v>9.4074236110538667E-2</v>
      </c>
      <c r="AG282" s="817">
        <f t="shared" si="124"/>
        <v>2</v>
      </c>
      <c r="AH282" s="176">
        <f t="shared" si="119"/>
        <v>8</v>
      </c>
      <c r="AI282" s="225">
        <f t="shared" si="120"/>
        <v>2.0940742361105387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46656</v>
      </c>
      <c r="B283" s="411">
        <f>'2026'!Wh/'2026'!Env_an*'2027'!Env_an</f>
        <v>19.31278885490547</v>
      </c>
      <c r="C283" s="846"/>
      <c r="D283" s="393">
        <f t="shared" si="102"/>
        <v>20.827338709828762</v>
      </c>
      <c r="E283" s="385">
        <f t="shared" si="100"/>
        <v>21.756511102873514</v>
      </c>
      <c r="F283" s="385">
        <f t="shared" si="103"/>
        <v>21.77159045414534</v>
      </c>
      <c r="G283" s="110">
        <f t="shared" si="101"/>
        <v>0.6919452563709253</v>
      </c>
      <c r="H283" s="414" t="b">
        <f>Wh_hp&gt;='2026'!Maxi_hp</f>
        <v>0</v>
      </c>
      <c r="I283" s="390">
        <f>IF(H283,Wh_hp,'2026'!Maxi_hp)</f>
        <v>30.905032154620368</v>
      </c>
      <c r="J283" s="85">
        <f>IF(H283,An,'2026'!An_max)</f>
        <v>2018</v>
      </c>
      <c r="K283" s="197">
        <f t="shared" si="104"/>
        <v>46656</v>
      </c>
      <c r="L283" s="147">
        <f>IF(t&lt;Tvie,1-EXP((T0-t)*PertePVj)+'2026'!Pspv,1-EXP((T0-t)*PertePVj)+Pspv)</f>
        <v>7.2719317432934916E-2</v>
      </c>
      <c r="M283" s="850"/>
      <c r="N283" s="850"/>
      <c r="O283" s="48">
        <f>IF(t&lt;Tnet,'2026'!Resal+('2026'!Salim-'2026'!Resal)*(1-EXP(('2026'!Tnet-t)/('2026'!Tau_j))),Resal+(Salim-Resal)*(1-EXP((Tnet-t)/(Tau_j))))*Salcycl</f>
        <v>4.270778474780506E-2</v>
      </c>
      <c r="P283" s="169">
        <f>(INDEX(Models!$BJ283:$BT283,,T283)*(1-R283)+INDEX(Models!$BJ283:$BT283,,T283+1)*R283-ERP_i)*Q283*Ramure*Pc/MaxiM</f>
        <v>1.2358004516144904E-3</v>
      </c>
      <c r="Q283" s="305">
        <f t="shared" si="105"/>
        <v>0.7</v>
      </c>
      <c r="R283" s="177">
        <f t="shared" si="106"/>
        <v>0.47045324959486057</v>
      </c>
      <c r="S283" s="817">
        <f t="shared" si="107"/>
        <v>-1</v>
      </c>
      <c r="T283" s="176">
        <f t="shared" si="108"/>
        <v>5</v>
      </c>
      <c r="U283" s="251">
        <f t="shared" si="109"/>
        <v>-0.52954675040513943</v>
      </c>
      <c r="V283" s="383">
        <f t="shared" si="110"/>
        <v>27.895691167978161</v>
      </c>
      <c r="W283" s="402">
        <f t="shared" si="111"/>
        <v>19.31278885490547</v>
      </c>
      <c r="X283" s="157">
        <f t="shared" si="112"/>
        <v>46656</v>
      </c>
      <c r="Y283" s="385">
        <f t="shared" si="113"/>
        <v>17.759734696968607</v>
      </c>
      <c r="Z283" s="385">
        <f t="shared" si="114"/>
        <v>19.152490751562858</v>
      </c>
      <c r="AA283" s="386">
        <f t="shared" si="115"/>
        <v>21.578463842425258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0.11242566239088389</v>
      </c>
      <c r="AD283" s="231">
        <f>(INDEX(Models!$BJ283:$BT283,,AH283)*(1-AF283)+INDEX(Models!$BJ283:$BT283,,AH283+1)*AF283-ERP_i)*AE283*Ramure*Pc/MaxiM</f>
        <v>1.5827335651260287E-2</v>
      </c>
      <c r="AE283" s="305">
        <f t="shared" si="117"/>
        <v>0.7</v>
      </c>
      <c r="AF283" s="177">
        <f t="shared" si="118"/>
        <v>9.431661897091681E-2</v>
      </c>
      <c r="AG283" s="817">
        <f t="shared" si="124"/>
        <v>2</v>
      </c>
      <c r="AH283" s="176">
        <f t="shared" si="119"/>
        <v>8</v>
      </c>
      <c r="AI283" s="225">
        <f t="shared" si="120"/>
        <v>2.0943166189709168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46657</v>
      </c>
      <c r="B284" s="411">
        <f>'2026'!Wh/'2026'!Env_an*'2027'!Env_an</f>
        <v>9.6927503480369914</v>
      </c>
      <c r="C284" s="846"/>
      <c r="D284" s="393">
        <f t="shared" si="102"/>
        <v>10.453105333717868</v>
      </c>
      <c r="E284" s="385">
        <f t="shared" si="100"/>
        <v>10.921019394819879</v>
      </c>
      <c r="F284" s="385">
        <f t="shared" si="103"/>
        <v>10.922226909403401</v>
      </c>
      <c r="G284" s="110">
        <f t="shared" si="101"/>
        <v>0.34975315078114561</v>
      </c>
      <c r="H284" s="414" t="b">
        <f>Wh_hp&gt;='2026'!Maxi_hp</f>
        <v>0</v>
      </c>
      <c r="I284" s="390">
        <f>IF(H284,Wh_hp,'2026'!Maxi_hp)</f>
        <v>30.281766812625989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7.2739627259686301E-2</v>
      </c>
      <c r="M284" s="850"/>
      <c r="N284" s="850"/>
      <c r="O284" s="48">
        <f>IF(t&lt;Tnet,'2026'!Resal+('2026'!Salim-'2026'!Resal)*(1-EXP(('2026'!Tnet-t)/('2026'!Tau_j))),Resal+(Salim-Resal)*(1-EXP((Tnet-t)/(Tau_j))))*Salcycl</f>
        <v>4.2845273338123976E-2</v>
      </c>
      <c r="P284" s="169">
        <f>(INDEX(Models!$BJ284:$BT284,,T284)*(1-R284)+INDEX(Models!$BJ284:$BT284,,T284+1)*R284-ERP_i)*Q284*Ramure*Pc/MaxiM</f>
        <v>1.5399612614390393E-3</v>
      </c>
      <c r="Q284" s="305">
        <f t="shared" si="105"/>
        <v>0.7</v>
      </c>
      <c r="R284" s="177">
        <f t="shared" si="106"/>
        <v>0.47068609685392993</v>
      </c>
      <c r="S284" s="817">
        <f t="shared" si="107"/>
        <v>-1</v>
      </c>
      <c r="T284" s="176">
        <f t="shared" si="108"/>
        <v>5</v>
      </c>
      <c r="U284" s="251">
        <f t="shared" si="109"/>
        <v>-0.52931390314607007</v>
      </c>
      <c r="V284" s="383">
        <f t="shared" si="110"/>
        <v>27.673500362722475</v>
      </c>
      <c r="W284" s="402">
        <f t="shared" si="111"/>
        <v>9.6927503480369914</v>
      </c>
      <c r="X284" s="157">
        <f t="shared" si="112"/>
        <v>46657</v>
      </c>
      <c r="Y284" s="385">
        <f t="shared" si="113"/>
        <v>8.977419347189171</v>
      </c>
      <c r="Z284" s="385">
        <f t="shared" si="114"/>
        <v>9.6816596622784452</v>
      </c>
      <c r="AA284" s="386">
        <f t="shared" si="115"/>
        <v>10.908246045421665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0.11244579357998942</v>
      </c>
      <c r="AD284" s="231">
        <f>(INDEX(Models!$BJ284:$BT284,,AH284)*(1-AF284)+INDEX(Models!$BJ284:$BT284,,AH284+1)*AF284-ERP_i)*AE284*Ramure*Pc/MaxiM</f>
        <v>1.7830003237334715E-2</v>
      </c>
      <c r="AE284" s="305">
        <f t="shared" si="117"/>
        <v>0.7</v>
      </c>
      <c r="AF284" s="177">
        <f t="shared" si="118"/>
        <v>9.4549466229985946E-2</v>
      </c>
      <c r="AG284" s="817">
        <f t="shared" si="124"/>
        <v>2</v>
      </c>
      <c r="AH284" s="176">
        <f t="shared" si="119"/>
        <v>8</v>
      </c>
      <c r="AI284" s="225">
        <f t="shared" si="120"/>
        <v>2.0945494662299859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46658</v>
      </c>
      <c r="B285" s="411">
        <f>'2026'!Wh/'2026'!Env_an*'2027'!Env_an</f>
        <v>10.97425639364884</v>
      </c>
      <c r="C285" s="846"/>
      <c r="D285" s="393">
        <f t="shared" si="102"/>
        <v>11.8353992965973</v>
      </c>
      <c r="E285" s="385">
        <f t="shared" si="100"/>
        <v>12.366954943284089</v>
      </c>
      <c r="F285" s="385">
        <f t="shared" si="103"/>
        <v>12.370294726169764</v>
      </c>
      <c r="G285" s="110">
        <f t="shared" si="101"/>
        <v>0.39917941477221486</v>
      </c>
      <c r="H285" s="414" t="b">
        <f>Wh_hp&gt;='2026'!Maxi_hp</f>
        <v>0</v>
      </c>
      <c r="I285" s="390">
        <f>IF(H285,Wh_hp,'2026'!Maxi_hp)</f>
        <v>29.367871929004963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7.2759936641600298E-2</v>
      </c>
      <c r="M285" s="850"/>
      <c r="N285" s="850"/>
      <c r="O285" s="48">
        <f>IF(t&lt;Tnet,'2026'!Resal+('2026'!Salim-'2026'!Resal)*(1-EXP(('2026'!Tnet-t)/('2026'!Tau_j))),Resal+(Salim-Resal)*(1-EXP((Tnet-t)/(Tau_j))))*Salcycl</f>
        <v>4.2981934447448737E-2</v>
      </c>
      <c r="P285" s="169">
        <f>(INDEX(Models!$BJ285:$BT285,,T285)*(1-R285)+INDEX(Models!$BJ285:$BT285,,T285+1)*R285-ERP_i)*Q285*Ramure*Pc/MaxiM</f>
        <v>1.8931340647538166E-3</v>
      </c>
      <c r="Q285" s="305">
        <f t="shared" si="105"/>
        <v>0.7</v>
      </c>
      <c r="R285" s="177">
        <f t="shared" si="106"/>
        <v>0.47090977510321652</v>
      </c>
      <c r="S285" s="817">
        <f t="shared" si="107"/>
        <v>-1</v>
      </c>
      <c r="T285" s="176">
        <f t="shared" si="108"/>
        <v>5</v>
      </c>
      <c r="U285" s="251">
        <f t="shared" si="109"/>
        <v>-0.52909022489678348</v>
      </c>
      <c r="V285" s="383">
        <f t="shared" si="110"/>
        <v>27.447404134131581</v>
      </c>
      <c r="W285" s="402">
        <f t="shared" si="111"/>
        <v>10.97425639364884</v>
      </c>
      <c r="X285" s="157">
        <f t="shared" si="112"/>
        <v>46658</v>
      </c>
      <c r="Y285" s="385">
        <f t="shared" si="113"/>
        <v>10.151256542105227</v>
      </c>
      <c r="Z285" s="385">
        <f t="shared" si="114"/>
        <v>10.947819171378416</v>
      </c>
      <c r="AA285" s="386">
        <f t="shared" si="115"/>
        <v>12.335076630624735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0.11246443786187151</v>
      </c>
      <c r="AD285" s="231">
        <f>(INDEX(Models!$BJ285:$BT285,,AH285)*(1-AF285)+INDEX(Models!$BJ285:$BT285,,AH285+1)*AF285-ERP_i)*AE285*Ramure*Pc/MaxiM</f>
        <v>1.996314690335594E-2</v>
      </c>
      <c r="AE285" s="305">
        <f t="shared" si="117"/>
        <v>0.7</v>
      </c>
      <c r="AF285" s="177">
        <f t="shared" si="118"/>
        <v>9.4773144479272542E-2</v>
      </c>
      <c r="AG285" s="817">
        <f t="shared" si="124"/>
        <v>2</v>
      </c>
      <c r="AH285" s="176">
        <f t="shared" si="119"/>
        <v>8</v>
      </c>
      <c r="AI285" s="225">
        <f t="shared" si="120"/>
        <v>2.0947731444792725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46659</v>
      </c>
      <c r="B286" s="411">
        <f>'2026'!Wh/'2026'!Env_an*'2027'!Env_an</f>
        <v>14.935238899700915</v>
      </c>
      <c r="C286" s="846"/>
      <c r="D286" s="393">
        <f t="shared" si="102"/>
        <v>16.107550371402667</v>
      </c>
      <c r="E286" s="385">
        <f t="shared" si="100"/>
        <v>16.833367302943465</v>
      </c>
      <c r="F286" s="385">
        <f t="shared" si="103"/>
        <v>16.84711497851681</v>
      </c>
      <c r="G286" s="110">
        <f t="shared" si="101"/>
        <v>0.54792926507118778</v>
      </c>
      <c r="H286" s="414" t="b">
        <f>Wh_hp&gt;='2026'!Maxi_hp</f>
        <v>0</v>
      </c>
      <c r="I286" s="390">
        <f>IF(H286,Wh_hp,'2026'!Maxi_hp)</f>
        <v>29.816399783631852</v>
      </c>
      <c r="J286" s="85">
        <f>IF(H286,An,'2026'!An_max)</f>
        <v>2018</v>
      </c>
      <c r="K286" s="197">
        <f t="shared" si="104"/>
        <v>46659</v>
      </c>
      <c r="L286" s="147">
        <f>IF(t&lt;Tvie,1-EXP((T0-t)*PertePVj)+'2026'!Pspv,1-EXP((T0-t)*PertePVj)+Pspv)</f>
        <v>7.2780245578686675E-2</v>
      </c>
      <c r="M286" s="850"/>
      <c r="N286" s="850"/>
      <c r="O286" s="48">
        <f>IF(t&lt;Tnet,'2026'!Resal+('2026'!Salim-'2026'!Resal)*(1-EXP(('2026'!Tnet-t)/('2026'!Tau_j))),Resal+(Salim-Resal)*(1-EXP((Tnet-t)/(Tau_j))))*Salcycl</f>
        <v>4.3117750505799371E-2</v>
      </c>
      <c r="P286" s="169">
        <f>(INDEX(Models!$BJ286:$BT286,,T286)*(1-R286)+INDEX(Models!$BJ286:$BT286,,T286+1)*R286-ERP_i)*Q286*Ramure*Pc/MaxiM</f>
        <v>2.2964244054127737E-3</v>
      </c>
      <c r="Q286" s="305">
        <f t="shared" si="105"/>
        <v>0.7</v>
      </c>
      <c r="R286" s="177">
        <f t="shared" si="106"/>
        <v>0.4711246375091267</v>
      </c>
      <c r="S286" s="817">
        <f t="shared" si="107"/>
        <v>-1</v>
      </c>
      <c r="T286" s="176">
        <f t="shared" si="108"/>
        <v>5</v>
      </c>
      <c r="U286" s="251">
        <f t="shared" si="109"/>
        <v>-0.5288753624908733</v>
      </c>
      <c r="V286" s="383">
        <f t="shared" si="110"/>
        <v>27.217218867524519</v>
      </c>
      <c r="W286" s="402">
        <f t="shared" si="111"/>
        <v>14.935238899700915</v>
      </c>
      <c r="X286" s="157">
        <f t="shared" si="112"/>
        <v>46659</v>
      </c>
      <c r="Y286" s="385">
        <f t="shared" si="113"/>
        <v>13.754390092149617</v>
      </c>
      <c r="Z286" s="385">
        <f t="shared" si="114"/>
        <v>14.83401321700039</v>
      </c>
      <c r="AA286" s="386">
        <f t="shared" si="115"/>
        <v>16.714033827634562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0.11248156070653596</v>
      </c>
      <c r="AD286" s="231">
        <f>(INDEX(Models!$BJ286:$BT286,,AH286)*(1-AF286)+INDEX(Models!$BJ286:$BT286,,AH286+1)*AF286-ERP_i)*AE286*Ramure*Pc/MaxiM</f>
        <v>2.2229998166303409E-2</v>
      </c>
      <c r="AE286" s="305">
        <f t="shared" si="117"/>
        <v>0.7</v>
      </c>
      <c r="AF286" s="177">
        <f t="shared" si="118"/>
        <v>9.4988006885182941E-2</v>
      </c>
      <c r="AG286" s="817">
        <f t="shared" si="124"/>
        <v>2</v>
      </c>
      <c r="AH286" s="176">
        <f t="shared" si="119"/>
        <v>8</v>
      </c>
      <c r="AI286" s="225">
        <f t="shared" si="120"/>
        <v>2.0949880068851829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46660</v>
      </c>
      <c r="B287" s="411">
        <f>'2026'!Wh/'2026'!Env_an*'2027'!Env_an</f>
        <v>18.618289632741163</v>
      </c>
      <c r="C287" s="846"/>
      <c r="D287" s="393">
        <f t="shared" si="102"/>
        <v>20.080134554098898</v>
      </c>
      <c r="E287" s="385">
        <f t="shared" si="100"/>
        <v>20.987918803982367</v>
      </c>
      <c r="F287" s="385">
        <f t="shared" si="103"/>
        <v>21.020136934705498</v>
      </c>
      <c r="G287" s="110">
        <f t="shared" si="101"/>
        <v>0.68916492041294408</v>
      </c>
      <c r="H287" s="414" t="b">
        <f>Wh_hp&gt;='2026'!Maxi_hp</f>
        <v>0</v>
      </c>
      <c r="I287" s="390">
        <f>IF(H287,Wh_hp,'2026'!Maxi_hp)</f>
        <v>27.899503681565321</v>
      </c>
      <c r="J287" s="85">
        <f>IF(H287,An,'2026'!An_max)</f>
        <v>2018</v>
      </c>
      <c r="K287" s="197">
        <f t="shared" si="104"/>
        <v>46660</v>
      </c>
      <c r="L287" s="147">
        <f>IF(t&lt;Tvie,1-EXP((T0-t)*PertePVj)+'2026'!Pspv,1-EXP((T0-t)*PertePVj)+Pspv)</f>
        <v>7.2800554070955315E-2</v>
      </c>
      <c r="M287" s="850"/>
      <c r="N287" s="850"/>
      <c r="O287" s="48">
        <f>IF(t&lt;Tnet,'2026'!Resal+('2026'!Salim-'2026'!Resal)*(1-EXP(('2026'!Tnet-t)/('2026'!Tau_j))),Resal+(Salim-Resal)*(1-EXP((Tnet-t)/(Tau_j))))*Salcycl</f>
        <v>4.3252704489747669E-2</v>
      </c>
      <c r="P287" s="169">
        <f>(INDEX(Models!$BJ287:$BT287,,T287)*(1-R287)+INDEX(Models!$BJ287:$BT287,,T287+1)*R287-ERP_i)*Q287*Ramure*Pc/MaxiM</f>
        <v>2.7510002401579334E-3</v>
      </c>
      <c r="Q287" s="305">
        <f t="shared" si="105"/>
        <v>0.7</v>
      </c>
      <c r="R287" s="177">
        <f t="shared" si="106"/>
        <v>0.47133102425193574</v>
      </c>
      <c r="S287" s="817">
        <f t="shared" si="107"/>
        <v>-1</v>
      </c>
      <c r="T287" s="176">
        <f t="shared" si="108"/>
        <v>5</v>
      </c>
      <c r="U287" s="251">
        <f t="shared" si="109"/>
        <v>-0.52866897574806426</v>
      </c>
      <c r="V287" s="383">
        <f t="shared" si="110"/>
        <v>26.982761452814515</v>
      </c>
      <c r="W287" s="402">
        <f t="shared" si="111"/>
        <v>18.618289632741163</v>
      </c>
      <c r="X287" s="157">
        <f t="shared" si="112"/>
        <v>46660</v>
      </c>
      <c r="Y287" s="385">
        <f t="shared" si="113"/>
        <v>17.059902357769378</v>
      </c>
      <c r="Z287" s="385">
        <f t="shared" si="114"/>
        <v>18.399387998636609</v>
      </c>
      <c r="AA287" s="386">
        <f t="shared" si="115"/>
        <v>20.731637730291823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0.11249712936317954</v>
      </c>
      <c r="AD287" s="231">
        <f>(INDEX(Models!$BJ287:$BT287,,AH287)*(1-AF287)+INDEX(Models!$BJ287:$BT287,,AH287+1)*AF287-ERP_i)*AE287*Ramure*Pc/MaxiM</f>
        <v>2.463399839822554E-2</v>
      </c>
      <c r="AE287" s="305">
        <f t="shared" si="117"/>
        <v>0.7</v>
      </c>
      <c r="AF287" s="177">
        <f t="shared" si="118"/>
        <v>9.5194393627991758E-2</v>
      </c>
      <c r="AG287" s="817">
        <f t="shared" si="124"/>
        <v>2</v>
      </c>
      <c r="AH287" s="176">
        <f t="shared" si="119"/>
        <v>8</v>
      </c>
      <c r="AI287" s="225">
        <f t="shared" si="120"/>
        <v>2.0951943936279918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46661</v>
      </c>
      <c r="B288" s="411">
        <f>'2026'!Wh/'2026'!Env_an*'2027'!Env_an</f>
        <v>23.858458291553291</v>
      </c>
      <c r="C288" s="846"/>
      <c r="D288" s="393">
        <f t="shared" si="102"/>
        <v>25.732307077211654</v>
      </c>
      <c r="E288" s="385">
        <f t="shared" si="100"/>
        <v>26.89938476765893</v>
      </c>
      <c r="F288" s="385">
        <f t="shared" si="103"/>
        <v>26.973722539076096</v>
      </c>
      <c r="G288" s="110">
        <f t="shared" si="101"/>
        <v>0.89166088302299995</v>
      </c>
      <c r="H288" s="414" t="b">
        <f>Wh_hp&gt;='2026'!Maxi_hp</f>
        <v>0</v>
      </c>
      <c r="I288" s="390">
        <f>IF(H288,Wh_hp,'2026'!Maxi_hp)</f>
        <v>29.54290748735184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7.2820862118415763E-2</v>
      </c>
      <c r="M288" s="850"/>
      <c r="N288" s="850"/>
      <c r="O288" s="48">
        <f>IF(t&lt;Tnet,'2026'!Resal+('2026'!Salim-'2026'!Resal)*(1-EXP(('2026'!Tnet-t)/('2026'!Tau_j))),Resal+(Salim-Resal)*(1-EXP((Tnet-t)/(Tau_j))))*Salcycl</f>
        <v>4.3386780051953081E-2</v>
      </c>
      <c r="P288" s="169">
        <f>(INDEX(Models!$BJ288:$BT288,,T288)*(1-R288)+INDEX(Models!$BJ288:$BT288,,T288+1)*R288-ERP_i)*Q288*Ramure*Pc/MaxiM</f>
        <v>3.2580985472965428E-3</v>
      </c>
      <c r="Q288" s="305">
        <f t="shared" si="105"/>
        <v>0.7</v>
      </c>
      <c r="R288" s="177">
        <f t="shared" si="106"/>
        <v>0.471529262954684</v>
      </c>
      <c r="S288" s="817">
        <f t="shared" si="107"/>
        <v>-1</v>
      </c>
      <c r="T288" s="176">
        <f t="shared" si="108"/>
        <v>5</v>
      </c>
      <c r="U288" s="251">
        <f t="shared" si="109"/>
        <v>-0.528470737045316</v>
      </c>
      <c r="V288" s="383">
        <f t="shared" si="110"/>
        <v>26.743849303516082</v>
      </c>
      <c r="W288" s="402">
        <f t="shared" si="111"/>
        <v>23.858458291553291</v>
      </c>
      <c r="X288" s="157">
        <f t="shared" si="112"/>
        <v>46661</v>
      </c>
      <c r="Y288" s="385">
        <f t="shared" si="113"/>
        <v>21.685356311728164</v>
      </c>
      <c r="Z288" s="385">
        <f t="shared" si="114"/>
        <v>23.388529169535449</v>
      </c>
      <c r="AA288" s="386">
        <f t="shared" si="115"/>
        <v>26.353602300320372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0.11251111316758683</v>
      </c>
      <c r="AD288" s="231">
        <f>(INDEX(Models!$BJ288:$BT288,,AH288)*(1-AF288)+INDEX(Models!$BJ288:$BT288,,AH288+1)*AF288-ERP_i)*AE288*Ramure*Pc/MaxiM</f>
        <v>2.7178819199476258E-2</v>
      </c>
      <c r="AE288" s="305">
        <f t="shared" si="117"/>
        <v>0.7</v>
      </c>
      <c r="AF288" s="177">
        <f t="shared" si="118"/>
        <v>9.5392632330740135E-2</v>
      </c>
      <c r="AG288" s="817">
        <f t="shared" si="124"/>
        <v>2</v>
      </c>
      <c r="AH288" s="176">
        <f t="shared" si="119"/>
        <v>8</v>
      </c>
      <c r="AI288" s="225">
        <f t="shared" si="120"/>
        <v>2.0953926323307401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46662</v>
      </c>
      <c r="B289" s="411">
        <f>'2026'!Wh/'2026'!Env_an*'2027'!Env_an</f>
        <v>25.047876836699913</v>
      </c>
      <c r="C289" s="846"/>
      <c r="D289" s="393">
        <f t="shared" si="102"/>
        <v>27.015734541582944</v>
      </c>
      <c r="E289" s="385">
        <f t="shared" si="100"/>
        <v>28.24495385007695</v>
      </c>
      <c r="F289" s="385">
        <f t="shared" si="103"/>
        <v>28.344723284000228</v>
      </c>
      <c r="G289" s="110">
        <f t="shared" si="101"/>
        <v>0.94489155348331666</v>
      </c>
      <c r="H289" s="414" t="b">
        <f>Wh_hp&gt;='2026'!Maxi_hp</f>
        <v>0</v>
      </c>
      <c r="I289" s="390">
        <f>IF(H289,Wh_hp,'2026'!Maxi_hp)</f>
        <v>29.656559533352279</v>
      </c>
      <c r="J289" s="85">
        <f>IF(H289,An,'2026'!An_max)</f>
        <v>2018</v>
      </c>
      <c r="K289" s="197">
        <f t="shared" si="104"/>
        <v>46662</v>
      </c>
      <c r="L289" s="147">
        <f>IF(t&lt;Tvie,1-EXP((T0-t)*PertePVj)+'2026'!Pspv,1-EXP((T0-t)*PertePVj)+Pspv)</f>
        <v>7.2841169721077903E-2</v>
      </c>
      <c r="M289" s="850"/>
      <c r="N289" s="850"/>
      <c r="O289" s="48">
        <f>IF(t&lt;Tnet,'2026'!Resal+('2026'!Salim-'2026'!Resal)*(1-EXP(('2026'!Tnet-t)/('2026'!Tau_j))),Resal+(Salim-Resal)*(1-EXP((Tnet-t)/(Tau_j))))*Salcycl</f>
        <v>4.3519961654695981E-2</v>
      </c>
      <c r="P289" s="169">
        <f>(INDEX(Models!$BJ289:$BT289,,T289)*(1-R289)+INDEX(Models!$BJ289:$BT289,,T289+1)*R289-ERP_i)*Q289*Ramure*Pc/MaxiM</f>
        <v>3.8189645034652341E-3</v>
      </c>
      <c r="Q289" s="305">
        <f t="shared" si="105"/>
        <v>0.7</v>
      </c>
      <c r="R289" s="177">
        <f t="shared" si="106"/>
        <v>0.47171966910184038</v>
      </c>
      <c r="S289" s="817">
        <f t="shared" si="107"/>
        <v>-1</v>
      </c>
      <c r="T289" s="176">
        <f t="shared" si="108"/>
        <v>5</v>
      </c>
      <c r="U289" s="251">
        <f t="shared" si="109"/>
        <v>-0.52828033089815962</v>
      </c>
      <c r="V289" s="383">
        <f t="shared" si="110"/>
        <v>26.500774958612507</v>
      </c>
      <c r="W289" s="402">
        <f t="shared" si="111"/>
        <v>25.047876836699913</v>
      </c>
      <c r="X289" s="157">
        <f t="shared" si="112"/>
        <v>46662</v>
      </c>
      <c r="Y289" s="385">
        <f t="shared" si="113"/>
        <v>22.680889424160636</v>
      </c>
      <c r="Z289" s="385">
        <f t="shared" si="114"/>
        <v>24.462787478750997</v>
      </c>
      <c r="AA289" s="386">
        <f t="shared" si="115"/>
        <v>27.564433575100541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0.11252348385461897</v>
      </c>
      <c r="AD289" s="231">
        <f>(INDEX(Models!$BJ289:$BT289,,AH289)*(1-AF289)+INDEX(Models!$BJ289:$BT289,,AH289+1)*AF289-ERP_i)*AE289*Ramure*Pc/MaxiM</f>
        <v>2.9867852141956829E-2</v>
      </c>
      <c r="AE289" s="305">
        <f t="shared" si="117"/>
        <v>0.7</v>
      </c>
      <c r="AF289" s="177">
        <f t="shared" si="118"/>
        <v>9.5583038477896398E-2</v>
      </c>
      <c r="AG289" s="817">
        <f t="shared" si="124"/>
        <v>2</v>
      </c>
      <c r="AH289" s="176">
        <f t="shared" si="119"/>
        <v>8</v>
      </c>
      <c r="AI289" s="225">
        <f t="shared" si="120"/>
        <v>2.0955830384778964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46663</v>
      </c>
      <c r="B290" s="411">
        <f>'2026'!Wh/'2026'!Env_an*'2027'!Env_an</f>
        <v>23.141231586049219</v>
      </c>
      <c r="C290" s="846"/>
      <c r="D290" s="393">
        <f t="shared" si="102"/>
        <v>24.959842579022972</v>
      </c>
      <c r="E290" s="385">
        <f t="shared" si="100"/>
        <v>26.099127832814887</v>
      </c>
      <c r="F290" s="385">
        <f t="shared" si="103"/>
        <v>26.195802412384527</v>
      </c>
      <c r="G290" s="110">
        <f t="shared" si="101"/>
        <v>0.88077925992934281</v>
      </c>
      <c r="H290" s="414" t="b">
        <f>Wh_hp&gt;='2026'!Maxi_hp</f>
        <v>0</v>
      </c>
      <c r="I290" s="390">
        <f>IF(H290,Wh_hp,'2026'!Maxi_hp)</f>
        <v>28.585247689548495</v>
      </c>
      <c r="J290" s="85">
        <f>IF(H290,An,'2026'!An_max)</f>
        <v>2018</v>
      </c>
      <c r="K290" s="197">
        <f t="shared" si="104"/>
        <v>46663</v>
      </c>
      <c r="L290" s="147">
        <f>IF(t&lt;Tvie,1-EXP((T0-t)*PertePVj)+'2026'!Pspv,1-EXP((T0-t)*PertePVj)+Pspv)</f>
        <v>7.2861476878951503E-2</v>
      </c>
      <c r="M290" s="850"/>
      <c r="N290" s="850"/>
      <c r="O290" s="48">
        <f>IF(t&lt;Tnet,'2026'!Resal+('2026'!Salim-'2026'!Resal)*(1-EXP(('2026'!Tnet-t)/('2026'!Tau_j))),Resal+(Salim-Resal)*(1-EXP((Tnet-t)/(Tau_j))))*Salcycl</f>
        <v>4.3652234706459042E-2</v>
      </c>
      <c r="P290" s="169">
        <f>(INDEX(Models!$BJ290:$BT290,,T290)*(1-R290)+INDEX(Models!$BJ290:$BT290,,T290+1)*R290-ERP_i)*Q290*Ramure*Pc/MaxiM</f>
        <v>4.4429354072630578E-3</v>
      </c>
      <c r="Q290" s="305">
        <f t="shared" si="105"/>
        <v>0.7</v>
      </c>
      <c r="R290" s="177">
        <f t="shared" si="106"/>
        <v>0.47190254644762852</v>
      </c>
      <c r="S290" s="817">
        <f t="shared" si="107"/>
        <v>-1</v>
      </c>
      <c r="T290" s="176">
        <f t="shared" si="108"/>
        <v>5</v>
      </c>
      <c r="U290" s="251">
        <f t="shared" si="109"/>
        <v>-0.52809745355237148</v>
      </c>
      <c r="V290" s="383">
        <f t="shared" si="110"/>
        <v>26.253744775889203</v>
      </c>
      <c r="W290" s="402">
        <f t="shared" si="111"/>
        <v>23.141231586049219</v>
      </c>
      <c r="X290" s="157">
        <f t="shared" si="112"/>
        <v>46663</v>
      </c>
      <c r="Y290" s="385">
        <f t="shared" si="113"/>
        <v>20.969062701809442</v>
      </c>
      <c r="Z290" s="385">
        <f t="shared" si="114"/>
        <v>22.616968423683645</v>
      </c>
      <c r="AA290" s="386">
        <f t="shared" si="115"/>
        <v>25.484890604474661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0.11253421587328545</v>
      </c>
      <c r="AD290" s="231">
        <f>(INDEX(Models!$BJ290:$BT290,,AH290)*(1-AF290)+INDEX(Models!$BJ290:$BT290,,AH290+1)*AF290-ERP_i)*AE290*Ramure*Pc/MaxiM</f>
        <v>3.2671828073778934E-2</v>
      </c>
      <c r="AE290" s="305">
        <f t="shared" si="117"/>
        <v>0.7</v>
      </c>
      <c r="AF290" s="177">
        <f t="shared" si="118"/>
        <v>9.5765915823684544E-2</v>
      </c>
      <c r="AG290" s="817">
        <f t="shared" si="124"/>
        <v>2</v>
      </c>
      <c r="AH290" s="176">
        <f t="shared" si="119"/>
        <v>8</v>
      </c>
      <c r="AI290" s="225">
        <f t="shared" si="120"/>
        <v>2.0957659158236845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46664</v>
      </c>
      <c r="B291" s="411">
        <f>'2026'!Wh/'2026'!Env_an*'2027'!Env_an</f>
        <v>25.881228108762578</v>
      </c>
      <c r="C291" s="846"/>
      <c r="D291" s="393">
        <f t="shared" si="102"/>
        <v>27.915779941243464</v>
      </c>
      <c r="E291" s="385">
        <f t="shared" si="100"/>
        <v>29.193997847960986</v>
      </c>
      <c r="F291" s="385">
        <f t="shared" si="103"/>
        <v>29.343051952765958</v>
      </c>
      <c r="G291" s="110">
        <f t="shared" si="101"/>
        <v>0.99527401697661511</v>
      </c>
      <c r="H291" s="414" t="b">
        <f>Wh_hp&gt;='2026'!Maxi_hp</f>
        <v>0</v>
      </c>
      <c r="I291" s="390">
        <f>IF(H291,Wh_hp,'2026'!Maxi_hp)</f>
        <v>29.343863683607928</v>
      </c>
      <c r="J291" s="85">
        <f>IF(H291,An,'2026'!An_max)</f>
        <v>2025</v>
      </c>
      <c r="K291" s="197">
        <f t="shared" si="104"/>
        <v>46664</v>
      </c>
      <c r="L291" s="147">
        <f>IF(t&lt;Tvie,1-EXP((T0-t)*PertePVj)+'2026'!Pspv,1-EXP((T0-t)*PertePVj)+Pspv)</f>
        <v>7.2881783592046112E-2</v>
      </c>
      <c r="M291" s="850"/>
      <c r="N291" s="850"/>
      <c r="O291" s="48">
        <f>IF(t&lt;Tnet,'2026'!Resal+('2026'!Salim-'2026'!Resal)*(1-EXP(('2026'!Tnet-t)/('2026'!Tau_j))),Resal+(Salim-Resal)*(1-EXP((Tnet-t)/(Tau_j))))*Salcycl</f>
        <v>4.3783585700537961E-2</v>
      </c>
      <c r="P291" s="169">
        <f>(INDEX(Models!$BJ291:$BT291,,T291)*(1-R291)+INDEX(Models!$BJ291:$BT291,,T291+1)*R291-ERP_i)*Q291*Ramure*Pc/MaxiM</f>
        <v>5.1139830044671288E-3</v>
      </c>
      <c r="Q291" s="305">
        <f t="shared" si="105"/>
        <v>0.7</v>
      </c>
      <c r="R291" s="177">
        <f t="shared" si="106"/>
        <v>0.47207818741395891</v>
      </c>
      <c r="S291" s="817">
        <f t="shared" si="107"/>
        <v>-1</v>
      </c>
      <c r="T291" s="176">
        <f t="shared" si="108"/>
        <v>5</v>
      </c>
      <c r="U291" s="251">
        <f t="shared" si="109"/>
        <v>-0.52792181258604109</v>
      </c>
      <c r="V291" s="383">
        <f t="shared" si="110"/>
        <v>26.003227283708021</v>
      </c>
      <c r="W291" s="402">
        <f t="shared" si="111"/>
        <v>25.881228108762578</v>
      </c>
      <c r="X291" s="157">
        <f t="shared" si="112"/>
        <v>46664</v>
      </c>
      <c r="Y291" s="385">
        <f t="shared" si="113"/>
        <v>23.290920507670556</v>
      </c>
      <c r="Z291" s="385">
        <f t="shared" si="114"/>
        <v>25.121845408139411</v>
      </c>
      <c r="AA291" s="386">
        <f t="shared" si="115"/>
        <v>28.307685357153019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0.11254328670177138</v>
      </c>
      <c r="AD291" s="231">
        <f>(INDEX(Models!$BJ291:$BT291,,AH291)*(1-AF291)+INDEX(Models!$BJ291:$BT291,,AH291+1)*AF291-ERP_i)*AE291*Ramure*Pc/MaxiM</f>
        <v>3.5522987980006374E-2</v>
      </c>
      <c r="AE291" s="305">
        <f t="shared" si="117"/>
        <v>0.7</v>
      </c>
      <c r="AF291" s="177">
        <f t="shared" si="118"/>
        <v>9.5941556790014815E-2</v>
      </c>
      <c r="AG291" s="817">
        <f t="shared" si="124"/>
        <v>2</v>
      </c>
      <c r="AH291" s="176">
        <f t="shared" si="119"/>
        <v>8</v>
      </c>
      <c r="AI291" s="225">
        <f t="shared" si="120"/>
        <v>2.0959415567900148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46665</v>
      </c>
      <c r="B292" s="411">
        <f>'2026'!Wh/'2026'!Env_an*'2027'!Env_an</f>
        <v>26.013928006429051</v>
      </c>
      <c r="C292" s="846"/>
      <c r="D292" s="393">
        <f t="shared" si="102"/>
        <v>28.059526099580079</v>
      </c>
      <c r="E292" s="385">
        <f t="shared" si="100"/>
        <v>29.348328674077159</v>
      </c>
      <c r="F292" s="385">
        <f t="shared" si="103"/>
        <v>29.520531135154272</v>
      </c>
      <c r="G292" s="110">
        <f t="shared" si="101"/>
        <v>1.0102798254760541</v>
      </c>
      <c r="H292" s="414" t="b">
        <f>Wh_hp&gt;='2026'!Maxi_hp</f>
        <v>1</v>
      </c>
      <c r="I292" s="390">
        <f>IF(H292,Wh_hp,'2026'!Maxi_hp)</f>
        <v>29.520531135154272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7.2902089860371611E-2</v>
      </c>
      <c r="M292" s="850"/>
      <c r="N292" s="850"/>
      <c r="O292" s="48">
        <f>IF(t&lt;Tnet,'2026'!Resal+('2026'!Salim-'2026'!Resal)*(1-EXP(('2026'!Tnet-t)/('2026'!Tau_j))),Resal+(Salim-Resal)*(1-EXP((Tnet-t)/(Tau_j))))*Salcycl</f>
        <v>4.3914002354602778E-2</v>
      </c>
      <c r="P292" s="169">
        <f>(INDEX(Models!$BJ292:$BT292,,T292)*(1-R292)+INDEX(Models!$BJ292:$BT292,,T292+1)*R292-ERP_i)*Q292*Ramure*Pc/MaxiM</f>
        <v>5.8333117479735779E-3</v>
      </c>
      <c r="Q292" s="305">
        <f t="shared" si="105"/>
        <v>0.7</v>
      </c>
      <c r="R292" s="177">
        <f t="shared" si="106"/>
        <v>0.47224687347794059</v>
      </c>
      <c r="S292" s="817">
        <f t="shared" si="107"/>
        <v>-1</v>
      </c>
      <c r="T292" s="176">
        <f t="shared" si="108"/>
        <v>5</v>
      </c>
      <c r="U292" s="251">
        <f t="shared" si="109"/>
        <v>-0.52775312652205941</v>
      </c>
      <c r="V292" s="383">
        <f t="shared" si="110"/>
        <v>25.749230411654537</v>
      </c>
      <c r="W292" s="402">
        <f t="shared" si="111"/>
        <v>26.013928006429051</v>
      </c>
      <c r="X292" s="157">
        <f t="shared" si="112"/>
        <v>46665</v>
      </c>
      <c r="Y292" s="385">
        <f t="shared" si="113"/>
        <v>23.354868467633707</v>
      </c>
      <c r="Z292" s="385">
        <f t="shared" si="114"/>
        <v>25.191372143333034</v>
      </c>
      <c r="AA292" s="386">
        <f t="shared" si="115"/>
        <v>28.386265553403639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0.11255067715969853</v>
      </c>
      <c r="AD292" s="231">
        <f>(INDEX(Models!$BJ292:$BT292,,AH292)*(1-AF292)+INDEX(Models!$BJ292:$BT292,,AH292+1)*AF292-ERP_i)*AE292*Ramure*Pc/MaxiM</f>
        <v>3.8422939497856953E-2</v>
      </c>
      <c r="AE292" s="305">
        <f t="shared" si="117"/>
        <v>0.7</v>
      </c>
      <c r="AF292" s="177">
        <f t="shared" si="118"/>
        <v>9.611024285399683E-2</v>
      </c>
      <c r="AG292" s="817">
        <f t="shared" si="124"/>
        <v>2</v>
      </c>
      <c r="AH292" s="176">
        <f t="shared" si="119"/>
        <v>8</v>
      </c>
      <c r="AI292" s="225">
        <f t="shared" si="120"/>
        <v>2.0961102428539968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46666</v>
      </c>
      <c r="B293" s="411">
        <f>'2026'!Wh/'2026'!Env_an*'2027'!Env_an</f>
        <v>8.5619551749974843</v>
      </c>
      <c r="C293" s="846"/>
      <c r="D293" s="393">
        <f t="shared" si="102"/>
        <v>9.2354244511320491</v>
      </c>
      <c r="E293" s="385">
        <f t="shared" si="100"/>
        <v>9.6609251545792247</v>
      </c>
      <c r="F293" s="385">
        <f t="shared" si="103"/>
        <v>9.664194825822273</v>
      </c>
      <c r="G293" s="110">
        <f t="shared" si="101"/>
        <v>0.33376688650547903</v>
      </c>
      <c r="H293" s="414" t="b">
        <f>Wh_hp&gt;='2026'!Maxi_hp</f>
        <v>0</v>
      </c>
      <c r="I293" s="390">
        <f>IF(H293,Wh_hp,'2026'!Maxi_hp)</f>
        <v>25.825303664148674</v>
      </c>
      <c r="J293" s="85">
        <f>IF(H293,An,'2026'!An_max)</f>
        <v>2018</v>
      </c>
      <c r="K293" s="197">
        <f t="shared" si="104"/>
        <v>46666</v>
      </c>
      <c r="L293" s="147">
        <f>IF(t&lt;Tvie,1-EXP((T0-t)*PertePVj)+'2026'!Pspv,1-EXP((T0-t)*PertePVj)+Pspv)</f>
        <v>7.2922395683937768E-2</v>
      </c>
      <c r="M293" s="850"/>
      <c r="N293" s="850"/>
      <c r="O293" s="48">
        <f>IF(t&lt;Tnet,'2026'!Resal+('2026'!Salim-'2026'!Resal)*(1-EXP(('2026'!Tnet-t)/('2026'!Tau_j))),Resal+(Salim-Resal)*(1-EXP((Tnet-t)/(Tau_j))))*Salcycl</f>
        <v>4.4043473750077798E-2</v>
      </c>
      <c r="P293" s="169">
        <f>(INDEX(Models!$BJ293:$BT293,,T293)*(1-R293)+INDEX(Models!$BJ293:$BT293,,T293+1)*R293-ERP_i)*Q293*Ramure*Pc/MaxiM</f>
        <v>6.6021827077677306E-3</v>
      </c>
      <c r="Q293" s="305">
        <f t="shared" si="105"/>
        <v>0.7</v>
      </c>
      <c r="R293" s="177">
        <f t="shared" si="106"/>
        <v>0.4724088755489797</v>
      </c>
      <c r="S293" s="817">
        <f t="shared" si="107"/>
        <v>-1</v>
      </c>
      <c r="T293" s="176">
        <f t="shared" si="108"/>
        <v>5</v>
      </c>
      <c r="U293" s="251">
        <f t="shared" si="109"/>
        <v>-0.5275911244510203</v>
      </c>
      <c r="V293" s="383">
        <f t="shared" si="110"/>
        <v>25.491762448353153</v>
      </c>
      <c r="W293" s="402">
        <f t="shared" si="111"/>
        <v>8.5619551749974843</v>
      </c>
      <c r="X293" s="157">
        <f t="shared" si="112"/>
        <v>46666</v>
      </c>
      <c r="Y293" s="385">
        <f t="shared" si="113"/>
        <v>7.9341568929620054</v>
      </c>
      <c r="Z293" s="385">
        <f t="shared" si="114"/>
        <v>8.5582445914172549</v>
      </c>
      <c r="AA293" s="386">
        <f t="shared" si="115"/>
        <v>9.6437050406847167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0.11255637171482712</v>
      </c>
      <c r="AD293" s="231">
        <f>(INDEX(Models!$BJ293:$BT293,,AH293)*(1-AF293)+INDEX(Models!$BJ293:$BT293,,AH293+1)*AF293-ERP_i)*AE293*Ramure*Pc/MaxiM</f>
        <v>4.1373366025296551E-2</v>
      </c>
      <c r="AE293" s="305">
        <f t="shared" si="117"/>
        <v>0.7</v>
      </c>
      <c r="AF293" s="177">
        <f t="shared" si="118"/>
        <v>9.6272244925035722E-2</v>
      </c>
      <c r="AG293" s="817">
        <f t="shared" si="124"/>
        <v>2</v>
      </c>
      <c r="AH293" s="176">
        <f t="shared" si="119"/>
        <v>8</v>
      </c>
      <c r="AI293" s="225">
        <f t="shared" si="120"/>
        <v>2.0962722449250357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46667</v>
      </c>
      <c r="B294" s="411">
        <f>'2026'!Wh/'2026'!Env_an*'2027'!Env_an</f>
        <v>17.824024490327382</v>
      </c>
      <c r="C294" s="846"/>
      <c r="D294" s="393">
        <f t="shared" si="102"/>
        <v>19.226453975132259</v>
      </c>
      <c r="E294" s="385">
        <f t="shared" si="100"/>
        <v>20.114972341718328</v>
      </c>
      <c r="F294" s="385">
        <f t="shared" si="103"/>
        <v>20.202030134443135</v>
      </c>
      <c r="G294" s="110">
        <f t="shared" si="101"/>
        <v>0.70422988950994525</v>
      </c>
      <c r="H294" s="414" t="b">
        <f>Wh_hp&gt;='2026'!Maxi_hp</f>
        <v>0</v>
      </c>
      <c r="I294" s="390">
        <f>IF(H294,Wh_hp,'2026'!Maxi_hp)</f>
        <v>28.972781254005142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7.2942701062754245E-2</v>
      </c>
      <c r="M294" s="850"/>
      <c r="N294" s="850"/>
      <c r="O294" s="48">
        <f>IF(t&lt;Tnet,'2026'!Resal+('2026'!Salim-'2026'!Resal)*(1-EXP(('2026'!Tnet-t)/('2026'!Tau_j))),Resal+(Salim-Resal)*(1-EXP((Tnet-t)/(Tau_j))))*Salcycl</f>
        <v>4.4171990470167705E-2</v>
      </c>
      <c r="P294" s="169">
        <f>(INDEX(Models!$BJ294:$BT294,,T294)*(1-R294)+INDEX(Models!$BJ294:$BT294,,T294+1)*R294-ERP_i)*Q294*Ramure*Pc/MaxiM</f>
        <v>7.4219174352944351E-3</v>
      </c>
      <c r="Q294" s="305">
        <f t="shared" si="105"/>
        <v>0.7</v>
      </c>
      <c r="R294" s="177">
        <f t="shared" si="106"/>
        <v>0.47256445433550254</v>
      </c>
      <c r="S294" s="817">
        <f t="shared" si="107"/>
        <v>-1</v>
      </c>
      <c r="T294" s="176">
        <f t="shared" si="108"/>
        <v>5</v>
      </c>
      <c r="U294" s="251">
        <f t="shared" si="109"/>
        <v>-0.52743554566449746</v>
      </c>
      <c r="V294" s="383">
        <f t="shared" si="110"/>
        <v>25.230832033331986</v>
      </c>
      <c r="W294" s="402">
        <f t="shared" si="111"/>
        <v>17.824024490327382</v>
      </c>
      <c r="X294" s="157">
        <f t="shared" si="112"/>
        <v>46667</v>
      </c>
      <c r="Y294" s="385">
        <f t="shared" si="113"/>
        <v>16.192121403450617</v>
      </c>
      <c r="Z294" s="385">
        <f t="shared" si="114"/>
        <v>17.466149527125069</v>
      </c>
      <c r="AA294" s="386">
        <f t="shared" si="115"/>
        <v>19.68150701848349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0.11256035878136333</v>
      </c>
      <c r="AD294" s="231">
        <f>(INDEX(Models!$BJ294:$BT294,,AH294)*(1-AF294)+INDEX(Models!$BJ294:$BT294,,AH294+1)*AF294-ERP_i)*AE294*Ramure*Pc/MaxiM</f>
        <v>4.437603422851142E-2</v>
      </c>
      <c r="AE294" s="305">
        <f t="shared" si="117"/>
        <v>0.7</v>
      </c>
      <c r="AF294" s="177">
        <f t="shared" si="118"/>
        <v>9.642782371155878E-2</v>
      </c>
      <c r="AG294" s="817">
        <f t="shared" si="124"/>
        <v>2</v>
      </c>
      <c r="AH294" s="176">
        <f t="shared" si="119"/>
        <v>8</v>
      </c>
      <c r="AI294" s="225">
        <f t="shared" si="120"/>
        <v>2.0964278237115588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46668</v>
      </c>
      <c r="B295" s="411">
        <f>'2026'!Wh/'2026'!Env_an*'2027'!Env_an</f>
        <v>11.299705560285155</v>
      </c>
      <c r="C295" s="846"/>
      <c r="D295" s="393">
        <f t="shared" si="102"/>
        <v>12.189055704767835</v>
      </c>
      <c r="E295" s="385">
        <f t="shared" si="100"/>
        <v>12.754054513233593</v>
      </c>
      <c r="F295" s="385">
        <f t="shared" si="103"/>
        <v>12.777155854120011</v>
      </c>
      <c r="G295" s="110">
        <f t="shared" si="101"/>
        <v>0.44965483962837816</v>
      </c>
      <c r="H295" s="414" t="b">
        <f>Wh_hp&gt;='2026'!Maxi_hp</f>
        <v>0</v>
      </c>
      <c r="I295" s="390">
        <f>IF(H295,Wh_hp,'2026'!Maxi_hp)</f>
        <v>28.425909994617459</v>
      </c>
      <c r="J295" s="85">
        <f>IF(H295,An,'2026'!An_max)</f>
        <v>2021</v>
      </c>
      <c r="K295" s="197">
        <f t="shared" si="104"/>
        <v>46668</v>
      </c>
      <c r="L295" s="147">
        <f>IF(t&lt;Tvie,1-EXP((T0-t)*PertePVj)+'2026'!Pspv,1-EXP((T0-t)*PertePVj)+Pspv)</f>
        <v>7.296300599683081E-2</v>
      </c>
      <c r="M295" s="850"/>
      <c r="N295" s="850"/>
      <c r="O295" s="48">
        <f>IF(t&lt;Tnet,'2026'!Resal+('2026'!Salim-'2026'!Resal)*(1-EXP(('2026'!Tnet-t)/('2026'!Tau_j))),Resal+(Salim-Resal)*(1-EXP((Tnet-t)/(Tau_j))))*Salcycl</f>
        <v>4.4299544735324423E-2</v>
      </c>
      <c r="P295" s="169">
        <f>(INDEX(Models!$BJ295:$BT295,,T295)*(1-R295)+INDEX(Models!$BJ295:$BT295,,T295+1)*R295-ERP_i)*Q295*Ramure*Pc/MaxiM</f>
        <v>8.2939022745732813E-3</v>
      </c>
      <c r="Q295" s="305">
        <f t="shared" si="105"/>
        <v>0.7</v>
      </c>
      <c r="R295" s="177">
        <f t="shared" si="106"/>
        <v>0.47271386070136379</v>
      </c>
      <c r="S295" s="817">
        <f t="shared" si="107"/>
        <v>-1</v>
      </c>
      <c r="T295" s="176">
        <f t="shared" si="108"/>
        <v>5</v>
      </c>
      <c r="U295" s="251">
        <f t="shared" si="109"/>
        <v>-0.52728613929863621</v>
      </c>
      <c r="V295" s="383">
        <f t="shared" si="110"/>
        <v>24.966448157033884</v>
      </c>
      <c r="W295" s="402">
        <f t="shared" si="111"/>
        <v>11.299705560285155</v>
      </c>
      <c r="X295" s="157">
        <f t="shared" si="112"/>
        <v>46668</v>
      </c>
      <c r="Y295" s="385">
        <f t="shared" si="113"/>
        <v>10.402912917405455</v>
      </c>
      <c r="Z295" s="385">
        <f t="shared" si="114"/>
        <v>11.221680455796236</v>
      </c>
      <c r="AA295" s="386">
        <f t="shared" si="115"/>
        <v>12.645039354754733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0.11256263100701959</v>
      </c>
      <c r="AD295" s="231">
        <f>(INDEX(Models!$BJ295:$BT295,,AH295)*(1-AF295)+INDEX(Models!$BJ295:$BT295,,AH295+1)*AF295-ERP_i)*AE295*Ramure*Pc/MaxiM</f>
        <v>4.7432802276796353E-2</v>
      </c>
      <c r="AE295" s="305">
        <f t="shared" si="117"/>
        <v>0.7</v>
      </c>
      <c r="AF295" s="177">
        <f t="shared" si="118"/>
        <v>9.6577230077419696E-2</v>
      </c>
      <c r="AG295" s="817">
        <f t="shared" si="124"/>
        <v>2</v>
      </c>
      <c r="AH295" s="176">
        <f t="shared" si="119"/>
        <v>8</v>
      </c>
      <c r="AI295" s="225">
        <f t="shared" si="120"/>
        <v>2.0965772300774197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46669</v>
      </c>
      <c r="B296" s="411">
        <f>'2026'!Wh/'2026'!Env_an*'2027'!Env_an</f>
        <v>23.570391739159462</v>
      </c>
      <c r="C296" s="846"/>
      <c r="D296" s="393">
        <f t="shared" si="102"/>
        <v>25.426070539809846</v>
      </c>
      <c r="E296" s="385">
        <f t="shared" si="100"/>
        <v>26.608168507206422</v>
      </c>
      <c r="F296" s="385">
        <f t="shared" si="103"/>
        <v>26.83921017106135</v>
      </c>
      <c r="G296" s="110">
        <f t="shared" si="101"/>
        <v>0.95373181023870612</v>
      </c>
      <c r="H296" s="414" t="b">
        <f>Wh_hp&gt;='2026'!Maxi_hp</f>
        <v>0</v>
      </c>
      <c r="I296" s="390">
        <f>IF(H296,Wh_hp,'2026'!Maxi_hp)</f>
        <v>26.851906542221055</v>
      </c>
      <c r="J296" s="85">
        <f>IF(H296,An,'2026'!An_max)</f>
        <v>2025</v>
      </c>
      <c r="K296" s="197">
        <f t="shared" si="104"/>
        <v>46669</v>
      </c>
      <c r="L296" s="147">
        <f>IF(t&lt;Tvie,1-EXP((T0-t)*PertePVj)+'2026'!Pspv,1-EXP((T0-t)*PertePVj)+Pspv)</f>
        <v>7.2983310486177233E-2</v>
      </c>
      <c r="M296" s="850"/>
      <c r="N296" s="850"/>
      <c r="O296" s="48">
        <f>IF(t&lt;Tnet,'2026'!Resal+('2026'!Salim-'2026'!Resal)*(1-EXP(('2026'!Tnet-t)/('2026'!Tau_j))),Resal+(Salim-Resal)*(1-EXP((Tnet-t)/(Tau_j))))*Salcycl</f>
        <v>4.4426130534930344E-2</v>
      </c>
      <c r="P296" s="169">
        <f>(INDEX(Models!$BJ296:$BT296,,T296)*(1-R296)+INDEX(Models!$BJ296:$BT296,,T296+1)*R296-ERP_i)*Q296*Ramure*Pc/MaxiM</f>
        <v>9.2094726989943344E-3</v>
      </c>
      <c r="Q296" s="305">
        <f t="shared" si="105"/>
        <v>0.7</v>
      </c>
      <c r="R296" s="177">
        <f t="shared" si="106"/>
        <v>0.47285733601202629</v>
      </c>
      <c r="S296" s="817">
        <f t="shared" si="107"/>
        <v>-1</v>
      </c>
      <c r="T296" s="176">
        <f t="shared" si="108"/>
        <v>5</v>
      </c>
      <c r="U296" s="251">
        <f t="shared" si="109"/>
        <v>-0.52714266398797371</v>
      </c>
      <c r="V296" s="383">
        <f t="shared" si="110"/>
        <v>24.698872439347394</v>
      </c>
      <c r="W296" s="402">
        <f t="shared" si="111"/>
        <v>23.570391739159462</v>
      </c>
      <c r="X296" s="157">
        <f t="shared" si="112"/>
        <v>46669</v>
      </c>
      <c r="Y296" s="385">
        <f t="shared" si="113"/>
        <v>21.03795030955623</v>
      </c>
      <c r="Z296" s="385">
        <f t="shared" si="114"/>
        <v>22.694251945549823</v>
      </c>
      <c r="AA296" s="386">
        <f t="shared" si="115"/>
        <v>25.572808763305858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0.11256318554598671</v>
      </c>
      <c r="AD296" s="231">
        <f>(INDEX(Models!$BJ296:$BT296,,AH296)*(1-AF296)+INDEX(Models!$BJ296:$BT296,,AH296+1)*AF296-ERP_i)*AE296*Ramure*Pc/MaxiM</f>
        <v>5.0479593143924785E-2</v>
      </c>
      <c r="AE296" s="305">
        <f t="shared" si="117"/>
        <v>0.7</v>
      </c>
      <c r="AF296" s="177">
        <f t="shared" si="118"/>
        <v>9.6720705388082528E-2</v>
      </c>
      <c r="AG296" s="817">
        <f t="shared" si="124"/>
        <v>2</v>
      </c>
      <c r="AH296" s="176">
        <f t="shared" si="119"/>
        <v>8</v>
      </c>
      <c r="AI296" s="225">
        <f t="shared" si="120"/>
        <v>2.0967207053880825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46670</v>
      </c>
      <c r="B297" s="411">
        <f>'2026'!Wh/'2026'!Env_an*'2027'!Env_an</f>
        <v>18.852089220626034</v>
      </c>
      <c r="C297" s="846"/>
      <c r="D297" s="393">
        <f t="shared" si="102"/>
        <v>20.336745122349207</v>
      </c>
      <c r="E297" s="385">
        <f t="shared" ref="E297:E360" si="125">Wh_pvt/(1-Psa)</f>
        <v>21.285030339845324</v>
      </c>
      <c r="F297" s="385">
        <f t="shared" si="103"/>
        <v>21.431464333416823</v>
      </c>
      <c r="G297" s="110">
        <f t="shared" ref="G297:G360" si="126">+Wh_hp/MaxiM</f>
        <v>0.76914423276381283</v>
      </c>
      <c r="H297" s="414" t="b">
        <f>Wh_hp&gt;='2026'!Maxi_hp</f>
        <v>0</v>
      </c>
      <c r="I297" s="390">
        <f>IF(H297,Wh_hp,'2026'!Maxi_hp)</f>
        <v>21.486976063332172</v>
      </c>
      <c r="J297" s="85">
        <f>IF(H297,An,'2026'!An_max)</f>
        <v>2025</v>
      </c>
      <c r="K297" s="197">
        <f t="shared" si="104"/>
        <v>46670</v>
      </c>
      <c r="L297" s="147">
        <f>IF(t&lt;Tvie,1-EXP((T0-t)*PertePVj)+'2026'!Pspv,1-EXP((T0-t)*PertePVj)+Pspv)</f>
        <v>7.3003614530803174E-2</v>
      </c>
      <c r="M297" s="850"/>
      <c r="N297" s="850"/>
      <c r="O297" s="48">
        <f>IF(t&lt;Tnet,'2026'!Resal+('2026'!Salim-'2026'!Resal)*(1-EXP(('2026'!Tnet-t)/('2026'!Tau_j))),Resal+(Salim-Resal)*(1-EXP((Tnet-t)/(Tau_j))))*Salcycl</f>
        <v>4.4551743753962932E-2</v>
      </c>
      <c r="P297" s="169">
        <f>(INDEX(Models!$BJ297:$BT297,,T297)*(1-R297)+INDEX(Models!$BJ297:$BT297,,T297+1)*R297-ERP_i)*Q297*Ramure*Pc/MaxiM</f>
        <v>1.0139340489325519E-2</v>
      </c>
      <c r="Q297" s="305">
        <f t="shared" si="105"/>
        <v>0.7</v>
      </c>
      <c r="R297" s="177">
        <f t="shared" si="106"/>
        <v>0.47299511247061743</v>
      </c>
      <c r="S297" s="817">
        <f t="shared" si="107"/>
        <v>-1</v>
      </c>
      <c r="T297" s="176">
        <f t="shared" si="108"/>
        <v>5</v>
      </c>
      <c r="U297" s="251">
        <f t="shared" si="109"/>
        <v>-0.52700488752938257</v>
      </c>
      <c r="V297" s="383">
        <f t="shared" si="110"/>
        <v>24.428867559156913</v>
      </c>
      <c r="W297" s="402">
        <f t="shared" si="111"/>
        <v>18.852089220626034</v>
      </c>
      <c r="X297" s="157">
        <f t="shared" si="112"/>
        <v>46670</v>
      </c>
      <c r="Y297" s="385">
        <f t="shared" si="113"/>
        <v>16.995251812708222</v>
      </c>
      <c r="Z297" s="385">
        <f t="shared" si="114"/>
        <v>18.333676462078241</v>
      </c>
      <c r="AA297" s="386">
        <f t="shared" si="115"/>
        <v>20.659107413030263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0.11256202431501522</v>
      </c>
      <c r="AD297" s="231">
        <f>(INDEX(Models!$BJ297:$BT297,,AH297)*(1-AF297)+INDEX(Models!$BJ297:$BT297,,AH297+1)*AF297-ERP_i)*AE297*Ramure*Pc/MaxiM</f>
        <v>5.3479315861603524E-2</v>
      </c>
      <c r="AE297" s="305">
        <f t="shared" si="117"/>
        <v>0.7</v>
      </c>
      <c r="AF297" s="177">
        <f t="shared" si="118"/>
        <v>9.6858481846673339E-2</v>
      </c>
      <c r="AG297" s="817">
        <f t="shared" si="124"/>
        <v>2</v>
      </c>
      <c r="AH297" s="176">
        <f t="shared" si="119"/>
        <v>8</v>
      </c>
      <c r="AI297" s="225">
        <f t="shared" si="120"/>
        <v>2.0968584818466733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46671</v>
      </c>
      <c r="B298" s="411">
        <f>'2026'!Wh/'2026'!Env_an*'2027'!Env_an</f>
        <v>14.802929148784264</v>
      </c>
      <c r="C298" s="846"/>
      <c r="D298" s="393">
        <f t="shared" si="102"/>
        <v>15.969051886358933</v>
      </c>
      <c r="E298" s="385">
        <f t="shared" si="125"/>
        <v>16.715855852800164</v>
      </c>
      <c r="F298" s="385">
        <f t="shared" si="103"/>
        <v>16.799059945153239</v>
      </c>
      <c r="G298" s="110">
        <f t="shared" si="126"/>
        <v>0.60901851921709105</v>
      </c>
      <c r="H298" s="414" t="b">
        <f>Wh_hp&gt;='2026'!Maxi_hp</f>
        <v>0</v>
      </c>
      <c r="I298" s="390">
        <f>IF(H298,Wh_hp,'2026'!Maxi_hp)</f>
        <v>28.014827724061675</v>
      </c>
      <c r="J298" s="85">
        <f>IF(H298,An,'2026'!An_max)</f>
        <v>2021</v>
      </c>
      <c r="K298" s="197">
        <f t="shared" si="104"/>
        <v>46671</v>
      </c>
      <c r="L298" s="147">
        <f>IF(t&lt;Tvie,1-EXP((T0-t)*PertePVj)+'2026'!Pspv,1-EXP((T0-t)*PertePVj)+Pspv)</f>
        <v>7.3023918130718402E-2</v>
      </c>
      <c r="M298" s="850"/>
      <c r="N298" s="850"/>
      <c r="O298" s="48">
        <f>IF(t&lt;Tnet,'2026'!Resal+('2026'!Salim-'2026'!Resal)*(1-EXP(('2026'!Tnet-t)/('2026'!Tau_j))),Resal+(Salim-Resal)*(1-EXP((Tnet-t)/(Tau_j))))*Salcycl</f>
        <v>4.467638229340979E-2</v>
      </c>
      <c r="P298" s="169">
        <f>(INDEX(Models!$BJ298:$BT298,,T298)*(1-R298)+INDEX(Models!$BJ298:$BT298,,T298+1)*R298-ERP_i)*Q298*Ramure*Pc/MaxiM</f>
        <v>1.108405915369967E-2</v>
      </c>
      <c r="Q298" s="305">
        <f t="shared" si="105"/>
        <v>0.7</v>
      </c>
      <c r="R298" s="177">
        <f t="shared" si="106"/>
        <v>0.47312741344398379</v>
      </c>
      <c r="S298" s="817">
        <f t="shared" si="107"/>
        <v>-1</v>
      </c>
      <c r="T298" s="176">
        <f t="shared" si="108"/>
        <v>5</v>
      </c>
      <c r="U298" s="251">
        <f t="shared" si="109"/>
        <v>-0.52687258655601621</v>
      </c>
      <c r="V298" s="383">
        <f t="shared" si="110"/>
        <v>24.156438329270742</v>
      </c>
      <c r="W298" s="402">
        <f t="shared" si="111"/>
        <v>14.802929148784264</v>
      </c>
      <c r="X298" s="157">
        <f t="shared" si="112"/>
        <v>46671</v>
      </c>
      <c r="Y298" s="385">
        <f t="shared" si="113"/>
        <v>13.471040877420434</v>
      </c>
      <c r="Z298" s="385">
        <f t="shared" si="114"/>
        <v>14.53224213752698</v>
      </c>
      <c r="AA298" s="386">
        <f t="shared" si="115"/>
        <v>16.375448805171654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0.11255915422987102</v>
      </c>
      <c r="AD298" s="231">
        <f>(INDEX(Models!$BJ298:$BT298,,AH298)*(1-AF298)+INDEX(Models!$BJ298:$BT298,,AH298+1)*AF298-ERP_i)*AE298*Ramure*Pc/MaxiM</f>
        <v>5.6431490338210502E-2</v>
      </c>
      <c r="AE298" s="305">
        <f t="shared" si="117"/>
        <v>0.7</v>
      </c>
      <c r="AF298" s="177">
        <f t="shared" si="118"/>
        <v>9.6990782820039811E-2</v>
      </c>
      <c r="AG298" s="817">
        <f t="shared" si="124"/>
        <v>2</v>
      </c>
      <c r="AH298" s="176">
        <f t="shared" si="119"/>
        <v>8</v>
      </c>
      <c r="AI298" s="225">
        <f t="shared" si="120"/>
        <v>2.0969907828200398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46672</v>
      </c>
      <c r="B299" s="411">
        <f>'2026'!Wh/'2026'!Env_an*'2027'!Env_an</f>
        <v>17.937378045636468</v>
      </c>
      <c r="C299" s="846"/>
      <c r="D299" s="393">
        <f t="shared" si="102"/>
        <v>19.350845485337342</v>
      </c>
      <c r="E299" s="385">
        <f t="shared" si="125"/>
        <v>20.258423807513108</v>
      </c>
      <c r="F299" s="385">
        <f t="shared" si="103"/>
        <v>20.416891072806575</v>
      </c>
      <c r="G299" s="110">
        <f t="shared" si="126"/>
        <v>0.74785465412969787</v>
      </c>
      <c r="H299" s="414" t="b">
        <f>Wh_hp&gt;='2026'!Maxi_hp</f>
        <v>0</v>
      </c>
      <c r="I299" s="390">
        <f>IF(H299,Wh_hp,'2026'!Maxi_hp)</f>
        <v>26.927218477967962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7.3044221285932798E-2</v>
      </c>
      <c r="M299" s="850"/>
      <c r="N299" s="850"/>
      <c r="O299" s="48">
        <f>IF(t&lt;Tnet,'2026'!Resal+('2026'!Salim-'2026'!Resal)*(1-EXP(('2026'!Tnet-t)/('2026'!Tau_j))),Resal+(Salim-Resal)*(1-EXP((Tnet-t)/(Tau_j))))*Salcycl</f>
        <v>4.480004618321691E-2</v>
      </c>
      <c r="P299" s="169">
        <f>(INDEX(Models!$BJ299:$BT299,,T299)*(1-R299)+INDEX(Models!$BJ299:$BT299,,T299+1)*R299-ERP_i)*Q299*Ramure*Pc/MaxiM</f>
        <v>1.2044216188439988E-2</v>
      </c>
      <c r="Q299" s="305">
        <f t="shared" si="105"/>
        <v>0.7</v>
      </c>
      <c r="R299" s="177">
        <f t="shared" si="106"/>
        <v>0.4732544537788852</v>
      </c>
      <c r="S299" s="817">
        <f t="shared" si="107"/>
        <v>-1</v>
      </c>
      <c r="T299" s="176">
        <f t="shared" si="108"/>
        <v>5</v>
      </c>
      <c r="U299" s="251">
        <f t="shared" si="109"/>
        <v>-0.5267455462211148</v>
      </c>
      <c r="V299" s="383">
        <f t="shared" si="110"/>
        <v>23.881589450293809</v>
      </c>
      <c r="W299" s="402">
        <f t="shared" si="111"/>
        <v>17.937378045636468</v>
      </c>
      <c r="X299" s="157">
        <f t="shared" si="112"/>
        <v>46672</v>
      </c>
      <c r="Y299" s="385">
        <f t="shared" si="113"/>
        <v>16.15318685675096</v>
      </c>
      <c r="Z299" s="385">
        <f t="shared" si="114"/>
        <v>17.426059826888075</v>
      </c>
      <c r="AA299" s="386">
        <f t="shared" si="115"/>
        <v>19.63620475113769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0.11255458741952472</v>
      </c>
      <c r="AD299" s="231">
        <f>(INDEX(Models!$BJ299:$BT299,,AH299)*(1-AF299)+INDEX(Models!$BJ299:$BT299,,AH299+1)*AF299-ERP_i)*AE299*Ramure*Pc/MaxiM</f>
        <v>5.9335628819775547E-2</v>
      </c>
      <c r="AE299" s="305">
        <f t="shared" si="117"/>
        <v>0.7</v>
      </c>
      <c r="AF299" s="177">
        <f t="shared" si="118"/>
        <v>9.7117823154941441E-2</v>
      </c>
      <c r="AG299" s="817">
        <f t="shared" si="124"/>
        <v>2</v>
      </c>
      <c r="AH299" s="176">
        <f t="shared" si="119"/>
        <v>8</v>
      </c>
      <c r="AI299" s="225">
        <f t="shared" si="120"/>
        <v>2.0971178231549414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46673</v>
      </c>
      <c r="B300" s="411">
        <f>'2026'!Wh/'2026'!Env_an*'2027'!Env_an</f>
        <v>13.875195809653986</v>
      </c>
      <c r="C300" s="846"/>
      <c r="D300" s="393">
        <f t="shared" si="102"/>
        <v>14.96889068209634</v>
      </c>
      <c r="E300" s="385">
        <f t="shared" si="125"/>
        <v>15.672963091842641</v>
      </c>
      <c r="F300" s="385">
        <f t="shared" si="103"/>
        <v>15.757323249957969</v>
      </c>
      <c r="G300" s="110">
        <f t="shared" si="126"/>
        <v>0.58329334276026668</v>
      </c>
      <c r="H300" s="414" t="b">
        <f>Wh_hp&gt;='2026'!Maxi_hp</f>
        <v>0</v>
      </c>
      <c r="I300" s="390">
        <f>IF(H300,Wh_hp,'2026'!Maxi_hp)</f>
        <v>25.635281069099932</v>
      </c>
      <c r="J300" s="85">
        <f>IF(H300,An,'2026'!An_max)</f>
        <v>2021</v>
      </c>
      <c r="K300" s="197">
        <f t="shared" si="104"/>
        <v>46673</v>
      </c>
      <c r="L300" s="147">
        <f>IF(t&lt;Tvie,1-EXP((T0-t)*PertePVj)+'2026'!Pspv,1-EXP((T0-t)*PertePVj)+Pspv)</f>
        <v>7.306452399645591E-2</v>
      </c>
      <c r="M300" s="850"/>
      <c r="N300" s="850"/>
      <c r="O300" s="48">
        <f>IF(t&lt;Tnet,'2026'!Resal+('2026'!Salim-'2026'!Resal)*(1-EXP(('2026'!Tnet-t)/('2026'!Tau_j))),Resal+(Salim-Resal)*(1-EXP((Tnet-t)/(Tau_j))))*Salcycl</f>
        <v>4.4922737686580297E-2</v>
      </c>
      <c r="P300" s="169">
        <f>(INDEX(Models!$BJ300:$BT300,,T300)*(1-R300)+INDEX(Models!$BJ300:$BT300,,T300+1)*R300-ERP_i)*Q300*Ramure*Pc/MaxiM</f>
        <v>1.3020436461511633E-2</v>
      </c>
      <c r="Q300" s="305">
        <f t="shared" si="105"/>
        <v>0.7</v>
      </c>
      <c r="R300" s="177">
        <f t="shared" si="106"/>
        <v>0.47337644010847935</v>
      </c>
      <c r="S300" s="817">
        <f t="shared" si="107"/>
        <v>-1</v>
      </c>
      <c r="T300" s="176">
        <f t="shared" si="108"/>
        <v>5</v>
      </c>
      <c r="U300" s="251">
        <f t="shared" si="109"/>
        <v>-0.52662355989152065</v>
      </c>
      <c r="V300" s="383">
        <f t="shared" si="110"/>
        <v>23.604325486673492</v>
      </c>
      <c r="W300" s="402">
        <f t="shared" si="111"/>
        <v>13.875195809653986</v>
      </c>
      <c r="X300" s="157">
        <f t="shared" si="112"/>
        <v>46673</v>
      </c>
      <c r="Y300" s="385">
        <f t="shared" si="113"/>
        <v>12.630675230030452</v>
      </c>
      <c r="Z300" s="385">
        <f t="shared" si="114"/>
        <v>13.626272331799456</v>
      </c>
      <c r="AA300" s="386">
        <f t="shared" si="115"/>
        <v>15.35438263029949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0.11254834141555627</v>
      </c>
      <c r="AD300" s="231">
        <f>(INDEX(Models!$BJ300:$BT300,,AH300)*(1-AF300)+INDEX(Models!$BJ300:$BT300,,AH300+1)*AF300-ERP_i)*AE300*Ramure*Pc/MaxiM</f>
        <v>6.2191238770001017E-2</v>
      </c>
      <c r="AE300" s="305">
        <f t="shared" si="117"/>
        <v>0.7</v>
      </c>
      <c r="AF300" s="177">
        <f t="shared" si="118"/>
        <v>9.7239809484535478E-2</v>
      </c>
      <c r="AG300" s="817">
        <f t="shared" si="124"/>
        <v>2</v>
      </c>
      <c r="AH300" s="176">
        <f t="shared" si="119"/>
        <v>8</v>
      </c>
      <c r="AI300" s="225">
        <f t="shared" si="120"/>
        <v>2.0972398094845355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46674</v>
      </c>
      <c r="B301" s="411">
        <f>'2026'!Wh/'2026'!Env_an*'2027'!Env_an</f>
        <v>10.963988001292677</v>
      </c>
      <c r="C301" s="846"/>
      <c r="D301" s="393">
        <f t="shared" si="102"/>
        <v>11.828469650660026</v>
      </c>
      <c r="E301" s="385">
        <f t="shared" si="125"/>
        <v>12.386408761953462</v>
      </c>
      <c r="F301" s="385">
        <f t="shared" si="103"/>
        <v>12.428721776763901</v>
      </c>
      <c r="G301" s="110">
        <f t="shared" si="126"/>
        <v>0.4650562414758847</v>
      </c>
      <c r="H301" s="414" t="b">
        <f>Wh_hp&gt;='2026'!Maxi_hp</f>
        <v>0</v>
      </c>
      <c r="I301" s="390">
        <f>IF(H301,Wh_hp,'2026'!Maxi_hp)</f>
        <v>27.876049215110069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7.308482626229762E-2</v>
      </c>
      <c r="M301" s="850"/>
      <c r="N301" s="850"/>
      <c r="O301" s="48">
        <f>IF(t&lt;Tnet,'2026'!Resal+('2026'!Salim-'2026'!Resal)*(1-EXP(('2026'!Tnet-t)/('2026'!Tau_j))),Resal+(Salim-Resal)*(1-EXP((Tnet-t)/(Tau_j))))*Salcycl</f>
        <v>4.5044461394429476E-2</v>
      </c>
      <c r="P301" s="169">
        <f>(INDEX(Models!$BJ301:$BT301,,T301)*(1-R301)+INDEX(Models!$BJ301:$BT301,,T301+1)*R301-ERP_i)*Q301*Ramure*Pc/MaxiM</f>
        <v>1.4013385897762867E-2</v>
      </c>
      <c r="Q301" s="305">
        <f t="shared" si="105"/>
        <v>0.7</v>
      </c>
      <c r="R301" s="177">
        <f t="shared" si="106"/>
        <v>0.47349357114926016</v>
      </c>
      <c r="S301" s="817">
        <f t="shared" si="107"/>
        <v>-1</v>
      </c>
      <c r="T301" s="176">
        <f t="shared" si="108"/>
        <v>5</v>
      </c>
      <c r="U301" s="251">
        <f t="shared" si="109"/>
        <v>-0.52650642885073984</v>
      </c>
      <c r="V301" s="383">
        <f t="shared" si="110"/>
        <v>23.324650846033506</v>
      </c>
      <c r="W301" s="402">
        <f t="shared" si="111"/>
        <v>10.963988001292677</v>
      </c>
      <c r="X301" s="157">
        <f t="shared" si="112"/>
        <v>46674</v>
      </c>
      <c r="Y301" s="385">
        <f t="shared" si="113"/>
        <v>10.0624205623909</v>
      </c>
      <c r="Z301" s="385">
        <f t="shared" si="114"/>
        <v>10.855815987794321</v>
      </c>
      <c r="AA301" s="386">
        <f t="shared" si="115"/>
        <v>12.232462715718343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0.11254043931440504</v>
      </c>
      <c r="AD301" s="231">
        <f>(INDEX(Models!$BJ301:$BT301,,AH301)*(1-AF301)+INDEX(Models!$BJ301:$BT301,,AH301+1)*AF301-ERP_i)*AE301*Ramure*Pc/MaxiM</f>
        <v>6.4997825626111574E-2</v>
      </c>
      <c r="AE301" s="305">
        <f t="shared" si="117"/>
        <v>0.7</v>
      </c>
      <c r="AF301" s="177">
        <f t="shared" si="118"/>
        <v>9.7356940525316293E-2</v>
      </c>
      <c r="AG301" s="817">
        <f t="shared" si="124"/>
        <v>2</v>
      </c>
      <c r="AH301" s="176">
        <f t="shared" si="119"/>
        <v>8</v>
      </c>
      <c r="AI301" s="225">
        <f t="shared" si="120"/>
        <v>2.0973569405253163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46675</v>
      </c>
      <c r="B302" s="411">
        <f>'2026'!Wh/'2026'!Env_an*'2027'!Env_an</f>
        <v>22.640361771286745</v>
      </c>
      <c r="C302" s="846"/>
      <c r="D302" s="393">
        <f t="shared" si="102"/>
        <v>24.426029809047776</v>
      </c>
      <c r="E302" s="385">
        <f t="shared" si="125"/>
        <v>25.581420399535695</v>
      </c>
      <c r="F302" s="385">
        <f t="shared" si="103"/>
        <v>25.961737711311606</v>
      </c>
      <c r="G302" s="110">
        <f t="shared" si="126"/>
        <v>0.98217144142251522</v>
      </c>
      <c r="H302" s="414" t="b">
        <f>Wh_hp&gt;='2026'!Maxi_hp</f>
        <v>0</v>
      </c>
      <c r="I302" s="390">
        <f>IF(H302,Wh_hp,'2026'!Maxi_hp)</f>
        <v>25.969233652123496</v>
      </c>
      <c r="J302" s="85">
        <f>IF(H302,An,'2026'!An_max)</f>
        <v>2025</v>
      </c>
      <c r="K302" s="197">
        <f t="shared" si="104"/>
        <v>46675</v>
      </c>
      <c r="L302" s="147">
        <f>IF(t&lt;Tvie,1-EXP((T0-t)*PertePVj)+'2026'!Pspv,1-EXP((T0-t)*PertePVj)+Pspv)</f>
        <v>7.3105128083467474E-2</v>
      </c>
      <c r="M302" s="850"/>
      <c r="N302" s="850"/>
      <c r="O302" s="48">
        <f>IF(t&lt;Tnet,'2026'!Resal+('2026'!Salim-'2026'!Resal)*(1-EXP(('2026'!Tnet-t)/('2026'!Tau_j))),Resal+(Salim-Resal)*(1-EXP((Tnet-t)/(Tau_j))))*Salcycl</f>
        <v>4.5165224309002397E-2</v>
      </c>
      <c r="P302" s="169">
        <f>(INDEX(Models!$BJ302:$BT302,,T302)*(1-R302)+INDEX(Models!$BJ302:$BT302,,T302+1)*R302-ERP_i)*Q302*Ramure*Pc/MaxiM</f>
        <v>1.5023775492778623E-2</v>
      </c>
      <c r="Q302" s="305">
        <f t="shared" si="105"/>
        <v>0.7</v>
      </c>
      <c r="R302" s="177">
        <f t="shared" si="106"/>
        <v>0.47360603798862622</v>
      </c>
      <c r="S302" s="817">
        <f t="shared" si="107"/>
        <v>-1</v>
      </c>
      <c r="T302" s="176">
        <f t="shared" si="108"/>
        <v>5</v>
      </c>
      <c r="U302" s="251">
        <f t="shared" si="109"/>
        <v>-0.52639396201137378</v>
      </c>
      <c r="V302" s="383">
        <f t="shared" si="110"/>
        <v>23.042569753769378</v>
      </c>
      <c r="W302" s="402">
        <f t="shared" si="111"/>
        <v>22.640361771286745</v>
      </c>
      <c r="X302" s="157">
        <f t="shared" si="112"/>
        <v>46675</v>
      </c>
      <c r="Y302" s="385">
        <f t="shared" si="113"/>
        <v>19.94499575584469</v>
      </c>
      <c r="Z302" s="385">
        <f t="shared" si="114"/>
        <v>21.518077572923232</v>
      </c>
      <c r="AA302" s="386">
        <f t="shared" si="115"/>
        <v>24.246565669963303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0.11253090991026936</v>
      </c>
      <c r="AD302" s="231">
        <f>(INDEX(Models!$BJ302:$BT302,,AH302)*(1-AF302)+INDEX(Models!$BJ302:$BT302,,AH302+1)*AF302-ERP_i)*AE302*Ramure*Pc/MaxiM</f>
        <v>6.7754895406630503E-2</v>
      </c>
      <c r="AE302" s="305">
        <f t="shared" si="117"/>
        <v>0.7</v>
      </c>
      <c r="AF302" s="177">
        <f t="shared" si="118"/>
        <v>9.7469407364682237E-2</v>
      </c>
      <c r="AG302" s="817">
        <f t="shared" si="124"/>
        <v>2</v>
      </c>
      <c r="AH302" s="176">
        <f t="shared" si="119"/>
        <v>8</v>
      </c>
      <c r="AI302" s="225">
        <f t="shared" si="120"/>
        <v>2.0974694073646822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46676</v>
      </c>
      <c r="B303" s="411">
        <f>'2026'!Wh/'2026'!Env_an*'2027'!Env_an</f>
        <v>20.133942814939353</v>
      </c>
      <c r="C303" s="846"/>
      <c r="D303" s="393">
        <f t="shared" si="102"/>
        <v>21.722402852425567</v>
      </c>
      <c r="E303" s="385">
        <f t="shared" si="125"/>
        <v>22.752762520335175</v>
      </c>
      <c r="F303" s="385">
        <f t="shared" si="103"/>
        <v>23.062002768626471</v>
      </c>
      <c r="G303" s="110">
        <f t="shared" si="126"/>
        <v>0.88234722441386404</v>
      </c>
      <c r="H303" s="414" t="b">
        <f>Wh_hp&gt;='2026'!Maxi_hp</f>
        <v>0</v>
      </c>
      <c r="I303" s="390">
        <f>IF(H303,Wh_hp,'2026'!Maxi_hp)</f>
        <v>25.248209273651742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7.3125429459975466E-2</v>
      </c>
      <c r="M303" s="850"/>
      <c r="N303" s="850"/>
      <c r="O303" s="48">
        <f>IF(t&lt;Tnet,'2026'!Resal+('2026'!Salim-'2026'!Resal)*(1-EXP(('2026'!Tnet-t)/('2026'!Tau_j))),Resal+(Salim-Resal)*(1-EXP((Tnet-t)/(Tau_j))))*Salcycl</f>
        <v>4.5285035915473074E-2</v>
      </c>
      <c r="P303" s="169">
        <f>(INDEX(Models!$BJ303:$BT303,,T303)*(1-R303)+INDEX(Models!$BJ303:$BT303,,T303+1)*R303-ERP_i)*Q303*Ramure*Pc/MaxiM</f>
        <v>1.6052792956741592E-2</v>
      </c>
      <c r="Q303" s="305">
        <f t="shared" si="105"/>
        <v>0.7</v>
      </c>
      <c r="R303" s="177">
        <f t="shared" si="106"/>
        <v>0.47371402436325916</v>
      </c>
      <c r="S303" s="817">
        <f t="shared" si="107"/>
        <v>-1</v>
      </c>
      <c r="T303" s="176">
        <f t="shared" si="108"/>
        <v>5</v>
      </c>
      <c r="U303" s="251">
        <f t="shared" si="109"/>
        <v>-0.52628597563674084</v>
      </c>
      <c r="V303" s="383">
        <f t="shared" si="110"/>
        <v>22.757470593166257</v>
      </c>
      <c r="W303" s="402">
        <f t="shared" si="111"/>
        <v>20.133942814939353</v>
      </c>
      <c r="X303" s="157">
        <f t="shared" si="112"/>
        <v>46676</v>
      </c>
      <c r="Y303" s="385">
        <f t="shared" si="113"/>
        <v>17.853823962634518</v>
      </c>
      <c r="Z303" s="385">
        <f t="shared" si="114"/>
        <v>19.262394859136499</v>
      </c>
      <c r="AA303" s="386">
        <f t="shared" si="115"/>
        <v>21.704590811454647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0.11251978779665699</v>
      </c>
      <c r="AD303" s="231">
        <f>(INDEX(Models!$BJ303:$BT303,,AH303)*(1-AF303)+INDEX(Models!$BJ303:$BT303,,AH303+1)*AF303-ERP_i)*AE303*Ramure*Pc/MaxiM</f>
        <v>7.0463832654017317E-2</v>
      </c>
      <c r="AE303" s="305">
        <f t="shared" si="117"/>
        <v>0.7</v>
      </c>
      <c r="AF303" s="177">
        <f t="shared" si="118"/>
        <v>9.7577393739315177E-2</v>
      </c>
      <c r="AG303" s="817">
        <f t="shared" si="124"/>
        <v>2</v>
      </c>
      <c r="AH303" s="176">
        <f t="shared" si="119"/>
        <v>8</v>
      </c>
      <c r="AI303" s="225">
        <f t="shared" si="120"/>
        <v>2.0975773937393152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46677</v>
      </c>
      <c r="B304" s="411">
        <f>'2026'!Wh/'2026'!Env_an*'2027'!Env_an</f>
        <v>11.85092629015911</v>
      </c>
      <c r="C304" s="846"/>
      <c r="D304" s="393">
        <f t="shared" si="102"/>
        <v>12.786180825567254</v>
      </c>
      <c r="E304" s="385">
        <f t="shared" si="125"/>
        <v>13.39433602959987</v>
      </c>
      <c r="F304" s="385">
        <f t="shared" si="103"/>
        <v>13.469166588479847</v>
      </c>
      <c r="G304" s="110">
        <f t="shared" si="126"/>
        <v>0.52131234794953329</v>
      </c>
      <c r="H304" s="414" t="b">
        <f>Wh_hp&gt;='2026'!Maxi_hp</f>
        <v>0</v>
      </c>
      <c r="I304" s="390">
        <f>IF(H304,Wh_hp,'2026'!Maxi_hp)</f>
        <v>23.457499941196161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7.3145730391831143E-2</v>
      </c>
      <c r="M304" s="850"/>
      <c r="N304" s="850"/>
      <c r="O304" s="48">
        <f>IF(t&lt;Tnet,'2026'!Resal+('2026'!Salim-'2026'!Resal)*(1-EXP(('2026'!Tnet-t)/('2026'!Tau_j))),Resal+(Salim-Resal)*(1-EXP((Tnet-t)/(Tau_j))))*Salcycl</f>
        <v>4.5403908240667354E-2</v>
      </c>
      <c r="P304" s="169">
        <f>(INDEX(Models!$BJ304:$BT304,,T304)*(1-R304)+INDEX(Models!$BJ304:$BT304,,T304+1)*R304-ERP_i)*Q304*Ramure*Pc/MaxiM</f>
        <v>1.7099335360347526E-2</v>
      </c>
      <c r="Q304" s="305">
        <f t="shared" si="105"/>
        <v>0.7</v>
      </c>
      <c r="R304" s="177">
        <f t="shared" si="106"/>
        <v>0.473817706928504</v>
      </c>
      <c r="S304" s="817">
        <f t="shared" si="107"/>
        <v>-1</v>
      </c>
      <c r="T304" s="176">
        <f t="shared" si="108"/>
        <v>5</v>
      </c>
      <c r="U304" s="251">
        <f t="shared" si="109"/>
        <v>-0.526182293071496</v>
      </c>
      <c r="V304" s="383">
        <f t="shared" si="110"/>
        <v>22.468984677860821</v>
      </c>
      <c r="W304" s="402">
        <f t="shared" si="111"/>
        <v>11.85092629015911</v>
      </c>
      <c r="X304" s="157">
        <f t="shared" si="112"/>
        <v>46677</v>
      </c>
      <c r="Y304" s="385">
        <f t="shared" si="113"/>
        <v>10.816456890549912</v>
      </c>
      <c r="Z304" s="385">
        <f t="shared" si="114"/>
        <v>11.670072896273769</v>
      </c>
      <c r="AA304" s="386">
        <f t="shared" si="115"/>
        <v>13.149483306215256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0.11250711343480886</v>
      </c>
      <c r="AD304" s="231">
        <f>(INDEX(Models!$BJ304:$BT304,,AH304)*(1-AF304)+INDEX(Models!$BJ304:$BT304,,AH304+1)*AF304-ERP_i)*AE304*Ramure*Pc/MaxiM</f>
        <v>7.304999099774874E-2</v>
      </c>
      <c r="AE304" s="305">
        <f t="shared" si="117"/>
        <v>0.7</v>
      </c>
      <c r="AF304" s="177">
        <f t="shared" si="118"/>
        <v>9.7681076304560133E-2</v>
      </c>
      <c r="AG304" s="817">
        <f t="shared" si="124"/>
        <v>2</v>
      </c>
      <c r="AH304" s="176">
        <f t="shared" si="119"/>
        <v>8</v>
      </c>
      <c r="AI304" s="225">
        <f t="shared" si="120"/>
        <v>2.0976810763045601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46678</v>
      </c>
      <c r="B305" s="411">
        <f>'2026'!Wh/'2026'!Env_an*'2027'!Env_an</f>
        <v>20.340846430599729</v>
      </c>
      <c r="C305" s="846"/>
      <c r="D305" s="393">
        <f t="shared" si="102"/>
        <v>21.946591415819338</v>
      </c>
      <c r="E305" s="385">
        <f t="shared" si="125"/>
        <v>22.993288585425891</v>
      </c>
      <c r="F305" s="385">
        <f t="shared" si="103"/>
        <v>23.3673287198399</v>
      </c>
      <c r="G305" s="110">
        <f t="shared" si="126"/>
        <v>0.91517733563118842</v>
      </c>
      <c r="H305" s="414" t="b">
        <f>Wh_hp&gt;='2026'!Maxi_hp</f>
        <v>0</v>
      </c>
      <c r="I305" s="390">
        <f>IF(H305,Wh_hp,'2026'!Maxi_hp)</f>
        <v>25.579002164286386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7.3166030879044386E-2</v>
      </c>
      <c r="M305" s="850"/>
      <c r="N305" s="850"/>
      <c r="O305" s="48">
        <f>IF(t&lt;Tnet,'2026'!Resal+('2026'!Salim-'2026'!Resal)*(1-EXP(('2026'!Tnet-t)/('2026'!Tau_j))),Resal+(Salim-Resal)*(1-EXP((Tnet-t)/(Tau_j))))*Salcycl</f>
        <v>4.5521855897985533E-2</v>
      </c>
      <c r="P305" s="169">
        <f>(INDEX(Models!$BJ305:$BT305,,T305)*(1-R305)+INDEX(Models!$BJ305:$BT305,,T305+1)*R305-ERP_i)*Q305*Ramure*Pc/MaxiM</f>
        <v>1.8154976461338037E-2</v>
      </c>
      <c r="Q305" s="305">
        <f t="shared" si="105"/>
        <v>0.7</v>
      </c>
      <c r="R305" s="177">
        <f t="shared" si="106"/>
        <v>0.47391725551894448</v>
      </c>
      <c r="S305" s="817">
        <f t="shared" si="107"/>
        <v>-1</v>
      </c>
      <c r="T305" s="176">
        <f t="shared" si="108"/>
        <v>5</v>
      </c>
      <c r="U305" s="251">
        <f t="shared" si="109"/>
        <v>-0.52608274448105552</v>
      </c>
      <c r="V305" s="383">
        <f t="shared" si="110"/>
        <v>22.177607133577641</v>
      </c>
      <c r="W305" s="402">
        <f t="shared" si="111"/>
        <v>20.340846430599729</v>
      </c>
      <c r="X305" s="157">
        <f t="shared" si="112"/>
        <v>46678</v>
      </c>
      <c r="Y305" s="385">
        <f t="shared" si="113"/>
        <v>17.940994100917372</v>
      </c>
      <c r="Z305" s="385">
        <f t="shared" si="114"/>
        <v>19.357290192906166</v>
      </c>
      <c r="AA305" s="386">
        <f t="shared" si="115"/>
        <v>21.810857532016474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0.1124929331874587</v>
      </c>
      <c r="AD305" s="231">
        <f>(INDEX(Models!$BJ305:$BT305,,AH305)*(1-AF305)+INDEX(Models!$BJ305:$BT305,,AH305+1)*AF305-ERP_i)*AE305*Ramure*Pc/MaxiM</f>
        <v>7.5547234582072562E-2</v>
      </c>
      <c r="AE305" s="305">
        <f t="shared" si="117"/>
        <v>0.7</v>
      </c>
      <c r="AF305" s="177">
        <f t="shared" si="118"/>
        <v>9.778062489500039E-2</v>
      </c>
      <c r="AG305" s="817">
        <f t="shared" si="124"/>
        <v>2</v>
      </c>
      <c r="AH305" s="176">
        <f t="shared" si="119"/>
        <v>8</v>
      </c>
      <c r="AI305" s="225">
        <f t="shared" si="120"/>
        <v>2.0977806248950004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46679</v>
      </c>
      <c r="B306" s="411">
        <f>'2026'!Wh/'2026'!Env_an*'2027'!Env_an</f>
        <v>9.4959119896656556</v>
      </c>
      <c r="C306" s="846"/>
      <c r="D306" s="393">
        <f t="shared" si="102"/>
        <v>10.245761695668994</v>
      </c>
      <c r="E306" s="385">
        <f t="shared" si="125"/>
        <v>10.735728493114571</v>
      </c>
      <c r="F306" s="385">
        <f t="shared" si="103"/>
        <v>10.775352832040426</v>
      </c>
      <c r="G306" s="110">
        <f t="shared" si="126"/>
        <v>0.42715837998682638</v>
      </c>
      <c r="H306" s="414" t="b">
        <f>Wh_hp&gt;='2026'!Maxi_hp</f>
        <v>0</v>
      </c>
      <c r="I306" s="390">
        <f>IF(H306,Wh_hp,'2026'!Maxi_hp)</f>
        <v>24.959587812927008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7.3186330921624743E-2</v>
      </c>
      <c r="M306" s="850"/>
      <c r="N306" s="850"/>
      <c r="O306" s="48">
        <f>IF(t&lt;Tnet,'2026'!Resal+('2026'!Salim-'2026'!Resal)*(1-EXP(('2026'!Tnet-t)/('2026'!Tau_j))),Resal+(Salim-Resal)*(1-EXP((Tnet-t)/(Tau_j))))*Salcycl</f>
        <v>4.563889611774552E-2</v>
      </c>
      <c r="P306" s="169">
        <f>(INDEX(Models!$BJ306:$BT306,,T306)*(1-R306)+INDEX(Models!$BJ306:$BT306,,T306+1)*R306-ERP_i)*Q306*Ramure*Pc/MaxiM</f>
        <v>1.9220202112732118E-2</v>
      </c>
      <c r="Q306" s="305">
        <f t="shared" si="105"/>
        <v>0.7</v>
      </c>
      <c r="R306" s="177">
        <f t="shared" si="106"/>
        <v>0.47401283340037459</v>
      </c>
      <c r="S306" s="817">
        <f t="shared" si="107"/>
        <v>-1</v>
      </c>
      <c r="T306" s="176">
        <f t="shared" si="108"/>
        <v>5</v>
      </c>
      <c r="U306" s="251">
        <f t="shared" si="109"/>
        <v>-0.52598716659962541</v>
      </c>
      <c r="V306" s="383">
        <f t="shared" si="110"/>
        <v>21.883623880503713</v>
      </c>
      <c r="W306" s="402">
        <f t="shared" si="111"/>
        <v>9.4959119896656556</v>
      </c>
      <c r="X306" s="157">
        <f t="shared" si="112"/>
        <v>46679</v>
      </c>
      <c r="Y306" s="385">
        <f t="shared" si="113"/>
        <v>8.731268797658263</v>
      </c>
      <c r="Z306" s="385">
        <f t="shared" si="114"/>
        <v>9.4207380501203097</v>
      </c>
      <c r="AA306" s="386">
        <f t="shared" si="115"/>
        <v>10.614644608939924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0.11247729931665132</v>
      </c>
      <c r="AD306" s="231">
        <f>(INDEX(Models!$BJ306:$BT306,,AH306)*(1-AF306)+INDEX(Models!$BJ306:$BT306,,AH306+1)*AF306-ERP_i)*AE306*Ramure*Pc/MaxiM</f>
        <v>7.7953212921726411E-2</v>
      </c>
      <c r="AE306" s="305">
        <f t="shared" si="117"/>
        <v>0.7</v>
      </c>
      <c r="AF306" s="177">
        <f t="shared" si="118"/>
        <v>9.787620277643061E-2</v>
      </c>
      <c r="AG306" s="817">
        <f t="shared" si="124"/>
        <v>2</v>
      </c>
      <c r="AH306" s="176">
        <f t="shared" si="119"/>
        <v>8</v>
      </c>
      <c r="AI306" s="225">
        <f t="shared" si="120"/>
        <v>2.0978762027764306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46680</v>
      </c>
      <c r="B307" s="411">
        <f>'2026'!Wh/'2026'!Env_an*'2027'!Env_an</f>
        <v>4.6031871779382518</v>
      </c>
      <c r="C307" s="846"/>
      <c r="D307" s="393">
        <f t="shared" si="102"/>
        <v>4.9667890702745394</v>
      </c>
      <c r="E307" s="385">
        <f t="shared" si="125"/>
        <v>5.204941418691492</v>
      </c>
      <c r="F307" s="385">
        <f t="shared" si="103"/>
        <v>5.204941418691492</v>
      </c>
      <c r="G307" s="110">
        <f t="shared" si="126"/>
        <v>0.20890796896372596</v>
      </c>
      <c r="H307" s="414" t="b">
        <f>Wh_hp&gt;='2026'!Maxi_hp</f>
        <v>0</v>
      </c>
      <c r="I307" s="390">
        <f>IF(H307,Wh_hp,'2026'!Maxi_hp)</f>
        <v>20.300420803339481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7.3206630519582205E-2</v>
      </c>
      <c r="M307" s="850"/>
      <c r="N307" s="850"/>
      <c r="O307" s="48">
        <f>IF(t&lt;Tnet,'2026'!Resal+('2026'!Salim-'2026'!Resal)*(1-EXP(('2026'!Tnet-t)/('2026'!Tau_j))),Resal+(Salim-Resal)*(1-EXP((Tnet-t)/(Tau_j))))*Salcycl</f>
        <v>4.5755048762263086E-2</v>
      </c>
      <c r="P307" s="169">
        <f>(INDEX(Models!$BJ307:$BT307,,T307)*(1-R307)+INDEX(Models!$BJ307:$BT307,,T307+1)*R307-ERP_i)*Q307*Ramure*Pc/MaxiM</f>
        <v>2.0295490825013307E-2</v>
      </c>
      <c r="Q307" s="305">
        <f t="shared" si="105"/>
        <v>0.7</v>
      </c>
      <c r="R307" s="177">
        <f t="shared" si="106"/>
        <v>0.47410459751336798</v>
      </c>
      <c r="S307" s="817">
        <f t="shared" si="107"/>
        <v>-1</v>
      </c>
      <c r="T307" s="176">
        <f t="shared" si="108"/>
        <v>5</v>
      </c>
      <c r="U307" s="251">
        <f t="shared" si="109"/>
        <v>-0.52589540248663202</v>
      </c>
      <c r="V307" s="383">
        <f t="shared" si="110"/>
        <v>21.587320278747466</v>
      </c>
      <c r="W307" s="402">
        <f t="shared" si="111"/>
        <v>4.6031871779382518</v>
      </c>
      <c r="X307" s="157">
        <f t="shared" si="112"/>
        <v>46680</v>
      </c>
      <c r="Y307" s="385">
        <f t="shared" si="113"/>
        <v>4.2814075149179072</v>
      </c>
      <c r="Z307" s="385">
        <f t="shared" si="114"/>
        <v>4.6195923016995311</v>
      </c>
      <c r="AA307" s="386">
        <f t="shared" si="115"/>
        <v>5.204941418691492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0.11246026994461665</v>
      </c>
      <c r="AD307" s="231">
        <f>(INDEX(Models!$BJ307:$BT307,,AH307)*(1-AF307)+INDEX(Models!$BJ307:$BT307,,AH307+1)*AF307-ERP_i)*AE307*Ramure*Pc/MaxiM</f>
        <v>8.0265339870034036E-2</v>
      </c>
      <c r="AE307" s="305">
        <f t="shared" si="117"/>
        <v>0.7</v>
      </c>
      <c r="AF307" s="177">
        <f t="shared" si="118"/>
        <v>9.7967966889424218E-2</v>
      </c>
      <c r="AG307" s="817">
        <f t="shared" si="124"/>
        <v>2</v>
      </c>
      <c r="AH307" s="176">
        <f t="shared" si="119"/>
        <v>8</v>
      </c>
      <c r="AI307" s="225">
        <f t="shared" si="120"/>
        <v>2.0979679668894242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46681</v>
      </c>
      <c r="B308" s="411">
        <f>'2026'!Wh/'2026'!Env_an*'2027'!Env_an</f>
        <v>9.8779813862828778</v>
      </c>
      <c r="C308" s="846"/>
      <c r="D308" s="393">
        <f t="shared" si="102"/>
        <v>10.658468294505766</v>
      </c>
      <c r="E308" s="385">
        <f t="shared" si="125"/>
        <v>11.170880332400396</v>
      </c>
      <c r="F308" s="385">
        <f t="shared" si="103"/>
        <v>11.227119042197767</v>
      </c>
      <c r="G308" s="110">
        <f t="shared" si="126"/>
        <v>0.45636019697880786</v>
      </c>
      <c r="H308" s="414" t="b">
        <f>Wh_hp&gt;='2026'!Maxi_hp</f>
        <v>0</v>
      </c>
      <c r="I308" s="390">
        <f>IF(H308,Wh_hp,'2026'!Maxi_hp)</f>
        <v>15.02935928669431</v>
      </c>
      <c r="J308" s="85">
        <f>IF(H308,An,'2026'!An_max)</f>
        <v>2019</v>
      </c>
      <c r="K308" s="197">
        <f t="shared" si="104"/>
        <v>46681</v>
      </c>
      <c r="L308" s="147">
        <f>IF(t&lt;Tvie,1-EXP((T0-t)*PertePVj)+'2026'!Pspv,1-EXP((T0-t)*PertePVj)+Pspv)</f>
        <v>7.3226929672926322E-2</v>
      </c>
      <c r="M308" s="850"/>
      <c r="N308" s="850"/>
      <c r="O308" s="48">
        <f>IF(t&lt;Tnet,'2026'!Resal+('2026'!Salim-'2026'!Resal)*(1-EXP(('2026'!Tnet-t)/('2026'!Tau_j))),Resal+(Salim-Resal)*(1-EXP((Tnet-t)/(Tau_j))))*Salcycl</f>
        <v>4.5870336325098057E-2</v>
      </c>
      <c r="P308" s="169">
        <f>(INDEX(Models!$BJ308:$BT308,,T308)*(1-R308)+INDEX(Models!$BJ308:$BT308,,T308+1)*R308-ERP_i)*Q308*Ramure*Pc/MaxiM</f>
        <v>2.1381313465816579E-2</v>
      </c>
      <c r="Q308" s="305">
        <f t="shared" si="105"/>
        <v>0.7</v>
      </c>
      <c r="R308" s="177">
        <f t="shared" si="106"/>
        <v>0.47419269870865333</v>
      </c>
      <c r="S308" s="817">
        <f t="shared" si="107"/>
        <v>-1</v>
      </c>
      <c r="T308" s="176">
        <f t="shared" si="108"/>
        <v>5</v>
      </c>
      <c r="U308" s="251">
        <f t="shared" si="109"/>
        <v>-0.52580730129134667</v>
      </c>
      <c r="V308" s="383">
        <f t="shared" si="110"/>
        <v>21.288981122779319</v>
      </c>
      <c r="W308" s="402">
        <f t="shared" si="111"/>
        <v>9.8779813862828778</v>
      </c>
      <c r="X308" s="157">
        <f t="shared" si="112"/>
        <v>46681</v>
      </c>
      <c r="Y308" s="385">
        <f t="shared" si="113"/>
        <v>9.0565814253661685</v>
      </c>
      <c r="Z308" s="385">
        <f t="shared" si="114"/>
        <v>9.7721672277011127</v>
      </c>
      <c r="AA308" s="386">
        <f t="shared" si="115"/>
        <v>11.010171983714979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0.11244190897698836</v>
      </c>
      <c r="AD308" s="231">
        <f>(INDEX(Models!$BJ308:$BT308,,AH308)*(1-AF308)+INDEX(Models!$BJ308:$BT308,,AH308+1)*AF308-ERP_i)*AE308*Ramure*Pc/MaxiM</f>
        <v>8.2480787337055828E-2</v>
      </c>
      <c r="AE308" s="305">
        <f t="shared" si="117"/>
        <v>0.7</v>
      </c>
      <c r="AF308" s="177">
        <f t="shared" si="118"/>
        <v>9.8056068084709125E-2</v>
      </c>
      <c r="AG308" s="817">
        <f t="shared" si="124"/>
        <v>2</v>
      </c>
      <c r="AH308" s="176">
        <f t="shared" si="119"/>
        <v>8</v>
      </c>
      <c r="AI308" s="225">
        <f t="shared" si="120"/>
        <v>2.0980560680847091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46682</v>
      </c>
      <c r="B309" s="411">
        <f>'2026'!Wh/'2026'!Env_an*'2027'!Env_an</f>
        <v>19.252471906531675</v>
      </c>
      <c r="C309" s="846"/>
      <c r="D309" s="393">
        <f t="shared" si="102"/>
        <v>20.774118509418894</v>
      </c>
      <c r="E309" s="385">
        <f t="shared" si="125"/>
        <v>21.775458251754468</v>
      </c>
      <c r="F309" s="385">
        <f t="shared" si="103"/>
        <v>22.215809510845769</v>
      </c>
      <c r="G309" s="110">
        <f t="shared" si="126"/>
        <v>0.91478352577583144</v>
      </c>
      <c r="H309" s="414" t="b">
        <f>Wh_hp&gt;='2026'!Maxi_hp</f>
        <v>0</v>
      </c>
      <c r="I309" s="390">
        <f>IF(H309,Wh_hp,'2026'!Maxi_hp)</f>
        <v>22.26018920017524</v>
      </c>
      <c r="J309" s="85">
        <f>IF(H309,An,'2026'!An_max)</f>
        <v>2025</v>
      </c>
      <c r="K309" s="197">
        <f t="shared" si="104"/>
        <v>46682</v>
      </c>
      <c r="L309" s="147">
        <f>IF(t&lt;Tvie,1-EXP((T0-t)*PertePVj)+'2026'!Pspv,1-EXP((T0-t)*PertePVj)+Pspv)</f>
        <v>7.3247228381666862E-2</v>
      </c>
      <c r="M309" s="850"/>
      <c r="N309" s="850"/>
      <c r="O309" s="48">
        <f>IF(t&lt;Tnet,'2026'!Resal+('2026'!Salim-'2026'!Resal)*(1-EXP(('2026'!Tnet-t)/('2026'!Tau_j))),Resal+(Salim-Resal)*(1-EXP((Tnet-t)/(Tau_j))))*Salcycl</f>
        <v>4.5984783914014504E-2</v>
      </c>
      <c r="P309" s="169">
        <f>(INDEX(Models!$BJ309:$BT309,,T309)*(1-R309)+INDEX(Models!$BJ309:$BT309,,T309+1)*R309-ERP_i)*Q309*Ramure*Pc/MaxiM</f>
        <v>2.2478132704967159E-2</v>
      </c>
      <c r="Q309" s="305">
        <f t="shared" si="105"/>
        <v>0.7</v>
      </c>
      <c r="R309" s="177">
        <f t="shared" si="106"/>
        <v>0.47427728197449914</v>
      </c>
      <c r="S309" s="817">
        <f t="shared" si="107"/>
        <v>-1</v>
      </c>
      <c r="T309" s="176">
        <f t="shared" si="108"/>
        <v>5</v>
      </c>
      <c r="U309" s="251">
        <f t="shared" si="109"/>
        <v>-0.52572271802550086</v>
      </c>
      <c r="V309" s="383">
        <f t="shared" si="110"/>
        <v>20.988890631778343</v>
      </c>
      <c r="W309" s="402">
        <f t="shared" si="111"/>
        <v>19.252471906531675</v>
      </c>
      <c r="X309" s="157">
        <f t="shared" si="112"/>
        <v>46682</v>
      </c>
      <c r="Y309" s="385">
        <f t="shared" si="113"/>
        <v>16.910743439487991</v>
      </c>
      <c r="Z309" s="385">
        <f t="shared" si="114"/>
        <v>18.24730818981827</v>
      </c>
      <c r="AA309" s="386">
        <f t="shared" si="115"/>
        <v>20.558547045234427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0.1124222859879543</v>
      </c>
      <c r="AD309" s="231">
        <f>(INDEX(Models!$BJ309:$BT309,,AH309)*(1-AF309)+INDEX(Models!$BJ309:$BT309,,AH309+1)*AF309-ERP_i)*AE309*Ramure*Pc/MaxiM</f>
        <v>8.4596478061276348E-2</v>
      </c>
      <c r="AE309" s="305">
        <f t="shared" si="117"/>
        <v>0.7</v>
      </c>
      <c r="AF309" s="177">
        <f t="shared" si="118"/>
        <v>9.8140651350555164E-2</v>
      </c>
      <c r="AG309" s="817">
        <f t="shared" si="124"/>
        <v>2</v>
      </c>
      <c r="AH309" s="176">
        <f t="shared" si="119"/>
        <v>8</v>
      </c>
      <c r="AI309" s="225">
        <f t="shared" si="120"/>
        <v>2.0981406513505552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46683</v>
      </c>
      <c r="B310" s="411">
        <f>'2026'!Wh/'2026'!Env_an*'2027'!Env_an</f>
        <v>12.469942921970512</v>
      </c>
      <c r="C310" s="846"/>
      <c r="D310" s="393">
        <f t="shared" si="102"/>
        <v>13.455817380432556</v>
      </c>
      <c r="E310" s="385">
        <f t="shared" si="125"/>
        <v>14.106085629286968</v>
      </c>
      <c r="F310" s="385">
        <f t="shared" si="103"/>
        <v>14.251292353533485</v>
      </c>
      <c r="G310" s="110">
        <f t="shared" si="126"/>
        <v>0.59462275453795921</v>
      </c>
      <c r="H310" s="414" t="b">
        <f>Wh_hp&gt;='2026'!Maxi_hp</f>
        <v>0</v>
      </c>
      <c r="I310" s="390">
        <f>IF(H310,Wh_hp,'2026'!Maxi_hp)</f>
        <v>23.868421011205619</v>
      </c>
      <c r="J310" s="85">
        <f>IF(H310,An,'2026'!An_max)</f>
        <v>2018</v>
      </c>
      <c r="K310" s="197">
        <f t="shared" si="104"/>
        <v>46683</v>
      </c>
      <c r="L310" s="147">
        <f>IF(t&lt;Tvie,1-EXP((T0-t)*PertePVj)+'2026'!Pspv,1-EXP((T0-t)*PertePVj)+Pspv)</f>
        <v>7.3267526645813597E-2</v>
      </c>
      <c r="M310" s="850"/>
      <c r="N310" s="850"/>
      <c r="O310" s="48">
        <f>IF(t&lt;Tnet,'2026'!Resal+('2026'!Salim-'2026'!Resal)*(1-EXP(('2026'!Tnet-t)/('2026'!Tau_j))),Resal+(Salim-Resal)*(1-EXP((Tnet-t)/(Tau_j))))*Salcycl</f>
        <v>4.6098419217329031E-2</v>
      </c>
      <c r="P310" s="169">
        <f>(INDEX(Models!$BJ310:$BT310,,T310)*(1-R310)+INDEX(Models!$BJ310:$BT310,,T310+1)*R310-ERP_i)*Q310*Ramure*Pc/MaxiM</f>
        <v>2.3557368620352029E-2</v>
      </c>
      <c r="Q310" s="305">
        <f t="shared" si="105"/>
        <v>0.7</v>
      </c>
      <c r="R310" s="177">
        <f t="shared" si="106"/>
        <v>0.47435848665632097</v>
      </c>
      <c r="S310" s="817">
        <f t="shared" si="107"/>
        <v>-1</v>
      </c>
      <c r="T310" s="176">
        <f t="shared" si="108"/>
        <v>5</v>
      </c>
      <c r="U310" s="251">
        <f t="shared" si="109"/>
        <v>-0.52564151334367903</v>
      </c>
      <c r="V310" s="383">
        <f t="shared" si="110"/>
        <v>20.687947580883506</v>
      </c>
      <c r="W310" s="402">
        <f t="shared" si="111"/>
        <v>12.469942921970512</v>
      </c>
      <c r="X310" s="157">
        <f t="shared" si="112"/>
        <v>46683</v>
      </c>
      <c r="Y310" s="385">
        <f t="shared" si="113"/>
        <v>11.283917485054642</v>
      </c>
      <c r="Z310" s="385">
        <f t="shared" si="114"/>
        <v>12.176024699138885</v>
      </c>
      <c r="AA310" s="386">
        <f t="shared" si="115"/>
        <v>13.717941581504077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0.11240147606723737</v>
      </c>
      <c r="AD310" s="231">
        <f>(INDEX(Models!$BJ310:$BT310,,AH310)*(1-AF310)+INDEX(Models!$BJ310:$BT310,,AH310+1)*AF310-ERP_i)*AE310*Ramure*Pc/MaxiM</f>
        <v>8.6527265220277524E-2</v>
      </c>
      <c r="AE310" s="305">
        <f t="shared" si="117"/>
        <v>0.7</v>
      </c>
      <c r="AF310" s="177">
        <f t="shared" si="118"/>
        <v>9.8221856032377097E-2</v>
      </c>
      <c r="AG310" s="817">
        <f t="shared" si="124"/>
        <v>2</v>
      </c>
      <c r="AH310" s="176">
        <f t="shared" si="119"/>
        <v>8</v>
      </c>
      <c r="AI310" s="225">
        <f t="shared" si="120"/>
        <v>2.0982218560323771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46684</v>
      </c>
      <c r="B311" s="411">
        <f>'2026'!Wh/'2026'!Env_an*'2027'!Env_an</f>
        <v>15.200057913433975</v>
      </c>
      <c r="C311" s="846"/>
      <c r="D311" s="393">
        <f t="shared" si="102"/>
        <v>16.402134680776157</v>
      </c>
      <c r="E311" s="385">
        <f t="shared" si="125"/>
        <v>17.196821693382503</v>
      </c>
      <c r="F311" s="385">
        <f t="shared" si="103"/>
        <v>17.470750805420685</v>
      </c>
      <c r="G311" s="110">
        <f t="shared" si="126"/>
        <v>0.7388256279147184</v>
      </c>
      <c r="H311" s="414" t="b">
        <f>Wh_hp&gt;='2026'!Maxi_hp</f>
        <v>0</v>
      </c>
      <c r="I311" s="390">
        <f>IF(H311,Wh_hp,'2026'!Maxi_hp)</f>
        <v>24.436721996898605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7.3287824465376183E-2</v>
      </c>
      <c r="M311" s="850"/>
      <c r="N311" s="850"/>
      <c r="O311" s="48">
        <f>IF(t&lt;Tnet,'2026'!Resal+('2026'!Salim-'2026'!Resal)*(1-EXP(('2026'!Tnet-t)/('2026'!Tau_j))),Resal+(Salim-Resal)*(1-EXP((Tnet-t)/(Tau_j))))*Salcycl</f>
        <v>4.6211272453452724E-2</v>
      </c>
      <c r="P311" s="169">
        <f>(INDEX(Models!$BJ311:$BT311,,T311)*(1-R311)+INDEX(Models!$BJ311:$BT311,,T311+1)*R311-ERP_i)*Q311*Ramure*Pc/MaxiM</f>
        <v>2.4630521405409049E-2</v>
      </c>
      <c r="Q311" s="305">
        <f t="shared" si="105"/>
        <v>0.7</v>
      </c>
      <c r="R311" s="177">
        <f t="shared" si="106"/>
        <v>0.47443644666871365</v>
      </c>
      <c r="S311" s="817">
        <f t="shared" si="107"/>
        <v>-1</v>
      </c>
      <c r="T311" s="176">
        <f t="shared" si="108"/>
        <v>5</v>
      </c>
      <c r="U311" s="251">
        <f t="shared" si="109"/>
        <v>-0.52556355333128635</v>
      </c>
      <c r="V311" s="383">
        <f t="shared" si="110"/>
        <v>20.386179012430635</v>
      </c>
      <c r="W311" s="402">
        <f t="shared" si="111"/>
        <v>15.200057913433975</v>
      </c>
      <c r="X311" s="157">
        <f t="shared" si="112"/>
        <v>46684</v>
      </c>
      <c r="Y311" s="385">
        <f t="shared" si="113"/>
        <v>13.56270086912957</v>
      </c>
      <c r="Z311" s="385">
        <f t="shared" si="114"/>
        <v>14.63528938886035</v>
      </c>
      <c r="AA311" s="386">
        <f t="shared" si="115"/>
        <v>16.488229341299515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0.11237955962911937</v>
      </c>
      <c r="AD311" s="231">
        <f>(INDEX(Models!$BJ311:$BT311,,AH311)*(1-AF311)+INDEX(Models!$BJ311:$BT311,,AH311+1)*AF311-ERP_i)*AE311*Ramure*Pc/MaxiM</f>
        <v>8.8344082062870616E-2</v>
      </c>
      <c r="AE311" s="305">
        <f t="shared" si="117"/>
        <v>0.7</v>
      </c>
      <c r="AF311" s="177">
        <f t="shared" si="118"/>
        <v>9.829981604476945E-2</v>
      </c>
      <c r="AG311" s="817">
        <f t="shared" si="124"/>
        <v>2</v>
      </c>
      <c r="AH311" s="176">
        <f t="shared" si="119"/>
        <v>8</v>
      </c>
      <c r="AI311" s="225">
        <f t="shared" si="120"/>
        <v>2.0982998160447695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46685</v>
      </c>
      <c r="B312" s="411">
        <f>'2026'!Wh/'2026'!Env_an*'2027'!Env_an</f>
        <v>13.207009573595775</v>
      </c>
      <c r="C312" s="846"/>
      <c r="D312" s="393">
        <f t="shared" si="102"/>
        <v>14.251780861427475</v>
      </c>
      <c r="E312" s="385">
        <f t="shared" si="125"/>
        <v>14.944039213405318</v>
      </c>
      <c r="F312" s="385">
        <f t="shared" si="103"/>
        <v>15.14282798160583</v>
      </c>
      <c r="G312" s="110">
        <f t="shared" si="126"/>
        <v>0.64921726266683322</v>
      </c>
      <c r="H312" s="414" t="b">
        <f>Wh_hp&gt;='2026'!Maxi_hp</f>
        <v>0</v>
      </c>
      <c r="I312" s="390">
        <f>IF(H312,Wh_hp,'2026'!Maxi_hp)</f>
        <v>22.975160579894975</v>
      </c>
      <c r="J312" s="85">
        <f>IF(H312,An,'2026'!An_max)</f>
        <v>2018</v>
      </c>
      <c r="K312" s="197">
        <f t="shared" si="104"/>
        <v>46685</v>
      </c>
      <c r="L312" s="147">
        <f>IF(t&lt;Tvie,1-EXP((T0-t)*PertePVj)+'2026'!Pspv,1-EXP((T0-t)*PertePVj)+Pspv)</f>
        <v>7.3308121840364504E-2</v>
      </c>
      <c r="M312" s="850"/>
      <c r="N312" s="850"/>
      <c r="O312" s="48">
        <f>IF(t&lt;Tnet,'2026'!Resal+('2026'!Salim-'2026'!Resal)*(1-EXP(('2026'!Tnet-t)/('2026'!Tau_j))),Resal+(Salim-Resal)*(1-EXP((Tnet-t)/(Tau_j))))*Salcycl</f>
        <v>4.632337630356749E-2</v>
      </c>
      <c r="P312" s="169">
        <f>(INDEX(Models!$BJ312:$BT312,,T312)*(1-R312)+INDEX(Models!$BJ312:$BT312,,T312+1)*R312-ERP_i)*Q312*Ramure*Pc/MaxiM</f>
        <v>2.5697662583536039E-2</v>
      </c>
      <c r="Q312" s="305">
        <f t="shared" si="105"/>
        <v>0.7</v>
      </c>
      <c r="R312" s="177">
        <f t="shared" si="106"/>
        <v>0.47451129070012188</v>
      </c>
      <c r="S312" s="817">
        <f t="shared" si="107"/>
        <v>-1</v>
      </c>
      <c r="T312" s="176">
        <f t="shared" si="108"/>
        <v>5</v>
      </c>
      <c r="U312" s="251">
        <f t="shared" si="109"/>
        <v>-0.52548870929987812</v>
      </c>
      <c r="V312" s="383">
        <f t="shared" si="110"/>
        <v>20.083859214075364</v>
      </c>
      <c r="W312" s="402">
        <f t="shared" si="111"/>
        <v>13.207009573595775</v>
      </c>
      <c r="X312" s="157">
        <f t="shared" si="112"/>
        <v>46685</v>
      </c>
      <c r="Y312" s="385">
        <f t="shared" si="113"/>
        <v>11.883104263048308</v>
      </c>
      <c r="Z312" s="385">
        <f t="shared" si="114"/>
        <v>12.823144934266143</v>
      </c>
      <c r="AA312" s="386">
        <f t="shared" si="115"/>
        <v>14.446280178214565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0.11235662218403879</v>
      </c>
      <c r="AD312" s="231">
        <f>(INDEX(Models!$BJ312:$BT312,,AH312)*(1-AF312)+INDEX(Models!$BJ312:$BT312,,AH312+1)*AF312-ERP_i)*AE312*Ramure*Pc/MaxiM</f>
        <v>9.0043570302710221E-2</v>
      </c>
      <c r="AE312" s="305">
        <f t="shared" si="117"/>
        <v>0.7</v>
      </c>
      <c r="AF312" s="177">
        <f t="shared" si="118"/>
        <v>9.83746600761779E-2</v>
      </c>
      <c r="AG312" s="817">
        <f t="shared" si="124"/>
        <v>2</v>
      </c>
      <c r="AH312" s="176">
        <f t="shared" si="119"/>
        <v>8</v>
      </c>
      <c r="AI312" s="225">
        <f t="shared" si="120"/>
        <v>2.0983746600761779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46686</v>
      </c>
      <c r="B313" s="411">
        <f>'2026'!Wh/'2026'!Env_an*'2027'!Env_an</f>
        <v>8.8524770389237357</v>
      </c>
      <c r="C313" s="846"/>
      <c r="D313" s="393">
        <f t="shared" si="102"/>
        <v>9.5529821117219296</v>
      </c>
      <c r="E313" s="385">
        <f t="shared" si="125"/>
        <v>10.018173659626058</v>
      </c>
      <c r="F313" s="385">
        <f t="shared" si="103"/>
        <v>10.07498774716033</v>
      </c>
      <c r="G313" s="110">
        <f t="shared" si="126"/>
        <v>0.43801326310555366</v>
      </c>
      <c r="H313" s="414" t="b">
        <f>Wh_hp&gt;='2026'!Maxi_hp</f>
        <v>0</v>
      </c>
      <c r="I313" s="390">
        <f>IF(H313,Wh_hp,'2026'!Maxi_hp)</f>
        <v>22.259943902038003</v>
      </c>
      <c r="J313" s="85">
        <f>IF(H313,An,'2026'!An_max)</f>
        <v>2019</v>
      </c>
      <c r="K313" s="197">
        <f t="shared" si="104"/>
        <v>46686</v>
      </c>
      <c r="L313" s="147">
        <f>IF(t&lt;Tvie,1-EXP((T0-t)*PertePVj)+'2026'!Pspv,1-EXP((T0-t)*PertePVj)+Pspv)</f>
        <v>7.3328418770788217E-2</v>
      </c>
      <c r="M313" s="850"/>
      <c r="N313" s="850"/>
      <c r="O313" s="48">
        <f>IF(t&lt;Tnet,'2026'!Resal+('2026'!Salim-'2026'!Resal)*(1-EXP(('2026'!Tnet-t)/('2026'!Tau_j))),Resal+(Salim-Resal)*(1-EXP((Tnet-t)/(Tau_j))))*Salcycl</f>
        <v>4.6434765827516336E-2</v>
      </c>
      <c r="P313" s="169">
        <f>(INDEX(Models!$BJ313:$BT313,,T313)*(1-R313)+INDEX(Models!$BJ313:$BT313,,T313+1)*R313-ERP_i)*Q313*Ramure*Pc/MaxiM</f>
        <v>2.6758629412270942E-2</v>
      </c>
      <c r="Q313" s="305">
        <f t="shared" si="105"/>
        <v>0.7</v>
      </c>
      <c r="R313" s="177">
        <f t="shared" si="106"/>
        <v>0.47458314241035138</v>
      </c>
      <c r="S313" s="817">
        <f t="shared" si="107"/>
        <v>-1</v>
      </c>
      <c r="T313" s="176">
        <f t="shared" si="108"/>
        <v>5</v>
      </c>
      <c r="U313" s="251">
        <f t="shared" si="109"/>
        <v>-0.52541685758964862</v>
      </c>
      <c r="V313" s="383">
        <f t="shared" si="110"/>
        <v>19.781265882721446</v>
      </c>
      <c r="W313" s="402">
        <f t="shared" si="111"/>
        <v>8.8524770389237357</v>
      </c>
      <c r="X313" s="157">
        <f t="shared" si="112"/>
        <v>46686</v>
      </c>
      <c r="Y313" s="385">
        <f t="shared" si="113"/>
        <v>8.1274266669573159</v>
      </c>
      <c r="Z313" s="385">
        <f t="shared" si="114"/>
        <v>8.7705578023407629</v>
      </c>
      <c r="AA313" s="386">
        <f t="shared" si="115"/>
        <v>9.8804567168495883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0.11233275407361124</v>
      </c>
      <c r="AD313" s="231">
        <f>(INDEX(Models!$BJ313:$BT313,,AH313)*(1-AF313)+INDEX(Models!$BJ313:$BT313,,AH313+1)*AF313-ERP_i)*AE313*Ramure*Pc/MaxiM</f>
        <v>9.1621356166854281E-2</v>
      </c>
      <c r="AE313" s="305">
        <f t="shared" si="117"/>
        <v>0.7</v>
      </c>
      <c r="AF313" s="177">
        <f t="shared" si="118"/>
        <v>9.8446511786407509E-2</v>
      </c>
      <c r="AG313" s="817">
        <f t="shared" si="124"/>
        <v>2</v>
      </c>
      <c r="AH313" s="176">
        <f t="shared" si="119"/>
        <v>8</v>
      </c>
      <c r="AI313" s="225">
        <f t="shared" si="120"/>
        <v>2.0984465117864075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46687</v>
      </c>
      <c r="B314" s="411">
        <f>'2026'!Wh/'2026'!Env_an*'2027'!Env_an</f>
        <v>8.2017658185183588</v>
      </c>
      <c r="C314" s="846"/>
      <c r="D314" s="393">
        <f t="shared" si="102"/>
        <v>8.8509733419190404</v>
      </c>
      <c r="E314" s="385">
        <f t="shared" si="125"/>
        <v>9.2830577033961283</v>
      </c>
      <c r="F314" s="385">
        <f t="shared" si="103"/>
        <v>9.3279273422422424</v>
      </c>
      <c r="G314" s="110">
        <f t="shared" si="126"/>
        <v>0.41133129125259921</v>
      </c>
      <c r="H314" s="414" t="b">
        <f>Wh_hp&gt;='2026'!Maxi_hp</f>
        <v>0</v>
      </c>
      <c r="I314" s="390">
        <f>IF(H314,Wh_hp,'2026'!Maxi_hp)</f>
        <v>20.509460885058797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7.3348715256657093E-2</v>
      </c>
      <c r="M314" s="850"/>
      <c r="N314" s="850"/>
      <c r="O314" s="48">
        <f>IF(t&lt;Tnet,'2026'!Resal+('2026'!Salim-'2026'!Resal)*(1-EXP(('2026'!Tnet-t)/('2026'!Tau_j))),Resal+(Salim-Resal)*(1-EXP((Tnet-t)/(Tau_j))))*Salcycl</f>
        <v>4.6545478363127481E-2</v>
      </c>
      <c r="P314" s="169">
        <f>(INDEX(Models!$BJ314:$BT314,,T314)*(1-R314)+INDEX(Models!$BJ314:$BT314,,T314+1)*R314-ERP_i)*Q314*Ramure*Pc/MaxiM</f>
        <v>2.7813207801291807E-2</v>
      </c>
      <c r="Q314" s="305">
        <f t="shared" si="105"/>
        <v>0.7</v>
      </c>
      <c r="R314" s="177">
        <f t="shared" si="106"/>
        <v>0.47465212062112871</v>
      </c>
      <c r="S314" s="817">
        <f t="shared" si="107"/>
        <v>-1</v>
      </c>
      <c r="T314" s="176">
        <f t="shared" si="108"/>
        <v>5</v>
      </c>
      <c r="U314" s="251">
        <f t="shared" si="109"/>
        <v>-0.52534787937887129</v>
      </c>
      <c r="V314" s="383">
        <f t="shared" si="110"/>
        <v>19.478676151666402</v>
      </c>
      <c r="W314" s="402">
        <f t="shared" si="111"/>
        <v>8.2017658185183588</v>
      </c>
      <c r="X314" s="157">
        <f t="shared" si="112"/>
        <v>46687</v>
      </c>
      <c r="Y314" s="385">
        <f t="shared" si="113"/>
        <v>7.5494646012163118</v>
      </c>
      <c r="Z314" s="385">
        <f t="shared" si="114"/>
        <v>8.1470394802369555</v>
      </c>
      <c r="AA314" s="386">
        <f t="shared" si="115"/>
        <v>9.1777778110969042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0.11230805017023589</v>
      </c>
      <c r="AD314" s="231">
        <f>(INDEX(Models!$BJ314:$BT314,,AH314)*(1-AF314)+INDEX(Models!$BJ314:$BT314,,AH314+1)*AF314-ERP_i)*AE314*Ramure*Pc/MaxiM</f>
        <v>9.3072737343272052E-2</v>
      </c>
      <c r="AE314" s="305">
        <f t="shared" si="117"/>
        <v>0.7</v>
      </c>
      <c r="AF314" s="177">
        <f t="shared" si="118"/>
        <v>9.8515489997184513E-2</v>
      </c>
      <c r="AG314" s="817">
        <f t="shared" si="124"/>
        <v>2</v>
      </c>
      <c r="AH314" s="176">
        <f t="shared" si="119"/>
        <v>8</v>
      </c>
      <c r="AI314" s="225">
        <f t="shared" si="120"/>
        <v>2.0985154899971845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46688</v>
      </c>
      <c r="B315" s="411">
        <f>'2026'!Wh/'2026'!Env_an*'2027'!Env_an</f>
        <v>10.757544489174522</v>
      </c>
      <c r="C315" s="846"/>
      <c r="D315" s="393">
        <f t="shared" si="102"/>
        <v>11.609307934157458</v>
      </c>
      <c r="E315" s="385">
        <f t="shared" si="125"/>
        <v>12.177453779349579</v>
      </c>
      <c r="F315" s="385">
        <f t="shared" si="103"/>
        <v>12.309911181841077</v>
      </c>
      <c r="G315" s="110">
        <f t="shared" si="126"/>
        <v>0.55071460520315307</v>
      </c>
      <c r="H315" s="414" t="b">
        <f>Wh_hp&gt;='2026'!Maxi_hp</f>
        <v>0</v>
      </c>
      <c r="I315" s="390">
        <f>IF(H315,Wh_hp,'2026'!Maxi_hp)</f>
        <v>22.111247290077316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7.3369011297980791E-2</v>
      </c>
      <c r="M315" s="850"/>
      <c r="N315" s="850"/>
      <c r="O315" s="48">
        <f>IF(t&lt;Tnet,'2026'!Resal+('2026'!Salim-'2026'!Resal)*(1-EXP(('2026'!Tnet-t)/('2026'!Tau_j))),Resal+(Salim-Resal)*(1-EXP((Tnet-t)/(Tau_j))))*Salcycl</f>
        <v>4.6655553409332313E-2</v>
      </c>
      <c r="P315" s="169">
        <f>(INDEX(Models!$BJ315:$BT315,,T315)*(1-R315)+INDEX(Models!$BJ315:$BT315,,T315+1)*R315-ERP_i)*Q315*Ramure*Pc/MaxiM</f>
        <v>2.8861128776904305E-2</v>
      </c>
      <c r="Q315" s="305">
        <f t="shared" si="105"/>
        <v>0.7</v>
      </c>
      <c r="R315" s="177">
        <f t="shared" si="106"/>
        <v>0.47471833949991082</v>
      </c>
      <c r="S315" s="817">
        <f t="shared" si="107"/>
        <v>-1</v>
      </c>
      <c r="T315" s="176">
        <f t="shared" si="108"/>
        <v>5</v>
      </c>
      <c r="U315" s="251">
        <f t="shared" si="109"/>
        <v>-0.52528166050008918</v>
      </c>
      <c r="V315" s="383">
        <f t="shared" si="110"/>
        <v>19.17636660877562</v>
      </c>
      <c r="W315" s="402">
        <f t="shared" si="111"/>
        <v>10.757544489174522</v>
      </c>
      <c r="X315" s="157">
        <f t="shared" si="112"/>
        <v>46688</v>
      </c>
      <c r="Y315" s="385">
        <f t="shared" si="113"/>
        <v>9.7696111543365944</v>
      </c>
      <c r="Z315" s="385">
        <f t="shared" si="114"/>
        <v>10.543151776114678</v>
      </c>
      <c r="AA315" s="386">
        <f t="shared" si="115"/>
        <v>11.876698473468199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0.11228260954275984</v>
      </c>
      <c r="AD315" s="231">
        <f>(INDEX(Models!$BJ315:$BT315,,AH315)*(1-AF315)+INDEX(Models!$BJ315:$BT315,,AH315+1)*AF315-ERP_i)*AE315*Ramure*Pc/MaxiM</f>
        <v>9.4392669106912463E-2</v>
      </c>
      <c r="AE315" s="305">
        <f t="shared" si="117"/>
        <v>0.7</v>
      </c>
      <c r="AF315" s="177">
        <f t="shared" si="118"/>
        <v>9.8581708875966623E-2</v>
      </c>
      <c r="AG315" s="817">
        <f t="shared" si="124"/>
        <v>2</v>
      </c>
      <c r="AH315" s="176">
        <f t="shared" si="119"/>
        <v>8</v>
      </c>
      <c r="AI315" s="225">
        <f t="shared" si="120"/>
        <v>2.0985817088759666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46689</v>
      </c>
      <c r="B316" s="411">
        <f>'2026'!Wh/'2026'!Env_an*'2027'!Env_an</f>
        <v>15.627385422783904</v>
      </c>
      <c r="C316" s="846"/>
      <c r="D316" s="393">
        <f t="shared" si="102"/>
        <v>16.865103693562894</v>
      </c>
      <c r="E316" s="385">
        <f t="shared" si="125"/>
        <v>17.692493738118419</v>
      </c>
      <c r="F316" s="385">
        <f t="shared" si="103"/>
        <v>18.100717447569046</v>
      </c>
      <c r="G316" s="110">
        <f t="shared" si="126"/>
        <v>0.8217327180814179</v>
      </c>
      <c r="H316" s="414" t="b">
        <f>Wh_hp&gt;='2026'!Maxi_hp</f>
        <v>0</v>
      </c>
      <c r="I316" s="390">
        <f>IF(H316,Wh_hp,'2026'!Maxi_hp)</f>
        <v>18.198277423801116</v>
      </c>
      <c r="J316" s="85">
        <f>IF(H316,An,'2026'!An_max)</f>
        <v>2025</v>
      </c>
      <c r="K316" s="197">
        <f t="shared" si="104"/>
        <v>46689</v>
      </c>
      <c r="L316" s="147">
        <f>IF(t&lt;Tvie,1-EXP((T0-t)*PertePVj)+'2026'!Pspv,1-EXP((T0-t)*PertePVj)+Pspv)</f>
        <v>7.338930689476908E-2</v>
      </c>
      <c r="M316" s="850"/>
      <c r="N316" s="850"/>
      <c r="O316" s="48">
        <f>IF(t&lt;Tnet,'2026'!Resal+('2026'!Salim-'2026'!Resal)*(1-EXP(('2026'!Tnet-t)/('2026'!Tau_j))),Resal+(Salim-Resal)*(1-EXP((Tnet-t)/(Tau_j))))*Salcycl</f>
        <v>4.6765032493577607E-2</v>
      </c>
      <c r="P316" s="169">
        <f>(INDEX(Models!$BJ316:$BT316,,T316)*(1-R316)+INDEX(Models!$BJ316:$BT316,,T316+1)*R316-ERP_i)*Q316*Ramure*Pc/MaxiM</f>
        <v>2.9902064475574051E-2</v>
      </c>
      <c r="Q316" s="305">
        <f t="shared" si="105"/>
        <v>0.7</v>
      </c>
      <c r="R316" s="177">
        <f t="shared" si="106"/>
        <v>0.47478190873714698</v>
      </c>
      <c r="S316" s="817">
        <f t="shared" si="107"/>
        <v>-1</v>
      </c>
      <c r="T316" s="176">
        <f t="shared" si="108"/>
        <v>5</v>
      </c>
      <c r="U316" s="251">
        <f t="shared" si="109"/>
        <v>-0.52521809126285302</v>
      </c>
      <c r="V316" s="383">
        <f t="shared" si="110"/>
        <v>18.87461332110917</v>
      </c>
      <c r="W316" s="402">
        <f t="shared" si="111"/>
        <v>15.627385422783904</v>
      </c>
      <c r="X316" s="157">
        <f t="shared" si="112"/>
        <v>46689</v>
      </c>
      <c r="Y316" s="385">
        <f t="shared" si="113"/>
        <v>13.81619517105063</v>
      </c>
      <c r="Z316" s="385">
        <f t="shared" si="114"/>
        <v>14.910463772817252</v>
      </c>
      <c r="AA316" s="386">
        <f t="shared" si="115"/>
        <v>16.79591499367265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0.11225653508997181</v>
      </c>
      <c r="AD316" s="231">
        <f>(INDEX(Models!$BJ316:$BT316,,AH316)*(1-AF316)+INDEX(Models!$BJ316:$BT316,,AH316+1)*AF316-ERP_i)*AE316*Ramure*Pc/MaxiM</f>
        <v>9.5575749769174531E-2</v>
      </c>
      <c r="AE316" s="305">
        <f t="shared" si="117"/>
        <v>0.7</v>
      </c>
      <c r="AF316" s="177">
        <f t="shared" si="118"/>
        <v>9.8645278113203005E-2</v>
      </c>
      <c r="AG316" s="817">
        <f t="shared" si="124"/>
        <v>2</v>
      </c>
      <c r="AH316" s="176">
        <f t="shared" si="119"/>
        <v>8</v>
      </c>
      <c r="AI316" s="225">
        <f t="shared" si="120"/>
        <v>2.098645278113203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46690</v>
      </c>
      <c r="B317" s="411">
        <f>'2026'!Wh/'2026'!Env_an*'2027'!Env_an</f>
        <v>13.118435298270873</v>
      </c>
      <c r="C317" s="846"/>
      <c r="D317" s="393">
        <f t="shared" si="102"/>
        <v>14.157750098913432</v>
      </c>
      <c r="E317" s="385">
        <f t="shared" si="125"/>
        <v>14.85401666753164</v>
      </c>
      <c r="F317" s="385">
        <f t="shared" si="103"/>
        <v>15.125773944173956</v>
      </c>
      <c r="G317" s="110">
        <f t="shared" si="126"/>
        <v>0.69711607303080059</v>
      </c>
      <c r="H317" s="414" t="b">
        <f>Wh_hp&gt;='2026'!Maxi_hp</f>
        <v>0</v>
      </c>
      <c r="I317" s="390">
        <f>IF(H317,Wh_hp,'2026'!Maxi_hp)</f>
        <v>19.915918764671726</v>
      </c>
      <c r="J317" s="85">
        <f>IF(H317,An,'2026'!An_max)</f>
        <v>2018</v>
      </c>
      <c r="K317" s="197">
        <f t="shared" si="104"/>
        <v>46690</v>
      </c>
      <c r="L317" s="147">
        <f>IF(t&lt;Tvie,1-EXP((T0-t)*PertePVj)+'2026'!Pspv,1-EXP((T0-t)*PertePVj)+Pspv)</f>
        <v>7.340960204703173E-2</v>
      </c>
      <c r="M317" s="850"/>
      <c r="N317" s="850"/>
      <c r="O317" s="48">
        <f>IF(t&lt;Tnet,'2026'!Resal+('2026'!Salim-'2026'!Resal)*(1-EXP(('2026'!Tnet-t)/('2026'!Tau_j))),Resal+(Salim-Resal)*(1-EXP((Tnet-t)/(Tau_j))))*Salcycl</f>
        <v>4.6873959024169493E-2</v>
      </c>
      <c r="P317" s="169">
        <f>(INDEX(Models!$BJ317:$BT317,,T317)*(1-R317)+INDEX(Models!$BJ317:$BT317,,T317+1)*R317-ERP_i)*Q317*Ramure*Pc/MaxiM</f>
        <v>3.0942389099389983E-2</v>
      </c>
      <c r="Q317" s="305">
        <f t="shared" si="105"/>
        <v>0.7</v>
      </c>
      <c r="R317" s="177">
        <f t="shared" si="106"/>
        <v>0.47484293371718955</v>
      </c>
      <c r="S317" s="817">
        <f t="shared" si="107"/>
        <v>-1</v>
      </c>
      <c r="T317" s="176">
        <f t="shared" si="108"/>
        <v>5</v>
      </c>
      <c r="U317" s="251">
        <f t="shared" si="109"/>
        <v>-0.52515706628281045</v>
      </c>
      <c r="V317" s="383">
        <f t="shared" si="110"/>
        <v>18.569501146798924</v>
      </c>
      <c r="W317" s="402">
        <f t="shared" si="111"/>
        <v>13.118435298270873</v>
      </c>
      <c r="X317" s="157">
        <f t="shared" si="112"/>
        <v>46690</v>
      </c>
      <c r="Y317" s="385">
        <f t="shared" si="113"/>
        <v>11.744280816841703</v>
      </c>
      <c r="Z317" s="385">
        <f t="shared" si="114"/>
        <v>12.674727520150514</v>
      </c>
      <c r="AA317" s="386">
        <f t="shared" si="115"/>
        <v>14.277038608698877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0.11222993314398461</v>
      </c>
      <c r="AD317" s="231">
        <f>(INDEX(Models!$BJ317:$BT317,,AH317)*(1-AF317)+INDEX(Models!$BJ317:$BT317,,AH317+1)*AF317-ERP_i)*AE317*Ramure*Pc/MaxiM</f>
        <v>9.6637335040845762E-2</v>
      </c>
      <c r="AE317" s="305">
        <f t="shared" si="117"/>
        <v>0.7</v>
      </c>
      <c r="AF317" s="177">
        <f t="shared" si="118"/>
        <v>9.8706303093245573E-2</v>
      </c>
      <c r="AG317" s="817">
        <f t="shared" si="124"/>
        <v>2</v>
      </c>
      <c r="AH317" s="176">
        <f t="shared" si="119"/>
        <v>8</v>
      </c>
      <c r="AI317" s="225">
        <f t="shared" si="120"/>
        <v>2.0987063030932456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46691</v>
      </c>
      <c r="B318" s="411">
        <f>'2026'!Wh/'2026'!Env_an*'2027'!Env_an</f>
        <v>12.434921900701807</v>
      </c>
      <c r="C318" s="846"/>
      <c r="D318" s="393">
        <f t="shared" si="102"/>
        <v>13.420378940729584</v>
      </c>
      <c r="E318" s="385">
        <f t="shared" si="125"/>
        <v>14.081984039678749</v>
      </c>
      <c r="F318" s="385">
        <f t="shared" si="103"/>
        <v>14.331188771951689</v>
      </c>
      <c r="G318" s="110">
        <f t="shared" si="126"/>
        <v>0.67094802965737321</v>
      </c>
      <c r="H318" s="414" t="b">
        <f>Wh_hp&gt;='2026'!Maxi_hp</f>
        <v>0</v>
      </c>
      <c r="I318" s="390">
        <f>IF(H318,Wh_hp,'2026'!Maxi_hp)</f>
        <v>21.044547034866937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7.3429896754778512E-2</v>
      </c>
      <c r="M318" s="850"/>
      <c r="N318" s="850"/>
      <c r="O318" s="48">
        <f>IF(t&lt;Tnet,'2026'!Resal+('2026'!Salim-'2026'!Resal)*(1-EXP(('2026'!Tnet-t)/('2026'!Tau_j))),Resal+(Salim-Resal)*(1-EXP((Tnet-t)/(Tau_j))))*Salcycl</f>
        <v>4.6982378128320776E-2</v>
      </c>
      <c r="P318" s="169">
        <f>(INDEX(Models!$BJ318:$BT318,,T318)*(1-R318)+INDEX(Models!$BJ318:$BT318,,T318+1)*R318-ERP_i)*Q318*Ramure*Pc/MaxiM</f>
        <v>3.1945171708280332E-2</v>
      </c>
      <c r="Q318" s="305">
        <f t="shared" si="105"/>
        <v>0.7</v>
      </c>
      <c r="R318" s="177">
        <f t="shared" si="106"/>
        <v>0.4749015156830505</v>
      </c>
      <c r="S318" s="817">
        <f t="shared" si="107"/>
        <v>-1</v>
      </c>
      <c r="T318" s="176">
        <f t="shared" si="108"/>
        <v>5</v>
      </c>
      <c r="U318" s="251">
        <f t="shared" si="109"/>
        <v>-0.5250984843169495</v>
      </c>
      <c r="V318" s="383">
        <f t="shared" si="110"/>
        <v>18.258811469660763</v>
      </c>
      <c r="W318" s="402">
        <f t="shared" si="111"/>
        <v>12.434921900701807</v>
      </c>
      <c r="X318" s="157">
        <f t="shared" si="112"/>
        <v>46691</v>
      </c>
      <c r="Y318" s="385">
        <f t="shared" si="113"/>
        <v>11.162849302471553</v>
      </c>
      <c r="Z318" s="385">
        <f t="shared" si="114"/>
        <v>12.047495665330407</v>
      </c>
      <c r="AA318" s="386">
        <f t="shared" si="115"/>
        <v>13.570100468185515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0.11220291304583827</v>
      </c>
      <c r="AD318" s="231">
        <f>(INDEX(Models!$BJ318:$BT318,,AH318)*(1-AF318)+INDEX(Models!$BJ318:$BT318,,AH318+1)*AF318-ERP_i)*AE318*Ramure*Pc/MaxiM</f>
        <v>9.7562740190444822E-2</v>
      </c>
      <c r="AE318" s="305">
        <f t="shared" si="117"/>
        <v>0.7</v>
      </c>
      <c r="AF318" s="177">
        <f t="shared" si="118"/>
        <v>9.8764885059106522E-2</v>
      </c>
      <c r="AG318" s="817">
        <f t="shared" si="124"/>
        <v>2</v>
      </c>
      <c r="AH318" s="176">
        <f t="shared" si="119"/>
        <v>8</v>
      </c>
      <c r="AI318" s="225">
        <f t="shared" si="120"/>
        <v>2.0987648850591065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46692</v>
      </c>
      <c r="B319" s="411">
        <f>'2026'!Wh/'2026'!Env_an*'2027'!Env_an</f>
        <v>13.269668015080994</v>
      </c>
      <c r="C319" s="846"/>
      <c r="D319" s="393">
        <f t="shared" si="102"/>
        <v>14.321591658046584</v>
      </c>
      <c r="E319" s="385">
        <f t="shared" si="125"/>
        <v>15.029327759249801</v>
      </c>
      <c r="F319" s="385">
        <f t="shared" si="103"/>
        <v>15.346432714779446</v>
      </c>
      <c r="G319" s="110">
        <f t="shared" si="126"/>
        <v>0.73025288868589833</v>
      </c>
      <c r="H319" s="414" t="b">
        <f>Wh_hp&gt;='2026'!Maxi_hp</f>
        <v>0</v>
      </c>
      <c r="I319" s="390">
        <f>IF(H319,Wh_hp,'2026'!Maxi_hp)</f>
        <v>19.702358339343263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7.3450191018019084E-2</v>
      </c>
      <c r="M319" s="850"/>
      <c r="N319" s="850"/>
      <c r="O319" s="48">
        <f>IF(t&lt;Tnet,'2026'!Resal+('2026'!Salim-'2026'!Resal)*(1-EXP(('2026'!Tnet-t)/('2026'!Tau_j))),Resal+(Salim-Resal)*(1-EXP((Tnet-t)/(Tau_j))))*Salcycl</f>
        <v>4.7090336476802178E-2</v>
      </c>
      <c r="P319" s="169">
        <f>(INDEX(Models!$BJ319:$BT319,,T319)*(1-R319)+INDEX(Models!$BJ319:$BT319,,T319+1)*R319-ERP_i)*Q319*Ramure*Pc/MaxiM</f>
        <v>3.2910452594023039E-2</v>
      </c>
      <c r="Q319" s="305">
        <f t="shared" si="105"/>
        <v>0.7</v>
      </c>
      <c r="R319" s="177">
        <f t="shared" si="106"/>
        <v>0.47495775189519218</v>
      </c>
      <c r="S319" s="817">
        <f t="shared" si="107"/>
        <v>-1</v>
      </c>
      <c r="T319" s="176">
        <f t="shared" si="108"/>
        <v>5</v>
      </c>
      <c r="U319" s="251">
        <f t="shared" si="109"/>
        <v>-0.52504224810480782</v>
      </c>
      <c r="V319" s="383">
        <f t="shared" si="110"/>
        <v>17.944086221272133</v>
      </c>
      <c r="W319" s="402">
        <f t="shared" si="111"/>
        <v>13.269668015080994</v>
      </c>
      <c r="X319" s="157">
        <f t="shared" si="112"/>
        <v>46692</v>
      </c>
      <c r="Y319" s="385">
        <f t="shared" si="113"/>
        <v>11.844008993566675</v>
      </c>
      <c r="Z319" s="385">
        <f t="shared" si="114"/>
        <v>12.782916664329065</v>
      </c>
      <c r="AA319" s="386">
        <f t="shared" si="115"/>
        <v>14.398023384777996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0.11217558669591195</v>
      </c>
      <c r="AD319" s="231">
        <f>(INDEX(Models!$BJ319:$BT319,,AH319)*(1-AF319)+INDEX(Models!$BJ319:$BT319,,AH319+1)*AF319-ERP_i)*AE319*Ramure*Pc/MaxiM</f>
        <v>9.8429809280681471E-2</v>
      </c>
      <c r="AE319" s="305">
        <f t="shared" si="117"/>
        <v>0.7</v>
      </c>
      <c r="AF319" s="177">
        <f t="shared" si="118"/>
        <v>9.8821121271248202E-2</v>
      </c>
      <c r="AG319" s="817">
        <f t="shared" si="124"/>
        <v>2</v>
      </c>
      <c r="AH319" s="176">
        <f t="shared" si="119"/>
        <v>8</v>
      </c>
      <c r="AI319" s="225">
        <f t="shared" si="120"/>
        <v>2.0988211212712482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46693</v>
      </c>
      <c r="B320" s="411">
        <f>'2026'!Wh/'2026'!Env_an*'2027'!Env_an</f>
        <v>15.373118851574718</v>
      </c>
      <c r="C320" s="846"/>
      <c r="D320" s="393">
        <f t="shared" si="102"/>
        <v>16.592152327566456</v>
      </c>
      <c r="E320" s="385">
        <f t="shared" si="125"/>
        <v>17.414059032603937</v>
      </c>
      <c r="F320" s="385">
        <f t="shared" si="103"/>
        <v>17.909337260821701</v>
      </c>
      <c r="G320" s="110">
        <f t="shared" si="126"/>
        <v>0.86659541564644293</v>
      </c>
      <c r="H320" s="414" t="b">
        <f>Wh_hp&gt;='2026'!Maxi_hp</f>
        <v>0</v>
      </c>
      <c r="I320" s="390">
        <f>IF(H320,Wh_hp,'2026'!Maxi_hp)</f>
        <v>18.470798370056769</v>
      </c>
      <c r="J320" s="85">
        <f>IF(H320,An,'2026'!An_max)</f>
        <v>2020</v>
      </c>
      <c r="K320" s="197">
        <f t="shared" si="104"/>
        <v>46693</v>
      </c>
      <c r="L320" s="147">
        <f>IF(t&lt;Tvie,1-EXP((T0-t)*PertePVj)+'2026'!Pspv,1-EXP((T0-t)*PertePVj)+Pspv)</f>
        <v>7.3470484836763217E-2</v>
      </c>
      <c r="M320" s="850"/>
      <c r="N320" s="850"/>
      <c r="O320" s="48">
        <f>IF(t&lt;Tnet,'2026'!Resal+('2026'!Salim-'2026'!Resal)*(1-EXP(('2026'!Tnet-t)/('2026'!Tau_j))),Resal+(Salim-Resal)*(1-EXP((Tnet-t)/(Tau_j))))*Salcycl</f>
        <v>4.7197882096221416E-2</v>
      </c>
      <c r="P320" s="169">
        <f>(INDEX(Models!$BJ320:$BT320,,T320)*(1-R320)+INDEX(Models!$BJ320:$BT320,,T320+1)*R320-ERP_i)*Q320*Ramure*Pc/MaxiM</f>
        <v>3.3835016096808709E-2</v>
      </c>
      <c r="Q320" s="305">
        <f t="shared" si="105"/>
        <v>0.7</v>
      </c>
      <c r="R320" s="177">
        <f t="shared" si="106"/>
        <v>0.47501173578454625</v>
      </c>
      <c r="S320" s="817">
        <f t="shared" si="107"/>
        <v>-1</v>
      </c>
      <c r="T320" s="176">
        <f t="shared" si="108"/>
        <v>5</v>
      </c>
      <c r="U320" s="251">
        <f t="shared" si="109"/>
        <v>-0.52498826421545375</v>
      </c>
      <c r="V320" s="383">
        <f t="shared" si="110"/>
        <v>17.626918387167827</v>
      </c>
      <c r="W320" s="402">
        <f t="shared" si="111"/>
        <v>15.373118851574718</v>
      </c>
      <c r="X320" s="157">
        <f t="shared" si="112"/>
        <v>46693</v>
      </c>
      <c r="Y320" s="385">
        <f t="shared" si="113"/>
        <v>13.537724634163487</v>
      </c>
      <c r="Z320" s="385">
        <f t="shared" si="114"/>
        <v>14.611217897120524</v>
      </c>
      <c r="AA320" s="386">
        <f t="shared" si="115"/>
        <v>16.456818273240479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0.11214806808196842</v>
      </c>
      <c r="AD320" s="231">
        <f>(INDEX(Models!$BJ320:$BT320,,AH320)*(1-AF320)+INDEX(Models!$BJ320:$BT320,,AH320+1)*AF320-ERP_i)*AE320*Ramure*Pc/MaxiM</f>
        <v>9.9229080798848179E-2</v>
      </c>
      <c r="AE320" s="305">
        <f t="shared" si="117"/>
        <v>0.7</v>
      </c>
      <c r="AF320" s="177">
        <f t="shared" si="118"/>
        <v>9.8875105160602494E-2</v>
      </c>
      <c r="AG320" s="817">
        <f t="shared" si="124"/>
        <v>2</v>
      </c>
      <c r="AH320" s="176">
        <f t="shared" si="119"/>
        <v>8</v>
      </c>
      <c r="AI320" s="225">
        <f t="shared" si="120"/>
        <v>2.0988751051606025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46694</v>
      </c>
      <c r="B321" s="411">
        <f>'2026'!Wh/'2026'!Env_an*'2027'!Env_an</f>
        <v>5.7835630147856323</v>
      </c>
      <c r="C321" s="846"/>
      <c r="D321" s="393">
        <f t="shared" si="102"/>
        <v>6.2423156497225767</v>
      </c>
      <c r="E321" s="385">
        <f t="shared" si="125"/>
        <v>6.5522712622426651</v>
      </c>
      <c r="F321" s="385">
        <f t="shared" si="103"/>
        <v>6.5633831258405753</v>
      </c>
      <c r="G321" s="110">
        <f t="shared" si="126"/>
        <v>0.32308547144708516</v>
      </c>
      <c r="H321" s="414" t="b">
        <f>Wh_hp&gt;='2026'!Maxi_hp</f>
        <v>0</v>
      </c>
      <c r="I321" s="390">
        <f>IF(H321,Wh_hp,'2026'!Maxi_hp)</f>
        <v>19.194337554419008</v>
      </c>
      <c r="J321" s="85">
        <f>IF(H321,An,'2026'!An_max)</f>
        <v>2020</v>
      </c>
      <c r="K321" s="197">
        <f t="shared" si="104"/>
        <v>46694</v>
      </c>
      <c r="L321" s="147">
        <f>IF(t&lt;Tvie,1-EXP((T0-t)*PertePVj)+'2026'!Pspv,1-EXP((T0-t)*PertePVj)+Pspv)</f>
        <v>7.3490778211020569E-2</v>
      </c>
      <c r="M321" s="850"/>
      <c r="N321" s="850"/>
      <c r="O321" s="48">
        <f>IF(t&lt;Tnet,'2026'!Resal+('2026'!Salim-'2026'!Resal)*(1-EXP(('2026'!Tnet-t)/('2026'!Tau_j))),Resal+(Salim-Resal)*(1-EXP((Tnet-t)/(Tau_j))))*Salcycl</f>
        <v>4.7305064170069001E-2</v>
      </c>
      <c r="P321" s="169">
        <f>(INDEX(Models!$BJ321:$BT321,,T321)*(1-R321)+INDEX(Models!$BJ321:$BT321,,T321+1)*R321-ERP_i)*Q321*Ramure*Pc/MaxiM</f>
        <v>3.471504806197525E-2</v>
      </c>
      <c r="Q321" s="305">
        <f t="shared" si="105"/>
        <v>0.7</v>
      </c>
      <c r="R321" s="177">
        <f t="shared" si="106"/>
        <v>0.47506355709993953</v>
      </c>
      <c r="S321" s="817">
        <f t="shared" si="107"/>
        <v>-1</v>
      </c>
      <c r="T321" s="176">
        <f t="shared" si="108"/>
        <v>5</v>
      </c>
      <c r="U321" s="251">
        <f t="shared" si="109"/>
        <v>-0.52493644290006047</v>
      </c>
      <c r="V321" s="383">
        <f t="shared" si="110"/>
        <v>17.308899888174956</v>
      </c>
      <c r="W321" s="402">
        <f t="shared" si="111"/>
        <v>5.7835630147856323</v>
      </c>
      <c r="X321" s="157">
        <f t="shared" si="112"/>
        <v>46694</v>
      </c>
      <c r="Y321" s="385">
        <f t="shared" si="113"/>
        <v>5.3729082853620138</v>
      </c>
      <c r="Z321" s="385">
        <f t="shared" si="114"/>
        <v>5.7990877575806152</v>
      </c>
      <c r="AA321" s="386">
        <f t="shared" si="115"/>
        <v>6.5313903292592741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0.11212047278786806</v>
      </c>
      <c r="AD321" s="231">
        <f>(INDEX(Models!$BJ321:$BT321,,AH321)*(1-AF321)+INDEX(Models!$BJ321:$BT321,,AH321+1)*AF321-ERP_i)*AE321*Ramure*Pc/MaxiM</f>
        <v>9.9950063386828783E-2</v>
      </c>
      <c r="AE321" s="305">
        <f t="shared" si="117"/>
        <v>0.7</v>
      </c>
      <c r="AF321" s="177">
        <f t="shared" si="118"/>
        <v>9.8926926475995547E-2</v>
      </c>
      <c r="AG321" s="817">
        <f t="shared" si="124"/>
        <v>2</v>
      </c>
      <c r="AH321" s="176">
        <f t="shared" si="119"/>
        <v>8</v>
      </c>
      <c r="AI321" s="225">
        <f t="shared" si="120"/>
        <v>2.0989269264759955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46695</v>
      </c>
      <c r="B322" s="411">
        <f>'2026'!Wh/'2026'!Env_an*'2027'!Env_an</f>
        <v>8.2755246945555587</v>
      </c>
      <c r="C322" s="846"/>
      <c r="D322" s="393">
        <f t="shared" si="102"/>
        <v>8.9321355461261138</v>
      </c>
      <c r="E322" s="385">
        <f t="shared" si="125"/>
        <v>9.3767031668369523</v>
      </c>
      <c r="F322" s="385">
        <f t="shared" si="103"/>
        <v>9.4666142083397293</v>
      </c>
      <c r="G322" s="110">
        <f t="shared" si="126"/>
        <v>0.47422744962955571</v>
      </c>
      <c r="H322" s="414" t="b">
        <f>Wh_hp&gt;='2026'!Maxi_hp</f>
        <v>0</v>
      </c>
      <c r="I322" s="390">
        <f>IF(H322,Wh_hp,'2026'!Maxi_hp)</f>
        <v>14.185805406628766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7.3511071140801021E-2</v>
      </c>
      <c r="M322" s="850"/>
      <c r="N322" s="850"/>
      <c r="O322" s="48">
        <f>IF(t&lt;Tnet,'2026'!Resal+('2026'!Salim-'2026'!Resal)*(1-EXP(('2026'!Tnet-t)/('2026'!Tau_j))),Resal+(Salim-Resal)*(1-EXP((Tnet-t)/(Tau_j))))*Salcycl</f>
        <v>4.7411932829777695E-2</v>
      </c>
      <c r="P322" s="169">
        <f>(INDEX(Models!$BJ322:$BT322,,T322)*(1-R322)+INDEX(Models!$BJ322:$BT322,,T322+1)*R322-ERP_i)*Q322*Ramure*Pc/MaxiM</f>
        <v>3.5546112101801315E-2</v>
      </c>
      <c r="Q322" s="305">
        <f t="shared" si="105"/>
        <v>0.7</v>
      </c>
      <c r="R322" s="177">
        <f t="shared" si="106"/>
        <v>0.47511330205011193</v>
      </c>
      <c r="S322" s="817">
        <f t="shared" si="107"/>
        <v>-1</v>
      </c>
      <c r="T322" s="176">
        <f t="shared" si="108"/>
        <v>5</v>
      </c>
      <c r="U322" s="251">
        <f t="shared" si="109"/>
        <v>-0.52488669794988807</v>
      </c>
      <c r="V322" s="383">
        <f t="shared" si="110"/>
        <v>16.991621655982435</v>
      </c>
      <c r="W322" s="402">
        <f t="shared" si="111"/>
        <v>8.2755246945555587</v>
      </c>
      <c r="X322" s="157">
        <f t="shared" si="112"/>
        <v>46695</v>
      </c>
      <c r="Y322" s="385">
        <f t="shared" si="113"/>
        <v>7.5782898880857426</v>
      </c>
      <c r="Z322" s="385">
        <f t="shared" si="114"/>
        <v>8.1795795416757056</v>
      </c>
      <c r="AA322" s="386">
        <f t="shared" si="115"/>
        <v>9.2122021580432616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0.11209291748618039</v>
      </c>
      <c r="AD322" s="231">
        <f>(INDEX(Models!$BJ322:$BT322,,AH322)*(1-AF322)+INDEX(Models!$BJ322:$BT322,,AH322+1)*AF322-ERP_i)*AE322*Ramure*Pc/MaxiM</f>
        <v>0.10058118679014573</v>
      </c>
      <c r="AE322" s="305">
        <f t="shared" si="117"/>
        <v>0.7</v>
      </c>
      <c r="AF322" s="177">
        <f t="shared" si="118"/>
        <v>9.897667142616795E-2</v>
      </c>
      <c r="AG322" s="817">
        <f t="shared" si="124"/>
        <v>2</v>
      </c>
      <c r="AH322" s="176">
        <f t="shared" si="119"/>
        <v>8</v>
      </c>
      <c r="AI322" s="225">
        <f t="shared" si="120"/>
        <v>2.098976671426168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46696</v>
      </c>
      <c r="B323" s="411">
        <f>'2026'!Wh/'2026'!Env_an*'2027'!Env_an</f>
        <v>16.986521017832569</v>
      </c>
      <c r="C323" s="846"/>
      <c r="D323" s="393">
        <f t="shared" si="102"/>
        <v>18.33469623355656</v>
      </c>
      <c r="E323" s="385">
        <f t="shared" si="125"/>
        <v>19.249399576866434</v>
      </c>
      <c r="F323" s="385">
        <f t="shared" si="103"/>
        <v>19.974952359032532</v>
      </c>
      <c r="G323" s="110">
        <f t="shared" si="126"/>
        <v>1.0185796826480089</v>
      </c>
      <c r="H323" s="414" t="b">
        <f>Wh_hp&gt;='2026'!Maxi_hp</f>
        <v>1</v>
      </c>
      <c r="I323" s="390">
        <f>IF(H323,Wh_hp,'2026'!Maxi_hp)</f>
        <v>19.974952359032532</v>
      </c>
      <c r="J323" s="85">
        <f>IF(H323,An,'2026'!An_max)</f>
        <v>2027</v>
      </c>
      <c r="K323" s="197">
        <f t="shared" si="104"/>
        <v>46696</v>
      </c>
      <c r="L323" s="147">
        <f>IF(t&lt;Tvie,1-EXP((T0-t)*PertePVj)+'2026'!Pspv,1-EXP((T0-t)*PertePVj)+Pspv)</f>
        <v>7.3531363626114121E-2</v>
      </c>
      <c r="M323" s="850"/>
      <c r="N323" s="850"/>
      <c r="O323" s="48">
        <f>IF(t&lt;Tnet,'2026'!Resal+('2026'!Salim-'2026'!Resal)*(1-EXP(('2026'!Tnet-t)/('2026'!Tau_j))),Resal+(Salim-Resal)*(1-EXP((Tnet-t)/(Tau_j))))*Salcycl</f>
        <v>4.7518538937138997E-2</v>
      </c>
      <c r="P323" s="169">
        <f>(INDEX(Models!$BJ323:$BT323,,T323)*(1-R323)+INDEX(Models!$BJ323:$BT323,,T323+1)*R323-ERP_i)*Q323*Ramure*Pc/MaxiM</f>
        <v>3.632312954368612E-2</v>
      </c>
      <c r="Q323" s="305">
        <f t="shared" si="105"/>
        <v>0.7</v>
      </c>
      <c r="R323" s="177">
        <f t="shared" si="106"/>
        <v>0.4751610534405013</v>
      </c>
      <c r="S323" s="817">
        <f t="shared" si="107"/>
        <v>-1</v>
      </c>
      <c r="T323" s="176">
        <f t="shared" si="108"/>
        <v>5</v>
      </c>
      <c r="U323" s="251">
        <f t="shared" si="109"/>
        <v>-0.5248389465594987</v>
      </c>
      <c r="V323" s="383">
        <f t="shared" si="110"/>
        <v>16.676673712627554</v>
      </c>
      <c r="W323" s="402">
        <f t="shared" si="111"/>
        <v>16.986521017832569</v>
      </c>
      <c r="X323" s="157">
        <f t="shared" si="112"/>
        <v>46696</v>
      </c>
      <c r="Y323" s="385">
        <f t="shared" si="113"/>
        <v>14.77080134070774</v>
      </c>
      <c r="Z323" s="385">
        <f t="shared" si="114"/>
        <v>15.943120749903974</v>
      </c>
      <c r="AA323" s="386">
        <f t="shared" si="115"/>
        <v>17.955289605890137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0.11206551941808178</v>
      </c>
      <c r="AD323" s="231">
        <f>(INDEX(Models!$BJ323:$BT323,,AH323)*(1-AF323)+INDEX(Models!$BJ323:$BT323,,AH323+1)*AF323-ERP_i)*AE323*Ramure*Pc/MaxiM</f>
        <v>0.10110976571261346</v>
      </c>
      <c r="AE323" s="305">
        <f t="shared" si="117"/>
        <v>0.7</v>
      </c>
      <c r="AF323" s="177">
        <f t="shared" si="118"/>
        <v>9.9024422816557323E-2</v>
      </c>
      <c r="AG323" s="817">
        <f t="shared" si="124"/>
        <v>2</v>
      </c>
      <c r="AH323" s="176">
        <f t="shared" si="119"/>
        <v>8</v>
      </c>
      <c r="AI323" s="225">
        <f t="shared" si="120"/>
        <v>2.0990244228165573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46697</v>
      </c>
      <c r="B324" s="411">
        <f>'2026'!Wh/'2026'!Env_an*'2027'!Env_an</f>
        <v>16.17539934870112</v>
      </c>
      <c r="C324" s="846"/>
      <c r="D324" s="393">
        <f t="shared" si="102"/>
        <v>17.45958039392486</v>
      </c>
      <c r="E324" s="385">
        <f t="shared" si="125"/>
        <v>18.332672719667016</v>
      </c>
      <c r="F324" s="385">
        <f t="shared" si="103"/>
        <v>19.025572278368006</v>
      </c>
      <c r="G324" s="110">
        <f t="shared" si="126"/>
        <v>0.98773832482166191</v>
      </c>
      <c r="H324" s="414" t="b">
        <f>Wh_hp&gt;='2026'!Maxi_hp</f>
        <v>0</v>
      </c>
      <c r="I324" s="390">
        <f>IF(H324,Wh_hp,'2026'!Maxi_hp)</f>
        <v>19.034017394824041</v>
      </c>
      <c r="J324" s="85">
        <f>IF(H324,An,'2026'!An_max)</f>
        <v>2025</v>
      </c>
      <c r="K324" s="197">
        <f t="shared" si="104"/>
        <v>46697</v>
      </c>
      <c r="L324" s="147">
        <f>IF(t&lt;Tvie,1-EXP((T0-t)*PertePVj)+'2026'!Pspv,1-EXP((T0-t)*PertePVj)+Pspv)</f>
        <v>7.3551655666969862E-2</v>
      </c>
      <c r="M324" s="850"/>
      <c r="N324" s="850"/>
      <c r="O324" s="48">
        <f>IF(t&lt;Tnet,'2026'!Resal+('2026'!Salim-'2026'!Resal)*(1-EXP(('2026'!Tnet-t)/('2026'!Tau_j))),Resal+(Salim-Resal)*(1-EXP((Tnet-t)/(Tau_j))))*Salcycl</f>
        <v>4.7624933859508493E-2</v>
      </c>
      <c r="P324" s="169">
        <f>(INDEX(Models!$BJ324:$BT324,,T324)*(1-R324)+INDEX(Models!$BJ324:$BT324,,T324+1)*R324-ERP_i)*Q324*Ramure*Pc/MaxiM</f>
        <v>3.703471307672191E-2</v>
      </c>
      <c r="Q324" s="305">
        <f t="shared" si="105"/>
        <v>0.7</v>
      </c>
      <c r="R324" s="177">
        <f t="shared" si="106"/>
        <v>0.47520689080497047</v>
      </c>
      <c r="S324" s="817">
        <f t="shared" si="107"/>
        <v>-1</v>
      </c>
      <c r="T324" s="176">
        <f t="shared" si="108"/>
        <v>5</v>
      </c>
      <c r="U324" s="251">
        <f t="shared" si="109"/>
        <v>-0.52479310919502953</v>
      </c>
      <c r="V324" s="383">
        <f t="shared" si="110"/>
        <v>16.365741313043358</v>
      </c>
      <c r="W324" s="402">
        <f t="shared" si="111"/>
        <v>16.17539934870112</v>
      </c>
      <c r="X324" s="157">
        <f t="shared" si="112"/>
        <v>46697</v>
      </c>
      <c r="Y324" s="385">
        <f t="shared" si="113"/>
        <v>14.088573596288224</v>
      </c>
      <c r="Z324" s="385">
        <f t="shared" si="114"/>
        <v>15.207079469099691</v>
      </c>
      <c r="AA324" s="386">
        <f t="shared" si="115"/>
        <v>17.125829988896367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0.11203839586406672</v>
      </c>
      <c r="AD324" s="231">
        <f>(INDEX(Models!$BJ324:$BT324,,AH324)*(1-AF324)+INDEX(Models!$BJ324:$BT324,,AH324+1)*AF324-ERP_i)*AE324*Ramure*Pc/MaxiM</f>
        <v>0.10153911880417027</v>
      </c>
      <c r="AE324" s="305">
        <f t="shared" si="117"/>
        <v>0.7</v>
      </c>
      <c r="AF324" s="177">
        <f t="shared" si="118"/>
        <v>9.9070260181026271E-2</v>
      </c>
      <c r="AG324" s="817">
        <f t="shared" si="124"/>
        <v>2</v>
      </c>
      <c r="AH324" s="176">
        <f t="shared" si="119"/>
        <v>8</v>
      </c>
      <c r="AI324" s="225">
        <f t="shared" si="120"/>
        <v>2.0990702601810263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46698</v>
      </c>
      <c r="B325" s="411">
        <f>'2026'!Wh/'2026'!Env_an*'2027'!Env_an</f>
        <v>15.526645067779008</v>
      </c>
      <c r="C325" s="846"/>
      <c r="D325" s="393">
        <f t="shared" si="102"/>
        <v>16.759687945452505</v>
      </c>
      <c r="E325" s="385">
        <f t="shared" si="125"/>
        <v>17.599744320166895</v>
      </c>
      <c r="F325" s="385">
        <f t="shared" si="103"/>
        <v>18.255501377071671</v>
      </c>
      <c r="G325" s="110">
        <f t="shared" si="126"/>
        <v>0.96500702442756492</v>
      </c>
      <c r="H325" s="414" t="b">
        <f>Wh_hp&gt;='2026'!Maxi_hp</f>
        <v>0</v>
      </c>
      <c r="I325" s="390">
        <f>IF(H325,Wh_hp,'2026'!Maxi_hp)</f>
        <v>18.279011260916313</v>
      </c>
      <c r="J325" s="85">
        <f>IF(H325,An,'2026'!An_max)</f>
        <v>2025</v>
      </c>
      <c r="K325" s="197">
        <f t="shared" si="104"/>
        <v>46698</v>
      </c>
      <c r="L325" s="147">
        <f>IF(t&lt;Tvie,1-EXP((T0-t)*PertePVj)+'2026'!Pspv,1-EXP((T0-t)*PertePVj)+Pspv)</f>
        <v>7.3571947263377679E-2</v>
      </c>
      <c r="M325" s="850"/>
      <c r="N325" s="850"/>
      <c r="O325" s="48">
        <f>IF(t&lt;Tnet,'2026'!Resal+('2026'!Salim-'2026'!Resal)*(1-EXP(('2026'!Tnet-t)/('2026'!Tau_j))),Resal+(Salim-Resal)*(1-EXP((Tnet-t)/(Tau_j))))*Salcycl</f>
        <v>4.7731169239305461E-2</v>
      </c>
      <c r="P325" s="169">
        <f>(INDEX(Models!$BJ325:$BT325,,T325)*(1-R325)+INDEX(Models!$BJ325:$BT325,,T325+1)*R325-ERP_i)*Q325*Ramure*Pc/MaxiM</f>
        <v>3.7709545344676083E-2</v>
      </c>
      <c r="Q325" s="305">
        <f t="shared" si="105"/>
        <v>0.7</v>
      </c>
      <c r="R325" s="177">
        <f t="shared" si="106"/>
        <v>0.47525089053264158</v>
      </c>
      <c r="S325" s="817">
        <f t="shared" si="107"/>
        <v>-1</v>
      </c>
      <c r="T325" s="176">
        <f t="shared" si="108"/>
        <v>5</v>
      </c>
      <c r="U325" s="251">
        <f t="shared" si="109"/>
        <v>-0.52474910946735842</v>
      </c>
      <c r="V325" s="383">
        <f t="shared" si="110"/>
        <v>16.059822279907589</v>
      </c>
      <c r="W325" s="402">
        <f t="shared" si="111"/>
        <v>15.526645067779008</v>
      </c>
      <c r="X325" s="157">
        <f t="shared" si="112"/>
        <v>46698</v>
      </c>
      <c r="Y325" s="385">
        <f t="shared" si="113"/>
        <v>13.559484074853669</v>
      </c>
      <c r="Z325" s="385">
        <f t="shared" si="114"/>
        <v>14.636305576887086</v>
      </c>
      <c r="AA325" s="386">
        <f t="shared" si="115"/>
        <v>16.482542593266793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0.1120116636091026</v>
      </c>
      <c r="AD325" s="231">
        <f>(INDEX(Models!$BJ325:$BT325,,AH325)*(1-AF325)+INDEX(Models!$BJ325:$BT325,,AH325+1)*AF325-ERP_i)*AE325*Ramure*Pc/MaxiM</f>
        <v>0.10195463235684299</v>
      </c>
      <c r="AE325" s="305">
        <f t="shared" si="117"/>
        <v>0.7</v>
      </c>
      <c r="AF325" s="177">
        <f t="shared" si="118"/>
        <v>9.9114259908697377E-2</v>
      </c>
      <c r="AG325" s="817">
        <f t="shared" si="124"/>
        <v>2</v>
      </c>
      <c r="AH325" s="176">
        <f t="shared" si="119"/>
        <v>8</v>
      </c>
      <c r="AI325" s="225">
        <f t="shared" si="120"/>
        <v>2.0991142599086974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46699</v>
      </c>
      <c r="B326" s="411">
        <f>'2026'!Wh/'2026'!Env_an*'2027'!Env_an</f>
        <v>11.31012465785677</v>
      </c>
      <c r="C326" s="846"/>
      <c r="D326" s="393">
        <f t="shared" si="102"/>
        <v>12.208581498184355</v>
      </c>
      <c r="E326" s="385">
        <f t="shared" si="125"/>
        <v>12.82194887137803</v>
      </c>
      <c r="F326" s="385">
        <f t="shared" si="103"/>
        <v>13.122117857135043</v>
      </c>
      <c r="G326" s="110">
        <f t="shared" si="126"/>
        <v>0.70626507526959137</v>
      </c>
      <c r="H326" s="414" t="b">
        <f>Wh_hp&gt;='2026'!Maxi_hp</f>
        <v>0</v>
      </c>
      <c r="I326" s="390">
        <f>IF(H326,Wh_hp,'2026'!Maxi_hp)</f>
        <v>16.798255579370284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7.3592238415347566E-2</v>
      </c>
      <c r="M326" s="850"/>
      <c r="N326" s="850"/>
      <c r="O326" s="48">
        <f>IF(t&lt;Tnet,'2026'!Resal+('2026'!Salim-'2026'!Resal)*(1-EXP(('2026'!Tnet-t)/('2026'!Tau_j))),Resal+(Salim-Resal)*(1-EXP((Tnet-t)/(Tau_j))))*Salcycl</f>
        <v>4.7837296759377382E-2</v>
      </c>
      <c r="P326" s="169">
        <f>(INDEX(Models!$BJ326:$BT326,,T326)*(1-R326)+INDEX(Models!$BJ326:$BT326,,T326+1)*R326-ERP_i)*Q326*Ramure*Pc/MaxiM</f>
        <v>3.8341942974795859E-2</v>
      </c>
      <c r="Q326" s="305">
        <f t="shared" si="105"/>
        <v>0.7</v>
      </c>
      <c r="R326" s="177">
        <f t="shared" si="106"/>
        <v>0.47529312599000761</v>
      </c>
      <c r="S326" s="817">
        <f t="shared" si="107"/>
        <v>-1</v>
      </c>
      <c r="T326" s="176">
        <f t="shared" si="108"/>
        <v>5</v>
      </c>
      <c r="U326" s="251">
        <f t="shared" si="109"/>
        <v>-0.52470687400999239</v>
      </c>
      <c r="V326" s="383">
        <f t="shared" si="110"/>
        <v>15.760508610909113</v>
      </c>
      <c r="W326" s="402">
        <f t="shared" si="111"/>
        <v>11.31012465785677</v>
      </c>
      <c r="X326" s="157">
        <f t="shared" si="112"/>
        <v>46699</v>
      </c>
      <c r="Y326" s="385">
        <f t="shared" si="113"/>
        <v>10.135939663965139</v>
      </c>
      <c r="Z326" s="385">
        <f t="shared" si="114"/>
        <v>10.941121268918629</v>
      </c>
      <c r="AA326" s="386">
        <f t="shared" si="115"/>
        <v>12.32088046988595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0.11198543840593662</v>
      </c>
      <c r="AD326" s="231">
        <f>(INDEX(Models!$BJ326:$BT326,,AH326)*(1-AF326)+INDEX(Models!$BJ326:$BT326,,AH326+1)*AF326-ERP_i)*AE326*Ramure*Pc/MaxiM</f>
        <v>0.10234567749796682</v>
      </c>
      <c r="AE326" s="305">
        <f t="shared" si="117"/>
        <v>0.7</v>
      </c>
      <c r="AF326" s="177">
        <f t="shared" si="118"/>
        <v>9.9156495366063524E-2</v>
      </c>
      <c r="AG326" s="817">
        <f t="shared" si="124"/>
        <v>2</v>
      </c>
      <c r="AH326" s="176">
        <f t="shared" si="119"/>
        <v>8</v>
      </c>
      <c r="AI326" s="225">
        <f t="shared" si="120"/>
        <v>2.0991564953660635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46700</v>
      </c>
      <c r="B327" s="411">
        <f>'2026'!Wh/'2026'!Env_an*'2027'!Env_an</f>
        <v>6.2654628589737049</v>
      </c>
      <c r="C327" s="846"/>
      <c r="D327" s="393">
        <f t="shared" si="102"/>
        <v>6.7633285811189952</v>
      </c>
      <c r="E327" s="385">
        <f t="shared" si="125"/>
        <v>7.1039141508234884</v>
      </c>
      <c r="F327" s="385">
        <f t="shared" si="103"/>
        <v>7.1456456823998691</v>
      </c>
      <c r="G327" s="110">
        <f t="shared" si="126"/>
        <v>0.39154411306441017</v>
      </c>
      <c r="H327" s="414" t="b">
        <f>Wh_hp&gt;='2026'!Maxi_hp</f>
        <v>0</v>
      </c>
      <c r="I327" s="390">
        <f>IF(H327,Wh_hp,'2026'!Maxi_hp)</f>
        <v>13.987292778156712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7.361252912288907E-2</v>
      </c>
      <c r="M327" s="850"/>
      <c r="N327" s="850"/>
      <c r="O327" s="48">
        <f>IF(t&lt;Tnet,'2026'!Resal+('2026'!Salim-'2026'!Resal)*(1-EXP(('2026'!Tnet-t)/('2026'!Tau_j))),Resal+(Salim-Resal)*(1-EXP((Tnet-t)/(Tau_j))))*Salcycl</f>
        <v>4.7943367905848452E-2</v>
      </c>
      <c r="P327" s="169">
        <f>(INDEX(Models!$BJ327:$BT327,,T327)*(1-R327)+INDEX(Models!$BJ327:$BT327,,T327+1)*R327-ERP_i)*Q327*Ramure*Pc/MaxiM</f>
        <v>3.8925620465178126E-2</v>
      </c>
      <c r="Q327" s="305">
        <f t="shared" si="105"/>
        <v>0.7</v>
      </c>
      <c r="R327" s="177">
        <f t="shared" si="106"/>
        <v>0.47533366763847718</v>
      </c>
      <c r="S327" s="817">
        <f t="shared" si="107"/>
        <v>-1</v>
      </c>
      <c r="T327" s="176">
        <f t="shared" si="108"/>
        <v>5</v>
      </c>
      <c r="U327" s="251">
        <f t="shared" si="109"/>
        <v>-0.52466633236152282</v>
      </c>
      <c r="V327" s="383">
        <f t="shared" si="110"/>
        <v>15.46939163553774</v>
      </c>
      <c r="W327" s="402">
        <f t="shared" si="111"/>
        <v>6.2654628589737049</v>
      </c>
      <c r="X327" s="157">
        <f t="shared" si="112"/>
        <v>46700</v>
      </c>
      <c r="Y327" s="385">
        <f t="shared" si="113"/>
        <v>5.7879242244153835</v>
      </c>
      <c r="Z327" s="385">
        <f t="shared" si="114"/>
        <v>6.2478438087416395</v>
      </c>
      <c r="AA327" s="386">
        <f t="shared" si="115"/>
        <v>7.0355419169626066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0.11195983444030615</v>
      </c>
      <c r="AD327" s="231">
        <f>(INDEX(Models!$BJ327:$BT327,,AH327)*(1-AF327)+INDEX(Models!$BJ327:$BT327,,AH327+1)*AF327-ERP_i)*AE327*Ramure*Pc/MaxiM</f>
        <v>0.10270069713002461</v>
      </c>
      <c r="AE327" s="305">
        <f t="shared" si="117"/>
        <v>0.7</v>
      </c>
      <c r="AF327" s="177">
        <f t="shared" si="118"/>
        <v>9.9197037014532974E-2</v>
      </c>
      <c r="AG327" s="817">
        <f t="shared" si="124"/>
        <v>2</v>
      </c>
      <c r="AH327" s="176">
        <f t="shared" si="119"/>
        <v>8</v>
      </c>
      <c r="AI327" s="225">
        <f t="shared" si="120"/>
        <v>2.099197037014533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46701</v>
      </c>
      <c r="B328" s="411">
        <f>'2026'!Wh/'2026'!Env_an*'2027'!Env_an</f>
        <v>12.023125751965882</v>
      </c>
      <c r="C328" s="846"/>
      <c r="D328" s="393">
        <f t="shared" si="102"/>
        <v>12.978790703700298</v>
      </c>
      <c r="E328" s="385">
        <f t="shared" si="125"/>
        <v>13.633891468289361</v>
      </c>
      <c r="F328" s="385">
        <f t="shared" si="103"/>
        <v>14.022435212987268</v>
      </c>
      <c r="G328" s="110">
        <f t="shared" si="126"/>
        <v>0.78205435406927826</v>
      </c>
      <c r="H328" s="414" t="b">
        <f>Wh_hp&gt;='2026'!Maxi_hp</f>
        <v>0</v>
      </c>
      <c r="I328" s="390">
        <f>IF(H328,Wh_hp,'2026'!Maxi_hp)</f>
        <v>14.140247033170127</v>
      </c>
      <c r="J328" s="85">
        <f>IF(H328,An,'2026'!An_max)</f>
        <v>2025</v>
      </c>
      <c r="K328" s="197">
        <f t="shared" si="104"/>
        <v>46701</v>
      </c>
      <c r="L328" s="147">
        <f>IF(t&lt;Tvie,1-EXP((T0-t)*PertePVj)+'2026'!Pspv,1-EXP((T0-t)*PertePVj)+Pspv)</f>
        <v>7.3632819386012072E-2</v>
      </c>
      <c r="M328" s="850"/>
      <c r="N328" s="850"/>
      <c r="O328" s="48">
        <f>IF(t&lt;Tnet,'2026'!Resal+('2026'!Salim-'2026'!Resal)*(1-EXP(('2026'!Tnet-t)/('2026'!Tau_j))),Resal+(Salim-Resal)*(1-EXP((Tnet-t)/(Tau_j))))*Salcycl</f>
        <v>4.8049433730108629E-2</v>
      </c>
      <c r="P328" s="169">
        <f>(INDEX(Models!$BJ328:$BT328,,T328)*(1-R328)+INDEX(Models!$BJ328:$BT328,,T328+1)*R328-ERP_i)*Q328*Ramure*Pc/MaxiM</f>
        <v>3.945370248010286E-2</v>
      </c>
      <c r="Q328" s="305">
        <f t="shared" si="105"/>
        <v>0.7</v>
      </c>
      <c r="R328" s="177">
        <f t="shared" si="106"/>
        <v>0.4753725831475123</v>
      </c>
      <c r="S328" s="817">
        <f t="shared" si="107"/>
        <v>-1</v>
      </c>
      <c r="T328" s="176">
        <f t="shared" si="108"/>
        <v>5</v>
      </c>
      <c r="U328" s="251">
        <f t="shared" si="109"/>
        <v>-0.5246274168524877</v>
      </c>
      <c r="V328" s="383">
        <f t="shared" si="110"/>
        <v>15.188062064358814</v>
      </c>
      <c r="W328" s="402">
        <f t="shared" si="111"/>
        <v>12.023125751965882</v>
      </c>
      <c r="X328" s="157">
        <f t="shared" si="112"/>
        <v>46701</v>
      </c>
      <c r="Y328" s="385">
        <f t="shared" si="113"/>
        <v>10.701356187383269</v>
      </c>
      <c r="Z328" s="385">
        <f t="shared" si="114"/>
        <v>11.551959537567496</v>
      </c>
      <c r="AA328" s="386">
        <f t="shared" si="115"/>
        <v>13.008010750002688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0.11193496380181656</v>
      </c>
      <c r="AD328" s="231">
        <f>(INDEX(Models!$BJ328:$BT328,,AH328)*(1-AF328)+INDEX(Models!$BJ328:$BT328,,AH328+1)*AF328-ERP_i)*AE328*Ramure*Pc/MaxiM</f>
        <v>0.10300719416355426</v>
      </c>
      <c r="AE328" s="305">
        <f t="shared" si="117"/>
        <v>0.7</v>
      </c>
      <c r="AF328" s="177">
        <f t="shared" si="118"/>
        <v>9.9235952523568205E-2</v>
      </c>
      <c r="AG328" s="817">
        <f t="shared" si="124"/>
        <v>2</v>
      </c>
      <c r="AH328" s="176">
        <f t="shared" si="119"/>
        <v>8</v>
      </c>
      <c r="AI328" s="225">
        <f t="shared" si="120"/>
        <v>2.0992359525235682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46702</v>
      </c>
      <c r="B329" s="411">
        <f>'2026'!Wh/'2026'!Env_an*'2027'!Env_an</f>
        <v>14.006884357265571</v>
      </c>
      <c r="C329" s="846"/>
      <c r="D329" s="393">
        <f t="shared" si="102"/>
        <v>15.120560663015327</v>
      </c>
      <c r="E329" s="385">
        <f t="shared" si="125"/>
        <v>15.885537366339696</v>
      </c>
      <c r="F329" s="385">
        <f t="shared" si="103"/>
        <v>16.486220280164375</v>
      </c>
      <c r="G329" s="110">
        <f t="shared" si="126"/>
        <v>0.93552395077252259</v>
      </c>
      <c r="H329" s="414" t="b">
        <f>Wh_hp&gt;='2026'!Maxi_hp</f>
        <v>0</v>
      </c>
      <c r="I329" s="390">
        <f>IF(H329,Wh_hp,'2026'!Maxi_hp)</f>
        <v>16.527373461334747</v>
      </c>
      <c r="J329" s="85">
        <f>IF(H329,An,'2026'!An_max)</f>
        <v>2025</v>
      </c>
      <c r="K329" s="197">
        <f t="shared" si="104"/>
        <v>46702</v>
      </c>
      <c r="L329" s="147">
        <f>IF(t&lt;Tvie,1-EXP((T0-t)*PertePVj)+'2026'!Pspv,1-EXP((T0-t)*PertePVj)+Pspv)</f>
        <v>7.365310920472623E-2</v>
      </c>
      <c r="M329" s="850"/>
      <c r="N329" s="850"/>
      <c r="O329" s="48">
        <f>IF(t&lt;Tnet,'2026'!Resal+('2026'!Salim-'2026'!Resal)*(1-EXP(('2026'!Tnet-t)/('2026'!Tau_j))),Resal+(Salim-Resal)*(1-EXP((Tnet-t)/(Tau_j))))*Salcycl</f>
        <v>4.8155544611622511E-2</v>
      </c>
      <c r="P329" s="169">
        <f>(INDEX(Models!$BJ329:$BT329,,T329)*(1-R329)+INDEX(Models!$BJ329:$BT329,,T329+1)*R329-ERP_i)*Q329*Ramure*Pc/MaxiM</f>
        <v>3.9918755313135837E-2</v>
      </c>
      <c r="Q329" s="305">
        <f t="shared" si="105"/>
        <v>0.7</v>
      </c>
      <c r="R329" s="177">
        <f t="shared" si="106"/>
        <v>0.47540993750350946</v>
      </c>
      <c r="S329" s="817">
        <f t="shared" si="107"/>
        <v>-1</v>
      </c>
      <c r="T329" s="176">
        <f t="shared" si="108"/>
        <v>5</v>
      </c>
      <c r="U329" s="251">
        <f t="shared" si="109"/>
        <v>-0.52459006249649054</v>
      </c>
      <c r="V329" s="383">
        <f t="shared" si="110"/>
        <v>14.918110036387143</v>
      </c>
      <c r="W329" s="402">
        <f t="shared" si="111"/>
        <v>14.006884357265571</v>
      </c>
      <c r="X329" s="157">
        <f t="shared" si="112"/>
        <v>46702</v>
      </c>
      <c r="Y329" s="385">
        <f t="shared" si="113"/>
        <v>12.284668318620694</v>
      </c>
      <c r="Z329" s="385">
        <f t="shared" si="114"/>
        <v>13.261412588187392</v>
      </c>
      <c r="AA329" s="386">
        <f t="shared" si="115"/>
        <v>14.932525492345537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0.11191093596423213</v>
      </c>
      <c r="AD329" s="231">
        <f>(INDEX(Models!$BJ329:$BT329,,AH329)*(1-AF329)+INDEX(Models!$BJ329:$BT329,,AH329+1)*AF329-ERP_i)*AE329*Ramure*Pc/MaxiM</f>
        <v>0.10325175003119379</v>
      </c>
      <c r="AE329" s="305">
        <f t="shared" si="117"/>
        <v>0.7</v>
      </c>
      <c r="AF329" s="177">
        <f t="shared" si="118"/>
        <v>9.9273306879565482E-2</v>
      </c>
      <c r="AG329" s="817">
        <f t="shared" si="124"/>
        <v>2</v>
      </c>
      <c r="AH329" s="176">
        <f t="shared" si="119"/>
        <v>8</v>
      </c>
      <c r="AI329" s="225">
        <f t="shared" si="120"/>
        <v>2.0992733068795655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46703</v>
      </c>
      <c r="B330" s="411">
        <f>'2026'!Wh/'2026'!Env_an*'2027'!Env_an</f>
        <v>13.798229551543264</v>
      </c>
      <c r="C330" s="846"/>
      <c r="D330" s="393">
        <f t="shared" si="102"/>
        <v>14.895642131379118</v>
      </c>
      <c r="E330" s="385">
        <f t="shared" si="125"/>
        <v>15.650986110669526</v>
      </c>
      <c r="F330" s="385">
        <f t="shared" si="103"/>
        <v>16.251028295672565</v>
      </c>
      <c r="G330" s="110">
        <f t="shared" si="126"/>
        <v>0.93783165655556844</v>
      </c>
      <c r="H330" s="414" t="b">
        <f>Wh_hp&gt;='2026'!Maxi_hp</f>
        <v>0</v>
      </c>
      <c r="I330" s="390">
        <f>IF(H330,Wh_hp,'2026'!Maxi_hp)</f>
        <v>16.290472965777397</v>
      </c>
      <c r="J330" s="85">
        <f>IF(H330,An,'2026'!An_max)</f>
        <v>2025</v>
      </c>
      <c r="K330" s="197">
        <f t="shared" si="104"/>
        <v>46703</v>
      </c>
      <c r="L330" s="147">
        <f>IF(t&lt;Tvie,1-EXP((T0-t)*PertePVj)+'2026'!Pspv,1-EXP((T0-t)*PertePVj)+Pspv)</f>
        <v>7.3673398579041316E-2</v>
      </c>
      <c r="M330" s="850"/>
      <c r="N330" s="850"/>
      <c r="O330" s="48">
        <f>IF(t&lt;Tnet,'2026'!Resal+('2026'!Salim-'2026'!Resal)*(1-EXP(('2026'!Tnet-t)/('2026'!Tau_j))),Resal+(Salim-Resal)*(1-EXP((Tnet-t)/(Tau_j))))*Salcycl</f>
        <v>4.8261750023244676E-2</v>
      </c>
      <c r="P330" s="169">
        <f>(INDEX(Models!$BJ330:$BT330,,T330)*(1-R330)+INDEX(Models!$BJ330:$BT330,,T330+1)*R330-ERP_i)*Q330*Ramure*Pc/MaxiM</f>
        <v>4.0312841845980781E-2</v>
      </c>
      <c r="Q330" s="305">
        <f t="shared" si="105"/>
        <v>0.7</v>
      </c>
      <c r="R330" s="177">
        <f t="shared" si="106"/>
        <v>0.47544579311457258</v>
      </c>
      <c r="S330" s="817">
        <f t="shared" si="107"/>
        <v>-1</v>
      </c>
      <c r="T330" s="176">
        <f t="shared" si="108"/>
        <v>5</v>
      </c>
      <c r="U330" s="251">
        <f t="shared" si="109"/>
        <v>-0.52455420688542742</v>
      </c>
      <c r="V330" s="383">
        <f t="shared" si="110"/>
        <v>14.661125161539999</v>
      </c>
      <c r="W330" s="402">
        <f t="shared" si="111"/>
        <v>13.798229551543264</v>
      </c>
      <c r="X330" s="157">
        <f t="shared" si="112"/>
        <v>46703</v>
      </c>
      <c r="Y330" s="385">
        <f t="shared" si="113"/>
        <v>12.103014390540315</v>
      </c>
      <c r="Z330" s="385">
        <f t="shared" si="114"/>
        <v>13.065601670053127</v>
      </c>
      <c r="AA330" s="386">
        <f t="shared" si="115"/>
        <v>14.711657505347041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0.11188785727887202</v>
      </c>
      <c r="AD330" s="231">
        <f>(INDEX(Models!$BJ330:$BT330,,AH330)*(1-AF330)+INDEX(Models!$BJ330:$BT330,,AH330+1)*AF330-ERP_i)*AE330*Ramure*Pc/MaxiM</f>
        <v>0.10342008072715901</v>
      </c>
      <c r="AE330" s="305">
        <f t="shared" si="117"/>
        <v>0.7</v>
      </c>
      <c r="AF330" s="177">
        <f t="shared" si="118"/>
        <v>9.9309162490628822E-2</v>
      </c>
      <c r="AG330" s="817">
        <f t="shared" si="124"/>
        <v>2</v>
      </c>
      <c r="AH330" s="176">
        <f t="shared" si="119"/>
        <v>8</v>
      </c>
      <c r="AI330" s="225">
        <f t="shared" si="120"/>
        <v>2.0993091624906288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46704</v>
      </c>
      <c r="B331" s="411">
        <f>'2026'!Wh/'2026'!Env_an*'2027'!Env_an</f>
        <v>13.818828112225228</v>
      </c>
      <c r="C331" s="846"/>
      <c r="D331" s="393">
        <f t="shared" si="102"/>
        <v>14.918205701376994</v>
      </c>
      <c r="E331" s="385">
        <f t="shared" si="125"/>
        <v>15.676445561291466</v>
      </c>
      <c r="F331" s="385">
        <f t="shared" si="103"/>
        <v>16.299724802871484</v>
      </c>
      <c r="G331" s="110">
        <f t="shared" si="126"/>
        <v>0.95627101320358909</v>
      </c>
      <c r="H331" s="414" t="b">
        <f>Wh_hp&gt;='2026'!Maxi_hp</f>
        <v>0</v>
      </c>
      <c r="I331" s="390">
        <f>IF(H331,Wh_hp,'2026'!Maxi_hp)</f>
        <v>17.166565954887307</v>
      </c>
      <c r="J331" s="85">
        <f>IF(H331,An,'2026'!An_max)</f>
        <v>2020</v>
      </c>
      <c r="K331" s="197">
        <f t="shared" si="104"/>
        <v>46704</v>
      </c>
      <c r="L331" s="147">
        <f>IF(t&lt;Tvie,1-EXP((T0-t)*PertePVj)+'2026'!Pspv,1-EXP((T0-t)*PertePVj)+Pspv)</f>
        <v>7.3693687508966987E-2</v>
      </c>
      <c r="M331" s="850"/>
      <c r="N331" s="850"/>
      <c r="O331" s="48">
        <f>IF(t&lt;Tnet,'2026'!Resal+('2026'!Salim-'2026'!Resal)*(1-EXP(('2026'!Tnet-t)/('2026'!Tau_j))),Resal+(Salim-Resal)*(1-EXP((Tnet-t)/(Tau_j))))*Salcycl</f>
        <v>4.8368098300722501E-2</v>
      </c>
      <c r="P331" s="169">
        <f>(INDEX(Models!$BJ331:$BT331,,T331)*(1-R331)+INDEX(Models!$BJ331:$BT331,,T331+1)*R331-ERP_i)*Q331*Ramure*Pc/MaxiM</f>
        <v>4.0638446853783761E-2</v>
      </c>
      <c r="Q331" s="305">
        <f t="shared" si="105"/>
        <v>0.7</v>
      </c>
      <c r="R331" s="177">
        <f t="shared" si="106"/>
        <v>0.47548020991132334</v>
      </c>
      <c r="S331" s="817">
        <f t="shared" si="107"/>
        <v>-1</v>
      </c>
      <c r="T331" s="176">
        <f t="shared" si="108"/>
        <v>5</v>
      </c>
      <c r="U331" s="251">
        <f t="shared" si="109"/>
        <v>-0.52451979008867666</v>
      </c>
      <c r="V331" s="383">
        <f t="shared" si="110"/>
        <v>14.41468667020953</v>
      </c>
      <c r="W331" s="402">
        <f t="shared" si="111"/>
        <v>13.818828112225228</v>
      </c>
      <c r="X331" s="157">
        <f t="shared" si="112"/>
        <v>46704</v>
      </c>
      <c r="Y331" s="385">
        <f t="shared" si="113"/>
        <v>12.103287449140653</v>
      </c>
      <c r="Z331" s="385">
        <f t="shared" si="114"/>
        <v>13.066182628716371</v>
      </c>
      <c r="AA331" s="386">
        <f t="shared" si="115"/>
        <v>14.711946772465213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0.11186583048472167</v>
      </c>
      <c r="AD331" s="231">
        <f>(INDEX(Models!$BJ331:$BT331,,AH331)*(1-AF331)+INDEX(Models!$BJ331:$BT331,,AH331+1)*AF331-ERP_i)*AE331*Ramure*Pc/MaxiM</f>
        <v>0.10352475872724351</v>
      </c>
      <c r="AE331" s="305">
        <f t="shared" si="117"/>
        <v>0.7</v>
      </c>
      <c r="AF331" s="177">
        <f t="shared" si="118"/>
        <v>9.9343579287379136E-2</v>
      </c>
      <c r="AG331" s="817">
        <f t="shared" si="124"/>
        <v>2</v>
      </c>
      <c r="AH331" s="176">
        <f t="shared" si="119"/>
        <v>8</v>
      </c>
      <c r="AI331" s="225">
        <f t="shared" si="120"/>
        <v>2.0993435792873791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46705</v>
      </c>
      <c r="B332" s="411">
        <f>'2026'!Wh/'2026'!Env_an*'2027'!Env_an</f>
        <v>6.2113679140831017</v>
      </c>
      <c r="C332" s="846"/>
      <c r="D332" s="393">
        <f t="shared" si="102"/>
        <v>6.7056694726145496</v>
      </c>
      <c r="E332" s="385">
        <f t="shared" si="125"/>
        <v>7.0472840023638552</v>
      </c>
      <c r="F332" s="385">
        <f t="shared" si="103"/>
        <v>7.1046492247469519</v>
      </c>
      <c r="G332" s="110">
        <f t="shared" si="126"/>
        <v>0.42368082159371123</v>
      </c>
      <c r="H332" s="414" t="b">
        <f>Wh_hp&gt;='2026'!Maxi_hp</f>
        <v>0</v>
      </c>
      <c r="I332" s="390">
        <f>IF(H332,Wh_hp,'2026'!Maxi_hp)</f>
        <v>12.052084330395068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7.3713975994513015E-2</v>
      </c>
      <c r="M332" s="850"/>
      <c r="N332" s="850"/>
      <c r="O332" s="48">
        <f>IF(t&lt;Tnet,'2026'!Resal+('2026'!Salim-'2026'!Resal)*(1-EXP(('2026'!Tnet-t)/('2026'!Tau_j))),Resal+(Salim-Resal)*(1-EXP((Tnet-t)/(Tau_j))))*Salcycl</f>
        <v>4.84746364180468E-2</v>
      </c>
      <c r="P332" s="169">
        <f>(INDEX(Models!$BJ332:$BT332,,T332)*(1-R332)+INDEX(Models!$BJ332:$BT332,,T332+1)*R332-ERP_i)*Q332*Ramure*Pc/MaxiM</f>
        <v>4.0902558340337139E-2</v>
      </c>
      <c r="Q332" s="305">
        <f t="shared" si="105"/>
        <v>0.7</v>
      </c>
      <c r="R332" s="177">
        <f t="shared" si="106"/>
        <v>0.47551324544388507</v>
      </c>
      <c r="S332" s="817">
        <f t="shared" si="107"/>
        <v>-1</v>
      </c>
      <c r="T332" s="176">
        <f t="shared" si="108"/>
        <v>5</v>
      </c>
      <c r="U332" s="251">
        <f t="shared" si="109"/>
        <v>-0.52448675455611493</v>
      </c>
      <c r="V332" s="383">
        <f t="shared" si="110"/>
        <v>14.175293118245738</v>
      </c>
      <c r="W332" s="402">
        <f t="shared" si="111"/>
        <v>6.2113679140831017</v>
      </c>
      <c r="X332" s="157">
        <f t="shared" si="112"/>
        <v>46705</v>
      </c>
      <c r="Y332" s="385">
        <f t="shared" si="113"/>
        <v>5.7253918547406659</v>
      </c>
      <c r="Z332" s="385">
        <f t="shared" si="114"/>
        <v>6.1810193680594177</v>
      </c>
      <c r="AA332" s="386">
        <f t="shared" si="115"/>
        <v>6.9593922790379592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0.11184495423875439</v>
      </c>
      <c r="AD332" s="231">
        <f>(INDEX(Models!$BJ332:$BT332,,AH332)*(1-AF332)+INDEX(Models!$BJ332:$BT332,,AH332+1)*AF332-ERP_i)*AE332*Ramure*Pc/MaxiM</f>
        <v>0.10357112636160458</v>
      </c>
      <c r="AE332" s="305">
        <f t="shared" si="117"/>
        <v>0.7</v>
      </c>
      <c r="AF332" s="177">
        <f t="shared" si="118"/>
        <v>9.9376614819941089E-2</v>
      </c>
      <c r="AG332" s="817">
        <f t="shared" si="124"/>
        <v>2</v>
      </c>
      <c r="AH332" s="176">
        <f t="shared" si="119"/>
        <v>8</v>
      </c>
      <c r="AI332" s="225">
        <f t="shared" si="120"/>
        <v>2.0993766148199411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46706</v>
      </c>
      <c r="B333" s="411">
        <f>'2026'!Wh/'2026'!Env_an*'2027'!Env_an</f>
        <v>7.6843861676411418</v>
      </c>
      <c r="C333" s="846"/>
      <c r="D333" s="393">
        <f t="shared" si="102"/>
        <v>8.2960924379234751</v>
      </c>
      <c r="E333" s="385">
        <f t="shared" si="125"/>
        <v>8.7197081527704139</v>
      </c>
      <c r="F333" s="385">
        <f t="shared" si="103"/>
        <v>8.8504006256701526</v>
      </c>
      <c r="G333" s="110">
        <f t="shared" si="126"/>
        <v>0.53639941094311461</v>
      </c>
      <c r="H333" s="414" t="b">
        <f>Wh_hp&gt;='2026'!Maxi_hp</f>
        <v>0</v>
      </c>
      <c r="I333" s="390">
        <f>IF(H333,Wh_hp,'2026'!Maxi_hp)</f>
        <v>15.011200511504091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7.3734264035689168E-2</v>
      </c>
      <c r="M333" s="850"/>
      <c r="N333" s="850"/>
      <c r="O333" s="48">
        <f>IF(t&lt;Tnet,'2026'!Resal+('2026'!Salim-'2026'!Resal)*(1-EXP(('2026'!Tnet-t)/('2026'!Tau_j))),Resal+(Salim-Resal)*(1-EXP((Tnet-t)/(Tau_j))))*Salcycl</f>
        <v>4.858140977027401E-2</v>
      </c>
      <c r="P333" s="169">
        <f>(INDEX(Models!$BJ333:$BT333,,T333)*(1-R333)+INDEX(Models!$BJ333:$BT333,,T333+1)*R333-ERP_i)*Q333*Ramure*Pc/MaxiM</f>
        <v>4.1155861297939286E-2</v>
      </c>
      <c r="Q333" s="305">
        <f t="shared" si="105"/>
        <v>0.7</v>
      </c>
      <c r="R333" s="177">
        <f t="shared" si="106"/>
        <v>0.47554495497518012</v>
      </c>
      <c r="S333" s="817">
        <f t="shared" si="107"/>
        <v>-1</v>
      </c>
      <c r="T333" s="176">
        <f t="shared" si="108"/>
        <v>5</v>
      </c>
      <c r="U333" s="251">
        <f t="shared" si="109"/>
        <v>-0.52445504502481988</v>
      </c>
      <c r="V333" s="383">
        <f t="shared" si="110"/>
        <v>13.942154395395521</v>
      </c>
      <c r="W333" s="402">
        <f t="shared" si="111"/>
        <v>7.6843861676411418</v>
      </c>
      <c r="X333" s="157">
        <f t="shared" si="112"/>
        <v>46706</v>
      </c>
      <c r="Y333" s="385">
        <f t="shared" si="113"/>
        <v>7.0104708629550565</v>
      </c>
      <c r="Z333" s="385">
        <f t="shared" si="114"/>
        <v>7.5685309201863546</v>
      </c>
      <c r="AA333" s="386">
        <f t="shared" si="115"/>
        <v>8.5214441633677467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0.11182532266981293</v>
      </c>
      <c r="AD333" s="231">
        <f>(INDEX(Models!$BJ333:$BT333,,AH333)*(1-AF333)+INDEX(Models!$BJ333:$BT333,,AH333+1)*AF333-ERP_i)*AE333*Ramure*Pc/MaxiM</f>
        <v>0.103590407581963</v>
      </c>
      <c r="AE333" s="305">
        <f t="shared" si="117"/>
        <v>0.7</v>
      </c>
      <c r="AF333" s="177">
        <f t="shared" si="118"/>
        <v>9.9408324351236033E-2</v>
      </c>
      <c r="AG333" s="817">
        <f t="shared" si="124"/>
        <v>2</v>
      </c>
      <c r="AH333" s="176">
        <f t="shared" si="119"/>
        <v>8</v>
      </c>
      <c r="AI333" s="225">
        <f t="shared" si="120"/>
        <v>2.099408324351236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46707</v>
      </c>
      <c r="B334" s="411">
        <f>'2026'!Wh/'2026'!Env_an*'2027'!Env_an</f>
        <v>12.357496467405305</v>
      </c>
      <c r="C334" s="846"/>
      <c r="D334" s="393">
        <f t="shared" si="102"/>
        <v>13.341492246126942</v>
      </c>
      <c r="E334" s="385">
        <f t="shared" si="125"/>
        <v>14.024314551771619</v>
      </c>
      <c r="F334" s="385">
        <f t="shared" si="103"/>
        <v>14.541150614540369</v>
      </c>
      <c r="G334" s="110">
        <f t="shared" si="126"/>
        <v>0.89553363347669535</v>
      </c>
      <c r="H334" s="414" t="b">
        <f>Wh_hp&gt;='2026'!Maxi_hp</f>
        <v>0</v>
      </c>
      <c r="I334" s="390">
        <f>IF(H334,Wh_hp,'2026'!Maxi_hp)</f>
        <v>14.601945997401224</v>
      </c>
      <c r="J334" s="85">
        <f>IF(H334,An,'2026'!An_max)</f>
        <v>2025</v>
      </c>
      <c r="K334" s="197">
        <f t="shared" si="104"/>
        <v>46707</v>
      </c>
      <c r="L334" s="147">
        <f>IF(t&lt;Tvie,1-EXP((T0-t)*PertePVj)+'2026'!Pspv,1-EXP((T0-t)*PertePVj)+Pspv)</f>
        <v>7.3754551632505105E-2</v>
      </c>
      <c r="M334" s="850"/>
      <c r="N334" s="850"/>
      <c r="O334" s="48">
        <f>IF(t&lt;Tnet,'2026'!Resal+('2026'!Salim-'2026'!Resal)*(1-EXP(('2026'!Tnet-t)/('2026'!Tau_j))),Resal+(Salim-Resal)*(1-EXP((Tnet-t)/(Tau_j))))*Salcycl</f>
        <v>4.8688461965395682E-2</v>
      </c>
      <c r="P334" s="169">
        <f>(INDEX(Models!$BJ334:$BT334,,T334)*(1-R334)+INDEX(Models!$BJ334:$BT334,,T334+1)*R334-ERP_i)*Q334*Ramure*Pc/MaxiM</f>
        <v>4.1397621279163258E-2</v>
      </c>
      <c r="Q334" s="305">
        <f t="shared" si="105"/>
        <v>0.7</v>
      </c>
      <c r="R334" s="177">
        <f t="shared" si="106"/>
        <v>0.47557539157066975</v>
      </c>
      <c r="S334" s="817">
        <f t="shared" si="107"/>
        <v>-1</v>
      </c>
      <c r="T334" s="176">
        <f t="shared" si="108"/>
        <v>5</v>
      </c>
      <c r="U334" s="251">
        <f t="shared" si="109"/>
        <v>-0.52442460842933025</v>
      </c>
      <c r="V334" s="383">
        <f t="shared" si="110"/>
        <v>13.715265682704562</v>
      </c>
      <c r="W334" s="402">
        <f t="shared" si="111"/>
        <v>12.357496467405305</v>
      </c>
      <c r="X334" s="157">
        <f t="shared" si="112"/>
        <v>46707</v>
      </c>
      <c r="Y334" s="385">
        <f t="shared" si="113"/>
        <v>10.898902953186898</v>
      </c>
      <c r="Z334" s="385">
        <f t="shared" si="114"/>
        <v>11.766754667886557</v>
      </c>
      <c r="AA334" s="386">
        <f t="shared" si="115"/>
        <v>13.247970878565452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0.11180702495922813</v>
      </c>
      <c r="AD334" s="231">
        <f>(INDEX(Models!$BJ334:$BT334,,AH334)*(1-AF334)+INDEX(Models!$BJ334:$BT334,,AH334+1)*AF334-ERP_i)*AE334*Ramure*Pc/MaxiM</f>
        <v>0.10358132648288353</v>
      </c>
      <c r="AE334" s="305">
        <f t="shared" si="117"/>
        <v>0.7</v>
      </c>
      <c r="AF334" s="177">
        <f t="shared" si="118"/>
        <v>9.9438760946725768E-2</v>
      </c>
      <c r="AG334" s="817">
        <f t="shared" si="124"/>
        <v>2</v>
      </c>
      <c r="AH334" s="176">
        <f t="shared" si="119"/>
        <v>8</v>
      </c>
      <c r="AI334" s="225">
        <f t="shared" si="120"/>
        <v>2.0994387609467258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46708</v>
      </c>
      <c r="B335" s="411">
        <f>'2026'!Wh/'2026'!Env_an*'2027'!Env_an</f>
        <v>9.3262669843168204</v>
      </c>
      <c r="C335" s="846"/>
      <c r="D335" s="393">
        <f t="shared" ref="D335:D379" si="127">Wh/(1-Ppv)</f>
        <v>10.069114265998293</v>
      </c>
      <c r="E335" s="385">
        <f t="shared" si="125"/>
        <v>10.58564988731664</v>
      </c>
      <c r="F335" s="385">
        <f t="shared" ref="F335:F379" si="128">Wh_sa/(1-Pvg*MEDIAN((-Sdif+Wh/Env_an)/Csdif,0,1))</f>
        <v>10.837715943105833</v>
      </c>
      <c r="G335" s="110">
        <f t="shared" si="126"/>
        <v>0.67811270632862697</v>
      </c>
      <c r="H335" s="414" t="b">
        <f>Wh_hp&gt;='2026'!Maxi_hp</f>
        <v>0</v>
      </c>
      <c r="I335" s="390">
        <f>IF(H335,Wh_hp,'2026'!Maxi_hp)</f>
        <v>16.318890198291346</v>
      </c>
      <c r="J335" s="85">
        <f>IF(H335,An,'2026'!An_max)</f>
        <v>2018</v>
      </c>
      <c r="K335" s="197">
        <f t="shared" ref="K335:K379" si="129">t</f>
        <v>46708</v>
      </c>
      <c r="L335" s="147">
        <f>IF(t&lt;Tvie,1-EXP((T0-t)*PertePVj)+'2026'!Pspv,1-EXP((T0-t)*PertePVj)+Pspv)</f>
        <v>7.3774838784970598E-2</v>
      </c>
      <c r="M335" s="850"/>
      <c r="N335" s="850"/>
      <c r="O335" s="48">
        <f>IF(t&lt;Tnet,'2026'!Resal+('2026'!Salim-'2026'!Resal)*(1-EXP(('2026'!Tnet-t)/('2026'!Tau_j))),Resal+(Salim-Resal)*(1-EXP((Tnet-t)/(Tau_j))))*Salcycl</f>
        <v>4.8795834626766045E-2</v>
      </c>
      <c r="P335" s="169">
        <f>(INDEX(Models!$BJ335:$BT335,,T335)*(1-R335)+INDEX(Models!$BJ335:$BT335,,T335+1)*R335-ERP_i)*Q335*Ramure*Pc/MaxiM</f>
        <v>4.162707035342457E-2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0.47560460618466394</v>
      </c>
      <c r="S335" s="817">
        <f t="shared" ref="S335:S379" si="132">INDEX(Echel_vg,T335)</f>
        <v>-1</v>
      </c>
      <c r="T335" s="176">
        <f t="shared" ref="T335:T379" si="133">MIN(MATCH(Hp_vg,Echel_vg),10)</f>
        <v>5</v>
      </c>
      <c r="U335" s="251">
        <f t="shared" ref="U335:U379" si="134">IF(OR(t&lt;Ttai,Notai),Hdd+PousH*Croivg,Hdtf+PousH*(Croivg-Croi_tai))</f>
        <v>-0.52439539381533606</v>
      </c>
      <c r="V335" s="383">
        <f t="shared" ref="V335:V379" si="135">MaxiM*(1-Ppv)*(1-Pvg)*(1-Psa)</f>
        <v>13.494622430854347</v>
      </c>
      <c r="W335" s="402">
        <f t="shared" ref="W335:W379" si="136">Wh*(A335&gt;Tmaj)</f>
        <v>9.3262669843168204</v>
      </c>
      <c r="X335" s="157">
        <f t="shared" ref="X335:X379" si="137">t</f>
        <v>46708</v>
      </c>
      <c r="Y335" s="385">
        <f t="shared" ref="Y335:Y379" si="138">Wh_pvt_s*(1-Ppv)</f>
        <v>8.4001874781518993</v>
      </c>
      <c r="Z335" s="385">
        <f t="shared" ref="Z335:Z379" si="139">Wh_sa_s*(1-Psa_s)</f>
        <v>9.0692715226311353</v>
      </c>
      <c r="AA335" s="386">
        <f t="shared" ref="AA335:AA379" si="140">Wh_hp*(1-Pvg_s*MEDIAN((-Sdif+Wh/Env_an)/Csdif,0,1))</f>
        <v>10.210730573499804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0.11179014495114868</v>
      </c>
      <c r="AD335" s="231">
        <f>(INDEX(Models!$BJ335:$BT335,,AH335)*(1-AF335)+INDEX(Models!$BJ335:$BT335,,AH335+1)*AF335-ERP_i)*AE335*Ramure*Pc/MaxiM</f>
        <v>0.1035425575627107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9.9467975560719957E-2</v>
      </c>
      <c r="AG335" s="817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2.09946797556072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46709</v>
      </c>
      <c r="B336" s="411">
        <f>'2026'!Wh/'2026'!Env_an*'2027'!Env_an</f>
        <v>7.7776243154915301</v>
      </c>
      <c r="C336" s="846"/>
      <c r="D336" s="393">
        <f t="shared" si="127"/>
        <v>8.3973044512772645</v>
      </c>
      <c r="E336" s="385">
        <f t="shared" si="125"/>
        <v>8.8290778534646197</v>
      </c>
      <c r="F336" s="385">
        <f t="shared" si="128"/>
        <v>8.9824567491720142</v>
      </c>
      <c r="G336" s="110">
        <f t="shared" si="126"/>
        <v>0.57089726240993777</v>
      </c>
      <c r="H336" s="414" t="b">
        <f>Wh_hp&gt;='2026'!Maxi_hp</f>
        <v>0</v>
      </c>
      <c r="I336" s="390">
        <f>IF(H336,Wh_hp,'2026'!Maxi_hp)</f>
        <v>14.520944266694507</v>
      </c>
      <c r="J336" s="85">
        <f>IF(H336,An,'2026'!An_max)</f>
        <v>2018</v>
      </c>
      <c r="K336" s="197">
        <f t="shared" si="129"/>
        <v>46709</v>
      </c>
      <c r="L336" s="147">
        <f>IF(t&lt;Tvie,1-EXP((T0-t)*PertePVj)+'2026'!Pspv,1-EXP((T0-t)*PertePVj)+Pspv)</f>
        <v>7.3795125493095415E-2</v>
      </c>
      <c r="M336" s="850"/>
      <c r="N336" s="850"/>
      <c r="O336" s="48">
        <f>IF(t&lt;Tnet,'2026'!Resal+('2026'!Salim-'2026'!Resal)*(1-EXP(('2026'!Tnet-t)/('2026'!Tau_j))),Resal+(Salim-Resal)*(1-EXP((Tnet-t)/(Tau_j))))*Salcycl</f>
        <v>4.890356720752248E-2</v>
      </c>
      <c r="P336" s="169">
        <f>(INDEX(Models!$BJ336:$BT336,,T336)*(1-R336)+INDEX(Models!$BJ336:$BT336,,T336+1)*R336-ERP_i)*Q336*Ramure*Pc/MaxiM</f>
        <v>4.1843407266472454E-2</v>
      </c>
      <c r="Q336" s="305">
        <f t="shared" si="130"/>
        <v>0.7</v>
      </c>
      <c r="R336" s="177">
        <f t="shared" si="131"/>
        <v>0.47563264774332725</v>
      </c>
      <c r="S336" s="817">
        <f t="shared" si="132"/>
        <v>-1</v>
      </c>
      <c r="T336" s="176">
        <f t="shared" si="133"/>
        <v>5</v>
      </c>
      <c r="U336" s="251">
        <f t="shared" si="134"/>
        <v>-0.52436735225667275</v>
      </c>
      <c r="V336" s="383">
        <f t="shared" si="135"/>
        <v>13.280220365145809</v>
      </c>
      <c r="W336" s="402">
        <f t="shared" si="136"/>
        <v>7.7776243154915301</v>
      </c>
      <c r="X336" s="157">
        <f t="shared" si="137"/>
        <v>46709</v>
      </c>
      <c r="Y336" s="385">
        <f t="shared" si="138"/>
        <v>7.0776456933599556</v>
      </c>
      <c r="Z336" s="385">
        <f t="shared" si="139"/>
        <v>7.6415552197649266</v>
      </c>
      <c r="AA336" s="386">
        <f t="shared" si="140"/>
        <v>8.6031728017628666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0.11177476079533083</v>
      </c>
      <c r="AD336" s="231">
        <f>(INDEX(Models!$BJ336:$BT336,,AH336)*(1-AF336)+INDEX(Models!$BJ336:$BT336,,AH336+1)*AF336-ERP_i)*AE336*Ramure*Pc/MaxiM</f>
        <v>0.10347272750843718</v>
      </c>
      <c r="AE336" s="305">
        <f t="shared" si="142"/>
        <v>0.7</v>
      </c>
      <c r="AF336" s="177">
        <f t="shared" si="143"/>
        <v>9.9496017119383495E-2</v>
      </c>
      <c r="AG336" s="817">
        <f t="shared" ref="AG336:AG379" si="149">INDEX(Echel_vg,AH336)</f>
        <v>2</v>
      </c>
      <c r="AH336" s="176">
        <f t="shared" si="144"/>
        <v>8</v>
      </c>
      <c r="AI336" s="225">
        <f t="shared" si="145"/>
        <v>2.0994960171193835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46710</v>
      </c>
      <c r="B337" s="411">
        <f>'2026'!Wh/'2026'!Env_an*'2027'!Env_an</f>
        <v>5.2866543886427619</v>
      </c>
      <c r="C337" s="846"/>
      <c r="D337" s="393">
        <f t="shared" si="127"/>
        <v>5.707992181851214</v>
      </c>
      <c r="E337" s="385">
        <f t="shared" si="125"/>
        <v>6.0021686520795017</v>
      </c>
      <c r="F337" s="385">
        <f t="shared" si="128"/>
        <v>6.040053550329163</v>
      </c>
      <c r="G337" s="110">
        <f t="shared" si="126"/>
        <v>0.38986511692184123</v>
      </c>
      <c r="H337" s="414" t="b">
        <f>Wh_hp&gt;='2026'!Maxi_hp</f>
        <v>0</v>
      </c>
      <c r="I337" s="390">
        <f>IF(H337,Wh_hp,'2026'!Maxi_hp)</f>
        <v>15.038910963249226</v>
      </c>
      <c r="J337" s="85">
        <f>IF(H337,An,'2026'!An_max)</f>
        <v>2020</v>
      </c>
      <c r="K337" s="197">
        <f t="shared" si="129"/>
        <v>46710</v>
      </c>
      <c r="L337" s="147">
        <f>IF(t&lt;Tvie,1-EXP((T0-t)*PertePVj)+'2026'!Pspv,1-EXP((T0-t)*PertePVj)+Pspv)</f>
        <v>7.3815411756889326E-2</v>
      </c>
      <c r="M337" s="850"/>
      <c r="N337" s="850"/>
      <c r="O337" s="48">
        <f>IF(t&lt;Tnet,'2026'!Resal+('2026'!Salim-'2026'!Resal)*(1-EXP(('2026'!Tnet-t)/('2026'!Tau_j))),Resal+(Salim-Resal)*(1-EXP((Tnet-t)/(Tau_j))))*Salcycl</f>
        <v>4.9011696818343671E-2</v>
      </c>
      <c r="P337" s="169">
        <f>(INDEX(Models!$BJ337:$BT337,,T337)*(1-R337)+INDEX(Models!$BJ337:$BT337,,T337+1)*R337-ERP_i)*Q337*Ramure*Pc/MaxiM</f>
        <v>4.2045797964906123E-2</v>
      </c>
      <c r="Q337" s="305">
        <f t="shared" si="130"/>
        <v>0.7</v>
      </c>
      <c r="R337" s="177">
        <f t="shared" si="131"/>
        <v>0.47565956322449776</v>
      </c>
      <c r="S337" s="817">
        <f t="shared" si="132"/>
        <v>-1</v>
      </c>
      <c r="T337" s="176">
        <f t="shared" si="133"/>
        <v>5</v>
      </c>
      <c r="U337" s="251">
        <f t="shared" si="134"/>
        <v>-0.52434043677550224</v>
      </c>
      <c r="V337" s="383">
        <f t="shared" si="135"/>
        <v>13.072055486180242</v>
      </c>
      <c r="W337" s="402">
        <f t="shared" si="136"/>
        <v>5.2866543886427619</v>
      </c>
      <c r="X337" s="157">
        <f t="shared" si="137"/>
        <v>46710</v>
      </c>
      <c r="Y337" s="385">
        <f t="shared" si="138"/>
        <v>4.8923665077808822</v>
      </c>
      <c r="Z337" s="385">
        <f t="shared" si="139"/>
        <v>5.2822801954211567</v>
      </c>
      <c r="AA337" s="386">
        <f t="shared" si="140"/>
        <v>5.9469127859845967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0.1117609446248842</v>
      </c>
      <c r="AD337" s="231">
        <f>(INDEX(Models!$BJ337:$BT337,,AH337)*(1-AF337)+INDEX(Models!$BJ337:$BT337,,AH337+1)*AF337-ERP_i)*AE337*Ramure*Pc/MaxiM</f>
        <v>0.1033704177881369</v>
      </c>
      <c r="AE337" s="305">
        <f t="shared" si="142"/>
        <v>0.7</v>
      </c>
      <c r="AF337" s="177">
        <f t="shared" si="143"/>
        <v>9.9522932600554004E-2</v>
      </c>
      <c r="AG337" s="817">
        <f t="shared" si="149"/>
        <v>2</v>
      </c>
      <c r="AH337" s="176">
        <f t="shared" si="144"/>
        <v>8</v>
      </c>
      <c r="AI337" s="225">
        <f t="shared" si="145"/>
        <v>2.099522932600554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46711</v>
      </c>
      <c r="B338" s="411">
        <f>'2026'!Wh/'2026'!Env_an*'2027'!Env_an</f>
        <v>10.079738195424408</v>
      </c>
      <c r="C338" s="846"/>
      <c r="D338" s="393">
        <f t="shared" si="127"/>
        <v>10.883315378326706</v>
      </c>
      <c r="E338" s="385">
        <f t="shared" si="125"/>
        <v>11.445522391963495</v>
      </c>
      <c r="F338" s="385">
        <f t="shared" si="128"/>
        <v>11.78900340193187</v>
      </c>
      <c r="G338" s="110">
        <f t="shared" si="126"/>
        <v>0.77262310362012965</v>
      </c>
      <c r="H338" s="414" t="b">
        <f>Wh_hp&gt;='2026'!Maxi_hp</f>
        <v>0</v>
      </c>
      <c r="I338" s="390">
        <f>IF(H338,Wh_hp,'2026'!Maxi_hp)</f>
        <v>14.953005209630511</v>
      </c>
      <c r="J338" s="85">
        <f>IF(H338,An,'2026'!An_max)</f>
        <v>2019</v>
      </c>
      <c r="K338" s="197">
        <f t="shared" si="129"/>
        <v>46711</v>
      </c>
      <c r="L338" s="147">
        <f>IF(t&lt;Tvie,1-EXP((T0-t)*PertePVj)+'2026'!Pspv,1-EXP((T0-t)*PertePVj)+Pspv)</f>
        <v>7.3835697576361881E-2</v>
      </c>
      <c r="M338" s="850"/>
      <c r="N338" s="850"/>
      <c r="O338" s="48">
        <f>IF(t&lt;Tnet,'2026'!Resal+('2026'!Salim-'2026'!Resal)*(1-EXP(('2026'!Tnet-t)/('2026'!Tau_j))),Resal+(Salim-Resal)*(1-EXP((Tnet-t)/(Tau_j))))*Salcycl</f>
        <v>4.9120258069788404E-2</v>
      </c>
      <c r="P338" s="169">
        <f>(INDEX(Models!$BJ338:$BT338,,T338)*(1-R338)+INDEX(Models!$BJ338:$BT338,,T338+1)*R338-ERP_i)*Q338*Ramure*Pc/MaxiM</f>
        <v>4.2210777115344565E-2</v>
      </c>
      <c r="Q338" s="305">
        <f t="shared" si="130"/>
        <v>0.7</v>
      </c>
      <c r="R338" s="177">
        <f t="shared" si="131"/>
        <v>0.47568539773443685</v>
      </c>
      <c r="S338" s="817">
        <f t="shared" si="132"/>
        <v>-1</v>
      </c>
      <c r="T338" s="176">
        <f t="shared" si="133"/>
        <v>5</v>
      </c>
      <c r="U338" s="251">
        <f t="shared" si="134"/>
        <v>-0.52431460226556315</v>
      </c>
      <c r="V338" s="383">
        <f t="shared" si="135"/>
        <v>12.870427757489843</v>
      </c>
      <c r="W338" s="402">
        <f t="shared" si="136"/>
        <v>10.079738195424408</v>
      </c>
      <c r="X338" s="157">
        <f t="shared" si="137"/>
        <v>46711</v>
      </c>
      <c r="Y338" s="385">
        <f t="shared" si="138"/>
        <v>9.0074954839187829</v>
      </c>
      <c r="Z338" s="385">
        <f t="shared" si="139"/>
        <v>9.7255913020481017</v>
      </c>
      <c r="AA338" s="386">
        <f t="shared" si="140"/>
        <v>10.949144666452462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0.11174876227119879</v>
      </c>
      <c r="AD338" s="231">
        <f>(INDEX(Models!$BJ338:$BT338,,AH338)*(1-AF338)+INDEX(Models!$BJ338:$BT338,,AH338+1)*AF338-ERP_i)*AE338*Ramure*Pc/MaxiM</f>
        <v>0.10321120778980036</v>
      </c>
      <c r="AE338" s="305">
        <f t="shared" si="142"/>
        <v>0.7</v>
      </c>
      <c r="AF338" s="177">
        <f t="shared" si="143"/>
        <v>9.9548767110492875E-2</v>
      </c>
      <c r="AG338" s="817">
        <f t="shared" si="149"/>
        <v>2</v>
      </c>
      <c r="AH338" s="176">
        <f t="shared" si="144"/>
        <v>8</v>
      </c>
      <c r="AI338" s="225">
        <f t="shared" si="145"/>
        <v>2.0995487671104929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46712</v>
      </c>
      <c r="B339" s="411">
        <f>'2026'!Wh/'2026'!Env_an*'2027'!Env_an</f>
        <v>1.9821399410089349</v>
      </c>
      <c r="C339" s="846"/>
      <c r="D339" s="393">
        <f t="shared" si="127"/>
        <v>2.1402070353224385</v>
      </c>
      <c r="E339" s="385">
        <f t="shared" si="125"/>
        <v>2.2510232981498581</v>
      </c>
      <c r="F339" s="385">
        <f t="shared" si="128"/>
        <v>2.2510232981498581</v>
      </c>
      <c r="G339" s="110">
        <f t="shared" si="126"/>
        <v>0.14975725961972364</v>
      </c>
      <c r="H339" s="414" t="b">
        <f>Wh_hp&gt;='2026'!Maxi_hp</f>
        <v>0</v>
      </c>
      <c r="I339" s="390">
        <f>IF(H339,Wh_hp,'2026'!Maxi_hp)</f>
        <v>14.614708080024094</v>
      </c>
      <c r="J339" s="85">
        <f>IF(H339,An,'2026'!An_max)</f>
        <v>2018</v>
      </c>
      <c r="K339" s="197">
        <f t="shared" si="129"/>
        <v>46712</v>
      </c>
      <c r="L339" s="147">
        <f>IF(t&lt;Tvie,1-EXP((T0-t)*PertePVj)+'2026'!Pspv,1-EXP((T0-t)*PertePVj)+Pspv)</f>
        <v>7.3855982951522958E-2</v>
      </c>
      <c r="M339" s="850"/>
      <c r="N339" s="850"/>
      <c r="O339" s="48">
        <f>IF(t&lt;Tnet,'2026'!Resal+('2026'!Salim-'2026'!Resal)*(1-EXP(('2026'!Tnet-t)/('2026'!Tau_j))),Resal+(Salim-Resal)*(1-EXP((Tnet-t)/(Tau_j))))*Salcycl</f>
        <v>4.9229282930345883E-2</v>
      </c>
      <c r="P339" s="169">
        <f>(INDEX(Models!$BJ339:$BT339,,T339)*(1-R339)+INDEX(Models!$BJ339:$BT339,,T339+1)*R339-ERP_i)*Q339*Ramure*Pc/MaxiM</f>
        <v>4.2343540335980354E-2</v>
      </c>
      <c r="Q339" s="305">
        <f t="shared" si="130"/>
        <v>0.7</v>
      </c>
      <c r="R339" s="177">
        <f t="shared" si="131"/>
        <v>0.475710194581622</v>
      </c>
      <c r="S339" s="817">
        <f t="shared" si="132"/>
        <v>-1</v>
      </c>
      <c r="T339" s="176">
        <f t="shared" si="133"/>
        <v>5</v>
      </c>
      <c r="U339" s="251">
        <f t="shared" si="134"/>
        <v>-0.524289805418378</v>
      </c>
      <c r="V339" s="383">
        <f t="shared" si="135"/>
        <v>12.675239405991798</v>
      </c>
      <c r="W339" s="402">
        <f t="shared" si="136"/>
        <v>1.9821399410089349</v>
      </c>
      <c r="X339" s="157">
        <f t="shared" si="137"/>
        <v>46712</v>
      </c>
      <c r="Y339" s="385">
        <f t="shared" si="138"/>
        <v>1.8518229637394659</v>
      </c>
      <c r="Z339" s="385">
        <f t="shared" si="139"/>
        <v>1.9994978422913421</v>
      </c>
      <c r="AA339" s="386">
        <f t="shared" si="140"/>
        <v>2.2510232981498581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0.111738273017986</v>
      </c>
      <c r="AD339" s="231">
        <f>(INDEX(Models!$BJ339:$BT339,,AH339)*(1-AF339)+INDEX(Models!$BJ339:$BT339,,AH339+1)*AF339-ERP_i)*AE339*Ramure*Pc/MaxiM</f>
        <v>0.10297160227405051</v>
      </c>
      <c r="AE339" s="305">
        <f t="shared" si="142"/>
        <v>0.7</v>
      </c>
      <c r="AF339" s="177">
        <f t="shared" si="143"/>
        <v>9.9573563957677802E-2</v>
      </c>
      <c r="AG339" s="817">
        <f t="shared" si="149"/>
        <v>2</v>
      </c>
      <c r="AH339" s="176">
        <f t="shared" si="144"/>
        <v>8</v>
      </c>
      <c r="AI339" s="225">
        <f t="shared" si="145"/>
        <v>2.0995735639576778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46713</v>
      </c>
      <c r="B340" s="411">
        <f>'2026'!Wh/'2026'!Env_an*'2027'!Env_an</f>
        <v>5.7420768438117742</v>
      </c>
      <c r="C340" s="846"/>
      <c r="D340" s="393">
        <f t="shared" si="127"/>
        <v>6.2001184557513644</v>
      </c>
      <c r="E340" s="385">
        <f t="shared" si="125"/>
        <v>6.5219012406021859</v>
      </c>
      <c r="F340" s="385">
        <f t="shared" si="128"/>
        <v>6.5857359141158529</v>
      </c>
      <c r="G340" s="110">
        <f t="shared" si="126"/>
        <v>0.44465553195795232</v>
      </c>
      <c r="H340" s="414" t="b">
        <f>Wh_hp&gt;='2026'!Maxi_hp</f>
        <v>0</v>
      </c>
      <c r="I340" s="390">
        <f>IF(H340,Wh_hp,'2026'!Maxi_hp)</f>
        <v>15.138714921882022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7.3876267882382329E-2</v>
      </c>
      <c r="M340" s="850"/>
      <c r="N340" s="850"/>
      <c r="O340" s="48">
        <f>IF(t&lt;Tnet,'2026'!Resal+('2026'!Salim-'2026'!Resal)*(1-EXP(('2026'!Tnet-t)/('2026'!Tau_j))),Resal+(Salim-Resal)*(1-EXP((Tnet-t)/(Tau_j))))*Salcycl</f>
        <v>4.9338800601204824E-2</v>
      </c>
      <c r="P340" s="169">
        <f>(INDEX(Models!$BJ340:$BT340,,T340)*(1-R340)+INDEX(Models!$BJ340:$BT340,,T340+1)*R340-ERP_i)*Q340*Ramure*Pc/MaxiM</f>
        <v>4.2442557244286409E-2</v>
      </c>
      <c r="Q340" s="305">
        <f t="shared" si="130"/>
        <v>0.7</v>
      </c>
      <c r="R340" s="177">
        <f t="shared" si="131"/>
        <v>0.47573399534769056</v>
      </c>
      <c r="S340" s="817">
        <f t="shared" si="132"/>
        <v>-1</v>
      </c>
      <c r="T340" s="176">
        <f t="shared" si="133"/>
        <v>5</v>
      </c>
      <c r="U340" s="251">
        <f t="shared" si="134"/>
        <v>-0.52426600465230944</v>
      </c>
      <c r="V340" s="383">
        <f t="shared" si="135"/>
        <v>12.486485875058273</v>
      </c>
      <c r="W340" s="402">
        <f t="shared" si="136"/>
        <v>5.7420768438117742</v>
      </c>
      <c r="X340" s="157">
        <f t="shared" si="137"/>
        <v>46713</v>
      </c>
      <c r="Y340" s="385">
        <f t="shared" si="138"/>
        <v>5.2907396739525918</v>
      </c>
      <c r="Z340" s="385">
        <f t="shared" si="139"/>
        <v>5.7127784230894409</v>
      </c>
      <c r="AA340" s="386">
        <f t="shared" si="140"/>
        <v>6.431350148570492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0.11172952939605836</v>
      </c>
      <c r="AD340" s="231">
        <f>(INDEX(Models!$BJ340:$BT340,,AH340)*(1-AF340)+INDEX(Models!$BJ340:$BT340,,AH340+1)*AF340-ERP_i)*AE340*Ramure*Pc/MaxiM</f>
        <v>0.10264839359535577</v>
      </c>
      <c r="AE340" s="305">
        <f t="shared" si="142"/>
        <v>0.7</v>
      </c>
      <c r="AF340" s="177">
        <f t="shared" si="143"/>
        <v>9.9597364723746473E-2</v>
      </c>
      <c r="AG340" s="817">
        <f t="shared" si="149"/>
        <v>2</v>
      </c>
      <c r="AH340" s="176">
        <f t="shared" si="144"/>
        <v>8</v>
      </c>
      <c r="AI340" s="225">
        <f t="shared" si="145"/>
        <v>2.0995973647237465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46714</v>
      </c>
      <c r="B341" s="411">
        <f>'2026'!Wh/'2026'!Env_an*'2027'!Env_an</f>
        <v>7.6158392336284297</v>
      </c>
      <c r="C341" s="846"/>
      <c r="D341" s="393">
        <f t="shared" si="127"/>
        <v>8.2235297288975193</v>
      </c>
      <c r="E341" s="385">
        <f t="shared" si="125"/>
        <v>8.6513278322427318</v>
      </c>
      <c r="F341" s="385">
        <f t="shared" si="128"/>
        <v>8.8221999704995469</v>
      </c>
      <c r="G341" s="110">
        <f t="shared" si="126"/>
        <v>0.60436006231950246</v>
      </c>
      <c r="H341" s="414" t="b">
        <f>Wh_hp&gt;='2026'!Maxi_hp</f>
        <v>0</v>
      </c>
      <c r="I341" s="390">
        <f>IF(H341,Wh_hp,'2026'!Maxi_hp)</f>
        <v>14.559641419504979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7.3896552368949542E-2</v>
      </c>
      <c r="M341" s="850"/>
      <c r="N341" s="850"/>
      <c r="O341" s="48">
        <f>IF(t&lt;Tnet,'2026'!Resal+('2026'!Salim-'2026'!Resal)*(1-EXP(('2026'!Tnet-t)/('2026'!Tau_j))),Resal+(Salim-Resal)*(1-EXP((Tnet-t)/(Tau_j))))*Salcycl</f>
        <v>4.9448837408616934E-2</v>
      </c>
      <c r="P341" s="169">
        <f>(INDEX(Models!$BJ341:$BT341,,T341)*(1-R341)+INDEX(Models!$BJ341:$BT341,,T341+1)*R341-ERP_i)*Q341*Ramure*Pc/MaxiM</f>
        <v>4.2506013087863892E-2</v>
      </c>
      <c r="Q341" s="305">
        <f t="shared" si="130"/>
        <v>0.7</v>
      </c>
      <c r="R341" s="177">
        <f t="shared" si="131"/>
        <v>0.47575683995564022</v>
      </c>
      <c r="S341" s="817">
        <f t="shared" si="132"/>
        <v>-1</v>
      </c>
      <c r="T341" s="176">
        <f t="shared" si="133"/>
        <v>5</v>
      </c>
      <c r="U341" s="251">
        <f t="shared" si="134"/>
        <v>-0.52424316004435978</v>
      </c>
      <c r="V341" s="383">
        <f t="shared" si="135"/>
        <v>12.304166344194934</v>
      </c>
      <c r="W341" s="402">
        <f t="shared" si="136"/>
        <v>7.6158392336284297</v>
      </c>
      <c r="X341" s="157">
        <f t="shared" si="137"/>
        <v>46714</v>
      </c>
      <c r="Y341" s="385">
        <f t="shared" si="138"/>
        <v>6.9193700858777696</v>
      </c>
      <c r="Z341" s="385">
        <f t="shared" si="139"/>
        <v>7.4714872335022031</v>
      </c>
      <c r="AA341" s="386">
        <f t="shared" si="140"/>
        <v>8.4112092013304451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0.11172257702015087</v>
      </c>
      <c r="AD341" s="231">
        <f>(INDEX(Models!$BJ341:$BT341,,AH341)*(1-AF341)+INDEX(Models!$BJ341:$BT341,,AH341+1)*AF341-ERP_i)*AE341*Ramure*Pc/MaxiM</f>
        <v>0.10223772694315347</v>
      </c>
      <c r="AE341" s="305">
        <f t="shared" si="142"/>
        <v>0.7</v>
      </c>
      <c r="AF341" s="177">
        <f t="shared" si="143"/>
        <v>9.9620209331696241E-2</v>
      </c>
      <c r="AG341" s="817">
        <f t="shared" si="149"/>
        <v>2</v>
      </c>
      <c r="AH341" s="176">
        <f t="shared" si="144"/>
        <v>8</v>
      </c>
      <c r="AI341" s="225">
        <f t="shared" si="145"/>
        <v>2.0996202093316962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46715</v>
      </c>
      <c r="B342" s="411">
        <f>'2026'!Wh/'2026'!Env_an*'2027'!Env_an</f>
        <v>7.3787302846420229</v>
      </c>
      <c r="C342" s="846"/>
      <c r="D342" s="393">
        <f t="shared" si="127"/>
        <v>7.9676756632178733</v>
      </c>
      <c r="E342" s="385">
        <f t="shared" si="125"/>
        <v>8.3831391497149994</v>
      </c>
      <c r="F342" s="385">
        <f t="shared" si="128"/>
        <v>8.5432213937900627</v>
      </c>
      <c r="G342" s="110">
        <f t="shared" si="126"/>
        <v>0.59363791968607871</v>
      </c>
      <c r="H342" s="414" t="b">
        <f>Wh_hp&gt;='2026'!Maxi_hp</f>
        <v>0</v>
      </c>
      <c r="I342" s="390">
        <f>IF(H342,Wh_hp,'2026'!Maxi_hp)</f>
        <v>14.017853674238541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7.3916836411234588E-2</v>
      </c>
      <c r="M342" s="850"/>
      <c r="N342" s="850"/>
      <c r="O342" s="48">
        <f>IF(t&lt;Tnet,'2026'!Resal+('2026'!Salim-'2026'!Resal)*(1-EXP(('2026'!Tnet-t)/('2026'!Tau_j))),Resal+(Salim-Resal)*(1-EXP((Tnet-t)/(Tau_j))))*Salcycl</f>
        <v>4.9559416714590868E-2</v>
      </c>
      <c r="P342" s="169">
        <f>(INDEX(Models!$BJ342:$BT342,,T342)*(1-R342)+INDEX(Models!$BJ342:$BT342,,T342+1)*R342-ERP_i)*Q342*Ramure*Pc/MaxiM</f>
        <v>4.2532255045706388E-2</v>
      </c>
      <c r="Q342" s="305">
        <f t="shared" si="130"/>
        <v>0.7</v>
      </c>
      <c r="R342" s="177">
        <f t="shared" si="131"/>
        <v>0.47577876673538833</v>
      </c>
      <c r="S342" s="817">
        <f t="shared" si="132"/>
        <v>-1</v>
      </c>
      <c r="T342" s="176">
        <f t="shared" si="133"/>
        <v>5</v>
      </c>
      <c r="U342" s="251">
        <f t="shared" si="134"/>
        <v>-0.52422123326461167</v>
      </c>
      <c r="V342" s="383">
        <f t="shared" si="135"/>
        <v>12.12827790825942</v>
      </c>
      <c r="W342" s="402">
        <f t="shared" si="136"/>
        <v>7.3787302846420229</v>
      </c>
      <c r="X342" s="157">
        <f t="shared" si="137"/>
        <v>46715</v>
      </c>
      <c r="Y342" s="385">
        <f t="shared" si="138"/>
        <v>6.7128614608691795</v>
      </c>
      <c r="Z342" s="385">
        <f t="shared" si="139"/>
        <v>7.2486594344890598</v>
      </c>
      <c r="AA342" s="386">
        <f t="shared" si="140"/>
        <v>8.1603083061301529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0.11171745446875435</v>
      </c>
      <c r="AD342" s="231">
        <f>(INDEX(Models!$BJ342:$BT342,,AH342)*(1-AF342)+INDEX(Models!$BJ342:$BT342,,AH342+1)*AF342-ERP_i)*AE342*Ramure*Pc/MaxiM</f>
        <v>0.10173618691310606</v>
      </c>
      <c r="AE342" s="305">
        <f t="shared" si="142"/>
        <v>0.7</v>
      </c>
      <c r="AF342" s="177">
        <f t="shared" si="143"/>
        <v>9.9642136111444124E-2</v>
      </c>
      <c r="AG342" s="817">
        <f t="shared" si="149"/>
        <v>2</v>
      </c>
      <c r="AH342" s="176">
        <f t="shared" si="144"/>
        <v>8</v>
      </c>
      <c r="AI342" s="225">
        <f t="shared" si="145"/>
        <v>2.0996421361114441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46716</v>
      </c>
      <c r="B343" s="411">
        <f>'2026'!Wh/'2026'!Env_an*'2027'!Env_an</f>
        <v>3.1109340837310167</v>
      </c>
      <c r="C343" s="846"/>
      <c r="D343" s="393">
        <f t="shared" si="127"/>
        <v>3.3593119332912682</v>
      </c>
      <c r="E343" s="385">
        <f t="shared" si="125"/>
        <v>3.5348919941002683</v>
      </c>
      <c r="F343" s="385">
        <f t="shared" si="128"/>
        <v>3.5348919941002683</v>
      </c>
      <c r="G343" s="110">
        <f t="shared" si="126"/>
        <v>0.24907631796518642</v>
      </c>
      <c r="H343" s="414" t="b">
        <f>Wh_hp&gt;='2026'!Maxi_hp</f>
        <v>0</v>
      </c>
      <c r="I343" s="390">
        <f>IF(H343,Wh_hp,'2026'!Maxi_hp)</f>
        <v>14.256922771094214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7.3937120009246904E-2</v>
      </c>
      <c r="M343" s="850"/>
      <c r="N343" s="850"/>
      <c r="O343" s="48">
        <f>IF(t&lt;Tnet,'2026'!Resal+('2026'!Salim-'2026'!Resal)*(1-EXP(('2026'!Tnet-t)/('2026'!Tau_j))),Resal+(Salim-Resal)*(1-EXP((Tnet-t)/(Tau_j))))*Salcycl</f>
        <v>4.9670558846505987E-2</v>
      </c>
      <c r="P343" s="169">
        <f>(INDEX(Models!$BJ343:$BT343,,T343)*(1-R343)+INDEX(Models!$BJ343:$BT343,,T343+1)*R343-ERP_i)*Q343*Ramure*Pc/MaxiM</f>
        <v>4.2519843011702314E-2</v>
      </c>
      <c r="Q343" s="305">
        <f t="shared" si="130"/>
        <v>0.7</v>
      </c>
      <c r="R343" s="177">
        <f t="shared" si="131"/>
        <v>0.4757998124867856</v>
      </c>
      <c r="S343" s="817">
        <f t="shared" si="132"/>
        <v>-1</v>
      </c>
      <c r="T343" s="176">
        <f t="shared" si="133"/>
        <v>5</v>
      </c>
      <c r="U343" s="251">
        <f t="shared" si="134"/>
        <v>-0.5242001875132144</v>
      </c>
      <c r="V343" s="383">
        <f t="shared" si="135"/>
        <v>11.95881519048049</v>
      </c>
      <c r="W343" s="402">
        <f t="shared" si="136"/>
        <v>3.1109340837310167</v>
      </c>
      <c r="X343" s="157">
        <f t="shared" si="137"/>
        <v>46716</v>
      </c>
      <c r="Y343" s="385">
        <f t="shared" si="138"/>
        <v>2.9078322450905509</v>
      </c>
      <c r="Z343" s="385">
        <f t="shared" si="139"/>
        <v>3.1399943869033886</v>
      </c>
      <c r="AA343" s="386">
        <f t="shared" si="140"/>
        <v>3.5348919941002683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0.11171419320758984</v>
      </c>
      <c r="AD343" s="231">
        <f>(INDEX(Models!$BJ343:$BT343,,AH343)*(1-AF343)+INDEX(Models!$BJ343:$BT343,,AH343+1)*AF343-ERP_i)*AE343*Ramure*Pc/MaxiM</f>
        <v>0.10114090807102484</v>
      </c>
      <c r="AE343" s="305">
        <f t="shared" si="142"/>
        <v>0.7</v>
      </c>
      <c r="AF343" s="177">
        <f t="shared" si="143"/>
        <v>9.9663181862841732E-2</v>
      </c>
      <c r="AG343" s="817">
        <f t="shared" si="149"/>
        <v>2</v>
      </c>
      <c r="AH343" s="176">
        <f t="shared" si="144"/>
        <v>8</v>
      </c>
      <c r="AI343" s="225">
        <f t="shared" si="145"/>
        <v>2.0996631818628417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46717</v>
      </c>
      <c r="B344" s="411">
        <f>'2026'!Wh/'2026'!Env_an*'2027'!Env_an</f>
        <v>6.1490179425496914</v>
      </c>
      <c r="C344" s="846"/>
      <c r="D344" s="393">
        <f t="shared" si="127"/>
        <v>6.6401026945761599</v>
      </c>
      <c r="E344" s="385">
        <f t="shared" si="125"/>
        <v>6.9879802934912334</v>
      </c>
      <c r="F344" s="385">
        <f t="shared" si="128"/>
        <v>7.0830714900454224</v>
      </c>
      <c r="G344" s="110">
        <f t="shared" si="126"/>
        <v>0.50594451952370845</v>
      </c>
      <c r="H344" s="414" t="b">
        <f>Wh_hp&gt;='2026'!Maxi_hp</f>
        <v>0</v>
      </c>
      <c r="I344" s="390">
        <f>IF(H344,Wh_hp,'2026'!Maxi_hp)</f>
        <v>13.332457203646875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7.3957403162996482E-2</v>
      </c>
      <c r="M344" s="850"/>
      <c r="N344" s="850"/>
      <c r="O344" s="48">
        <f>IF(t&lt;Tnet,'2026'!Resal+('2026'!Salim-'2026'!Resal)*(1-EXP(('2026'!Tnet-t)/('2026'!Tau_j))),Resal+(Salim-Resal)*(1-EXP((Tnet-t)/(Tau_j))))*Salcycl</f>
        <v>4.9782281046083461E-2</v>
      </c>
      <c r="P344" s="169">
        <f>(INDEX(Models!$BJ344:$BT344,,T344)*(1-R344)+INDEX(Models!$BJ344:$BT344,,T344+1)*R344-ERP_i)*Q344*Ramure*Pc/MaxiM</f>
        <v>4.246733921724364E-2</v>
      </c>
      <c r="Q344" s="305">
        <f t="shared" si="130"/>
        <v>0.7</v>
      </c>
      <c r="R344" s="177">
        <f t="shared" si="131"/>
        <v>0.47582001254018391</v>
      </c>
      <c r="S344" s="817">
        <f t="shared" si="132"/>
        <v>-1</v>
      </c>
      <c r="T344" s="176">
        <f t="shared" si="133"/>
        <v>5</v>
      </c>
      <c r="U344" s="251">
        <f t="shared" si="134"/>
        <v>-0.52417998745981609</v>
      </c>
      <c r="V344" s="383">
        <f t="shared" si="135"/>
        <v>11.795773218787811</v>
      </c>
      <c r="W344" s="402">
        <f t="shared" si="136"/>
        <v>6.1490179425496914</v>
      </c>
      <c r="X344" s="157">
        <f t="shared" si="137"/>
        <v>46717</v>
      </c>
      <c r="Y344" s="385">
        <f t="shared" si="138"/>
        <v>5.6414576549271889</v>
      </c>
      <c r="Z344" s="385">
        <f t="shared" si="139"/>
        <v>6.0920066465583593</v>
      </c>
      <c r="AA344" s="386">
        <f t="shared" si="140"/>
        <v>6.8581498945014108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0.11171281755700821</v>
      </c>
      <c r="AD344" s="231">
        <f>(INDEX(Models!$BJ344:$BT344,,AH344)*(1-AF344)+INDEX(Models!$BJ344:$BT344,,AH344+1)*AF344-ERP_i)*AE344*Ramure*Pc/MaxiM</f>
        <v>0.1004490640709097</v>
      </c>
      <c r="AE344" s="305">
        <f t="shared" si="142"/>
        <v>0.7</v>
      </c>
      <c r="AF344" s="177">
        <f t="shared" si="143"/>
        <v>9.9683381916240155E-2</v>
      </c>
      <c r="AG344" s="817">
        <f t="shared" si="149"/>
        <v>2</v>
      </c>
      <c r="AH344" s="176">
        <f t="shared" si="144"/>
        <v>8</v>
      </c>
      <c r="AI344" s="225">
        <f t="shared" si="145"/>
        <v>2.0996833819162402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46718</v>
      </c>
      <c r="B345" s="411">
        <f>'2026'!Wh/'2026'!Env_an*'2027'!Env_an</f>
        <v>8.464366935809517</v>
      </c>
      <c r="C345" s="846"/>
      <c r="D345" s="393">
        <f t="shared" si="127"/>
        <v>9.1405647646672481</v>
      </c>
      <c r="E345" s="385">
        <f t="shared" si="125"/>
        <v>9.6205797167548948</v>
      </c>
      <c r="F345" s="385">
        <f t="shared" si="128"/>
        <v>9.8761251326344119</v>
      </c>
      <c r="G345" s="110">
        <f t="shared" si="126"/>
        <v>0.71504783820036799</v>
      </c>
      <c r="H345" s="414" t="b">
        <f>Wh_hp&gt;='2026'!Maxi_hp</f>
        <v>0</v>
      </c>
      <c r="I345" s="390">
        <f>IF(H345,Wh_hp,'2026'!Maxi_hp)</f>
        <v>14.406333862137721</v>
      </c>
      <c r="J345" s="85">
        <f>IF(H345,An,'2026'!An_max)</f>
        <v>2018</v>
      </c>
      <c r="K345" s="197">
        <f t="shared" si="129"/>
        <v>46718</v>
      </c>
      <c r="L345" s="147">
        <f>IF(t&lt;Tvie,1-EXP((T0-t)*PertePVj)+'2026'!Pspv,1-EXP((T0-t)*PertePVj)+Pspv)</f>
        <v>7.3977685872492871E-2</v>
      </c>
      <c r="M345" s="850"/>
      <c r="N345" s="850"/>
      <c r="O345" s="48">
        <f>IF(t&lt;Tnet,'2026'!Resal+('2026'!Salim-'2026'!Resal)*(1-EXP(('2026'!Tnet-t)/('2026'!Tau_j))),Resal+(Salim-Resal)*(1-EXP((Tnet-t)/(Tau_j))))*Salcycl</f>
        <v>4.9894597437997311E-2</v>
      </c>
      <c r="P345" s="169">
        <f>(INDEX(Models!$BJ345:$BT345,,T345)*(1-R345)+INDEX(Models!$BJ345:$BT345,,T345+1)*R345-ERP_i)*Q345*Ramure*Pc/MaxiM</f>
        <v>4.2381142041291384E-2</v>
      </c>
      <c r="Q345" s="305">
        <f t="shared" si="130"/>
        <v>0.7</v>
      </c>
      <c r="R345" s="177">
        <f t="shared" si="131"/>
        <v>0.47583940081464449</v>
      </c>
      <c r="S345" s="817">
        <f t="shared" si="132"/>
        <v>-1</v>
      </c>
      <c r="T345" s="176">
        <f t="shared" si="133"/>
        <v>5</v>
      </c>
      <c r="U345" s="251">
        <f t="shared" si="134"/>
        <v>-0.52416059918535551</v>
      </c>
      <c r="V345" s="383">
        <f t="shared" si="135"/>
        <v>11.636903027410208</v>
      </c>
      <c r="W345" s="402">
        <f t="shared" si="136"/>
        <v>8.464366935809517</v>
      </c>
      <c r="X345" s="157">
        <f t="shared" si="137"/>
        <v>46718</v>
      </c>
      <c r="Y345" s="385">
        <f t="shared" si="138"/>
        <v>7.6294553330438095</v>
      </c>
      <c r="Z345" s="385">
        <f t="shared" si="139"/>
        <v>8.2389540906821868</v>
      </c>
      <c r="AA345" s="386">
        <f t="shared" si="140"/>
        <v>9.2751073558904391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0.11171334470325142</v>
      </c>
      <c r="AD345" s="231">
        <f>(INDEX(Models!$BJ345:$BT345,,AH345)*(1-AF345)+INDEX(Models!$BJ345:$BT345,,AH345+1)*AF345-ERP_i)*AE345*Ramure*Pc/MaxiM</f>
        <v>9.9676293068535232E-2</v>
      </c>
      <c r="AE345" s="305">
        <f t="shared" si="142"/>
        <v>0.7</v>
      </c>
      <c r="AF345" s="177">
        <f t="shared" si="143"/>
        <v>9.9702770190700729E-2</v>
      </c>
      <c r="AG345" s="817">
        <f t="shared" si="149"/>
        <v>2</v>
      </c>
      <c r="AH345" s="176">
        <f t="shared" si="144"/>
        <v>8</v>
      </c>
      <c r="AI345" s="225">
        <f t="shared" si="145"/>
        <v>2.0997027701907007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46719</v>
      </c>
      <c r="B346" s="411">
        <f>'2026'!Wh/'2026'!Env_an*'2027'!Env_an</f>
        <v>5.6453541995042107</v>
      </c>
      <c r="C346" s="846"/>
      <c r="D346" s="393">
        <f t="shared" si="127"/>
        <v>6.0964814387620869</v>
      </c>
      <c r="E346" s="385">
        <f t="shared" si="125"/>
        <v>6.4173996750603726</v>
      </c>
      <c r="F346" s="385">
        <f t="shared" si="128"/>
        <v>6.4925639510171838</v>
      </c>
      <c r="G346" s="110">
        <f t="shared" si="126"/>
        <v>0.47646066864547842</v>
      </c>
      <c r="H346" s="414" t="b">
        <f>Wh_hp&gt;='2026'!Maxi_hp</f>
        <v>0</v>
      </c>
      <c r="I346" s="390">
        <f>IF(H346,Wh_hp,'2026'!Maxi_hp)</f>
        <v>11.673950035161885</v>
      </c>
      <c r="J346" s="85">
        <f>IF(H346,An,'2026'!An_max)</f>
        <v>2018</v>
      </c>
      <c r="K346" s="197">
        <f t="shared" si="129"/>
        <v>46719</v>
      </c>
      <c r="L346" s="147">
        <f>IF(t&lt;Tvie,1-EXP((T0-t)*PertePVj)+'2026'!Pspv,1-EXP((T0-t)*PertePVj)+Pspv)</f>
        <v>7.399796813774584E-2</v>
      </c>
      <c r="M346" s="850"/>
      <c r="N346" s="850"/>
      <c r="O346" s="48">
        <f>IF(t&lt;Tnet,'2026'!Resal+('2026'!Salim-'2026'!Resal)*(1-EXP(('2026'!Tnet-t)/('2026'!Tau_j))),Resal+(Salim-Resal)*(1-EXP((Tnet-t)/(Tau_j))))*Salcycl</f>
        <v>5.0007519018248806E-2</v>
      </c>
      <c r="P346" s="169">
        <f>(INDEX(Models!$BJ346:$BT346,,T346)*(1-R346)+INDEX(Models!$BJ346:$BT346,,T346+1)*R346-ERP_i)*Q346*Ramure*Pc/MaxiM</f>
        <v>4.2267436252911968E-2</v>
      </c>
      <c r="Q346" s="305">
        <f t="shared" si="130"/>
        <v>0.7</v>
      </c>
      <c r="R346" s="177">
        <f t="shared" si="131"/>
        <v>0.47585800987387927</v>
      </c>
      <c r="S346" s="817">
        <f t="shared" si="132"/>
        <v>-1</v>
      </c>
      <c r="T346" s="176">
        <f t="shared" si="133"/>
        <v>5</v>
      </c>
      <c r="U346" s="251">
        <f t="shared" si="134"/>
        <v>-0.52414199012612073</v>
      </c>
      <c r="V346" s="383">
        <f t="shared" si="135"/>
        <v>11.480625273021639</v>
      </c>
      <c r="W346" s="402">
        <f t="shared" si="136"/>
        <v>5.6453541995042107</v>
      </c>
      <c r="X346" s="157">
        <f t="shared" si="137"/>
        <v>46719</v>
      </c>
      <c r="Y346" s="385">
        <f t="shared" si="138"/>
        <v>5.1958445436098009</v>
      </c>
      <c r="Z346" s="385">
        <f t="shared" si="139"/>
        <v>5.6110509100726249</v>
      </c>
      <c r="AA346" s="386">
        <f t="shared" si="140"/>
        <v>6.3167292784927422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0.11171578475316617</v>
      </c>
      <c r="AD346" s="231">
        <f>(INDEX(Models!$BJ346:$BT346,,AH346)*(1-AF346)+INDEX(Models!$BJ346:$BT346,,AH346+1)*AF346-ERP_i)*AE346*Ramure*Pc/MaxiM</f>
        <v>9.887783414888307E-2</v>
      </c>
      <c r="AE346" s="305">
        <f t="shared" si="142"/>
        <v>0.7</v>
      </c>
      <c r="AF346" s="177">
        <f t="shared" si="143"/>
        <v>9.9721379249935183E-2</v>
      </c>
      <c r="AG346" s="817">
        <f t="shared" si="149"/>
        <v>2</v>
      </c>
      <c r="AH346" s="176">
        <f t="shared" si="144"/>
        <v>8</v>
      </c>
      <c r="AI346" s="225">
        <f t="shared" si="145"/>
        <v>2.0997213792499352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46720</v>
      </c>
      <c r="B347" s="411">
        <f>'2026'!Wh/'2026'!Env_an*'2027'!Env_an</f>
        <v>6.3111215959584399</v>
      </c>
      <c r="C347" s="846"/>
      <c r="D347" s="393">
        <f t="shared" si="127"/>
        <v>6.8156004107828263</v>
      </c>
      <c r="E347" s="385">
        <f t="shared" si="125"/>
        <v>7.175230524963685</v>
      </c>
      <c r="F347" s="385">
        <f t="shared" si="128"/>
        <v>7.2879891933857532</v>
      </c>
      <c r="G347" s="110">
        <f t="shared" si="126"/>
        <v>0.54204654692271825</v>
      </c>
      <c r="H347" s="414" t="b">
        <f>Wh_hp&gt;='2026'!Maxi_hp</f>
        <v>0</v>
      </c>
      <c r="I347" s="390">
        <f>IF(H347,Wh_hp,'2026'!Maxi_hp)</f>
        <v>13.75945482004663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7.401824995876527E-2</v>
      </c>
      <c r="M347" s="850"/>
      <c r="N347" s="850"/>
      <c r="O347" s="48">
        <f>IF(t&lt;Tnet,'2026'!Resal+('2026'!Salim-'2026'!Resal)*(1-EXP(('2026'!Tnet-t)/('2026'!Tau_j))),Resal+(Salim-Resal)*(1-EXP((Tnet-t)/(Tau_j))))*Salcycl</f>
        <v>5.0121053662269453E-2</v>
      </c>
      <c r="P347" s="169">
        <f>(INDEX(Models!$BJ347:$BT347,,T347)*(1-R347)+INDEX(Models!$BJ347:$BT347,,T347+1)*R347-ERP_i)*Q347*Ramure*Pc/MaxiM</f>
        <v>4.2120486469114031E-2</v>
      </c>
      <c r="Q347" s="305">
        <f t="shared" si="130"/>
        <v>0.7</v>
      </c>
      <c r="R347" s="177">
        <f t="shared" si="131"/>
        <v>0.47587587098000839</v>
      </c>
      <c r="S347" s="817">
        <f t="shared" si="132"/>
        <v>-1</v>
      </c>
      <c r="T347" s="176">
        <f t="shared" si="133"/>
        <v>5</v>
      </c>
      <c r="U347" s="251">
        <f t="shared" si="134"/>
        <v>-0.52412412901999161</v>
      </c>
      <c r="V347" s="383">
        <f t="shared" si="135"/>
        <v>11.327986219578014</v>
      </c>
      <c r="W347" s="402">
        <f t="shared" si="136"/>
        <v>6.3111215959584399</v>
      </c>
      <c r="X347" s="157">
        <f t="shared" si="137"/>
        <v>46720</v>
      </c>
      <c r="Y347" s="385">
        <f t="shared" si="138"/>
        <v>5.7786649829822707</v>
      </c>
      <c r="Z347" s="385">
        <f t="shared" si="139"/>
        <v>6.2405819366579767</v>
      </c>
      <c r="AA347" s="386">
        <f t="shared" si="140"/>
        <v>7.0254682375670336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0.11172014083161927</v>
      </c>
      <c r="AD347" s="231">
        <f>(INDEX(Models!$BJ347:$BT347,,AH347)*(1-AF347)+INDEX(Models!$BJ347:$BT347,,AH347+1)*AF347-ERP_i)*AE347*Ramure*Pc/MaxiM</f>
        <v>9.8063506089232422E-2</v>
      </c>
      <c r="AE347" s="305">
        <f t="shared" si="142"/>
        <v>0.7</v>
      </c>
      <c r="AF347" s="177">
        <f t="shared" si="143"/>
        <v>9.9739240356064407E-2</v>
      </c>
      <c r="AG347" s="817">
        <f t="shared" si="149"/>
        <v>2</v>
      </c>
      <c r="AH347" s="176">
        <f t="shared" si="144"/>
        <v>8</v>
      </c>
      <c r="AI347" s="225">
        <f t="shared" si="145"/>
        <v>2.0997392403560644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46721</v>
      </c>
      <c r="B348" s="411">
        <f>'2026'!Wh/'2026'!Env_an*'2027'!Env_an</f>
        <v>2.345439673793547</v>
      </c>
      <c r="C348" s="846"/>
      <c r="D348" s="393">
        <f t="shared" si="127"/>
        <v>2.5329776164190636</v>
      </c>
      <c r="E348" s="385">
        <f t="shared" si="125"/>
        <v>2.6669525263808942</v>
      </c>
      <c r="F348" s="385">
        <f t="shared" si="128"/>
        <v>2.6669525263808942</v>
      </c>
      <c r="G348" s="110">
        <f t="shared" si="126"/>
        <v>0.2009909527473786</v>
      </c>
      <c r="H348" s="414" t="b">
        <f>Wh_hp&gt;='2026'!Maxi_hp</f>
        <v>0</v>
      </c>
      <c r="I348" s="390">
        <f>IF(H348,Wh_hp,'2026'!Maxi_hp)</f>
        <v>12.01500433375004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7.4038531335560598E-2</v>
      </c>
      <c r="M348" s="850"/>
      <c r="N348" s="850"/>
      <c r="O348" s="48">
        <f>IF(t&lt;Tnet,'2026'!Resal+('2026'!Salim-'2026'!Resal)*(1-EXP(('2026'!Tnet-t)/('2026'!Tau_j))),Resal+(Salim-Resal)*(1-EXP((Tnet-t)/(Tau_j))))*Salcycl</f>
        <v>5.0235206152558401E-2</v>
      </c>
      <c r="P348" s="169">
        <f>(INDEX(Models!$BJ348:$BT348,,T348)*(1-R348)+INDEX(Models!$BJ348:$BT348,,T348+1)*R348-ERP_i)*Q348*Ramure*Pc/MaxiM</f>
        <v>4.1935415415788567E-2</v>
      </c>
      <c r="Q348" s="305">
        <f t="shared" si="130"/>
        <v>0.7</v>
      </c>
      <c r="R348" s="177">
        <f t="shared" si="131"/>
        <v>0.47589301414521756</v>
      </c>
      <c r="S348" s="817">
        <f t="shared" si="132"/>
        <v>-1</v>
      </c>
      <c r="T348" s="176">
        <f t="shared" si="133"/>
        <v>5</v>
      </c>
      <c r="U348" s="251">
        <f t="shared" si="134"/>
        <v>-0.52410698585478244</v>
      </c>
      <c r="V348" s="383">
        <f t="shared" si="135"/>
        <v>11.180019080583468</v>
      </c>
      <c r="W348" s="402">
        <f t="shared" si="136"/>
        <v>2.345439673793547</v>
      </c>
      <c r="X348" s="157">
        <f t="shared" si="137"/>
        <v>46721</v>
      </c>
      <c r="Y348" s="385">
        <f t="shared" si="138"/>
        <v>2.1935874381672149</v>
      </c>
      <c r="Z348" s="385">
        <f t="shared" si="139"/>
        <v>2.3689834970467354</v>
      </c>
      <c r="AA348" s="386">
        <f t="shared" si="140"/>
        <v>2.6669525263808942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0.1117264092205303</v>
      </c>
      <c r="AD348" s="231">
        <f>(INDEX(Models!$BJ348:$BT348,,AH348)*(1-AF348)+INDEX(Models!$BJ348:$BT348,,AH348+1)*AF348-ERP_i)*AE348*Ramure*Pc/MaxiM</f>
        <v>9.722440677326466E-2</v>
      </c>
      <c r="AE348" s="305">
        <f t="shared" si="142"/>
        <v>0.7</v>
      </c>
      <c r="AF348" s="177">
        <f t="shared" si="143"/>
        <v>9.9756383521273584E-2</v>
      </c>
      <c r="AG348" s="817">
        <f t="shared" si="149"/>
        <v>2</v>
      </c>
      <c r="AH348" s="176">
        <f t="shared" si="144"/>
        <v>8</v>
      </c>
      <c r="AI348" s="225">
        <f t="shared" si="145"/>
        <v>2.0997563835212736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46722</v>
      </c>
      <c r="B349" s="411">
        <f>'2026'!Wh/'2026'!Env_an*'2027'!Env_an</f>
        <v>2.1707189192118697</v>
      </c>
      <c r="C349" s="846"/>
      <c r="D349" s="393">
        <f t="shared" si="127"/>
        <v>2.3443377916141306</v>
      </c>
      <c r="E349" s="385">
        <f t="shared" si="125"/>
        <v>2.4686334311176537</v>
      </c>
      <c r="F349" s="385">
        <f t="shared" si="128"/>
        <v>2.4686334311176537</v>
      </c>
      <c r="G349" s="110">
        <f t="shared" si="126"/>
        <v>0.18846078451832288</v>
      </c>
      <c r="H349" s="414" t="b">
        <f>Wh_hp&gt;='2026'!Maxi_hp</f>
        <v>0</v>
      </c>
      <c r="I349" s="390">
        <f>IF(H349,Wh_hp,'2026'!Maxi_hp)</f>
        <v>12.606497833534238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7.4058812268141816E-2</v>
      </c>
      <c r="M349" s="850"/>
      <c r="N349" s="850"/>
      <c r="O349" s="48">
        <f>IF(t&lt;Tnet,'2026'!Resal+('2026'!Salim-'2026'!Resal)*(1-EXP(('2026'!Tnet-t)/('2026'!Tau_j))),Resal+(Salim-Resal)*(1-EXP((Tnet-t)/(Tau_j))))*Salcycl</f>
        <v>5.0349978225503217E-2</v>
      </c>
      <c r="P349" s="169">
        <f>(INDEX(Models!$BJ349:$BT349,,T349)*(1-R349)+INDEX(Models!$BJ349:$BT349,,T349+1)*R349-ERP_i)*Q349*Ramure*Pc/MaxiM</f>
        <v>4.1707199379897329E-2</v>
      </c>
      <c r="Q349" s="305">
        <f t="shared" si="130"/>
        <v>0.7</v>
      </c>
      <c r="R349" s="177">
        <f t="shared" si="131"/>
        <v>0.47590946818139301</v>
      </c>
      <c r="S349" s="817">
        <f t="shared" si="132"/>
        <v>-1</v>
      </c>
      <c r="T349" s="176">
        <f t="shared" si="133"/>
        <v>5</v>
      </c>
      <c r="U349" s="251">
        <f t="shared" si="134"/>
        <v>-0.52409053181860699</v>
      </c>
      <c r="V349" s="383">
        <f t="shared" si="135"/>
        <v>11.037756835021247</v>
      </c>
      <c r="W349" s="402">
        <f t="shared" si="136"/>
        <v>2.1707189192118697</v>
      </c>
      <c r="X349" s="157">
        <f t="shared" si="137"/>
        <v>46722</v>
      </c>
      <c r="Y349" s="385">
        <f t="shared" si="138"/>
        <v>2.0304054222789945</v>
      </c>
      <c r="Z349" s="385">
        <f t="shared" si="139"/>
        <v>2.1928017126579924</v>
      </c>
      <c r="AA349" s="386">
        <f t="shared" si="140"/>
        <v>2.4686334311176537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0.11173457953811339</v>
      </c>
      <c r="AD349" s="231">
        <f>(INDEX(Models!$BJ349:$BT349,,AH349)*(1-AF349)+INDEX(Models!$BJ349:$BT349,,AH349+1)*AF349-ERP_i)*AE349*Ramure*Pc/MaxiM</f>
        <v>9.6351466369417826E-2</v>
      </c>
      <c r="AE349" s="305">
        <f t="shared" si="142"/>
        <v>0.7</v>
      </c>
      <c r="AF349" s="177">
        <f t="shared" si="143"/>
        <v>9.9772837557448923E-2</v>
      </c>
      <c r="AG349" s="817">
        <f t="shared" si="149"/>
        <v>2</v>
      </c>
      <c r="AH349" s="176">
        <f t="shared" si="144"/>
        <v>8</v>
      </c>
      <c r="AI349" s="225">
        <f t="shared" si="145"/>
        <v>2.0997728375574489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46723</v>
      </c>
      <c r="B350" s="411">
        <f>'2026'!Wh/'2026'!Env_an*'2027'!Env_an</f>
        <v>3.3540703409972763</v>
      </c>
      <c r="C350" s="846"/>
      <c r="D350" s="393">
        <f t="shared" si="127"/>
        <v>3.622415602410936</v>
      </c>
      <c r="E350" s="385">
        <f t="shared" si="125"/>
        <v>3.8149378471964899</v>
      </c>
      <c r="F350" s="385">
        <f t="shared" si="128"/>
        <v>3.8166659228174025</v>
      </c>
      <c r="G350" s="110">
        <f t="shared" si="126"/>
        <v>0.29503730122560801</v>
      </c>
      <c r="H350" s="414" t="b">
        <f>Wh_hp&gt;='2026'!Maxi_hp</f>
        <v>0</v>
      </c>
      <c r="I350" s="390">
        <f>IF(H350,Wh_hp,'2026'!Maxi_hp)</f>
        <v>5.9138462610467215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7.4079092756518583E-2</v>
      </c>
      <c r="M350" s="850"/>
      <c r="N350" s="850"/>
      <c r="O350" s="48">
        <f>IF(t&lt;Tnet,'2026'!Resal+('2026'!Salim-'2026'!Resal)*(1-EXP(('2026'!Tnet-t)/('2026'!Tau_j))),Resal+(Salim-Resal)*(1-EXP((Tnet-t)/(Tau_j))))*Salcycl</f>
        <v>5.0465368636879386E-2</v>
      </c>
      <c r="P350" s="169">
        <f>(INDEX(Models!$BJ350:$BT350,,T350)*(1-R350)+INDEX(Models!$BJ350:$BT350,,T350+1)*R350-ERP_i)*Q350*Ramure*Pc/MaxiM</f>
        <v>4.1430718308202739E-2</v>
      </c>
      <c r="Q350" s="305">
        <f t="shared" si="130"/>
        <v>0.7</v>
      </c>
      <c r="R350" s="177">
        <f t="shared" si="131"/>
        <v>0.47592526074781494</v>
      </c>
      <c r="S350" s="817">
        <f t="shared" si="132"/>
        <v>-1</v>
      </c>
      <c r="T350" s="176">
        <f t="shared" si="133"/>
        <v>5</v>
      </c>
      <c r="U350" s="251">
        <f t="shared" si="134"/>
        <v>-0.52407473925218506</v>
      </c>
      <c r="V350" s="383">
        <f t="shared" si="135"/>
        <v>10.902232197611436</v>
      </c>
      <c r="W350" s="402">
        <f t="shared" si="136"/>
        <v>3.3540703409972763</v>
      </c>
      <c r="X350" s="157">
        <f t="shared" si="137"/>
        <v>46723</v>
      </c>
      <c r="Y350" s="385">
        <f t="shared" si="138"/>
        <v>3.1357590953575474</v>
      </c>
      <c r="Z350" s="385">
        <f t="shared" si="139"/>
        <v>3.3866381791646529</v>
      </c>
      <c r="AA350" s="386">
        <f t="shared" si="140"/>
        <v>3.8126853069997759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0.11174463495661063</v>
      </c>
      <c r="AD350" s="231">
        <f>(INDEX(Models!$BJ350:$BT350,,AH350)*(1-AF350)+INDEX(Models!$BJ350:$BT350,,AH350+1)*AF350-ERP_i)*AE350*Ramure*Pc/MaxiM</f>
        <v>9.5435506778441634E-2</v>
      </c>
      <c r="AE350" s="305">
        <f t="shared" si="142"/>
        <v>0.7</v>
      </c>
      <c r="AF350" s="177">
        <f t="shared" si="143"/>
        <v>9.9788630123871069E-2</v>
      </c>
      <c r="AG350" s="817">
        <f t="shared" si="149"/>
        <v>2</v>
      </c>
      <c r="AH350" s="176">
        <f t="shared" si="144"/>
        <v>8</v>
      </c>
      <c r="AI350" s="225">
        <f t="shared" si="145"/>
        <v>2.0997886301238711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46724</v>
      </c>
      <c r="B351" s="411">
        <f>'2026'!Wh/'2026'!Env_an*'2027'!Env_an</f>
        <v>5.8469043055854097</v>
      </c>
      <c r="C351" s="846"/>
      <c r="D351" s="393">
        <f t="shared" si="127"/>
        <v>6.3148291877405409</v>
      </c>
      <c r="E351" s="385">
        <f t="shared" si="125"/>
        <v>6.6512590018655642</v>
      </c>
      <c r="F351" s="385">
        <f t="shared" si="128"/>
        <v>6.747396145938489</v>
      </c>
      <c r="G351" s="110">
        <f t="shared" si="126"/>
        <v>0.52787981959493424</v>
      </c>
      <c r="H351" s="414" t="b">
        <f>Wh_hp&gt;='2026'!Maxi_hp</f>
        <v>0</v>
      </c>
      <c r="I351" s="390">
        <f>IF(H351,Wh_hp,'2026'!Maxi_hp)</f>
        <v>10.154627758831777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7.4099372800700558E-2</v>
      </c>
      <c r="M351" s="850"/>
      <c r="N351" s="850"/>
      <c r="O351" s="48">
        <f>IF(t&lt;Tnet,'2026'!Resal+('2026'!Salim-'2026'!Resal)*(1-EXP(('2026'!Tnet-t)/('2026'!Tau_j))),Resal+(Salim-Resal)*(1-EXP((Tnet-t)/(Tau_j))))*Salcycl</f>
        <v>5.0581373245375129E-2</v>
      </c>
      <c r="P351" s="169">
        <f>(INDEX(Models!$BJ351:$BT351,,T351)*(1-R351)+INDEX(Models!$BJ351:$BT351,,T351+1)*R351-ERP_i)*Q351*Ramure*Pc/MaxiM</f>
        <v>4.1100820070988829E-2</v>
      </c>
      <c r="Q351" s="305">
        <f t="shared" si="130"/>
        <v>0.7</v>
      </c>
      <c r="R351" s="177">
        <f t="shared" si="131"/>
        <v>0.47594041839697754</v>
      </c>
      <c r="S351" s="817">
        <f t="shared" si="132"/>
        <v>-1</v>
      </c>
      <c r="T351" s="176">
        <f t="shared" si="133"/>
        <v>5</v>
      </c>
      <c r="U351" s="251">
        <f t="shared" si="134"/>
        <v>-0.52405958160302246</v>
      </c>
      <c r="V351" s="383">
        <f t="shared" si="135"/>
        <v>10.774477599377088</v>
      </c>
      <c r="W351" s="402">
        <f t="shared" si="136"/>
        <v>5.8469043055854097</v>
      </c>
      <c r="X351" s="157">
        <f t="shared" si="137"/>
        <v>46724</v>
      </c>
      <c r="Y351" s="385">
        <f t="shared" si="138"/>
        <v>5.3675016942941713</v>
      </c>
      <c r="Z351" s="385">
        <f t="shared" si="139"/>
        <v>5.7970602207388078</v>
      </c>
      <c r="AA351" s="386">
        <f t="shared" si="140"/>
        <v>6.5264317308177437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0.11175655245650556</v>
      </c>
      <c r="AD351" s="231">
        <f>(INDEX(Models!$BJ351:$BT351,,AH351)*(1-AF351)+INDEX(Models!$BJ351:$BT351,,AH351+1)*AF351-ERP_i)*AE351*Ramure*Pc/MaxiM</f>
        <v>9.446732327600664E-2</v>
      </c>
      <c r="AE351" s="305">
        <f t="shared" si="142"/>
        <v>0.7</v>
      </c>
      <c r="AF351" s="177">
        <f t="shared" si="143"/>
        <v>9.9803787773033559E-2</v>
      </c>
      <c r="AG351" s="817">
        <f t="shared" si="149"/>
        <v>2</v>
      </c>
      <c r="AH351" s="176">
        <f t="shared" si="144"/>
        <v>8</v>
      </c>
      <c r="AI351" s="225">
        <f t="shared" si="145"/>
        <v>2.0998037877730336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46725</v>
      </c>
      <c r="B352" s="411">
        <f>'2026'!Wh/'2026'!Env_an*'2027'!Env_an</f>
        <v>8.4113758474390341</v>
      </c>
      <c r="C352" s="846"/>
      <c r="D352" s="393">
        <f t="shared" si="127"/>
        <v>9.0847331075216484</v>
      </c>
      <c r="E352" s="385">
        <f t="shared" si="125"/>
        <v>9.569908169431562</v>
      </c>
      <c r="F352" s="385">
        <f t="shared" si="128"/>
        <v>9.8505791460606389</v>
      </c>
      <c r="G352" s="110">
        <f t="shared" si="126"/>
        <v>0.77946210414700423</v>
      </c>
      <c r="H352" s="414" t="b">
        <f>Wh_hp&gt;='2026'!Maxi_hp</f>
        <v>0</v>
      </c>
      <c r="I352" s="390">
        <f>IF(H352,Wh_hp,'2026'!Maxi_hp)</f>
        <v>9.9346026351631416</v>
      </c>
      <c r="J352" s="85">
        <f>IF(H352,An,'2026'!An_max)</f>
        <v>2025</v>
      </c>
      <c r="K352" s="197">
        <f t="shared" si="129"/>
        <v>46725</v>
      </c>
      <c r="L352" s="147">
        <f>IF(t&lt;Tvie,1-EXP((T0-t)*PertePVj)+'2026'!Pspv,1-EXP((T0-t)*PertePVj)+Pspv)</f>
        <v>7.4119652400697622E-2</v>
      </c>
      <c r="M352" s="850"/>
      <c r="N352" s="850"/>
      <c r="O352" s="48">
        <f>IF(t&lt;Tnet,'2026'!Resal+('2026'!Salim-'2026'!Resal)*(1-EXP(('2026'!Tnet-t)/('2026'!Tau_j))),Resal+(Salim-Resal)*(1-EXP((Tnet-t)/(Tau_j))))*Salcycl</f>
        <v>5.0697985113344335E-2</v>
      </c>
      <c r="P352" s="169">
        <f>(INDEX(Models!$BJ352:$BT352,,T352)*(1-R352)+INDEX(Models!$BJ352:$BT352,,T352+1)*R352-ERP_i)*Q352*Ramure*Pc/MaxiM</f>
        <v>4.0751994826681889E-2</v>
      </c>
      <c r="Q352" s="305">
        <f t="shared" si="130"/>
        <v>0.7</v>
      </c>
      <c r="R352" s="177">
        <f t="shared" si="131"/>
        <v>0.47595496661861247</v>
      </c>
      <c r="S352" s="817">
        <f t="shared" si="132"/>
        <v>-1</v>
      </c>
      <c r="T352" s="176">
        <f t="shared" si="133"/>
        <v>5</v>
      </c>
      <c r="U352" s="251">
        <f t="shared" si="134"/>
        <v>-0.52404503338138753</v>
      </c>
      <c r="V352" s="383">
        <f t="shared" si="135"/>
        <v>10.655085344228086</v>
      </c>
      <c r="W352" s="402">
        <f t="shared" si="136"/>
        <v>8.4113758474390341</v>
      </c>
      <c r="X352" s="157">
        <f t="shared" si="137"/>
        <v>46725</v>
      </c>
      <c r="Y352" s="385">
        <f t="shared" si="138"/>
        <v>7.57134424755239</v>
      </c>
      <c r="Z352" s="385">
        <f t="shared" si="139"/>
        <v>8.1774543192152045</v>
      </c>
      <c r="AA352" s="386">
        <f t="shared" si="140"/>
        <v>9.2064635396594952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0.11177030311492968</v>
      </c>
      <c r="AD352" s="231">
        <f>(INDEX(Models!$BJ352:$BT352,,AH352)*(1-AF352)+INDEX(Models!$BJ352:$BT352,,AH352+1)*AF352-ERP_i)*AE352*Ramure*Pc/MaxiM</f>
        <v>9.3522302074482075E-2</v>
      </c>
      <c r="AE352" s="305">
        <f t="shared" si="142"/>
        <v>0.7</v>
      </c>
      <c r="AF352" s="177">
        <f t="shared" si="143"/>
        <v>9.9818335994668494E-2</v>
      </c>
      <c r="AG352" s="817">
        <f t="shared" si="149"/>
        <v>2</v>
      </c>
      <c r="AH352" s="176">
        <f t="shared" si="144"/>
        <v>8</v>
      </c>
      <c r="AI352" s="225">
        <f t="shared" si="145"/>
        <v>2.0998183359946685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46726</v>
      </c>
      <c r="B353" s="411">
        <f>'2026'!Wh/'2026'!Env_an*'2027'!Env_an</f>
        <v>9.7988208939690757</v>
      </c>
      <c r="C353" s="846"/>
      <c r="D353" s="393">
        <f t="shared" si="127"/>
        <v>10.583479326894901</v>
      </c>
      <c r="E353" s="385">
        <f t="shared" si="125"/>
        <v>11.15007242736136</v>
      </c>
      <c r="F353" s="385">
        <f t="shared" si="128"/>
        <v>11.570348754483918</v>
      </c>
      <c r="G353" s="110">
        <f t="shared" si="126"/>
        <v>0.92531891533943444</v>
      </c>
      <c r="H353" s="414" t="b">
        <f>Wh_hp&gt;='2026'!Maxi_hp</f>
        <v>0</v>
      </c>
      <c r="I353" s="390">
        <f>IF(H353,Wh_hp,'2026'!Maxi_hp)</f>
        <v>11.60322248058047</v>
      </c>
      <c r="J353" s="85">
        <f>IF(H353,An,'2026'!An_max)</f>
        <v>2025</v>
      </c>
      <c r="K353" s="197">
        <f t="shared" si="129"/>
        <v>46726</v>
      </c>
      <c r="L353" s="147">
        <f>IF(t&lt;Tvie,1-EXP((T0-t)*PertePVj)+'2026'!Pspv,1-EXP((T0-t)*PertePVj)+Pspv)</f>
        <v>7.4139931556519323E-2</v>
      </c>
      <c r="M353" s="850"/>
      <c r="N353" s="850"/>
      <c r="O353" s="48">
        <f>IF(t&lt;Tnet,'2026'!Resal+('2026'!Salim-'2026'!Resal)*(1-EXP(('2026'!Tnet-t)/('2026'!Tau_j))),Resal+(Salim-Resal)*(1-EXP((Tnet-t)/(Tau_j))))*Salcycl</f>
        <v>5.0815194623856072E-2</v>
      </c>
      <c r="P353" s="169">
        <f>(INDEX(Models!$BJ353:$BT353,,T353)*(1-R353)+INDEX(Models!$BJ353:$BT353,,T353+1)*R353-ERP_i)*Q353*Ramure*Pc/MaxiM</f>
        <v>4.0407192754391537E-2</v>
      </c>
      <c r="Q353" s="305">
        <f t="shared" si="130"/>
        <v>0.7</v>
      </c>
      <c r="R353" s="177">
        <f t="shared" si="131"/>
        <v>0.47596892988198147</v>
      </c>
      <c r="S353" s="817">
        <f t="shared" si="132"/>
        <v>-1</v>
      </c>
      <c r="T353" s="176">
        <f t="shared" si="133"/>
        <v>5</v>
      </c>
      <c r="U353" s="251">
        <f t="shared" si="134"/>
        <v>-0.52403107011801853</v>
      </c>
      <c r="V353" s="383">
        <f t="shared" si="135"/>
        <v>10.54479460260819</v>
      </c>
      <c r="W353" s="402">
        <f t="shared" si="136"/>
        <v>9.7988208939690757</v>
      </c>
      <c r="X353" s="157">
        <f t="shared" si="137"/>
        <v>46726</v>
      </c>
      <c r="Y353" s="385">
        <f t="shared" si="138"/>
        <v>8.7227891133683499</v>
      </c>
      <c r="Z353" s="385">
        <f t="shared" si="139"/>
        <v>9.4212823413291371</v>
      </c>
      <c r="AA353" s="386">
        <f t="shared" si="140"/>
        <v>10.606994233382522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0.1117858524257223</v>
      </c>
      <c r="AD353" s="231">
        <f>(INDEX(Models!$BJ353:$BT353,,AH353)*(1-AF353)+INDEX(Models!$BJ353:$BT353,,AH353+1)*AF353-ERP_i)*AE353*Ramure*Pc/MaxiM</f>
        <v>9.2621090727309077E-2</v>
      </c>
      <c r="AE353" s="305">
        <f t="shared" si="142"/>
        <v>0.7</v>
      </c>
      <c r="AF353" s="177">
        <f t="shared" si="143"/>
        <v>9.9832299258037605E-2</v>
      </c>
      <c r="AG353" s="817">
        <f t="shared" si="149"/>
        <v>2</v>
      </c>
      <c r="AH353" s="176">
        <f t="shared" si="144"/>
        <v>8</v>
      </c>
      <c r="AI353" s="225">
        <f t="shared" si="145"/>
        <v>2.0998322992580376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46727</v>
      </c>
      <c r="B354" s="411">
        <f>'2026'!Wh/'2026'!Env_an*'2027'!Env_an</f>
        <v>7.1054276558410132</v>
      </c>
      <c r="C354" s="846"/>
      <c r="D354" s="393">
        <f t="shared" si="127"/>
        <v>7.674575811760203</v>
      </c>
      <c r="E354" s="385">
        <f t="shared" si="125"/>
        <v>8.0864425038128704</v>
      </c>
      <c r="F354" s="385">
        <f t="shared" si="128"/>
        <v>8.266363973713462</v>
      </c>
      <c r="G354" s="110">
        <f t="shared" si="126"/>
        <v>0.66756930651877489</v>
      </c>
      <c r="H354" s="414" t="b">
        <f>Wh_hp&gt;='2026'!Maxi_hp</f>
        <v>0</v>
      </c>
      <c r="I354" s="390">
        <f>IF(H354,Wh_hp,'2026'!Maxi_hp)</f>
        <v>11.896832592856089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7.416021026817543E-2</v>
      </c>
      <c r="M354" s="850"/>
      <c r="N354" s="850"/>
      <c r="O354" s="48">
        <f>IF(t&lt;Tnet,'2026'!Resal+('2026'!Salim-'2026'!Resal)*(1-EXP(('2026'!Tnet-t)/('2026'!Tau_j))),Resal+(Salim-Resal)*(1-EXP((Tnet-t)/(Tau_j))))*Salcycl</f>
        <v>5.0932989612980775E-2</v>
      </c>
      <c r="P354" s="169">
        <f>(INDEX(Models!$BJ354:$BT354,,T354)*(1-R354)+INDEX(Models!$BJ354:$BT354,,T354+1)*R354-ERP_i)*Q354*Ramure*Pc/MaxiM</f>
        <v>4.0063311099743662E-2</v>
      </c>
      <c r="Q354" s="305">
        <f t="shared" si="130"/>
        <v>0.7</v>
      </c>
      <c r="R354" s="177">
        <f t="shared" si="131"/>
        <v>0.47598233167650439</v>
      </c>
      <c r="S354" s="817">
        <f t="shared" si="132"/>
        <v>-1</v>
      </c>
      <c r="T354" s="176">
        <f t="shared" si="133"/>
        <v>5</v>
      </c>
      <c r="U354" s="251">
        <f t="shared" si="134"/>
        <v>-0.52401766832349561</v>
      </c>
      <c r="V354" s="383">
        <f t="shared" si="135"/>
        <v>10.444639938332385</v>
      </c>
      <c r="W354" s="402">
        <f t="shared" si="136"/>
        <v>7.1054276558410132</v>
      </c>
      <c r="X354" s="157">
        <f t="shared" si="137"/>
        <v>46727</v>
      </c>
      <c r="Y354" s="385">
        <f t="shared" si="138"/>
        <v>6.4587993061803468</v>
      </c>
      <c r="Z354" s="385">
        <f t="shared" si="139"/>
        <v>6.9761522218127823</v>
      </c>
      <c r="AA354" s="386">
        <f t="shared" si="140"/>
        <v>7.8542862490991077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0.11180316064837183</v>
      </c>
      <c r="AD354" s="231">
        <f>(INDEX(Models!$BJ354:$BT354,,AH354)*(1-AF354)+INDEX(Models!$BJ354:$BT354,,AH354+1)*AF354-ERP_i)*AE354*Ramure*Pc/MaxiM</f>
        <v>9.1757799042108873E-2</v>
      </c>
      <c r="AE354" s="305">
        <f t="shared" si="142"/>
        <v>0.7</v>
      </c>
      <c r="AF354" s="177">
        <f t="shared" si="143"/>
        <v>9.9845701052560631E-2</v>
      </c>
      <c r="AG354" s="817">
        <f t="shared" si="149"/>
        <v>2</v>
      </c>
      <c r="AH354" s="176">
        <f t="shared" si="144"/>
        <v>8</v>
      </c>
      <c r="AI354" s="225">
        <f t="shared" si="145"/>
        <v>2.0998457010525606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46728</v>
      </c>
      <c r="B355" s="411">
        <f>'2026'!Wh/'2026'!Env_an*'2027'!Env_an</f>
        <v>8.2894536623045489</v>
      </c>
      <c r="C355" s="846"/>
      <c r="D355" s="393">
        <f t="shared" si="127"/>
        <v>8.9536389756935648</v>
      </c>
      <c r="E355" s="385">
        <f t="shared" si="125"/>
        <v>9.4353251124179476</v>
      </c>
      <c r="F355" s="385">
        <f t="shared" si="128"/>
        <v>9.7110857358127589</v>
      </c>
      <c r="G355" s="110">
        <f t="shared" si="126"/>
        <v>0.79114915968051991</v>
      </c>
      <c r="H355" s="414" t="b">
        <f>Wh_hp&gt;='2026'!Maxi_hp</f>
        <v>0</v>
      </c>
      <c r="I355" s="390">
        <f>IF(H355,Wh_hp,'2026'!Maxi_hp)</f>
        <v>11.718067390953806</v>
      </c>
      <c r="J355" s="85">
        <f>IF(H355,An,'2026'!An_max)</f>
        <v>2018</v>
      </c>
      <c r="K355" s="197">
        <f t="shared" si="129"/>
        <v>46728</v>
      </c>
      <c r="L355" s="147">
        <f>IF(t&lt;Tvie,1-EXP((T0-t)*PertePVj)+'2026'!Pspv,1-EXP((T0-t)*PertePVj)+Pspv)</f>
        <v>7.4180488535675715E-2</v>
      </c>
      <c r="M355" s="850"/>
      <c r="N355" s="850"/>
      <c r="O355" s="48">
        <f>IF(t&lt;Tnet,'2026'!Resal+('2026'!Salim-'2026'!Resal)*(1-EXP(('2026'!Tnet-t)/('2026'!Tau_j))),Resal+(Salim-Resal)*(1-EXP((Tnet-t)/(Tau_j))))*Salcycl</f>
        <v>5.105135551613698E-2</v>
      </c>
      <c r="P355" s="169">
        <f>(INDEX(Models!$BJ355:$BT355,,T355)*(1-R355)+INDEX(Models!$BJ355:$BT355,,T355+1)*R355-ERP_i)*Q355*Ramure*Pc/MaxiM</f>
        <v>3.9717255377324685E-2</v>
      </c>
      <c r="Q355" s="305">
        <f t="shared" si="130"/>
        <v>0.7</v>
      </c>
      <c r="R355" s="177">
        <f t="shared" si="131"/>
        <v>0.47599519455078942</v>
      </c>
      <c r="S355" s="817">
        <f t="shared" si="132"/>
        <v>-1</v>
      </c>
      <c r="T355" s="176">
        <f t="shared" si="133"/>
        <v>5</v>
      </c>
      <c r="U355" s="251">
        <f t="shared" si="134"/>
        <v>-0.52400480544921058</v>
      </c>
      <c r="V355" s="383">
        <f t="shared" si="135"/>
        <v>10.355655187698098</v>
      </c>
      <c r="W355" s="402">
        <f t="shared" si="136"/>
        <v>8.2894536623045489</v>
      </c>
      <c r="X355" s="157">
        <f t="shared" si="137"/>
        <v>46728</v>
      </c>
      <c r="Y355" s="385">
        <f t="shared" si="138"/>
        <v>7.4662294530917279</v>
      </c>
      <c r="Z355" s="385">
        <f t="shared" si="139"/>
        <v>8.0644546379053423</v>
      </c>
      <c r="AA355" s="386">
        <f t="shared" si="140"/>
        <v>9.0797748887773615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0.11182218318286265</v>
      </c>
      <c r="AD355" s="231">
        <f>(INDEX(Models!$BJ355:$BT355,,AH355)*(1-AF355)+INDEX(Models!$BJ355:$BT355,,AH355+1)*AF355-ERP_i)*AE355*Ramure*Pc/MaxiM</f>
        <v>9.0926448546213595E-2</v>
      </c>
      <c r="AE355" s="305">
        <f t="shared" si="142"/>
        <v>0.7</v>
      </c>
      <c r="AF355" s="177">
        <f t="shared" si="143"/>
        <v>9.9858563926845445E-2</v>
      </c>
      <c r="AG355" s="817">
        <f t="shared" si="149"/>
        <v>2</v>
      </c>
      <c r="AH355" s="176">
        <f t="shared" si="144"/>
        <v>8</v>
      </c>
      <c r="AI355" s="225">
        <f t="shared" si="145"/>
        <v>2.0998585639268454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46729</v>
      </c>
      <c r="B356" s="411">
        <f>'2026'!Wh/'2026'!Env_an*'2027'!Env_an</f>
        <v>2.7285628009515182</v>
      </c>
      <c r="C356" s="846"/>
      <c r="D356" s="393">
        <f t="shared" si="127"/>
        <v>2.9472510905206359</v>
      </c>
      <c r="E356" s="385">
        <f t="shared" si="125"/>
        <v>3.1061959954493101</v>
      </c>
      <c r="F356" s="385">
        <f t="shared" si="128"/>
        <v>3.1061959954493101</v>
      </c>
      <c r="G356" s="110">
        <f t="shared" si="126"/>
        <v>0.25500365239855249</v>
      </c>
      <c r="H356" s="414" t="b">
        <f>Wh_hp&gt;='2026'!Maxi_hp</f>
        <v>0</v>
      </c>
      <c r="I356" s="390">
        <f>IF(H356,Wh_hp,'2026'!Maxi_hp)</f>
        <v>10.360105711351219</v>
      </c>
      <c r="J356" s="85">
        <f>IF(H356,An,'2026'!An_max)</f>
        <v>2018</v>
      </c>
      <c r="K356" s="197">
        <f t="shared" si="129"/>
        <v>46729</v>
      </c>
      <c r="L356" s="147">
        <f>IF(t&lt;Tvie,1-EXP((T0-t)*PertePVj)+'2026'!Pspv,1-EXP((T0-t)*PertePVj)+Pspv)</f>
        <v>7.4200766359029946E-2</v>
      </c>
      <c r="M356" s="850"/>
      <c r="N356" s="850"/>
      <c r="O356" s="48">
        <f>IF(t&lt;Tnet,'2026'!Resal+('2026'!Salim-'2026'!Resal)*(1-EXP(('2026'!Tnet-t)/('2026'!Tau_j))),Resal+(Salim-Resal)*(1-EXP((Tnet-t)/(Tau_j))))*Salcycl</f>
        <v>5.1170275527215439E-2</v>
      </c>
      <c r="P356" s="169">
        <f>(INDEX(Models!$BJ356:$BT356,,T356)*(1-R356)+INDEX(Models!$BJ356:$BT356,,T356+1)*R356-ERP_i)*Q356*Ramure*Pc/MaxiM</f>
        <v>3.9365974202674729E-2</v>
      </c>
      <c r="Q356" s="305">
        <f t="shared" si="130"/>
        <v>0.7</v>
      </c>
      <c r="R356" s="177">
        <f t="shared" si="131"/>
        <v>0.47600754015012359</v>
      </c>
      <c r="S356" s="817">
        <f t="shared" si="132"/>
        <v>-1</v>
      </c>
      <c r="T356" s="176">
        <f t="shared" si="133"/>
        <v>5</v>
      </c>
      <c r="U356" s="251">
        <f t="shared" si="134"/>
        <v>-0.52399245984987641</v>
      </c>
      <c r="V356" s="383">
        <f t="shared" si="135"/>
        <v>10.278873433633068</v>
      </c>
      <c r="W356" s="402">
        <f t="shared" si="136"/>
        <v>2.7285628009515182</v>
      </c>
      <c r="X356" s="157">
        <f t="shared" si="137"/>
        <v>46729</v>
      </c>
      <c r="Y356" s="385">
        <f t="shared" si="138"/>
        <v>2.5540857765866773</v>
      </c>
      <c r="Z356" s="385">
        <f t="shared" si="139"/>
        <v>2.7587901175312117</v>
      </c>
      <c r="AA356" s="386">
        <f t="shared" si="140"/>
        <v>3.1061959954493101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0.11184287096727343</v>
      </c>
      <c r="AD356" s="231">
        <f>(INDEX(Models!$BJ356:$BT356,,AH356)*(1-AF356)+INDEX(Models!$BJ356:$BT356,,AH356+1)*AF356-ERP_i)*AE356*Ramure*Pc/MaxiM</f>
        <v>9.012100032237097E-2</v>
      </c>
      <c r="AE356" s="305">
        <f t="shared" si="142"/>
        <v>0.7</v>
      </c>
      <c r="AF356" s="177">
        <f t="shared" si="143"/>
        <v>9.9870909526179386E-2</v>
      </c>
      <c r="AG356" s="817">
        <f t="shared" si="149"/>
        <v>2</v>
      </c>
      <c r="AH356" s="176">
        <f t="shared" si="144"/>
        <v>8</v>
      </c>
      <c r="AI356" s="225">
        <f t="shared" si="145"/>
        <v>2.0998709095261794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46730</v>
      </c>
      <c r="B357" s="411">
        <f>'2026'!Wh/'2026'!Env_an*'2027'!Env_an</f>
        <v>3.8858231644138361</v>
      </c>
      <c r="C357" s="846"/>
      <c r="D357" s="393">
        <f t="shared" si="127"/>
        <v>4.1973552521701185</v>
      </c>
      <c r="E357" s="385">
        <f t="shared" si="125"/>
        <v>4.4242751325679661</v>
      </c>
      <c r="F357" s="385">
        <f t="shared" si="128"/>
        <v>4.4441837402180182</v>
      </c>
      <c r="G357" s="110">
        <f t="shared" si="126"/>
        <v>0.36719866142280061</v>
      </c>
      <c r="H357" s="414" t="b">
        <f>Wh_hp&gt;='2026'!Maxi_hp</f>
        <v>0</v>
      </c>
      <c r="I357" s="390">
        <f>IF(H357,Wh_hp,'2026'!Maxi_hp)</f>
        <v>6.3586080107423522</v>
      </c>
      <c r="J357" s="85">
        <f>IF(H357,An,'2026'!An_max)</f>
        <v>2019</v>
      </c>
      <c r="K357" s="197">
        <f t="shared" si="129"/>
        <v>46730</v>
      </c>
      <c r="L357" s="147">
        <f>IF(t&lt;Tvie,1-EXP((T0-t)*PertePVj)+'2026'!Pspv,1-EXP((T0-t)*PertePVj)+Pspv)</f>
        <v>7.4221043738247783E-2</v>
      </c>
      <c r="M357" s="850"/>
      <c r="N357" s="850"/>
      <c r="O357" s="48">
        <f>IF(t&lt;Tnet,'2026'!Resal+('2026'!Salim-'2026'!Resal)*(1-EXP(('2026'!Tnet-t)/('2026'!Tau_j))),Resal+(Salim-Resal)*(1-EXP((Tnet-t)/(Tau_j))))*Salcycl</f>
        <v>5.1289730769102773E-2</v>
      </c>
      <c r="P357" s="169">
        <f>(INDEX(Models!$BJ357:$BT357,,T357)*(1-R357)+INDEX(Models!$BJ357:$BT357,,T357+1)*R357-ERP_i)*Q357*Ramure*Pc/MaxiM</f>
        <v>3.9006501150261053E-2</v>
      </c>
      <c r="Q357" s="305">
        <f t="shared" si="130"/>
        <v>0.7</v>
      </c>
      <c r="R357" s="177">
        <f t="shared" si="131"/>
        <v>0.47601938925248355</v>
      </c>
      <c r="S357" s="817">
        <f t="shared" si="132"/>
        <v>-1</v>
      </c>
      <c r="T357" s="176">
        <f t="shared" si="133"/>
        <v>5</v>
      </c>
      <c r="U357" s="251">
        <f t="shared" si="134"/>
        <v>-0.52398061074751645</v>
      </c>
      <c r="V357" s="383">
        <f t="shared" si="135"/>
        <v>10.215326985727815</v>
      </c>
      <c r="W357" s="402">
        <f t="shared" si="136"/>
        <v>3.8858231644138361</v>
      </c>
      <c r="X357" s="157">
        <f t="shared" si="137"/>
        <v>46730</v>
      </c>
      <c r="Y357" s="385">
        <f t="shared" si="138"/>
        <v>3.6165915093297545</v>
      </c>
      <c r="Z357" s="385">
        <f t="shared" si="139"/>
        <v>3.9065389042038339</v>
      </c>
      <c r="AA357" s="386">
        <f t="shared" si="140"/>
        <v>4.3985876650505711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0.1118651708948217</v>
      </c>
      <c r="AD357" s="231">
        <f>(INDEX(Models!$BJ357:$BT357,,AH357)*(1-AF357)+INDEX(Models!$BJ357:$BT357,,AH357+1)*AF357-ERP_i)*AE357*Ramure*Pc/MaxiM</f>
        <v>8.9335396514367144E-2</v>
      </c>
      <c r="AE357" s="305">
        <f t="shared" si="142"/>
        <v>0.7</v>
      </c>
      <c r="AF357" s="177">
        <f t="shared" si="143"/>
        <v>9.988275862853957E-2</v>
      </c>
      <c r="AG357" s="817">
        <f t="shared" si="149"/>
        <v>2</v>
      </c>
      <c r="AH357" s="176">
        <f t="shared" si="144"/>
        <v>8</v>
      </c>
      <c r="AI357" s="225">
        <f t="shared" si="145"/>
        <v>2.0998827586285396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46731</v>
      </c>
      <c r="B358" s="411">
        <f>'2026'!Wh/'2026'!Env_an*'2027'!Env_an</f>
        <v>6.6916182103371185</v>
      </c>
      <c r="C358" s="846"/>
      <c r="D358" s="393">
        <f t="shared" si="127"/>
        <v>7.2282532800061707</v>
      </c>
      <c r="E358" s="385">
        <f t="shared" si="125"/>
        <v>7.6199949373498272</v>
      </c>
      <c r="F358" s="385">
        <f t="shared" si="128"/>
        <v>7.7736993479578373</v>
      </c>
      <c r="G358" s="110">
        <f t="shared" si="126"/>
        <v>0.64556494093000572</v>
      </c>
      <c r="H358" s="414" t="b">
        <f>Wh_hp&gt;='2026'!Maxi_hp</f>
        <v>0</v>
      </c>
      <c r="I358" s="390">
        <f>IF(H358,Wh_hp,'2026'!Maxi_hp)</f>
        <v>11.203024909325297</v>
      </c>
      <c r="J358" s="85">
        <f>IF(H358,An,'2026'!An_max)</f>
        <v>2019</v>
      </c>
      <c r="K358" s="197">
        <f t="shared" si="129"/>
        <v>46731</v>
      </c>
      <c r="L358" s="147">
        <f>IF(t&lt;Tvie,1-EXP((T0-t)*PertePVj)+'2026'!Pspv,1-EXP((T0-t)*PertePVj)+Pspv)</f>
        <v>7.4241320673338995E-2</v>
      </c>
      <c r="M358" s="850"/>
      <c r="N358" s="850"/>
      <c r="O358" s="48">
        <f>IF(t&lt;Tnet,'2026'!Resal+('2026'!Salim-'2026'!Resal)*(1-EXP(('2026'!Tnet-t)/('2026'!Tau_j))),Resal+(Salim-Resal)*(1-EXP((Tnet-t)/(Tau_j))))*Salcycl</f>
        <v>5.1409700474145011E-2</v>
      </c>
      <c r="P358" s="169">
        <f>(INDEX(Models!$BJ358:$BT358,,T358)*(1-R358)+INDEX(Models!$BJ358:$BT358,,T358+1)*R358-ERP_i)*Q358*Ramure*Pc/MaxiM</f>
        <v>3.8636002869204475E-2</v>
      </c>
      <c r="Q358" s="305">
        <f t="shared" si="130"/>
        <v>0.7</v>
      </c>
      <c r="R358" s="177">
        <f t="shared" si="131"/>
        <v>0.47603076180312809</v>
      </c>
      <c r="S358" s="817">
        <f t="shared" si="132"/>
        <v>-1</v>
      </c>
      <c r="T358" s="176">
        <f t="shared" si="133"/>
        <v>5</v>
      </c>
      <c r="U358" s="251">
        <f t="shared" si="134"/>
        <v>-0.52396923819687191</v>
      </c>
      <c r="V358" s="383">
        <f t="shared" si="135"/>
        <v>10.166047360230843</v>
      </c>
      <c r="W358" s="402">
        <f t="shared" si="136"/>
        <v>6.6916182103371185</v>
      </c>
      <c r="X358" s="157">
        <f t="shared" si="137"/>
        <v>46731</v>
      </c>
      <c r="Y358" s="385">
        <f t="shared" si="138"/>
        <v>6.1016751434667365</v>
      </c>
      <c r="Z358" s="385">
        <f t="shared" si="139"/>
        <v>6.590999663005821</v>
      </c>
      <c r="AA358" s="386">
        <f t="shared" si="140"/>
        <v>7.421369465972159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0.11188902624693181</v>
      </c>
      <c r="AD358" s="231">
        <f>(INDEX(Models!$BJ358:$BT358,,AH358)*(1-AF358)+INDEX(Models!$BJ358:$BT358,,AH358+1)*AF358-ERP_i)*AE358*Ramure*Pc/MaxiM</f>
        <v>8.8563615562218159E-2</v>
      </c>
      <c r="AE358" s="305">
        <f t="shared" si="142"/>
        <v>0.7</v>
      </c>
      <c r="AF358" s="177">
        <f t="shared" si="143"/>
        <v>9.9894131179184331E-2</v>
      </c>
      <c r="AG358" s="817">
        <f t="shared" si="149"/>
        <v>2</v>
      </c>
      <c r="AH358" s="176">
        <f t="shared" si="144"/>
        <v>8</v>
      </c>
      <c r="AI358" s="225">
        <f t="shared" si="145"/>
        <v>2.0998941311791843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46732</v>
      </c>
      <c r="B359" s="411">
        <f>'2026'!Wh/'2026'!Env_an*'2027'!Env_an</f>
        <v>7.8014468937786345</v>
      </c>
      <c r="C359" s="846"/>
      <c r="D359" s="393">
        <f t="shared" si="127"/>
        <v>8.427269377484544</v>
      </c>
      <c r="E359" s="385">
        <f t="shared" si="125"/>
        <v>8.8851211091668549</v>
      </c>
      <c r="F359" s="385">
        <f t="shared" si="128"/>
        <v>9.1193466135784309</v>
      </c>
      <c r="G359" s="110">
        <f t="shared" si="126"/>
        <v>0.76007059748097439</v>
      </c>
      <c r="H359" s="414" t="b">
        <f>Wh_hp&gt;='2026'!Maxi_hp</f>
        <v>0</v>
      </c>
      <c r="I359" s="390">
        <f>IF(H359,Wh_hp,'2026'!Maxi_hp)</f>
        <v>10.504365744752464</v>
      </c>
      <c r="J359" s="85">
        <f>IF(H359,An,'2026'!An_max)</f>
        <v>2021</v>
      </c>
      <c r="K359" s="197">
        <f t="shared" si="129"/>
        <v>46732</v>
      </c>
      <c r="L359" s="147">
        <f>IF(t&lt;Tvie,1-EXP((T0-t)*PertePVj)+'2026'!Pspv,1-EXP((T0-t)*PertePVj)+Pspv)</f>
        <v>7.4261597164313242E-2</v>
      </c>
      <c r="M359" s="850"/>
      <c r="N359" s="850"/>
      <c r="O359" s="48">
        <f>IF(t&lt;Tnet,'2026'!Resal+('2026'!Salim-'2026'!Resal)*(1-EXP(('2026'!Tnet-t)/('2026'!Tau_j))),Resal+(Salim-Resal)*(1-EXP((Tnet-t)/(Tau_j))))*Salcycl</f>
        <v>5.1530162173022191E-2</v>
      </c>
      <c r="P359" s="169">
        <f>(INDEX(Models!$BJ359:$BT359,,T359)*(1-R359)+INDEX(Models!$BJ359:$BT359,,T359+1)*R359-ERP_i)*Q359*Ramure*Pc/MaxiM</f>
        <v>3.8253154746571191E-2</v>
      </c>
      <c r="Q359" s="305">
        <f t="shared" si="130"/>
        <v>0.7</v>
      </c>
      <c r="R359" s="177">
        <f t="shared" si="131"/>
        <v>0.47604167694781951</v>
      </c>
      <c r="S359" s="817">
        <f t="shared" si="132"/>
        <v>-1</v>
      </c>
      <c r="T359" s="176">
        <f t="shared" si="133"/>
        <v>5</v>
      </c>
      <c r="U359" s="251">
        <f t="shared" si="134"/>
        <v>-0.52395832305218049</v>
      </c>
      <c r="V359" s="383">
        <f t="shared" si="135"/>
        <v>10.131701015096143</v>
      </c>
      <c r="W359" s="402">
        <f t="shared" si="136"/>
        <v>7.8014468937786345</v>
      </c>
      <c r="X359" s="157">
        <f t="shared" si="137"/>
        <v>46732</v>
      </c>
      <c r="Y359" s="385">
        <f t="shared" si="138"/>
        <v>7.0553377658249916</v>
      </c>
      <c r="Z359" s="385">
        <f t="shared" si="139"/>
        <v>7.6213082920761943</v>
      </c>
      <c r="AA359" s="386">
        <f t="shared" si="140"/>
        <v>8.5817269144863051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0.11191437713881168</v>
      </c>
      <c r="AD359" s="231">
        <f>(INDEX(Models!$BJ359:$BT359,,AH359)*(1-AF359)+INDEX(Models!$BJ359:$BT359,,AH359+1)*AF359-ERP_i)*AE359*Ramure*Pc/MaxiM</f>
        <v>8.7802776199976312E-2</v>
      </c>
      <c r="AE359" s="305">
        <f t="shared" si="142"/>
        <v>0.7</v>
      </c>
      <c r="AF359" s="177">
        <f t="shared" si="143"/>
        <v>9.9905046323875535E-2</v>
      </c>
      <c r="AG359" s="817">
        <f t="shared" si="149"/>
        <v>2</v>
      </c>
      <c r="AH359" s="176">
        <f t="shared" si="144"/>
        <v>8</v>
      </c>
      <c r="AI359" s="225">
        <f t="shared" si="145"/>
        <v>2.0999050463238755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46733</v>
      </c>
      <c r="B360" s="411">
        <f>'2026'!Wh/'2026'!Env_an*'2027'!Env_an</f>
        <v>3.1431728612661285</v>
      </c>
      <c r="C360" s="846"/>
      <c r="D360" s="393">
        <f t="shared" si="127"/>
        <v>3.3953886937153688</v>
      </c>
      <c r="E360" s="385">
        <f t="shared" si="125"/>
        <v>3.5803159203122594</v>
      </c>
      <c r="F360" s="385">
        <f t="shared" si="128"/>
        <v>3.5824180532714558</v>
      </c>
      <c r="G360" s="110">
        <f t="shared" si="126"/>
        <v>0.29925509715212462</v>
      </c>
      <c r="H360" s="414" t="b">
        <f>Wh_hp&gt;='2026'!Maxi_hp</f>
        <v>0</v>
      </c>
      <c r="I360" s="390">
        <f>IF(H360,Wh_hp,'2026'!Maxi_hp)</f>
        <v>10.718459481317785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7.4281873211180294E-2</v>
      </c>
      <c r="M360" s="850"/>
      <c r="N360" s="850"/>
      <c r="O360" s="48">
        <f>IF(t&lt;Tnet,'2026'!Resal+('2026'!Salim-'2026'!Resal)*(1-EXP(('2026'!Tnet-t)/('2026'!Tau_j))),Resal+(Salim-Resal)*(1-EXP((Tnet-t)/(Tau_j))))*Salcycl</f>
        <v>5.16510918904503E-2</v>
      </c>
      <c r="P360" s="169">
        <f>(INDEX(Models!$BJ360:$BT360,,T360)*(1-R360)+INDEX(Models!$BJ360:$BT360,,T360+1)*R360-ERP_i)*Q360*Ramure*Pc/MaxiM</f>
        <v>3.7861772767931075E-2</v>
      </c>
      <c r="Q360" s="305">
        <f t="shared" si="130"/>
        <v>0.7</v>
      </c>
      <c r="R360" s="177">
        <f t="shared" si="131"/>
        <v>0.47605215306473414</v>
      </c>
      <c r="S360" s="817">
        <f t="shared" si="132"/>
        <v>-1</v>
      </c>
      <c r="T360" s="176">
        <f t="shared" si="133"/>
        <v>5</v>
      </c>
      <c r="U360" s="251">
        <f t="shared" si="134"/>
        <v>-0.52394784693526586</v>
      </c>
      <c r="V360" s="383">
        <f t="shared" si="135"/>
        <v>10.111581694332978</v>
      </c>
      <c r="W360" s="402">
        <f t="shared" si="136"/>
        <v>3.1431728612661285</v>
      </c>
      <c r="X360" s="157">
        <f t="shared" si="137"/>
        <v>46733</v>
      </c>
      <c r="Y360" s="385">
        <f t="shared" si="138"/>
        <v>2.9411040157050472</v>
      </c>
      <c r="Z360" s="385">
        <f t="shared" si="139"/>
        <v>3.177105352692299</v>
      </c>
      <c r="AA360" s="386">
        <f t="shared" si="140"/>
        <v>3.5775842917984462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0.11194116097396747</v>
      </c>
      <c r="AD360" s="231">
        <f>(INDEX(Models!$BJ360:$BT360,,AH360)*(1-AF360)+INDEX(Models!$BJ360:$BT360,,AH360+1)*AF360-ERP_i)*AE360*Ramure*Pc/MaxiM</f>
        <v>8.7061466642628052E-2</v>
      </c>
      <c r="AE360" s="305">
        <f t="shared" si="142"/>
        <v>0.7</v>
      </c>
      <c r="AF360" s="177">
        <f t="shared" si="143"/>
        <v>9.9915522440790383E-2</v>
      </c>
      <c r="AG360" s="817">
        <f t="shared" si="149"/>
        <v>2</v>
      </c>
      <c r="AH360" s="176">
        <f t="shared" si="144"/>
        <v>8</v>
      </c>
      <c r="AI360" s="225">
        <f t="shared" si="145"/>
        <v>2.0999155224407904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46734</v>
      </c>
      <c r="B361" s="411">
        <f>'2026'!Wh/'2026'!Env_an*'2027'!Env_an</f>
        <v>3.1184992886149856</v>
      </c>
      <c r="C361" s="846"/>
      <c r="D361" s="393">
        <f t="shared" si="127"/>
        <v>3.3688090391691081</v>
      </c>
      <c r="E361" s="385">
        <f t="shared" ref="E361:E379" si="150">Wh_pvt/(1-Psa)</f>
        <v>3.5527433158180992</v>
      </c>
      <c r="F361" s="385">
        <f t="shared" si="128"/>
        <v>3.5543843432615332</v>
      </c>
      <c r="G361" s="110">
        <f t="shared" ref="G361:G379" si="151">+Wh_hp/MaxiM</f>
        <v>0.2971940628919747</v>
      </c>
      <c r="H361" s="414" t="b">
        <f>Wh_hp&gt;='2026'!Maxi_hp</f>
        <v>0</v>
      </c>
      <c r="I361" s="390">
        <f>IF(H361,Wh_hp,'2026'!Maxi_hp)</f>
        <v>11.207179441431046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7.430214881394992E-2</v>
      </c>
      <c r="M361" s="850"/>
      <c r="N361" s="850"/>
      <c r="O361" s="48">
        <f>IF(t&lt;Tnet,'2026'!Resal+('2026'!Salim-'2026'!Resal)*(1-EXP(('2026'!Tnet-t)/('2026'!Tau_j))),Resal+(Salim-Resal)*(1-EXP((Tnet-t)/(Tau_j))))*Salcycl</f>
        <v>5.1772464346086816E-2</v>
      </c>
      <c r="P361" s="169">
        <f>(INDEX(Models!$BJ361:$BT361,,T361)*(1-R361)+INDEX(Models!$BJ361:$BT361,,T361+1)*R361-ERP_i)*Q361*Ramure*Pc/MaxiM</f>
        <v>3.7477730542994088E-2</v>
      </c>
      <c r="Q361" s="305">
        <f t="shared" si="130"/>
        <v>0.7</v>
      </c>
      <c r="R361" s="177">
        <f t="shared" si="131"/>
        <v>0.4760622077951101</v>
      </c>
      <c r="S361" s="817">
        <f t="shared" si="132"/>
        <v>-1</v>
      </c>
      <c r="T361" s="176">
        <f t="shared" si="133"/>
        <v>5</v>
      </c>
      <c r="U361" s="251">
        <f t="shared" si="134"/>
        <v>-0.5239377922048899</v>
      </c>
      <c r="V361" s="383">
        <f t="shared" si="135"/>
        <v>10.104547334763387</v>
      </c>
      <c r="W361" s="402">
        <f t="shared" si="136"/>
        <v>3.1184992886149856</v>
      </c>
      <c r="X361" s="157">
        <f t="shared" si="137"/>
        <v>46734</v>
      </c>
      <c r="Y361" s="385">
        <f t="shared" si="138"/>
        <v>2.9187677283371181</v>
      </c>
      <c r="Z361" s="385">
        <f t="shared" si="139"/>
        <v>3.1530458071145437</v>
      </c>
      <c r="AA361" s="386">
        <f t="shared" si="140"/>
        <v>3.550604560103328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0.11196931290405783</v>
      </c>
      <c r="AD361" s="231">
        <f>(INDEX(Models!$BJ361:$BT361,,AH361)*(1-AF361)+INDEX(Models!$BJ361:$BT361,,AH361+1)*AF361-ERP_i)*AE361*Ramure*Pc/MaxiM</f>
        <v>8.6322562904704206E-2</v>
      </c>
      <c r="AE361" s="305">
        <f t="shared" si="142"/>
        <v>0.7</v>
      </c>
      <c r="AF361" s="177">
        <f t="shared" si="143"/>
        <v>9.9925577171166236E-2</v>
      </c>
      <c r="AG361" s="817">
        <f t="shared" si="149"/>
        <v>2</v>
      </c>
      <c r="AH361" s="176">
        <f t="shared" si="144"/>
        <v>8</v>
      </c>
      <c r="AI361" s="225">
        <f t="shared" si="145"/>
        <v>2.0999255771711662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46735</v>
      </c>
      <c r="B362" s="411">
        <f>'2026'!Wh/'2026'!Env_an*'2027'!Env_an</f>
        <v>7.3466691864027132</v>
      </c>
      <c r="C362" s="846"/>
      <c r="D362" s="393">
        <f t="shared" si="127"/>
        <v>7.9365314410354753</v>
      </c>
      <c r="E362" s="385">
        <f t="shared" si="150"/>
        <v>8.3709348535004366</v>
      </c>
      <c r="F362" s="385">
        <f t="shared" si="128"/>
        <v>8.5646583189736898</v>
      </c>
      <c r="G362" s="110">
        <f t="shared" si="151"/>
        <v>0.71593297395346711</v>
      </c>
      <c r="H362" s="414" t="b">
        <f>Wh_hp&gt;='2026'!Maxi_hp</f>
        <v>0</v>
      </c>
      <c r="I362" s="390">
        <f>IF(H362,Wh_hp,'2026'!Maxi_hp)</f>
        <v>10.863458902037726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7.432242397263189E-2</v>
      </c>
      <c r="M362" s="850"/>
      <c r="N362" s="850"/>
      <c r="O362" s="48">
        <f>IF(t&lt;Tnet,'2026'!Resal+('2026'!Salim-'2026'!Resal)*(1-EXP(('2026'!Tnet-t)/('2026'!Tau_j))),Resal+(Salim-Resal)*(1-EXP((Tnet-t)/(Tau_j))))*Salcycl</f>
        <v>5.1894253158989594E-2</v>
      </c>
      <c r="P362" s="169">
        <f>(INDEX(Models!$BJ362:$BT362,,T362)*(1-R362)+INDEX(Models!$BJ362:$BT362,,T362+1)*R362-ERP_i)*Q362*Ramure*Pc/MaxiM</f>
        <v>3.7105915025293583E-2</v>
      </c>
      <c r="Q362" s="305">
        <f t="shared" si="130"/>
        <v>0.7</v>
      </c>
      <c r="R362" s="177">
        <f t="shared" si="131"/>
        <v>0.47607185807267949</v>
      </c>
      <c r="S362" s="817">
        <f t="shared" si="132"/>
        <v>-1</v>
      </c>
      <c r="T362" s="176">
        <f t="shared" si="133"/>
        <v>5</v>
      </c>
      <c r="U362" s="251">
        <f t="shared" si="134"/>
        <v>-0.52392814192732051</v>
      </c>
      <c r="V362" s="383">
        <f t="shared" si="135"/>
        <v>10.109570790160063</v>
      </c>
      <c r="W362" s="402">
        <f t="shared" si="136"/>
        <v>7.3466691864027132</v>
      </c>
      <c r="X362" s="157">
        <f t="shared" si="137"/>
        <v>46735</v>
      </c>
      <c r="Y362" s="385">
        <f t="shared" si="138"/>
        <v>6.6728319833919727</v>
      </c>
      <c r="Z362" s="385">
        <f t="shared" si="139"/>
        <v>7.2085920154067633</v>
      </c>
      <c r="AA362" s="386">
        <f t="shared" si="140"/>
        <v>8.1177725230108528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0.11199876629049443</v>
      </c>
      <c r="AD362" s="231">
        <f>(INDEX(Models!$BJ362:$BT362,,AH362)*(1-AF362)+INDEX(Models!$BJ362:$BT362,,AH362+1)*AF362-ERP_i)*AE362*Ramure*Pc/MaxiM</f>
        <v>8.5596787825877554E-2</v>
      </c>
      <c r="AE362" s="305">
        <f t="shared" si="142"/>
        <v>0.7</v>
      </c>
      <c r="AF362" s="177">
        <f t="shared" si="143"/>
        <v>9.9935227448735287E-2</v>
      </c>
      <c r="AG362" s="817">
        <f t="shared" si="149"/>
        <v>2</v>
      </c>
      <c r="AH362" s="176">
        <f t="shared" si="144"/>
        <v>8</v>
      </c>
      <c r="AI362" s="225">
        <f t="shared" si="145"/>
        <v>2.0999352274487353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46736</v>
      </c>
      <c r="B363" s="411">
        <f>'2026'!Wh/'2026'!Env_an*'2027'!Env_an</f>
        <v>3.6572668444363323</v>
      </c>
      <c r="C363" s="846"/>
      <c r="D363" s="393">
        <f t="shared" si="127"/>
        <v>3.9509944330905271</v>
      </c>
      <c r="E363" s="385">
        <f t="shared" si="150"/>
        <v>4.1677878842174909</v>
      </c>
      <c r="F363" s="385">
        <f t="shared" si="128"/>
        <v>4.1812201500676869</v>
      </c>
      <c r="G363" s="110">
        <f t="shared" si="151"/>
        <v>0.34903645430804742</v>
      </c>
      <c r="H363" s="414" t="b">
        <f>Wh_hp&gt;='2026'!Maxi_hp</f>
        <v>0</v>
      </c>
      <c r="I363" s="390">
        <f>IF(H363,Wh_hp,'2026'!Maxi_hp)</f>
        <v>11.20513204000641</v>
      </c>
      <c r="J363" s="85">
        <f>IF(H363,An,'2026'!An_max)</f>
        <v>2021</v>
      </c>
      <c r="K363" s="197">
        <f t="shared" si="129"/>
        <v>46736</v>
      </c>
      <c r="L363" s="147">
        <f>IF(t&lt;Tvie,1-EXP((T0-t)*PertePVj)+'2026'!Pspv,1-EXP((T0-t)*PertePVj)+Pspv)</f>
        <v>7.4342698687235753E-2</v>
      </c>
      <c r="M363" s="850"/>
      <c r="N363" s="850"/>
      <c r="O363" s="48">
        <f>IF(t&lt;Tnet,'2026'!Resal+('2026'!Salim-'2026'!Resal)*(1-EXP(('2026'!Tnet-t)/('2026'!Tau_j))),Resal+(Salim-Resal)*(1-EXP((Tnet-t)/(Tau_j))))*Salcycl</f>
        <v>5.2016431053968311E-2</v>
      </c>
      <c r="P363" s="169">
        <f>(INDEX(Models!$BJ363:$BT363,,T363)*(1-R363)+INDEX(Models!$BJ363:$BT363,,T363+1)*R363-ERP_i)*Q363*Ramure*Pc/MaxiM</f>
        <v>3.67510082840996E-2</v>
      </c>
      <c r="Q363" s="305">
        <f t="shared" si="130"/>
        <v>0.7</v>
      </c>
      <c r="R363" s="177">
        <f t="shared" si="131"/>
        <v>0.47608112015193593</v>
      </c>
      <c r="S363" s="817">
        <f t="shared" si="132"/>
        <v>-1</v>
      </c>
      <c r="T363" s="176">
        <f t="shared" si="133"/>
        <v>5</v>
      </c>
      <c r="U363" s="251">
        <f t="shared" si="134"/>
        <v>-0.52391887984806407</v>
      </c>
      <c r="V363" s="383">
        <f t="shared" si="135"/>
        <v>10.125625260915916</v>
      </c>
      <c r="W363" s="402">
        <f t="shared" si="136"/>
        <v>3.6572668444363323</v>
      </c>
      <c r="X363" s="157">
        <f t="shared" si="137"/>
        <v>46736</v>
      </c>
      <c r="Y363" s="385">
        <f t="shared" si="138"/>
        <v>3.4112767277791201</v>
      </c>
      <c r="Z363" s="385">
        <f t="shared" si="139"/>
        <v>3.6852480101882827</v>
      </c>
      <c r="AA363" s="386">
        <f t="shared" si="140"/>
        <v>4.1501917189938951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0.1120294531642325</v>
      </c>
      <c r="AD363" s="231">
        <f>(INDEX(Models!$BJ363:$BT363,,AH363)*(1-AF363)+INDEX(Models!$BJ363:$BT363,,AH363+1)*AF363-ERP_i)*AE363*Ramure*Pc/MaxiM</f>
        <v>8.4894547215868005E-2</v>
      </c>
      <c r="AE363" s="305">
        <f t="shared" si="142"/>
        <v>0.7</v>
      </c>
      <c r="AF363" s="177">
        <f t="shared" si="143"/>
        <v>9.9944489527992175E-2</v>
      </c>
      <c r="AG363" s="817">
        <f t="shared" si="149"/>
        <v>2</v>
      </c>
      <c r="AH363" s="176">
        <f t="shared" si="144"/>
        <v>8</v>
      </c>
      <c r="AI363" s="225">
        <f t="shared" si="145"/>
        <v>2.0999444895279922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46737</v>
      </c>
      <c r="B364" s="411">
        <f>'2026'!Wh/'2026'!Env_an*'2027'!Env_an</f>
        <v>3.0558402472679647</v>
      </c>
      <c r="C364" s="846"/>
      <c r="D364" s="393">
        <f t="shared" si="127"/>
        <v>3.3013375199915735</v>
      </c>
      <c r="E364" s="385">
        <f t="shared" si="150"/>
        <v>3.482934117703953</v>
      </c>
      <c r="F364" s="385">
        <f t="shared" si="128"/>
        <v>3.4831185981413806</v>
      </c>
      <c r="G364" s="110">
        <f t="shared" si="151"/>
        <v>0.29007110748947484</v>
      </c>
      <c r="H364" s="414" t="b">
        <f>Wh_hp&gt;='2026'!Maxi_hp</f>
        <v>0</v>
      </c>
      <c r="I364" s="390">
        <f>IF(H364,Wh_hp,'2026'!Maxi_hp)</f>
        <v>11.238528761899044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7.4362972957771278E-2</v>
      </c>
      <c r="M364" s="850"/>
      <c r="N364" s="850"/>
      <c r="O364" s="48">
        <f>IF(t&lt;Tnet,'2026'!Resal+('2026'!Salim-'2026'!Resal)*(1-EXP(('2026'!Tnet-t)/('2026'!Tau_j))),Resal+(Salim-Resal)*(1-EXP((Tnet-t)/(Tau_j))))*Salcycl</f>
        <v>5.2138970068171454E-2</v>
      </c>
      <c r="P364" s="169">
        <f>(INDEX(Models!$BJ364:$BT364,,T364)*(1-R364)+INDEX(Models!$BJ364:$BT364,,T364+1)*R364-ERP_i)*Q364*Ramure*Pc/MaxiM</f>
        <v>3.6417448131813912E-2</v>
      </c>
      <c r="Q364" s="305">
        <f t="shared" si="130"/>
        <v>0.7</v>
      </c>
      <c r="R364" s="177">
        <f t="shared" si="131"/>
        <v>0.47609000963528114</v>
      </c>
      <c r="S364" s="817">
        <f t="shared" si="132"/>
        <v>-1</v>
      </c>
      <c r="T364" s="176">
        <f t="shared" si="133"/>
        <v>5</v>
      </c>
      <c r="U364" s="251">
        <f t="shared" si="134"/>
        <v>-0.52390999036471886</v>
      </c>
      <c r="V364" s="383">
        <f t="shared" si="135"/>
        <v>10.151684299572866</v>
      </c>
      <c r="W364" s="402">
        <f t="shared" si="136"/>
        <v>3.0558402472679647</v>
      </c>
      <c r="X364" s="157">
        <f t="shared" si="137"/>
        <v>46737</v>
      </c>
      <c r="Y364" s="385">
        <f t="shared" si="138"/>
        <v>2.8624556154165757</v>
      </c>
      <c r="Z364" s="385">
        <f t="shared" si="139"/>
        <v>3.0924169321134847</v>
      </c>
      <c r="AA364" s="386">
        <f t="shared" si="140"/>
        <v>3.4826919340416103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0.11206130468026136</v>
      </c>
      <c r="AD364" s="231">
        <f>(INDEX(Models!$BJ364:$BT364,,AH364)*(1-AF364)+INDEX(Models!$BJ364:$BT364,,AH364+1)*AF364-ERP_i)*AE364*Ramure*Pc/MaxiM</f>
        <v>8.4225828709880879E-2</v>
      </c>
      <c r="AE364" s="305">
        <f t="shared" si="142"/>
        <v>0.7</v>
      </c>
      <c r="AF364" s="177">
        <f t="shared" si="143"/>
        <v>9.9953379011337162E-2</v>
      </c>
      <c r="AG364" s="817">
        <f t="shared" si="149"/>
        <v>2</v>
      </c>
      <c r="AH364" s="176">
        <f t="shared" si="144"/>
        <v>8</v>
      </c>
      <c r="AI364" s="225">
        <f t="shared" si="145"/>
        <v>2.0999533790113372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46738</v>
      </c>
      <c r="B365" s="411">
        <f>'2026'!Wh/'2026'!Env_an*'2027'!Env_an</f>
        <v>1.7858725174870327</v>
      </c>
      <c r="C365" s="846"/>
      <c r="D365" s="393">
        <f t="shared" si="127"/>
        <v>1.9293865536493422</v>
      </c>
      <c r="E365" s="385">
        <f t="shared" si="150"/>
        <v>2.035780175006062</v>
      </c>
      <c r="F365" s="385">
        <f t="shared" si="128"/>
        <v>2.035780175006062</v>
      </c>
      <c r="G365" s="110">
        <f t="shared" si="151"/>
        <v>0.16898328640817614</v>
      </c>
      <c r="H365" s="414" t="b">
        <f>Wh_hp&gt;='2026'!Maxi_hp</f>
        <v>0</v>
      </c>
      <c r="I365" s="390">
        <f>IF(H365,Wh_hp,'2026'!Maxi_hp)</f>
        <v>12.021783785395716</v>
      </c>
      <c r="J365" s="85">
        <f>IF(H365,An,'2026'!An_max)</f>
        <v>2018</v>
      </c>
      <c r="K365" s="197">
        <f t="shared" si="129"/>
        <v>46738</v>
      </c>
      <c r="L365" s="147">
        <f>IF(t&lt;Tvie,1-EXP((T0-t)*PertePVj)+'2026'!Pspv,1-EXP((T0-t)*PertePVj)+Pspv)</f>
        <v>7.4383246784248347E-2</v>
      </c>
      <c r="M365" s="850"/>
      <c r="N365" s="850"/>
      <c r="O365" s="48">
        <f>IF(t&lt;Tnet,'2026'!Resal+('2026'!Salim-'2026'!Resal)*(1-EXP(('2026'!Tnet-t)/('2026'!Tau_j))),Resal+(Salim-Resal)*(1-EXP((Tnet-t)/(Tau_j))))*Salcycl</f>
        <v>5.2261841756270681E-2</v>
      </c>
      <c r="P365" s="169">
        <f>(INDEX(Models!$BJ365:$BT365,,T365)*(1-R365)+INDEX(Models!$BJ365:$BT365,,T365+1)*R365-ERP_i)*Q365*Ramure*Pc/MaxiM</f>
        <v>3.610940171399056E-2</v>
      </c>
      <c r="Q365" s="305">
        <f t="shared" si="130"/>
        <v>0.7</v>
      </c>
      <c r="R365" s="177">
        <f t="shared" si="131"/>
        <v>0.47609854149909359</v>
      </c>
      <c r="S365" s="817">
        <f t="shared" si="132"/>
        <v>-1</v>
      </c>
      <c r="T365" s="176">
        <f t="shared" si="133"/>
        <v>5</v>
      </c>
      <c r="U365" s="251">
        <f t="shared" si="134"/>
        <v>-0.52390145850090641</v>
      </c>
      <c r="V365" s="383">
        <f t="shared" si="135"/>
        <v>10.186721810967393</v>
      </c>
      <c r="W365" s="402">
        <f t="shared" si="136"/>
        <v>1.7858725174870327</v>
      </c>
      <c r="X365" s="157">
        <f t="shared" si="137"/>
        <v>46738</v>
      </c>
      <c r="Y365" s="385">
        <f t="shared" si="138"/>
        <v>1.6731271822906637</v>
      </c>
      <c r="Z365" s="385">
        <f t="shared" si="139"/>
        <v>1.8075809199411446</v>
      </c>
      <c r="AA365" s="386">
        <f t="shared" si="140"/>
        <v>2.035780175006062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0.11209425156340265</v>
      </c>
      <c r="AD365" s="231">
        <f>(INDEX(Models!$BJ365:$BT365,,AH365)*(1-AF365)+INDEX(Models!$BJ365:$BT365,,AH365+1)*AF365-ERP_i)*AE365*Ramure*Pc/MaxiM</f>
        <v>8.3600127569832899E-2</v>
      </c>
      <c r="AE365" s="305">
        <f t="shared" si="142"/>
        <v>0.7</v>
      </c>
      <c r="AF365" s="177">
        <f t="shared" si="143"/>
        <v>9.9961910875149496E-2</v>
      </c>
      <c r="AG365" s="817">
        <f t="shared" si="149"/>
        <v>2</v>
      </c>
      <c r="AH365" s="176">
        <f t="shared" si="144"/>
        <v>8</v>
      </c>
      <c r="AI365" s="225">
        <f t="shared" si="145"/>
        <v>2.0999619108751495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46739</v>
      </c>
      <c r="B366" s="411">
        <f>'2026'!Wh/'2026'!Env_an*'2027'!Env_an</f>
        <v>9.5256376360401678</v>
      </c>
      <c r="C366" s="846"/>
      <c r="D366" s="393">
        <f t="shared" si="127"/>
        <v>10.291350327688686</v>
      </c>
      <c r="E366" s="385">
        <f t="shared" si="150"/>
        <v>10.860265526165529</v>
      </c>
      <c r="F366" s="385">
        <f t="shared" si="128"/>
        <v>11.222991652323634</v>
      </c>
      <c r="G366" s="110">
        <f t="shared" si="151"/>
        <v>0.92779519540578159</v>
      </c>
      <c r="H366" s="414" t="b">
        <f>Wh_hp&gt;='2026'!Maxi_hp</f>
        <v>0</v>
      </c>
      <c r="I366" s="390">
        <f>IF(H366,Wh_hp,'2026'!Maxi_hp)</f>
        <v>11.681754622743613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7.4403520166676507E-2</v>
      </c>
      <c r="M366" s="850"/>
      <c r="N366" s="850"/>
      <c r="O366" s="48">
        <f>IF(t&lt;Tnet,'2026'!Resal+('2026'!Salim-'2026'!Resal)*(1-EXP(('2026'!Tnet-t)/('2026'!Tau_j))),Resal+(Salim-Resal)*(1-EXP((Tnet-t)/(Tau_j))))*Salcycl</f>
        <v>5.2385017392637449E-2</v>
      </c>
      <c r="P366" s="169">
        <f>(INDEX(Models!$BJ366:$BT366,,T366)*(1-R366)+INDEX(Models!$BJ366:$BT366,,T366+1)*R366-ERP_i)*Q366*Ramure*Pc/MaxiM</f>
        <v>3.5843542363049596E-2</v>
      </c>
      <c r="Q366" s="305">
        <f t="shared" si="130"/>
        <v>0.7</v>
      </c>
      <c r="R366" s="177">
        <f t="shared" si="131"/>
        <v>0.47610673011876292</v>
      </c>
      <c r="S366" s="817">
        <f t="shared" si="132"/>
        <v>-1</v>
      </c>
      <c r="T366" s="176">
        <f t="shared" si="133"/>
        <v>5</v>
      </c>
      <c r="U366" s="251">
        <f t="shared" si="134"/>
        <v>-0.52389326988123708</v>
      </c>
      <c r="V366" s="383">
        <f t="shared" si="135"/>
        <v>10.229576347631179</v>
      </c>
      <c r="W366" s="402">
        <f t="shared" si="136"/>
        <v>9.5256376360401678</v>
      </c>
      <c r="X366" s="157">
        <f t="shared" si="137"/>
        <v>46739</v>
      </c>
      <c r="Y366" s="385">
        <f t="shared" si="138"/>
        <v>8.5325099526043662</v>
      </c>
      <c r="Z366" s="385">
        <f t="shared" si="139"/>
        <v>9.2183906686214439</v>
      </c>
      <c r="AA366" s="386">
        <f t="shared" si="140"/>
        <v>10.382569784773008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0.11212822454214945</v>
      </c>
      <c r="AD366" s="231">
        <f>(INDEX(Models!$BJ366:$BT366,,AH366)*(1-AF366)+INDEX(Models!$BJ366:$BT366,,AH366+1)*AF366-ERP_i)*AE366*Ramure*Pc/MaxiM</f>
        <v>8.3048048210494121E-2</v>
      </c>
      <c r="AE366" s="305">
        <f t="shared" si="142"/>
        <v>0.7</v>
      </c>
      <c r="AF366" s="177">
        <f t="shared" si="143"/>
        <v>9.9970099494818943E-2</v>
      </c>
      <c r="AG366" s="817">
        <f t="shared" si="149"/>
        <v>2</v>
      </c>
      <c r="AH366" s="176">
        <f t="shared" si="144"/>
        <v>8</v>
      </c>
      <c r="AI366" s="225">
        <f t="shared" si="145"/>
        <v>2.0999700994948189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46740</v>
      </c>
      <c r="B367" s="411">
        <f>'2026'!Wh/'2026'!Env_an*'2027'!Env_an</f>
        <v>9.5127461224003085</v>
      </c>
      <c r="C367" s="846"/>
      <c r="D367" s="393">
        <f t="shared" si="127"/>
        <v>10.277647644285368</v>
      </c>
      <c r="E367" s="385">
        <f t="shared" si="150"/>
        <v>10.847218470041224</v>
      </c>
      <c r="F367" s="385">
        <f t="shared" si="128"/>
        <v>11.203377384840095</v>
      </c>
      <c r="G367" s="110">
        <f t="shared" si="151"/>
        <v>0.92177076585842899</v>
      </c>
      <c r="H367" s="414" t="b">
        <f>Wh_hp&gt;='2026'!Maxi_hp</f>
        <v>0</v>
      </c>
      <c r="I367" s="390">
        <f>IF(H367,Wh_hp,'2026'!Maxi_hp)</f>
        <v>11.859161695286367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7.4423793105065639E-2</v>
      </c>
      <c r="M367" s="850"/>
      <c r="N367" s="850"/>
      <c r="O367" s="48">
        <f>IF(t&lt;Tnet,'2026'!Resal+('2026'!Salim-'2026'!Resal)*(1-EXP(('2026'!Tnet-t)/('2026'!Tau_j))),Resal+(Salim-Resal)*(1-EXP((Tnet-t)/(Tau_j))))*Salcycl</f>
        <v>5.2508468168954457E-2</v>
      </c>
      <c r="P367" s="169">
        <f>(INDEX(Models!$BJ367:$BT367,,T367)*(1-R367)+INDEX(Models!$BJ367:$BT367,,T367+1)*R367-ERP_i)*Q367*Ramure*Pc/MaxiM</f>
        <v>3.5582643881950933E-2</v>
      </c>
      <c r="Q367" s="305">
        <f t="shared" si="130"/>
        <v>0.7</v>
      </c>
      <c r="R367" s="177">
        <f t="shared" si="131"/>
        <v>0.4761145892927291</v>
      </c>
      <c r="S367" s="817">
        <f t="shared" si="132"/>
        <v>-1</v>
      </c>
      <c r="T367" s="176">
        <f t="shared" si="133"/>
        <v>5</v>
      </c>
      <c r="U367" s="251">
        <f t="shared" si="134"/>
        <v>-0.5238854107072709</v>
      </c>
      <c r="V367" s="383">
        <f t="shared" si="135"/>
        <v>10.279655768752836</v>
      </c>
      <c r="W367" s="402">
        <f t="shared" si="136"/>
        <v>9.5127461224003085</v>
      </c>
      <c r="X367" s="157">
        <f t="shared" si="137"/>
        <v>46740</v>
      </c>
      <c r="Y367" s="385">
        <f t="shared" si="138"/>
        <v>8.5279831177307663</v>
      </c>
      <c r="Z367" s="385">
        <f t="shared" si="139"/>
        <v>9.213701750545118</v>
      </c>
      <c r="AA367" s="386">
        <f t="shared" si="140"/>
        <v>10.377696983426727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0.11216315476743258</v>
      </c>
      <c r="AD367" s="231">
        <f>(INDEX(Models!$BJ367:$BT367,,AH367)*(1-AF367)+INDEX(Models!$BJ367:$BT367,,AH367+1)*AF367-ERP_i)*AE367*Ramure*Pc/MaxiM</f>
        <v>8.2490962497427517E-2</v>
      </c>
      <c r="AE367" s="305">
        <f t="shared" si="142"/>
        <v>0.7</v>
      </c>
      <c r="AF367" s="177">
        <f t="shared" si="143"/>
        <v>9.9977958668785227E-2</v>
      </c>
      <c r="AG367" s="817">
        <f t="shared" si="149"/>
        <v>2</v>
      </c>
      <c r="AH367" s="176">
        <f t="shared" si="144"/>
        <v>8</v>
      </c>
      <c r="AI367" s="225">
        <f t="shared" si="145"/>
        <v>2.0999779586687852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46741</v>
      </c>
      <c r="B368" s="411">
        <f>'2026'!Wh/'2026'!Env_an*'2027'!Env_an</f>
        <v>2.4539698616143268</v>
      </c>
      <c r="C368" s="846"/>
      <c r="D368" s="393">
        <f t="shared" si="127"/>
        <v>2.6513469044997384</v>
      </c>
      <c r="E368" s="385">
        <f t="shared" si="150"/>
        <v>2.7986456871626411</v>
      </c>
      <c r="F368" s="385">
        <f t="shared" si="128"/>
        <v>2.7986456871626411</v>
      </c>
      <c r="G368" s="110">
        <f t="shared" si="151"/>
        <v>0.22903298260335953</v>
      </c>
      <c r="H368" s="414" t="b">
        <f>Wh_hp&gt;='2026'!Maxi_hp</f>
        <v>0</v>
      </c>
      <c r="I368" s="390">
        <f>IF(H368,Wh_hp,'2026'!Maxi_hp)</f>
        <v>10.857367407751404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7.4444065599425291E-2</v>
      </c>
      <c r="M368" s="850"/>
      <c r="N368" s="850"/>
      <c r="O368" s="48">
        <f>IF(t&lt;Tnet,'2026'!Resal+('2026'!Salim-'2026'!Resal)*(1-EXP(('2026'!Tnet-t)/('2026'!Tau_j))),Resal+(Salim-Resal)*(1-EXP((Tnet-t)/(Tau_j))))*Salcycl</f>
        <v>5.2632165385765164E-2</v>
      </c>
      <c r="P368" s="169">
        <f>(INDEX(Models!$BJ368:$BT368,,T368)*(1-R368)+INDEX(Models!$BJ368:$BT368,,T368+1)*R368-ERP_i)*Q368*Ramure*Pc/MaxiM</f>
        <v>3.533047846266231E-2</v>
      </c>
      <c r="Q368" s="305">
        <f t="shared" si="130"/>
        <v>0.7</v>
      </c>
      <c r="R368" s="177">
        <f t="shared" si="131"/>
        <v>0.47612213226556743</v>
      </c>
      <c r="S368" s="817">
        <f t="shared" si="132"/>
        <v>-1</v>
      </c>
      <c r="T368" s="176">
        <f t="shared" si="133"/>
        <v>5</v>
      </c>
      <c r="U368" s="251">
        <f t="shared" si="134"/>
        <v>-0.52387786773443257</v>
      </c>
      <c r="V368" s="383">
        <f t="shared" si="135"/>
        <v>10.335934612396807</v>
      </c>
      <c r="W368" s="402">
        <f t="shared" si="136"/>
        <v>2.4539698616143268</v>
      </c>
      <c r="X368" s="157">
        <f t="shared" si="137"/>
        <v>46741</v>
      </c>
      <c r="Y368" s="385">
        <f t="shared" si="138"/>
        <v>2.2996737706191861</v>
      </c>
      <c r="Z368" s="385">
        <f t="shared" si="139"/>
        <v>2.4846405118762944</v>
      </c>
      <c r="AA368" s="386">
        <f t="shared" si="140"/>
        <v>2.7986456871626411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0.11219897421337946</v>
      </c>
      <c r="AD368" s="231">
        <f>(INDEX(Models!$BJ368:$BT368,,AH368)*(1-AF368)+INDEX(Models!$BJ368:$BT368,,AH368+1)*AF368-ERP_i)*AE368*Ramure*Pc/MaxiM</f>
        <v>8.1937781607074059E-2</v>
      </c>
      <c r="AE368" s="305">
        <f t="shared" si="142"/>
        <v>0.7</v>
      </c>
      <c r="AF368" s="177">
        <f t="shared" si="143"/>
        <v>9.9985501641623564E-2</v>
      </c>
      <c r="AG368" s="817">
        <f t="shared" si="149"/>
        <v>2</v>
      </c>
      <c r="AH368" s="176">
        <f t="shared" si="144"/>
        <v>8</v>
      </c>
      <c r="AI368" s="225">
        <f t="shared" si="145"/>
        <v>2.0999855016416236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46742</v>
      </c>
      <c r="B369" s="411">
        <f>'2026'!Wh/'2026'!Env_an*'2027'!Env_an</f>
        <v>8.6749287758251992</v>
      </c>
      <c r="C369" s="846"/>
      <c r="D369" s="393">
        <f t="shared" si="127"/>
        <v>9.3728736003502533</v>
      </c>
      <c r="E369" s="385">
        <f t="shared" si="150"/>
        <v>9.8948891713643707</v>
      </c>
      <c r="F369" s="385">
        <f t="shared" si="128"/>
        <v>10.167229027394486</v>
      </c>
      <c r="G369" s="110">
        <f t="shared" si="151"/>
        <v>0.82721779568287535</v>
      </c>
      <c r="H369" s="414" t="b">
        <f>Wh_hp&gt;='2026'!Maxi_hp</f>
        <v>0</v>
      </c>
      <c r="I369" s="390">
        <f>IF(H369,Wh_hp,'2026'!Maxi_hp)</f>
        <v>10.896065094329265</v>
      </c>
      <c r="J369" s="85">
        <f>IF(H369,An,'2026'!An_max)</f>
        <v>2021</v>
      </c>
      <c r="K369" s="197">
        <f t="shared" si="129"/>
        <v>46742</v>
      </c>
      <c r="L369" s="147">
        <f>IF(t&lt;Tvie,1-EXP((T0-t)*PertePVj)+'2026'!Pspv,1-EXP((T0-t)*PertePVj)+Pspv)</f>
        <v>7.4464337649765455E-2</v>
      </c>
      <c r="M369" s="850"/>
      <c r="N369" s="850"/>
      <c r="O369" s="48">
        <f>IF(t&lt;Tnet,'2026'!Resal+('2026'!Salim-'2026'!Resal)*(1-EXP(('2026'!Tnet-t)/('2026'!Tau_j))),Resal+(Salim-Resal)*(1-EXP((Tnet-t)/(Tau_j))))*Salcycl</f>
        <v>5.2756080636539263E-2</v>
      </c>
      <c r="P369" s="169">
        <f>(INDEX(Models!$BJ369:$BT369,,T369)*(1-R369)+INDEX(Models!$BJ369:$BT369,,T369+1)*R369-ERP_i)*Q369*Ramure*Pc/MaxiM</f>
        <v>3.5090626923331723E-2</v>
      </c>
      <c r="Q369" s="305">
        <f t="shared" si="130"/>
        <v>0.7</v>
      </c>
      <c r="R369" s="177">
        <f t="shared" si="131"/>
        <v>0.47612937175015435</v>
      </c>
      <c r="S369" s="817">
        <f t="shared" si="132"/>
        <v>-1</v>
      </c>
      <c r="T369" s="176">
        <f t="shared" si="133"/>
        <v>5</v>
      </c>
      <c r="U369" s="251">
        <f t="shared" si="134"/>
        <v>-0.52387062824984565</v>
      </c>
      <c r="V369" s="383">
        <f t="shared" si="135"/>
        <v>10.397387897737737</v>
      </c>
      <c r="W369" s="402">
        <f t="shared" si="136"/>
        <v>8.6749287758251992</v>
      </c>
      <c r="X369" s="157">
        <f t="shared" si="137"/>
        <v>46742</v>
      </c>
      <c r="Y369" s="385">
        <f t="shared" si="138"/>
        <v>7.8349185965829502</v>
      </c>
      <c r="Z369" s="385">
        <f t="shared" si="139"/>
        <v>8.4652800700164885</v>
      </c>
      <c r="AA369" s="386">
        <f t="shared" si="140"/>
        <v>9.5355031392689806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0.11223561605733361</v>
      </c>
      <c r="AD369" s="231">
        <f>(INDEX(Models!$BJ369:$BT369,,AH369)*(1-AF369)+INDEX(Models!$BJ369:$BT369,,AH369+1)*AF369-ERP_i)*AE369*Ramure*Pc/MaxiM</f>
        <v>8.1397037441230516E-2</v>
      </c>
      <c r="AE369" s="305">
        <f t="shared" si="142"/>
        <v>0.7</v>
      </c>
      <c r="AF369" s="177">
        <f t="shared" si="143"/>
        <v>9.9992741126210483E-2</v>
      </c>
      <c r="AG369" s="817">
        <f t="shared" si="149"/>
        <v>2</v>
      </c>
      <c r="AH369" s="176">
        <f t="shared" si="144"/>
        <v>8</v>
      </c>
      <c r="AI369" s="225">
        <f t="shared" si="145"/>
        <v>2.0999927411262105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46743</v>
      </c>
      <c r="B370" s="411">
        <f>'2026'!Wh/'2026'!Env_an*'2027'!Env_an</f>
        <v>9.7776387836894614</v>
      </c>
      <c r="C370" s="846"/>
      <c r="D370" s="393">
        <f t="shared" si="127"/>
        <v>10.564533968290315</v>
      </c>
      <c r="E370" s="385">
        <f t="shared" si="150"/>
        <v>11.154379638075833</v>
      </c>
      <c r="F370" s="385">
        <f t="shared" si="128"/>
        <v>11.518405511538075</v>
      </c>
      <c r="G370" s="110">
        <f t="shared" si="151"/>
        <v>0.93134905137394663</v>
      </c>
      <c r="H370" s="414" t="b">
        <f>Wh_hp&gt;='2026'!Maxi_hp</f>
        <v>0</v>
      </c>
      <c r="I370" s="390">
        <f>IF(H370,Wh_hp,'2026'!Maxi_hp)</f>
        <v>12.677093484896854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7.4484609256095569E-2</v>
      </c>
      <c r="M370" s="850"/>
      <c r="N370" s="850"/>
      <c r="O370" s="48">
        <f>IF(t&lt;Tnet,'2026'!Resal+('2026'!Salim-'2026'!Resal)*(1-EXP(('2026'!Tnet-t)/('2026'!Tau_j))),Resal+(Salim-Resal)*(1-EXP((Tnet-t)/(Tau_j))))*Salcycl</f>
        <v>5.288018598291748E-2</v>
      </c>
      <c r="P370" s="169">
        <f>(INDEX(Models!$BJ370:$BT370,,T370)*(1-R370)+INDEX(Models!$BJ370:$BT370,,T370+1)*R370-ERP_i)*Q370*Ramure*Pc/MaxiM</f>
        <v>3.4866474059366104E-2</v>
      </c>
      <c r="Q370" s="305">
        <f t="shared" si="130"/>
        <v>0.7</v>
      </c>
      <c r="R370" s="177">
        <f t="shared" si="131"/>
        <v>0.47613631994895167</v>
      </c>
      <c r="S370" s="817">
        <f t="shared" si="132"/>
        <v>-1</v>
      </c>
      <c r="T370" s="176">
        <f t="shared" si="133"/>
        <v>5</v>
      </c>
      <c r="U370" s="251">
        <f t="shared" si="134"/>
        <v>-0.52386368005104833</v>
      </c>
      <c r="V370" s="383">
        <f t="shared" si="135"/>
        <v>10.462991125510769</v>
      </c>
      <c r="W370" s="402">
        <f t="shared" si="136"/>
        <v>9.7776387836894614</v>
      </c>
      <c r="X370" s="157">
        <f t="shared" si="137"/>
        <v>46743</v>
      </c>
      <c r="Y370" s="385">
        <f t="shared" si="138"/>
        <v>8.7698157713492204</v>
      </c>
      <c r="Z370" s="385">
        <f t="shared" si="139"/>
        <v>9.4756023066242889</v>
      </c>
      <c r="AA370" s="386">
        <f t="shared" si="140"/>
        <v>10.674005034346509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0.11227301503662725</v>
      </c>
      <c r="AD370" s="231">
        <f>(INDEX(Models!$BJ370:$BT370,,AH370)*(1-AF370)+INDEX(Models!$BJ370:$BT370,,AH370+1)*AF370-ERP_i)*AE370*Ramure*Pc/MaxiM</f>
        <v>8.087685376234581E-2</v>
      </c>
      <c r="AE370" s="305">
        <f t="shared" si="142"/>
        <v>0.7</v>
      </c>
      <c r="AF370" s="177">
        <f t="shared" si="143"/>
        <v>9.999968932500769E-2</v>
      </c>
      <c r="AG370" s="817">
        <f t="shared" si="149"/>
        <v>2</v>
      </c>
      <c r="AH370" s="176">
        <f t="shared" si="144"/>
        <v>8</v>
      </c>
      <c r="AI370" s="225">
        <f t="shared" si="145"/>
        <v>2.0999996893250077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46744</v>
      </c>
      <c r="B371" s="411">
        <f>'2026'!Wh/'2026'!Env_an*'2027'!Env_an</f>
        <v>9.6332706752213575</v>
      </c>
      <c r="C371" s="846"/>
      <c r="D371" s="393">
        <f t="shared" si="127"/>
        <v>10.408775228957074</v>
      </c>
      <c r="E371" s="385">
        <f t="shared" si="150"/>
        <v>10.991366616496109</v>
      </c>
      <c r="F371" s="385">
        <f t="shared" si="128"/>
        <v>11.336412456367601</v>
      </c>
      <c r="G371" s="110">
        <f t="shared" si="151"/>
        <v>0.91070589751131903</v>
      </c>
      <c r="H371" s="414" t="b">
        <f>Wh_hp&gt;='2026'!Maxi_hp</f>
        <v>0</v>
      </c>
      <c r="I371" s="390">
        <f>IF(H371,Wh_hp,'2026'!Maxi_hp)</f>
        <v>11.766325638958318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7.4504880418425512E-2</v>
      </c>
      <c r="M371" s="850"/>
      <c r="N371" s="850"/>
      <c r="O371" s="48">
        <f>IF(t&lt;Tnet,'2026'!Resal+('2026'!Salim-'2026'!Resal)*(1-EXP(('2026'!Tnet-t)/('2026'!Tau_j))),Resal+(Salim-Resal)*(1-EXP((Tnet-t)/(Tau_j))))*Salcycl</f>
        <v>5.3004454119896897E-2</v>
      </c>
      <c r="P371" s="169">
        <f>(INDEX(Models!$BJ371:$BT371,,T371)*(1-R371)+INDEX(Models!$BJ371:$BT371,,T371+1)*R371-ERP_i)*Q371*Ramure*Pc/MaxiM</f>
        <v>3.4661101082390657E-2</v>
      </c>
      <c r="Q371" s="305">
        <f t="shared" si="130"/>
        <v>0.7</v>
      </c>
      <c r="R371" s="177">
        <f t="shared" si="131"/>
        <v>0.47613631994895167</v>
      </c>
      <c r="S371" s="817">
        <f t="shared" si="132"/>
        <v>-1</v>
      </c>
      <c r="T371" s="176">
        <f t="shared" si="133"/>
        <v>5</v>
      </c>
      <c r="U371" s="251">
        <f t="shared" si="134"/>
        <v>-0.52386368005104833</v>
      </c>
      <c r="V371" s="383">
        <f t="shared" si="135"/>
        <v>10.531721486986022</v>
      </c>
      <c r="W371" s="402">
        <f t="shared" si="136"/>
        <v>9.6332706752213575</v>
      </c>
      <c r="X371" s="157">
        <f t="shared" si="137"/>
        <v>46744</v>
      </c>
      <c r="Y371" s="385">
        <f t="shared" si="138"/>
        <v>8.6560279405578004</v>
      </c>
      <c r="Z371" s="385">
        <f t="shared" si="139"/>
        <v>9.3528617897750514</v>
      </c>
      <c r="AA371" s="386">
        <f t="shared" si="140"/>
        <v>10.536193335012964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0.11231110777984377</v>
      </c>
      <c r="AD371" s="231">
        <f>(INDEX(Models!$BJ371:$BT371,,AH371)*(1-AF371)+INDEX(Models!$BJ371:$BT371,,AH371+1)*AF371-ERP_i)*AE371*Ramure*Pc/MaxiM</f>
        <v>8.0384901506608694E-2</v>
      </c>
      <c r="AE371" s="305">
        <f t="shared" si="142"/>
        <v>0.7</v>
      </c>
      <c r="AF371" s="177">
        <f t="shared" si="143"/>
        <v>9.999968932500769E-2</v>
      </c>
      <c r="AG371" s="817">
        <f t="shared" si="149"/>
        <v>2</v>
      </c>
      <c r="AH371" s="176">
        <f t="shared" si="144"/>
        <v>8</v>
      </c>
      <c r="AI371" s="225">
        <f t="shared" si="145"/>
        <v>2.0999996893250077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46745</v>
      </c>
      <c r="B372" s="411">
        <f>'2026'!Wh/'2026'!Env_an*'2027'!Env_an</f>
        <v>9.8452364447252823</v>
      </c>
      <c r="C372" s="846"/>
      <c r="D372" s="393">
        <f t="shared" si="127"/>
        <v>10.638037821144714</v>
      </c>
      <c r="E372" s="385">
        <f t="shared" si="150"/>
        <v>11.23493721080928</v>
      </c>
      <c r="F372" s="385">
        <f t="shared" si="128"/>
        <v>11.593877820255642</v>
      </c>
      <c r="G372" s="110">
        <f t="shared" si="151"/>
        <v>0.92520092412134447</v>
      </c>
      <c r="H372" s="414" t="b">
        <f>Wh_hp&gt;='2026'!Maxi_hp</f>
        <v>0</v>
      </c>
      <c r="I372" s="390">
        <f>IF(H372,Wh_hp,'2026'!Maxi_hp)</f>
        <v>11.621904660823359</v>
      </c>
      <c r="J372" s="85">
        <f>IF(H372,An,'2026'!An_max)</f>
        <v>2025</v>
      </c>
      <c r="K372" s="197">
        <f t="shared" si="129"/>
        <v>46745</v>
      </c>
      <c r="L372" s="147">
        <f>IF(t&lt;Tvie,1-EXP((T0-t)*PertePVj)+'2026'!Pspv,1-EXP((T0-t)*PertePVj)+Pspv)</f>
        <v>7.4525151136764944E-2</v>
      </c>
      <c r="M372" s="850"/>
      <c r="N372" s="850"/>
      <c r="O372" s="48">
        <f>IF(t&lt;Tnet,'2026'!Resal+('2026'!Salim-'2026'!Resal)*(1-EXP(('2026'!Tnet-t)/('2026'!Tau_j))),Resal+(Salim-Resal)*(1-EXP((Tnet-t)/(Tau_j))))*Salcycl</f>
        <v>5.3128858529826191E-2</v>
      </c>
      <c r="P372" s="169">
        <f>(INDEX(Models!$BJ372:$BT372,,T372)*(1-R372)+INDEX(Models!$BJ372:$BT372,,T372+1)*R372-ERP_i)*Q372*Ramure*Pc/MaxiM</f>
        <v>3.4477583706825021E-2</v>
      </c>
      <c r="Q372" s="305">
        <f t="shared" si="130"/>
        <v>0.7</v>
      </c>
      <c r="R372" s="177">
        <f t="shared" si="131"/>
        <v>0.47613631994895167</v>
      </c>
      <c r="S372" s="817">
        <f t="shared" si="132"/>
        <v>-1</v>
      </c>
      <c r="T372" s="176">
        <f t="shared" si="133"/>
        <v>5</v>
      </c>
      <c r="U372" s="251">
        <f t="shared" si="134"/>
        <v>-0.52386368005104833</v>
      </c>
      <c r="V372" s="383">
        <f t="shared" si="135"/>
        <v>10.602554747546835</v>
      </c>
      <c r="W372" s="402">
        <f t="shared" si="136"/>
        <v>9.8452364447252823</v>
      </c>
      <c r="X372" s="157">
        <f t="shared" si="137"/>
        <v>46745</v>
      </c>
      <c r="Y372" s="385">
        <f t="shared" si="138"/>
        <v>8.8407600765438552</v>
      </c>
      <c r="Z372" s="385">
        <f t="shared" si="139"/>
        <v>9.5526745944560254</v>
      </c>
      <c r="AA372" s="386">
        <f t="shared" si="140"/>
        <v>10.761756095795251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0.11234983311056723</v>
      </c>
      <c r="AD372" s="231">
        <f>(INDEX(Models!$BJ372:$BT372,,AH372)*(1-AF372)+INDEX(Models!$BJ372:$BT372,,AH372+1)*AF372-ERP_i)*AE372*Ramure*Pc/MaxiM</f>
        <v>7.9928393874413001E-2</v>
      </c>
      <c r="AE372" s="305">
        <f t="shared" si="142"/>
        <v>0.7</v>
      </c>
      <c r="AF372" s="177">
        <f t="shared" si="143"/>
        <v>9.999968932500769E-2</v>
      </c>
      <c r="AG372" s="817">
        <f t="shared" si="149"/>
        <v>2</v>
      </c>
      <c r="AH372" s="176">
        <f t="shared" si="144"/>
        <v>8</v>
      </c>
      <c r="AI372" s="225">
        <f t="shared" si="145"/>
        <v>2.0999996893250077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46746</v>
      </c>
      <c r="B373" s="411">
        <f>'2026'!Wh/'2026'!Env_an*'2027'!Env_an</f>
        <v>5.8693367829489258</v>
      </c>
      <c r="C373" s="846"/>
      <c r="D373" s="393">
        <f t="shared" si="127"/>
        <v>6.3421122103025631</v>
      </c>
      <c r="E373" s="385">
        <f t="shared" si="150"/>
        <v>6.6988484918932398</v>
      </c>
      <c r="F373" s="385">
        <f t="shared" si="128"/>
        <v>6.781837206515533</v>
      </c>
      <c r="G373" s="110">
        <f t="shared" si="151"/>
        <v>0.53739155773285685</v>
      </c>
      <c r="H373" s="414" t="b">
        <f>Wh_hp&gt;='2026'!Maxi_hp</f>
        <v>0</v>
      </c>
      <c r="I373" s="390">
        <f>IF(H373,Wh_hp,'2026'!Maxi_hp)</f>
        <v>7.2647215358617787</v>
      </c>
      <c r="J373" s="85">
        <f>IF(H373,An,'2026'!An_max)</f>
        <v>2018</v>
      </c>
      <c r="K373" s="197">
        <f t="shared" si="129"/>
        <v>46746</v>
      </c>
      <c r="L373" s="147">
        <f>IF(t&lt;Tvie,1-EXP((T0-t)*PertePVj)+'2026'!Pspv,1-EXP((T0-t)*PertePVj)+Pspv)</f>
        <v>7.4545421411123636E-2</v>
      </c>
      <c r="M373" s="850"/>
      <c r="N373" s="850"/>
      <c r="O373" s="48">
        <f>IF(t&lt;Tnet,'2026'!Resal+('2026'!Salim-'2026'!Resal)*(1-EXP(('2026'!Tnet-t)/('2026'!Tau_j))),Resal+(Salim-Resal)*(1-EXP((Tnet-t)/(Tau_j))))*Salcycl</f>
        <v>5.3253373624196534E-2</v>
      </c>
      <c r="P373" s="169">
        <f>(INDEX(Models!$BJ373:$BT373,,T373)*(1-R373)+INDEX(Models!$BJ373:$BT373,,T373+1)*R373-ERP_i)*Q373*Ramure*Pc/MaxiM</f>
        <v>3.4308104379013646E-2</v>
      </c>
      <c r="Q373" s="305">
        <f t="shared" si="130"/>
        <v>0.7</v>
      </c>
      <c r="R373" s="177">
        <f t="shared" si="131"/>
        <v>0.47613631994895167</v>
      </c>
      <c r="S373" s="817">
        <f t="shared" si="132"/>
        <v>-1</v>
      </c>
      <c r="T373" s="176">
        <f t="shared" si="133"/>
        <v>5</v>
      </c>
      <c r="U373" s="251">
        <f t="shared" si="134"/>
        <v>-0.52386368005104833</v>
      </c>
      <c r="V373" s="383">
        <f t="shared" si="135"/>
        <v>10.677854099365922</v>
      </c>
      <c r="W373" s="402">
        <f t="shared" si="136"/>
        <v>5.8693367829489258</v>
      </c>
      <c r="X373" s="157">
        <f t="shared" si="137"/>
        <v>46746</v>
      </c>
      <c r="Y373" s="385">
        <f t="shared" si="138"/>
        <v>5.41294987424663</v>
      </c>
      <c r="Z373" s="385">
        <f t="shared" si="139"/>
        <v>5.8489633089289379</v>
      </c>
      <c r="AA373" s="386">
        <f t="shared" si="140"/>
        <v>6.5895580168246308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0.11238913232189272</v>
      </c>
      <c r="AD373" s="231">
        <f>(INDEX(Models!$BJ373:$BT373,,AH373)*(1-AF373)+INDEX(Models!$BJ373:$BT373,,AH373+1)*AF373-ERP_i)*AE373*Ramure*Pc/MaxiM</f>
        <v>7.948953709972964E-2</v>
      </c>
      <c r="AE373" s="305">
        <f t="shared" si="142"/>
        <v>0.7</v>
      </c>
      <c r="AF373" s="177">
        <f t="shared" si="143"/>
        <v>9.999968932500769E-2</v>
      </c>
      <c r="AG373" s="817">
        <f t="shared" si="149"/>
        <v>2</v>
      </c>
      <c r="AH373" s="176">
        <f t="shared" si="144"/>
        <v>8</v>
      </c>
      <c r="AI373" s="225">
        <f t="shared" si="145"/>
        <v>2.0999996893250077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46747</v>
      </c>
      <c r="B374" s="411">
        <f>'2026'!Wh/'2026'!Env_an*'2027'!Env_an</f>
        <v>10.151789765395767</v>
      </c>
      <c r="C374" s="846"/>
      <c r="D374" s="393">
        <f t="shared" si="127"/>
        <v>10.969757301320334</v>
      </c>
      <c r="E374" s="385">
        <f t="shared" si="150"/>
        <v>11.588318262340202</v>
      </c>
      <c r="F374" s="385">
        <f t="shared" si="128"/>
        <v>11.963800710248782</v>
      </c>
      <c r="G374" s="110">
        <f t="shared" si="151"/>
        <v>0.94075029399410004</v>
      </c>
      <c r="H374" s="414" t="b">
        <f>Wh_hp&gt;='2026'!Maxi_hp</f>
        <v>0</v>
      </c>
      <c r="I374" s="390">
        <f>IF(H374,Wh_hp,'2026'!Maxi_hp)</f>
        <v>12.958648457601393</v>
      </c>
      <c r="J374" s="85">
        <f>IF(H374,An,'2026'!An_max)</f>
        <v>2018</v>
      </c>
      <c r="K374" s="197">
        <f t="shared" si="129"/>
        <v>46747</v>
      </c>
      <c r="L374" s="147">
        <f>IF(t&lt;Tvie,1-EXP((T0-t)*PertePVj)+'2026'!Pspv,1-EXP((T0-t)*PertePVj)+Pspv)</f>
        <v>7.4565691241511245E-2</v>
      </c>
      <c r="M374" s="850"/>
      <c r="N374" s="850"/>
      <c r="O374" s="48">
        <f>IF(t&lt;Tnet,'2026'!Resal+('2026'!Salim-'2026'!Resal)*(1-EXP(('2026'!Tnet-t)/('2026'!Tau_j))),Resal+(Salim-Resal)*(1-EXP((Tnet-t)/(Tau_j))))*Salcycl</f>
        <v>5.3377974872339549E-2</v>
      </c>
      <c r="P374" s="169">
        <f>(INDEX(Models!$BJ374:$BT374,,T374)*(1-R374)+INDEX(Models!$BJ374:$BT374,,T374+1)*R374-ERP_i)*Q374*Ramure*Pc/MaxiM</f>
        <v>3.4143821533925818E-2</v>
      </c>
      <c r="Q374" s="305">
        <f t="shared" si="130"/>
        <v>0.7</v>
      </c>
      <c r="R374" s="177">
        <f t="shared" si="131"/>
        <v>0.47613631994895167</v>
      </c>
      <c r="S374" s="817">
        <f t="shared" si="132"/>
        <v>-1</v>
      </c>
      <c r="T374" s="176">
        <f t="shared" si="133"/>
        <v>5</v>
      </c>
      <c r="U374" s="251">
        <f t="shared" si="134"/>
        <v>-0.52386368005104833</v>
      </c>
      <c r="V374" s="383">
        <f t="shared" si="135"/>
        <v>10.760426138563053</v>
      </c>
      <c r="W374" s="402">
        <f t="shared" si="136"/>
        <v>10.151789765395767</v>
      </c>
      <c r="X374" s="157">
        <f t="shared" si="137"/>
        <v>46747</v>
      </c>
      <c r="Y374" s="385">
        <f t="shared" si="138"/>
        <v>9.1128976049928099</v>
      </c>
      <c r="Z374" s="385">
        <f t="shared" si="139"/>
        <v>9.8471577277247988</v>
      </c>
      <c r="AA374" s="386">
        <f t="shared" si="140"/>
        <v>11.094500796632383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0.112428949420257</v>
      </c>
      <c r="AD374" s="231">
        <f>(INDEX(Models!$BJ374:$BT374,,AH374)*(1-AF374)+INDEX(Models!$BJ374:$BT374,,AH374+1)*AF374-ERP_i)*AE374*Ramure*Pc/MaxiM</f>
        <v>7.9048225224104332E-2</v>
      </c>
      <c r="AE374" s="305">
        <f t="shared" si="142"/>
        <v>0.7</v>
      </c>
      <c r="AF374" s="177">
        <f t="shared" si="143"/>
        <v>9.999968932500769E-2</v>
      </c>
      <c r="AG374" s="817">
        <f t="shared" si="149"/>
        <v>2</v>
      </c>
      <c r="AH374" s="176">
        <f t="shared" si="144"/>
        <v>8</v>
      </c>
      <c r="AI374" s="225">
        <f t="shared" si="145"/>
        <v>2.0999996893250077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46748</v>
      </c>
      <c r="B375" s="411">
        <f>'2026'!Wh/'2026'!Env_an*'2027'!Env_an</f>
        <v>3.933541206019302</v>
      </c>
      <c r="C375" s="846"/>
      <c r="D375" s="393">
        <f t="shared" si="127"/>
        <v>4.2505743793214954</v>
      </c>
      <c r="E375" s="385">
        <f t="shared" si="150"/>
        <v>4.4908465190591267</v>
      </c>
      <c r="F375" s="385">
        <f t="shared" si="128"/>
        <v>4.5045430008757013</v>
      </c>
      <c r="G375" s="110">
        <f t="shared" si="151"/>
        <v>0.35128805770731508</v>
      </c>
      <c r="H375" s="414" t="b">
        <f>Wh_hp&gt;='2026'!Maxi_hp</f>
        <v>0</v>
      </c>
      <c r="I375" s="390">
        <f>IF(H375,Wh_hp,'2026'!Maxi_hp)</f>
        <v>13.195050919032267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7.4585960627937653E-2</v>
      </c>
      <c r="M375" s="850"/>
      <c r="N375" s="850"/>
      <c r="O375" s="48">
        <f>IF(t&lt;Tnet,'2026'!Resal+('2026'!Salim-'2026'!Resal)*(1-EXP(('2026'!Tnet-t)/('2026'!Tau_j))),Resal+(Salim-Resal)*(1-EXP((Tnet-t)/(Tau_j))))*Salcycl</f>
        <v>5.3502638916275089E-2</v>
      </c>
      <c r="P375" s="169">
        <f>(INDEX(Models!$BJ375:$BT375,,T375)*(1-R375)+INDEX(Models!$BJ375:$BT375,,T375+1)*R375-ERP_i)*Q375*Ramure*Pc/MaxiM</f>
        <v>3.402434485185727E-2</v>
      </c>
      <c r="Q375" s="305">
        <f t="shared" si="130"/>
        <v>0.7</v>
      </c>
      <c r="R375" s="177">
        <f t="shared" si="131"/>
        <v>0.47613631994895167</v>
      </c>
      <c r="S375" s="817">
        <f t="shared" si="132"/>
        <v>-1</v>
      </c>
      <c r="T375" s="176">
        <f t="shared" si="133"/>
        <v>5</v>
      </c>
      <c r="U375" s="251">
        <f t="shared" si="134"/>
        <v>-0.52386368005104833</v>
      </c>
      <c r="V375" s="383">
        <f t="shared" si="135"/>
        <v>10.849482504693317</v>
      </c>
      <c r="W375" s="402">
        <f t="shared" si="136"/>
        <v>3.933541206019302</v>
      </c>
      <c r="X375" s="157">
        <f t="shared" si="137"/>
        <v>46748</v>
      </c>
      <c r="Y375" s="385">
        <f t="shared" si="138"/>
        <v>3.6737148292237602</v>
      </c>
      <c r="Z375" s="385">
        <f t="shared" si="139"/>
        <v>3.9698066734718562</v>
      </c>
      <c r="AA375" s="386">
        <f t="shared" si="140"/>
        <v>4.4728665344797855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0.11246923133744641</v>
      </c>
      <c r="AD375" s="231">
        <f>(INDEX(Models!$BJ375:$BT375,,AH375)*(1-AF375)+INDEX(Models!$BJ375:$BT375,,AH375+1)*AF375-ERP_i)*AE375*Ramure*Pc/MaxiM</f>
        <v>7.8689624881528974E-2</v>
      </c>
      <c r="AE375" s="305">
        <f t="shared" si="142"/>
        <v>0.7</v>
      </c>
      <c r="AF375" s="177">
        <f t="shared" si="143"/>
        <v>9.999968932500769E-2</v>
      </c>
      <c r="AG375" s="817">
        <f t="shared" si="149"/>
        <v>2</v>
      </c>
      <c r="AH375" s="176">
        <f t="shared" si="144"/>
        <v>8</v>
      </c>
      <c r="AI375" s="225">
        <f t="shared" si="145"/>
        <v>2.0999996893250077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46749</v>
      </c>
      <c r="B376" s="411">
        <f>'2026'!Wh/'2026'!Env_an*'2027'!Env_an</f>
        <v>10.691636043205264</v>
      </c>
      <c r="C376" s="846"/>
      <c r="D376" s="393">
        <f t="shared" si="127"/>
        <v>11.553607107428418</v>
      </c>
      <c r="E376" s="385">
        <f t="shared" si="150"/>
        <v>12.208306136238344</v>
      </c>
      <c r="F376" s="385">
        <f t="shared" si="128"/>
        <v>12.622531392441937</v>
      </c>
      <c r="G376" s="110">
        <f t="shared" si="151"/>
        <v>0.97573611408160887</v>
      </c>
      <c r="H376" s="414" t="b">
        <f>Wh_hp&gt;='2026'!Maxi_hp</f>
        <v>0</v>
      </c>
      <c r="I376" s="390">
        <f>IF(H376,Wh_hp,'2026'!Maxi_hp)</f>
        <v>12.632226999078489</v>
      </c>
      <c r="J376" s="85">
        <f>IF(H376,An,'2026'!An_max)</f>
        <v>2025</v>
      </c>
      <c r="K376" s="197">
        <f t="shared" si="129"/>
        <v>46749</v>
      </c>
      <c r="L376" s="147">
        <f>IF(t&lt;Tvie,1-EXP((T0-t)*PertePVj)+'2026'!Pspv,1-EXP((T0-t)*PertePVj)+Pspv)</f>
        <v>7.4606229570412408E-2</v>
      </c>
      <c r="M376" s="850"/>
      <c r="N376" s="850"/>
      <c r="O376" s="48">
        <f>IF(t&lt;Tnet,'2026'!Resal+('2026'!Salim-'2026'!Resal)*(1-EXP(('2026'!Tnet-t)/('2026'!Tau_j))),Resal+(Salim-Resal)*(1-EXP((Tnet-t)/(Tau_j))))*Salcycl</f>
        <v>5.3627343671089643E-2</v>
      </c>
      <c r="P376" s="169">
        <f>(INDEX(Models!$BJ376:$BT376,,T376)*(1-R376)+INDEX(Models!$BJ376:$BT376,,T376+1)*R376-ERP_i)*Q376*Ramure*Pc/MaxiM</f>
        <v>3.3937797762585535E-2</v>
      </c>
      <c r="Q376" s="305">
        <f t="shared" si="130"/>
        <v>0.7</v>
      </c>
      <c r="R376" s="177">
        <f t="shared" si="131"/>
        <v>0.47613631994895167</v>
      </c>
      <c r="S376" s="817">
        <f t="shared" si="132"/>
        <v>-1</v>
      </c>
      <c r="T376" s="176">
        <f t="shared" si="133"/>
        <v>5</v>
      </c>
      <c r="U376" s="251">
        <f t="shared" si="134"/>
        <v>-0.52386368005104833</v>
      </c>
      <c r="V376" s="383">
        <f t="shared" si="135"/>
        <v>10.944802414118527</v>
      </c>
      <c r="W376" s="402">
        <f t="shared" si="136"/>
        <v>10.691636043205264</v>
      </c>
      <c r="X376" s="157">
        <f t="shared" si="137"/>
        <v>46749</v>
      </c>
      <c r="Y376" s="385">
        <f t="shared" si="138"/>
        <v>9.5807763752700144</v>
      </c>
      <c r="Z376" s="385">
        <f t="shared" si="139"/>
        <v>10.353188752094596</v>
      </c>
      <c r="AA376" s="386">
        <f t="shared" si="140"/>
        <v>11.665695290591524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0.11250992810994087</v>
      </c>
      <c r="AD376" s="231">
        <f>(INDEX(Models!$BJ376:$BT376,,AH376)*(1-AF376)+INDEX(Models!$BJ376:$BT376,,AH376+1)*AF376-ERP_i)*AE376*Ramure*Pc/MaxiM</f>
        <v>7.8394326831146791E-2</v>
      </c>
      <c r="AE376" s="305">
        <f t="shared" si="142"/>
        <v>0.7</v>
      </c>
      <c r="AF376" s="177">
        <f t="shared" si="143"/>
        <v>9.999968932500769E-2</v>
      </c>
      <c r="AG376" s="817">
        <f t="shared" si="149"/>
        <v>2</v>
      </c>
      <c r="AH376" s="176">
        <f t="shared" si="144"/>
        <v>8</v>
      </c>
      <c r="AI376" s="225">
        <f t="shared" si="145"/>
        <v>2.0999996893250077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46750</v>
      </c>
      <c r="B377" s="411">
        <f>'2026'!Wh/'2026'!Env_an*'2027'!Env_an</f>
        <v>6.1021175777621588</v>
      </c>
      <c r="C377" s="846"/>
      <c r="D377" s="393">
        <f t="shared" si="127"/>
        <v>6.5942212144916157</v>
      </c>
      <c r="E377" s="385">
        <f t="shared" si="150"/>
        <v>6.9688091189946002</v>
      </c>
      <c r="F377" s="385">
        <f t="shared" si="128"/>
        <v>7.0550145289781474</v>
      </c>
      <c r="G377" s="110">
        <f t="shared" si="151"/>
        <v>0.54030973599995791</v>
      </c>
      <c r="H377" s="414" t="b">
        <f>Wh_hp&gt;='2026'!Maxi_hp</f>
        <v>0</v>
      </c>
      <c r="I377" s="390">
        <f>IF(H377,Wh_hp,'2026'!Maxi_hp)</f>
        <v>12.09881611457118</v>
      </c>
      <c r="J377" s="85">
        <f>IF(H377,An,'2026'!An_max)</f>
        <v>2019</v>
      </c>
      <c r="K377" s="197">
        <f t="shared" si="129"/>
        <v>46750</v>
      </c>
      <c r="L377" s="147">
        <f>IF(t&lt;Tvie,1-EXP((T0-t)*PertePVj)+'2026'!Pspv,1-EXP((T0-t)*PertePVj)+Pspv)</f>
        <v>7.4626498068945279E-2</v>
      </c>
      <c r="M377" s="850"/>
      <c r="N377" s="850"/>
      <c r="O377" s="48">
        <f>IF(t&lt;Tnet,'2026'!Resal+('2026'!Salim-'2026'!Resal)*(1-EXP(('2026'!Tnet-t)/('2026'!Tau_j))),Resal+(Salim-Resal)*(1-EXP((Tnet-t)/(Tau_j))))*Salcycl</f>
        <v>5.375206841036663E-2</v>
      </c>
      <c r="P377" s="169">
        <f>(INDEX(Models!$BJ377:$BT377,,T377)*(1-R377)+INDEX(Models!$BJ377:$BT377,,T377+1)*R377-ERP_i)*Q377*Ramure*Pc/MaxiM</f>
        <v>3.3884416571825518E-2</v>
      </c>
      <c r="Q377" s="305">
        <f t="shared" si="130"/>
        <v>0.7</v>
      </c>
      <c r="R377" s="177">
        <f t="shared" si="131"/>
        <v>0.47613631994895167</v>
      </c>
      <c r="S377" s="817">
        <f t="shared" si="132"/>
        <v>-1</v>
      </c>
      <c r="T377" s="176">
        <f t="shared" si="133"/>
        <v>5</v>
      </c>
      <c r="U377" s="251">
        <f t="shared" si="134"/>
        <v>-0.52386368005104833</v>
      </c>
      <c r="V377" s="383">
        <f t="shared" si="135"/>
        <v>11.046029761368098</v>
      </c>
      <c r="W377" s="402">
        <f t="shared" si="136"/>
        <v>6.1021175777621588</v>
      </c>
      <c r="X377" s="157">
        <f t="shared" si="137"/>
        <v>46750</v>
      </c>
      <c r="Y377" s="385">
        <f t="shared" si="138"/>
        <v>5.630427177743293</v>
      </c>
      <c r="Z377" s="385">
        <f t="shared" si="139"/>
        <v>6.084491468573292</v>
      </c>
      <c r="AA377" s="386">
        <f t="shared" si="140"/>
        <v>6.8561589688556479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0.11255099302505717</v>
      </c>
      <c r="AD377" s="231">
        <f>(INDEX(Models!$BJ377:$BT377,,AH377)*(1-AF377)+INDEX(Models!$BJ377:$BT377,,AH377+1)*AF377-ERP_i)*AE377*Ramure*Pc/MaxiM</f>
        <v>7.8163361650973873E-2</v>
      </c>
      <c r="AE377" s="305">
        <f t="shared" si="142"/>
        <v>0.7</v>
      </c>
      <c r="AF377" s="177">
        <f t="shared" si="143"/>
        <v>9.999968932500769E-2</v>
      </c>
      <c r="AG377" s="817">
        <f t="shared" si="149"/>
        <v>2</v>
      </c>
      <c r="AH377" s="176">
        <f t="shared" si="144"/>
        <v>8</v>
      </c>
      <c r="AI377" s="225">
        <f t="shared" si="145"/>
        <v>2.0999996893250077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46751</v>
      </c>
      <c r="B378" s="411">
        <f>'2026'!Wh/'2026'!Env_an*'2027'!Env_an</f>
        <v>7.7795094300996057</v>
      </c>
      <c r="C378" s="846"/>
      <c r="D378" s="393">
        <f t="shared" si="127"/>
        <v>8.4070700196399439</v>
      </c>
      <c r="E378" s="385">
        <f t="shared" si="150"/>
        <v>8.8858089146009718</v>
      </c>
      <c r="F378" s="385">
        <f t="shared" si="128"/>
        <v>9.0600512946019887</v>
      </c>
      <c r="G378" s="110">
        <f t="shared" si="151"/>
        <v>0.68713136642051709</v>
      </c>
      <c r="H378" s="414" t="b">
        <f>Wh_hp&gt;='2026'!Maxi_hp</f>
        <v>0</v>
      </c>
      <c r="I378" s="390">
        <f>IF(H378,Wh_hp,'2026'!Maxi_hp)</f>
        <v>12.623938379603631</v>
      </c>
      <c r="J378" s="85">
        <f>IF(H378,An,'2026'!An_max)</f>
        <v>2019</v>
      </c>
      <c r="K378" s="197">
        <f t="shared" si="129"/>
        <v>46751</v>
      </c>
      <c r="L378" s="147">
        <f>IF(t&lt;Tvie,1-EXP((T0-t)*PertePVj)+'2026'!Pspv,1-EXP((T0-t)*PertePVj)+Pspv)</f>
        <v>7.4646766123546038E-2</v>
      </c>
      <c r="M378" s="850"/>
      <c r="N378" s="850"/>
      <c r="O378" s="48">
        <f>IF(t&lt;Tnet,'2026'!Resal+('2026'!Salim-'2026'!Resal)*(1-EXP(('2026'!Tnet-t)/('2026'!Tau_j))),Resal+(Salim-Resal)*(1-EXP((Tnet-t)/(Tau_j))))*Salcycl</f>
        <v>5.38767938363355E-2</v>
      </c>
      <c r="P378" s="169">
        <f>(INDEX(Models!$BJ378:$BT378,,T378)*(1-R378)+INDEX(Models!$BJ378:$BT378,,T378+1)*R378-ERP_i)*Q378*Ramure*Pc/MaxiM</f>
        <v>3.3864320382847E-2</v>
      </c>
      <c r="Q378" s="305">
        <f t="shared" si="130"/>
        <v>0.7</v>
      </c>
      <c r="R378" s="177">
        <f t="shared" si="131"/>
        <v>0.47613631994895167</v>
      </c>
      <c r="S378" s="817">
        <f t="shared" si="132"/>
        <v>-1</v>
      </c>
      <c r="T378" s="176">
        <f t="shared" si="133"/>
        <v>5</v>
      </c>
      <c r="U378" s="251">
        <f t="shared" si="134"/>
        <v>-0.52386368005104833</v>
      </c>
      <c r="V378" s="383">
        <f t="shared" si="135"/>
        <v>11.152808509555316</v>
      </c>
      <c r="W378" s="402">
        <f t="shared" si="136"/>
        <v>7.7795094300996057</v>
      </c>
      <c r="X378" s="157">
        <f t="shared" si="137"/>
        <v>46751</v>
      </c>
      <c r="Y378" s="385">
        <f t="shared" si="138"/>
        <v>7.110250492932277</v>
      </c>
      <c r="Z378" s="385">
        <f t="shared" si="139"/>
        <v>7.6838230338767941</v>
      </c>
      <c r="AA378" s="386">
        <f t="shared" si="140"/>
        <v>8.6587300856700331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0.11259238273366261</v>
      </c>
      <c r="AD378" s="231">
        <f>(INDEX(Models!$BJ378:$BT378,,AH378)*(1-AF378)+INDEX(Models!$BJ378:$BT378,,AH378+1)*AF378-ERP_i)*AE378*Ramure*Pc/MaxiM</f>
        <v>7.7997499779467475E-2</v>
      </c>
      <c r="AE378" s="305">
        <f t="shared" si="142"/>
        <v>0.7</v>
      </c>
      <c r="AF378" s="177">
        <f t="shared" si="143"/>
        <v>9.999968932500769E-2</v>
      </c>
      <c r="AG378" s="817">
        <f t="shared" si="149"/>
        <v>2</v>
      </c>
      <c r="AH378" s="176">
        <f t="shared" si="144"/>
        <v>8</v>
      </c>
      <c r="AI378" s="225">
        <f t="shared" si="145"/>
        <v>2.0999996893250077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46752</v>
      </c>
      <c r="B379" s="411">
        <f>'2026'!Wh/'2026'!Env_an*'2027'!Env_an</f>
        <v>7.3140561500943413</v>
      </c>
      <c r="C379" s="846"/>
      <c r="D379" s="393">
        <f t="shared" si="127"/>
        <v>7.904242490798266</v>
      </c>
      <c r="E379" s="385">
        <f t="shared" si="150"/>
        <v>8.3554493042360996</v>
      </c>
      <c r="F379" s="385">
        <f t="shared" si="128"/>
        <v>8.4991198354998563</v>
      </c>
      <c r="G379" s="110">
        <f t="shared" si="151"/>
        <v>0.6380751057681906</v>
      </c>
      <c r="H379" s="414" t="b">
        <f>Wh_hp&gt;='2026'!Maxi_hp</f>
        <v>0</v>
      </c>
      <c r="I379" s="390">
        <f>IF(H379,Wh_hp,'2026'!Maxi_hp)</f>
        <v>12.634141180813497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7.4667033734224453E-2</v>
      </c>
      <c r="M379" s="850"/>
      <c r="N379" s="850"/>
      <c r="O379" s="48">
        <f>IF(t&lt;Tnet,'2026'!Resal+('2026'!Salim-'2026'!Resal)*(1-EXP(('2026'!Tnet-t)/('2026'!Tau_j))),Resal+(Salim-Resal)*(1-EXP((Tnet-t)/(Tau_j))))*Salcycl</f>
        <v>5.400150213455035E-2</v>
      </c>
      <c r="P379" s="169">
        <f>(INDEX(Models!$BJ379:$BT379,,T379)*(1-R379)+INDEX(Models!$BJ379:$BT379,,T379+1)*R379-ERP_i)*Q379*Ramure*Pc/MaxiM</f>
        <v>3.3877523960829499E-2</v>
      </c>
      <c r="Q379" s="306">
        <f t="shared" si="130"/>
        <v>0.7</v>
      </c>
      <c r="R379" s="177">
        <f t="shared" si="131"/>
        <v>0.47613631994895167</v>
      </c>
      <c r="S379" s="817">
        <f t="shared" si="132"/>
        <v>-1</v>
      </c>
      <c r="T379" s="176">
        <f t="shared" si="133"/>
        <v>5</v>
      </c>
      <c r="U379" s="307">
        <f t="shared" si="134"/>
        <v>-0.52386368005104833</v>
      </c>
      <c r="V379" s="383">
        <f t="shared" si="135"/>
        <v>11.264782710085179</v>
      </c>
      <c r="W379" s="402">
        <f t="shared" si="136"/>
        <v>7.3140561500943413</v>
      </c>
      <c r="X379" s="157">
        <f t="shared" si="137"/>
        <v>46752</v>
      </c>
      <c r="Y379" s="385">
        <f t="shared" si="138"/>
        <v>6.7074476108195231</v>
      </c>
      <c r="Z379" s="385">
        <f t="shared" si="139"/>
        <v>7.2486854519922073</v>
      </c>
      <c r="AA379" s="386">
        <f t="shared" si="140"/>
        <v>8.1687668000619489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0.11263405732953032</v>
      </c>
      <c r="AD379" s="231">
        <f>(INDEX(Models!$BJ379:$BT379,,AH379)*(1-AF379)+INDEX(Models!$BJ379:$BT379,,AH379+1)*AF379-ERP_i)*AE379*Ramure*Pc/MaxiM</f>
        <v>7.7897274932703667E-2</v>
      </c>
      <c r="AE379" s="306">
        <f t="shared" si="142"/>
        <v>0.7</v>
      </c>
      <c r="AF379" s="177">
        <f t="shared" si="143"/>
        <v>9.999968932500769E-2</v>
      </c>
      <c r="AG379" s="817">
        <f t="shared" si="149"/>
        <v>2</v>
      </c>
      <c r="AH379" s="176">
        <f t="shared" si="144"/>
        <v>8</v>
      </c>
      <c r="AI379" s="222">
        <f t="shared" si="145"/>
        <v>2.0999996893250077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7"/>
      <c r="B380" s="811"/>
      <c r="C380" s="847"/>
      <c r="D380" s="608"/>
      <c r="E380" s="387"/>
      <c r="F380" s="387"/>
      <c r="G380" s="609"/>
      <c r="H380" s="602" t="b">
        <f>Wh_hp&gt;='2026'!Maxi_hp</f>
        <v>0</v>
      </c>
      <c r="I380" s="603">
        <f>IF(H380,Wh_hp,'2026'!Maxi_hp)</f>
        <v>9.8304510021791351</v>
      </c>
      <c r="J380" s="151">
        <f>IF(H380,An,'2026'!An_max)</f>
        <v>2020</v>
      </c>
      <c r="K380" s="234"/>
      <c r="L380" s="610"/>
      <c r="M380" s="851"/>
      <c r="N380" s="851"/>
      <c r="O380" s="611"/>
      <c r="P380" s="322"/>
      <c r="Q380" s="229"/>
      <c r="R380" s="229"/>
      <c r="S380" s="229"/>
      <c r="T380" s="229"/>
      <c r="U380" s="323"/>
      <c r="V380" s="397">
        <f>(V379+V15)/2</f>
        <v>11.203885954129753</v>
      </c>
      <c r="W380" s="810"/>
      <c r="X380" s="612"/>
      <c r="Y380" s="387"/>
      <c r="Z380" s="387"/>
      <c r="AA380" s="388"/>
      <c r="AB380" s="234"/>
      <c r="AC380" s="613"/>
      <c r="AD380" s="322"/>
      <c r="AE380" s="229"/>
      <c r="AF380" s="229"/>
      <c r="AG380" s="229"/>
      <c r="AH380" s="229"/>
      <c r="AI380" s="614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0.86155089730146739</v>
      </c>
      <c r="C381" s="375"/>
      <c r="D381" s="373">
        <f>MIN(D15:D380)</f>
        <v>0.92385975568495737</v>
      </c>
      <c r="E381" s="373">
        <f>MIN(E15:E380)</f>
        <v>1.0166074043303255</v>
      </c>
      <c r="F381" s="374">
        <f>MIN(F15:F380)</f>
        <v>1.0166074043303255</v>
      </c>
      <c r="G381" s="125">
        <f>+MIN(G15:G380)</f>
        <v>6.8020224352984396E-2</v>
      </c>
      <c r="H381" s="94"/>
      <c r="I381" s="374">
        <f>MIN(I15:I380)</f>
        <v>5.9138462610467215</v>
      </c>
      <c r="J381" s="57">
        <f>MIN(J15:J380)</f>
        <v>2018</v>
      </c>
      <c r="K381" s="200" t="s">
        <v>7</v>
      </c>
      <c r="L381" s="146">
        <f t="shared" ref="L381:T381" si="152">MIN(L15:L380)</f>
        <v>6.7260217602315042E-2</v>
      </c>
      <c r="M381" s="852"/>
      <c r="N381" s="852"/>
      <c r="O381" s="47">
        <f t="shared" si="152"/>
        <v>1.7188084241429463E-2</v>
      </c>
      <c r="P381" s="168">
        <f t="shared" si="152"/>
        <v>0</v>
      </c>
      <c r="Q381" s="310">
        <f t="shared" si="152"/>
        <v>0.7</v>
      </c>
      <c r="R381" s="311">
        <f t="shared" si="152"/>
        <v>1.4138214279946215E-4</v>
      </c>
      <c r="S381" s="817">
        <f t="shared" si="152"/>
        <v>-2</v>
      </c>
      <c r="T381" s="176">
        <f t="shared" si="152"/>
        <v>4</v>
      </c>
      <c r="U381" s="252">
        <f>MIN(U15:U380)</f>
        <v>-1.0238624070148774</v>
      </c>
      <c r="V381" s="57">
        <f>MIN(V15:V380)</f>
        <v>10.104547334763387</v>
      </c>
      <c r="W381" s="58"/>
      <c r="X381" s="112" t="s">
        <v>7</v>
      </c>
      <c r="Y381" s="373">
        <f>MIN(Y15:Y380)</f>
        <v>0.82827959267796925</v>
      </c>
      <c r="Z381" s="373">
        <f>MIN(Z15:Z380)</f>
        <v>0.88818221248111218</v>
      </c>
      <c r="AA381" s="373">
        <f>MIN(AA15:AA380)</f>
        <v>1.0166074043303255</v>
      </c>
      <c r="AB381" s="200" t="s">
        <v>7</v>
      </c>
      <c r="AC381" s="47">
        <f t="shared" ref="AC381:AH381" si="153">MIN(AC15:AC380)</f>
        <v>0.10005989229592269</v>
      </c>
      <c r="AD381" s="168">
        <f t="shared" si="153"/>
        <v>1.5811186051937523E-6</v>
      </c>
      <c r="AE381" s="310">
        <f t="shared" si="153"/>
        <v>0.7</v>
      </c>
      <c r="AF381" s="311">
        <f t="shared" si="153"/>
        <v>8.6890378379989031E-4</v>
      </c>
      <c r="AG381" s="817">
        <f t="shared" si="153"/>
        <v>1</v>
      </c>
      <c r="AH381" s="176">
        <f t="shared" si="153"/>
        <v>7</v>
      </c>
      <c r="AI381" s="226">
        <f>MIN(AI15:AI380)</f>
        <v>1.6000009623611786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19.268684200526391</v>
      </c>
      <c r="C382" s="375"/>
      <c r="D382" s="375">
        <f>AVERAGE(D15:D380)</f>
        <v>20.738575091795195</v>
      </c>
      <c r="E382" s="375">
        <f>AVERAGE(E15:E380)</f>
        <v>21.828569902783293</v>
      </c>
      <c r="F382" s="376">
        <f>AVERAGE(F15:F380)</f>
        <v>21.906140547835175</v>
      </c>
      <c r="G382" s="126">
        <f>AVERAGE(G15:G380)</f>
        <v>0.6909236237817461</v>
      </c>
      <c r="H382" s="94"/>
      <c r="I382" s="376">
        <f>AVERAGE(I15:I380)</f>
        <v>29.005410204654975</v>
      </c>
      <c r="J382" s="59">
        <f>AVERAGE(J15:J380)</f>
        <v>2021.1120218579235</v>
      </c>
      <c r="K382" s="200" t="s">
        <v>8</v>
      </c>
      <c r="L382" s="147">
        <f t="shared" ref="L382:V382" si="154">AVERAGE(L15:L380)</f>
        <v>7.0968533122356112E-2</v>
      </c>
      <c r="M382" s="850"/>
      <c r="N382" s="850"/>
      <c r="O382" s="48">
        <f t="shared" si="154"/>
        <v>5.6300205283640645E-2</v>
      </c>
      <c r="P382" s="169">
        <f t="shared" si="154"/>
        <v>1.1070122600979337E-2</v>
      </c>
      <c r="Q382" s="312">
        <f t="shared" si="154"/>
        <v>0.69999999999999529</v>
      </c>
      <c r="R382" s="177">
        <f t="shared" si="154"/>
        <v>0.49711708039522562</v>
      </c>
      <c r="S382" s="817">
        <f t="shared" si="154"/>
        <v>-1.2410958904109588</v>
      </c>
      <c r="T382" s="176">
        <f t="shared" si="154"/>
        <v>4.7589041095890412</v>
      </c>
      <c r="U382" s="251">
        <f>AVERAGE(U15:U380)</f>
        <v>-0.74397881001573329</v>
      </c>
      <c r="V382" s="59">
        <f t="shared" si="154"/>
        <v>26.965975734346326</v>
      </c>
      <c r="X382" s="112" t="s">
        <v>8</v>
      </c>
      <c r="Y382" s="375">
        <f>AVERAGE(Y15:Y380)</f>
        <v>17.81650405783272</v>
      </c>
      <c r="Z382" s="375">
        <f>AVERAGE(Z15:Z380)</f>
        <v>19.175195125835607</v>
      </c>
      <c r="AA382" s="375">
        <f>AVERAGE(AA15:AA380)</f>
        <v>21.634067461170343</v>
      </c>
      <c r="AB382" s="200" t="s">
        <v>8</v>
      </c>
      <c r="AC382" s="48">
        <f t="shared" ref="AC382:AH382" si="155">AVERAGE(AC15:AC380)</f>
        <v>0.11546689983435035</v>
      </c>
      <c r="AD382" s="169">
        <f t="shared" si="155"/>
        <v>3.4494313450470049E-2</v>
      </c>
      <c r="AE382" s="312">
        <f t="shared" si="155"/>
        <v>0.69999999999999529</v>
      </c>
      <c r="AF382" s="177">
        <f t="shared" si="155"/>
        <v>0.41139140867539087</v>
      </c>
      <c r="AG382" s="817">
        <f t="shared" si="155"/>
        <v>1.4684931506849315</v>
      </c>
      <c r="AH382" s="176">
        <f t="shared" si="155"/>
        <v>7.4684931506849317</v>
      </c>
      <c r="AI382" s="225">
        <f>AVERAGE(AI15:AI380)</f>
        <v>1.8798845593603246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39.771058991048911</v>
      </c>
      <c r="C383" s="377"/>
      <c r="D383" s="377">
        <f>MAX(D15:D380)</f>
        <v>42.777408451027974</v>
      </c>
      <c r="E383" s="377">
        <f>MAX(E15:E380)</f>
        <v>43.771585370686971</v>
      </c>
      <c r="F383" s="378">
        <f>MAX(F15:F380)</f>
        <v>43.771585370686971</v>
      </c>
      <c r="G383" s="127">
        <f>+MAX(G15:G380)</f>
        <v>1.0412989230211518</v>
      </c>
      <c r="H383" s="94"/>
      <c r="I383" s="378">
        <f>MAX(I15:I380)</f>
        <v>45.292153927540518</v>
      </c>
      <c r="J383" s="60">
        <f>MAX(J15:J380)</f>
        <v>2027</v>
      </c>
      <c r="K383" s="200" t="s">
        <v>9</v>
      </c>
      <c r="L383" s="148">
        <f t="shared" ref="L383:T383" si="156">MAX(L15:L380)</f>
        <v>7.4667033734224453E-2</v>
      </c>
      <c r="M383" s="853"/>
      <c r="N383" s="853"/>
      <c r="O383" s="49">
        <f t="shared" si="156"/>
        <v>9.9943767147157317E-2</v>
      </c>
      <c r="P383" s="170">
        <f t="shared" si="156"/>
        <v>4.2532255045706388E-2</v>
      </c>
      <c r="Q383" s="313">
        <f t="shared" si="156"/>
        <v>0.7</v>
      </c>
      <c r="R383" s="314">
        <f t="shared" si="156"/>
        <v>0.99919400779118117</v>
      </c>
      <c r="S383" s="818">
        <f t="shared" si="156"/>
        <v>-1</v>
      </c>
      <c r="T383" s="233">
        <f t="shared" si="156"/>
        <v>5</v>
      </c>
      <c r="U383" s="253">
        <f>MAX(U15:U380)</f>
        <v>-0.52386368005104833</v>
      </c>
      <c r="V383" s="60">
        <f>MAX(V15:V380)</f>
        <v>39.636138304383948</v>
      </c>
      <c r="X383" s="112" t="s">
        <v>9</v>
      </c>
      <c r="Y383" s="377">
        <f>MAX(Y15:Y380)</f>
        <v>36.46895166844898</v>
      </c>
      <c r="Z383" s="377">
        <f>MAX(Z15:Z380)</f>
        <v>39.225690260175192</v>
      </c>
      <c r="AA383" s="377">
        <f>MAX(AA15:AA380)</f>
        <v>43.77148300905116</v>
      </c>
      <c r="AB383" s="200" t="s">
        <v>9</v>
      </c>
      <c r="AC383" s="49">
        <f t="shared" ref="AC383:AH383" si="157">MAX(AC15:AC380)</f>
        <v>0.13048143348437227</v>
      </c>
      <c r="AD383" s="170">
        <f t="shared" si="157"/>
        <v>0.103590407581963</v>
      </c>
      <c r="AE383" s="313">
        <f t="shared" si="157"/>
        <v>0.7</v>
      </c>
      <c r="AF383" s="314">
        <f t="shared" si="157"/>
        <v>0.99755661798566675</v>
      </c>
      <c r="AG383" s="818">
        <f t="shared" si="157"/>
        <v>2</v>
      </c>
      <c r="AH383" s="233">
        <f t="shared" si="157"/>
        <v>8</v>
      </c>
      <c r="AI383" s="227">
        <f>MAX(AI15:AI380)</f>
        <v>2.0999996893250077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65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67</v>
      </c>
      <c r="H384" s="404"/>
      <c r="I384" s="405" t="s">
        <v>6</v>
      </c>
      <c r="J384" s="405" t="s">
        <v>113</v>
      </c>
      <c r="K384" s="406"/>
      <c r="L384" s="405" t="s">
        <v>66</v>
      </c>
      <c r="M384" s="407"/>
      <c r="N384" s="407"/>
      <c r="O384" s="407" t="s">
        <v>66</v>
      </c>
      <c r="P384" s="407" t="s">
        <v>66</v>
      </c>
      <c r="Q384" s="405" t="s">
        <v>66</v>
      </c>
      <c r="R384" s="405" t="s">
        <v>67</v>
      </c>
      <c r="S384" s="405" t="s">
        <v>81</v>
      </c>
      <c r="T384" s="405" t="s">
        <v>67</v>
      </c>
      <c r="U384" s="408" t="s">
        <v>81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66</v>
      </c>
      <c r="AD384" s="405" t="s">
        <v>66</v>
      </c>
      <c r="AE384" s="405" t="s">
        <v>66</v>
      </c>
      <c r="AF384" s="405" t="s">
        <v>67</v>
      </c>
      <c r="AG384" s="405" t="s">
        <v>81</v>
      </c>
      <c r="AH384" s="405" t="s">
        <v>67</v>
      </c>
      <c r="AI384" s="408" t="s">
        <v>81</v>
      </c>
      <c r="AJ384" s="835"/>
      <c r="AK384" s="835"/>
      <c r="AL384" s="835"/>
      <c r="AM384" s="835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2" priority="5" stopIfTrue="1" operator="lessThan">
      <formula>0.01</formula>
    </cfRule>
    <cfRule type="cellIs" dxfId="1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20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H59" sqref="AH59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36" customWidth="1"/>
    <col min="14" max="14" width="9.140625" style="636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2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703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16384" width="11.42578125" style="15"/>
  </cols>
  <sheetData>
    <row r="1" spans="1:32" ht="21.75" thickBot="1" x14ac:dyDescent="0.4">
      <c r="A1" s="664" t="str">
        <f>"Calcul Masques  "&amp;Station</f>
        <v>Calcul Masques  Donneville</v>
      </c>
      <c r="B1" s="1188" t="str">
        <f>Station</f>
        <v>Donneville</v>
      </c>
      <c r="C1" s="1189"/>
      <c r="D1" s="1189"/>
      <c r="E1" s="1189"/>
      <c r="F1" s="1190"/>
      <c r="H1" s="22" t="s">
        <v>294</v>
      </c>
      <c r="I1" s="1199">
        <v>44502</v>
      </c>
      <c r="J1" s="1200"/>
      <c r="K1" s="894"/>
      <c r="M1" s="792" t="s">
        <v>169</v>
      </c>
      <c r="N1" s="666"/>
      <c r="O1" s="667"/>
      <c r="P1" s="667"/>
      <c r="Q1" s="666"/>
      <c r="R1" s="666"/>
      <c r="S1" s="668"/>
      <c r="T1" s="669"/>
      <c r="U1" s="668"/>
      <c r="V1" s="666"/>
      <c r="W1" s="668"/>
      <c r="X1" s="666"/>
      <c r="Y1" s="15"/>
      <c r="AA1" s="15"/>
    </row>
    <row r="2" spans="1:32" s="6" customFormat="1" ht="12.75" customHeight="1" thickBot="1" x14ac:dyDescent="0.25">
      <c r="A2" s="572"/>
      <c r="C2" s="670"/>
      <c r="D2" s="671"/>
      <c r="E2" s="1201" t="s">
        <v>189</v>
      </c>
      <c r="F2" s="1201"/>
      <c r="G2" s="26"/>
      <c r="H2" s="25"/>
      <c r="L2" s="8"/>
      <c r="P2" s="1082"/>
      <c r="Q2" s="564"/>
      <c r="R2" s="564"/>
      <c r="S2" s="1083"/>
      <c r="T2" s="1083"/>
      <c r="U2" s="564"/>
      <c r="V2" s="1083"/>
      <c r="W2" s="564"/>
      <c r="X2" s="564"/>
      <c r="Y2" s="564"/>
      <c r="Z2" s="564"/>
      <c r="AA2" s="564"/>
      <c r="AB2" s="564"/>
      <c r="AC2" s="564"/>
      <c r="AD2" s="564"/>
      <c r="AE2" s="564"/>
      <c r="AF2" s="564"/>
    </row>
    <row r="3" spans="1:32" ht="16.5" thickBot="1" x14ac:dyDescent="0.3">
      <c r="A3" s="673" t="s">
        <v>134</v>
      </c>
      <c r="B3" s="674"/>
      <c r="C3" s="674"/>
      <c r="E3" s="1202"/>
      <c r="F3" s="1202"/>
      <c r="G3" s="20"/>
      <c r="H3" s="22" t="s">
        <v>15</v>
      </c>
      <c r="I3" s="895">
        <v>0.33</v>
      </c>
      <c r="J3" s="896">
        <f>DEGREES(ATAN(I3))</f>
        <v>18.262889942194128</v>
      </c>
      <c r="K3" s="896"/>
      <c r="L3" s="561" t="s">
        <v>319</v>
      </c>
      <c r="M3" s="897" t="s">
        <v>298</v>
      </c>
      <c r="N3" s="904">
        <f>+IF($M$3="G",Azi_pvG,Azi_pvD)</f>
        <v>40</v>
      </c>
      <c r="O3" s="905">
        <f>+IF($M$3="G",J5,N5)</f>
        <v>71.737110057805864</v>
      </c>
      <c r="P3" s="1084"/>
      <c r="Q3" s="1084"/>
      <c r="R3" s="1084"/>
      <c r="S3" s="1085"/>
      <c r="T3" s="1085"/>
      <c r="U3" s="1086"/>
      <c r="V3" s="1085"/>
      <c r="W3" s="1086"/>
      <c r="X3" s="1086"/>
      <c r="Y3" s="1086"/>
      <c r="Z3" s="1086"/>
      <c r="AA3" s="1086"/>
      <c r="AB3" s="1086"/>
      <c r="AC3" s="1086"/>
      <c r="AD3" s="1086"/>
      <c r="AE3" s="1086"/>
      <c r="AF3" s="1086"/>
    </row>
    <row r="4" spans="1:32" s="25" customFormat="1" ht="12" thickBot="1" x14ac:dyDescent="0.25">
      <c r="A4" s="675" t="s">
        <v>135</v>
      </c>
      <c r="B4" s="898" t="s">
        <v>136</v>
      </c>
      <c r="C4" s="898" t="s">
        <v>137</v>
      </c>
      <c r="D4" s="898" t="s">
        <v>138</v>
      </c>
      <c r="E4" s="899" t="s">
        <v>167</v>
      </c>
      <c r="F4" s="676" t="s">
        <v>188</v>
      </c>
      <c r="I4" s="6"/>
      <c r="J4" s="900" t="s">
        <v>295</v>
      </c>
      <c r="K4" s="900"/>
      <c r="L4" s="6"/>
      <c r="N4" s="900" t="s">
        <v>295</v>
      </c>
      <c r="P4" s="1087"/>
      <c r="Q4" s="1088"/>
      <c r="R4" s="564"/>
      <c r="S4" s="1087"/>
      <c r="T4" s="1083"/>
      <c r="U4" s="564"/>
      <c r="V4" s="1083"/>
      <c r="W4" s="564"/>
      <c r="X4" s="1087"/>
      <c r="Y4" s="1087"/>
      <c r="Z4" s="1087"/>
      <c r="AA4" s="1087"/>
      <c r="AB4" s="1087"/>
      <c r="AC4" s="1087"/>
      <c r="AD4" s="1087"/>
      <c r="AE4" s="1087"/>
      <c r="AF4" s="1087"/>
    </row>
    <row r="5" spans="1:32" ht="16.5" thickBot="1" x14ac:dyDescent="0.3">
      <c r="A5" s="677" t="s">
        <v>139</v>
      </c>
      <c r="B5" s="901">
        <v>2</v>
      </c>
      <c r="C5" s="902">
        <v>10</v>
      </c>
      <c r="D5" s="171">
        <f>+C5*B5</f>
        <v>20</v>
      </c>
      <c r="E5" s="903">
        <v>0.3</v>
      </c>
      <c r="F5" s="678">
        <f>+D5*E5</f>
        <v>6</v>
      </c>
      <c r="G5" s="636"/>
      <c r="H5" s="22" t="s">
        <v>296</v>
      </c>
      <c r="I5" s="897">
        <v>40</v>
      </c>
      <c r="J5" s="896">
        <f>90-$J$3</f>
        <v>71.737110057805864</v>
      </c>
      <c r="K5" s="896"/>
      <c r="L5" s="22" t="s">
        <v>297</v>
      </c>
      <c r="M5" s="897">
        <v>40</v>
      </c>
      <c r="N5" s="896">
        <f>90-$J$3</f>
        <v>71.737110057805864</v>
      </c>
      <c r="O5" s="636"/>
      <c r="P5" s="1089"/>
      <c r="Q5" s="1085"/>
      <c r="R5" s="1090"/>
      <c r="S5" s="1085"/>
      <c r="T5" s="1085"/>
      <c r="U5" s="1086"/>
      <c r="V5" s="1085"/>
      <c r="W5" s="1086"/>
      <c r="X5" s="1086"/>
      <c r="Y5" s="1086"/>
      <c r="Z5" s="1086"/>
      <c r="AA5" s="1086"/>
      <c r="AB5" s="1086"/>
      <c r="AC5" s="1086"/>
      <c r="AD5" s="1091"/>
      <c r="AE5" s="1091"/>
      <c r="AF5" s="1086"/>
    </row>
    <row r="6" spans="1:32" s="6" customFormat="1" ht="11.25" x14ac:dyDescent="0.2">
      <c r="A6" s="561" t="s">
        <v>133</v>
      </c>
      <c r="B6" s="8">
        <f>1.776+0.002+0.01</f>
        <v>1.788</v>
      </c>
      <c r="C6" s="8">
        <f>1.052+0.002+0.01</f>
        <v>1.0640000000000001</v>
      </c>
      <c r="E6" s="635"/>
      <c r="F6" s="599"/>
      <c r="G6" s="25"/>
      <c r="N6" s="18"/>
      <c r="P6" s="564"/>
      <c r="Q6" s="564"/>
      <c r="R6" s="1083"/>
      <c r="S6" s="1092"/>
      <c r="T6" s="1083"/>
      <c r="U6" s="564"/>
      <c r="V6" s="1083"/>
      <c r="W6" s="564"/>
      <c r="X6" s="564"/>
      <c r="Y6" s="564"/>
      <c r="Z6" s="564"/>
      <c r="AA6" s="564"/>
      <c r="AB6" s="564"/>
      <c r="AC6" s="564"/>
      <c r="AD6" s="1091"/>
      <c r="AE6" s="1091"/>
      <c r="AF6" s="564"/>
    </row>
    <row r="7" spans="1:32" s="6" customFormat="1" ht="19.5" thickBot="1" x14ac:dyDescent="0.35">
      <c r="A7" s="16" t="s">
        <v>162</v>
      </c>
      <c r="D7" s="679"/>
      <c r="F7" s="8"/>
      <c r="G7" s="26"/>
      <c r="H7" s="564"/>
      <c r="I7" s="564"/>
      <c r="M7" s="680" t="s">
        <v>140</v>
      </c>
      <c r="N7" s="26"/>
      <c r="O7" s="18"/>
      <c r="P7" s="18"/>
      <c r="S7" s="680" t="s">
        <v>140</v>
      </c>
      <c r="U7" s="26"/>
      <c r="V7" s="1083"/>
      <c r="W7" s="564"/>
      <c r="X7" s="564"/>
      <c r="Y7" s="1093"/>
      <c r="Z7" s="1092"/>
      <c r="AA7" s="564"/>
      <c r="AB7" s="564"/>
      <c r="AC7" s="564"/>
      <c r="AD7" s="564"/>
      <c r="AE7" s="564"/>
      <c r="AF7" s="564"/>
    </row>
    <row r="8" spans="1:32" s="19" customFormat="1" ht="16.5" thickBot="1" x14ac:dyDescent="0.3">
      <c r="A8" s="673" t="s">
        <v>322</v>
      </c>
      <c r="D8" s="105"/>
      <c r="E8" s="906">
        <v>1.54</v>
      </c>
      <c r="F8" s="682" t="s">
        <v>236</v>
      </c>
      <c r="H8" s="29"/>
      <c r="I8" s="31"/>
      <c r="L8" s="681" t="s">
        <v>170</v>
      </c>
      <c r="M8" s="29"/>
      <c r="O8" s="29"/>
      <c r="P8" s="34"/>
      <c r="R8" s="681" t="s">
        <v>171</v>
      </c>
      <c r="S8" s="29"/>
      <c r="U8" s="29"/>
      <c r="V8" s="29"/>
      <c r="Y8" s="681" t="s">
        <v>172</v>
      </c>
      <c r="Z8" s="682"/>
    </row>
    <row r="9" spans="1:32" s="19" customFormat="1" ht="15.75" thickBot="1" x14ac:dyDescent="0.3">
      <c r="A9" s="683" t="s">
        <v>173</v>
      </c>
      <c r="B9" s="907" t="s">
        <v>174</v>
      </c>
      <c r="C9" s="907" t="s">
        <v>175</v>
      </c>
      <c r="D9" s="907" t="s">
        <v>178</v>
      </c>
      <c r="E9" s="908" t="s">
        <v>179</v>
      </c>
      <c r="F9" s="683" t="s">
        <v>176</v>
      </c>
      <c r="G9" s="683" t="s">
        <v>177</v>
      </c>
      <c r="H9" s="684" t="s">
        <v>143</v>
      </c>
      <c r="I9" s="685" t="s">
        <v>180</v>
      </c>
      <c r="L9" s="686" t="s">
        <v>145</v>
      </c>
      <c r="M9" s="694" t="s">
        <v>146</v>
      </c>
      <c r="N9" s="694" t="s">
        <v>147</v>
      </c>
      <c r="O9" s="694" t="s">
        <v>148</v>
      </c>
      <c r="P9" s="34"/>
      <c r="R9" s="686" t="s">
        <v>145</v>
      </c>
      <c r="S9" s="694" t="s">
        <v>146</v>
      </c>
      <c r="T9" s="694" t="s">
        <v>147</v>
      </c>
      <c r="U9" s="694" t="s">
        <v>148</v>
      </c>
      <c r="V9" s="559"/>
      <c r="W9" s="797" t="s">
        <v>258</v>
      </c>
      <c r="X9" s="559"/>
      <c r="Y9" s="559"/>
    </row>
    <row r="10" spans="1:32" s="19" customFormat="1" x14ac:dyDescent="0.25">
      <c r="A10" s="793" t="s">
        <v>252</v>
      </c>
      <c r="B10" s="909">
        <v>4.5199999999999996</v>
      </c>
      <c r="C10" s="910"/>
      <c r="D10" s="909">
        <v>2.7</v>
      </c>
      <c r="E10" s="910"/>
      <c r="F10" s="911">
        <f>DEGREES(ATAN2(H10,D10))</f>
        <v>2.7847253394570237</v>
      </c>
      <c r="G10" s="911">
        <f>DEGREES(ATAN2(H10,E10))</f>
        <v>0</v>
      </c>
      <c r="H10" s="555">
        <f>SQRT(POWER(N10-T$10,2)+POWER(M10-S$10,2))</f>
        <v>55.508804707001701</v>
      </c>
      <c r="I10" s="688">
        <f>(F10-G10)/(B10-C10)</f>
        <v>0.61608967687102301</v>
      </c>
      <c r="J10" s="43"/>
      <c r="K10" s="43"/>
      <c r="L10" s="794" t="str">
        <f>A10</f>
        <v>Mur entrée angle Sud Est</v>
      </c>
      <c r="M10" s="912">
        <v>3113.17</v>
      </c>
      <c r="N10" s="913">
        <v>4402.05</v>
      </c>
      <c r="O10" s="914">
        <v>154.57</v>
      </c>
      <c r="P10" s="828"/>
      <c r="Q10" s="828"/>
      <c r="R10" s="795" t="s">
        <v>254</v>
      </c>
      <c r="S10" s="912">
        <v>3079.42</v>
      </c>
      <c r="T10" s="913">
        <v>4357.9799999999996</v>
      </c>
      <c r="U10" s="914">
        <v>154.68</v>
      </c>
      <c r="V10" s="689" t="s">
        <v>181</v>
      </c>
      <c r="W10" s="915">
        <v>1.8</v>
      </c>
      <c r="X10" s="828" t="s">
        <v>81</v>
      </c>
      <c r="Y10" s="625" t="s">
        <v>256</v>
      </c>
      <c r="Z10" s="628"/>
      <c r="AA10" s="559"/>
      <c r="AB10" s="559"/>
      <c r="AD10" s="19">
        <v>1</v>
      </c>
    </row>
    <row r="11" spans="1:32" s="19" customFormat="1" x14ac:dyDescent="0.25">
      <c r="A11" s="793" t="s">
        <v>253</v>
      </c>
      <c r="B11" s="916">
        <v>5.6435884975201756</v>
      </c>
      <c r="C11" s="917"/>
      <c r="D11" s="916">
        <f>D10-Hobs2</f>
        <v>0.90000000000000013</v>
      </c>
      <c r="E11" s="917"/>
      <c r="F11" s="911">
        <f>DEGREES(ATAN2(H11,D11))</f>
        <v>4.5653536685035778</v>
      </c>
      <c r="G11" s="911">
        <f>DEGREES(ATAN2(H11,E11))</f>
        <v>0</v>
      </c>
      <c r="H11" s="555">
        <f>SQRT(POWER(N11-T$11,2)+POWER(M11-S$11,2))</f>
        <v>11.271202242884213</v>
      </c>
      <c r="I11" s="688">
        <f>(F11-G11)/(B11-C11)</f>
        <v>0.80894517212047257</v>
      </c>
      <c r="J11" s="117"/>
      <c r="K11" s="43"/>
      <c r="L11" s="794" t="str">
        <f>A11</f>
        <v>Mur entrée angle Sud Est H</v>
      </c>
      <c r="M11" s="918">
        <v>3113.17</v>
      </c>
      <c r="N11" s="629">
        <v>4402.05</v>
      </c>
      <c r="O11" s="919">
        <v>154.57</v>
      </c>
      <c r="P11" s="829"/>
      <c r="Q11" s="829"/>
      <c r="R11" s="796" t="s">
        <v>255</v>
      </c>
      <c r="S11" s="918">
        <v>3103.17</v>
      </c>
      <c r="T11" s="629">
        <v>4407.25</v>
      </c>
      <c r="U11" s="919">
        <v>154.5</v>
      </c>
      <c r="V11" s="690" t="s">
        <v>182</v>
      </c>
      <c r="W11" s="920">
        <v>1.8</v>
      </c>
      <c r="X11" s="829" t="s">
        <v>81</v>
      </c>
      <c r="Y11" s="626" t="s">
        <v>257</v>
      </c>
      <c r="Z11" s="628"/>
      <c r="AA11" s="559"/>
      <c r="AB11" s="559"/>
      <c r="AD11" s="19">
        <v>2</v>
      </c>
    </row>
    <row r="12" spans="1:32" s="19" customFormat="1" ht="15.75" thickBot="1" x14ac:dyDescent="0.3">
      <c r="A12" s="793"/>
      <c r="B12" s="921"/>
      <c r="C12" s="922"/>
      <c r="D12" s="921"/>
      <c r="E12" s="922"/>
      <c r="F12" s="911" t="e">
        <f>DEGREES(ATAN2(H12,D12))</f>
        <v>#DIV/0!</v>
      </c>
      <c r="G12" s="911" t="e">
        <f>DEGREES(ATAN2(H12,E12))</f>
        <v>#DIV/0!</v>
      </c>
      <c r="H12" s="555">
        <f>SQRT(POWER(N12-T$12,2)+POWER(M12-S$12,2))</f>
        <v>0</v>
      </c>
      <c r="I12" s="688" t="e">
        <f>(F12-G12)/(B12-C12)</f>
        <v>#DIV/0!</v>
      </c>
      <c r="J12" s="117"/>
      <c r="K12" s="43"/>
      <c r="L12" s="794">
        <f>A12</f>
        <v>0</v>
      </c>
      <c r="M12" s="923"/>
      <c r="N12" s="924"/>
      <c r="O12" s="925"/>
      <c r="P12" s="829"/>
      <c r="Q12" s="829"/>
      <c r="R12" s="796"/>
      <c r="S12" s="923"/>
      <c r="T12" s="924"/>
      <c r="U12" s="925"/>
      <c r="V12" s="690" t="s">
        <v>237</v>
      </c>
      <c r="W12" s="926"/>
      <c r="X12" s="829" t="s">
        <v>81</v>
      </c>
      <c r="Y12" s="626"/>
      <c r="Z12" s="628"/>
      <c r="AA12" s="559"/>
      <c r="AB12" s="559"/>
      <c r="AD12" s="19">
        <v>3</v>
      </c>
    </row>
    <row r="13" spans="1:32" s="6" customFormat="1" ht="11.25" x14ac:dyDescent="0.2">
      <c r="A13" s="561"/>
      <c r="C13" s="61"/>
      <c r="E13" s="61"/>
      <c r="G13" s="61"/>
      <c r="H13" s="74"/>
      <c r="I13" s="798"/>
      <c r="O13" s="18"/>
      <c r="P13" s="18"/>
      <c r="U13" s="799"/>
      <c r="V13" s="26"/>
      <c r="Y13" s="26"/>
      <c r="Z13" s="672"/>
      <c r="AA13" s="800"/>
      <c r="AB13" s="801"/>
      <c r="AC13" s="802"/>
      <c r="AD13" s="801"/>
    </row>
    <row r="14" spans="1:32" s="19" customFormat="1" ht="15.75" x14ac:dyDescent="0.25">
      <c r="A14" s="673" t="s">
        <v>160</v>
      </c>
      <c r="B14" s="693"/>
      <c r="C14" s="28"/>
      <c r="D14" s="680" t="s">
        <v>323</v>
      </c>
      <c r="E14" s="71"/>
      <c r="F14" s="82"/>
      <c r="G14" s="899" t="s">
        <v>184</v>
      </c>
      <c r="K14" s="1051" t="s">
        <v>324</v>
      </c>
      <c r="L14" s="1050">
        <f>+CHOOSE(N14,L16,L17,L18,L19)</f>
        <v>3.4</v>
      </c>
      <c r="M14" s="136" t="s">
        <v>299</v>
      </c>
      <c r="N14" s="927">
        <f>IF(M3="D",3,IF(M3="C",2,1))</f>
        <v>1</v>
      </c>
      <c r="P14" s="29"/>
    </row>
    <row r="15" spans="1:32" s="19" customFormat="1" ht="13.5" thickBot="1" x14ac:dyDescent="0.25">
      <c r="A15" s="694" t="s">
        <v>145</v>
      </c>
      <c r="B15" s="695" t="s">
        <v>183</v>
      </c>
      <c r="C15" s="694" t="s">
        <v>141</v>
      </c>
      <c r="D15" s="694" t="s">
        <v>146</v>
      </c>
      <c r="E15" s="694" t="s">
        <v>147</v>
      </c>
      <c r="F15" s="1062" t="s">
        <v>300</v>
      </c>
      <c r="G15" s="1061" t="s">
        <v>185</v>
      </c>
      <c r="H15" s="694" t="s">
        <v>149</v>
      </c>
      <c r="I15" s="694" t="s">
        <v>151</v>
      </c>
      <c r="J15" s="694" t="s">
        <v>142</v>
      </c>
      <c r="K15" s="694" t="s">
        <v>143</v>
      </c>
      <c r="L15" s="694" t="s">
        <v>144</v>
      </c>
      <c r="M15" s="694" t="s">
        <v>150</v>
      </c>
      <c r="N15" s="696" t="s">
        <v>145</v>
      </c>
    </row>
    <row r="16" spans="1:32" s="19" customFormat="1" ht="12.75" x14ac:dyDescent="0.2">
      <c r="A16" s="1001" t="s">
        <v>312</v>
      </c>
      <c r="B16" s="928">
        <v>1</v>
      </c>
      <c r="C16" s="1010">
        <v>9.9499999999999993</v>
      </c>
      <c r="D16" s="929">
        <v>3108.24</v>
      </c>
      <c r="E16" s="929">
        <v>4408.38</v>
      </c>
      <c r="F16" s="1023"/>
      <c r="G16" s="1027"/>
      <c r="H16" s="1027"/>
      <c r="I16" s="1027"/>
      <c r="J16" s="1035">
        <f>C16*CHOOSE(B16,Rata1,Rata2,Rata3)</f>
        <v>6.1300922848666781</v>
      </c>
      <c r="K16" s="1030">
        <f>SQRT(+POWER(D16-CHOOSE(B16,$S$10,$S$11,$S$12),2)+POWER(E16-CHOOSE(B16,$T$10,$T$11,$T$12),2))</f>
        <v>58.058181163381597</v>
      </c>
      <c r="L16" s="1029">
        <v>3.4</v>
      </c>
      <c r="M16" s="1036"/>
      <c r="N16" s="1046" t="str">
        <f t="shared" ref="N16:N43" si="0">A16</f>
        <v>Centre du champ PV G.:</v>
      </c>
    </row>
    <row r="17" spans="1:14" s="39" customFormat="1" ht="12.75" x14ac:dyDescent="0.2">
      <c r="A17" s="1002" t="s">
        <v>313</v>
      </c>
      <c r="B17" s="930">
        <v>1</v>
      </c>
      <c r="C17" s="1011">
        <v>9.9499999999999993</v>
      </c>
      <c r="D17" s="931">
        <v>3105.79</v>
      </c>
      <c r="E17" s="931">
        <v>4410.49</v>
      </c>
      <c r="F17" s="1024"/>
      <c r="G17" s="1014"/>
      <c r="H17" s="1014"/>
      <c r="I17" s="1014"/>
      <c r="J17" s="1037">
        <f>C17*CHOOSE(B17,Rata1,Rata2,Rata3)</f>
        <v>6.1300922848666781</v>
      </c>
      <c r="K17" s="1032">
        <f>SQRT(+POWER(D17-CHOOSE(B17,$S$10,$S$11,$S$12),2)+POWER(E17-CHOOSE(B17,$T$10,$T$11,$T$12),2))</f>
        <v>58.759484340828052</v>
      </c>
      <c r="L17" s="1031">
        <f>L16</f>
        <v>3.4</v>
      </c>
      <c r="M17" s="1038"/>
      <c r="N17" s="1047" t="str">
        <f t="shared" si="0"/>
        <v>Centre du champ PV C.:</v>
      </c>
    </row>
    <row r="18" spans="1:14" s="28" customFormat="1" ht="12.75" x14ac:dyDescent="0.2">
      <c r="A18" s="1002" t="s">
        <v>314</v>
      </c>
      <c r="B18" s="930">
        <v>1</v>
      </c>
      <c r="C18" s="1011">
        <v>9.9499999999999993</v>
      </c>
      <c r="D18" s="931">
        <v>3103.34</v>
      </c>
      <c r="E18" s="931">
        <v>4412.6099999999997</v>
      </c>
      <c r="F18" s="1025"/>
      <c r="G18" s="1015"/>
      <c r="H18" s="1015"/>
      <c r="I18" s="1015"/>
      <c r="J18" s="1037">
        <f>C18*CHOOSE(B18,Rata1,Rata2,Rata3)</f>
        <v>6.1300922848666781</v>
      </c>
      <c r="K18" s="1032">
        <f>SQRT(+POWER(D18-CHOOSE(B18,$S$10,$S$11,$S$12),2)+POWER(E18-CHOOSE(B18,$T$10,$T$11,$T$12),2))</f>
        <v>59.637264357111611</v>
      </c>
      <c r="L18" s="1031">
        <f>L17</f>
        <v>3.4</v>
      </c>
      <c r="M18" s="1038"/>
      <c r="N18" s="1047" t="str">
        <f t="shared" si="0"/>
        <v>Centre du champ PV D.:</v>
      </c>
    </row>
    <row r="19" spans="1:14" s="34" customFormat="1" ht="13.5" thickBot="1" x14ac:dyDescent="0.25">
      <c r="A19" s="1003"/>
      <c r="B19" s="1000"/>
      <c r="C19" s="1040"/>
      <c r="D19" s="1004"/>
      <c r="E19" s="1005"/>
      <c r="F19" s="1026"/>
      <c r="G19" s="1016"/>
      <c r="H19" s="1016"/>
      <c r="I19" s="1016"/>
      <c r="J19" s="1039" t="e">
        <f>C19*CHOOSE(B19,Rata1,Rata2,Rata3)</f>
        <v>#VALUE!</v>
      </c>
      <c r="K19" s="1034" t="e">
        <f>SQRT(+POWER(D19-CHOOSE(B19,$S$10,$S$11,$S$12),2)+POWER(E19-CHOOSE(B19,$T$10,$T$11,$T$12),2))</f>
        <v>#VALUE!</v>
      </c>
      <c r="L19" s="1033">
        <f>L18</f>
        <v>3.4</v>
      </c>
      <c r="M19" s="1041"/>
      <c r="N19" s="1048">
        <f t="shared" si="0"/>
        <v>0</v>
      </c>
    </row>
    <row r="20" spans="1:14" s="34" customFormat="1" ht="12.75" x14ac:dyDescent="0.2">
      <c r="A20" s="932" t="s">
        <v>161</v>
      </c>
      <c r="B20" s="930"/>
      <c r="C20" s="1011"/>
      <c r="D20" s="931"/>
      <c r="E20" s="931"/>
      <c r="F20" s="1013"/>
      <c r="G20" s="1042">
        <f t="shared" ref="G20:G35" si="1">P57-P56</f>
        <v>59.837087256510856</v>
      </c>
      <c r="H20" s="1017">
        <f>+Azi_pv_sel-180</f>
        <v>-140</v>
      </c>
      <c r="I20" s="1018">
        <f>J3</f>
        <v>18.262889942194128</v>
      </c>
      <c r="J20" s="1037"/>
      <c r="K20" s="1032"/>
      <c r="L20" s="1031"/>
      <c r="M20" s="1032"/>
      <c r="N20" s="1044" t="str">
        <f t="shared" si="0"/>
        <v>Arrière PV</v>
      </c>
    </row>
    <row r="21" spans="1:14" s="34" customFormat="1" ht="12.75" x14ac:dyDescent="0.2">
      <c r="A21" s="932" t="s">
        <v>315</v>
      </c>
      <c r="B21" s="930">
        <v>2</v>
      </c>
      <c r="C21" s="1011">
        <v>11</v>
      </c>
      <c r="D21" s="931">
        <v>3133.5</v>
      </c>
      <c r="E21" s="931">
        <v>4404</v>
      </c>
      <c r="F21" s="1013"/>
      <c r="G21" s="1042">
        <f t="shared" si="1"/>
        <v>19.199628682200157</v>
      </c>
      <c r="H21" s="1019">
        <f t="shared" ref="H21:H33" si="2">DEGREES(ATAN2(CHOOSE($N$14,E$16,E$17,E$18,E$19)-$E21,CHOOSE($N$14,D$16,D$17,D$18,D$19)-$D21))</f>
        <v>-80.162912743489144</v>
      </c>
      <c r="I21" s="1020">
        <f t="shared" ref="I21:I33" si="3">DEGREES(ATAN2(M21,$L21-L$14))</f>
        <v>7.0617444391259214</v>
      </c>
      <c r="J21" s="1037">
        <f t="shared" ref="J21:J33" si="4">C21*CHOOSE(B21,Rata1,Rata2,Rata3)</f>
        <v>8.8983968933251987</v>
      </c>
      <c r="K21" s="1032">
        <f t="shared" ref="K21:K33" si="5">SQRT(+POWER(D21-CHOOSE(B21,$S$10,$S$11,$S$12),2)+POWER(E21-CHOOSE(B21,$T$10,$T$11,$T$12),2))</f>
        <v>30.503629292266119</v>
      </c>
      <c r="L21" s="1031">
        <f t="shared" ref="L21:L33" si="6">K21*TAN(RADIANS(J21))+CHOOSE(B21,Hobs1,Hobs2,Hobs3)</f>
        <v>6.575866471329455</v>
      </c>
      <c r="M21" s="1032">
        <f t="shared" ref="M21:M33" si="7">SQRT(POWER($E21-CHOOSE($N$14,E$16,E$17,E$18,E$19),2)+POWER($D21-CHOOSE($N$14,D$16,D$17,D$18,D$19),2))</f>
        <v>25.636926492854247</v>
      </c>
      <c r="N21" s="1044" t="str">
        <f t="shared" si="0"/>
        <v>Arbre 1G</v>
      </c>
    </row>
    <row r="22" spans="1:14" s="34" customFormat="1" ht="12.75" x14ac:dyDescent="0.2">
      <c r="A22" s="932" t="s">
        <v>153</v>
      </c>
      <c r="B22" s="930">
        <v>2</v>
      </c>
      <c r="C22" s="1011">
        <v>21</v>
      </c>
      <c r="D22" s="931">
        <v>3130</v>
      </c>
      <c r="E22" s="931">
        <v>4396.3</v>
      </c>
      <c r="F22" s="1013"/>
      <c r="G22" s="1042">
        <f t="shared" si="1"/>
        <v>16.524989393855812</v>
      </c>
      <c r="H22" s="1019">
        <f t="shared" si="2"/>
        <v>-60.963284061288988</v>
      </c>
      <c r="I22" s="1020">
        <f t="shared" si="3"/>
        <v>16.247089411564339</v>
      </c>
      <c r="J22" s="1037">
        <f t="shared" si="4"/>
        <v>16.987848614529923</v>
      </c>
      <c r="K22" s="1032">
        <f t="shared" si="5"/>
        <v>28.978464417563469</v>
      </c>
      <c r="L22" s="1031">
        <f t="shared" si="6"/>
        <v>10.652885852300587</v>
      </c>
      <c r="M22" s="1032">
        <f t="shared" si="7"/>
        <v>24.888230150012831</v>
      </c>
      <c r="N22" s="1044" t="str">
        <f t="shared" si="0"/>
        <v>Arbre 1</v>
      </c>
    </row>
    <row r="23" spans="1:14" s="34" customFormat="1" ht="12.75" x14ac:dyDescent="0.2">
      <c r="A23" s="932" t="s">
        <v>154</v>
      </c>
      <c r="B23" s="930">
        <v>2</v>
      </c>
      <c r="C23" s="1011">
        <v>15</v>
      </c>
      <c r="D23" s="931">
        <v>3124.4</v>
      </c>
      <c r="E23" s="931">
        <v>4391.8999999999996</v>
      </c>
      <c r="F23" s="1013"/>
      <c r="G23" s="1042">
        <f t="shared" si="1"/>
        <v>14.638055146640635</v>
      </c>
      <c r="H23" s="1019">
        <f t="shared" si="2"/>
        <v>-44.438294667433176</v>
      </c>
      <c r="I23" s="1020">
        <f t="shared" si="3"/>
        <v>9.910649135193637</v>
      </c>
      <c r="J23" s="1037">
        <f t="shared" si="4"/>
        <v>12.134177581807089</v>
      </c>
      <c r="K23" s="1032">
        <f t="shared" si="5"/>
        <v>26.19800374074353</v>
      </c>
      <c r="L23" s="1031">
        <f t="shared" si="6"/>
        <v>7.4327130792048948</v>
      </c>
      <c r="M23" s="1032">
        <f t="shared" si="7"/>
        <v>23.08107449838559</v>
      </c>
      <c r="N23" s="1044" t="str">
        <f t="shared" si="0"/>
        <v>Arbre 2</v>
      </c>
    </row>
    <row r="24" spans="1:14" s="34" customFormat="1" ht="12.75" x14ac:dyDescent="0.2">
      <c r="A24" s="932" t="s">
        <v>155</v>
      </c>
      <c r="B24" s="930">
        <v>2</v>
      </c>
      <c r="C24" s="1011">
        <v>14</v>
      </c>
      <c r="D24" s="931">
        <v>3121</v>
      </c>
      <c r="E24" s="931">
        <v>4386.1000000000004</v>
      </c>
      <c r="F24" s="1013"/>
      <c r="G24" s="1042">
        <f t="shared" si="1"/>
        <v>12.931072444127285</v>
      </c>
      <c r="H24" s="1019">
        <f t="shared" si="2"/>
        <v>-29.800239520792541</v>
      </c>
      <c r="I24" s="1020">
        <f t="shared" si="3"/>
        <v>8.724830010397973</v>
      </c>
      <c r="J24" s="1037">
        <f t="shared" si="4"/>
        <v>11.325232409686617</v>
      </c>
      <c r="K24" s="1032">
        <f t="shared" si="5"/>
        <v>27.662816197921387</v>
      </c>
      <c r="L24" s="1031">
        <f t="shared" si="6"/>
        <v>7.3402460463110648</v>
      </c>
      <c r="M24" s="1032">
        <f t="shared" si="7"/>
        <v>25.675202043995569</v>
      </c>
      <c r="N24" s="1044" t="str">
        <f t="shared" si="0"/>
        <v>Arbre 3</v>
      </c>
    </row>
    <row r="25" spans="1:14" s="34" customFormat="1" ht="12.75" x14ac:dyDescent="0.2">
      <c r="A25" s="932" t="s">
        <v>156</v>
      </c>
      <c r="B25" s="930">
        <v>2</v>
      </c>
      <c r="C25" s="1011">
        <v>13.83</v>
      </c>
      <c r="D25" s="931">
        <v>3116.3</v>
      </c>
      <c r="E25" s="931">
        <v>4381.8</v>
      </c>
      <c r="F25" s="1013"/>
      <c r="G25" s="1042">
        <f t="shared" si="1"/>
        <v>18.124451402115852</v>
      </c>
      <c r="H25" s="1019">
        <f t="shared" si="2"/>
        <v>-16.869167076665256</v>
      </c>
      <c r="I25" s="1020">
        <f t="shared" si="3"/>
        <v>8.3242612947347165</v>
      </c>
      <c r="J25" s="1037">
        <f t="shared" si="4"/>
        <v>11.187711730426136</v>
      </c>
      <c r="K25" s="1032">
        <f t="shared" si="5"/>
        <v>28.637377673243648</v>
      </c>
      <c r="L25" s="1031">
        <f t="shared" si="6"/>
        <v>7.4639710654772466</v>
      </c>
      <c r="M25" s="1032">
        <f t="shared" si="7"/>
        <v>27.775168766364004</v>
      </c>
      <c r="N25" s="1044" t="str">
        <f t="shared" si="0"/>
        <v>Arbre 4</v>
      </c>
    </row>
    <row r="26" spans="1:14" s="34" customFormat="1" ht="12.75" x14ac:dyDescent="0.2">
      <c r="A26" s="932" t="s">
        <v>157</v>
      </c>
      <c r="B26" s="930">
        <v>2</v>
      </c>
      <c r="C26" s="1011">
        <v>16.12</v>
      </c>
      <c r="D26" s="931">
        <v>3107.8</v>
      </c>
      <c r="E26" s="931">
        <v>4388.3</v>
      </c>
      <c r="F26" s="1013"/>
      <c r="G26" s="1042">
        <f t="shared" si="1"/>
        <v>10.343047287622081</v>
      </c>
      <c r="H26" s="1019">
        <f t="shared" si="2"/>
        <v>1.2552843254505974</v>
      </c>
      <c r="I26" s="1020">
        <f t="shared" si="3"/>
        <v>8.2664823916859849</v>
      </c>
      <c r="J26" s="1037">
        <f t="shared" si="4"/>
        <v>13.040196174582018</v>
      </c>
      <c r="K26" s="1032">
        <f t="shared" si="5"/>
        <v>19.507419101459682</v>
      </c>
      <c r="L26" s="1031">
        <f t="shared" si="6"/>
        <v>6.3180598788468743</v>
      </c>
      <c r="M26" s="1032">
        <f t="shared" si="7"/>
        <v>20.084820138602108</v>
      </c>
      <c r="N26" s="1044" t="str">
        <f t="shared" si="0"/>
        <v>Arbre 5</v>
      </c>
    </row>
    <row r="27" spans="1:14" s="34" customFormat="1" ht="12.75" x14ac:dyDescent="0.2">
      <c r="A27" s="932" t="s">
        <v>158</v>
      </c>
      <c r="B27" s="930">
        <v>2</v>
      </c>
      <c r="C27" s="1011">
        <v>13.37</v>
      </c>
      <c r="D27" s="931">
        <v>3102.6</v>
      </c>
      <c r="E27" s="931">
        <v>4380.8999999999996</v>
      </c>
      <c r="F27" s="1013"/>
      <c r="G27" s="1042">
        <f t="shared" si="1"/>
        <v>20.600120724613149</v>
      </c>
      <c r="H27" s="1019">
        <f t="shared" si="2"/>
        <v>11.598331613072679</v>
      </c>
      <c r="I27" s="1020">
        <f t="shared" si="3"/>
        <v>6.9812701082195465</v>
      </c>
      <c r="J27" s="1037">
        <f t="shared" si="4"/>
        <v>10.815596951250718</v>
      </c>
      <c r="K27" s="1032">
        <f t="shared" si="5"/>
        <v>26.356164364338362</v>
      </c>
      <c r="L27" s="1031">
        <f t="shared" si="6"/>
        <v>6.8351433372895833</v>
      </c>
      <c r="M27" s="1032">
        <f t="shared" si="7"/>
        <v>28.052807346146743</v>
      </c>
      <c r="N27" s="1044" t="str">
        <f t="shared" si="0"/>
        <v>Arbre 6</v>
      </c>
    </row>
    <row r="28" spans="1:14" s="34" customFormat="1" ht="12.75" x14ac:dyDescent="0.2">
      <c r="A28" s="932" t="s">
        <v>259</v>
      </c>
      <c r="B28" s="930">
        <v>1</v>
      </c>
      <c r="C28" s="1011">
        <v>21</v>
      </c>
      <c r="D28" s="931">
        <v>3101.2</v>
      </c>
      <c r="E28" s="931">
        <v>4397.2</v>
      </c>
      <c r="F28" s="1013"/>
      <c r="G28" s="1042">
        <f t="shared" si="1"/>
        <v>10.904244625157808</v>
      </c>
      <c r="H28" s="1019">
        <f t="shared" si="2"/>
        <v>32.198452337685829</v>
      </c>
      <c r="I28" s="1020">
        <f t="shared" si="3"/>
        <v>33.382768341594378</v>
      </c>
      <c r="J28" s="1037">
        <f t="shared" si="4"/>
        <v>12.937883214291483</v>
      </c>
      <c r="K28" s="1032">
        <f t="shared" si="5"/>
        <v>44.861752083484312</v>
      </c>
      <c r="L28" s="1031">
        <f t="shared" si="6"/>
        <v>12.105935491353323</v>
      </c>
      <c r="M28" s="1032">
        <f t="shared" si="7"/>
        <v>13.211888585664276</v>
      </c>
      <c r="N28" s="1044" t="str">
        <f t="shared" si="0"/>
        <v>Arbre 7G</v>
      </c>
    </row>
    <row r="29" spans="1:14" s="34" customFormat="1" ht="12.75" x14ac:dyDescent="0.2">
      <c r="A29" s="932" t="s">
        <v>260</v>
      </c>
      <c r="B29" s="930">
        <v>1</v>
      </c>
      <c r="C29" s="1011">
        <v>21</v>
      </c>
      <c r="D29" s="931">
        <v>3098.9</v>
      </c>
      <c r="E29" s="931">
        <v>4398.3999999999996</v>
      </c>
      <c r="F29" s="1013" t="s">
        <v>130</v>
      </c>
      <c r="G29" s="1042">
        <f t="shared" si="1"/>
        <v>9</v>
      </c>
      <c r="H29" s="1019">
        <f t="shared" si="2"/>
        <v>43.102696962843638</v>
      </c>
      <c r="I29" s="1020">
        <f t="shared" si="3"/>
        <v>32.499007118819094</v>
      </c>
      <c r="J29" s="1037">
        <f t="shared" si="4"/>
        <v>12.937883214291483</v>
      </c>
      <c r="K29" s="1032">
        <f t="shared" si="5"/>
        <v>44.869218847668904</v>
      </c>
      <c r="L29" s="1031">
        <f t="shared" si="6"/>
        <v>12.107650805322166</v>
      </c>
      <c r="M29" s="1032">
        <f t="shared" si="7"/>
        <v>13.668796581996663</v>
      </c>
      <c r="N29" s="1044" t="str">
        <f t="shared" si="0"/>
        <v>Arbre 7D</v>
      </c>
    </row>
    <row r="30" spans="1:14" s="34" customFormat="1" ht="12.75" x14ac:dyDescent="0.2">
      <c r="A30" s="932" t="s">
        <v>261</v>
      </c>
      <c r="B30" s="930">
        <v>1</v>
      </c>
      <c r="C30" s="1011">
        <v>40.71</v>
      </c>
      <c r="D30" s="931">
        <v>3079.5</v>
      </c>
      <c r="E30" s="931">
        <v>4384.6000000000004</v>
      </c>
      <c r="F30" s="1013"/>
      <c r="G30" s="1042">
        <f t="shared" si="1"/>
        <v>14.378810994310655</v>
      </c>
      <c r="H30" s="1019">
        <f t="shared" si="2"/>
        <v>50.395024281947357</v>
      </c>
      <c r="I30" s="1020">
        <f t="shared" si="3"/>
        <v>16.230650241209151</v>
      </c>
      <c r="J30" s="1037">
        <f t="shared" si="4"/>
        <v>25.081010745419348</v>
      </c>
      <c r="K30" s="1032">
        <f t="shared" si="5"/>
        <v>26.620120210097522</v>
      </c>
      <c r="L30" s="1031">
        <f t="shared" si="6"/>
        <v>14.259018656368017</v>
      </c>
      <c r="M30" s="1032">
        <f t="shared" si="7"/>
        <v>37.302493214260828</v>
      </c>
      <c r="N30" s="1044" t="str">
        <f t="shared" si="0"/>
        <v>Arbre 9D</v>
      </c>
    </row>
    <row r="31" spans="1:14" s="34" customFormat="1" ht="12.75" x14ac:dyDescent="0.2">
      <c r="A31" s="932" t="s">
        <v>316</v>
      </c>
      <c r="B31" s="930">
        <v>2</v>
      </c>
      <c r="C31" s="1011">
        <v>5</v>
      </c>
      <c r="D31" s="931">
        <v>3083.01</v>
      </c>
      <c r="E31" s="931">
        <v>4397.3999999999996</v>
      </c>
      <c r="F31" s="1013"/>
      <c r="G31" s="1042">
        <f t="shared" si="1"/>
        <v>13.378683368756597</v>
      </c>
      <c r="H31" s="1019">
        <f t="shared" si="2"/>
        <v>66.481507957154292</v>
      </c>
      <c r="I31" s="1020">
        <f t="shared" si="3"/>
        <v>-2.7913126713465113E-2</v>
      </c>
      <c r="J31" s="1037">
        <f t="shared" si="4"/>
        <v>4.0447258606023624</v>
      </c>
      <c r="K31" s="1032">
        <f t="shared" si="5"/>
        <v>22.437649163849613</v>
      </c>
      <c r="L31" s="1031">
        <f t="shared" si="6"/>
        <v>3.3865950151733628</v>
      </c>
      <c r="M31" s="1032">
        <f t="shared" si="7"/>
        <v>27.515691886630588</v>
      </c>
      <c r="N31" s="1044" t="str">
        <f t="shared" si="0"/>
        <v>Arbre 10C</v>
      </c>
    </row>
    <row r="32" spans="1:14" s="34" customFormat="1" ht="12.75" x14ac:dyDescent="0.2">
      <c r="A32" s="932" t="s">
        <v>263</v>
      </c>
      <c r="B32" s="930">
        <v>2</v>
      </c>
      <c r="C32" s="1012">
        <v>5</v>
      </c>
      <c r="D32" s="931">
        <v>3089.9</v>
      </c>
      <c r="E32" s="931">
        <v>4405.1000000000004</v>
      </c>
      <c r="F32" s="1013" t="s">
        <v>130</v>
      </c>
      <c r="G32" s="1042">
        <f t="shared" si="1"/>
        <v>7.5010000000000048</v>
      </c>
      <c r="H32" s="1019">
        <f t="shared" si="2"/>
        <v>79.86019132591089</v>
      </c>
      <c r="I32" s="1020">
        <f t="shared" si="3"/>
        <v>-1.9963646824236045</v>
      </c>
      <c r="J32" s="1037">
        <f t="shared" si="4"/>
        <v>4.0447258606023624</v>
      </c>
      <c r="K32" s="1032">
        <f t="shared" si="5"/>
        <v>13.443042810316344</v>
      </c>
      <c r="L32" s="1031">
        <f t="shared" si="6"/>
        <v>2.7505748376694328</v>
      </c>
      <c r="M32" s="1032">
        <f t="shared" si="7"/>
        <v>18.630995679243419</v>
      </c>
      <c r="N32" s="1044" t="str">
        <f t="shared" si="0"/>
        <v>Arbre 10 D</v>
      </c>
    </row>
    <row r="33" spans="1:16" s="39" customFormat="1" ht="12.75" x14ac:dyDescent="0.2">
      <c r="A33" s="932" t="s">
        <v>321</v>
      </c>
      <c r="B33" s="930">
        <v>2</v>
      </c>
      <c r="C33" s="1012">
        <v>8.2200000000000006</v>
      </c>
      <c r="D33" s="931">
        <v>3093.2</v>
      </c>
      <c r="E33" s="931">
        <v>4407.5</v>
      </c>
      <c r="F33" s="1013"/>
      <c r="G33" s="1042">
        <f t="shared" si="1"/>
        <v>12.638808674089105</v>
      </c>
      <c r="H33" s="1019">
        <f t="shared" si="2"/>
        <v>86.651405185542686</v>
      </c>
      <c r="I33" s="1020">
        <f t="shared" si="3"/>
        <v>-1.662728935994682</v>
      </c>
      <c r="J33" s="1037">
        <f t="shared" si="4"/>
        <v>6.6495293148302848</v>
      </c>
      <c r="K33" s="1032">
        <f t="shared" si="5"/>
        <v>9.9731339106624386</v>
      </c>
      <c r="L33" s="1031">
        <f t="shared" si="6"/>
        <v>2.9626685285297523</v>
      </c>
      <c r="M33" s="1032">
        <f t="shared" si="7"/>
        <v>15.065722684292284</v>
      </c>
      <c r="N33" s="1044" t="str">
        <f t="shared" si="0"/>
        <v>Arbre 10 DE</v>
      </c>
    </row>
    <row r="34" spans="1:16" s="39" customFormat="1" ht="12.75" x14ac:dyDescent="0.2">
      <c r="A34" s="932" t="s">
        <v>264</v>
      </c>
      <c r="B34" s="930"/>
      <c r="C34" s="1012"/>
      <c r="D34" s="931"/>
      <c r="E34" s="931"/>
      <c r="F34" s="1013"/>
      <c r="G34" s="1042">
        <f t="shared" si="1"/>
        <v>30</v>
      </c>
      <c r="H34" s="1019">
        <v>100</v>
      </c>
      <c r="I34" s="1020">
        <f>I33</f>
        <v>-1.662728935994682</v>
      </c>
      <c r="J34" s="1037"/>
      <c r="K34" s="1032"/>
      <c r="L34" s="1031"/>
      <c r="M34" s="1032"/>
      <c r="N34" s="1044" t="str">
        <f t="shared" si="0"/>
        <v>Plat</v>
      </c>
    </row>
    <row r="35" spans="1:16" s="39" customFormat="1" ht="12.75" x14ac:dyDescent="0.2">
      <c r="A35" s="932" t="s">
        <v>301</v>
      </c>
      <c r="B35" s="930"/>
      <c r="C35" s="1006"/>
      <c r="D35" s="931"/>
      <c r="E35" s="931"/>
      <c r="F35" s="1013"/>
      <c r="G35" s="1042">
        <f t="shared" si="1"/>
        <v>90</v>
      </c>
      <c r="H35" s="1019">
        <f>Azi_pv_sel+90</f>
        <v>130</v>
      </c>
      <c r="I35" s="1020">
        <f>1</f>
        <v>1</v>
      </c>
      <c r="J35" s="1037"/>
      <c r="K35" s="1032"/>
      <c r="L35" s="1031"/>
      <c r="M35" s="1032"/>
      <c r="N35" s="1044" t="str">
        <f t="shared" si="0"/>
        <v>Toiture D</v>
      </c>
    </row>
    <row r="36" spans="1:16" s="34" customFormat="1" ht="12.75" x14ac:dyDescent="0.2">
      <c r="A36" s="932" t="s">
        <v>161</v>
      </c>
      <c r="B36" s="930"/>
      <c r="C36" s="1006"/>
      <c r="D36" s="931"/>
      <c r="E36" s="931"/>
      <c r="F36" s="1013"/>
      <c r="G36" s="1042"/>
      <c r="H36" s="1019">
        <f>Azi_pv_sel+180</f>
        <v>220</v>
      </c>
      <c r="I36" s="1020">
        <f>$J$3</f>
        <v>18.262889942194128</v>
      </c>
      <c r="J36" s="1037"/>
      <c r="K36" s="1032"/>
      <c r="L36" s="1031"/>
      <c r="M36" s="1032"/>
      <c r="N36" s="1044" t="str">
        <f t="shared" si="0"/>
        <v>Arrière PV</v>
      </c>
    </row>
    <row r="37" spans="1:16" s="34" customFormat="1" ht="12.75" x14ac:dyDescent="0.2">
      <c r="A37" s="932"/>
      <c r="B37" s="930"/>
      <c r="C37" s="1006"/>
      <c r="D37" s="931"/>
      <c r="E37" s="931"/>
      <c r="F37" s="1013"/>
      <c r="G37" s="1042"/>
      <c r="H37" s="1019">
        <f>Azi_pv_sel+180</f>
        <v>220</v>
      </c>
      <c r="I37" s="1020">
        <f>$J$3</f>
        <v>18.262889942194128</v>
      </c>
      <c r="J37" s="1037"/>
      <c r="K37" s="1032"/>
      <c r="L37" s="1031"/>
      <c r="M37" s="1032"/>
      <c r="N37" s="1044">
        <f t="shared" si="0"/>
        <v>0</v>
      </c>
    </row>
    <row r="38" spans="1:16" s="34" customFormat="1" ht="12.75" x14ac:dyDescent="0.2">
      <c r="A38" s="932"/>
      <c r="B38" s="930"/>
      <c r="C38" s="1006"/>
      <c r="D38" s="931"/>
      <c r="E38" s="931"/>
      <c r="F38" s="1013"/>
      <c r="G38" s="1042"/>
      <c r="H38" s="1019">
        <f t="shared" ref="H38:H43" si="8">+H37</f>
        <v>220</v>
      </c>
      <c r="I38" s="1020">
        <f t="shared" ref="I38:I43" si="9">+I37</f>
        <v>18.262889942194128</v>
      </c>
      <c r="J38" s="1037"/>
      <c r="K38" s="1032"/>
      <c r="L38" s="1031"/>
      <c r="M38" s="1032"/>
      <c r="N38" s="1044">
        <f t="shared" si="0"/>
        <v>0</v>
      </c>
    </row>
    <row r="39" spans="1:16" s="34" customFormat="1" ht="12.75" x14ac:dyDescent="0.2">
      <c r="A39" s="932"/>
      <c r="B39" s="930"/>
      <c r="C39" s="1006"/>
      <c r="D39" s="931"/>
      <c r="E39" s="931"/>
      <c r="F39" s="1013"/>
      <c r="G39" s="1042"/>
      <c r="H39" s="1019">
        <f t="shared" si="8"/>
        <v>220</v>
      </c>
      <c r="I39" s="1020">
        <f t="shared" si="9"/>
        <v>18.262889942194128</v>
      </c>
      <c r="J39" s="1037"/>
      <c r="K39" s="1032"/>
      <c r="L39" s="1031"/>
      <c r="M39" s="1032"/>
      <c r="N39" s="1044">
        <f t="shared" si="0"/>
        <v>0</v>
      </c>
    </row>
    <row r="40" spans="1:16" s="34" customFormat="1" ht="12.75" x14ac:dyDescent="0.2">
      <c r="A40" s="932"/>
      <c r="B40" s="930"/>
      <c r="C40" s="1006"/>
      <c r="D40" s="931"/>
      <c r="E40" s="931"/>
      <c r="F40" s="1013"/>
      <c r="G40" s="1042"/>
      <c r="H40" s="1019">
        <f t="shared" si="8"/>
        <v>220</v>
      </c>
      <c r="I40" s="1020">
        <f t="shared" si="9"/>
        <v>18.262889942194128</v>
      </c>
      <c r="J40" s="1037"/>
      <c r="K40" s="1032"/>
      <c r="L40" s="1031"/>
      <c r="M40" s="1032"/>
      <c r="N40" s="1044">
        <f t="shared" si="0"/>
        <v>0</v>
      </c>
    </row>
    <row r="41" spans="1:16" s="34" customFormat="1" ht="12.75" x14ac:dyDescent="0.2">
      <c r="A41" s="932"/>
      <c r="B41" s="930"/>
      <c r="C41" s="1006"/>
      <c r="D41" s="931"/>
      <c r="E41" s="931"/>
      <c r="F41" s="1013"/>
      <c r="G41" s="1042"/>
      <c r="H41" s="1019">
        <f t="shared" si="8"/>
        <v>220</v>
      </c>
      <c r="I41" s="1020">
        <f t="shared" si="9"/>
        <v>18.262889942194128</v>
      </c>
      <c r="J41" s="1037"/>
      <c r="K41" s="1032"/>
      <c r="L41" s="1031"/>
      <c r="M41" s="1032"/>
      <c r="N41" s="1044">
        <f t="shared" si="0"/>
        <v>0</v>
      </c>
    </row>
    <row r="42" spans="1:16" s="19" customFormat="1" ht="12.75" x14ac:dyDescent="0.2">
      <c r="A42" s="932"/>
      <c r="B42" s="930"/>
      <c r="C42" s="1006"/>
      <c r="D42" s="931"/>
      <c r="E42" s="931"/>
      <c r="F42" s="1013"/>
      <c r="G42" s="1042"/>
      <c r="H42" s="1019">
        <f t="shared" si="8"/>
        <v>220</v>
      </c>
      <c r="I42" s="1020">
        <f t="shared" si="9"/>
        <v>18.262889942194128</v>
      </c>
      <c r="J42" s="1037"/>
      <c r="K42" s="1032"/>
      <c r="L42" s="1031"/>
      <c r="M42" s="1032"/>
      <c r="N42" s="1044">
        <f t="shared" si="0"/>
        <v>0</v>
      </c>
    </row>
    <row r="43" spans="1:16" s="19" customFormat="1" ht="13.5" thickBot="1" x14ac:dyDescent="0.25">
      <c r="A43" s="998"/>
      <c r="B43" s="999"/>
      <c r="C43" s="1008"/>
      <c r="D43" s="1009"/>
      <c r="E43" s="1009"/>
      <c r="F43" s="1028"/>
      <c r="G43" s="1043"/>
      <c r="H43" s="1021">
        <f t="shared" si="8"/>
        <v>220</v>
      </c>
      <c r="I43" s="1022">
        <f t="shared" si="9"/>
        <v>18.262889942194128</v>
      </c>
      <c r="J43" s="1039"/>
      <c r="K43" s="1034"/>
      <c r="L43" s="1033"/>
      <c r="M43" s="1034"/>
      <c r="N43" s="1045">
        <f t="shared" si="0"/>
        <v>0</v>
      </c>
    </row>
    <row r="44" spans="1:16" s="34" customFormat="1" ht="12.75" x14ac:dyDescent="0.2">
      <c r="A44" s="997" t="s">
        <v>186</v>
      </c>
      <c r="B44" s="934"/>
      <c r="C44" s="935"/>
      <c r="D44" s="627"/>
      <c r="E44" s="663"/>
      <c r="F44" s="1007"/>
      <c r="G44" s="627"/>
      <c r="H44" s="936"/>
      <c r="I44" s="936"/>
      <c r="J44" s="935"/>
      <c r="K44" s="627"/>
      <c r="L44" s="934"/>
      <c r="M44" s="934"/>
      <c r="N44" s="1049"/>
    </row>
    <row r="45" spans="1:16" s="39" customFormat="1" ht="12.75" x14ac:dyDescent="0.2">
      <c r="A45" s="932" t="s">
        <v>152</v>
      </c>
      <c r="B45" s="930">
        <v>1</v>
      </c>
      <c r="C45" s="1011">
        <v>9.9499999999999993</v>
      </c>
      <c r="D45" s="931">
        <v>3105.7</v>
      </c>
      <c r="E45" s="931">
        <v>4410.34</v>
      </c>
      <c r="F45" s="1013"/>
      <c r="G45" s="1042"/>
      <c r="H45" s="1019"/>
      <c r="I45" s="1020"/>
      <c r="J45" s="1037"/>
      <c r="K45" s="1032"/>
      <c r="L45" s="1031"/>
      <c r="M45" s="1032"/>
      <c r="N45" s="1044"/>
    </row>
    <row r="46" spans="1:16" s="39" customFormat="1" ht="12.75" x14ac:dyDescent="0.2">
      <c r="A46" s="932" t="s">
        <v>159</v>
      </c>
      <c r="B46" s="930">
        <v>1</v>
      </c>
      <c r="C46" s="1011">
        <v>24.62</v>
      </c>
      <c r="D46" s="931"/>
      <c r="E46" s="931"/>
      <c r="F46" s="1013"/>
      <c r="G46" s="1042"/>
      <c r="H46" s="1019"/>
      <c r="I46" s="1020"/>
      <c r="J46" s="1037"/>
      <c r="K46" s="1032"/>
      <c r="L46" s="1031">
        <v>12</v>
      </c>
      <c r="M46" s="1032"/>
      <c r="N46" s="1044"/>
    </row>
    <row r="47" spans="1:16" s="34" customFormat="1" ht="12.75" x14ac:dyDescent="0.2">
      <c r="A47" s="932" t="s">
        <v>262</v>
      </c>
      <c r="B47" s="930">
        <v>2</v>
      </c>
      <c r="C47" s="1011">
        <v>2.5</v>
      </c>
      <c r="D47" s="931">
        <v>3073</v>
      </c>
      <c r="E47" s="931">
        <v>4388</v>
      </c>
      <c r="F47" s="1013"/>
      <c r="G47" s="1042"/>
      <c r="H47" s="1019"/>
      <c r="I47" s="1020"/>
      <c r="J47" s="1037"/>
      <c r="K47" s="1032"/>
      <c r="L47" s="1031"/>
      <c r="M47" s="1032"/>
      <c r="N47" s="1044"/>
    </row>
    <row r="48" spans="1:16" s="34" customFormat="1" ht="12.75" x14ac:dyDescent="0.2">
      <c r="A48" s="932"/>
      <c r="B48" s="930"/>
      <c r="C48" s="1011"/>
      <c r="D48" s="931"/>
      <c r="E48" s="931"/>
      <c r="F48" s="1013"/>
      <c r="G48" s="1042"/>
      <c r="H48" s="1019"/>
      <c r="I48" s="1020"/>
      <c r="J48" s="1037"/>
      <c r="K48" s="1032"/>
      <c r="L48" s="1031"/>
      <c r="M48" s="1032"/>
      <c r="N48" s="1044"/>
      <c r="O48" s="702"/>
      <c r="P48" s="698"/>
    </row>
    <row r="49" spans="1:35" s="39" customFormat="1" ht="12.75" x14ac:dyDescent="0.2">
      <c r="A49" s="932"/>
      <c r="B49" s="930"/>
      <c r="C49" s="1011"/>
      <c r="D49" s="931"/>
      <c r="E49" s="931"/>
      <c r="F49" s="1013"/>
      <c r="G49" s="1042"/>
      <c r="H49" s="1019"/>
      <c r="I49" s="1020"/>
      <c r="J49" s="1037"/>
      <c r="K49" s="1032"/>
      <c r="L49" s="1031"/>
      <c r="M49" s="1032"/>
      <c r="N49" s="1044"/>
    </row>
    <row r="50" spans="1:35" s="34" customFormat="1" ht="12.75" x14ac:dyDescent="0.2">
      <c r="A50" s="932"/>
      <c r="B50" s="930"/>
      <c r="C50" s="1011"/>
      <c r="D50" s="931"/>
      <c r="E50" s="931"/>
      <c r="F50" s="1013"/>
      <c r="G50" s="1042"/>
      <c r="H50" s="1019"/>
      <c r="I50" s="1020"/>
      <c r="J50" s="1037"/>
      <c r="K50" s="1032"/>
      <c r="L50" s="1031"/>
      <c r="M50" s="1032"/>
      <c r="N50" s="1044"/>
      <c r="O50" s="702"/>
      <c r="P50" s="698"/>
    </row>
    <row r="51" spans="1:35" s="34" customFormat="1" ht="12.75" x14ac:dyDescent="0.2">
      <c r="A51" s="932"/>
      <c r="B51" s="930"/>
      <c r="C51" s="1011"/>
      <c r="D51" s="931"/>
      <c r="E51" s="931"/>
      <c r="F51" s="1013"/>
      <c r="G51" s="1042"/>
      <c r="H51" s="1019"/>
      <c r="I51" s="1020"/>
      <c r="J51" s="1037"/>
      <c r="K51" s="1032"/>
      <c r="L51" s="1031"/>
      <c r="M51" s="1032"/>
      <c r="N51" s="1044"/>
      <c r="O51" s="702"/>
      <c r="P51" s="698"/>
    </row>
    <row r="52" spans="1:35" ht="21" x14ac:dyDescent="0.35">
      <c r="A52" s="664" t="s">
        <v>168</v>
      </c>
      <c r="C52" s="636"/>
      <c r="F52" s="15"/>
      <c r="K52" s="15"/>
      <c r="L52" s="636"/>
      <c r="M52" s="937"/>
      <c r="N52" s="41"/>
      <c r="O52" s="938"/>
      <c r="P52" s="21"/>
      <c r="R52" s="21"/>
      <c r="S52" s="342"/>
    </row>
    <row r="53" spans="1:35" s="36" customFormat="1" ht="15.75" x14ac:dyDescent="0.25">
      <c r="A53" s="700"/>
      <c r="B53" s="700" t="s">
        <v>198</v>
      </c>
      <c r="C53" s="1078">
        <v>1</v>
      </c>
      <c r="G53" s="700" t="s">
        <v>330</v>
      </c>
      <c r="H53" s="1077">
        <f>I1</f>
        <v>44502</v>
      </c>
      <c r="J53" s="700"/>
      <c r="L53" s="1076"/>
      <c r="P53" s="697" t="s">
        <v>302</v>
      </c>
      <c r="R53" s="698"/>
      <c r="V53" s="698"/>
      <c r="X53" s="698"/>
      <c r="Y53" s="704"/>
      <c r="Z53" s="698"/>
      <c r="AA53" s="697" t="s">
        <v>303</v>
      </c>
      <c r="AC53" s="698"/>
    </row>
    <row r="54" spans="1:35" s="4" customFormat="1" x14ac:dyDescent="0.25">
      <c r="A54" s="722" t="str">
        <f>Station</f>
        <v>Donneville</v>
      </c>
      <c r="B54" s="1198" t="s">
        <v>331</v>
      </c>
      <c r="C54" s="1195" t="str">
        <f>"Hauteur fonction de la croissance vue du champ PV "&amp;Q3</f>
        <v xml:space="preserve">Hauteur fonction de la croissance vue du champ PV </v>
      </c>
      <c r="D54" s="1196"/>
      <c r="E54" s="1196"/>
      <c r="F54" s="1196"/>
      <c r="G54" s="1196"/>
      <c r="H54" s="1196"/>
      <c r="I54" s="1196"/>
      <c r="J54" s="1196"/>
      <c r="K54" s="1196"/>
      <c r="L54" s="1196"/>
      <c r="M54" s="1197"/>
      <c r="O54" s="939" t="str">
        <f>Station</f>
        <v>Donneville</v>
      </c>
      <c r="P54" s="940">
        <f>Azi_pv_sel</f>
        <v>40</v>
      </c>
      <c r="Q54" s="1063" t="str">
        <f>"Elevation vue du champ PV zone: "&amp;ZonePV</f>
        <v>Elevation vue du champ PV zone: 1</v>
      </c>
      <c r="R54" s="1064"/>
      <c r="S54" s="1064"/>
      <c r="T54" s="1064"/>
      <c r="U54" s="1064"/>
      <c r="V54" s="1064"/>
      <c r="W54" s="1064"/>
      <c r="X54" s="1064"/>
      <c r="Y54" s="1064"/>
      <c r="Z54" s="1065"/>
      <c r="AA54" s="941">
        <f>Ram_pv</f>
        <v>0.33</v>
      </c>
      <c r="AC54" s="2"/>
      <c r="AD54" s="2"/>
      <c r="AE54" s="28"/>
      <c r="AF54" s="942"/>
      <c r="AG54" s="943" t="s">
        <v>304</v>
      </c>
    </row>
    <row r="55" spans="1:35" s="19" customFormat="1" ht="13.5" thickBot="1" x14ac:dyDescent="0.25">
      <c r="A55" s="723" t="s">
        <v>197</v>
      </c>
      <c r="B55" s="1198"/>
      <c r="C55" s="705">
        <f>+D$55-$C$53</f>
        <v>-5</v>
      </c>
      <c r="D55" s="705">
        <f>+E$55-$C$53</f>
        <v>-4</v>
      </c>
      <c r="E55" s="705">
        <f>+F$55-$C$53</f>
        <v>-3</v>
      </c>
      <c r="F55" s="705">
        <f>+G$55-$C$53</f>
        <v>-2</v>
      </c>
      <c r="G55" s="705">
        <f>+H$55-$C$53</f>
        <v>-1</v>
      </c>
      <c r="H55" s="706">
        <v>0</v>
      </c>
      <c r="I55" s="705">
        <f>$C$53+H$55</f>
        <v>1</v>
      </c>
      <c r="J55" s="705">
        <f>$C$53+I$55</f>
        <v>2</v>
      </c>
      <c r="K55" s="705">
        <f>$C$53+J$55</f>
        <v>3</v>
      </c>
      <c r="L55" s="705">
        <f>$C$53+K$55</f>
        <v>4</v>
      </c>
      <c r="M55" s="705">
        <f>$C$53+L$55</f>
        <v>5</v>
      </c>
      <c r="N55" s="687" t="s">
        <v>150</v>
      </c>
      <c r="O55" s="687" t="str">
        <f>"zone "&amp;ZonePV</f>
        <v>zone 1</v>
      </c>
      <c r="P55" s="707" t="s">
        <v>149</v>
      </c>
      <c r="Q55" s="705">
        <f t="shared" ref="Q55:AA55" si="10">C55</f>
        <v>-5</v>
      </c>
      <c r="R55" s="705">
        <f t="shared" si="10"/>
        <v>-4</v>
      </c>
      <c r="S55" s="705">
        <f t="shared" si="10"/>
        <v>-3</v>
      </c>
      <c r="T55" s="705">
        <f t="shared" si="10"/>
        <v>-2</v>
      </c>
      <c r="U55" s="705">
        <f t="shared" si="10"/>
        <v>-1</v>
      </c>
      <c r="V55" s="706">
        <f t="shared" si="10"/>
        <v>0</v>
      </c>
      <c r="W55" s="705">
        <f t="shared" si="10"/>
        <v>1</v>
      </c>
      <c r="X55" s="705">
        <f t="shared" si="10"/>
        <v>2</v>
      </c>
      <c r="Y55" s="705">
        <f t="shared" si="10"/>
        <v>3</v>
      </c>
      <c r="Z55" s="705">
        <f t="shared" si="10"/>
        <v>4</v>
      </c>
      <c r="AA55" s="705">
        <f t="shared" si="10"/>
        <v>5</v>
      </c>
      <c r="AB55" s="733" t="s">
        <v>311</v>
      </c>
      <c r="AC55" s="944" t="s">
        <v>305</v>
      </c>
      <c r="AD55" s="945" t="s">
        <v>306</v>
      </c>
      <c r="AE55" s="945" t="s">
        <v>307</v>
      </c>
      <c r="AF55" s="946" t="s">
        <v>308</v>
      </c>
      <c r="AG55" s="947" t="s">
        <v>309</v>
      </c>
      <c r="AH55" s="948" t="s">
        <v>310</v>
      </c>
    </row>
    <row r="56" spans="1:35" s="28" customFormat="1" ht="12.75" x14ac:dyDescent="0.2">
      <c r="A56" s="949" t="str">
        <f t="shared" ref="A56:A79" si="11">A20</f>
        <v>Arrière PV</v>
      </c>
      <c r="B56" s="1079">
        <v>1</v>
      </c>
      <c r="C56" s="950">
        <f t="shared" ref="C56:M56" si="12">$L20+C$55*Rapous</f>
        <v>-5</v>
      </c>
      <c r="D56" s="951">
        <f t="shared" si="12"/>
        <v>-4</v>
      </c>
      <c r="E56" s="951">
        <f t="shared" si="12"/>
        <v>-3</v>
      </c>
      <c r="F56" s="951">
        <f t="shared" si="12"/>
        <v>-2</v>
      </c>
      <c r="G56" s="952">
        <f t="shared" si="12"/>
        <v>-1</v>
      </c>
      <c r="H56" s="953">
        <f t="shared" si="12"/>
        <v>0</v>
      </c>
      <c r="I56" s="950">
        <f t="shared" si="12"/>
        <v>1</v>
      </c>
      <c r="J56" s="951">
        <f t="shared" si="12"/>
        <v>2</v>
      </c>
      <c r="K56" s="951">
        <f t="shared" si="12"/>
        <v>3</v>
      </c>
      <c r="L56" s="951">
        <f t="shared" si="12"/>
        <v>4</v>
      </c>
      <c r="M56" s="952">
        <f t="shared" si="12"/>
        <v>5</v>
      </c>
      <c r="N56" s="702">
        <f t="shared" ref="N56:N79" si="13">$M20</f>
        <v>0</v>
      </c>
      <c r="O56" s="954" t="str">
        <f t="shared" ref="O56:O79" si="14">N20</f>
        <v>Arrière PV</v>
      </c>
      <c r="P56" s="692">
        <f t="shared" ref="P56:P79" si="15">$H20+Azi_decal</f>
        <v>-140</v>
      </c>
      <c r="Q56" s="955">
        <f t="shared" ref="Q56:Q79" si="16">IF($N56=0,$I20,DEGREES(ATAN2($N56,C56-H_pv)))</f>
        <v>18.262889942194128</v>
      </c>
      <c r="R56" s="956">
        <f t="shared" ref="R56:R79" si="17">IF($N56=0,$I20,DEGREES(ATAN2($N56,D56-H_pv)))</f>
        <v>18.262889942194128</v>
      </c>
      <c r="S56" s="956">
        <f t="shared" ref="S56:S79" si="18">IF($N56=0,$I20,DEGREES(ATAN2($N56,E56-H_pv)))</f>
        <v>18.262889942194128</v>
      </c>
      <c r="T56" s="956">
        <f t="shared" ref="T56:T79" si="19">IF($N56=0,$I20,DEGREES(ATAN2($N56,F56-H_pv)))</f>
        <v>18.262889942194128</v>
      </c>
      <c r="U56" s="933">
        <f t="shared" ref="U56:U79" si="20">IF($N56=0,$I20,DEGREES(ATAN2($N56,G56-H_pv)))</f>
        <v>18.262889942194128</v>
      </c>
      <c r="V56" s="957">
        <f t="shared" ref="V56:V79" si="21">IF($N56=0,$I20,DEGREES(ATAN2($N56,H56-H_pv)))</f>
        <v>18.262889942194128</v>
      </c>
      <c r="W56" s="955">
        <f t="shared" ref="W56:W79" si="22">IF($N56=0,$I20,DEGREES(ATAN2($N56,I56-H_pv)))</f>
        <v>18.262889942194128</v>
      </c>
      <c r="X56" s="956">
        <f t="shared" ref="X56:X79" si="23">IF($N56=0,$I20,DEGREES(ATAN2($N56,J56-H_pv)))</f>
        <v>18.262889942194128</v>
      </c>
      <c r="Y56" s="956">
        <f t="shared" ref="Y56:Y79" si="24">IF($N56=0,$I20,DEGREES(ATAN2($N56,K56-H_pv)))</f>
        <v>18.262889942194128</v>
      </c>
      <c r="Z56" s="956">
        <f t="shared" ref="Z56:Z79" si="25">IF($N56=0,$I20,DEGREES(ATAN2($N56,L56-H_pv)))</f>
        <v>18.262889942194128</v>
      </c>
      <c r="AA56" s="933">
        <f t="shared" ref="AA56:AA79" si="26">IF($N56=0,$I20,DEGREES(ATAN2($N56,M56-H_pv)))</f>
        <v>18.262889942194128</v>
      </c>
      <c r="AB56" s="962">
        <f t="shared" ref="AB56:AB78" si="27">(AA56+AA57)/2</f>
        <v>17.975440336040428</v>
      </c>
      <c r="AC56" s="451" t="b">
        <f t="shared" ref="AC56:AC79" si="28">G20&lt;AD56</f>
        <v>0</v>
      </c>
      <c r="AD56" s="958">
        <f t="shared" ref="AD56:AD78" si="29">INDEX($AH$56:$AH$82,MATCH((AA56+AA57)/2,$AG$56:$AG$82)+1)</f>
        <v>7.5010000000000003</v>
      </c>
      <c r="AE56" s="958">
        <f t="shared" ref="AE56:AE79" si="30">H21-H20</f>
        <v>59.837087256510856</v>
      </c>
      <c r="AF56" s="959">
        <f>+IF(F15="D",AD55-AE55,IF(F20="G",AE56-AD56,0))</f>
        <v>0</v>
      </c>
      <c r="AG56" s="960">
        <v>-10</v>
      </c>
      <c r="AH56" s="961">
        <v>7.5</v>
      </c>
      <c r="AI56" s="962"/>
    </row>
    <row r="57" spans="1:35" s="28" customFormat="1" ht="12.75" x14ac:dyDescent="0.2">
      <c r="A57" s="949" t="str">
        <f t="shared" si="11"/>
        <v>Arbre 1G</v>
      </c>
      <c r="B57" s="1080">
        <v>1</v>
      </c>
      <c r="C57" s="950">
        <f t="shared" ref="C57:M57" si="31">$L21+C$55*Rapous</f>
        <v>1.575866471329455</v>
      </c>
      <c r="D57" s="951">
        <f t="shared" si="31"/>
        <v>2.575866471329455</v>
      </c>
      <c r="E57" s="951">
        <f t="shared" si="31"/>
        <v>3.575866471329455</v>
      </c>
      <c r="F57" s="951">
        <f t="shared" si="31"/>
        <v>4.575866471329455</v>
      </c>
      <c r="G57" s="952">
        <f t="shared" si="31"/>
        <v>5.575866471329455</v>
      </c>
      <c r="H57" s="953">
        <f t="shared" si="31"/>
        <v>6.575866471329455</v>
      </c>
      <c r="I57" s="950">
        <f t="shared" si="31"/>
        <v>7.575866471329455</v>
      </c>
      <c r="J57" s="951">
        <f t="shared" si="31"/>
        <v>8.575866471329455</v>
      </c>
      <c r="K57" s="951">
        <f t="shared" si="31"/>
        <v>9.575866471329455</v>
      </c>
      <c r="L57" s="951">
        <f t="shared" si="31"/>
        <v>10.575866471329455</v>
      </c>
      <c r="M57" s="952">
        <f t="shared" si="31"/>
        <v>11.575866471329455</v>
      </c>
      <c r="N57" s="702">
        <f t="shared" si="13"/>
        <v>25.636926492854247</v>
      </c>
      <c r="O57" s="954" t="str">
        <f t="shared" si="14"/>
        <v>Arbre 1G</v>
      </c>
      <c r="P57" s="692">
        <f t="shared" si="15"/>
        <v>-80.162912743489144</v>
      </c>
      <c r="Q57" s="955">
        <f t="shared" si="16"/>
        <v>-4.069883743014147</v>
      </c>
      <c r="R57" s="956">
        <f t="shared" si="17"/>
        <v>-1.8412159403666002</v>
      </c>
      <c r="S57" s="956">
        <f t="shared" si="18"/>
        <v>0.39303652540146727</v>
      </c>
      <c r="T57" s="956">
        <f t="shared" si="19"/>
        <v>2.6260949020192612</v>
      </c>
      <c r="U57" s="933">
        <f t="shared" si="20"/>
        <v>4.8512021037910023</v>
      </c>
      <c r="V57" s="957">
        <f t="shared" si="21"/>
        <v>7.0617444391259214</v>
      </c>
      <c r="W57" s="955">
        <f t="shared" si="22"/>
        <v>9.2513669388369042</v>
      </c>
      <c r="X57" s="956">
        <f t="shared" si="23"/>
        <v>11.414077387540338</v>
      </c>
      <c r="Y57" s="956">
        <f t="shared" si="24"/>
        <v>13.544335063252534</v>
      </c>
      <c r="Z57" s="956">
        <f t="shared" si="25"/>
        <v>15.637121356287093</v>
      </c>
      <c r="AA57" s="933">
        <f t="shared" si="26"/>
        <v>17.687990729886732</v>
      </c>
      <c r="AB57" s="962">
        <f t="shared" si="27"/>
        <v>21.949887001674561</v>
      </c>
      <c r="AC57" s="28" t="b">
        <f t="shared" si="28"/>
        <v>0</v>
      </c>
      <c r="AD57" s="958">
        <f t="shared" si="29"/>
        <v>7.5010000000000003</v>
      </c>
      <c r="AE57" s="958">
        <f t="shared" si="30"/>
        <v>19.199628682200157</v>
      </c>
      <c r="AF57" s="959">
        <f t="shared" ref="AF57:AF79" si="32">+IF(F20="D",AD56-AE56,IF(F21="G",AE57-AD57,0))</f>
        <v>0</v>
      </c>
      <c r="AG57" s="960">
        <v>22.98</v>
      </c>
      <c r="AH57" s="961">
        <v>7.5010000000000003</v>
      </c>
      <c r="AI57" s="962"/>
    </row>
    <row r="58" spans="1:35" s="19" customFormat="1" ht="12.75" x14ac:dyDescent="0.2">
      <c r="A58" s="949" t="str">
        <f t="shared" si="11"/>
        <v>Arbre 1</v>
      </c>
      <c r="B58" s="1080">
        <v>1</v>
      </c>
      <c r="C58" s="950">
        <f t="shared" ref="C58:M58" si="33">$L22+C$55*Rapous</f>
        <v>5.6528858523005869</v>
      </c>
      <c r="D58" s="951">
        <f t="shared" si="33"/>
        <v>6.6528858523005869</v>
      </c>
      <c r="E58" s="951">
        <f t="shared" si="33"/>
        <v>7.6528858523005869</v>
      </c>
      <c r="F58" s="951">
        <f t="shared" si="33"/>
        <v>8.6528858523005869</v>
      </c>
      <c r="G58" s="952">
        <f t="shared" si="33"/>
        <v>9.6528858523005869</v>
      </c>
      <c r="H58" s="953">
        <f t="shared" si="33"/>
        <v>10.652885852300587</v>
      </c>
      <c r="I58" s="950">
        <f t="shared" si="33"/>
        <v>11.652885852300587</v>
      </c>
      <c r="J58" s="951">
        <f t="shared" si="33"/>
        <v>12.652885852300587</v>
      </c>
      <c r="K58" s="951">
        <f t="shared" si="33"/>
        <v>13.652885852300587</v>
      </c>
      <c r="L58" s="951">
        <f t="shared" si="33"/>
        <v>14.652885852300587</v>
      </c>
      <c r="M58" s="952">
        <f t="shared" si="33"/>
        <v>15.652885852300587</v>
      </c>
      <c r="N58" s="702">
        <f t="shared" si="13"/>
        <v>24.888230150012831</v>
      </c>
      <c r="O58" s="954" t="str">
        <f t="shared" si="14"/>
        <v>Arbre 1</v>
      </c>
      <c r="P58" s="692">
        <f t="shared" si="15"/>
        <v>-60.963284061288988</v>
      </c>
      <c r="Q58" s="955">
        <f t="shared" si="16"/>
        <v>5.1723250398043916</v>
      </c>
      <c r="R58" s="956">
        <f t="shared" si="17"/>
        <v>7.446335902207613</v>
      </c>
      <c r="S58" s="956">
        <f t="shared" si="18"/>
        <v>9.6970088848450615</v>
      </c>
      <c r="T58" s="956">
        <f t="shared" si="19"/>
        <v>11.917882104652698</v>
      </c>
      <c r="U58" s="933">
        <f t="shared" si="20"/>
        <v>14.103019823095277</v>
      </c>
      <c r="V58" s="957">
        <f t="shared" si="21"/>
        <v>16.247089411564339</v>
      </c>
      <c r="W58" s="955">
        <f t="shared" si="22"/>
        <v>18.345414649180142</v>
      </c>
      <c r="X58" s="956">
        <f t="shared" si="23"/>
        <v>20.39400540107885</v>
      </c>
      <c r="Y58" s="956">
        <f t="shared" si="24"/>
        <v>22.389565105693247</v>
      </c>
      <c r="Z58" s="956">
        <f t="shared" si="25"/>
        <v>24.329478568927637</v>
      </c>
      <c r="AA58" s="933">
        <f t="shared" si="26"/>
        <v>26.211783273462395</v>
      </c>
      <c r="AB58" s="962">
        <f t="shared" si="27"/>
        <v>23.792266508155762</v>
      </c>
      <c r="AC58" s="28" t="b">
        <f t="shared" si="28"/>
        <v>0</v>
      </c>
      <c r="AD58" s="958">
        <f t="shared" si="29"/>
        <v>7.6000000000000227</v>
      </c>
      <c r="AE58" s="958">
        <f t="shared" si="30"/>
        <v>16.524989393855812</v>
      </c>
      <c r="AF58" s="959">
        <f t="shared" si="32"/>
        <v>0</v>
      </c>
      <c r="AG58" s="960">
        <v>23.38</v>
      </c>
      <c r="AH58" s="961">
        <v>7.5199999999999818</v>
      </c>
      <c r="AI58" s="962"/>
    </row>
    <row r="59" spans="1:35" s="19" customFormat="1" ht="12.75" x14ac:dyDescent="0.2">
      <c r="A59" s="949" t="str">
        <f t="shared" si="11"/>
        <v>Arbre 2</v>
      </c>
      <c r="B59" s="1080">
        <v>1</v>
      </c>
      <c r="C59" s="950">
        <f t="shared" ref="C59:M59" si="34">$L23+C$55*Rapous</f>
        <v>2.4327130792048948</v>
      </c>
      <c r="D59" s="951">
        <f t="shared" si="34"/>
        <v>3.4327130792048948</v>
      </c>
      <c r="E59" s="951">
        <f t="shared" si="34"/>
        <v>4.4327130792048948</v>
      </c>
      <c r="F59" s="951">
        <f t="shared" si="34"/>
        <v>5.4327130792048948</v>
      </c>
      <c r="G59" s="952">
        <f t="shared" si="34"/>
        <v>6.4327130792048948</v>
      </c>
      <c r="H59" s="953">
        <f t="shared" si="34"/>
        <v>7.4327130792048948</v>
      </c>
      <c r="I59" s="950">
        <f t="shared" si="34"/>
        <v>8.4327130792048948</v>
      </c>
      <c r="J59" s="951">
        <f t="shared" si="34"/>
        <v>9.4327130792048948</v>
      </c>
      <c r="K59" s="951">
        <f t="shared" si="34"/>
        <v>10.432713079204895</v>
      </c>
      <c r="L59" s="951">
        <f t="shared" si="34"/>
        <v>11.432713079204895</v>
      </c>
      <c r="M59" s="952">
        <f t="shared" si="34"/>
        <v>12.432713079204895</v>
      </c>
      <c r="N59" s="702">
        <f t="shared" si="13"/>
        <v>23.08107449838559</v>
      </c>
      <c r="O59" s="954" t="str">
        <f t="shared" si="14"/>
        <v>Arbre 2</v>
      </c>
      <c r="P59" s="692">
        <f t="shared" si="15"/>
        <v>-44.438294667433176</v>
      </c>
      <c r="Q59" s="955">
        <f t="shared" si="16"/>
        <v>-2.3997603201254507</v>
      </c>
      <c r="R59" s="956">
        <f t="shared" si="17"/>
        <v>8.1205929924177064E-2</v>
      </c>
      <c r="S59" s="956">
        <f t="shared" si="18"/>
        <v>2.5618678884927464</v>
      </c>
      <c r="T59" s="956">
        <f t="shared" si="19"/>
        <v>5.0329619268966947</v>
      </c>
      <c r="U59" s="933">
        <f t="shared" si="20"/>
        <v>7.4854370641780683</v>
      </c>
      <c r="V59" s="957">
        <f t="shared" si="21"/>
        <v>9.910649135193637</v>
      </c>
      <c r="W59" s="955">
        <f t="shared" si="22"/>
        <v>12.300533161076734</v>
      </c>
      <c r="X59" s="956">
        <f t="shared" si="23"/>
        <v>14.647745932185986</v>
      </c>
      <c r="Y59" s="956">
        <f t="shared" si="24"/>
        <v>16.945773571114444</v>
      </c>
      <c r="Z59" s="956">
        <f t="shared" si="25"/>
        <v>19.189001833304488</v>
      </c>
      <c r="AA59" s="933">
        <f t="shared" si="26"/>
        <v>21.372749742849127</v>
      </c>
      <c r="AB59" s="962">
        <f t="shared" si="27"/>
        <v>20.2855735222616</v>
      </c>
      <c r="AC59" s="28" t="b">
        <f t="shared" si="28"/>
        <v>0</v>
      </c>
      <c r="AD59" s="958">
        <f t="shared" si="29"/>
        <v>7.5010000000000003</v>
      </c>
      <c r="AE59" s="958">
        <f t="shared" si="30"/>
        <v>14.638055146640635</v>
      </c>
      <c r="AF59" s="959">
        <f t="shared" si="32"/>
        <v>0</v>
      </c>
      <c r="AG59" s="960">
        <v>24.23</v>
      </c>
      <c r="AH59" s="961">
        <v>7.6000000000000227</v>
      </c>
      <c r="AI59" s="962"/>
    </row>
    <row r="60" spans="1:35" s="19" customFormat="1" ht="12.75" x14ac:dyDescent="0.2">
      <c r="A60" s="949" t="str">
        <f t="shared" si="11"/>
        <v>Arbre 3</v>
      </c>
      <c r="B60" s="1080">
        <v>1</v>
      </c>
      <c r="C60" s="950">
        <f t="shared" ref="C60:M60" si="35">$L24+C$55*Rapous</f>
        <v>2.3402460463110648</v>
      </c>
      <c r="D60" s="951">
        <f t="shared" si="35"/>
        <v>3.3402460463110648</v>
      </c>
      <c r="E60" s="951">
        <f t="shared" si="35"/>
        <v>4.3402460463110648</v>
      </c>
      <c r="F60" s="951">
        <f t="shared" si="35"/>
        <v>5.3402460463110648</v>
      </c>
      <c r="G60" s="952">
        <f t="shared" si="35"/>
        <v>6.3402460463110648</v>
      </c>
      <c r="H60" s="953">
        <f t="shared" si="35"/>
        <v>7.3402460463110648</v>
      </c>
      <c r="I60" s="950">
        <f t="shared" si="35"/>
        <v>8.3402460463110657</v>
      </c>
      <c r="J60" s="951">
        <f t="shared" si="35"/>
        <v>9.3402460463110657</v>
      </c>
      <c r="K60" s="951">
        <f t="shared" si="35"/>
        <v>10.340246046311066</v>
      </c>
      <c r="L60" s="951">
        <f t="shared" si="35"/>
        <v>11.340246046311066</v>
      </c>
      <c r="M60" s="952">
        <f t="shared" si="35"/>
        <v>12.340246046311066</v>
      </c>
      <c r="N60" s="702">
        <f t="shared" si="13"/>
        <v>25.675202043995569</v>
      </c>
      <c r="O60" s="954" t="str">
        <f t="shared" si="14"/>
        <v>Arbre 3</v>
      </c>
      <c r="P60" s="692">
        <f t="shared" si="15"/>
        <v>-29.800239520792541</v>
      </c>
      <c r="Q60" s="955">
        <f t="shared" si="16"/>
        <v>-2.3635639657481327</v>
      </c>
      <c r="R60" s="956">
        <f t="shared" si="17"/>
        <v>-0.13334435182003923</v>
      </c>
      <c r="S60" s="956">
        <f t="shared" si="18"/>
        <v>2.0972792000658704</v>
      </c>
      <c r="T60" s="956">
        <f t="shared" si="19"/>
        <v>4.321563576100707</v>
      </c>
      <c r="U60" s="933">
        <f t="shared" si="20"/>
        <v>6.532879905186042</v>
      </c>
      <c r="V60" s="957">
        <f t="shared" si="21"/>
        <v>8.724830010397973</v>
      </c>
      <c r="W60" s="955">
        <f t="shared" si="22"/>
        <v>10.891352752510764</v>
      </c>
      <c r="X60" s="956">
        <f t="shared" si="23"/>
        <v>13.026816069678523</v>
      </c>
      <c r="Y60" s="956">
        <f t="shared" si="24"/>
        <v>15.126091619142516</v>
      </c>
      <c r="Z60" s="956">
        <f t="shared" si="25"/>
        <v>17.184610186014162</v>
      </c>
      <c r="AA60" s="933">
        <f t="shared" si="26"/>
        <v>19.198397301674074</v>
      </c>
      <c r="AB60" s="962">
        <f t="shared" si="27"/>
        <v>18.635821088948269</v>
      </c>
      <c r="AC60" s="28" t="b">
        <f t="shared" si="28"/>
        <v>0</v>
      </c>
      <c r="AD60" s="958">
        <f t="shared" si="29"/>
        <v>7.5010000000000003</v>
      </c>
      <c r="AE60" s="958">
        <f t="shared" si="30"/>
        <v>12.931072444127285</v>
      </c>
      <c r="AF60" s="959">
        <f t="shared" si="32"/>
        <v>0</v>
      </c>
      <c r="AG60" s="960">
        <v>25.31</v>
      </c>
      <c r="AH60" s="961">
        <v>7.7300000000000182</v>
      </c>
      <c r="AI60" s="962"/>
    </row>
    <row r="61" spans="1:35" s="19" customFormat="1" ht="12.75" x14ac:dyDescent="0.2">
      <c r="A61" s="949" t="str">
        <f t="shared" si="11"/>
        <v>Arbre 4</v>
      </c>
      <c r="B61" s="1080">
        <v>1</v>
      </c>
      <c r="C61" s="950">
        <f t="shared" ref="C61:M61" si="36">$L25+C$55*Rapous</f>
        <v>2.4639710654772466</v>
      </c>
      <c r="D61" s="951">
        <f t="shared" si="36"/>
        <v>3.4639710654772466</v>
      </c>
      <c r="E61" s="951">
        <f t="shared" si="36"/>
        <v>4.4639710654772466</v>
      </c>
      <c r="F61" s="951">
        <f t="shared" si="36"/>
        <v>5.4639710654772466</v>
      </c>
      <c r="G61" s="952">
        <f t="shared" si="36"/>
        <v>6.4639710654772466</v>
      </c>
      <c r="H61" s="953">
        <f t="shared" si="36"/>
        <v>7.4639710654772466</v>
      </c>
      <c r="I61" s="950">
        <f t="shared" si="36"/>
        <v>8.4639710654772458</v>
      </c>
      <c r="J61" s="951">
        <f t="shared" si="36"/>
        <v>9.4639710654772458</v>
      </c>
      <c r="K61" s="951">
        <f t="shared" si="36"/>
        <v>10.463971065477246</v>
      </c>
      <c r="L61" s="951">
        <f t="shared" si="36"/>
        <v>11.463971065477246</v>
      </c>
      <c r="M61" s="952">
        <f t="shared" si="36"/>
        <v>12.463971065477246</v>
      </c>
      <c r="N61" s="702">
        <f t="shared" si="13"/>
        <v>27.775168766364004</v>
      </c>
      <c r="O61" s="954" t="str">
        <f t="shared" si="14"/>
        <v>Arbre 4</v>
      </c>
      <c r="P61" s="692">
        <f t="shared" si="15"/>
        <v>-16.869167076665256</v>
      </c>
      <c r="Q61" s="955">
        <f t="shared" si="16"/>
        <v>-1.9301491534332882</v>
      </c>
      <c r="R61" s="956">
        <f t="shared" si="17"/>
        <v>0.131961955396285</v>
      </c>
      <c r="S61" s="956">
        <f t="shared" si="18"/>
        <v>2.1937314004725432</v>
      </c>
      <c r="T61" s="956">
        <f t="shared" si="19"/>
        <v>4.2498348193219293</v>
      </c>
      <c r="U61" s="933">
        <f t="shared" si="20"/>
        <v>6.295035147479199</v>
      </c>
      <c r="V61" s="957">
        <f t="shared" si="21"/>
        <v>8.3242612947347165</v>
      </c>
      <c r="W61" s="955">
        <f t="shared" si="22"/>
        <v>10.33268059042916</v>
      </c>
      <c r="X61" s="956">
        <f t="shared" si="23"/>
        <v>12.315762531244086</v>
      </c>
      <c r="Y61" s="956">
        <f t="shared" si="24"/>
        <v>14.269331942340251</v>
      </c>
      <c r="Z61" s="956">
        <f t="shared" si="25"/>
        <v>16.189610327926914</v>
      </c>
      <c r="AA61" s="933">
        <f t="shared" si="26"/>
        <v>18.073244876222464</v>
      </c>
      <c r="AB61" s="962">
        <f t="shared" si="27"/>
        <v>19.794571935268827</v>
      </c>
      <c r="AC61" s="28" t="b">
        <f t="shared" si="28"/>
        <v>0</v>
      </c>
      <c r="AD61" s="958">
        <f t="shared" si="29"/>
        <v>7.5010000000000003</v>
      </c>
      <c r="AE61" s="958">
        <f t="shared" si="30"/>
        <v>18.124451402115852</v>
      </c>
      <c r="AF61" s="959">
        <f t="shared" si="32"/>
        <v>0</v>
      </c>
      <c r="AG61" s="960">
        <v>26.83</v>
      </c>
      <c r="AH61" s="961">
        <v>7.9000000000000057</v>
      </c>
      <c r="AI61" s="962"/>
    </row>
    <row r="62" spans="1:35" s="19" customFormat="1" ht="12.75" x14ac:dyDescent="0.2">
      <c r="A62" s="949" t="str">
        <f t="shared" si="11"/>
        <v>Arbre 5</v>
      </c>
      <c r="B62" s="1080">
        <v>1</v>
      </c>
      <c r="C62" s="950">
        <f t="shared" ref="C62:M62" si="37">$L26+C$55*Rapous</f>
        <v>1.3180598788468743</v>
      </c>
      <c r="D62" s="951">
        <f t="shared" si="37"/>
        <v>2.3180598788468743</v>
      </c>
      <c r="E62" s="951">
        <f t="shared" si="37"/>
        <v>3.3180598788468743</v>
      </c>
      <c r="F62" s="951">
        <f t="shared" si="37"/>
        <v>4.3180598788468743</v>
      </c>
      <c r="G62" s="952">
        <f t="shared" si="37"/>
        <v>5.3180598788468743</v>
      </c>
      <c r="H62" s="953">
        <f t="shared" si="37"/>
        <v>6.3180598788468743</v>
      </c>
      <c r="I62" s="950">
        <f t="shared" si="37"/>
        <v>7.3180598788468743</v>
      </c>
      <c r="J62" s="951">
        <f t="shared" si="37"/>
        <v>8.3180598788468743</v>
      </c>
      <c r="K62" s="951">
        <f t="shared" si="37"/>
        <v>9.3180598788468743</v>
      </c>
      <c r="L62" s="951">
        <f t="shared" si="37"/>
        <v>10.318059878846874</v>
      </c>
      <c r="M62" s="952">
        <f t="shared" si="37"/>
        <v>11.318059878846874</v>
      </c>
      <c r="N62" s="702">
        <f t="shared" si="13"/>
        <v>20.084820138602108</v>
      </c>
      <c r="O62" s="954" t="str">
        <f t="shared" si="14"/>
        <v>Arbre 5</v>
      </c>
      <c r="P62" s="692">
        <f t="shared" si="15"/>
        <v>1.2552843254505974</v>
      </c>
      <c r="Q62" s="955">
        <f t="shared" si="16"/>
        <v>-5.9179956014372168</v>
      </c>
      <c r="R62" s="956">
        <f t="shared" si="17"/>
        <v>-3.0834602707319512</v>
      </c>
      <c r="S62" s="956">
        <f t="shared" si="18"/>
        <v>-0.23374852430203569</v>
      </c>
      <c r="T62" s="956">
        <f t="shared" si="19"/>
        <v>2.6171192165348889</v>
      </c>
      <c r="U62" s="933">
        <f t="shared" si="20"/>
        <v>5.4550884822265306</v>
      </c>
      <c r="V62" s="957">
        <f t="shared" si="21"/>
        <v>8.2664823916859849</v>
      </c>
      <c r="W62" s="955">
        <f t="shared" si="22"/>
        <v>11.038386061378324</v>
      </c>
      <c r="X62" s="956">
        <f t="shared" si="23"/>
        <v>13.758977677407088</v>
      </c>
      <c r="Y62" s="956">
        <f t="shared" si="24"/>
        <v>16.417786896589224</v>
      </c>
      <c r="Z62" s="956">
        <f t="shared" si="25"/>
        <v>19.005869859120217</v>
      </c>
      <c r="AA62" s="933">
        <f t="shared" si="26"/>
        <v>21.515898994315194</v>
      </c>
      <c r="AB62" s="962">
        <f t="shared" si="27"/>
        <v>19.125651277220619</v>
      </c>
      <c r="AC62" s="28" t="b">
        <f t="shared" si="28"/>
        <v>0</v>
      </c>
      <c r="AD62" s="958">
        <f t="shared" si="29"/>
        <v>7.5010000000000003</v>
      </c>
      <c r="AE62" s="958">
        <f t="shared" si="30"/>
        <v>10.343047287622081</v>
      </c>
      <c r="AF62" s="959">
        <f t="shared" si="32"/>
        <v>0</v>
      </c>
      <c r="AG62" s="960">
        <v>28.54</v>
      </c>
      <c r="AH62" s="961">
        <v>8.1200000000000045</v>
      </c>
      <c r="AI62" s="962"/>
    </row>
    <row r="63" spans="1:35" s="19" customFormat="1" ht="12.75" x14ac:dyDescent="0.2">
      <c r="A63" s="949" t="str">
        <f t="shared" si="11"/>
        <v>Arbre 6</v>
      </c>
      <c r="B63" s="1080">
        <v>1</v>
      </c>
      <c r="C63" s="950">
        <f t="shared" ref="C63:M63" si="38">$L27+C$55*Rapous</f>
        <v>1.8351433372895833</v>
      </c>
      <c r="D63" s="951">
        <f t="shared" si="38"/>
        <v>2.8351433372895833</v>
      </c>
      <c r="E63" s="951">
        <f t="shared" si="38"/>
        <v>3.8351433372895833</v>
      </c>
      <c r="F63" s="951">
        <f t="shared" si="38"/>
        <v>4.8351433372895833</v>
      </c>
      <c r="G63" s="952">
        <f t="shared" si="38"/>
        <v>5.8351433372895833</v>
      </c>
      <c r="H63" s="953">
        <f t="shared" si="38"/>
        <v>6.8351433372895833</v>
      </c>
      <c r="I63" s="950">
        <f t="shared" si="38"/>
        <v>7.8351433372895833</v>
      </c>
      <c r="J63" s="951">
        <f t="shared" si="38"/>
        <v>8.8351433372895833</v>
      </c>
      <c r="K63" s="951">
        <f t="shared" si="38"/>
        <v>9.8351433372895833</v>
      </c>
      <c r="L63" s="951">
        <f t="shared" si="38"/>
        <v>10.835143337289583</v>
      </c>
      <c r="M63" s="952">
        <f t="shared" si="38"/>
        <v>11.835143337289583</v>
      </c>
      <c r="N63" s="702">
        <f t="shared" si="13"/>
        <v>28.052807346146743</v>
      </c>
      <c r="O63" s="954" t="str">
        <f t="shared" si="14"/>
        <v>Arbre 6</v>
      </c>
      <c r="P63" s="692">
        <f t="shared" si="15"/>
        <v>11.598331613072679</v>
      </c>
      <c r="Q63" s="955">
        <f t="shared" si="16"/>
        <v>-3.1927948141189955</v>
      </c>
      <c r="R63" s="956">
        <f t="shared" si="17"/>
        <v>-1.1535219852173411</v>
      </c>
      <c r="S63" s="956">
        <f t="shared" si="18"/>
        <v>0.88867674022587639</v>
      </c>
      <c r="T63" s="956">
        <f t="shared" si="19"/>
        <v>2.928620728637219</v>
      </c>
      <c r="U63" s="933">
        <f t="shared" si="20"/>
        <v>4.9611635295562815</v>
      </c>
      <c r="V63" s="957">
        <f t="shared" si="21"/>
        <v>6.9812701082195465</v>
      </c>
      <c r="W63" s="955">
        <f t="shared" si="22"/>
        <v>8.9840899255086253</v>
      </c>
      <c r="X63" s="956">
        <f t="shared" si="23"/>
        <v>10.965023285127069</v>
      </c>
      <c r="Y63" s="956">
        <f t="shared" si="24"/>
        <v>12.91977881803737</v>
      </c>
      <c r="Z63" s="956">
        <f t="shared" si="25"/>
        <v>14.844420541712349</v>
      </c>
      <c r="AA63" s="933">
        <f t="shared" si="26"/>
        <v>16.735403560126045</v>
      </c>
      <c r="AB63" s="962">
        <f t="shared" si="27"/>
        <v>31.393443099474414</v>
      </c>
      <c r="AC63" s="28" t="b">
        <f t="shared" si="28"/>
        <v>0</v>
      </c>
      <c r="AD63" s="958">
        <f t="shared" si="29"/>
        <v>8.660000000000025</v>
      </c>
      <c r="AE63" s="958">
        <f t="shared" si="30"/>
        <v>20.600120724613149</v>
      </c>
      <c r="AF63" s="959">
        <f t="shared" si="32"/>
        <v>0</v>
      </c>
      <c r="AG63" s="960">
        <v>30.6</v>
      </c>
      <c r="AH63" s="961">
        <v>8.3700000000000045</v>
      </c>
      <c r="AI63" s="962"/>
    </row>
    <row r="64" spans="1:35" s="19" customFormat="1" ht="12.75" x14ac:dyDescent="0.2">
      <c r="A64" s="949" t="str">
        <f t="shared" si="11"/>
        <v>Arbre 7G</v>
      </c>
      <c r="B64" s="1080">
        <v>1</v>
      </c>
      <c r="C64" s="950">
        <f t="shared" ref="C64:M64" si="39">$L28+C$55*Rapous</f>
        <v>7.105935491353323</v>
      </c>
      <c r="D64" s="951">
        <f t="shared" si="39"/>
        <v>8.105935491353323</v>
      </c>
      <c r="E64" s="951">
        <f t="shared" si="39"/>
        <v>9.105935491353323</v>
      </c>
      <c r="F64" s="951">
        <f t="shared" si="39"/>
        <v>10.105935491353323</v>
      </c>
      <c r="G64" s="952">
        <f t="shared" si="39"/>
        <v>11.105935491353323</v>
      </c>
      <c r="H64" s="953">
        <f t="shared" si="39"/>
        <v>12.105935491353323</v>
      </c>
      <c r="I64" s="950">
        <f t="shared" si="39"/>
        <v>13.105935491353323</v>
      </c>
      <c r="J64" s="951">
        <f t="shared" si="39"/>
        <v>14.105935491353323</v>
      </c>
      <c r="K64" s="951">
        <f t="shared" si="39"/>
        <v>15.105935491353323</v>
      </c>
      <c r="L64" s="951">
        <f t="shared" si="39"/>
        <v>16.105935491353321</v>
      </c>
      <c r="M64" s="952">
        <f t="shared" si="39"/>
        <v>17.105935491353321</v>
      </c>
      <c r="N64" s="702">
        <f t="shared" si="13"/>
        <v>13.211888585664276</v>
      </c>
      <c r="O64" s="954" t="str">
        <f t="shared" si="14"/>
        <v>Arbre 7G</v>
      </c>
      <c r="P64" s="692">
        <f t="shared" si="15"/>
        <v>32.198452337685829</v>
      </c>
      <c r="Q64" s="955">
        <f t="shared" si="16"/>
        <v>15.668811174107617</v>
      </c>
      <c r="R64" s="956">
        <f t="shared" si="17"/>
        <v>19.605363290211631</v>
      </c>
      <c r="S64" s="956">
        <f t="shared" si="18"/>
        <v>23.35849541397349</v>
      </c>
      <c r="T64" s="956">
        <f t="shared" si="19"/>
        <v>26.910904106094108</v>
      </c>
      <c r="U64" s="933">
        <f t="shared" si="20"/>
        <v>30.25320295978047</v>
      </c>
      <c r="V64" s="957">
        <f t="shared" si="21"/>
        <v>33.382768341594378</v>
      </c>
      <c r="W64" s="955">
        <f t="shared" si="22"/>
        <v>36.302361742640819</v>
      </c>
      <c r="X64" s="956">
        <f t="shared" si="23"/>
        <v>39.018745810023084</v>
      </c>
      <c r="Y64" s="956">
        <f t="shared" si="24"/>
        <v>41.541434311505157</v>
      </c>
      <c r="Z64" s="956">
        <f t="shared" si="25"/>
        <v>43.881646265659043</v>
      </c>
      <c r="AA64" s="933">
        <f t="shared" si="26"/>
        <v>46.051482638822783</v>
      </c>
      <c r="AB64" s="962">
        <f t="shared" si="27"/>
        <v>45.566400019325755</v>
      </c>
      <c r="AC64" s="28" t="b">
        <f t="shared" si="28"/>
        <v>0</v>
      </c>
      <c r="AD64" s="958">
        <f t="shared" si="29"/>
        <v>10.759999999999991</v>
      </c>
      <c r="AE64" s="958">
        <f t="shared" si="30"/>
        <v>10.904244625157808</v>
      </c>
      <c r="AF64" s="959">
        <f t="shared" si="32"/>
        <v>0</v>
      </c>
      <c r="AG64" s="960">
        <v>32.76</v>
      </c>
      <c r="AH64" s="961">
        <v>8.660000000000025</v>
      </c>
      <c r="AI64" s="962"/>
    </row>
    <row r="65" spans="1:36" s="19" customFormat="1" ht="12.75" x14ac:dyDescent="0.2">
      <c r="A65" s="949" t="str">
        <f t="shared" si="11"/>
        <v>Arbre 7D</v>
      </c>
      <c r="B65" s="1080">
        <v>1</v>
      </c>
      <c r="C65" s="950">
        <f t="shared" ref="C65:M65" si="40">$L29+C$55*Rapous</f>
        <v>7.1076508053221659</v>
      </c>
      <c r="D65" s="951">
        <f t="shared" si="40"/>
        <v>8.1076508053221659</v>
      </c>
      <c r="E65" s="951">
        <f t="shared" si="40"/>
        <v>9.1076508053221659</v>
      </c>
      <c r="F65" s="951">
        <f t="shared" si="40"/>
        <v>10.107650805322166</v>
      </c>
      <c r="G65" s="952">
        <f t="shared" si="40"/>
        <v>11.107650805322166</v>
      </c>
      <c r="H65" s="953">
        <f t="shared" si="40"/>
        <v>12.107650805322166</v>
      </c>
      <c r="I65" s="950">
        <f t="shared" si="40"/>
        <v>13.107650805322166</v>
      </c>
      <c r="J65" s="951">
        <f t="shared" si="40"/>
        <v>14.107650805322166</v>
      </c>
      <c r="K65" s="951">
        <f t="shared" si="40"/>
        <v>15.107650805322166</v>
      </c>
      <c r="L65" s="951">
        <f t="shared" si="40"/>
        <v>16.107650805322166</v>
      </c>
      <c r="M65" s="952">
        <f t="shared" si="40"/>
        <v>17.107650805322166</v>
      </c>
      <c r="N65" s="702">
        <f t="shared" si="13"/>
        <v>13.668796581996663</v>
      </c>
      <c r="O65" s="954" t="str">
        <f t="shared" si="14"/>
        <v>Arbre 7D</v>
      </c>
      <c r="P65" s="692">
        <f t="shared" si="15"/>
        <v>43.102696962843638</v>
      </c>
      <c r="Q65" s="955">
        <f t="shared" si="16"/>
        <v>15.17626741264084</v>
      </c>
      <c r="R65" s="956">
        <f t="shared" si="17"/>
        <v>19.004147173793513</v>
      </c>
      <c r="S65" s="956">
        <f t="shared" si="18"/>
        <v>22.663849574748529</v>
      </c>
      <c r="T65" s="956">
        <f t="shared" si="19"/>
        <v>26.138444641385725</v>
      </c>
      <c r="U65" s="933">
        <f t="shared" si="20"/>
        <v>29.418067350897765</v>
      </c>
      <c r="V65" s="957">
        <f t="shared" si="21"/>
        <v>32.499007118819094</v>
      </c>
      <c r="W65" s="955">
        <f t="shared" si="22"/>
        <v>35.38256888447485</v>
      </c>
      <c r="X65" s="956">
        <f t="shared" si="23"/>
        <v>38.073890608786868</v>
      </c>
      <c r="Y65" s="956">
        <f t="shared" si="24"/>
        <v>40.580844284644598</v>
      </c>
      <c r="Z65" s="956">
        <f t="shared" si="25"/>
        <v>42.91309115494775</v>
      </c>
      <c r="AA65" s="933">
        <f t="shared" si="26"/>
        <v>45.081317399828727</v>
      </c>
      <c r="AB65" s="962">
        <f t="shared" si="27"/>
        <v>34.05695558602477</v>
      </c>
      <c r="AC65" s="28" t="b">
        <f t="shared" si="28"/>
        <v>0</v>
      </c>
      <c r="AD65" s="958">
        <f t="shared" si="29"/>
        <v>9</v>
      </c>
      <c r="AE65" s="958">
        <f t="shared" si="30"/>
        <v>7.2923273191037197</v>
      </c>
      <c r="AF65" s="959">
        <f t="shared" si="32"/>
        <v>0</v>
      </c>
      <c r="AG65" s="960">
        <v>35.270000000000003</v>
      </c>
      <c r="AH65" s="961">
        <v>9</v>
      </c>
      <c r="AI65" s="962"/>
    </row>
    <row r="66" spans="1:36" s="19" customFormat="1" ht="12.75" x14ac:dyDescent="0.2">
      <c r="A66" s="949" t="str">
        <f t="shared" si="11"/>
        <v>Arbre 9D</v>
      </c>
      <c r="B66" s="1080">
        <v>1</v>
      </c>
      <c r="C66" s="950">
        <f t="shared" ref="C66:M66" si="41">$L30+C$55*Rapous</f>
        <v>9.259018656368017</v>
      </c>
      <c r="D66" s="951">
        <f t="shared" si="41"/>
        <v>10.259018656368017</v>
      </c>
      <c r="E66" s="951">
        <f t="shared" si="41"/>
        <v>11.259018656368017</v>
      </c>
      <c r="F66" s="951">
        <f t="shared" si="41"/>
        <v>12.259018656368017</v>
      </c>
      <c r="G66" s="952">
        <f t="shared" si="41"/>
        <v>13.259018656368017</v>
      </c>
      <c r="H66" s="953">
        <f t="shared" si="41"/>
        <v>14.259018656368017</v>
      </c>
      <c r="I66" s="950">
        <f t="shared" si="41"/>
        <v>15.259018656368017</v>
      </c>
      <c r="J66" s="951">
        <f t="shared" si="41"/>
        <v>16.259018656368017</v>
      </c>
      <c r="K66" s="951">
        <f t="shared" si="41"/>
        <v>17.259018656368017</v>
      </c>
      <c r="L66" s="951">
        <f t="shared" si="41"/>
        <v>18.259018656368017</v>
      </c>
      <c r="M66" s="952">
        <f t="shared" si="41"/>
        <v>19.259018656368017</v>
      </c>
      <c r="N66" s="702">
        <f t="shared" si="13"/>
        <v>37.302493214260828</v>
      </c>
      <c r="O66" s="954" t="str">
        <f t="shared" si="14"/>
        <v>Arbre 9D</v>
      </c>
      <c r="P66" s="692">
        <f t="shared" si="15"/>
        <v>52.102696962843638</v>
      </c>
      <c r="Q66" s="955">
        <f t="shared" si="16"/>
        <v>8.9263904013394715</v>
      </c>
      <c r="R66" s="956">
        <f t="shared" si="17"/>
        <v>10.418914685720289</v>
      </c>
      <c r="S66" s="956">
        <f t="shared" si="18"/>
        <v>11.897279816274791</v>
      </c>
      <c r="T66" s="956">
        <f t="shared" si="19"/>
        <v>13.359748112467502</v>
      </c>
      <c r="U66" s="933">
        <f t="shared" si="20"/>
        <v>14.804701725105724</v>
      </c>
      <c r="V66" s="957">
        <f t="shared" si="21"/>
        <v>16.230650241209151</v>
      </c>
      <c r="W66" s="955">
        <f t="shared" si="22"/>
        <v>17.63623617081015</v>
      </c>
      <c r="X66" s="956">
        <f t="shared" si="23"/>
        <v>19.020238363045639</v>
      </c>
      <c r="Y66" s="956">
        <f t="shared" si="24"/>
        <v>20.381573450102309</v>
      </c>
      <c r="Z66" s="956">
        <f t="shared" si="25"/>
        <v>21.719295460020348</v>
      </c>
      <c r="AA66" s="933">
        <f t="shared" si="26"/>
        <v>23.032593772220821</v>
      </c>
      <c r="AB66" s="962">
        <f t="shared" si="27"/>
        <v>16.65233305210031</v>
      </c>
      <c r="AC66" s="28" t="b">
        <f t="shared" si="28"/>
        <v>0</v>
      </c>
      <c r="AD66" s="958">
        <f t="shared" si="29"/>
        <v>7.5010000000000003</v>
      </c>
      <c r="AE66" s="958">
        <f t="shared" si="30"/>
        <v>16.086483675206935</v>
      </c>
      <c r="AF66" s="959">
        <f t="shared" si="32"/>
        <v>1.7076726808962803</v>
      </c>
      <c r="AG66" s="960">
        <v>37.65</v>
      </c>
      <c r="AH66" s="961">
        <v>9.3500000000000227</v>
      </c>
      <c r="AI66" s="962"/>
    </row>
    <row r="67" spans="1:36" s="19" customFormat="1" ht="12.75" x14ac:dyDescent="0.2">
      <c r="A67" s="949" t="str">
        <f t="shared" si="11"/>
        <v>Arbre 10C</v>
      </c>
      <c r="B67" s="1080">
        <v>1</v>
      </c>
      <c r="C67" s="950">
        <f t="shared" ref="C67:M67" si="42">$L31+C$55*Rapous</f>
        <v>-1.6134049848266372</v>
      </c>
      <c r="D67" s="951">
        <f t="shared" si="42"/>
        <v>-0.61340498482663719</v>
      </c>
      <c r="E67" s="951">
        <f t="shared" si="42"/>
        <v>0.38659501517336281</v>
      </c>
      <c r="F67" s="951">
        <f t="shared" si="42"/>
        <v>1.3865950151733628</v>
      </c>
      <c r="G67" s="952">
        <f t="shared" si="42"/>
        <v>2.3865950151733628</v>
      </c>
      <c r="H67" s="953">
        <f t="shared" si="42"/>
        <v>3.3865950151733628</v>
      </c>
      <c r="I67" s="950">
        <f t="shared" si="42"/>
        <v>4.3865950151733628</v>
      </c>
      <c r="J67" s="951">
        <f t="shared" si="42"/>
        <v>5.3865950151733628</v>
      </c>
      <c r="K67" s="951">
        <f t="shared" si="42"/>
        <v>6.3865950151733628</v>
      </c>
      <c r="L67" s="951">
        <f t="shared" si="42"/>
        <v>7.3865950151733628</v>
      </c>
      <c r="M67" s="952">
        <f t="shared" si="42"/>
        <v>8.3865950151733628</v>
      </c>
      <c r="N67" s="702">
        <f t="shared" si="13"/>
        <v>27.515691886630588</v>
      </c>
      <c r="O67" s="954" t="str">
        <f t="shared" si="14"/>
        <v>Arbre 10C</v>
      </c>
      <c r="P67" s="692">
        <f t="shared" si="15"/>
        <v>66.481507957154292</v>
      </c>
      <c r="Q67" s="955">
        <f t="shared" si="16"/>
        <v>-10.326114117843131</v>
      </c>
      <c r="R67" s="956">
        <f t="shared" si="17"/>
        <v>-8.2985720499153697</v>
      </c>
      <c r="S67" s="956">
        <f t="shared" si="18"/>
        <v>-6.2498901695156466</v>
      </c>
      <c r="T67" s="956">
        <f t="shared" si="19"/>
        <v>-4.18504386887283</v>
      </c>
      <c r="U67" s="933">
        <f t="shared" si="20"/>
        <v>-2.1092544759006349</v>
      </c>
      <c r="V67" s="957">
        <f t="shared" si="21"/>
        <v>-2.7913126713465113E-2</v>
      </c>
      <c r="W67" s="955">
        <f t="shared" si="22"/>
        <v>2.0535018608485966</v>
      </c>
      <c r="X67" s="956">
        <f t="shared" si="23"/>
        <v>4.129511007935835</v>
      </c>
      <c r="Y67" s="956">
        <f t="shared" si="24"/>
        <v>6.1947197408685186</v>
      </c>
      <c r="Z67" s="956">
        <f t="shared" si="25"/>
        <v>8.2439011507095383</v>
      </c>
      <c r="AA67" s="933">
        <f t="shared" si="26"/>
        <v>10.272072331979796</v>
      </c>
      <c r="AB67" s="962">
        <f t="shared" si="27"/>
        <v>11.707921354429786</v>
      </c>
      <c r="AC67" s="28" t="b">
        <f t="shared" si="28"/>
        <v>0</v>
      </c>
      <c r="AD67" s="958">
        <f t="shared" si="29"/>
        <v>7.5010000000000003</v>
      </c>
      <c r="AE67" s="958">
        <f t="shared" si="30"/>
        <v>13.378683368756597</v>
      </c>
      <c r="AF67" s="959">
        <f t="shared" si="32"/>
        <v>0</v>
      </c>
      <c r="AG67" s="960">
        <v>40.520000000000003</v>
      </c>
      <c r="AH67" s="961">
        <v>9.789999999999992</v>
      </c>
      <c r="AI67" s="962"/>
    </row>
    <row r="68" spans="1:36" s="19" customFormat="1" ht="12.75" x14ac:dyDescent="0.2">
      <c r="A68" s="949" t="str">
        <f t="shared" si="11"/>
        <v>Arbre 10 D</v>
      </c>
      <c r="B68" s="1080">
        <v>1</v>
      </c>
      <c r="C68" s="950">
        <f t="shared" ref="C68:M68" si="43">$L32+C$55*Rapous</f>
        <v>-2.2494251623305672</v>
      </c>
      <c r="D68" s="951">
        <f t="shared" si="43"/>
        <v>-1.2494251623305672</v>
      </c>
      <c r="E68" s="951">
        <f t="shared" si="43"/>
        <v>-0.24942516233056722</v>
      </c>
      <c r="F68" s="951">
        <f t="shared" si="43"/>
        <v>0.75057483766943278</v>
      </c>
      <c r="G68" s="952">
        <f t="shared" si="43"/>
        <v>1.7505748376694328</v>
      </c>
      <c r="H68" s="953">
        <f t="shared" si="43"/>
        <v>2.7505748376694328</v>
      </c>
      <c r="I68" s="950">
        <f t="shared" si="43"/>
        <v>3.7505748376694328</v>
      </c>
      <c r="J68" s="951">
        <f t="shared" si="43"/>
        <v>4.7505748376694328</v>
      </c>
      <c r="K68" s="951">
        <f t="shared" si="43"/>
        <v>5.7505748376694328</v>
      </c>
      <c r="L68" s="951">
        <f t="shared" si="43"/>
        <v>6.7505748376694328</v>
      </c>
      <c r="M68" s="952">
        <f t="shared" si="43"/>
        <v>7.7505748376694328</v>
      </c>
      <c r="N68" s="702">
        <f t="shared" si="13"/>
        <v>18.630995679243419</v>
      </c>
      <c r="O68" s="954" t="str">
        <f t="shared" si="14"/>
        <v>Arbre 10 D</v>
      </c>
      <c r="P68" s="692">
        <f t="shared" si="15"/>
        <v>79.86019132591089</v>
      </c>
      <c r="Q68" s="955">
        <f t="shared" si="16"/>
        <v>-16.868732191520255</v>
      </c>
      <c r="R68" s="956">
        <f t="shared" si="17"/>
        <v>-14.012148703890349</v>
      </c>
      <c r="S68" s="956">
        <f t="shared" si="18"/>
        <v>-11.082731983078538</v>
      </c>
      <c r="T68" s="956">
        <f t="shared" si="19"/>
        <v>-8.093494611636407</v>
      </c>
      <c r="U68" s="933">
        <f t="shared" si="20"/>
        <v>-5.0592761265956439</v>
      </c>
      <c r="V68" s="957">
        <f t="shared" si="21"/>
        <v>-1.9963646824236045</v>
      </c>
      <c r="W68" s="955">
        <f t="shared" si="22"/>
        <v>1.0779932956460401</v>
      </c>
      <c r="X68" s="956">
        <f t="shared" si="23"/>
        <v>4.1461615729972294</v>
      </c>
      <c r="Y68" s="956">
        <f t="shared" si="24"/>
        <v>7.190715239396142</v>
      </c>
      <c r="Z68" s="956">
        <f t="shared" si="25"/>
        <v>10.195024066510008</v>
      </c>
      <c r="AA68" s="933">
        <f t="shared" si="26"/>
        <v>13.143770376879777</v>
      </c>
      <c r="AB68" s="962">
        <f t="shared" si="27"/>
        <v>14.996378563493138</v>
      </c>
      <c r="AC68" s="28" t="b">
        <f t="shared" si="28"/>
        <v>0</v>
      </c>
      <c r="AD68" s="958">
        <f t="shared" si="29"/>
        <v>7.5010000000000003</v>
      </c>
      <c r="AE68" s="958">
        <f t="shared" si="30"/>
        <v>6.7912138596317959</v>
      </c>
      <c r="AF68" s="959">
        <f t="shared" si="32"/>
        <v>0</v>
      </c>
      <c r="AG68" s="960">
        <v>42.91</v>
      </c>
      <c r="AH68" s="961">
        <v>10.22999999999999</v>
      </c>
      <c r="AI68" s="962"/>
    </row>
    <row r="69" spans="1:36" s="19" customFormat="1" ht="12.75" x14ac:dyDescent="0.2">
      <c r="A69" s="949" t="str">
        <f t="shared" si="11"/>
        <v>Arbre 10 DE</v>
      </c>
      <c r="B69" s="1080">
        <v>1</v>
      </c>
      <c r="C69" s="950">
        <f t="shared" ref="C69:M69" si="44">$L33+C$55*Rapous</f>
        <v>-2.0373314714702477</v>
      </c>
      <c r="D69" s="951">
        <f t="shared" si="44"/>
        <v>-1.0373314714702477</v>
      </c>
      <c r="E69" s="951">
        <f t="shared" si="44"/>
        <v>-3.7331471470247735E-2</v>
      </c>
      <c r="F69" s="951">
        <f t="shared" si="44"/>
        <v>0.96266852852975227</v>
      </c>
      <c r="G69" s="952">
        <f t="shared" si="44"/>
        <v>1.9626685285297523</v>
      </c>
      <c r="H69" s="953">
        <f t="shared" si="44"/>
        <v>2.9626685285297523</v>
      </c>
      <c r="I69" s="950">
        <f t="shared" si="44"/>
        <v>3.9626685285297523</v>
      </c>
      <c r="J69" s="951">
        <f t="shared" si="44"/>
        <v>4.9626685285297523</v>
      </c>
      <c r="K69" s="951">
        <f t="shared" si="44"/>
        <v>5.9626685285297523</v>
      </c>
      <c r="L69" s="951">
        <f t="shared" si="44"/>
        <v>6.9626685285297523</v>
      </c>
      <c r="M69" s="952">
        <f t="shared" si="44"/>
        <v>7.9626685285297523</v>
      </c>
      <c r="N69" s="702">
        <f t="shared" si="13"/>
        <v>15.065722684292284</v>
      </c>
      <c r="O69" s="954" t="str">
        <f t="shared" si="14"/>
        <v>Arbre 10 DE</v>
      </c>
      <c r="P69" s="692">
        <f t="shared" si="15"/>
        <v>87.361191325910895</v>
      </c>
      <c r="Q69" s="955">
        <f t="shared" si="16"/>
        <v>-19.844890597651503</v>
      </c>
      <c r="R69" s="956">
        <f t="shared" si="17"/>
        <v>-16.411367511499638</v>
      </c>
      <c r="S69" s="956">
        <f t="shared" si="18"/>
        <v>-12.852366176392488</v>
      </c>
      <c r="T69" s="956">
        <f t="shared" si="19"/>
        <v>-9.1896857766844064</v>
      </c>
      <c r="U69" s="933">
        <f t="shared" si="20"/>
        <v>-5.4497568476769516</v>
      </c>
      <c r="V69" s="957">
        <f t="shared" si="21"/>
        <v>-1.662728935994682</v>
      </c>
      <c r="W69" s="955">
        <f t="shared" si="22"/>
        <v>2.1388655511113539</v>
      </c>
      <c r="X69" s="956">
        <f t="shared" si="23"/>
        <v>5.9217392818715764</v>
      </c>
      <c r="Y69" s="956">
        <f t="shared" si="24"/>
        <v>9.6535735803300255</v>
      </c>
      <c r="Z69" s="956">
        <f t="shared" si="25"/>
        <v>13.304619561455773</v>
      </c>
      <c r="AA69" s="933">
        <f t="shared" si="26"/>
        <v>16.848986750106501</v>
      </c>
      <c r="AB69" s="962">
        <f t="shared" si="27"/>
        <v>7.5931289070559096</v>
      </c>
      <c r="AC69" s="28" t="b">
        <f t="shared" si="28"/>
        <v>0</v>
      </c>
      <c r="AD69" s="958">
        <f t="shared" si="29"/>
        <v>7.5010000000000003</v>
      </c>
      <c r="AE69" s="958">
        <f t="shared" si="30"/>
        <v>13.348594814457314</v>
      </c>
      <c r="AF69" s="959">
        <f t="shared" si="32"/>
        <v>0.70978614036820442</v>
      </c>
      <c r="AG69" s="960">
        <v>46.04</v>
      </c>
      <c r="AH69" s="961">
        <v>10.759999999999991</v>
      </c>
      <c r="AI69" s="962"/>
    </row>
    <row r="70" spans="1:36" s="28" customFormat="1" ht="12.75" x14ac:dyDescent="0.2">
      <c r="A70" s="963" t="str">
        <f t="shared" si="11"/>
        <v>Plat</v>
      </c>
      <c r="B70" s="1080">
        <v>1</v>
      </c>
      <c r="C70" s="950">
        <f t="shared" ref="C70:M70" si="45">$L34+C$55*Rapous</f>
        <v>-5</v>
      </c>
      <c r="D70" s="951">
        <f t="shared" si="45"/>
        <v>-4</v>
      </c>
      <c r="E70" s="951">
        <f t="shared" si="45"/>
        <v>-3</v>
      </c>
      <c r="F70" s="951">
        <f t="shared" si="45"/>
        <v>-2</v>
      </c>
      <c r="G70" s="952">
        <f t="shared" si="45"/>
        <v>-1</v>
      </c>
      <c r="H70" s="953">
        <f t="shared" si="45"/>
        <v>0</v>
      </c>
      <c r="I70" s="950">
        <f t="shared" si="45"/>
        <v>1</v>
      </c>
      <c r="J70" s="951">
        <f t="shared" si="45"/>
        <v>2</v>
      </c>
      <c r="K70" s="951">
        <f t="shared" si="45"/>
        <v>3</v>
      </c>
      <c r="L70" s="951">
        <f t="shared" si="45"/>
        <v>4</v>
      </c>
      <c r="M70" s="952">
        <f t="shared" si="45"/>
        <v>5</v>
      </c>
      <c r="N70" s="702">
        <f t="shared" si="13"/>
        <v>0</v>
      </c>
      <c r="O70" s="954" t="str">
        <f t="shared" si="14"/>
        <v>Plat</v>
      </c>
      <c r="P70" s="692">
        <f t="shared" si="15"/>
        <v>100</v>
      </c>
      <c r="Q70" s="955">
        <f t="shared" si="16"/>
        <v>-1.662728935994682</v>
      </c>
      <c r="R70" s="956">
        <f t="shared" si="17"/>
        <v>-1.662728935994682</v>
      </c>
      <c r="S70" s="956">
        <f t="shared" si="18"/>
        <v>-1.662728935994682</v>
      </c>
      <c r="T70" s="956">
        <f t="shared" si="19"/>
        <v>-1.662728935994682</v>
      </c>
      <c r="U70" s="933">
        <f t="shared" si="20"/>
        <v>-1.662728935994682</v>
      </c>
      <c r="V70" s="957">
        <f t="shared" si="21"/>
        <v>-1.662728935994682</v>
      </c>
      <c r="W70" s="955">
        <f t="shared" si="22"/>
        <v>-1.662728935994682</v>
      </c>
      <c r="X70" s="956">
        <f t="shared" si="23"/>
        <v>-1.662728935994682</v>
      </c>
      <c r="Y70" s="956">
        <f t="shared" si="24"/>
        <v>-1.662728935994682</v>
      </c>
      <c r="Z70" s="956">
        <f t="shared" si="25"/>
        <v>-1.662728935994682</v>
      </c>
      <c r="AA70" s="933">
        <f t="shared" si="26"/>
        <v>-1.662728935994682</v>
      </c>
      <c r="AB70" s="962">
        <f t="shared" si="27"/>
        <v>-0.33136446799734098</v>
      </c>
      <c r="AC70" s="28" t="b">
        <f t="shared" si="28"/>
        <v>0</v>
      </c>
      <c r="AD70" s="958">
        <f t="shared" si="29"/>
        <v>7.5010000000000003</v>
      </c>
      <c r="AE70" s="958">
        <f t="shared" si="30"/>
        <v>30</v>
      </c>
      <c r="AF70" s="959">
        <f t="shared" si="32"/>
        <v>0</v>
      </c>
      <c r="AG70" s="960">
        <v>48.37</v>
      </c>
      <c r="AH70" s="961">
        <v>11.280000000000001</v>
      </c>
      <c r="AI70" s="962"/>
    </row>
    <row r="71" spans="1:36" s="28" customFormat="1" ht="12.75" x14ac:dyDescent="0.2">
      <c r="A71" s="963" t="str">
        <f t="shared" si="11"/>
        <v>Toiture D</v>
      </c>
      <c r="B71" s="1080">
        <v>1</v>
      </c>
      <c r="C71" s="950">
        <f t="shared" ref="C71:M71" si="46">$L35+C$55*Rapous</f>
        <v>-5</v>
      </c>
      <c r="D71" s="951">
        <f t="shared" si="46"/>
        <v>-4</v>
      </c>
      <c r="E71" s="951">
        <f t="shared" si="46"/>
        <v>-3</v>
      </c>
      <c r="F71" s="951">
        <f t="shared" si="46"/>
        <v>-2</v>
      </c>
      <c r="G71" s="952">
        <f t="shared" si="46"/>
        <v>-1</v>
      </c>
      <c r="H71" s="953">
        <f t="shared" si="46"/>
        <v>0</v>
      </c>
      <c r="I71" s="950">
        <f t="shared" si="46"/>
        <v>1</v>
      </c>
      <c r="J71" s="951">
        <f t="shared" si="46"/>
        <v>2</v>
      </c>
      <c r="K71" s="951">
        <f t="shared" si="46"/>
        <v>3</v>
      </c>
      <c r="L71" s="951">
        <f t="shared" si="46"/>
        <v>4</v>
      </c>
      <c r="M71" s="952">
        <f t="shared" si="46"/>
        <v>5</v>
      </c>
      <c r="N71" s="702">
        <f t="shared" si="13"/>
        <v>0</v>
      </c>
      <c r="O71" s="954" t="str">
        <f t="shared" si="14"/>
        <v>Toiture D</v>
      </c>
      <c r="P71" s="692">
        <f t="shared" si="15"/>
        <v>130</v>
      </c>
      <c r="Q71" s="955">
        <f t="shared" si="16"/>
        <v>1</v>
      </c>
      <c r="R71" s="956">
        <f t="shared" si="17"/>
        <v>1</v>
      </c>
      <c r="S71" s="956">
        <f t="shared" si="18"/>
        <v>1</v>
      </c>
      <c r="T71" s="956">
        <f t="shared" si="19"/>
        <v>1</v>
      </c>
      <c r="U71" s="933">
        <f t="shared" si="20"/>
        <v>1</v>
      </c>
      <c r="V71" s="957">
        <f t="shared" si="21"/>
        <v>1</v>
      </c>
      <c r="W71" s="955">
        <f t="shared" si="22"/>
        <v>1</v>
      </c>
      <c r="X71" s="956">
        <f t="shared" si="23"/>
        <v>1</v>
      </c>
      <c r="Y71" s="956">
        <f t="shared" si="24"/>
        <v>1</v>
      </c>
      <c r="Z71" s="956">
        <f t="shared" si="25"/>
        <v>1</v>
      </c>
      <c r="AA71" s="933">
        <f t="shared" si="26"/>
        <v>1</v>
      </c>
      <c r="AB71" s="962">
        <f t="shared" si="27"/>
        <v>9.6314449710970642</v>
      </c>
      <c r="AC71" s="28" t="b">
        <f t="shared" si="28"/>
        <v>0</v>
      </c>
      <c r="AD71" s="958">
        <f t="shared" si="29"/>
        <v>7.5010000000000003</v>
      </c>
      <c r="AE71" s="958">
        <f t="shared" si="30"/>
        <v>90</v>
      </c>
      <c r="AF71" s="959">
        <f t="shared" si="32"/>
        <v>0</v>
      </c>
      <c r="AG71" s="960">
        <v>51.52</v>
      </c>
      <c r="AH71" s="961">
        <v>11.930000000000007</v>
      </c>
      <c r="AI71" s="962"/>
    </row>
    <row r="72" spans="1:36" s="28" customFormat="1" ht="12.75" x14ac:dyDescent="0.2">
      <c r="A72" s="963" t="str">
        <f t="shared" si="11"/>
        <v>Arrière PV</v>
      </c>
      <c r="B72" s="1080">
        <v>1</v>
      </c>
      <c r="C72" s="950">
        <f t="shared" ref="C72:M72" si="47">$L36+C$55*Rapous</f>
        <v>-5</v>
      </c>
      <c r="D72" s="951">
        <f t="shared" si="47"/>
        <v>-4</v>
      </c>
      <c r="E72" s="951">
        <f t="shared" si="47"/>
        <v>-3</v>
      </c>
      <c r="F72" s="951">
        <f t="shared" si="47"/>
        <v>-2</v>
      </c>
      <c r="G72" s="952">
        <f t="shared" si="47"/>
        <v>-1</v>
      </c>
      <c r="H72" s="953">
        <f t="shared" si="47"/>
        <v>0</v>
      </c>
      <c r="I72" s="950">
        <f t="shared" si="47"/>
        <v>1</v>
      </c>
      <c r="J72" s="951">
        <f t="shared" si="47"/>
        <v>2</v>
      </c>
      <c r="K72" s="951">
        <f t="shared" si="47"/>
        <v>3</v>
      </c>
      <c r="L72" s="951">
        <f t="shared" si="47"/>
        <v>4</v>
      </c>
      <c r="M72" s="952">
        <f t="shared" si="47"/>
        <v>5</v>
      </c>
      <c r="N72" s="702">
        <f t="shared" si="13"/>
        <v>0</v>
      </c>
      <c r="O72" s="954" t="str">
        <f t="shared" si="14"/>
        <v>Arrière PV</v>
      </c>
      <c r="P72" s="692">
        <f t="shared" si="15"/>
        <v>220</v>
      </c>
      <c r="Q72" s="955">
        <f t="shared" si="16"/>
        <v>18.262889942194128</v>
      </c>
      <c r="R72" s="956">
        <f t="shared" si="17"/>
        <v>18.262889942194128</v>
      </c>
      <c r="S72" s="956">
        <f t="shared" si="18"/>
        <v>18.262889942194128</v>
      </c>
      <c r="T72" s="956">
        <f t="shared" si="19"/>
        <v>18.262889942194128</v>
      </c>
      <c r="U72" s="933">
        <f t="shared" si="20"/>
        <v>18.262889942194128</v>
      </c>
      <c r="V72" s="957">
        <f t="shared" si="21"/>
        <v>18.262889942194128</v>
      </c>
      <c r="W72" s="955">
        <f t="shared" si="22"/>
        <v>18.262889942194128</v>
      </c>
      <c r="X72" s="956">
        <f t="shared" si="23"/>
        <v>18.262889942194128</v>
      </c>
      <c r="Y72" s="956">
        <f t="shared" si="24"/>
        <v>18.262889942194128</v>
      </c>
      <c r="Z72" s="956">
        <f t="shared" si="25"/>
        <v>18.262889942194128</v>
      </c>
      <c r="AA72" s="933">
        <f t="shared" si="26"/>
        <v>18.262889942194128</v>
      </c>
      <c r="AB72" s="962">
        <f t="shared" si="27"/>
        <v>18.262889942194128</v>
      </c>
      <c r="AC72" s="28" t="b">
        <f t="shared" si="28"/>
        <v>1</v>
      </c>
      <c r="AD72" s="958">
        <f t="shared" si="29"/>
        <v>7.5010000000000003</v>
      </c>
      <c r="AE72" s="958">
        <f t="shared" si="30"/>
        <v>0</v>
      </c>
      <c r="AF72" s="959">
        <f t="shared" si="32"/>
        <v>0</v>
      </c>
      <c r="AG72" s="960">
        <v>53.73</v>
      </c>
      <c r="AH72" s="964">
        <v>12.530000000000001</v>
      </c>
      <c r="AI72" s="962"/>
    </row>
    <row r="73" spans="1:36" s="28" customFormat="1" ht="12.75" x14ac:dyDescent="0.2">
      <c r="A73" s="963">
        <f t="shared" si="11"/>
        <v>0</v>
      </c>
      <c r="B73" s="1080">
        <v>1</v>
      </c>
      <c r="C73" s="950">
        <f t="shared" ref="C73:M73" si="48">$L37+C$55*Rapous</f>
        <v>-5</v>
      </c>
      <c r="D73" s="951">
        <f t="shared" si="48"/>
        <v>-4</v>
      </c>
      <c r="E73" s="951">
        <f t="shared" si="48"/>
        <v>-3</v>
      </c>
      <c r="F73" s="951">
        <f t="shared" si="48"/>
        <v>-2</v>
      </c>
      <c r="G73" s="952">
        <f t="shared" si="48"/>
        <v>-1</v>
      </c>
      <c r="H73" s="953">
        <f t="shared" si="48"/>
        <v>0</v>
      </c>
      <c r="I73" s="950">
        <f t="shared" si="48"/>
        <v>1</v>
      </c>
      <c r="J73" s="951">
        <f t="shared" si="48"/>
        <v>2</v>
      </c>
      <c r="K73" s="951">
        <f t="shared" si="48"/>
        <v>3</v>
      </c>
      <c r="L73" s="951">
        <f t="shared" si="48"/>
        <v>4</v>
      </c>
      <c r="M73" s="952">
        <f t="shared" si="48"/>
        <v>5</v>
      </c>
      <c r="N73" s="702">
        <f t="shared" si="13"/>
        <v>0</v>
      </c>
      <c r="O73" s="954">
        <f t="shared" si="14"/>
        <v>0</v>
      </c>
      <c r="P73" s="692">
        <f t="shared" si="15"/>
        <v>220</v>
      </c>
      <c r="Q73" s="955">
        <f t="shared" si="16"/>
        <v>18.262889942194128</v>
      </c>
      <c r="R73" s="956">
        <f t="shared" si="17"/>
        <v>18.262889942194128</v>
      </c>
      <c r="S73" s="956">
        <f t="shared" si="18"/>
        <v>18.262889942194128</v>
      </c>
      <c r="T73" s="956">
        <f t="shared" si="19"/>
        <v>18.262889942194128</v>
      </c>
      <c r="U73" s="933">
        <f t="shared" si="20"/>
        <v>18.262889942194128</v>
      </c>
      <c r="V73" s="957">
        <f t="shared" si="21"/>
        <v>18.262889942194128</v>
      </c>
      <c r="W73" s="955">
        <f t="shared" si="22"/>
        <v>18.262889942194128</v>
      </c>
      <c r="X73" s="956">
        <f t="shared" si="23"/>
        <v>18.262889942194128</v>
      </c>
      <c r="Y73" s="956">
        <f t="shared" si="24"/>
        <v>18.262889942194128</v>
      </c>
      <c r="Z73" s="956">
        <f t="shared" si="25"/>
        <v>18.262889942194128</v>
      </c>
      <c r="AA73" s="933">
        <f t="shared" si="26"/>
        <v>18.262889942194128</v>
      </c>
      <c r="AB73" s="962">
        <f t="shared" si="27"/>
        <v>18.262889942194128</v>
      </c>
      <c r="AC73" s="28" t="b">
        <f t="shared" si="28"/>
        <v>1</v>
      </c>
      <c r="AD73" s="958">
        <f t="shared" si="29"/>
        <v>7.5010000000000003</v>
      </c>
      <c r="AE73" s="958">
        <f t="shared" si="30"/>
        <v>0</v>
      </c>
      <c r="AF73" s="959">
        <f t="shared" si="32"/>
        <v>0</v>
      </c>
      <c r="AG73" s="960">
        <v>56.67</v>
      </c>
      <c r="AH73" s="964">
        <v>13.370000000000005</v>
      </c>
      <c r="AI73" s="962"/>
    </row>
    <row r="74" spans="1:36" s="28" customFormat="1" ht="12.75" x14ac:dyDescent="0.2">
      <c r="A74" s="963">
        <f t="shared" si="11"/>
        <v>0</v>
      </c>
      <c r="B74" s="1080">
        <v>1</v>
      </c>
      <c r="C74" s="950">
        <f t="shared" ref="C74:M74" si="49">$L38+C$55*Rapous</f>
        <v>-5</v>
      </c>
      <c r="D74" s="951">
        <f t="shared" si="49"/>
        <v>-4</v>
      </c>
      <c r="E74" s="951">
        <f t="shared" si="49"/>
        <v>-3</v>
      </c>
      <c r="F74" s="951">
        <f t="shared" si="49"/>
        <v>-2</v>
      </c>
      <c r="G74" s="952">
        <f t="shared" si="49"/>
        <v>-1</v>
      </c>
      <c r="H74" s="953">
        <f t="shared" si="49"/>
        <v>0</v>
      </c>
      <c r="I74" s="950">
        <f t="shared" si="49"/>
        <v>1</v>
      </c>
      <c r="J74" s="951">
        <f t="shared" si="49"/>
        <v>2</v>
      </c>
      <c r="K74" s="951">
        <f t="shared" si="49"/>
        <v>3</v>
      </c>
      <c r="L74" s="951">
        <f t="shared" si="49"/>
        <v>4</v>
      </c>
      <c r="M74" s="952">
        <f t="shared" si="49"/>
        <v>5</v>
      </c>
      <c r="N74" s="702">
        <f t="shared" si="13"/>
        <v>0</v>
      </c>
      <c r="O74" s="954">
        <f t="shared" si="14"/>
        <v>0</v>
      </c>
      <c r="P74" s="692">
        <f t="shared" si="15"/>
        <v>220</v>
      </c>
      <c r="Q74" s="955">
        <f t="shared" si="16"/>
        <v>18.262889942194128</v>
      </c>
      <c r="R74" s="956">
        <f t="shared" si="17"/>
        <v>18.262889942194128</v>
      </c>
      <c r="S74" s="956">
        <f t="shared" si="18"/>
        <v>18.262889942194128</v>
      </c>
      <c r="T74" s="956">
        <f t="shared" si="19"/>
        <v>18.262889942194128</v>
      </c>
      <c r="U74" s="933">
        <f t="shared" si="20"/>
        <v>18.262889942194128</v>
      </c>
      <c r="V74" s="957">
        <f t="shared" si="21"/>
        <v>18.262889942194128</v>
      </c>
      <c r="W74" s="955">
        <f t="shared" si="22"/>
        <v>18.262889942194128</v>
      </c>
      <c r="X74" s="956">
        <f t="shared" si="23"/>
        <v>18.262889942194128</v>
      </c>
      <c r="Y74" s="956">
        <f t="shared" si="24"/>
        <v>18.262889942194128</v>
      </c>
      <c r="Z74" s="956">
        <f t="shared" si="25"/>
        <v>18.262889942194128</v>
      </c>
      <c r="AA74" s="933">
        <f t="shared" si="26"/>
        <v>18.262889942194128</v>
      </c>
      <c r="AB74" s="962">
        <f t="shared" si="27"/>
        <v>18.262889942194128</v>
      </c>
      <c r="AC74" s="28" t="b">
        <f t="shared" si="28"/>
        <v>1</v>
      </c>
      <c r="AD74" s="958">
        <f t="shared" si="29"/>
        <v>7.5010000000000003</v>
      </c>
      <c r="AE74" s="958">
        <f t="shared" si="30"/>
        <v>0</v>
      </c>
      <c r="AF74" s="959">
        <f t="shared" si="32"/>
        <v>0</v>
      </c>
      <c r="AG74" s="960">
        <v>58.66</v>
      </c>
      <c r="AH74" s="964">
        <v>13.969999999999999</v>
      </c>
      <c r="AI74" s="962"/>
    </row>
    <row r="75" spans="1:36" s="28" customFormat="1" ht="12.75" x14ac:dyDescent="0.2">
      <c r="A75" s="963">
        <f t="shared" si="11"/>
        <v>0</v>
      </c>
      <c r="B75" s="1080">
        <v>1</v>
      </c>
      <c r="C75" s="955">
        <f t="shared" ref="C75:M75" si="50">$L39+C$55*Rapous</f>
        <v>-5</v>
      </c>
      <c r="D75" s="956">
        <f t="shared" si="50"/>
        <v>-4</v>
      </c>
      <c r="E75" s="956">
        <f t="shared" si="50"/>
        <v>-3</v>
      </c>
      <c r="F75" s="956">
        <f t="shared" si="50"/>
        <v>-2</v>
      </c>
      <c r="G75" s="933">
        <f t="shared" si="50"/>
        <v>-1</v>
      </c>
      <c r="H75" s="953">
        <f t="shared" si="50"/>
        <v>0</v>
      </c>
      <c r="I75" s="950">
        <f t="shared" si="50"/>
        <v>1</v>
      </c>
      <c r="J75" s="965">
        <f t="shared" si="50"/>
        <v>2</v>
      </c>
      <c r="K75" s="951">
        <f t="shared" si="50"/>
        <v>3</v>
      </c>
      <c r="L75" s="965">
        <f t="shared" si="50"/>
        <v>4</v>
      </c>
      <c r="M75" s="952">
        <f t="shared" si="50"/>
        <v>5</v>
      </c>
      <c r="N75" s="702">
        <f t="shared" si="13"/>
        <v>0</v>
      </c>
      <c r="O75" s="954">
        <f t="shared" si="14"/>
        <v>0</v>
      </c>
      <c r="P75" s="702">
        <f t="shared" si="15"/>
        <v>220</v>
      </c>
      <c r="Q75" s="955">
        <f t="shared" si="16"/>
        <v>18.262889942194128</v>
      </c>
      <c r="R75" s="956">
        <f t="shared" si="17"/>
        <v>18.262889942194128</v>
      </c>
      <c r="S75" s="956">
        <f t="shared" si="18"/>
        <v>18.262889942194128</v>
      </c>
      <c r="T75" s="956">
        <f t="shared" si="19"/>
        <v>18.262889942194128</v>
      </c>
      <c r="U75" s="933">
        <f t="shared" si="20"/>
        <v>18.262889942194128</v>
      </c>
      <c r="V75" s="957">
        <f t="shared" si="21"/>
        <v>18.262889942194128</v>
      </c>
      <c r="W75" s="955">
        <f t="shared" si="22"/>
        <v>18.262889942194128</v>
      </c>
      <c r="X75" s="956">
        <f t="shared" si="23"/>
        <v>18.262889942194128</v>
      </c>
      <c r="Y75" s="956">
        <f t="shared" si="24"/>
        <v>18.262889942194128</v>
      </c>
      <c r="Z75" s="956">
        <f t="shared" si="25"/>
        <v>18.262889942194128</v>
      </c>
      <c r="AA75" s="933">
        <f t="shared" si="26"/>
        <v>18.262889942194128</v>
      </c>
      <c r="AB75" s="962">
        <f t="shared" si="27"/>
        <v>18.262889942194128</v>
      </c>
      <c r="AC75" s="28" t="b">
        <f t="shared" si="28"/>
        <v>1</v>
      </c>
      <c r="AD75" s="958">
        <f t="shared" si="29"/>
        <v>7.5010000000000003</v>
      </c>
      <c r="AE75" s="958">
        <f t="shared" si="30"/>
        <v>0</v>
      </c>
      <c r="AF75" s="959">
        <f t="shared" si="32"/>
        <v>0</v>
      </c>
      <c r="AG75" s="960">
        <v>61.27</v>
      </c>
      <c r="AH75" s="964">
        <v>15.02000000000001</v>
      </c>
      <c r="AI75" s="962"/>
    </row>
    <row r="76" spans="1:36" s="28" customFormat="1" ht="12.75" x14ac:dyDescent="0.2">
      <c r="A76" s="963">
        <f t="shared" si="11"/>
        <v>0</v>
      </c>
      <c r="B76" s="1080">
        <v>1</v>
      </c>
      <c r="C76" s="955">
        <f t="shared" ref="C76:M76" si="51">$L40+C$55*Rapous</f>
        <v>-5</v>
      </c>
      <c r="D76" s="956">
        <f t="shared" si="51"/>
        <v>-4</v>
      </c>
      <c r="E76" s="956">
        <f t="shared" si="51"/>
        <v>-3</v>
      </c>
      <c r="F76" s="956">
        <f t="shared" si="51"/>
        <v>-2</v>
      </c>
      <c r="G76" s="933">
        <f t="shared" si="51"/>
        <v>-1</v>
      </c>
      <c r="H76" s="953">
        <f t="shared" si="51"/>
        <v>0</v>
      </c>
      <c r="I76" s="950">
        <f t="shared" si="51"/>
        <v>1</v>
      </c>
      <c r="J76" s="965">
        <f t="shared" si="51"/>
        <v>2</v>
      </c>
      <c r="K76" s="951">
        <f t="shared" si="51"/>
        <v>3</v>
      </c>
      <c r="L76" s="965">
        <f t="shared" si="51"/>
        <v>4</v>
      </c>
      <c r="M76" s="952">
        <f t="shared" si="51"/>
        <v>5</v>
      </c>
      <c r="N76" s="702">
        <f t="shared" si="13"/>
        <v>0</v>
      </c>
      <c r="O76" s="954">
        <f t="shared" si="14"/>
        <v>0</v>
      </c>
      <c r="P76" s="702">
        <f t="shared" si="15"/>
        <v>220</v>
      </c>
      <c r="Q76" s="955">
        <f t="shared" si="16"/>
        <v>18.262889942194128</v>
      </c>
      <c r="R76" s="956">
        <f t="shared" si="17"/>
        <v>18.262889942194128</v>
      </c>
      <c r="S76" s="956">
        <f t="shared" si="18"/>
        <v>18.262889942194128</v>
      </c>
      <c r="T76" s="956">
        <f t="shared" si="19"/>
        <v>18.262889942194128</v>
      </c>
      <c r="U76" s="933">
        <f t="shared" si="20"/>
        <v>18.262889942194128</v>
      </c>
      <c r="V76" s="957">
        <f t="shared" si="21"/>
        <v>18.262889942194128</v>
      </c>
      <c r="W76" s="955">
        <f t="shared" si="22"/>
        <v>18.262889942194128</v>
      </c>
      <c r="X76" s="956">
        <f t="shared" si="23"/>
        <v>18.262889942194128</v>
      </c>
      <c r="Y76" s="956">
        <f t="shared" si="24"/>
        <v>18.262889942194128</v>
      </c>
      <c r="Z76" s="956">
        <f t="shared" si="25"/>
        <v>18.262889942194128</v>
      </c>
      <c r="AA76" s="933">
        <f t="shared" si="26"/>
        <v>18.262889942194128</v>
      </c>
      <c r="AB76" s="962">
        <f t="shared" si="27"/>
        <v>18.262889942194128</v>
      </c>
      <c r="AC76" s="28" t="b">
        <f t="shared" si="28"/>
        <v>1</v>
      </c>
      <c r="AD76" s="958">
        <f t="shared" si="29"/>
        <v>7.5010000000000003</v>
      </c>
      <c r="AE76" s="958">
        <f t="shared" si="30"/>
        <v>0</v>
      </c>
      <c r="AF76" s="959">
        <f t="shared" si="32"/>
        <v>0</v>
      </c>
      <c r="AG76" s="960">
        <v>62.95</v>
      </c>
      <c r="AH76" s="964">
        <v>15.569999999999993</v>
      </c>
      <c r="AI76" s="962"/>
    </row>
    <row r="77" spans="1:36" s="28" customFormat="1" ht="12.75" x14ac:dyDescent="0.2">
      <c r="A77" s="963">
        <f t="shared" si="11"/>
        <v>0</v>
      </c>
      <c r="B77" s="1080">
        <v>1</v>
      </c>
      <c r="C77" s="955">
        <f t="shared" ref="C77:M77" si="52">$L41+C$55*Rapous</f>
        <v>-5</v>
      </c>
      <c r="D77" s="956">
        <f t="shared" si="52"/>
        <v>-4</v>
      </c>
      <c r="E77" s="956">
        <f t="shared" si="52"/>
        <v>-3</v>
      </c>
      <c r="F77" s="956">
        <f t="shared" si="52"/>
        <v>-2</v>
      </c>
      <c r="G77" s="933">
        <f t="shared" si="52"/>
        <v>-1</v>
      </c>
      <c r="H77" s="953">
        <f t="shared" si="52"/>
        <v>0</v>
      </c>
      <c r="I77" s="950">
        <f t="shared" si="52"/>
        <v>1</v>
      </c>
      <c r="J77" s="965">
        <f t="shared" si="52"/>
        <v>2</v>
      </c>
      <c r="K77" s="951">
        <f t="shared" si="52"/>
        <v>3</v>
      </c>
      <c r="L77" s="965">
        <f t="shared" si="52"/>
        <v>4</v>
      </c>
      <c r="M77" s="952">
        <f t="shared" si="52"/>
        <v>5</v>
      </c>
      <c r="N77" s="702">
        <f t="shared" si="13"/>
        <v>0</v>
      </c>
      <c r="O77" s="954">
        <f t="shared" si="14"/>
        <v>0</v>
      </c>
      <c r="P77" s="702">
        <f t="shared" si="15"/>
        <v>220</v>
      </c>
      <c r="Q77" s="955">
        <f t="shared" si="16"/>
        <v>18.262889942194128</v>
      </c>
      <c r="R77" s="956">
        <f t="shared" si="17"/>
        <v>18.262889942194128</v>
      </c>
      <c r="S77" s="956">
        <f t="shared" si="18"/>
        <v>18.262889942194128</v>
      </c>
      <c r="T77" s="956">
        <f t="shared" si="19"/>
        <v>18.262889942194128</v>
      </c>
      <c r="U77" s="933">
        <f t="shared" si="20"/>
        <v>18.262889942194128</v>
      </c>
      <c r="V77" s="957">
        <f t="shared" si="21"/>
        <v>18.262889942194128</v>
      </c>
      <c r="W77" s="955">
        <f t="shared" si="22"/>
        <v>18.262889942194128</v>
      </c>
      <c r="X77" s="956">
        <f t="shared" si="23"/>
        <v>18.262889942194128</v>
      </c>
      <c r="Y77" s="956">
        <f t="shared" si="24"/>
        <v>18.262889942194128</v>
      </c>
      <c r="Z77" s="956">
        <f t="shared" si="25"/>
        <v>18.262889942194128</v>
      </c>
      <c r="AA77" s="933">
        <f t="shared" si="26"/>
        <v>18.262889942194128</v>
      </c>
      <c r="AB77" s="962">
        <f t="shared" si="27"/>
        <v>18.262889942194128</v>
      </c>
      <c r="AC77" s="28" t="b">
        <f t="shared" si="28"/>
        <v>1</v>
      </c>
      <c r="AD77" s="958">
        <f t="shared" si="29"/>
        <v>7.5010000000000003</v>
      </c>
      <c r="AE77" s="958">
        <f t="shared" si="30"/>
        <v>0</v>
      </c>
      <c r="AF77" s="959">
        <f t="shared" si="32"/>
        <v>0</v>
      </c>
      <c r="AG77" s="960">
        <v>65.069999999999993</v>
      </c>
      <c r="AH77" s="964">
        <v>16.789999999999992</v>
      </c>
      <c r="AI77" s="962"/>
    </row>
    <row r="78" spans="1:36" s="28" customFormat="1" ht="12.75" x14ac:dyDescent="0.2">
      <c r="A78" s="963">
        <f t="shared" si="11"/>
        <v>0</v>
      </c>
      <c r="B78" s="1080">
        <v>1</v>
      </c>
      <c r="C78" s="955">
        <f t="shared" ref="C78:M78" si="53">$L42+C$55*Rapous</f>
        <v>-5</v>
      </c>
      <c r="D78" s="956">
        <f t="shared" si="53"/>
        <v>-4</v>
      </c>
      <c r="E78" s="956">
        <f t="shared" si="53"/>
        <v>-3</v>
      </c>
      <c r="F78" s="956">
        <f t="shared" si="53"/>
        <v>-2</v>
      </c>
      <c r="G78" s="933">
        <f t="shared" si="53"/>
        <v>-1</v>
      </c>
      <c r="H78" s="953">
        <f t="shared" si="53"/>
        <v>0</v>
      </c>
      <c r="I78" s="950">
        <f t="shared" si="53"/>
        <v>1</v>
      </c>
      <c r="J78" s="965">
        <f t="shared" si="53"/>
        <v>2</v>
      </c>
      <c r="K78" s="951">
        <f t="shared" si="53"/>
        <v>3</v>
      </c>
      <c r="L78" s="965">
        <f t="shared" si="53"/>
        <v>4</v>
      </c>
      <c r="M78" s="952">
        <f t="shared" si="53"/>
        <v>5</v>
      </c>
      <c r="N78" s="702">
        <f t="shared" si="13"/>
        <v>0</v>
      </c>
      <c r="O78" s="954">
        <f t="shared" si="14"/>
        <v>0</v>
      </c>
      <c r="P78" s="702">
        <f t="shared" si="15"/>
        <v>220</v>
      </c>
      <c r="Q78" s="955">
        <f t="shared" si="16"/>
        <v>18.262889942194128</v>
      </c>
      <c r="R78" s="956">
        <f t="shared" si="17"/>
        <v>18.262889942194128</v>
      </c>
      <c r="S78" s="956">
        <f t="shared" si="18"/>
        <v>18.262889942194128</v>
      </c>
      <c r="T78" s="956">
        <f t="shared" si="19"/>
        <v>18.262889942194128</v>
      </c>
      <c r="U78" s="933">
        <f t="shared" si="20"/>
        <v>18.262889942194128</v>
      </c>
      <c r="V78" s="957">
        <f t="shared" si="21"/>
        <v>18.262889942194128</v>
      </c>
      <c r="W78" s="955">
        <f t="shared" si="22"/>
        <v>18.262889942194128</v>
      </c>
      <c r="X78" s="956">
        <f t="shared" si="23"/>
        <v>18.262889942194128</v>
      </c>
      <c r="Y78" s="956">
        <f t="shared" si="24"/>
        <v>18.262889942194128</v>
      </c>
      <c r="Z78" s="956">
        <f t="shared" si="25"/>
        <v>18.262889942194128</v>
      </c>
      <c r="AA78" s="933">
        <f t="shared" si="26"/>
        <v>18.262889942194128</v>
      </c>
      <c r="AB78" s="962">
        <f t="shared" si="27"/>
        <v>18.262889942194128</v>
      </c>
      <c r="AC78" s="28" t="b">
        <f t="shared" si="28"/>
        <v>1</v>
      </c>
      <c r="AD78" s="958">
        <f t="shared" si="29"/>
        <v>7.5010000000000003</v>
      </c>
      <c r="AE78" s="958">
        <f t="shared" si="30"/>
        <v>0</v>
      </c>
      <c r="AF78" s="959">
        <f t="shared" si="32"/>
        <v>0</v>
      </c>
      <c r="AG78" s="960">
        <v>66.36</v>
      </c>
      <c r="AH78" s="964">
        <v>17.259999999999991</v>
      </c>
      <c r="AI78" s="962"/>
    </row>
    <row r="79" spans="1:36" s="28" customFormat="1" ht="13.5" thickBot="1" x14ac:dyDescent="0.25">
      <c r="A79" s="966">
        <f t="shared" si="11"/>
        <v>0</v>
      </c>
      <c r="B79" s="1081">
        <v>1</v>
      </c>
      <c r="C79" s="973">
        <f t="shared" ref="C79:M79" si="54">$L43+C$55*Rapous</f>
        <v>-5</v>
      </c>
      <c r="D79" s="974">
        <f t="shared" si="54"/>
        <v>-4</v>
      </c>
      <c r="E79" s="974">
        <f t="shared" si="54"/>
        <v>-3</v>
      </c>
      <c r="F79" s="974">
        <f t="shared" si="54"/>
        <v>-2</v>
      </c>
      <c r="G79" s="975">
        <f t="shared" si="54"/>
        <v>-1</v>
      </c>
      <c r="H79" s="967">
        <f t="shared" si="54"/>
        <v>0</v>
      </c>
      <c r="I79" s="968">
        <f t="shared" si="54"/>
        <v>1</v>
      </c>
      <c r="J79" s="969">
        <f t="shared" si="54"/>
        <v>2</v>
      </c>
      <c r="K79" s="970">
        <f t="shared" si="54"/>
        <v>3</v>
      </c>
      <c r="L79" s="969">
        <f t="shared" si="54"/>
        <v>4</v>
      </c>
      <c r="M79" s="971">
        <f t="shared" si="54"/>
        <v>5</v>
      </c>
      <c r="N79" s="711">
        <f t="shared" si="13"/>
        <v>0</v>
      </c>
      <c r="O79" s="972">
        <f t="shared" si="14"/>
        <v>0</v>
      </c>
      <c r="P79" s="711">
        <f t="shared" si="15"/>
        <v>220</v>
      </c>
      <c r="Q79" s="973">
        <f t="shared" si="16"/>
        <v>18.262889942194128</v>
      </c>
      <c r="R79" s="974">
        <f t="shared" si="17"/>
        <v>18.262889942194128</v>
      </c>
      <c r="S79" s="974">
        <f t="shared" si="18"/>
        <v>18.262889942194128</v>
      </c>
      <c r="T79" s="974">
        <f t="shared" si="19"/>
        <v>18.262889942194128</v>
      </c>
      <c r="U79" s="975">
        <f t="shared" si="20"/>
        <v>18.262889942194128</v>
      </c>
      <c r="V79" s="976">
        <f t="shared" si="21"/>
        <v>18.262889942194128</v>
      </c>
      <c r="W79" s="973">
        <f t="shared" si="22"/>
        <v>18.262889942194128</v>
      </c>
      <c r="X79" s="974">
        <f t="shared" si="23"/>
        <v>18.262889942194128</v>
      </c>
      <c r="Y79" s="974">
        <f t="shared" si="24"/>
        <v>18.262889942194128</v>
      </c>
      <c r="Z79" s="974">
        <f t="shared" si="25"/>
        <v>18.262889942194128</v>
      </c>
      <c r="AA79" s="975">
        <f t="shared" si="26"/>
        <v>18.262889942194128</v>
      </c>
      <c r="AB79" s="962">
        <f>(AA79+Z80)/2</f>
        <v>9.1314449710970642</v>
      </c>
      <c r="AC79" s="28" t="b">
        <f t="shared" si="28"/>
        <v>1</v>
      </c>
      <c r="AD79" s="958">
        <f>INDEX($AH$56:$AH$82,MATCH((AA79+Z80)/2,$AG$56:$AG$82)+1)</f>
        <v>7.5010000000000003</v>
      </c>
      <c r="AE79" s="958">
        <f t="shared" si="30"/>
        <v>-220</v>
      </c>
      <c r="AF79" s="959">
        <f t="shared" si="32"/>
        <v>0</v>
      </c>
      <c r="AG79" s="960">
        <v>67.87</v>
      </c>
      <c r="AH79" s="964">
        <v>18.400000000000006</v>
      </c>
      <c r="AI79" s="962"/>
    </row>
    <row r="80" spans="1:36" s="19" customFormat="1" ht="12.75" x14ac:dyDescent="0.2">
      <c r="G80" s="31"/>
      <c r="H80" s="31"/>
      <c r="U80" s="29"/>
      <c r="W80" s="29"/>
      <c r="X80" s="708"/>
      <c r="Y80" s="29"/>
      <c r="AB80" s="962"/>
      <c r="AC80" s="29"/>
      <c r="AG80" s="960">
        <v>68.69</v>
      </c>
      <c r="AH80" s="964">
        <v>18.659999999999997</v>
      </c>
      <c r="AI80" s="962"/>
      <c r="AJ80" s="962"/>
    </row>
    <row r="81" spans="1:36" s="19" customFormat="1" ht="15.75" x14ac:dyDescent="0.25">
      <c r="A81" s="665" t="s">
        <v>195</v>
      </c>
      <c r="F81" s="30"/>
      <c r="G81" s="29"/>
      <c r="H81" s="31"/>
      <c r="K81" s="30"/>
      <c r="Q81" s="29"/>
      <c r="R81" s="682"/>
      <c r="S81" s="29"/>
      <c r="U81" s="29"/>
      <c r="W81" s="29"/>
      <c r="X81" s="708"/>
      <c r="Y81" s="29"/>
      <c r="AB81" s="962"/>
      <c r="AC81" s="29"/>
      <c r="AG81" s="960">
        <v>69.48</v>
      </c>
      <c r="AH81" s="964">
        <v>19.439999999999998</v>
      </c>
      <c r="AI81" s="962"/>
      <c r="AJ81" s="962"/>
    </row>
    <row r="82" spans="1:36" s="19" customFormat="1" ht="12.75" x14ac:dyDescent="0.2">
      <c r="A82" s="695" t="str">
        <f t="array" ref="A82:Z94">TRANSPOSE(O54:AA79)</f>
        <v>Donneville</v>
      </c>
      <c r="B82" s="977" t="str">
        <v>zone 1</v>
      </c>
      <c r="C82" s="978" t="str">
        <v>Arrière PV</v>
      </c>
      <c r="D82" s="978" t="str">
        <v>Arbre 1G</v>
      </c>
      <c r="E82" s="978" t="str">
        <v>Arbre 1</v>
      </c>
      <c r="F82" s="978" t="str">
        <v>Arbre 2</v>
      </c>
      <c r="G82" s="978" t="str">
        <v>Arbre 3</v>
      </c>
      <c r="H82" s="978" t="str">
        <v>Arbre 4</v>
      </c>
      <c r="I82" s="978" t="str">
        <v>Arbre 5</v>
      </c>
      <c r="J82" s="978" t="str">
        <v>Arbre 6</v>
      </c>
      <c r="K82" s="978" t="str">
        <v>Arbre 7G</v>
      </c>
      <c r="L82" s="978" t="str">
        <v>Arbre 7D</v>
      </c>
      <c r="M82" s="978" t="str">
        <v>Arbre 9D</v>
      </c>
      <c r="N82" s="978" t="str">
        <v>Arbre 10C</v>
      </c>
      <c r="O82" s="978" t="str">
        <v>Arbre 10 D</v>
      </c>
      <c r="P82" s="978" t="str">
        <v>Arbre 10 DE</v>
      </c>
      <c r="Q82" s="978" t="str">
        <v>Plat</v>
      </c>
      <c r="R82" s="978" t="str">
        <v>Toiture D</v>
      </c>
      <c r="S82" s="978" t="str">
        <v>Arrière PV</v>
      </c>
      <c r="T82" s="978">
        <v>0</v>
      </c>
      <c r="U82" s="978">
        <v>0</v>
      </c>
      <c r="V82" s="978">
        <v>0</v>
      </c>
      <c r="W82" s="978">
        <v>0</v>
      </c>
      <c r="X82" s="978">
        <v>0</v>
      </c>
      <c r="Y82" s="978">
        <v>0</v>
      </c>
      <c r="Z82" s="978">
        <v>0</v>
      </c>
      <c r="AA82" s="1075"/>
      <c r="AB82" s="28"/>
      <c r="AG82" s="994">
        <v>69.760000000000005</v>
      </c>
      <c r="AH82" s="995">
        <v>19.519999999999982</v>
      </c>
      <c r="AI82" s="28"/>
    </row>
    <row r="83" spans="1:36" s="19" customFormat="1" ht="12.75" x14ac:dyDescent="0.2">
      <c r="A83" s="979">
        <v>40</v>
      </c>
      <c r="B83" s="980" t="str">
        <v>Azi.S / PV</v>
      </c>
      <c r="C83" s="981">
        <v>-140</v>
      </c>
      <c r="D83" s="709">
        <v>-80.162912743489144</v>
      </c>
      <c r="E83" s="709">
        <v>-60.963284061288988</v>
      </c>
      <c r="F83" s="709">
        <v>-44.438294667433176</v>
      </c>
      <c r="G83" s="709">
        <v>-29.800239520792541</v>
      </c>
      <c r="H83" s="709">
        <v>-16.869167076665256</v>
      </c>
      <c r="I83" s="709">
        <v>1.2552843254505974</v>
      </c>
      <c r="J83" s="709">
        <v>11.598331613072679</v>
      </c>
      <c r="K83" s="709">
        <v>32.198452337685829</v>
      </c>
      <c r="L83" s="709">
        <v>43.102696962843638</v>
      </c>
      <c r="M83" s="709">
        <v>52.102696962843638</v>
      </c>
      <c r="N83" s="709">
        <v>66.481507957154292</v>
      </c>
      <c r="O83" s="709">
        <v>79.86019132591089</v>
      </c>
      <c r="P83" s="709">
        <v>87.361191325910895</v>
      </c>
      <c r="Q83" s="709">
        <v>100</v>
      </c>
      <c r="R83" s="709">
        <v>130</v>
      </c>
      <c r="S83" s="709">
        <v>220</v>
      </c>
      <c r="T83" s="709">
        <v>220</v>
      </c>
      <c r="U83" s="709">
        <v>220</v>
      </c>
      <c r="V83" s="709">
        <v>220</v>
      </c>
      <c r="W83" s="709">
        <v>220</v>
      </c>
      <c r="X83" s="709">
        <v>220</v>
      </c>
      <c r="Y83" s="709">
        <v>220</v>
      </c>
      <c r="Z83" s="982">
        <v>220</v>
      </c>
      <c r="AD83" s="28"/>
      <c r="AE83" s="34"/>
      <c r="AF83" s="28"/>
    </row>
    <row r="84" spans="1:36" s="19" customFormat="1" ht="12.75" x14ac:dyDescent="0.2">
      <c r="A84" s="983" t="str">
        <v>Elevation vue du champ PV zone: 1</v>
      </c>
      <c r="B84" s="984">
        <v>-5</v>
      </c>
      <c r="C84" s="830">
        <v>18.262889942194128</v>
      </c>
      <c r="D84" s="710">
        <v>-4.069883743014147</v>
      </c>
      <c r="E84" s="710">
        <v>5.1723250398043916</v>
      </c>
      <c r="F84" s="710">
        <v>-2.3997603201254507</v>
      </c>
      <c r="G84" s="710">
        <v>-2.3635639657481327</v>
      </c>
      <c r="H84" s="710">
        <v>-1.9301491534332882</v>
      </c>
      <c r="I84" s="710">
        <v>-5.9179956014372168</v>
      </c>
      <c r="J84" s="710">
        <v>-3.1927948141189955</v>
      </c>
      <c r="K84" s="710">
        <v>15.668811174107617</v>
      </c>
      <c r="L84" s="710">
        <v>15.17626741264084</v>
      </c>
      <c r="M84" s="710">
        <v>8.9263904013394715</v>
      </c>
      <c r="N84" s="710">
        <v>-10.326114117843131</v>
      </c>
      <c r="O84" s="710">
        <v>-16.868732191520255</v>
      </c>
      <c r="P84" s="710">
        <v>-19.844890597651503</v>
      </c>
      <c r="Q84" s="710">
        <v>-1.662728935994682</v>
      </c>
      <c r="R84" s="710">
        <v>1</v>
      </c>
      <c r="S84" s="710">
        <v>18.262889942194128</v>
      </c>
      <c r="T84" s="710">
        <v>18.262889942194128</v>
      </c>
      <c r="U84" s="710">
        <v>18.262889942194128</v>
      </c>
      <c r="V84" s="710">
        <v>18.262889942194128</v>
      </c>
      <c r="W84" s="710">
        <v>18.262889942194128</v>
      </c>
      <c r="X84" s="710">
        <v>18.262889942194128</v>
      </c>
      <c r="Y84" s="710">
        <v>18.262889942194128</v>
      </c>
      <c r="Z84" s="985">
        <v>18.262889942194128</v>
      </c>
      <c r="AD84" s="28"/>
      <c r="AE84" s="34"/>
      <c r="AF84" s="28"/>
      <c r="AG84" s="28"/>
    </row>
    <row r="85" spans="1:36" s="19" customFormat="1" ht="12.75" x14ac:dyDescent="0.2">
      <c r="A85" s="986">
        <v>0</v>
      </c>
      <c r="B85" s="984">
        <v>-4</v>
      </c>
      <c r="C85" s="699">
        <v>18.262889942194128</v>
      </c>
      <c r="D85" s="702">
        <v>-1.8412159403666002</v>
      </c>
      <c r="E85" s="702">
        <v>7.446335902207613</v>
      </c>
      <c r="F85" s="702">
        <v>8.1205929924177064E-2</v>
      </c>
      <c r="G85" s="702">
        <v>-0.13334435182003923</v>
      </c>
      <c r="H85" s="702">
        <v>0.131961955396285</v>
      </c>
      <c r="I85" s="702">
        <v>-3.0834602707319512</v>
      </c>
      <c r="J85" s="702">
        <v>-1.1535219852173411</v>
      </c>
      <c r="K85" s="702">
        <v>19.605363290211631</v>
      </c>
      <c r="L85" s="702">
        <v>19.004147173793513</v>
      </c>
      <c r="M85" s="702">
        <v>10.418914685720289</v>
      </c>
      <c r="N85" s="702">
        <v>-8.2985720499153697</v>
      </c>
      <c r="O85" s="702">
        <v>-14.012148703890349</v>
      </c>
      <c r="P85" s="702">
        <v>-16.411367511499638</v>
      </c>
      <c r="Q85" s="702">
        <v>-1.662728935994682</v>
      </c>
      <c r="R85" s="702">
        <v>1</v>
      </c>
      <c r="S85" s="702">
        <v>18.262889942194128</v>
      </c>
      <c r="T85" s="702">
        <v>18.262889942194128</v>
      </c>
      <c r="U85" s="702">
        <v>18.262889942194128</v>
      </c>
      <c r="V85" s="702">
        <v>18.262889942194128</v>
      </c>
      <c r="W85" s="702">
        <v>18.262889942194128</v>
      </c>
      <c r="X85" s="702">
        <v>18.262889942194128</v>
      </c>
      <c r="Y85" s="702">
        <v>18.262889942194128</v>
      </c>
      <c r="Z85" s="987">
        <v>18.262889942194128</v>
      </c>
      <c r="AD85" s="28"/>
      <c r="AE85" s="34"/>
      <c r="AF85" s="28"/>
    </row>
    <row r="86" spans="1:36" s="19" customFormat="1" ht="12.75" x14ac:dyDescent="0.2">
      <c r="A86" s="986">
        <v>0</v>
      </c>
      <c r="B86" s="984">
        <v>-3</v>
      </c>
      <c r="C86" s="699">
        <v>18.262889942194128</v>
      </c>
      <c r="D86" s="702">
        <v>0.39303652540146727</v>
      </c>
      <c r="E86" s="702">
        <v>9.6970088848450615</v>
      </c>
      <c r="F86" s="702">
        <v>2.5618678884927464</v>
      </c>
      <c r="G86" s="702">
        <v>2.0972792000658704</v>
      </c>
      <c r="H86" s="702">
        <v>2.1937314004725432</v>
      </c>
      <c r="I86" s="702">
        <v>-0.23374852430203569</v>
      </c>
      <c r="J86" s="702">
        <v>0.88867674022587639</v>
      </c>
      <c r="K86" s="702">
        <v>23.35849541397349</v>
      </c>
      <c r="L86" s="702">
        <v>22.663849574748529</v>
      </c>
      <c r="M86" s="702">
        <v>11.897279816274791</v>
      </c>
      <c r="N86" s="702">
        <v>-6.2498901695156466</v>
      </c>
      <c r="O86" s="702">
        <v>-11.082731983078538</v>
      </c>
      <c r="P86" s="702">
        <v>-12.852366176392488</v>
      </c>
      <c r="Q86" s="702">
        <v>-1.662728935994682</v>
      </c>
      <c r="R86" s="702">
        <v>1</v>
      </c>
      <c r="S86" s="702">
        <v>18.262889942194128</v>
      </c>
      <c r="T86" s="702">
        <v>18.262889942194128</v>
      </c>
      <c r="U86" s="702">
        <v>18.262889942194128</v>
      </c>
      <c r="V86" s="702">
        <v>18.262889942194128</v>
      </c>
      <c r="W86" s="702">
        <v>18.262889942194128</v>
      </c>
      <c r="X86" s="702">
        <v>18.262889942194128</v>
      </c>
      <c r="Y86" s="702">
        <v>18.262889942194128</v>
      </c>
      <c r="Z86" s="987">
        <v>18.262889942194128</v>
      </c>
      <c r="AD86" s="28"/>
      <c r="AF86" s="28"/>
      <c r="AG86" s="28"/>
    </row>
    <row r="87" spans="1:36" s="19" customFormat="1" ht="12.75" x14ac:dyDescent="0.2">
      <c r="A87" s="986">
        <v>0</v>
      </c>
      <c r="B87" s="984">
        <v>-2</v>
      </c>
      <c r="C87" s="699">
        <v>18.262889942194128</v>
      </c>
      <c r="D87" s="702">
        <v>2.6260949020192612</v>
      </c>
      <c r="E87" s="702">
        <v>11.917882104652698</v>
      </c>
      <c r="F87" s="702">
        <v>5.0329619268966947</v>
      </c>
      <c r="G87" s="702">
        <v>4.321563576100707</v>
      </c>
      <c r="H87" s="702">
        <v>4.2498348193219293</v>
      </c>
      <c r="I87" s="702">
        <v>2.6171192165348889</v>
      </c>
      <c r="J87" s="702">
        <v>2.928620728637219</v>
      </c>
      <c r="K87" s="702">
        <v>26.910904106094108</v>
      </c>
      <c r="L87" s="702">
        <v>26.138444641385725</v>
      </c>
      <c r="M87" s="702">
        <v>13.359748112467502</v>
      </c>
      <c r="N87" s="702">
        <v>-4.18504386887283</v>
      </c>
      <c r="O87" s="702">
        <v>-8.093494611636407</v>
      </c>
      <c r="P87" s="702">
        <v>-9.1896857766844064</v>
      </c>
      <c r="Q87" s="702">
        <v>-1.662728935994682</v>
      </c>
      <c r="R87" s="702">
        <v>1</v>
      </c>
      <c r="S87" s="702">
        <v>18.262889942194128</v>
      </c>
      <c r="T87" s="702">
        <v>18.262889942194128</v>
      </c>
      <c r="U87" s="702">
        <v>18.262889942194128</v>
      </c>
      <c r="V87" s="702">
        <v>18.262889942194128</v>
      </c>
      <c r="W87" s="702">
        <v>18.262889942194128</v>
      </c>
      <c r="X87" s="702">
        <v>18.262889942194128</v>
      </c>
      <c r="Y87" s="702">
        <v>18.262889942194128</v>
      </c>
      <c r="Z87" s="987">
        <v>18.262889942194128</v>
      </c>
      <c r="AD87" s="28"/>
      <c r="AF87" s="28"/>
    </row>
    <row r="88" spans="1:36" s="19" customFormat="1" ht="12.75" x14ac:dyDescent="0.2">
      <c r="A88" s="986">
        <v>0</v>
      </c>
      <c r="B88" s="988">
        <v>-1</v>
      </c>
      <c r="C88" s="699">
        <v>18.262889942194128</v>
      </c>
      <c r="D88" s="702">
        <v>4.8512021037910023</v>
      </c>
      <c r="E88" s="702">
        <v>14.103019823095277</v>
      </c>
      <c r="F88" s="702">
        <v>7.4854370641780683</v>
      </c>
      <c r="G88" s="702">
        <v>6.532879905186042</v>
      </c>
      <c r="H88" s="702">
        <v>6.295035147479199</v>
      </c>
      <c r="I88" s="702">
        <v>5.4550884822265306</v>
      </c>
      <c r="J88" s="702">
        <v>4.9611635295562815</v>
      </c>
      <c r="K88" s="702">
        <v>30.25320295978047</v>
      </c>
      <c r="L88" s="702">
        <v>29.418067350897765</v>
      </c>
      <c r="M88" s="702">
        <v>14.804701725105724</v>
      </c>
      <c r="N88" s="702">
        <v>-2.1092544759006349</v>
      </c>
      <c r="O88" s="702">
        <v>-5.0592761265956439</v>
      </c>
      <c r="P88" s="702">
        <v>-5.4497568476769516</v>
      </c>
      <c r="Q88" s="702">
        <v>-1.662728935994682</v>
      </c>
      <c r="R88" s="702">
        <v>1</v>
      </c>
      <c r="S88" s="702">
        <v>18.262889942194128</v>
      </c>
      <c r="T88" s="702">
        <v>18.262889942194128</v>
      </c>
      <c r="U88" s="702">
        <v>18.262889942194128</v>
      </c>
      <c r="V88" s="702">
        <v>18.262889942194128</v>
      </c>
      <c r="W88" s="702">
        <v>18.262889942194128</v>
      </c>
      <c r="X88" s="702">
        <v>18.262889942194128</v>
      </c>
      <c r="Y88" s="702">
        <v>18.262889942194128</v>
      </c>
      <c r="Z88" s="987">
        <v>18.262889942194128</v>
      </c>
      <c r="AF88" s="28"/>
      <c r="AG88" s="28"/>
    </row>
    <row r="89" spans="1:36" s="19" customFormat="1" ht="12.75" x14ac:dyDescent="0.2">
      <c r="A89" s="986">
        <v>0</v>
      </c>
      <c r="B89" s="984">
        <v>0</v>
      </c>
      <c r="C89" s="989">
        <v>18.262889942194128</v>
      </c>
      <c r="D89" s="691">
        <v>7.0617444391259214</v>
      </c>
      <c r="E89" s="691">
        <v>16.247089411564339</v>
      </c>
      <c r="F89" s="691">
        <v>9.910649135193637</v>
      </c>
      <c r="G89" s="691">
        <v>8.724830010397973</v>
      </c>
      <c r="H89" s="691">
        <v>8.3242612947347165</v>
      </c>
      <c r="I89" s="691">
        <v>8.2664823916859849</v>
      </c>
      <c r="J89" s="691">
        <v>6.9812701082195465</v>
      </c>
      <c r="K89" s="691">
        <v>33.382768341594378</v>
      </c>
      <c r="L89" s="691">
        <v>32.499007118819094</v>
      </c>
      <c r="M89" s="691">
        <v>16.230650241209151</v>
      </c>
      <c r="N89" s="691">
        <v>-2.7913126713465113E-2</v>
      </c>
      <c r="O89" s="691">
        <v>-1.9963646824236045</v>
      </c>
      <c r="P89" s="691">
        <v>-1.662728935994682</v>
      </c>
      <c r="Q89" s="691">
        <v>-1.662728935994682</v>
      </c>
      <c r="R89" s="691">
        <v>1</v>
      </c>
      <c r="S89" s="691">
        <v>18.262889942194128</v>
      </c>
      <c r="T89" s="691">
        <v>18.262889942194128</v>
      </c>
      <c r="U89" s="691">
        <v>18.262889942194128</v>
      </c>
      <c r="V89" s="691">
        <v>18.262889942194128</v>
      </c>
      <c r="W89" s="691">
        <v>18.262889942194128</v>
      </c>
      <c r="X89" s="691">
        <v>18.262889942194128</v>
      </c>
      <c r="Y89" s="691">
        <v>18.262889942194128</v>
      </c>
      <c r="Z89" s="701">
        <v>18.262889942194128</v>
      </c>
      <c r="AF89" s="28"/>
    </row>
    <row r="90" spans="1:36" s="19" customFormat="1" ht="12.75" x14ac:dyDescent="0.2">
      <c r="A90" s="986">
        <v>0</v>
      </c>
      <c r="B90" s="990">
        <v>1</v>
      </c>
      <c r="C90" s="699">
        <v>18.262889942194128</v>
      </c>
      <c r="D90" s="702">
        <v>9.2513669388369042</v>
      </c>
      <c r="E90" s="702">
        <v>18.345414649180142</v>
      </c>
      <c r="F90" s="702">
        <v>12.300533161076734</v>
      </c>
      <c r="G90" s="702">
        <v>10.891352752510764</v>
      </c>
      <c r="H90" s="702">
        <v>10.33268059042916</v>
      </c>
      <c r="I90" s="702">
        <v>11.038386061378324</v>
      </c>
      <c r="J90" s="702">
        <v>8.9840899255086253</v>
      </c>
      <c r="K90" s="702">
        <v>36.302361742640819</v>
      </c>
      <c r="L90" s="702">
        <v>35.38256888447485</v>
      </c>
      <c r="M90" s="702">
        <v>17.63623617081015</v>
      </c>
      <c r="N90" s="702">
        <v>2.0535018608485966</v>
      </c>
      <c r="O90" s="702">
        <v>1.0779932956460401</v>
      </c>
      <c r="P90" s="702">
        <v>2.1388655511113539</v>
      </c>
      <c r="Q90" s="702">
        <v>-1.662728935994682</v>
      </c>
      <c r="R90" s="702">
        <v>1</v>
      </c>
      <c r="S90" s="702">
        <v>18.262889942194128</v>
      </c>
      <c r="T90" s="702">
        <v>18.262889942194128</v>
      </c>
      <c r="U90" s="702">
        <v>18.262889942194128</v>
      </c>
      <c r="V90" s="702">
        <v>18.262889942194128</v>
      </c>
      <c r="W90" s="702">
        <v>18.262889942194128</v>
      </c>
      <c r="X90" s="702">
        <v>18.262889942194128</v>
      </c>
      <c r="Y90" s="702">
        <v>18.262889942194128</v>
      </c>
      <c r="Z90" s="987">
        <v>18.262889942194128</v>
      </c>
      <c r="AF90" s="28"/>
      <c r="AG90" s="28"/>
    </row>
    <row r="91" spans="1:36" s="19" customFormat="1" ht="12.75" x14ac:dyDescent="0.2">
      <c r="A91" s="986">
        <v>0</v>
      </c>
      <c r="B91" s="984">
        <v>2</v>
      </c>
      <c r="C91" s="699">
        <v>18.262889942194128</v>
      </c>
      <c r="D91" s="702">
        <v>11.414077387540338</v>
      </c>
      <c r="E91" s="702">
        <v>20.39400540107885</v>
      </c>
      <c r="F91" s="702">
        <v>14.647745932185986</v>
      </c>
      <c r="G91" s="702">
        <v>13.026816069678523</v>
      </c>
      <c r="H91" s="702">
        <v>12.315762531244086</v>
      </c>
      <c r="I91" s="702">
        <v>13.758977677407088</v>
      </c>
      <c r="J91" s="702">
        <v>10.965023285127069</v>
      </c>
      <c r="K91" s="702">
        <v>39.018745810023084</v>
      </c>
      <c r="L91" s="702">
        <v>38.073890608786868</v>
      </c>
      <c r="M91" s="702">
        <v>19.020238363045639</v>
      </c>
      <c r="N91" s="702">
        <v>4.129511007935835</v>
      </c>
      <c r="O91" s="702">
        <v>4.1461615729972294</v>
      </c>
      <c r="P91" s="702">
        <v>5.9217392818715764</v>
      </c>
      <c r="Q91" s="702">
        <v>-1.662728935994682</v>
      </c>
      <c r="R91" s="702">
        <v>1</v>
      </c>
      <c r="S91" s="702">
        <v>18.262889942194128</v>
      </c>
      <c r="T91" s="702">
        <v>18.262889942194128</v>
      </c>
      <c r="U91" s="702">
        <v>18.262889942194128</v>
      </c>
      <c r="V91" s="702">
        <v>18.262889942194128</v>
      </c>
      <c r="W91" s="702">
        <v>18.262889942194128</v>
      </c>
      <c r="X91" s="702">
        <v>18.262889942194128</v>
      </c>
      <c r="Y91" s="702">
        <v>18.262889942194128</v>
      </c>
      <c r="Z91" s="987">
        <v>18.262889942194128</v>
      </c>
      <c r="AF91" s="28"/>
    </row>
    <row r="92" spans="1:36" s="19" customFormat="1" ht="12.75" x14ac:dyDescent="0.2">
      <c r="A92" s="986">
        <v>0</v>
      </c>
      <c r="B92" s="984">
        <v>3</v>
      </c>
      <c r="C92" s="699">
        <v>18.262889942194128</v>
      </c>
      <c r="D92" s="702">
        <v>13.544335063252534</v>
      </c>
      <c r="E92" s="702">
        <v>22.389565105693247</v>
      </c>
      <c r="F92" s="702">
        <v>16.945773571114444</v>
      </c>
      <c r="G92" s="702">
        <v>15.126091619142516</v>
      </c>
      <c r="H92" s="702">
        <v>14.269331942340251</v>
      </c>
      <c r="I92" s="702">
        <v>16.417786896589224</v>
      </c>
      <c r="J92" s="702">
        <v>12.91977881803737</v>
      </c>
      <c r="K92" s="702">
        <v>41.541434311505157</v>
      </c>
      <c r="L92" s="702">
        <v>40.580844284644598</v>
      </c>
      <c r="M92" s="702">
        <v>20.381573450102309</v>
      </c>
      <c r="N92" s="702">
        <v>6.1947197408685186</v>
      </c>
      <c r="O92" s="702">
        <v>7.190715239396142</v>
      </c>
      <c r="P92" s="702">
        <v>9.6535735803300255</v>
      </c>
      <c r="Q92" s="702">
        <v>-1.662728935994682</v>
      </c>
      <c r="R92" s="702">
        <v>1</v>
      </c>
      <c r="S92" s="702">
        <v>18.262889942194128</v>
      </c>
      <c r="T92" s="702">
        <v>18.262889942194128</v>
      </c>
      <c r="U92" s="702">
        <v>18.262889942194128</v>
      </c>
      <c r="V92" s="702">
        <v>18.262889942194128</v>
      </c>
      <c r="W92" s="702">
        <v>18.262889942194128</v>
      </c>
      <c r="X92" s="702">
        <v>18.262889942194128</v>
      </c>
      <c r="Y92" s="702">
        <v>18.262889942194128</v>
      </c>
      <c r="Z92" s="987">
        <v>18.262889942194128</v>
      </c>
      <c r="AF92" s="28"/>
      <c r="AG92" s="28"/>
    </row>
    <row r="93" spans="1:36" s="19" customFormat="1" ht="12.75" x14ac:dyDescent="0.2">
      <c r="A93" s="986">
        <v>0</v>
      </c>
      <c r="B93" s="984">
        <v>4</v>
      </c>
      <c r="C93" s="699">
        <v>18.262889942194128</v>
      </c>
      <c r="D93" s="702">
        <v>15.637121356287093</v>
      </c>
      <c r="E93" s="702">
        <v>24.329478568927637</v>
      </c>
      <c r="F93" s="702">
        <v>19.189001833304488</v>
      </c>
      <c r="G93" s="702">
        <v>17.184610186014162</v>
      </c>
      <c r="H93" s="702">
        <v>16.189610327926914</v>
      </c>
      <c r="I93" s="702">
        <v>19.005869859120217</v>
      </c>
      <c r="J93" s="702">
        <v>14.844420541712349</v>
      </c>
      <c r="K93" s="702">
        <v>43.881646265659043</v>
      </c>
      <c r="L93" s="702">
        <v>42.91309115494775</v>
      </c>
      <c r="M93" s="702">
        <v>21.719295460020348</v>
      </c>
      <c r="N93" s="702">
        <v>8.2439011507095383</v>
      </c>
      <c r="O93" s="702">
        <v>10.195024066510008</v>
      </c>
      <c r="P93" s="702">
        <v>13.304619561455773</v>
      </c>
      <c r="Q93" s="702">
        <v>-1.662728935994682</v>
      </c>
      <c r="R93" s="702">
        <v>1</v>
      </c>
      <c r="S93" s="702">
        <v>18.262889942194128</v>
      </c>
      <c r="T93" s="702">
        <v>18.262889942194128</v>
      </c>
      <c r="U93" s="702">
        <v>18.262889942194128</v>
      </c>
      <c r="V93" s="702">
        <v>18.262889942194128</v>
      </c>
      <c r="W93" s="702">
        <v>18.262889942194128</v>
      </c>
      <c r="X93" s="702">
        <v>18.262889942194128</v>
      </c>
      <c r="Y93" s="702">
        <v>18.262889942194128</v>
      </c>
      <c r="Z93" s="987">
        <v>18.262889942194128</v>
      </c>
      <c r="AF93" s="28"/>
    </row>
    <row r="94" spans="1:36" s="19" customFormat="1" ht="12.75" x14ac:dyDescent="0.2">
      <c r="A94" s="991">
        <v>0.33</v>
      </c>
      <c r="B94" s="984">
        <v>5</v>
      </c>
      <c r="C94" s="992">
        <v>18.262889942194128</v>
      </c>
      <c r="D94" s="711">
        <v>17.687990729886732</v>
      </c>
      <c r="E94" s="711">
        <v>26.211783273462395</v>
      </c>
      <c r="F94" s="711">
        <v>21.372749742849127</v>
      </c>
      <c r="G94" s="711">
        <v>19.198397301674074</v>
      </c>
      <c r="H94" s="711">
        <v>18.073244876222464</v>
      </c>
      <c r="I94" s="711">
        <v>21.515898994315194</v>
      </c>
      <c r="J94" s="711">
        <v>16.735403560126045</v>
      </c>
      <c r="K94" s="711">
        <v>46.051482638822783</v>
      </c>
      <c r="L94" s="711">
        <v>45.081317399828727</v>
      </c>
      <c r="M94" s="711">
        <v>23.032593772220821</v>
      </c>
      <c r="N94" s="711">
        <v>10.272072331979796</v>
      </c>
      <c r="O94" s="711">
        <v>13.143770376879777</v>
      </c>
      <c r="P94" s="711">
        <v>16.848986750106501</v>
      </c>
      <c r="Q94" s="711">
        <v>-1.662728935994682</v>
      </c>
      <c r="R94" s="711">
        <v>1</v>
      </c>
      <c r="S94" s="711">
        <v>18.262889942194128</v>
      </c>
      <c r="T94" s="711">
        <v>18.262889942194128</v>
      </c>
      <c r="U94" s="711">
        <v>18.262889942194128</v>
      </c>
      <c r="V94" s="711">
        <v>18.262889942194128</v>
      </c>
      <c r="W94" s="711">
        <v>18.262889942194128</v>
      </c>
      <c r="X94" s="711">
        <v>18.262889942194128</v>
      </c>
      <c r="Y94" s="711">
        <v>18.262889942194128</v>
      </c>
      <c r="Z94" s="993">
        <v>18.262889942194128</v>
      </c>
      <c r="AF94" s="28"/>
      <c r="AG94" s="28"/>
    </row>
    <row r="96" spans="1:36" s="681" customFormat="1" x14ac:dyDescent="0.25">
      <c r="A96" s="681" t="s">
        <v>328</v>
      </c>
      <c r="F96" s="1057"/>
      <c r="G96" s="1058"/>
      <c r="H96" s="703"/>
      <c r="I96" s="681" t="s">
        <v>327</v>
      </c>
      <c r="N96" s="1057"/>
      <c r="Q96" s="681" t="s">
        <v>325</v>
      </c>
      <c r="V96" s="1057"/>
      <c r="W96" s="1058"/>
      <c r="X96" s="703"/>
      <c r="Y96" s="681" t="s">
        <v>326</v>
      </c>
      <c r="AD96" s="1057"/>
      <c r="AH96" s="1059"/>
    </row>
    <row r="97" spans="1:34" s="19" customFormat="1" ht="12.75" x14ac:dyDescent="0.2">
      <c r="A97" s="1052" t="s">
        <v>161</v>
      </c>
      <c r="B97" s="1053"/>
      <c r="C97" s="1054"/>
      <c r="D97" s="1055"/>
      <c r="E97" s="1055"/>
      <c r="F97" s="1056"/>
      <c r="G97" s="29"/>
      <c r="H97" s="31"/>
      <c r="I97" s="1052" t="s">
        <v>161</v>
      </c>
      <c r="J97" s="1053"/>
      <c r="K97" s="1054"/>
      <c r="L97" s="1055"/>
      <c r="M97" s="1055"/>
      <c r="N97" s="1056"/>
      <c r="Q97" s="1052" t="s">
        <v>161</v>
      </c>
      <c r="R97" s="1053"/>
      <c r="S97" s="1054"/>
      <c r="T97" s="1055"/>
      <c r="U97" s="1055"/>
      <c r="V97" s="1056"/>
      <c r="W97" s="29"/>
      <c r="X97" s="708"/>
      <c r="Y97" s="1052"/>
      <c r="Z97" s="1053"/>
      <c r="AA97" s="1054"/>
      <c r="AB97" s="1055"/>
      <c r="AC97" s="1055"/>
      <c r="AD97" s="1056"/>
      <c r="AH97" s="1060"/>
    </row>
    <row r="98" spans="1:34" s="19" customFormat="1" ht="12.75" x14ac:dyDescent="0.2">
      <c r="A98" s="932" t="s">
        <v>315</v>
      </c>
      <c r="B98" s="930">
        <v>2</v>
      </c>
      <c r="C98" s="1011">
        <v>11</v>
      </c>
      <c r="D98" s="931">
        <v>3133.5</v>
      </c>
      <c r="E98" s="931">
        <v>4404</v>
      </c>
      <c r="F98" s="1013"/>
      <c r="G98" s="29"/>
      <c r="H98" s="31"/>
      <c r="I98" s="932" t="s">
        <v>315</v>
      </c>
      <c r="J98" s="930">
        <v>2</v>
      </c>
      <c r="K98" s="1011">
        <v>11</v>
      </c>
      <c r="L98" s="931">
        <v>3133.5</v>
      </c>
      <c r="M98" s="931">
        <v>4404</v>
      </c>
      <c r="N98" s="1013"/>
      <c r="Q98" s="932" t="s">
        <v>315</v>
      </c>
      <c r="R98" s="930">
        <v>2</v>
      </c>
      <c r="S98" s="1011">
        <v>11</v>
      </c>
      <c r="T98" s="931">
        <v>3133.5</v>
      </c>
      <c r="U98" s="931">
        <v>4404</v>
      </c>
      <c r="V98" s="1013"/>
      <c r="W98" s="29"/>
      <c r="X98" s="708"/>
      <c r="Y98" s="932"/>
      <c r="Z98" s="930"/>
      <c r="AA98" s="1011"/>
      <c r="AB98" s="931"/>
      <c r="AC98" s="931"/>
      <c r="AD98" s="1013"/>
      <c r="AH98" s="1060"/>
    </row>
    <row r="99" spans="1:34" s="19" customFormat="1" ht="12.75" x14ac:dyDescent="0.2">
      <c r="A99" s="932" t="s">
        <v>153</v>
      </c>
      <c r="B99" s="930">
        <v>2</v>
      </c>
      <c r="C99" s="1011">
        <v>21</v>
      </c>
      <c r="D99" s="931">
        <v>3130</v>
      </c>
      <c r="E99" s="931">
        <v>4396.3</v>
      </c>
      <c r="F99" s="1013"/>
      <c r="G99" s="29"/>
      <c r="H99" s="31"/>
      <c r="I99" s="932" t="s">
        <v>153</v>
      </c>
      <c r="J99" s="930">
        <v>2</v>
      </c>
      <c r="K99" s="1011">
        <v>21</v>
      </c>
      <c r="L99" s="931">
        <v>3130</v>
      </c>
      <c r="M99" s="931">
        <v>4396.3</v>
      </c>
      <c r="N99" s="1013"/>
      <c r="Q99" s="932" t="s">
        <v>153</v>
      </c>
      <c r="R99" s="930">
        <v>2</v>
      </c>
      <c r="S99" s="1011">
        <v>21</v>
      </c>
      <c r="T99" s="931">
        <v>3130</v>
      </c>
      <c r="U99" s="931">
        <v>4396.3</v>
      </c>
      <c r="V99" s="1013"/>
      <c r="W99" s="29"/>
      <c r="X99" s="708"/>
      <c r="Y99" s="932"/>
      <c r="Z99" s="930"/>
      <c r="AA99" s="1011"/>
      <c r="AB99" s="931"/>
      <c r="AC99" s="931"/>
      <c r="AD99" s="1013"/>
      <c r="AH99" s="1060"/>
    </row>
    <row r="100" spans="1:34" s="19" customFormat="1" ht="12.75" x14ac:dyDescent="0.2">
      <c r="A100" s="932" t="s">
        <v>154</v>
      </c>
      <c r="B100" s="930">
        <v>2</v>
      </c>
      <c r="C100" s="1011">
        <v>15</v>
      </c>
      <c r="D100" s="931">
        <v>3124.4</v>
      </c>
      <c r="E100" s="931">
        <v>4391.8999999999996</v>
      </c>
      <c r="F100" s="1013"/>
      <c r="G100" s="29"/>
      <c r="H100" s="31"/>
      <c r="I100" s="932" t="s">
        <v>154</v>
      </c>
      <c r="J100" s="930">
        <v>2</v>
      </c>
      <c r="K100" s="1011">
        <v>15</v>
      </c>
      <c r="L100" s="931">
        <v>3124.4</v>
      </c>
      <c r="M100" s="931">
        <v>4391.8999999999996</v>
      </c>
      <c r="N100" s="1013"/>
      <c r="Q100" s="932" t="s">
        <v>154</v>
      </c>
      <c r="R100" s="930">
        <v>2</v>
      </c>
      <c r="S100" s="1011">
        <v>15</v>
      </c>
      <c r="T100" s="931">
        <v>3124.4</v>
      </c>
      <c r="U100" s="931">
        <v>4391.8999999999996</v>
      </c>
      <c r="V100" s="1013"/>
      <c r="W100" s="29"/>
      <c r="X100" s="708"/>
      <c r="Y100" s="932"/>
      <c r="Z100" s="930"/>
      <c r="AA100" s="1011"/>
      <c r="AB100" s="931"/>
      <c r="AC100" s="931"/>
      <c r="AD100" s="1013"/>
      <c r="AH100" s="1060"/>
    </row>
    <row r="101" spans="1:34" s="19" customFormat="1" ht="12.75" x14ac:dyDescent="0.2">
      <c r="A101" s="932" t="s">
        <v>155</v>
      </c>
      <c r="B101" s="930">
        <v>2</v>
      </c>
      <c r="C101" s="1011">
        <v>14</v>
      </c>
      <c r="D101" s="931">
        <v>3121</v>
      </c>
      <c r="E101" s="931">
        <v>4386.1000000000004</v>
      </c>
      <c r="F101" s="1013"/>
      <c r="G101" s="29"/>
      <c r="H101" s="31"/>
      <c r="I101" s="932" t="s">
        <v>155</v>
      </c>
      <c r="J101" s="930">
        <v>2</v>
      </c>
      <c r="K101" s="1011">
        <v>14</v>
      </c>
      <c r="L101" s="931">
        <v>3121</v>
      </c>
      <c r="M101" s="931">
        <v>4386.1000000000004</v>
      </c>
      <c r="N101" s="1013"/>
      <c r="Q101" s="932" t="s">
        <v>155</v>
      </c>
      <c r="R101" s="930">
        <v>2</v>
      </c>
      <c r="S101" s="1011">
        <v>14</v>
      </c>
      <c r="T101" s="931">
        <v>3121</v>
      </c>
      <c r="U101" s="931">
        <v>4386.1000000000004</v>
      </c>
      <c r="V101" s="1013"/>
      <c r="W101" s="29"/>
      <c r="X101" s="708"/>
      <c r="Y101" s="932"/>
      <c r="Z101" s="930"/>
      <c r="AA101" s="1011"/>
      <c r="AB101" s="931"/>
      <c r="AC101" s="931"/>
      <c r="AD101" s="1013"/>
      <c r="AH101" s="1060"/>
    </row>
    <row r="102" spans="1:34" s="19" customFormat="1" ht="12.75" x14ac:dyDescent="0.2">
      <c r="A102" s="932" t="s">
        <v>156</v>
      </c>
      <c r="B102" s="930">
        <v>2</v>
      </c>
      <c r="C102" s="1011">
        <v>13.83</v>
      </c>
      <c r="D102" s="931">
        <v>3116.3</v>
      </c>
      <c r="E102" s="931">
        <v>4381.8</v>
      </c>
      <c r="F102" s="1013"/>
      <c r="G102" s="29"/>
      <c r="H102" s="31"/>
      <c r="I102" s="932" t="s">
        <v>156</v>
      </c>
      <c r="J102" s="930">
        <v>2</v>
      </c>
      <c r="K102" s="1011">
        <v>13.83</v>
      </c>
      <c r="L102" s="931">
        <v>3116.3</v>
      </c>
      <c r="M102" s="931">
        <v>4381.8</v>
      </c>
      <c r="N102" s="1013"/>
      <c r="Q102" s="932" t="s">
        <v>156</v>
      </c>
      <c r="R102" s="930">
        <v>2</v>
      </c>
      <c r="S102" s="1011">
        <v>13.83</v>
      </c>
      <c r="T102" s="931">
        <v>3116.3</v>
      </c>
      <c r="U102" s="931">
        <v>4381.8</v>
      </c>
      <c r="V102" s="1013"/>
      <c r="W102" s="29"/>
      <c r="X102" s="708"/>
      <c r="Y102" s="932"/>
      <c r="Z102" s="930"/>
      <c r="AA102" s="1011"/>
      <c r="AB102" s="931"/>
      <c r="AC102" s="931"/>
      <c r="AD102" s="1013"/>
      <c r="AH102" s="1060"/>
    </row>
    <row r="103" spans="1:34" s="19" customFormat="1" ht="12.75" x14ac:dyDescent="0.2">
      <c r="A103" s="932" t="s">
        <v>157</v>
      </c>
      <c r="B103" s="930">
        <v>2</v>
      </c>
      <c r="C103" s="1011">
        <v>16.12</v>
      </c>
      <c r="D103" s="931">
        <v>3107.8</v>
      </c>
      <c r="E103" s="931">
        <v>4388.3</v>
      </c>
      <c r="F103" s="1013"/>
      <c r="G103" s="29"/>
      <c r="H103" s="31"/>
      <c r="I103" s="932" t="s">
        <v>157</v>
      </c>
      <c r="J103" s="930">
        <v>2</v>
      </c>
      <c r="K103" s="1011">
        <v>16.12</v>
      </c>
      <c r="L103" s="931">
        <v>3107.8</v>
      </c>
      <c r="M103" s="931">
        <v>4388.3</v>
      </c>
      <c r="N103" s="1013"/>
      <c r="Q103" s="932" t="s">
        <v>157</v>
      </c>
      <c r="R103" s="930">
        <v>2</v>
      </c>
      <c r="S103" s="1011">
        <v>16.12</v>
      </c>
      <c r="T103" s="931">
        <v>3107.8</v>
      </c>
      <c r="U103" s="931">
        <v>4388.3</v>
      </c>
      <c r="V103" s="1013"/>
      <c r="W103" s="29"/>
      <c r="X103" s="708"/>
      <c r="Y103" s="932"/>
      <c r="Z103" s="930"/>
      <c r="AA103" s="1011"/>
      <c r="AB103" s="931"/>
      <c r="AC103" s="931"/>
      <c r="AD103" s="1013"/>
      <c r="AH103" s="1060"/>
    </row>
    <row r="104" spans="1:34" s="19" customFormat="1" ht="12.75" x14ac:dyDescent="0.2">
      <c r="A104" s="932" t="s">
        <v>158</v>
      </c>
      <c r="B104" s="930">
        <v>2</v>
      </c>
      <c r="C104" s="1011">
        <v>13.37</v>
      </c>
      <c r="D104" s="931">
        <v>3102.6</v>
      </c>
      <c r="E104" s="931">
        <v>4380.8999999999996</v>
      </c>
      <c r="F104" s="1013"/>
      <c r="G104" s="29"/>
      <c r="H104" s="31"/>
      <c r="I104" s="932" t="s">
        <v>158</v>
      </c>
      <c r="J104" s="930">
        <v>2</v>
      </c>
      <c r="K104" s="1011">
        <v>13.37</v>
      </c>
      <c r="L104" s="931">
        <v>3102.6</v>
      </c>
      <c r="M104" s="931">
        <v>4380.8999999999996</v>
      </c>
      <c r="N104" s="1013"/>
      <c r="Q104" s="932" t="s">
        <v>158</v>
      </c>
      <c r="R104" s="930">
        <v>2</v>
      </c>
      <c r="S104" s="1011">
        <v>13.37</v>
      </c>
      <c r="T104" s="931">
        <v>3102.6</v>
      </c>
      <c r="U104" s="931">
        <v>4380.8999999999996</v>
      </c>
      <c r="V104" s="1013" t="s">
        <v>298</v>
      </c>
      <c r="W104" s="29"/>
      <c r="X104" s="708"/>
      <c r="Y104" s="932"/>
      <c r="Z104" s="930"/>
      <c r="AA104" s="1011"/>
      <c r="AB104" s="931"/>
      <c r="AC104" s="931"/>
      <c r="AD104" s="1013"/>
      <c r="AH104" s="1060"/>
    </row>
    <row r="105" spans="1:34" s="19" customFormat="1" ht="12.75" x14ac:dyDescent="0.2">
      <c r="A105" s="932" t="s">
        <v>259</v>
      </c>
      <c r="B105" s="930">
        <v>1</v>
      </c>
      <c r="C105" s="1011">
        <v>21</v>
      </c>
      <c r="D105" s="931">
        <v>3101.2</v>
      </c>
      <c r="E105" s="931">
        <v>4397.2</v>
      </c>
      <c r="F105" s="1013"/>
      <c r="G105" s="29"/>
      <c r="H105" s="31"/>
      <c r="I105" s="932" t="s">
        <v>259</v>
      </c>
      <c r="J105" s="930">
        <v>1</v>
      </c>
      <c r="K105" s="1011">
        <v>21</v>
      </c>
      <c r="L105" s="931">
        <v>3101.2</v>
      </c>
      <c r="M105" s="931">
        <v>4397.2</v>
      </c>
      <c r="N105" s="1013" t="s">
        <v>298</v>
      </c>
      <c r="Q105" s="932" t="s">
        <v>259</v>
      </c>
      <c r="R105" s="930">
        <v>1</v>
      </c>
      <c r="S105" s="1011">
        <v>21</v>
      </c>
      <c r="T105" s="931">
        <v>3101.2</v>
      </c>
      <c r="U105" s="931">
        <v>4397.2</v>
      </c>
      <c r="V105" s="1013" t="s">
        <v>130</v>
      </c>
      <c r="W105" s="29"/>
      <c r="X105" s="708"/>
      <c r="Y105" s="932"/>
      <c r="Z105" s="930"/>
      <c r="AA105" s="1011"/>
      <c r="AB105" s="931"/>
      <c r="AC105" s="931"/>
      <c r="AD105" s="1013"/>
      <c r="AH105" s="1060"/>
    </row>
    <row r="106" spans="1:34" s="19" customFormat="1" ht="12.75" x14ac:dyDescent="0.2">
      <c r="A106" s="932" t="s">
        <v>260</v>
      </c>
      <c r="B106" s="930">
        <v>1</v>
      </c>
      <c r="C106" s="1011">
        <v>21</v>
      </c>
      <c r="D106" s="931">
        <v>3098.9</v>
      </c>
      <c r="E106" s="931">
        <v>4398.3999999999996</v>
      </c>
      <c r="F106" s="1013" t="s">
        <v>130</v>
      </c>
      <c r="G106" s="29"/>
      <c r="H106" s="31"/>
      <c r="I106" s="932" t="s">
        <v>260</v>
      </c>
      <c r="J106" s="930">
        <v>1</v>
      </c>
      <c r="K106" s="1011">
        <v>21</v>
      </c>
      <c r="L106" s="931">
        <v>3098.9</v>
      </c>
      <c r="M106" s="931">
        <v>4398.3999999999996</v>
      </c>
      <c r="N106" s="1013"/>
      <c r="Q106" s="932" t="s">
        <v>260</v>
      </c>
      <c r="R106" s="930">
        <v>1</v>
      </c>
      <c r="S106" s="1011">
        <v>21</v>
      </c>
      <c r="T106" s="931">
        <v>3098.9</v>
      </c>
      <c r="U106" s="931">
        <v>4398.3999999999996</v>
      </c>
      <c r="V106" s="1013"/>
      <c r="W106" s="29"/>
      <c r="X106" s="708"/>
      <c r="Y106" s="932"/>
      <c r="Z106" s="930"/>
      <c r="AA106" s="1011"/>
      <c r="AB106" s="931"/>
      <c r="AC106" s="931"/>
      <c r="AD106" s="1013"/>
      <c r="AH106" s="1060"/>
    </row>
    <row r="107" spans="1:34" s="19" customFormat="1" ht="12.75" x14ac:dyDescent="0.2">
      <c r="A107" s="932" t="s">
        <v>261</v>
      </c>
      <c r="B107" s="930">
        <v>1</v>
      </c>
      <c r="C107" s="1011">
        <v>40.71</v>
      </c>
      <c r="D107" s="931">
        <v>3079.5</v>
      </c>
      <c r="E107" s="931">
        <v>4384.6000000000004</v>
      </c>
      <c r="F107" s="1013"/>
      <c r="G107" s="29"/>
      <c r="H107" s="31"/>
      <c r="I107" s="932" t="s">
        <v>159</v>
      </c>
      <c r="J107" s="930">
        <v>1</v>
      </c>
      <c r="K107" s="1011">
        <v>24.62</v>
      </c>
      <c r="L107" s="931">
        <v>3085.9</v>
      </c>
      <c r="M107" s="931">
        <v>4388.8999999999996</v>
      </c>
      <c r="N107" s="1013" t="s">
        <v>130</v>
      </c>
      <c r="Q107" s="932" t="s">
        <v>159</v>
      </c>
      <c r="R107" s="930">
        <v>1</v>
      </c>
      <c r="S107" s="1011">
        <v>24.62</v>
      </c>
      <c r="T107" s="931">
        <v>3085.9</v>
      </c>
      <c r="U107" s="931">
        <v>4388.8999999999996</v>
      </c>
      <c r="V107" s="1013" t="s">
        <v>298</v>
      </c>
      <c r="W107" s="29"/>
      <c r="X107" s="708"/>
      <c r="Y107" s="932"/>
      <c r="Z107" s="930"/>
      <c r="AA107" s="1011"/>
      <c r="AB107" s="931"/>
      <c r="AC107" s="931"/>
      <c r="AD107" s="1013"/>
      <c r="AH107" s="1060"/>
    </row>
    <row r="108" spans="1:34" s="19" customFormat="1" ht="12.75" x14ac:dyDescent="0.2">
      <c r="A108" s="932" t="s">
        <v>316</v>
      </c>
      <c r="B108" s="930">
        <v>2</v>
      </c>
      <c r="C108" s="1011">
        <v>5</v>
      </c>
      <c r="D108" s="931">
        <v>3083.01</v>
      </c>
      <c r="E108" s="931">
        <v>4397.3999999999996</v>
      </c>
      <c r="F108" s="1013"/>
      <c r="G108" s="29"/>
      <c r="H108" s="31"/>
      <c r="I108" s="932" t="s">
        <v>261</v>
      </c>
      <c r="J108" s="930">
        <v>1</v>
      </c>
      <c r="K108" s="1011">
        <v>40.71</v>
      </c>
      <c r="L108" s="931">
        <v>3079.5</v>
      </c>
      <c r="M108" s="931">
        <v>4384.6000000000004</v>
      </c>
      <c r="N108" s="1013"/>
      <c r="Q108" s="932" t="s">
        <v>261</v>
      </c>
      <c r="R108" s="930">
        <v>1</v>
      </c>
      <c r="S108" s="1011">
        <v>40.71</v>
      </c>
      <c r="T108" s="931">
        <v>3079.5</v>
      </c>
      <c r="U108" s="931">
        <v>4384.6000000000004</v>
      </c>
      <c r="V108" s="1013"/>
      <c r="W108" s="29"/>
      <c r="X108" s="708"/>
      <c r="Y108" s="932"/>
      <c r="Z108" s="930"/>
      <c r="AA108" s="1011"/>
      <c r="AB108" s="931"/>
      <c r="AC108" s="931"/>
      <c r="AD108" s="1013"/>
      <c r="AH108" s="1060"/>
    </row>
    <row r="109" spans="1:34" s="19" customFormat="1" ht="12.75" x14ac:dyDescent="0.2">
      <c r="A109" s="932" t="s">
        <v>263</v>
      </c>
      <c r="B109" s="930">
        <v>2</v>
      </c>
      <c r="C109" s="1012">
        <v>5</v>
      </c>
      <c r="D109" s="931">
        <v>3089.9</v>
      </c>
      <c r="E109" s="931">
        <v>4405.1000000000004</v>
      </c>
      <c r="F109" s="1013" t="s">
        <v>130</v>
      </c>
      <c r="G109" s="29"/>
      <c r="H109" s="31"/>
      <c r="I109" s="932" t="s">
        <v>316</v>
      </c>
      <c r="J109" s="930">
        <v>2</v>
      </c>
      <c r="K109" s="1012">
        <v>5</v>
      </c>
      <c r="L109" s="931">
        <v>3083.01</v>
      </c>
      <c r="M109" s="931">
        <v>4397.3999999999996</v>
      </c>
      <c r="N109" s="1013"/>
      <c r="Q109" s="932" t="s">
        <v>316</v>
      </c>
      <c r="R109" s="930">
        <v>2</v>
      </c>
      <c r="S109" s="1012">
        <v>3.81</v>
      </c>
      <c r="T109" s="931">
        <v>3083.01</v>
      </c>
      <c r="U109" s="931">
        <v>4397.3999999999996</v>
      </c>
      <c r="V109" s="1013"/>
      <c r="W109" s="29"/>
      <c r="X109" s="708"/>
      <c r="Y109" s="932"/>
      <c r="Z109" s="930"/>
      <c r="AA109" s="1012"/>
      <c r="AB109" s="931"/>
      <c r="AC109" s="931"/>
      <c r="AD109" s="1013"/>
      <c r="AH109" s="1060"/>
    </row>
    <row r="110" spans="1:34" s="19" customFormat="1" ht="12.75" x14ac:dyDescent="0.2">
      <c r="A110" s="932" t="s">
        <v>321</v>
      </c>
      <c r="B110" s="930">
        <v>2</v>
      </c>
      <c r="C110" s="1012">
        <v>8.2200000000000006</v>
      </c>
      <c r="D110" s="931">
        <v>3093.2</v>
      </c>
      <c r="E110" s="931">
        <v>4407.5</v>
      </c>
      <c r="F110" s="1013"/>
      <c r="G110" s="29"/>
      <c r="H110" s="31"/>
      <c r="I110" s="932" t="s">
        <v>263</v>
      </c>
      <c r="J110" s="930">
        <v>2</v>
      </c>
      <c r="K110" s="1012">
        <v>5</v>
      </c>
      <c r="L110" s="931">
        <v>3089.9</v>
      </c>
      <c r="M110" s="931">
        <v>4405.1000000000004</v>
      </c>
      <c r="N110" s="1013" t="s">
        <v>130</v>
      </c>
      <c r="Q110" s="932" t="s">
        <v>263</v>
      </c>
      <c r="R110" s="930">
        <v>2</v>
      </c>
      <c r="S110" s="1012">
        <v>6.42</v>
      </c>
      <c r="T110" s="931">
        <v>3089.9</v>
      </c>
      <c r="U110" s="931">
        <v>4405.1000000000004</v>
      </c>
      <c r="V110" s="1013" t="s">
        <v>130</v>
      </c>
      <c r="W110" s="29"/>
      <c r="X110" s="708"/>
      <c r="Y110" s="932"/>
      <c r="Z110" s="930"/>
      <c r="AA110" s="1012"/>
      <c r="AB110" s="931"/>
      <c r="AC110" s="931"/>
      <c r="AD110" s="1013"/>
      <c r="AH110" s="1060"/>
    </row>
    <row r="111" spans="1:34" s="19" customFormat="1" ht="12.75" x14ac:dyDescent="0.2">
      <c r="A111" s="932" t="s">
        <v>264</v>
      </c>
      <c r="B111" s="930"/>
      <c r="C111" s="1012"/>
      <c r="D111" s="931"/>
      <c r="E111" s="931"/>
      <c r="F111" s="1013"/>
      <c r="G111" s="29"/>
      <c r="H111" s="31"/>
      <c r="I111" s="932" t="s">
        <v>321</v>
      </c>
      <c r="J111" s="930">
        <v>2</v>
      </c>
      <c r="K111" s="1012">
        <v>8.2200000000000006</v>
      </c>
      <c r="L111" s="931">
        <v>3093.2</v>
      </c>
      <c r="M111" s="931">
        <v>4407.5</v>
      </c>
      <c r="N111" s="1013"/>
      <c r="Q111" s="932" t="s">
        <v>321</v>
      </c>
      <c r="R111" s="930">
        <v>2</v>
      </c>
      <c r="S111" s="1012">
        <v>8.2200000000000006</v>
      </c>
      <c r="T111" s="931">
        <v>3093.2</v>
      </c>
      <c r="U111" s="931">
        <v>4407.5</v>
      </c>
      <c r="V111" s="1013"/>
      <c r="W111" s="29"/>
      <c r="X111" s="708"/>
      <c r="Y111" s="932"/>
      <c r="Z111" s="930"/>
      <c r="AA111" s="1012"/>
      <c r="AB111" s="931"/>
      <c r="AC111" s="931"/>
      <c r="AD111" s="1013"/>
      <c r="AH111" s="1060"/>
    </row>
    <row r="112" spans="1:34" s="19" customFormat="1" ht="12.75" x14ac:dyDescent="0.2">
      <c r="A112" s="932" t="s">
        <v>301</v>
      </c>
      <c r="B112" s="930"/>
      <c r="C112" s="1006"/>
      <c r="D112" s="931"/>
      <c r="E112" s="931"/>
      <c r="F112" s="1013"/>
      <c r="G112" s="29"/>
      <c r="H112" s="31"/>
      <c r="I112" s="932" t="s">
        <v>264</v>
      </c>
      <c r="J112" s="930"/>
      <c r="K112" s="1006"/>
      <c r="L112" s="931"/>
      <c r="M112" s="931"/>
      <c r="N112" s="1013"/>
      <c r="Q112" s="932" t="s">
        <v>264</v>
      </c>
      <c r="R112" s="930"/>
      <c r="S112" s="1006"/>
      <c r="T112" s="931"/>
      <c r="U112" s="931"/>
      <c r="V112" s="1013"/>
      <c r="W112" s="29"/>
      <c r="X112" s="708"/>
      <c r="Y112" s="932"/>
      <c r="Z112" s="930"/>
      <c r="AA112" s="1006"/>
      <c r="AB112" s="931"/>
      <c r="AC112" s="931"/>
      <c r="AD112" s="1013"/>
      <c r="AH112" s="1060"/>
    </row>
    <row r="113" spans="1:34" s="19" customFormat="1" ht="12.75" x14ac:dyDescent="0.2">
      <c r="A113" s="932" t="s">
        <v>161</v>
      </c>
      <c r="B113" s="930"/>
      <c r="C113" s="1006"/>
      <c r="D113" s="931"/>
      <c r="E113" s="931"/>
      <c r="F113" s="1013"/>
      <c r="G113" s="29"/>
      <c r="H113" s="31"/>
      <c r="I113" s="932" t="s">
        <v>301</v>
      </c>
      <c r="J113" s="930"/>
      <c r="K113" s="1006"/>
      <c r="L113" s="931"/>
      <c r="M113" s="931"/>
      <c r="N113" s="1013"/>
      <c r="Q113" s="932" t="s">
        <v>301</v>
      </c>
      <c r="R113" s="930"/>
      <c r="S113" s="1006"/>
      <c r="T113" s="931"/>
      <c r="U113" s="931"/>
      <c r="V113" s="1013"/>
      <c r="W113" s="29"/>
      <c r="X113" s="708"/>
      <c r="Y113" s="932"/>
      <c r="Z113" s="930"/>
      <c r="AA113" s="1006"/>
      <c r="AB113" s="931"/>
      <c r="AC113" s="931"/>
      <c r="AD113" s="1013"/>
      <c r="AH113" s="1060"/>
    </row>
    <row r="114" spans="1:34" s="19" customFormat="1" ht="12.75" x14ac:dyDescent="0.2">
      <c r="A114" s="932"/>
      <c r="B114" s="930"/>
      <c r="C114" s="1006"/>
      <c r="D114" s="931"/>
      <c r="E114" s="931"/>
      <c r="F114" s="1013"/>
      <c r="G114" s="29"/>
      <c r="H114" s="31"/>
      <c r="I114" s="932" t="s">
        <v>161</v>
      </c>
      <c r="J114" s="930"/>
      <c r="K114" s="1006"/>
      <c r="L114" s="931"/>
      <c r="M114" s="931"/>
      <c r="N114" s="1013"/>
      <c r="Q114" s="932" t="s">
        <v>161</v>
      </c>
      <c r="R114" s="930"/>
      <c r="S114" s="1006"/>
      <c r="T114" s="931"/>
      <c r="U114" s="931"/>
      <c r="V114" s="1013"/>
      <c r="W114" s="29"/>
      <c r="X114" s="708"/>
      <c r="Y114" s="932"/>
      <c r="Z114" s="930"/>
      <c r="AA114" s="1006"/>
      <c r="AB114" s="931"/>
      <c r="AC114" s="931"/>
      <c r="AD114" s="1013"/>
      <c r="AH114" s="1060"/>
    </row>
    <row r="115" spans="1:34" s="19" customFormat="1" ht="12.75" x14ac:dyDescent="0.2">
      <c r="A115" s="932"/>
      <c r="B115" s="930"/>
      <c r="C115" s="1006"/>
      <c r="D115" s="931"/>
      <c r="E115" s="931"/>
      <c r="F115" s="1013"/>
      <c r="G115" s="29"/>
      <c r="H115" s="31"/>
      <c r="I115" s="932"/>
      <c r="J115" s="930"/>
      <c r="K115" s="1006"/>
      <c r="L115" s="931"/>
      <c r="M115" s="931"/>
      <c r="N115" s="1013"/>
      <c r="Q115" s="932"/>
      <c r="R115" s="930"/>
      <c r="S115" s="1006"/>
      <c r="T115" s="931"/>
      <c r="U115" s="931"/>
      <c r="V115" s="1013"/>
      <c r="W115" s="29"/>
      <c r="X115" s="708"/>
      <c r="Y115" s="932"/>
      <c r="Z115" s="930"/>
      <c r="AA115" s="1006"/>
      <c r="AB115" s="931"/>
      <c r="AC115" s="931"/>
      <c r="AD115" s="1013"/>
      <c r="AH115" s="1060"/>
    </row>
    <row r="116" spans="1:34" s="19" customFormat="1" ht="12.75" x14ac:dyDescent="0.2">
      <c r="A116" s="932"/>
      <c r="B116" s="930"/>
      <c r="C116" s="1006"/>
      <c r="D116" s="931"/>
      <c r="E116" s="931"/>
      <c r="F116" s="1013"/>
      <c r="G116" s="29"/>
      <c r="H116" s="31"/>
      <c r="I116" s="932"/>
      <c r="J116" s="930"/>
      <c r="K116" s="1006"/>
      <c r="L116" s="931"/>
      <c r="M116" s="931"/>
      <c r="N116" s="1013"/>
      <c r="Q116" s="932"/>
      <c r="R116" s="930"/>
      <c r="S116" s="1006"/>
      <c r="T116" s="931"/>
      <c r="U116" s="931"/>
      <c r="V116" s="1013"/>
      <c r="W116" s="29"/>
      <c r="X116" s="708"/>
      <c r="Y116" s="932"/>
      <c r="Z116" s="930"/>
      <c r="AA116" s="1006"/>
      <c r="AB116" s="931"/>
      <c r="AC116" s="931"/>
      <c r="AD116" s="1013"/>
      <c r="AH116" s="1060"/>
    </row>
    <row r="117" spans="1:34" s="19" customFormat="1" ht="12.75" x14ac:dyDescent="0.2">
      <c r="A117" s="932"/>
      <c r="B117" s="930"/>
      <c r="C117" s="1006"/>
      <c r="D117" s="931"/>
      <c r="E117" s="931"/>
      <c r="F117" s="1013"/>
      <c r="G117" s="29"/>
      <c r="H117" s="31"/>
      <c r="I117" s="932"/>
      <c r="J117" s="930"/>
      <c r="K117" s="1006"/>
      <c r="L117" s="931"/>
      <c r="M117" s="931"/>
      <c r="N117" s="1013"/>
      <c r="Q117" s="932"/>
      <c r="R117" s="930"/>
      <c r="S117" s="1006"/>
      <c r="T117" s="931"/>
      <c r="U117" s="931"/>
      <c r="V117" s="1013"/>
      <c r="W117" s="29"/>
      <c r="X117" s="708"/>
      <c r="Y117" s="932"/>
      <c r="Z117" s="930"/>
      <c r="AA117" s="1006"/>
      <c r="AB117" s="931"/>
      <c r="AC117" s="931"/>
      <c r="AD117" s="1013"/>
      <c r="AH117" s="1060"/>
    </row>
    <row r="118" spans="1:34" s="19" customFormat="1" ht="12.75" x14ac:dyDescent="0.2">
      <c r="A118" s="932"/>
      <c r="B118" s="930"/>
      <c r="C118" s="1006"/>
      <c r="D118" s="931"/>
      <c r="E118" s="931"/>
      <c r="F118" s="1013"/>
      <c r="G118" s="29"/>
      <c r="H118" s="31"/>
      <c r="I118" s="932"/>
      <c r="J118" s="930"/>
      <c r="K118" s="1006"/>
      <c r="L118" s="931"/>
      <c r="M118" s="931"/>
      <c r="N118" s="1013"/>
      <c r="Q118" s="932"/>
      <c r="R118" s="930"/>
      <c r="S118" s="1006"/>
      <c r="T118" s="931"/>
      <c r="U118" s="931"/>
      <c r="V118" s="1013"/>
      <c r="W118" s="29"/>
      <c r="X118" s="708"/>
      <c r="Y118" s="932"/>
      <c r="Z118" s="930"/>
      <c r="AA118" s="1006"/>
      <c r="AB118" s="931"/>
      <c r="AC118" s="931"/>
      <c r="AD118" s="1013"/>
      <c r="AH118" s="1060"/>
    </row>
    <row r="119" spans="1:34" s="19" customFormat="1" ht="12.75" x14ac:dyDescent="0.2">
      <c r="A119" s="932"/>
      <c r="B119" s="930"/>
      <c r="C119" s="1006"/>
      <c r="D119" s="931"/>
      <c r="E119" s="931"/>
      <c r="F119" s="1013"/>
      <c r="G119" s="29"/>
      <c r="H119" s="31"/>
      <c r="I119" s="932"/>
      <c r="J119" s="930"/>
      <c r="K119" s="1006"/>
      <c r="L119" s="931"/>
      <c r="M119" s="931"/>
      <c r="N119" s="1013"/>
      <c r="Q119" s="932"/>
      <c r="R119" s="930"/>
      <c r="S119" s="1006"/>
      <c r="T119" s="931"/>
      <c r="U119" s="931"/>
      <c r="V119" s="1013"/>
      <c r="W119" s="29"/>
      <c r="X119" s="708"/>
      <c r="Y119" s="932"/>
      <c r="Z119" s="930"/>
      <c r="AA119" s="1006"/>
      <c r="AB119" s="931"/>
      <c r="AC119" s="931"/>
      <c r="AD119" s="1013"/>
      <c r="AH119" s="1060"/>
    </row>
    <row r="120" spans="1:34" s="19" customFormat="1" ht="13.5" thickBot="1" x14ac:dyDescent="0.25">
      <c r="A120" s="998"/>
      <c r="B120" s="999"/>
      <c r="C120" s="1008"/>
      <c r="D120" s="1009"/>
      <c r="E120" s="1009"/>
      <c r="F120" s="1028"/>
      <c r="G120" s="29"/>
      <c r="H120" s="31"/>
      <c r="I120" s="998"/>
      <c r="J120" s="999"/>
      <c r="K120" s="1008"/>
      <c r="L120" s="1009"/>
      <c r="M120" s="1009"/>
      <c r="N120" s="1028"/>
      <c r="Q120" s="998"/>
      <c r="R120" s="999"/>
      <c r="S120" s="1008"/>
      <c r="T120" s="1009"/>
      <c r="U120" s="1009"/>
      <c r="V120" s="1028"/>
      <c r="W120" s="29"/>
      <c r="X120" s="708"/>
      <c r="Y120" s="998"/>
      <c r="Z120" s="999"/>
      <c r="AA120" s="1008"/>
      <c r="AB120" s="1009"/>
      <c r="AC120" s="1009"/>
      <c r="AD120" s="1028"/>
      <c r="AH120" s="1060"/>
    </row>
  </sheetData>
  <sheetProtection sheet="1" objects="1" scenarios="1" formatCells="0" formatColumns="0" formatRows="0" sort="0"/>
  <mergeCells count="5">
    <mergeCell ref="C54:M54"/>
    <mergeCell ref="B54:B55"/>
    <mergeCell ref="B1:F1"/>
    <mergeCell ref="I1:J1"/>
    <mergeCell ref="E2:F3"/>
  </mergeCells>
  <conditionalFormatting sqref="C82:Z94 AA82">
    <cfRule type="expression" dxfId="39" priority="2084" stopIfTrue="1">
      <formula>C$82=0</formula>
    </cfRule>
  </conditionalFormatting>
  <conditionalFormatting sqref="F20:G43">
    <cfRule type="expression" dxfId="38" priority="2090" stopIfTrue="1">
      <formula>$AC56=TRUE</formula>
    </cfRule>
  </conditionalFormatting>
  <conditionalFormatting sqref="A16:N43">
    <cfRule type="expression" dxfId="37" priority="11" stopIfTrue="1">
      <formula>$B16=""</formula>
    </cfRule>
  </conditionalFormatting>
  <conditionalFormatting sqref="A56:A79 C56:AA79">
    <cfRule type="expression" dxfId="36" priority="2091" stopIfTrue="1">
      <formula>$N56=0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xSplit="10" ySplit="42" topLeftCell="K43" activePane="bottomRight" state="frozen"/>
      <selection pane="topRight" activeCell="K1" sqref="K1"/>
      <selection pane="bottomLeft" activeCell="A43" sqref="A43"/>
      <selection pane="bottomRight" activeCell="K43" sqref="K43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7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8.7109375" style="6" customWidth="1"/>
    <col min="62" max="64" width="10.140625" style="6" customWidth="1"/>
    <col min="65" max="65" width="10.140625" style="572" customWidth="1"/>
    <col min="66" max="69" width="10.140625" style="6" customWidth="1"/>
    <col min="70" max="70" width="10.140625" style="572" customWidth="1"/>
    <col min="71" max="71" width="10.140625" style="568" customWidth="1"/>
    <col min="72" max="72" width="10.140625" style="6" customWidth="1"/>
    <col min="73" max="73" width="10.140625" style="15" customWidth="1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60" t="s">
        <v>194</v>
      </c>
      <c r="B1" s="90"/>
      <c r="K1" s="4"/>
      <c r="L1" s="4"/>
      <c r="M1" s="4"/>
      <c r="N1" s="273" t="s">
        <v>241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803">
        <v>0.97899999999999998</v>
      </c>
      <c r="Z1" s="682" t="s">
        <v>226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54" t="s">
        <v>71</v>
      </c>
      <c r="AN1" s="4"/>
      <c r="AO1" s="4"/>
      <c r="AT1" s="766"/>
      <c r="AY1" s="766"/>
      <c r="BC1" s="1212" t="s">
        <v>208</v>
      </c>
      <c r="BD1" s="1212"/>
      <c r="BE1" s="1212"/>
      <c r="BF1" s="815"/>
      <c r="BH1" s="736" t="s">
        <v>200</v>
      </c>
      <c r="BJ1" s="724"/>
      <c r="BK1" s="724"/>
      <c r="BL1" s="724"/>
      <c r="BM1" s="724"/>
      <c r="BN1" s="724"/>
      <c r="BO1" s="724"/>
      <c r="BP1" s="724"/>
      <c r="BQ1" s="724"/>
      <c r="BR1" s="573"/>
      <c r="BS1" s="574"/>
      <c r="BT1" s="462"/>
    </row>
    <row r="2" spans="1:84" s="4" customFormat="1" ht="12.75" customHeight="1" thickBot="1" x14ac:dyDescent="0.3">
      <c r="A2" s="1203" t="str">
        <f>'Réglage perte'!B2</f>
        <v>Donneville</v>
      </c>
      <c r="B2" s="1204"/>
      <c r="C2" s="1204"/>
      <c r="D2" s="1205"/>
      <c r="I2" s="1151" t="s">
        <v>349</v>
      </c>
      <c r="J2" s="1152">
        <f>AVERAGEIF($BW$15:$CF$380,"&gt;0,97")</f>
        <v>0.9985142590684305</v>
      </c>
      <c r="L2" s="175">
        <v>43079</v>
      </c>
      <c r="M2" s="175">
        <v>43093</v>
      </c>
      <c r="N2" s="763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34"/>
      <c r="BC2" s="1212"/>
      <c r="BD2" s="1212"/>
      <c r="BE2" s="1212"/>
      <c r="BF2" s="815"/>
      <c r="BH2" s="28"/>
      <c r="BI2" s="565"/>
      <c r="BJ2" s="566"/>
      <c r="BK2" s="282"/>
      <c r="BL2" s="566"/>
      <c r="BM2" s="567"/>
      <c r="BN2" s="282"/>
      <c r="BP2" s="6"/>
      <c r="BQ2" s="282"/>
      <c r="BR2" s="567"/>
      <c r="BS2" s="568"/>
      <c r="BT2" s="6"/>
    </row>
    <row r="3" spans="1:84" s="4" customFormat="1" ht="12.75" customHeight="1" thickBot="1" x14ac:dyDescent="0.3">
      <c r="A3" s="1206"/>
      <c r="B3" s="1207"/>
      <c r="C3" s="1207"/>
      <c r="D3" s="1208"/>
      <c r="E3" s="3"/>
      <c r="J3" s="642"/>
      <c r="L3" s="758">
        <f>AL3</f>
        <v>123</v>
      </c>
      <c r="M3" s="762">
        <f>+AM3</f>
        <v>128</v>
      </c>
      <c r="N3" s="171">
        <v>149</v>
      </c>
      <c r="O3" s="171">
        <v>179</v>
      </c>
      <c r="P3" s="171">
        <v>220</v>
      </c>
      <c r="Q3" s="171">
        <v>266</v>
      </c>
      <c r="R3" s="171">
        <v>310</v>
      </c>
      <c r="S3" s="171">
        <v>352</v>
      </c>
      <c r="T3" s="171">
        <v>388</v>
      </c>
      <c r="U3" s="171">
        <v>413</v>
      </c>
      <c r="V3" s="171">
        <v>432</v>
      </c>
      <c r="W3" s="171">
        <v>443</v>
      </c>
      <c r="X3" s="171">
        <v>445</v>
      </c>
      <c r="Y3" s="171">
        <v>443</v>
      </c>
      <c r="Z3" s="171">
        <v>438</v>
      </c>
      <c r="AA3" s="171">
        <v>431</v>
      </c>
      <c r="AB3" s="171">
        <v>419</v>
      </c>
      <c r="AC3" s="171">
        <v>406</v>
      </c>
      <c r="AD3" s="171">
        <v>390</v>
      </c>
      <c r="AE3" s="171">
        <v>371</v>
      </c>
      <c r="AF3" s="171">
        <v>342</v>
      </c>
      <c r="AG3" s="171">
        <v>309</v>
      </c>
      <c r="AH3" s="171">
        <v>270</v>
      </c>
      <c r="AI3" s="171">
        <v>225</v>
      </c>
      <c r="AJ3" s="171">
        <v>177</v>
      </c>
      <c r="AK3" s="171">
        <v>143</v>
      </c>
      <c r="AL3" s="171">
        <v>123</v>
      </c>
      <c r="AM3" s="171">
        <v>128</v>
      </c>
      <c r="AN3" s="758">
        <f>+N3</f>
        <v>149</v>
      </c>
      <c r="AO3" s="759">
        <f>+O3</f>
        <v>179</v>
      </c>
      <c r="BC3" s="1212"/>
      <c r="BD3" s="1212"/>
      <c r="BE3" s="1212"/>
      <c r="BF3" s="815"/>
      <c r="BH3" s="28"/>
      <c r="BI3" s="6"/>
      <c r="BJ3" s="6"/>
      <c r="BK3" s="6"/>
      <c r="BL3" s="6"/>
      <c r="BM3" s="6"/>
      <c r="BN3" s="6"/>
      <c r="BO3" s="804" t="s">
        <v>238</v>
      </c>
      <c r="BP3" s="805">
        <v>0.3</v>
      </c>
      <c r="BQ3" s="806" t="s">
        <v>239</v>
      </c>
      <c r="BR3" s="807" t="s">
        <v>244</v>
      </c>
      <c r="BS3" s="566"/>
    </row>
    <row r="4" spans="1:84" s="4" customFormat="1" ht="12.75" customHeight="1" x14ac:dyDescent="0.25">
      <c r="A4" s="2"/>
      <c r="B4" s="418"/>
      <c r="E4" s="33"/>
      <c r="F4" s="569"/>
      <c r="J4" s="642"/>
      <c r="K4" s="2"/>
      <c r="M4" s="638" t="s">
        <v>191</v>
      </c>
      <c r="N4" s="764">
        <f>MAX($BA15:$BA28)-1</f>
        <v>2.7439815882420948E-2</v>
      </c>
      <c r="O4" s="655">
        <f>MAX($BA29:$BA42)-1</f>
        <v>1.6256012186749214E-2</v>
      </c>
      <c r="P4" s="655">
        <f>MAX($BA43:$BA56)-1</f>
        <v>4.129892302115179E-2</v>
      </c>
      <c r="Q4" s="655">
        <f>MAX(BA57:BA70)-1</f>
        <v>3.4842818412435639E-2</v>
      </c>
      <c r="R4" s="655">
        <f>MAX(BA71:BA84)-1</f>
        <v>2.558085752065975E-2</v>
      </c>
      <c r="S4" s="655">
        <f>MAX(BA85:BA98)-1</f>
        <v>2.2199596703990521E-2</v>
      </c>
      <c r="T4" s="655">
        <f>MAX(BA99:BA112)-1</f>
        <v>4.5258405990022732E-2</v>
      </c>
      <c r="U4" s="655">
        <f>MAX(BA113:BA126)-1</f>
        <v>2.4688112146384E-2</v>
      </c>
      <c r="V4" s="655">
        <f>MAX(BA127:BA140)-1</f>
        <v>4.1176272387297264E-2</v>
      </c>
      <c r="W4" s="655">
        <f>MAX(BA141:BA154)-1</f>
        <v>4.5482611965049102E-2</v>
      </c>
      <c r="X4" s="655">
        <f>MAX(BA155:BA168)-1</f>
        <v>4.7588599605874471E-3</v>
      </c>
      <c r="Y4" s="655">
        <f>MAX(BA169:BA182)-1</f>
        <v>2.6351095815341008E-2</v>
      </c>
      <c r="Z4" s="655">
        <f>MAX(BA183:BA196)-1</f>
        <v>9.1785366312380212E-3</v>
      </c>
      <c r="AA4" s="655">
        <f>MAX(BA197:BA210)-1</f>
        <v>4.3988367776354398E-2</v>
      </c>
      <c r="AB4" s="655">
        <f>MAX(BA211:BA224)-1</f>
        <v>2.5523035713872266E-2</v>
      </c>
      <c r="AC4" s="655">
        <f>MAX(BA225:BA238)-1</f>
        <v>1.6705940048330481E-2</v>
      </c>
      <c r="AD4" s="655">
        <f>MAX(BA239:BA252)-1</f>
        <v>2.2506721736547108E-2</v>
      </c>
      <c r="AE4" s="655">
        <f>MAX(BA253:BA266)-1</f>
        <v>3.9970023918282305E-2</v>
      </c>
      <c r="AF4" s="655">
        <f>MAX(BA267:BA280)-1</f>
        <v>3.6673467101480561E-2</v>
      </c>
      <c r="AG4" s="655">
        <f>MAX(BA281:BA294)-1</f>
        <v>1.0279825476053883E-2</v>
      </c>
      <c r="AH4" s="655">
        <f>MAX(BA295:BA308)-1</f>
        <v>4.3062264006309414E-2</v>
      </c>
      <c r="AI4" s="655">
        <f>MAX(BA309:BA322)-1</f>
        <v>3.3411596022205448E-2</v>
      </c>
      <c r="AJ4" s="655">
        <f>MAX(BA323:BA336)-1</f>
        <v>2.1068171073671982E-2</v>
      </c>
      <c r="AK4" s="655">
        <f>MAX(BA337:BA350)-1</f>
        <v>4.3042463129113084E-2</v>
      </c>
      <c r="AL4" s="655">
        <f>MAX(BA351:BA364)-1</f>
        <v>-3.9243818801367514E-2</v>
      </c>
      <c r="AM4" s="655">
        <f>MAX(BA365:BA380)-1</f>
        <v>2.9019771327491783E-2</v>
      </c>
      <c r="AN4" s="643"/>
      <c r="AP4" s="569"/>
      <c r="AU4" s="569"/>
      <c r="BC4" s="19"/>
      <c r="BD4" s="283"/>
      <c r="BE4" s="283"/>
      <c r="BF4" s="283"/>
      <c r="BI4" s="6"/>
      <c r="BJ4" s="6"/>
      <c r="BK4" s="6"/>
      <c r="BL4" s="6"/>
      <c r="BM4" s="6"/>
      <c r="BN4" s="6"/>
      <c r="BO4" s="356" t="s">
        <v>240</v>
      </c>
      <c r="BP4" s="808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09" t="s">
        <v>190</v>
      </c>
      <c r="B5" s="1210"/>
      <c r="C5" s="1210"/>
      <c r="D5" s="1210"/>
      <c r="E5" s="1210"/>
      <c r="F5" s="1210"/>
      <c r="G5" s="1210"/>
      <c r="H5" s="1210"/>
      <c r="I5" s="1210"/>
      <c r="J5" s="1211"/>
      <c r="K5" s="89"/>
      <c r="N5" s="88"/>
      <c r="O5" s="88"/>
      <c r="P5" s="19"/>
      <c r="Q5" s="70"/>
      <c r="R5" s="70"/>
      <c r="S5" s="70"/>
      <c r="T5" s="70"/>
      <c r="U5" s="70"/>
      <c r="V5" s="639"/>
      <c r="W5" s="70"/>
      <c r="X5" s="70"/>
      <c r="Y5" s="70"/>
      <c r="Z5" s="70"/>
      <c r="AA5" s="70"/>
      <c r="AB5" s="70"/>
      <c r="AC5" s="70"/>
      <c r="AD5" s="70"/>
      <c r="AE5" s="640"/>
      <c r="AF5" s="19"/>
      <c r="AG5" s="19"/>
      <c r="AH5" s="71"/>
      <c r="AI5" s="654"/>
      <c r="AJ5" s="654"/>
      <c r="AK5" s="654"/>
      <c r="AL5" s="654"/>
      <c r="AM5" s="88"/>
      <c r="AN5" s="653"/>
      <c r="AP5" s="760"/>
      <c r="AQ5" s="760"/>
      <c r="AR5" s="760"/>
      <c r="AS5" s="760"/>
      <c r="AT5" s="767"/>
      <c r="AU5" s="760"/>
      <c r="AV5" s="760"/>
      <c r="AW5" s="760"/>
      <c r="AX5" s="760"/>
      <c r="AY5" s="767"/>
      <c r="AZ5" s="760"/>
      <c r="BC5" s="19"/>
      <c r="BD5" s="283"/>
      <c r="BE5" s="283"/>
      <c r="BF5" s="283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8">
        <f>'2018'!An</f>
        <v>2018</v>
      </c>
      <c r="B6" s="268">
        <f>'2019'!An</f>
        <v>2019</v>
      </c>
      <c r="C6" s="268">
        <f>'2020'!An</f>
        <v>2020</v>
      </c>
      <c r="D6" s="268">
        <f>'2021'!An</f>
        <v>2021</v>
      </c>
      <c r="E6" s="268">
        <f>'2022'!An</f>
        <v>2022</v>
      </c>
      <c r="F6" s="270">
        <f>'2023'!An</f>
        <v>2023</v>
      </c>
      <c r="G6" s="270">
        <f>'2024'!An</f>
        <v>2024</v>
      </c>
      <c r="H6" s="270">
        <f>'2025'!An</f>
        <v>2025</v>
      </c>
      <c r="I6" s="270">
        <f>'2026'!An</f>
        <v>2026</v>
      </c>
      <c r="J6" s="270">
        <f>'2027'!An</f>
        <v>2027</v>
      </c>
      <c r="K6" s="2"/>
      <c r="BC6" s="37"/>
      <c r="BD6" s="284"/>
      <c r="BE6" s="284"/>
      <c r="BF6" s="284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9">
        <f>'2018'!Dépas_env</f>
        <v>4.3042463129113084E-2</v>
      </c>
      <c r="B7" s="269">
        <f>'2019'!Dépas_env</f>
        <v>4.5482611965049102E-2</v>
      </c>
      <c r="C7" s="269">
        <f>'2020'!Dépas_env</f>
        <v>4.3988367776354398E-2</v>
      </c>
      <c r="D7" s="269">
        <f>'2021'!Dépas_env</f>
        <v>4.3062264006309414E-2</v>
      </c>
      <c r="E7" s="269">
        <f>'2022'!Dépas_env</f>
        <v>4.129892302115179E-2</v>
      </c>
      <c r="F7" s="600">
        <f>'2023'!Dépas_env</f>
        <v>4.129892302115179E-2</v>
      </c>
      <c r="G7" s="600">
        <f>'2024'!Dépas_env</f>
        <v>4.129892302115179E-2</v>
      </c>
      <c r="H7" s="600">
        <f>'2025'!Dépas_env</f>
        <v>4.129892302115179E-2</v>
      </c>
      <c r="I7" s="600">
        <f>'2026'!Dépas_env</f>
        <v>4.1298923021151568E-2</v>
      </c>
      <c r="J7" s="600">
        <f>'2027'!Dépas_env</f>
        <v>4.129892302115179E-2</v>
      </c>
      <c r="K7" s="2"/>
      <c r="BA7" s="644"/>
      <c r="BC7" s="19"/>
      <c r="BD7" s="283"/>
      <c r="BE7" s="283"/>
      <c r="BF7" s="283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8"/>
      <c r="B8" s="268"/>
      <c r="C8" s="268"/>
      <c r="D8" s="268"/>
      <c r="E8" s="268"/>
      <c r="F8" s="268"/>
      <c r="G8" s="268"/>
      <c r="H8" s="268"/>
      <c r="I8" s="268"/>
      <c r="J8" s="268"/>
      <c r="K8" s="2"/>
      <c r="BA8" s="644"/>
      <c r="BC8" s="6"/>
      <c r="BD8" s="282"/>
      <c r="BE8" s="282"/>
      <c r="BF8" s="282"/>
      <c r="BJ8" s="6"/>
      <c r="BK8" s="6"/>
      <c r="BL8" s="6"/>
      <c r="BM8" s="6"/>
      <c r="BN8" s="6"/>
      <c r="BO8" s="570"/>
      <c r="BP8" s="570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1"/>
      <c r="B9" s="271"/>
      <c r="C9" s="271"/>
      <c r="D9" s="271"/>
      <c r="E9" s="271"/>
      <c r="F9" s="271"/>
      <c r="G9" s="271"/>
      <c r="H9" s="271"/>
      <c r="I9" s="271"/>
      <c r="J9" s="271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44"/>
      <c r="BB9" s="19"/>
      <c r="BC9" s="19"/>
      <c r="BD9" s="283"/>
      <c r="BE9" s="283"/>
      <c r="BF9" s="283"/>
      <c r="BH9" s="1094">
        <f>PousHi*($A$6-BP13-INDEX(Croivg,MIN(MAX(BO13-DATE(BP13,1,1)+1,0),366)))</f>
        <v>-1.998875338297653</v>
      </c>
      <c r="BI9" s="996" t="s">
        <v>317</v>
      </c>
      <c r="BJ9" s="6"/>
      <c r="BK9" s="6"/>
      <c r="BL9" s="6"/>
      <c r="BM9" s="6"/>
      <c r="BN9" s="6"/>
      <c r="BO9" s="570"/>
      <c r="BP9" s="570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53"/>
      <c r="BD10" s="282"/>
      <c r="BE10" s="282"/>
      <c r="BF10" s="282"/>
      <c r="BH10" s="1095">
        <f>MIN(MATCH(H_i,Echel_vg),10)</f>
        <v>4</v>
      </c>
      <c r="BI10" s="561"/>
      <c r="BO10" s="735"/>
      <c r="BP10" s="735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B11" s="419"/>
      <c r="C11" s="561" t="s">
        <v>329</v>
      </c>
      <c r="D11" s="1066"/>
      <c r="E11" s="8"/>
      <c r="J11" s="9"/>
      <c r="K11" s="7"/>
      <c r="L11" s="761" t="s">
        <v>227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93" t="s">
        <v>230</v>
      </c>
      <c r="AT11" s="27"/>
      <c r="AU11" s="693" t="s">
        <v>231</v>
      </c>
      <c r="AY11" s="27"/>
      <c r="AZ11" s="772" t="s">
        <v>234</v>
      </c>
      <c r="BA11" s="644"/>
      <c r="BB11" s="19"/>
      <c r="BC11" s="15"/>
      <c r="BD11" s="1213" t="s">
        <v>250</v>
      </c>
      <c r="BE11" s="1214"/>
      <c r="BF11" s="1217" t="s">
        <v>245</v>
      </c>
      <c r="BH11" s="1096">
        <f>INDEX(Echel_vg,$BH$10)</f>
        <v>-2</v>
      </c>
      <c r="BI11" s="561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1">
        <f>+MIN(B15:B379)</f>
        <v>5.9138462610467215</v>
      </c>
      <c r="C12" s="12">
        <f>+MIN(C15:C379)</f>
        <v>2018</v>
      </c>
      <c r="D12" s="1067"/>
      <c r="E12" s="12">
        <f t="shared" ref="E12:J12" si="1">+MIN(E15:E379)</f>
        <v>12.041700000000001</v>
      </c>
      <c r="F12" s="417">
        <f t="shared" si="1"/>
        <v>1</v>
      </c>
      <c r="G12" s="12">
        <f t="shared" si="1"/>
        <v>2</v>
      </c>
      <c r="H12" s="173">
        <f t="shared" si="1"/>
        <v>43093</v>
      </c>
      <c r="I12" s="391">
        <f t="shared" si="1"/>
        <v>0</v>
      </c>
      <c r="J12" s="391">
        <f t="shared" si="1"/>
        <v>11.959809387422034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7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91">
        <f t="shared" si="3"/>
        <v>0</v>
      </c>
      <c r="AT12" s="391">
        <f t="shared" si="3"/>
        <v>11.935658076765209</v>
      </c>
      <c r="AU12" s="417">
        <f t="shared" si="3"/>
        <v>1</v>
      </c>
      <c r="AV12" s="12">
        <f t="shared" si="3"/>
        <v>2</v>
      </c>
      <c r="AW12" s="173">
        <f t="shared" si="3"/>
        <v>43093</v>
      </c>
      <c r="AX12" s="391">
        <f t="shared" si="3"/>
        <v>0</v>
      </c>
      <c r="AY12" s="391">
        <f t="shared" si="3"/>
        <v>12.309181513317995</v>
      </c>
      <c r="AZ12" s="391">
        <f t="shared" si="3"/>
        <v>12.128234947080095</v>
      </c>
      <c r="BA12" s="642"/>
      <c r="BC12" s="15"/>
      <c r="BD12" s="1215"/>
      <c r="BE12" s="1216"/>
      <c r="BF12" s="1218"/>
      <c r="BH12" s="1097">
        <f>(H_i-BH11)/(INDEX(Echel_vg,$BH$10+1)-BH$11)</f>
        <v>1.1246617023470407E-3</v>
      </c>
      <c r="BJ12" s="6"/>
      <c r="BK12" s="6"/>
      <c r="BL12" s="6"/>
      <c r="BN12" s="356" t="str">
        <f>Masques!B53</f>
        <v>Pas de calcul pousse en hauteur:</v>
      </c>
      <c r="BO12" s="1103">
        <f>+Masques!C53</f>
        <v>1</v>
      </c>
      <c r="BP12" s="570"/>
      <c r="BQ12" s="570"/>
      <c r="BR12" s="571"/>
      <c r="BS12" s="568"/>
      <c r="BT12" s="6"/>
    </row>
    <row r="13" spans="1:84" s="4" customFormat="1" ht="12.75" customHeight="1" thickBot="1" x14ac:dyDescent="0.3">
      <c r="A13" s="27" t="s">
        <v>5</v>
      </c>
      <c r="B13" s="391">
        <f>+MAX(B15:B379)</f>
        <v>45.292153927540518</v>
      </c>
      <c r="C13" s="12">
        <f>+MAX(C15:C379)</f>
        <v>2022</v>
      </c>
      <c r="D13" s="1067"/>
      <c r="E13" s="12">
        <f t="shared" ref="E13:J13" si="4">+MAX(E15:E379)</f>
        <v>43.5655</v>
      </c>
      <c r="F13" s="417">
        <f t="shared" si="4"/>
        <v>27</v>
      </c>
      <c r="G13" s="12">
        <f t="shared" si="4"/>
        <v>28</v>
      </c>
      <c r="H13" s="173">
        <f t="shared" si="4"/>
        <v>43458</v>
      </c>
      <c r="I13" s="391">
        <f t="shared" si="4"/>
        <v>1</v>
      </c>
      <c r="J13" s="391">
        <f t="shared" si="4"/>
        <v>43.56578542302762</v>
      </c>
      <c r="K13" s="6"/>
      <c r="L13" s="775">
        <f>AL13</f>
        <v>120.417</v>
      </c>
      <c r="M13" s="775">
        <f>+AM13</f>
        <v>125.312</v>
      </c>
      <c r="N13" s="774">
        <f t="shared" ref="N13:AM13" si="5">Ajust_M*N3</f>
        <v>145.87100000000001</v>
      </c>
      <c r="O13" s="765">
        <f t="shared" si="5"/>
        <v>175.24099999999999</v>
      </c>
      <c r="P13" s="765">
        <f t="shared" si="5"/>
        <v>215.38</v>
      </c>
      <c r="Q13" s="765">
        <f t="shared" si="5"/>
        <v>260.41399999999999</v>
      </c>
      <c r="R13" s="765">
        <f t="shared" si="5"/>
        <v>303.49</v>
      </c>
      <c r="S13" s="765">
        <f t="shared" si="5"/>
        <v>344.608</v>
      </c>
      <c r="T13" s="765">
        <f t="shared" si="5"/>
        <v>379.85199999999998</v>
      </c>
      <c r="U13" s="765">
        <f t="shared" si="5"/>
        <v>404.327</v>
      </c>
      <c r="V13" s="765">
        <f t="shared" si="5"/>
        <v>422.928</v>
      </c>
      <c r="W13" s="765">
        <f t="shared" si="5"/>
        <v>433.697</v>
      </c>
      <c r="X13" s="765">
        <f t="shared" si="5"/>
        <v>435.65499999999997</v>
      </c>
      <c r="Y13" s="765">
        <f t="shared" si="5"/>
        <v>433.697</v>
      </c>
      <c r="Z13" s="765">
        <f t="shared" si="5"/>
        <v>428.80199999999996</v>
      </c>
      <c r="AA13" s="765">
        <f t="shared" si="5"/>
        <v>421.94900000000001</v>
      </c>
      <c r="AB13" s="765">
        <f t="shared" si="5"/>
        <v>410.20099999999996</v>
      </c>
      <c r="AC13" s="765">
        <f t="shared" si="5"/>
        <v>397.47399999999999</v>
      </c>
      <c r="AD13" s="765">
        <f t="shared" si="5"/>
        <v>381.81</v>
      </c>
      <c r="AE13" s="765">
        <f t="shared" si="5"/>
        <v>363.209</v>
      </c>
      <c r="AF13" s="765">
        <f t="shared" si="5"/>
        <v>334.81799999999998</v>
      </c>
      <c r="AG13" s="765">
        <f t="shared" si="5"/>
        <v>302.51099999999997</v>
      </c>
      <c r="AH13" s="765">
        <f t="shared" si="5"/>
        <v>264.33</v>
      </c>
      <c r="AI13" s="765">
        <f t="shared" si="5"/>
        <v>220.27500000000001</v>
      </c>
      <c r="AJ13" s="765">
        <f t="shared" si="5"/>
        <v>173.28299999999999</v>
      </c>
      <c r="AK13" s="765">
        <f t="shared" si="5"/>
        <v>139.99699999999999</v>
      </c>
      <c r="AL13" s="765">
        <f t="shared" si="5"/>
        <v>120.417</v>
      </c>
      <c r="AM13" s="765">
        <f t="shared" si="5"/>
        <v>125.312</v>
      </c>
      <c r="AN13" s="775">
        <f>+N13</f>
        <v>145.87100000000001</v>
      </c>
      <c r="AO13" s="775">
        <f>+O13</f>
        <v>175.24099999999999</v>
      </c>
      <c r="AP13" s="417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91">
        <f t="shared" si="6"/>
        <v>1</v>
      </c>
      <c r="AT13" s="391">
        <f t="shared" si="6"/>
        <v>43.581715579444008</v>
      </c>
      <c r="AU13" s="417">
        <f t="shared" si="6"/>
        <v>15</v>
      </c>
      <c r="AV13" s="12">
        <f t="shared" si="6"/>
        <v>14</v>
      </c>
      <c r="AW13" s="173">
        <f t="shared" si="6"/>
        <v>43487</v>
      </c>
      <c r="AX13" s="391">
        <f t="shared" si="6"/>
        <v>1</v>
      </c>
      <c r="AY13" s="391">
        <f t="shared" si="6"/>
        <v>43.63740423293784</v>
      </c>
      <c r="AZ13" s="391">
        <f t="shared" si="6"/>
        <v>43.596093750093132</v>
      </c>
      <c r="BA13" s="642"/>
      <c r="BC13" s="37"/>
      <c r="BD13" s="285" t="s">
        <v>49</v>
      </c>
      <c r="BE13" s="285" t="s">
        <v>48</v>
      </c>
      <c r="BF13" s="285" t="s">
        <v>248</v>
      </c>
      <c r="BH13" s="1098" t="s">
        <v>85</v>
      </c>
      <c r="BJ13" s="6"/>
      <c r="BN13" s="33" t="str">
        <f>Masques!G53</f>
        <v>Date de relevés hauteurs (ref. 0m):</v>
      </c>
      <c r="BO13" s="1104">
        <f>+Masques!I1</f>
        <v>44502</v>
      </c>
      <c r="BP13" s="807">
        <f>YEAR(BO13)</f>
        <v>2021</v>
      </c>
      <c r="BW13" s="681" t="s">
        <v>348</v>
      </c>
    </row>
    <row r="14" spans="1:84" ht="37.5" customHeight="1" thickBot="1" x14ac:dyDescent="0.3">
      <c r="A14" s="356" t="s">
        <v>109</v>
      </c>
      <c r="B14" s="1074" t="s">
        <v>3</v>
      </c>
      <c r="C14" s="1074" t="s">
        <v>13</v>
      </c>
      <c r="D14" s="1068"/>
      <c r="E14" s="174" t="s">
        <v>224</v>
      </c>
      <c r="F14" s="174" t="s">
        <v>220</v>
      </c>
      <c r="G14" s="174" t="s">
        <v>221</v>
      </c>
      <c r="H14" s="174" t="s">
        <v>222</v>
      </c>
      <c r="I14" s="745" t="s">
        <v>223</v>
      </c>
      <c r="J14" s="78" t="s">
        <v>0</v>
      </c>
      <c r="L14" s="2"/>
      <c r="M14" s="4" t="s">
        <v>225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220</v>
      </c>
      <c r="AQ14" s="174" t="s">
        <v>221</v>
      </c>
      <c r="AR14" s="174" t="s">
        <v>222</v>
      </c>
      <c r="AS14" s="745" t="s">
        <v>223</v>
      </c>
      <c r="AT14" s="768" t="s">
        <v>232</v>
      </c>
      <c r="AU14" s="174" t="s">
        <v>220</v>
      </c>
      <c r="AV14" s="174" t="s">
        <v>221</v>
      </c>
      <c r="AW14" s="174" t="s">
        <v>222</v>
      </c>
      <c r="AX14" s="745" t="s">
        <v>223</v>
      </c>
      <c r="AY14" s="768" t="s">
        <v>233</v>
      </c>
      <c r="AZ14" s="78" t="s">
        <v>235</v>
      </c>
      <c r="BA14" s="645" t="s">
        <v>192</v>
      </c>
      <c r="BB14" s="72"/>
      <c r="BC14" s="356" t="s">
        <v>109</v>
      </c>
      <c r="BD14" s="286" t="s">
        <v>19</v>
      </c>
      <c r="BE14" s="287" t="s">
        <v>21</v>
      </c>
      <c r="BF14" s="820" t="s">
        <v>249</v>
      </c>
      <c r="BH14" s="1099" t="s">
        <v>86</v>
      </c>
      <c r="BI14" s="1161" t="s">
        <v>318</v>
      </c>
      <c r="BJ14" s="1162">
        <f>+Masques!C55</f>
        <v>-5</v>
      </c>
      <c r="BK14" s="1162">
        <f>+Masques!D55</f>
        <v>-4</v>
      </c>
      <c r="BL14" s="1162">
        <f>+Masques!E55</f>
        <v>-3</v>
      </c>
      <c r="BM14" s="1163">
        <f>+Masques!F55</f>
        <v>-2</v>
      </c>
      <c r="BN14" s="1163">
        <f>+Masques!G55</f>
        <v>-1</v>
      </c>
      <c r="BO14" s="1164">
        <f>+Masques!H55</f>
        <v>0</v>
      </c>
      <c r="BP14" s="1162">
        <f>+Masques!I55</f>
        <v>1</v>
      </c>
      <c r="BQ14" s="1162">
        <f>+Masques!J55</f>
        <v>2</v>
      </c>
      <c r="BR14" s="1162">
        <f>+Masques!K55</f>
        <v>3</v>
      </c>
      <c r="BS14" s="1162">
        <f>+Masques!L55</f>
        <v>4</v>
      </c>
      <c r="BT14" s="1162">
        <f>+Masques!M55</f>
        <v>5</v>
      </c>
      <c r="BU14" s="1165" t="s">
        <v>199</v>
      </c>
      <c r="BW14" s="1166">
        <v>2018</v>
      </c>
      <c r="BX14" s="1166">
        <v>2019</v>
      </c>
      <c r="BY14" s="1166">
        <v>2020</v>
      </c>
      <c r="BZ14" s="1166">
        <v>2021</v>
      </c>
      <c r="CA14" s="1166">
        <v>2022</v>
      </c>
      <c r="CB14" s="1166">
        <v>2023</v>
      </c>
      <c r="CC14" s="1166">
        <v>2024</v>
      </c>
      <c r="CD14" s="1166">
        <v>2025</v>
      </c>
      <c r="CE14" s="1166">
        <v>2026</v>
      </c>
      <c r="CF14" s="1166">
        <v>2027</v>
      </c>
    </row>
    <row r="15" spans="1:84" s="6" customFormat="1" ht="11.25" x14ac:dyDescent="0.2">
      <c r="A15" s="11">
        <v>43101</v>
      </c>
      <c r="B15" s="379">
        <f>'2022'!Maxi_hp</f>
        <v>13.113081184620425</v>
      </c>
      <c r="C15" s="751">
        <f>'2022'!An_max</f>
        <v>2022</v>
      </c>
      <c r="D15" s="1069"/>
      <c r="E15" s="1072"/>
      <c r="F15" s="751">
        <f>INT(MATCH($A15,x.2m)/2)*2+1</f>
        <v>1</v>
      </c>
      <c r="G15" s="751">
        <f>INT((MATCH($A15,x.2m)+1)/2)*2</f>
        <v>2</v>
      </c>
      <c r="H15" s="752">
        <f t="shared" ref="H15:H78" si="7">INDEX(x.2m,F15)</f>
        <v>43093</v>
      </c>
      <c r="I15" s="753">
        <f t="shared" ref="I15:I78" si="8">($A15-H15)/(INDEX(x.2m,G15)-H15)</f>
        <v>0.53333333333333333</v>
      </c>
      <c r="J15" s="746">
        <f>((1-I15)*(INDEX(a.m,F15)*$A15*$A15+INDEX(b.m,F15)*$A15+INDEX(c.m,F15))+I15*(INDEX(a.m,G15)*$A15*$A15+INDEX(b.m,G15)*$A15+INDEX(c.m,G15)))/10</f>
        <v>13.460777377734582</v>
      </c>
      <c r="L15" s="755" t="s">
        <v>209</v>
      </c>
      <c r="M15" s="785">
        <f t="shared" ref="M15:AN15" si="9">L12</f>
        <v>43079</v>
      </c>
      <c r="N15" s="786">
        <f t="shared" si="9"/>
        <v>43093</v>
      </c>
      <c r="O15" s="776">
        <f t="shared" si="9"/>
        <v>43108</v>
      </c>
      <c r="P15" s="776">
        <f t="shared" si="9"/>
        <v>43122</v>
      </c>
      <c r="Q15" s="776">
        <f t="shared" si="9"/>
        <v>43136</v>
      </c>
      <c r="R15" s="776">
        <f t="shared" si="9"/>
        <v>43150</v>
      </c>
      <c r="S15" s="776">
        <f t="shared" si="9"/>
        <v>43164</v>
      </c>
      <c r="T15" s="776">
        <f t="shared" si="9"/>
        <v>43178</v>
      </c>
      <c r="U15" s="776">
        <f t="shared" si="9"/>
        <v>43192</v>
      </c>
      <c r="V15" s="776">
        <f t="shared" si="9"/>
        <v>43206</v>
      </c>
      <c r="W15" s="776">
        <f t="shared" si="9"/>
        <v>43220</v>
      </c>
      <c r="X15" s="776">
        <f t="shared" si="9"/>
        <v>43234</v>
      </c>
      <c r="Y15" s="776">
        <f t="shared" si="9"/>
        <v>43248</v>
      </c>
      <c r="Z15" s="776">
        <f t="shared" si="9"/>
        <v>43262</v>
      </c>
      <c r="AA15" s="776">
        <f t="shared" si="9"/>
        <v>43276</v>
      </c>
      <c r="AB15" s="776">
        <f t="shared" si="9"/>
        <v>43290</v>
      </c>
      <c r="AC15" s="776">
        <f t="shared" si="9"/>
        <v>43304</v>
      </c>
      <c r="AD15" s="776">
        <f t="shared" si="9"/>
        <v>43318</v>
      </c>
      <c r="AE15" s="776">
        <f t="shared" si="9"/>
        <v>43332</v>
      </c>
      <c r="AF15" s="776">
        <f t="shared" si="9"/>
        <v>43346</v>
      </c>
      <c r="AG15" s="776">
        <f t="shared" si="9"/>
        <v>43360</v>
      </c>
      <c r="AH15" s="776">
        <f t="shared" si="9"/>
        <v>43374</v>
      </c>
      <c r="AI15" s="776">
        <f t="shared" si="9"/>
        <v>43388</v>
      </c>
      <c r="AJ15" s="776">
        <f t="shared" si="9"/>
        <v>43402</v>
      </c>
      <c r="AK15" s="776">
        <f t="shared" si="9"/>
        <v>43416</v>
      </c>
      <c r="AL15" s="776">
        <f t="shared" si="9"/>
        <v>43430</v>
      </c>
      <c r="AM15" s="776">
        <f t="shared" si="9"/>
        <v>43444</v>
      </c>
      <c r="AN15" s="778">
        <f t="shared" si="9"/>
        <v>43458</v>
      </c>
      <c r="AP15" s="751">
        <f t="shared" ref="AP15:AP78" si="10">INT(MATCH($A15,x.2lg)/2)*2+1</f>
        <v>1</v>
      </c>
      <c r="AQ15" s="751">
        <f t="shared" ref="AQ15:AQ78" si="11">INT((MATCH($A15,x.2lg)+1)/2)*2</f>
        <v>2</v>
      </c>
      <c r="AR15" s="752">
        <f t="shared" ref="AR15:AR78" si="12">INDEX(x.2lg,AP15)</f>
        <v>43079</v>
      </c>
      <c r="AS15" s="753">
        <f t="shared" ref="AS15:AS78" si="13">($A15-AR15)/(INDEX(x.2lg,AQ15)-AR15)</f>
        <v>0.75862068965517238</v>
      </c>
      <c r="AT15" s="769">
        <f t="shared" ref="AT15:AT78" si="14">((1-AS15)*(INDEX(a.lg,AP15)*$A15*$A15+INDEX(b.lg,AP15)*$A15+INDEX(c.lg,AP15))+AS15*(INDEX(a.lg,AQ15)*$A15*$A15+INDEX(b.lg,AQ15)*$A15+INDEX(c.lg,AQ15)))/10</f>
        <v>13.463413778820941</v>
      </c>
      <c r="AU15" s="751">
        <f t="shared" ref="AU15:AU78" si="15">INT(MATCH($A15,x.2ld)/2)*2+1</f>
        <v>1</v>
      </c>
      <c r="AV15" s="751">
        <f t="shared" ref="AV15:AV78" si="16">INT((MATCH($A15,x.2ld)+1)/2)*2</f>
        <v>2</v>
      </c>
      <c r="AW15" s="752">
        <f t="shared" ref="AW15:AW78" si="17">INDEX(x.2ld,AU15)</f>
        <v>43093</v>
      </c>
      <c r="AX15" s="753">
        <f t="shared" ref="AX15:AX78" si="18">($A15-AW15)/(INDEX(x.2ld,AV15)-AW15)</f>
        <v>0.27586206896551724</v>
      </c>
      <c r="AY15" s="769">
        <f t="shared" ref="AY15:AY78" si="19">((1-AX15)*(INDEX(a.ld,AU15)*$A15*$A15+INDEX(b.ld,AU15)*$A15+INDEX(c.ld,AU15))+AX15*(INDEX(a.ld,AV15)*$A15*$A15+INDEX(b.ld,AV15)*$A15+INDEX(c.ld,AV15)))/10</f>
        <v>13.321813419050184</v>
      </c>
      <c r="AZ15" s="746">
        <f>(AY15+AT15)/2</f>
        <v>13.392613598935561</v>
      </c>
      <c r="BA15" s="646">
        <f t="shared" ref="BA15:BA78" si="20">+B15/J15</f>
        <v>0.97416967955437106</v>
      </c>
      <c r="BB15" s="641">
        <v>43101</v>
      </c>
      <c r="BC15" s="11">
        <v>43101</v>
      </c>
      <c r="BD15" s="288">
        <f>[3]!FeuilCaduc*(1-Persistant)+Persistant</f>
        <v>0.80228914971430698</v>
      </c>
      <c r="BE15" s="289">
        <f>[3]!CroissVégét</f>
        <v>2.3909964587625958E-6</v>
      </c>
      <c r="BF15" s="821">
        <f>1+[3]!Salcycl*Ksac</f>
        <v>1.0005722874285767</v>
      </c>
      <c r="BH15" s="1100">
        <f t="shared" ref="BH15:BH78" si="21">INDEX($BJ15:$BT15,,$BH$10)*(1-Ratini)+INDEX($BJ15:$BT15,,$BH$10+1)*Ratini</f>
        <v>0.34658323257552642</v>
      </c>
      <c r="BI15" s="11">
        <v>44197</v>
      </c>
      <c r="BJ15" s="826">
        <v>5.6465127850057535E-2</v>
      </c>
      <c r="BK15" s="725">
        <v>0.12272135782143695</v>
      </c>
      <c r="BL15" s="725">
        <v>0.22428730930236032</v>
      </c>
      <c r="BM15" s="725">
        <v>0.3464721512551856</v>
      </c>
      <c r="BN15" s="725">
        <v>0.44524080329429494</v>
      </c>
      <c r="BO15" s="726">
        <v>0.52265609855523709</v>
      </c>
      <c r="BP15" s="725">
        <v>0.58712641864304294</v>
      </c>
      <c r="BQ15" s="725">
        <v>0.65214327496065083</v>
      </c>
      <c r="BR15" s="725">
        <v>0.70697789870684835</v>
      </c>
      <c r="BS15" s="725">
        <v>0.76043589210206308</v>
      </c>
      <c r="BT15" s="725">
        <v>0.81639443756274266</v>
      </c>
      <c r="BW15" s="1154">
        <f>'2018'!R\Max</f>
        <v>0</v>
      </c>
      <c r="BX15" s="1155">
        <f>'2019'!R\Max</f>
        <v>8.8005138979450934E-2</v>
      </c>
      <c r="BY15" s="1155">
        <f>'2020'!R\Max</f>
        <v>0.66000480140505668</v>
      </c>
      <c r="BZ15" s="1155">
        <f>'2021'!R\Max</f>
        <v>0.544016442928549</v>
      </c>
      <c r="CA15" s="1155">
        <f>'2022'!R\Max</f>
        <v>0.97416967955437106</v>
      </c>
      <c r="CB15" s="1155">
        <f>'2023'!R\Max</f>
        <v>0.97395514628034718</v>
      </c>
      <c r="CC15" s="1155">
        <f>'2024'!R\Max</f>
        <v>0.97375025931604298</v>
      </c>
      <c r="CD15" s="1155">
        <f>'2025'!R\Max</f>
        <v>0.97344493972390034</v>
      </c>
      <c r="CE15" s="1155">
        <f>'2026'!R\Max</f>
        <v>0.97498198401821268</v>
      </c>
      <c r="CF15" s="1156">
        <f>'2027'!R\Max</f>
        <v>0.97454297627162534</v>
      </c>
    </row>
    <row r="16" spans="1:84" s="6" customFormat="1" ht="11.25" x14ac:dyDescent="0.2">
      <c r="A16" s="11">
        <v>43102</v>
      </c>
      <c r="B16" s="380">
        <f>'2022'!Maxi_hp</f>
        <v>13.53519224964062</v>
      </c>
      <c r="C16" s="13">
        <f>'2022'!An_max</f>
        <v>2020</v>
      </c>
      <c r="D16" s="1070"/>
      <c r="E16" s="1073"/>
      <c r="F16" s="13">
        <f t="shared" ref="F16:F79" si="22">INT(MATCH($A16,x.2m)/2)*2+1</f>
        <v>1</v>
      </c>
      <c r="G16" s="13">
        <f t="shared" ref="G16:G78" si="23">INT((MATCH($A16,x.2m)+1)/2)*2</f>
        <v>2</v>
      </c>
      <c r="H16" s="173">
        <f t="shared" si="7"/>
        <v>43093</v>
      </c>
      <c r="I16" s="754">
        <f t="shared" si="8"/>
        <v>0.6</v>
      </c>
      <c r="J16" s="747">
        <f>((1-I16)*(INDEX(a.m,F16)*$A16*$A16+INDEX(b.m,F16)*$A16+INDEX(c.m,F16))+I16*(INDEX(a.m,G16)*$A16*$A16+INDEX(b.m,G16)*$A16+INDEX(c.m,G16)))/10</f>
        <v>13.607444118261338</v>
      </c>
      <c r="L16" s="756" t="s">
        <v>210</v>
      </c>
      <c r="M16" s="742">
        <f t="shared" ref="M16:AN16" si="24">L13</f>
        <v>120.417</v>
      </c>
      <c r="N16" s="781">
        <f t="shared" si="24"/>
        <v>125.312</v>
      </c>
      <c r="O16" s="743">
        <f t="shared" si="24"/>
        <v>145.87100000000001</v>
      </c>
      <c r="P16" s="743">
        <f t="shared" si="24"/>
        <v>175.24099999999999</v>
      </c>
      <c r="Q16" s="743">
        <f t="shared" si="24"/>
        <v>215.38</v>
      </c>
      <c r="R16" s="743">
        <f t="shared" si="24"/>
        <v>260.41399999999999</v>
      </c>
      <c r="S16" s="743">
        <f t="shared" si="24"/>
        <v>303.49</v>
      </c>
      <c r="T16" s="743">
        <f t="shared" si="24"/>
        <v>344.608</v>
      </c>
      <c r="U16" s="743">
        <f t="shared" si="24"/>
        <v>379.85199999999998</v>
      </c>
      <c r="V16" s="743">
        <f t="shared" si="24"/>
        <v>404.327</v>
      </c>
      <c r="W16" s="743">
        <f t="shared" si="24"/>
        <v>422.928</v>
      </c>
      <c r="X16" s="743">
        <f t="shared" si="24"/>
        <v>433.697</v>
      </c>
      <c r="Y16" s="743">
        <f t="shared" si="24"/>
        <v>435.65499999999997</v>
      </c>
      <c r="Z16" s="743">
        <f t="shared" si="24"/>
        <v>433.697</v>
      </c>
      <c r="AA16" s="743">
        <f t="shared" si="24"/>
        <v>428.80199999999996</v>
      </c>
      <c r="AB16" s="743">
        <f t="shared" si="24"/>
        <v>421.94900000000001</v>
      </c>
      <c r="AC16" s="743">
        <f t="shared" si="24"/>
        <v>410.20099999999996</v>
      </c>
      <c r="AD16" s="743">
        <f t="shared" si="24"/>
        <v>397.47399999999999</v>
      </c>
      <c r="AE16" s="743">
        <f t="shared" si="24"/>
        <v>381.81</v>
      </c>
      <c r="AF16" s="743">
        <f t="shared" si="24"/>
        <v>363.209</v>
      </c>
      <c r="AG16" s="743">
        <f t="shared" si="24"/>
        <v>334.81799999999998</v>
      </c>
      <c r="AH16" s="743">
        <f t="shared" si="24"/>
        <v>302.51099999999997</v>
      </c>
      <c r="AI16" s="743">
        <f t="shared" si="24"/>
        <v>264.33</v>
      </c>
      <c r="AJ16" s="743">
        <f t="shared" si="24"/>
        <v>220.27500000000001</v>
      </c>
      <c r="AK16" s="743">
        <f t="shared" si="24"/>
        <v>173.28299999999999</v>
      </c>
      <c r="AL16" s="743">
        <f t="shared" si="24"/>
        <v>139.99699999999999</v>
      </c>
      <c r="AM16" s="743">
        <f t="shared" si="24"/>
        <v>120.417</v>
      </c>
      <c r="AN16" s="779">
        <f t="shared" si="24"/>
        <v>125.312</v>
      </c>
      <c r="AP16" s="13">
        <f t="shared" si="10"/>
        <v>1</v>
      </c>
      <c r="AQ16" s="13">
        <f t="shared" si="11"/>
        <v>2</v>
      </c>
      <c r="AR16" s="173">
        <f t="shared" si="12"/>
        <v>43079</v>
      </c>
      <c r="AS16" s="754">
        <f t="shared" si="13"/>
        <v>0.7931034482758621</v>
      </c>
      <c r="AT16" s="770">
        <f t="shared" si="14"/>
        <v>13.613791351405713</v>
      </c>
      <c r="AU16" s="13">
        <f t="shared" si="15"/>
        <v>1</v>
      </c>
      <c r="AV16" s="13">
        <f t="shared" si="16"/>
        <v>2</v>
      </c>
      <c r="AW16" s="173">
        <f t="shared" si="17"/>
        <v>43093</v>
      </c>
      <c r="AX16" s="754">
        <f t="shared" si="18"/>
        <v>0.31034482758620691</v>
      </c>
      <c r="AY16" s="770">
        <f t="shared" si="19"/>
        <v>13.462155451676969</v>
      </c>
      <c r="AZ16" s="747">
        <f t="shared" ref="AZ16:AZ79" si="25">(AY16+AT16)/2</f>
        <v>13.53797340154134</v>
      </c>
      <c r="BA16" s="646">
        <f t="shared" si="20"/>
        <v>0.99469026894449963</v>
      </c>
      <c r="BB16" s="641">
        <v>43102</v>
      </c>
      <c r="BC16" s="11">
        <v>43102</v>
      </c>
      <c r="BD16" s="290">
        <f>[3]!FeuilCaduc*(1-Persistant)+Persistant</f>
        <v>0.80212912632551969</v>
      </c>
      <c r="BE16" s="291">
        <f>[3]!CroissVégét</f>
        <v>6.0820224447240291E-5</v>
      </c>
      <c r="BF16" s="822">
        <f>1+[3]!Salcycl*Ksac</f>
        <v>1.00053228158138</v>
      </c>
      <c r="BH16" s="1101">
        <f t="shared" si="21"/>
        <v>0.34635154122772382</v>
      </c>
      <c r="BI16" s="11">
        <v>44198</v>
      </c>
      <c r="BJ16" s="727">
        <v>5.5886605834959795E-2</v>
      </c>
      <c r="BK16" s="727">
        <v>0.12216799991669526</v>
      </c>
      <c r="BL16" s="727">
        <v>0.22352940121019063</v>
      </c>
      <c r="BM16" s="727">
        <v>0.34623911347884262</v>
      </c>
      <c r="BN16" s="727">
        <v>0.44620495089160744</v>
      </c>
      <c r="BO16" s="728">
        <v>0.52486079197931346</v>
      </c>
      <c r="BP16" s="727">
        <v>0.5902460615180154</v>
      </c>
      <c r="BQ16" s="727">
        <v>0.65551968760740842</v>
      </c>
      <c r="BR16" s="727">
        <v>0.71107327517753915</v>
      </c>
      <c r="BS16" s="727">
        <v>0.76503538590763287</v>
      </c>
      <c r="BT16" s="727">
        <v>0.82096462173848839</v>
      </c>
      <c r="BW16" s="1157">
        <f>'2018'!R\Max</f>
        <v>0</v>
      </c>
      <c r="BX16" s="1155">
        <f>'2019'!R\Max</f>
        <v>0.35388924581382669</v>
      </c>
      <c r="BY16" s="1155">
        <f>'2020'!R\Max</f>
        <v>0.99469026894449963</v>
      </c>
      <c r="BZ16" s="1155">
        <f>'2021'!R\Max</f>
        <v>0.20482967808649985</v>
      </c>
      <c r="CA16" s="1155">
        <f>'2022'!R\Max</f>
        <v>0.74409503779262198</v>
      </c>
      <c r="CB16" s="1155">
        <f>'2023'!R\Max</f>
        <v>0.74246677259920768</v>
      </c>
      <c r="CC16" s="1155">
        <f>'2024'!R\Max</f>
        <v>0.74091839109919666</v>
      </c>
      <c r="CD16" s="1155">
        <f>'2025'!R\Max</f>
        <v>0.73862461239403143</v>
      </c>
      <c r="CE16" s="1155">
        <f>'2026'!R\Max</f>
        <v>0.75030443212857323</v>
      </c>
      <c r="CF16" s="1156">
        <f>'2027'!R\Max</f>
        <v>0.74694268754277093</v>
      </c>
    </row>
    <row r="17" spans="1:84" s="6" customFormat="1" ht="11.25" x14ac:dyDescent="0.2">
      <c r="A17" s="11">
        <v>43103</v>
      </c>
      <c r="B17" s="380">
        <f>'2022'!Maxi_hp</f>
        <v>14.124165439868252</v>
      </c>
      <c r="C17" s="13">
        <f>'2022'!An_max</f>
        <v>2019</v>
      </c>
      <c r="D17" s="1070"/>
      <c r="E17" s="1073"/>
      <c r="F17" s="13">
        <f t="shared" si="22"/>
        <v>1</v>
      </c>
      <c r="G17" s="13">
        <f t="shared" si="23"/>
        <v>2</v>
      </c>
      <c r="H17" s="173">
        <f t="shared" si="7"/>
        <v>43093</v>
      </c>
      <c r="I17" s="754">
        <f t="shared" si="8"/>
        <v>0.66666666666666663</v>
      </c>
      <c r="J17" s="747">
        <f t="shared" ref="J17:J78" si="26">((1-I17)*(INDEX(a.m,F17)*$A17*$A17+INDEX(b.m,F17)*$A17+INDEX(c.m,F17))+I17*(INDEX(a.m,G17)*$A17*$A17+INDEX(b.m,G17)*$A17+INDEX(c.m,G17)))/10</f>
        <v>13.759531526764235</v>
      </c>
      <c r="L17" s="756" t="s">
        <v>211</v>
      </c>
      <c r="M17" s="782">
        <f t="shared" ref="M17:AN17" si="27">M12</f>
        <v>43093</v>
      </c>
      <c r="N17" s="738">
        <f t="shared" si="27"/>
        <v>43108</v>
      </c>
      <c r="O17" s="738">
        <f t="shared" si="27"/>
        <v>43122</v>
      </c>
      <c r="P17" s="738">
        <f t="shared" si="27"/>
        <v>43136</v>
      </c>
      <c r="Q17" s="738">
        <f t="shared" si="27"/>
        <v>43150</v>
      </c>
      <c r="R17" s="738">
        <f t="shared" si="27"/>
        <v>43164</v>
      </c>
      <c r="S17" s="738">
        <f t="shared" si="27"/>
        <v>43178</v>
      </c>
      <c r="T17" s="738">
        <f t="shared" si="27"/>
        <v>43192</v>
      </c>
      <c r="U17" s="738">
        <f t="shared" si="27"/>
        <v>43206</v>
      </c>
      <c r="V17" s="738">
        <f t="shared" si="27"/>
        <v>43220</v>
      </c>
      <c r="W17" s="738">
        <f t="shared" si="27"/>
        <v>43234</v>
      </c>
      <c r="X17" s="738">
        <f t="shared" si="27"/>
        <v>43248</v>
      </c>
      <c r="Y17" s="738">
        <f t="shared" si="27"/>
        <v>43262</v>
      </c>
      <c r="Z17" s="738">
        <f t="shared" si="27"/>
        <v>43276</v>
      </c>
      <c r="AA17" s="738">
        <f t="shared" si="27"/>
        <v>43290</v>
      </c>
      <c r="AB17" s="738">
        <f t="shared" si="27"/>
        <v>43304</v>
      </c>
      <c r="AC17" s="738">
        <f t="shared" si="27"/>
        <v>43318</v>
      </c>
      <c r="AD17" s="738">
        <f t="shared" si="27"/>
        <v>43332</v>
      </c>
      <c r="AE17" s="738">
        <f t="shared" si="27"/>
        <v>43346</v>
      </c>
      <c r="AF17" s="738">
        <f t="shared" si="27"/>
        <v>43360</v>
      </c>
      <c r="AG17" s="738">
        <f t="shared" si="27"/>
        <v>43374</v>
      </c>
      <c r="AH17" s="738">
        <f t="shared" si="27"/>
        <v>43388</v>
      </c>
      <c r="AI17" s="738">
        <f t="shared" si="27"/>
        <v>43402</v>
      </c>
      <c r="AJ17" s="738">
        <f t="shared" si="27"/>
        <v>43416</v>
      </c>
      <c r="AK17" s="738">
        <f t="shared" si="27"/>
        <v>43430</v>
      </c>
      <c r="AL17" s="738">
        <f t="shared" si="27"/>
        <v>43444</v>
      </c>
      <c r="AM17" s="780">
        <f t="shared" si="27"/>
        <v>43458</v>
      </c>
      <c r="AN17" s="787">
        <f t="shared" si="27"/>
        <v>43473</v>
      </c>
      <c r="AP17" s="13">
        <f t="shared" si="10"/>
        <v>1</v>
      </c>
      <c r="AQ17" s="13">
        <f t="shared" si="11"/>
        <v>2</v>
      </c>
      <c r="AR17" s="173">
        <f t="shared" si="12"/>
        <v>43079</v>
      </c>
      <c r="AS17" s="754">
        <f t="shared" si="13"/>
        <v>0.82758620689655171</v>
      </c>
      <c r="AT17" s="770">
        <f t="shared" si="14"/>
        <v>13.768254326643614</v>
      </c>
      <c r="AU17" s="13">
        <f t="shared" si="15"/>
        <v>1</v>
      </c>
      <c r="AV17" s="13">
        <f t="shared" si="16"/>
        <v>2</v>
      </c>
      <c r="AW17" s="173">
        <f t="shared" si="17"/>
        <v>43093</v>
      </c>
      <c r="AX17" s="754">
        <f t="shared" si="18"/>
        <v>0.34482758620689657</v>
      </c>
      <c r="AY17" s="770">
        <f t="shared" si="19"/>
        <v>13.610602794587612</v>
      </c>
      <c r="AZ17" s="747">
        <f t="shared" si="25"/>
        <v>13.689428560615614</v>
      </c>
      <c r="BA17" s="646">
        <f t="shared" si="20"/>
        <v>1.0265004598735612</v>
      </c>
      <c r="BB17" s="641">
        <v>43103</v>
      </c>
      <c r="BC17" s="11">
        <v>43103</v>
      </c>
      <c r="BD17" s="290">
        <f>[3]!FeuilCaduc*(1-Persistant)+Persistant</f>
        <v>0.80197810729214347</v>
      </c>
      <c r="BE17" s="291">
        <f>[3]!CroissVégét</f>
        <v>1.216934154264056E-4</v>
      </c>
      <c r="BF17" s="822">
        <f>1+[3]!Salcycl*Ksac</f>
        <v>1.0004945268230359</v>
      </c>
      <c r="BH17" s="1101">
        <f t="shared" si="21"/>
        <v>0.34580770660276594</v>
      </c>
      <c r="BI17" s="11">
        <v>44199</v>
      </c>
      <c r="BJ17" s="727">
        <v>5.5257276621524166E-2</v>
      </c>
      <c r="BK17" s="727">
        <v>0.12160010151015135</v>
      </c>
      <c r="BL17" s="727">
        <v>0.22259406527260417</v>
      </c>
      <c r="BM17" s="727">
        <v>0.34569388563129394</v>
      </c>
      <c r="BN17" s="727">
        <v>0.446898515640896</v>
      </c>
      <c r="BO17" s="728">
        <v>0.5270364618243103</v>
      </c>
      <c r="BP17" s="727">
        <v>0.59339836868207008</v>
      </c>
      <c r="BQ17" s="727">
        <v>0.65907344937001133</v>
      </c>
      <c r="BR17" s="727">
        <v>0.7154079730954257</v>
      </c>
      <c r="BS17" s="727">
        <v>0.76999368985894434</v>
      </c>
      <c r="BT17" s="727">
        <v>0.82591730618394321</v>
      </c>
      <c r="BW17" s="1157">
        <f>'2018'!R\Max</f>
        <v>0</v>
      </c>
      <c r="BX17" s="1155">
        <f>'2019'!R\Max</f>
        <v>1.0265004598735612</v>
      </c>
      <c r="BY17" s="1155">
        <f>'2020'!R\Max</f>
        <v>0.44347103441245161</v>
      </c>
      <c r="BZ17" s="1155">
        <f>'2021'!R\Max</f>
        <v>0.96479245537922786</v>
      </c>
      <c r="CA17" s="1155">
        <f>'2022'!R\Max</f>
        <v>0.84875814177225561</v>
      </c>
      <c r="CB17" s="1155">
        <f>'2023'!R\Max</f>
        <v>0.84765125615123271</v>
      </c>
      <c r="CC17" s="1155">
        <f>'2024'!R\Max</f>
        <v>0.84659792682788304</v>
      </c>
      <c r="CD17" s="1155">
        <f>'2025'!R\Max</f>
        <v>0.84503840851209477</v>
      </c>
      <c r="CE17" s="1155">
        <f>'2026'!R\Max</f>
        <v>0.85294541820491243</v>
      </c>
      <c r="CF17" s="1156">
        <f>'2027'!R\Max</f>
        <v>0.85068824763674289</v>
      </c>
    </row>
    <row r="18" spans="1:84" s="6" customFormat="1" ht="11.25" x14ac:dyDescent="0.2">
      <c r="A18" s="11">
        <v>43104</v>
      </c>
      <c r="B18" s="380">
        <f>'2022'!Maxi_hp</f>
        <v>14.134069142951605</v>
      </c>
      <c r="C18" s="13">
        <f>'2022'!An_max</f>
        <v>2019</v>
      </c>
      <c r="D18" s="1070"/>
      <c r="E18" s="1073"/>
      <c r="F18" s="13">
        <f t="shared" si="22"/>
        <v>1</v>
      </c>
      <c r="G18" s="13">
        <f t="shared" si="23"/>
        <v>2</v>
      </c>
      <c r="H18" s="173">
        <f t="shared" si="7"/>
        <v>43093</v>
      </c>
      <c r="I18" s="754">
        <f t="shared" si="8"/>
        <v>0.73333333333333328</v>
      </c>
      <c r="J18" s="747">
        <f t="shared" si="26"/>
        <v>13.91663450176517</v>
      </c>
      <c r="L18" s="756" t="s">
        <v>212</v>
      </c>
      <c r="M18" s="781">
        <f t="shared" ref="M18:AN18" si="28">M13</f>
        <v>125.312</v>
      </c>
      <c r="N18" s="744">
        <f t="shared" si="28"/>
        <v>145.87100000000001</v>
      </c>
      <c r="O18" s="744">
        <f t="shared" si="28"/>
        <v>175.24099999999999</v>
      </c>
      <c r="P18" s="744">
        <f t="shared" si="28"/>
        <v>215.38</v>
      </c>
      <c r="Q18" s="744">
        <f t="shared" si="28"/>
        <v>260.41399999999999</v>
      </c>
      <c r="R18" s="744">
        <f t="shared" si="28"/>
        <v>303.49</v>
      </c>
      <c r="S18" s="744">
        <f t="shared" si="28"/>
        <v>344.608</v>
      </c>
      <c r="T18" s="744">
        <f t="shared" si="28"/>
        <v>379.85199999999998</v>
      </c>
      <c r="U18" s="744">
        <f t="shared" si="28"/>
        <v>404.327</v>
      </c>
      <c r="V18" s="744">
        <f t="shared" si="28"/>
        <v>422.928</v>
      </c>
      <c r="W18" s="744">
        <f t="shared" si="28"/>
        <v>433.697</v>
      </c>
      <c r="X18" s="744">
        <f t="shared" si="28"/>
        <v>435.65499999999997</v>
      </c>
      <c r="Y18" s="744">
        <f t="shared" si="28"/>
        <v>433.697</v>
      </c>
      <c r="Z18" s="744">
        <f t="shared" si="28"/>
        <v>428.80199999999996</v>
      </c>
      <c r="AA18" s="744">
        <f t="shared" si="28"/>
        <v>421.94900000000001</v>
      </c>
      <c r="AB18" s="744">
        <f t="shared" si="28"/>
        <v>410.20099999999996</v>
      </c>
      <c r="AC18" s="744">
        <f t="shared" si="28"/>
        <v>397.47399999999999</v>
      </c>
      <c r="AD18" s="744">
        <f t="shared" si="28"/>
        <v>381.81</v>
      </c>
      <c r="AE18" s="744">
        <f t="shared" si="28"/>
        <v>363.209</v>
      </c>
      <c r="AF18" s="744">
        <f t="shared" si="28"/>
        <v>334.81799999999998</v>
      </c>
      <c r="AG18" s="744">
        <f t="shared" si="28"/>
        <v>302.51099999999997</v>
      </c>
      <c r="AH18" s="744">
        <f t="shared" si="28"/>
        <v>264.33</v>
      </c>
      <c r="AI18" s="744">
        <f t="shared" si="28"/>
        <v>220.27500000000001</v>
      </c>
      <c r="AJ18" s="744">
        <f t="shared" si="28"/>
        <v>173.28299999999999</v>
      </c>
      <c r="AK18" s="744">
        <f t="shared" si="28"/>
        <v>139.99699999999999</v>
      </c>
      <c r="AL18" s="744">
        <f t="shared" si="28"/>
        <v>120.417</v>
      </c>
      <c r="AM18" s="779">
        <f t="shared" si="28"/>
        <v>125.312</v>
      </c>
      <c r="AN18" s="777">
        <f t="shared" si="28"/>
        <v>145.87100000000001</v>
      </c>
      <c r="AP18" s="13">
        <f t="shared" si="10"/>
        <v>1</v>
      </c>
      <c r="AQ18" s="13">
        <f t="shared" si="11"/>
        <v>2</v>
      </c>
      <c r="AR18" s="173">
        <f t="shared" si="12"/>
        <v>43079</v>
      </c>
      <c r="AS18" s="754">
        <f t="shared" si="13"/>
        <v>0.86206896551724133</v>
      </c>
      <c r="AT18" s="770">
        <f t="shared" si="14"/>
        <v>13.92638127161511</v>
      </c>
      <c r="AU18" s="13">
        <f t="shared" si="15"/>
        <v>1</v>
      </c>
      <c r="AV18" s="13">
        <f t="shared" si="16"/>
        <v>2</v>
      </c>
      <c r="AW18" s="173">
        <f t="shared" si="17"/>
        <v>43093</v>
      </c>
      <c r="AX18" s="754">
        <f t="shared" si="18"/>
        <v>0.37931034482758619</v>
      </c>
      <c r="AY18" s="770">
        <f t="shared" si="19"/>
        <v>13.766819344306816</v>
      </c>
      <c r="AZ18" s="747">
        <f t="shared" si="25"/>
        <v>13.846600307960962</v>
      </c>
      <c r="BA18" s="646">
        <f t="shared" si="20"/>
        <v>1.0156240821844431</v>
      </c>
      <c r="BB18" s="641">
        <v>43104</v>
      </c>
      <c r="BC18" s="11">
        <v>43104</v>
      </c>
      <c r="BD18" s="290">
        <f>[3]!FeuilCaduc*(1-Persistant)+Persistant</f>
        <v>0.80183515610083267</v>
      </c>
      <c r="BE18" s="291">
        <f>[3]!CroissVégét</f>
        <v>1.8511247801664469E-4</v>
      </c>
      <c r="BF18" s="822">
        <f>1+[3]!Salcycl*Ksac</f>
        <v>1.0004587890252081</v>
      </c>
      <c r="BH18" s="1101">
        <f t="shared" si="21"/>
        <v>0.34495038675800199</v>
      </c>
      <c r="BI18" s="11">
        <v>44200</v>
      </c>
      <c r="BJ18" s="727">
        <v>5.4576916790387613E-2</v>
      </c>
      <c r="BK18" s="727">
        <v>0.121017321691723</v>
      </c>
      <c r="BL18" s="727">
        <v>0.22148046305795746</v>
      </c>
      <c r="BM18" s="727">
        <v>0.34483512597536065</v>
      </c>
      <c r="BN18" s="727">
        <v>0.44731997310833232</v>
      </c>
      <c r="BO18" s="728">
        <v>0.52918174464927281</v>
      </c>
      <c r="BP18" s="727">
        <v>0.59658190845994852</v>
      </c>
      <c r="BQ18" s="727">
        <v>0.66280317277349654</v>
      </c>
      <c r="BR18" s="727">
        <v>0.71998056013038425</v>
      </c>
      <c r="BS18" s="727">
        <v>0.77530941135998832</v>
      </c>
      <c r="BT18" s="727">
        <v>0.83125098860558977</v>
      </c>
      <c r="BW18" s="1157">
        <f>'2018'!R\Max</f>
        <v>0</v>
      </c>
      <c r="BX18" s="1155">
        <f>'2019'!R\Max</f>
        <v>1.0156240821844431</v>
      </c>
      <c r="BY18" s="1155">
        <f>'2020'!R\Max</f>
        <v>0.33335539158220706</v>
      </c>
      <c r="BZ18" s="1155">
        <f>'2021'!R\Max</f>
        <v>0.91126219395391139</v>
      </c>
      <c r="CA18" s="1155">
        <f>'2022'!R\Max</f>
        <v>0.88164708100919442</v>
      </c>
      <c r="CB18" s="1155">
        <f>'2023'!R\Max</f>
        <v>0.88073814510042991</v>
      </c>
      <c r="CC18" s="1155">
        <f>'2024'!R\Max</f>
        <v>0.87987406434594351</v>
      </c>
      <c r="CD18" s="1155">
        <f>'2025'!R\Max</f>
        <v>0.87859903089319924</v>
      </c>
      <c r="CE18" s="1155">
        <f>'2026'!R\Max</f>
        <v>0.88506334502801287</v>
      </c>
      <c r="CF18" s="1156">
        <f>'2027'!R\Max</f>
        <v>0.88322973060001253</v>
      </c>
    </row>
    <row r="19" spans="1:84" s="6" customFormat="1" ht="11.25" x14ac:dyDescent="0.2">
      <c r="A19" s="11">
        <v>43105</v>
      </c>
      <c r="B19" s="380">
        <f>'2022'!Maxi_hp</f>
        <v>14.283254951142144</v>
      </c>
      <c r="C19" s="13">
        <f>'2022'!An_max</f>
        <v>2019</v>
      </c>
      <c r="D19" s="1070"/>
      <c r="E19" s="1073"/>
      <c r="F19" s="13">
        <f t="shared" si="22"/>
        <v>1</v>
      </c>
      <c r="G19" s="13">
        <f t="shared" si="23"/>
        <v>2</v>
      </c>
      <c r="H19" s="173">
        <f t="shared" si="7"/>
        <v>43093</v>
      </c>
      <c r="I19" s="754">
        <f t="shared" si="8"/>
        <v>0.8</v>
      </c>
      <c r="J19" s="747">
        <f t="shared" si="26"/>
        <v>14.078347940742969</v>
      </c>
      <c r="L19" s="756" t="s">
        <v>213</v>
      </c>
      <c r="M19" s="783">
        <f t="shared" ref="M19:AN19" si="29">N12</f>
        <v>43108</v>
      </c>
      <c r="N19" s="739">
        <f t="shared" si="29"/>
        <v>43122</v>
      </c>
      <c r="O19" s="739">
        <f t="shared" si="29"/>
        <v>43136</v>
      </c>
      <c r="P19" s="739">
        <f t="shared" si="29"/>
        <v>43150</v>
      </c>
      <c r="Q19" s="739">
        <f t="shared" si="29"/>
        <v>43164</v>
      </c>
      <c r="R19" s="739">
        <f t="shared" si="29"/>
        <v>43178</v>
      </c>
      <c r="S19" s="739">
        <f t="shared" si="29"/>
        <v>43192</v>
      </c>
      <c r="T19" s="739">
        <f t="shared" si="29"/>
        <v>43206</v>
      </c>
      <c r="U19" s="739">
        <f t="shared" si="29"/>
        <v>43220</v>
      </c>
      <c r="V19" s="739">
        <f t="shared" si="29"/>
        <v>43234</v>
      </c>
      <c r="W19" s="739">
        <f t="shared" si="29"/>
        <v>43248</v>
      </c>
      <c r="X19" s="739">
        <f t="shared" si="29"/>
        <v>43262</v>
      </c>
      <c r="Y19" s="739">
        <f t="shared" si="29"/>
        <v>43276</v>
      </c>
      <c r="Z19" s="739">
        <f t="shared" si="29"/>
        <v>43290</v>
      </c>
      <c r="AA19" s="739">
        <f t="shared" si="29"/>
        <v>43304</v>
      </c>
      <c r="AB19" s="739">
        <f t="shared" si="29"/>
        <v>43318</v>
      </c>
      <c r="AC19" s="739">
        <f t="shared" si="29"/>
        <v>43332</v>
      </c>
      <c r="AD19" s="739">
        <f t="shared" si="29"/>
        <v>43346</v>
      </c>
      <c r="AE19" s="739">
        <f t="shared" si="29"/>
        <v>43360</v>
      </c>
      <c r="AF19" s="739">
        <f t="shared" si="29"/>
        <v>43374</v>
      </c>
      <c r="AG19" s="739">
        <f t="shared" si="29"/>
        <v>43388</v>
      </c>
      <c r="AH19" s="739">
        <f t="shared" si="29"/>
        <v>43402</v>
      </c>
      <c r="AI19" s="739">
        <f t="shared" si="29"/>
        <v>43416</v>
      </c>
      <c r="AJ19" s="739">
        <f t="shared" si="29"/>
        <v>43430</v>
      </c>
      <c r="AK19" s="739">
        <f t="shared" si="29"/>
        <v>43444</v>
      </c>
      <c r="AL19" s="780">
        <f t="shared" si="29"/>
        <v>43458</v>
      </c>
      <c r="AM19" s="740">
        <f t="shared" si="29"/>
        <v>43473</v>
      </c>
      <c r="AN19" s="740">
        <f t="shared" si="29"/>
        <v>43487</v>
      </c>
      <c r="AP19" s="13">
        <f t="shared" si="10"/>
        <v>1</v>
      </c>
      <c r="AQ19" s="13">
        <f t="shared" si="11"/>
        <v>2</v>
      </c>
      <c r="AR19" s="173">
        <f t="shared" si="12"/>
        <v>43079</v>
      </c>
      <c r="AS19" s="754">
        <f t="shared" si="13"/>
        <v>0.89655172413793105</v>
      </c>
      <c r="AT19" s="770">
        <f t="shared" si="14"/>
        <v>14.087750745641774</v>
      </c>
      <c r="AU19" s="13">
        <f t="shared" si="15"/>
        <v>1</v>
      </c>
      <c r="AV19" s="13">
        <f t="shared" si="16"/>
        <v>2</v>
      </c>
      <c r="AW19" s="173">
        <f t="shared" si="17"/>
        <v>43093</v>
      </c>
      <c r="AX19" s="754">
        <f t="shared" si="18"/>
        <v>0.41379310344827586</v>
      </c>
      <c r="AY19" s="770">
        <f t="shared" si="19"/>
        <v>13.930469007122104</v>
      </c>
      <c r="AZ19" s="747">
        <f t="shared" si="25"/>
        <v>14.009109876381938</v>
      </c>
      <c r="BA19" s="646">
        <f t="shared" si="20"/>
        <v>1.0145547624807716</v>
      </c>
      <c r="BB19" s="641">
        <v>43105</v>
      </c>
      <c r="BC19" s="11">
        <v>43105</v>
      </c>
      <c r="BD19" s="290">
        <f>[3]!FeuilCaduc*(1-Persistant)+Persistant</f>
        <v>0.80169945704421919</v>
      </c>
      <c r="BE19" s="291">
        <f>[3]!CroissVégét</f>
        <v>2.5118354313997834E-4</v>
      </c>
      <c r="BF19" s="822">
        <f>1+[3]!Salcycl*Ksac</f>
        <v>1.0004248642610547</v>
      </c>
      <c r="BH19" s="1101">
        <f t="shared" si="21"/>
        <v>0.34377824208795332</v>
      </c>
      <c r="BI19" s="11">
        <v>44201</v>
      </c>
      <c r="BJ19" s="727">
        <v>5.3845308826973824E-2</v>
      </c>
      <c r="BK19" s="727">
        <v>0.12041932571245945</v>
      </c>
      <c r="BL19" s="727">
        <v>0.22018776399015616</v>
      </c>
      <c r="BM19" s="727">
        <v>0.34366149512400423</v>
      </c>
      <c r="BN19" s="727">
        <v>0.44746778967946632</v>
      </c>
      <c r="BO19" s="728">
        <v>0.53129525683843581</v>
      </c>
      <c r="BP19" s="727">
        <v>0.59979522029816212</v>
      </c>
      <c r="BQ19" s="727">
        <v>0.66670743993586246</v>
      </c>
      <c r="BR19" s="727">
        <v>0.7247895667991443</v>
      </c>
      <c r="BS19" s="727">
        <v>0.78098111641461954</v>
      </c>
      <c r="BT19" s="727">
        <v>0.83696412600520864</v>
      </c>
      <c r="BW19" s="1157">
        <f>'2018'!R\Max</f>
        <v>0</v>
      </c>
      <c r="BX19" s="1155">
        <f>'2019'!R\Max</f>
        <v>1.0145547624807716</v>
      </c>
      <c r="BY19" s="1155">
        <f>'2020'!R\Max</f>
        <v>0.49799401348119504</v>
      </c>
      <c r="BZ19" s="1155">
        <f>'2021'!R\Max</f>
        <v>0.17565915282650066</v>
      </c>
      <c r="CA19" s="1155">
        <f>'2022'!R\Max</f>
        <v>0.71519972969518153</v>
      </c>
      <c r="CB19" s="1155">
        <f>'2023'!R\Max</f>
        <v>0.71340635439655375</v>
      </c>
      <c r="CC19" s="1155">
        <f>'2024'!R\Max</f>
        <v>0.71170983700825574</v>
      </c>
      <c r="CD19" s="1155">
        <f>'2025'!R\Max</f>
        <v>0.70922818467123905</v>
      </c>
      <c r="CE19" s="1155">
        <f>'2026'!R\Max</f>
        <v>0.72194413817448866</v>
      </c>
      <c r="CF19" s="1156">
        <f>'2027'!R\Max</f>
        <v>0.71833240286036604</v>
      </c>
    </row>
    <row r="20" spans="1:84" s="6" customFormat="1" ht="11.25" x14ac:dyDescent="0.2">
      <c r="A20" s="11">
        <v>43106</v>
      </c>
      <c r="B20" s="380">
        <f>'2022'!Maxi_hp</f>
        <v>14.635126795331709</v>
      </c>
      <c r="C20" s="13">
        <f>'2022'!An_max</f>
        <v>2022</v>
      </c>
      <c r="D20" s="1070"/>
      <c r="E20" s="1073"/>
      <c r="F20" s="13">
        <f t="shared" si="22"/>
        <v>1</v>
      </c>
      <c r="G20" s="13">
        <f t="shared" si="23"/>
        <v>2</v>
      </c>
      <c r="H20" s="173">
        <f t="shared" si="7"/>
        <v>43093</v>
      </c>
      <c r="I20" s="754">
        <f t="shared" si="8"/>
        <v>0.8666666666666667</v>
      </c>
      <c r="J20" s="747">
        <f t="shared" si="26"/>
        <v>14.244266738643248</v>
      </c>
      <c r="L20" s="756" t="s">
        <v>214</v>
      </c>
      <c r="M20" s="784">
        <f>N13</f>
        <v>145.87100000000001</v>
      </c>
      <c r="N20" s="744">
        <f t="shared" ref="N20:AN20" si="30">O13</f>
        <v>175.24099999999999</v>
      </c>
      <c r="O20" s="744">
        <f t="shared" si="30"/>
        <v>215.38</v>
      </c>
      <c r="P20" s="744">
        <f t="shared" si="30"/>
        <v>260.41399999999999</v>
      </c>
      <c r="Q20" s="744">
        <f t="shared" si="30"/>
        <v>303.49</v>
      </c>
      <c r="R20" s="744">
        <f t="shared" si="30"/>
        <v>344.608</v>
      </c>
      <c r="S20" s="744">
        <f t="shared" si="30"/>
        <v>379.85199999999998</v>
      </c>
      <c r="T20" s="744">
        <f t="shared" si="30"/>
        <v>404.327</v>
      </c>
      <c r="U20" s="744">
        <f t="shared" si="30"/>
        <v>422.928</v>
      </c>
      <c r="V20" s="744">
        <f t="shared" si="30"/>
        <v>433.697</v>
      </c>
      <c r="W20" s="744">
        <f t="shared" si="30"/>
        <v>435.65499999999997</v>
      </c>
      <c r="X20" s="744">
        <f t="shared" si="30"/>
        <v>433.697</v>
      </c>
      <c r="Y20" s="744">
        <f t="shared" si="30"/>
        <v>428.80199999999996</v>
      </c>
      <c r="Z20" s="744">
        <f t="shared" si="30"/>
        <v>421.94900000000001</v>
      </c>
      <c r="AA20" s="744">
        <f t="shared" si="30"/>
        <v>410.20099999999996</v>
      </c>
      <c r="AB20" s="744">
        <f t="shared" si="30"/>
        <v>397.47399999999999</v>
      </c>
      <c r="AC20" s="744">
        <f t="shared" si="30"/>
        <v>381.81</v>
      </c>
      <c r="AD20" s="744">
        <f t="shared" si="30"/>
        <v>363.209</v>
      </c>
      <c r="AE20" s="744">
        <f t="shared" si="30"/>
        <v>334.81799999999998</v>
      </c>
      <c r="AF20" s="744">
        <f t="shared" si="30"/>
        <v>302.51099999999997</v>
      </c>
      <c r="AG20" s="744">
        <f t="shared" si="30"/>
        <v>264.33</v>
      </c>
      <c r="AH20" s="744">
        <f t="shared" si="30"/>
        <v>220.27500000000001</v>
      </c>
      <c r="AI20" s="744">
        <f t="shared" si="30"/>
        <v>173.28299999999999</v>
      </c>
      <c r="AJ20" s="744">
        <f t="shared" si="30"/>
        <v>139.99699999999999</v>
      </c>
      <c r="AK20" s="744">
        <f t="shared" si="30"/>
        <v>120.417</v>
      </c>
      <c r="AL20" s="779">
        <f t="shared" si="30"/>
        <v>125.312</v>
      </c>
      <c r="AM20" s="777">
        <f t="shared" si="30"/>
        <v>145.87100000000001</v>
      </c>
      <c r="AN20" s="777">
        <f t="shared" si="30"/>
        <v>175.24099999999999</v>
      </c>
      <c r="AP20" s="13">
        <f t="shared" si="10"/>
        <v>1</v>
      </c>
      <c r="AQ20" s="13">
        <f t="shared" si="11"/>
        <v>2</v>
      </c>
      <c r="AR20" s="173">
        <f t="shared" si="12"/>
        <v>43079</v>
      </c>
      <c r="AS20" s="754">
        <f t="shared" si="13"/>
        <v>0.93103448275862066</v>
      </c>
      <c r="AT20" s="770">
        <f>((1-AS20)*(INDEX(a.lg,AP20)*$A20*$A20+INDEX(b.lg,AP20)*$A20+INDEX(c.lg,AP20))+AS20*(INDEX(a.lg,AQ20)*$A20*$A20+INDEX(b.lg,AQ20)*$A20+INDEX(c.lg,AQ20)))/10</f>
        <v>14.251941315675605</v>
      </c>
      <c r="AU20" s="13">
        <f t="shared" si="15"/>
        <v>1</v>
      </c>
      <c r="AV20" s="13">
        <f t="shared" si="16"/>
        <v>2</v>
      </c>
      <c r="AW20" s="173">
        <f t="shared" si="17"/>
        <v>43093</v>
      </c>
      <c r="AX20" s="754">
        <f t="shared" si="18"/>
        <v>0.44827586206896552</v>
      </c>
      <c r="AY20" s="770">
        <f t="shared" si="19"/>
        <v>14.101215682872411</v>
      </c>
      <c r="AZ20" s="747">
        <f t="shared" si="25"/>
        <v>14.176578499274008</v>
      </c>
      <c r="BA20" s="646">
        <f t="shared" si="20"/>
        <v>1.0274398158824209</v>
      </c>
      <c r="BB20" s="641">
        <v>43106</v>
      </c>
      <c r="BC20" s="11">
        <v>43106</v>
      </c>
      <c r="BD20" s="290">
        <f>[3]!FeuilCaduc*(1-Persistant)+Persistant</f>
        <v>0.80157031130564005</v>
      </c>
      <c r="BE20" s="291">
        <f>[3]!CroissVégét</f>
        <v>3.2001713664140156E-4</v>
      </c>
      <c r="BF20" s="822">
        <f>1+[3]!Salcycl*Ksac</f>
        <v>1.00039257782641</v>
      </c>
      <c r="BH20" s="1101">
        <f t="shared" si="21"/>
        <v>0.3422899433301978</v>
      </c>
      <c r="BI20" s="11">
        <v>44202</v>
      </c>
      <c r="BJ20" s="727">
        <v>5.3062242411435333E-2</v>
      </c>
      <c r="BK20" s="727">
        <v>0.11980578535913367</v>
      </c>
      <c r="BL20" s="727">
        <v>0.21871514988789664</v>
      </c>
      <c r="BM20" s="727">
        <v>0.34217166404735638</v>
      </c>
      <c r="BN20" s="727">
        <v>0.4473404295477485</v>
      </c>
      <c r="BO20" s="728">
        <v>0.53337559546828928</v>
      </c>
      <c r="BP20" s="727">
        <v>0.6030368140896093</v>
      </c>
      <c r="BQ20" s="727">
        <v>0.67078479821692394</v>
      </c>
      <c r="BR20" s="727">
        <v>0.72983348055831765</v>
      </c>
      <c r="BS20" s="727">
        <v>0.78700732069102053</v>
      </c>
      <c r="BT20" s="727">
        <v>0.84305512514707115</v>
      </c>
      <c r="BW20" s="1157">
        <f>'2018'!R\Max</f>
        <v>0</v>
      </c>
      <c r="BX20" s="1155">
        <f>'2019'!R\Max</f>
        <v>0.2506524623686911</v>
      </c>
      <c r="BY20" s="1155">
        <f>'2020'!R\Max</f>
        <v>0.94650773062493065</v>
      </c>
      <c r="BZ20" s="1155">
        <f>'2021'!R\Max</f>
        <v>0.36952333144917521</v>
      </c>
      <c r="CA20" s="1155">
        <f>'2022'!R\Max</f>
        <v>1.0274398158824209</v>
      </c>
      <c r="CB20" s="1155">
        <f>'2023'!R\Max</f>
        <v>1.0274398158824207</v>
      </c>
      <c r="CC20" s="1155">
        <f>'2024'!R\Max</f>
        <v>1.0274398158824207</v>
      </c>
      <c r="CD20" s="1155">
        <f>'2025'!R\Max</f>
        <v>1.0274398158824209</v>
      </c>
      <c r="CE20" s="1155">
        <f>'2026'!R\Max</f>
        <v>1.0274398158824205</v>
      </c>
      <c r="CF20" s="1156">
        <f>'2027'!R\Max</f>
        <v>1.0274398158824209</v>
      </c>
    </row>
    <row r="21" spans="1:84" s="6" customFormat="1" ht="11.25" x14ac:dyDescent="0.2">
      <c r="A21" s="11">
        <v>43107</v>
      </c>
      <c r="B21" s="380">
        <f>'2022'!Maxi_hp</f>
        <v>8.971852492930589</v>
      </c>
      <c r="C21" s="13">
        <f>'2022'!An_max</f>
        <v>2021</v>
      </c>
      <c r="D21" s="1070"/>
      <c r="E21" s="1073"/>
      <c r="F21" s="13">
        <f t="shared" si="22"/>
        <v>1</v>
      </c>
      <c r="G21" s="13">
        <f t="shared" si="23"/>
        <v>2</v>
      </c>
      <c r="H21" s="173">
        <f t="shared" si="7"/>
        <v>43093</v>
      </c>
      <c r="I21" s="754">
        <f t="shared" si="8"/>
        <v>0.93333333333333335</v>
      </c>
      <c r="J21" s="747">
        <f t="shared" si="26"/>
        <v>14.413985792795819</v>
      </c>
      <c r="L21" s="757" t="s">
        <v>215</v>
      </c>
      <c r="M21" s="741">
        <f>x.1m*x.1m-x.2m*x.2m</f>
        <v>-1206408</v>
      </c>
      <c r="N21" s="741">
        <f t="shared" ref="N21:AM21" si="31">x.1m*x.1m-x.2m*x.2m</f>
        <v>-1293015</v>
      </c>
      <c r="O21" s="741">
        <f t="shared" si="31"/>
        <v>-1207220</v>
      </c>
      <c r="P21" s="741">
        <f t="shared" si="31"/>
        <v>-1207612</v>
      </c>
      <c r="Q21" s="741">
        <f t="shared" si="31"/>
        <v>-1208004</v>
      </c>
      <c r="R21" s="741">
        <f t="shared" si="31"/>
        <v>-1208396</v>
      </c>
      <c r="S21" s="741">
        <f t="shared" si="31"/>
        <v>-1208788</v>
      </c>
      <c r="T21" s="741">
        <f t="shared" si="31"/>
        <v>-1209180</v>
      </c>
      <c r="U21" s="741">
        <f t="shared" si="31"/>
        <v>-1209572</v>
      </c>
      <c r="V21" s="741">
        <f t="shared" si="31"/>
        <v>-1209964</v>
      </c>
      <c r="W21" s="741">
        <f t="shared" si="31"/>
        <v>-1210356</v>
      </c>
      <c r="X21" s="741">
        <f t="shared" si="31"/>
        <v>-1210748</v>
      </c>
      <c r="Y21" s="741">
        <f t="shared" si="31"/>
        <v>-1211140</v>
      </c>
      <c r="Z21" s="741">
        <f t="shared" si="31"/>
        <v>-1211532</v>
      </c>
      <c r="AA21" s="741">
        <f t="shared" si="31"/>
        <v>-1211924</v>
      </c>
      <c r="AB21" s="741">
        <f t="shared" si="31"/>
        <v>-1212316</v>
      </c>
      <c r="AC21" s="741">
        <f t="shared" si="31"/>
        <v>-1212708</v>
      </c>
      <c r="AD21" s="741">
        <f t="shared" si="31"/>
        <v>-1213100</v>
      </c>
      <c r="AE21" s="741">
        <f t="shared" si="31"/>
        <v>-1213492</v>
      </c>
      <c r="AF21" s="741">
        <f t="shared" si="31"/>
        <v>-1213884</v>
      </c>
      <c r="AG21" s="741">
        <f t="shared" si="31"/>
        <v>-1214276</v>
      </c>
      <c r="AH21" s="741">
        <f t="shared" si="31"/>
        <v>-1214668</v>
      </c>
      <c r="AI21" s="741">
        <f t="shared" si="31"/>
        <v>-1215060</v>
      </c>
      <c r="AJ21" s="741">
        <f t="shared" si="31"/>
        <v>-1215452</v>
      </c>
      <c r="AK21" s="741">
        <f t="shared" si="31"/>
        <v>-1215844</v>
      </c>
      <c r="AL21" s="741">
        <f t="shared" si="31"/>
        <v>-1216236</v>
      </c>
      <c r="AM21" s="741">
        <f t="shared" si="31"/>
        <v>-1216628</v>
      </c>
      <c r="AN21" s="741">
        <f>x.1m*x.1m-x.2m*x.2m</f>
        <v>-1303965</v>
      </c>
      <c r="AP21" s="13">
        <f t="shared" si="10"/>
        <v>1</v>
      </c>
      <c r="AQ21" s="13">
        <f t="shared" si="11"/>
        <v>2</v>
      </c>
      <c r="AR21" s="173">
        <f t="shared" si="12"/>
        <v>43079</v>
      </c>
      <c r="AS21" s="754">
        <f t="shared" si="13"/>
        <v>0.96551724137931039</v>
      </c>
      <c r="AT21" s="770">
        <f t="shared" si="14"/>
        <v>14.418531545123148</v>
      </c>
      <c r="AU21" s="13">
        <f t="shared" si="15"/>
        <v>1</v>
      </c>
      <c r="AV21" s="13">
        <f t="shared" si="16"/>
        <v>2</v>
      </c>
      <c r="AW21" s="173">
        <f t="shared" si="17"/>
        <v>43093</v>
      </c>
      <c r="AX21" s="754">
        <f t="shared" si="18"/>
        <v>0.48275862068965519</v>
      </c>
      <c r="AY21" s="770">
        <f t="shared" si="19"/>
        <v>14.278723270728671</v>
      </c>
      <c r="AZ21" s="747">
        <f t="shared" si="25"/>
        <v>14.34862740792591</v>
      </c>
      <c r="BA21" s="646">
        <f t="shared" si="20"/>
        <v>0.62244077536240983</v>
      </c>
      <c r="BB21" s="641">
        <v>43107</v>
      </c>
      <c r="BC21" s="11">
        <v>43107</v>
      </c>
      <c r="BD21" s="290">
        <f>[3]!FeuilCaduc*(1-Persistant)+Persistant</f>
        <v>0.80144713216359986</v>
      </c>
      <c r="BE21" s="291">
        <f>[3]!CroissVégét</f>
        <v>3.9172835876776901E-4</v>
      </c>
      <c r="BF21" s="822">
        <f>1+[3]!Salcycl*Ksac</f>
        <v>1.0003617830409</v>
      </c>
      <c r="BH21" s="1101">
        <f t="shared" si="21"/>
        <v>0.34048417957563504</v>
      </c>
      <c r="BI21" s="11">
        <v>44203</v>
      </c>
      <c r="BJ21" s="727">
        <v>5.2227515709275162E-2</v>
      </c>
      <c r="BK21" s="727">
        <v>0.1191763793303669</v>
      </c>
      <c r="BL21" s="727">
        <v>0.21706181950670728</v>
      </c>
      <c r="BM21" s="727">
        <v>0.34036432208412815</v>
      </c>
      <c r="BN21" s="727">
        <v>0.44693636170877543</v>
      </c>
      <c r="BO21" s="728">
        <v>0.53542133918146484</v>
      </c>
      <c r="BP21" s="727">
        <v>0.60630516950589886</v>
      </c>
      <c r="BQ21" s="727">
        <v>0.67503375587573666</v>
      </c>
      <c r="BR21" s="727">
        <v>0.73511073990674991</v>
      </c>
      <c r="BS21" s="727">
        <v>0.79338648059621508</v>
      </c>
      <c r="BT21" s="727">
        <v>0.84952233303590019</v>
      </c>
      <c r="BW21" s="1157">
        <f>'2018'!R\Max</f>
        <v>0</v>
      </c>
      <c r="BX21" s="1155">
        <f>'2019'!R\Max</f>
        <v>0.12328750687933265</v>
      </c>
      <c r="BY21" s="1155">
        <f>'2020'!R\Max</f>
        <v>0.33996041197285914</v>
      </c>
      <c r="BZ21" s="1155">
        <f>'2021'!R\Max</f>
        <v>0.62244077536240983</v>
      </c>
      <c r="CA21" s="1155">
        <f>'2022'!R\Max</f>
        <v>0.43984782546037726</v>
      </c>
      <c r="CB21" s="1155">
        <f>'2023'!R\Max</f>
        <v>0.43761687063158017</v>
      </c>
      <c r="CC21" s="1155">
        <f>'2024'!R\Max</f>
        <v>0.43552805387829813</v>
      </c>
      <c r="CD21" s="1155">
        <f>'2025'!R\Max</f>
        <v>0.43253230837943474</v>
      </c>
      <c r="CE21" s="1155">
        <f>'2026'!R\Max</f>
        <v>0.44820296843589641</v>
      </c>
      <c r="CF21" s="1156">
        <f>'2027'!R\Max</f>
        <v>0.44376420728322119</v>
      </c>
    </row>
    <row r="22" spans="1:84" s="6" customFormat="1" ht="11.25" x14ac:dyDescent="0.2">
      <c r="A22" s="11">
        <v>43108</v>
      </c>
      <c r="B22" s="380">
        <f>'2022'!Maxi_hp</f>
        <v>12.341431159322497</v>
      </c>
      <c r="C22" s="13">
        <f>'2022'!An_max</f>
        <v>2021</v>
      </c>
      <c r="D22" s="1070"/>
      <c r="E22" s="1073">
        <f>N$13/10</f>
        <v>14.587100000000001</v>
      </c>
      <c r="F22" s="13">
        <f t="shared" si="22"/>
        <v>3</v>
      </c>
      <c r="G22" s="13">
        <f t="shared" si="23"/>
        <v>2</v>
      </c>
      <c r="H22" s="173">
        <f t="shared" si="7"/>
        <v>43122</v>
      </c>
      <c r="I22" s="754">
        <f t="shared" si="8"/>
        <v>1</v>
      </c>
      <c r="J22" s="747">
        <f t="shared" si="26"/>
        <v>14.587099999189377</v>
      </c>
      <c r="L22" s="757" t="s">
        <v>216</v>
      </c>
      <c r="M22" s="741">
        <f t="shared" ref="M22:AM22" si="32">x.2m*x.2m-x.3m*x.3m</f>
        <v>-1293015</v>
      </c>
      <c r="N22" s="741">
        <f>x.2m*x.2m-x.3m*x.3m</f>
        <v>-1207220</v>
      </c>
      <c r="O22" s="741">
        <f t="shared" si="32"/>
        <v>-1207612</v>
      </c>
      <c r="P22" s="741">
        <f t="shared" si="32"/>
        <v>-1208004</v>
      </c>
      <c r="Q22" s="741">
        <f t="shared" si="32"/>
        <v>-1208396</v>
      </c>
      <c r="R22" s="741">
        <f t="shared" si="32"/>
        <v>-1208788</v>
      </c>
      <c r="S22" s="741">
        <f t="shared" si="32"/>
        <v>-1209180</v>
      </c>
      <c r="T22" s="741">
        <f t="shared" si="32"/>
        <v>-1209572</v>
      </c>
      <c r="U22" s="741">
        <f t="shared" si="32"/>
        <v>-1209964</v>
      </c>
      <c r="V22" s="741">
        <f t="shared" si="32"/>
        <v>-1210356</v>
      </c>
      <c r="W22" s="741">
        <f t="shared" si="32"/>
        <v>-1210748</v>
      </c>
      <c r="X22" s="741">
        <f t="shared" si="32"/>
        <v>-1211140</v>
      </c>
      <c r="Y22" s="741">
        <f t="shared" si="32"/>
        <v>-1211532</v>
      </c>
      <c r="Z22" s="741">
        <f t="shared" si="32"/>
        <v>-1211924</v>
      </c>
      <c r="AA22" s="741">
        <f t="shared" si="32"/>
        <v>-1212316</v>
      </c>
      <c r="AB22" s="741">
        <f t="shared" si="32"/>
        <v>-1212708</v>
      </c>
      <c r="AC22" s="741">
        <f t="shared" si="32"/>
        <v>-1213100</v>
      </c>
      <c r="AD22" s="741">
        <f t="shared" si="32"/>
        <v>-1213492</v>
      </c>
      <c r="AE22" s="741">
        <f t="shared" si="32"/>
        <v>-1213884</v>
      </c>
      <c r="AF22" s="741">
        <f t="shared" si="32"/>
        <v>-1214276</v>
      </c>
      <c r="AG22" s="741">
        <f t="shared" si="32"/>
        <v>-1214668</v>
      </c>
      <c r="AH22" s="741">
        <f t="shared" si="32"/>
        <v>-1215060</v>
      </c>
      <c r="AI22" s="741">
        <f t="shared" si="32"/>
        <v>-1215452</v>
      </c>
      <c r="AJ22" s="741">
        <f t="shared" si="32"/>
        <v>-1215844</v>
      </c>
      <c r="AK22" s="741">
        <f t="shared" si="32"/>
        <v>-1216236</v>
      </c>
      <c r="AL22" s="741">
        <f t="shared" si="32"/>
        <v>-1216628</v>
      </c>
      <c r="AM22" s="741">
        <f t="shared" si="32"/>
        <v>-1303965</v>
      </c>
      <c r="AN22" s="741">
        <f>x.2m*x.2m-x.3m*x.3m</f>
        <v>-1217440</v>
      </c>
      <c r="AP22" s="13">
        <f t="shared" si="10"/>
        <v>3</v>
      </c>
      <c r="AQ22" s="13">
        <f t="shared" si="11"/>
        <v>2</v>
      </c>
      <c r="AR22" s="173">
        <f t="shared" si="12"/>
        <v>43136</v>
      </c>
      <c r="AS22" s="754">
        <f t="shared" si="13"/>
        <v>1</v>
      </c>
      <c r="AT22" s="770">
        <f t="shared" si="14"/>
        <v>14.587100000679493</v>
      </c>
      <c r="AU22" s="13">
        <f t="shared" si="15"/>
        <v>1</v>
      </c>
      <c r="AV22" s="13">
        <f t="shared" si="16"/>
        <v>2</v>
      </c>
      <c r="AW22" s="173">
        <f t="shared" si="17"/>
        <v>43093</v>
      </c>
      <c r="AX22" s="754">
        <f t="shared" si="18"/>
        <v>0.51724137931034486</v>
      </c>
      <c r="AY22" s="770">
        <f t="shared" si="19"/>
        <v>14.462655676978414</v>
      </c>
      <c r="AZ22" s="747">
        <f t="shared" si="25"/>
        <v>14.524877838828953</v>
      </c>
      <c r="BA22" s="646">
        <f t="shared" si="20"/>
        <v>0.84605104235991557</v>
      </c>
      <c r="BB22" s="641">
        <v>43108</v>
      </c>
      <c r="BC22" s="11">
        <v>43108</v>
      </c>
      <c r="BD22" s="290">
        <f>[3]!FeuilCaduc*(1-Persistant)+Persistant</f>
        <v>0.80132943939243761</v>
      </c>
      <c r="BE22" s="291">
        <f>[3]!CroissVégét</f>
        <v>4.664370707620742E-4</v>
      </c>
      <c r="BF22" s="822">
        <f>1+[3]!Salcycl*Ksac</f>
        <v>1.0003323598481093</v>
      </c>
      <c r="BH22" s="1101">
        <f t="shared" si="21"/>
        <v>0.33835966627101316</v>
      </c>
      <c r="BI22" s="11">
        <v>44204</v>
      </c>
      <c r="BJ22" s="727">
        <v>5.1340936660759007E-2</v>
      </c>
      <c r="BK22" s="727">
        <v>0.11853079361004475</v>
      </c>
      <c r="BL22" s="727">
        <v>0.21522699307603596</v>
      </c>
      <c r="BM22" s="727">
        <v>0.33823818494528346</v>
      </c>
      <c r="BN22" s="727">
        <v>0.44625406694445691</v>
      </c>
      <c r="BO22" s="728">
        <v>0.53743104904864725</v>
      </c>
      <c r="BP22" s="727">
        <v>0.60959873531615383</v>
      </c>
      <c r="BQ22" s="727">
        <v>0.67945277771299428</v>
      </c>
      <c r="BR22" s="727">
        <v>0.74061972847153512</v>
      </c>
      <c r="BS22" s="727">
        <v>0.80011698433297895</v>
      </c>
      <c r="BT22" s="727">
        <v>0.85636402737596695</v>
      </c>
      <c r="BW22" s="1157">
        <f>'2018'!R\Max</f>
        <v>0</v>
      </c>
      <c r="BX22" s="1155">
        <f>'2019'!R\Max</f>
        <v>0.28077385797394067</v>
      </c>
      <c r="BY22" s="1155">
        <f>'2020'!R\Max</f>
        <v>0.60855641269068339</v>
      </c>
      <c r="BZ22" s="1155">
        <f>'2021'!R\Max</f>
        <v>0.84605104235991557</v>
      </c>
      <c r="CA22" s="1155">
        <f>'2022'!R\Max</f>
        <v>0.34875030268066626</v>
      </c>
      <c r="CB22" s="1155">
        <f>'2023'!R\Max</f>
        <v>0.34665803691679281</v>
      </c>
      <c r="CC22" s="1155">
        <f>'2024'!R\Max</f>
        <v>0.34470880641698459</v>
      </c>
      <c r="CD22" s="1155">
        <f>'2025'!R\Max</f>
        <v>0.34194239707684426</v>
      </c>
      <c r="CE22" s="1155">
        <f>'2026'!R\Max</f>
        <v>0.35654456301084542</v>
      </c>
      <c r="CF22" s="1156">
        <f>'2027'!R\Max</f>
        <v>0.35242807486231581</v>
      </c>
    </row>
    <row r="23" spans="1:84" s="6" customFormat="1" ht="11.25" x14ac:dyDescent="0.2">
      <c r="A23" s="11">
        <v>43109</v>
      </c>
      <c r="B23" s="380">
        <f>'2022'!Maxi_hp</f>
        <v>13.592706813048993</v>
      </c>
      <c r="C23" s="13">
        <f>'2022'!An_max</f>
        <v>2020</v>
      </c>
      <c r="D23" s="1070"/>
      <c r="E23" s="1073"/>
      <c r="F23" s="13">
        <f t="shared" si="22"/>
        <v>3</v>
      </c>
      <c r="G23" s="13">
        <f t="shared" si="23"/>
        <v>2</v>
      </c>
      <c r="H23" s="173">
        <f t="shared" si="7"/>
        <v>43122</v>
      </c>
      <c r="I23" s="754">
        <f t="shared" si="8"/>
        <v>0.9285714285714286</v>
      </c>
      <c r="J23" s="747">
        <f t="shared" si="26"/>
        <v>14.76406222193369</v>
      </c>
      <c r="L23" s="757" t="s">
        <v>217</v>
      </c>
      <c r="M23" s="741">
        <f t="shared" ref="M23:AM23" si="33">(y.1m-y.2m-b.m*(x.1m-x.2m))/D2x12</f>
        <v>3.5205418719200528E-2</v>
      </c>
      <c r="N23" s="741">
        <f>(y.1m-y.2m-b.m*(x.1m-x.2m))/D2x12</f>
        <v>2.5077832512307763E-2</v>
      </c>
      <c r="O23" s="741">
        <f t="shared" si="33"/>
        <v>2.7471938775512482E-2</v>
      </c>
      <c r="P23" s="741">
        <f t="shared" si="33"/>
        <v>1.2487244897962236E-2</v>
      </c>
      <c r="Q23" s="741">
        <f t="shared" si="33"/>
        <v>-4.9948979591843013E-3</v>
      </c>
      <c r="R23" s="741">
        <f t="shared" si="33"/>
        <v>-4.9948979591831399E-3</v>
      </c>
      <c r="S23" s="741">
        <f t="shared" si="33"/>
        <v>-1.4984693877548872E-2</v>
      </c>
      <c r="T23" s="741">
        <f t="shared" si="33"/>
        <v>-2.7471938775510837E-2</v>
      </c>
      <c r="U23" s="741">
        <f t="shared" si="33"/>
        <v>-1.4984693877550435E-2</v>
      </c>
      <c r="V23" s="741">
        <f t="shared" si="33"/>
        <v>-1.9979591836737459E-2</v>
      </c>
      <c r="W23" s="741">
        <f t="shared" si="33"/>
        <v>-2.2477040816325896E-2</v>
      </c>
      <c r="X23" s="741">
        <f t="shared" si="33"/>
        <v>-9.9897959183650707E-3</v>
      </c>
      <c r="Y23" s="741">
        <f t="shared" si="33"/>
        <v>-7.4923469387772387E-3</v>
      </c>
      <c r="Z23" s="741">
        <f t="shared" si="33"/>
        <v>-4.9948979591836543E-3</v>
      </c>
      <c r="AA23" s="741">
        <f t="shared" si="33"/>
        <v>-1.2487244897956152E-2</v>
      </c>
      <c r="AB23" s="741">
        <f t="shared" si="33"/>
        <v>-2.4974489795916836E-3</v>
      </c>
      <c r="AC23" s="741">
        <f t="shared" si="33"/>
        <v>-7.492346938773875E-3</v>
      </c>
      <c r="AD23" s="741">
        <f t="shared" si="33"/>
        <v>-7.4923469387775925E-3</v>
      </c>
      <c r="AE23" s="741">
        <f t="shared" si="33"/>
        <v>-2.4974489795924835E-2</v>
      </c>
      <c r="AF23" s="741">
        <f t="shared" si="33"/>
        <v>-9.9897959183684586E-3</v>
      </c>
      <c r="AG23" s="741">
        <f t="shared" si="33"/>
        <v>-1.4984693877548005E-2</v>
      </c>
      <c r="AH23" s="741">
        <f t="shared" si="33"/>
        <v>-1.4984693877554637E-2</v>
      </c>
      <c r="AI23" s="741">
        <f t="shared" si="33"/>
        <v>-7.4923469387744778E-3</v>
      </c>
      <c r="AJ23" s="741">
        <f t="shared" si="33"/>
        <v>3.4964285714287828E-2</v>
      </c>
      <c r="AK23" s="741">
        <f t="shared" si="33"/>
        <v>3.4964285714279099E-2</v>
      </c>
      <c r="AL23" s="741">
        <f t="shared" si="33"/>
        <v>6.2436224489775871E-2</v>
      </c>
      <c r="AM23" s="741">
        <f t="shared" si="33"/>
        <v>3.5205418719213767E-2</v>
      </c>
      <c r="AN23" s="741">
        <f>(y.1m-y.2m-b.m*(x.1m-x.2m))/D2x12</f>
        <v>2.5077832512316264E-2</v>
      </c>
      <c r="AP23" s="13">
        <f t="shared" si="10"/>
        <v>3</v>
      </c>
      <c r="AQ23" s="13">
        <f t="shared" si="11"/>
        <v>2</v>
      </c>
      <c r="AR23" s="173">
        <f t="shared" si="12"/>
        <v>43136</v>
      </c>
      <c r="AS23" s="754">
        <f t="shared" si="13"/>
        <v>0.9642857142857143</v>
      </c>
      <c r="AT23" s="770">
        <f t="shared" si="14"/>
        <v>14.76090328727982</v>
      </c>
      <c r="AU23" s="13">
        <f t="shared" si="15"/>
        <v>1</v>
      </c>
      <c r="AV23" s="13">
        <f t="shared" si="16"/>
        <v>2</v>
      </c>
      <c r="AW23" s="173">
        <f t="shared" si="17"/>
        <v>43093</v>
      </c>
      <c r="AX23" s="754">
        <f t="shared" si="18"/>
        <v>0.55172413793103448</v>
      </c>
      <c r="AY23" s="770">
        <f t="shared" si="19"/>
        <v>14.652676799122627</v>
      </c>
      <c r="AZ23" s="747">
        <f t="shared" si="25"/>
        <v>14.706790043201224</v>
      </c>
      <c r="BA23" s="646">
        <f t="shared" si="20"/>
        <v>0.92066171279442888</v>
      </c>
      <c r="BB23" s="641">
        <v>43109</v>
      </c>
      <c r="BC23" s="11">
        <v>43109</v>
      </c>
      <c r="BD23" s="290">
        <f>[3]!FeuilCaduc*(1-Persistant)+Persistant</f>
        <v>0.80121685294133982</v>
      </c>
      <c r="BE23" s="291">
        <f>[3]!CroissVégét</f>
        <v>5.4426808883230738E-4</v>
      </c>
      <c r="BF23" s="822">
        <f>1+[3]!Salcycl*Ksac</f>
        <v>1.000304213235335</v>
      </c>
      <c r="BH23" s="1101">
        <f t="shared" si="21"/>
        <v>0.33591515322630011</v>
      </c>
      <c r="BI23" s="11">
        <v>44205</v>
      </c>
      <c r="BJ23" s="727">
        <v>5.0402324271094728E-2</v>
      </c>
      <c r="BK23" s="727">
        <v>0.11786872184242905</v>
      </c>
      <c r="BL23" s="727">
        <v>0.21320991683944793</v>
      </c>
      <c r="BM23" s="727">
        <v>0.33579200272255511</v>
      </c>
      <c r="BN23" s="727">
        <v>0.44529204481345569</v>
      </c>
      <c r="BO23" s="728">
        <v>0.53940326943789385</v>
      </c>
      <c r="BP23" s="727">
        <v>0.61291592871416301</v>
      </c>
      <c r="BQ23" s="727">
        <v>0.68404028072269296</v>
      </c>
      <c r="BR23" s="727">
        <v>0.74635876910409149</v>
      </c>
      <c r="BS23" s="727">
        <v>0.80719714296757927</v>
      </c>
      <c r="BT23" s="727">
        <v>0.863578407041798</v>
      </c>
      <c r="BW23" s="1157">
        <f>'2018'!R\Max</f>
        <v>0</v>
      </c>
      <c r="BX23" s="1155">
        <f>'2019'!R\Max</f>
        <v>0.43048628531461036</v>
      </c>
      <c r="BY23" s="1155">
        <f>'2020'!R\Max</f>
        <v>0.92066171279442888</v>
      </c>
      <c r="BZ23" s="1155">
        <f>'2021'!R\Max</f>
        <v>0.24838793320623329</v>
      </c>
      <c r="CA23" s="1155">
        <f>'2022'!R\Max</f>
        <v>9.4757402110791505E-2</v>
      </c>
      <c r="CB23" s="1155">
        <f>'2023'!R\Max</f>
        <v>9.4125079819241397E-2</v>
      </c>
      <c r="CC23" s="1155">
        <f>'2024'!R\Max</f>
        <v>9.3538786749554598E-2</v>
      </c>
      <c r="CD23" s="1155">
        <f>'2025'!R\Max</f>
        <v>9.2715582011885594E-2</v>
      </c>
      <c r="CE23" s="1155">
        <f>'2026'!R\Max</f>
        <v>9.7095668518942413E-2</v>
      </c>
      <c r="CF23" s="1156">
        <f>'2027'!R\Max</f>
        <v>9.586947218335036E-2</v>
      </c>
    </row>
    <row r="24" spans="1:84" s="6" customFormat="1" ht="11.25" x14ac:dyDescent="0.2">
      <c r="A24" s="11">
        <v>43110</v>
      </c>
      <c r="B24" s="380">
        <f>'2022'!Maxi_hp</f>
        <v>10.238443369739281</v>
      </c>
      <c r="C24" s="13">
        <f>'2022'!An_max</f>
        <v>2019</v>
      </c>
      <c r="D24" s="1070"/>
      <c r="E24" s="1073"/>
      <c r="F24" s="13">
        <f t="shared" si="22"/>
        <v>3</v>
      </c>
      <c r="G24" s="13">
        <f t="shared" si="23"/>
        <v>2</v>
      </c>
      <c r="H24" s="173">
        <f t="shared" si="7"/>
        <v>43122</v>
      </c>
      <c r="I24" s="754">
        <f t="shared" si="8"/>
        <v>0.8571428571428571</v>
      </c>
      <c r="J24" s="747">
        <f t="shared" si="26"/>
        <v>14.945663793385028</v>
      </c>
      <c r="L24" s="757" t="s">
        <v>218</v>
      </c>
      <c r="M24" s="741">
        <f t="shared" ref="M24:AM24" si="34">(y.2m-y.3m-(y.1m-y.2m)*D2x23/D2x12)/(x.2m-x.3m)/(1-(x.2m+x.3m)/(x.1m+x.2m))</f>
        <v>-3033.3716990138055</v>
      </c>
      <c r="N24" s="741">
        <f>(y.2m-y.3m-(y.1m-y.2m)*D2x23/D2x12)/(x.2m-x.3m)/(1-(x.2m+x.3m)/(x.1m+x.2m))</f>
        <v>-2160.3636403934415</v>
      </c>
      <c r="O24" s="741">
        <f t="shared" si="34"/>
        <v>-2366.8074234695841</v>
      </c>
      <c r="P24" s="741">
        <f t="shared" si="34"/>
        <v>-1074.2576989798551</v>
      </c>
      <c r="Q24" s="741">
        <f t="shared" si="34"/>
        <v>434.20647959189085</v>
      </c>
      <c r="R24" s="741">
        <f t="shared" si="34"/>
        <v>434.20647959179064</v>
      </c>
      <c r="S24" s="741">
        <f t="shared" si="34"/>
        <v>1296.7454387753246</v>
      </c>
      <c r="T24" s="741">
        <f t="shared" si="34"/>
        <v>2375.2687806122995</v>
      </c>
      <c r="U24" s="741">
        <f t="shared" si="34"/>
        <v>1296.3957959183167</v>
      </c>
      <c r="V24" s="741">
        <f t="shared" si="34"/>
        <v>1728.0848469390144</v>
      </c>
      <c r="W24" s="741">
        <f t="shared" si="34"/>
        <v>1943.9993010203532</v>
      </c>
      <c r="X24" s="741">
        <f t="shared" si="34"/>
        <v>864.07738775490532</v>
      </c>
      <c r="Y24" s="741">
        <f t="shared" si="34"/>
        <v>648.02307653076173</v>
      </c>
      <c r="Z24" s="741">
        <f t="shared" si="34"/>
        <v>431.89883673469222</v>
      </c>
      <c r="AA24" s="741">
        <f t="shared" si="34"/>
        <v>1080.4813418364722</v>
      </c>
      <c r="AB24" s="741">
        <f t="shared" si="34"/>
        <v>215.4249540816194</v>
      </c>
      <c r="AC24" s="741">
        <f t="shared" si="34"/>
        <v>648.09300510189917</v>
      </c>
      <c r="AD24" s="741">
        <f t="shared" si="34"/>
        <v>648.09300510222124</v>
      </c>
      <c r="AE24" s="741">
        <f t="shared" si="34"/>
        <v>2163.4101836740301</v>
      </c>
      <c r="AF24" s="741">
        <f t="shared" si="34"/>
        <v>864.14731632662711</v>
      </c>
      <c r="AG24" s="741">
        <f t="shared" si="34"/>
        <v>1297.3747959181057</v>
      </c>
      <c r="AH24" s="741">
        <f t="shared" si="34"/>
        <v>1297.374795918681</v>
      </c>
      <c r="AI24" s="741">
        <f t="shared" si="34"/>
        <v>647.11400510195119</v>
      </c>
      <c r="AJ24" s="741">
        <f t="shared" si="34"/>
        <v>-3038.8859285716117</v>
      </c>
      <c r="AK24" s="741">
        <f t="shared" si="34"/>
        <v>-3038.885928570854</v>
      </c>
      <c r="AL24" s="741">
        <f t="shared" si="34"/>
        <v>-5425.483137753361</v>
      </c>
      <c r="AM24" s="741">
        <f t="shared" si="34"/>
        <v>-3059.0716546799717</v>
      </c>
      <c r="AN24" s="741">
        <f>(y.2m-y.3m-(y.1m-y.2m)*D2x23/D2x12)/(x.2m-x.3m)/(1-(x.2m+x.3m)/(x.1m+x.2m))</f>
        <v>-2178.6704581281651</v>
      </c>
      <c r="AP24" s="13">
        <f t="shared" si="10"/>
        <v>3</v>
      </c>
      <c r="AQ24" s="13">
        <f t="shared" si="11"/>
        <v>2</v>
      </c>
      <c r="AR24" s="173">
        <f t="shared" si="12"/>
        <v>43136</v>
      </c>
      <c r="AS24" s="754">
        <f t="shared" si="13"/>
        <v>0.9285714285714286</v>
      </c>
      <c r="AT24" s="770">
        <f t="shared" si="14"/>
        <v>14.943246250200485</v>
      </c>
      <c r="AU24" s="13">
        <f t="shared" si="15"/>
        <v>1</v>
      </c>
      <c r="AV24" s="13">
        <f t="shared" si="16"/>
        <v>2</v>
      </c>
      <c r="AW24" s="173">
        <f t="shared" si="17"/>
        <v>43093</v>
      </c>
      <c r="AX24" s="754">
        <f t="shared" si="18"/>
        <v>0.58620689655172409</v>
      </c>
      <c r="AY24" s="770">
        <f t="shared" si="19"/>
        <v>14.848450541419203</v>
      </c>
      <c r="AZ24" s="747">
        <f t="shared" si="25"/>
        <v>14.895848395809843</v>
      </c>
      <c r="BA24" s="646">
        <f t="shared" si="20"/>
        <v>0.68504440560685098</v>
      </c>
      <c r="BB24" s="641">
        <v>43110</v>
      </c>
      <c r="BC24" s="11">
        <v>43110</v>
      </c>
      <c r="BD24" s="290">
        <f>[3]!FeuilCaduc*(1-Persistant)+Persistant</f>
        <v>0.80110908597862929</v>
      </c>
      <c r="BE24" s="291">
        <f>[3]!CroissVégét</f>
        <v>6.2535138577142317E-4</v>
      </c>
      <c r="BF24" s="822">
        <f>1+[3]!Salcycl*Ksac</f>
        <v>1.0002772714946573</v>
      </c>
      <c r="BH24" s="1101">
        <f t="shared" si="21"/>
        <v>0.33316259241730789</v>
      </c>
      <c r="BI24" s="1107">
        <v>44206</v>
      </c>
      <c r="BJ24" s="727">
        <v>4.9345545788212035E-2</v>
      </c>
      <c r="BK24" s="727">
        <v>0.11708940502002983</v>
      </c>
      <c r="BL24" s="727">
        <v>0.21101972497925131</v>
      </c>
      <c r="BM24" s="727">
        <v>0.33303775709430911</v>
      </c>
      <c r="BN24" s="727">
        <v>0.44403586678210322</v>
      </c>
      <c r="BO24" s="728">
        <v>0.54117102064350175</v>
      </c>
      <c r="BP24" s="727">
        <v>0.61611975797286689</v>
      </c>
      <c r="BQ24" s="727">
        <v>0.68869982143462727</v>
      </c>
      <c r="BR24" s="727">
        <v>0.75230876709200778</v>
      </c>
      <c r="BS24" s="727">
        <v>0.81466674889849777</v>
      </c>
      <c r="BT24" s="727">
        <v>0.87132357505858593</v>
      </c>
      <c r="BW24" s="1157">
        <f>'2018'!R\Max</f>
        <v>0</v>
      </c>
      <c r="BX24" s="1155">
        <f>'2019'!R\Max</f>
        <v>0.68504440560685098</v>
      </c>
      <c r="BY24" s="1155">
        <f>'2020'!R\Max</f>
        <v>0.48001364981872269</v>
      </c>
      <c r="BZ24" s="1155">
        <f>'2021'!R\Max</f>
        <v>0.2359204900835068</v>
      </c>
      <c r="CA24" s="1155">
        <f>'2022'!R\Max</f>
        <v>6.7216608153398541E-2</v>
      </c>
      <c r="CB24" s="1155">
        <f>'2023'!R\Max</f>
        <v>6.6759228086049838E-2</v>
      </c>
      <c r="CC24" s="1155">
        <f>'2024'!R\Max</f>
        <v>6.6336589260023573E-2</v>
      </c>
      <c r="CD24" s="1155">
        <f>'2025'!R\Max</f>
        <v>6.5748404480078793E-2</v>
      </c>
      <c r="CE24" s="1155">
        <f>'2026'!R\Max</f>
        <v>6.8891318397358944E-2</v>
      </c>
      <c r="CF24" s="1156">
        <f>'2027'!R\Max</f>
        <v>6.8020224352984396E-2</v>
      </c>
    </row>
    <row r="25" spans="1:84" s="6" customFormat="1" ht="11.25" x14ac:dyDescent="0.2">
      <c r="A25" s="11">
        <v>43111</v>
      </c>
      <c r="B25" s="380">
        <f>'2022'!Maxi_hp</f>
        <v>15.067623483252582</v>
      </c>
      <c r="C25" s="13">
        <f>'2022'!An_max</f>
        <v>2022</v>
      </c>
      <c r="D25" s="1070"/>
      <c r="E25" s="1073"/>
      <c r="F25" s="13">
        <f t="shared" si="22"/>
        <v>3</v>
      </c>
      <c r="G25" s="13">
        <f t="shared" si="23"/>
        <v>2</v>
      </c>
      <c r="H25" s="173">
        <f t="shared" si="7"/>
        <v>43122</v>
      </c>
      <c r="I25" s="754">
        <f t="shared" si="8"/>
        <v>0.7857142857142857</v>
      </c>
      <c r="J25" s="747">
        <f t="shared" si="26"/>
        <v>15.132007320065583</v>
      </c>
      <c r="L25" s="757" t="s">
        <v>219</v>
      </c>
      <c r="M25" s="741">
        <f t="shared" ref="M25:AM25" si="35">(y.1m+y.2m+y.3m-a.m*(x.3m*x.3m+x.2m*x.2m+x.1m*x.1m)-b.m*(x.3m+x.2m+x.1m))/3</f>
        <v>65340515.295217462</v>
      </c>
      <c r="N25" s="741">
        <f>(y.1m+y.2m+y.3m-a.m*(x.3m*x.3m+x.2m*x.2m+x.1m*x.1m)-b.m*(x.3m+x.2m+x.1m))/3</f>
        <v>46526973.94961068</v>
      </c>
      <c r="O25" s="741">
        <f t="shared" si="35"/>
        <v>50977385.685963422</v>
      </c>
      <c r="P25" s="741">
        <f t="shared" si="35"/>
        <v>23104197.886454657</v>
      </c>
      <c r="Q25" s="741">
        <f t="shared" si="35"/>
        <v>-9435636.2849807572</v>
      </c>
      <c r="R25" s="741">
        <f t="shared" si="35"/>
        <v>-9435636.2849785965</v>
      </c>
      <c r="S25" s="741">
        <f t="shared" si="35"/>
        <v>-28053970.498934761</v>
      </c>
      <c r="T25" s="741">
        <f t="shared" si="35"/>
        <v>-51341985.145674646</v>
      </c>
      <c r="U25" s="741">
        <f t="shared" si="35"/>
        <v>-28038868.724651966</v>
      </c>
      <c r="V25" s="741">
        <f t="shared" si="35"/>
        <v>-37366157.960780665</v>
      </c>
      <c r="W25" s="741">
        <f t="shared" si="35"/>
        <v>-42032824.891692691</v>
      </c>
      <c r="X25" s="741">
        <f t="shared" si="35"/>
        <v>-18684373.777812075</v>
      </c>
      <c r="Y25" s="741">
        <f t="shared" si="35"/>
        <v>-14011659.284186907</v>
      </c>
      <c r="Z25" s="741">
        <f t="shared" si="35"/>
        <v>-9335919.5406938437</v>
      </c>
      <c r="AA25" s="741">
        <f t="shared" si="35"/>
        <v>-23372217.457729008</v>
      </c>
      <c r="AB25" s="741">
        <f t="shared" si="35"/>
        <v>-4645044.7369180815</v>
      </c>
      <c r="AC25" s="741">
        <f t="shared" si="35"/>
        <v>-14014687.471037751</v>
      </c>
      <c r="AD25" s="741">
        <f t="shared" si="35"/>
        <v>-14014687.471044725</v>
      </c>
      <c r="AE25" s="741">
        <f t="shared" si="35"/>
        <v>-46850852.215481542</v>
      </c>
      <c r="AF25" s="741">
        <f t="shared" si="35"/>
        <v>-18687381.405675564</v>
      </c>
      <c r="AG25" s="741">
        <f t="shared" si="35"/>
        <v>-28081269.214647382</v>
      </c>
      <c r="AH25" s="741">
        <f t="shared" si="35"/>
        <v>-28081269.214659858</v>
      </c>
      <c r="AI25" s="741">
        <f t="shared" si="35"/>
        <v>-13972236.07303887</v>
      </c>
      <c r="AJ25" s="741">
        <f t="shared" si="35"/>
        <v>66030547.407003976</v>
      </c>
      <c r="AK25" s="741">
        <f t="shared" si="35"/>
        <v>66030547.406987526</v>
      </c>
      <c r="AL25" s="741">
        <f t="shared" si="35"/>
        <v>117863857.5484928</v>
      </c>
      <c r="AM25" s="741">
        <f t="shared" si="35"/>
        <v>66452386.207291342</v>
      </c>
      <c r="AN25" s="741">
        <f>(y.1m+y.2m+y.3m-a.m*(x.3m*x.3m+x.2m*x.2m+x.1m*x.1m)-b.m*(x.3m+x.2m+x.1m))/3</f>
        <v>47318847.672606803</v>
      </c>
      <c r="AP25" s="13">
        <f t="shared" si="10"/>
        <v>3</v>
      </c>
      <c r="AQ25" s="13">
        <f t="shared" si="11"/>
        <v>2</v>
      </c>
      <c r="AR25" s="173">
        <f t="shared" si="12"/>
        <v>43136</v>
      </c>
      <c r="AS25" s="754">
        <f t="shared" si="13"/>
        <v>0.8928571428571429</v>
      </c>
      <c r="AT25" s="770">
        <f>((1-AS25)*(INDEX(a.lg,AP25)*$A25*$A25+INDEX(b.lg,AP25)*$A25+INDEX(c.lg,AP25))+AS25*(INDEX(a.lg,AQ25)*$A25*$A25+INDEX(b.lg,AQ25)*$A25+INDEX(c.lg,AQ25)))/10</f>
        <v>15.133779809610653</v>
      </c>
      <c r="AU25" s="13">
        <f t="shared" si="15"/>
        <v>1</v>
      </c>
      <c r="AV25" s="13">
        <f t="shared" si="16"/>
        <v>2</v>
      </c>
      <c r="AW25" s="173">
        <f t="shared" si="17"/>
        <v>43093</v>
      </c>
      <c r="AX25" s="754">
        <f t="shared" si="18"/>
        <v>0.62068965517241381</v>
      </c>
      <c r="AY25" s="770">
        <f t="shared" si="19"/>
        <v>15.049640804786105</v>
      </c>
      <c r="AZ25" s="747">
        <f t="shared" si="25"/>
        <v>15.09171030719838</v>
      </c>
      <c r="BA25" s="646">
        <f t="shared" si="20"/>
        <v>0.99574518862889883</v>
      </c>
      <c r="BB25" s="641">
        <v>43111</v>
      </c>
      <c r="BC25" s="11">
        <v>43111</v>
      </c>
      <c r="BD25" s="290">
        <f>[3]!FeuilCaduc*(1-Persistant)+Persistant</f>
        <v>0.80100593739213621</v>
      </c>
      <c r="BE25" s="291">
        <f>[3]!CroissVégét</f>
        <v>7.0982230050345072E-4</v>
      </c>
      <c r="BF25" s="822">
        <f>1+[3]!Salcycl*Ksac</f>
        <v>1.0002514843480341</v>
      </c>
      <c r="BH25" s="1101">
        <f t="shared" si="21"/>
        <v>0.33026630701696863</v>
      </c>
      <c r="BI25" s="11">
        <v>44207</v>
      </c>
      <c r="BJ25" s="727">
        <v>4.8218922512021319E-2</v>
      </c>
      <c r="BK25" s="727">
        <v>0.11618175762195114</v>
      </c>
      <c r="BL25" s="727">
        <v>0.20875243243597047</v>
      </c>
      <c r="BM25" s="727">
        <v>0.33013982337854286</v>
      </c>
      <c r="BN25" s="727">
        <v>0.44260354305692107</v>
      </c>
      <c r="BO25" s="728">
        <v>0.54263945037075911</v>
      </c>
      <c r="BP25" s="727">
        <v>0.61908711594944499</v>
      </c>
      <c r="BQ25" s="727">
        <v>0.69327792685328271</v>
      </c>
      <c r="BR25" s="727">
        <v>0.75834580921829009</v>
      </c>
      <c r="BS25" s="727">
        <v>0.82234499965515218</v>
      </c>
      <c r="BT25" s="727">
        <v>0.87941129969287923</v>
      </c>
      <c r="BW25" s="1157">
        <f>'2018'!R\Max</f>
        <v>0</v>
      </c>
      <c r="BX25" s="1155">
        <f>'2019'!R\Max</f>
        <v>0.98057751635283119</v>
      </c>
      <c r="BY25" s="1155">
        <f>'2020'!R\Max</f>
        <v>0.95344613201893036</v>
      </c>
      <c r="BZ25" s="1155">
        <f>'2021'!R\Max</f>
        <v>0.33762378619755251</v>
      </c>
      <c r="CA25" s="1155">
        <f>'2022'!R\Max</f>
        <v>0.99574518862889883</v>
      </c>
      <c r="CB25" s="1155">
        <f>'2023'!R\Max</f>
        <v>0.99570364589169114</v>
      </c>
      <c r="CC25" s="1155">
        <f>'2024'!R\Max</f>
        <v>0.99566484732807259</v>
      </c>
      <c r="CD25" s="1155">
        <f>'2025'!R\Max</f>
        <v>0.99561039849088018</v>
      </c>
      <c r="CE25" s="1155">
        <f>'2026'!R\Max</f>
        <v>0.99589127018621793</v>
      </c>
      <c r="CF25" s="1156">
        <f>'2027'!R\Max</f>
        <v>0.99581674966800737</v>
      </c>
    </row>
    <row r="26" spans="1:84" s="6" customFormat="1" ht="11.25" x14ac:dyDescent="0.2">
      <c r="A26" s="11">
        <v>43112</v>
      </c>
      <c r="B26" s="380">
        <f>'2022'!Maxi_hp</f>
        <v>15.033013193258533</v>
      </c>
      <c r="C26" s="13">
        <f>'2022'!An_max</f>
        <v>2020</v>
      </c>
      <c r="D26" s="1070"/>
      <c r="E26" s="1073"/>
      <c r="F26" s="13">
        <f t="shared" si="22"/>
        <v>3</v>
      </c>
      <c r="G26" s="13">
        <f t="shared" si="23"/>
        <v>2</v>
      </c>
      <c r="H26" s="173">
        <f t="shared" si="7"/>
        <v>43122</v>
      </c>
      <c r="I26" s="754">
        <f t="shared" si="8"/>
        <v>0.7142857142857143</v>
      </c>
      <c r="J26" s="747">
        <f t="shared" si="26"/>
        <v>15.323195406049489</v>
      </c>
      <c r="L26" s="10"/>
      <c r="AP26" s="13">
        <f t="shared" si="10"/>
        <v>3</v>
      </c>
      <c r="AQ26" s="13">
        <f t="shared" si="11"/>
        <v>2</v>
      </c>
      <c r="AR26" s="173">
        <f t="shared" si="12"/>
        <v>43136</v>
      </c>
      <c r="AS26" s="754">
        <f t="shared" si="13"/>
        <v>0.8571428571428571</v>
      </c>
      <c r="AT26" s="770">
        <f>((1-AS26)*(INDEX(a.lg,AP26)*$A26*$A26+INDEX(b.lg,AP26)*$A26+INDEX(c.lg,AP26))+AS26*(INDEX(a.lg,AQ26)*$A26*$A26+INDEX(b.lg,AQ26)*$A26+INDEX(c.lg,AQ26)))/10</f>
        <v>15.332154883763621</v>
      </c>
      <c r="AU26" s="13">
        <f t="shared" si="15"/>
        <v>1</v>
      </c>
      <c r="AV26" s="13">
        <f t="shared" si="16"/>
        <v>2</v>
      </c>
      <c r="AW26" s="173">
        <f t="shared" si="17"/>
        <v>43093</v>
      </c>
      <c r="AX26" s="754">
        <f t="shared" si="18"/>
        <v>0.65517241379310343</v>
      </c>
      <c r="AY26" s="770">
        <f t="shared" si="19"/>
        <v>15.255911491040525</v>
      </c>
      <c r="AZ26" s="747">
        <f t="shared" si="25"/>
        <v>15.294033187402073</v>
      </c>
      <c r="BA26" s="646">
        <f t="shared" si="20"/>
        <v>0.98106255222220851</v>
      </c>
      <c r="BB26" s="641">
        <v>43112</v>
      </c>
      <c r="BC26" s="11">
        <v>43112</v>
      </c>
      <c r="BD26" s="290">
        <f>[3]!FeuilCaduc*(1-Persistant)+Persistant</f>
        <v>0.8009072838393918</v>
      </c>
      <c r="BE26" s="291">
        <f>[3]!CroissVégét</f>
        <v>7.9782175584567966E-4</v>
      </c>
      <c r="BF26" s="822">
        <f>1+[3]!Salcycl*Ksac</f>
        <v>1.0002268209598479</v>
      </c>
      <c r="BH26" s="1101">
        <f t="shared" si="21"/>
        <v>0.32722541978941677</v>
      </c>
      <c r="BI26" s="11">
        <v>44208</v>
      </c>
      <c r="BJ26" s="727">
        <v>4.702229601729091E-2</v>
      </c>
      <c r="BK26" s="727">
        <v>0.11514536515226899</v>
      </c>
      <c r="BL26" s="727">
        <v>0.20640752295023884</v>
      </c>
      <c r="BM26" s="727">
        <v>0.32709732478032177</v>
      </c>
      <c r="BN26" s="727">
        <v>0.44099380478645672</v>
      </c>
      <c r="BO26" s="728">
        <v>0.54380674422860531</v>
      </c>
      <c r="BP26" s="727">
        <v>0.62181600818603455</v>
      </c>
      <c r="BQ26" s="727">
        <v>0.69777254223541996</v>
      </c>
      <c r="BR26" s="727">
        <v>0.76446782779490285</v>
      </c>
      <c r="BS26" s="727">
        <v>0.83022974805516669</v>
      </c>
      <c r="BT26" s="727">
        <v>0.88783944517189106</v>
      </c>
      <c r="BW26" s="1157">
        <f>'2018'!R\Max</f>
        <v>0</v>
      </c>
      <c r="BX26" s="1155">
        <f>'2019'!R\Max</f>
        <v>0.4542989873754103</v>
      </c>
      <c r="BY26" s="1155">
        <f>'2020'!R\Max</f>
        <v>0.98106255222220851</v>
      </c>
      <c r="BZ26" s="1155">
        <f>'2021'!R\Max</f>
        <v>0.62886858136847312</v>
      </c>
      <c r="CA26" s="1155">
        <f>'2022'!R\Max</f>
        <v>0.79377884317871961</v>
      </c>
      <c r="CB26" s="1155">
        <f>'2023'!R\Max</f>
        <v>0.79215291275372091</v>
      </c>
      <c r="CC26" s="1155">
        <f>'2024'!R\Max</f>
        <v>0.79064293286564391</v>
      </c>
      <c r="CD26" s="1155">
        <f>'2025'!R\Max</f>
        <v>0.78854394915534531</v>
      </c>
      <c r="CE26" s="1155">
        <f>'2026'!R\Max</f>
        <v>0.7995009693444759</v>
      </c>
      <c r="CF26" s="1156">
        <f>'2027'!R\Max</f>
        <v>0.79659206929215931</v>
      </c>
    </row>
    <row r="27" spans="1:84" s="6" customFormat="1" ht="11.25" x14ac:dyDescent="0.2">
      <c r="A27" s="11">
        <v>43113</v>
      </c>
      <c r="B27" s="380">
        <f>'2022'!Maxi_hp</f>
        <v>10.493774411231749</v>
      </c>
      <c r="C27" s="13">
        <f>'2022'!An_max</f>
        <v>2020</v>
      </c>
      <c r="D27" s="1070"/>
      <c r="E27" s="1073"/>
      <c r="F27" s="13">
        <f t="shared" si="22"/>
        <v>3</v>
      </c>
      <c r="G27" s="13">
        <f t="shared" si="23"/>
        <v>2</v>
      </c>
      <c r="H27" s="173">
        <f t="shared" si="7"/>
        <v>43122</v>
      </c>
      <c r="I27" s="754">
        <f t="shared" si="8"/>
        <v>0.6428571428571429</v>
      </c>
      <c r="J27" s="747">
        <f t="shared" si="26"/>
        <v>15.519330654719045</v>
      </c>
      <c r="L27" s="10"/>
      <c r="M27" s="6" t="s">
        <v>228</v>
      </c>
      <c r="AC27" s="69"/>
      <c r="AE27" s="69"/>
      <c r="AG27" s="69"/>
      <c r="AI27" s="69"/>
      <c r="AK27" s="69"/>
      <c r="AM27" s="69"/>
      <c r="AO27" s="175"/>
      <c r="AP27" s="13">
        <f t="shared" si="10"/>
        <v>3</v>
      </c>
      <c r="AQ27" s="13">
        <f t="shared" si="11"/>
        <v>2</v>
      </c>
      <c r="AR27" s="173">
        <f t="shared" si="12"/>
        <v>43136</v>
      </c>
      <c r="AS27" s="754">
        <f t="shared" si="13"/>
        <v>0.8214285714285714</v>
      </c>
      <c r="AT27" s="770">
        <f>((1-AS27)*(INDEX(a.lg,AP27)*$A27*$A27+INDEX(b.lg,AP27)*$A27+INDEX(c.lg,AP27))+AS27*(INDEX(a.lg,AQ27)*$A27*$A27+INDEX(b.lg,AQ27)*$A27+INDEX(c.lg,AQ27)))/10</f>
        <v>15.538022389409267</v>
      </c>
      <c r="AU27" s="13">
        <f t="shared" si="15"/>
        <v>1</v>
      </c>
      <c r="AV27" s="13">
        <f t="shared" si="16"/>
        <v>2</v>
      </c>
      <c r="AW27" s="173">
        <f t="shared" si="17"/>
        <v>43093</v>
      </c>
      <c r="AX27" s="754">
        <f t="shared" si="18"/>
        <v>0.68965517241379315</v>
      </c>
      <c r="AY27" s="770">
        <f t="shared" si="19"/>
        <v>15.466926502102407</v>
      </c>
      <c r="AZ27" s="747">
        <f t="shared" si="25"/>
        <v>15.502474445755837</v>
      </c>
      <c r="BA27" s="646">
        <f t="shared" si="20"/>
        <v>0.67617442045033371</v>
      </c>
      <c r="BB27" s="641">
        <v>43113</v>
      </c>
      <c r="BC27" s="11">
        <v>43113</v>
      </c>
      <c r="BD27" s="290">
        <f>[3]!FeuilCaduc*(1-Persistant)+Persistant</f>
        <v>0.80081307144337421</v>
      </c>
      <c r="BE27" s="291">
        <f>[3]!CroissVégét</f>
        <v>8.8949648478391823E-4</v>
      </c>
      <c r="BF27" s="822">
        <f>1+[3]!Salcycl*Ksac</f>
        <v>1.0002032678608435</v>
      </c>
      <c r="BH27" s="1101">
        <f t="shared" si="21"/>
        <v>0.32403909892616456</v>
      </c>
      <c r="BI27" s="11">
        <v>44209</v>
      </c>
      <c r="BJ27" s="727">
        <v>4.5755526807644407E-2</v>
      </c>
      <c r="BK27" s="727">
        <v>0.11397983626042829</v>
      </c>
      <c r="BL27" s="727">
        <v>0.20398451191128533</v>
      </c>
      <c r="BM27" s="727">
        <v>0.32390942994445071</v>
      </c>
      <c r="BN27" s="727">
        <v>0.43920541756747411</v>
      </c>
      <c r="BO27" s="728">
        <v>0.54467110645210648</v>
      </c>
      <c r="BP27" s="727">
        <v>0.6243044372681894</v>
      </c>
      <c r="BQ27" s="727">
        <v>0.70218157734434872</v>
      </c>
      <c r="BR27" s="727">
        <v>0.77067268717511828</v>
      </c>
      <c r="BS27" s="727">
        <v>0.8383187496469553</v>
      </c>
      <c r="BT27" s="727">
        <v>0.89660576022265059</v>
      </c>
      <c r="BW27" s="1157">
        <f>'2018'!R\Max</f>
        <v>0</v>
      </c>
      <c r="BX27" s="1155">
        <f>'2019'!R\Max</f>
        <v>0.22516846614253649</v>
      </c>
      <c r="BY27" s="1155">
        <f>'2020'!R\Max</f>
        <v>0.67617442045033371</v>
      </c>
      <c r="BZ27" s="1155">
        <f>'2021'!R\Max</f>
        <v>0.54396037264801866</v>
      </c>
      <c r="CA27" s="1155">
        <f>'2022'!R\Max</f>
        <v>0.23276268121439231</v>
      </c>
      <c r="CB27" s="1155">
        <f>'2023'!R\Max</f>
        <v>0.23110632498514663</v>
      </c>
      <c r="CC27" s="1155">
        <f>'2024'!R\Max</f>
        <v>0.22958482181357387</v>
      </c>
      <c r="CD27" s="1155">
        <f>'2025'!R\Max</f>
        <v>0.22750039767918626</v>
      </c>
      <c r="CE27" s="1155">
        <f>'2026'!R\Max</f>
        <v>0.23868400355918024</v>
      </c>
      <c r="CF27" s="1156">
        <f>'2027'!R\Max</f>
        <v>0.23566609966471011</v>
      </c>
    </row>
    <row r="28" spans="1:84" s="6" customFormat="1" ht="11.25" x14ac:dyDescent="0.2">
      <c r="A28" s="11">
        <v>43114</v>
      </c>
      <c r="B28" s="380">
        <f>'2022'!Maxi_hp</f>
        <v>15.66337716078853</v>
      </c>
      <c r="C28" s="13">
        <f>'2022'!An_max</f>
        <v>2022</v>
      </c>
      <c r="D28" s="1070"/>
      <c r="E28" s="1073"/>
      <c r="F28" s="13">
        <f t="shared" si="22"/>
        <v>3</v>
      </c>
      <c r="G28" s="13">
        <f t="shared" si="23"/>
        <v>2</v>
      </c>
      <c r="H28" s="173">
        <f t="shared" si="7"/>
        <v>43122</v>
      </c>
      <c r="I28" s="754">
        <f t="shared" si="8"/>
        <v>0.5714285714285714</v>
      </c>
      <c r="J28" s="747">
        <f t="shared" si="26"/>
        <v>15.720515670520919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P28" s="13">
        <f t="shared" si="10"/>
        <v>3</v>
      </c>
      <c r="AQ28" s="13">
        <f t="shared" si="11"/>
        <v>2</v>
      </c>
      <c r="AR28" s="173">
        <f t="shared" si="12"/>
        <v>43136</v>
      </c>
      <c r="AS28" s="754">
        <f t="shared" si="13"/>
        <v>0.7857142857142857</v>
      </c>
      <c r="AT28" s="770">
        <f t="shared" si="14"/>
        <v>15.751033248246779</v>
      </c>
      <c r="AU28" s="13">
        <f t="shared" si="15"/>
        <v>1</v>
      </c>
      <c r="AV28" s="13">
        <f t="shared" si="16"/>
        <v>2</v>
      </c>
      <c r="AW28" s="173">
        <f t="shared" si="17"/>
        <v>43093</v>
      </c>
      <c r="AX28" s="754">
        <f t="shared" si="18"/>
        <v>0.72413793103448276</v>
      </c>
      <c r="AY28" s="770">
        <f t="shared" si="19"/>
        <v>15.682349740585376</v>
      </c>
      <c r="AZ28" s="747">
        <f t="shared" si="25"/>
        <v>15.716691494416079</v>
      </c>
      <c r="BA28" s="646">
        <f t="shared" si="20"/>
        <v>0.99636535397884329</v>
      </c>
      <c r="BB28" s="641">
        <v>43114</v>
      </c>
      <c r="BC28" s="11">
        <v>43114</v>
      </c>
      <c r="BD28" s="290">
        <f>[3]!FeuilCaduc*(1-Persistant)+Persistant</f>
        <v>0.80072330723056218</v>
      </c>
      <c r="BE28" s="291">
        <f>[3]!CroissVégét</f>
        <v>9.849992655628797E-4</v>
      </c>
      <c r="BF28" s="822">
        <f>1+[3]!Salcycl*Ksac</f>
        <v>1.0001808268076406</v>
      </c>
      <c r="BH28" s="1101">
        <f t="shared" si="21"/>
        <v>0.32070656151318477</v>
      </c>
      <c r="BI28" s="11">
        <v>44210</v>
      </c>
      <c r="BJ28" s="727">
        <v>4.4418496048718448E-2</v>
      </c>
      <c r="BK28" s="727">
        <v>0.11268480594182062</v>
      </c>
      <c r="BL28" s="727">
        <v>0.20148294818883483</v>
      </c>
      <c r="BM28" s="727">
        <v>0.32057535642163798</v>
      </c>
      <c r="BN28" s="727">
        <v>0.43723718572814668</v>
      </c>
      <c r="BO28" s="728">
        <v>0.54523076734769438</v>
      </c>
      <c r="BP28" s="727">
        <v>0.62655040867683365</v>
      </c>
      <c r="BQ28" s="727">
        <v>0.70650290836689278</v>
      </c>
      <c r="BR28" s="727">
        <v>0.77695818139346107</v>
      </c>
      <c r="BS28" s="727">
        <v>0.84660965726972504</v>
      </c>
      <c r="BT28" s="727">
        <v>0.90570786921346913</v>
      </c>
      <c r="BW28" s="1157">
        <f>'2018'!R\Max</f>
        <v>0</v>
      </c>
      <c r="BX28" s="1155">
        <f>'2019'!R\Max</f>
        <v>0.28960757168131451</v>
      </c>
      <c r="BY28" s="1155">
        <f>'2020'!R\Max</f>
        <v>0.93282189025148965</v>
      </c>
      <c r="BZ28" s="1155">
        <f>'2021'!R\Max</f>
        <v>0.50351401886190172</v>
      </c>
      <c r="CA28" s="1155">
        <f>'2022'!R\Max</f>
        <v>0.99636535397884329</v>
      </c>
      <c r="CB28" s="1155">
        <f>'2023'!R\Max</f>
        <v>0.99632844857746061</v>
      </c>
      <c r="CC28" s="1155">
        <f>'2024'!R\Max</f>
        <v>0.99629410095520698</v>
      </c>
      <c r="CD28" s="1155">
        <f>'2025'!R\Max</f>
        <v>0.99624639260827164</v>
      </c>
      <c r="CE28" s="1155">
        <f>'2026'!R\Max</f>
        <v>0.99649228622319108</v>
      </c>
      <c r="CF28" s="1156">
        <f>'2027'!R\Max</f>
        <v>0.99642874773117429</v>
      </c>
    </row>
    <row r="29" spans="1:84" s="6" customFormat="1" ht="11.25" x14ac:dyDescent="0.2">
      <c r="A29" s="11">
        <v>43115</v>
      </c>
      <c r="B29" s="380">
        <f>'2022'!Maxi_hp</f>
        <v>16.01372498587039</v>
      </c>
      <c r="C29" s="13">
        <f>'2022'!An_max</f>
        <v>2022</v>
      </c>
      <c r="D29" s="1070"/>
      <c r="E29" s="1073"/>
      <c r="F29" s="13">
        <f t="shared" si="22"/>
        <v>3</v>
      </c>
      <c r="G29" s="13">
        <f t="shared" si="23"/>
        <v>2</v>
      </c>
      <c r="H29" s="173">
        <f t="shared" si="7"/>
        <v>43122</v>
      </c>
      <c r="I29" s="754">
        <f t="shared" si="8"/>
        <v>0.5</v>
      </c>
      <c r="J29" s="747">
        <f t="shared" si="26"/>
        <v>15.926853059977294</v>
      </c>
      <c r="L29" s="775">
        <f>AJ13</f>
        <v>173.28299999999999</v>
      </c>
      <c r="M29" s="775">
        <f>L13</f>
        <v>120.417</v>
      </c>
      <c r="N29" s="765">
        <f>N13</f>
        <v>145.87100000000001</v>
      </c>
      <c r="O29" s="765">
        <f>P13</f>
        <v>215.38</v>
      </c>
      <c r="P29" s="765">
        <f>R13</f>
        <v>303.49</v>
      </c>
      <c r="Q29" s="765">
        <f>T13</f>
        <v>379.85199999999998</v>
      </c>
      <c r="R29" s="765">
        <f>V13</f>
        <v>422.928</v>
      </c>
      <c r="S29" s="765">
        <f>X13</f>
        <v>435.65499999999997</v>
      </c>
      <c r="T29" s="765">
        <f>Z13</f>
        <v>428.80199999999996</v>
      </c>
      <c r="U29" s="765">
        <f>AB13</f>
        <v>410.20099999999996</v>
      </c>
      <c r="V29" s="765">
        <f>AD13</f>
        <v>381.81</v>
      </c>
      <c r="W29" s="765">
        <f>AF13</f>
        <v>334.81799999999998</v>
      </c>
      <c r="X29" s="765">
        <f>AH13</f>
        <v>264.33</v>
      </c>
      <c r="Y29" s="765">
        <f>AJ13</f>
        <v>173.28299999999999</v>
      </c>
      <c r="Z29" s="765">
        <f>AL13</f>
        <v>120.417</v>
      </c>
      <c r="AA29" s="773">
        <f>AN13</f>
        <v>145.87100000000001</v>
      </c>
      <c r="AB29" s="773">
        <f>P13</f>
        <v>215.38</v>
      </c>
      <c r="AP29" s="13">
        <f t="shared" si="10"/>
        <v>3</v>
      </c>
      <c r="AQ29" s="13">
        <f t="shared" si="11"/>
        <v>2</v>
      </c>
      <c r="AR29" s="173">
        <f t="shared" si="12"/>
        <v>43136</v>
      </c>
      <c r="AS29" s="754">
        <f t="shared" si="13"/>
        <v>0.75</v>
      </c>
      <c r="AT29" s="770">
        <f t="shared" si="14"/>
        <v>15.970838377811015</v>
      </c>
      <c r="AU29" s="13">
        <f t="shared" si="15"/>
        <v>1</v>
      </c>
      <c r="AV29" s="13">
        <f t="shared" si="16"/>
        <v>2</v>
      </c>
      <c r="AW29" s="173">
        <f t="shared" si="17"/>
        <v>43093</v>
      </c>
      <c r="AX29" s="754">
        <f t="shared" si="18"/>
        <v>0.75862068965517238</v>
      </c>
      <c r="AY29" s="770">
        <f t="shared" si="19"/>
        <v>15.901845105403456</v>
      </c>
      <c r="AZ29" s="747">
        <f t="shared" si="25"/>
        <v>15.936341741607237</v>
      </c>
      <c r="BA29" s="646">
        <f t="shared" si="20"/>
        <v>1.0054544313032809</v>
      </c>
      <c r="BB29" s="641">
        <v>43115</v>
      </c>
      <c r="BC29" s="11">
        <v>43115</v>
      </c>
      <c r="BD29" s="290">
        <f>[3]!FeuilCaduc*(1-Persistant)+Persistant</f>
        <v>0.80063805040813218</v>
      </c>
      <c r="BE29" s="291">
        <f>[3]!CroissVégét</f>
        <v>1.0844891659074879E-3</v>
      </c>
      <c r="BF29" s="822">
        <f>1+[3]!Salcycl*Ksac</f>
        <v>1.0001595126020331</v>
      </c>
      <c r="BH29" s="1101">
        <f t="shared" si="21"/>
        <v>0.31722707699252578</v>
      </c>
      <c r="BI29" s="11">
        <v>44211</v>
      </c>
      <c r="BJ29" s="727">
        <v>4.3011107300568847E-2</v>
      </c>
      <c r="BK29" s="727">
        <v>0.11125993873644074</v>
      </c>
      <c r="BL29" s="727">
        <v>0.19890241596157615</v>
      </c>
      <c r="BM29" s="727">
        <v>0.31709437412919389</v>
      </c>
      <c r="BN29" s="727">
        <v>0.43508795660377747</v>
      </c>
      <c r="BO29" s="728">
        <v>0.54548399072906584</v>
      </c>
      <c r="BP29" s="727">
        <v>0.62855193662947662</v>
      </c>
      <c r="BQ29" s="727">
        <v>0.71073437981823351</v>
      </c>
      <c r="BR29" s="727">
        <v>0.78332203179231419</v>
      </c>
      <c r="BS29" s="727">
        <v>0.85510001559893423</v>
      </c>
      <c r="BT29" s="727">
        <v>0.91514326327985052</v>
      </c>
      <c r="BW29" s="1157">
        <f>'2018'!R\Max</f>
        <v>0</v>
      </c>
      <c r="BX29" s="1155">
        <f>'2019'!R\Max</f>
        <v>1.0014521790612676</v>
      </c>
      <c r="BY29" s="1155">
        <f>'2020'!R\Max</f>
        <v>0.8311583685115943</v>
      </c>
      <c r="BZ29" s="1155">
        <f>'2021'!R\Max</f>
        <v>0.72120742763488022</v>
      </c>
      <c r="CA29" s="1155">
        <f>'2022'!R\Max</f>
        <v>1.0054544313032809</v>
      </c>
      <c r="CB29" s="1155">
        <f>'2023'!R\Max</f>
        <v>1.0054544313032807</v>
      </c>
      <c r="CC29" s="1155">
        <f>'2024'!R\Max</f>
        <v>1.0054544313032809</v>
      </c>
      <c r="CD29" s="1155">
        <f>'2025'!R\Max</f>
        <v>1.0054544313032807</v>
      </c>
      <c r="CE29" s="1155">
        <f>'2026'!R\Max</f>
        <v>1.0054544313032809</v>
      </c>
      <c r="CF29" s="1156">
        <f>'2027'!R\Max</f>
        <v>1.0054544313032812</v>
      </c>
    </row>
    <row r="30" spans="1:84" s="6" customFormat="1" ht="11.25" x14ac:dyDescent="0.2">
      <c r="A30" s="11">
        <v>43116</v>
      </c>
      <c r="B30" s="380">
        <f>'2022'!Maxi_hp</f>
        <v>16.102218040848967</v>
      </c>
      <c r="C30" s="13">
        <f>'2022'!An_max</f>
        <v>2022</v>
      </c>
      <c r="D30" s="1070"/>
      <c r="E30" s="1073"/>
      <c r="F30" s="13">
        <f t="shared" si="22"/>
        <v>3</v>
      </c>
      <c r="G30" s="13">
        <f t="shared" si="23"/>
        <v>2</v>
      </c>
      <c r="H30" s="173">
        <f t="shared" si="7"/>
        <v>43122</v>
      </c>
      <c r="I30" s="754">
        <f t="shared" si="8"/>
        <v>0.42857142857142855</v>
      </c>
      <c r="J30" s="747">
        <f t="shared" si="26"/>
        <v>16.138445427375181</v>
      </c>
      <c r="L30" s="755" t="s">
        <v>209</v>
      </c>
      <c r="M30" s="785">
        <f t="shared" ref="M30:AA30" si="36">L28</f>
        <v>43051</v>
      </c>
      <c r="N30" s="786">
        <f t="shared" si="36"/>
        <v>43079</v>
      </c>
      <c r="O30" s="737">
        <f t="shared" si="36"/>
        <v>43108</v>
      </c>
      <c r="P30" s="737">
        <f t="shared" si="36"/>
        <v>43136</v>
      </c>
      <c r="Q30" s="737">
        <f t="shared" si="36"/>
        <v>43164</v>
      </c>
      <c r="R30" s="737">
        <f t="shared" si="36"/>
        <v>43192</v>
      </c>
      <c r="S30" s="737">
        <f t="shared" si="36"/>
        <v>43220</v>
      </c>
      <c r="T30" s="737">
        <f t="shared" si="36"/>
        <v>43248</v>
      </c>
      <c r="U30" s="737">
        <f t="shared" si="36"/>
        <v>43276</v>
      </c>
      <c r="V30" s="737">
        <f t="shared" si="36"/>
        <v>43304</v>
      </c>
      <c r="W30" s="737">
        <f t="shared" si="36"/>
        <v>43332</v>
      </c>
      <c r="X30" s="737">
        <f t="shared" si="36"/>
        <v>43360</v>
      </c>
      <c r="Y30" s="737">
        <f t="shared" si="36"/>
        <v>43388</v>
      </c>
      <c r="Z30" s="737">
        <f t="shared" si="36"/>
        <v>43416</v>
      </c>
      <c r="AA30" s="778">
        <f t="shared" si="36"/>
        <v>43444</v>
      </c>
      <c r="AP30" s="13">
        <f t="shared" si="10"/>
        <v>3</v>
      </c>
      <c r="AQ30" s="13">
        <f t="shared" si="11"/>
        <v>2</v>
      </c>
      <c r="AR30" s="173">
        <f t="shared" si="12"/>
        <v>43136</v>
      </c>
      <c r="AS30" s="754">
        <f t="shared" si="13"/>
        <v>0.7142857142857143</v>
      </c>
      <c r="AT30" s="770">
        <f t="shared" si="14"/>
        <v>16.197088697233372</v>
      </c>
      <c r="AU30" s="13">
        <f t="shared" si="15"/>
        <v>1</v>
      </c>
      <c r="AV30" s="13">
        <f t="shared" si="16"/>
        <v>2</v>
      </c>
      <c r="AW30" s="173">
        <f t="shared" si="17"/>
        <v>43093</v>
      </c>
      <c r="AX30" s="754">
        <f t="shared" si="18"/>
        <v>0.7931034482758621</v>
      </c>
      <c r="AY30" s="770">
        <f t="shared" si="19"/>
        <v>16.125076501431135</v>
      </c>
      <c r="AZ30" s="747">
        <f t="shared" si="25"/>
        <v>16.161082599332254</v>
      </c>
      <c r="BA30" s="646">
        <f t="shared" si="20"/>
        <v>0.99775521213060814</v>
      </c>
      <c r="BB30" s="641">
        <v>43116</v>
      </c>
      <c r="BC30" s="11">
        <v>43116</v>
      </c>
      <c r="BD30" s="290">
        <f>[3]!FeuilCaduc*(1-Persistant)+Persistant</f>
        <v>0.80055740357627303</v>
      </c>
      <c r="BE30" s="291">
        <f>[3]!CroissVégét</f>
        <v>1.1881317966940647E-3</v>
      </c>
      <c r="BF30" s="822">
        <f>1+[3]!Salcycl*Ksac</f>
        <v>1.0001393508940681</v>
      </c>
      <c r="BH30" s="1101">
        <f t="shared" si="21"/>
        <v>0.31350641272019369</v>
      </c>
      <c r="BI30" s="11">
        <v>44212</v>
      </c>
      <c r="BJ30" s="727">
        <v>4.1473330765418627E-2</v>
      </c>
      <c r="BK30" s="727">
        <v>0.10961471986888927</v>
      </c>
      <c r="BL30" s="727">
        <v>0.19613125133391046</v>
      </c>
      <c r="BM30" s="727">
        <v>0.31337225244144151</v>
      </c>
      <c r="BN30" s="727">
        <v>0.43266170496940964</v>
      </c>
      <c r="BO30" s="728">
        <v>0.54534592926081293</v>
      </c>
      <c r="BP30" s="727">
        <v>0.63025035553852304</v>
      </c>
      <c r="BQ30" s="727">
        <v>0.71471128283252694</v>
      </c>
      <c r="BR30" s="727">
        <v>0.78953558602229679</v>
      </c>
      <c r="BS30" s="727">
        <v>0.86362360647096592</v>
      </c>
      <c r="BT30" s="727">
        <v>0.92493944413427853</v>
      </c>
      <c r="BW30" s="1157">
        <f>'2018'!R\Max</f>
        <v>0</v>
      </c>
      <c r="BX30" s="1155">
        <f>'2019'!R\Max</f>
        <v>0.99261079142222486</v>
      </c>
      <c r="BY30" s="1155">
        <f>'2020'!R\Max</f>
        <v>0.84490559888128436</v>
      </c>
      <c r="BZ30" s="1155">
        <f>'2021'!R\Max</f>
        <v>0.77626843040985793</v>
      </c>
      <c r="CA30" s="1155">
        <f>'2022'!R\Max</f>
        <v>0.99775521213060814</v>
      </c>
      <c r="CB30" s="1155">
        <f>'2023'!R\Max</f>
        <v>0.99773201315787297</v>
      </c>
      <c r="CC30" s="1155">
        <f>'2024'!R\Max</f>
        <v>0.9977104115822989</v>
      </c>
      <c r="CD30" s="1155">
        <f>'2025'!R\Max</f>
        <v>0.99768038646935386</v>
      </c>
      <c r="CE30" s="1155">
        <f>'2026'!R\Max</f>
        <v>0.99783412579621411</v>
      </c>
      <c r="CF30" s="1156">
        <f>'2027'!R\Max</f>
        <v>0.99779500622220962</v>
      </c>
    </row>
    <row r="31" spans="1:84" s="6" customFormat="1" ht="11.25" x14ac:dyDescent="0.2">
      <c r="A31" s="11">
        <v>43117</v>
      </c>
      <c r="B31" s="380">
        <f>'2022'!Maxi_hp</f>
        <v>11.494776439311693</v>
      </c>
      <c r="C31" s="13">
        <f>'2022'!An_max</f>
        <v>2022</v>
      </c>
      <c r="D31" s="1070"/>
      <c r="E31" s="1073"/>
      <c r="F31" s="13">
        <f t="shared" si="22"/>
        <v>3</v>
      </c>
      <c r="G31" s="13">
        <f t="shared" si="23"/>
        <v>2</v>
      </c>
      <c r="H31" s="173">
        <f t="shared" si="7"/>
        <v>43122</v>
      </c>
      <c r="I31" s="754">
        <f t="shared" si="8"/>
        <v>0.35714285714285715</v>
      </c>
      <c r="J31" s="747">
        <f t="shared" si="26"/>
        <v>16.355395375458254</v>
      </c>
      <c r="L31" s="756" t="s">
        <v>210</v>
      </c>
      <c r="M31" s="777">
        <f t="shared" ref="M31:AA31" si="37">L29</f>
        <v>173.28299999999999</v>
      </c>
      <c r="N31" s="781">
        <f t="shared" si="37"/>
        <v>120.417</v>
      </c>
      <c r="O31" s="743">
        <f t="shared" si="37"/>
        <v>145.87100000000001</v>
      </c>
      <c r="P31" s="743">
        <f t="shared" si="37"/>
        <v>215.38</v>
      </c>
      <c r="Q31" s="743">
        <f t="shared" si="37"/>
        <v>303.49</v>
      </c>
      <c r="R31" s="743">
        <f t="shared" si="37"/>
        <v>379.85199999999998</v>
      </c>
      <c r="S31" s="743">
        <f t="shared" si="37"/>
        <v>422.928</v>
      </c>
      <c r="T31" s="743">
        <f t="shared" si="37"/>
        <v>435.65499999999997</v>
      </c>
      <c r="U31" s="743">
        <f t="shared" si="37"/>
        <v>428.80199999999996</v>
      </c>
      <c r="V31" s="743">
        <f t="shared" si="37"/>
        <v>410.20099999999996</v>
      </c>
      <c r="W31" s="743">
        <f t="shared" si="37"/>
        <v>381.81</v>
      </c>
      <c r="X31" s="743">
        <f t="shared" si="37"/>
        <v>334.81799999999998</v>
      </c>
      <c r="Y31" s="743">
        <f t="shared" si="37"/>
        <v>264.33</v>
      </c>
      <c r="Z31" s="743">
        <f t="shared" si="37"/>
        <v>173.28299999999999</v>
      </c>
      <c r="AA31" s="779">
        <f t="shared" si="37"/>
        <v>120.417</v>
      </c>
      <c r="AP31" s="13">
        <f t="shared" si="10"/>
        <v>3</v>
      </c>
      <c r="AQ31" s="13">
        <f t="shared" si="11"/>
        <v>2</v>
      </c>
      <c r="AR31" s="173">
        <f t="shared" si="12"/>
        <v>43136</v>
      </c>
      <c r="AS31" s="754">
        <f t="shared" si="13"/>
        <v>0.6785714285714286</v>
      </c>
      <c r="AT31" s="770">
        <f t="shared" si="14"/>
        <v>16.42943512633709</v>
      </c>
      <c r="AU31" s="13">
        <f t="shared" si="15"/>
        <v>1</v>
      </c>
      <c r="AV31" s="13">
        <f t="shared" si="16"/>
        <v>2</v>
      </c>
      <c r="AW31" s="173">
        <f t="shared" si="17"/>
        <v>43093</v>
      </c>
      <c r="AX31" s="754">
        <f t="shared" si="18"/>
        <v>0.82758620689655171</v>
      </c>
      <c r="AY31" s="770">
        <f t="shared" si="19"/>
        <v>16.351707829123942</v>
      </c>
      <c r="AZ31" s="747">
        <f t="shared" si="25"/>
        <v>16.390571477730518</v>
      </c>
      <c r="BA31" s="646">
        <f t="shared" si="20"/>
        <v>0.70281250776486504</v>
      </c>
      <c r="BB31" s="641">
        <v>43117</v>
      </c>
      <c r="BC31" s="11">
        <v>43117</v>
      </c>
      <c r="BD31" s="290">
        <f>[3]!FeuilCaduc*(1-Persistant)+Persistant</f>
        <v>0.80048150396982487</v>
      </c>
      <c r="BE31" s="291">
        <f>[3]!CroissVégét</f>
        <v>1.2960995754023115E-3</v>
      </c>
      <c r="BF31" s="822">
        <f>1+[3]!Salcycl*Ksac</f>
        <v>1.0001203759924562</v>
      </c>
      <c r="BH31" s="1101">
        <f t="shared" si="21"/>
        <v>0.30969374818252576</v>
      </c>
      <c r="BI31" s="11">
        <v>44213</v>
      </c>
      <c r="BJ31" s="727">
        <v>3.9807267287384804E-2</v>
      </c>
      <c r="BK31" s="727">
        <v>0.10777427225677193</v>
      </c>
      <c r="BL31" s="727">
        <v>0.19325111706267706</v>
      </c>
      <c r="BM31" s="727">
        <v>0.30955816459610974</v>
      </c>
      <c r="BN31" s="727">
        <v>0.43011316005213795</v>
      </c>
      <c r="BO31" s="728">
        <v>0.54494245032370303</v>
      </c>
      <c r="BP31" s="727">
        <v>0.63173863367440997</v>
      </c>
      <c r="BQ31" s="727">
        <v>0.71841174444572353</v>
      </c>
      <c r="BR31" s="727">
        <v>0.79548570998295454</v>
      </c>
      <c r="BS31" s="727">
        <v>0.87200471948510494</v>
      </c>
      <c r="BT31" s="727">
        <v>0.93490469388391695</v>
      </c>
      <c r="BW31" s="1157">
        <f>'2018'!R\Max</f>
        <v>0</v>
      </c>
      <c r="BX31" s="1155">
        <f>'2019'!R\Max</f>
        <v>0.42483068293232074</v>
      </c>
      <c r="BY31" s="1155">
        <f>'2020'!R\Max</f>
        <v>0.18241313915097804</v>
      </c>
      <c r="BZ31" s="1155">
        <f>'2021'!R\Max</f>
        <v>0.25813819262216892</v>
      </c>
      <c r="CA31" s="1155">
        <f>'2022'!R\Max</f>
        <v>0.70281250776486504</v>
      </c>
      <c r="CB31" s="1155">
        <f>'2023'!R\Max</f>
        <v>0.70064394574786548</v>
      </c>
      <c r="CC31" s="1155">
        <f>'2024'!R\Max</f>
        <v>0.69863462883754279</v>
      </c>
      <c r="CD31" s="1155">
        <f>'2025'!R\Max</f>
        <v>0.69585406822364826</v>
      </c>
      <c r="CE31" s="1155">
        <f>'2026'!R\Max</f>
        <v>0.71025638173097561</v>
      </c>
      <c r="CF31" s="1156">
        <f>'2027'!R\Max</f>
        <v>0.70656149165305826</v>
      </c>
    </row>
    <row r="32" spans="1:84" s="6" customFormat="1" ht="11.25" x14ac:dyDescent="0.2">
      <c r="A32" s="11">
        <v>43118</v>
      </c>
      <c r="B32" s="380">
        <f>'2022'!Maxi_hp</f>
        <v>16.33584148224859</v>
      </c>
      <c r="C32" s="13">
        <f>'2022'!An_max</f>
        <v>2021</v>
      </c>
      <c r="D32" s="1070"/>
      <c r="E32" s="1073"/>
      <c r="F32" s="13">
        <f t="shared" si="22"/>
        <v>3</v>
      </c>
      <c r="G32" s="13">
        <f t="shared" si="23"/>
        <v>2</v>
      </c>
      <c r="H32" s="173">
        <f t="shared" si="7"/>
        <v>43122</v>
      </c>
      <c r="I32" s="754">
        <f t="shared" si="8"/>
        <v>0.2857142857142857</v>
      </c>
      <c r="J32" s="747">
        <f t="shared" si="26"/>
        <v>16.577805509737559</v>
      </c>
      <c r="L32" s="756" t="s">
        <v>211</v>
      </c>
      <c r="M32" s="788">
        <f t="shared" ref="M32:AA32" si="38">M28</f>
        <v>43079</v>
      </c>
      <c r="N32" s="738">
        <f t="shared" si="38"/>
        <v>43108</v>
      </c>
      <c r="O32" s="738">
        <f t="shared" si="38"/>
        <v>43136</v>
      </c>
      <c r="P32" s="738">
        <f t="shared" si="38"/>
        <v>43164</v>
      </c>
      <c r="Q32" s="738">
        <f t="shared" si="38"/>
        <v>43192</v>
      </c>
      <c r="R32" s="738">
        <f t="shared" si="38"/>
        <v>43220</v>
      </c>
      <c r="S32" s="738">
        <f t="shared" si="38"/>
        <v>43248</v>
      </c>
      <c r="T32" s="738">
        <f t="shared" si="38"/>
        <v>43276</v>
      </c>
      <c r="U32" s="738">
        <f t="shared" si="38"/>
        <v>43304</v>
      </c>
      <c r="V32" s="738">
        <f t="shared" si="38"/>
        <v>43332</v>
      </c>
      <c r="W32" s="738">
        <f t="shared" si="38"/>
        <v>43360</v>
      </c>
      <c r="X32" s="738">
        <f t="shared" si="38"/>
        <v>43388</v>
      </c>
      <c r="Y32" s="738">
        <f t="shared" si="38"/>
        <v>43416</v>
      </c>
      <c r="Z32" s="780">
        <f t="shared" si="38"/>
        <v>43444</v>
      </c>
      <c r="AA32" s="787">
        <f t="shared" si="38"/>
        <v>43473</v>
      </c>
      <c r="AP32" s="13">
        <f t="shared" si="10"/>
        <v>3</v>
      </c>
      <c r="AQ32" s="13">
        <f t="shared" si="11"/>
        <v>2</v>
      </c>
      <c r="AR32" s="173">
        <f t="shared" si="12"/>
        <v>43136</v>
      </c>
      <c r="AS32" s="754">
        <f t="shared" si="13"/>
        <v>0.6428571428571429</v>
      </c>
      <c r="AT32" s="770">
        <f t="shared" si="14"/>
        <v>16.667528581645872</v>
      </c>
      <c r="AU32" s="13">
        <f t="shared" si="15"/>
        <v>1</v>
      </c>
      <c r="AV32" s="13">
        <f t="shared" si="16"/>
        <v>2</v>
      </c>
      <c r="AW32" s="173">
        <f t="shared" si="17"/>
        <v>43093</v>
      </c>
      <c r="AX32" s="754">
        <f t="shared" si="18"/>
        <v>0.86206896551724133</v>
      </c>
      <c r="AY32" s="770">
        <f t="shared" si="19"/>
        <v>16.581402989271385</v>
      </c>
      <c r="AZ32" s="747">
        <f t="shared" si="25"/>
        <v>16.624465785458629</v>
      </c>
      <c r="BA32" s="646">
        <f t="shared" si="20"/>
        <v>0.98540433911190217</v>
      </c>
      <c r="BB32" s="641">
        <v>43118</v>
      </c>
      <c r="BC32" s="11">
        <v>43118</v>
      </c>
      <c r="BD32" s="290">
        <f>[3]!FeuilCaduc*(1-Persistant)+Persistant</f>
        <v>0.80041051482079162</v>
      </c>
      <c r="BE32" s="291">
        <f>[3]!CroissVégét</f>
        <v>1.4085719996856784E-3</v>
      </c>
      <c r="BF32" s="822">
        <f>1+[3]!Salcycl*Ksac</f>
        <v>1.0001026287051979</v>
      </c>
      <c r="BH32" s="1101">
        <f t="shared" si="21"/>
        <v>0.30578858359954775</v>
      </c>
      <c r="BI32" s="11">
        <v>44214</v>
      </c>
      <c r="BJ32" s="727">
        <v>3.8012858736827443E-2</v>
      </c>
      <c r="BK32" s="727">
        <v>0.10573832646714537</v>
      </c>
      <c r="BL32" s="727">
        <v>0.1902617021851537</v>
      </c>
      <c r="BM32" s="727">
        <v>0.30565161131033647</v>
      </c>
      <c r="BN32" s="727">
        <v>0.42744138055866965</v>
      </c>
      <c r="BO32" s="728">
        <v>0.54427200557704625</v>
      </c>
      <c r="BP32" s="727">
        <v>0.63301488188831379</v>
      </c>
      <c r="BQ32" s="727">
        <v>0.72183339936717106</v>
      </c>
      <c r="BR32" s="727">
        <v>0.80116965195274248</v>
      </c>
      <c r="BS32" s="727">
        <v>0.88024029556013095</v>
      </c>
      <c r="BT32" s="727">
        <v>0.94503592415743898</v>
      </c>
      <c r="BW32" s="1157">
        <f>'2018'!R\Max</f>
        <v>0</v>
      </c>
      <c r="BX32" s="1155">
        <f>'2019'!R\Max</f>
        <v>0.54657644725013765</v>
      </c>
      <c r="BY32" s="1155">
        <f>'2020'!R\Max</f>
        <v>0.69047525235311913</v>
      </c>
      <c r="BZ32" s="1155">
        <f>'2021'!R\Max</f>
        <v>0.98540433911190217</v>
      </c>
      <c r="CA32" s="1155">
        <f>'2022'!R\Max</f>
        <v>0.16432760411535668</v>
      </c>
      <c r="CB32" s="1155">
        <f>'2023'!R\Max</f>
        <v>0.16311537946618704</v>
      </c>
      <c r="CC32" s="1155">
        <f>'2024'!R\Max</f>
        <v>0.16199984602154019</v>
      </c>
      <c r="CD32" s="1155">
        <f>'2025'!R\Max</f>
        <v>0.16046519875040116</v>
      </c>
      <c r="CE32" s="1155">
        <f>'2026'!R\Max</f>
        <v>0.16855337245686328</v>
      </c>
      <c r="CF32" s="1156">
        <f>'2027'!R\Max</f>
        <v>0.16644723904313402</v>
      </c>
    </row>
    <row r="33" spans="1:84" s="6" customFormat="1" ht="11.25" x14ac:dyDescent="0.2">
      <c r="A33" s="11">
        <v>43119</v>
      </c>
      <c r="B33" s="380">
        <f>'2022'!Maxi_hp</f>
        <v>16.836051106728092</v>
      </c>
      <c r="C33" s="13">
        <f>'2022'!An_max</f>
        <v>2021</v>
      </c>
      <c r="D33" s="1070"/>
      <c r="E33" s="1073"/>
      <c r="F33" s="13">
        <f t="shared" si="22"/>
        <v>3</v>
      </c>
      <c r="G33" s="13">
        <f t="shared" si="23"/>
        <v>2</v>
      </c>
      <c r="H33" s="173">
        <f t="shared" si="7"/>
        <v>43122</v>
      </c>
      <c r="I33" s="754">
        <f t="shared" si="8"/>
        <v>0.21428571428571427</v>
      </c>
      <c r="J33" s="747">
        <f t="shared" si="26"/>
        <v>16.805778434021128</v>
      </c>
      <c r="L33" s="756" t="s">
        <v>212</v>
      </c>
      <c r="M33" s="781">
        <f t="shared" ref="M33:AA33" si="39">M29</f>
        <v>120.417</v>
      </c>
      <c r="N33" s="744">
        <f t="shared" si="39"/>
        <v>145.87100000000001</v>
      </c>
      <c r="O33" s="744">
        <f t="shared" si="39"/>
        <v>215.38</v>
      </c>
      <c r="P33" s="744">
        <f t="shared" si="39"/>
        <v>303.49</v>
      </c>
      <c r="Q33" s="744">
        <f t="shared" si="39"/>
        <v>379.85199999999998</v>
      </c>
      <c r="R33" s="744">
        <f t="shared" si="39"/>
        <v>422.928</v>
      </c>
      <c r="S33" s="744">
        <f t="shared" si="39"/>
        <v>435.65499999999997</v>
      </c>
      <c r="T33" s="744">
        <f t="shared" si="39"/>
        <v>428.80199999999996</v>
      </c>
      <c r="U33" s="744">
        <f t="shared" si="39"/>
        <v>410.20099999999996</v>
      </c>
      <c r="V33" s="744">
        <f t="shared" si="39"/>
        <v>381.81</v>
      </c>
      <c r="W33" s="744">
        <f t="shared" si="39"/>
        <v>334.81799999999998</v>
      </c>
      <c r="X33" s="744">
        <f t="shared" si="39"/>
        <v>264.33</v>
      </c>
      <c r="Y33" s="744">
        <f t="shared" si="39"/>
        <v>173.28299999999999</v>
      </c>
      <c r="Z33" s="779">
        <f t="shared" si="39"/>
        <v>120.417</v>
      </c>
      <c r="AA33" s="777">
        <f t="shared" si="39"/>
        <v>145.87100000000001</v>
      </c>
      <c r="AP33" s="13">
        <f t="shared" si="10"/>
        <v>3</v>
      </c>
      <c r="AQ33" s="13">
        <f t="shared" si="11"/>
        <v>2</v>
      </c>
      <c r="AR33" s="173">
        <f t="shared" si="12"/>
        <v>43136</v>
      </c>
      <c r="AS33" s="754">
        <f t="shared" si="13"/>
        <v>0.6071428571428571</v>
      </c>
      <c r="AT33" s="770">
        <f t="shared" si="14"/>
        <v>16.911019984007414</v>
      </c>
      <c r="AU33" s="13">
        <f t="shared" si="15"/>
        <v>1</v>
      </c>
      <c r="AV33" s="13">
        <f t="shared" si="16"/>
        <v>2</v>
      </c>
      <c r="AW33" s="173">
        <f t="shared" si="17"/>
        <v>43093</v>
      </c>
      <c r="AX33" s="754">
        <f t="shared" si="18"/>
        <v>0.89655172413793105</v>
      </c>
      <c r="AY33" s="770">
        <f t="shared" si="19"/>
        <v>16.813825885283538</v>
      </c>
      <c r="AZ33" s="747">
        <f t="shared" si="25"/>
        <v>16.862422934645476</v>
      </c>
      <c r="BA33" s="646">
        <f t="shared" si="20"/>
        <v>1.0018013252302362</v>
      </c>
      <c r="BB33" s="641">
        <v>43119</v>
      </c>
      <c r="BC33" s="11">
        <v>43119</v>
      </c>
      <c r="BD33" s="290">
        <f>[3]!FeuilCaduc*(1-Persistant)+Persistant</f>
        <v>0.8003446169297862</v>
      </c>
      <c r="BE33" s="291">
        <f>[3]!CroissVégét</f>
        <v>1.5257359314074395E-3</v>
      </c>
      <c r="BF33" s="822">
        <f>1+[3]!Salcycl*Ksac</f>
        <v>1.0000861542324466</v>
      </c>
      <c r="BH33" s="1101">
        <f t="shared" si="21"/>
        <v>0.30179047467265446</v>
      </c>
      <c r="BI33" s="11">
        <v>44215</v>
      </c>
      <c r="BJ33" s="727">
        <v>3.6090088916972685E-2</v>
      </c>
      <c r="BK33" s="727">
        <v>0.10350666977865923</v>
      </c>
      <c r="BL33" s="727">
        <v>0.18716274557015822</v>
      </c>
      <c r="BM33" s="727">
        <v>0.30165214879054708</v>
      </c>
      <c r="BN33" s="727">
        <v>0.42464547364435018</v>
      </c>
      <c r="BO33" s="728">
        <v>0.54333310158457127</v>
      </c>
      <c r="BP33" s="727">
        <v>0.63407723580036057</v>
      </c>
      <c r="BQ33" s="727">
        <v>0.72497389775753529</v>
      </c>
      <c r="BR33" s="727">
        <v>0.80658465032129378</v>
      </c>
      <c r="BS33" s="727">
        <v>0.88832721723714125</v>
      </c>
      <c r="BT33" s="727">
        <v>0.95532991057406491</v>
      </c>
      <c r="BW33" s="1157">
        <f>'2018'!R\Max</f>
        <v>0</v>
      </c>
      <c r="BX33" s="1155">
        <f>'2019'!R\Max</f>
        <v>0.6216316985389202</v>
      </c>
      <c r="BY33" s="1155">
        <f>'2020'!R\Max</f>
        <v>0.9193494501195445</v>
      </c>
      <c r="BZ33" s="1155">
        <f>'2021'!R\Max</f>
        <v>1.0018013252302362</v>
      </c>
      <c r="CA33" s="1155">
        <f>'2022'!R\Max</f>
        <v>0.49113967081757753</v>
      </c>
      <c r="CB33" s="1155">
        <f>'2023'!R\Max</f>
        <v>0.48853586703426222</v>
      </c>
      <c r="CC33" s="1155">
        <f>'2024'!R\Max</f>
        <v>0.48612558556389229</v>
      </c>
      <c r="CD33" s="1155">
        <f>'2025'!R\Max</f>
        <v>0.48277870749940988</v>
      </c>
      <c r="CE33" s="1155">
        <f>'2026'!R\Max</f>
        <v>0.50010373805901764</v>
      </c>
      <c r="CF33" s="1156">
        <f>'2027'!R\Max</f>
        <v>0.49566490855786638</v>
      </c>
    </row>
    <row r="34" spans="1:84" s="6" customFormat="1" ht="11.25" x14ac:dyDescent="0.2">
      <c r="A34" s="11">
        <v>43120</v>
      </c>
      <c r="B34" s="380">
        <f>'2022'!Maxi_hp</f>
        <v>7.5521238527845549</v>
      </c>
      <c r="C34" s="13">
        <f>'2022'!An_max</f>
        <v>2020</v>
      </c>
      <c r="D34" s="1070"/>
      <c r="E34" s="13"/>
      <c r="F34" s="13">
        <f t="shared" si="22"/>
        <v>3</v>
      </c>
      <c r="G34" s="13">
        <f t="shared" si="23"/>
        <v>2</v>
      </c>
      <c r="H34" s="173">
        <f t="shared" si="7"/>
        <v>43122</v>
      </c>
      <c r="I34" s="754">
        <f t="shared" si="8"/>
        <v>0.14285714285714285</v>
      </c>
      <c r="J34" s="747">
        <f t="shared" si="26"/>
        <v>17.039416754245757</v>
      </c>
      <c r="L34" s="756" t="s">
        <v>213</v>
      </c>
      <c r="M34" s="783">
        <f t="shared" ref="M34:AA34" si="40">N28</f>
        <v>43108</v>
      </c>
      <c r="N34" s="739">
        <f t="shared" si="40"/>
        <v>43136</v>
      </c>
      <c r="O34" s="739">
        <f t="shared" si="40"/>
        <v>43164</v>
      </c>
      <c r="P34" s="739">
        <f t="shared" si="40"/>
        <v>43192</v>
      </c>
      <c r="Q34" s="739">
        <f t="shared" si="40"/>
        <v>43220</v>
      </c>
      <c r="R34" s="739">
        <f t="shared" si="40"/>
        <v>43248</v>
      </c>
      <c r="S34" s="739">
        <f t="shared" si="40"/>
        <v>43276</v>
      </c>
      <c r="T34" s="739">
        <f t="shared" si="40"/>
        <v>43304</v>
      </c>
      <c r="U34" s="739">
        <f t="shared" si="40"/>
        <v>43332</v>
      </c>
      <c r="V34" s="739">
        <f t="shared" si="40"/>
        <v>43360</v>
      </c>
      <c r="W34" s="739">
        <f t="shared" si="40"/>
        <v>43388</v>
      </c>
      <c r="X34" s="739">
        <f t="shared" si="40"/>
        <v>43416</v>
      </c>
      <c r="Y34" s="739">
        <f t="shared" si="40"/>
        <v>43444</v>
      </c>
      <c r="Z34" s="789">
        <f t="shared" si="40"/>
        <v>43473</v>
      </c>
      <c r="AA34" s="787">
        <f t="shared" si="40"/>
        <v>43501</v>
      </c>
      <c r="AP34" s="13">
        <f t="shared" si="10"/>
        <v>3</v>
      </c>
      <c r="AQ34" s="13">
        <f t="shared" si="11"/>
        <v>2</v>
      </c>
      <c r="AR34" s="173">
        <f t="shared" si="12"/>
        <v>43136</v>
      </c>
      <c r="AS34" s="754">
        <f t="shared" si="13"/>
        <v>0.5714285714285714</v>
      </c>
      <c r="AT34" s="770">
        <f t="shared" si="14"/>
        <v>17.159560251448834</v>
      </c>
      <c r="AU34" s="13">
        <f t="shared" si="15"/>
        <v>1</v>
      </c>
      <c r="AV34" s="13">
        <f t="shared" si="16"/>
        <v>2</v>
      </c>
      <c r="AW34" s="173">
        <f t="shared" si="17"/>
        <v>43093</v>
      </c>
      <c r="AX34" s="754">
        <f t="shared" si="18"/>
        <v>0.93103448275862066</v>
      </c>
      <c r="AY34" s="770">
        <f t="shared" si="19"/>
        <v>17.048640417102082</v>
      </c>
      <c r="AZ34" s="747">
        <f t="shared" si="25"/>
        <v>17.104100334275458</v>
      </c>
      <c r="BA34" s="646">
        <f t="shared" si="20"/>
        <v>0.44321492699582998</v>
      </c>
      <c r="BB34" s="641">
        <v>43120</v>
      </c>
      <c r="BC34" s="11">
        <v>43120</v>
      </c>
      <c r="BD34" s="290">
        <f>[3]!FeuilCaduc*(1-Persistant)+Persistant</f>
        <v>0.80028400053018334</v>
      </c>
      <c r="BE34" s="291">
        <f>[3]!CroissVégét</f>
        <v>1.6477858914927391E-3</v>
      </c>
      <c r="BF34" s="822">
        <f>1+[3]!Salcycl*Ksac</f>
        <v>1.0000710001325459</v>
      </c>
      <c r="BH34" s="1101">
        <f t="shared" si="21"/>
        <v>0.29770069516256359</v>
      </c>
      <c r="BI34" s="11">
        <v>44216</v>
      </c>
      <c r="BJ34" s="727">
        <v>3.4039176628881958E-2</v>
      </c>
      <c r="BK34" s="727">
        <v>0.1010797148353252</v>
      </c>
      <c r="BL34" s="727">
        <v>0.18395506457015298</v>
      </c>
      <c r="BM34" s="727">
        <v>0.2975610505307007</v>
      </c>
      <c r="BN34" s="727">
        <v>0.42172694999314914</v>
      </c>
      <c r="BO34" s="728">
        <v>0.5421273300536692</v>
      </c>
      <c r="BP34" s="727">
        <v>0.63492740222900235</v>
      </c>
      <c r="BQ34" s="727">
        <v>0.72783497153856147</v>
      </c>
      <c r="BR34" s="727">
        <v>0.81173246751756256</v>
      </c>
      <c r="BS34" s="727">
        <v>0.89626731104518953</v>
      </c>
      <c r="BT34" s="727">
        <v>0.96578867496299203</v>
      </c>
      <c r="BW34" s="1157">
        <f>'2018'!R\Max</f>
        <v>0</v>
      </c>
      <c r="BX34" s="1155">
        <f>'2019'!R\Max</f>
        <v>0.29691161530097931</v>
      </c>
      <c r="BY34" s="1155">
        <f>'2020'!R\Max</f>
        <v>0.44321492699582998</v>
      </c>
      <c r="BZ34" s="1155">
        <f>'2021'!R\Max</f>
        <v>0.25982678103741169</v>
      </c>
      <c r="CA34" s="1155">
        <f>'2022'!R\Max</f>
        <v>0.25553312690057117</v>
      </c>
      <c r="CB34" s="1155">
        <f>'2023'!R\Max</f>
        <v>0.25364375818941359</v>
      </c>
      <c r="CC34" s="1155">
        <f>'2024'!R\Max</f>
        <v>0.25189787494224408</v>
      </c>
      <c r="CD34" s="1155">
        <f>'2025'!R\Max</f>
        <v>0.24947078519770871</v>
      </c>
      <c r="CE34" s="1155">
        <f>'2026'!R\Max</f>
        <v>0.26208225786470846</v>
      </c>
      <c r="CF34" s="1156">
        <f>'2027'!R\Max</f>
        <v>0.25883482740326508</v>
      </c>
    </row>
    <row r="35" spans="1:84" s="6" customFormat="1" ht="11.25" x14ac:dyDescent="0.2">
      <c r="A35" s="11">
        <v>43121</v>
      </c>
      <c r="B35" s="380">
        <f>'2022'!Maxi_hp</f>
        <v>12.199672633065241</v>
      </c>
      <c r="C35" s="13">
        <f>'2022'!An_max</f>
        <v>2022</v>
      </c>
      <c r="D35" s="1070"/>
      <c r="E35" s="13"/>
      <c r="F35" s="13">
        <f t="shared" si="22"/>
        <v>3</v>
      </c>
      <c r="G35" s="13">
        <f t="shared" si="23"/>
        <v>2</v>
      </c>
      <c r="H35" s="173">
        <f t="shared" si="7"/>
        <v>43122</v>
      </c>
      <c r="I35" s="754">
        <f t="shared" si="8"/>
        <v>7.1428571428571425E-2</v>
      </c>
      <c r="J35" s="747">
        <f t="shared" si="26"/>
        <v>17.278823076241785</v>
      </c>
      <c r="L35" s="756" t="s">
        <v>214</v>
      </c>
      <c r="M35" s="784">
        <f t="shared" ref="M35:AA35" si="41">N29</f>
        <v>145.87100000000001</v>
      </c>
      <c r="N35" s="744">
        <f t="shared" si="41"/>
        <v>215.38</v>
      </c>
      <c r="O35" s="744">
        <f t="shared" si="41"/>
        <v>303.49</v>
      </c>
      <c r="P35" s="744">
        <f t="shared" si="41"/>
        <v>379.85199999999998</v>
      </c>
      <c r="Q35" s="744">
        <f t="shared" si="41"/>
        <v>422.928</v>
      </c>
      <c r="R35" s="744">
        <f t="shared" si="41"/>
        <v>435.65499999999997</v>
      </c>
      <c r="S35" s="744">
        <f t="shared" si="41"/>
        <v>428.80199999999996</v>
      </c>
      <c r="T35" s="744">
        <f t="shared" si="41"/>
        <v>410.20099999999996</v>
      </c>
      <c r="U35" s="744">
        <f t="shared" si="41"/>
        <v>381.81</v>
      </c>
      <c r="V35" s="744">
        <f t="shared" si="41"/>
        <v>334.81799999999998</v>
      </c>
      <c r="W35" s="744">
        <f t="shared" si="41"/>
        <v>264.33</v>
      </c>
      <c r="X35" s="744">
        <f t="shared" si="41"/>
        <v>173.28299999999999</v>
      </c>
      <c r="Y35" s="744">
        <f t="shared" si="41"/>
        <v>120.417</v>
      </c>
      <c r="Z35" s="790">
        <f t="shared" si="41"/>
        <v>145.87100000000001</v>
      </c>
      <c r="AA35" s="777">
        <f t="shared" si="41"/>
        <v>215.38</v>
      </c>
      <c r="AP35" s="13">
        <f t="shared" si="10"/>
        <v>3</v>
      </c>
      <c r="AQ35" s="13">
        <f t="shared" si="11"/>
        <v>2</v>
      </c>
      <c r="AR35" s="173">
        <f t="shared" si="12"/>
        <v>43136</v>
      </c>
      <c r="AS35" s="754">
        <f t="shared" si="13"/>
        <v>0.5357142857142857</v>
      </c>
      <c r="AT35" s="770">
        <f t="shared" si="14"/>
        <v>17.412800303740163</v>
      </c>
      <c r="AU35" s="13">
        <f t="shared" si="15"/>
        <v>1</v>
      </c>
      <c r="AV35" s="13">
        <f t="shared" si="16"/>
        <v>2</v>
      </c>
      <c r="AW35" s="173">
        <f t="shared" si="17"/>
        <v>43093</v>
      </c>
      <c r="AX35" s="754">
        <f t="shared" si="18"/>
        <v>0.96551724137931039</v>
      </c>
      <c r="AY35" s="770">
        <f t="shared" si="19"/>
        <v>17.285510488984915</v>
      </c>
      <c r="AZ35" s="747">
        <f t="shared" si="25"/>
        <v>17.349155396362541</v>
      </c>
      <c r="BA35" s="646">
        <f t="shared" si="20"/>
        <v>0.70604766188269341</v>
      </c>
      <c r="BB35" s="641">
        <v>43121</v>
      </c>
      <c r="BC35" s="11">
        <v>43121</v>
      </c>
      <c r="BD35" s="290">
        <f>[3]!FeuilCaduc*(1-Persistant)+Persistant</f>
        <v>0.80022885752373218</v>
      </c>
      <c r="BE35" s="291">
        <f>[3]!CroissVégét</f>
        <v>1.7749243659651206E-3</v>
      </c>
      <c r="BF35" s="822">
        <f>1+[3]!Salcycl*Ksac</f>
        <v>1.000057214380933</v>
      </c>
      <c r="BH35" s="1101">
        <f t="shared" si="21"/>
        <v>0.29352122467173652</v>
      </c>
      <c r="BI35" s="11">
        <v>44217</v>
      </c>
      <c r="BJ35" s="727">
        <v>3.1860420665141949E-2</v>
      </c>
      <c r="BK35" s="727">
        <v>9.8458130254881315E-2</v>
      </c>
      <c r="BL35" s="727">
        <v>0.18063991267443089</v>
      </c>
      <c r="BM35" s="727">
        <v>0.29338029548911176</v>
      </c>
      <c r="BN35" s="727">
        <v>0.41868836131077042</v>
      </c>
      <c r="BO35" s="728">
        <v>0.54065767963945666</v>
      </c>
      <c r="BP35" s="727">
        <v>0.63556873815939641</v>
      </c>
      <c r="BQ35" s="727">
        <v>0.73042027914052721</v>
      </c>
      <c r="BR35" s="727">
        <v>0.81661703490966753</v>
      </c>
      <c r="BS35" s="727">
        <v>0.90406480310626391</v>
      </c>
      <c r="BT35" s="727">
        <v>0.97641679070616261</v>
      </c>
      <c r="BW35" s="1157">
        <f>'2018'!R\Max</f>
        <v>0</v>
      </c>
      <c r="BX35" s="1155">
        <f>'2019'!R\Max</f>
        <v>0.37793848071417052</v>
      </c>
      <c r="BY35" s="1155">
        <f>'2020'!R\Max</f>
        <v>0.14096550847911138</v>
      </c>
      <c r="BZ35" s="1155">
        <f>'2021'!R\Max</f>
        <v>0.52776468297911838</v>
      </c>
      <c r="CA35" s="1155">
        <f>'2022'!R\Max</f>
        <v>0.70604766188269341</v>
      </c>
      <c r="CB35" s="1155">
        <f>'2023'!R\Max</f>
        <v>0.70388219266393448</v>
      </c>
      <c r="CC35" s="1155">
        <f>'2024'!R\Max</f>
        <v>0.70185883137735849</v>
      </c>
      <c r="CD35" s="1155">
        <f>'2025'!R\Max</f>
        <v>0.69899908834108393</v>
      </c>
      <c r="CE35" s="1155">
        <f>'2026'!R\Max</f>
        <v>0.71339636369251513</v>
      </c>
      <c r="CF35" s="1156">
        <f>'2027'!R\Max</f>
        <v>0.7097863303919133</v>
      </c>
    </row>
    <row r="36" spans="1:84" s="6" customFormat="1" ht="11.25" x14ac:dyDescent="0.2">
      <c r="A36" s="11">
        <v>43122</v>
      </c>
      <c r="B36" s="380">
        <f>'2022'!Maxi_hp</f>
        <v>17.808971984336939</v>
      </c>
      <c r="C36" s="13">
        <f>'2022'!An_max</f>
        <v>2022</v>
      </c>
      <c r="D36" s="1070"/>
      <c r="E36" s="1073">
        <f>O$13/10</f>
        <v>17.524099999999997</v>
      </c>
      <c r="F36" s="13">
        <f t="shared" si="22"/>
        <v>3</v>
      </c>
      <c r="G36" s="13">
        <f t="shared" si="23"/>
        <v>4</v>
      </c>
      <c r="H36" s="173">
        <f t="shared" si="7"/>
        <v>43122</v>
      </c>
      <c r="I36" s="754">
        <f t="shared" si="8"/>
        <v>0</v>
      </c>
      <c r="J36" s="747">
        <f t="shared" si="26"/>
        <v>17.524100001156331</v>
      </c>
      <c r="L36" s="757" t="s">
        <v>215</v>
      </c>
      <c r="M36" s="741">
        <f t="shared" ref="M36:AA36" si="42">x.1lg*x.1lg-x.2lg*x.2lg</f>
        <v>-2411640</v>
      </c>
      <c r="N36" s="741">
        <f t="shared" si="42"/>
        <v>-2499423</v>
      </c>
      <c r="O36" s="741">
        <f t="shared" si="42"/>
        <v>-2414832</v>
      </c>
      <c r="P36" s="741">
        <f t="shared" si="42"/>
        <v>-2416400</v>
      </c>
      <c r="Q36" s="741">
        <f t="shared" si="42"/>
        <v>-2417968</v>
      </c>
      <c r="R36" s="741">
        <f t="shared" si="42"/>
        <v>-2419536</v>
      </c>
      <c r="S36" s="741">
        <f t="shared" si="42"/>
        <v>-2421104</v>
      </c>
      <c r="T36" s="741">
        <f t="shared" si="42"/>
        <v>-2422672</v>
      </c>
      <c r="U36" s="741">
        <f t="shared" si="42"/>
        <v>-2424240</v>
      </c>
      <c r="V36" s="741">
        <f t="shared" si="42"/>
        <v>-2425808</v>
      </c>
      <c r="W36" s="741">
        <f t="shared" si="42"/>
        <v>-2427376</v>
      </c>
      <c r="X36" s="741">
        <f t="shared" si="42"/>
        <v>-2428944</v>
      </c>
      <c r="Y36" s="741">
        <f t="shared" si="42"/>
        <v>-2430512</v>
      </c>
      <c r="Z36" s="741">
        <f t="shared" si="42"/>
        <v>-2432080</v>
      </c>
      <c r="AA36" s="741">
        <f t="shared" si="42"/>
        <v>-2520593</v>
      </c>
      <c r="AP36" s="13">
        <f t="shared" si="10"/>
        <v>3</v>
      </c>
      <c r="AQ36" s="13">
        <f t="shared" si="11"/>
        <v>2</v>
      </c>
      <c r="AR36" s="173">
        <f t="shared" si="12"/>
        <v>43136</v>
      </c>
      <c r="AS36" s="754">
        <f t="shared" si="13"/>
        <v>0.5</v>
      </c>
      <c r="AT36" s="770">
        <f t="shared" si="14"/>
        <v>17.670391058549285</v>
      </c>
      <c r="AU36" s="13">
        <f t="shared" si="15"/>
        <v>3</v>
      </c>
      <c r="AV36" s="13">
        <f t="shared" si="16"/>
        <v>2</v>
      </c>
      <c r="AW36" s="173">
        <f t="shared" si="17"/>
        <v>43150</v>
      </c>
      <c r="AX36" s="754">
        <f t="shared" si="18"/>
        <v>1</v>
      </c>
      <c r="AY36" s="770">
        <f t="shared" si="19"/>
        <v>17.524099999666213</v>
      </c>
      <c r="AZ36" s="747">
        <f t="shared" si="25"/>
        <v>17.597245529107749</v>
      </c>
      <c r="BA36" s="646">
        <f t="shared" si="20"/>
        <v>1.0162560121867492</v>
      </c>
      <c r="BB36" s="641">
        <v>43122</v>
      </c>
      <c r="BC36" s="11">
        <v>43122</v>
      </c>
      <c r="BD36" s="290">
        <f>[3]!FeuilCaduc*(1-Persistant)+Persistant</f>
        <v>0.80017937416068796</v>
      </c>
      <c r="BE36" s="291">
        <f>[3]!CroissVégét</f>
        <v>1.9073621235293117E-3</v>
      </c>
      <c r="BF36" s="822">
        <f>1+[3]!Salcycl*Ksac</f>
        <v>1.0000448435401721</v>
      </c>
      <c r="BH36" s="1101">
        <f t="shared" si="21"/>
        <v>0.28925271403076225</v>
      </c>
      <c r="BI36" s="11">
        <v>44218</v>
      </c>
      <c r="BJ36" s="727">
        <v>2.9553964739355593E-2</v>
      </c>
      <c r="BK36" s="727">
        <v>9.5642145151990487E-2</v>
      </c>
      <c r="BL36" s="727">
        <v>0.17721772118328474</v>
      </c>
      <c r="BM36" s="727">
        <v>0.28911053443242457</v>
      </c>
      <c r="BN36" s="727">
        <v>0.41553041522054723</v>
      </c>
      <c r="BO36" s="728">
        <v>0.53892482057759961</v>
      </c>
      <c r="BP36" s="727">
        <v>0.63600190048094751</v>
      </c>
      <c r="BQ36" s="727">
        <v>0.73273041537055117</v>
      </c>
      <c r="BR36" s="727">
        <v>0.82123888691631963</v>
      </c>
      <c r="BS36" s="727">
        <v>0.91172017638866776</v>
      </c>
      <c r="BT36" s="727">
        <v>0.98721477282203252</v>
      </c>
      <c r="BW36" s="1157">
        <f>'2018'!R\Max</f>
        <v>0</v>
      </c>
      <c r="BX36" s="1155">
        <f>'2019'!R\Max</f>
        <v>0.42539775981734512</v>
      </c>
      <c r="BY36" s="1155">
        <f>'2020'!R\Max</f>
        <v>4.8983564161861032E-2</v>
      </c>
      <c r="BZ36" s="1155">
        <f>'2021'!R\Max</f>
        <v>0.22941100685303709</v>
      </c>
      <c r="CA36" s="1155">
        <f>'2022'!R\Max</f>
        <v>1.0162560121867492</v>
      </c>
      <c r="CB36" s="1155">
        <f>'2023'!R\Max</f>
        <v>1.0162560121867492</v>
      </c>
      <c r="CC36" s="1155">
        <f>'2024'!R\Max</f>
        <v>1.0162560121867492</v>
      </c>
      <c r="CD36" s="1155">
        <f>'2025'!R\Max</f>
        <v>1.0162560121867494</v>
      </c>
      <c r="CE36" s="1155">
        <f>'2026'!R\Max</f>
        <v>1.0162560121867494</v>
      </c>
      <c r="CF36" s="1156">
        <f>'2027'!R\Max</f>
        <v>1.0162560121867492</v>
      </c>
    </row>
    <row r="37" spans="1:84" s="6" customFormat="1" ht="11.25" x14ac:dyDescent="0.2">
      <c r="A37" s="11">
        <v>43123</v>
      </c>
      <c r="B37" s="380">
        <f>'2022'!Maxi_hp</f>
        <v>17.871865098354334</v>
      </c>
      <c r="C37" s="13">
        <f>'2022'!An_max</f>
        <v>2022</v>
      </c>
      <c r="D37" s="1070"/>
      <c r="E37" s="13"/>
      <c r="F37" s="13">
        <f t="shared" si="22"/>
        <v>3</v>
      </c>
      <c r="G37" s="13">
        <f t="shared" si="23"/>
        <v>4</v>
      </c>
      <c r="H37" s="173">
        <f t="shared" si="7"/>
        <v>43122</v>
      </c>
      <c r="I37" s="754">
        <f t="shared" si="8"/>
        <v>7.1428571428571425E-2</v>
      </c>
      <c r="J37" s="747">
        <f>((1-I37)*(INDEX(a.m,F37)*$A37*$A37+INDEX(b.m,F37)*$A37+INDEX(c.m,F37))+I37*(INDEX(a.m,G37)*$A37*$A37+INDEX(b.m,G37)*$A37+INDEX(c.m,G37)))/10</f>
        <v>17.776485059037803</v>
      </c>
      <c r="L37" s="757" t="s">
        <v>216</v>
      </c>
      <c r="M37" s="741">
        <f t="shared" ref="M37:AA37" si="43">x.2lg*x.2lg-x.3lg*x.3lg</f>
        <v>-2499423</v>
      </c>
      <c r="N37" s="741">
        <f t="shared" si="43"/>
        <v>-2414832</v>
      </c>
      <c r="O37" s="741">
        <f t="shared" si="43"/>
        <v>-2416400</v>
      </c>
      <c r="P37" s="741">
        <f t="shared" si="43"/>
        <v>-2417968</v>
      </c>
      <c r="Q37" s="741">
        <f t="shared" si="43"/>
        <v>-2419536</v>
      </c>
      <c r="R37" s="741">
        <f t="shared" si="43"/>
        <v>-2421104</v>
      </c>
      <c r="S37" s="741">
        <f t="shared" si="43"/>
        <v>-2422672</v>
      </c>
      <c r="T37" s="741">
        <f t="shared" si="43"/>
        <v>-2424240</v>
      </c>
      <c r="U37" s="741">
        <f t="shared" si="43"/>
        <v>-2425808</v>
      </c>
      <c r="V37" s="741">
        <f t="shared" si="43"/>
        <v>-2427376</v>
      </c>
      <c r="W37" s="741">
        <f t="shared" si="43"/>
        <v>-2428944</v>
      </c>
      <c r="X37" s="741">
        <f t="shared" si="43"/>
        <v>-2430512</v>
      </c>
      <c r="Y37" s="741">
        <f t="shared" si="43"/>
        <v>-2432080</v>
      </c>
      <c r="Z37" s="741">
        <f t="shared" si="43"/>
        <v>-2520593</v>
      </c>
      <c r="AA37" s="741">
        <f t="shared" si="43"/>
        <v>-2435272</v>
      </c>
      <c r="AP37" s="13">
        <f t="shared" si="10"/>
        <v>3</v>
      </c>
      <c r="AQ37" s="13">
        <f t="shared" si="11"/>
        <v>2</v>
      </c>
      <c r="AR37" s="173">
        <f t="shared" si="12"/>
        <v>43136</v>
      </c>
      <c r="AS37" s="754">
        <f t="shared" si="13"/>
        <v>0.4642857142857143</v>
      </c>
      <c r="AT37" s="770">
        <f t="shared" si="14"/>
        <v>17.931983434768128</v>
      </c>
      <c r="AU37" s="13">
        <f t="shared" si="15"/>
        <v>3</v>
      </c>
      <c r="AV37" s="13">
        <f t="shared" si="16"/>
        <v>2</v>
      </c>
      <c r="AW37" s="173">
        <f t="shared" si="17"/>
        <v>43150</v>
      </c>
      <c r="AX37" s="754">
        <f t="shared" si="18"/>
        <v>0.9642857142857143</v>
      </c>
      <c r="AY37" s="770">
        <f t="shared" si="19"/>
        <v>17.76804697728117</v>
      </c>
      <c r="AZ37" s="747">
        <f t="shared" si="25"/>
        <v>17.850015206024651</v>
      </c>
      <c r="BA37" s="646">
        <f t="shared" si="20"/>
        <v>1.0053655173674527</v>
      </c>
      <c r="BB37" s="641">
        <v>43123</v>
      </c>
      <c r="BC37" s="11">
        <v>43123</v>
      </c>
      <c r="BD37" s="290">
        <f>[3]!FeuilCaduc*(1-Persistant)+Persistant</f>
        <v>0.80013572423122303</v>
      </c>
      <c r="BE37" s="291">
        <f>[3]!CroissVégét</f>
        <v>2.045318545083899E-3</v>
      </c>
      <c r="BF37" s="822">
        <f>1+[3]!Salcycl*Ksac</f>
        <v>1.0000339310578057</v>
      </c>
      <c r="BH37" s="1101">
        <f t="shared" si="21"/>
        <v>0.28489580464962794</v>
      </c>
      <c r="BI37" s="11">
        <v>44219</v>
      </c>
      <c r="BJ37" s="727">
        <v>2.7119960042116923E-2</v>
      </c>
      <c r="BK37" s="727">
        <v>9.2632003312731956E-2</v>
      </c>
      <c r="BL37" s="727">
        <v>0.17368891946483844</v>
      </c>
      <c r="BM37" s="727">
        <v>0.28475240869584267</v>
      </c>
      <c r="BN37" s="727">
        <v>0.41225381955211027</v>
      </c>
      <c r="BO37" s="728">
        <v>0.53692945166634765</v>
      </c>
      <c r="BP37" s="727">
        <v>0.63622757686008025</v>
      </c>
      <c r="BQ37" s="727">
        <v>0.73476602497716326</v>
      </c>
      <c r="BR37" s="727">
        <v>0.82559861730955664</v>
      </c>
      <c r="BS37" s="727">
        <v>0.91923396995154882</v>
      </c>
      <c r="BT37" s="727">
        <v>0.99818316090326997</v>
      </c>
      <c r="BW37" s="1157">
        <f>'2018'!R\Max</f>
        <v>0</v>
      </c>
      <c r="BX37" s="1155">
        <f>'2019'!R\Max</f>
        <v>0.3436557820520853</v>
      </c>
      <c r="BY37" s="1155">
        <f>'2020'!R\Max</f>
        <v>0.45083841829633775</v>
      </c>
      <c r="BZ37" s="1155">
        <f>'2021'!R\Max</f>
        <v>0.35085789606651374</v>
      </c>
      <c r="CA37" s="1155">
        <f>'2022'!R\Max</f>
        <v>1.0053655173674527</v>
      </c>
      <c r="CB37" s="1155">
        <f>'2023'!R\Max</f>
        <v>1.0053655173674529</v>
      </c>
      <c r="CC37" s="1155">
        <f>'2024'!R\Max</f>
        <v>1.0053655173674534</v>
      </c>
      <c r="CD37" s="1155">
        <f>'2025'!R\Max</f>
        <v>1.0053655173674527</v>
      </c>
      <c r="CE37" s="1155">
        <f>'2026'!R\Max</f>
        <v>1.0053655173674532</v>
      </c>
      <c r="CF37" s="1156">
        <f>'2027'!R\Max</f>
        <v>1.0053655173674529</v>
      </c>
    </row>
    <row r="38" spans="1:84" s="6" customFormat="1" ht="11.25" x14ac:dyDescent="0.2">
      <c r="A38" s="11">
        <v>43124</v>
      </c>
      <c r="B38" s="380">
        <f>'2022'!Maxi_hp</f>
        <v>18.189713580371091</v>
      </c>
      <c r="C38" s="13">
        <f>'2022'!An_max</f>
        <v>2022</v>
      </c>
      <c r="D38" s="1070"/>
      <c r="E38" s="13"/>
      <c r="F38" s="13">
        <f t="shared" si="22"/>
        <v>3</v>
      </c>
      <c r="G38" s="13">
        <f t="shared" si="23"/>
        <v>4</v>
      </c>
      <c r="H38" s="173">
        <f t="shared" si="7"/>
        <v>43122</v>
      </c>
      <c r="I38" s="754">
        <f t="shared" si="8"/>
        <v>0.14285714285714285</v>
      </c>
      <c r="J38" s="747">
        <f t="shared" si="26"/>
        <v>18.036719242004416</v>
      </c>
      <c r="L38" s="757" t="s">
        <v>217</v>
      </c>
      <c r="M38" s="741">
        <f t="shared" ref="M38:AA38" si="44">(y.1lg-y.2lg-b.lg*(x.1lg-x.2lg))/D2x12Lg</f>
        <v>4.8522729236881355E-2</v>
      </c>
      <c r="N38" s="741">
        <f t="shared" si="44"/>
        <v>2.8153335926024543E-2</v>
      </c>
      <c r="O38" s="741">
        <f t="shared" si="44"/>
        <v>1.1862882653059504E-2</v>
      </c>
      <c r="P38" s="741">
        <f t="shared" si="44"/>
        <v>-7.4923469387756202E-3</v>
      </c>
      <c r="Q38" s="741">
        <f t="shared" si="44"/>
        <v>-2.1228316326533131E-2</v>
      </c>
      <c r="R38" s="741">
        <f t="shared" si="44"/>
        <v>-1.935522959183544E-2</v>
      </c>
      <c r="S38" s="741">
        <f t="shared" si="44"/>
        <v>-1.2487244897959403E-2</v>
      </c>
      <c r="T38" s="741">
        <f t="shared" si="44"/>
        <v>-7.4923469387758517E-3</v>
      </c>
      <c r="U38" s="741">
        <f t="shared" si="44"/>
        <v>-6.2436224489804022E-3</v>
      </c>
      <c r="V38" s="741">
        <f t="shared" si="44"/>
        <v>-1.1862882653063006E-2</v>
      </c>
      <c r="W38" s="741">
        <f t="shared" si="44"/>
        <v>-1.4984693877551563E-2</v>
      </c>
      <c r="X38" s="741">
        <f t="shared" si="44"/>
        <v>-1.3111607142859272E-2</v>
      </c>
      <c r="Y38" s="741">
        <f t="shared" si="44"/>
        <v>2.4350127551018171E-2</v>
      </c>
      <c r="Z38" s="741">
        <f t="shared" si="44"/>
        <v>4.8522729236890237E-2</v>
      </c>
      <c r="AA38" s="741">
        <f t="shared" si="44"/>
        <v>2.8153335926019485E-2</v>
      </c>
      <c r="AP38" s="13">
        <f t="shared" si="10"/>
        <v>3</v>
      </c>
      <c r="AQ38" s="13">
        <f t="shared" si="11"/>
        <v>2</v>
      </c>
      <c r="AR38" s="173">
        <f t="shared" si="12"/>
        <v>43136</v>
      </c>
      <c r="AS38" s="754">
        <f t="shared" si="13"/>
        <v>0.42857142857142855</v>
      </c>
      <c r="AT38" s="770">
        <f t="shared" si="14"/>
        <v>18.19722835187401</v>
      </c>
      <c r="AU38" s="13">
        <f t="shared" si="15"/>
        <v>3</v>
      </c>
      <c r="AV38" s="13">
        <f t="shared" si="16"/>
        <v>2</v>
      </c>
      <c r="AW38" s="173">
        <f t="shared" si="17"/>
        <v>43150</v>
      </c>
      <c r="AX38" s="754">
        <f t="shared" si="18"/>
        <v>0.9285714285714286</v>
      </c>
      <c r="AY38" s="770">
        <f t="shared" si="19"/>
        <v>18.020873713636369</v>
      </c>
      <c r="AZ38" s="747">
        <f t="shared" si="25"/>
        <v>18.10905103275519</v>
      </c>
      <c r="BA38" s="646">
        <f t="shared" si="20"/>
        <v>1.0084823817632187</v>
      </c>
      <c r="BB38" s="641">
        <v>43124</v>
      </c>
      <c r="BC38" s="11">
        <v>43124</v>
      </c>
      <c r="BD38" s="290">
        <f>[3]!FeuilCaduc*(1-Persistant)+Persistant</f>
        <v>0.80009806282804263</v>
      </c>
      <c r="BE38" s="291">
        <f>[3]!CroissVégét</f>
        <v>2.1890219655428525E-3</v>
      </c>
      <c r="BF38" s="822">
        <f>1+[3]!Salcycl*Ksac</f>
        <v>1.0000245157070107</v>
      </c>
      <c r="BH38" s="1101">
        <f t="shared" si="21"/>
        <v>0.28028368724053115</v>
      </c>
      <c r="BI38" s="11">
        <v>44220</v>
      </c>
      <c r="BJ38" s="727">
        <v>2.4666009445934545E-2</v>
      </c>
      <c r="BK38" s="727">
        <v>8.9375812952560474E-2</v>
      </c>
      <c r="BL38" s="727">
        <v>0.16989120102470348</v>
      </c>
      <c r="BM38" s="727">
        <v>0.28013916946307682</v>
      </c>
      <c r="BN38" s="727">
        <v>0.40863805686430082</v>
      </c>
      <c r="BO38" s="728">
        <v>0.53450080465150396</v>
      </c>
      <c r="BP38" s="727">
        <v>0.63612469067815336</v>
      </c>
      <c r="BQ38" s="727">
        <v>0.73645404301173878</v>
      </c>
      <c r="BR38" s="727">
        <v>0.82960015981073687</v>
      </c>
      <c r="BS38" s="727">
        <v>0.92638524871647909</v>
      </c>
      <c r="BT38" s="727">
        <v>1.0089857027292084</v>
      </c>
      <c r="BW38" s="1157">
        <f>'2018'!R\Max</f>
        <v>0</v>
      </c>
      <c r="BX38" s="1155">
        <f>'2019'!R\Max</f>
        <v>0.41010020744393033</v>
      </c>
      <c r="BY38" s="1155">
        <f>'2020'!R\Max</f>
        <v>0.50185865010791386</v>
      </c>
      <c r="BZ38" s="1155">
        <f>'2021'!R\Max</f>
        <v>0.63496656479181768</v>
      </c>
      <c r="CA38" s="1155">
        <f>'2022'!R\Max</f>
        <v>1.0084823817632187</v>
      </c>
      <c r="CB38" s="1155">
        <f>'2023'!R\Max</f>
        <v>1.0084823817632185</v>
      </c>
      <c r="CC38" s="1155">
        <f>'2024'!R\Max</f>
        <v>1.0084823817632185</v>
      </c>
      <c r="CD38" s="1155">
        <f>'2025'!R\Max</f>
        <v>1.0084823817632182</v>
      </c>
      <c r="CE38" s="1155">
        <f>'2026'!R\Max</f>
        <v>1.0084823817632182</v>
      </c>
      <c r="CF38" s="1156">
        <f>'2027'!R\Max</f>
        <v>1.0084823817632185</v>
      </c>
    </row>
    <row r="39" spans="1:84" s="6" customFormat="1" ht="11.25" x14ac:dyDescent="0.2">
      <c r="A39" s="11">
        <v>43125</v>
      </c>
      <c r="B39" s="380">
        <f>'2022'!Maxi_hp</f>
        <v>17.201428770631761</v>
      </c>
      <c r="C39" s="13">
        <f>'2022'!An_max</f>
        <v>2022</v>
      </c>
      <c r="D39" s="1070"/>
      <c r="E39" s="13"/>
      <c r="F39" s="13">
        <f t="shared" si="22"/>
        <v>3</v>
      </c>
      <c r="G39" s="13">
        <f t="shared" si="23"/>
        <v>4</v>
      </c>
      <c r="H39" s="173">
        <f t="shared" si="7"/>
        <v>43122</v>
      </c>
      <c r="I39" s="754">
        <f t="shared" si="8"/>
        <v>0.21428571428571427</v>
      </c>
      <c r="J39" s="747">
        <f t="shared" si="26"/>
        <v>18.304160350401485</v>
      </c>
      <c r="L39" s="757" t="s">
        <v>218</v>
      </c>
      <c r="M39" s="741">
        <f t="shared" ref="M39:AA39" si="45">(y.2lg-y.3lg-(y.1lg-y.2lg)*D2x23Lg/D2x12Lg)/(x.2lg-x.3lg)/(1-(x.2lg+x.3lg)/(x.1lg+x.2lg))</f>
        <v>-4181.1507406011624</v>
      </c>
      <c r="N39" s="741">
        <f t="shared" si="45"/>
        <v>-2425.5738393183465</v>
      </c>
      <c r="O39" s="741">
        <f t="shared" si="45"/>
        <v>-1020.6199872447496</v>
      </c>
      <c r="P39" s="741">
        <f t="shared" si="45"/>
        <v>649.73632653062168</v>
      </c>
      <c r="Q39" s="741">
        <f t="shared" si="45"/>
        <v>1835.9196989798095</v>
      </c>
      <c r="R39" s="741">
        <f t="shared" si="45"/>
        <v>1674.0625280611127</v>
      </c>
      <c r="S39" s="741">
        <f t="shared" si="45"/>
        <v>1080.2016275510393</v>
      </c>
      <c r="T39" s="741">
        <f t="shared" si="45"/>
        <v>648.0230765306419</v>
      </c>
      <c r="U39" s="741">
        <f t="shared" si="45"/>
        <v>539.90851020415175</v>
      </c>
      <c r="V39" s="741">
        <f t="shared" si="45"/>
        <v>1026.7387372450523</v>
      </c>
      <c r="W39" s="741">
        <f t="shared" si="45"/>
        <v>1297.3747959184145</v>
      </c>
      <c r="X39" s="741">
        <f t="shared" si="45"/>
        <v>1134.8882678573275</v>
      </c>
      <c r="Y39" s="741">
        <f t="shared" si="45"/>
        <v>-2116.94015051001</v>
      </c>
      <c r="Z39" s="741">
        <f t="shared" si="45"/>
        <v>-4216.5723329448574</v>
      </c>
      <c r="AA39" s="741">
        <f t="shared" si="45"/>
        <v>-2446.1257745439043</v>
      </c>
      <c r="AP39" s="13">
        <f t="shared" si="10"/>
        <v>3</v>
      </c>
      <c r="AQ39" s="13">
        <f t="shared" si="11"/>
        <v>2</v>
      </c>
      <c r="AR39" s="173">
        <f t="shared" si="12"/>
        <v>43136</v>
      </c>
      <c r="AS39" s="754">
        <f t="shared" si="13"/>
        <v>0.39285714285714285</v>
      </c>
      <c r="AT39" s="770">
        <f t="shared" si="14"/>
        <v>18.465776728572592</v>
      </c>
      <c r="AU39" s="13">
        <f t="shared" si="15"/>
        <v>3</v>
      </c>
      <c r="AV39" s="13">
        <f t="shared" si="16"/>
        <v>2</v>
      </c>
      <c r="AW39" s="173">
        <f t="shared" si="17"/>
        <v>43150</v>
      </c>
      <c r="AX39" s="754">
        <f t="shared" si="18"/>
        <v>0.8928571428571429</v>
      </c>
      <c r="AY39" s="770">
        <f t="shared" si="19"/>
        <v>18.282070516039887</v>
      </c>
      <c r="AZ39" s="747">
        <f t="shared" si="25"/>
        <v>18.37392362230624</v>
      </c>
      <c r="BA39" s="646">
        <f t="shared" si="20"/>
        <v>0.93975513988842774</v>
      </c>
      <c r="BB39" s="641">
        <v>43125</v>
      </c>
      <c r="BC39" s="11">
        <v>43125</v>
      </c>
      <c r="BD39" s="290">
        <f>[3]!FeuilCaduc*(1-Persistant)+Persistant</f>
        <v>0.80006652073284723</v>
      </c>
      <c r="BE39" s="291">
        <f>[3]!CroissVégét</f>
        <v>2.3387100283593187E-3</v>
      </c>
      <c r="BF39" s="822">
        <f>1+[3]!Salcycl*Ksac</f>
        <v>1.0000166301832119</v>
      </c>
      <c r="BH39" s="1101">
        <f t="shared" si="21"/>
        <v>0.27540373238401328</v>
      </c>
      <c r="BI39" s="11">
        <v>44221</v>
      </c>
      <c r="BJ39" s="727">
        <v>2.2258518154691861E-2</v>
      </c>
      <c r="BK39" s="727">
        <v>8.5974677352837356E-2</v>
      </c>
      <c r="BL39" s="727">
        <v>0.16581505485322431</v>
      </c>
      <c r="BM39" s="727">
        <v>0.27525815771740025</v>
      </c>
      <c r="BN39" s="727">
        <v>0.40469678473673482</v>
      </c>
      <c r="BO39" s="728">
        <v>0.53180573527358865</v>
      </c>
      <c r="BP39" s="727">
        <v>0.63582985634341693</v>
      </c>
      <c r="BQ39" s="727">
        <v>0.73789036254460005</v>
      </c>
      <c r="BR39" s="727">
        <v>0.83326161359591988</v>
      </c>
      <c r="BS39" s="727">
        <v>0.93313288050259835</v>
      </c>
      <c r="BT39" s="727">
        <v>1.0194623058629675</v>
      </c>
      <c r="BW39" s="1157">
        <f>'2018'!R\Max</f>
        <v>0</v>
      </c>
      <c r="BX39" s="1155">
        <f>'2019'!R\Max</f>
        <v>0.15018896259116934</v>
      </c>
      <c r="BY39" s="1155">
        <f>'2020'!R\Max</f>
        <v>0.5430620876959098</v>
      </c>
      <c r="BZ39" s="1155">
        <f>'2021'!R\Max</f>
        <v>0.27766231498217875</v>
      </c>
      <c r="CA39" s="1155">
        <f>'2022'!R\Max</f>
        <v>0.93975513988842774</v>
      </c>
      <c r="CB39" s="1155">
        <f>'2023'!R\Max</f>
        <v>0.93917307357919932</v>
      </c>
      <c r="CC39" s="1155">
        <f>'2024'!R\Max</f>
        <v>0.93861860304651312</v>
      </c>
      <c r="CD39" s="1155">
        <f>'2025'!R\Max</f>
        <v>0.93780172689294117</v>
      </c>
      <c r="CE39" s="1155">
        <f>'2026'!R\Max</f>
        <v>0.94170151384490253</v>
      </c>
      <c r="CF39" s="1156">
        <f>'2027'!R\Max</f>
        <v>0.94075312576445846</v>
      </c>
    </row>
    <row r="40" spans="1:84" s="6" customFormat="1" ht="11.25" x14ac:dyDescent="0.2">
      <c r="A40" s="11">
        <v>43126</v>
      </c>
      <c r="B40" s="380">
        <f>'2022'!Maxi_hp</f>
        <v>18.754153438721257</v>
      </c>
      <c r="C40" s="13">
        <f>'2022'!An_max</f>
        <v>2022</v>
      </c>
      <c r="D40" s="1070"/>
      <c r="E40" s="13"/>
      <c r="F40" s="13">
        <f t="shared" si="22"/>
        <v>3</v>
      </c>
      <c r="G40" s="13">
        <f t="shared" si="23"/>
        <v>4</v>
      </c>
      <c r="H40" s="173">
        <f t="shared" si="7"/>
        <v>43122</v>
      </c>
      <c r="I40" s="754">
        <f t="shared" si="8"/>
        <v>0.2857142857142857</v>
      </c>
      <c r="J40" s="747">
        <f t="shared" si="26"/>
        <v>18.578166180849074</v>
      </c>
      <c r="L40" s="757" t="s">
        <v>219</v>
      </c>
      <c r="M40" s="741">
        <f t="shared" ref="M40:AA40" si="46">(y.1lg+y.2lg+y.3lg-a.lg*(x.3lg*x.3lg+x.2lg*x.2lg+x.1lg*x.1lg)-b.lg*(x.3lg+x.2lg+x.1lg))/3</f>
        <v>90071420.559575304</v>
      </c>
      <c r="N40" s="741">
        <f t="shared" si="46"/>
        <v>52244448.244524747</v>
      </c>
      <c r="O40" s="741">
        <f t="shared" si="46"/>
        <v>21952241.432894759</v>
      </c>
      <c r="P40" s="741">
        <f t="shared" si="46"/>
        <v>-14085692.243183874</v>
      </c>
      <c r="Q40" s="741">
        <f t="shared" si="46"/>
        <v>-39694202.378739394</v>
      </c>
      <c r="R40" s="741">
        <f t="shared" si="46"/>
        <v>-36197602.2825078</v>
      </c>
      <c r="S40" s="741">
        <f t="shared" si="46"/>
        <v>-23360112.542306531</v>
      </c>
      <c r="T40" s="741">
        <f t="shared" si="46"/>
        <v>-14011659.284184316</v>
      </c>
      <c r="U40" s="741">
        <f t="shared" si="46"/>
        <v>-11671519.740797436</v>
      </c>
      <c r="V40" s="741">
        <f t="shared" si="46"/>
        <v>-22215774.526901301</v>
      </c>
      <c r="W40" s="741">
        <f t="shared" si="46"/>
        <v>-28081269.214654088</v>
      </c>
      <c r="X40" s="741">
        <f t="shared" si="46"/>
        <v>-24557424.247718289</v>
      </c>
      <c r="Y40" s="741">
        <f t="shared" si="46"/>
        <v>46010496.916771315</v>
      </c>
      <c r="Z40" s="741">
        <f t="shared" si="46"/>
        <v>91604005.020514071</v>
      </c>
      <c r="AA40" s="741">
        <f t="shared" si="46"/>
        <v>53133533.424045108</v>
      </c>
      <c r="AB40" s="7"/>
      <c r="AC40" s="7"/>
      <c r="AD40" s="7"/>
      <c r="AE40" s="7"/>
      <c r="AF40" s="7"/>
      <c r="AH40" s="7"/>
      <c r="AI40" s="74"/>
      <c r="AP40" s="13">
        <f t="shared" si="10"/>
        <v>3</v>
      </c>
      <c r="AQ40" s="13">
        <f t="shared" si="11"/>
        <v>2</v>
      </c>
      <c r="AR40" s="173">
        <f t="shared" si="12"/>
        <v>43136</v>
      </c>
      <c r="AS40" s="754">
        <f t="shared" si="13"/>
        <v>0.35714285714285715</v>
      </c>
      <c r="AT40" s="770">
        <f t="shared" si="14"/>
        <v>18.737279483809001</v>
      </c>
      <c r="AU40" s="13">
        <f t="shared" si="15"/>
        <v>3</v>
      </c>
      <c r="AV40" s="13">
        <f t="shared" si="16"/>
        <v>2</v>
      </c>
      <c r="AW40" s="173">
        <f t="shared" si="17"/>
        <v>43150</v>
      </c>
      <c r="AX40" s="754">
        <f t="shared" si="18"/>
        <v>0.8571428571428571</v>
      </c>
      <c r="AY40" s="770">
        <f t="shared" si="19"/>
        <v>18.551127686151968</v>
      </c>
      <c r="AZ40" s="747">
        <f t="shared" si="25"/>
        <v>18.644203584980485</v>
      </c>
      <c r="BA40" s="646">
        <f t="shared" si="20"/>
        <v>1.0094728002838944</v>
      </c>
      <c r="BB40" s="641">
        <v>43126</v>
      </c>
      <c r="BC40" s="11">
        <v>43126</v>
      </c>
      <c r="BD40" s="290">
        <f>[3]!FeuilCaduc*(1-Persistant)+Persistant</f>
        <v>0.80004119947162011</v>
      </c>
      <c r="BE40" s="291">
        <f>[3]!CroissVégét</f>
        <v>2.4946300531446561E-3</v>
      </c>
      <c r="BF40" s="822">
        <f>1+[3]!Salcycl*Ksac</f>
        <v>1.000010299867905</v>
      </c>
      <c r="BH40" s="1101">
        <f t="shared" si="21"/>
        <v>0.2702565264714451</v>
      </c>
      <c r="BI40" s="11">
        <v>44222</v>
      </c>
      <c r="BJ40" s="727">
        <v>1.9897673373890649E-2</v>
      </c>
      <c r="BK40" s="727">
        <v>8.2428881293553954E-2</v>
      </c>
      <c r="BL40" s="727">
        <v>0.16146087727395197</v>
      </c>
      <c r="BM40" s="727">
        <v>0.27010995974689983</v>
      </c>
      <c r="BN40" s="727">
        <v>0.40043068129311565</v>
      </c>
      <c r="BO40" s="728">
        <v>0.52884501849800936</v>
      </c>
      <c r="BP40" s="727">
        <v>0.6353438489382488</v>
      </c>
      <c r="BQ40" s="727">
        <v>0.7390757667278669</v>
      </c>
      <c r="BR40" s="727">
        <v>0.83658372441152651</v>
      </c>
      <c r="BS40" s="727">
        <v>0.93947753191774197</v>
      </c>
      <c r="BT40" s="727">
        <v>1.0296135335270959</v>
      </c>
      <c r="BW40" s="1157">
        <f>'2018'!R\Max</f>
        <v>0</v>
      </c>
      <c r="BX40" s="1155">
        <f>'2019'!R\Max</f>
        <v>0.65884759016488859</v>
      </c>
      <c r="BY40" s="1155">
        <f>'2020'!R\Max</f>
        <v>0.24105625748631701</v>
      </c>
      <c r="BZ40" s="1155">
        <f>'2021'!R\Max</f>
        <v>0.70412889319698435</v>
      </c>
      <c r="CA40" s="1155">
        <f>'2022'!R\Max</f>
        <v>1.0094728002838944</v>
      </c>
      <c r="CB40" s="1155">
        <f>'2023'!R\Max</f>
        <v>1.0094728002838942</v>
      </c>
      <c r="CC40" s="1155">
        <f>'2024'!R\Max</f>
        <v>1.0094728002838944</v>
      </c>
      <c r="CD40" s="1155">
        <f>'2025'!R\Max</f>
        <v>1.0094728002838942</v>
      </c>
      <c r="CE40" s="1155">
        <f>'2026'!R\Max</f>
        <v>1.0094728002838942</v>
      </c>
      <c r="CF40" s="1156">
        <f>'2027'!R\Max</f>
        <v>1.0094728002838942</v>
      </c>
    </row>
    <row r="41" spans="1:84" s="6" customFormat="1" ht="11.25" x14ac:dyDescent="0.2">
      <c r="A41" s="11">
        <v>43127</v>
      </c>
      <c r="B41" s="380">
        <f>'2022'!Maxi_hp</f>
        <v>15.896017389858935</v>
      </c>
      <c r="C41" s="13">
        <f>'2022'!An_max</f>
        <v>2022</v>
      </c>
      <c r="D41" s="1070"/>
      <c r="E41" s="13"/>
      <c r="F41" s="13">
        <f t="shared" si="22"/>
        <v>3</v>
      </c>
      <c r="G41" s="13">
        <f t="shared" si="23"/>
        <v>4</v>
      </c>
      <c r="H41" s="173">
        <f t="shared" si="7"/>
        <v>43122</v>
      </c>
      <c r="I41" s="754">
        <f t="shared" si="8"/>
        <v>0.35714285714285715</v>
      </c>
      <c r="J41" s="747">
        <f t="shared" si="26"/>
        <v>18.858094534517399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P41" s="13">
        <f t="shared" si="10"/>
        <v>3</v>
      </c>
      <c r="AQ41" s="13">
        <f t="shared" si="11"/>
        <v>2</v>
      </c>
      <c r="AR41" s="173">
        <f t="shared" si="12"/>
        <v>43136</v>
      </c>
      <c r="AS41" s="754">
        <f t="shared" si="13"/>
        <v>0.32142857142857145</v>
      </c>
      <c r="AT41" s="770">
        <f t="shared" si="14"/>
        <v>19.011387536701346</v>
      </c>
      <c r="AU41" s="13">
        <f t="shared" si="15"/>
        <v>3</v>
      </c>
      <c r="AV41" s="13">
        <f t="shared" si="16"/>
        <v>2</v>
      </c>
      <c r="AW41" s="173">
        <f t="shared" si="17"/>
        <v>43150</v>
      </c>
      <c r="AX41" s="754">
        <f t="shared" si="18"/>
        <v>0.8214285714285714</v>
      </c>
      <c r="AY41" s="770">
        <f t="shared" si="19"/>
        <v>18.827535525945546</v>
      </c>
      <c r="AZ41" s="747">
        <f t="shared" si="25"/>
        <v>18.919461531323446</v>
      </c>
      <c r="BA41" s="646">
        <f t="shared" si="20"/>
        <v>0.84292807848445406</v>
      </c>
      <c r="BB41" s="641">
        <v>43127</v>
      </c>
      <c r="BC41" s="11">
        <v>43127</v>
      </c>
      <c r="BD41" s="290">
        <f>[3]!FeuilCaduc*(1-Persistant)+Persistant</f>
        <v>0.80002216707577067</v>
      </c>
      <c r="BE41" s="291">
        <f>[3]!CroissVégét</f>
        <v>2.6570394167881404E-3</v>
      </c>
      <c r="BF41" s="822">
        <f>1+[3]!Salcycl*Ksac</f>
        <v>1.0000055417689426</v>
      </c>
      <c r="BH41" s="1101">
        <f t="shared" si="21"/>
        <v>0.26484266161440678</v>
      </c>
      <c r="BI41" s="11">
        <v>44223</v>
      </c>
      <c r="BJ41" s="727">
        <v>1.7583644772667835E-2</v>
      </c>
      <c r="BK41" s="727">
        <v>7.8738709007717012E-2</v>
      </c>
      <c r="BL41" s="727">
        <v>0.15682907590240386</v>
      </c>
      <c r="BM41" s="727">
        <v>0.26469516754745248</v>
      </c>
      <c r="BN41" s="727">
        <v>0.39584044140761998</v>
      </c>
      <c r="BO41" s="728">
        <v>0.52561944510407255</v>
      </c>
      <c r="BP41" s="727">
        <v>0.63466746250340822</v>
      </c>
      <c r="BQ41" s="727">
        <v>0.74001107300062663</v>
      </c>
      <c r="BR41" s="727">
        <v>0.83956729343582792</v>
      </c>
      <c r="BS41" s="727">
        <v>0.9454199475847247</v>
      </c>
      <c r="BT41" s="727">
        <v>1.0394400364542777</v>
      </c>
      <c r="BW41" s="1157">
        <f>'2018'!R\Max</f>
        <v>0</v>
      </c>
      <c r="BX41" s="1155">
        <f>'2019'!R\Max</f>
        <v>0.48233103858626991</v>
      </c>
      <c r="BY41" s="1155">
        <f>'2020'!R\Max</f>
        <v>0.394623846760561</v>
      </c>
      <c r="BZ41" s="1155">
        <f>'2021'!R\Max</f>
        <v>0.22150200076947854</v>
      </c>
      <c r="CA41" s="1155">
        <f>'2022'!R\Max</f>
        <v>0.84292807848445406</v>
      </c>
      <c r="CB41" s="1155">
        <f>'2023'!R\Max</f>
        <v>0.8415809955820176</v>
      </c>
      <c r="CC41" s="1155">
        <f>'2024'!R\Max</f>
        <v>0.84029012947792148</v>
      </c>
      <c r="CD41" s="1155">
        <f>'2025'!R\Max</f>
        <v>0.8383572750751872</v>
      </c>
      <c r="CE41" s="1155">
        <f>'2026'!R\Max</f>
        <v>0.84743541043042092</v>
      </c>
      <c r="CF41" s="1156">
        <f>'2027'!R\Max</f>
        <v>0.84524326372766989</v>
      </c>
    </row>
    <row r="42" spans="1:84" s="6" customFormat="1" ht="11.25" x14ac:dyDescent="0.2">
      <c r="A42" s="11">
        <v>43128</v>
      </c>
      <c r="B42" s="380">
        <f>'2022'!Maxi_hp</f>
        <v>11.238202055607671</v>
      </c>
      <c r="C42" s="13">
        <f>'2022'!An_max</f>
        <v>2020</v>
      </c>
      <c r="D42" s="1070"/>
      <c r="E42" s="13"/>
      <c r="F42" s="13">
        <f t="shared" si="22"/>
        <v>3</v>
      </c>
      <c r="G42" s="13">
        <f t="shared" si="23"/>
        <v>4</v>
      </c>
      <c r="H42" s="173">
        <f t="shared" si="7"/>
        <v>43122</v>
      </c>
      <c r="I42" s="754">
        <f t="shared" si="8"/>
        <v>0.42857142857142855</v>
      </c>
      <c r="J42" s="747">
        <f t="shared" si="26"/>
        <v>19.143303207574142</v>
      </c>
      <c r="M42" s="6" t="s">
        <v>229</v>
      </c>
      <c r="AC42" s="7"/>
      <c r="AD42" s="7"/>
      <c r="AE42" s="7"/>
      <c r="AF42" s="7"/>
      <c r="AH42" s="7"/>
      <c r="AI42" s="74"/>
      <c r="AP42" s="13">
        <f t="shared" si="10"/>
        <v>3</v>
      </c>
      <c r="AQ42" s="13">
        <f t="shared" si="11"/>
        <v>2</v>
      </c>
      <c r="AR42" s="173">
        <f t="shared" si="12"/>
        <v>43136</v>
      </c>
      <c r="AS42" s="754">
        <f t="shared" si="13"/>
        <v>0.2857142857142857</v>
      </c>
      <c r="AT42" s="770">
        <f t="shared" si="14"/>
        <v>19.28775180551623</v>
      </c>
      <c r="AU42" s="13">
        <f t="shared" si="15"/>
        <v>3</v>
      </c>
      <c r="AV42" s="13">
        <f t="shared" si="16"/>
        <v>2</v>
      </c>
      <c r="AW42" s="173">
        <f t="shared" si="17"/>
        <v>43150</v>
      </c>
      <c r="AX42" s="754">
        <f t="shared" si="18"/>
        <v>0.7857142857142857</v>
      </c>
      <c r="AY42" s="770">
        <f t="shared" si="19"/>
        <v>19.110784342989792</v>
      </c>
      <c r="AZ42" s="747">
        <f t="shared" si="25"/>
        <v>19.199268074253013</v>
      </c>
      <c r="BA42" s="646">
        <f t="shared" si="20"/>
        <v>0.58705657710949388</v>
      </c>
      <c r="BB42" s="641">
        <v>43128</v>
      </c>
      <c r="BC42" s="11">
        <v>43128</v>
      </c>
      <c r="BD42" s="290">
        <f>[3]!FeuilCaduc*(1-Persistant)+Persistant</f>
        <v>0.80000945457800687</v>
      </c>
      <c r="BE42" s="291">
        <f>[3]!CroissVégét</f>
        <v>2.826205948480045E-3</v>
      </c>
      <c r="BF42" s="822">
        <f>1+[3]!Salcycl*Ksac</f>
        <v>1.0000023636445017</v>
      </c>
      <c r="BH42" s="1101">
        <f t="shared" si="21"/>
        <v>0.25916273237676263</v>
      </c>
      <c r="BI42" s="11">
        <v>44224</v>
      </c>
      <c r="BJ42" s="727">
        <v>1.5316585076238886E-2</v>
      </c>
      <c r="BK42" s="727">
        <v>7.4904442398805102E-2</v>
      </c>
      <c r="BL42" s="727">
        <v>0.15192006621612383</v>
      </c>
      <c r="BM42" s="727">
        <v>0.25901437555557766</v>
      </c>
      <c r="BN42" s="727">
        <v>0.39092677274610188</v>
      </c>
      <c r="BO42" s="728">
        <v>0.52212981849406681</v>
      </c>
      <c r="BP42" s="727">
        <v>0.63380150779877586</v>
      </c>
      <c r="BQ42" s="727">
        <v>0.74069713012401706</v>
      </c>
      <c r="BR42" s="727">
        <v>0.84221317322734579</v>
      </c>
      <c r="BS42" s="727">
        <v>0.95096094531261222</v>
      </c>
      <c r="BT42" s="727">
        <v>1.048942549042998</v>
      </c>
      <c r="BW42" s="1157">
        <f>'2018'!R\Max</f>
        <v>0</v>
      </c>
      <c r="BX42" s="1155">
        <f>'2019'!R\Max</f>
        <v>0.43399573316449669</v>
      </c>
      <c r="BY42" s="1155">
        <f>'2020'!R\Max</f>
        <v>0.58705657710949388</v>
      </c>
      <c r="BZ42" s="1155">
        <f>'2021'!R\Max</f>
        <v>0.42571178906701507</v>
      </c>
      <c r="CA42" s="1155">
        <f>'2022'!R\Max</f>
        <v>0.15105587986122407</v>
      </c>
      <c r="CB42" s="1155">
        <f>'2023'!R\Max</f>
        <v>0.14997481786825828</v>
      </c>
      <c r="CC42" s="1155">
        <f>'2024'!R\Max</f>
        <v>0.14894612063276158</v>
      </c>
      <c r="CD42" s="1155">
        <f>'2025'!R\Max</f>
        <v>0.14741256890996279</v>
      </c>
      <c r="CE42" s="1155">
        <f>'2026'!R\Max</f>
        <v>0.15475355452591058</v>
      </c>
      <c r="CF42" s="1156">
        <f>'2027'!R\Max</f>
        <v>0.15294204361182329</v>
      </c>
    </row>
    <row r="43" spans="1:84" s="6" customFormat="1" ht="11.25" x14ac:dyDescent="0.2">
      <c r="A43" s="11">
        <v>43129</v>
      </c>
      <c r="B43" s="380">
        <f>'2022'!Maxi_hp</f>
        <v>14.430567184560136</v>
      </c>
      <c r="C43" s="13">
        <f>'2022'!An_max</f>
        <v>2020</v>
      </c>
      <c r="D43" s="1070"/>
      <c r="E43" s="13"/>
      <c r="F43" s="13">
        <f t="shared" si="22"/>
        <v>3</v>
      </c>
      <c r="G43" s="13">
        <f t="shared" si="23"/>
        <v>4</v>
      </c>
      <c r="H43" s="173">
        <f t="shared" si="7"/>
        <v>43122</v>
      </c>
      <c r="I43" s="754">
        <f t="shared" si="8"/>
        <v>0.5</v>
      </c>
      <c r="J43" s="747">
        <f t="shared" si="26"/>
        <v>19.433149999938905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P43" s="13">
        <f t="shared" si="10"/>
        <v>3</v>
      </c>
      <c r="AQ43" s="13">
        <f t="shared" si="11"/>
        <v>2</v>
      </c>
      <c r="AR43" s="173">
        <f t="shared" si="12"/>
        <v>43136</v>
      </c>
      <c r="AS43" s="754">
        <f t="shared" si="13"/>
        <v>0.25</v>
      </c>
      <c r="AT43" s="770">
        <f t="shared" si="14"/>
        <v>19.566023208945989</v>
      </c>
      <c r="AU43" s="13">
        <f t="shared" si="15"/>
        <v>3</v>
      </c>
      <c r="AV43" s="13">
        <f t="shared" si="16"/>
        <v>2</v>
      </c>
      <c r="AW43" s="173">
        <f t="shared" si="17"/>
        <v>43150</v>
      </c>
      <c r="AX43" s="754">
        <f t="shared" si="18"/>
        <v>0.75</v>
      </c>
      <c r="AY43" s="770">
        <f t="shared" si="19"/>
        <v>19.400364438071847</v>
      </c>
      <c r="AZ43" s="747">
        <f t="shared" si="25"/>
        <v>19.48319382350892</v>
      </c>
      <c r="BA43" s="646">
        <f t="shared" si="20"/>
        <v>0.74257478507630026</v>
      </c>
      <c r="BB43" s="641">
        <v>43129</v>
      </c>
      <c r="BC43" s="11">
        <v>43129</v>
      </c>
      <c r="BD43" s="290">
        <f>[3]!FeuilCaduc*(1-Persistant)+Persistant</f>
        <v>0.80000305326353893</v>
      </c>
      <c r="BE43" s="291">
        <f>[3]!CroissVégét</f>
        <v>3.0024083390505912E-3</v>
      </c>
      <c r="BF43" s="822">
        <f>1+[3]!Salcycl*Ksac</f>
        <v>1.0000007633158847</v>
      </c>
      <c r="BH43" s="1101">
        <f t="shared" si="21"/>
        <v>0.25321733251254552</v>
      </c>
      <c r="BI43" s="11">
        <v>44225</v>
      </c>
      <c r="BJ43" s="727">
        <v>1.3096630658762569E-2</v>
      </c>
      <c r="BK43" s="727">
        <v>7.0926359259989039E-2</v>
      </c>
      <c r="BL43" s="727">
        <v>0.14673426812820708</v>
      </c>
      <c r="BM43" s="727">
        <v>0.25306817738709697</v>
      </c>
      <c r="BN43" s="727">
        <v>0.38569039181591946</v>
      </c>
      <c r="BO43" s="728">
        <v>0.51837695151373997</v>
      </c>
      <c r="BP43" s="727">
        <v>0.63274681007779443</v>
      </c>
      <c r="BQ43" s="727">
        <v>0.74113481523225533</v>
      </c>
      <c r="BR43" s="727">
        <v>0.84452226369130901</v>
      </c>
      <c r="BS43" s="727">
        <v>0.95610141128828097</v>
      </c>
      <c r="BT43" s="727">
        <v>1.058121885535463</v>
      </c>
      <c r="BW43" s="1157">
        <f>'2018'!R\Max</f>
        <v>0</v>
      </c>
      <c r="BX43" s="1155">
        <f>'2019'!R\Max</f>
        <v>0.18586289350114982</v>
      </c>
      <c r="BY43" s="1155">
        <f>'2020'!R\Max</f>
        <v>0.74257478507630026</v>
      </c>
      <c r="BZ43" s="1155">
        <f>'2021'!R\Max</f>
        <v>7.1738291626463307E-2</v>
      </c>
      <c r="CA43" s="1155">
        <f>'2022'!R\Max</f>
        <v>0.25438019488600644</v>
      </c>
      <c r="CB43" s="1155">
        <f>'2023'!R\Max</f>
        <v>0.25256705929250023</v>
      </c>
      <c r="CC43" s="1155">
        <f>'2024'!R\Max</f>
        <v>0.25083497835441104</v>
      </c>
      <c r="CD43" s="1155">
        <f>'2025'!R\Max</f>
        <v>0.24823024306569097</v>
      </c>
      <c r="CE43" s="1155">
        <f>'2026'!R\Max</f>
        <v>0.26056304555007936</v>
      </c>
      <c r="CF43" s="1156">
        <f>'2027'!R\Max</f>
        <v>0.25754261895929637</v>
      </c>
    </row>
    <row r="44" spans="1:84" s="6" customFormat="1" ht="11.25" x14ac:dyDescent="0.2">
      <c r="A44" s="11">
        <v>43130</v>
      </c>
      <c r="B44" s="380">
        <f>'2022'!Maxi_hp</f>
        <v>7.5125643185257411</v>
      </c>
      <c r="C44" s="13">
        <f>'2022'!An_max</f>
        <v>2020</v>
      </c>
      <c r="D44" s="1070"/>
      <c r="E44" s="13"/>
      <c r="F44" s="13">
        <f t="shared" si="22"/>
        <v>3</v>
      </c>
      <c r="G44" s="13">
        <f t="shared" si="23"/>
        <v>4</v>
      </c>
      <c r="H44" s="173">
        <f t="shared" si="7"/>
        <v>43122</v>
      </c>
      <c r="I44" s="754">
        <f t="shared" si="8"/>
        <v>0.5714285714285714</v>
      </c>
      <c r="J44" s="747">
        <f t="shared" si="26"/>
        <v>19.726992711424828</v>
      </c>
      <c r="L44" s="775">
        <f>AK13</f>
        <v>139.99699999999999</v>
      </c>
      <c r="M44" s="775">
        <f>M13</f>
        <v>125.312</v>
      </c>
      <c r="N44" s="765">
        <f>O13</f>
        <v>175.24099999999999</v>
      </c>
      <c r="O44" s="765">
        <f>Q13</f>
        <v>260.41399999999999</v>
      </c>
      <c r="P44" s="765">
        <f>S13</f>
        <v>344.608</v>
      </c>
      <c r="Q44" s="765">
        <f>U13</f>
        <v>404.327</v>
      </c>
      <c r="R44" s="765">
        <f>W13</f>
        <v>433.697</v>
      </c>
      <c r="S44" s="765">
        <f>Y13</f>
        <v>433.697</v>
      </c>
      <c r="T44" s="765">
        <f>AA13</f>
        <v>421.94900000000001</v>
      </c>
      <c r="U44" s="765">
        <f>AC13</f>
        <v>397.47399999999999</v>
      </c>
      <c r="V44" s="765">
        <f>AE13</f>
        <v>363.209</v>
      </c>
      <c r="W44" s="765">
        <f>AG13</f>
        <v>302.51099999999997</v>
      </c>
      <c r="X44" s="765">
        <f>AI13</f>
        <v>220.27500000000001</v>
      </c>
      <c r="Y44" s="765">
        <f>AK13</f>
        <v>139.99699999999999</v>
      </c>
      <c r="Z44" s="765">
        <f>AM13</f>
        <v>125.312</v>
      </c>
      <c r="AA44" s="773">
        <f>AO13</f>
        <v>175.24099999999999</v>
      </c>
      <c r="AB44" s="773">
        <f>Q13</f>
        <v>260.41399999999999</v>
      </c>
      <c r="AD44" s="7"/>
      <c r="AE44" s="7"/>
      <c r="AF44" s="7"/>
      <c r="AH44" s="7"/>
      <c r="AI44" s="74"/>
      <c r="AP44" s="13">
        <f t="shared" si="10"/>
        <v>3</v>
      </c>
      <c r="AQ44" s="13">
        <f t="shared" si="11"/>
        <v>2</v>
      </c>
      <c r="AR44" s="173">
        <f t="shared" si="12"/>
        <v>43136</v>
      </c>
      <c r="AS44" s="754">
        <f t="shared" si="13"/>
        <v>0.21428571428571427</v>
      </c>
      <c r="AT44" s="770">
        <f t="shared" si="14"/>
        <v>19.84585266693362</v>
      </c>
      <c r="AU44" s="13">
        <f t="shared" si="15"/>
        <v>3</v>
      </c>
      <c r="AV44" s="13">
        <f t="shared" si="16"/>
        <v>2</v>
      </c>
      <c r="AW44" s="173">
        <f t="shared" si="17"/>
        <v>43150</v>
      </c>
      <c r="AX44" s="754">
        <f t="shared" si="18"/>
        <v>0.7142857142857143</v>
      </c>
      <c r="AY44" s="770">
        <f t="shared" si="19"/>
        <v>19.695766116758541</v>
      </c>
      <c r="AZ44" s="747">
        <f t="shared" si="25"/>
        <v>19.770809391846079</v>
      </c>
      <c r="BA44" s="646">
        <f t="shared" si="20"/>
        <v>0.38082663832358304</v>
      </c>
      <c r="BB44" s="641">
        <v>43130</v>
      </c>
      <c r="BC44" s="11">
        <v>43130</v>
      </c>
      <c r="BD44" s="290">
        <f>[3]!FeuilCaduc*(1-Persistant)+Persistant</f>
        <v>0.80000291268890711</v>
      </c>
      <c r="BE44" s="291">
        <f>[3]!CroissVégét</f>
        <v>3.1859365650375344E-3</v>
      </c>
      <c r="BF44" s="822">
        <f>1+[3]!Salcycl*Ksac</f>
        <v>1.0000007281722267</v>
      </c>
      <c r="BH44" s="1101">
        <f t="shared" si="21"/>
        <v>0.24685170486424332</v>
      </c>
      <c r="BI44" s="11">
        <v>44226</v>
      </c>
      <c r="BJ44" s="727">
        <v>1.1011190179731038E-2</v>
      </c>
      <c r="BK44" s="727">
        <v>6.6842879255179094E-2</v>
      </c>
      <c r="BL44" s="727">
        <v>0.14123785330714733</v>
      </c>
      <c r="BM44" s="727">
        <v>0.2467020369175702</v>
      </c>
      <c r="BN44" s="727">
        <v>0.37978022955166313</v>
      </c>
      <c r="BO44" s="728">
        <v>0.51389571075956186</v>
      </c>
      <c r="BP44" s="727">
        <v>0.63100835568922342</v>
      </c>
      <c r="BQ44" s="727">
        <v>0.74100000973279989</v>
      </c>
      <c r="BR44" s="727">
        <v>0.84628476938293618</v>
      </c>
      <c r="BS44" s="727">
        <v>0.96052475476711252</v>
      </c>
      <c r="BT44" s="727">
        <v>1.0664560936425442</v>
      </c>
      <c r="BW44" s="1157">
        <f>'2018'!R\Max</f>
        <v>0</v>
      </c>
      <c r="BX44" s="1155">
        <f>'2019'!R\Max</f>
        <v>0.31348538563096867</v>
      </c>
      <c r="BY44" s="1155">
        <f>'2020'!R\Max</f>
        <v>0.38082663832358304</v>
      </c>
      <c r="BZ44" s="1155">
        <f>'2021'!R\Max</f>
        <v>0.27140369224934441</v>
      </c>
      <c r="CA44" s="1155">
        <f>'2022'!R\Max</f>
        <v>0.16258398484215819</v>
      </c>
      <c r="CB44" s="1155">
        <f>'2023'!R\Max</f>
        <v>0.16143048153359577</v>
      </c>
      <c r="CC44" s="1155">
        <f>'2024'!R\Max</f>
        <v>0.1603240508608105</v>
      </c>
      <c r="CD44" s="1155">
        <f>'2025'!R\Max</f>
        <v>0.15864527629118216</v>
      </c>
      <c r="CE44" s="1155">
        <f>'2026'!R\Max</f>
        <v>0.1665027695609172</v>
      </c>
      <c r="CF44" s="1156">
        <f>'2027'!R\Max</f>
        <v>0.16459513366301406</v>
      </c>
    </row>
    <row r="45" spans="1:84" s="6" customFormat="1" ht="11.25" x14ac:dyDescent="0.2">
      <c r="A45" s="11">
        <v>43131</v>
      </c>
      <c r="B45" s="380">
        <f>'2022'!Maxi_hp</f>
        <v>13.77882589725804</v>
      </c>
      <c r="C45" s="13">
        <f>'2022'!An_max</f>
        <v>2020</v>
      </c>
      <c r="D45" s="1070"/>
      <c r="E45" s="13"/>
      <c r="F45" s="13">
        <f t="shared" si="22"/>
        <v>3</v>
      </c>
      <c r="G45" s="13">
        <f t="shared" si="23"/>
        <v>4</v>
      </c>
      <c r="H45" s="173">
        <f t="shared" si="7"/>
        <v>43122</v>
      </c>
      <c r="I45" s="754">
        <f t="shared" si="8"/>
        <v>0.6428571428571429</v>
      </c>
      <c r="J45" s="747">
        <f t="shared" si="26"/>
        <v>20.024189139503456</v>
      </c>
      <c r="L45" s="755" t="s">
        <v>209</v>
      </c>
      <c r="M45" s="785">
        <f t="shared" ref="M45:AA45" si="47">L43</f>
        <v>43065</v>
      </c>
      <c r="N45" s="786">
        <f t="shared" si="47"/>
        <v>43093</v>
      </c>
      <c r="O45" s="737">
        <f t="shared" si="47"/>
        <v>43122</v>
      </c>
      <c r="P45" s="737">
        <f t="shared" si="47"/>
        <v>43150</v>
      </c>
      <c r="Q45" s="737">
        <f t="shared" si="47"/>
        <v>43178</v>
      </c>
      <c r="R45" s="737">
        <f t="shared" si="47"/>
        <v>43206</v>
      </c>
      <c r="S45" s="737">
        <f t="shared" si="47"/>
        <v>43234</v>
      </c>
      <c r="T45" s="737">
        <f t="shared" si="47"/>
        <v>43262</v>
      </c>
      <c r="U45" s="737">
        <f t="shared" si="47"/>
        <v>43290</v>
      </c>
      <c r="V45" s="737">
        <f t="shared" si="47"/>
        <v>43318</v>
      </c>
      <c r="W45" s="737">
        <f t="shared" si="47"/>
        <v>43346</v>
      </c>
      <c r="X45" s="737">
        <f t="shared" si="47"/>
        <v>43374</v>
      </c>
      <c r="Y45" s="737">
        <f t="shared" si="47"/>
        <v>43402</v>
      </c>
      <c r="Z45" s="737">
        <f t="shared" si="47"/>
        <v>43430</v>
      </c>
      <c r="AA45" s="778">
        <f t="shared" si="47"/>
        <v>43458</v>
      </c>
      <c r="AD45" s="7"/>
      <c r="AE45" s="7"/>
      <c r="AF45" s="7"/>
      <c r="AH45" s="7"/>
      <c r="AI45" s="74"/>
      <c r="AP45" s="13">
        <f t="shared" si="10"/>
        <v>3</v>
      </c>
      <c r="AQ45" s="13">
        <f t="shared" si="11"/>
        <v>2</v>
      </c>
      <c r="AR45" s="173">
        <f t="shared" si="12"/>
        <v>43136</v>
      </c>
      <c r="AS45" s="754">
        <f t="shared" si="13"/>
        <v>0.17857142857142858</v>
      </c>
      <c r="AT45" s="770">
        <f t="shared" si="14"/>
        <v>20.126891097519547</v>
      </c>
      <c r="AU45" s="13">
        <f t="shared" si="15"/>
        <v>3</v>
      </c>
      <c r="AV45" s="13">
        <f t="shared" si="16"/>
        <v>2</v>
      </c>
      <c r="AW45" s="173">
        <f t="shared" si="17"/>
        <v>43150</v>
      </c>
      <c r="AX45" s="754">
        <f t="shared" si="18"/>
        <v>0.6785714285714286</v>
      </c>
      <c r="AY45" s="770">
        <f t="shared" si="19"/>
        <v>19.996479681268102</v>
      </c>
      <c r="AZ45" s="747">
        <f t="shared" si="25"/>
        <v>20.061685389393823</v>
      </c>
      <c r="BA45" s="646">
        <f t="shared" si="20"/>
        <v>0.68810905656476018</v>
      </c>
      <c r="BB45" s="641">
        <v>43131</v>
      </c>
      <c r="BC45" s="11">
        <v>43131</v>
      </c>
      <c r="BD45" s="290">
        <f>[3]!FeuilCaduc*(1-Persistant)+Persistant</f>
        <v>0.80000893947247598</v>
      </c>
      <c r="BE45" s="291">
        <f>[3]!CroissVégét</f>
        <v>3.3770923278976551E-3</v>
      </c>
      <c r="BF45" s="822">
        <f>1+[3]!Salcycl*Ksac</f>
        <v>1.000002234868119</v>
      </c>
      <c r="BH45" s="1101">
        <f t="shared" si="21"/>
        <v>0.24016015604892627</v>
      </c>
      <c r="BI45" s="11">
        <v>44227</v>
      </c>
      <c r="BJ45" s="727">
        <v>9.1204201092244513E-3</v>
      </c>
      <c r="BK45" s="727">
        <v>6.2744625929830919E-2</v>
      </c>
      <c r="BL45" s="727">
        <v>0.13554271281738434</v>
      </c>
      <c r="BM45" s="727">
        <v>0.24001025905496753</v>
      </c>
      <c r="BN45" s="727">
        <v>0.37329211051829581</v>
      </c>
      <c r="BO45" s="728">
        <v>0.50877024133449666</v>
      </c>
      <c r="BP45" s="727">
        <v>0.62864381551725135</v>
      </c>
      <c r="BQ45" s="727">
        <v>0.74045645512924319</v>
      </c>
      <c r="BR45" s="727">
        <v>0.84772836226874704</v>
      </c>
      <c r="BS45" s="727">
        <v>0.96439592768614579</v>
      </c>
      <c r="BT45" s="727">
        <v>1.0739159696297698</v>
      </c>
      <c r="BW45" s="1157">
        <f>'2018'!R\Max</f>
        <v>0</v>
      </c>
      <c r="BX45" s="1155">
        <f>'2019'!R\Max</f>
        <v>0.26177909578675135</v>
      </c>
      <c r="BY45" s="1155">
        <f>'2020'!R\Max</f>
        <v>0.68810905656476018</v>
      </c>
      <c r="BZ45" s="1155">
        <f>'2021'!R\Max</f>
        <v>0.35159951477390611</v>
      </c>
      <c r="CA45" s="1155">
        <f>'2022'!R\Max</f>
        <v>0.37760130683534765</v>
      </c>
      <c r="CB45" s="1155">
        <f>'2023'!R\Max</f>
        <v>0.37526338098002343</v>
      </c>
      <c r="CC45" s="1155">
        <f>'2024'!R\Max</f>
        <v>0.37300760793691246</v>
      </c>
      <c r="CD45" s="1155">
        <f>'2025'!R\Max</f>
        <v>0.36954660042915849</v>
      </c>
      <c r="CE45" s="1155">
        <f>'2026'!R\Max</f>
        <v>0.3854790038179734</v>
      </c>
      <c r="CF45" s="1156">
        <f>'2027'!R\Max</f>
        <v>0.38166602697964852</v>
      </c>
    </row>
    <row r="46" spans="1:84" s="6" customFormat="1" ht="11.25" x14ac:dyDescent="0.2">
      <c r="A46" s="11">
        <v>43132</v>
      </c>
      <c r="B46" s="380">
        <f>'2022'!Maxi_hp</f>
        <v>16.408521217221892</v>
      </c>
      <c r="C46" s="13">
        <f>'2022'!An_max</f>
        <v>2019</v>
      </c>
      <c r="D46" s="1070"/>
      <c r="E46" s="13"/>
      <c r="F46" s="13">
        <f t="shared" si="22"/>
        <v>3</v>
      </c>
      <c r="G46" s="13">
        <f t="shared" si="23"/>
        <v>4</v>
      </c>
      <c r="H46" s="173">
        <f t="shared" si="7"/>
        <v>43122</v>
      </c>
      <c r="I46" s="754">
        <f t="shared" si="8"/>
        <v>0.7142857142857143</v>
      </c>
      <c r="J46" s="747">
        <f t="shared" si="26"/>
        <v>20.32409708483943</v>
      </c>
      <c r="L46" s="756" t="s">
        <v>210</v>
      </c>
      <c r="M46" s="777">
        <f t="shared" ref="M46:AA46" si="48">L44</f>
        <v>139.99699999999999</v>
      </c>
      <c r="N46" s="781">
        <f t="shared" si="48"/>
        <v>125.312</v>
      </c>
      <c r="O46" s="743">
        <f t="shared" si="48"/>
        <v>175.24099999999999</v>
      </c>
      <c r="P46" s="743">
        <f t="shared" si="48"/>
        <v>260.41399999999999</v>
      </c>
      <c r="Q46" s="743">
        <f t="shared" si="48"/>
        <v>344.608</v>
      </c>
      <c r="R46" s="743">
        <f t="shared" si="48"/>
        <v>404.327</v>
      </c>
      <c r="S46" s="743">
        <f t="shared" si="48"/>
        <v>433.697</v>
      </c>
      <c r="T46" s="743">
        <f t="shared" si="48"/>
        <v>433.697</v>
      </c>
      <c r="U46" s="743">
        <f t="shared" si="48"/>
        <v>421.94900000000001</v>
      </c>
      <c r="V46" s="743">
        <f t="shared" si="48"/>
        <v>397.47399999999999</v>
      </c>
      <c r="W46" s="743">
        <f t="shared" si="48"/>
        <v>363.209</v>
      </c>
      <c r="X46" s="743">
        <f t="shared" si="48"/>
        <v>302.51099999999997</v>
      </c>
      <c r="Y46" s="743">
        <f t="shared" si="48"/>
        <v>220.27500000000001</v>
      </c>
      <c r="Z46" s="743">
        <f t="shared" si="48"/>
        <v>139.99699999999999</v>
      </c>
      <c r="AA46" s="779">
        <f t="shared" si="48"/>
        <v>125.312</v>
      </c>
      <c r="AD46" s="7"/>
      <c r="AE46" s="7"/>
      <c r="AF46" s="7"/>
      <c r="AH46" s="7"/>
      <c r="AI46" s="74"/>
      <c r="AP46" s="13">
        <f t="shared" si="10"/>
        <v>3</v>
      </c>
      <c r="AQ46" s="13">
        <f t="shared" si="11"/>
        <v>2</v>
      </c>
      <c r="AR46" s="173">
        <f t="shared" si="12"/>
        <v>43136</v>
      </c>
      <c r="AS46" s="754">
        <f t="shared" si="13"/>
        <v>0.14285714285714285</v>
      </c>
      <c r="AT46" s="770">
        <f t="shared" si="14"/>
        <v>20.408789418957063</v>
      </c>
      <c r="AU46" s="13">
        <f t="shared" si="15"/>
        <v>3</v>
      </c>
      <c r="AV46" s="13">
        <f t="shared" si="16"/>
        <v>2</v>
      </c>
      <c r="AW46" s="173">
        <f t="shared" si="17"/>
        <v>43150</v>
      </c>
      <c r="AX46" s="754">
        <f t="shared" si="18"/>
        <v>0.6428571428571429</v>
      </c>
      <c r="AY46" s="770">
        <f t="shared" si="19"/>
        <v>20.3019954379781</v>
      </c>
      <c r="AZ46" s="747">
        <f t="shared" si="25"/>
        <v>20.355392428467582</v>
      </c>
      <c r="BA46" s="646">
        <f t="shared" si="20"/>
        <v>0.80734318226917323</v>
      </c>
      <c r="BB46" s="641">
        <v>43132</v>
      </c>
      <c r="BC46" s="11">
        <v>43132</v>
      </c>
      <c r="BD46" s="290">
        <f>[3]!FeuilCaduc*(1-Persistant)+Persistant</f>
        <v>0.80002099685251504</v>
      </c>
      <c r="BE46" s="291">
        <f>[3]!CroissVégét</f>
        <v>3.5761895087786043E-3</v>
      </c>
      <c r="BF46" s="822">
        <f>1+[3]!Salcycl*Ksac</f>
        <v>1.0000052492131288</v>
      </c>
      <c r="BH46" s="1101">
        <f t="shared" si="21"/>
        <v>0.23314327005619545</v>
      </c>
      <c r="BI46" s="11">
        <v>44228</v>
      </c>
      <c r="BJ46" s="727">
        <v>7.424392414795508E-3</v>
      </c>
      <c r="BK46" s="727">
        <v>5.8631838953516535E-2</v>
      </c>
      <c r="BL46" s="727">
        <v>0.12964925232539207</v>
      </c>
      <c r="BM46" s="727">
        <v>0.23299342759121774</v>
      </c>
      <c r="BN46" s="727">
        <v>0.3662267942693978</v>
      </c>
      <c r="BO46" s="728">
        <v>0.50300142316053131</v>
      </c>
      <c r="BP46" s="727">
        <v>0.62565410986559533</v>
      </c>
      <c r="BQ46" s="727">
        <v>0.73950512511830824</v>
      </c>
      <c r="BR46" s="727">
        <v>0.84885406603748814</v>
      </c>
      <c r="BS46" s="727">
        <v>0.9677160204426678</v>
      </c>
      <c r="BT46" s="727">
        <v>1.0805026223696836</v>
      </c>
      <c r="BW46" s="1157">
        <f>'2018'!R\Max</f>
        <v>0</v>
      </c>
      <c r="BX46" s="1155">
        <f>'2019'!R\Max</f>
        <v>0.80734318226917323</v>
      </c>
      <c r="BY46" s="1155">
        <f>'2020'!R\Max</f>
        <v>0.41559692210598626</v>
      </c>
      <c r="BZ46" s="1155">
        <f>'2021'!R\Max</f>
        <v>0.31674614394048223</v>
      </c>
      <c r="CA46" s="1155">
        <f>'2022'!R\Max</f>
        <v>0.46546536959548418</v>
      </c>
      <c r="CB46" s="1155">
        <f>'2023'!R\Max</f>
        <v>0.46300189555489224</v>
      </c>
      <c r="CC46" s="1155">
        <f>'2024'!R\Max</f>
        <v>0.46061068994195337</v>
      </c>
      <c r="CD46" s="1155">
        <f>'2025'!R\Max</f>
        <v>0.45690034730822177</v>
      </c>
      <c r="CE46" s="1155">
        <f>'2026'!R\Max</f>
        <v>0.47369363188654579</v>
      </c>
      <c r="CF46" s="1156">
        <f>'2027'!R\Max</f>
        <v>0.46973620607118405</v>
      </c>
    </row>
    <row r="47" spans="1:84" s="6" customFormat="1" ht="11.25" x14ac:dyDescent="0.2">
      <c r="A47" s="11">
        <v>43133</v>
      </c>
      <c r="B47" s="380">
        <f>'2022'!Maxi_hp</f>
        <v>18.666071177776274</v>
      </c>
      <c r="C47" s="13">
        <f>'2022'!An_max</f>
        <v>2021</v>
      </c>
      <c r="D47" s="1070"/>
      <c r="E47" s="13"/>
      <c r="F47" s="13">
        <f t="shared" si="22"/>
        <v>3</v>
      </c>
      <c r="G47" s="13">
        <f t="shared" si="23"/>
        <v>4</v>
      </c>
      <c r="H47" s="173">
        <f t="shared" si="7"/>
        <v>43122</v>
      </c>
      <c r="I47" s="754">
        <f t="shared" si="8"/>
        <v>0.7857142857142857</v>
      </c>
      <c r="J47" s="747">
        <f t="shared" si="26"/>
        <v>20.626074344079409</v>
      </c>
      <c r="L47" s="756" t="s">
        <v>211</v>
      </c>
      <c r="M47" s="788">
        <f t="shared" ref="M47:AA47" si="49">M43</f>
        <v>43093</v>
      </c>
      <c r="N47" s="738">
        <f t="shared" si="49"/>
        <v>43122</v>
      </c>
      <c r="O47" s="738">
        <f t="shared" si="49"/>
        <v>43150</v>
      </c>
      <c r="P47" s="738">
        <f t="shared" si="49"/>
        <v>43178</v>
      </c>
      <c r="Q47" s="738">
        <f t="shared" si="49"/>
        <v>43206</v>
      </c>
      <c r="R47" s="738">
        <f t="shared" si="49"/>
        <v>43234</v>
      </c>
      <c r="S47" s="738">
        <f t="shared" si="49"/>
        <v>43262</v>
      </c>
      <c r="T47" s="738">
        <f t="shared" si="49"/>
        <v>43290</v>
      </c>
      <c r="U47" s="738">
        <f t="shared" si="49"/>
        <v>43318</v>
      </c>
      <c r="V47" s="738">
        <f t="shared" si="49"/>
        <v>43346</v>
      </c>
      <c r="W47" s="738">
        <f t="shared" si="49"/>
        <v>43374</v>
      </c>
      <c r="X47" s="738">
        <f t="shared" si="49"/>
        <v>43402</v>
      </c>
      <c r="Y47" s="738">
        <f t="shared" si="49"/>
        <v>43430</v>
      </c>
      <c r="Z47" s="780">
        <f t="shared" si="49"/>
        <v>43458</v>
      </c>
      <c r="AA47" s="787">
        <f t="shared" si="49"/>
        <v>43487</v>
      </c>
      <c r="AD47" s="7"/>
      <c r="AE47" s="7"/>
      <c r="AF47" s="7"/>
      <c r="AH47" s="7"/>
      <c r="AI47" s="74"/>
      <c r="AP47" s="13">
        <f t="shared" si="10"/>
        <v>3</v>
      </c>
      <c r="AQ47" s="13">
        <f t="shared" si="11"/>
        <v>2</v>
      </c>
      <c r="AR47" s="173">
        <f t="shared" si="12"/>
        <v>43136</v>
      </c>
      <c r="AS47" s="754">
        <f t="shared" si="13"/>
        <v>0.10714285714285714</v>
      </c>
      <c r="AT47" s="770">
        <f t="shared" si="14"/>
        <v>20.691198551215766</v>
      </c>
      <c r="AU47" s="13">
        <f t="shared" si="15"/>
        <v>3</v>
      </c>
      <c r="AV47" s="13">
        <f t="shared" si="16"/>
        <v>2</v>
      </c>
      <c r="AW47" s="173">
        <f t="shared" si="17"/>
        <v>43150</v>
      </c>
      <c r="AX47" s="754">
        <f t="shared" si="18"/>
        <v>0.6071428571428571</v>
      </c>
      <c r="AY47" s="770">
        <f t="shared" si="19"/>
        <v>20.611803688186257</v>
      </c>
      <c r="AZ47" s="747">
        <f t="shared" si="25"/>
        <v>20.65150111970101</v>
      </c>
      <c r="BA47" s="646">
        <f t="shared" si="20"/>
        <v>0.90497449327454105</v>
      </c>
      <c r="BB47" s="641">
        <v>43133</v>
      </c>
      <c r="BC47" s="11">
        <v>43133</v>
      </c>
      <c r="BD47" s="290">
        <f>[3]!FeuilCaduc*(1-Persistant)+Persistant</f>
        <v>0.80003890500088692</v>
      </c>
      <c r="BE47" s="291">
        <f>[3]!CroissVégét</f>
        <v>3.7835546392683654E-3</v>
      </c>
      <c r="BF47" s="822">
        <f>1+[3]!Salcycl*Ksac</f>
        <v>1.0000097262502217</v>
      </c>
      <c r="BH47" s="1101">
        <f t="shared" si="21"/>
        <v>0.22580162027833006</v>
      </c>
      <c r="BI47" s="11">
        <v>44229</v>
      </c>
      <c r="BJ47" s="727">
        <v>5.9231558335872065E-3</v>
      </c>
      <c r="BK47" s="727">
        <v>5.4504738500828279E-2</v>
      </c>
      <c r="BL47" s="727">
        <v>0.12355786297129605</v>
      </c>
      <c r="BM47" s="727">
        <v>0.22565211569983409</v>
      </c>
      <c r="BN47" s="727">
        <v>0.35858504849551159</v>
      </c>
      <c r="BO47" s="728">
        <v>0.49659015568341147</v>
      </c>
      <c r="BP47" s="727">
        <v>0.62204019098036356</v>
      </c>
      <c r="BQ47" s="727">
        <v>0.73814701897499002</v>
      </c>
      <c r="BR47" s="727">
        <v>0.84966293344565702</v>
      </c>
      <c r="BS47" s="727">
        <v>0.97048618104020534</v>
      </c>
      <c r="BT47" s="727">
        <v>1.086217258978998</v>
      </c>
      <c r="BW47" s="1157">
        <f>'2018'!R\Max</f>
        <v>0</v>
      </c>
      <c r="BX47" s="1155">
        <f>'2019'!R\Max</f>
        <v>0.10962353662698616</v>
      </c>
      <c r="BY47" s="1155">
        <f>'2020'!R\Max</f>
        <v>0.86994125914341536</v>
      </c>
      <c r="BZ47" s="1155">
        <f>'2021'!R\Max</f>
        <v>0.90497449327454105</v>
      </c>
      <c r="CA47" s="1155">
        <f>'2022'!R\Max</f>
        <v>0.20035085116516421</v>
      </c>
      <c r="CB47" s="1155">
        <f>'2023'!R\Max</f>
        <v>0.19895358467692978</v>
      </c>
      <c r="CC47" s="1155">
        <f>'2024'!R\Max</f>
        <v>0.19759596765387202</v>
      </c>
      <c r="CD47" s="1155">
        <f>'2025'!R\Max</f>
        <v>0.1954790521075539</v>
      </c>
      <c r="CE47" s="1155">
        <f>'2026'!R\Max</f>
        <v>0.20502667505559358</v>
      </c>
      <c r="CF47" s="1156">
        <f>'2027'!R\Max</f>
        <v>0.20278348882302918</v>
      </c>
    </row>
    <row r="48" spans="1:84" s="6" customFormat="1" ht="11.25" x14ac:dyDescent="0.2">
      <c r="A48" s="11">
        <v>43134</v>
      </c>
      <c r="B48" s="380">
        <f>'2022'!Maxi_hp</f>
        <v>16.889504299779531</v>
      </c>
      <c r="C48" s="13">
        <f>'2022'!An_max</f>
        <v>2020</v>
      </c>
      <c r="D48" s="1070"/>
      <c r="E48" s="13"/>
      <c r="F48" s="13">
        <f t="shared" si="22"/>
        <v>3</v>
      </c>
      <c r="G48" s="13">
        <f t="shared" si="23"/>
        <v>4</v>
      </c>
      <c r="H48" s="173">
        <f t="shared" si="7"/>
        <v>43122</v>
      </c>
      <c r="I48" s="754">
        <f t="shared" si="8"/>
        <v>0.8571428571428571</v>
      </c>
      <c r="J48" s="747">
        <f t="shared" si="26"/>
        <v>20.929478716637409</v>
      </c>
      <c r="L48" s="756" t="s">
        <v>212</v>
      </c>
      <c r="M48" s="781">
        <f t="shared" ref="M48:AA48" si="50">M44</f>
        <v>125.312</v>
      </c>
      <c r="N48" s="744">
        <f t="shared" si="50"/>
        <v>175.24099999999999</v>
      </c>
      <c r="O48" s="744">
        <f t="shared" si="50"/>
        <v>260.41399999999999</v>
      </c>
      <c r="P48" s="744">
        <f t="shared" si="50"/>
        <v>344.608</v>
      </c>
      <c r="Q48" s="744">
        <f t="shared" si="50"/>
        <v>404.327</v>
      </c>
      <c r="R48" s="744">
        <f t="shared" si="50"/>
        <v>433.697</v>
      </c>
      <c r="S48" s="744">
        <f t="shared" si="50"/>
        <v>433.697</v>
      </c>
      <c r="T48" s="744">
        <f t="shared" si="50"/>
        <v>421.94900000000001</v>
      </c>
      <c r="U48" s="744">
        <f t="shared" si="50"/>
        <v>397.47399999999999</v>
      </c>
      <c r="V48" s="744">
        <f t="shared" si="50"/>
        <v>363.209</v>
      </c>
      <c r="W48" s="744">
        <f t="shared" si="50"/>
        <v>302.51099999999997</v>
      </c>
      <c r="X48" s="744">
        <f t="shared" si="50"/>
        <v>220.27500000000001</v>
      </c>
      <c r="Y48" s="744">
        <f t="shared" si="50"/>
        <v>139.99699999999999</v>
      </c>
      <c r="Z48" s="779">
        <f t="shared" si="50"/>
        <v>125.312</v>
      </c>
      <c r="AA48" s="777">
        <f t="shared" si="50"/>
        <v>175.24099999999999</v>
      </c>
      <c r="AD48" s="7"/>
      <c r="AE48" s="7"/>
      <c r="AF48" s="7"/>
      <c r="AH48" s="7"/>
      <c r="AI48" s="74"/>
      <c r="AP48" s="13">
        <f t="shared" si="10"/>
        <v>3</v>
      </c>
      <c r="AQ48" s="13">
        <f t="shared" si="11"/>
        <v>2</v>
      </c>
      <c r="AR48" s="173">
        <f t="shared" si="12"/>
        <v>43136</v>
      </c>
      <c r="AS48" s="754">
        <f t="shared" si="13"/>
        <v>7.1428571428571425E-2</v>
      </c>
      <c r="AT48" s="770">
        <f t="shared" si="14"/>
        <v>20.973769412775127</v>
      </c>
      <c r="AU48" s="13">
        <f t="shared" si="15"/>
        <v>3</v>
      </c>
      <c r="AV48" s="13">
        <f t="shared" si="16"/>
        <v>2</v>
      </c>
      <c r="AW48" s="173">
        <f t="shared" si="17"/>
        <v>43150</v>
      </c>
      <c r="AX48" s="754">
        <f t="shared" si="18"/>
        <v>0.5714285714285714</v>
      </c>
      <c r="AY48" s="770">
        <f t="shared" si="19"/>
        <v>20.925394737151716</v>
      </c>
      <c r="AZ48" s="747">
        <f t="shared" si="25"/>
        <v>20.949582074963423</v>
      </c>
      <c r="BA48" s="646">
        <f t="shared" si="20"/>
        <v>0.80697204782045562</v>
      </c>
      <c r="BB48" s="641">
        <v>43134</v>
      </c>
      <c r="BC48" s="11">
        <v>43134</v>
      </c>
      <c r="BD48" s="290">
        <f>[3]!FeuilCaduc*(1-Persistant)+Persistant</f>
        <v>0.80006244207275168</v>
      </c>
      <c r="BE48" s="291">
        <f>[3]!CroissVégét</f>
        <v>3.9995273885343324E-3</v>
      </c>
      <c r="BF48" s="822">
        <f>1+[3]!Salcycl*Ksac</f>
        <v>1.0000156105181879</v>
      </c>
      <c r="BH48" s="1101">
        <f t="shared" si="21"/>
        <v>0.21813576547421606</v>
      </c>
      <c r="BI48" s="11">
        <v>44230</v>
      </c>
      <c r="BJ48" s="727">
        <v>4.6167383069929428E-3</v>
      </c>
      <c r="BK48" s="727">
        <v>5.0363525076140295E-2</v>
      </c>
      <c r="BL48" s="727">
        <v>0.11726891890573928</v>
      </c>
      <c r="BM48" s="727">
        <v>0.21798688190336579</v>
      </c>
      <c r="BN48" s="727">
        <v>0.35036764185951758</v>
      </c>
      <c r="BO48" s="728">
        <v>0.48953734990238779</v>
      </c>
      <c r="BP48" s="727">
        <v>0.61780303532718905</v>
      </c>
      <c r="BQ48" s="727">
        <v>0.73638315656566</v>
      </c>
      <c r="BR48" s="727">
        <v>0.85015604247196797</v>
      </c>
      <c r="BS48" s="727">
        <v>0.97270760834697911</v>
      </c>
      <c r="BT48" s="727">
        <v>1.091061174068733</v>
      </c>
      <c r="BW48" s="1157">
        <f>'2018'!R\Max</f>
        <v>0</v>
      </c>
      <c r="BX48" s="1155">
        <f>'2019'!R\Max</f>
        <v>0.41719953671113003</v>
      </c>
      <c r="BY48" s="1155">
        <f>'2020'!R\Max</f>
        <v>0.80697204782045562</v>
      </c>
      <c r="BZ48" s="1155">
        <f>'2021'!R\Max</f>
        <v>0.73720754067504612</v>
      </c>
      <c r="CA48" s="1155">
        <f>'2022'!R\Max</f>
        <v>0.42387465906770316</v>
      </c>
      <c r="CB48" s="1155">
        <f>'2023'!R\Max</f>
        <v>0.42148780055381541</v>
      </c>
      <c r="CC48" s="1155">
        <f>'2024'!R\Max</f>
        <v>0.41915214264735456</v>
      </c>
      <c r="CD48" s="1155">
        <f>'2025'!R\Max</f>
        <v>0.41546416112815515</v>
      </c>
      <c r="CE48" s="1155">
        <f>'2026'!R\Max</f>
        <v>0.4317672287596569</v>
      </c>
      <c r="CF48" s="1156">
        <f>'2027'!R\Max</f>
        <v>0.42801296287944379</v>
      </c>
    </row>
    <row r="49" spans="1:84" s="6" customFormat="1" ht="11.25" x14ac:dyDescent="0.2">
      <c r="A49" s="11">
        <v>43135</v>
      </c>
      <c r="B49" s="380">
        <f>'2022'!Maxi_hp</f>
        <v>17.966121132529384</v>
      </c>
      <c r="C49" s="13">
        <f>'2022'!An_max</f>
        <v>2019</v>
      </c>
      <c r="D49" s="1070"/>
      <c r="E49" s="13"/>
      <c r="F49" s="13">
        <f t="shared" si="22"/>
        <v>3</v>
      </c>
      <c r="G49" s="13">
        <f t="shared" si="23"/>
        <v>4</v>
      </c>
      <c r="H49" s="173">
        <f t="shared" si="7"/>
        <v>43122</v>
      </c>
      <c r="I49" s="754">
        <f t="shared" si="8"/>
        <v>0.9285714285714286</v>
      </c>
      <c r="J49" s="747">
        <f t="shared" si="26"/>
        <v>21.23366800280554</v>
      </c>
      <c r="L49" s="756" t="s">
        <v>213</v>
      </c>
      <c r="M49" s="783">
        <f t="shared" ref="M49:AA49" si="51">N43</f>
        <v>43122</v>
      </c>
      <c r="N49" s="739">
        <f t="shared" si="51"/>
        <v>43150</v>
      </c>
      <c r="O49" s="739">
        <f t="shared" si="51"/>
        <v>43178</v>
      </c>
      <c r="P49" s="739">
        <f t="shared" si="51"/>
        <v>43206</v>
      </c>
      <c r="Q49" s="739">
        <f t="shared" si="51"/>
        <v>43234</v>
      </c>
      <c r="R49" s="739">
        <f t="shared" si="51"/>
        <v>43262</v>
      </c>
      <c r="S49" s="739">
        <f t="shared" si="51"/>
        <v>43290</v>
      </c>
      <c r="T49" s="739">
        <f t="shared" si="51"/>
        <v>43318</v>
      </c>
      <c r="U49" s="739">
        <f t="shared" si="51"/>
        <v>43346</v>
      </c>
      <c r="V49" s="739">
        <f t="shared" si="51"/>
        <v>43374</v>
      </c>
      <c r="W49" s="739">
        <f t="shared" si="51"/>
        <v>43402</v>
      </c>
      <c r="X49" s="739">
        <f t="shared" si="51"/>
        <v>43430</v>
      </c>
      <c r="Y49" s="739">
        <f t="shared" si="51"/>
        <v>43458</v>
      </c>
      <c r="Z49" s="789">
        <f t="shared" si="51"/>
        <v>43487</v>
      </c>
      <c r="AA49" s="787">
        <f t="shared" si="51"/>
        <v>43515</v>
      </c>
      <c r="AD49" s="7"/>
      <c r="AE49" s="7"/>
      <c r="AF49" s="7"/>
      <c r="AH49" s="7"/>
      <c r="AI49" s="74"/>
      <c r="AP49" s="13">
        <f t="shared" si="10"/>
        <v>3</v>
      </c>
      <c r="AQ49" s="13">
        <f t="shared" si="11"/>
        <v>2</v>
      </c>
      <c r="AR49" s="173">
        <f t="shared" si="12"/>
        <v>43136</v>
      </c>
      <c r="AS49" s="754">
        <f t="shared" si="13"/>
        <v>3.5714285714285712E-2</v>
      </c>
      <c r="AT49" s="770">
        <f t="shared" si="14"/>
        <v>21.256152923059251</v>
      </c>
      <c r="AU49" s="13">
        <f t="shared" si="15"/>
        <v>3</v>
      </c>
      <c r="AV49" s="13">
        <f t="shared" si="16"/>
        <v>2</v>
      </c>
      <c r="AW49" s="173">
        <f t="shared" si="17"/>
        <v>43150</v>
      </c>
      <c r="AX49" s="754">
        <f t="shared" si="18"/>
        <v>0.5357142857142857</v>
      </c>
      <c r="AY49" s="770">
        <f t="shared" si="19"/>
        <v>21.242258887821976</v>
      </c>
      <c r="AZ49" s="747">
        <f t="shared" si="25"/>
        <v>21.249205905440611</v>
      </c>
      <c r="BA49" s="646">
        <f t="shared" si="20"/>
        <v>0.84611481775807995</v>
      </c>
      <c r="BB49" s="641">
        <v>43135</v>
      </c>
      <c r="BC49" s="11">
        <v>43135</v>
      </c>
      <c r="BD49" s="290">
        <f>[3]!FeuilCaduc*(1-Persistant)+Persistant</f>
        <v>0.80009134596545062</v>
      </c>
      <c r="BE49" s="291">
        <f>[3]!CroissVégét</f>
        <v>4.2244610672662677E-3</v>
      </c>
      <c r="BF49" s="822">
        <f>1+[3]!Salcycl*Ksac</f>
        <v>1.0000228364913626</v>
      </c>
      <c r="BH49" s="1101">
        <f t="shared" si="21"/>
        <v>0.2101462457343263</v>
      </c>
      <c r="BI49" s="11">
        <v>44231</v>
      </c>
      <c r="BJ49" s="727">
        <v>3.5051494153455162E-3</v>
      </c>
      <c r="BK49" s="727">
        <v>4.6208379338630548E-2</v>
      </c>
      <c r="BL49" s="727">
        <v>0.11078277482733222</v>
      </c>
      <c r="BM49" s="727">
        <v>0.20999826604189978</v>
      </c>
      <c r="BN49" s="727">
        <v>0.34157533683366909</v>
      </c>
      <c r="BO49" s="728">
        <v>0.4818439204022435</v>
      </c>
      <c r="BP49" s="727">
        <v>0.61294363587121237</v>
      </c>
      <c r="BQ49" s="727">
        <v>0.73421457336453511</v>
      </c>
      <c r="BR49" s="727">
        <v>0.85033449247567761</v>
      </c>
      <c r="BS49" s="727">
        <v>0.97438154535876287</v>
      </c>
      <c r="BT49" s="727">
        <v>1.0950357389992751</v>
      </c>
      <c r="BW49" s="1157">
        <f>'2018'!R\Max</f>
        <v>0</v>
      </c>
      <c r="BX49" s="1155">
        <f>'2019'!R\Max</f>
        <v>0.84611481775807995</v>
      </c>
      <c r="BY49" s="1155">
        <f>'2020'!R\Max</f>
        <v>0.57371982028931467</v>
      </c>
      <c r="BZ49" s="1155">
        <f>'2021'!R\Max</f>
        <v>0.52020095135153954</v>
      </c>
      <c r="CA49" s="1155">
        <f>'2022'!R\Max</f>
        <v>0.40504120113755349</v>
      </c>
      <c r="CB49" s="1155">
        <f>'2023'!R\Max</f>
        <v>0.40270233063972721</v>
      </c>
      <c r="CC49" s="1155">
        <f>'2024'!R\Max</f>
        <v>0.40040385231387821</v>
      </c>
      <c r="CD49" s="1155">
        <f>'2025'!R\Max</f>
        <v>0.39674216644408322</v>
      </c>
      <c r="CE49" s="1155">
        <f>'2026'!R\Max</f>
        <v>0.41272805631201753</v>
      </c>
      <c r="CF49" s="1156">
        <f>'2027'!R\Max</f>
        <v>0.40909591558308189</v>
      </c>
    </row>
    <row r="50" spans="1:84" s="6" customFormat="1" ht="11.25" x14ac:dyDescent="0.2">
      <c r="A50" s="11">
        <v>43136</v>
      </c>
      <c r="B50" s="380">
        <f>'2022'!Maxi_hp</f>
        <v>21.61065608350567</v>
      </c>
      <c r="C50" s="13">
        <f>'2022'!An_max</f>
        <v>2020</v>
      </c>
      <c r="D50" s="1070"/>
      <c r="E50" s="1073">
        <f>P$13/10</f>
        <v>21.538</v>
      </c>
      <c r="F50" s="13">
        <f t="shared" si="22"/>
        <v>5</v>
      </c>
      <c r="G50" s="13">
        <f t="shared" si="23"/>
        <v>4</v>
      </c>
      <c r="H50" s="173">
        <f t="shared" si="7"/>
        <v>43150</v>
      </c>
      <c r="I50" s="754">
        <f t="shared" si="8"/>
        <v>1</v>
      </c>
      <c r="J50" s="747">
        <f t="shared" si="26"/>
        <v>21.537999999523162</v>
      </c>
      <c r="L50" s="756" t="s">
        <v>214</v>
      </c>
      <c r="M50" s="784">
        <f t="shared" ref="M50:AA50" si="52">N44</f>
        <v>175.24099999999999</v>
      </c>
      <c r="N50" s="744">
        <f t="shared" si="52"/>
        <v>260.41399999999999</v>
      </c>
      <c r="O50" s="744">
        <f t="shared" si="52"/>
        <v>344.608</v>
      </c>
      <c r="P50" s="744">
        <f t="shared" si="52"/>
        <v>404.327</v>
      </c>
      <c r="Q50" s="744">
        <f t="shared" si="52"/>
        <v>433.697</v>
      </c>
      <c r="R50" s="744">
        <f t="shared" si="52"/>
        <v>433.697</v>
      </c>
      <c r="S50" s="744">
        <f t="shared" si="52"/>
        <v>421.94900000000001</v>
      </c>
      <c r="T50" s="744">
        <f t="shared" si="52"/>
        <v>397.47399999999999</v>
      </c>
      <c r="U50" s="744">
        <f t="shared" si="52"/>
        <v>363.209</v>
      </c>
      <c r="V50" s="744">
        <f t="shared" si="52"/>
        <v>302.51099999999997</v>
      </c>
      <c r="W50" s="744">
        <f t="shared" si="52"/>
        <v>220.27500000000001</v>
      </c>
      <c r="X50" s="744">
        <f t="shared" si="52"/>
        <v>139.99699999999999</v>
      </c>
      <c r="Y50" s="744">
        <f t="shared" si="52"/>
        <v>125.312</v>
      </c>
      <c r="Z50" s="790">
        <f t="shared" si="52"/>
        <v>175.24099999999999</v>
      </c>
      <c r="AA50" s="777">
        <f t="shared" si="52"/>
        <v>260.41399999999999</v>
      </c>
      <c r="AD50" s="7"/>
      <c r="AE50" s="7"/>
      <c r="AF50" s="7"/>
      <c r="AH50" s="7"/>
      <c r="AI50" s="74"/>
      <c r="AP50" s="13">
        <f t="shared" si="10"/>
        <v>3</v>
      </c>
      <c r="AQ50" s="13">
        <f t="shared" si="11"/>
        <v>4</v>
      </c>
      <c r="AR50" s="173">
        <f t="shared" si="12"/>
        <v>43136</v>
      </c>
      <c r="AS50" s="754">
        <f t="shared" si="13"/>
        <v>0</v>
      </c>
      <c r="AT50" s="770">
        <f t="shared" si="14"/>
        <v>21.537999999895693</v>
      </c>
      <c r="AU50" s="13">
        <f t="shared" si="15"/>
        <v>3</v>
      </c>
      <c r="AV50" s="13">
        <f t="shared" si="16"/>
        <v>2</v>
      </c>
      <c r="AW50" s="173">
        <f t="shared" si="17"/>
        <v>43150</v>
      </c>
      <c r="AX50" s="754">
        <f t="shared" si="18"/>
        <v>0.5</v>
      </c>
      <c r="AY50" s="770">
        <f t="shared" si="19"/>
        <v>21.561886444827543</v>
      </c>
      <c r="AZ50" s="747">
        <f t="shared" si="25"/>
        <v>21.54994322236162</v>
      </c>
      <c r="BA50" s="646">
        <f t="shared" si="20"/>
        <v>1.0033733904719155</v>
      </c>
      <c r="BB50" s="641">
        <v>43136</v>
      </c>
      <c r="BC50" s="11">
        <v>43136</v>
      </c>
      <c r="BD50" s="290">
        <f>[3]!FeuilCaduc*(1-Persistant)+Persistant</f>
        <v>0.80012531675292231</v>
      </c>
      <c r="BE50" s="291">
        <f>[3]!CroissVégét</f>
        <v>4.4587231488279668E-3</v>
      </c>
      <c r="BF50" s="822">
        <f>1+[3]!Salcycl*Ksac</f>
        <v>1.0000313291882306</v>
      </c>
      <c r="BH50" s="1101">
        <f t="shared" si="21"/>
        <v>0.20183357844542385</v>
      </c>
      <c r="BI50" s="11">
        <v>44232</v>
      </c>
      <c r="BJ50" s="727">
        <v>2.5883828125837149E-3</v>
      </c>
      <c r="BK50" s="727">
        <v>4.2039461927206562E-2</v>
      </c>
      <c r="BL50" s="727">
        <v>0.10409976351992363</v>
      </c>
      <c r="BM50" s="727">
        <v>0.20168678524128622</v>
      </c>
      <c r="BN50" s="727">
        <v>0.33220888253623643</v>
      </c>
      <c r="BO50" s="728">
        <v>0.47351077738483416</v>
      </c>
      <c r="BP50" s="727">
        <v>0.60746299435650353</v>
      </c>
      <c r="BQ50" s="727">
        <v>0.73164231546952518</v>
      </c>
      <c r="BR50" s="727">
        <v>0.85019940035422603</v>
      </c>
      <c r="BS50" s="727">
        <v>0.97550927246098518</v>
      </c>
      <c r="BT50" s="727">
        <v>1.0981423911346246</v>
      </c>
      <c r="BW50" s="1157">
        <f>'2018'!R\Max</f>
        <v>0</v>
      </c>
      <c r="BX50" s="1155">
        <f>'2019'!R\Max</f>
        <v>0.148190556045873</v>
      </c>
      <c r="BY50" s="1155">
        <f>'2020'!R\Max</f>
        <v>1.0033733904719155</v>
      </c>
      <c r="BZ50" s="1155">
        <f>'2021'!R\Max</f>
        <v>0.38992915524820798</v>
      </c>
      <c r="CA50" s="1155">
        <f>'2022'!R\Max</f>
        <v>0.37001360734099525</v>
      </c>
      <c r="CB50" s="1155">
        <f>'2023'!R\Max</f>
        <v>0.36776815902992804</v>
      </c>
      <c r="CC50" s="1155">
        <f>'2024'!R\Max</f>
        <v>0.36555247256585166</v>
      </c>
      <c r="CD50" s="1155">
        <f>'2025'!R\Max</f>
        <v>0.36199233635680655</v>
      </c>
      <c r="CE50" s="1155">
        <f>'2026'!R\Max</f>
        <v>0.37734850997778407</v>
      </c>
      <c r="CF50" s="1156">
        <f>'2027'!R\Max</f>
        <v>0.37390745095129552</v>
      </c>
    </row>
    <row r="51" spans="1:84" s="6" customFormat="1" ht="11.25" x14ac:dyDescent="0.2">
      <c r="A51" s="11">
        <v>43137</v>
      </c>
      <c r="B51" s="380">
        <f>'2022'!Maxi_hp</f>
        <v>22.282786270723793</v>
      </c>
      <c r="C51" s="13">
        <f>'2022'!An_max</f>
        <v>2020</v>
      </c>
      <c r="D51" s="1070"/>
      <c r="E51" s="13"/>
      <c r="F51" s="13">
        <f t="shared" si="22"/>
        <v>5</v>
      </c>
      <c r="G51" s="13">
        <f t="shared" si="23"/>
        <v>4</v>
      </c>
      <c r="H51" s="173">
        <f t="shared" si="7"/>
        <v>43150</v>
      </c>
      <c r="I51" s="754">
        <f t="shared" si="8"/>
        <v>0.9285714285714286</v>
      </c>
      <c r="J51" s="747">
        <f t="shared" si="26"/>
        <v>21.845061352143865</v>
      </c>
      <c r="L51" s="757" t="s">
        <v>215</v>
      </c>
      <c r="M51" s="741">
        <f t="shared" ref="M51:AA51" si="53">x.1ld*x.1ld-x.2ld*x.2ld</f>
        <v>-2412424</v>
      </c>
      <c r="N51" s="741">
        <f t="shared" si="53"/>
        <v>-2500235</v>
      </c>
      <c r="O51" s="741">
        <f t="shared" si="53"/>
        <v>-2415616</v>
      </c>
      <c r="P51" s="741">
        <f t="shared" si="53"/>
        <v>-2417184</v>
      </c>
      <c r="Q51" s="741">
        <f t="shared" si="53"/>
        <v>-2418752</v>
      </c>
      <c r="R51" s="741">
        <f t="shared" si="53"/>
        <v>-2420320</v>
      </c>
      <c r="S51" s="741">
        <f t="shared" si="53"/>
        <v>-2421888</v>
      </c>
      <c r="T51" s="741">
        <f t="shared" si="53"/>
        <v>-2423456</v>
      </c>
      <c r="U51" s="741">
        <f t="shared" si="53"/>
        <v>-2425024</v>
      </c>
      <c r="V51" s="741">
        <f t="shared" si="53"/>
        <v>-2426592</v>
      </c>
      <c r="W51" s="741">
        <f t="shared" si="53"/>
        <v>-2428160</v>
      </c>
      <c r="X51" s="741">
        <f t="shared" si="53"/>
        <v>-2429728</v>
      </c>
      <c r="Y51" s="741">
        <f t="shared" si="53"/>
        <v>-2431296</v>
      </c>
      <c r="Z51" s="741">
        <f t="shared" si="53"/>
        <v>-2432864</v>
      </c>
      <c r="AA51" s="741">
        <f t="shared" si="53"/>
        <v>-2521405</v>
      </c>
      <c r="AC51" s="7"/>
      <c r="AD51" s="7"/>
      <c r="AE51" s="7"/>
      <c r="AF51" s="7"/>
      <c r="AH51" s="7"/>
      <c r="AI51" s="74"/>
      <c r="AP51" s="13">
        <f t="shared" si="10"/>
        <v>3</v>
      </c>
      <c r="AQ51" s="13">
        <f t="shared" si="11"/>
        <v>4</v>
      </c>
      <c r="AR51" s="173">
        <f t="shared" si="12"/>
        <v>43136</v>
      </c>
      <c r="AS51" s="754">
        <f t="shared" si="13"/>
        <v>3.5714285714285712E-2</v>
      </c>
      <c r="AT51" s="770">
        <f t="shared" si="14"/>
        <v>21.822515185077542</v>
      </c>
      <c r="AU51" s="13">
        <f t="shared" si="15"/>
        <v>3</v>
      </c>
      <c r="AV51" s="13">
        <f t="shared" si="16"/>
        <v>2</v>
      </c>
      <c r="AW51" s="173">
        <f t="shared" si="17"/>
        <v>43150</v>
      </c>
      <c r="AX51" s="754">
        <f t="shared" si="18"/>
        <v>0.4642857142857143</v>
      </c>
      <c r="AY51" s="770">
        <f t="shared" si="19"/>
        <v>21.883767711557446</v>
      </c>
      <c r="AZ51" s="747">
        <f t="shared" si="25"/>
        <v>21.853141448317494</v>
      </c>
      <c r="BA51" s="646">
        <f t="shared" si="20"/>
        <v>1.0200377060757015</v>
      </c>
      <c r="BB51" s="641">
        <v>43137</v>
      </c>
      <c r="BC51" s="11">
        <v>43137</v>
      </c>
      <c r="BD51" s="290">
        <f>[3]!FeuilCaduc*(1-Persistant)+Persistant</f>
        <v>0.80016401975568541</v>
      </c>
      <c r="BE51" s="291">
        <f>[3]!CroissVégét</f>
        <v>4.7026958080162657E-3</v>
      </c>
      <c r="BF51" s="822">
        <f>1+[3]!Salcycl*Ksac</f>
        <v>1.0000410049389212</v>
      </c>
      <c r="BH51" s="1101">
        <f t="shared" si="21"/>
        <v>0.19319825425477985</v>
      </c>
      <c r="BI51" s="11">
        <v>44233</v>
      </c>
      <c r="BJ51" s="727">
        <v>1.8664186609085103E-3</v>
      </c>
      <c r="BK51" s="727">
        <v>3.7856913285311301E-2</v>
      </c>
      <c r="BL51" s="727">
        <v>9.7220193389601972E-2</v>
      </c>
      <c r="BM51" s="727">
        <v>0.19305292988087833</v>
      </c>
      <c r="BN51" s="727">
        <v>0.32226900756738719</v>
      </c>
      <c r="BO51" s="728">
        <v>0.46453881869958152</v>
      </c>
      <c r="BP51" s="727">
        <v>0.60136211358418978</v>
      </c>
      <c r="BQ51" s="727">
        <v>0.72866743461655403</v>
      </c>
      <c r="BR51" s="727">
        <v>0.84975189669912987</v>
      </c>
      <c r="BS51" s="727">
        <v>0.97609210068883046</v>
      </c>
      <c r="BT51" s="727">
        <v>1.1003826230944014</v>
      </c>
      <c r="BW51" s="1157">
        <f>'2018'!R\Max</f>
        <v>0</v>
      </c>
      <c r="BX51" s="1155">
        <f>'2019'!R\Max</f>
        <v>0.37373172803274668</v>
      </c>
      <c r="BY51" s="1155">
        <f>'2020'!R\Max</f>
        <v>1.0200377060757015</v>
      </c>
      <c r="BZ51" s="1155">
        <f>'2021'!R\Max</f>
        <v>0.28887094343052572</v>
      </c>
      <c r="CA51" s="1155">
        <f>'2022'!R\Max</f>
        <v>0.7608483265188497</v>
      </c>
      <c r="CB51" s="1155">
        <f>'2023'!R\Max</f>
        <v>0.75910235664550796</v>
      </c>
      <c r="CC51" s="1155">
        <f>'2024'!R\Max</f>
        <v>0.75735812984460593</v>
      </c>
      <c r="CD51" s="1155">
        <f>'2025'!R\Max</f>
        <v>0.75450092910058364</v>
      </c>
      <c r="CE51" s="1155">
        <f>'2026'!R\Max</f>
        <v>0.76641639907394332</v>
      </c>
      <c r="CF51" s="1156">
        <f>'2027'!R\Max</f>
        <v>0.76384323001582588</v>
      </c>
    </row>
    <row r="52" spans="1:84" s="6" customFormat="1" ht="11.25" x14ac:dyDescent="0.2">
      <c r="A52" s="11">
        <v>43138</v>
      </c>
      <c r="B52" s="380">
        <f>'2022'!Maxi_hp</f>
        <v>15.348596284444294</v>
      </c>
      <c r="C52" s="13">
        <f>'2022'!An_max</f>
        <v>2020</v>
      </c>
      <c r="D52" s="1070"/>
      <c r="E52" s="13"/>
      <c r="F52" s="13">
        <f t="shared" si="22"/>
        <v>5</v>
      </c>
      <c r="G52" s="13">
        <f t="shared" si="23"/>
        <v>4</v>
      </c>
      <c r="H52" s="173">
        <f t="shared" si="7"/>
        <v>43150</v>
      </c>
      <c r="I52" s="754">
        <f t="shared" si="8"/>
        <v>0.8571428571428571</v>
      </c>
      <c r="J52" s="747">
        <f t="shared" si="26"/>
        <v>22.157367346355962</v>
      </c>
      <c r="L52" s="757" t="s">
        <v>216</v>
      </c>
      <c r="M52" s="741">
        <f t="shared" ref="M52:AA52" si="54">x.2ld*x.2ld-x.3ld*x.3ld</f>
        <v>-2500235</v>
      </c>
      <c r="N52" s="741">
        <f t="shared" si="54"/>
        <v>-2415616</v>
      </c>
      <c r="O52" s="741">
        <f t="shared" si="54"/>
        <v>-2417184</v>
      </c>
      <c r="P52" s="741">
        <f t="shared" si="54"/>
        <v>-2418752</v>
      </c>
      <c r="Q52" s="741">
        <f t="shared" si="54"/>
        <v>-2420320</v>
      </c>
      <c r="R52" s="741">
        <f t="shared" si="54"/>
        <v>-2421888</v>
      </c>
      <c r="S52" s="741">
        <f t="shared" si="54"/>
        <v>-2423456</v>
      </c>
      <c r="T52" s="741">
        <f t="shared" si="54"/>
        <v>-2425024</v>
      </c>
      <c r="U52" s="741">
        <f t="shared" si="54"/>
        <v>-2426592</v>
      </c>
      <c r="V52" s="741">
        <f t="shared" si="54"/>
        <v>-2428160</v>
      </c>
      <c r="W52" s="741">
        <f t="shared" si="54"/>
        <v>-2429728</v>
      </c>
      <c r="X52" s="741">
        <f t="shared" si="54"/>
        <v>-2431296</v>
      </c>
      <c r="Y52" s="741">
        <f t="shared" si="54"/>
        <v>-2432864</v>
      </c>
      <c r="Z52" s="741">
        <f t="shared" si="54"/>
        <v>-2521405</v>
      </c>
      <c r="AA52" s="741">
        <f t="shared" si="54"/>
        <v>-2436056</v>
      </c>
      <c r="AC52" s="7"/>
      <c r="AD52" s="7"/>
      <c r="AE52" s="7"/>
      <c r="AF52" s="7"/>
      <c r="AH52" s="7"/>
      <c r="AI52" s="74"/>
      <c r="AP52" s="13">
        <f t="shared" si="10"/>
        <v>3</v>
      </c>
      <c r="AQ52" s="13">
        <f t="shared" si="11"/>
        <v>4</v>
      </c>
      <c r="AR52" s="173">
        <f t="shared" si="12"/>
        <v>43136</v>
      </c>
      <c r="AS52" s="754">
        <f t="shared" si="13"/>
        <v>7.1428571428571425E-2</v>
      </c>
      <c r="AT52" s="770">
        <f t="shared" si="14"/>
        <v>22.11285923828504</v>
      </c>
      <c r="AU52" s="13">
        <f t="shared" si="15"/>
        <v>3</v>
      </c>
      <c r="AV52" s="13">
        <f t="shared" si="16"/>
        <v>2</v>
      </c>
      <c r="AW52" s="173">
        <f t="shared" si="17"/>
        <v>43150</v>
      </c>
      <c r="AX52" s="754">
        <f t="shared" si="18"/>
        <v>0.42857142857142855</v>
      </c>
      <c r="AY52" s="770">
        <f t="shared" si="19"/>
        <v>22.207392991507156</v>
      </c>
      <c r="AZ52" s="747">
        <f t="shared" si="25"/>
        <v>22.160126114896098</v>
      </c>
      <c r="BA52" s="646">
        <f t="shared" si="20"/>
        <v>0.69270848131551832</v>
      </c>
      <c r="BB52" s="641">
        <v>43138</v>
      </c>
      <c r="BC52" s="11">
        <v>43138</v>
      </c>
      <c r="BD52" s="290">
        <f>[3]!FeuilCaduc*(1-Persistant)+Persistant</f>
        <v>0.80020708920065409</v>
      </c>
      <c r="BE52" s="291">
        <f>[3]!CroissVégét</f>
        <v>4.9567764778191995E-3</v>
      </c>
      <c r="BF52" s="822">
        <f>1+[3]!Salcycl*Ksac</f>
        <v>1.0000517723001634</v>
      </c>
      <c r="BH52" s="1101">
        <f t="shared" si="21"/>
        <v>0.18427735443082549</v>
      </c>
      <c r="BI52" s="11">
        <v>44234</v>
      </c>
      <c r="BJ52" s="727">
        <v>1.3393604940897259E-3</v>
      </c>
      <c r="BK52" s="727">
        <v>3.3823611601482263E-2</v>
      </c>
      <c r="BL52" s="727">
        <v>9.0271373874980174E-2</v>
      </c>
      <c r="BM52" s="727">
        <v>0.18413393702959394</v>
      </c>
      <c r="BN52" s="727">
        <v>0.31165441801712351</v>
      </c>
      <c r="BO52" s="728">
        <v>0.4547280922693982</v>
      </c>
      <c r="BP52" s="727">
        <v>0.59423254176589568</v>
      </c>
      <c r="BQ52" s="727">
        <v>0.72481114808457114</v>
      </c>
      <c r="BR52" s="727">
        <v>0.84844949207013753</v>
      </c>
      <c r="BS52" s="727">
        <v>0.97572406605347295</v>
      </c>
      <c r="BT52" s="727">
        <v>1.1014379526306348</v>
      </c>
      <c r="BW52" s="1157">
        <f>'2018'!R\Max</f>
        <v>0</v>
      </c>
      <c r="BX52" s="1155">
        <f>'2019'!R\Max</f>
        <v>0.18858374035913331</v>
      </c>
      <c r="BY52" s="1155">
        <f>'2020'!R\Max</f>
        <v>0.69270848131551832</v>
      </c>
      <c r="BZ52" s="1155">
        <f>'2021'!R\Max</f>
        <v>0.67793111411000329</v>
      </c>
      <c r="CA52" s="1155">
        <f>'2022'!R\Max</f>
        <v>0.43377152219072135</v>
      </c>
      <c r="CB52" s="1155">
        <f>'2023'!R\Max</f>
        <v>0.43144294391658355</v>
      </c>
      <c r="CC52" s="1155">
        <f>'2024'!R\Max</f>
        <v>0.4291202485674574</v>
      </c>
      <c r="CD52" s="1155">
        <f>'2025'!R\Max</f>
        <v>0.42531235818883034</v>
      </c>
      <c r="CE52" s="1155">
        <f>'2026'!R\Max</f>
        <v>0.44122842772718024</v>
      </c>
      <c r="CF52" s="1156">
        <f>'2027'!R\Max</f>
        <v>0.43779706401340152</v>
      </c>
    </row>
    <row r="53" spans="1:84" s="6" customFormat="1" ht="11.25" x14ac:dyDescent="0.2">
      <c r="A53" s="11">
        <v>43139</v>
      </c>
      <c r="B53" s="380">
        <f>'2022'!Maxi_hp</f>
        <v>23.402327715383759</v>
      </c>
      <c r="C53" s="13">
        <f>'2022'!An_max</f>
        <v>2022</v>
      </c>
      <c r="D53" s="1070"/>
      <c r="E53" s="13"/>
      <c r="F53" s="13">
        <f t="shared" si="22"/>
        <v>5</v>
      </c>
      <c r="G53" s="13">
        <f t="shared" si="23"/>
        <v>4</v>
      </c>
      <c r="H53" s="173">
        <f t="shared" si="7"/>
        <v>43150</v>
      </c>
      <c r="I53" s="754">
        <f t="shared" si="8"/>
        <v>0.7857142857142857</v>
      </c>
      <c r="J53" s="747">
        <f t="shared" si="26"/>
        <v>22.474168750204679</v>
      </c>
      <c r="L53" s="757" t="s">
        <v>217</v>
      </c>
      <c r="M53" s="741">
        <f t="shared" ref="M53:AA53" si="55">(y.1ld-y.2ld-b.ld*(x.1ld-x.2ld))/D2x12Ld</f>
        <v>3.9406209489238085E-2</v>
      </c>
      <c r="N53" s="741">
        <f t="shared" si="55"/>
        <v>2.3161459683689229E-2</v>
      </c>
      <c r="O53" s="741">
        <f t="shared" si="55"/>
        <v>-6.243622448978746E-4</v>
      </c>
      <c r="P53" s="741">
        <f t="shared" si="55"/>
        <v>-1.5609056122451248E-2</v>
      </c>
      <c r="Q53" s="741">
        <f t="shared" si="55"/>
        <v>-1.9355229591837528E-2</v>
      </c>
      <c r="R53" s="741">
        <f t="shared" si="55"/>
        <v>-1.8730867346940318E-2</v>
      </c>
      <c r="S53" s="741">
        <f t="shared" si="55"/>
        <v>-7.492346938774562E-3</v>
      </c>
      <c r="T53" s="741">
        <f t="shared" si="55"/>
        <v>-8.1167091836748546E-3</v>
      </c>
      <c r="U53" s="741">
        <f t="shared" si="55"/>
        <v>-6.2436224489801958E-3</v>
      </c>
      <c r="V53" s="741">
        <f t="shared" si="55"/>
        <v>-1.6857780612243675E-2</v>
      </c>
      <c r="W53" s="741">
        <f t="shared" si="55"/>
        <v>-1.3735969387754652E-2</v>
      </c>
      <c r="X53" s="741">
        <f t="shared" si="55"/>
        <v>1.248724489795806E-3</v>
      </c>
      <c r="Y53" s="741">
        <f t="shared" si="55"/>
        <v>4.1832270408159879E-2</v>
      </c>
      <c r="Z53" s="741">
        <f t="shared" si="55"/>
        <v>3.9406209489235226E-2</v>
      </c>
      <c r="AA53" s="741">
        <f t="shared" si="55"/>
        <v>2.3161459683694638E-2</v>
      </c>
      <c r="AC53" s="7"/>
      <c r="AD53" s="7"/>
      <c r="AE53" s="7"/>
      <c r="AF53" s="7"/>
      <c r="AH53" s="7"/>
      <c r="AI53" s="74"/>
      <c r="AP53" s="13">
        <f t="shared" si="10"/>
        <v>3</v>
      </c>
      <c r="AQ53" s="13">
        <f t="shared" si="11"/>
        <v>4</v>
      </c>
      <c r="AR53" s="173">
        <f t="shared" si="12"/>
        <v>43136</v>
      </c>
      <c r="AS53" s="754">
        <f t="shared" si="13"/>
        <v>0.10714285714285714</v>
      </c>
      <c r="AT53" s="770">
        <f t="shared" si="14"/>
        <v>22.408617404196413</v>
      </c>
      <c r="AU53" s="13">
        <f t="shared" si="15"/>
        <v>3</v>
      </c>
      <c r="AV53" s="13">
        <f t="shared" si="16"/>
        <v>2</v>
      </c>
      <c r="AW53" s="173">
        <f t="shared" si="17"/>
        <v>43150</v>
      </c>
      <c r="AX53" s="754">
        <f t="shared" si="18"/>
        <v>0.39285714285714285</v>
      </c>
      <c r="AY53" s="770">
        <f t="shared" si="19"/>
        <v>22.532252589449389</v>
      </c>
      <c r="AZ53" s="747">
        <f t="shared" si="25"/>
        <v>22.470434996822902</v>
      </c>
      <c r="BA53" s="646">
        <f t="shared" si="20"/>
        <v>1.0412989230211518</v>
      </c>
      <c r="BB53" s="641">
        <v>43139</v>
      </c>
      <c r="BC53" s="11">
        <v>43139</v>
      </c>
      <c r="BD53" s="290">
        <f>[3]!FeuilCaduc*(1-Persistant)+Persistant</f>
        <v>0.80025413241988708</v>
      </c>
      <c r="BE53" s="291">
        <f>[3]!CroissVégét</f>
        <v>5.2213784245517241E-3</v>
      </c>
      <c r="BF53" s="822">
        <f>1+[3]!Salcycl*Ksac</f>
        <v>1.0000635331049719</v>
      </c>
      <c r="BH53" s="1101">
        <f t="shared" si="21"/>
        <v>0.17523867486184802</v>
      </c>
      <c r="BI53" s="11">
        <v>44235</v>
      </c>
      <c r="BJ53" s="727">
        <v>8.9976146608143767E-4</v>
      </c>
      <c r="BK53" s="727">
        <v>2.9991743565082898E-2</v>
      </c>
      <c r="BL53" s="727">
        <v>8.3416198812615902E-2</v>
      </c>
      <c r="BM53" s="727">
        <v>0.17509754172903061</v>
      </c>
      <c r="BN53" s="727">
        <v>0.3005869511424436</v>
      </c>
      <c r="BO53" s="728">
        <v>0.44425093020507334</v>
      </c>
      <c r="BP53" s="727">
        <v>0.58619711532384922</v>
      </c>
      <c r="BQ53" s="727">
        <v>0.7201483577319715</v>
      </c>
      <c r="BR53" s="727">
        <v>0.8463901548932804</v>
      </c>
      <c r="BS53" s="727">
        <v>0.97462807509756699</v>
      </c>
      <c r="BT53" s="727">
        <v>1.1016467313016489</v>
      </c>
      <c r="BW53" s="1157">
        <f>'2018'!R\Max</f>
        <v>0</v>
      </c>
      <c r="BX53" s="1155">
        <f>'2019'!R\Max</f>
        <v>0.87972712364327554</v>
      </c>
      <c r="BY53" s="1155">
        <f>'2020'!R\Max</f>
        <v>0.82725473920825809</v>
      </c>
      <c r="BZ53" s="1155">
        <f>'2021'!R\Max</f>
        <v>0.12797260466035121</v>
      </c>
      <c r="CA53" s="1155">
        <f>'2022'!R\Max</f>
        <v>1.0412989230211518</v>
      </c>
      <c r="CB53" s="1155">
        <f>'2023'!R\Max</f>
        <v>1.0412989230211518</v>
      </c>
      <c r="CC53" s="1155">
        <f>'2024'!R\Max</f>
        <v>1.0412989230211518</v>
      </c>
      <c r="CD53" s="1155">
        <f>'2025'!R\Max</f>
        <v>1.0412989230211518</v>
      </c>
      <c r="CE53" s="1155">
        <f>'2026'!R\Max</f>
        <v>1.0412989230211516</v>
      </c>
      <c r="CF53" s="1156">
        <f>'2027'!R\Max</f>
        <v>1.0412989230211518</v>
      </c>
    </row>
    <row r="54" spans="1:84" s="6" customFormat="1" ht="11.25" x14ac:dyDescent="0.2">
      <c r="A54" s="11">
        <v>43140</v>
      </c>
      <c r="B54" s="380">
        <f>'2022'!Maxi_hp</f>
        <v>23.433477340738428</v>
      </c>
      <c r="C54" s="13">
        <f>'2022'!An_max</f>
        <v>2022</v>
      </c>
      <c r="D54" s="1070"/>
      <c r="E54" s="13"/>
      <c r="F54" s="13">
        <f t="shared" si="22"/>
        <v>5</v>
      </c>
      <c r="G54" s="13">
        <f t="shared" si="23"/>
        <v>4</v>
      </c>
      <c r="H54" s="173">
        <f t="shared" si="7"/>
        <v>43150</v>
      </c>
      <c r="I54" s="754">
        <f t="shared" si="8"/>
        <v>0.7142857142857143</v>
      </c>
      <c r="J54" s="747">
        <f t="shared" si="26"/>
        <v>22.794716326679502</v>
      </c>
      <c r="L54" s="757" t="s">
        <v>218</v>
      </c>
      <c r="M54" s="741">
        <f t="shared" ref="M54:AA54" si="56">(y.2ld-y.3ld-(y.1ld-y.2ld)*D2x23Ld/D2x12Ld)/(x.2ld-x.3ld)/(1-(x.2ld+x.3ld)/(x.1ld+x.2ld))</f>
        <v>-3395.6846614594892</v>
      </c>
      <c r="N54" s="741">
        <f t="shared" si="56"/>
        <v>-1995.1435569740945</v>
      </c>
      <c r="O54" s="741">
        <f t="shared" si="56"/>
        <v>56.906872448972294</v>
      </c>
      <c r="P54" s="741">
        <f t="shared" si="56"/>
        <v>1350.5055255104</v>
      </c>
      <c r="Q54" s="741">
        <f t="shared" si="56"/>
        <v>1674.1149744898644</v>
      </c>
      <c r="R54" s="741">
        <f t="shared" si="56"/>
        <v>1620.1451020409497</v>
      </c>
      <c r="S54" s="741">
        <f t="shared" si="56"/>
        <v>648.05804081624444</v>
      </c>
      <c r="T54" s="741">
        <f t="shared" si="56"/>
        <v>702.09784183685451</v>
      </c>
      <c r="U54" s="741">
        <f t="shared" si="56"/>
        <v>539.87354591841961</v>
      </c>
      <c r="V54" s="741">
        <f t="shared" si="56"/>
        <v>1459.7389489794859</v>
      </c>
      <c r="W54" s="741">
        <f t="shared" si="56"/>
        <v>1189.0154795917977</v>
      </c>
      <c r="X54" s="741">
        <f t="shared" si="56"/>
        <v>-111.29631632652085</v>
      </c>
      <c r="Y54" s="741">
        <f t="shared" si="56"/>
        <v>-3635.2467755099101</v>
      </c>
      <c r="Z54" s="741">
        <f t="shared" si="56"/>
        <v>-3424.4511943863845</v>
      </c>
      <c r="AA54" s="741">
        <f t="shared" si="56"/>
        <v>-2012.051422543658</v>
      </c>
      <c r="AC54" s="7"/>
      <c r="AD54" s="7"/>
      <c r="AE54" s="7"/>
      <c r="AF54" s="7"/>
      <c r="AH54" s="7"/>
      <c r="AI54" s="74"/>
      <c r="AP54" s="13">
        <f t="shared" si="10"/>
        <v>3</v>
      </c>
      <c r="AQ54" s="13">
        <f t="shared" si="11"/>
        <v>4</v>
      </c>
      <c r="AR54" s="173">
        <f t="shared" si="12"/>
        <v>43136</v>
      </c>
      <c r="AS54" s="754">
        <f t="shared" si="13"/>
        <v>0.14285714285714285</v>
      </c>
      <c r="AT54" s="770">
        <f t="shared" si="14"/>
        <v>22.70937492661178</v>
      </c>
      <c r="AU54" s="13">
        <f t="shared" si="15"/>
        <v>3</v>
      </c>
      <c r="AV54" s="13">
        <f t="shared" si="16"/>
        <v>2</v>
      </c>
      <c r="AW54" s="173">
        <f t="shared" si="17"/>
        <v>43150</v>
      </c>
      <c r="AX54" s="754">
        <f t="shared" si="18"/>
        <v>0.35714285714285715</v>
      </c>
      <c r="AY54" s="770">
        <f t="shared" si="19"/>
        <v>22.857836807723753</v>
      </c>
      <c r="AZ54" s="747">
        <f t="shared" si="25"/>
        <v>22.783605867167765</v>
      </c>
      <c r="BA54" s="646">
        <f t="shared" si="20"/>
        <v>1.0280223278458309</v>
      </c>
      <c r="BB54" s="641">
        <v>43140</v>
      </c>
      <c r="BC54" s="11">
        <v>43140</v>
      </c>
      <c r="BD54" s="290">
        <f>[3]!FeuilCaduc*(1-Persistant)+Persistant</f>
        <v>0.80030473453284146</v>
      </c>
      <c r="BE54" s="291">
        <f>[3]!CroissVégét</f>
        <v>5.4969313417339892E-3</v>
      </c>
      <c r="BF54" s="822">
        <f>1+[3]!Salcycl*Ksac</f>
        <v>1.0000761836332104</v>
      </c>
      <c r="BH54" s="1101">
        <f t="shared" si="21"/>
        <v>0.166082547516051</v>
      </c>
      <c r="BI54" s="11">
        <v>44236</v>
      </c>
      <c r="BJ54" s="727">
        <v>5.4760426867897039E-4</v>
      </c>
      <c r="BK54" s="727">
        <v>2.6361330022623419E-2</v>
      </c>
      <c r="BL54" s="727">
        <v>7.6654811168288595E-2</v>
      </c>
      <c r="BM54" s="727">
        <v>0.16594407565327324</v>
      </c>
      <c r="BN54" s="727">
        <v>0.28906720013486581</v>
      </c>
      <c r="BO54" s="728">
        <v>0.43310815458783991</v>
      </c>
      <c r="BP54" s="727">
        <v>0.57725687275908322</v>
      </c>
      <c r="BQ54" s="727">
        <v>0.71468021296325934</v>
      </c>
      <c r="BR54" s="727">
        <v>0.84357515567864239</v>
      </c>
      <c r="BS54" s="727">
        <v>0.97280554224819227</v>
      </c>
      <c r="BT54" s="727">
        <v>1.1010105506974974</v>
      </c>
      <c r="BW54" s="1157">
        <f>'2018'!R\Max</f>
        <v>0</v>
      </c>
      <c r="BX54" s="1155">
        <f>'2019'!R\Max</f>
        <v>0.84683989143920013</v>
      </c>
      <c r="BY54" s="1155">
        <f>'2020'!R\Max</f>
        <v>0.80656674984807986</v>
      </c>
      <c r="BZ54" s="1155">
        <f>'2021'!R\Max</f>
        <v>0.40606783137706459</v>
      </c>
      <c r="CA54" s="1155">
        <f>'2022'!R\Max</f>
        <v>1.0280223278458309</v>
      </c>
      <c r="CB54" s="1155">
        <f>'2023'!R\Max</f>
        <v>1.0280223278458309</v>
      </c>
      <c r="CC54" s="1155">
        <f>'2024'!R\Max</f>
        <v>1.0280223278458309</v>
      </c>
      <c r="CD54" s="1155">
        <f>'2025'!R\Max</f>
        <v>1.0280223278458309</v>
      </c>
      <c r="CE54" s="1155">
        <f>'2026'!R\Max</f>
        <v>1.0280223278458309</v>
      </c>
      <c r="CF54" s="1156">
        <f>'2027'!R\Max</f>
        <v>1.0280223278458309</v>
      </c>
    </row>
    <row r="55" spans="1:84" s="6" customFormat="1" ht="11.25" x14ac:dyDescent="0.2">
      <c r="A55" s="11">
        <v>43141</v>
      </c>
      <c r="B55" s="380">
        <f>'2022'!Maxi_hp</f>
        <v>22.177935187448366</v>
      </c>
      <c r="C55" s="13">
        <f>'2022'!An_max</f>
        <v>2022</v>
      </c>
      <c r="D55" s="1070"/>
      <c r="E55" s="13"/>
      <c r="F55" s="13">
        <f t="shared" si="22"/>
        <v>5</v>
      </c>
      <c r="G55" s="13">
        <f t="shared" si="23"/>
        <v>4</v>
      </c>
      <c r="H55" s="173">
        <f t="shared" si="7"/>
        <v>43150</v>
      </c>
      <c r="I55" s="754">
        <f t="shared" si="8"/>
        <v>0.6428571428571429</v>
      </c>
      <c r="J55" s="747">
        <f t="shared" si="26"/>
        <v>23.118260841550573</v>
      </c>
      <c r="L55" s="757" t="s">
        <v>219</v>
      </c>
      <c r="M55" s="741">
        <f t="shared" ref="M55:AA55" si="57">(y.1ld+y.2ld+y.3ld-a.ld*(x.3ld*x.3ld+x.2ld*x.2ld+x.1ld*x.1ld)-b.ld*(x.3ld+x.2ld+x.1ld))/3</f>
        <v>73152771.394871756</v>
      </c>
      <c r="N55" s="741">
        <f t="shared" si="57"/>
        <v>42965861.979528315</v>
      </c>
      <c r="O55" s="741">
        <f t="shared" si="57"/>
        <v>-1292757.0202472915</v>
      </c>
      <c r="P55" s="741">
        <f t="shared" si="57"/>
        <v>-29211200.213619027</v>
      </c>
      <c r="Q55" s="741">
        <f t="shared" si="57"/>
        <v>-36199869.139529534</v>
      </c>
      <c r="R55" s="741">
        <f t="shared" si="57"/>
        <v>-35033580.318283491</v>
      </c>
      <c r="S55" s="741">
        <f t="shared" si="57"/>
        <v>-14013171.909110464</v>
      </c>
      <c r="T55" s="741">
        <f t="shared" si="57"/>
        <v>-15182485.001219427</v>
      </c>
      <c r="U55" s="741">
        <f t="shared" si="57"/>
        <v>-11670004.913118476</v>
      </c>
      <c r="V55" s="741">
        <f t="shared" si="57"/>
        <v>-31599806.655464545</v>
      </c>
      <c r="W55" s="741">
        <f t="shared" si="57"/>
        <v>-25730522.451014455</v>
      </c>
      <c r="X55" s="741">
        <f t="shared" si="57"/>
        <v>2478438.7126375432</v>
      </c>
      <c r="Y55" s="741">
        <f t="shared" si="57"/>
        <v>78976347.32621555</v>
      </c>
      <c r="Z55" s="741">
        <f t="shared" si="57"/>
        <v>74397446.188558266</v>
      </c>
      <c r="AA55" s="741">
        <f t="shared" si="57"/>
        <v>43697175.063300438</v>
      </c>
      <c r="AB55" s="7"/>
      <c r="AC55" s="7"/>
      <c r="AD55" s="7"/>
      <c r="AE55" s="7"/>
      <c r="AF55" s="7"/>
      <c r="AH55" s="7"/>
      <c r="AI55" s="74"/>
      <c r="AP55" s="13">
        <f t="shared" si="10"/>
        <v>3</v>
      </c>
      <c r="AQ55" s="13">
        <f t="shared" si="11"/>
        <v>4</v>
      </c>
      <c r="AR55" s="173">
        <f t="shared" si="12"/>
        <v>43136</v>
      </c>
      <c r="AS55" s="754">
        <f t="shared" si="13"/>
        <v>0.17857142857142858</v>
      </c>
      <c r="AT55" s="770">
        <f t="shared" si="14"/>
        <v>23.014717053209562</v>
      </c>
      <c r="AU55" s="13">
        <f t="shared" si="15"/>
        <v>3</v>
      </c>
      <c r="AV55" s="13">
        <f t="shared" si="16"/>
        <v>2</v>
      </c>
      <c r="AW55" s="173">
        <f t="shared" si="17"/>
        <v>43150</v>
      </c>
      <c r="AX55" s="754">
        <f t="shared" si="18"/>
        <v>0.32142857142857145</v>
      </c>
      <c r="AY55" s="770">
        <f t="shared" si="19"/>
        <v>23.183635951792322</v>
      </c>
      <c r="AZ55" s="747">
        <f t="shared" si="25"/>
        <v>23.099176502500942</v>
      </c>
      <c r="BA55" s="646">
        <f t="shared" si="20"/>
        <v>0.95932541549958839</v>
      </c>
      <c r="BB55" s="641">
        <v>43141</v>
      </c>
      <c r="BC55" s="11">
        <v>43141</v>
      </c>
      <c r="BD55" s="290">
        <f>[3]!FeuilCaduc*(1-Persistant)+Persistant</f>
        <v>0.80035846355285278</v>
      </c>
      <c r="BE55" s="291">
        <f>[3]!CroissVégét</f>
        <v>5.7838819630590035E-3</v>
      </c>
      <c r="BF55" s="822">
        <f>1+[3]!Salcycl*Ksac</f>
        <v>1.0000896158882131</v>
      </c>
      <c r="BH55" s="1101">
        <f t="shared" si="21"/>
        <v>0.15680926049190225</v>
      </c>
      <c r="BI55" s="11">
        <v>44237</v>
      </c>
      <c r="BJ55" s="727">
        <v>2.8286845654147078E-4</v>
      </c>
      <c r="BK55" s="727">
        <v>2.2932370506275994E-2</v>
      </c>
      <c r="BL55" s="727">
        <v>6.9987318651966807E-2</v>
      </c>
      <c r="BM55" s="727">
        <v>0.15667382661398874</v>
      </c>
      <c r="BN55" s="727">
        <v>0.27709570781692439</v>
      </c>
      <c r="BO55" s="728">
        <v>0.42130054243099724</v>
      </c>
      <c r="BP55" s="727">
        <v>0.5674128223417807</v>
      </c>
      <c r="BQ55" s="727">
        <v>0.70840784880415308</v>
      </c>
      <c r="BR55" s="727">
        <v>0.84000576309436581</v>
      </c>
      <c r="BS55" s="727">
        <v>0.97025788464703266</v>
      </c>
      <c r="BT55" s="727">
        <v>1.0995310129708347</v>
      </c>
      <c r="BW55" s="1157">
        <f>'2018'!R\Max</f>
        <v>0</v>
      </c>
      <c r="BX55" s="1155">
        <f>'2019'!R\Max</f>
        <v>0.27642979591823741</v>
      </c>
      <c r="BY55" s="1155">
        <f>'2020'!R\Max</f>
        <v>0.38806184004602023</v>
      </c>
      <c r="BZ55" s="1155">
        <f>'2021'!R\Max</f>
        <v>0.3832115711978043</v>
      </c>
      <c r="CA55" s="1155">
        <f>'2022'!R\Max</f>
        <v>0.95932541549958839</v>
      </c>
      <c r="CB55" s="1155">
        <f>'2023'!R\Max</f>
        <v>0.9589667544754823</v>
      </c>
      <c r="CC55" s="1155">
        <f>'2024'!R\Max</f>
        <v>0.95860059743185855</v>
      </c>
      <c r="CD55" s="1155">
        <f>'2025'!R\Max</f>
        <v>0.95797708855981567</v>
      </c>
      <c r="CE55" s="1155">
        <f>'2026'!R\Max</f>
        <v>0.96041773823040077</v>
      </c>
      <c r="CF55" s="1156">
        <f>'2027'!R\Max</f>
        <v>0.9599359624644711</v>
      </c>
    </row>
    <row r="56" spans="1:84" s="6" customFormat="1" ht="11.25" x14ac:dyDescent="0.2">
      <c r="A56" s="11">
        <v>43142</v>
      </c>
      <c r="B56" s="380">
        <f>'2022'!Maxi_hp</f>
        <v>19.987799360241688</v>
      </c>
      <c r="C56" s="13">
        <f>'2022'!An_max</f>
        <v>2021</v>
      </c>
      <c r="D56" s="1070"/>
      <c r="E56" s="13"/>
      <c r="F56" s="13">
        <f t="shared" si="22"/>
        <v>5</v>
      </c>
      <c r="G56" s="13">
        <f t="shared" si="23"/>
        <v>4</v>
      </c>
      <c r="H56" s="173">
        <f t="shared" si="7"/>
        <v>43150</v>
      </c>
      <c r="I56" s="754">
        <f t="shared" si="8"/>
        <v>0.5714285714285714</v>
      </c>
      <c r="J56" s="747">
        <f t="shared" si="26"/>
        <v>23.444053061386306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P56" s="13">
        <f t="shared" si="10"/>
        <v>3</v>
      </c>
      <c r="AQ56" s="13">
        <f t="shared" si="11"/>
        <v>4</v>
      </c>
      <c r="AR56" s="173">
        <f t="shared" si="12"/>
        <v>43136</v>
      </c>
      <c r="AS56" s="754">
        <f t="shared" si="13"/>
        <v>0.21428571428571427</v>
      </c>
      <c r="AT56" s="770">
        <f t="shared" si="14"/>
        <v>23.324229026559209</v>
      </c>
      <c r="AU56" s="13">
        <f t="shared" si="15"/>
        <v>3</v>
      </c>
      <c r="AV56" s="13">
        <f t="shared" si="16"/>
        <v>2</v>
      </c>
      <c r="AW56" s="173">
        <f t="shared" si="17"/>
        <v>43150</v>
      </c>
      <c r="AX56" s="754">
        <f t="shared" si="18"/>
        <v>0.2857142857142857</v>
      </c>
      <c r="AY56" s="770">
        <f t="shared" si="19"/>
        <v>23.509140323983907</v>
      </c>
      <c r="AZ56" s="747">
        <f t="shared" si="25"/>
        <v>23.416684675271558</v>
      </c>
      <c r="BA56" s="646">
        <f t="shared" si="20"/>
        <v>0.8525743952167868</v>
      </c>
      <c r="BB56" s="641">
        <v>43142</v>
      </c>
      <c r="BC56" s="11">
        <v>43142</v>
      </c>
      <c r="BD56" s="290">
        <f>[3]!FeuilCaduc*(1-Persistant)+Persistant</f>
        <v>0.8004148758554156</v>
      </c>
      <c r="BE56" s="291">
        <f>[3]!CroissVégét</f>
        <v>6.0826946947814143E-3</v>
      </c>
      <c r="BF56" s="822">
        <f>1+[3]!Salcycl*Ksac</f>
        <v>1.000103718963854</v>
      </c>
      <c r="BH56" s="1101">
        <f t="shared" si="21"/>
        <v>0.14741905653518098</v>
      </c>
      <c r="BI56" s="11">
        <v>44238</v>
      </c>
      <c r="BJ56" s="727">
        <v>1.0553154008751039E-4</v>
      </c>
      <c r="BK56" s="727">
        <v>1.970484574656118E-2</v>
      </c>
      <c r="BL56" s="727">
        <v>6.3413794878885946E-2</v>
      </c>
      <c r="BM56" s="727">
        <v>0.14728703708218915</v>
      </c>
      <c r="BN56" s="727">
        <v>0.26467296097051185</v>
      </c>
      <c r="BO56" s="728">
        <v>0.40882881734582455</v>
      </c>
      <c r="BP56" s="727">
        <v>0.5566659307950842</v>
      </c>
      <c r="BQ56" s="727">
        <v>0.70133237584145514</v>
      </c>
      <c r="BR56" s="727">
        <v>0.83568323453807214</v>
      </c>
      <c r="BS56" s="727">
        <v>0.96698651309250083</v>
      </c>
      <c r="BT56" s="727">
        <v>1.0972097203048752</v>
      </c>
      <c r="BW56" s="1157">
        <f>'2018'!R\Max</f>
        <v>0</v>
      </c>
      <c r="BX56" s="1155">
        <f>'2019'!R\Max</f>
        <v>0.62595193236002755</v>
      </c>
      <c r="BY56" s="1155">
        <f>'2020'!R\Max</f>
        <v>0.24164781239726046</v>
      </c>
      <c r="BZ56" s="1155">
        <f>'2021'!R\Max</f>
        <v>0.8525743952167868</v>
      </c>
      <c r="CA56" s="1155">
        <f>'2022'!R\Max</f>
        <v>0.50347982732262786</v>
      </c>
      <c r="CB56" s="1155">
        <f>'2023'!R\Max</f>
        <v>0.50122520380742419</v>
      </c>
      <c r="CC56" s="1155">
        <f>'2024'!R\Max</f>
        <v>0.49893287174919176</v>
      </c>
      <c r="CD56" s="1155">
        <f>'2025'!R\Max</f>
        <v>0.49504416886280023</v>
      </c>
      <c r="CE56" s="1155">
        <f>'2026'!R\Max</f>
        <v>0.51038471170743227</v>
      </c>
      <c r="CF56" s="1156">
        <f>'2027'!R\Max</f>
        <v>0.50735846923734573</v>
      </c>
    </row>
    <row r="57" spans="1:84" s="6" customFormat="1" ht="11.25" x14ac:dyDescent="0.2">
      <c r="A57" s="11">
        <v>43143</v>
      </c>
      <c r="B57" s="380">
        <f>'2022'!Maxi_hp</f>
        <v>24.323485541278668</v>
      </c>
      <c r="C57" s="13">
        <f>'2022'!An_max</f>
        <v>2019</v>
      </c>
      <c r="D57" s="1070"/>
      <c r="E57" s="13"/>
      <c r="F57" s="13">
        <f t="shared" si="22"/>
        <v>5</v>
      </c>
      <c r="G57" s="13">
        <f t="shared" si="23"/>
        <v>4</v>
      </c>
      <c r="H57" s="173">
        <f t="shared" si="7"/>
        <v>43150</v>
      </c>
      <c r="I57" s="754">
        <f t="shared" si="8"/>
        <v>0.5</v>
      </c>
      <c r="J57" s="747">
        <f t="shared" si="26"/>
        <v>23.771343749761581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P57" s="13">
        <f t="shared" si="10"/>
        <v>3</v>
      </c>
      <c r="AQ57" s="13">
        <f t="shared" si="11"/>
        <v>4</v>
      </c>
      <c r="AR57" s="173">
        <f t="shared" si="12"/>
        <v>43136</v>
      </c>
      <c r="AS57" s="754">
        <f t="shared" si="13"/>
        <v>0.25</v>
      </c>
      <c r="AT57" s="770">
        <f t="shared" si="14"/>
        <v>23.637496093520895</v>
      </c>
      <c r="AU57" s="13">
        <f t="shared" si="15"/>
        <v>3</v>
      </c>
      <c r="AV57" s="13">
        <f t="shared" si="16"/>
        <v>2</v>
      </c>
      <c r="AW57" s="173">
        <f t="shared" si="17"/>
        <v>43150</v>
      </c>
      <c r="AX57" s="754">
        <f t="shared" si="18"/>
        <v>0.25</v>
      </c>
      <c r="AY57" s="770">
        <f t="shared" si="19"/>
        <v>23.833840229269118</v>
      </c>
      <c r="AZ57" s="747">
        <f t="shared" si="25"/>
        <v>23.735668161395004</v>
      </c>
      <c r="BA57" s="646">
        <f t="shared" si="20"/>
        <v>1.0232272015132768</v>
      </c>
      <c r="BB57" s="641">
        <v>43143</v>
      </c>
      <c r="BC57" s="11">
        <v>43143</v>
      </c>
      <c r="BD57" s="290">
        <f>[3]!FeuilCaduc*(1-Persistant)+Persistant</f>
        <v>0.80047352194340737</v>
      </c>
      <c r="BE57" s="291">
        <f>[3]!CroissVégét</f>
        <v>6.3938522678270975E-3</v>
      </c>
      <c r="BF57" s="822">
        <f>1+[3]!Salcycl*Ksac</f>
        <v>1.0001183804858518</v>
      </c>
      <c r="BH57" s="1101">
        <f t="shared" si="21"/>
        <v>0.13791213155473436</v>
      </c>
      <c r="BI57" s="11">
        <v>44239</v>
      </c>
      <c r="BJ57" s="727">
        <v>1.5570078382603175E-5</v>
      </c>
      <c r="BK57" s="727">
        <v>1.6678720184798906E-2</v>
      </c>
      <c r="BL57" s="727">
        <v>5.6934280529993088E-2</v>
      </c>
      <c r="BM57" s="727">
        <v>0.13778390270870569</v>
      </c>
      <c r="BN57" s="727">
        <v>0.25179938466303714</v>
      </c>
      <c r="BO57" s="728">
        <v>0.39569364120431599</v>
      </c>
      <c r="BP57" s="727">
        <v>0.54501711197476388</v>
      </c>
      <c r="BQ57" s="727">
        <v>0.6934548701578831</v>
      </c>
      <c r="BR57" s="727">
        <v>0.83060880670239401</v>
      </c>
      <c r="BS57" s="727">
        <v>0.96299282297509192</v>
      </c>
      <c r="BT57" s="727">
        <v>1.0940482643737124</v>
      </c>
      <c r="BW57" s="1157">
        <f>'2018'!R\Max</f>
        <v>0</v>
      </c>
      <c r="BX57" s="1155">
        <f>'2019'!R\Max</f>
        <v>1.0232272015132768</v>
      </c>
      <c r="BY57" s="1155">
        <f>'2020'!R\Max</f>
        <v>0.54515468470081518</v>
      </c>
      <c r="BZ57" s="1155">
        <f>'2021'!R\Max</f>
        <v>0.11996738686118263</v>
      </c>
      <c r="CA57" s="1155">
        <f>'2022'!R\Max</f>
        <v>0.79807847079966598</v>
      </c>
      <c r="CB57" s="1155">
        <f>'2023'!R\Max</f>
        <v>0.79664462977591122</v>
      </c>
      <c r="CC57" s="1155">
        <f>'2024'!R\Max</f>
        <v>0.79517276024119787</v>
      </c>
      <c r="CD57" s="1155">
        <f>'2025'!R\Max</f>
        <v>0.79263890109199298</v>
      </c>
      <c r="CE57" s="1155">
        <f>'2026'!R\Max</f>
        <v>0.80237092937014609</v>
      </c>
      <c r="CF57" s="1156">
        <f>'2027'!R\Max</f>
        <v>0.800525588897123</v>
      </c>
    </row>
    <row r="58" spans="1:84" s="6" customFormat="1" ht="11.25" x14ac:dyDescent="0.2">
      <c r="A58" s="11">
        <v>43144</v>
      </c>
      <c r="B58" s="380">
        <f>'2022'!Maxi_hp</f>
        <v>24.939074122850123</v>
      </c>
      <c r="C58" s="13">
        <f>'2022'!An_max</f>
        <v>2019</v>
      </c>
      <c r="D58" s="1070"/>
      <c r="E58" s="13"/>
      <c r="F58" s="13">
        <f t="shared" si="22"/>
        <v>5</v>
      </c>
      <c r="G58" s="13">
        <f t="shared" si="23"/>
        <v>4</v>
      </c>
      <c r="H58" s="173">
        <f t="shared" si="7"/>
        <v>43150</v>
      </c>
      <c r="I58" s="754">
        <f t="shared" si="8"/>
        <v>0.42857142857142855</v>
      </c>
      <c r="J58" s="747">
        <f t="shared" si="26"/>
        <v>24.099383673657265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P58" s="13">
        <f t="shared" si="10"/>
        <v>3</v>
      </c>
      <c r="AQ58" s="13">
        <f t="shared" si="11"/>
        <v>4</v>
      </c>
      <c r="AR58" s="173">
        <f t="shared" si="12"/>
        <v>43136</v>
      </c>
      <c r="AS58" s="754">
        <f t="shared" si="13"/>
        <v>0.2857142857142857</v>
      </c>
      <c r="AT58" s="770">
        <f t="shared" si="14"/>
        <v>23.954103498533367</v>
      </c>
      <c r="AU58" s="13">
        <f t="shared" si="15"/>
        <v>3</v>
      </c>
      <c r="AV58" s="13">
        <f t="shared" si="16"/>
        <v>2</v>
      </c>
      <c r="AW58" s="173">
        <f t="shared" si="17"/>
        <v>43150</v>
      </c>
      <c r="AX58" s="754">
        <f t="shared" si="18"/>
        <v>0.21428571428571427</v>
      </c>
      <c r="AY58" s="770">
        <f t="shared" si="19"/>
        <v>24.157225970824118</v>
      </c>
      <c r="AZ58" s="747">
        <f t="shared" si="25"/>
        <v>24.055664734678743</v>
      </c>
      <c r="BA58" s="646">
        <f t="shared" si="20"/>
        <v>1.0348428184124356</v>
      </c>
      <c r="BB58" s="641">
        <v>43144</v>
      </c>
      <c r="BC58" s="11">
        <v>43144</v>
      </c>
      <c r="BD58" s="290">
        <f>[3]!FeuilCaduc*(1-Persistant)+Persistant</f>
        <v>0.80053395244270398</v>
      </c>
      <c r="BE58" s="291">
        <f>[3]!CroissVégét</f>
        <v>6.7178564099054624E-3</v>
      </c>
      <c r="BF58" s="822">
        <f>1+[3]!Salcycl*Ksac</f>
        <v>1.000133488110676</v>
      </c>
      <c r="BH58" s="1101">
        <f t="shared" si="21"/>
        <v>0.12852683638832796</v>
      </c>
      <c r="BI58" s="11">
        <v>44240</v>
      </c>
      <c r="BJ58" s="727">
        <v>1.3062980284661264E-5</v>
      </c>
      <c r="BK58" s="727">
        <v>1.3954030696238942E-2</v>
      </c>
      <c r="BL58" s="727">
        <v>5.0784424614603613E-2</v>
      </c>
      <c r="BM58" s="727">
        <v>0.12840271556117186</v>
      </c>
      <c r="BN58" s="727">
        <v>0.23876552679326388</v>
      </c>
      <c r="BO58" s="728">
        <v>0.3820426132606044</v>
      </c>
      <c r="BP58" s="727">
        <v>0.53248801424580572</v>
      </c>
      <c r="BQ58" s="727">
        <v>0.68451336274160768</v>
      </c>
      <c r="BR58" s="727">
        <v>0.82438402459695326</v>
      </c>
      <c r="BS58" s="727">
        <v>0.9579892421144085</v>
      </c>
      <c r="BT58" s="727">
        <v>1.0900106011515274</v>
      </c>
      <c r="BW58" s="1157">
        <f>'2018'!R\Max</f>
        <v>0</v>
      </c>
      <c r="BX58" s="1155">
        <f>'2019'!R\Max</f>
        <v>1.0348428184124356</v>
      </c>
      <c r="BY58" s="1155">
        <f>'2020'!R\Max</f>
        <v>0.53109559414569585</v>
      </c>
      <c r="BZ58" s="1155">
        <f>'2021'!R\Max</f>
        <v>0.23792100011924877</v>
      </c>
      <c r="CA58" s="1155">
        <f>'2022'!R\Max</f>
        <v>0.90660648091125429</v>
      </c>
      <c r="CB58" s="1155">
        <f>'2023'!R\Max</f>
        <v>0.90586626241390378</v>
      </c>
      <c r="CC58" s="1155">
        <f>'2024'!R\Max</f>
        <v>0.90510171376303727</v>
      </c>
      <c r="CD58" s="1155">
        <f>'2025'!R\Max</f>
        <v>0.90377236668952543</v>
      </c>
      <c r="CE58" s="1155">
        <f>'2026'!R\Max</f>
        <v>0.90878744793305866</v>
      </c>
      <c r="CF58" s="1156">
        <f>'2027'!R\Max</f>
        <v>0.90786568907686127</v>
      </c>
    </row>
    <row r="59" spans="1:84" s="6" customFormat="1" ht="11.25" x14ac:dyDescent="0.2">
      <c r="A59" s="11">
        <v>43145</v>
      </c>
      <c r="B59" s="380">
        <f>'2022'!Maxi_hp</f>
        <v>25.04355830581331</v>
      </c>
      <c r="C59" s="13">
        <f>'2022'!An_max</f>
        <v>2019</v>
      </c>
      <c r="D59" s="1070"/>
      <c r="E59" s="13"/>
      <c r="F59" s="13">
        <f t="shared" si="22"/>
        <v>5</v>
      </c>
      <c r="G59" s="13">
        <f t="shared" si="23"/>
        <v>4</v>
      </c>
      <c r="H59" s="173">
        <f t="shared" si="7"/>
        <v>43150</v>
      </c>
      <c r="I59" s="754">
        <f t="shared" si="8"/>
        <v>0.35714285714285715</v>
      </c>
      <c r="J59" s="747">
        <f t="shared" si="26"/>
        <v>24.427423596901018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P59" s="13">
        <f t="shared" si="10"/>
        <v>3</v>
      </c>
      <c r="AQ59" s="13">
        <f t="shared" si="11"/>
        <v>4</v>
      </c>
      <c r="AR59" s="173">
        <f t="shared" si="12"/>
        <v>43136</v>
      </c>
      <c r="AS59" s="754">
        <f t="shared" si="13"/>
        <v>0.32142857142857145</v>
      </c>
      <c r="AT59" s="770">
        <f t="shared" si="14"/>
        <v>24.273636486261552</v>
      </c>
      <c r="AU59" s="13">
        <f t="shared" si="15"/>
        <v>3</v>
      </c>
      <c r="AV59" s="13">
        <f t="shared" si="16"/>
        <v>2</v>
      </c>
      <c r="AW59" s="173">
        <f t="shared" si="17"/>
        <v>43150</v>
      </c>
      <c r="AX59" s="754">
        <f t="shared" si="18"/>
        <v>0.17857142857142858</v>
      </c>
      <c r="AY59" s="770">
        <f t="shared" si="19"/>
        <v>24.478787852809596</v>
      </c>
      <c r="AZ59" s="747">
        <f t="shared" si="25"/>
        <v>24.376212169535574</v>
      </c>
      <c r="BA59" s="646">
        <f t="shared" si="20"/>
        <v>1.0252230738320867</v>
      </c>
      <c r="BB59" s="641">
        <v>43145</v>
      </c>
      <c r="BC59" s="11">
        <v>43145</v>
      </c>
      <c r="BD59" s="290">
        <f>[3]!FeuilCaduc*(1-Persistant)+Persistant</f>
        <v>0.80059572426067438</v>
      </c>
      <c r="BE59" s="291">
        <f>[3]!CroissVégét</f>
        <v>7.0552285378688686E-3</v>
      </c>
      <c r="BF59" s="822">
        <f>1+[3]!Salcycl*Ksac</f>
        <v>1.0001489310651686</v>
      </c>
      <c r="BH59" s="1101">
        <f t="shared" si="21"/>
        <v>0.11941839296364194</v>
      </c>
      <c r="BI59" s="11">
        <v>44241</v>
      </c>
      <c r="BJ59" s="727">
        <v>1.0792896279824434E-5</v>
      </c>
      <c r="BK59" s="727">
        <v>1.1492585282154221E-2</v>
      </c>
      <c r="BL59" s="727">
        <v>4.4998361330026222E-2</v>
      </c>
      <c r="BM59" s="727">
        <v>0.11929847642478555</v>
      </c>
      <c r="BN59" s="727">
        <v>0.22592301837027171</v>
      </c>
      <c r="BO59" s="728">
        <v>0.3683416685837782</v>
      </c>
      <c r="BP59" s="727">
        <v>0.51957473082899286</v>
      </c>
      <c r="BQ59" s="727">
        <v>0.67483356967272889</v>
      </c>
      <c r="BR59" s="727">
        <v>0.81722066641351576</v>
      </c>
      <c r="BS59" s="727">
        <v>0.95229438065785188</v>
      </c>
      <c r="BT59" s="727">
        <v>1.0856205655307989</v>
      </c>
      <c r="BW59" s="1157">
        <f>'2018'!R\Max</f>
        <v>0</v>
      </c>
      <c r="BX59" s="1155">
        <f>'2019'!R\Max</f>
        <v>1.0252230738320867</v>
      </c>
      <c r="BY59" s="1155">
        <f>'2020'!R\Max</f>
        <v>0.71631370948663686</v>
      </c>
      <c r="BZ59" s="1155">
        <f>'2021'!R\Max</f>
        <v>0.86979776337497394</v>
      </c>
      <c r="CA59" s="1155">
        <f>'2022'!R\Max</f>
        <v>0.4874095130733796</v>
      </c>
      <c r="CB59" s="1155">
        <f>'2023'!R\Max</f>
        <v>0.48527647499102489</v>
      </c>
      <c r="CC59" s="1155">
        <f>'2024'!R\Max</f>
        <v>0.48308046081064554</v>
      </c>
      <c r="CD59" s="1155">
        <f>'2025'!R\Max</f>
        <v>0.47927494092767564</v>
      </c>
      <c r="CE59" s="1155">
        <f>'2026'!R\Max</f>
        <v>0.49370784410256047</v>
      </c>
      <c r="CF59" s="1156">
        <f>'2027'!R\Max</f>
        <v>0.49107128787375459</v>
      </c>
    </row>
    <row r="60" spans="1:84" s="6" customFormat="1" ht="11.25" x14ac:dyDescent="0.2">
      <c r="A60" s="11">
        <v>43146</v>
      </c>
      <c r="B60" s="380">
        <f>'2022'!Maxi_hp</f>
        <v>25.359879246140192</v>
      </c>
      <c r="C60" s="13">
        <f>'2022'!An_max</f>
        <v>2019</v>
      </c>
      <c r="D60" s="1070"/>
      <c r="E60" s="13"/>
      <c r="F60" s="13">
        <f t="shared" si="22"/>
        <v>5</v>
      </c>
      <c r="G60" s="13">
        <f t="shared" si="23"/>
        <v>4</v>
      </c>
      <c r="H60" s="173">
        <f t="shared" si="7"/>
        <v>43150</v>
      </c>
      <c r="I60" s="754">
        <f t="shared" si="8"/>
        <v>0.2857142857142857</v>
      </c>
      <c r="J60" s="747">
        <f t="shared" si="26"/>
        <v>24.754714285502477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P60" s="13">
        <f t="shared" si="10"/>
        <v>3</v>
      </c>
      <c r="AQ60" s="13">
        <f t="shared" si="11"/>
        <v>4</v>
      </c>
      <c r="AR60" s="173">
        <f t="shared" si="12"/>
        <v>43136</v>
      </c>
      <c r="AS60" s="754">
        <f t="shared" si="13"/>
        <v>0.35714285714285715</v>
      </c>
      <c r="AT60" s="770">
        <f t="shared" si="14"/>
        <v>24.595680302288383</v>
      </c>
      <c r="AU60" s="13">
        <f t="shared" si="15"/>
        <v>3</v>
      </c>
      <c r="AV60" s="13">
        <f t="shared" si="16"/>
        <v>2</v>
      </c>
      <c r="AW60" s="173">
        <f t="shared" si="17"/>
        <v>43150</v>
      </c>
      <c r="AX60" s="754">
        <f t="shared" si="18"/>
        <v>0.14285714285714285</v>
      </c>
      <c r="AY60" s="770">
        <f t="shared" si="19"/>
        <v>24.798016178960516</v>
      </c>
      <c r="AZ60" s="747">
        <f t="shared" si="25"/>
        <v>24.696848240624448</v>
      </c>
      <c r="BA60" s="646">
        <f t="shared" si="20"/>
        <v>1.0244464530536768</v>
      </c>
      <c r="BB60" s="641">
        <v>43146</v>
      </c>
      <c r="BC60" s="11">
        <v>43146</v>
      </c>
      <c r="BD60" s="290">
        <f>[3]!FeuilCaduc*(1-Persistant)+Persistant</f>
        <v>0.80065840683980449</v>
      </c>
      <c r="BE60" s="291">
        <f>[3]!CroissVégét</f>
        <v>7.4065104705297478E-3</v>
      </c>
      <c r="BF60" s="822">
        <f>1+[3]!Salcycl*Ksac</f>
        <v>1.000164601709951</v>
      </c>
      <c r="BH60" s="1101">
        <f t="shared" si="21"/>
        <v>0.1105867627549359</v>
      </c>
      <c r="BI60" s="11">
        <v>44242</v>
      </c>
      <c r="BJ60" s="727">
        <v>8.7597526017210663E-6</v>
      </c>
      <c r="BK60" s="727">
        <v>9.2943021920733893E-3</v>
      </c>
      <c r="BL60" s="727">
        <v>3.957598234639343E-2</v>
      </c>
      <c r="BM60" s="727">
        <v>0.1104711466565102</v>
      </c>
      <c r="BN60" s="727">
        <v>0.21327192504562265</v>
      </c>
      <c r="BO60" s="728">
        <v>0.35459109787492882</v>
      </c>
      <c r="BP60" s="727">
        <v>0.50627783286762229</v>
      </c>
      <c r="BQ60" s="727">
        <v>0.66441638502107425</v>
      </c>
      <c r="BR60" s="727">
        <v>0.80911988646363531</v>
      </c>
      <c r="BS60" s="727">
        <v>0.94590952240556192</v>
      </c>
      <c r="BT60" s="727">
        <v>1.080879544402201</v>
      </c>
      <c r="BW60" s="1157">
        <f>'2018'!R\Max</f>
        <v>0</v>
      </c>
      <c r="BX60" s="1155">
        <f>'2019'!R\Max</f>
        <v>1.0244464530536768</v>
      </c>
      <c r="BY60" s="1155">
        <f>'2020'!R\Max</f>
        <v>0.95876282655026457</v>
      </c>
      <c r="BZ60" s="1155">
        <f>'2021'!R\Max</f>
        <v>0.9212389580548912</v>
      </c>
      <c r="CA60" s="1155">
        <f>'2022'!R\Max</f>
        <v>0.61020599057019842</v>
      </c>
      <c r="CB60" s="1155">
        <f>'2023'!R\Max</f>
        <v>0.60821657831483622</v>
      </c>
      <c r="CC60" s="1155">
        <f>'2024'!R\Max</f>
        <v>0.60615581800884355</v>
      </c>
      <c r="CD60" s="1155">
        <f>'2025'!R\Max</f>
        <v>0.60255068400538225</v>
      </c>
      <c r="CE60" s="1155">
        <f>'2026'!R\Max</f>
        <v>0.61598526061152514</v>
      </c>
      <c r="CF60" s="1156">
        <f>'2027'!R\Max</f>
        <v>0.61360907266642217</v>
      </c>
    </row>
    <row r="61" spans="1:84" s="6" customFormat="1" ht="11.25" x14ac:dyDescent="0.2">
      <c r="A61" s="11">
        <v>43147</v>
      </c>
      <c r="B61" s="380">
        <f>'2022'!Maxi_hp</f>
        <v>25.832581952942551</v>
      </c>
      <c r="C61" s="13">
        <f>'2022'!An_max</f>
        <v>2019</v>
      </c>
      <c r="D61" s="1070"/>
      <c r="E61" s="13"/>
      <c r="F61" s="13">
        <f t="shared" si="22"/>
        <v>5</v>
      </c>
      <c r="G61" s="13">
        <f t="shared" si="23"/>
        <v>4</v>
      </c>
      <c r="H61" s="173">
        <f t="shared" si="7"/>
        <v>43150</v>
      </c>
      <c r="I61" s="754">
        <f t="shared" si="8"/>
        <v>0.21428571428571427</v>
      </c>
      <c r="J61" s="747">
        <f t="shared" si="26"/>
        <v>25.08050650516525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P61" s="13">
        <f t="shared" si="10"/>
        <v>3</v>
      </c>
      <c r="AQ61" s="13">
        <f t="shared" si="11"/>
        <v>4</v>
      </c>
      <c r="AR61" s="173">
        <f t="shared" si="12"/>
        <v>43136</v>
      </c>
      <c r="AS61" s="754">
        <f t="shared" si="13"/>
        <v>0.39285714285714285</v>
      </c>
      <c r="AT61" s="770">
        <f t="shared" si="14"/>
        <v>24.919820191910759</v>
      </c>
      <c r="AU61" s="13">
        <f t="shared" si="15"/>
        <v>3</v>
      </c>
      <c r="AV61" s="13">
        <f t="shared" si="16"/>
        <v>2</v>
      </c>
      <c r="AW61" s="173">
        <f t="shared" si="17"/>
        <v>43150</v>
      </c>
      <c r="AX61" s="754">
        <f t="shared" si="18"/>
        <v>0.10714285714285714</v>
      </c>
      <c r="AY61" s="770">
        <f t="shared" si="19"/>
        <v>25.114401252713286</v>
      </c>
      <c r="AZ61" s="747">
        <f t="shared" si="25"/>
        <v>25.017110722312022</v>
      </c>
      <c r="BA61" s="646">
        <f t="shared" si="20"/>
        <v>1.0299864537274164</v>
      </c>
      <c r="BB61" s="641">
        <v>43147</v>
      </c>
      <c r="BC61" s="11">
        <v>43147</v>
      </c>
      <c r="BD61" s="290">
        <f>[3]!FeuilCaduc*(1-Persistant)+Persistant</f>
        <v>0.80072158843918573</v>
      </c>
      <c r="BE61" s="291">
        <f>[3]!CroissVégét</f>
        <v>7.7722651621059055E-3</v>
      </c>
      <c r="BF61" s="822">
        <f>1+[3]!Salcycl*Ksac</f>
        <v>1.0001803971097964</v>
      </c>
      <c r="BH61" s="1101">
        <f t="shared" si="21"/>
        <v>0.10203187111991727</v>
      </c>
      <c r="BI61" s="11">
        <v>44243</v>
      </c>
      <c r="BJ61" s="727">
        <v>6.9634722410557677E-6</v>
      </c>
      <c r="BK61" s="727">
        <v>7.359096373580707E-3</v>
      </c>
      <c r="BL61" s="727">
        <v>3.4517162829308126E-2</v>
      </c>
      <c r="BM61" s="727">
        <v>0.10192065152109665</v>
      </c>
      <c r="BN61" s="727">
        <v>0.20081225473698458</v>
      </c>
      <c r="BO61" s="728">
        <v>0.34079112156062003</v>
      </c>
      <c r="BP61" s="727">
        <v>0.4925978137508697</v>
      </c>
      <c r="BQ61" s="727">
        <v>0.65326262920013989</v>
      </c>
      <c r="BR61" s="727">
        <v>0.80008277117967497</v>
      </c>
      <c r="BS61" s="727">
        <v>0.93883589915552867</v>
      </c>
      <c r="BT61" s="727">
        <v>1.0757888908531865</v>
      </c>
      <c r="BW61" s="1157">
        <f>'2018'!R\Max</f>
        <v>0</v>
      </c>
      <c r="BX61" s="1155">
        <f>'2019'!R\Max</f>
        <v>1.0299864537274164</v>
      </c>
      <c r="BY61" s="1155">
        <f>'2020'!R\Max</f>
        <v>0.62655433998541776</v>
      </c>
      <c r="BZ61" s="1155">
        <f>'2021'!R\Max</f>
        <v>0.85818051670479067</v>
      </c>
      <c r="CA61" s="1155">
        <f>'2022'!R\Max</f>
        <v>0.26058746374897152</v>
      </c>
      <c r="CB61" s="1155">
        <f>'2023'!R\Max</f>
        <v>0.25908607779920784</v>
      </c>
      <c r="CC61" s="1155">
        <f>'2024'!R\Max</f>
        <v>0.25753298140696779</v>
      </c>
      <c r="CD61" s="1155">
        <f>'2025'!R\Max</f>
        <v>0.25481923381405924</v>
      </c>
      <c r="CE61" s="1155">
        <f>'2026'!R\Max</f>
        <v>0.26493989531914203</v>
      </c>
      <c r="CF61" s="1156">
        <f>'2027'!R\Max</f>
        <v>0.26317207569067885</v>
      </c>
    </row>
    <row r="62" spans="1:84" s="6" customFormat="1" ht="11.25" x14ac:dyDescent="0.2">
      <c r="A62" s="11">
        <v>43148</v>
      </c>
      <c r="B62" s="380">
        <f>'2022'!Maxi_hp</f>
        <v>26.057323912775445</v>
      </c>
      <c r="C62" s="13">
        <f>'2022'!An_max</f>
        <v>2019</v>
      </c>
      <c r="D62" s="1070"/>
      <c r="E62" s="13"/>
      <c r="F62" s="13">
        <f t="shared" si="22"/>
        <v>5</v>
      </c>
      <c r="G62" s="13">
        <f t="shared" si="23"/>
        <v>4</v>
      </c>
      <c r="H62" s="173">
        <f t="shared" si="7"/>
        <v>43150</v>
      </c>
      <c r="I62" s="754">
        <f t="shared" si="8"/>
        <v>0.14285714285714285</v>
      </c>
      <c r="J62" s="747">
        <f t="shared" si="26"/>
        <v>25.404051020315716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P62" s="13">
        <f t="shared" si="10"/>
        <v>3</v>
      </c>
      <c r="AQ62" s="13">
        <f t="shared" si="11"/>
        <v>4</v>
      </c>
      <c r="AR62" s="173">
        <f t="shared" si="12"/>
        <v>43136</v>
      </c>
      <c r="AS62" s="754">
        <f t="shared" si="13"/>
        <v>0.42857142857142855</v>
      </c>
      <c r="AT62" s="770">
        <f t="shared" si="14"/>
        <v>25.24564139936119</v>
      </c>
      <c r="AU62" s="13">
        <f t="shared" si="15"/>
        <v>3</v>
      </c>
      <c r="AV62" s="13">
        <f t="shared" si="16"/>
        <v>2</v>
      </c>
      <c r="AW62" s="173">
        <f t="shared" si="17"/>
        <v>43150</v>
      </c>
      <c r="AX62" s="754">
        <f t="shared" si="18"/>
        <v>7.1428571428571425E-2</v>
      </c>
      <c r="AY62" s="770">
        <f t="shared" si="19"/>
        <v>25.427433378400746</v>
      </c>
      <c r="AZ62" s="747">
        <f t="shared" si="25"/>
        <v>25.33653738888097</v>
      </c>
      <c r="BA62" s="646">
        <f t="shared" si="20"/>
        <v>1.0257153039071329</v>
      </c>
      <c r="BB62" s="641">
        <v>43148</v>
      </c>
      <c r="BC62" s="11">
        <v>43148</v>
      </c>
      <c r="BD62" s="290">
        <f>[3]!FeuilCaduc*(1-Persistant)+Persistant</f>
        <v>0.800784882377781</v>
      </c>
      <c r="BE62" s="291">
        <f>[3]!CroissVégét</f>
        <v>8.1530774564185747E-3</v>
      </c>
      <c r="BF62" s="822">
        <f>1+[3]!Salcycl*Ksac</f>
        <v>1.0001962205944452</v>
      </c>
      <c r="BH62" s="1101">
        <f t="shared" si="21"/>
        <v>9.3753610739377782E-2</v>
      </c>
      <c r="BI62" s="11">
        <v>44244</v>
      </c>
      <c r="BJ62" s="727">
        <v>5.4039779059651949E-6</v>
      </c>
      <c r="BK62" s="727">
        <v>5.6868827604381767E-3</v>
      </c>
      <c r="BL62" s="727">
        <v>2.9821765977582564E-2</v>
      </c>
      <c r="BM62" s="727">
        <v>9.3646883631938335E-2</v>
      </c>
      <c r="BN62" s="727">
        <v>0.18854395998540829</v>
      </c>
      <c r="BO62" s="728">
        <v>0.32694188912336181</v>
      </c>
      <c r="BP62" s="727">
        <v>0.47853508425687408</v>
      </c>
      <c r="BQ62" s="727">
        <v>0.64137303967966508</v>
      </c>
      <c r="BR62" s="727">
        <v>0.79011032732044439</v>
      </c>
      <c r="BS62" s="727">
        <v>0.93107468200079935</v>
      </c>
      <c r="BT62" s="727">
        <v>1.0703499197027935</v>
      </c>
      <c r="BW62" s="1157">
        <f>'2018'!R\Max</f>
        <v>0</v>
      </c>
      <c r="BX62" s="1155">
        <f>'2019'!R\Max</f>
        <v>1.0257153039071329</v>
      </c>
      <c r="BY62" s="1155">
        <f>'2020'!R\Max</f>
        <v>0.15346037637036675</v>
      </c>
      <c r="BZ62" s="1155">
        <f>'2021'!R\Max</f>
        <v>0.94459465083635907</v>
      </c>
      <c r="CA62" s="1155">
        <f>'2022'!R\Max</f>
        <v>0.44170322499331799</v>
      </c>
      <c r="CB62" s="1155">
        <f>'2023'!R\Max</f>
        <v>0.43973966074112786</v>
      </c>
      <c r="CC62" s="1155">
        <f>'2024'!R\Max</f>
        <v>0.43769556351299316</v>
      </c>
      <c r="CD62" s="1155">
        <f>'2025'!R\Max</f>
        <v>0.43409011397384017</v>
      </c>
      <c r="CE62" s="1155">
        <f>'2026'!R\Max</f>
        <v>0.44729910083677948</v>
      </c>
      <c r="CF62" s="1156">
        <f>'2027'!R\Max</f>
        <v>0.44506983574125641</v>
      </c>
    </row>
    <row r="63" spans="1:84" s="6" customFormat="1" ht="11.25" x14ac:dyDescent="0.2">
      <c r="A63" s="11">
        <v>43149</v>
      </c>
      <c r="B63" s="380">
        <f>'2022'!Maxi_hp</f>
        <v>25.702210502087123</v>
      </c>
      <c r="C63" s="13">
        <f>'2022'!An_max</f>
        <v>2019</v>
      </c>
      <c r="D63" s="1070"/>
      <c r="E63" s="13"/>
      <c r="F63" s="13">
        <f t="shared" si="22"/>
        <v>5</v>
      </c>
      <c r="G63" s="13">
        <f t="shared" si="23"/>
        <v>4</v>
      </c>
      <c r="H63" s="173">
        <f t="shared" si="7"/>
        <v>43150</v>
      </c>
      <c r="I63" s="754">
        <f t="shared" si="8"/>
        <v>7.1428571428571425E-2</v>
      </c>
      <c r="J63" s="747">
        <f t="shared" si="26"/>
        <v>25.724598597136456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P63" s="13">
        <f t="shared" si="10"/>
        <v>3</v>
      </c>
      <c r="AQ63" s="13">
        <f t="shared" si="11"/>
        <v>4</v>
      </c>
      <c r="AR63" s="173">
        <f t="shared" si="12"/>
        <v>43136</v>
      </c>
      <c r="AS63" s="754">
        <f t="shared" si="13"/>
        <v>0.4642857142857143</v>
      </c>
      <c r="AT63" s="770">
        <f t="shared" si="14"/>
        <v>25.572729170608465</v>
      </c>
      <c r="AU63" s="13">
        <f t="shared" si="15"/>
        <v>3</v>
      </c>
      <c r="AV63" s="13">
        <f t="shared" si="16"/>
        <v>2</v>
      </c>
      <c r="AW63" s="173">
        <f t="shared" si="17"/>
        <v>43150</v>
      </c>
      <c r="AX63" s="754">
        <f t="shared" si="18"/>
        <v>3.5714285714285712E-2</v>
      </c>
      <c r="AY63" s="770">
        <f t="shared" si="19"/>
        <v>25.736602859480939</v>
      </c>
      <c r="AZ63" s="747">
        <f t="shared" si="25"/>
        <v>25.654666015044704</v>
      </c>
      <c r="BA63" s="646">
        <f t="shared" si="20"/>
        <v>0.9991297008983524</v>
      </c>
      <c r="BB63" s="641">
        <v>43149</v>
      </c>
      <c r="BC63" s="11">
        <v>43149</v>
      </c>
      <c r="BD63" s="290">
        <f>[3]!FeuilCaduc*(1-Persistant)+Persistant</f>
        <v>0.80084793317522285</v>
      </c>
      <c r="BE63" s="291">
        <f>[3]!CroissVégét</f>
        <v>8.5495548619151183E-3</v>
      </c>
      <c r="BF63" s="822">
        <f>1+[3]!Salcycl*Ksac</f>
        <v>1.0002119832938057</v>
      </c>
      <c r="BH63" s="1101">
        <f t="shared" si="21"/>
        <v>8.575184505534067E-2</v>
      </c>
      <c r="BI63" s="11">
        <v>44245</v>
      </c>
      <c r="BJ63" s="727">
        <v>4.081194982248969E-6</v>
      </c>
      <c r="BK63" s="727">
        <v>4.2775795605748419E-3</v>
      </c>
      <c r="BL63" s="727">
        <v>2.54896475604326E-2</v>
      </c>
      <c r="BM63" s="727">
        <v>8.5649706390438521E-2</v>
      </c>
      <c r="BN63" s="727">
        <v>0.17646694030975499</v>
      </c>
      <c r="BO63" s="728">
        <v>0.31304347842738234</v>
      </c>
      <c r="BP63" s="727">
        <v>0.4640899676891414</v>
      </c>
      <c r="BQ63" s="727">
        <v>0.62874826168947151</v>
      </c>
      <c r="BR63" s="727">
        <v>0.77920347016622182</v>
      </c>
      <c r="BS63" s="727">
        <v>0.9226269726142875</v>
      </c>
      <c r="BT63" s="727">
        <v>1.0645639030222964</v>
      </c>
      <c r="BW63" s="1157">
        <f>'2018'!R\Max</f>
        <v>0</v>
      </c>
      <c r="BX63" s="1155">
        <f>'2019'!R\Max</f>
        <v>0.9991297008983524</v>
      </c>
      <c r="BY63" s="1155">
        <f>'2020'!R\Max</f>
        <v>0.90401498208446396</v>
      </c>
      <c r="BZ63" s="1155">
        <f>'2021'!R\Max</f>
        <v>0.42537992582988376</v>
      </c>
      <c r="CA63" s="1155">
        <f>'2022'!R\Max</f>
        <v>0.83279820367298862</v>
      </c>
      <c r="CB63" s="1155">
        <f>'2023'!R\Max</f>
        <v>0.83171494582086136</v>
      </c>
      <c r="CC63" s="1155">
        <f>'2024'!R\Max</f>
        <v>0.83057590661811886</v>
      </c>
      <c r="CD63" s="1155">
        <f>'2025'!R\Max</f>
        <v>0.82853734899289722</v>
      </c>
      <c r="CE63" s="1155">
        <f>'2026'!R\Max</f>
        <v>0.83581209018743052</v>
      </c>
      <c r="CF63" s="1156">
        <f>'2027'!R\Max</f>
        <v>0.83463894285589768</v>
      </c>
    </row>
    <row r="64" spans="1:84" s="6" customFormat="1" ht="11.25" x14ac:dyDescent="0.2">
      <c r="A64" s="11">
        <v>43150</v>
      </c>
      <c r="B64" s="380">
        <f>'2022'!Maxi_hp</f>
        <v>25.212086475297145</v>
      </c>
      <c r="C64" s="13">
        <f>'2022'!An_max</f>
        <v>2021</v>
      </c>
      <c r="D64" s="1070"/>
      <c r="E64" s="1073">
        <f>Q$13/10</f>
        <v>26.041399999999999</v>
      </c>
      <c r="F64" s="13">
        <f t="shared" si="22"/>
        <v>5</v>
      </c>
      <c r="G64" s="13">
        <f t="shared" si="23"/>
        <v>6</v>
      </c>
      <c r="H64" s="173">
        <f t="shared" si="7"/>
        <v>43150</v>
      </c>
      <c r="I64" s="754">
        <f t="shared" si="8"/>
        <v>0</v>
      </c>
      <c r="J64" s="747">
        <f t="shared" si="26"/>
        <v>26.041400000080465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P64" s="13">
        <f t="shared" si="10"/>
        <v>3</v>
      </c>
      <c r="AQ64" s="13">
        <f t="shared" si="11"/>
        <v>4</v>
      </c>
      <c r="AR64" s="173">
        <f t="shared" si="12"/>
        <v>43136</v>
      </c>
      <c r="AS64" s="754">
        <f t="shared" si="13"/>
        <v>0.5</v>
      </c>
      <c r="AT64" s="770">
        <f t="shared" si="14"/>
        <v>25.900668749772013</v>
      </c>
      <c r="AU64" s="13">
        <f t="shared" si="15"/>
        <v>3</v>
      </c>
      <c r="AV64" s="13">
        <f t="shared" si="16"/>
        <v>4</v>
      </c>
      <c r="AW64" s="173">
        <f t="shared" si="17"/>
        <v>43150</v>
      </c>
      <c r="AX64" s="754">
        <f t="shared" si="18"/>
        <v>0</v>
      </c>
      <c r="AY64" s="770">
        <f t="shared" si="19"/>
        <v>26.041399999987334</v>
      </c>
      <c r="AZ64" s="747">
        <f t="shared" si="25"/>
        <v>25.971034374879672</v>
      </c>
      <c r="BA64" s="646">
        <f t="shared" si="20"/>
        <v>0.96815403454573268</v>
      </c>
      <c r="BB64" s="641">
        <v>43150</v>
      </c>
      <c r="BC64" s="11">
        <v>43150</v>
      </c>
      <c r="BD64" s="290">
        <f>[3]!FeuilCaduc*(1-Persistant)+Persistant</f>
        <v>0.80091042252837996</v>
      </c>
      <c r="BE64" s="291">
        <f>[3]!CroissVégét</f>
        <v>8.9623283475330478E-3</v>
      </c>
      <c r="BF64" s="822">
        <f>1+[3]!Salcycl*Ksac</f>
        <v>1.0002276056320949</v>
      </c>
      <c r="BH64" s="1101">
        <f t="shared" si="21"/>
        <v>7.8026411710193547E-2</v>
      </c>
      <c r="BI64" s="11">
        <v>44246</v>
      </c>
      <c r="BJ64" s="727">
        <v>2.9950544936778609E-6</v>
      </c>
      <c r="BK64" s="727">
        <v>3.1311115441581437E-3</v>
      </c>
      <c r="BL64" s="727">
        <v>2.1520660455022624E-2</v>
      </c>
      <c r="BM64" s="727">
        <v>7.7928957426362508E-2</v>
      </c>
      <c r="BN64" s="727">
        <v>0.16458104456303091</v>
      </c>
      <c r="BO64" s="728">
        <v>0.29909589504758066</v>
      </c>
      <c r="BP64" s="727">
        <v>0.44926269501749883</v>
      </c>
      <c r="BQ64" s="727">
        <v>0.61538883892928731</v>
      </c>
      <c r="BR64" s="727">
        <v>0.76736301172107402</v>
      </c>
      <c r="BS64" s="727">
        <v>0.91349379454212631</v>
      </c>
      <c r="BT64" s="727">
        <v>1.058432065665629</v>
      </c>
      <c r="BW64" s="1157">
        <f>'2018'!R\Max</f>
        <v>0</v>
      </c>
      <c r="BX64" s="1155">
        <f>'2019'!R\Max</f>
        <v>0.70691435421970472</v>
      </c>
      <c r="BY64" s="1155">
        <f>'2020'!R\Max</f>
        <v>0.69129719919648513</v>
      </c>
      <c r="BZ64" s="1155">
        <f>'2021'!R\Max</f>
        <v>0.96815403454573268</v>
      </c>
      <c r="CA64" s="1155">
        <f>'2022'!R\Max</f>
        <v>0.52558655715538438</v>
      </c>
      <c r="CB64" s="1155">
        <f>'2023'!R\Max</f>
        <v>0.52370478440342472</v>
      </c>
      <c r="CC64" s="1155">
        <f>'2024'!R\Max</f>
        <v>0.52172845509576193</v>
      </c>
      <c r="CD64" s="1155">
        <f>'2025'!R\Max</f>
        <v>0.51819674724702613</v>
      </c>
      <c r="CE64" s="1155">
        <f>'2026'!R\Max</f>
        <v>0.53080380566975804</v>
      </c>
      <c r="CF64" s="1156">
        <f>'2027'!R\Max</f>
        <v>0.5288027557899605</v>
      </c>
    </row>
    <row r="65" spans="1:84" s="6" customFormat="1" ht="11.25" x14ac:dyDescent="0.2">
      <c r="A65" s="11">
        <v>43151</v>
      </c>
      <c r="B65" s="380">
        <f>'2022'!Maxi_hp</f>
        <v>26.392814303463727</v>
      </c>
      <c r="C65" s="13">
        <f>'2022'!An_max</f>
        <v>2020</v>
      </c>
      <c r="D65" s="1070"/>
      <c r="E65" s="13"/>
      <c r="F65" s="13">
        <f t="shared" si="22"/>
        <v>5</v>
      </c>
      <c r="G65" s="13">
        <f t="shared" si="23"/>
        <v>6</v>
      </c>
      <c r="H65" s="173">
        <f t="shared" si="7"/>
        <v>43150</v>
      </c>
      <c r="I65" s="754">
        <f t="shared" si="8"/>
        <v>7.1428571428571425E-2</v>
      </c>
      <c r="J65" s="747">
        <f t="shared" si="26"/>
        <v>26.355579081563548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P65" s="13">
        <f t="shared" si="10"/>
        <v>3</v>
      </c>
      <c r="AQ65" s="13">
        <f t="shared" si="11"/>
        <v>4</v>
      </c>
      <c r="AR65" s="173">
        <f t="shared" si="12"/>
        <v>43136</v>
      </c>
      <c r="AS65" s="754">
        <f t="shared" si="13"/>
        <v>0.5357142857142857</v>
      </c>
      <c r="AT65" s="770">
        <f t="shared" si="14"/>
        <v>26.229045383259653</v>
      </c>
      <c r="AU65" s="13">
        <f t="shared" si="15"/>
        <v>3</v>
      </c>
      <c r="AV65" s="13">
        <f t="shared" si="16"/>
        <v>4</v>
      </c>
      <c r="AW65" s="173">
        <f t="shared" si="17"/>
        <v>43150</v>
      </c>
      <c r="AX65" s="754">
        <f t="shared" si="18"/>
        <v>3.5714285714285712E-2</v>
      </c>
      <c r="AY65" s="770">
        <f t="shared" si="19"/>
        <v>26.345223587827057</v>
      </c>
      <c r="AZ65" s="747">
        <f t="shared" si="25"/>
        <v>26.287134485543355</v>
      </c>
      <c r="BA65" s="646">
        <f t="shared" si="20"/>
        <v>1.0014128022679731</v>
      </c>
      <c r="BB65" s="641">
        <v>43151</v>
      </c>
      <c r="BC65" s="11">
        <v>43151</v>
      </c>
      <c r="BD65" s="290">
        <f>[3]!FeuilCaduc*(1-Persistant)+Persistant</f>
        <v>0.80097207506499557</v>
      </c>
      <c r="BE65" s="291">
        <f>[3]!CroissVégét</f>
        <v>9.3920531593536197E-3</v>
      </c>
      <c r="BF65" s="822">
        <f>1+[3]!Salcycl*Ksac</f>
        <v>1.0002430187662488</v>
      </c>
      <c r="BH65" s="1101">
        <f t="shared" si="21"/>
        <v>7.0577125985232012E-2</v>
      </c>
      <c r="BI65" s="11">
        <v>44247</v>
      </c>
      <c r="BJ65" s="727">
        <v>2.1454960622645156E-6</v>
      </c>
      <c r="BK65" s="727">
        <v>2.2474133316256967E-3</v>
      </c>
      <c r="BL65" s="727">
        <v>1.7914659183817336E-2</v>
      </c>
      <c r="BM65" s="727">
        <v>7.0484452037600898E-2</v>
      </c>
      <c r="BN65" s="727">
        <v>0.152886073287545</v>
      </c>
      <c r="BO65" s="728">
        <v>0.28509907159645609</v>
      </c>
      <c r="BP65" s="727">
        <v>0.43405340001610032</v>
      </c>
      <c r="BQ65" s="727">
        <v>0.60129520427463268</v>
      </c>
      <c r="BR65" s="727">
        <v>0.75458964891033276</v>
      </c>
      <c r="BS65" s="727">
        <v>0.90367608449131231</v>
      </c>
      <c r="BT65" s="727">
        <v>1.0519555807932484</v>
      </c>
      <c r="BW65" s="1157">
        <f>'2018'!R\Max</f>
        <v>0</v>
      </c>
      <c r="BX65" s="1155">
        <f>'2019'!R\Max</f>
        <v>0.99474230660305996</v>
      </c>
      <c r="BY65" s="1155">
        <f>'2020'!R\Max</f>
        <v>1.0014128022679731</v>
      </c>
      <c r="BZ65" s="1155">
        <f>'2021'!R\Max</f>
        <v>0.80917571189353765</v>
      </c>
      <c r="CA65" s="1155">
        <f>'2022'!R\Max</f>
        <v>0.58430587768730335</v>
      </c>
      <c r="CB65" s="1155">
        <f>'2023'!R\Max</f>
        <v>0.58252581860552688</v>
      </c>
      <c r="CC65" s="1155">
        <f>'2024'!R\Max</f>
        <v>0.58064778614279222</v>
      </c>
      <c r="CD65" s="1155">
        <f>'2025'!R\Max</f>
        <v>0.57726973734411124</v>
      </c>
      <c r="CE65" s="1155">
        <f>'2026'!R\Max</f>
        <v>0.58917045873080531</v>
      </c>
      <c r="CF65" s="1156">
        <f>'2027'!R\Max</f>
        <v>0.58734271494942047</v>
      </c>
    </row>
    <row r="66" spans="1:84" s="6" customFormat="1" ht="11.25" x14ac:dyDescent="0.2">
      <c r="A66" s="11">
        <v>43152</v>
      </c>
      <c r="B66" s="380">
        <f>'2022'!Maxi_hp</f>
        <v>25.140056728294933</v>
      </c>
      <c r="C66" s="13">
        <f>'2022'!An_max</f>
        <v>2019</v>
      </c>
      <c r="D66" s="1070"/>
      <c r="E66" s="13"/>
      <c r="F66" s="13">
        <f t="shared" si="22"/>
        <v>5</v>
      </c>
      <c r="G66" s="13">
        <f t="shared" si="23"/>
        <v>6</v>
      </c>
      <c r="H66" s="173">
        <f t="shared" si="7"/>
        <v>43150</v>
      </c>
      <c r="I66" s="754">
        <f t="shared" si="8"/>
        <v>0.14285714285714285</v>
      </c>
      <c r="J66" s="747">
        <f t="shared" si="26"/>
        <v>26.668759183771908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P66" s="13">
        <f t="shared" si="10"/>
        <v>3</v>
      </c>
      <c r="AQ66" s="13">
        <f t="shared" si="11"/>
        <v>4</v>
      </c>
      <c r="AR66" s="173">
        <f t="shared" si="12"/>
        <v>43136</v>
      </c>
      <c r="AS66" s="754">
        <f t="shared" si="13"/>
        <v>0.5714285714285714</v>
      </c>
      <c r="AT66" s="770">
        <f t="shared" si="14"/>
        <v>26.557444315084389</v>
      </c>
      <c r="AU66" s="13">
        <f t="shared" si="15"/>
        <v>3</v>
      </c>
      <c r="AV66" s="13">
        <f t="shared" si="16"/>
        <v>4</v>
      </c>
      <c r="AW66" s="173">
        <f t="shared" si="17"/>
        <v>43150</v>
      </c>
      <c r="AX66" s="754">
        <f t="shared" si="18"/>
        <v>7.1428571428571425E-2</v>
      </c>
      <c r="AY66" s="770">
        <f t="shared" si="19"/>
        <v>26.651598141392292</v>
      </c>
      <c r="AZ66" s="747">
        <f t="shared" si="25"/>
        <v>26.60452122823834</v>
      </c>
      <c r="BA66" s="646">
        <f t="shared" si="20"/>
        <v>0.94267815592983428</v>
      </c>
      <c r="BB66" s="641">
        <v>43152</v>
      </c>
      <c r="BC66" s="11">
        <v>43152</v>
      </c>
      <c r="BD66" s="290">
        <f>[3]!FeuilCaduc*(1-Persistant)+Persistant</f>
        <v>0.80103266381931448</v>
      </c>
      <c r="BE66" s="291">
        <f>[3]!CroissVégét</f>
        <v>9.8394096579268626E-3</v>
      </c>
      <c r="BF66" s="822">
        <f>1+[3]!Salcycl*Ksac</f>
        <v>1.0002581659548286</v>
      </c>
      <c r="BH66" s="1101">
        <f t="shared" si="21"/>
        <v>6.358965357585572E-2</v>
      </c>
      <c r="BI66" s="11">
        <v>44248</v>
      </c>
      <c r="BJ66" s="727">
        <v>1.5324708685575899E-6</v>
      </c>
      <c r="BK66" s="727">
        <v>1.6277925446003946E-3</v>
      </c>
      <c r="BL66" s="727">
        <v>1.4791725657853876E-2</v>
      </c>
      <c r="BM66" s="727">
        <v>6.3501842287605567E-2</v>
      </c>
      <c r="BN66" s="727">
        <v>0.14157979947855495</v>
      </c>
      <c r="BO66" s="728">
        <v>0.27106935980506613</v>
      </c>
      <c r="BP66" s="727">
        <v>0.41841087547155242</v>
      </c>
      <c r="BQ66" s="727">
        <v>0.58617312765278662</v>
      </c>
      <c r="BR66" s="727">
        <v>0.74058536719790224</v>
      </c>
      <c r="BS66" s="727">
        <v>0.89282874698860715</v>
      </c>
      <c r="BT66" s="727">
        <v>1.0449881292541858</v>
      </c>
      <c r="BW66" s="1157">
        <f>'2018'!R\Max</f>
        <v>0</v>
      </c>
      <c r="BX66" s="1155">
        <f>'2019'!R\Max</f>
        <v>0.94267815592983428</v>
      </c>
      <c r="BY66" s="1155">
        <f>'2020'!R\Max</f>
        <v>0.39571997218299038</v>
      </c>
      <c r="BZ66" s="1155">
        <f>'2021'!R\Max</f>
        <v>0.29914645985087984</v>
      </c>
      <c r="CA66" s="1155">
        <f>'2022'!R\Max</f>
        <v>0.59808763938453513</v>
      </c>
      <c r="CB66" s="1155">
        <f>'2023'!R\Max</f>
        <v>0.59638332542864603</v>
      </c>
      <c r="CC66" s="1155">
        <f>'2024'!R\Max</f>
        <v>0.5945776907709307</v>
      </c>
      <c r="CD66" s="1155">
        <f>'2025'!R\Max</f>
        <v>0.59131048947723974</v>
      </c>
      <c r="CE66" s="1155">
        <f>'2026'!R\Max</f>
        <v>0.60268576254733153</v>
      </c>
      <c r="CF66" s="1156">
        <f>'2027'!R\Max</f>
        <v>0.6009928531345462</v>
      </c>
    </row>
    <row r="67" spans="1:84" s="6" customFormat="1" ht="11.25" x14ac:dyDescent="0.2">
      <c r="A67" s="11">
        <v>43153</v>
      </c>
      <c r="B67" s="380">
        <f>'2022'!Maxi_hp</f>
        <v>26.553607822777124</v>
      </c>
      <c r="C67" s="13">
        <f>'2022'!An_max</f>
        <v>2019</v>
      </c>
      <c r="D67" s="1070"/>
      <c r="E67" s="13"/>
      <c r="F67" s="13">
        <f t="shared" si="22"/>
        <v>5</v>
      </c>
      <c r="G67" s="13">
        <f t="shared" si="23"/>
        <v>6</v>
      </c>
      <c r="H67" s="173">
        <f t="shared" si="7"/>
        <v>43150</v>
      </c>
      <c r="I67" s="754">
        <f t="shared" si="8"/>
        <v>0.21428571428571427</v>
      </c>
      <c r="J67" s="747">
        <f t="shared" si="26"/>
        <v>26.98094030614676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P67" s="13">
        <f t="shared" si="10"/>
        <v>3</v>
      </c>
      <c r="AQ67" s="13">
        <f t="shared" si="11"/>
        <v>4</v>
      </c>
      <c r="AR67" s="173">
        <f t="shared" si="12"/>
        <v>43136</v>
      </c>
      <c r="AS67" s="754">
        <f t="shared" si="13"/>
        <v>0.6071428571428571</v>
      </c>
      <c r="AT67" s="770">
        <f t="shared" si="14"/>
        <v>26.885450790363496</v>
      </c>
      <c r="AU67" s="13">
        <f t="shared" si="15"/>
        <v>3</v>
      </c>
      <c r="AV67" s="13">
        <f t="shared" si="16"/>
        <v>4</v>
      </c>
      <c r="AW67" s="173">
        <f t="shared" si="17"/>
        <v>43150</v>
      </c>
      <c r="AX67" s="754">
        <f t="shared" si="18"/>
        <v>0.10714285714285714</v>
      </c>
      <c r="AY67" s="770">
        <f t="shared" si="19"/>
        <v>26.960202560091524</v>
      </c>
      <c r="AZ67" s="747">
        <f t="shared" si="25"/>
        <v>26.922826675227512</v>
      </c>
      <c r="BA67" s="646">
        <f t="shared" si="20"/>
        <v>0.98416169049259261</v>
      </c>
      <c r="BB67" s="641">
        <v>43153</v>
      </c>
      <c r="BC67" s="11">
        <v>43153</v>
      </c>
      <c r="BD67" s="290">
        <f>[3]!FeuilCaduc*(1-Persistant)+Persistant</f>
        <v>0.80109201537872954</v>
      </c>
      <c r="BE67" s="291">
        <f>[3]!CroissVégét</f>
        <v>1.0305104176065441E-2</v>
      </c>
      <c r="BF67" s="822">
        <f>1+[3]!Salcycl*Ksac</f>
        <v>1.0002730038446823</v>
      </c>
      <c r="BH67" s="1101">
        <f t="shared" si="21"/>
        <v>5.7026873645948446E-2</v>
      </c>
      <c r="BI67" s="11">
        <v>44249</v>
      </c>
      <c r="BJ67" s="727">
        <v>1.02163845420138E-6</v>
      </c>
      <c r="BK67" s="727">
        <v>1.109604252766684E-3</v>
      </c>
      <c r="BL67" s="727">
        <v>1.2024757267294283E-2</v>
      </c>
      <c r="BM67" s="727">
        <v>5.6943851952308638E-2</v>
      </c>
      <c r="BN67" s="727">
        <v>0.13076311108290367</v>
      </c>
      <c r="BO67" s="728">
        <v>0.25720576851311733</v>
      </c>
      <c r="BP67" s="727">
        <v>0.40274189046010872</v>
      </c>
      <c r="BQ67" s="727">
        <v>0.57049903688507475</v>
      </c>
      <c r="BR67" s="727">
        <v>0.72588972223674431</v>
      </c>
      <c r="BS67" s="727">
        <v>0.88135458803533417</v>
      </c>
      <c r="BT67" s="727">
        <v>1.0378447780333306</v>
      </c>
      <c r="BW67" s="1157">
        <f>'2018'!R\Max</f>
        <v>0</v>
      </c>
      <c r="BX67" s="1155">
        <f>'2019'!R\Max</f>
        <v>0.98416169049259261</v>
      </c>
      <c r="BY67" s="1155">
        <f>'2020'!R\Max</f>
        <v>0.94657205850847859</v>
      </c>
      <c r="BZ67" s="1155">
        <f>'2021'!R\Max</f>
        <v>0.2012848570271982</v>
      </c>
      <c r="CA67" s="1155">
        <f>'2022'!R\Max</f>
        <v>0.92870827043486204</v>
      </c>
      <c r="CB67" s="1155">
        <f>'2023'!R\Max</f>
        <v>0.92825441299663225</v>
      </c>
      <c r="CC67" s="1155">
        <f>'2024'!R\Max</f>
        <v>0.92776909081839209</v>
      </c>
      <c r="CD67" s="1155">
        <f>'2025'!R\Max</f>
        <v>0.92687909279136993</v>
      </c>
      <c r="CE67" s="1155">
        <f>'2026'!R\Max</f>
        <v>0.92990829684986887</v>
      </c>
      <c r="CF67" s="1156">
        <f>'2027'!R\Max</f>
        <v>0.92947684154805532</v>
      </c>
    </row>
    <row r="68" spans="1:84" s="6" customFormat="1" ht="11.25" x14ac:dyDescent="0.2">
      <c r="A68" s="11">
        <v>43154</v>
      </c>
      <c r="B68" s="380">
        <f>'2022'!Maxi_hp</f>
        <v>27.261868971635646</v>
      </c>
      <c r="C68" s="13">
        <f>'2022'!An_max</f>
        <v>2019</v>
      </c>
      <c r="D68" s="1070"/>
      <c r="E68" s="13"/>
      <c r="F68" s="13">
        <f t="shared" si="22"/>
        <v>5</v>
      </c>
      <c r="G68" s="13">
        <f t="shared" si="23"/>
        <v>6</v>
      </c>
      <c r="H68" s="173">
        <f t="shared" si="7"/>
        <v>43150</v>
      </c>
      <c r="I68" s="754">
        <f t="shared" si="8"/>
        <v>0.2857142857142857</v>
      </c>
      <c r="J68" s="747">
        <f t="shared" si="26"/>
        <v>27.292122449113855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P68" s="13">
        <f t="shared" si="10"/>
        <v>3</v>
      </c>
      <c r="AQ68" s="13">
        <f t="shared" si="11"/>
        <v>4</v>
      </c>
      <c r="AR68" s="173">
        <f t="shared" si="12"/>
        <v>43136</v>
      </c>
      <c r="AS68" s="754">
        <f t="shared" si="13"/>
        <v>0.6428571428571429</v>
      </c>
      <c r="AT68" s="770">
        <f t="shared" si="14"/>
        <v>27.212650054733139</v>
      </c>
      <c r="AU68" s="13">
        <f t="shared" si="15"/>
        <v>3</v>
      </c>
      <c r="AV68" s="13">
        <f t="shared" si="16"/>
        <v>4</v>
      </c>
      <c r="AW68" s="173">
        <f t="shared" si="17"/>
        <v>43150</v>
      </c>
      <c r="AX68" s="754">
        <f t="shared" si="18"/>
        <v>0.14285714285714285</v>
      </c>
      <c r="AY68" s="770">
        <f t="shared" si="19"/>
        <v>27.270715743436348</v>
      </c>
      <c r="AZ68" s="747">
        <f t="shared" si="25"/>
        <v>27.241682899084743</v>
      </c>
      <c r="BA68" s="646">
        <f t="shared" si="20"/>
        <v>0.9988914941469057</v>
      </c>
      <c r="BB68" s="641">
        <v>43154</v>
      </c>
      <c r="BC68" s="11">
        <v>43154</v>
      </c>
      <c r="BD68" s="290">
        <f>[3]!FeuilCaduc*(1-Persistant)+Persistant</f>
        <v>0.80115001465501567</v>
      </c>
      <c r="BE68" s="291">
        <f>[3]!CroissVégét</f>
        <v>1.0789869896821172E-2</v>
      </c>
      <c r="BF68" s="822">
        <f>1+[3]!Salcycl*Ksac</f>
        <v>1.000287503663754</v>
      </c>
      <c r="BH68" s="1101">
        <f t="shared" si="21"/>
        <v>5.0888335501850145E-2</v>
      </c>
      <c r="BI68" s="11">
        <v>44250</v>
      </c>
      <c r="BJ68" s="727">
        <v>6.1297978521393198E-7</v>
      </c>
      <c r="BK68" s="727">
        <v>6.928288274079355E-4</v>
      </c>
      <c r="BL68" s="727">
        <v>9.6136224947748119E-3</v>
      </c>
      <c r="BM68" s="727">
        <v>5.0810030880105675E-2</v>
      </c>
      <c r="BN68" s="727">
        <v>0.12043507597682594</v>
      </c>
      <c r="BO68" s="728">
        <v>0.24350664014467696</v>
      </c>
      <c r="BP68" s="727">
        <v>0.38704398148700853</v>
      </c>
      <c r="BQ68" s="727">
        <v>0.55426959126651421</v>
      </c>
      <c r="BR68" s="727">
        <v>0.71049856999219241</v>
      </c>
      <c r="BS68" s="727">
        <v>0.86924869923374004</v>
      </c>
      <c r="BT68" s="727">
        <v>1.0305198594835001</v>
      </c>
      <c r="BW68" s="1157">
        <f>'2018'!R\Max</f>
        <v>0</v>
      </c>
      <c r="BX68" s="1155">
        <f>'2019'!R\Max</f>
        <v>0.9988914941469057</v>
      </c>
      <c r="BY68" s="1155">
        <f>'2020'!R\Max</f>
        <v>0.97840488582856777</v>
      </c>
      <c r="BZ68" s="1155">
        <f>'2021'!R\Max</f>
        <v>0.78811604934294932</v>
      </c>
      <c r="CA68" s="1155">
        <f>'2022'!R\Max</f>
        <v>0.93873562927829846</v>
      </c>
      <c r="CB68" s="1155">
        <f>'2023'!R\Max</f>
        <v>0.93835649962172585</v>
      </c>
      <c r="CC68" s="1155">
        <f>'2024'!R\Max</f>
        <v>0.93794893688289049</v>
      </c>
      <c r="CD68" s="1155">
        <f>'2025'!R\Max</f>
        <v>0.9371958739990176</v>
      </c>
      <c r="CE68" s="1155">
        <f>'2026'!R\Max</f>
        <v>0.93972690779137158</v>
      </c>
      <c r="CF68" s="1156">
        <f>'2027'!R\Max</f>
        <v>0.93937742133807245</v>
      </c>
    </row>
    <row r="69" spans="1:84" s="6" customFormat="1" ht="11.25" x14ac:dyDescent="0.2">
      <c r="A69" s="11">
        <v>43155</v>
      </c>
      <c r="B69" s="380">
        <f>'2022'!Maxi_hp</f>
        <v>27.125715294135134</v>
      </c>
      <c r="C69" s="13">
        <f>'2022'!An_max</f>
        <v>2019</v>
      </c>
      <c r="D69" s="1070"/>
      <c r="E69" s="13"/>
      <c r="F69" s="13">
        <f t="shared" si="22"/>
        <v>5</v>
      </c>
      <c r="G69" s="13">
        <f t="shared" si="23"/>
        <v>6</v>
      </c>
      <c r="H69" s="173">
        <f t="shared" si="7"/>
        <v>43150</v>
      </c>
      <c r="I69" s="754">
        <f t="shared" si="8"/>
        <v>0.35714285714285715</v>
      </c>
      <c r="J69" s="747">
        <f t="shared" si="26"/>
        <v>27.602305612274044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P69" s="13">
        <f t="shared" si="10"/>
        <v>3</v>
      </c>
      <c r="AQ69" s="13">
        <f t="shared" si="11"/>
        <v>4</v>
      </c>
      <c r="AR69" s="173">
        <f t="shared" si="12"/>
        <v>43136</v>
      </c>
      <c r="AS69" s="754">
        <f t="shared" si="13"/>
        <v>0.6785714285714286</v>
      </c>
      <c r="AT69" s="770">
        <f t="shared" si="14"/>
        <v>27.538627352938057</v>
      </c>
      <c r="AU69" s="13">
        <f t="shared" si="15"/>
        <v>3</v>
      </c>
      <c r="AV69" s="13">
        <f t="shared" si="16"/>
        <v>4</v>
      </c>
      <c r="AW69" s="173">
        <f t="shared" si="17"/>
        <v>43150</v>
      </c>
      <c r="AX69" s="754">
        <f t="shared" si="18"/>
        <v>0.17857142857142858</v>
      </c>
      <c r="AY69" s="770">
        <f t="shared" si="19"/>
        <v>27.582816590651468</v>
      </c>
      <c r="AZ69" s="747">
        <f t="shared" si="25"/>
        <v>27.560721971794763</v>
      </c>
      <c r="BA69" s="646">
        <f t="shared" si="20"/>
        <v>0.98273367722126148</v>
      </c>
      <c r="BB69" s="641">
        <v>43155</v>
      </c>
      <c r="BC69" s="11">
        <v>43155</v>
      </c>
      <c r="BD69" s="290">
        <f>[3]!FeuilCaduc*(1-Persistant)+Persistant</f>
        <v>0.80120660923865139</v>
      </c>
      <c r="BE69" s="291">
        <f>[3]!CroissVégét</f>
        <v>1.1294467751257744E-2</v>
      </c>
      <c r="BF69" s="822">
        <f>1+[3]!Salcycl*Ksac</f>
        <v>1.0003016523096628</v>
      </c>
      <c r="BH69" s="1101">
        <f t="shared" si="21"/>
        <v>4.5173955899957506E-2</v>
      </c>
      <c r="BI69" s="11">
        <v>44251</v>
      </c>
      <c r="BJ69" s="727">
        <v>3.0648912936123886E-7</v>
      </c>
      <c r="BK69" s="727">
        <v>3.7746044332945819E-4</v>
      </c>
      <c r="BL69" s="727">
        <v>7.5582893666384481E-3</v>
      </c>
      <c r="BM69" s="727">
        <v>4.5100295901687487E-2</v>
      </c>
      <c r="BN69" s="727">
        <v>0.11059554493194962</v>
      </c>
      <c r="BO69" s="728">
        <v>0.22997175374364018</v>
      </c>
      <c r="BP69" s="727">
        <v>0.37131685898722389</v>
      </c>
      <c r="BQ69" s="727">
        <v>0.53748444307249588</v>
      </c>
      <c r="BR69" s="727">
        <v>0.69441151510764187</v>
      </c>
      <c r="BS69" s="727">
        <v>0.85651065620332578</v>
      </c>
      <c r="BT69" s="727">
        <v>1.0230129269043557</v>
      </c>
      <c r="BW69" s="1157">
        <f>'2018'!R\Max</f>
        <v>0</v>
      </c>
      <c r="BX69" s="1155">
        <f>'2019'!R\Max</f>
        <v>0.98273367722126148</v>
      </c>
      <c r="BY69" s="1155">
        <f>'2020'!R\Max</f>
        <v>0.94095648923058406</v>
      </c>
      <c r="BZ69" s="1155">
        <f>'2021'!R\Max</f>
        <v>0.95435901171767634</v>
      </c>
      <c r="CA69" s="1155">
        <f>'2022'!R\Max</f>
        <v>0.59511590968479666</v>
      </c>
      <c r="CB69" s="1155">
        <f>'2023'!R\Max</f>
        <v>0.59359676311249987</v>
      </c>
      <c r="CC69" s="1155">
        <f>'2024'!R\Max</f>
        <v>0.59196133336674317</v>
      </c>
      <c r="CD69" s="1155">
        <f>'2025'!R\Max</f>
        <v>0.58893428957151051</v>
      </c>
      <c r="CE69" s="1155">
        <f>'2026'!R\Max</f>
        <v>0.59907756841594328</v>
      </c>
      <c r="CF69" s="1156">
        <f>'2027'!R\Max</f>
        <v>0.59770233716941057</v>
      </c>
    </row>
    <row r="70" spans="1:84" s="6" customFormat="1" ht="11.25" x14ac:dyDescent="0.2">
      <c r="A70" s="11">
        <v>43156</v>
      </c>
      <c r="B70" s="380">
        <f>'2022'!Maxi_hp</f>
        <v>27.521029362463523</v>
      </c>
      <c r="C70" s="13">
        <f>'2022'!An_max</f>
        <v>2019</v>
      </c>
      <c r="D70" s="1070"/>
      <c r="E70" s="13"/>
      <c r="F70" s="13">
        <f t="shared" si="22"/>
        <v>5</v>
      </c>
      <c r="G70" s="13">
        <f t="shared" si="23"/>
        <v>6</v>
      </c>
      <c r="H70" s="173">
        <f t="shared" si="7"/>
        <v>43150</v>
      </c>
      <c r="I70" s="754">
        <f t="shared" si="8"/>
        <v>0.42857142857142855</v>
      </c>
      <c r="J70" s="747">
        <f t="shared" si="26"/>
        <v>27.911489795813601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P70" s="13">
        <f t="shared" si="10"/>
        <v>3</v>
      </c>
      <c r="AQ70" s="13">
        <f t="shared" si="11"/>
        <v>4</v>
      </c>
      <c r="AR70" s="173">
        <f t="shared" si="12"/>
        <v>43136</v>
      </c>
      <c r="AS70" s="754">
        <f t="shared" si="13"/>
        <v>0.7142857142857143</v>
      </c>
      <c r="AT70" s="770">
        <f t="shared" si="14"/>
        <v>27.862967930068926</v>
      </c>
      <c r="AU70" s="13">
        <f t="shared" si="15"/>
        <v>3</v>
      </c>
      <c r="AV70" s="13">
        <f t="shared" si="16"/>
        <v>4</v>
      </c>
      <c r="AW70" s="173">
        <f t="shared" si="17"/>
        <v>43150</v>
      </c>
      <c r="AX70" s="754">
        <f t="shared" si="18"/>
        <v>0.21428571428571427</v>
      </c>
      <c r="AY70" s="770">
        <f t="shared" si="19"/>
        <v>27.896184001440581</v>
      </c>
      <c r="AZ70" s="747">
        <f t="shared" si="25"/>
        <v>27.879575965754753</v>
      </c>
      <c r="BA70" s="646">
        <f t="shared" si="20"/>
        <v>0.98601076344521588</v>
      </c>
      <c r="BB70" s="641">
        <v>43156</v>
      </c>
      <c r="BC70" s="11">
        <v>43156</v>
      </c>
      <c r="BD70" s="290">
        <f>[3]!FeuilCaduc*(1-Persistant)+Persistant</f>
        <v>0.80126181329995483</v>
      </c>
      <c r="BE70" s="291">
        <f>[3]!CroissVégét</f>
        <v>1.1819687335529849E-2</v>
      </c>
      <c r="BF70" s="822">
        <f>1+[3]!Salcycl*Ksac</f>
        <v>1.0003154533249887</v>
      </c>
      <c r="BH70" s="1101">
        <f t="shared" si="21"/>
        <v>3.9883667673813614E-2</v>
      </c>
      <c r="BI70" s="11">
        <v>44252</v>
      </c>
      <c r="BJ70" s="727">
        <v>1.0216304437777482E-7</v>
      </c>
      <c r="BK70" s="727">
        <v>1.6349556475856575E-4</v>
      </c>
      <c r="BL70" s="727">
        <v>5.8587353455855267E-3</v>
      </c>
      <c r="BM70" s="727">
        <v>3.9814579916720584E-2</v>
      </c>
      <c r="BN70" s="727">
        <v>0.10124439205387352</v>
      </c>
      <c r="BO70" s="728">
        <v>0.21660091132049217</v>
      </c>
      <c r="BP70" s="727">
        <v>0.35556025612088438</v>
      </c>
      <c r="BQ70" s="727">
        <v>0.52014325939619821</v>
      </c>
      <c r="BR70" s="727">
        <v>0.67762817348255211</v>
      </c>
      <c r="BS70" s="727">
        <v>0.84314004200119363</v>
      </c>
      <c r="BT70" s="727">
        <v>1.0153235413750321</v>
      </c>
      <c r="BW70" s="1157">
        <f>'2018'!R\Max</f>
        <v>0</v>
      </c>
      <c r="BX70" s="1155">
        <f>'2019'!R\Max</f>
        <v>0.98601076344521588</v>
      </c>
      <c r="BY70" s="1155">
        <f>'2020'!R\Max</f>
        <v>0.46101646530201845</v>
      </c>
      <c r="BZ70" s="1155">
        <f>'2021'!R\Max</f>
        <v>0.85563419027983256</v>
      </c>
      <c r="CA70" s="1155">
        <f>'2022'!R\Max</f>
        <v>0.82494715532774665</v>
      </c>
      <c r="CB70" s="1155">
        <f>'2023'!R\Max</f>
        <v>0.82407636610037871</v>
      </c>
      <c r="CC70" s="1155">
        <f>'2024'!R\Max</f>
        <v>0.82312954974849184</v>
      </c>
      <c r="CD70" s="1155">
        <f>'2025'!R\Max</f>
        <v>0.82135212230997168</v>
      </c>
      <c r="CE70" s="1155">
        <f>'2026'!R\Max</f>
        <v>0.82718368937685427</v>
      </c>
      <c r="CF70" s="1156">
        <f>'2027'!R\Max</f>
        <v>0.82642374178606104</v>
      </c>
    </row>
    <row r="71" spans="1:84" s="6" customFormat="1" ht="11.25" x14ac:dyDescent="0.2">
      <c r="A71" s="11">
        <v>43157</v>
      </c>
      <c r="B71" s="380">
        <f>'2022'!Maxi_hp</f>
        <v>28.941558485562066</v>
      </c>
      <c r="C71" s="13">
        <f>'2022'!An_max</f>
        <v>2022</v>
      </c>
      <c r="D71" s="1070"/>
      <c r="E71" s="13"/>
      <c r="F71" s="13">
        <f t="shared" si="22"/>
        <v>5</v>
      </c>
      <c r="G71" s="13">
        <f t="shared" si="23"/>
        <v>6</v>
      </c>
      <c r="H71" s="173">
        <f t="shared" si="7"/>
        <v>43150</v>
      </c>
      <c r="I71" s="754">
        <f t="shared" si="8"/>
        <v>0.5</v>
      </c>
      <c r="J71" s="747">
        <f t="shared" si="26"/>
        <v>28.219675000105052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P71" s="13">
        <f t="shared" si="10"/>
        <v>3</v>
      </c>
      <c r="AQ71" s="13">
        <f t="shared" si="11"/>
        <v>4</v>
      </c>
      <c r="AR71" s="173">
        <f t="shared" si="12"/>
        <v>43136</v>
      </c>
      <c r="AS71" s="754">
        <f t="shared" si="13"/>
        <v>0.75</v>
      </c>
      <c r="AT71" s="770">
        <f t="shared" si="14"/>
        <v>28.1852570313029</v>
      </c>
      <c r="AU71" s="13">
        <f t="shared" si="15"/>
        <v>3</v>
      </c>
      <c r="AV71" s="13">
        <f t="shared" si="16"/>
        <v>4</v>
      </c>
      <c r="AW71" s="173">
        <f t="shared" si="17"/>
        <v>43150</v>
      </c>
      <c r="AX71" s="754">
        <f t="shared" si="18"/>
        <v>0.25</v>
      </c>
      <c r="AY71" s="770">
        <f t="shared" si="19"/>
        <v>28.210496874933597</v>
      </c>
      <c r="AZ71" s="747">
        <f t="shared" si="25"/>
        <v>28.197876953118246</v>
      </c>
      <c r="BA71" s="646">
        <f t="shared" si="20"/>
        <v>1.0255808575206597</v>
      </c>
      <c r="BB71" s="641">
        <v>43157</v>
      </c>
      <c r="BC71" s="11">
        <v>43157</v>
      </c>
      <c r="BD71" s="290">
        <f>[3]!FeuilCaduc*(1-Persistant)+Persistant</f>
        <v>0.80131571100625376</v>
      </c>
      <c r="BE71" s="291">
        <f>[3]!CroissVégét</f>
        <v>1.236634784666045E-2</v>
      </c>
      <c r="BF71" s="822">
        <f>1+[3]!Salcycl*Ksac</f>
        <v>1.0003289277515635</v>
      </c>
      <c r="BH71" s="1101">
        <f t="shared" si="21"/>
        <v>3.5017418165578365E-2</v>
      </c>
      <c r="BI71" s="11">
        <v>44253</v>
      </c>
      <c r="BJ71" s="727">
        <v>0</v>
      </c>
      <c r="BK71" s="727">
        <v>5.0932570194463456E-5</v>
      </c>
      <c r="BL71" s="727">
        <v>4.5149460145058147E-3</v>
      </c>
      <c r="BM71" s="727">
        <v>3.495283032558473E-2</v>
      </c>
      <c r="BN71" s="727">
        <v>9.238151297642111E-2</v>
      </c>
      <c r="BO71" s="728">
        <v>0.20339393724757876</v>
      </c>
      <c r="BP71" s="727">
        <v>0.33977392888579627</v>
      </c>
      <c r="BQ71" s="727">
        <v>0.50224572421065738</v>
      </c>
      <c r="BR71" s="727">
        <v>0.66014817485478794</v>
      </c>
      <c r="BS71" s="727">
        <v>0.82913644947007292</v>
      </c>
      <c r="BT71" s="727">
        <v>1.0074512724383202</v>
      </c>
      <c r="BW71" s="1157">
        <f>'2018'!R\Max</f>
        <v>0</v>
      </c>
      <c r="BX71" s="1155">
        <f>'2019'!R\Max</f>
        <v>0.89175215281467179</v>
      </c>
      <c r="BY71" s="1155">
        <f>'2020'!R\Max</f>
        <v>0.48421215071096074</v>
      </c>
      <c r="BZ71" s="1155">
        <f>'2021'!R\Max</f>
        <v>0.21685446645449072</v>
      </c>
      <c r="CA71" s="1155">
        <f>'2022'!R\Max</f>
        <v>1.0255808575206597</v>
      </c>
      <c r="CB71" s="1155">
        <f>'2023'!R\Max</f>
        <v>1.0255808575206597</v>
      </c>
      <c r="CC71" s="1155">
        <f>'2024'!R\Max</f>
        <v>1.02558085752066</v>
      </c>
      <c r="CD71" s="1155">
        <f>'2025'!R\Max</f>
        <v>1.0255808575206597</v>
      </c>
      <c r="CE71" s="1155">
        <f>'2026'!R\Max</f>
        <v>1.02558085752066</v>
      </c>
      <c r="CF71" s="1156">
        <f>'2027'!R\Max</f>
        <v>1.02558085752066</v>
      </c>
    </row>
    <row r="72" spans="1:84" s="6" customFormat="1" ht="11.25" x14ac:dyDescent="0.2">
      <c r="A72" s="11">
        <v>43158</v>
      </c>
      <c r="B72" s="380">
        <f>'2022'!Maxi_hp</f>
        <v>28.603433631443369</v>
      </c>
      <c r="C72" s="13">
        <f>'2022'!An_max</f>
        <v>2021</v>
      </c>
      <c r="D72" s="1070"/>
      <c r="E72" s="13"/>
      <c r="F72" s="13">
        <f t="shared" si="22"/>
        <v>5</v>
      </c>
      <c r="G72" s="13">
        <f t="shared" si="23"/>
        <v>6</v>
      </c>
      <c r="H72" s="173">
        <f t="shared" si="7"/>
        <v>43150</v>
      </c>
      <c r="I72" s="754">
        <f t="shared" si="8"/>
        <v>0.5714285714285714</v>
      </c>
      <c r="J72" s="747">
        <f t="shared" si="26"/>
        <v>28.526861224509776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P72" s="13">
        <f t="shared" si="10"/>
        <v>3</v>
      </c>
      <c r="AQ72" s="13">
        <f t="shared" si="11"/>
        <v>4</v>
      </c>
      <c r="AR72" s="173">
        <f t="shared" si="12"/>
        <v>43136</v>
      </c>
      <c r="AS72" s="754">
        <f t="shared" si="13"/>
        <v>0.7857142857142857</v>
      </c>
      <c r="AT72" s="770">
        <f t="shared" si="14"/>
        <v>28.505079901697378</v>
      </c>
      <c r="AU72" s="13">
        <f t="shared" si="15"/>
        <v>3</v>
      </c>
      <c r="AV72" s="13">
        <f t="shared" si="16"/>
        <v>4</v>
      </c>
      <c r="AW72" s="173">
        <f t="shared" si="17"/>
        <v>43150</v>
      </c>
      <c r="AX72" s="754">
        <f t="shared" si="18"/>
        <v>0.2857142857142857</v>
      </c>
      <c r="AY72" s="770">
        <f t="shared" si="19"/>
        <v>28.525434110849165</v>
      </c>
      <c r="AZ72" s="747">
        <f t="shared" si="25"/>
        <v>28.515257006273274</v>
      </c>
      <c r="BA72" s="646">
        <f t="shared" si="20"/>
        <v>1.002684221244355</v>
      </c>
      <c r="BB72" s="641">
        <v>43158</v>
      </c>
      <c r="BC72" s="11">
        <v>43158</v>
      </c>
      <c r="BD72" s="290">
        <f>[3]!FeuilCaduc*(1-Persistant)+Persistant</f>
        <v>0.80136845942997015</v>
      </c>
      <c r="BE72" s="291">
        <f>[3]!CroissVégét</f>
        <v>1.2935299036280712E-2</v>
      </c>
      <c r="BF72" s="822">
        <f>1+[3]!Salcycl*Ksac</f>
        <v>1.0003421148574925</v>
      </c>
      <c r="BH72" s="1101">
        <f t="shared" si="21"/>
        <v>3.0708602144000723E-2</v>
      </c>
      <c r="BI72" s="11">
        <v>44254</v>
      </c>
      <c r="BJ72" s="727">
        <v>0</v>
      </c>
      <c r="BK72" s="727">
        <v>3.9790217402304048E-5</v>
      </c>
      <c r="BL72" s="727">
        <v>3.5286413308893904E-3</v>
      </c>
      <c r="BM72" s="727">
        <v>3.0648385790347035E-2</v>
      </c>
      <c r="BN72" s="727">
        <v>8.4190133969396952E-2</v>
      </c>
      <c r="BO72" s="728">
        <v>0.19055886714870737</v>
      </c>
      <c r="BP72" s="727">
        <v>0.32393044594192005</v>
      </c>
      <c r="BQ72" s="727">
        <v>0.48369533937119247</v>
      </c>
      <c r="BR72" s="727">
        <v>0.64167878600213035</v>
      </c>
      <c r="BS72" s="727">
        <v>0.81407474427926207</v>
      </c>
      <c r="BT72" s="727">
        <v>0.99868737193493773</v>
      </c>
      <c r="BW72" s="1157">
        <f>'2018'!R\Max</f>
        <v>0</v>
      </c>
      <c r="BX72" s="1155">
        <f>'2019'!R\Max</f>
        <v>0.99654727786383579</v>
      </c>
      <c r="BY72" s="1155">
        <f>'2020'!R\Max</f>
        <v>0.1842362502877303</v>
      </c>
      <c r="BZ72" s="1155">
        <f>'2021'!R\Max</f>
        <v>1.002684221244355</v>
      </c>
      <c r="CA72" s="1155">
        <f>'2022'!R\Max</f>
        <v>0.68189360431875146</v>
      </c>
      <c r="CB72" s="1155">
        <f>'2023'!R\Max</f>
        <v>0.68071589302680235</v>
      </c>
      <c r="CC72" s="1155">
        <f>'2024'!R\Max</f>
        <v>0.67941622214385233</v>
      </c>
      <c r="CD72" s="1155">
        <f>'2025'!R\Max</f>
        <v>0.67692762255600947</v>
      </c>
      <c r="CE72" s="1155">
        <f>'2026'!R\Max</f>
        <v>0.68487195993903383</v>
      </c>
      <c r="CF72" s="1156">
        <f>'2027'!R\Max</f>
        <v>0.68389471460338813</v>
      </c>
    </row>
    <row r="73" spans="1:84" s="6" customFormat="1" ht="11.25" x14ac:dyDescent="0.2">
      <c r="A73" s="11">
        <v>43159</v>
      </c>
      <c r="B73" s="380">
        <f>'2022'!Maxi_hp</f>
        <v>25.521075885672495</v>
      </c>
      <c r="C73" s="13">
        <f>'2022'!An_max</f>
        <v>2022</v>
      </c>
      <c r="D73" s="1070"/>
      <c r="E73" s="13"/>
      <c r="F73" s="13">
        <f t="shared" si="22"/>
        <v>5</v>
      </c>
      <c r="G73" s="13">
        <f t="shared" si="23"/>
        <v>6</v>
      </c>
      <c r="H73" s="173">
        <f t="shared" si="7"/>
        <v>43150</v>
      </c>
      <c r="I73" s="754">
        <f t="shared" si="8"/>
        <v>0.6428571428571429</v>
      </c>
      <c r="J73" s="747">
        <f t="shared" si="26"/>
        <v>28.83304846957326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P73" s="13">
        <f t="shared" si="10"/>
        <v>3</v>
      </c>
      <c r="AQ73" s="13">
        <f t="shared" si="11"/>
        <v>4</v>
      </c>
      <c r="AR73" s="173">
        <f t="shared" si="12"/>
        <v>43136</v>
      </c>
      <c r="AS73" s="754">
        <f t="shared" si="13"/>
        <v>0.8214285714285714</v>
      </c>
      <c r="AT73" s="770">
        <f t="shared" si="14"/>
        <v>28.82202178631643</v>
      </c>
      <c r="AU73" s="13">
        <f t="shared" si="15"/>
        <v>3</v>
      </c>
      <c r="AV73" s="13">
        <f t="shared" si="16"/>
        <v>4</v>
      </c>
      <c r="AW73" s="173">
        <f t="shared" si="17"/>
        <v>43150</v>
      </c>
      <c r="AX73" s="754">
        <f t="shared" si="18"/>
        <v>0.32142857142857145</v>
      </c>
      <c r="AY73" s="770">
        <f t="shared" si="19"/>
        <v>28.84067460828145</v>
      </c>
      <c r="AZ73" s="747">
        <f t="shared" si="25"/>
        <v>28.83134819729894</v>
      </c>
      <c r="BA73" s="646">
        <f t="shared" si="20"/>
        <v>0.88513276397409724</v>
      </c>
      <c r="BB73" s="641">
        <v>43159</v>
      </c>
      <c r="BC73" s="11">
        <v>43159</v>
      </c>
      <c r="BD73" s="290">
        <f>[3]!FeuilCaduc*(1-Persistant)+Persistant</f>
        <v>0.80142029092827893</v>
      </c>
      <c r="BE73" s="291">
        <f>[3]!CroissVégét</f>
        <v>1.352742218145603E-2</v>
      </c>
      <c r="BF73" s="822">
        <f>1+[3]!Salcycl*Ksac</f>
        <v>1.0003550727320698</v>
      </c>
      <c r="BH73" s="1101">
        <f t="shared" si="21"/>
        <v>2.6719092797071797E-2</v>
      </c>
      <c r="BI73" s="11">
        <v>44255</v>
      </c>
      <c r="BJ73" s="727">
        <v>0</v>
      </c>
      <c r="BK73" s="727">
        <v>3.0026513603206087E-5</v>
      </c>
      <c r="BL73" s="727">
        <v>2.6642806528649659E-3</v>
      </c>
      <c r="BM73" s="727">
        <v>2.6663178049676887E-2</v>
      </c>
      <c r="BN73" s="727">
        <v>7.638012606900009E-2</v>
      </c>
      <c r="BO73" s="728">
        <v>0.17794862751496396</v>
      </c>
      <c r="BP73" s="727">
        <v>0.30800881913295891</v>
      </c>
      <c r="BQ73" s="727">
        <v>0.46475471444033112</v>
      </c>
      <c r="BR73" s="727">
        <v>0.6226191567290239</v>
      </c>
      <c r="BS73" s="727">
        <v>0.79824335769787824</v>
      </c>
      <c r="BT73" s="727">
        <v>0.98906901556160809</v>
      </c>
      <c r="BW73" s="1157">
        <f>'2018'!R\Max</f>
        <v>0</v>
      </c>
      <c r="BX73" s="1155">
        <f>'2019'!R\Max</f>
        <v>0.76493467173993768</v>
      </c>
      <c r="BY73" s="1155">
        <f>'2020'!R\Max</f>
        <v>0.42045365564038895</v>
      </c>
      <c r="BZ73" s="1155">
        <f>'2021'!R\Max</f>
        <v>0.79828773517203988</v>
      </c>
      <c r="CA73" s="1155">
        <f>'2022'!R\Max</f>
        <v>0.88513276397409724</v>
      </c>
      <c r="CB73" s="1155">
        <f>'2023'!R\Max</f>
        <v>0.88461100043946927</v>
      </c>
      <c r="CC73" s="1155">
        <f>'2024'!R\Max</f>
        <v>0.88402874562405631</v>
      </c>
      <c r="CD73" s="1155">
        <f>'2025'!R\Max</f>
        <v>0.88289699522591181</v>
      </c>
      <c r="CE73" s="1155">
        <f>'2026'!R\Max</f>
        <v>0.88643577925056061</v>
      </c>
      <c r="CF73" s="1156">
        <f>'2027'!R\Max</f>
        <v>0.88601675369776045</v>
      </c>
    </row>
    <row r="74" spans="1:84" s="6" customFormat="1" ht="11.25" x14ac:dyDescent="0.2">
      <c r="A74" s="11">
        <v>43160</v>
      </c>
      <c r="B74" s="380">
        <f>'2022'!Maxi_hp</f>
        <v>28.679109175623339</v>
      </c>
      <c r="C74" s="13">
        <f>'2022'!An_max</f>
        <v>2022</v>
      </c>
      <c r="D74" s="1070"/>
      <c r="E74" s="13"/>
      <c r="F74" s="13">
        <f t="shared" si="22"/>
        <v>5</v>
      </c>
      <c r="G74" s="13">
        <f t="shared" si="23"/>
        <v>6</v>
      </c>
      <c r="H74" s="173">
        <f t="shared" si="7"/>
        <v>43150</v>
      </c>
      <c r="I74" s="754">
        <f t="shared" si="8"/>
        <v>0.7142857142857143</v>
      </c>
      <c r="J74" s="747">
        <f t="shared" si="26"/>
        <v>29.138236734696797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P74" s="13">
        <f t="shared" si="10"/>
        <v>3</v>
      </c>
      <c r="AQ74" s="13">
        <f t="shared" si="11"/>
        <v>4</v>
      </c>
      <c r="AR74" s="173">
        <f t="shared" si="12"/>
        <v>43136</v>
      </c>
      <c r="AS74" s="754">
        <f t="shared" si="13"/>
        <v>0.8571428571428571</v>
      </c>
      <c r="AT74" s="770">
        <f t="shared" si="14"/>
        <v>29.135667930117677</v>
      </c>
      <c r="AU74" s="13">
        <f t="shared" si="15"/>
        <v>3</v>
      </c>
      <c r="AV74" s="13">
        <f t="shared" si="16"/>
        <v>4</v>
      </c>
      <c r="AW74" s="173">
        <f t="shared" si="17"/>
        <v>43150</v>
      </c>
      <c r="AX74" s="754">
        <f t="shared" si="18"/>
        <v>0.35714285714285715</v>
      </c>
      <c r="AY74" s="770">
        <f t="shared" si="19"/>
        <v>29.155897266939945</v>
      </c>
      <c r="AZ74" s="747">
        <f t="shared" si="25"/>
        <v>29.145782598528811</v>
      </c>
      <c r="BA74" s="646">
        <f t="shared" si="20"/>
        <v>0.98424312482413379</v>
      </c>
      <c r="BB74" s="641">
        <v>43160</v>
      </c>
      <c r="BC74" s="11">
        <v>43160</v>
      </c>
      <c r="BD74" s="290">
        <f>[3]!FeuilCaduc*(1-Persistant)+Persistant</f>
        <v>0.80147151498082458</v>
      </c>
      <c r="BE74" s="291">
        <f>[3]!CroissVégét</f>
        <v>1.4143631071573595E-2</v>
      </c>
      <c r="BF74" s="822">
        <f>1+[3]!Salcycl*Ksac</f>
        <v>1.0003678787452062</v>
      </c>
      <c r="BH74" s="1101">
        <f t="shared" si="21"/>
        <v>2.3048870005769568E-2</v>
      </c>
      <c r="BI74" s="11">
        <v>44256</v>
      </c>
      <c r="BJ74" s="727">
        <v>0</v>
      </c>
      <c r="BK74" s="727">
        <v>2.1641431918837835E-5</v>
      </c>
      <c r="BL74" s="727">
        <v>1.9218615970636262E-3</v>
      </c>
      <c r="BM74" s="727">
        <v>2.2997187020536006E-2</v>
      </c>
      <c r="BN74" s="727">
        <v>6.8951437197016602E-2</v>
      </c>
      <c r="BO74" s="728">
        <v>0.16556310797713858</v>
      </c>
      <c r="BP74" s="727">
        <v>0.29200887265200332</v>
      </c>
      <c r="BQ74" s="727">
        <v>0.44542359927145675</v>
      </c>
      <c r="BR74" s="727">
        <v>0.60296897491940227</v>
      </c>
      <c r="BS74" s="727">
        <v>0.7816419221348796</v>
      </c>
      <c r="BT74" s="727">
        <v>0.97859578746407327</v>
      </c>
      <c r="BW74" s="1157">
        <f>'2018'!R\Max</f>
        <v>0</v>
      </c>
      <c r="BX74" s="1155">
        <f>'2019'!R\Max</f>
        <v>0.34654996740504324</v>
      </c>
      <c r="BY74" s="1155">
        <f>'2020'!R\Max</f>
        <v>0.38109575027073661</v>
      </c>
      <c r="BZ74" s="1155">
        <f>'2021'!R\Max</f>
        <v>0.8785219017262782</v>
      </c>
      <c r="CA74" s="1155">
        <f>'2022'!R\Max</f>
        <v>0.98424312482413379</v>
      </c>
      <c r="CB74" s="1155">
        <f>'2023'!R\Max</f>
        <v>0.98416822468210741</v>
      </c>
      <c r="CC74" s="1155">
        <f>'2024'!R\Max</f>
        <v>0.98408377081532628</v>
      </c>
      <c r="CD74" s="1155">
        <f>'2025'!R\Max</f>
        <v>0.98391741050301196</v>
      </c>
      <c r="CE74" s="1155">
        <f>'2026'!R\Max</f>
        <v>0.98442823868671869</v>
      </c>
      <c r="CF74" s="1156">
        <f>'2027'!R\Max</f>
        <v>0.98436987242605234</v>
      </c>
    </row>
    <row r="75" spans="1:84" s="6" customFormat="1" ht="11.25" x14ac:dyDescent="0.2">
      <c r="A75" s="11">
        <v>43161</v>
      </c>
      <c r="B75" s="380">
        <f>'2022'!Maxi_hp</f>
        <v>19.932639932535867</v>
      </c>
      <c r="C75" s="13">
        <f>'2022'!An_max</f>
        <v>2020</v>
      </c>
      <c r="D75" s="1070"/>
      <c r="E75" s="13"/>
      <c r="F75" s="13">
        <f t="shared" si="22"/>
        <v>5</v>
      </c>
      <c r="G75" s="13">
        <f t="shared" si="23"/>
        <v>6</v>
      </c>
      <c r="H75" s="173">
        <f t="shared" si="7"/>
        <v>43150</v>
      </c>
      <c r="I75" s="754">
        <f t="shared" si="8"/>
        <v>0.7857142857142857</v>
      </c>
      <c r="J75" s="747">
        <f t="shared" si="26"/>
        <v>29.442426020279527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P75" s="13">
        <f t="shared" si="10"/>
        <v>3</v>
      </c>
      <c r="AQ75" s="13">
        <f t="shared" si="11"/>
        <v>4</v>
      </c>
      <c r="AR75" s="173">
        <f t="shared" si="12"/>
        <v>43136</v>
      </c>
      <c r="AS75" s="754">
        <f t="shared" si="13"/>
        <v>0.8928571428571429</v>
      </c>
      <c r="AT75" s="770">
        <f t="shared" si="14"/>
        <v>29.445603578364747</v>
      </c>
      <c r="AU75" s="13">
        <f t="shared" si="15"/>
        <v>3</v>
      </c>
      <c r="AV75" s="13">
        <f t="shared" si="16"/>
        <v>4</v>
      </c>
      <c r="AW75" s="173">
        <f t="shared" si="17"/>
        <v>43150</v>
      </c>
      <c r="AX75" s="754">
        <f t="shared" si="18"/>
        <v>0.39285714285714285</v>
      </c>
      <c r="AY75" s="770">
        <f t="shared" si="19"/>
        <v>29.470780985836505</v>
      </c>
      <c r="AZ75" s="747">
        <f t="shared" si="25"/>
        <v>29.458192282100626</v>
      </c>
      <c r="BA75" s="646">
        <f t="shared" si="20"/>
        <v>0.6770039914104411</v>
      </c>
      <c r="BB75" s="641">
        <v>43161</v>
      </c>
      <c r="BC75" s="11">
        <v>43161</v>
      </c>
      <c r="BD75" s="290">
        <f>[3]!FeuilCaduc*(1-Persistant)+Persistant</f>
        <v>0.80152251947778264</v>
      </c>
      <c r="BE75" s="291">
        <f>[3]!CroissVégét</f>
        <v>1.47848730100967E-2</v>
      </c>
      <c r="BF75" s="822">
        <f>1+[3]!Salcycl*Ksac</f>
        <v>1.0003806298694458</v>
      </c>
      <c r="BH75" s="1101">
        <f t="shared" si="21"/>
        <v>1.9697921278246822E-2</v>
      </c>
      <c r="BI75" s="11">
        <v>44257</v>
      </c>
      <c r="BJ75" s="727">
        <v>0</v>
      </c>
      <c r="BK75" s="727">
        <v>1.4634967359939388E-5</v>
      </c>
      <c r="BL75" s="727">
        <v>1.3013837173446671E-3</v>
      </c>
      <c r="BM75" s="727">
        <v>1.9650400240317903E-2</v>
      </c>
      <c r="BN75" s="727">
        <v>6.1904028891267858E-2</v>
      </c>
      <c r="BO75" s="728">
        <v>0.15340221804113099</v>
      </c>
      <c r="BP75" s="727">
        <v>0.27593045383278408</v>
      </c>
      <c r="BQ75" s="727">
        <v>0.4257017696422038</v>
      </c>
      <c r="BR75" s="727">
        <v>0.58272795347831563</v>
      </c>
      <c r="BS75" s="727">
        <v>0.76427008927460782</v>
      </c>
      <c r="BT75" s="727">
        <v>0.96726728141143925</v>
      </c>
      <c r="BW75" s="1157">
        <f>'2018'!R\Max</f>
        <v>0</v>
      </c>
      <c r="BX75" s="1155">
        <f>'2019'!R\Max</f>
        <v>0.5267483529398711</v>
      </c>
      <c r="BY75" s="1155">
        <f>'2020'!R\Max</f>
        <v>0.6770039914104411</v>
      </c>
      <c r="BZ75" s="1155">
        <f>'2021'!R\Max</f>
        <v>0.39382747175244892</v>
      </c>
      <c r="CA75" s="1155">
        <f>'2022'!R\Max</f>
        <v>0.35490635600124198</v>
      </c>
      <c r="CB75" s="1155">
        <f>'2023'!R\Max</f>
        <v>0.3538735688592628</v>
      </c>
      <c r="CC75" s="1155">
        <f>'2024'!R\Max</f>
        <v>0.35270456957227181</v>
      </c>
      <c r="CD75" s="1155">
        <f>'2025'!R\Max</f>
        <v>0.35039619128606075</v>
      </c>
      <c r="CE75" s="1155">
        <f>'2026'!R\Max</f>
        <v>0.35746169858916282</v>
      </c>
      <c r="CF75" s="1156">
        <f>'2027'!R\Max</f>
        <v>0.35666787694171392</v>
      </c>
    </row>
    <row r="76" spans="1:84" s="6" customFormat="1" ht="11.25" x14ac:dyDescent="0.2">
      <c r="A76" s="11">
        <v>43162</v>
      </c>
      <c r="B76" s="380">
        <f>'2022'!Maxi_hp</f>
        <v>27.01618388081711</v>
      </c>
      <c r="C76" s="13">
        <f>'2022'!An_max</f>
        <v>2022</v>
      </c>
      <c r="D76" s="1070"/>
      <c r="E76" s="13"/>
      <c r="F76" s="13">
        <f t="shared" si="22"/>
        <v>5</v>
      </c>
      <c r="G76" s="13">
        <f t="shared" si="23"/>
        <v>6</v>
      </c>
      <c r="H76" s="173">
        <f t="shared" si="7"/>
        <v>43150</v>
      </c>
      <c r="I76" s="754">
        <f t="shared" si="8"/>
        <v>0.8571428571428571</v>
      </c>
      <c r="J76" s="747">
        <f t="shared" si="26"/>
        <v>29.745616326667367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P76" s="13">
        <f t="shared" si="10"/>
        <v>3</v>
      </c>
      <c r="AQ76" s="13">
        <f t="shared" si="11"/>
        <v>4</v>
      </c>
      <c r="AR76" s="173">
        <f t="shared" si="12"/>
        <v>43136</v>
      </c>
      <c r="AS76" s="754">
        <f t="shared" si="13"/>
        <v>0.9285714285714286</v>
      </c>
      <c r="AT76" s="770">
        <f t="shared" si="14"/>
        <v>29.751413976081778</v>
      </c>
      <c r="AU76" s="13">
        <f t="shared" si="15"/>
        <v>3</v>
      </c>
      <c r="AV76" s="13">
        <f t="shared" si="16"/>
        <v>4</v>
      </c>
      <c r="AW76" s="173">
        <f t="shared" si="17"/>
        <v>43150</v>
      </c>
      <c r="AX76" s="754">
        <f t="shared" si="18"/>
        <v>0.42857142857142855</v>
      </c>
      <c r="AY76" s="770">
        <f t="shared" si="19"/>
        <v>29.785004664664818</v>
      </c>
      <c r="AZ76" s="747">
        <f t="shared" si="25"/>
        <v>29.768209320373298</v>
      </c>
      <c r="BA76" s="646">
        <f t="shared" si="20"/>
        <v>0.90824085082401596</v>
      </c>
      <c r="BB76" s="641">
        <v>43162</v>
      </c>
      <c r="BC76" s="11">
        <v>43162</v>
      </c>
      <c r="BD76" s="290">
        <f>[3]!FeuilCaduc*(1-Persistant)+Persistant</f>
        <v>0.8015737714562603</v>
      </c>
      <c r="BE76" s="291">
        <f>[3]!CroissVégét</f>
        <v>1.5452129829812465E-2</v>
      </c>
      <c r="BF76" s="822">
        <f>1+[3]!Salcycl*Ksac</f>
        <v>1.0003934428640651</v>
      </c>
      <c r="BH76" s="1101">
        <f t="shared" si="21"/>
        <v>1.6666240568542198E-2</v>
      </c>
      <c r="BI76" s="11">
        <v>44258</v>
      </c>
      <c r="BJ76" s="727">
        <v>0</v>
      </c>
      <c r="BK76" s="727">
        <v>9.0071317257045174E-6</v>
      </c>
      <c r="BL76" s="727">
        <v>8.0284805363670054E-4</v>
      </c>
      <c r="BM76" s="727">
        <v>1.6622811685817272E-2</v>
      </c>
      <c r="BN76" s="727">
        <v>5.5237874894864571E-2</v>
      </c>
      <c r="BO76" s="728">
        <v>0.14146588625676099</v>
      </c>
      <c r="BP76" s="727">
        <v>0.25977343343999187</v>
      </c>
      <c r="BQ76" s="727">
        <v>0.40558902870018798</v>
      </c>
      <c r="BR76" s="727">
        <v>0.56189583251845254</v>
      </c>
      <c r="BS76" s="727">
        <v>0.7461275329282343</v>
      </c>
      <c r="BT76" s="727">
        <v>0.95508310396249563</v>
      </c>
      <c r="BW76" s="1157">
        <f>'2018'!R\Max</f>
        <v>0</v>
      </c>
      <c r="BX76" s="1155">
        <f>'2019'!R\Max</f>
        <v>0.86545619145500963</v>
      </c>
      <c r="BY76" s="1155">
        <f>'2020'!R\Max</f>
        <v>0.56781440147868645</v>
      </c>
      <c r="BZ76" s="1155">
        <f>'2021'!R\Max</f>
        <v>0.38743547231701442</v>
      </c>
      <c r="CA76" s="1155">
        <f>'2022'!R\Max</f>
        <v>0.90824085082401596</v>
      </c>
      <c r="CB76" s="1155">
        <f>'2023'!R\Max</f>
        <v>0.90788950319804962</v>
      </c>
      <c r="CC76" s="1155">
        <f>'2024'!R\Max</f>
        <v>0.90748537294245524</v>
      </c>
      <c r="CD76" s="1155">
        <f>'2025'!R\Max</f>
        <v>0.90667028637503766</v>
      </c>
      <c r="CE76" s="1155">
        <f>'2026'!R\Max</f>
        <v>0.90909496359759234</v>
      </c>
      <c r="CF76" s="1156">
        <f>'2027'!R\Max</f>
        <v>0.90883617280492257</v>
      </c>
    </row>
    <row r="77" spans="1:84" s="6" customFormat="1" ht="11.25" x14ac:dyDescent="0.2">
      <c r="A77" s="11">
        <v>43163</v>
      </c>
      <c r="B77" s="380">
        <f>'2022'!Maxi_hp</f>
        <v>21.87797527558812</v>
      </c>
      <c r="C77" s="13">
        <f>'2022'!An_max</f>
        <v>2021</v>
      </c>
      <c r="D77" s="1070"/>
      <c r="E77" s="13"/>
      <c r="F77" s="13">
        <f t="shared" si="22"/>
        <v>5</v>
      </c>
      <c r="G77" s="13">
        <f t="shared" si="23"/>
        <v>6</v>
      </c>
      <c r="H77" s="173">
        <f t="shared" si="7"/>
        <v>43150</v>
      </c>
      <c r="I77" s="754">
        <f t="shared" si="8"/>
        <v>0.9285714285714286</v>
      </c>
      <c r="J77" s="747">
        <f t="shared" si="26"/>
        <v>30.047807652889087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P77" s="13">
        <f t="shared" si="10"/>
        <v>3</v>
      </c>
      <c r="AQ77" s="13">
        <f t="shared" si="11"/>
        <v>4</v>
      </c>
      <c r="AR77" s="173">
        <f t="shared" si="12"/>
        <v>43136</v>
      </c>
      <c r="AS77" s="754">
        <f t="shared" si="13"/>
        <v>0.9642857142857143</v>
      </c>
      <c r="AT77" s="770">
        <f t="shared" si="14"/>
        <v>30.052684368479198</v>
      </c>
      <c r="AU77" s="13">
        <f t="shared" si="15"/>
        <v>3</v>
      </c>
      <c r="AV77" s="13">
        <f t="shared" si="16"/>
        <v>4</v>
      </c>
      <c r="AW77" s="173">
        <f t="shared" si="17"/>
        <v>43150</v>
      </c>
      <c r="AX77" s="754">
        <f t="shared" si="18"/>
        <v>0.4642857142857143</v>
      </c>
      <c r="AY77" s="770">
        <f t="shared" si="19"/>
        <v>30.098247203180968</v>
      </c>
      <c r="AZ77" s="747">
        <f t="shared" si="25"/>
        <v>30.075465785830083</v>
      </c>
      <c r="BA77" s="646">
        <f t="shared" si="20"/>
        <v>0.72810554195239463</v>
      </c>
      <c r="BB77" s="641">
        <v>43163</v>
      </c>
      <c r="BC77" s="11">
        <v>43163</v>
      </c>
      <c r="BD77" s="290">
        <f>[3]!FeuilCaduc*(1-Persistant)+Persistant</f>
        <v>0.80162581728859983</v>
      </c>
      <c r="BE77" s="291">
        <f>[3]!CroissVégét</f>
        <v>1.6146418920009037E-2</v>
      </c>
      <c r="BF77" s="822">
        <f>1+[3]!Salcycl*Ksac</f>
        <v>1.00040645432215</v>
      </c>
      <c r="BH77" s="1101">
        <f t="shared" si="21"/>
        <v>1.3953827095264472E-2</v>
      </c>
      <c r="BI77" s="11">
        <v>44259</v>
      </c>
      <c r="BJ77" s="727">
        <v>0</v>
      </c>
      <c r="BK77" s="727">
        <v>4.7579485031467392E-6</v>
      </c>
      <c r="BL77" s="727">
        <v>4.2625668077733085E-4</v>
      </c>
      <c r="BM77" s="727">
        <v>1.3914420592172679E-2</v>
      </c>
      <c r="BN77" s="727">
        <v>4.8952959745374461E-2</v>
      </c>
      <c r="BO77" s="728">
        <v>0.12975405938636117</v>
      </c>
      <c r="BP77" s="727">
        <v>0.24353770595919835</v>
      </c>
      <c r="BQ77" s="727">
        <v>0.38508520840811833</v>
      </c>
      <c r="BR77" s="727">
        <v>0.54047238154580768</v>
      </c>
      <c r="BS77" s="727">
        <v>0.72721395188408222</v>
      </c>
      <c r="BT77" s="727">
        <v>0.94204287763059391</v>
      </c>
      <c r="BW77" s="1157">
        <f>'2018'!R\Max</f>
        <v>0</v>
      </c>
      <c r="BX77" s="1155">
        <f>'2019'!R\Max</f>
        <v>0.24179178058136172</v>
      </c>
      <c r="BY77" s="1155">
        <f>'2020'!R\Max</f>
        <v>0.11381286809550964</v>
      </c>
      <c r="BZ77" s="1155">
        <f>'2021'!R\Max</f>
        <v>0.72810554195239463</v>
      </c>
      <c r="CA77" s="1155">
        <f>'2022'!R\Max</f>
        <v>0.13621025357590591</v>
      </c>
      <c r="CB77" s="1155">
        <f>'2023'!R\Max</f>
        <v>0.13583712332351169</v>
      </c>
      <c r="CC77" s="1155">
        <f>'2024'!R\Max</f>
        <v>0.13540510796013636</v>
      </c>
      <c r="CD77" s="1155">
        <f>'2025'!R\Max</f>
        <v>0.13452937499365419</v>
      </c>
      <c r="CE77" s="1155">
        <f>'2026'!R\Max</f>
        <v>0.13711635170463057</v>
      </c>
      <c r="CF77" s="1156">
        <f>'2027'!R\Max</f>
        <v>0.13684667847163051</v>
      </c>
    </row>
    <row r="78" spans="1:84" s="6" customFormat="1" ht="11.25" x14ac:dyDescent="0.2">
      <c r="A78" s="11">
        <v>43164</v>
      </c>
      <c r="B78" s="380">
        <f>'2022'!Maxi_hp</f>
        <v>29.771929629009751</v>
      </c>
      <c r="C78" s="13">
        <f>'2022'!An_max</f>
        <v>2019</v>
      </c>
      <c r="D78" s="1070"/>
      <c r="E78" s="1073">
        <f>R$13/10</f>
        <v>30.349</v>
      </c>
      <c r="F78" s="13">
        <f t="shared" si="22"/>
        <v>7</v>
      </c>
      <c r="G78" s="13">
        <f t="shared" si="23"/>
        <v>6</v>
      </c>
      <c r="H78" s="173">
        <f t="shared" si="7"/>
        <v>43178</v>
      </c>
      <c r="I78" s="754">
        <f t="shared" si="8"/>
        <v>1</v>
      </c>
      <c r="J78" s="747">
        <f t="shared" si="26"/>
        <v>30.348999999836089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P78" s="13">
        <f t="shared" si="10"/>
        <v>5</v>
      </c>
      <c r="AQ78" s="13">
        <f t="shared" si="11"/>
        <v>4</v>
      </c>
      <c r="AR78" s="173">
        <f t="shared" si="12"/>
        <v>43192</v>
      </c>
      <c r="AS78" s="754">
        <f t="shared" si="13"/>
        <v>1</v>
      </c>
      <c r="AT78" s="770">
        <f t="shared" si="14"/>
        <v>30.34900000002235</v>
      </c>
      <c r="AU78" s="13">
        <f t="shared" si="15"/>
        <v>3</v>
      </c>
      <c r="AV78" s="13">
        <f t="shared" si="16"/>
        <v>4</v>
      </c>
      <c r="AW78" s="173">
        <f t="shared" si="17"/>
        <v>43150</v>
      </c>
      <c r="AX78" s="754">
        <f t="shared" si="18"/>
        <v>0.5</v>
      </c>
      <c r="AY78" s="770">
        <f t="shared" si="19"/>
        <v>30.410187499958557</v>
      </c>
      <c r="AZ78" s="747">
        <f t="shared" si="25"/>
        <v>30.379593749990455</v>
      </c>
      <c r="BA78" s="646">
        <f t="shared" si="20"/>
        <v>0.98098552272465467</v>
      </c>
      <c r="BB78" s="641">
        <v>43164</v>
      </c>
      <c r="BC78" s="11">
        <v>43164</v>
      </c>
      <c r="BD78" s="290">
        <f>[3]!FeuilCaduc*(1-Persistant)+Persistant</f>
        <v>0.80167928233149144</v>
      </c>
      <c r="BE78" s="291">
        <f>[3]!CroissVégét</f>
        <v>1.6868794263800321E-2</v>
      </c>
      <c r="BF78" s="822">
        <f>1+[3]!Salcycl*Ksac</f>
        <v>1.0004198205828729</v>
      </c>
      <c r="BH78" s="1101">
        <f t="shared" si="21"/>
        <v>1.1560684160330067E-2</v>
      </c>
      <c r="BI78" s="11">
        <v>44260</v>
      </c>
      <c r="BJ78" s="727">
        <v>0</v>
      </c>
      <c r="BK78" s="727">
        <v>1.8874477664980534E-6</v>
      </c>
      <c r="BL78" s="727">
        <v>1.7161225735575294E-4</v>
      </c>
      <c r="BM78" s="727">
        <v>1.1525230271862372E-2</v>
      </c>
      <c r="BN78" s="727">
        <v>4.3049277364162024E-2</v>
      </c>
      <c r="BO78" s="728">
        <v>0.11826670157380452</v>
      </c>
      <c r="BP78" s="727">
        <v>0.22722318988757084</v>
      </c>
      <c r="BQ78" s="727">
        <v>0.36419017099014367</v>
      </c>
      <c r="BR78" s="727">
        <v>0.51845740164705556</v>
      </c>
      <c r="BS78" s="727">
        <v>0.70752907276020205</v>
      </c>
      <c r="BT78" s="727">
        <v>0.92814624405140389</v>
      </c>
      <c r="BW78" s="1157">
        <f>'2018'!R\Max</f>
        <v>0</v>
      </c>
      <c r="BX78" s="1155">
        <f>'2019'!R\Max</f>
        <v>0.98098552272465467</v>
      </c>
      <c r="BY78" s="1155">
        <f>'2020'!R\Max</f>
        <v>0.18476604090929427</v>
      </c>
      <c r="BZ78" s="1155">
        <f>'2021'!R\Max</f>
        <v>0.77716499273745809</v>
      </c>
      <c r="CA78" s="1155">
        <f>'2022'!R\Max</f>
        <v>0.34602446114421515</v>
      </c>
      <c r="CB78" s="1155">
        <f>'2023'!R\Max</f>
        <v>0.34521140741713624</v>
      </c>
      <c r="CC78" s="1155">
        <f>'2024'!R\Max</f>
        <v>0.34425703054675372</v>
      </c>
      <c r="CD78" s="1155">
        <f>'2025'!R\Max</f>
        <v>0.34229214546690306</v>
      </c>
      <c r="CE78" s="1155">
        <f>'2026'!R\Max</f>
        <v>0.34797756211987718</v>
      </c>
      <c r="CF78" s="1156">
        <f>'2027'!R\Max</f>
        <v>0.34741014006677318</v>
      </c>
    </row>
    <row r="79" spans="1:84" s="6" customFormat="1" ht="11.25" x14ac:dyDescent="0.2">
      <c r="A79" s="11">
        <v>43165</v>
      </c>
      <c r="B79" s="380">
        <f>'2022'!Maxi_hp</f>
        <v>15.983360810169867</v>
      </c>
      <c r="C79" s="13">
        <f>'2022'!An_max</f>
        <v>2019</v>
      </c>
      <c r="D79" s="1070"/>
      <c r="E79" s="13"/>
      <c r="F79" s="13">
        <f t="shared" si="22"/>
        <v>7</v>
      </c>
      <c r="G79" s="13">
        <f t="shared" ref="G79:G142" si="58">INT((MATCH($A79,x.2m)+1)/2)*2</f>
        <v>6</v>
      </c>
      <c r="H79" s="173">
        <f t="shared" ref="H79:H142" si="59">INDEX(x.2m,F79)</f>
        <v>43178</v>
      </c>
      <c r="I79" s="754">
        <f t="shared" ref="I79:I142" si="60">($A79-H79)/(INDEX(x.2m,G79)-H79)</f>
        <v>0.9285714285714286</v>
      </c>
      <c r="J79" s="747">
        <f t="shared" ref="J79:J142" si="61">((1-I79)*(INDEX(a.m,F79)*$A79*$A79+INDEX(b.m,F79)*$A79+INDEX(c.m,F79))+I79*(INDEX(a.m,G79)*$A79*$A79+INDEX(b.m,G79)*$A79+INDEX(c.m,G79)))/10</f>
        <v>30.650120991282165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P79" s="13">
        <f t="shared" ref="AP79:AP142" si="62">INT(MATCH($A79,x.2lg)/2)*2+1</f>
        <v>5</v>
      </c>
      <c r="AQ79" s="13">
        <f t="shared" ref="AQ79:AQ142" si="63">INT((MATCH($A79,x.2lg)+1)/2)*2</f>
        <v>4</v>
      </c>
      <c r="AR79" s="173">
        <f t="shared" ref="AR79:AR142" si="64">INDEX(x.2lg,AP79)</f>
        <v>43192</v>
      </c>
      <c r="AS79" s="754">
        <f t="shared" ref="AS79:AS142" si="65">($A79-AR79)/(INDEX(x.2lg,AQ79)-AR79)</f>
        <v>0.9642857142857143</v>
      </c>
      <c r="AT79" s="770">
        <f t="shared" ref="AT79:AT142" si="66">((1-AS79)*(INDEX(a.lg,AP79)*$A79*$A79+INDEX(b.lg,AP79)*$A79+INDEX(c.lg,AP79))+AS79*(INDEX(a.lg,AQ79)*$A79*$A79+INDEX(b.lg,AQ79)*$A79+INDEX(c.lg,AQ79)))/10</f>
        <v>30.643275305356035</v>
      </c>
      <c r="AU79" s="13">
        <f t="shared" ref="AU79:AU142" si="67">INT(MATCH($A79,x.2ld)/2)*2+1</f>
        <v>3</v>
      </c>
      <c r="AV79" s="13">
        <f t="shared" ref="AV79:AV142" si="68">INT((MATCH($A79,x.2ld)+1)/2)*2</f>
        <v>4</v>
      </c>
      <c r="AW79" s="173">
        <f t="shared" ref="AW79:AW142" si="69">INDEX(x.2ld,AU79)</f>
        <v>43150</v>
      </c>
      <c r="AX79" s="754">
        <f t="shared" ref="AX79:AX142" si="70">($A79-AW79)/(INDEX(x.2ld,AV79)-AW79)</f>
        <v>0.5357142857142857</v>
      </c>
      <c r="AY79" s="770">
        <f t="shared" ref="AY79:AY142" si="71">((1-AX79)*(INDEX(a.ld,AU79)*$A79*$A79+INDEX(b.ld,AU79)*$A79+INDEX(c.ld,AU79))+AX79*(INDEX(a.ld,AV79)*$A79*$A79+INDEX(b.ld,AV79)*$A79+INDEX(c.ld,AV79)))/10</f>
        <v>30.720504455311623</v>
      </c>
      <c r="AZ79" s="747">
        <f t="shared" si="25"/>
        <v>30.681889880333827</v>
      </c>
      <c r="BA79" s="646">
        <f t="shared" ref="BA79:BA142" si="72">+B79/J79</f>
        <v>0.5214779026391454</v>
      </c>
      <c r="BB79" s="641">
        <v>43165</v>
      </c>
      <c r="BC79" s="11">
        <v>43165</v>
      </c>
      <c r="BD79" s="290">
        <f>[3]!FeuilCaduc*(1-Persistant)+Persistant</f>
        <v>0.80173487004988542</v>
      </c>
      <c r="BE79" s="291">
        <f>[3]!CroissVégét</f>
        <v>1.7620347483596571E-2</v>
      </c>
      <c r="BF79" s="822">
        <f>1+[3]!Salcycl*Ksac</f>
        <v>1.0004337175124713</v>
      </c>
      <c r="BH79" s="1101">
        <f t="shared" ref="BH79:BH142" si="73">INDEX($BJ79:$BT79,,$BH$10)*(1-Ratini)+INDEX($BJ79:$BT79,,$BH$10+1)*Ratini</f>
        <v>9.4868179676355687E-3</v>
      </c>
      <c r="BI79" s="11">
        <v>44261</v>
      </c>
      <c r="BJ79" s="727">
        <v>0</v>
      </c>
      <c r="BK79" s="727">
        <v>3.9566107657280134E-7</v>
      </c>
      <c r="BL79" s="727">
        <v>3.8917574552236097E-5</v>
      </c>
      <c r="BM79" s="727">
        <v>9.4552469336352529E-3</v>
      </c>
      <c r="BN79" s="727">
        <v>3.7526829645512821E-2</v>
      </c>
      <c r="BO79" s="728">
        <v>0.10700379351297834</v>
      </c>
      <c r="BP79" s="727">
        <v>0.21082982802356678</v>
      </c>
      <c r="BQ79" s="727">
        <v>0.34290381037660134</v>
      </c>
      <c r="BR79" s="727">
        <v>0.49585072767470195</v>
      </c>
      <c r="BS79" s="727">
        <v>0.68707265285398844</v>
      </c>
      <c r="BT79" s="727">
        <v>0.91339286714687373</v>
      </c>
      <c r="BW79" s="1157">
        <f>'2018'!R\Max</f>
        <v>0</v>
      </c>
      <c r="BX79" s="1155">
        <f>'2019'!R\Max</f>
        <v>0.5214779026391454</v>
      </c>
      <c r="BY79" s="1155">
        <f>'2020'!R\Max</f>
        <v>0.26947619472922729</v>
      </c>
      <c r="BZ79" s="1155">
        <f>'2021'!R\Max</f>
        <v>2.2430145730771071E-4</v>
      </c>
      <c r="CA79" s="1155">
        <f>'2022'!R\Max</f>
        <v>0.4667064399547704</v>
      </c>
      <c r="CB79" s="1155">
        <f>'2023'!R\Max</f>
        <v>0.46588854612951447</v>
      </c>
      <c r="CC79" s="1155">
        <f>'2024'!R\Max</f>
        <v>0.46491319733269759</v>
      </c>
      <c r="CD79" s="1155">
        <f>'2025'!R\Max</f>
        <v>0.46286945268577595</v>
      </c>
      <c r="CE79" s="1155">
        <f>'2026'!R\Max</f>
        <v>0.46864772427520757</v>
      </c>
      <c r="CF79" s="1156">
        <f>'2027'!R\Max</f>
        <v>0.46809850150968335</v>
      </c>
    </row>
    <row r="80" spans="1:84" s="6" customFormat="1" ht="11.25" x14ac:dyDescent="0.2">
      <c r="A80" s="11">
        <v>43166</v>
      </c>
      <c r="B80" s="380">
        <f>'2022'!Maxi_hp</f>
        <v>29.519413340694289</v>
      </c>
      <c r="C80" s="13">
        <f>'2022'!An_max</f>
        <v>2019</v>
      </c>
      <c r="D80" s="1070"/>
      <c r="E80" s="13"/>
      <c r="F80" s="13">
        <f t="shared" ref="F80:F143" si="74">INT(MATCH($A80,x.2m)/2)*2+1</f>
        <v>7</v>
      </c>
      <c r="G80" s="13">
        <f t="shared" si="58"/>
        <v>6</v>
      </c>
      <c r="H80" s="173">
        <f t="shared" si="59"/>
        <v>43178</v>
      </c>
      <c r="I80" s="754">
        <f t="shared" si="60"/>
        <v>0.8571428571428571</v>
      </c>
      <c r="J80" s="747">
        <f t="shared" si="61"/>
        <v>30.951812828066096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P80" s="13">
        <f t="shared" si="62"/>
        <v>5</v>
      </c>
      <c r="AQ80" s="13">
        <f t="shared" si="63"/>
        <v>4</v>
      </c>
      <c r="AR80" s="173">
        <f t="shared" si="64"/>
        <v>43192</v>
      </c>
      <c r="AS80" s="754">
        <f t="shared" si="65"/>
        <v>0.9285714285714286</v>
      </c>
      <c r="AT80" s="770">
        <f t="shared" si="66"/>
        <v>30.938504992904409</v>
      </c>
      <c r="AU80" s="13">
        <f t="shared" si="67"/>
        <v>3</v>
      </c>
      <c r="AV80" s="13">
        <f t="shared" si="68"/>
        <v>4</v>
      </c>
      <c r="AW80" s="173">
        <f t="shared" si="69"/>
        <v>43150</v>
      </c>
      <c r="AX80" s="754">
        <f t="shared" si="70"/>
        <v>0.5714285714285714</v>
      </c>
      <c r="AY80" s="770">
        <f t="shared" si="71"/>
        <v>31.028876967871163</v>
      </c>
      <c r="AZ80" s="747">
        <f t="shared" ref="AZ80:AZ143" si="75">(AY80+AT80)/2</f>
        <v>30.983690980387784</v>
      </c>
      <c r="BA80" s="646">
        <f t="shared" si="72"/>
        <v>0.95372162867071375</v>
      </c>
      <c r="BB80" s="641">
        <v>43166</v>
      </c>
      <c r="BC80" s="11">
        <v>43166</v>
      </c>
      <c r="BD80" s="290">
        <f>[3]!FeuilCaduc*(1-Persistant)+Persistant</f>
        <v>0.80179336063445283</v>
      </c>
      <c r="BE80" s="291">
        <f>[3]!CroissVégét</f>
        <v>1.8402208892467707E-2</v>
      </c>
      <c r="BF80" s="822">
        <f>1+[3]!Salcycl*Ksac</f>
        <v>1.0004483401586133</v>
      </c>
      <c r="BH80" s="1101">
        <f t="shared" si="73"/>
        <v>7.7957600816755982E-3</v>
      </c>
      <c r="BI80" s="11">
        <v>44262</v>
      </c>
      <c r="BJ80" s="727">
        <v>0</v>
      </c>
      <c r="BK80" s="727">
        <v>2.8261638015550675E-7</v>
      </c>
      <c r="BL80" s="727">
        <v>2.8200218784350186E-5</v>
      </c>
      <c r="BM80" s="727">
        <v>7.7678376958649591E-3</v>
      </c>
      <c r="BN80" s="727">
        <v>3.2595202006722584E-2</v>
      </c>
      <c r="BO80" s="728">
        <v>9.6332635293184879E-2</v>
      </c>
      <c r="BP80" s="727">
        <v>0.19472135042623251</v>
      </c>
      <c r="BQ80" s="727">
        <v>0.32157905148324795</v>
      </c>
      <c r="BR80" s="727">
        <v>0.47281349436454867</v>
      </c>
      <c r="BS80" s="727">
        <v>0.66568004604188413</v>
      </c>
      <c r="BT80" s="727">
        <v>0.89698471286239156</v>
      </c>
      <c r="BW80" s="1157">
        <f>'2018'!R\Max</f>
        <v>0</v>
      </c>
      <c r="BX80" s="1155">
        <f>'2019'!R\Max</f>
        <v>0.95372162867071375</v>
      </c>
      <c r="BY80" s="1155">
        <f>'2020'!R\Max</f>
        <v>0.54800186057518818</v>
      </c>
      <c r="BZ80" s="1155">
        <f>'2021'!R\Max</f>
        <v>0.18522081454477687</v>
      </c>
      <c r="CA80" s="1155">
        <f>'2022'!R\Max</f>
        <v>0.87930175863522686</v>
      </c>
      <c r="CB80" s="1155">
        <f>'2023'!R\Max</f>
        <v>0.87898466663445751</v>
      </c>
      <c r="CC80" s="1155">
        <f>'2024'!R\Max</f>
        <v>0.87859945846978704</v>
      </c>
      <c r="CD80" s="1155">
        <f>'2025'!R\Max</f>
        <v>0.87777510444685003</v>
      </c>
      <c r="CE80" s="1155">
        <f>'2026'!R\Max</f>
        <v>0.88004365652561745</v>
      </c>
      <c r="CF80" s="1156">
        <f>'2027'!R\Max</f>
        <v>0.87983959193816541</v>
      </c>
    </row>
    <row r="81" spans="1:84" s="6" customFormat="1" ht="11.25" x14ac:dyDescent="0.2">
      <c r="A81" s="11">
        <v>43167</v>
      </c>
      <c r="B81" s="380">
        <f>'2022'!Maxi_hp</f>
        <v>22.557219179099164</v>
      </c>
      <c r="C81" s="13">
        <f>'2022'!An_max</f>
        <v>2022</v>
      </c>
      <c r="D81" s="1070"/>
      <c r="E81" s="13"/>
      <c r="F81" s="13">
        <f t="shared" si="74"/>
        <v>7</v>
      </c>
      <c r="G81" s="13">
        <f t="shared" si="58"/>
        <v>6</v>
      </c>
      <c r="H81" s="173">
        <f t="shared" si="59"/>
        <v>43178</v>
      </c>
      <c r="I81" s="754">
        <f t="shared" si="60"/>
        <v>0.7857142857142857</v>
      </c>
      <c r="J81" s="747">
        <f t="shared" si="61"/>
        <v>31.253647376357446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P81" s="13">
        <f t="shared" si="62"/>
        <v>5</v>
      </c>
      <c r="AQ81" s="13">
        <f t="shared" si="63"/>
        <v>4</v>
      </c>
      <c r="AR81" s="173">
        <f t="shared" si="64"/>
        <v>43192</v>
      </c>
      <c r="AS81" s="754">
        <f t="shared" si="65"/>
        <v>0.8928571428571429</v>
      </c>
      <c r="AT81" s="770">
        <f t="shared" si="66"/>
        <v>31.234394720555947</v>
      </c>
      <c r="AU81" s="13">
        <f t="shared" si="67"/>
        <v>3</v>
      </c>
      <c r="AV81" s="13">
        <f t="shared" si="68"/>
        <v>4</v>
      </c>
      <c r="AW81" s="173">
        <f t="shared" si="69"/>
        <v>43150</v>
      </c>
      <c r="AX81" s="754">
        <f t="shared" si="70"/>
        <v>0.6071428571428571</v>
      </c>
      <c r="AY81" s="770">
        <f t="shared" si="71"/>
        <v>31.334983937898819</v>
      </c>
      <c r="AZ81" s="747">
        <f t="shared" si="75"/>
        <v>31.284689329227383</v>
      </c>
      <c r="BA81" s="646">
        <f t="shared" si="72"/>
        <v>0.72174677430331224</v>
      </c>
      <c r="BB81" s="641">
        <v>43167</v>
      </c>
      <c r="BC81" s="11">
        <v>43167</v>
      </c>
      <c r="BD81" s="290">
        <f>[3]!FeuilCaduc*(1-Persistant)+Persistant</f>
        <v>0.80185560913572951</v>
      </c>
      <c r="BE81" s="291">
        <f>[3]!CroissVégét</f>
        <v>1.9215548548887868E-2</v>
      </c>
      <c r="BF81" s="822">
        <f>1+[3]!Salcycl*Ksac</f>
        <v>1.0004639022839323</v>
      </c>
      <c r="BH81" s="1101">
        <f t="shared" si="73"/>
        <v>6.301642223783703E-3</v>
      </c>
      <c r="BI81" s="11">
        <v>44263</v>
      </c>
      <c r="BJ81" s="727">
        <v>0</v>
      </c>
      <c r="BK81" s="727">
        <v>1.8841150851910258E-7</v>
      </c>
      <c r="BL81" s="727">
        <v>1.9235511875728586E-5</v>
      </c>
      <c r="BM81" s="727">
        <v>6.2771479521209293E-3</v>
      </c>
      <c r="BN81" s="727">
        <v>2.805638308714592E-2</v>
      </c>
      <c r="BO81" s="728">
        <v>8.6236748194072274E-2</v>
      </c>
      <c r="BP81" s="727">
        <v>0.1789489939145382</v>
      </c>
      <c r="BQ81" s="727">
        <v>0.30051041481161289</v>
      </c>
      <c r="BR81" s="727">
        <v>0.44964420961101736</v>
      </c>
      <c r="BS81" s="727">
        <v>0.64369702952180075</v>
      </c>
      <c r="BT81" s="727">
        <v>0.8790689342144834</v>
      </c>
      <c r="BW81" s="1157">
        <f>'2018'!R\Max</f>
        <v>0</v>
      </c>
      <c r="BX81" s="1155">
        <f>'2019'!R\Max</f>
        <v>0.5973005449148332</v>
      </c>
      <c r="BY81" s="1155">
        <f>'2020'!R\Max</f>
        <v>0.67412439936663515</v>
      </c>
      <c r="BZ81" s="1155">
        <f>'2021'!R\Max</f>
        <v>0.57801554427817003</v>
      </c>
      <c r="CA81" s="1155">
        <f>'2022'!R\Max</f>
        <v>0.72174677430331224</v>
      </c>
      <c r="CB81" s="1155">
        <f>'2023'!R\Max</f>
        <v>0.7212048459165159</v>
      </c>
      <c r="CC81" s="1155">
        <f>'2024'!R\Max</f>
        <v>0.72053675686787177</v>
      </c>
      <c r="CD81" s="1155">
        <f>'2025'!R\Max</f>
        <v>0.71908735104905175</v>
      </c>
      <c r="CE81" s="1155">
        <f>'2026'!R\Max</f>
        <v>0.72300337327461384</v>
      </c>
      <c r="CF81" s="1156">
        <f>'2027'!R\Max</f>
        <v>0.72266719845902339</v>
      </c>
    </row>
    <row r="82" spans="1:84" s="6" customFormat="1" ht="11.25" x14ac:dyDescent="0.2">
      <c r="A82" s="11">
        <v>43168</v>
      </c>
      <c r="B82" s="380">
        <f>'2022'!Maxi_hp</f>
        <v>30.249266737760252</v>
      </c>
      <c r="C82" s="13">
        <f>'2022'!An_max</f>
        <v>2021</v>
      </c>
      <c r="D82" s="1070"/>
      <c r="E82" s="13"/>
      <c r="F82" s="13">
        <f t="shared" si="74"/>
        <v>7</v>
      </c>
      <c r="G82" s="13">
        <f t="shared" si="58"/>
        <v>6</v>
      </c>
      <c r="H82" s="173">
        <f t="shared" si="59"/>
        <v>43178</v>
      </c>
      <c r="I82" s="754">
        <f t="shared" si="60"/>
        <v>0.7142857142857143</v>
      </c>
      <c r="J82" s="747">
        <f t="shared" si="61"/>
        <v>31.555196501793603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P82" s="13">
        <f t="shared" si="62"/>
        <v>5</v>
      </c>
      <c r="AQ82" s="13">
        <f t="shared" si="63"/>
        <v>4</v>
      </c>
      <c r="AR82" s="173">
        <f t="shared" si="64"/>
        <v>43192</v>
      </c>
      <c r="AS82" s="754">
        <f t="shared" si="65"/>
        <v>0.8571428571428571</v>
      </c>
      <c r="AT82" s="770">
        <f t="shared" si="66"/>
        <v>31.530650145826598</v>
      </c>
      <c r="AU82" s="13">
        <f t="shared" si="67"/>
        <v>3</v>
      </c>
      <c r="AV82" s="13">
        <f t="shared" si="68"/>
        <v>4</v>
      </c>
      <c r="AW82" s="173">
        <f t="shared" si="69"/>
        <v>43150</v>
      </c>
      <c r="AX82" s="754">
        <f t="shared" si="70"/>
        <v>0.6428571428571429</v>
      </c>
      <c r="AY82" s="770">
        <f t="shared" si="71"/>
        <v>31.638504263710434</v>
      </c>
      <c r="AZ82" s="747">
        <f t="shared" si="75"/>
        <v>31.584577204768514</v>
      </c>
      <c r="BA82" s="646">
        <f t="shared" si="72"/>
        <v>0.95861443093979393</v>
      </c>
      <c r="BB82" s="641">
        <v>43168</v>
      </c>
      <c r="BC82" s="11">
        <v>43168</v>
      </c>
      <c r="BD82" s="290">
        <f>[3]!FeuilCaduc*(1-Persistant)+Persistant</f>
        <v>0.80192254314205558</v>
      </c>
      <c r="BE82" s="291">
        <f>[3]!CroissVégét</f>
        <v>2.0061577312061717E-2</v>
      </c>
      <c r="BF82" s="822">
        <f>1+[3]!Salcycl*Ksac</f>
        <v>1.0004806357855138</v>
      </c>
      <c r="BH82" s="1101">
        <f t="shared" si="73"/>
        <v>5.0044714115681597E-3</v>
      </c>
      <c r="BI82" s="11">
        <v>44264</v>
      </c>
      <c r="BJ82" s="727">
        <v>0</v>
      </c>
      <c r="BK82" s="727">
        <v>1.1304703920481625E-7</v>
      </c>
      <c r="BL82" s="727">
        <v>1.2023507941547194E-5</v>
      </c>
      <c r="BM82" s="727">
        <v>4.983184709704303E-3</v>
      </c>
      <c r="BN82" s="727">
        <v>2.3910389058739667E-2</v>
      </c>
      <c r="BO82" s="728">
        <v>7.6716156686676626E-2</v>
      </c>
      <c r="BP82" s="727">
        <v>0.16351277529608044</v>
      </c>
      <c r="BQ82" s="727">
        <v>0.2796978983385458</v>
      </c>
      <c r="BR82" s="727">
        <v>0.42634282338311352</v>
      </c>
      <c r="BS82" s="727">
        <v>0.62112347133989454</v>
      </c>
      <c r="BT82" s="727">
        <v>0.85964528330384271</v>
      </c>
      <c r="BW82" s="1157">
        <f>'2018'!R\Max</f>
        <v>0</v>
      </c>
      <c r="BX82" s="1155">
        <f>'2019'!R\Max</f>
        <v>0.48505987052319122</v>
      </c>
      <c r="BY82" s="1155">
        <f>'2020'!R\Max</f>
        <v>0.75112159802293921</v>
      </c>
      <c r="BZ82" s="1155">
        <f>'2021'!R\Max</f>
        <v>0.95861443093979393</v>
      </c>
      <c r="CA82" s="1155">
        <f>'2022'!R\Max</f>
        <v>0.80367405526948943</v>
      </c>
      <c r="CB82" s="1155">
        <f>'2023'!R\Max</f>
        <v>0.80329138961713198</v>
      </c>
      <c r="CC82" s="1155">
        <f>'2024'!R\Max</f>
        <v>0.80281194369903119</v>
      </c>
      <c r="CD82" s="1155">
        <f>'2025'!R\Max</f>
        <v>0.80175557838227829</v>
      </c>
      <c r="CE82" s="1155">
        <f>'2026'!R\Max</f>
        <v>0.80455088537349617</v>
      </c>
      <c r="CF82" s="1156">
        <f>'2027'!R\Max</f>
        <v>0.80432368108980867</v>
      </c>
    </row>
    <row r="83" spans="1:84" s="6" customFormat="1" ht="11.25" x14ac:dyDescent="0.2">
      <c r="A83" s="11">
        <v>43169</v>
      </c>
      <c r="B83" s="380">
        <f>'2022'!Maxi_hp</f>
        <v>30.500189061416798</v>
      </c>
      <c r="C83" s="13">
        <f>'2022'!An_max</f>
        <v>2021</v>
      </c>
      <c r="D83" s="1070"/>
      <c r="E83" s="13"/>
      <c r="F83" s="13">
        <f t="shared" si="74"/>
        <v>7</v>
      </c>
      <c r="G83" s="13">
        <f t="shared" si="58"/>
        <v>6</v>
      </c>
      <c r="H83" s="173">
        <f t="shared" si="59"/>
        <v>43178</v>
      </c>
      <c r="I83" s="754">
        <f t="shared" si="60"/>
        <v>0.6428571428571429</v>
      </c>
      <c r="J83" s="747">
        <f t="shared" si="61"/>
        <v>31.856032069918832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P83" s="13">
        <f t="shared" si="62"/>
        <v>5</v>
      </c>
      <c r="AQ83" s="13">
        <f t="shared" si="63"/>
        <v>4</v>
      </c>
      <c r="AR83" s="173">
        <f t="shared" si="64"/>
        <v>43192</v>
      </c>
      <c r="AS83" s="754">
        <f t="shared" si="65"/>
        <v>0.8214285714285714</v>
      </c>
      <c r="AT83" s="770">
        <f t="shared" si="66"/>
        <v>31.826976927156959</v>
      </c>
      <c r="AU83" s="13">
        <f t="shared" si="67"/>
        <v>3</v>
      </c>
      <c r="AV83" s="13">
        <f t="shared" si="68"/>
        <v>4</v>
      </c>
      <c r="AW83" s="173">
        <f t="shared" si="69"/>
        <v>43150</v>
      </c>
      <c r="AX83" s="754">
        <f t="shared" si="70"/>
        <v>0.6785714285714286</v>
      </c>
      <c r="AY83" s="770">
        <f t="shared" si="71"/>
        <v>31.939116846118122</v>
      </c>
      <c r="AZ83" s="747">
        <f t="shared" si="75"/>
        <v>31.88304688663754</v>
      </c>
      <c r="BA83" s="646">
        <f t="shared" si="72"/>
        <v>0.9574384215357965</v>
      </c>
      <c r="BB83" s="641">
        <v>43169</v>
      </c>
      <c r="BC83" s="11">
        <v>43169</v>
      </c>
      <c r="BD83" s="290">
        <f>[3]!FeuilCaduc*(1-Persistant)+Persistant</f>
        <v>0.80199516003194948</v>
      </c>
      <c r="BE83" s="291">
        <f>[3]!CroissVégét</f>
        <v>2.0941547894735235E-2</v>
      </c>
      <c r="BF83" s="822">
        <f>1+[3]!Salcycl*Ksac</f>
        <v>1.0004987900079874</v>
      </c>
      <c r="BH83" s="1101">
        <f t="shared" si="73"/>
        <v>3.9042544389367101E-3</v>
      </c>
      <c r="BI83" s="11">
        <v>44265</v>
      </c>
      <c r="BJ83" s="727">
        <v>0</v>
      </c>
      <c r="BK83" s="727">
        <v>5.6523456260794518E-8</v>
      </c>
      <c r="BL83" s="727">
        <v>6.564252696702565E-6</v>
      </c>
      <c r="BM83" s="727">
        <v>3.8859547498696165E-3</v>
      </c>
      <c r="BN83" s="727">
        <v>2.0157237953435839E-2</v>
      </c>
      <c r="BO83" s="728">
        <v>6.777089306837758E-2</v>
      </c>
      <c r="BP83" s="727">
        <v>0.14841273055900603</v>
      </c>
      <c r="BQ83" s="727">
        <v>0.25914152804544777</v>
      </c>
      <c r="BR83" s="727">
        <v>0.40290932155899473</v>
      </c>
      <c r="BS83" s="727">
        <v>0.59795927935955739</v>
      </c>
      <c r="BT83" s="727">
        <v>0.83871355736509179</v>
      </c>
      <c r="BW83" s="1157">
        <f>'2018'!R\Max</f>
        <v>0</v>
      </c>
      <c r="BX83" s="1155">
        <f>'2019'!R\Max</f>
        <v>0.34218257240169431</v>
      </c>
      <c r="BY83" s="1155">
        <f>'2020'!R\Max</f>
        <v>0.63694905439588823</v>
      </c>
      <c r="BZ83" s="1155">
        <f>'2021'!R\Max</f>
        <v>0.9574384215357965</v>
      </c>
      <c r="CA83" s="1155">
        <f>'2022'!R\Max</f>
        <v>0.54980414103960273</v>
      </c>
      <c r="CB83" s="1155">
        <f>'2023'!R\Max</f>
        <v>0.54926847602769235</v>
      </c>
      <c r="CC83" s="1155">
        <f>'2024'!R\Max</f>
        <v>0.54858766626709698</v>
      </c>
      <c r="CD83" s="1155">
        <f>'2025'!R\Max</f>
        <v>0.54707036019466015</v>
      </c>
      <c r="CE83" s="1155">
        <f>'2026'!R\Max</f>
        <v>0.55101923806978736</v>
      </c>
      <c r="CF83" s="1156">
        <f>'2027'!R\Max</f>
        <v>0.55071496801686481</v>
      </c>
    </row>
    <row r="84" spans="1:84" s="6" customFormat="1" ht="11.25" x14ac:dyDescent="0.2">
      <c r="A84" s="11">
        <v>43170</v>
      </c>
      <c r="B84" s="380">
        <f>'2022'!Maxi_hp</f>
        <v>23.683748695587767</v>
      </c>
      <c r="C84" s="13">
        <f>'2022'!An_max</f>
        <v>2020</v>
      </c>
      <c r="D84" s="1070"/>
      <c r="E84" s="13"/>
      <c r="F84" s="13">
        <f t="shared" si="74"/>
        <v>7</v>
      </c>
      <c r="G84" s="13">
        <f t="shared" si="58"/>
        <v>6</v>
      </c>
      <c r="H84" s="173">
        <f t="shared" si="59"/>
        <v>43178</v>
      </c>
      <c r="I84" s="754">
        <f t="shared" si="60"/>
        <v>0.5714285714285714</v>
      </c>
      <c r="J84" s="747">
        <f t="shared" si="61"/>
        <v>32.155725947820713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P84" s="13">
        <f t="shared" si="62"/>
        <v>5</v>
      </c>
      <c r="AQ84" s="13">
        <f t="shared" si="63"/>
        <v>4</v>
      </c>
      <c r="AR84" s="173">
        <f t="shared" si="64"/>
        <v>43192</v>
      </c>
      <c r="AS84" s="754">
        <f t="shared" si="65"/>
        <v>0.7857142857142857</v>
      </c>
      <c r="AT84" s="770">
        <f t="shared" si="66"/>
        <v>32.123080721843458</v>
      </c>
      <c r="AU84" s="13">
        <f t="shared" si="67"/>
        <v>3</v>
      </c>
      <c r="AV84" s="13">
        <f t="shared" si="68"/>
        <v>4</v>
      </c>
      <c r="AW84" s="173">
        <f t="shared" si="69"/>
        <v>43150</v>
      </c>
      <c r="AX84" s="754">
        <f t="shared" si="70"/>
        <v>0.7142857142857143</v>
      </c>
      <c r="AY84" s="770">
        <f t="shared" si="71"/>
        <v>32.236500583070196</v>
      </c>
      <c r="AZ84" s="747">
        <f t="shared" si="75"/>
        <v>32.17979065245683</v>
      </c>
      <c r="BA84" s="646">
        <f t="shared" si="72"/>
        <v>0.7365328568236813</v>
      </c>
      <c r="BB84" s="641">
        <v>43170</v>
      </c>
      <c r="BC84" s="11">
        <v>43170</v>
      </c>
      <c r="BD84" s="290">
        <f>[3]!FeuilCaduc*(1-Persistant)+Persistant</f>
        <v>0.8020745238345981</v>
      </c>
      <c r="BE84" s="291">
        <f>[3]!CroissVégét</f>
        <v>2.1856755910064932E-2</v>
      </c>
      <c r="BF84" s="822">
        <f>1+[3]!Salcycl*Ksac</f>
        <v>1.0005186309586496</v>
      </c>
      <c r="BH84" s="1101">
        <f t="shared" si="73"/>
        <v>3.0009971474181446E-3</v>
      </c>
      <c r="BI84" s="11">
        <v>44266</v>
      </c>
      <c r="BJ84" s="727">
        <v>0</v>
      </c>
      <c r="BK84" s="727">
        <v>1.8841080540161019E-8</v>
      </c>
      <c r="BL84" s="727">
        <v>2.8577769714919139E-6</v>
      </c>
      <c r="BM84" s="727">
        <v>2.9854638999625796E-3</v>
      </c>
      <c r="BN84" s="727">
        <v>1.6796948209554779E-2</v>
      </c>
      <c r="BO84" s="728">
        <v>5.9400995333582944E-2</v>
      </c>
      <c r="BP84" s="727">
        <v>0.13364891362638665</v>
      </c>
      <c r="BQ84" s="727">
        <v>0.23884135696731792</v>
      </c>
      <c r="BR84" s="727">
        <v>0.37934372640963043</v>
      </c>
      <c r="BS84" s="727">
        <v>0.574204403439043</v>
      </c>
      <c r="BT84" s="727">
        <v>0.81627360433562179</v>
      </c>
      <c r="BW84" s="1157">
        <f>'2018'!R\Max</f>
        <v>0</v>
      </c>
      <c r="BX84" s="1155">
        <f>'2019'!R\Max</f>
        <v>0.71022483178002704</v>
      </c>
      <c r="BY84" s="1155">
        <f>'2020'!R\Max</f>
        <v>0.7365328568236813</v>
      </c>
      <c r="BZ84" s="1155">
        <f>'2021'!R\Max</f>
        <v>0.71879735117523091</v>
      </c>
      <c r="CA84" s="1155">
        <f>'2022'!R\Max</f>
        <v>0.35239117899560468</v>
      </c>
      <c r="CB84" s="1155">
        <f>'2023'!R\Max</f>
        <v>0.3519536715805911</v>
      </c>
      <c r="CC84" s="1155">
        <f>'2024'!R\Max</f>
        <v>0.35138950068975111</v>
      </c>
      <c r="CD84" s="1155">
        <f>'2025'!R\Max</f>
        <v>0.35011788365397511</v>
      </c>
      <c r="CE84" s="1155">
        <f>'2026'!R\Max</f>
        <v>0.35337209659192031</v>
      </c>
      <c r="CF84" s="1156">
        <f>'2027'!R\Max</f>
        <v>0.35313582945422634</v>
      </c>
    </row>
    <row r="85" spans="1:84" s="6" customFormat="1" ht="11.25" x14ac:dyDescent="0.2">
      <c r="A85" s="11">
        <v>43171</v>
      </c>
      <c r="B85" s="380">
        <f>'2022'!Maxi_hp</f>
        <v>29.411637891813143</v>
      </c>
      <c r="C85" s="13">
        <f>'2022'!An_max</f>
        <v>2020</v>
      </c>
      <c r="D85" s="1070"/>
      <c r="E85" s="13"/>
      <c r="F85" s="13">
        <f t="shared" si="74"/>
        <v>7</v>
      </c>
      <c r="G85" s="13">
        <f t="shared" si="58"/>
        <v>6</v>
      </c>
      <c r="H85" s="173">
        <f t="shared" si="59"/>
        <v>43178</v>
      </c>
      <c r="I85" s="754">
        <f t="shared" si="60"/>
        <v>0.5</v>
      </c>
      <c r="J85" s="747">
        <f t="shared" si="61"/>
        <v>32.453850000351665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P85" s="13">
        <f t="shared" si="62"/>
        <v>5</v>
      </c>
      <c r="AQ85" s="13">
        <f t="shared" si="63"/>
        <v>4</v>
      </c>
      <c r="AR85" s="173">
        <f t="shared" si="64"/>
        <v>43192</v>
      </c>
      <c r="AS85" s="754">
        <f t="shared" si="65"/>
        <v>0.75</v>
      </c>
      <c r="AT85" s="770">
        <f t="shared" si="66"/>
        <v>32.418667187634853</v>
      </c>
      <c r="AU85" s="13">
        <f t="shared" si="67"/>
        <v>3</v>
      </c>
      <c r="AV85" s="13">
        <f t="shared" si="68"/>
        <v>4</v>
      </c>
      <c r="AW85" s="173">
        <f t="shared" si="69"/>
        <v>43150</v>
      </c>
      <c r="AX85" s="754">
        <f t="shared" si="70"/>
        <v>0.75</v>
      </c>
      <c r="AY85" s="770">
        <f t="shared" si="71"/>
        <v>32.530334374716041</v>
      </c>
      <c r="AZ85" s="747">
        <f t="shared" si="75"/>
        <v>32.47450078117545</v>
      </c>
      <c r="BA85" s="646">
        <f t="shared" si="72"/>
        <v>0.90626036330033088</v>
      </c>
      <c r="BB85" s="641">
        <v>43171</v>
      </c>
      <c r="BC85" s="11">
        <v>43171</v>
      </c>
      <c r="BD85" s="290">
        <f>[3]!FeuilCaduc*(1-Persistant)+Persistant</f>
        <v>0.80216176173468567</v>
      </c>
      <c r="BE85" s="291">
        <f>[3]!CroissVégét</f>
        <v>2.2808540908775418E-2</v>
      </c>
      <c r="BF85" s="822">
        <f>1+[3]!Salcycl*Ksac</f>
        <v>1.0005404404336715</v>
      </c>
      <c r="BH85" s="1101">
        <f t="shared" si="73"/>
        <v>2.2947036975140755E-3</v>
      </c>
      <c r="BI85" s="11">
        <v>44267</v>
      </c>
      <c r="BJ85" s="727">
        <v>0</v>
      </c>
      <c r="BK85" s="727">
        <v>0</v>
      </c>
      <c r="BL85" s="727">
        <v>9.0409022738738127E-7</v>
      </c>
      <c r="BM85" s="727">
        <v>2.2817163055879278E-3</v>
      </c>
      <c r="BN85" s="727">
        <v>1.3829537218351553E-2</v>
      </c>
      <c r="BO85" s="728">
        <v>5.1606505044821026E-2</v>
      </c>
      <c r="BP85" s="727">
        <v>0.1192213951114367</v>
      </c>
      <c r="BQ85" s="727">
        <v>0.21879746424321439</v>
      </c>
      <c r="BR85" s="727">
        <v>0.35564609708457329</v>
      </c>
      <c r="BS85" s="727">
        <v>0.54985883761211263</v>
      </c>
      <c r="BT85" s="727">
        <v>0.79232532842854708</v>
      </c>
      <c r="BW85" s="1157">
        <f>'2018'!R\Max</f>
        <v>0</v>
      </c>
      <c r="BX85" s="1155">
        <f>'2019'!R\Max</f>
        <v>0.84999291461959281</v>
      </c>
      <c r="BY85" s="1155">
        <f>'2020'!R\Max</f>
        <v>0.90626036330033088</v>
      </c>
      <c r="BZ85" s="1155">
        <f>'2021'!R\Max</f>
        <v>0.71293111433102063</v>
      </c>
      <c r="CA85" s="1155">
        <f>'2022'!R\Max</f>
        <v>0.35184309724300811</v>
      </c>
      <c r="CB85" s="1155">
        <f>'2023'!R\Max</f>
        <v>0.35145907515053998</v>
      </c>
      <c r="CC85" s="1155">
        <f>'2024'!R\Max</f>
        <v>0.35095647432074567</v>
      </c>
      <c r="CD85" s="1155">
        <f>'2025'!R\Max</f>
        <v>0.34981023579186188</v>
      </c>
      <c r="CE85" s="1155">
        <f>'2026'!R\Max</f>
        <v>0.35269217492089461</v>
      </c>
      <c r="CF85" s="1156">
        <f>'2027'!R\Max</f>
        <v>0.35249661128421561</v>
      </c>
    </row>
    <row r="86" spans="1:84" s="6" customFormat="1" ht="11.25" x14ac:dyDescent="0.2">
      <c r="A86" s="11">
        <v>43172</v>
      </c>
      <c r="B86" s="380">
        <f>'2022'!Maxi_hp</f>
        <v>29.39742528369991</v>
      </c>
      <c r="C86" s="13">
        <f>'2022'!An_max</f>
        <v>2021</v>
      </c>
      <c r="D86" s="1070"/>
      <c r="E86" s="13"/>
      <c r="F86" s="13">
        <f t="shared" si="74"/>
        <v>7</v>
      </c>
      <c r="G86" s="13">
        <f t="shared" si="58"/>
        <v>6</v>
      </c>
      <c r="H86" s="173">
        <f t="shared" si="59"/>
        <v>43178</v>
      </c>
      <c r="I86" s="754">
        <f t="shared" si="60"/>
        <v>0.42857142857142855</v>
      </c>
      <c r="J86" s="747">
        <f t="shared" si="61"/>
        <v>32.749976093880832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P86" s="13">
        <f t="shared" si="62"/>
        <v>5</v>
      </c>
      <c r="AQ86" s="13">
        <f t="shared" si="63"/>
        <v>4</v>
      </c>
      <c r="AR86" s="173">
        <f t="shared" si="64"/>
        <v>43192</v>
      </c>
      <c r="AS86" s="754">
        <f t="shared" si="65"/>
        <v>0.7142857142857143</v>
      </c>
      <c r="AT86" s="770">
        <f t="shared" si="66"/>
        <v>32.713441982732284</v>
      </c>
      <c r="AU86" s="13">
        <f t="shared" si="67"/>
        <v>3</v>
      </c>
      <c r="AV86" s="13">
        <f t="shared" si="68"/>
        <v>4</v>
      </c>
      <c r="AW86" s="173">
        <f t="shared" si="69"/>
        <v>43150</v>
      </c>
      <c r="AX86" s="754">
        <f t="shared" si="70"/>
        <v>0.7857142857142857</v>
      </c>
      <c r="AY86" s="770">
        <f t="shared" si="71"/>
        <v>32.820297121053692</v>
      </c>
      <c r="AZ86" s="747">
        <f t="shared" si="75"/>
        <v>32.766869551892988</v>
      </c>
      <c r="BA86" s="646">
        <f t="shared" si="72"/>
        <v>0.89763196160600156</v>
      </c>
      <c r="BB86" s="641">
        <v>43172</v>
      </c>
      <c r="BC86" s="11">
        <v>43172</v>
      </c>
      <c r="BD86" s="290">
        <f>[3]!FeuilCaduc*(1-Persistant)+Persistant</f>
        <v>0.80225806025979984</v>
      </c>
      <c r="BE86" s="291">
        <f>[3]!CroissVégét</f>
        <v>2.3798287402466985E-2</v>
      </c>
      <c r="BF86" s="822">
        <f>1+[3]!Salcycl*Ksac</f>
        <v>1.00056451506495</v>
      </c>
      <c r="BH86" s="1101">
        <f t="shared" si="73"/>
        <v>1.7854507841799745E-3</v>
      </c>
      <c r="BI86" s="11">
        <v>44268</v>
      </c>
      <c r="BJ86" s="727">
        <v>0</v>
      </c>
      <c r="BK86" s="727">
        <v>0</v>
      </c>
      <c r="BL86" s="727">
        <v>7.0317407277536408E-7</v>
      </c>
      <c r="BM86" s="727">
        <v>1.7747213437145542E-3</v>
      </c>
      <c r="BN86" s="727">
        <v>1.1314870566391187E-2</v>
      </c>
      <c r="BO86" s="728">
        <v>4.4602630822591E-2</v>
      </c>
      <c r="BP86" s="727">
        <v>0.10564719293002603</v>
      </c>
      <c r="BQ86" s="727">
        <v>0.19954793019500805</v>
      </c>
      <c r="BR86" s="727">
        <v>0.33234015319454752</v>
      </c>
      <c r="BS86" s="727">
        <v>0.52512429593900023</v>
      </c>
      <c r="BT86" s="727">
        <v>0.76680816906458882</v>
      </c>
      <c r="BW86" s="1157">
        <f>'2018'!R\Max</f>
        <v>0</v>
      </c>
      <c r="BX86" s="1155">
        <f>'2019'!R\Max</f>
        <v>0.51658600030137747</v>
      </c>
      <c r="BY86" s="1155">
        <f>'2020'!R\Max</f>
        <v>0.33945681456317839</v>
      </c>
      <c r="BZ86" s="1155">
        <f>'2021'!R\Max</f>
        <v>0.89763196160600156</v>
      </c>
      <c r="CA86" s="1155">
        <f>'2022'!R\Max</f>
        <v>0.19043722231600904</v>
      </c>
      <c r="CB86" s="1155">
        <f>'2023'!R\Max</f>
        <v>0.19024102557273342</v>
      </c>
      <c r="CC86" s="1155">
        <f>'2024'!R\Max</f>
        <v>0.18998069467171685</v>
      </c>
      <c r="CD86" s="1155">
        <f>'2025'!R\Max</f>
        <v>0.18938103773482545</v>
      </c>
      <c r="CE86" s="1155">
        <f>'2026'!R\Max</f>
        <v>0.19086484392519557</v>
      </c>
      <c r="CF86" s="1156">
        <f>'2027'!R\Max</f>
        <v>0.19077112850710004</v>
      </c>
    </row>
    <row r="87" spans="1:84" s="6" customFormat="1" ht="11.25" x14ac:dyDescent="0.2">
      <c r="A87" s="11">
        <v>43173</v>
      </c>
      <c r="B87" s="380">
        <f>'2022'!Maxi_hp</f>
        <v>27.041870864735497</v>
      </c>
      <c r="C87" s="13">
        <f>'2022'!An_max</f>
        <v>2020</v>
      </c>
      <c r="D87" s="1070"/>
      <c r="E87" s="13"/>
      <c r="F87" s="13">
        <f t="shared" si="74"/>
        <v>7</v>
      </c>
      <c r="G87" s="13">
        <f t="shared" si="58"/>
        <v>6</v>
      </c>
      <c r="H87" s="173">
        <f t="shared" si="59"/>
        <v>43178</v>
      </c>
      <c r="I87" s="754">
        <f t="shared" si="60"/>
        <v>0.35714285714285715</v>
      </c>
      <c r="J87" s="747">
        <f t="shared" si="61"/>
        <v>33.043676093806113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P87" s="13">
        <f t="shared" si="62"/>
        <v>5</v>
      </c>
      <c r="AQ87" s="13">
        <f t="shared" si="63"/>
        <v>4</v>
      </c>
      <c r="AR87" s="173">
        <f t="shared" si="64"/>
        <v>43192</v>
      </c>
      <c r="AS87" s="754">
        <f t="shared" si="65"/>
        <v>0.6785714285714286</v>
      </c>
      <c r="AT87" s="770">
        <f t="shared" si="66"/>
        <v>33.007110764498691</v>
      </c>
      <c r="AU87" s="13">
        <f t="shared" si="67"/>
        <v>3</v>
      </c>
      <c r="AV87" s="13">
        <f t="shared" si="68"/>
        <v>4</v>
      </c>
      <c r="AW87" s="173">
        <f t="shared" si="69"/>
        <v>43150</v>
      </c>
      <c r="AX87" s="754">
        <f t="shared" si="70"/>
        <v>0.8214285714285714</v>
      </c>
      <c r="AY87" s="770">
        <f t="shared" si="71"/>
        <v>33.106067720064729</v>
      </c>
      <c r="AZ87" s="747">
        <f t="shared" si="75"/>
        <v>33.05658924228171</v>
      </c>
      <c r="BA87" s="646">
        <f t="shared" si="72"/>
        <v>0.81836750814187931</v>
      </c>
      <c r="BB87" s="641">
        <v>43173</v>
      </c>
      <c r="BC87" s="11">
        <v>43173</v>
      </c>
      <c r="BD87" s="290">
        <f>[3]!FeuilCaduc*(1-Persistant)+Persistant</f>
        <v>0.80236466119013272</v>
      </c>
      <c r="BE87" s="291">
        <f>[3]!CroissVégét</f>
        <v>2.4827425868542252E-2</v>
      </c>
      <c r="BF87" s="822">
        <f>1+[3]!Salcycl*Ksac</f>
        <v>1.0005911652975332</v>
      </c>
      <c r="BH87" s="1101">
        <f t="shared" si="73"/>
        <v>1.3398000539505714E-3</v>
      </c>
      <c r="BI87" s="11">
        <v>44269</v>
      </c>
      <c r="BJ87" s="727">
        <v>0</v>
      </c>
      <c r="BK87" s="727">
        <v>0</v>
      </c>
      <c r="BL87" s="727">
        <v>5.273731461830972E-7</v>
      </c>
      <c r="BM87" s="727">
        <v>1.3310968081447331E-3</v>
      </c>
      <c r="BN87" s="727">
        <v>9.0696423527075118E-3</v>
      </c>
      <c r="BO87" s="728">
        <v>3.8181212553160662E-2</v>
      </c>
      <c r="BP87" s="727">
        <v>9.2953596349043044E-2</v>
      </c>
      <c r="BQ87" s="727">
        <v>0.18118906349370689</v>
      </c>
      <c r="BR87" s="727">
        <v>0.30971839184229855</v>
      </c>
      <c r="BS87" s="727">
        <v>0.50042560603480934</v>
      </c>
      <c r="BT87" s="727">
        <v>0.74043050227017548</v>
      </c>
      <c r="BW87" s="1157">
        <f>'2018'!R\Max</f>
        <v>0</v>
      </c>
      <c r="BX87" s="1155">
        <f>'2019'!R\Max</f>
        <v>0.53184624744919529</v>
      </c>
      <c r="BY87" s="1155">
        <f>'2020'!R\Max</f>
        <v>0.81836750814187931</v>
      </c>
      <c r="BZ87" s="1155">
        <f>'2021'!R\Max</f>
        <v>0.57610681243040784</v>
      </c>
      <c r="CA87" s="1155">
        <f>'2022'!R\Max</f>
        <v>0.27019992690220357</v>
      </c>
      <c r="CB87" s="1155">
        <f>'2023'!R\Max</f>
        <v>0.26995871281544792</v>
      </c>
      <c r="CC87" s="1155">
        <f>'2024'!R\Max</f>
        <v>0.26963383429238474</v>
      </c>
      <c r="CD87" s="1155">
        <f>'2025'!R\Max</f>
        <v>0.26887744157512067</v>
      </c>
      <c r="CE87" s="1155">
        <f>'2026'!R\Max</f>
        <v>0.2707172536490603</v>
      </c>
      <c r="CF87" s="1156">
        <f>'2027'!R\Max</f>
        <v>0.27061038629937667</v>
      </c>
    </row>
    <row r="88" spans="1:84" s="6" customFormat="1" ht="11.25" x14ac:dyDescent="0.2">
      <c r="A88" s="11">
        <v>43174</v>
      </c>
      <c r="B88" s="380">
        <f>'2022'!Maxi_hp</f>
        <v>29.113438237494268</v>
      </c>
      <c r="C88" s="13">
        <f>'2022'!An_max</f>
        <v>2020</v>
      </c>
      <c r="D88" s="1070"/>
      <c r="E88" s="13"/>
      <c r="F88" s="13">
        <f t="shared" si="74"/>
        <v>7</v>
      </c>
      <c r="G88" s="13">
        <f t="shared" si="58"/>
        <v>6</v>
      </c>
      <c r="H88" s="173">
        <f t="shared" si="59"/>
        <v>43178</v>
      </c>
      <c r="I88" s="754">
        <f t="shared" si="60"/>
        <v>0.2857142857142857</v>
      </c>
      <c r="J88" s="747">
        <f t="shared" si="61"/>
        <v>33.33452186595116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P88" s="13">
        <f t="shared" si="62"/>
        <v>5</v>
      </c>
      <c r="AQ88" s="13">
        <f t="shared" si="63"/>
        <v>4</v>
      </c>
      <c r="AR88" s="173">
        <f t="shared" si="64"/>
        <v>43192</v>
      </c>
      <c r="AS88" s="754">
        <f t="shared" si="65"/>
        <v>0.6428571428571429</v>
      </c>
      <c r="AT88" s="770">
        <f t="shared" si="66"/>
        <v>33.299379191281545</v>
      </c>
      <c r="AU88" s="13">
        <f t="shared" si="67"/>
        <v>3</v>
      </c>
      <c r="AV88" s="13">
        <f t="shared" si="68"/>
        <v>4</v>
      </c>
      <c r="AW88" s="173">
        <f t="shared" si="69"/>
        <v>43150</v>
      </c>
      <c r="AX88" s="754">
        <f t="shared" si="70"/>
        <v>0.8571428571428571</v>
      </c>
      <c r="AY88" s="770">
        <f t="shared" si="71"/>
        <v>33.387325072973702</v>
      </c>
      <c r="AZ88" s="747">
        <f t="shared" si="75"/>
        <v>33.34335213212762</v>
      </c>
      <c r="BA88" s="646">
        <f t="shared" si="72"/>
        <v>0.87337200619132238</v>
      </c>
      <c r="BB88" s="641">
        <v>43174</v>
      </c>
      <c r="BC88" s="11">
        <v>43174</v>
      </c>
      <c r="BD88" s="290">
        <f>[3]!FeuilCaduc*(1-Persistant)+Persistant</f>
        <v>0.80248285723113599</v>
      </c>
      <c r="BE88" s="291">
        <f>[3]!CroissVégét</f>
        <v>2.5897433731805454E-2</v>
      </c>
      <c r="BF88" s="822">
        <f>1+[3]!Salcycl*Ksac</f>
        <v>1.0006207143077839</v>
      </c>
      <c r="BH88" s="1101">
        <f t="shared" si="73"/>
        <v>9.5775353468316134E-4</v>
      </c>
      <c r="BI88" s="11">
        <v>44270</v>
      </c>
      <c r="BJ88" s="727">
        <v>0</v>
      </c>
      <c r="BK88" s="727">
        <v>0</v>
      </c>
      <c r="BL88" s="727">
        <v>3.7668824691187619E-7</v>
      </c>
      <c r="BM88" s="727">
        <v>9.5084471604206674E-4</v>
      </c>
      <c r="BN88" s="727">
        <v>7.0938641028289173E-3</v>
      </c>
      <c r="BO88" s="728">
        <v>3.2342286665472127E-2</v>
      </c>
      <c r="BP88" s="727">
        <v>8.1140682418755813E-2</v>
      </c>
      <c r="BQ88" s="727">
        <v>0.16372097454791926</v>
      </c>
      <c r="BR88" s="727">
        <v>0.28778093462967369</v>
      </c>
      <c r="BS88" s="727">
        <v>0.47576287081214486</v>
      </c>
      <c r="BT88" s="727">
        <v>0.7131923998906502</v>
      </c>
      <c r="BW88" s="1157">
        <f>'2018'!R\Max</f>
        <v>0</v>
      </c>
      <c r="BX88" s="1155">
        <f>'2019'!R\Max</f>
        <v>0.30148015731934369</v>
      </c>
      <c r="BY88" s="1155">
        <f>'2020'!R\Max</f>
        <v>0.87337200619132238</v>
      </c>
      <c r="BZ88" s="1155">
        <f>'2021'!R\Max</f>
        <v>0.36777205622897907</v>
      </c>
      <c r="CA88" s="1155">
        <f>'2022'!R\Max</f>
        <v>0.27420667944505278</v>
      </c>
      <c r="CB88" s="1155">
        <f>'2023'!R\Max</f>
        <v>0.27399627370636076</v>
      </c>
      <c r="CC88" s="1155">
        <f>'2024'!R\Max</f>
        <v>0.27370834734715055</v>
      </c>
      <c r="CD88" s="1155">
        <f>'2025'!R\Max</f>
        <v>0.27303058484779902</v>
      </c>
      <c r="CE88" s="1155">
        <f>'2026'!R\Max</f>
        <v>0.27464998773055249</v>
      </c>
      <c r="CF88" s="1156">
        <f>'2027'!R\Max</f>
        <v>0.27456466713529759</v>
      </c>
    </row>
    <row r="89" spans="1:84" s="6" customFormat="1" ht="11.25" x14ac:dyDescent="0.2">
      <c r="A89" s="11">
        <v>43175</v>
      </c>
      <c r="B89" s="380">
        <f>'2022'!Maxi_hp</f>
        <v>33.759513299417414</v>
      </c>
      <c r="C89" s="13">
        <f>'2022'!An_max</f>
        <v>2020</v>
      </c>
      <c r="D89" s="1070"/>
      <c r="E89" s="13"/>
      <c r="F89" s="13">
        <f t="shared" si="74"/>
        <v>7</v>
      </c>
      <c r="G89" s="13">
        <f t="shared" si="58"/>
        <v>6</v>
      </c>
      <c r="H89" s="173">
        <f t="shared" si="59"/>
        <v>43178</v>
      </c>
      <c r="I89" s="754">
        <f t="shared" si="60"/>
        <v>0.21428571428571427</v>
      </c>
      <c r="J89" s="747">
        <f t="shared" si="61"/>
        <v>33.622085277350351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P89" s="13">
        <f t="shared" si="62"/>
        <v>5</v>
      </c>
      <c r="AQ89" s="13">
        <f t="shared" si="63"/>
        <v>4</v>
      </c>
      <c r="AR89" s="173">
        <f t="shared" si="64"/>
        <v>43192</v>
      </c>
      <c r="AS89" s="754">
        <f t="shared" si="65"/>
        <v>0.6071428571428571</v>
      </c>
      <c r="AT89" s="770">
        <f t="shared" si="66"/>
        <v>33.589952919811807</v>
      </c>
      <c r="AU89" s="13">
        <f t="shared" si="67"/>
        <v>3</v>
      </c>
      <c r="AV89" s="13">
        <f t="shared" si="68"/>
        <v>4</v>
      </c>
      <c r="AW89" s="173">
        <f t="shared" si="69"/>
        <v>43150</v>
      </c>
      <c r="AX89" s="754">
        <f t="shared" si="70"/>
        <v>0.8928571428571429</v>
      </c>
      <c r="AY89" s="770">
        <f t="shared" si="71"/>
        <v>33.663748077324797</v>
      </c>
      <c r="AZ89" s="747">
        <f t="shared" si="75"/>
        <v>33.626850498568302</v>
      </c>
      <c r="BA89" s="646">
        <f t="shared" si="72"/>
        <v>1.0040874330349654</v>
      </c>
      <c r="BB89" s="641">
        <v>43175</v>
      </c>
      <c r="BC89" s="11">
        <v>43175</v>
      </c>
      <c r="BD89" s="290">
        <f>[3]!FeuilCaduc*(1-Persistant)+Persistant</f>
        <v>0.80261398749019375</v>
      </c>
      <c r="BE89" s="291">
        <f>[3]!CroissVégét</f>
        <v>2.7009836317349309E-2</v>
      </c>
      <c r="BF89" s="822">
        <f>1+[3]!Salcycl*Ksac</f>
        <v>1.0006534968725485</v>
      </c>
      <c r="BH89" s="1101">
        <f t="shared" si="73"/>
        <v>6.3931228053000846E-4</v>
      </c>
      <c r="BI89" s="11">
        <v>44271</v>
      </c>
      <c r="BJ89" s="727">
        <v>0</v>
      </c>
      <c r="BK89" s="727">
        <v>0</v>
      </c>
      <c r="BL89" s="727">
        <v>2.5111978950365068E-7</v>
      </c>
      <c r="BM89" s="727">
        <v>6.3396611381806329E-4</v>
      </c>
      <c r="BN89" s="727">
        <v>5.3875437459080747E-3</v>
      </c>
      <c r="BO89" s="728">
        <v>2.7085884132711891E-2</v>
      </c>
      <c r="BP89" s="727">
        <v>7.0208524355790086E-2</v>
      </c>
      <c r="BQ89" s="727">
        <v>0.14714377805019971</v>
      </c>
      <c r="BR89" s="727">
        <v>0.26652791904004425</v>
      </c>
      <c r="BS89" s="727">
        <v>0.45113622876564435</v>
      </c>
      <c r="BT89" s="727">
        <v>0.68509399482812039</v>
      </c>
      <c r="BW89" s="1157">
        <f>'2018'!R\Max</f>
        <v>0</v>
      </c>
      <c r="BX89" s="1155">
        <f>'2019'!R\Max</f>
        <v>0.98654896115667723</v>
      </c>
      <c r="BY89" s="1155">
        <f>'2020'!R\Max</f>
        <v>1.0040874330349654</v>
      </c>
      <c r="BZ89" s="1155">
        <f>'2021'!R\Max</f>
        <v>0.69548740257804809</v>
      </c>
      <c r="CA89" s="1155">
        <f>'2022'!R\Max</f>
        <v>0.20892537997635865</v>
      </c>
      <c r="CB89" s="1155">
        <f>'2023'!R\Max</f>
        <v>0.20878880921913756</v>
      </c>
      <c r="CC89" s="1155">
        <f>'2024'!R\Max</f>
        <v>0.20859876037626887</v>
      </c>
      <c r="CD89" s="1155">
        <f>'2025'!R\Max</f>
        <v>0.20814639932703957</v>
      </c>
      <c r="CE89" s="1155">
        <f>'2026'!R\Max</f>
        <v>0.2092075852476438</v>
      </c>
      <c r="CF89" s="1156">
        <f>'2027'!R\Max</f>
        <v>0.20915771971635622</v>
      </c>
    </row>
    <row r="90" spans="1:84" s="6" customFormat="1" ht="11.25" x14ac:dyDescent="0.2">
      <c r="A90" s="11">
        <v>43176</v>
      </c>
      <c r="B90" s="380">
        <f>'2022'!Maxi_hp</f>
        <v>18.204761461001336</v>
      </c>
      <c r="C90" s="13">
        <f>'2022'!An_max</f>
        <v>2021</v>
      </c>
      <c r="D90" s="1070"/>
      <c r="E90" s="13"/>
      <c r="F90" s="13">
        <f t="shared" si="74"/>
        <v>7</v>
      </c>
      <c r="G90" s="13">
        <f t="shared" si="58"/>
        <v>6</v>
      </c>
      <c r="H90" s="173">
        <f t="shared" si="59"/>
        <v>43178</v>
      </c>
      <c r="I90" s="754">
        <f t="shared" si="60"/>
        <v>0.14285714285714285</v>
      </c>
      <c r="J90" s="747">
        <f t="shared" si="61"/>
        <v>33.905938193068977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P90" s="13">
        <f t="shared" si="62"/>
        <v>5</v>
      </c>
      <c r="AQ90" s="13">
        <f t="shared" si="63"/>
        <v>4</v>
      </c>
      <c r="AR90" s="173">
        <f t="shared" si="64"/>
        <v>43192</v>
      </c>
      <c r="AS90" s="754">
        <f t="shared" si="65"/>
        <v>0.5714285714285714</v>
      </c>
      <c r="AT90" s="770">
        <f t="shared" si="66"/>
        <v>33.878537609215286</v>
      </c>
      <c r="AU90" s="13">
        <f t="shared" si="67"/>
        <v>3</v>
      </c>
      <c r="AV90" s="13">
        <f t="shared" si="68"/>
        <v>4</v>
      </c>
      <c r="AW90" s="173">
        <f t="shared" si="69"/>
        <v>43150</v>
      </c>
      <c r="AX90" s="754">
        <f t="shared" si="70"/>
        <v>0.9285714285714286</v>
      </c>
      <c r="AY90" s="770">
        <f t="shared" si="71"/>
        <v>33.935015634151306</v>
      </c>
      <c r="AZ90" s="747">
        <f t="shared" si="75"/>
        <v>33.906776621683292</v>
      </c>
      <c r="BA90" s="646">
        <f t="shared" si="72"/>
        <v>0.53691956132695184</v>
      </c>
      <c r="BB90" s="641">
        <v>43176</v>
      </c>
      <c r="BC90" s="11">
        <v>43176</v>
      </c>
      <c r="BD90" s="290">
        <f>[3]!FeuilCaduc*(1-Persistant)+Persistant</f>
        <v>0.80275943279824569</v>
      </c>
      <c r="BE90" s="291">
        <f>[3]!CroissVégét</f>
        <v>2.8166207768877807E-2</v>
      </c>
      <c r="BF90" s="822">
        <f>1+[3]!Salcycl*Ksac</f>
        <v>1.0006898581995614</v>
      </c>
      <c r="BH90" s="1101">
        <f t="shared" si="73"/>
        <v>3.8447613666147497E-4</v>
      </c>
      <c r="BI90" s="11">
        <v>44272</v>
      </c>
      <c r="BJ90" s="727">
        <v>0</v>
      </c>
      <c r="BK90" s="727">
        <v>0</v>
      </c>
      <c r="BL90" s="727">
        <v>1.5066771083491023E-7</v>
      </c>
      <c r="BM90" s="727">
        <v>3.8046084271259925E-4</v>
      </c>
      <c r="BN90" s="727">
        <v>3.950684618001004E-3</v>
      </c>
      <c r="BO90" s="728">
        <v>2.24120283175442E-2</v>
      </c>
      <c r="BP90" s="727">
        <v>6.0157188285156003E-2</v>
      </c>
      <c r="BQ90" s="727">
        <v>0.13145758968117438</v>
      </c>
      <c r="BR90" s="727">
        <v>0.24595949590502342</v>
      </c>
      <c r="BS90" s="727">
        <v>0.42654585383493848</v>
      </c>
      <c r="BT90" s="727">
        <v>0.65613548421758616</v>
      </c>
      <c r="BW90" s="1157">
        <f>'2018'!R\Max</f>
        <v>0</v>
      </c>
      <c r="BX90" s="1155">
        <f>'2019'!R\Max</f>
        <v>0.35263587251769829</v>
      </c>
      <c r="BY90" s="1155">
        <f>'2020'!R\Max</f>
        <v>0.19892060328786224</v>
      </c>
      <c r="BZ90" s="1155">
        <f>'2021'!R\Max</f>
        <v>0.53691956132695184</v>
      </c>
      <c r="CA90" s="1155">
        <f>'2022'!R\Max</f>
        <v>0.24302787616164762</v>
      </c>
      <c r="CB90" s="1155">
        <f>'2023'!R\Max</f>
        <v>0.24289385932522148</v>
      </c>
      <c r="CC90" s="1155">
        <f>'2024'!R\Max</f>
        <v>0.24270409199373616</v>
      </c>
      <c r="CD90" s="1155">
        <f>'2025'!R\Max</f>
        <v>0.24224741831127539</v>
      </c>
      <c r="CE90" s="1155">
        <f>'2026'!R\Max</f>
        <v>0.24329905289114179</v>
      </c>
      <c r="CF90" s="1156">
        <f>'2027'!R\Max</f>
        <v>0.243255857227378</v>
      </c>
    </row>
    <row r="91" spans="1:84" s="6" customFormat="1" ht="11.25" x14ac:dyDescent="0.2">
      <c r="A91" s="11">
        <v>43177</v>
      </c>
      <c r="B91" s="380">
        <f>'2022'!Maxi_hp</f>
        <v>22.615966613904025</v>
      </c>
      <c r="C91" s="13">
        <f>'2022'!An_max</f>
        <v>2019</v>
      </c>
      <c r="D91" s="1070"/>
      <c r="E91" s="13"/>
      <c r="F91" s="13">
        <f t="shared" si="74"/>
        <v>7</v>
      </c>
      <c r="G91" s="13">
        <f t="shared" si="58"/>
        <v>6</v>
      </c>
      <c r="H91" s="173">
        <f t="shared" si="59"/>
        <v>43178</v>
      </c>
      <c r="I91" s="754">
        <f t="shared" si="60"/>
        <v>7.1428571428571425E-2</v>
      </c>
      <c r="J91" s="747">
        <f t="shared" si="61"/>
        <v>34.18565247855814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P91" s="13">
        <f t="shared" si="62"/>
        <v>5</v>
      </c>
      <c r="AQ91" s="13">
        <f t="shared" si="63"/>
        <v>4</v>
      </c>
      <c r="AR91" s="173">
        <f t="shared" si="64"/>
        <v>43192</v>
      </c>
      <c r="AS91" s="754">
        <f t="shared" si="65"/>
        <v>0.5357142857142857</v>
      </c>
      <c r="AT91" s="770">
        <f t="shared" si="66"/>
        <v>34.164838916908153</v>
      </c>
      <c r="AU91" s="13">
        <f t="shared" si="67"/>
        <v>3</v>
      </c>
      <c r="AV91" s="13">
        <f t="shared" si="68"/>
        <v>4</v>
      </c>
      <c r="AW91" s="173">
        <f t="shared" si="69"/>
        <v>43150</v>
      </c>
      <c r="AX91" s="754">
        <f t="shared" si="70"/>
        <v>0.9642857142857143</v>
      </c>
      <c r="AY91" s="770">
        <f t="shared" si="71"/>
        <v>34.200806641885507</v>
      </c>
      <c r="AZ91" s="747">
        <f t="shared" si="75"/>
        <v>34.18282277939683</v>
      </c>
      <c r="BA91" s="646">
        <f t="shared" si="72"/>
        <v>0.66156311125227663</v>
      </c>
      <c r="BB91" s="641">
        <v>43177</v>
      </c>
      <c r="BC91" s="11">
        <v>43177</v>
      </c>
      <c r="BD91" s="290">
        <f>[3]!FeuilCaduc*(1-Persistant)+Persistant</f>
        <v>0.80292061091665823</v>
      </c>
      <c r="BE91" s="291">
        <f>[3]!CroissVégét</f>
        <v>2.9368171926128662E-2</v>
      </c>
      <c r="BF91" s="822">
        <f>1+[3]!Salcycl*Ksac</f>
        <v>1.0007301527291645</v>
      </c>
      <c r="BH91" s="1101">
        <f t="shared" si="73"/>
        <v>1.9324350398615468E-4</v>
      </c>
      <c r="BI91" s="11">
        <v>44273</v>
      </c>
      <c r="BJ91" s="727">
        <v>0</v>
      </c>
      <c r="BK91" s="727">
        <v>0</v>
      </c>
      <c r="BL91" s="727">
        <v>7.5331377209388959E-8</v>
      </c>
      <c r="BM91" s="727">
        <v>1.9032730437140466E-4</v>
      </c>
      <c r="BN91" s="727">
        <v>2.7832844653240939E-3</v>
      </c>
      <c r="BO91" s="728">
        <v>1.8320732817244376E-2</v>
      </c>
      <c r="BP91" s="727">
        <v>5.0986729982024602E-2</v>
      </c>
      <c r="BQ91" s="727">
        <v>0.11666252281316042</v>
      </c>
      <c r="BR91" s="727">
        <v>0.22607582687029618</v>
      </c>
      <c r="BS91" s="727">
        <v>0.40199195526614173</v>
      </c>
      <c r="BT91" s="727">
        <v>0.62631713260085986</v>
      </c>
      <c r="BW91" s="1157">
        <f>'2018'!R\Max</f>
        <v>0</v>
      </c>
      <c r="BX91" s="1155">
        <f>'2019'!R\Max</f>
        <v>0.66156311125227663</v>
      </c>
      <c r="BY91" s="1155">
        <f>'2020'!R\Max</f>
        <v>0.23238843496613093</v>
      </c>
      <c r="BZ91" s="1155">
        <f>'2021'!R\Max</f>
        <v>0.4905766797774761</v>
      </c>
      <c r="CA91" s="1155">
        <f>'2022'!R\Max</f>
        <v>0.30086805876757816</v>
      </c>
      <c r="CB91" s="1155">
        <f>'2023'!R\Max</f>
        <v>0.30072980602994803</v>
      </c>
      <c r="CC91" s="1155">
        <f>'2024'!R\Max</f>
        <v>0.30053058260715543</v>
      </c>
      <c r="CD91" s="1155">
        <f>'2025'!R\Max</f>
        <v>0.30004614136740082</v>
      </c>
      <c r="CE91" s="1155">
        <f>'2026'!R\Max</f>
        <v>0.30114169923476608</v>
      </c>
      <c r="CF91" s="1156">
        <f>'2027'!R\Max</f>
        <v>0.30110324568218233</v>
      </c>
    </row>
    <row r="92" spans="1:84" s="6" customFormat="1" ht="11.25" x14ac:dyDescent="0.2">
      <c r="A92" s="11">
        <v>43178</v>
      </c>
      <c r="B92" s="380">
        <f>'2022'!Maxi_hp</f>
        <v>31.49075258123468</v>
      </c>
      <c r="C92" s="13">
        <f>'2022'!An_max</f>
        <v>2020</v>
      </c>
      <c r="D92" s="1070"/>
      <c r="E92" s="1073">
        <f>S$13/10</f>
        <v>34.460799999999999</v>
      </c>
      <c r="F92" s="13">
        <f t="shared" si="74"/>
        <v>7</v>
      </c>
      <c r="G92" s="13">
        <f t="shared" si="58"/>
        <v>8</v>
      </c>
      <c r="H92" s="173">
        <f t="shared" si="59"/>
        <v>43178</v>
      </c>
      <c r="I92" s="754">
        <f t="shared" si="60"/>
        <v>0</v>
      </c>
      <c r="J92" s="747">
        <f t="shared" si="61"/>
        <v>34.460800000280145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P92" s="13">
        <f t="shared" si="62"/>
        <v>5</v>
      </c>
      <c r="AQ92" s="13">
        <f t="shared" si="63"/>
        <v>4</v>
      </c>
      <c r="AR92" s="173">
        <f t="shared" si="64"/>
        <v>43192</v>
      </c>
      <c r="AS92" s="754">
        <f t="shared" si="65"/>
        <v>0.5</v>
      </c>
      <c r="AT92" s="770">
        <f t="shared" si="66"/>
        <v>34.448562500346455</v>
      </c>
      <c r="AU92" s="13">
        <f t="shared" si="67"/>
        <v>5</v>
      </c>
      <c r="AV92" s="13">
        <f t="shared" si="68"/>
        <v>4</v>
      </c>
      <c r="AW92" s="173">
        <f t="shared" si="69"/>
        <v>43206</v>
      </c>
      <c r="AX92" s="754">
        <f t="shared" si="70"/>
        <v>1</v>
      </c>
      <c r="AY92" s="770">
        <f t="shared" si="71"/>
        <v>34.460800000652668</v>
      </c>
      <c r="AZ92" s="747">
        <f t="shared" si="75"/>
        <v>34.454681250499561</v>
      </c>
      <c r="BA92" s="646">
        <f t="shared" si="72"/>
        <v>0.91381374143893002</v>
      </c>
      <c r="BB92" s="641">
        <v>43178</v>
      </c>
      <c r="BC92" s="11">
        <v>43178</v>
      </c>
      <c r="BD92" s="290">
        <f>[3]!FeuilCaduc*(1-Persistant)+Persistant</f>
        <v>0.80309897166850319</v>
      </c>
      <c r="BE92" s="291">
        <f>[3]!CroissVégét</f>
        <v>3.0617403154541836E-2</v>
      </c>
      <c r="BF92" s="822">
        <f>1+[3]!Salcycl*Ksac</f>
        <v>1.0007747429171259</v>
      </c>
      <c r="BH92" s="1101">
        <f t="shared" si="73"/>
        <v>6.5611103873190694E-5</v>
      </c>
      <c r="BI92" s="11">
        <v>44274</v>
      </c>
      <c r="BJ92" s="727">
        <v>0</v>
      </c>
      <c r="BK92" s="727">
        <v>0</v>
      </c>
      <c r="BL92" s="727">
        <v>2.5109491451630918E-8</v>
      </c>
      <c r="BM92" s="727">
        <v>6.3562226425716053E-5</v>
      </c>
      <c r="BN92" s="727">
        <v>1.8853344475290659E-3</v>
      </c>
      <c r="BO92" s="728">
        <v>1.4811999308920921E-2</v>
      </c>
      <c r="BP92" s="727">
        <v>4.2697191613732977E-2</v>
      </c>
      <c r="BQ92" s="727">
        <v>0.10275868521426421</v>
      </c>
      <c r="BR92" s="727">
        <v>0.20687708186231468</v>
      </c>
      <c r="BS92" s="727">
        <v>0.37747477747480462</v>
      </c>
      <c r="BT92" s="727">
        <v>0.59563927510270898</v>
      </c>
      <c r="BW92" s="1157">
        <f>'2018'!R\Max</f>
        <v>0</v>
      </c>
      <c r="BX92" s="1155">
        <f>'2019'!R\Max</f>
        <v>0.26536363301951565</v>
      </c>
      <c r="BY92" s="1155">
        <f>'2020'!R\Max</f>
        <v>0.91381374143893002</v>
      </c>
      <c r="BZ92" s="1155">
        <f>'2021'!R\Max</f>
        <v>0.24885201577701113</v>
      </c>
      <c r="CA92" s="1155">
        <f>'2022'!R\Max</f>
        <v>0.59976275086215558</v>
      </c>
      <c r="CB92" s="1155">
        <f>'2023'!R\Max</f>
        <v>0.59963250177885441</v>
      </c>
      <c r="CC92" s="1155">
        <f>'2024'!R\Max</f>
        <v>0.59944158559505856</v>
      </c>
      <c r="CD92" s="1155">
        <f>'2025'!R\Max</f>
        <v>0.59897272613577235</v>
      </c>
      <c r="CE92" s="1155">
        <f>'2026'!R\Max</f>
        <v>0.60001481712805793</v>
      </c>
      <c r="CF92" s="1156">
        <f>'2027'!R\Max</f>
        <v>0.59998424658498828</v>
      </c>
    </row>
    <row r="93" spans="1:84" s="6" customFormat="1" ht="11.25" x14ac:dyDescent="0.2">
      <c r="A93" s="11">
        <v>43179</v>
      </c>
      <c r="B93" s="380">
        <f>'2022'!Maxi_hp</f>
        <v>35.290557656198175</v>
      </c>
      <c r="C93" s="13">
        <f>'2022'!An_max</f>
        <v>2019</v>
      </c>
      <c r="D93" s="1070"/>
      <c r="E93" s="13"/>
      <c r="F93" s="13">
        <f t="shared" si="74"/>
        <v>7</v>
      </c>
      <c r="G93" s="13">
        <f t="shared" si="58"/>
        <v>8</v>
      </c>
      <c r="H93" s="173">
        <f t="shared" si="59"/>
        <v>43178</v>
      </c>
      <c r="I93" s="754">
        <f t="shared" si="60"/>
        <v>7.1428571428571425E-2</v>
      </c>
      <c r="J93" s="747">
        <f t="shared" si="61"/>
        <v>34.733182489605881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P93" s="13">
        <f t="shared" si="62"/>
        <v>5</v>
      </c>
      <c r="AQ93" s="13">
        <f t="shared" si="63"/>
        <v>4</v>
      </c>
      <c r="AR93" s="173">
        <f t="shared" si="64"/>
        <v>43192</v>
      </c>
      <c r="AS93" s="754">
        <f t="shared" si="65"/>
        <v>0.4642857142857143</v>
      </c>
      <c r="AT93" s="770">
        <f t="shared" si="66"/>
        <v>34.729414016613738</v>
      </c>
      <c r="AU93" s="13">
        <f t="shared" si="67"/>
        <v>5</v>
      </c>
      <c r="AV93" s="13">
        <f t="shared" si="68"/>
        <v>4</v>
      </c>
      <c r="AW93" s="173">
        <f t="shared" si="69"/>
        <v>43206</v>
      </c>
      <c r="AX93" s="754">
        <f t="shared" si="70"/>
        <v>0.9642857142857143</v>
      </c>
      <c r="AY93" s="770">
        <f t="shared" si="71"/>
        <v>34.716587832689818</v>
      </c>
      <c r="AZ93" s="747">
        <f t="shared" si="75"/>
        <v>34.723000924651778</v>
      </c>
      <c r="BA93" s="646">
        <f t="shared" si="72"/>
        <v>1.0160473393637077</v>
      </c>
      <c r="BB93" s="641">
        <v>43179</v>
      </c>
      <c r="BC93" s="11">
        <v>43179</v>
      </c>
      <c r="BD93" s="290">
        <f>[3]!FeuilCaduc*(1-Persistant)+Persistant</f>
        <v>0.80329599203180646</v>
      </c>
      <c r="BE93" s="291">
        <f>[3]!CroissVégét</f>
        <v>3.1915627119784788E-2</v>
      </c>
      <c r="BF93" s="822">
        <f>1+[3]!Salcycl*Ksac</f>
        <v>1.0008239980079516</v>
      </c>
      <c r="BH93" s="1101">
        <f t="shared" si="73"/>
        <v>1.5737429254294849E-6</v>
      </c>
      <c r="BI93" s="11">
        <v>44275</v>
      </c>
      <c r="BJ93" s="727">
        <v>0</v>
      </c>
      <c r="BK93" s="727">
        <v>0</v>
      </c>
      <c r="BL93" s="727">
        <v>0</v>
      </c>
      <c r="BM93" s="727">
        <v>1.6042807585540647E-7</v>
      </c>
      <c r="BN93" s="727">
        <v>1.2568181826918894E-3</v>
      </c>
      <c r="BO93" s="728">
        <v>1.1885815789283221E-2</v>
      </c>
      <c r="BP93" s="727">
        <v>3.528859965320584E-2</v>
      </c>
      <c r="BQ93" s="727">
        <v>8.9746178731705692E-2</v>
      </c>
      <c r="BR93" s="727">
        <v>0.18836344280803236</v>
      </c>
      <c r="BS93" s="727">
        <v>0.35299461162723089</v>
      </c>
      <c r="BT93" s="727">
        <v>0.564102339333591</v>
      </c>
      <c r="BW93" s="1157">
        <f>'2018'!R\Max</f>
        <v>0</v>
      </c>
      <c r="BX93" s="1155">
        <f>'2019'!R\Max</f>
        <v>1.0160473393637077</v>
      </c>
      <c r="BY93" s="1155">
        <f>'2020'!R\Max</f>
        <v>0.89466784603083349</v>
      </c>
      <c r="BZ93" s="1155">
        <f>'2021'!R\Max</f>
        <v>0.86919698653891564</v>
      </c>
      <c r="CA93" s="1155">
        <f>'2022'!R\Max</f>
        <v>0.66353803158128055</v>
      </c>
      <c r="CB93" s="1155">
        <f>'2023'!R\Max</f>
        <v>0.66343919254070338</v>
      </c>
      <c r="CC93" s="1155">
        <f>'2024'!R\Max</f>
        <v>0.66329227880927577</v>
      </c>
      <c r="CD93" s="1155">
        <f>'2025'!R\Max</f>
        <v>0.66292912806505955</v>
      </c>
      <c r="CE93" s="1155">
        <f>'2026'!R\Max</f>
        <v>0.66372561428910493</v>
      </c>
      <c r="CF93" s="1156">
        <f>'2027'!R\Max</f>
        <v>0.66370615261305277</v>
      </c>
    </row>
    <row r="94" spans="1:84" s="6" customFormat="1" ht="11.25" x14ac:dyDescent="0.2">
      <c r="A94" s="11">
        <v>43180</v>
      </c>
      <c r="B94" s="380">
        <f>'2022'!Maxi_hp</f>
        <v>35.232626438185896</v>
      </c>
      <c r="C94" s="13">
        <f>'2022'!An_max</f>
        <v>2019</v>
      </c>
      <c r="D94" s="1070"/>
      <c r="E94" s="13"/>
      <c r="F94" s="13">
        <f t="shared" si="74"/>
        <v>7</v>
      </c>
      <c r="G94" s="13">
        <f t="shared" si="58"/>
        <v>8</v>
      </c>
      <c r="H94" s="173">
        <f t="shared" si="59"/>
        <v>43178</v>
      </c>
      <c r="I94" s="754">
        <f t="shared" si="60"/>
        <v>0.14285714285714285</v>
      </c>
      <c r="J94" s="747">
        <f t="shared" si="61"/>
        <v>35.004530321274487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P94" s="13">
        <f t="shared" si="62"/>
        <v>5</v>
      </c>
      <c r="AQ94" s="13">
        <f t="shared" si="63"/>
        <v>4</v>
      </c>
      <c r="AR94" s="173">
        <f t="shared" si="64"/>
        <v>43192</v>
      </c>
      <c r="AS94" s="754">
        <f t="shared" si="65"/>
        <v>0.42857142857142855</v>
      </c>
      <c r="AT94" s="770">
        <f t="shared" si="66"/>
        <v>35.007099125294815</v>
      </c>
      <c r="AU94" s="13">
        <f t="shared" si="67"/>
        <v>5</v>
      </c>
      <c r="AV94" s="13">
        <f t="shared" si="68"/>
        <v>4</v>
      </c>
      <c r="AW94" s="173">
        <f t="shared" si="69"/>
        <v>43206</v>
      </c>
      <c r="AX94" s="754">
        <f t="shared" si="70"/>
        <v>0.9285714285714286</v>
      </c>
      <c r="AY94" s="770">
        <f t="shared" si="71"/>
        <v>34.969922813852989</v>
      </c>
      <c r="AZ94" s="747">
        <f t="shared" si="75"/>
        <v>34.988510969573902</v>
      </c>
      <c r="BA94" s="646">
        <f t="shared" si="72"/>
        <v>1.0065161884709757</v>
      </c>
      <c r="BB94" s="641">
        <v>43180</v>
      </c>
      <c r="BC94" s="11">
        <v>43180</v>
      </c>
      <c r="BD94" s="290">
        <f>[3]!FeuilCaduc*(1-Persistant)+Persistant</f>
        <v>0.80351317123029775</v>
      </c>
      <c r="BE94" s="291">
        <f>[3]!CroissVégét</f>
        <v>3.3264621499185201E-2</v>
      </c>
      <c r="BF94" s="822">
        <f>1+[3]!Salcycl*Ksac</f>
        <v>1.0008782928075743</v>
      </c>
      <c r="BH94" s="1101">
        <f t="shared" si="73"/>
        <v>1.1240841424873572E-6</v>
      </c>
      <c r="BI94" s="11">
        <v>44276</v>
      </c>
      <c r="BJ94" s="727">
        <v>0</v>
      </c>
      <c r="BK94" s="727">
        <v>0</v>
      </c>
      <c r="BL94" s="727">
        <v>0</v>
      </c>
      <c r="BM94" s="727">
        <v>1.1458610513344986E-7</v>
      </c>
      <c r="BN94" s="727">
        <v>8.9771609173762716E-4</v>
      </c>
      <c r="BO94" s="728">
        <v>9.6123374570964305E-3</v>
      </c>
      <c r="BP94" s="727">
        <v>2.8986268604664522E-2</v>
      </c>
      <c r="BQ94" s="727">
        <v>7.8053403100774077E-2</v>
      </c>
      <c r="BR94" s="727">
        <v>0.17097580804354356</v>
      </c>
      <c r="BS94" s="727">
        <v>0.32902515168223917</v>
      </c>
      <c r="BT94" s="727">
        <v>0.53227016811710659</v>
      </c>
      <c r="BW94" s="1157">
        <f>'2018'!R\Max</f>
        <v>0</v>
      </c>
      <c r="BX94" s="1155">
        <f>'2019'!R\Max</f>
        <v>1.0065161884709757</v>
      </c>
      <c r="BY94" s="1155">
        <f>'2020'!R\Max</f>
        <v>1.0002399712853629</v>
      </c>
      <c r="BZ94" s="1155">
        <f>'2021'!R\Max</f>
        <v>0.82466756897595184</v>
      </c>
      <c r="CA94" s="1155">
        <f>'2022'!R\Max</f>
        <v>0.94324101136715499</v>
      </c>
      <c r="CB94" s="1155">
        <f>'2023'!R\Max</f>
        <v>0.94322172388111725</v>
      </c>
      <c r="CC94" s="1155">
        <f>'2024'!R\Max</f>
        <v>0.94319282015480155</v>
      </c>
      <c r="CD94" s="1155">
        <f>'2025'!R\Max</f>
        <v>0.94312122740621407</v>
      </c>
      <c r="CE94" s="1155">
        <f>'2026'!R\Max</f>
        <v>0.94327713358730791</v>
      </c>
      <c r="CF94" s="1156">
        <f>'2027'!R\Max</f>
        <v>0.9432738260952539</v>
      </c>
    </row>
    <row r="95" spans="1:84" s="6" customFormat="1" ht="11.25" x14ac:dyDescent="0.2">
      <c r="A95" s="11">
        <v>43181</v>
      </c>
      <c r="B95" s="380">
        <f>'2022'!Maxi_hp</f>
        <v>34.33751568572859</v>
      </c>
      <c r="C95" s="13">
        <f>'2022'!An_max</f>
        <v>2019</v>
      </c>
      <c r="D95" s="1070"/>
      <c r="E95" s="13"/>
      <c r="F95" s="13">
        <f t="shared" si="74"/>
        <v>7</v>
      </c>
      <c r="G95" s="13">
        <f t="shared" si="58"/>
        <v>8</v>
      </c>
      <c r="H95" s="173">
        <f t="shared" si="59"/>
        <v>43178</v>
      </c>
      <c r="I95" s="754">
        <f t="shared" si="60"/>
        <v>0.21428571428571427</v>
      </c>
      <c r="J95" s="747">
        <f t="shared" si="61"/>
        <v>35.274308328037812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P95" s="13">
        <f t="shared" si="62"/>
        <v>5</v>
      </c>
      <c r="AQ95" s="13">
        <f t="shared" si="63"/>
        <v>4</v>
      </c>
      <c r="AR95" s="173">
        <f t="shared" si="64"/>
        <v>43192</v>
      </c>
      <c r="AS95" s="754">
        <f t="shared" si="65"/>
        <v>0.39285714285714285</v>
      </c>
      <c r="AT95" s="770">
        <f t="shared" si="66"/>
        <v>35.281323483380092</v>
      </c>
      <c r="AU95" s="13">
        <f t="shared" si="67"/>
        <v>5</v>
      </c>
      <c r="AV95" s="13">
        <f t="shared" si="68"/>
        <v>4</v>
      </c>
      <c r="AW95" s="173">
        <f t="shared" si="69"/>
        <v>43206</v>
      </c>
      <c r="AX95" s="754">
        <f t="shared" si="70"/>
        <v>0.8928571428571429</v>
      </c>
      <c r="AY95" s="770">
        <f t="shared" si="71"/>
        <v>35.220724667648646</v>
      </c>
      <c r="AZ95" s="747">
        <f t="shared" si="75"/>
        <v>35.251024075514366</v>
      </c>
      <c r="BA95" s="646">
        <f t="shared" si="72"/>
        <v>0.97344263610791737</v>
      </c>
      <c r="BB95" s="641">
        <v>43181</v>
      </c>
      <c r="BC95" s="11">
        <v>43181</v>
      </c>
      <c r="BD95" s="290">
        <f>[3]!FeuilCaduc*(1-Persistant)+Persistant</f>
        <v>0.80375202585476069</v>
      </c>
      <c r="BE95" s="291">
        <f>[3]!CroissVégét</f>
        <v>3.4666216621534622E-2</v>
      </c>
      <c r="BF95" s="822">
        <f>1+[3]!Salcycl*Ksac</f>
        <v>1.0009380064636901</v>
      </c>
      <c r="BH95" s="1101">
        <f t="shared" si="73"/>
        <v>7.4939192225626421E-7</v>
      </c>
      <c r="BI95" s="11">
        <v>44277</v>
      </c>
      <c r="BJ95" s="727">
        <v>0</v>
      </c>
      <c r="BK95" s="727">
        <v>0</v>
      </c>
      <c r="BL95" s="727">
        <v>0</v>
      </c>
      <c r="BM95" s="727">
        <v>7.6387147521907687E-8</v>
      </c>
      <c r="BN95" s="727">
        <v>5.9848279978687139E-4</v>
      </c>
      <c r="BO95" s="728">
        <v>7.6243180471348487E-3</v>
      </c>
      <c r="BP95" s="727">
        <v>2.3426494830782005E-2</v>
      </c>
      <c r="BQ95" s="727">
        <v>6.7327528932619687E-2</v>
      </c>
      <c r="BR95" s="727">
        <v>0.15455329680215546</v>
      </c>
      <c r="BS95" s="727">
        <v>0.30573160744276473</v>
      </c>
      <c r="BT95" s="727">
        <v>0.50094169143421186</v>
      </c>
      <c r="BW95" s="1157">
        <f>'2018'!R\Max</f>
        <v>0</v>
      </c>
      <c r="BX95" s="1155">
        <f>'2019'!R\Max</f>
        <v>0.97344263610791737</v>
      </c>
      <c r="BY95" s="1155">
        <f>'2020'!R\Max</f>
        <v>0.95585430242715341</v>
      </c>
      <c r="BZ95" s="1155">
        <f>'2021'!R\Max</f>
        <v>0.88439851891260657</v>
      </c>
      <c r="CA95" s="1155">
        <f>'2022'!R\Max</f>
        <v>0.86414458824904694</v>
      </c>
      <c r="CB95" s="1155">
        <f>'2023'!R\Max</f>
        <v>0.86411074535756194</v>
      </c>
      <c r="CC95" s="1155">
        <f>'2024'!R\Max</f>
        <v>0.86405956525654637</v>
      </c>
      <c r="CD95" s="1155">
        <f>'2025'!R\Max</f>
        <v>0.86393254169747824</v>
      </c>
      <c r="CE95" s="1155">
        <f>'2026'!R\Max</f>
        <v>0.86420700425377461</v>
      </c>
      <c r="CF95" s="1156">
        <f>'2027'!R\Max</f>
        <v>0.86420220367973311</v>
      </c>
    </row>
    <row r="96" spans="1:84" s="6" customFormat="1" ht="11.25" x14ac:dyDescent="0.2">
      <c r="A96" s="11">
        <v>43182</v>
      </c>
      <c r="B96" s="380">
        <f>'2022'!Maxi_hp</f>
        <v>36.330998993590491</v>
      </c>
      <c r="C96" s="13">
        <f>'2022'!An_max</f>
        <v>2021</v>
      </c>
      <c r="D96" s="1070"/>
      <c r="E96" s="13"/>
      <c r="F96" s="13">
        <f t="shared" si="74"/>
        <v>7</v>
      </c>
      <c r="G96" s="13">
        <f t="shared" si="58"/>
        <v>8</v>
      </c>
      <c r="H96" s="173">
        <f t="shared" si="59"/>
        <v>43178</v>
      </c>
      <c r="I96" s="754">
        <f t="shared" si="60"/>
        <v>0.2857142857142857</v>
      </c>
      <c r="J96" s="747">
        <f t="shared" si="61"/>
        <v>35.541981341743039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P96" s="13">
        <f t="shared" si="62"/>
        <v>5</v>
      </c>
      <c r="AQ96" s="13">
        <f t="shared" si="63"/>
        <v>4</v>
      </c>
      <c r="AR96" s="173">
        <f t="shared" si="64"/>
        <v>43192</v>
      </c>
      <c r="AS96" s="754">
        <f t="shared" si="65"/>
        <v>0.35714285714285715</v>
      </c>
      <c r="AT96" s="770">
        <f t="shared" si="66"/>
        <v>35.551792748405461</v>
      </c>
      <c r="AU96" s="13">
        <f t="shared" si="67"/>
        <v>5</v>
      </c>
      <c r="AV96" s="13">
        <f t="shared" si="68"/>
        <v>4</v>
      </c>
      <c r="AW96" s="173">
        <f t="shared" si="69"/>
        <v>43206</v>
      </c>
      <c r="AX96" s="754">
        <f t="shared" si="70"/>
        <v>0.8571428571428571</v>
      </c>
      <c r="AY96" s="770">
        <f t="shared" si="71"/>
        <v>35.468913119392731</v>
      </c>
      <c r="AZ96" s="747">
        <f t="shared" si="75"/>
        <v>35.5103529338991</v>
      </c>
      <c r="BA96" s="646">
        <f t="shared" si="72"/>
        <v>1.0221995967039905</v>
      </c>
      <c r="BB96" s="641">
        <v>43182</v>
      </c>
      <c r="BC96" s="11">
        <v>43182</v>
      </c>
      <c r="BD96" s="290">
        <f>[3]!FeuilCaduc*(1-Persistant)+Persistant</f>
        <v>0.80401408504530669</v>
      </c>
      <c r="BE96" s="291">
        <f>[3]!CroissVégét</f>
        <v>3.6122296026123907E-2</v>
      </c>
      <c r="BF96" s="822">
        <f>1+[3]!Salcycl*Ksac</f>
        <v>1.0010035212613266</v>
      </c>
      <c r="BH96" s="1101">
        <f t="shared" si="73"/>
        <v>4.4965562028363413E-7</v>
      </c>
      <c r="BI96" s="11">
        <v>44278</v>
      </c>
      <c r="BJ96" s="727">
        <v>0</v>
      </c>
      <c r="BK96" s="727">
        <v>0</v>
      </c>
      <c r="BL96" s="727">
        <v>0</v>
      </c>
      <c r="BM96" s="727">
        <v>4.5830117798361787E-8</v>
      </c>
      <c r="BN96" s="727">
        <v>3.5910980610500819E-4</v>
      </c>
      <c r="BO96" s="728">
        <v>5.9217157775837267E-3</v>
      </c>
      <c r="BP96" s="727">
        <v>1.8609168687155949E-2</v>
      </c>
      <c r="BQ96" s="727">
        <v>5.7568403390793485E-2</v>
      </c>
      <c r="BR96" s="727">
        <v>0.13909573138248899</v>
      </c>
      <c r="BS96" s="727">
        <v>0.28311379704152406</v>
      </c>
      <c r="BT96" s="727">
        <v>0.47011669319617516</v>
      </c>
      <c r="BW96" s="1157">
        <f>'2018'!R\Max</f>
        <v>0</v>
      </c>
      <c r="BX96" s="1155">
        <f>'2019'!R\Max</f>
        <v>0.91583865871334613</v>
      </c>
      <c r="BY96" s="1155">
        <f>'2020'!R\Max</f>
        <v>0.89414728250127073</v>
      </c>
      <c r="BZ96" s="1155">
        <f>'2021'!R\Max</f>
        <v>1.0221995967039905</v>
      </c>
      <c r="CA96" s="1155">
        <f>'2022'!R\Max</f>
        <v>0.96332711963019313</v>
      </c>
      <c r="CB96" s="1155">
        <f>'2023'!R\Max</f>
        <v>0.9633191151632996</v>
      </c>
      <c r="CC96" s="1155">
        <f>'2024'!R\Max</f>
        <v>0.96330687854888541</v>
      </c>
      <c r="CD96" s="1155">
        <f>'2025'!R\Max</f>
        <v>0.96327641431078892</v>
      </c>
      <c r="CE96" s="1155">
        <f>'2026'!R\Max</f>
        <v>0.96334161455580258</v>
      </c>
      <c r="CF96" s="1156">
        <f>'2027'!R\Max</f>
        <v>0.96334075399830099</v>
      </c>
    </row>
    <row r="97" spans="1:84" s="6" customFormat="1" ht="11.25" x14ac:dyDescent="0.2">
      <c r="A97" s="11">
        <v>43183</v>
      </c>
      <c r="B97" s="380">
        <f>'2022'!Maxi_hp</f>
        <v>35.972058370872873</v>
      </c>
      <c r="C97" s="13">
        <f>'2022'!An_max</f>
        <v>2021</v>
      </c>
      <c r="D97" s="1070"/>
      <c r="E97" s="13"/>
      <c r="F97" s="13">
        <f t="shared" si="74"/>
        <v>7</v>
      </c>
      <c r="G97" s="13">
        <f t="shared" si="58"/>
        <v>8</v>
      </c>
      <c r="H97" s="173">
        <f t="shared" si="59"/>
        <v>43178</v>
      </c>
      <c r="I97" s="754">
        <f t="shared" si="60"/>
        <v>0.35714285714285715</v>
      </c>
      <c r="J97" s="747">
        <f t="shared" si="61"/>
        <v>35.807014194317162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P97" s="13">
        <f t="shared" si="62"/>
        <v>5</v>
      </c>
      <c r="AQ97" s="13">
        <f t="shared" si="63"/>
        <v>4</v>
      </c>
      <c r="AR97" s="173">
        <f t="shared" si="64"/>
        <v>43192</v>
      </c>
      <c r="AS97" s="754">
        <f t="shared" si="65"/>
        <v>0.32142857142857145</v>
      </c>
      <c r="AT97" s="770">
        <f t="shared" si="66"/>
        <v>35.818212577214993</v>
      </c>
      <c r="AU97" s="13">
        <f t="shared" si="67"/>
        <v>5</v>
      </c>
      <c r="AV97" s="13">
        <f t="shared" si="68"/>
        <v>4</v>
      </c>
      <c r="AW97" s="173">
        <f t="shared" si="69"/>
        <v>43206</v>
      </c>
      <c r="AX97" s="754">
        <f t="shared" si="70"/>
        <v>0.8214285714285714</v>
      </c>
      <c r="AY97" s="770">
        <f t="shared" si="71"/>
        <v>35.714407894773672</v>
      </c>
      <c r="AZ97" s="747">
        <f t="shared" si="75"/>
        <v>35.766310235994332</v>
      </c>
      <c r="BA97" s="646">
        <f t="shared" si="72"/>
        <v>1.0046092694481603</v>
      </c>
      <c r="BB97" s="641">
        <v>43183</v>
      </c>
      <c r="BC97" s="11">
        <v>43183</v>
      </c>
      <c r="BD97" s="290">
        <f>[3]!FeuilCaduc*(1-Persistant)+Persistant</f>
        <v>0.80430088576180425</v>
      </c>
      <c r="BE97" s="291">
        <f>[3]!CroissVégét</f>
        <v>3.7634796931243539E-2</v>
      </c>
      <c r="BF97" s="822">
        <f>1+[3]!Salcycl*Ksac</f>
        <v>1.001075221440451</v>
      </c>
      <c r="BH97" s="1101">
        <f t="shared" si="73"/>
        <v>2.2486485572218029E-7</v>
      </c>
      <c r="BI97" s="11">
        <v>44279</v>
      </c>
      <c r="BJ97" s="727">
        <v>0</v>
      </c>
      <c r="BK97" s="727">
        <v>0</v>
      </c>
      <c r="BL97" s="727">
        <v>0</v>
      </c>
      <c r="BM97" s="727">
        <v>2.2913957613284999E-8</v>
      </c>
      <c r="BN97" s="727">
        <v>1.7958882047638849E-4</v>
      </c>
      <c r="BO97" s="728">
        <v>4.5044905894242931E-3</v>
      </c>
      <c r="BP97" s="727">
        <v>1.4534185508400318E-2</v>
      </c>
      <c r="BQ97" s="727">
        <v>4.8775884588118087E-2</v>
      </c>
      <c r="BR97" s="727">
        <v>0.12460295233325554</v>
      </c>
      <c r="BS97" s="727">
        <v>0.26117156649375572</v>
      </c>
      <c r="BT97" s="727">
        <v>0.43979499598030164</v>
      </c>
      <c r="BW97" s="1157">
        <f>'2018'!R\Max</f>
        <v>0</v>
      </c>
      <c r="BX97" s="1155">
        <f>'2019'!R\Max</f>
        <v>0.98903523439440633</v>
      </c>
      <c r="BY97" s="1155">
        <f>'2020'!R\Max</f>
        <v>0.74606283764189485</v>
      </c>
      <c r="BZ97" s="1155">
        <f>'2021'!R\Max</f>
        <v>1.0046092694481603</v>
      </c>
      <c r="CA97" s="1155">
        <f>'2022'!R\Max</f>
        <v>0.94666215029153156</v>
      </c>
      <c r="CB97" s="1155">
        <f>'2023'!R\Max</f>
        <v>0.94665331878412617</v>
      </c>
      <c r="CC97" s="1155">
        <f>'2024'!R\Max</f>
        <v>0.94663964797252131</v>
      </c>
      <c r="CD97" s="1155">
        <f>'2025'!R\Max</f>
        <v>0.94660548260420652</v>
      </c>
      <c r="CE97" s="1155">
        <f>'2026'!R\Max</f>
        <v>0.94667781421969799</v>
      </c>
      <c r="CF97" s="1156">
        <f>'2027'!R\Max</f>
        <v>0.94667720340268358</v>
      </c>
    </row>
    <row r="98" spans="1:84" s="6" customFormat="1" ht="11.25" x14ac:dyDescent="0.2">
      <c r="A98" s="11">
        <v>43184</v>
      </c>
      <c r="B98" s="380">
        <f>'2022'!Maxi_hp</f>
        <v>33.539793588319633</v>
      </c>
      <c r="C98" s="13">
        <f>'2022'!An_max</f>
        <v>2020</v>
      </c>
      <c r="D98" s="1070"/>
      <c r="E98" s="13"/>
      <c r="F98" s="13">
        <f t="shared" si="74"/>
        <v>7</v>
      </c>
      <c r="G98" s="13">
        <f t="shared" si="58"/>
        <v>8</v>
      </c>
      <c r="H98" s="173">
        <f t="shared" si="59"/>
        <v>43178</v>
      </c>
      <c r="I98" s="754">
        <f t="shared" si="60"/>
        <v>0.42857142857142855</v>
      </c>
      <c r="J98" s="747">
        <f t="shared" si="61"/>
        <v>36.068871720348085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P98" s="13">
        <f t="shared" si="62"/>
        <v>5</v>
      </c>
      <c r="AQ98" s="13">
        <f t="shared" si="63"/>
        <v>4</v>
      </c>
      <c r="AR98" s="173">
        <f t="shared" si="64"/>
        <v>43192</v>
      </c>
      <c r="AS98" s="754">
        <f t="shared" si="65"/>
        <v>0.2857142857142857</v>
      </c>
      <c r="AT98" s="770">
        <f t="shared" si="66"/>
        <v>36.080288629446713</v>
      </c>
      <c r="AU98" s="13">
        <f t="shared" si="67"/>
        <v>5</v>
      </c>
      <c r="AV98" s="13">
        <f t="shared" si="68"/>
        <v>4</v>
      </c>
      <c r="AW98" s="173">
        <f t="shared" si="69"/>
        <v>43206</v>
      </c>
      <c r="AX98" s="754">
        <f t="shared" si="70"/>
        <v>0.7857142857142857</v>
      </c>
      <c r="AY98" s="770">
        <f t="shared" si="71"/>
        <v>35.957128717164906</v>
      </c>
      <c r="AZ98" s="747">
        <f t="shared" si="75"/>
        <v>36.018708673305809</v>
      </c>
      <c r="BA98" s="646">
        <f t="shared" si="72"/>
        <v>0.92988197269831196</v>
      </c>
      <c r="BB98" s="641">
        <v>43184</v>
      </c>
      <c r="BC98" s="11">
        <v>43184</v>
      </c>
      <c r="BD98" s="290">
        <f>[3]!FeuilCaduc*(1-Persistant)+Persistant</f>
        <v>0.80461396816634967</v>
      </c>
      <c r="BE98" s="291">
        <f>[3]!CroissVégét</f>
        <v>3.9205710601738018E-2</v>
      </c>
      <c r="BF98" s="822">
        <f>1+[3]!Salcycl*Ksac</f>
        <v>1.0011534920415874</v>
      </c>
      <c r="BH98" s="1101">
        <f t="shared" si="73"/>
        <v>7.5009271307579498E-8</v>
      </c>
      <c r="BI98" s="11">
        <v>44280</v>
      </c>
      <c r="BJ98" s="727">
        <v>0</v>
      </c>
      <c r="BK98" s="727">
        <v>0</v>
      </c>
      <c r="BL98" s="727">
        <v>0</v>
      </c>
      <c r="BM98" s="727">
        <v>7.6376110192140891E-9</v>
      </c>
      <c r="BN98" s="727">
        <v>5.9911571520894903E-5</v>
      </c>
      <c r="BO98" s="728">
        <v>3.3726032326370659E-3</v>
      </c>
      <c r="BP98" s="727">
        <v>1.1201443231221939E-2</v>
      </c>
      <c r="BQ98" s="727">
        <v>4.0949838492652373E-2</v>
      </c>
      <c r="BR98" s="727">
        <v>0.11107481536654445</v>
      </c>
      <c r="BS98" s="727">
        <v>0.23990478753882055</v>
      </c>
      <c r="BT98" s="727">
        <v>0.409976459425416</v>
      </c>
      <c r="BW98" s="1157">
        <f>'2018'!R\Max</f>
        <v>0</v>
      </c>
      <c r="BX98" s="1155">
        <f>'2019'!R\Max</f>
        <v>0.84195788737408195</v>
      </c>
      <c r="BY98" s="1155">
        <f>'2020'!R\Max</f>
        <v>0.92988197269831196</v>
      </c>
      <c r="BZ98" s="1155">
        <f>'2021'!R\Max</f>
        <v>0.70778733340871736</v>
      </c>
      <c r="CA98" s="1155">
        <f>'2022'!R\Max</f>
        <v>0.83931518092653479</v>
      </c>
      <c r="CB98" s="1155">
        <f>'2023'!R\Max</f>
        <v>0.83929723852969851</v>
      </c>
      <c r="CC98" s="1155">
        <f>'2024'!R\Max</f>
        <v>0.83926907010632712</v>
      </c>
      <c r="CD98" s="1155">
        <f>'2025'!R\Max</f>
        <v>0.83919835742606375</v>
      </c>
      <c r="CE98" s="1155">
        <f>'2026'!R\Max</f>
        <v>0.83934632761356331</v>
      </c>
      <c r="CF98" s="1156">
        <f>'2027'!R\Max</f>
        <v>0.83934578702728013</v>
      </c>
    </row>
    <row r="99" spans="1:84" s="6" customFormat="1" ht="11.25" x14ac:dyDescent="0.2">
      <c r="A99" s="11">
        <v>43185</v>
      </c>
      <c r="B99" s="380">
        <f>'2022'!Maxi_hp</f>
        <v>37.971121713669092</v>
      </c>
      <c r="C99" s="13">
        <f>'2022'!An_max</f>
        <v>2019</v>
      </c>
      <c r="D99" s="1070"/>
      <c r="E99" s="13"/>
      <c r="F99" s="13">
        <f t="shared" si="74"/>
        <v>7</v>
      </c>
      <c r="G99" s="13">
        <f t="shared" si="58"/>
        <v>8</v>
      </c>
      <c r="H99" s="173">
        <f t="shared" si="59"/>
        <v>43178</v>
      </c>
      <c r="I99" s="754">
        <f t="shared" si="60"/>
        <v>0.5</v>
      </c>
      <c r="J99" s="747">
        <f t="shared" si="61"/>
        <v>36.327018750645223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P99" s="13">
        <f t="shared" si="62"/>
        <v>5</v>
      </c>
      <c r="AQ99" s="13">
        <f t="shared" si="63"/>
        <v>4</v>
      </c>
      <c r="AR99" s="173">
        <f t="shared" si="64"/>
        <v>43192</v>
      </c>
      <c r="AS99" s="754">
        <f t="shared" si="65"/>
        <v>0.25</v>
      </c>
      <c r="AT99" s="770">
        <f t="shared" si="66"/>
        <v>36.337726562656464</v>
      </c>
      <c r="AU99" s="13">
        <f t="shared" si="67"/>
        <v>5</v>
      </c>
      <c r="AV99" s="13">
        <f t="shared" si="68"/>
        <v>4</v>
      </c>
      <c r="AW99" s="173">
        <f t="shared" si="69"/>
        <v>43206</v>
      </c>
      <c r="AX99" s="754">
        <f t="shared" si="70"/>
        <v>0.75</v>
      </c>
      <c r="AY99" s="770">
        <f t="shared" si="71"/>
        <v>36.196995312627408</v>
      </c>
      <c r="AZ99" s="747">
        <f t="shared" si="75"/>
        <v>36.267360937641939</v>
      </c>
      <c r="BA99" s="646">
        <f t="shared" si="72"/>
        <v>1.0452584059900227</v>
      </c>
      <c r="BB99" s="641">
        <v>43185</v>
      </c>
      <c r="BC99" s="11">
        <v>43185</v>
      </c>
      <c r="BD99" s="290">
        <f>[3]!FeuilCaduc*(1-Persistant)+Persistant</f>
        <v>0.80495487113811703</v>
      </c>
      <c r="BE99" s="291">
        <f>[3]!CroissVégét</f>
        <v>4.0837082604545251E-2</v>
      </c>
      <c r="BF99" s="822">
        <f>1+[3]!Salcycl*Ksac</f>
        <v>1.0012387177845292</v>
      </c>
      <c r="BH99" s="1101">
        <f t="shared" si="73"/>
        <v>7.8293336910125511E-11</v>
      </c>
      <c r="BI99" s="11">
        <v>44281</v>
      </c>
      <c r="BJ99" s="727">
        <v>0</v>
      </c>
      <c r="BK99" s="727">
        <v>0</v>
      </c>
      <c r="BL99" s="727">
        <v>0</v>
      </c>
      <c r="BM99" s="727">
        <v>0</v>
      </c>
      <c r="BN99" s="727">
        <v>6.9615011115552571E-8</v>
      </c>
      <c r="BO99" s="728">
        <v>2.526014352419345E-3</v>
      </c>
      <c r="BP99" s="727">
        <v>8.610840017542672E-3</v>
      </c>
      <c r="BQ99" s="727">
        <v>3.4090135833809619E-2</v>
      </c>
      <c r="BR99" s="727">
        <v>9.8511188271507816E-2</v>
      </c>
      <c r="BS99" s="727">
        <v>0.21931335548264064</v>
      </c>
      <c r="BT99" s="727">
        <v>0.38066097862876841</v>
      </c>
      <c r="BW99" s="1157">
        <f>'2018'!R\Max</f>
        <v>0</v>
      </c>
      <c r="BX99" s="1155">
        <f>'2019'!R\Max</f>
        <v>1.0452584059900227</v>
      </c>
      <c r="BY99" s="1155">
        <f>'2020'!R\Max</f>
        <v>1.0042302708777084</v>
      </c>
      <c r="BZ99" s="1155">
        <f>'2021'!R\Max</f>
        <v>0.82595528021868292</v>
      </c>
      <c r="CA99" s="1155">
        <f>'2022'!R\Max</f>
        <v>0.88684334474496584</v>
      </c>
      <c r="CB99" s="1155">
        <f>'2023'!R\Max</f>
        <v>0.88683323312518447</v>
      </c>
      <c r="CC99" s="1155">
        <f>'2024'!R\Max</f>
        <v>0.8868171252459468</v>
      </c>
      <c r="CD99" s="1155">
        <f>'2025'!R\Max</f>
        <v>0.88677650857608481</v>
      </c>
      <c r="CE99" s="1155">
        <f>'2026'!R\Max</f>
        <v>0.88686060807542877</v>
      </c>
      <c r="CF99" s="1156">
        <f>'2027'!R\Max</f>
        <v>0.88686060761108954</v>
      </c>
    </row>
    <row r="100" spans="1:84" s="6" customFormat="1" ht="11.25" x14ac:dyDescent="0.2">
      <c r="A100" s="11">
        <v>43186</v>
      </c>
      <c r="B100" s="380">
        <f>'2022'!Maxi_hp</f>
        <v>37.339002876856433</v>
      </c>
      <c r="C100" s="13">
        <f>'2022'!An_max</f>
        <v>2019</v>
      </c>
      <c r="D100" s="1070"/>
      <c r="E100" s="13"/>
      <c r="F100" s="13">
        <f t="shared" si="74"/>
        <v>7</v>
      </c>
      <c r="G100" s="13">
        <f t="shared" si="58"/>
        <v>8</v>
      </c>
      <c r="H100" s="173">
        <f t="shared" si="59"/>
        <v>43178</v>
      </c>
      <c r="I100" s="754">
        <f t="shared" si="60"/>
        <v>0.5714285714285714</v>
      </c>
      <c r="J100" s="747">
        <f t="shared" si="61"/>
        <v>36.580920116550161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P100" s="13">
        <f t="shared" si="62"/>
        <v>5</v>
      </c>
      <c r="AQ100" s="13">
        <f t="shared" si="63"/>
        <v>4</v>
      </c>
      <c r="AR100" s="173">
        <f t="shared" si="64"/>
        <v>43192</v>
      </c>
      <c r="AS100" s="754">
        <f t="shared" si="65"/>
        <v>0.21428571428571427</v>
      </c>
      <c r="AT100" s="770">
        <f t="shared" si="66"/>
        <v>36.5902320340941</v>
      </c>
      <c r="AU100" s="13">
        <f t="shared" si="67"/>
        <v>5</v>
      </c>
      <c r="AV100" s="13">
        <f t="shared" si="68"/>
        <v>4</v>
      </c>
      <c r="AW100" s="173">
        <f t="shared" si="69"/>
        <v>43206</v>
      </c>
      <c r="AX100" s="754">
        <f t="shared" si="70"/>
        <v>0.7142857142857143</v>
      </c>
      <c r="AY100" s="770">
        <f t="shared" si="71"/>
        <v>36.433927405412703</v>
      </c>
      <c r="AZ100" s="747">
        <f t="shared" si="75"/>
        <v>36.512079719753402</v>
      </c>
      <c r="BA100" s="646">
        <f t="shared" si="72"/>
        <v>1.020723447028969</v>
      </c>
      <c r="BB100" s="641">
        <v>43186</v>
      </c>
      <c r="BC100" s="11">
        <v>43186</v>
      </c>
      <c r="BD100" s="290">
        <f>[3]!FeuilCaduc*(1-Persistant)+Persistant</f>
        <v>0.80532512793722</v>
      </c>
      <c r="BE100" s="291">
        <f>[3]!CroissVégét</f>
        <v>4.2531012940474407E-2</v>
      </c>
      <c r="BF100" s="822">
        <f>1+[3]!Salcycl*Ksac</f>
        <v>1.001331281984305</v>
      </c>
      <c r="BH100" s="1101">
        <f t="shared" si="73"/>
        <v>6.0891646517359548E-11</v>
      </c>
      <c r="BI100" s="11">
        <v>44282</v>
      </c>
      <c r="BJ100" s="727">
        <v>0</v>
      </c>
      <c r="BK100" s="727">
        <v>0</v>
      </c>
      <c r="BL100" s="727">
        <v>0</v>
      </c>
      <c r="BM100" s="727">
        <v>0</v>
      </c>
      <c r="BN100" s="727">
        <v>5.414218906030643E-8</v>
      </c>
      <c r="BO100" s="728">
        <v>1.9646962843505177E-3</v>
      </c>
      <c r="BP100" s="727">
        <v>6.7642475510899689E-3</v>
      </c>
      <c r="BQ100" s="727">
        <v>2.8353939119587016E-2</v>
      </c>
      <c r="BR100" s="727">
        <v>8.7256705399285595E-2</v>
      </c>
      <c r="BS100" s="727">
        <v>0.19992098887664916</v>
      </c>
      <c r="BT100" s="727">
        <v>0.35239150423230908</v>
      </c>
      <c r="BW100" s="1157">
        <f>'2018'!R\Max</f>
        <v>0</v>
      </c>
      <c r="BX100" s="1155">
        <f>'2019'!R\Max</f>
        <v>1.020723447028969</v>
      </c>
      <c r="BY100" s="1155">
        <f>'2020'!R\Max</f>
        <v>0.56798419637178976</v>
      </c>
      <c r="BZ100" s="1155">
        <f>'2021'!R\Max</f>
        <v>0.82470704674316431</v>
      </c>
      <c r="CA100" s="1155">
        <f>'2022'!R\Max</f>
        <v>0.87853259778427395</v>
      </c>
      <c r="CB100" s="1155">
        <f>'2023'!R\Max</f>
        <v>0.87852428908740754</v>
      </c>
      <c r="CC100" s="1155">
        <f>'2024'!R\Max</f>
        <v>0.87851089699378526</v>
      </c>
      <c r="CD100" s="1155">
        <f>'2025'!R\Max</f>
        <v>0.87847705460221348</v>
      </c>
      <c r="CE100" s="1155">
        <f>'2026'!R\Max</f>
        <v>0.87854679763877708</v>
      </c>
      <c r="CF100" s="1156">
        <f>'2027'!R\Max</f>
        <v>0.87854679725723084</v>
      </c>
    </row>
    <row r="101" spans="1:84" s="6" customFormat="1" ht="11.25" x14ac:dyDescent="0.2">
      <c r="A101" s="11">
        <v>43187</v>
      </c>
      <c r="B101" s="380">
        <f>'2022'!Maxi_hp</f>
        <v>36.534422327632868</v>
      </c>
      <c r="C101" s="13">
        <f>'2022'!An_max</f>
        <v>2019</v>
      </c>
      <c r="D101" s="1070"/>
      <c r="E101" s="13"/>
      <c r="F101" s="13">
        <f t="shared" si="74"/>
        <v>7</v>
      </c>
      <c r="G101" s="13">
        <f t="shared" si="58"/>
        <v>8</v>
      </c>
      <c r="H101" s="173">
        <f t="shared" si="59"/>
        <v>43178</v>
      </c>
      <c r="I101" s="754">
        <f t="shared" si="60"/>
        <v>0.6428571428571429</v>
      </c>
      <c r="J101" s="747">
        <f t="shared" si="61"/>
        <v>36.830040652491149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P101" s="13">
        <f t="shared" si="62"/>
        <v>5</v>
      </c>
      <c r="AQ101" s="13">
        <f t="shared" si="63"/>
        <v>4</v>
      </c>
      <c r="AR101" s="173">
        <f t="shared" si="64"/>
        <v>43192</v>
      </c>
      <c r="AS101" s="754">
        <f t="shared" si="65"/>
        <v>0.17857142857142858</v>
      </c>
      <c r="AT101" s="770">
        <f t="shared" si="66"/>
        <v>36.837510700191238</v>
      </c>
      <c r="AU101" s="13">
        <f t="shared" si="67"/>
        <v>5</v>
      </c>
      <c r="AV101" s="13">
        <f t="shared" si="68"/>
        <v>4</v>
      </c>
      <c r="AW101" s="173">
        <f t="shared" si="69"/>
        <v>43206</v>
      </c>
      <c r="AX101" s="754">
        <f t="shared" si="70"/>
        <v>0.6785714285714286</v>
      </c>
      <c r="AY101" s="770">
        <f t="shared" si="71"/>
        <v>36.667844720410983</v>
      </c>
      <c r="AZ101" s="747">
        <f t="shared" si="75"/>
        <v>36.752677710301114</v>
      </c>
      <c r="BA101" s="646">
        <f t="shared" si="72"/>
        <v>0.99197344559981404</v>
      </c>
      <c r="BB101" s="641">
        <v>43187</v>
      </c>
      <c r="BC101" s="11">
        <v>43187</v>
      </c>
      <c r="BD101" s="290">
        <f>[3]!FeuilCaduc*(1-Persistant)+Persistant</f>
        <v>0.80572626203042286</v>
      </c>
      <c r="BE101" s="291">
        <f>[3]!CroissVégét</f>
        <v>4.4289656039802887E-2</v>
      </c>
      <c r="BF101" s="822">
        <f>1+[3]!Salcycl*Ksac</f>
        <v>1.0014315655076058</v>
      </c>
      <c r="BH101" s="1101">
        <f t="shared" si="73"/>
        <v>4.5666266292559151E-11</v>
      </c>
      <c r="BI101" s="11">
        <v>44283</v>
      </c>
      <c r="BJ101" s="727">
        <v>0</v>
      </c>
      <c r="BK101" s="727">
        <v>0</v>
      </c>
      <c r="BL101" s="727">
        <v>0</v>
      </c>
      <c r="BM101" s="727">
        <v>0</v>
      </c>
      <c r="BN101" s="727">
        <v>4.0604446828107386E-8</v>
      </c>
      <c r="BO101" s="728">
        <v>1.4735687696092728E-3</v>
      </c>
      <c r="BP101" s="727">
        <v>5.1449318554962773E-3</v>
      </c>
      <c r="BQ101" s="727">
        <v>2.3203436990934731E-2</v>
      </c>
      <c r="BR101" s="727">
        <v>7.6787881118283524E-2</v>
      </c>
      <c r="BS101" s="727">
        <v>0.18152598473338533</v>
      </c>
      <c r="BT101" s="727">
        <v>0.32522840010296644</v>
      </c>
      <c r="BW101" s="1157">
        <f>'2018'!R\Max</f>
        <v>0</v>
      </c>
      <c r="BX101" s="1155">
        <f>'2019'!R\Max</f>
        <v>0.99197344559981404</v>
      </c>
      <c r="BY101" s="1155">
        <f>'2020'!R\Max</f>
        <v>0.94467123483343585</v>
      </c>
      <c r="BZ101" s="1155">
        <f>'2021'!R\Max</f>
        <v>0.98003754612957417</v>
      </c>
      <c r="CA101" s="1155">
        <f>'2022'!R\Max</f>
        <v>0.67425261169139128</v>
      </c>
      <c r="CB101" s="1155">
        <f>'2023'!R\Max</f>
        <v>0.67423986649445744</v>
      </c>
      <c r="CC101" s="1155">
        <f>'2024'!R\Max</f>
        <v>0.67421900385357481</v>
      </c>
      <c r="CD101" s="1155">
        <f>'2025'!R\Max</f>
        <v>0.67416606877186824</v>
      </c>
      <c r="CE101" s="1155">
        <f>'2026'!R\Max</f>
        <v>0.67427441746779515</v>
      </c>
      <c r="CF101" s="1156">
        <f>'2027'!R\Max</f>
        <v>0.67427441688250833</v>
      </c>
    </row>
    <row r="102" spans="1:84" s="6" customFormat="1" ht="11.25" x14ac:dyDescent="0.2">
      <c r="A102" s="11">
        <v>43188</v>
      </c>
      <c r="B102" s="380">
        <f>'2022'!Maxi_hp</f>
        <v>36.692193713560719</v>
      </c>
      <c r="C102" s="13">
        <f>'2022'!An_max</f>
        <v>2021</v>
      </c>
      <c r="D102" s="1070"/>
      <c r="E102" s="13"/>
      <c r="F102" s="13">
        <f t="shared" si="74"/>
        <v>7</v>
      </c>
      <c r="G102" s="13">
        <f t="shared" si="58"/>
        <v>8</v>
      </c>
      <c r="H102" s="173">
        <f t="shared" si="59"/>
        <v>43178</v>
      </c>
      <c r="I102" s="754">
        <f t="shared" si="60"/>
        <v>0.7142857142857143</v>
      </c>
      <c r="J102" s="747">
        <f t="shared" si="61"/>
        <v>37.073845188851863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P102" s="13">
        <f t="shared" si="62"/>
        <v>5</v>
      </c>
      <c r="AQ102" s="13">
        <f t="shared" si="63"/>
        <v>4</v>
      </c>
      <c r="AR102" s="173">
        <f t="shared" si="64"/>
        <v>43192</v>
      </c>
      <c r="AS102" s="754">
        <f t="shared" si="65"/>
        <v>0.14285714285714285</v>
      </c>
      <c r="AT102" s="770">
        <f t="shared" si="66"/>
        <v>37.079268221849844</v>
      </c>
      <c r="AU102" s="13">
        <f t="shared" si="67"/>
        <v>5</v>
      </c>
      <c r="AV102" s="13">
        <f t="shared" si="68"/>
        <v>4</v>
      </c>
      <c r="AW102" s="173">
        <f t="shared" si="69"/>
        <v>43206</v>
      </c>
      <c r="AX102" s="754">
        <f t="shared" si="70"/>
        <v>0.6428571428571429</v>
      </c>
      <c r="AY102" s="770">
        <f t="shared" si="71"/>
        <v>36.898666982246297</v>
      </c>
      <c r="AZ102" s="747">
        <f t="shared" si="75"/>
        <v>36.988967602048071</v>
      </c>
      <c r="BA102" s="646">
        <f t="shared" si="72"/>
        <v>0.98970564090811097</v>
      </c>
      <c r="BB102" s="641">
        <v>43188</v>
      </c>
      <c r="BC102" s="11">
        <v>43188</v>
      </c>
      <c r="BD102" s="290">
        <f>[3]!FeuilCaduc*(1-Persistant)+Persistant</f>
        <v>0.8061597830877012</v>
      </c>
      <c r="BE102" s="291">
        <f>[3]!CroissVégét</f>
        <v>4.6115220608575654E-2</v>
      </c>
      <c r="BF102" s="822">
        <f>1+[3]!Salcycl*Ksac</f>
        <v>1.0015399457719254</v>
      </c>
      <c r="BH102" s="1101">
        <f t="shared" si="73"/>
        <v>3.2616923412522617E-11</v>
      </c>
      <c r="BI102" s="11">
        <v>44284</v>
      </c>
      <c r="BJ102" s="727">
        <v>0</v>
      </c>
      <c r="BK102" s="727">
        <v>0</v>
      </c>
      <c r="BL102" s="727">
        <v>0</v>
      </c>
      <c r="BM102" s="727">
        <v>0</v>
      </c>
      <c r="BN102" s="727">
        <v>2.9001541836496095E-8</v>
      </c>
      <c r="BO102" s="728">
        <v>1.052623009324223E-3</v>
      </c>
      <c r="BP102" s="727">
        <v>3.7528645021769644E-3</v>
      </c>
      <c r="BQ102" s="727">
        <v>1.8638559121006381E-2</v>
      </c>
      <c r="BR102" s="727">
        <v>6.7104628742792813E-2</v>
      </c>
      <c r="BS102" s="727">
        <v>0.16412823802176341</v>
      </c>
      <c r="BT102" s="727">
        <v>0.29917155231546994</v>
      </c>
      <c r="BW102" s="1157">
        <f>'2018'!R\Max</f>
        <v>0</v>
      </c>
      <c r="BX102" s="1155">
        <f>'2019'!R\Max</f>
        <v>0.96451612098967543</v>
      </c>
      <c r="BY102" s="1155">
        <f>'2020'!R\Max</f>
        <v>0.94846726626023004</v>
      </c>
      <c r="BZ102" s="1155">
        <f>'2021'!R\Max</f>
        <v>0.98970564090811097</v>
      </c>
      <c r="CA102" s="1155">
        <f>'2022'!R\Max</f>
        <v>0.53886727055484729</v>
      </c>
      <c r="CB102" s="1155">
        <f>'2023'!R\Max</f>
        <v>0.53885703264724827</v>
      </c>
      <c r="CC102" s="1155">
        <f>'2024'!R\Max</f>
        <v>0.53883990596247056</v>
      </c>
      <c r="CD102" s="1155">
        <f>'2025'!R\Max</f>
        <v>0.53879612972519586</v>
      </c>
      <c r="CE102" s="1155">
        <f>'2026'!R\Max</f>
        <v>0.53888480585838316</v>
      </c>
      <c r="CF102" s="1156">
        <f>'2027'!R\Max</f>
        <v>0.53888480538827133</v>
      </c>
    </row>
    <row r="103" spans="1:84" s="6" customFormat="1" ht="11.25" x14ac:dyDescent="0.2">
      <c r="A103" s="11">
        <v>43189</v>
      </c>
      <c r="B103" s="380">
        <f>'2022'!Maxi_hp</f>
        <v>36.462755841463355</v>
      </c>
      <c r="C103" s="13">
        <f>'2022'!An_max</f>
        <v>2019</v>
      </c>
      <c r="D103" s="1070"/>
      <c r="E103" s="13"/>
      <c r="F103" s="13">
        <f t="shared" si="74"/>
        <v>7</v>
      </c>
      <c r="G103" s="13">
        <f t="shared" si="58"/>
        <v>8</v>
      </c>
      <c r="H103" s="173">
        <f t="shared" si="59"/>
        <v>43178</v>
      </c>
      <c r="I103" s="754">
        <f t="shared" si="60"/>
        <v>0.7857142857142857</v>
      </c>
      <c r="J103" s="747">
        <f t="shared" si="61"/>
        <v>37.311798561045102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P103" s="13">
        <f t="shared" si="62"/>
        <v>5</v>
      </c>
      <c r="AQ103" s="13">
        <f t="shared" si="63"/>
        <v>4</v>
      </c>
      <c r="AR103" s="173">
        <f t="shared" si="64"/>
        <v>43192</v>
      </c>
      <c r="AS103" s="754">
        <f t="shared" si="65"/>
        <v>0.10714285714285714</v>
      </c>
      <c r="AT103" s="770">
        <f t="shared" si="66"/>
        <v>37.315210254423853</v>
      </c>
      <c r="AU103" s="13">
        <f t="shared" si="67"/>
        <v>5</v>
      </c>
      <c r="AV103" s="13">
        <f t="shared" si="68"/>
        <v>4</v>
      </c>
      <c r="AW103" s="173">
        <f t="shared" si="69"/>
        <v>43206</v>
      </c>
      <c r="AX103" s="754">
        <f t="shared" si="70"/>
        <v>0.6071428571428571</v>
      </c>
      <c r="AY103" s="770">
        <f t="shared" si="71"/>
        <v>37.126313917179189</v>
      </c>
      <c r="AZ103" s="747">
        <f t="shared" si="75"/>
        <v>37.220762085801525</v>
      </c>
      <c r="BA103" s="646">
        <f t="shared" si="72"/>
        <v>0.97724465846392683</v>
      </c>
      <c r="BB103" s="641">
        <v>43189</v>
      </c>
      <c r="BC103" s="11">
        <v>43189</v>
      </c>
      <c r="BD103" s="290">
        <f>[3]!FeuilCaduc*(1-Persistant)+Persistant</f>
        <v>0.80662718315483395</v>
      </c>
      <c r="BE103" s="291">
        <f>[3]!CroissVégét</f>
        <v>4.8009969311812332E-2</v>
      </c>
      <c r="BF103" s="822">
        <f>1+[3]!Salcycl*Ksac</f>
        <v>1.0016567957887086</v>
      </c>
      <c r="BH103" s="1101">
        <f t="shared" si="73"/>
        <v>2.1743333194888117E-11</v>
      </c>
      <c r="BI103" s="11">
        <v>44285</v>
      </c>
      <c r="BJ103" s="727">
        <v>0</v>
      </c>
      <c r="BK103" s="727">
        <v>0</v>
      </c>
      <c r="BL103" s="727">
        <v>0</v>
      </c>
      <c r="BM103" s="727">
        <v>0</v>
      </c>
      <c r="BN103" s="727">
        <v>1.9333220958366646E-8</v>
      </c>
      <c r="BO103" s="728">
        <v>7.0184982224022604E-4</v>
      </c>
      <c r="BP103" s="727">
        <v>2.5880158616266411E-3</v>
      </c>
      <c r="BQ103" s="727">
        <v>1.465923334155834E-2</v>
      </c>
      <c r="BR103" s="727">
        <v>5.8206863680664966E-2</v>
      </c>
      <c r="BS103" s="727">
        <v>0.14772765291132156</v>
      </c>
      <c r="BT103" s="727">
        <v>0.274220865810129</v>
      </c>
      <c r="BW103" s="1157">
        <f>'2018'!R\Max</f>
        <v>0</v>
      </c>
      <c r="BX103" s="1155">
        <f>'2019'!R\Max</f>
        <v>0.97724465846392683</v>
      </c>
      <c r="BY103" s="1155">
        <f>'2020'!R\Max</f>
        <v>0.59590342617313641</v>
      </c>
      <c r="BZ103" s="1155">
        <f>'2021'!R\Max</f>
        <v>0.91593600480761883</v>
      </c>
      <c r="CA103" s="1155">
        <f>'2022'!R\Max</f>
        <v>0.13241557576497121</v>
      </c>
      <c r="CB103" s="1155">
        <f>'2023'!R\Max</f>
        <v>0.13241304423672062</v>
      </c>
      <c r="CC103" s="1155">
        <f>'2024'!R\Max</f>
        <v>0.13240866587600136</v>
      </c>
      <c r="CD103" s="1155">
        <f>'2025'!R\Max</f>
        <v>0.13239732676182259</v>
      </c>
      <c r="CE103" s="1155">
        <f>'2026'!R\Max</f>
        <v>0.13241991663304906</v>
      </c>
      <c r="CF103" s="1156">
        <f>'2027'!R\Max</f>
        <v>0.13241991532381292</v>
      </c>
    </row>
    <row r="104" spans="1:84" s="6" customFormat="1" ht="11.25" x14ac:dyDescent="0.2">
      <c r="A104" s="11">
        <v>43190</v>
      </c>
      <c r="B104" s="380">
        <f>'2022'!Maxi_hp</f>
        <v>33.190656549107899</v>
      </c>
      <c r="C104" s="13">
        <f>'2022'!An_max</f>
        <v>2021</v>
      </c>
      <c r="D104" s="1070"/>
      <c r="E104" s="13"/>
      <c r="F104" s="13">
        <f t="shared" si="74"/>
        <v>7</v>
      </c>
      <c r="G104" s="13">
        <f t="shared" si="58"/>
        <v>8</v>
      </c>
      <c r="H104" s="173">
        <f t="shared" si="59"/>
        <v>43178</v>
      </c>
      <c r="I104" s="754">
        <f t="shared" si="60"/>
        <v>0.8571428571428571</v>
      </c>
      <c r="J104" s="747">
        <f t="shared" si="61"/>
        <v>37.543365597299172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P104" s="13">
        <f t="shared" si="62"/>
        <v>5</v>
      </c>
      <c r="AQ104" s="13">
        <f t="shared" si="63"/>
        <v>4</v>
      </c>
      <c r="AR104" s="173">
        <f t="shared" si="64"/>
        <v>43192</v>
      </c>
      <c r="AS104" s="754">
        <f t="shared" si="65"/>
        <v>7.1428571428571425E-2</v>
      </c>
      <c r="AT104" s="770">
        <f t="shared" si="66"/>
        <v>37.545042456992505</v>
      </c>
      <c r="AU104" s="13">
        <f t="shared" si="67"/>
        <v>5</v>
      </c>
      <c r="AV104" s="13">
        <f t="shared" si="68"/>
        <v>4</v>
      </c>
      <c r="AW104" s="173">
        <f t="shared" si="69"/>
        <v>43206</v>
      </c>
      <c r="AX104" s="754">
        <f t="shared" si="70"/>
        <v>0.5714285714285714</v>
      </c>
      <c r="AY104" s="770">
        <f t="shared" si="71"/>
        <v>37.350705247904571</v>
      </c>
      <c r="AZ104" s="747">
        <f t="shared" si="75"/>
        <v>37.447873852448538</v>
      </c>
      <c r="BA104" s="646">
        <f t="shared" si="72"/>
        <v>0.88406183145966</v>
      </c>
      <c r="BB104" s="641">
        <v>43190</v>
      </c>
      <c r="BC104" s="11">
        <v>43190</v>
      </c>
      <c r="BD104" s="290">
        <f>[3]!FeuilCaduc*(1-Persistant)+Persistant</f>
        <v>0.80712993300346425</v>
      </c>
      <c r="BE104" s="291">
        <f>[3]!CroissVégét</f>
        <v>4.9976218279140845E-2</v>
      </c>
      <c r="BF104" s="822">
        <f>1+[3]!Salcycl*Ksac</f>
        <v>1.0017824832508662</v>
      </c>
      <c r="BH104" s="1101">
        <f t="shared" si="73"/>
        <v>1.3045192129742217E-11</v>
      </c>
      <c r="BI104" s="11">
        <v>44286</v>
      </c>
      <c r="BJ104" s="727">
        <v>0</v>
      </c>
      <c r="BK104" s="727">
        <v>0</v>
      </c>
      <c r="BL104" s="727">
        <v>0</v>
      </c>
      <c r="BM104" s="727">
        <v>0</v>
      </c>
      <c r="BN104" s="727">
        <v>1.1599214325977661E-8</v>
      </c>
      <c r="BO104" s="728">
        <v>4.2123941997320417E-4</v>
      </c>
      <c r="BP104" s="727">
        <v>1.6503543757025408E-3</v>
      </c>
      <c r="BQ104" s="727">
        <v>1.1265383767884392E-2</v>
      </c>
      <c r="BR104" s="727">
        <v>5.0094500918993978E-2</v>
      </c>
      <c r="BS104" s="727">
        <v>0.13232413958160583</v>
      </c>
      <c r="BT104" s="727">
        <v>0.25037626085502368</v>
      </c>
      <c r="BW104" s="1157">
        <f>'2018'!R\Max</f>
        <v>0</v>
      </c>
      <c r="BX104" s="1155">
        <f>'2019'!R\Max</f>
        <v>0.82723687557092673</v>
      </c>
      <c r="BY104" s="1155">
        <f>'2020'!R\Max</f>
        <v>0.38545717014065983</v>
      </c>
      <c r="BZ104" s="1155">
        <f>'2021'!R\Max</f>
        <v>0.88406183145966</v>
      </c>
      <c r="CA104" s="1155">
        <f>'2022'!R\Max</f>
        <v>0.56800525246550082</v>
      </c>
      <c r="CB104" s="1155">
        <f>'2023'!R\Max</f>
        <v>0.5680012526735464</v>
      </c>
      <c r="CC104" s="1155">
        <f>'2024'!R\Max</f>
        <v>0.56799392344189026</v>
      </c>
      <c r="CD104" s="1155">
        <f>'2025'!R\Max</f>
        <v>0.56801211896440174</v>
      </c>
      <c r="CE104" s="1155">
        <f>'2026'!R\Max</f>
        <v>0.56801211878083713</v>
      </c>
      <c r="CF104" s="1156">
        <f>'2027'!R\Max</f>
        <v>0.56801210360533405</v>
      </c>
    </row>
    <row r="105" spans="1:84" s="6" customFormat="1" ht="11.25" x14ac:dyDescent="0.2">
      <c r="A105" s="11">
        <v>43191</v>
      </c>
      <c r="B105" s="380">
        <f>'2022'!Maxi_hp</f>
        <v>33.527563379735113</v>
      </c>
      <c r="C105" s="13">
        <f>'2022'!An_max</f>
        <v>2021</v>
      </c>
      <c r="D105" s="1070"/>
      <c r="E105" s="13"/>
      <c r="F105" s="13">
        <f t="shared" si="74"/>
        <v>7</v>
      </c>
      <c r="G105" s="13">
        <f t="shared" si="58"/>
        <v>8</v>
      </c>
      <c r="H105" s="173">
        <f t="shared" si="59"/>
        <v>43178</v>
      </c>
      <c r="I105" s="754">
        <f t="shared" si="60"/>
        <v>0.9285714285714286</v>
      </c>
      <c r="J105" s="747">
        <f t="shared" si="61"/>
        <v>37.768011133665482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P105" s="13">
        <f t="shared" si="62"/>
        <v>5</v>
      </c>
      <c r="AQ105" s="13">
        <f t="shared" si="63"/>
        <v>4</v>
      </c>
      <c r="AR105" s="173">
        <f t="shared" si="64"/>
        <v>43192</v>
      </c>
      <c r="AS105" s="754">
        <f t="shared" si="65"/>
        <v>3.5714285714285712E-2</v>
      </c>
      <c r="AT105" s="770">
        <f t="shared" si="66"/>
        <v>37.768470485268963</v>
      </c>
      <c r="AU105" s="13">
        <f t="shared" si="67"/>
        <v>5</v>
      </c>
      <c r="AV105" s="13">
        <f t="shared" si="68"/>
        <v>4</v>
      </c>
      <c r="AW105" s="173">
        <f t="shared" si="69"/>
        <v>43206</v>
      </c>
      <c r="AX105" s="754">
        <f t="shared" si="70"/>
        <v>0.5357142857142857</v>
      </c>
      <c r="AY105" s="770">
        <f t="shared" si="71"/>
        <v>37.571760701188552</v>
      </c>
      <c r="AZ105" s="747">
        <f t="shared" si="75"/>
        <v>37.670115593228758</v>
      </c>
      <c r="BA105" s="646">
        <f t="shared" si="72"/>
        <v>0.88772382694648866</v>
      </c>
      <c r="BB105" s="641">
        <v>43191</v>
      </c>
      <c r="BC105" s="11">
        <v>43191</v>
      </c>
      <c r="BD105" s="290">
        <f>[3]!FeuilCaduc*(1-Persistant)+Persistant</f>
        <v>0.80766947865644667</v>
      </c>
      <c r="BE105" s="291">
        <f>[3]!CroissVégét</f>
        <v>5.201633641771132E-2</v>
      </c>
      <c r="BF105" s="822">
        <f>1+[3]!Salcycl*Ksac</f>
        <v>1.0019173696641117</v>
      </c>
      <c r="BH105" s="1101">
        <f t="shared" si="73"/>
        <v>6.5221709111866686E-12</v>
      </c>
      <c r="BI105" s="11">
        <v>44287</v>
      </c>
      <c r="BJ105" s="727">
        <v>0</v>
      </c>
      <c r="BK105" s="727">
        <v>0</v>
      </c>
      <c r="BL105" s="727">
        <v>0</v>
      </c>
      <c r="BM105" s="727">
        <v>0</v>
      </c>
      <c r="BN105" s="727">
        <v>5.7992291349262114E-9</v>
      </c>
      <c r="BO105" s="728">
        <v>2.107811822636287E-4</v>
      </c>
      <c r="BP105" s="727">
        <v>9.3984582990294197E-4</v>
      </c>
      <c r="BQ105" s="727">
        <v>8.4569289237220405E-3</v>
      </c>
      <c r="BR105" s="727">
        <v>4.2767452509684618E-2</v>
      </c>
      <c r="BS105" s="727">
        <v>0.11791761103126201</v>
      </c>
      <c r="BT105" s="727">
        <v>0.22763766950765021</v>
      </c>
      <c r="BW105" s="1157">
        <f>'2018'!R\Max</f>
        <v>0</v>
      </c>
      <c r="BX105" s="1155">
        <f>'2019'!R\Max</f>
        <v>0.70752029652884241</v>
      </c>
      <c r="BY105" s="1155">
        <f>'2020'!R\Max</f>
        <v>0.8772179660959446</v>
      </c>
      <c r="BZ105" s="1155">
        <f>'2021'!R\Max</f>
        <v>0.88772382694648866</v>
      </c>
      <c r="CA105" s="1155">
        <f>'2022'!R\Max</f>
        <v>0.62173081771942873</v>
      </c>
      <c r="CB105" s="1155">
        <f>'2023'!R\Max</f>
        <v>0.62172890958537541</v>
      </c>
      <c r="CC105" s="1155">
        <f>'2024'!R\Max</f>
        <v>0.62172496446814229</v>
      </c>
      <c r="CD105" s="1155">
        <f>'2025'!R\Max</f>
        <v>0.62173409734799701</v>
      </c>
      <c r="CE105" s="1155">
        <f>'2026'!R\Max</f>
        <v>0.62173409726049811</v>
      </c>
      <c r="CF105" s="1156">
        <f>'2027'!R\Max</f>
        <v>0.62173408353313686</v>
      </c>
    </row>
    <row r="106" spans="1:84" s="6" customFormat="1" ht="11.25" x14ac:dyDescent="0.2">
      <c r="A106" s="11">
        <v>43192</v>
      </c>
      <c r="B106" s="380">
        <f>'2022'!Maxi_hp</f>
        <v>29.015475964814325</v>
      </c>
      <c r="C106" s="13">
        <f>'2022'!An_max</f>
        <v>2021</v>
      </c>
      <c r="D106" s="1070"/>
      <c r="E106" s="1073">
        <f>T$13/10</f>
        <v>37.985199999999999</v>
      </c>
      <c r="F106" s="13">
        <f t="shared" si="74"/>
        <v>9</v>
      </c>
      <c r="G106" s="13">
        <f t="shared" si="58"/>
        <v>8</v>
      </c>
      <c r="H106" s="173">
        <f t="shared" si="59"/>
        <v>43206</v>
      </c>
      <c r="I106" s="754">
        <f t="shared" si="60"/>
        <v>1</v>
      </c>
      <c r="J106" s="747">
        <f t="shared" si="61"/>
        <v>37.985199999064207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P106" s="13">
        <f t="shared" si="62"/>
        <v>5</v>
      </c>
      <c r="AQ106" s="13">
        <f t="shared" si="63"/>
        <v>6</v>
      </c>
      <c r="AR106" s="173">
        <f t="shared" si="64"/>
        <v>43192</v>
      </c>
      <c r="AS106" s="754">
        <f t="shared" si="65"/>
        <v>0</v>
      </c>
      <c r="AT106" s="770">
        <f t="shared" si="66"/>
        <v>37.985199999809268</v>
      </c>
      <c r="AU106" s="13">
        <f t="shared" si="67"/>
        <v>5</v>
      </c>
      <c r="AV106" s="13">
        <f t="shared" si="68"/>
        <v>4</v>
      </c>
      <c r="AW106" s="173">
        <f t="shared" si="69"/>
        <v>43206</v>
      </c>
      <c r="AX106" s="754">
        <f t="shared" si="70"/>
        <v>0.5</v>
      </c>
      <c r="AY106" s="770">
        <f t="shared" si="71"/>
        <v>37.789400000311431</v>
      </c>
      <c r="AZ106" s="747">
        <f t="shared" si="75"/>
        <v>37.88730000006035</v>
      </c>
      <c r="BA106" s="646">
        <f t="shared" si="72"/>
        <v>0.76386266139257242</v>
      </c>
      <c r="BB106" s="641">
        <v>43192</v>
      </c>
      <c r="BC106" s="11">
        <v>43192</v>
      </c>
      <c r="BD106" s="290">
        <f>[3]!FeuilCaduc*(1-Persistant)+Persistant</f>
        <v>0.80824723808286036</v>
      </c>
      <c r="BE106" s="291">
        <f>[3]!CroissVégét</f>
        <v>5.4132744516590045E-2</v>
      </c>
      <c r="BF106" s="822">
        <f>1+[3]!Salcycl*Ksac</f>
        <v>1.002061809520715</v>
      </c>
      <c r="BH106" s="1101">
        <f t="shared" si="73"/>
        <v>2.1739074689623067E-12</v>
      </c>
      <c r="BI106" s="11">
        <v>44288</v>
      </c>
      <c r="BJ106" s="727">
        <v>0</v>
      </c>
      <c r="BK106" s="727">
        <v>0</v>
      </c>
      <c r="BL106" s="727">
        <v>0</v>
      </c>
      <c r="BM106" s="727">
        <v>0</v>
      </c>
      <c r="BN106" s="727">
        <v>1.932943448172557E-9</v>
      </c>
      <c r="BO106" s="728">
        <v>7.0463432231839546E-5</v>
      </c>
      <c r="BP106" s="727">
        <v>4.5645262565269788E-4</v>
      </c>
      <c r="BQ106" s="727">
        <v>6.2337798662057027E-3</v>
      </c>
      <c r="BR106" s="727">
        <v>3.6225625055223178E-2</v>
      </c>
      <c r="BS106" s="727">
        <v>0.10450797988765509</v>
      </c>
      <c r="BT106" s="727">
        <v>0.2060050320775583</v>
      </c>
      <c r="BW106" s="1157">
        <f>'2018'!R\Max</f>
        <v>0</v>
      </c>
      <c r="BX106" s="1155">
        <f>'2019'!R\Max</f>
        <v>0.33181560605599619</v>
      </c>
      <c r="BY106" s="1155">
        <f>'2020'!R\Max</f>
        <v>0.72185914704890997</v>
      </c>
      <c r="BZ106" s="1155">
        <f>'2021'!R\Max</f>
        <v>0.76386266139257242</v>
      </c>
      <c r="CA106" s="1155">
        <f>'2022'!R\Max</f>
        <v>0.38158472778227986</v>
      </c>
      <c r="CB106" s="1155">
        <f>'2023'!R\Max</f>
        <v>0.38158409094817675</v>
      </c>
      <c r="CC106" s="1155">
        <f>'2024'!R\Max</f>
        <v>0.38158222325709373</v>
      </c>
      <c r="CD106" s="1155">
        <f>'2025'!R\Max</f>
        <v>0.38158582370330474</v>
      </c>
      <c r="CE106" s="1155">
        <f>'2026'!R\Max</f>
        <v>0.38158582367418808</v>
      </c>
      <c r="CF106" s="1156">
        <f>'2027'!R\Max</f>
        <v>0.38158581684648829</v>
      </c>
    </row>
    <row r="107" spans="1:84" s="6" customFormat="1" ht="11.25" x14ac:dyDescent="0.2">
      <c r="A107" s="11">
        <v>43193</v>
      </c>
      <c r="B107" s="380">
        <f>'2022'!Maxi_hp</f>
        <v>37.337963589482051</v>
      </c>
      <c r="C107" s="13">
        <f>'2022'!An_max</f>
        <v>2021</v>
      </c>
      <c r="D107" s="1070"/>
      <c r="E107" s="13"/>
      <c r="F107" s="13">
        <f t="shared" si="74"/>
        <v>9</v>
      </c>
      <c r="G107" s="13">
        <f t="shared" si="58"/>
        <v>8</v>
      </c>
      <c r="H107" s="173">
        <f t="shared" si="59"/>
        <v>43206</v>
      </c>
      <c r="I107" s="754">
        <f t="shared" si="60"/>
        <v>0.9285714285714286</v>
      </c>
      <c r="J107" s="747">
        <f t="shared" si="61"/>
        <v>38.194575418771379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P107" s="13">
        <f t="shared" si="62"/>
        <v>5</v>
      </c>
      <c r="AQ107" s="13">
        <f t="shared" si="63"/>
        <v>6</v>
      </c>
      <c r="AR107" s="173">
        <f t="shared" si="64"/>
        <v>43192</v>
      </c>
      <c r="AS107" s="754">
        <f t="shared" si="65"/>
        <v>3.5714285714285712E-2</v>
      </c>
      <c r="AT107" s="770">
        <f t="shared" si="66"/>
        <v>38.196178692659103</v>
      </c>
      <c r="AU107" s="13">
        <f t="shared" si="67"/>
        <v>5</v>
      </c>
      <c r="AV107" s="13">
        <f t="shared" si="68"/>
        <v>4</v>
      </c>
      <c r="AW107" s="173">
        <f t="shared" si="69"/>
        <v>43206</v>
      </c>
      <c r="AX107" s="754">
        <f t="shared" si="70"/>
        <v>0.4642857142857143</v>
      </c>
      <c r="AY107" s="770">
        <f t="shared" si="71"/>
        <v>38.003542870283127</v>
      </c>
      <c r="AZ107" s="747">
        <f t="shared" si="75"/>
        <v>38.099860781471115</v>
      </c>
      <c r="BA107" s="646">
        <f t="shared" si="72"/>
        <v>0.97757242174059278</v>
      </c>
      <c r="BB107" s="641">
        <v>43193</v>
      </c>
      <c r="BC107" s="11">
        <v>43193</v>
      </c>
      <c r="BD107" s="290">
        <f>[3]!FeuilCaduc*(1-Persistant)+Persistant</f>
        <v>0.80886459805385891</v>
      </c>
      <c r="BE107" s="291">
        <f>[3]!CroissVégét</f>
        <v>5.6327914126217182E-2</v>
      </c>
      <c r="BF107" s="822">
        <f>1+[3]!Salcycl*Ksac</f>
        <v>1.0022161495134647</v>
      </c>
      <c r="BH107" s="1101">
        <f t="shared" si="73"/>
        <v>0</v>
      </c>
      <c r="BI107" s="11">
        <v>44289</v>
      </c>
      <c r="BJ107" s="727">
        <v>0</v>
      </c>
      <c r="BK107" s="727">
        <v>0</v>
      </c>
      <c r="BL107" s="727">
        <v>0</v>
      </c>
      <c r="BM107" s="727">
        <v>0</v>
      </c>
      <c r="BN107" s="727">
        <v>0</v>
      </c>
      <c r="BO107" s="728">
        <v>2.7321163101514319E-7</v>
      </c>
      <c r="BP107" s="727">
        <v>2.0013305258022564E-4</v>
      </c>
      <c r="BQ107" s="727">
        <v>4.5958383107738941E-3</v>
      </c>
      <c r="BR107" s="727">
        <v>3.04689171942744E-2</v>
      </c>
      <c r="BS107" s="727">
        <v>9.209515521605785E-2</v>
      </c>
      <c r="BT107" s="727">
        <v>0.18547829358819792</v>
      </c>
      <c r="BW107" s="1157">
        <f>'2018'!R\Max</f>
        <v>0</v>
      </c>
      <c r="BX107" s="1155">
        <f>'2019'!R\Max</f>
        <v>0.29245351139154702</v>
      </c>
      <c r="BY107" s="1155">
        <f>'2020'!R\Max</f>
        <v>0.47493586721054781</v>
      </c>
      <c r="BZ107" s="1155">
        <f>'2021'!R\Max</f>
        <v>0.97757242174059278</v>
      </c>
      <c r="CA107" s="1155">
        <f>'2022'!R\Max</f>
        <v>0.4510797083728908</v>
      </c>
      <c r="CB107" s="1155">
        <f>'2023'!R\Max</f>
        <v>0.45107970579414564</v>
      </c>
      <c r="CC107" s="1155">
        <f>'2024'!R\Max</f>
        <v>0.45107889832306808</v>
      </c>
      <c r="CD107" s="1155">
        <f>'2025'!R\Max</f>
        <v>0.45107971281605441</v>
      </c>
      <c r="CE107" s="1155">
        <f>'2026'!R\Max</f>
        <v>0.4510797128160543</v>
      </c>
      <c r="CF107" s="1156">
        <f>'2027'!R\Max</f>
        <v>0.45107971277908943</v>
      </c>
    </row>
    <row r="108" spans="1:84" s="6" customFormat="1" ht="11.25" x14ac:dyDescent="0.2">
      <c r="A108" s="11">
        <v>43194</v>
      </c>
      <c r="B108" s="380">
        <f>'2022'!Maxi_hp</f>
        <v>39.674347557533999</v>
      </c>
      <c r="C108" s="13">
        <f>'2022'!An_max</f>
        <v>2020</v>
      </c>
      <c r="D108" s="1070"/>
      <c r="E108" s="13"/>
      <c r="F108" s="13">
        <f t="shared" si="74"/>
        <v>9</v>
      </c>
      <c r="G108" s="13">
        <f t="shared" si="58"/>
        <v>8</v>
      </c>
      <c r="H108" s="173">
        <f t="shared" si="59"/>
        <v>43206</v>
      </c>
      <c r="I108" s="754">
        <f t="shared" si="60"/>
        <v>0.8571428571428571</v>
      </c>
      <c r="J108" s="747">
        <f t="shared" si="61"/>
        <v>38.396494169586475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P108" s="13">
        <f t="shared" si="62"/>
        <v>5</v>
      </c>
      <c r="AQ108" s="13">
        <f t="shared" si="63"/>
        <v>6</v>
      </c>
      <c r="AR108" s="173">
        <f t="shared" si="64"/>
        <v>43192</v>
      </c>
      <c r="AS108" s="754">
        <f t="shared" si="65"/>
        <v>7.1428571428571425E-2</v>
      </c>
      <c r="AT108" s="770">
        <f t="shared" si="66"/>
        <v>38.402577241563371</v>
      </c>
      <c r="AU108" s="13">
        <f t="shared" si="67"/>
        <v>5</v>
      </c>
      <c r="AV108" s="13">
        <f t="shared" si="68"/>
        <v>4</v>
      </c>
      <c r="AW108" s="173">
        <f t="shared" si="69"/>
        <v>43206</v>
      </c>
      <c r="AX108" s="754">
        <f t="shared" si="70"/>
        <v>0.42857142857142855</v>
      </c>
      <c r="AY108" s="770">
        <f t="shared" si="71"/>
        <v>38.21410903824227</v>
      </c>
      <c r="AZ108" s="747">
        <f t="shared" si="75"/>
        <v>38.308343139902817</v>
      </c>
      <c r="BA108" s="646">
        <f t="shared" si="72"/>
        <v>1.0332804704071055</v>
      </c>
      <c r="BB108" s="641">
        <v>43194</v>
      </c>
      <c r="BC108" s="11">
        <v>43194</v>
      </c>
      <c r="BD108" s="290">
        <f>[3]!FeuilCaduc*(1-Persistant)+Persistant</f>
        <v>0.80952291114759001</v>
      </c>
      <c r="BE108" s="291">
        <f>[3]!CroissVégét</f>
        <v>5.8604366195922526E-2</v>
      </c>
      <c r="BF108" s="822">
        <f>1+[3]!Salcycl*Ksac</f>
        <v>1.0023807277868975</v>
      </c>
      <c r="BH108" s="1101">
        <f t="shared" si="73"/>
        <v>0</v>
      </c>
      <c r="BI108" s="11">
        <v>44290</v>
      </c>
      <c r="BJ108" s="727">
        <v>0</v>
      </c>
      <c r="BK108" s="727">
        <v>0</v>
      </c>
      <c r="BL108" s="727">
        <v>0</v>
      </c>
      <c r="BM108" s="727">
        <v>0</v>
      </c>
      <c r="BN108" s="727">
        <v>0</v>
      </c>
      <c r="BO108" s="728">
        <v>1.9611743058821208E-7</v>
      </c>
      <c r="BP108" s="727">
        <v>1.7184054628405633E-4</v>
      </c>
      <c r="BQ108" s="727">
        <v>3.5496718689723983E-3</v>
      </c>
      <c r="BR108" s="727">
        <v>2.5677306826384902E-2</v>
      </c>
      <c r="BS108" s="727">
        <v>8.10498629972876E-2</v>
      </c>
      <c r="BT108" s="727">
        <v>0.1666326017992685</v>
      </c>
      <c r="BW108" s="1157">
        <f>'2018'!R\Max</f>
        <v>0</v>
      </c>
      <c r="BX108" s="1155">
        <f>'2019'!R\Max</f>
        <v>0.73505557408646371</v>
      </c>
      <c r="BY108" s="1155">
        <f>'2020'!R\Max</f>
        <v>1.0332804704071055</v>
      </c>
      <c r="BZ108" s="1155">
        <f>'2021'!R\Max</f>
        <v>0.97631868293617718</v>
      </c>
      <c r="CA108" s="1155">
        <f>'2022'!R\Max</f>
        <v>0.81725099610385721</v>
      </c>
      <c r="CB108" s="1155">
        <f>'2023'!R\Max</f>
        <v>0.81725099499228737</v>
      </c>
      <c r="CC108" s="1155">
        <f>'2024'!R\Max</f>
        <v>0.81725057500610787</v>
      </c>
      <c r="CD108" s="1155">
        <f>'2025'!R\Max</f>
        <v>0.81725099802161638</v>
      </c>
      <c r="CE108" s="1155">
        <f>'2026'!R\Max</f>
        <v>0.81725099802161627</v>
      </c>
      <c r="CF108" s="1156">
        <f>'2027'!R\Max</f>
        <v>0.81725099800146483</v>
      </c>
    </row>
    <row r="109" spans="1:84" s="6" customFormat="1" ht="11.25" x14ac:dyDescent="0.2">
      <c r="A109" s="11">
        <v>43195</v>
      </c>
      <c r="B109" s="380">
        <f>'2022'!Maxi_hp</f>
        <v>39.549856186864908</v>
      </c>
      <c r="C109" s="13">
        <f>'2022'!An_max</f>
        <v>2020</v>
      </c>
      <c r="D109" s="1070"/>
      <c r="E109" s="13"/>
      <c r="F109" s="13">
        <f t="shared" si="74"/>
        <v>9</v>
      </c>
      <c r="G109" s="13">
        <f t="shared" si="58"/>
        <v>8</v>
      </c>
      <c r="H109" s="173">
        <f t="shared" si="59"/>
        <v>43206</v>
      </c>
      <c r="I109" s="754">
        <f t="shared" si="60"/>
        <v>0.7857142857142857</v>
      </c>
      <c r="J109" s="747">
        <f t="shared" si="61"/>
        <v>38.591491417267491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P109" s="13">
        <f t="shared" si="62"/>
        <v>5</v>
      </c>
      <c r="AQ109" s="13">
        <f t="shared" si="63"/>
        <v>6</v>
      </c>
      <c r="AR109" s="173">
        <f t="shared" si="64"/>
        <v>43192</v>
      </c>
      <c r="AS109" s="754">
        <f t="shared" si="65"/>
        <v>0.10714285714285714</v>
      </c>
      <c r="AT109" s="770">
        <f t="shared" si="66"/>
        <v>38.604435784183444</v>
      </c>
      <c r="AU109" s="13">
        <f t="shared" si="67"/>
        <v>5</v>
      </c>
      <c r="AV109" s="13">
        <f t="shared" si="68"/>
        <v>4</v>
      </c>
      <c r="AW109" s="173">
        <f t="shared" si="69"/>
        <v>43206</v>
      </c>
      <c r="AX109" s="754">
        <f t="shared" si="70"/>
        <v>0.39285714285714285</v>
      </c>
      <c r="AY109" s="770">
        <f t="shared" si="71"/>
        <v>38.421018226005671</v>
      </c>
      <c r="AZ109" s="747">
        <f t="shared" si="75"/>
        <v>38.512727005094561</v>
      </c>
      <c r="BA109" s="646">
        <f t="shared" si="72"/>
        <v>1.0248335768948438</v>
      </c>
      <c r="BB109" s="641">
        <v>43195</v>
      </c>
      <c r="BC109" s="11">
        <v>43195</v>
      </c>
      <c r="BD109" s="290">
        <f>[3]!FeuilCaduc*(1-Persistant)+Persistant</f>
        <v>0.81022349288880224</v>
      </c>
      <c r="BE109" s="291">
        <f>[3]!CroissVégét</f>
        <v>6.0964669451959982E-2</v>
      </c>
      <c r="BF109" s="822">
        <f>1+[3]!Salcycl*Ksac</f>
        <v>1.0025558732222006</v>
      </c>
      <c r="BH109" s="1101">
        <f t="shared" si="73"/>
        <v>0</v>
      </c>
      <c r="BI109" s="11">
        <v>44291</v>
      </c>
      <c r="BJ109" s="727">
        <v>0</v>
      </c>
      <c r="BK109" s="727">
        <v>0</v>
      </c>
      <c r="BL109" s="727">
        <v>0</v>
      </c>
      <c r="BM109" s="727">
        <v>0</v>
      </c>
      <c r="BN109" s="727">
        <v>0</v>
      </c>
      <c r="BO109" s="728">
        <v>1.3179726348127838E-7</v>
      </c>
      <c r="BP109" s="727">
        <v>1.4652613696987542E-4</v>
      </c>
      <c r="BQ109" s="727">
        <v>2.6675278268012211E-3</v>
      </c>
      <c r="BR109" s="727">
        <v>2.1410965333845275E-2</v>
      </c>
      <c r="BS109" s="727">
        <v>7.0900233575116933E-2</v>
      </c>
      <c r="BT109" s="727">
        <v>0.14890698774293412</v>
      </c>
      <c r="BW109" s="1157">
        <f>'2018'!R\Max</f>
        <v>0</v>
      </c>
      <c r="BX109" s="1155">
        <f>'2019'!R\Max</f>
        <v>0.91052014043160545</v>
      </c>
      <c r="BY109" s="1155">
        <f>'2020'!R\Max</f>
        <v>1.0248335768948438</v>
      </c>
      <c r="BZ109" s="1155">
        <f>'2021'!R\Max</f>
        <v>0.92492660034660257</v>
      </c>
      <c r="CA109" s="1155">
        <f>'2022'!R\Max</f>
        <v>1.0025367346454541</v>
      </c>
      <c r="CB109" s="1155">
        <f>'2023'!R\Max</f>
        <v>1.0025367346454539</v>
      </c>
      <c r="CC109" s="1155">
        <f>'2024'!R\Max</f>
        <v>1.0025367346454539</v>
      </c>
      <c r="CD109" s="1155">
        <f>'2025'!R\Max</f>
        <v>1.0025367346454539</v>
      </c>
      <c r="CE109" s="1155">
        <f>'2026'!R\Max</f>
        <v>1.0025367346454541</v>
      </c>
      <c r="CF109" s="1156">
        <f>'2027'!R\Max</f>
        <v>1.0025367346454543</v>
      </c>
    </row>
    <row r="110" spans="1:84" s="6" customFormat="1" ht="11.25" x14ac:dyDescent="0.2">
      <c r="A110" s="11">
        <v>43196</v>
      </c>
      <c r="B110" s="380">
        <f>'2022'!Maxi_hp</f>
        <v>39.474372462150207</v>
      </c>
      <c r="C110" s="13">
        <f>'2022'!An_max</f>
        <v>2020</v>
      </c>
      <c r="D110" s="1070"/>
      <c r="E110" s="13"/>
      <c r="F110" s="13">
        <f t="shared" si="74"/>
        <v>9</v>
      </c>
      <c r="G110" s="13">
        <f t="shared" si="58"/>
        <v>8</v>
      </c>
      <c r="H110" s="173">
        <f t="shared" si="59"/>
        <v>43206</v>
      </c>
      <c r="I110" s="754">
        <f t="shared" si="60"/>
        <v>0.7142857142857143</v>
      </c>
      <c r="J110" s="747">
        <f t="shared" si="61"/>
        <v>38.780102332574977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P110" s="13">
        <f t="shared" si="62"/>
        <v>5</v>
      </c>
      <c r="AQ110" s="13">
        <f t="shared" si="63"/>
        <v>6</v>
      </c>
      <c r="AR110" s="173">
        <f t="shared" si="64"/>
        <v>43192</v>
      </c>
      <c r="AS110" s="754">
        <f t="shared" si="65"/>
        <v>0.14285714285714285</v>
      </c>
      <c r="AT110" s="770">
        <f t="shared" si="66"/>
        <v>38.801794460735152</v>
      </c>
      <c r="AU110" s="13">
        <f t="shared" si="67"/>
        <v>5</v>
      </c>
      <c r="AV110" s="13">
        <f t="shared" si="68"/>
        <v>4</v>
      </c>
      <c r="AW110" s="173">
        <f t="shared" si="69"/>
        <v>43206</v>
      </c>
      <c r="AX110" s="754">
        <f t="shared" si="70"/>
        <v>0.35714285714285715</v>
      </c>
      <c r="AY110" s="770">
        <f t="shared" si="71"/>
        <v>38.624190161084485</v>
      </c>
      <c r="AZ110" s="747">
        <f t="shared" si="75"/>
        <v>38.712992310909819</v>
      </c>
      <c r="BA110" s="646">
        <f t="shared" si="72"/>
        <v>1.0179027410402692</v>
      </c>
      <c r="BB110" s="641">
        <v>43196</v>
      </c>
      <c r="BC110" s="11">
        <v>43196</v>
      </c>
      <c r="BD110" s="290">
        <f>[3]!FeuilCaduc*(1-Persistant)+Persistant</f>
        <v>0.8109676190064915</v>
      </c>
      <c r="BE110" s="291">
        <f>[3]!CroissVégét</f>
        <v>6.3411438498040387E-2</v>
      </c>
      <c r="BF110" s="822">
        <f>1+[3]!Salcycl*Ksac</f>
        <v>1.0027419047516228</v>
      </c>
      <c r="BH110" s="1101">
        <f t="shared" si="73"/>
        <v>0</v>
      </c>
      <c r="BI110" s="11">
        <v>44292</v>
      </c>
      <c r="BJ110" s="727">
        <v>0</v>
      </c>
      <c r="BK110" s="727">
        <v>0</v>
      </c>
      <c r="BL110" s="727">
        <v>0</v>
      </c>
      <c r="BM110" s="727">
        <v>0</v>
      </c>
      <c r="BN110" s="727">
        <v>0</v>
      </c>
      <c r="BO110" s="728">
        <v>8.0248861656750865E-8</v>
      </c>
      <c r="BP110" s="727">
        <v>1.2418940281341544E-4</v>
      </c>
      <c r="BQ110" s="727">
        <v>1.9493775339091016E-3</v>
      </c>
      <c r="BR110" s="727">
        <v>1.7669816970688406E-2</v>
      </c>
      <c r="BS110" s="727">
        <v>6.1646166896703547E-2</v>
      </c>
      <c r="BT110" s="727">
        <v>0.13230137723990068</v>
      </c>
      <c r="BW110" s="1157">
        <f>'2018'!R\Max</f>
        <v>0</v>
      </c>
      <c r="BX110" s="1155">
        <f>'2019'!R\Max</f>
        <v>0.39329401647523654</v>
      </c>
      <c r="BY110" s="1155">
        <f>'2020'!R\Max</f>
        <v>1.0179027410402692</v>
      </c>
      <c r="BZ110" s="1155">
        <f>'2021'!R\Max</f>
        <v>0.60461224075774989</v>
      </c>
      <c r="CA110" s="1155">
        <f>'2022'!R\Max</f>
        <v>0.22949222280120324</v>
      </c>
      <c r="CB110" s="1155">
        <f>'2023'!R\Max</f>
        <v>0.22949222231594607</v>
      </c>
      <c r="CC110" s="1155">
        <f>'2024'!R\Max</f>
        <v>0.22949189254987473</v>
      </c>
      <c r="CD110" s="1155">
        <f>'2025'!R\Max</f>
        <v>0.22949222364073604</v>
      </c>
      <c r="CE110" s="1155">
        <f>'2026'!R\Max</f>
        <v>0.22949222364073599</v>
      </c>
      <c r="CF110" s="1156">
        <f>'2027'!R\Max</f>
        <v>0.22949222362805125</v>
      </c>
    </row>
    <row r="111" spans="1:84" s="6" customFormat="1" ht="11.25" x14ac:dyDescent="0.2">
      <c r="A111" s="11">
        <v>43197</v>
      </c>
      <c r="B111" s="380">
        <f>'2022'!Maxi_hp</f>
        <v>39.698812303963905</v>
      </c>
      <c r="C111" s="13">
        <f>'2022'!An_max</f>
        <v>2021</v>
      </c>
      <c r="D111" s="1070"/>
      <c r="E111" s="13"/>
      <c r="F111" s="13">
        <f t="shared" si="74"/>
        <v>9</v>
      </c>
      <c r="G111" s="13">
        <f t="shared" si="58"/>
        <v>8</v>
      </c>
      <c r="H111" s="173">
        <f t="shared" si="59"/>
        <v>43206</v>
      </c>
      <c r="I111" s="754">
        <f t="shared" si="60"/>
        <v>0.6428571428571429</v>
      </c>
      <c r="J111" s="747">
        <f t="shared" si="61"/>
        <v>38.962862080388831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P111" s="13">
        <f t="shared" si="62"/>
        <v>5</v>
      </c>
      <c r="AQ111" s="13">
        <f t="shared" si="63"/>
        <v>6</v>
      </c>
      <c r="AR111" s="173">
        <f t="shared" si="64"/>
        <v>43192</v>
      </c>
      <c r="AS111" s="754">
        <f t="shared" si="65"/>
        <v>0.17857142857142858</v>
      </c>
      <c r="AT111" s="770">
        <f t="shared" si="66"/>
        <v>38.99469340637858</v>
      </c>
      <c r="AU111" s="13">
        <f t="shared" si="67"/>
        <v>5</v>
      </c>
      <c r="AV111" s="13">
        <f t="shared" si="68"/>
        <v>4</v>
      </c>
      <c r="AW111" s="173">
        <f t="shared" si="69"/>
        <v>43206</v>
      </c>
      <c r="AX111" s="754">
        <f t="shared" si="70"/>
        <v>0.32142857142857145</v>
      </c>
      <c r="AY111" s="770">
        <f t="shared" si="71"/>
        <v>38.823544565614853</v>
      </c>
      <c r="AZ111" s="747">
        <f t="shared" si="75"/>
        <v>38.909118985996713</v>
      </c>
      <c r="BA111" s="646">
        <f t="shared" si="72"/>
        <v>1.0188885052144436</v>
      </c>
      <c r="BB111" s="641">
        <v>43197</v>
      </c>
      <c r="BC111" s="11">
        <v>43197</v>
      </c>
      <c r="BD111" s="290">
        <f>[3]!FeuilCaduc*(1-Persistant)+Persistant</f>
        <v>0.81175652279106436</v>
      </c>
      <c r="BE111" s="291">
        <f>[3]!CroissVégét</f>
        <v>6.5947331619938404E-2</v>
      </c>
      <c r="BF111" s="822">
        <f>1+[3]!Salcycl*Ksac</f>
        <v>1.0029391306977662</v>
      </c>
      <c r="BH111" s="1101">
        <f t="shared" si="73"/>
        <v>0</v>
      </c>
      <c r="BI111" s="11">
        <v>44293</v>
      </c>
      <c r="BJ111" s="727">
        <v>0</v>
      </c>
      <c r="BK111" s="727">
        <v>0</v>
      </c>
      <c r="BL111" s="727">
        <v>0</v>
      </c>
      <c r="BM111" s="727">
        <v>0</v>
      </c>
      <c r="BN111" s="727">
        <v>0</v>
      </c>
      <c r="BO111" s="728">
        <v>4.1469658913624716E-8</v>
      </c>
      <c r="BP111" s="727">
        <v>1.0482986572960256E-4</v>
      </c>
      <c r="BQ111" s="727">
        <v>1.3951885835971319E-3</v>
      </c>
      <c r="BR111" s="727">
        <v>1.4453775813370259E-2</v>
      </c>
      <c r="BS111" s="727">
        <v>5.3287549246396164E-2</v>
      </c>
      <c r="BT111" s="727">
        <v>0.11681568548728978</v>
      </c>
      <c r="BW111" s="1157">
        <f>'2018'!R\Max</f>
        <v>0</v>
      </c>
      <c r="BX111" s="1155">
        <f>'2019'!R\Max</f>
        <v>0.62641256647065269</v>
      </c>
      <c r="BY111" s="1155">
        <f>'2020'!R\Max</f>
        <v>0.54451404695619887</v>
      </c>
      <c r="BZ111" s="1155">
        <f>'2021'!R\Max</f>
        <v>1.0188885052144436</v>
      </c>
      <c r="CA111" s="1155">
        <f>'2022'!R\Max</f>
        <v>0.73845965024088078</v>
      </c>
      <c r="CB111" s="1155">
        <f>'2023'!R\Max</f>
        <v>0.73845964994051994</v>
      </c>
      <c r="CC111" s="1155">
        <f>'2024'!R\Max</f>
        <v>0.73845931334859571</v>
      </c>
      <c r="CD111" s="1155">
        <f>'2025'!R\Max</f>
        <v>0.73845965076129028</v>
      </c>
      <c r="CE111" s="1155">
        <f>'2026'!R\Max</f>
        <v>0.73845965076129028</v>
      </c>
      <c r="CF111" s="1156">
        <f>'2027'!R\Max</f>
        <v>0.73845965075216913</v>
      </c>
    </row>
    <row r="112" spans="1:84" s="6" customFormat="1" ht="11.25" x14ac:dyDescent="0.2">
      <c r="A112" s="11">
        <v>43198</v>
      </c>
      <c r="B112" s="380">
        <f>'2022'!Maxi_hp</f>
        <v>36.829222658134903</v>
      </c>
      <c r="C112" s="13">
        <f>'2022'!An_max</f>
        <v>2021</v>
      </c>
      <c r="D112" s="1070"/>
      <c r="E112" s="13"/>
      <c r="F112" s="13">
        <f t="shared" si="74"/>
        <v>9</v>
      </c>
      <c r="G112" s="13">
        <f t="shared" si="58"/>
        <v>8</v>
      </c>
      <c r="H112" s="173">
        <f t="shared" si="59"/>
        <v>43206</v>
      </c>
      <c r="I112" s="754">
        <f t="shared" si="60"/>
        <v>0.5714285714285714</v>
      </c>
      <c r="J112" s="747">
        <f t="shared" si="61"/>
        <v>39.140305830910805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P112" s="13">
        <f t="shared" si="62"/>
        <v>5</v>
      </c>
      <c r="AQ112" s="13">
        <f t="shared" si="63"/>
        <v>6</v>
      </c>
      <c r="AR112" s="173">
        <f t="shared" si="64"/>
        <v>43192</v>
      </c>
      <c r="AS112" s="754">
        <f t="shared" si="65"/>
        <v>0.21428571428571427</v>
      </c>
      <c r="AT112" s="770">
        <f t="shared" si="66"/>
        <v>39.183172759041192</v>
      </c>
      <c r="AU112" s="13">
        <f t="shared" si="67"/>
        <v>5</v>
      </c>
      <c r="AV112" s="13">
        <f t="shared" si="68"/>
        <v>4</v>
      </c>
      <c r="AW112" s="173">
        <f t="shared" si="69"/>
        <v>43206</v>
      </c>
      <c r="AX112" s="754">
        <f t="shared" si="70"/>
        <v>0.2857142857142857</v>
      </c>
      <c r="AY112" s="770">
        <f t="shared" si="71"/>
        <v>39.019001165990325</v>
      </c>
      <c r="AZ112" s="747">
        <f t="shared" si="75"/>
        <v>39.101086962515758</v>
      </c>
      <c r="BA112" s="646">
        <f t="shared" si="72"/>
        <v>0.94095388056598328</v>
      </c>
      <c r="BB112" s="641">
        <v>43198</v>
      </c>
      <c r="BC112" s="11">
        <v>43198</v>
      </c>
      <c r="BD112" s="290">
        <f>[3]!FeuilCaduc*(1-Persistant)+Persistant</f>
        <v>0.81259139253103185</v>
      </c>
      <c r="BE112" s="291">
        <f>[3]!CroissVégét</f>
        <v>6.8575048275425571E-2</v>
      </c>
      <c r="BF112" s="822">
        <f>1+[3]!Salcycl*Ksac</f>
        <v>1.003147848132758</v>
      </c>
      <c r="BH112" s="1101">
        <f t="shared" si="73"/>
        <v>0</v>
      </c>
      <c r="BI112" s="11">
        <v>44294</v>
      </c>
      <c r="BJ112" s="727">
        <v>0</v>
      </c>
      <c r="BK112" s="727">
        <v>0</v>
      </c>
      <c r="BL112" s="727">
        <v>0</v>
      </c>
      <c r="BM112" s="727">
        <v>0</v>
      </c>
      <c r="BN112" s="727">
        <v>0</v>
      </c>
      <c r="BO112" s="728">
        <v>1.5456749968135326E-8</v>
      </c>
      <c r="BP112" s="727">
        <v>8.8446981836796259E-5</v>
      </c>
      <c r="BQ112" s="727">
        <v>1.0049242874211148E-3</v>
      </c>
      <c r="BR112" s="727">
        <v>1.176274407881963E-2</v>
      </c>
      <c r="BS112" s="727">
        <v>4.5824250378862764E-2</v>
      </c>
      <c r="BT112" s="727">
        <v>0.10244981347538989</v>
      </c>
      <c r="BW112" s="1157">
        <f>'2018'!R\Max</f>
        <v>0</v>
      </c>
      <c r="BX112" s="1155">
        <f>'2019'!R\Max</f>
        <v>0.57468173127694333</v>
      </c>
      <c r="BY112" s="1155">
        <f>'2020'!R\Max</f>
        <v>0.60702538971266318</v>
      </c>
      <c r="BZ112" s="1155">
        <f>'2021'!R\Max</f>
        <v>0.94095388056598328</v>
      </c>
      <c r="CA112" s="1155">
        <f>'2022'!R\Max</f>
        <v>0.57969687500727962</v>
      </c>
      <c r="CB112" s="1155">
        <f>'2023'!R\Max</f>
        <v>0.57969687486654453</v>
      </c>
      <c r="CC112" s="1155">
        <f>'2024'!R\Max</f>
        <v>0.57969651436493697</v>
      </c>
      <c r="CD112" s="1155">
        <f>'2025'!R\Max</f>
        <v>0.57969687525148894</v>
      </c>
      <c r="CE112" s="1155">
        <f>'2026'!R\Max</f>
        <v>0.57969687525148894</v>
      </c>
      <c r="CF112" s="1156">
        <f>'2027'!R\Max</f>
        <v>0.57969687524659885</v>
      </c>
    </row>
    <row r="113" spans="1:84" s="6" customFormat="1" ht="11.25" x14ac:dyDescent="0.2">
      <c r="A113" s="11">
        <v>43199</v>
      </c>
      <c r="B113" s="380">
        <f>'2022'!Maxi_hp</f>
        <v>33.294727279888392</v>
      </c>
      <c r="C113" s="13">
        <f>'2022'!An_max</f>
        <v>2020</v>
      </c>
      <c r="D113" s="1070"/>
      <c r="E113" s="13"/>
      <c r="F113" s="13">
        <f t="shared" si="74"/>
        <v>9</v>
      </c>
      <c r="G113" s="13">
        <f t="shared" si="58"/>
        <v>8</v>
      </c>
      <c r="H113" s="173">
        <f t="shared" si="59"/>
        <v>43206</v>
      </c>
      <c r="I113" s="754">
        <f t="shared" si="60"/>
        <v>0.5</v>
      </c>
      <c r="J113" s="747">
        <f t="shared" si="61"/>
        <v>39.312968749552965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P113" s="13">
        <f t="shared" si="62"/>
        <v>5</v>
      </c>
      <c r="AQ113" s="13">
        <f t="shared" si="63"/>
        <v>6</v>
      </c>
      <c r="AR113" s="173">
        <f t="shared" si="64"/>
        <v>43192</v>
      </c>
      <c r="AS113" s="754">
        <f t="shared" si="65"/>
        <v>0.25</v>
      </c>
      <c r="AT113" s="770">
        <f t="shared" si="66"/>
        <v>39.367272655665872</v>
      </c>
      <c r="AU113" s="13">
        <f t="shared" si="67"/>
        <v>5</v>
      </c>
      <c r="AV113" s="13">
        <f t="shared" si="68"/>
        <v>4</v>
      </c>
      <c r="AW113" s="173">
        <f t="shared" si="69"/>
        <v>43206</v>
      </c>
      <c r="AX113" s="754">
        <f t="shared" si="70"/>
        <v>0.25</v>
      </c>
      <c r="AY113" s="770">
        <f t="shared" si="71"/>
        <v>39.210479688178751</v>
      </c>
      <c r="AZ113" s="747">
        <f t="shared" si="75"/>
        <v>39.288876171922311</v>
      </c>
      <c r="BA113" s="646">
        <f t="shared" si="72"/>
        <v>0.84691460194714985</v>
      </c>
      <c r="BB113" s="641">
        <v>43199</v>
      </c>
      <c r="BC113" s="11">
        <v>43199</v>
      </c>
      <c r="BD113" s="290">
        <f>[3]!FeuilCaduc*(1-Persistant)+Persistant</f>
        <v>0.81347336900822631</v>
      </c>
      <c r="BE113" s="291">
        <f>[3]!CroissVégét</f>
        <v>7.1297326250557638E-2</v>
      </c>
      <c r="BF113" s="822">
        <f>1+[3]!Salcycl*Ksac</f>
        <v>1.0033683422520565</v>
      </c>
      <c r="BH113" s="1101">
        <f t="shared" si="73"/>
        <v>0</v>
      </c>
      <c r="BI113" s="11">
        <v>44295</v>
      </c>
      <c r="BJ113" s="727">
        <v>0</v>
      </c>
      <c r="BK113" s="727">
        <v>0</v>
      </c>
      <c r="BL113" s="727">
        <v>0</v>
      </c>
      <c r="BM113" s="727">
        <v>0</v>
      </c>
      <c r="BN113" s="727">
        <v>0</v>
      </c>
      <c r="BO113" s="728">
        <v>2.2068495333258185E-9</v>
      </c>
      <c r="BP113" s="727">
        <v>7.5040131919761912E-5</v>
      </c>
      <c r="BQ113" s="727">
        <v>7.7854314977139844E-4</v>
      </c>
      <c r="BR113" s="727">
        <v>9.5966104423033539E-3</v>
      </c>
      <c r="BS113" s="727">
        <v>3.9256120651603006E-2</v>
      </c>
      <c r="BT113" s="727">
        <v>8.9203644403109628E-2</v>
      </c>
      <c r="BW113" s="1157">
        <f>'2018'!R\Max</f>
        <v>0</v>
      </c>
      <c r="BX113" s="1155">
        <f>'2019'!R\Max</f>
        <v>0.7950779281021666</v>
      </c>
      <c r="BY113" s="1155">
        <f>'2020'!R\Max</f>
        <v>0.84691460194714985</v>
      </c>
      <c r="BZ113" s="1155">
        <f>'2021'!R\Max</f>
        <v>0.54605494203469407</v>
      </c>
      <c r="CA113" s="1155">
        <f>'2022'!R\Max</f>
        <v>0.69674396012509376</v>
      </c>
      <c r="CB113" s="1155">
        <f>'2023'!R\Max</f>
        <v>0.69674396010772621</v>
      </c>
      <c r="CC113" s="1155">
        <f>'2024'!R\Max</f>
        <v>0.69674369308096451</v>
      </c>
      <c r="CD113" s="1155">
        <f>'2025'!R\Max</f>
        <v>0.69674396015527762</v>
      </c>
      <c r="CE113" s="1155">
        <f>'2026'!R\Max</f>
        <v>0.69674396015527773</v>
      </c>
      <c r="CF113" s="1156">
        <f>'2027'!R\Max</f>
        <v>0.69674396015459528</v>
      </c>
    </row>
    <row r="114" spans="1:84" s="6" customFormat="1" ht="11.25" x14ac:dyDescent="0.2">
      <c r="A114" s="11">
        <v>43200</v>
      </c>
      <c r="B114" s="380">
        <f>'2022'!Maxi_hp</f>
        <v>38.780942750477344</v>
      </c>
      <c r="C114" s="13">
        <f>'2022'!An_max</f>
        <v>2022</v>
      </c>
      <c r="D114" s="1070"/>
      <c r="E114" s="13"/>
      <c r="F114" s="13">
        <f t="shared" si="74"/>
        <v>9</v>
      </c>
      <c r="G114" s="13">
        <f t="shared" si="58"/>
        <v>8</v>
      </c>
      <c r="H114" s="173">
        <f t="shared" si="59"/>
        <v>43206</v>
      </c>
      <c r="I114" s="754">
        <f t="shared" si="60"/>
        <v>0.42857142857142855</v>
      </c>
      <c r="J114" s="747">
        <f t="shared" si="61"/>
        <v>39.481386005878448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P114" s="13">
        <f t="shared" si="62"/>
        <v>5</v>
      </c>
      <c r="AQ114" s="13">
        <f t="shared" si="63"/>
        <v>6</v>
      </c>
      <c r="AR114" s="173">
        <f t="shared" si="64"/>
        <v>43192</v>
      </c>
      <c r="AS114" s="754">
        <f t="shared" si="65"/>
        <v>0.2857142857142857</v>
      </c>
      <c r="AT114" s="770">
        <f t="shared" si="66"/>
        <v>39.547033235643589</v>
      </c>
      <c r="AU114" s="13">
        <f t="shared" si="67"/>
        <v>5</v>
      </c>
      <c r="AV114" s="13">
        <f t="shared" si="68"/>
        <v>4</v>
      </c>
      <c r="AW114" s="173">
        <f t="shared" si="69"/>
        <v>43206</v>
      </c>
      <c r="AX114" s="754">
        <f t="shared" si="70"/>
        <v>0.21428571428571427</v>
      </c>
      <c r="AY114" s="770">
        <f t="shared" si="71"/>
        <v>39.397899854342846</v>
      </c>
      <c r="AZ114" s="747">
        <f t="shared" si="75"/>
        <v>39.472466544993217</v>
      </c>
      <c r="BA114" s="646">
        <f t="shared" si="72"/>
        <v>0.98225889903417229</v>
      </c>
      <c r="BB114" s="641">
        <v>43200</v>
      </c>
      <c r="BC114" s="11">
        <v>43200</v>
      </c>
      <c r="BD114" s="290">
        <f>[3]!FeuilCaduc*(1-Persistant)+Persistant</f>
        <v>0.81440354302995865</v>
      </c>
      <c r="BE114" s="291">
        <f>[3]!CroissVégét</f>
        <v>7.4116938463242688E-2</v>
      </c>
      <c r="BF114" s="822">
        <f>1+[3]!Salcycl*Ksac</f>
        <v>1.0036008857574896</v>
      </c>
      <c r="BH114" s="1101">
        <f t="shared" si="73"/>
        <v>0</v>
      </c>
      <c r="BI114" s="11">
        <v>44296</v>
      </c>
      <c r="BJ114" s="727">
        <v>0</v>
      </c>
      <c r="BK114" s="727">
        <v>0</v>
      </c>
      <c r="BL114" s="727">
        <v>0</v>
      </c>
      <c r="BM114" s="727">
        <v>0</v>
      </c>
      <c r="BN114" s="727">
        <v>0</v>
      </c>
      <c r="BO114" s="728">
        <v>1.7162513990958808E-9</v>
      </c>
      <c r="BP114" s="727">
        <v>6.4656599397753056E-5</v>
      </c>
      <c r="BQ114" s="727">
        <v>7.159708170552735E-4</v>
      </c>
      <c r="BR114" s="727">
        <v>7.9668843650262753E-3</v>
      </c>
      <c r="BS114" s="727">
        <v>3.3736669381520444E-2</v>
      </c>
      <c r="BT114" s="727">
        <v>7.7503319698921561E-2</v>
      </c>
      <c r="BW114" s="1157">
        <f>'2018'!R\Max</f>
        <v>0</v>
      </c>
      <c r="BX114" s="1155">
        <f>'2019'!R\Max</f>
        <v>0.60406894359194085</v>
      </c>
      <c r="BY114" s="1155">
        <f>'2020'!R\Max</f>
        <v>0.97592582839162223</v>
      </c>
      <c r="BZ114" s="1155">
        <f>'2021'!R\Max</f>
        <v>0.57658138951355031</v>
      </c>
      <c r="CA114" s="1155">
        <f>'2022'!R\Max</f>
        <v>0.98225889903417229</v>
      </c>
      <c r="CB114" s="1155">
        <f>'2023'!R\Max</f>
        <v>0.98225889903306207</v>
      </c>
      <c r="CC114" s="1155">
        <f>'2024'!R\Max</f>
        <v>0.98225887992012018</v>
      </c>
      <c r="CD114" s="1155">
        <f>'2025'!R\Max</f>
        <v>0.98225889903610542</v>
      </c>
      <c r="CE114" s="1155">
        <f>'2026'!R\Max</f>
        <v>0.98225889903610542</v>
      </c>
      <c r="CF114" s="1156">
        <f>'2027'!R\Max</f>
        <v>0.98225889903605701</v>
      </c>
    </row>
    <row r="115" spans="1:84" s="6" customFormat="1" ht="11.25" x14ac:dyDescent="0.2">
      <c r="A115" s="11">
        <v>43201</v>
      </c>
      <c r="B115" s="380">
        <f>'2022'!Maxi_hp</f>
        <v>39.310121110453636</v>
      </c>
      <c r="C115" s="13">
        <f>'2022'!An_max</f>
        <v>2020</v>
      </c>
      <c r="D115" s="1070"/>
      <c r="E115" s="13"/>
      <c r="F115" s="13">
        <f t="shared" si="74"/>
        <v>9</v>
      </c>
      <c r="G115" s="13">
        <f t="shared" si="58"/>
        <v>8</v>
      </c>
      <c r="H115" s="173">
        <f t="shared" si="59"/>
        <v>43206</v>
      </c>
      <c r="I115" s="754">
        <f t="shared" si="60"/>
        <v>0.35714285714285715</v>
      </c>
      <c r="J115" s="747">
        <f t="shared" si="61"/>
        <v>39.646092765964568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P115" s="13">
        <f t="shared" si="62"/>
        <v>5</v>
      </c>
      <c r="AQ115" s="13">
        <f t="shared" si="63"/>
        <v>6</v>
      </c>
      <c r="AR115" s="173">
        <f t="shared" si="64"/>
        <v>43192</v>
      </c>
      <c r="AS115" s="754">
        <f t="shared" si="65"/>
        <v>0.32142857142857145</v>
      </c>
      <c r="AT115" s="770">
        <f t="shared" si="66"/>
        <v>39.72249463562455</v>
      </c>
      <c r="AU115" s="13">
        <f t="shared" si="67"/>
        <v>5</v>
      </c>
      <c r="AV115" s="13">
        <f t="shared" si="68"/>
        <v>4</v>
      </c>
      <c r="AW115" s="173">
        <f t="shared" si="69"/>
        <v>43206</v>
      </c>
      <c r="AX115" s="754">
        <f t="shared" si="70"/>
        <v>0.17857142857142858</v>
      </c>
      <c r="AY115" s="770">
        <f t="shared" si="71"/>
        <v>39.58118139223329</v>
      </c>
      <c r="AZ115" s="747">
        <f t="shared" si="75"/>
        <v>39.651838013928923</v>
      </c>
      <c r="BA115" s="646">
        <f t="shared" si="72"/>
        <v>0.99152573098453334</v>
      </c>
      <c r="BB115" s="641">
        <v>43201</v>
      </c>
      <c r="BC115" s="11">
        <v>43201</v>
      </c>
      <c r="BD115" s="290">
        <f>[3]!FeuilCaduc*(1-Persistant)+Persistant</f>
        <v>0.81538295297642405</v>
      </c>
      <c r="BE115" s="291">
        <f>[3]!CroissVégét</f>
        <v>7.7036689395036897E-2</v>
      </c>
      <c r="BF115" s="822">
        <f>1+[3]!Salcycl*Ksac</f>
        <v>1.0038457382441059</v>
      </c>
      <c r="BH115" s="1101">
        <f t="shared" si="73"/>
        <v>0</v>
      </c>
      <c r="BI115" s="11">
        <v>44297</v>
      </c>
      <c r="BJ115" s="727">
        <v>0</v>
      </c>
      <c r="BK115" s="727">
        <v>0</v>
      </c>
      <c r="BL115" s="727">
        <v>0</v>
      </c>
      <c r="BM115" s="727">
        <v>0</v>
      </c>
      <c r="BN115" s="727">
        <v>0</v>
      </c>
      <c r="BO115" s="728">
        <v>1.2870398760792524E-9</v>
      </c>
      <c r="BP115" s="727">
        <v>5.5322262145848428E-5</v>
      </c>
      <c r="BQ115" s="727">
        <v>6.6005290954574075E-4</v>
      </c>
      <c r="BR115" s="727">
        <v>6.5290737530582302E-3</v>
      </c>
      <c r="BS115" s="727">
        <v>2.8742471870993849E-2</v>
      </c>
      <c r="BT115" s="727">
        <v>6.680615727912477E-2</v>
      </c>
      <c r="BW115" s="1157">
        <f>'2018'!R\Max</f>
        <v>0</v>
      </c>
      <c r="BX115" s="1155">
        <f>'2019'!R\Max</f>
        <v>0.16640236967778185</v>
      </c>
      <c r="BY115" s="1155">
        <f>'2020'!R\Max</f>
        <v>0.99152573098453334</v>
      </c>
      <c r="BZ115" s="1155">
        <f>'2021'!R\Max</f>
        <v>0.13163253471369482</v>
      </c>
      <c r="CA115" s="1155">
        <f>'2022'!R\Max</f>
        <v>0.78409391682851004</v>
      </c>
      <c r="CB115" s="1155">
        <f>'2023'!R\Max</f>
        <v>0.78409391682044416</v>
      </c>
      <c r="CC115" s="1155">
        <f>'2024'!R\Max</f>
        <v>0.78409375673359105</v>
      </c>
      <c r="CD115" s="1155">
        <f>'2025'!R\Max</f>
        <v>0.7840939168425749</v>
      </c>
      <c r="CE115" s="1155">
        <f>'2026'!R\Max</f>
        <v>0.7840939168425749</v>
      </c>
      <c r="CF115" s="1156">
        <f>'2027'!R\Max</f>
        <v>0.78409391684218066</v>
      </c>
    </row>
    <row r="116" spans="1:84" s="6" customFormat="1" ht="11.25" x14ac:dyDescent="0.2">
      <c r="A116" s="11">
        <v>43202</v>
      </c>
      <c r="B116" s="380">
        <f>'2022'!Maxi_hp</f>
        <v>40.636382536630947</v>
      </c>
      <c r="C116" s="13">
        <f>'2022'!An_max</f>
        <v>2019</v>
      </c>
      <c r="D116" s="1070"/>
      <c r="E116" s="13"/>
      <c r="F116" s="13">
        <f t="shared" si="74"/>
        <v>9</v>
      </c>
      <c r="G116" s="13">
        <f t="shared" si="58"/>
        <v>8</v>
      </c>
      <c r="H116" s="173">
        <f t="shared" si="59"/>
        <v>43206</v>
      </c>
      <c r="I116" s="754">
        <f t="shared" si="60"/>
        <v>0.2857142857142857</v>
      </c>
      <c r="J116" s="747">
        <f t="shared" si="61"/>
        <v>39.807624198549561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P116" s="13">
        <f t="shared" si="62"/>
        <v>5</v>
      </c>
      <c r="AQ116" s="13">
        <f t="shared" si="63"/>
        <v>6</v>
      </c>
      <c r="AR116" s="173">
        <f t="shared" si="64"/>
        <v>43192</v>
      </c>
      <c r="AS116" s="754">
        <f t="shared" si="65"/>
        <v>0.35714285714285715</v>
      </c>
      <c r="AT116" s="770">
        <f t="shared" si="66"/>
        <v>39.893696993482962</v>
      </c>
      <c r="AU116" s="13">
        <f t="shared" si="67"/>
        <v>5</v>
      </c>
      <c r="AV116" s="13">
        <f t="shared" si="68"/>
        <v>4</v>
      </c>
      <c r="AW116" s="173">
        <f t="shared" si="69"/>
        <v>43206</v>
      </c>
      <c r="AX116" s="754">
        <f t="shared" si="70"/>
        <v>0.14285714285714285</v>
      </c>
      <c r="AY116" s="770">
        <f t="shared" si="71"/>
        <v>39.760244023374149</v>
      </c>
      <c r="AZ116" s="747">
        <f t="shared" si="75"/>
        <v>39.826970508428559</v>
      </c>
      <c r="BA116" s="646">
        <f t="shared" si="72"/>
        <v>1.0208190856592638</v>
      </c>
      <c r="BB116" s="641">
        <v>43202</v>
      </c>
      <c r="BC116" s="11">
        <v>43202</v>
      </c>
      <c r="BD116" s="290">
        <f>[3]!FeuilCaduc*(1-Persistant)+Persistant</f>
        <v>0.81641258234202108</v>
      </c>
      <c r="BE116" s="291">
        <f>[3]!CroissVégét</f>
        <v>8.0059411132293548E-2</v>
      </c>
      <c r="BF116" s="822">
        <f>1+[3]!Salcycl*Ksac</f>
        <v>1.0041031455855052</v>
      </c>
      <c r="BH116" s="1101">
        <f t="shared" si="73"/>
        <v>0</v>
      </c>
      <c r="BI116" s="11">
        <v>44298</v>
      </c>
      <c r="BJ116" s="727">
        <v>0</v>
      </c>
      <c r="BK116" s="727">
        <v>0</v>
      </c>
      <c r="BL116" s="727">
        <v>0</v>
      </c>
      <c r="BM116" s="727">
        <v>0</v>
      </c>
      <c r="BN116" s="727">
        <v>0</v>
      </c>
      <c r="BO116" s="728">
        <v>9.1920175843515013E-10</v>
      </c>
      <c r="BP116" s="727">
        <v>4.7036923194716476E-5</v>
      </c>
      <c r="BQ116" s="727">
        <v>6.1078801234311451E-4</v>
      </c>
      <c r="BR116" s="727">
        <v>5.2831384057412372E-3</v>
      </c>
      <c r="BS116" s="727">
        <v>2.4273435533284697E-2</v>
      </c>
      <c r="BT116" s="727">
        <v>5.7111999394609252E-2</v>
      </c>
      <c r="BW116" s="1157">
        <f>'2018'!R\Max</f>
        <v>0</v>
      </c>
      <c r="BX116" s="1155">
        <f>'2019'!R\Max</f>
        <v>1.0208190856592638</v>
      </c>
      <c r="BY116" s="1155">
        <f>'2020'!R\Max</f>
        <v>0.97273237739642704</v>
      </c>
      <c r="BZ116" s="1155">
        <f>'2021'!R\Max</f>
        <v>0.76186871665856848</v>
      </c>
      <c r="CA116" s="1155">
        <f>'2022'!R\Max</f>
        <v>0.66263073246043203</v>
      </c>
      <c r="CB116" s="1155">
        <f>'2023'!R\Max</f>
        <v>0.66263073245284621</v>
      </c>
      <c r="CC116" s="1155">
        <f>'2024'!R\Max</f>
        <v>0.66263055126329073</v>
      </c>
      <c r="CD116" s="1155">
        <f>'2025'!R\Max</f>
        <v>0.66263073247368265</v>
      </c>
      <c r="CE116" s="1155">
        <f>'2026'!R\Max</f>
        <v>0.66263073247368276</v>
      </c>
      <c r="CF116" s="1156">
        <f>'2027'!R\Max</f>
        <v>0.66263073247327386</v>
      </c>
    </row>
    <row r="117" spans="1:84" s="6" customFormat="1" ht="11.25" x14ac:dyDescent="0.2">
      <c r="A117" s="11">
        <v>43203</v>
      </c>
      <c r="B117" s="380">
        <f>'2022'!Maxi_hp</f>
        <v>40.953213285754423</v>
      </c>
      <c r="C117" s="13">
        <f>'2022'!An_max</f>
        <v>2019</v>
      </c>
      <c r="D117" s="1070"/>
      <c r="E117" s="13"/>
      <c r="F117" s="13">
        <f t="shared" si="74"/>
        <v>9</v>
      </c>
      <c r="G117" s="13">
        <f t="shared" si="58"/>
        <v>8</v>
      </c>
      <c r="H117" s="173">
        <f t="shared" si="59"/>
        <v>43206</v>
      </c>
      <c r="I117" s="754">
        <f t="shared" si="60"/>
        <v>0.21428571428571427</v>
      </c>
      <c r="J117" s="747">
        <f t="shared" si="61"/>
        <v>39.966515469737352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P117" s="13">
        <f t="shared" si="62"/>
        <v>5</v>
      </c>
      <c r="AQ117" s="13">
        <f t="shared" si="63"/>
        <v>6</v>
      </c>
      <c r="AR117" s="173">
        <f t="shared" si="64"/>
        <v>43192</v>
      </c>
      <c r="AS117" s="754">
        <f t="shared" si="65"/>
        <v>0.39285714285714285</v>
      </c>
      <c r="AT117" s="770">
        <f t="shared" si="66"/>
        <v>40.060680446268194</v>
      </c>
      <c r="AU117" s="13">
        <f t="shared" si="67"/>
        <v>5</v>
      </c>
      <c r="AV117" s="13">
        <f t="shared" si="68"/>
        <v>4</v>
      </c>
      <c r="AW117" s="173">
        <f t="shared" si="69"/>
        <v>43206</v>
      </c>
      <c r="AX117" s="754">
        <f t="shared" si="70"/>
        <v>0.10714285714285714</v>
      </c>
      <c r="AY117" s="770">
        <f t="shared" si="71"/>
        <v>39.935007475103653</v>
      </c>
      <c r="AZ117" s="747">
        <f t="shared" si="75"/>
        <v>39.997843960685927</v>
      </c>
      <c r="BA117" s="646">
        <f t="shared" si="72"/>
        <v>1.024688112146384</v>
      </c>
      <c r="BB117" s="641">
        <v>43203</v>
      </c>
      <c r="BC117" s="11">
        <v>43203</v>
      </c>
      <c r="BD117" s="290">
        <f>[3]!FeuilCaduc*(1-Persistant)+Persistant</f>
        <v>0.81749335725006778</v>
      </c>
      <c r="BE117" s="291">
        <f>[3]!CroissVégét</f>
        <v>8.3187958998136649E-2</v>
      </c>
      <c r="BF117" s="822">
        <f>1+[3]!Salcycl*Ksac</f>
        <v>1.0043733393125169</v>
      </c>
      <c r="BH117" s="1101">
        <f t="shared" si="73"/>
        <v>0</v>
      </c>
      <c r="BI117" s="11">
        <v>44299</v>
      </c>
      <c r="BJ117" s="727">
        <v>0</v>
      </c>
      <c r="BK117" s="727">
        <v>0</v>
      </c>
      <c r="BL117" s="727">
        <v>0</v>
      </c>
      <c r="BM117" s="727">
        <v>0</v>
      </c>
      <c r="BN117" s="727">
        <v>0</v>
      </c>
      <c r="BO117" s="728">
        <v>6.1272185410139805E-10</v>
      </c>
      <c r="BP117" s="727">
        <v>3.9800354195768281E-5</v>
      </c>
      <c r="BQ117" s="727">
        <v>5.6817450715594654E-4</v>
      </c>
      <c r="BR117" s="727">
        <v>4.2290320357544721E-3</v>
      </c>
      <c r="BS117" s="727">
        <v>2.0329452486991445E-2</v>
      </c>
      <c r="BT117" s="727">
        <v>4.8420660578132657E-2</v>
      </c>
      <c r="BW117" s="1157">
        <f>'2018'!R\Max</f>
        <v>0</v>
      </c>
      <c r="BX117" s="1155">
        <f>'2019'!R\Max</f>
        <v>1.024688112146384</v>
      </c>
      <c r="BY117" s="1155">
        <f>'2020'!R\Max</f>
        <v>0.75472609859632711</v>
      </c>
      <c r="BZ117" s="1155">
        <f>'2021'!R\Max</f>
        <v>0</v>
      </c>
      <c r="CA117" s="1155">
        <f>'2022'!R\Max</f>
        <v>0.12822013012809444</v>
      </c>
      <c r="CB117" s="1155">
        <f>'2023'!R\Max</f>
        <v>0.1282201301260697</v>
      </c>
      <c r="CC117" s="1155">
        <f>'2024'!R\Max</f>
        <v>0.12822006804963673</v>
      </c>
      <c r="CD117" s="1155">
        <f>'2025'!R\Max</f>
        <v>0.12822013013163749</v>
      </c>
      <c r="CE117" s="1155">
        <f>'2026'!R\Max</f>
        <v>0.12822013013163752</v>
      </c>
      <c r="CF117" s="1156">
        <f>'2027'!R\Max</f>
        <v>0.12822013013151784</v>
      </c>
    </row>
    <row r="118" spans="1:84" s="6" customFormat="1" ht="11.25" x14ac:dyDescent="0.2">
      <c r="A118" s="11">
        <v>43204</v>
      </c>
      <c r="B118" s="380">
        <f>'2022'!Maxi_hp</f>
        <v>29.055463983298168</v>
      </c>
      <c r="C118" s="13">
        <f>'2022'!An_max</f>
        <v>2022</v>
      </c>
      <c r="D118" s="1070"/>
      <c r="E118" s="13"/>
      <c r="F118" s="13">
        <f t="shared" si="74"/>
        <v>9</v>
      </c>
      <c r="G118" s="13">
        <f t="shared" si="58"/>
        <v>8</v>
      </c>
      <c r="H118" s="173">
        <f t="shared" si="59"/>
        <v>43206</v>
      </c>
      <c r="I118" s="754">
        <f t="shared" si="60"/>
        <v>0.14285714285714285</v>
      </c>
      <c r="J118" s="747">
        <f t="shared" si="61"/>
        <v>40.123301748718532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P118" s="13">
        <f t="shared" si="62"/>
        <v>5</v>
      </c>
      <c r="AQ118" s="13">
        <f t="shared" si="63"/>
        <v>6</v>
      </c>
      <c r="AR118" s="173">
        <f t="shared" si="64"/>
        <v>43192</v>
      </c>
      <c r="AS118" s="754">
        <f t="shared" si="65"/>
        <v>0.42857142857142855</v>
      </c>
      <c r="AT118" s="770">
        <f t="shared" si="66"/>
        <v>40.22348513134888</v>
      </c>
      <c r="AU118" s="13">
        <f t="shared" si="67"/>
        <v>5</v>
      </c>
      <c r="AV118" s="13">
        <f t="shared" si="68"/>
        <v>4</v>
      </c>
      <c r="AW118" s="173">
        <f t="shared" si="69"/>
        <v>43206</v>
      </c>
      <c r="AX118" s="754">
        <f t="shared" si="70"/>
        <v>7.1428571428571425E-2</v>
      </c>
      <c r="AY118" s="770">
        <f t="shared" si="71"/>
        <v>40.10539147281753</v>
      </c>
      <c r="AZ118" s="747">
        <f t="shared" si="75"/>
        <v>40.164438302083205</v>
      </c>
      <c r="BA118" s="646">
        <f t="shared" si="72"/>
        <v>0.72415436210271877</v>
      </c>
      <c r="BB118" s="641">
        <v>43204</v>
      </c>
      <c r="BC118" s="11">
        <v>43204</v>
      </c>
      <c r="BD118" s="290">
        <f>[3]!FeuilCaduc*(1-Persistant)+Persistant</f>
        <v>0.81862614392166877</v>
      </c>
      <c r="BE118" s="291">
        <f>[3]!CroissVégét</f>
        <v>8.6425206757263798E-2</v>
      </c>
      <c r="BF118" s="822">
        <f>1+[3]!Salcycl*Ksac</f>
        <v>1.0046565359804172</v>
      </c>
      <c r="BH118" s="1101">
        <f t="shared" si="73"/>
        <v>0</v>
      </c>
      <c r="BI118" s="11">
        <v>44300</v>
      </c>
      <c r="BJ118" s="727">
        <v>0</v>
      </c>
      <c r="BK118" s="727">
        <v>0</v>
      </c>
      <c r="BL118" s="727">
        <v>0</v>
      </c>
      <c r="BM118" s="727">
        <v>0</v>
      </c>
      <c r="BN118" s="727">
        <v>0</v>
      </c>
      <c r="BO118" s="728">
        <v>3.6758278816647513E-10</v>
      </c>
      <c r="BP118" s="727">
        <v>3.3612292060868799E-5</v>
      </c>
      <c r="BQ118" s="727">
        <v>5.3221055097680213E-4</v>
      </c>
      <c r="BR118" s="727">
        <v>3.3667016543793768E-3</v>
      </c>
      <c r="BS118" s="727">
        <v>1.6910397874000744E-2</v>
      </c>
      <c r="BT118" s="727">
        <v>4.0731924432298346E-2</v>
      </c>
      <c r="BW118" s="1157">
        <f>'2018'!R\Max</f>
        <v>0</v>
      </c>
      <c r="BX118" s="1155">
        <f>'2019'!R\Max</f>
        <v>0.49008142692536399</v>
      </c>
      <c r="BY118" s="1155">
        <f>'2020'!R\Max</f>
        <v>0.26351528488780834</v>
      </c>
      <c r="BZ118" s="1155">
        <f>'2021'!R\Max</f>
        <v>0.39971969694898679</v>
      </c>
      <c r="CA118" s="1155">
        <f>'2022'!R\Max</f>
        <v>0.72415436210271877</v>
      </c>
      <c r="CB118" s="1155">
        <f>'2023'!R\Max</f>
        <v>0.72415436210002226</v>
      </c>
      <c r="CC118" s="1155">
        <f>'2024'!R\Max</f>
        <v>0.72415424438877352</v>
      </c>
      <c r="CD118" s="1155">
        <f>'2025'!R\Max</f>
        <v>0.7241543621074461</v>
      </c>
      <c r="CE118" s="1155">
        <f>'2026'!R\Max</f>
        <v>0.72415436210744599</v>
      </c>
      <c r="CF118" s="1156">
        <f>'2027'!R\Max</f>
        <v>0.72415436210727213</v>
      </c>
    </row>
    <row r="119" spans="1:84" s="6" customFormat="1" ht="11.25" x14ac:dyDescent="0.2">
      <c r="A119" s="11">
        <v>43205</v>
      </c>
      <c r="B119" s="380">
        <f>'2022'!Maxi_hp</f>
        <v>39.087125925166902</v>
      </c>
      <c r="C119" s="13">
        <f>'2022'!An_max</f>
        <v>2021</v>
      </c>
      <c r="D119" s="1070"/>
      <c r="E119" s="13"/>
      <c r="F119" s="13">
        <f t="shared" si="74"/>
        <v>9</v>
      </c>
      <c r="G119" s="13">
        <f t="shared" si="58"/>
        <v>8</v>
      </c>
      <c r="H119" s="173">
        <f t="shared" si="59"/>
        <v>43206</v>
      </c>
      <c r="I119" s="754">
        <f t="shared" si="60"/>
        <v>7.1428571428571425E-2</v>
      </c>
      <c r="J119" s="747">
        <f t="shared" si="61"/>
        <v>40.278518203033933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P119" s="13">
        <f t="shared" si="62"/>
        <v>5</v>
      </c>
      <c r="AQ119" s="13">
        <f t="shared" si="63"/>
        <v>6</v>
      </c>
      <c r="AR119" s="173">
        <f t="shared" si="64"/>
        <v>43192</v>
      </c>
      <c r="AS119" s="754">
        <f t="shared" si="65"/>
        <v>0.4642857142857143</v>
      </c>
      <c r="AT119" s="770">
        <f t="shared" si="66"/>
        <v>40.382151186838747</v>
      </c>
      <c r="AU119" s="13">
        <f t="shared" si="67"/>
        <v>5</v>
      </c>
      <c r="AV119" s="13">
        <f t="shared" si="68"/>
        <v>4</v>
      </c>
      <c r="AW119" s="173">
        <f t="shared" si="69"/>
        <v>43206</v>
      </c>
      <c r="AX119" s="754">
        <f t="shared" si="70"/>
        <v>3.5714285714285712E-2</v>
      </c>
      <c r="AY119" s="770">
        <f t="shared" si="71"/>
        <v>40.271315738824867</v>
      </c>
      <c r="AZ119" s="747">
        <f t="shared" si="75"/>
        <v>40.326733462831811</v>
      </c>
      <c r="BA119" s="646">
        <f t="shared" si="72"/>
        <v>0.97042114926220668</v>
      </c>
      <c r="BB119" s="641">
        <v>43205</v>
      </c>
      <c r="BC119" s="11">
        <v>43205</v>
      </c>
      <c r="BD119" s="290">
        <f>[3]!FeuilCaduc*(1-Persistant)+Persistant</f>
        <v>0.81981174608120277</v>
      </c>
      <c r="BE119" s="291">
        <f>[3]!CroissVégét</f>
        <v>8.9774041376326802E-2</v>
      </c>
      <c r="BF119" s="822">
        <f>1+[3]!Salcycl*Ksac</f>
        <v>1.0049529365203007</v>
      </c>
      <c r="BH119" s="1101">
        <f t="shared" si="73"/>
        <v>0</v>
      </c>
      <c r="BI119" s="11">
        <v>44301</v>
      </c>
      <c r="BJ119" s="727">
        <v>0</v>
      </c>
      <c r="BK119" s="727">
        <v>0</v>
      </c>
      <c r="BL119" s="727">
        <v>0</v>
      </c>
      <c r="BM119" s="727">
        <v>0</v>
      </c>
      <c r="BN119" s="727">
        <v>0</v>
      </c>
      <c r="BO119" s="728">
        <v>1.837648062598306E-10</v>
      </c>
      <c r="BP119" s="727">
        <v>2.8472435603072677E-5</v>
      </c>
      <c r="BQ119" s="727">
        <v>5.0289405477186829E-4</v>
      </c>
      <c r="BR119" s="727">
        <v>2.696086956877231E-3</v>
      </c>
      <c r="BS119" s="727">
        <v>1.4016128177965421E-2</v>
      </c>
      <c r="BT119" s="727">
        <v>3.4045540418779378E-2</v>
      </c>
      <c r="BW119" s="1157">
        <f>'2018'!R\Max</f>
        <v>0</v>
      </c>
      <c r="BX119" s="1155">
        <f>'2019'!R\Max</f>
        <v>0.65847039980923461</v>
      </c>
      <c r="BY119" s="1155">
        <f>'2020'!R\Max</f>
        <v>0.96477303746819532</v>
      </c>
      <c r="BZ119" s="1155">
        <f>'2021'!R\Max</f>
        <v>0.97042114926220668</v>
      </c>
      <c r="CA119" s="1155">
        <f>'2022'!R\Max</f>
        <v>0.80015064201917407</v>
      </c>
      <c r="CB119" s="1155">
        <f>'2023'!R\Max</f>
        <v>0.80015064201809727</v>
      </c>
      <c r="CC119" s="1155">
        <f>'2024'!R\Max</f>
        <v>0.80015056145777919</v>
      </c>
      <c r="CD119" s="1155">
        <f>'2025'!R\Max</f>
        <v>0.8001506420210649</v>
      </c>
      <c r="CE119" s="1155">
        <f>'2026'!R\Max</f>
        <v>0.80015064202106501</v>
      </c>
      <c r="CF119" s="1156">
        <f>'2027'!R\Max</f>
        <v>0.80015064202098929</v>
      </c>
    </row>
    <row r="120" spans="1:84" s="6" customFormat="1" ht="11.25" x14ac:dyDescent="0.2">
      <c r="A120" s="11">
        <v>43206</v>
      </c>
      <c r="B120" s="380">
        <f>'2022'!Maxi_hp</f>
        <v>34.469326384256924</v>
      </c>
      <c r="C120" s="13">
        <f>'2022'!An_max</f>
        <v>2020</v>
      </c>
      <c r="D120" s="1070"/>
      <c r="E120" s="1073">
        <f>U$13/10</f>
        <v>40.432699999999997</v>
      </c>
      <c r="F120" s="13">
        <f t="shared" si="74"/>
        <v>9</v>
      </c>
      <c r="G120" s="13">
        <f t="shared" si="58"/>
        <v>10</v>
      </c>
      <c r="H120" s="173">
        <f t="shared" si="59"/>
        <v>43206</v>
      </c>
      <c r="I120" s="754">
        <f t="shared" si="60"/>
        <v>0</v>
      </c>
      <c r="J120" s="747">
        <f t="shared" si="61"/>
        <v>40.432699999958274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P120" s="13">
        <f t="shared" si="62"/>
        <v>5</v>
      </c>
      <c r="AQ120" s="13">
        <f t="shared" si="63"/>
        <v>6</v>
      </c>
      <c r="AR120" s="173">
        <f t="shared" si="64"/>
        <v>43192</v>
      </c>
      <c r="AS120" s="754">
        <f t="shared" si="65"/>
        <v>0.5</v>
      </c>
      <c r="AT120" s="770">
        <f t="shared" si="66"/>
        <v>40.536718749999999</v>
      </c>
      <c r="AU120" s="13">
        <f t="shared" si="67"/>
        <v>5</v>
      </c>
      <c r="AV120" s="13">
        <f t="shared" si="68"/>
        <v>6</v>
      </c>
      <c r="AW120" s="173">
        <f t="shared" si="69"/>
        <v>43206</v>
      </c>
      <c r="AX120" s="754">
        <f t="shared" si="70"/>
        <v>0</v>
      </c>
      <c r="AY120" s="770">
        <f t="shared" si="71"/>
        <v>40.432700000703335</v>
      </c>
      <c r="AZ120" s="747">
        <f t="shared" si="75"/>
        <v>40.48470937535167</v>
      </c>
      <c r="BA120" s="646">
        <f t="shared" si="72"/>
        <v>0.8525111205606476</v>
      </c>
      <c r="BB120" s="641">
        <v>43206</v>
      </c>
      <c r="BC120" s="11">
        <v>43206</v>
      </c>
      <c r="BD120" s="290">
        <f>[3]!FeuilCaduc*(1-Persistant)+Persistant</f>
        <v>0.82105090228302391</v>
      </c>
      <c r="BE120" s="291">
        <f>[3]!CroissVégét</f>
        <v>9.3237357323611589E-2</v>
      </c>
      <c r="BF120" s="822">
        <f>1+[3]!Salcycl*Ksac</f>
        <v>1.005262725570756</v>
      </c>
      <c r="BH120" s="1101">
        <f t="shared" si="73"/>
        <v>0</v>
      </c>
      <c r="BI120" s="11">
        <v>44302</v>
      </c>
      <c r="BJ120" s="727">
        <v>0</v>
      </c>
      <c r="BK120" s="727">
        <v>0</v>
      </c>
      <c r="BL120" s="727">
        <v>0</v>
      </c>
      <c r="BM120" s="727">
        <v>0</v>
      </c>
      <c r="BN120" s="727">
        <v>0</v>
      </c>
      <c r="BO120" s="728">
        <v>6.1245577924728582E-11</v>
      </c>
      <c r="BP120" s="727">
        <v>2.4380442176397826E-5</v>
      </c>
      <c r="BQ120" s="727">
        <v>4.8022266215767975E-4</v>
      </c>
      <c r="BR120" s="727">
        <v>2.2171197077606674E-3</v>
      </c>
      <c r="BS120" s="727">
        <v>1.1646479542287159E-2</v>
      </c>
      <c r="BT120" s="727">
        <v>2.8361220646371938E-2</v>
      </c>
      <c r="BW120" s="1157">
        <f>'2018'!R\Max</f>
        <v>0</v>
      </c>
      <c r="BX120" s="1155">
        <f>'2019'!R\Max</f>
        <v>0.69693118006302324</v>
      </c>
      <c r="BY120" s="1155">
        <f>'2020'!R\Max</f>
        <v>0.8525111205606476</v>
      </c>
      <c r="BZ120" s="1155">
        <f>'2021'!R\Max</f>
        <v>0.83296496482712701</v>
      </c>
      <c r="CA120" s="1155">
        <f>'2022'!R\Max</f>
        <v>0.80255323488412478</v>
      </c>
      <c r="CB120" s="1155">
        <f>'2023'!R\Max</f>
        <v>0.80255323488377017</v>
      </c>
      <c r="CC120" s="1155">
        <f>'2024'!R\Max</f>
        <v>0.80255316586874914</v>
      </c>
      <c r="CD120" s="1155">
        <f>'2025'!R\Max</f>
        <v>0.80255323488474917</v>
      </c>
      <c r="CE120" s="1155">
        <f>'2026'!R\Max</f>
        <v>0.80255323488474939</v>
      </c>
      <c r="CF120" s="1156">
        <f>'2027'!R\Max</f>
        <v>0.80255323488472219</v>
      </c>
    </row>
    <row r="121" spans="1:84" s="6" customFormat="1" ht="11.25" x14ac:dyDescent="0.2">
      <c r="A121" s="11">
        <v>43207</v>
      </c>
      <c r="B121" s="380">
        <f>'2022'!Maxi_hp</f>
        <v>40.23868442366517</v>
      </c>
      <c r="C121" s="13">
        <f>'2022'!An_max</f>
        <v>2022</v>
      </c>
      <c r="D121" s="1070"/>
      <c r="E121" s="13"/>
      <c r="F121" s="13">
        <f t="shared" si="74"/>
        <v>9</v>
      </c>
      <c r="G121" s="13">
        <f t="shared" si="58"/>
        <v>10</v>
      </c>
      <c r="H121" s="173">
        <f t="shared" si="59"/>
        <v>43206</v>
      </c>
      <c r="I121" s="754">
        <f t="shared" si="60"/>
        <v>7.1428571428571425E-2</v>
      </c>
      <c r="J121" s="747">
        <f t="shared" si="61"/>
        <v>40.585508199727961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P121" s="13">
        <f t="shared" si="62"/>
        <v>5</v>
      </c>
      <c r="AQ121" s="13">
        <f t="shared" si="63"/>
        <v>6</v>
      </c>
      <c r="AR121" s="173">
        <f t="shared" si="64"/>
        <v>43192</v>
      </c>
      <c r="AS121" s="754">
        <f t="shared" si="65"/>
        <v>0.5357142857142857</v>
      </c>
      <c r="AT121" s="770">
        <f t="shared" si="66"/>
        <v>40.68722795876009</v>
      </c>
      <c r="AU121" s="13">
        <f t="shared" si="67"/>
        <v>5</v>
      </c>
      <c r="AV121" s="13">
        <f t="shared" si="68"/>
        <v>6</v>
      </c>
      <c r="AW121" s="173">
        <f t="shared" si="69"/>
        <v>43206</v>
      </c>
      <c r="AX121" s="754">
        <f t="shared" si="70"/>
        <v>3.5714285714285712E-2</v>
      </c>
      <c r="AY121" s="770">
        <f t="shared" si="71"/>
        <v>40.589791771317167</v>
      </c>
      <c r="AZ121" s="747">
        <f t="shared" si="75"/>
        <v>40.638509865038628</v>
      </c>
      <c r="BA121" s="646">
        <f t="shared" si="72"/>
        <v>0.99145449222032611</v>
      </c>
      <c r="BB121" s="641">
        <v>43207</v>
      </c>
      <c r="BC121" s="11">
        <v>43207</v>
      </c>
      <c r="BD121" s="290">
        <f>[3]!FeuilCaduc*(1-Persistant)+Persistant</f>
        <v>0.8223442831464931</v>
      </c>
      <c r="BE121" s="291">
        <f>[3]!CroissVégét</f>
        <v>9.6818050392965163E-2</v>
      </c>
      <c r="BF121" s="822">
        <f>1+[3]!Salcycl*Ksac</f>
        <v>1.0055860707866233</v>
      </c>
      <c r="BH121" s="1101">
        <f t="shared" si="73"/>
        <v>0</v>
      </c>
      <c r="BI121" s="11">
        <v>44303</v>
      </c>
      <c r="BJ121" s="727">
        <v>0</v>
      </c>
      <c r="BK121" s="727">
        <v>0</v>
      </c>
      <c r="BL121" s="727">
        <v>0</v>
      </c>
      <c r="BM121" s="727">
        <v>0</v>
      </c>
      <c r="BN121" s="727">
        <v>0</v>
      </c>
      <c r="BO121" s="728">
        <v>0</v>
      </c>
      <c r="BP121" s="727">
        <v>2.1335924316106779E-5</v>
      </c>
      <c r="BQ121" s="727">
        <v>4.6419372808485164E-4</v>
      </c>
      <c r="BR121" s="727">
        <v>1.9297231261209775E-3</v>
      </c>
      <c r="BS121" s="727">
        <v>9.8012660883589012E-3</v>
      </c>
      <c r="BT121" s="727">
        <v>2.3678636659662092E-2</v>
      </c>
      <c r="BW121" s="1157">
        <f>'2018'!R\Max</f>
        <v>0</v>
      </c>
      <c r="BX121" s="1155">
        <f>'2019'!R\Max</f>
        <v>0.57429494555419325</v>
      </c>
      <c r="BY121" s="1155">
        <f>'2020'!R\Max</f>
        <v>0.72749904744407068</v>
      </c>
      <c r="BZ121" s="1155">
        <f>'2021'!R\Max</f>
        <v>0.89582609969984794</v>
      </c>
      <c r="CA121" s="1155">
        <f>'2022'!R\Max</f>
        <v>0.99145449222032611</v>
      </c>
      <c r="CB121" s="1155">
        <f>'2023'!R\Max</f>
        <v>0.99145449222032611</v>
      </c>
      <c r="CC121" s="1155">
        <f>'2024'!R\Max</f>
        <v>0.99145448895883281</v>
      </c>
      <c r="CD121" s="1155">
        <f>'2025'!R\Max</f>
        <v>0.99145449222032611</v>
      </c>
      <c r="CE121" s="1155">
        <f>'2026'!R\Max</f>
        <v>0.99145449222032611</v>
      </c>
      <c r="CF121" s="1156">
        <f>'2027'!R\Max</f>
        <v>0.99145449222032633</v>
      </c>
    </row>
    <row r="122" spans="1:84" s="6" customFormat="1" ht="11.25" x14ac:dyDescent="0.2">
      <c r="A122" s="11">
        <v>43208</v>
      </c>
      <c r="B122" s="380">
        <f>'2022'!Maxi_hp</f>
        <v>28.819471293246423</v>
      </c>
      <c r="C122" s="13">
        <f>'2022'!An_max</f>
        <v>2022</v>
      </c>
      <c r="D122" s="1070"/>
      <c r="E122" s="13"/>
      <c r="F122" s="13">
        <f t="shared" si="74"/>
        <v>9</v>
      </c>
      <c r="G122" s="13">
        <f t="shared" si="58"/>
        <v>10</v>
      </c>
      <c r="H122" s="173">
        <f t="shared" si="59"/>
        <v>43206</v>
      </c>
      <c r="I122" s="754">
        <f t="shared" si="60"/>
        <v>0.14285714285714285</v>
      </c>
      <c r="J122" s="747">
        <f t="shared" si="61"/>
        <v>40.736104372888803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P122" s="13">
        <f t="shared" si="62"/>
        <v>5</v>
      </c>
      <c r="AQ122" s="13">
        <f t="shared" si="63"/>
        <v>6</v>
      </c>
      <c r="AR122" s="173">
        <f t="shared" si="64"/>
        <v>43192</v>
      </c>
      <c r="AS122" s="754">
        <f t="shared" si="65"/>
        <v>0.5714285714285714</v>
      </c>
      <c r="AT122" s="770">
        <f t="shared" si="66"/>
        <v>40.833718949662781</v>
      </c>
      <c r="AU122" s="13">
        <f t="shared" si="67"/>
        <v>5</v>
      </c>
      <c r="AV122" s="13">
        <f t="shared" si="68"/>
        <v>6</v>
      </c>
      <c r="AW122" s="173">
        <f t="shared" si="69"/>
        <v>43206</v>
      </c>
      <c r="AX122" s="754">
        <f t="shared" si="70"/>
        <v>7.1428571428571425E-2</v>
      </c>
      <c r="AY122" s="770">
        <f t="shared" si="71"/>
        <v>40.742901001977074</v>
      </c>
      <c r="AZ122" s="747">
        <f t="shared" si="75"/>
        <v>40.788309975819928</v>
      </c>
      <c r="BA122" s="646">
        <f t="shared" si="72"/>
        <v>0.70746753370031901</v>
      </c>
      <c r="BB122" s="641">
        <v>43208</v>
      </c>
      <c r="BC122" s="11">
        <v>43208</v>
      </c>
      <c r="BD122" s="290">
        <f>[3]!FeuilCaduc*(1-Persistant)+Persistant</f>
        <v>0.82369248848932741</v>
      </c>
      <c r="BE122" s="291">
        <f>[3]!CroissVégét</f>
        <v>0.10051901103841099</v>
      </c>
      <c r="BF122" s="822">
        <f>1+[3]!Salcycl*Ksac</f>
        <v>1.0059231221223319</v>
      </c>
      <c r="BH122" s="1101">
        <f t="shared" si="73"/>
        <v>0</v>
      </c>
      <c r="BI122" s="11">
        <v>44304</v>
      </c>
      <c r="BJ122" s="727">
        <v>0</v>
      </c>
      <c r="BK122" s="727">
        <v>0</v>
      </c>
      <c r="BL122" s="727">
        <v>0</v>
      </c>
      <c r="BM122" s="727">
        <v>0</v>
      </c>
      <c r="BN122" s="727">
        <v>0</v>
      </c>
      <c r="BO122" s="728">
        <v>0</v>
      </c>
      <c r="BP122" s="727">
        <v>1.9362497379130875E-5</v>
      </c>
      <c r="BQ122" s="727">
        <v>4.5379425932632754E-4</v>
      </c>
      <c r="BR122" s="727">
        <v>1.8321912974650892E-3</v>
      </c>
      <c r="BS122" s="727">
        <v>8.5013178451431339E-3</v>
      </c>
      <c r="BT122" s="727">
        <v>2.006546713517153E-2</v>
      </c>
      <c r="BW122" s="1157">
        <f>'2018'!R\Max</f>
        <v>0</v>
      </c>
      <c r="BX122" s="1155">
        <f>'2019'!R\Max</f>
        <v>0.47289001886671844</v>
      </c>
      <c r="BY122" s="1155">
        <f>'2020'!R\Max</f>
        <v>0.55671839719350691</v>
      </c>
      <c r="BZ122" s="1155">
        <f>'2021'!R\Max</f>
        <v>0.62911541632336199</v>
      </c>
      <c r="CA122" s="1155">
        <f>'2022'!R\Max</f>
        <v>0.70746753370031901</v>
      </c>
      <c r="CB122" s="1155">
        <f>'2023'!R\Max</f>
        <v>0.70746753370031901</v>
      </c>
      <c r="CC122" s="1155">
        <f>'2024'!R\Max</f>
        <v>0.70746746065021537</v>
      </c>
      <c r="CD122" s="1155">
        <f>'2025'!R\Max</f>
        <v>0.70746753370031912</v>
      </c>
      <c r="CE122" s="1155">
        <f>'2026'!R\Max</f>
        <v>0.7074675337003189</v>
      </c>
      <c r="CF122" s="1156">
        <f>'2027'!R\Max</f>
        <v>0.70746753370031912</v>
      </c>
    </row>
    <row r="123" spans="1:84" s="6" customFormat="1" ht="11.25" x14ac:dyDescent="0.2">
      <c r="A123" s="11">
        <v>43209</v>
      </c>
      <c r="B123" s="380">
        <f>'2022'!Maxi_hp</f>
        <v>38.947990013439039</v>
      </c>
      <c r="C123" s="13">
        <f>'2022'!An_max</f>
        <v>2021</v>
      </c>
      <c r="D123" s="1070"/>
      <c r="E123" s="13"/>
      <c r="F123" s="13">
        <f t="shared" si="74"/>
        <v>9</v>
      </c>
      <c r="G123" s="13">
        <f t="shared" si="58"/>
        <v>10</v>
      </c>
      <c r="H123" s="173">
        <f t="shared" si="59"/>
        <v>43206</v>
      </c>
      <c r="I123" s="754">
        <f t="shared" si="60"/>
        <v>0.21428571428571427</v>
      </c>
      <c r="J123" s="747">
        <f t="shared" si="61"/>
        <v>40.884274453323869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P123" s="13">
        <f t="shared" si="62"/>
        <v>5</v>
      </c>
      <c r="AQ123" s="13">
        <f t="shared" si="63"/>
        <v>6</v>
      </c>
      <c r="AR123" s="173">
        <f t="shared" si="64"/>
        <v>43192</v>
      </c>
      <c r="AS123" s="754">
        <f t="shared" si="65"/>
        <v>0.6071428571428571</v>
      </c>
      <c r="AT123" s="770">
        <f t="shared" si="66"/>
        <v>40.976231862072432</v>
      </c>
      <c r="AU123" s="13">
        <f t="shared" si="67"/>
        <v>5</v>
      </c>
      <c r="AV123" s="13">
        <f t="shared" si="68"/>
        <v>6</v>
      </c>
      <c r="AW123" s="173">
        <f t="shared" si="69"/>
        <v>43206</v>
      </c>
      <c r="AX123" s="754">
        <f t="shared" si="70"/>
        <v>0.10714285714285714</v>
      </c>
      <c r="AY123" s="770">
        <f t="shared" si="71"/>
        <v>40.892041073952406</v>
      </c>
      <c r="AZ123" s="747">
        <f t="shared" si="75"/>
        <v>40.934136468012419</v>
      </c>
      <c r="BA123" s="646">
        <f t="shared" si="72"/>
        <v>0.95263987276830808</v>
      </c>
      <c r="BB123" s="641">
        <v>43209</v>
      </c>
      <c r="BC123" s="11">
        <v>43209</v>
      </c>
      <c r="BD123" s="290">
        <f>[3]!FeuilCaduc*(1-Persistant)+Persistant</f>
        <v>0.82509604435245776</v>
      </c>
      <c r="BE123" s="291">
        <f>[3]!CroissVégét</f>
        <v>0.1043431172076847</v>
      </c>
      <c r="BF123" s="822">
        <f>1+[3]!Salcycl*Ksac</f>
        <v>1.0062740110881143</v>
      </c>
      <c r="BH123" s="1101">
        <f t="shared" si="73"/>
        <v>0</v>
      </c>
      <c r="BI123" s="11">
        <v>44305</v>
      </c>
      <c r="BJ123" s="727">
        <v>0</v>
      </c>
      <c r="BK123" s="727">
        <v>0</v>
      </c>
      <c r="BL123" s="727">
        <v>0</v>
      </c>
      <c r="BM123" s="727">
        <v>0</v>
      </c>
      <c r="BN123" s="727">
        <v>0</v>
      </c>
      <c r="BO123" s="728">
        <v>0</v>
      </c>
      <c r="BP123" s="727">
        <v>1.7461553991579594E-5</v>
      </c>
      <c r="BQ123" s="727">
        <v>4.4235694030052758E-4</v>
      </c>
      <c r="BR123" s="727">
        <v>1.744677888280366E-3</v>
      </c>
      <c r="BS123" s="727">
        <v>7.3762613721776744E-3</v>
      </c>
      <c r="BT123" s="727">
        <v>1.6947135113666665E-2</v>
      </c>
      <c r="BW123" s="1157">
        <f>'2018'!R\Max</f>
        <v>0</v>
      </c>
      <c r="BX123" s="1155">
        <f>'2019'!R\Max</f>
        <v>0.87077947086781082</v>
      </c>
      <c r="BY123" s="1155">
        <f>'2020'!R\Max</f>
        <v>0.7546512599069064</v>
      </c>
      <c r="BZ123" s="1155">
        <f>'2021'!R\Max</f>
        <v>0.95263987276830808</v>
      </c>
      <c r="CA123" s="1155">
        <f>'2022'!R\Max</f>
        <v>0.17272654508623633</v>
      </c>
      <c r="CB123" s="1155">
        <f>'2023'!R\Max</f>
        <v>0.17272654508623633</v>
      </c>
      <c r="CC123" s="1155">
        <f>'2024'!R\Max</f>
        <v>0.17272650618414359</v>
      </c>
      <c r="CD123" s="1155">
        <f>'2025'!R\Max</f>
        <v>0.17272654508623636</v>
      </c>
      <c r="CE123" s="1155">
        <f>'2026'!R\Max</f>
        <v>0.1727265450862363</v>
      </c>
      <c r="CF123" s="1156">
        <f>'2027'!R\Max</f>
        <v>0.1727265450862363</v>
      </c>
    </row>
    <row r="124" spans="1:84" s="6" customFormat="1" ht="11.25" x14ac:dyDescent="0.2">
      <c r="A124" s="11">
        <v>43210</v>
      </c>
      <c r="B124" s="380">
        <f>'2022'!Maxi_hp</f>
        <v>34.517360529046911</v>
      </c>
      <c r="C124" s="13">
        <f>'2022'!An_max</f>
        <v>2019</v>
      </c>
      <c r="D124" s="1070"/>
      <c r="E124" s="13"/>
      <c r="F124" s="13">
        <f t="shared" si="74"/>
        <v>9</v>
      </c>
      <c r="G124" s="13">
        <f t="shared" si="58"/>
        <v>10</v>
      </c>
      <c r="H124" s="173">
        <f t="shared" si="59"/>
        <v>43206</v>
      </c>
      <c r="I124" s="754">
        <f t="shared" si="60"/>
        <v>0.2857142857142857</v>
      </c>
      <c r="J124" s="747">
        <f t="shared" si="61"/>
        <v>41.029804373479315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P124" s="13">
        <f t="shared" si="62"/>
        <v>5</v>
      </c>
      <c r="AQ124" s="13">
        <f t="shared" si="63"/>
        <v>6</v>
      </c>
      <c r="AR124" s="173">
        <f t="shared" si="64"/>
        <v>43192</v>
      </c>
      <c r="AS124" s="754">
        <f t="shared" si="65"/>
        <v>0.6428571428571429</v>
      </c>
      <c r="AT124" s="770">
        <f t="shared" si="66"/>
        <v>41.114806833437513</v>
      </c>
      <c r="AU124" s="13">
        <f t="shared" si="67"/>
        <v>5</v>
      </c>
      <c r="AV124" s="13">
        <f t="shared" si="68"/>
        <v>6</v>
      </c>
      <c r="AW124" s="173">
        <f t="shared" si="69"/>
        <v>43206</v>
      </c>
      <c r="AX124" s="754">
        <f t="shared" si="70"/>
        <v>0.14285714285714285</v>
      </c>
      <c r="AY124" s="770">
        <f t="shared" si="71"/>
        <v>41.03722536436149</v>
      </c>
      <c r="AZ124" s="747">
        <f t="shared" si="75"/>
        <v>41.076016098899501</v>
      </c>
      <c r="BA124" s="646">
        <f t="shared" si="72"/>
        <v>0.84127528893016379</v>
      </c>
      <c r="BB124" s="641">
        <v>43210</v>
      </c>
      <c r="BC124" s="11">
        <v>43210</v>
      </c>
      <c r="BD124" s="290">
        <f>[3]!FeuilCaduc*(1-Persistant)+Persistant</f>
        <v>0.8265553999130506</v>
      </c>
      <c r="BE124" s="291">
        <f>[3]!CroissVégét</f>
        <v>0.10829322666502313</v>
      </c>
      <c r="BF124" s="822">
        <f>1+[3]!Salcycl*Ksac</f>
        <v>1.0066388499782626</v>
      </c>
      <c r="BH124" s="1101">
        <f t="shared" si="73"/>
        <v>0</v>
      </c>
      <c r="BI124" s="11">
        <v>44306</v>
      </c>
      <c r="BJ124" s="727">
        <v>0</v>
      </c>
      <c r="BK124" s="727">
        <v>0</v>
      </c>
      <c r="BL124" s="727">
        <v>0</v>
      </c>
      <c r="BM124" s="727">
        <v>0</v>
      </c>
      <c r="BN124" s="727">
        <v>0</v>
      </c>
      <c r="BO124" s="728">
        <v>0</v>
      </c>
      <c r="BP124" s="727">
        <v>1.5633101978525248E-5</v>
      </c>
      <c r="BQ124" s="727">
        <v>4.2988249835202331E-4</v>
      </c>
      <c r="BR124" s="727">
        <v>1.6671793576262897E-3</v>
      </c>
      <c r="BS124" s="727">
        <v>6.4260313640882487E-3</v>
      </c>
      <c r="BT124" s="727">
        <v>1.4323455325321456E-2</v>
      </c>
      <c r="BW124" s="1157">
        <f>'2018'!R\Max</f>
        <v>0</v>
      </c>
      <c r="BX124" s="1155">
        <f>'2019'!R\Max</f>
        <v>0.84127528893016379</v>
      </c>
      <c r="BY124" s="1155">
        <f>'2020'!R\Max</f>
        <v>0.30224439537839276</v>
      </c>
      <c r="BZ124" s="1155">
        <f>'2021'!R\Max</f>
        <v>0.62984110591004105</v>
      </c>
      <c r="CA124" s="1155">
        <f>'2022'!R\Max</f>
        <v>0.17603867347887314</v>
      </c>
      <c r="CB124" s="1155">
        <f>'2023'!R\Max</f>
        <v>0.17603867347887314</v>
      </c>
      <c r="CC124" s="1155">
        <f>'2024'!R\Max</f>
        <v>0.17603863758593205</v>
      </c>
      <c r="CD124" s="1155">
        <f>'2025'!R\Max</f>
        <v>0.17603867347887314</v>
      </c>
      <c r="CE124" s="1155">
        <f>'2026'!R\Max</f>
        <v>0.17603867347887311</v>
      </c>
      <c r="CF124" s="1156">
        <f>'2027'!R\Max</f>
        <v>0.17603867347887311</v>
      </c>
    </row>
    <row r="125" spans="1:84" s="6" customFormat="1" ht="11.25" x14ac:dyDescent="0.2">
      <c r="A125" s="11">
        <v>43211</v>
      </c>
      <c r="B125" s="380">
        <f>'2022'!Maxi_hp</f>
        <v>37.760094952186769</v>
      </c>
      <c r="C125" s="13">
        <f>'2022'!An_max</f>
        <v>2021</v>
      </c>
      <c r="D125" s="1070"/>
      <c r="E125" s="13"/>
      <c r="F125" s="13">
        <f t="shared" si="74"/>
        <v>9</v>
      </c>
      <c r="G125" s="13">
        <f t="shared" si="58"/>
        <v>10</v>
      </c>
      <c r="H125" s="173">
        <f t="shared" si="59"/>
        <v>43206</v>
      </c>
      <c r="I125" s="754">
        <f t="shared" si="60"/>
        <v>0.35714285714285715</v>
      </c>
      <c r="J125" s="747">
        <f t="shared" si="61"/>
        <v>41.172480065481999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P125" s="13">
        <f t="shared" si="62"/>
        <v>5</v>
      </c>
      <c r="AQ125" s="13">
        <f t="shared" si="63"/>
        <v>6</v>
      </c>
      <c r="AR125" s="173">
        <f t="shared" si="64"/>
        <v>43192</v>
      </c>
      <c r="AS125" s="754">
        <f t="shared" si="65"/>
        <v>0.6785714285714286</v>
      </c>
      <c r="AT125" s="770">
        <f t="shared" si="66"/>
        <v>41.24948399921081</v>
      </c>
      <c r="AU125" s="13">
        <f t="shared" si="67"/>
        <v>5</v>
      </c>
      <c r="AV125" s="13">
        <f t="shared" si="68"/>
        <v>6</v>
      </c>
      <c r="AW125" s="173">
        <f t="shared" si="69"/>
        <v>43206</v>
      </c>
      <c r="AX125" s="754">
        <f t="shared" si="70"/>
        <v>0.17857142857142858</v>
      </c>
      <c r="AY125" s="770">
        <f t="shared" si="71"/>
        <v>41.178467254447085</v>
      </c>
      <c r="AZ125" s="747">
        <f t="shared" si="75"/>
        <v>41.213975626828947</v>
      </c>
      <c r="BA125" s="646">
        <f t="shared" si="72"/>
        <v>0.91711975795803247</v>
      </c>
      <c r="BB125" s="641">
        <v>43211</v>
      </c>
      <c r="BC125" s="11">
        <v>43211</v>
      </c>
      <c r="BD125" s="290">
        <f>[3]!FeuilCaduc*(1-Persistant)+Persistant</f>
        <v>0.8280709242860641</v>
      </c>
      <c r="BE125" s="291">
        <f>[3]!CroissVégét</f>
        <v>0.11237216879596926</v>
      </c>
      <c r="BF125" s="822">
        <f>1+[3]!Salcycl*Ksac</f>
        <v>1.007017731071516</v>
      </c>
      <c r="BH125" s="1101">
        <f t="shared" si="73"/>
        <v>0</v>
      </c>
      <c r="BI125" s="11">
        <v>44307</v>
      </c>
      <c r="BJ125" s="727">
        <v>0</v>
      </c>
      <c r="BK125" s="727">
        <v>0</v>
      </c>
      <c r="BL125" s="727">
        <v>0</v>
      </c>
      <c r="BM125" s="727">
        <v>0</v>
      </c>
      <c r="BN125" s="727">
        <v>0</v>
      </c>
      <c r="BO125" s="728">
        <v>0</v>
      </c>
      <c r="BP125" s="727">
        <v>1.3877187033495844E-5</v>
      </c>
      <c r="BQ125" s="727">
        <v>4.1637292024271339E-4</v>
      </c>
      <c r="BR125" s="727">
        <v>1.5996962639289126E-3</v>
      </c>
      <c r="BS125" s="727">
        <v>5.6505701294050662E-3</v>
      </c>
      <c r="BT125" s="727">
        <v>1.219425315752895E-2</v>
      </c>
      <c r="BW125" s="1157">
        <f>'2018'!R\Max</f>
        <v>0</v>
      </c>
      <c r="BX125" s="1155">
        <f>'2019'!R\Max</f>
        <v>0.3199832212014998</v>
      </c>
      <c r="BY125" s="1155">
        <f>'2020'!R\Max</f>
        <v>0.24934260268607303</v>
      </c>
      <c r="BZ125" s="1155">
        <f>'2021'!R\Max</f>
        <v>0.91711975795803247</v>
      </c>
      <c r="CA125" s="1155">
        <f>'2022'!R\Max</f>
        <v>0.18743068287766884</v>
      </c>
      <c r="CB125" s="1155">
        <f>'2023'!R\Max</f>
        <v>0.18743068287766884</v>
      </c>
      <c r="CC125" s="1155">
        <f>'2024'!R\Max</f>
        <v>0.18743064856185815</v>
      </c>
      <c r="CD125" s="1155">
        <f>'2025'!R\Max</f>
        <v>0.18743068287766884</v>
      </c>
      <c r="CE125" s="1155">
        <f>'2026'!R\Max</f>
        <v>0.18743068287766881</v>
      </c>
      <c r="CF125" s="1156">
        <f>'2027'!R\Max</f>
        <v>0.18743068287766884</v>
      </c>
    </row>
    <row r="126" spans="1:84" s="6" customFormat="1" ht="11.25" x14ac:dyDescent="0.2">
      <c r="A126" s="11">
        <v>43212</v>
      </c>
      <c r="B126" s="380">
        <f>'2022'!Maxi_hp</f>
        <v>41.180654227850937</v>
      </c>
      <c r="C126" s="13">
        <f>'2022'!An_max</f>
        <v>2021</v>
      </c>
      <c r="D126" s="1070"/>
      <c r="E126" s="13"/>
      <c r="F126" s="13">
        <f t="shared" si="74"/>
        <v>9</v>
      </c>
      <c r="G126" s="13">
        <f t="shared" si="58"/>
        <v>10</v>
      </c>
      <c r="H126" s="173">
        <f t="shared" si="59"/>
        <v>43206</v>
      </c>
      <c r="I126" s="754">
        <f t="shared" si="60"/>
        <v>0.42857142857142855</v>
      </c>
      <c r="J126" s="747">
        <f t="shared" si="61"/>
        <v>41.312087463587524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P126" s="13">
        <f t="shared" si="62"/>
        <v>5</v>
      </c>
      <c r="AQ126" s="13">
        <f t="shared" si="63"/>
        <v>6</v>
      </c>
      <c r="AR126" s="173">
        <f t="shared" si="64"/>
        <v>43192</v>
      </c>
      <c r="AS126" s="754">
        <f t="shared" si="65"/>
        <v>0.7142857142857143</v>
      </c>
      <c r="AT126" s="770">
        <f t="shared" si="66"/>
        <v>41.380303498144663</v>
      </c>
      <c r="AU126" s="13">
        <f t="shared" si="67"/>
        <v>5</v>
      </c>
      <c r="AV126" s="13">
        <f t="shared" si="68"/>
        <v>6</v>
      </c>
      <c r="AW126" s="173">
        <f t="shared" si="69"/>
        <v>43206</v>
      </c>
      <c r="AX126" s="754">
        <f t="shared" si="70"/>
        <v>0.21428571428571427</v>
      </c>
      <c r="AY126" s="770">
        <f t="shared" si="71"/>
        <v>41.315780120502623</v>
      </c>
      <c r="AZ126" s="747">
        <f t="shared" si="75"/>
        <v>41.348041809323647</v>
      </c>
      <c r="BA126" s="646">
        <f t="shared" si="72"/>
        <v>0.99681852833380946</v>
      </c>
      <c r="BB126" s="641">
        <v>43212</v>
      </c>
      <c r="BC126" s="11">
        <v>43212</v>
      </c>
      <c r="BD126" s="290">
        <f>[3]!FeuilCaduc*(1-Persistant)+Persistant</f>
        <v>0.82964290321858791</v>
      </c>
      <c r="BE126" s="291">
        <f>[3]!CroissVégét</f>
        <v>0.11658273588973417</v>
      </c>
      <c r="BF126" s="822">
        <f>1+[3]!Salcycl*Ksac</f>
        <v>1.007410725804647</v>
      </c>
      <c r="BH126" s="1101">
        <f t="shared" si="73"/>
        <v>0</v>
      </c>
      <c r="BI126" s="11">
        <v>44308</v>
      </c>
      <c r="BJ126" s="727">
        <v>0</v>
      </c>
      <c r="BK126" s="727">
        <v>0</v>
      </c>
      <c r="BL126" s="727">
        <v>0</v>
      </c>
      <c r="BM126" s="727">
        <v>0</v>
      </c>
      <c r="BN126" s="727">
        <v>0</v>
      </c>
      <c r="BO126" s="728">
        <v>0</v>
      </c>
      <c r="BP126" s="727">
        <v>1.2193834651279923E-5</v>
      </c>
      <c r="BQ126" s="727">
        <v>4.0183013242722738E-4</v>
      </c>
      <c r="BR126" s="727">
        <v>1.5422281314173313E-3</v>
      </c>
      <c r="BS126" s="727">
        <v>5.0498044506648958E-3</v>
      </c>
      <c r="BT126" s="727">
        <v>1.0559310461696536E-2</v>
      </c>
      <c r="BW126" s="1157">
        <f>'2018'!R\Max</f>
        <v>0</v>
      </c>
      <c r="BX126" s="1155">
        <f>'2019'!R\Max</f>
        <v>0.5667594816556738</v>
      </c>
      <c r="BY126" s="1155">
        <f>'2020'!R\Max</f>
        <v>0.28867359323089514</v>
      </c>
      <c r="BZ126" s="1155">
        <f>'2021'!R\Max</f>
        <v>0.99681852833380946</v>
      </c>
      <c r="CA126" s="1155">
        <f>'2022'!R\Max</f>
        <v>0.49256676467485072</v>
      </c>
      <c r="CB126" s="1155">
        <f>'2023'!R\Max</f>
        <v>0.49256676467485083</v>
      </c>
      <c r="CC126" s="1155">
        <f>'2024'!R\Max</f>
        <v>0.49256670654397322</v>
      </c>
      <c r="CD126" s="1155">
        <f>'2025'!R\Max</f>
        <v>0.49256676467485083</v>
      </c>
      <c r="CE126" s="1155">
        <f>'2026'!R\Max</f>
        <v>0.49256676467485072</v>
      </c>
      <c r="CF126" s="1156">
        <f>'2027'!R\Max</f>
        <v>0.49256676467485072</v>
      </c>
    </row>
    <row r="127" spans="1:84" s="6" customFormat="1" ht="11.25" x14ac:dyDescent="0.2">
      <c r="A127" s="11">
        <v>43213</v>
      </c>
      <c r="B127" s="380">
        <f>'2022'!Maxi_hp</f>
        <v>41.263564610244281</v>
      </c>
      <c r="C127" s="13">
        <f>'2022'!An_max</f>
        <v>2021</v>
      </c>
      <c r="D127" s="1070"/>
      <c r="E127" s="13"/>
      <c r="F127" s="13">
        <f t="shared" si="74"/>
        <v>9</v>
      </c>
      <c r="G127" s="13">
        <f t="shared" si="58"/>
        <v>10</v>
      </c>
      <c r="H127" s="173">
        <f t="shared" si="59"/>
        <v>43206</v>
      </c>
      <c r="I127" s="754">
        <f t="shared" si="60"/>
        <v>0.5</v>
      </c>
      <c r="J127" s="747">
        <f t="shared" si="61"/>
        <v>41.448412500508127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P127" s="13">
        <f t="shared" si="62"/>
        <v>5</v>
      </c>
      <c r="AQ127" s="13">
        <f t="shared" si="63"/>
        <v>6</v>
      </c>
      <c r="AR127" s="173">
        <f t="shared" si="64"/>
        <v>43192</v>
      </c>
      <c r="AS127" s="754">
        <f t="shared" si="65"/>
        <v>0.75</v>
      </c>
      <c r="AT127" s="770">
        <f t="shared" si="66"/>
        <v>41.507305468246344</v>
      </c>
      <c r="AU127" s="13">
        <f t="shared" si="67"/>
        <v>5</v>
      </c>
      <c r="AV127" s="13">
        <f t="shared" si="68"/>
        <v>6</v>
      </c>
      <c r="AW127" s="173">
        <f t="shared" si="69"/>
        <v>43206</v>
      </c>
      <c r="AX127" s="754">
        <f t="shared" si="70"/>
        <v>0.25</v>
      </c>
      <c r="AY127" s="770">
        <f t="shared" si="71"/>
        <v>41.449177343957125</v>
      </c>
      <c r="AZ127" s="747">
        <f t="shared" si="75"/>
        <v>41.478241406101731</v>
      </c>
      <c r="BA127" s="646">
        <f t="shared" si="72"/>
        <v>0.9955402902279652</v>
      </c>
      <c r="BB127" s="641">
        <v>43213</v>
      </c>
      <c r="BC127" s="11">
        <v>43213</v>
      </c>
      <c r="BD127" s="290">
        <f>[3]!FeuilCaduc*(1-Persistant)+Persistant</f>
        <v>0.83127153568523371</v>
      </c>
      <c r="BE127" s="291">
        <f>[3]!CroissVégét</f>
        <v>0.12092767389780094</v>
      </c>
      <c r="BF127" s="822">
        <f>1+[3]!Salcycl*Ksac</f>
        <v>1.0078178839213083</v>
      </c>
      <c r="BH127" s="1101">
        <f t="shared" si="73"/>
        <v>0</v>
      </c>
      <c r="BI127" s="11">
        <v>44309</v>
      </c>
      <c r="BJ127" s="727">
        <v>0</v>
      </c>
      <c r="BK127" s="727">
        <v>0</v>
      </c>
      <c r="BL127" s="727">
        <v>0</v>
      </c>
      <c r="BM127" s="727">
        <v>0</v>
      </c>
      <c r="BN127" s="727">
        <v>0</v>
      </c>
      <c r="BO127" s="728">
        <v>0</v>
      </c>
      <c r="BP127" s="727">
        <v>1.0583020878394716E-5</v>
      </c>
      <c r="BQ127" s="727">
        <v>3.8625485578259143E-4</v>
      </c>
      <c r="BR127" s="727">
        <v>1.4947693764260476E-3</v>
      </c>
      <c r="BS127" s="727">
        <v>4.6236365143107749E-3</v>
      </c>
      <c r="BT127" s="727">
        <v>9.4183504762893663E-3</v>
      </c>
      <c r="BW127" s="1157">
        <f>'2018'!R\Max</f>
        <v>0</v>
      </c>
      <c r="BX127" s="1155">
        <f>'2019'!R\Max</f>
        <v>0.6314894241421839</v>
      </c>
      <c r="BY127" s="1155">
        <f>'2020'!R\Max</f>
        <v>0.15827435697501196</v>
      </c>
      <c r="BZ127" s="1155">
        <f>'2021'!R\Max</f>
        <v>0.9955402902279652</v>
      </c>
      <c r="CA127" s="1155">
        <f>'2022'!R\Max</f>
        <v>0.15320939168221789</v>
      </c>
      <c r="CB127" s="1155">
        <f>'2023'!R\Max</f>
        <v>0.15320939168221792</v>
      </c>
      <c r="CC127" s="1155">
        <f>'2024'!R\Max</f>
        <v>0.15320936976645916</v>
      </c>
      <c r="CD127" s="1155">
        <f>'2025'!R\Max</f>
        <v>0.15320939168221792</v>
      </c>
      <c r="CE127" s="1155">
        <f>'2026'!R\Max</f>
        <v>0.15320939168221789</v>
      </c>
      <c r="CF127" s="1156">
        <f>'2027'!R\Max</f>
        <v>0.15320939168221789</v>
      </c>
    </row>
    <row r="128" spans="1:84" s="6" customFormat="1" ht="11.25" x14ac:dyDescent="0.2">
      <c r="A128" s="11">
        <v>43214</v>
      </c>
      <c r="B128" s="380">
        <f>'2022'!Maxi_hp</f>
        <v>38.769139149526289</v>
      </c>
      <c r="C128" s="13">
        <f>'2022'!An_max</f>
        <v>2021</v>
      </c>
      <c r="D128" s="1070"/>
      <c r="E128" s="13"/>
      <c r="F128" s="13">
        <f t="shared" si="74"/>
        <v>9</v>
      </c>
      <c r="G128" s="13">
        <f t="shared" si="58"/>
        <v>10</v>
      </c>
      <c r="H128" s="173">
        <f t="shared" si="59"/>
        <v>43206</v>
      </c>
      <c r="I128" s="754">
        <f t="shared" si="60"/>
        <v>0.5714285714285714</v>
      </c>
      <c r="J128" s="747">
        <f t="shared" si="61"/>
        <v>41.581241107998153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P128" s="13">
        <f t="shared" si="62"/>
        <v>5</v>
      </c>
      <c r="AQ128" s="13">
        <f t="shared" si="63"/>
        <v>6</v>
      </c>
      <c r="AR128" s="173">
        <f t="shared" si="64"/>
        <v>43192</v>
      </c>
      <c r="AS128" s="754">
        <f t="shared" si="65"/>
        <v>0.7857142857142857</v>
      </c>
      <c r="AT128" s="770">
        <f t="shared" si="66"/>
        <v>41.630530046618404</v>
      </c>
      <c r="AU128" s="13">
        <f t="shared" si="67"/>
        <v>5</v>
      </c>
      <c r="AV128" s="13">
        <f t="shared" si="68"/>
        <v>6</v>
      </c>
      <c r="AW128" s="173">
        <f t="shared" si="69"/>
        <v>43206</v>
      </c>
      <c r="AX128" s="754">
        <f t="shared" si="70"/>
        <v>0.2857142857142857</v>
      </c>
      <c r="AY128" s="770">
        <f t="shared" si="71"/>
        <v>41.578672303897989</v>
      </c>
      <c r="AZ128" s="747">
        <f t="shared" si="75"/>
        <v>41.604601175258196</v>
      </c>
      <c r="BA128" s="646">
        <f t="shared" si="72"/>
        <v>0.93237089890684011</v>
      </c>
      <c r="BB128" s="641">
        <v>43214</v>
      </c>
      <c r="BC128" s="11">
        <v>43214</v>
      </c>
      <c r="BD128" s="290">
        <f>[3]!FeuilCaduc*(1-Persistant)+Persistant</f>
        <v>0.83295693039693186</v>
      </c>
      <c r="BE128" s="291">
        <f>[3]!CroissVégét</f>
        <v>0.12540967267096395</v>
      </c>
      <c r="BF128" s="822">
        <f>1+[3]!Salcycl*Ksac</f>
        <v>1.0082392325992329</v>
      </c>
      <c r="BH128" s="1101">
        <f t="shared" si="73"/>
        <v>0</v>
      </c>
      <c r="BI128" s="11">
        <v>44310</v>
      </c>
      <c r="BJ128" s="727">
        <v>0</v>
      </c>
      <c r="BK128" s="727">
        <v>0</v>
      </c>
      <c r="BL128" s="727">
        <v>0</v>
      </c>
      <c r="BM128" s="727">
        <v>0</v>
      </c>
      <c r="BN128" s="727">
        <v>0</v>
      </c>
      <c r="BO128" s="728">
        <v>0</v>
      </c>
      <c r="BP128" s="727">
        <v>9.1317431221905948E-6</v>
      </c>
      <c r="BQ128" s="727">
        <v>3.7022118259878424E-4</v>
      </c>
      <c r="BR128" s="727">
        <v>1.4573173264377875E-3</v>
      </c>
      <c r="BS128" s="727">
        <v>4.3703671440333009E-3</v>
      </c>
      <c r="BT128" s="727">
        <v>8.7665446821531112E-3</v>
      </c>
      <c r="BW128" s="1157">
        <f>'2018'!R\Max</f>
        <v>0</v>
      </c>
      <c r="BX128" s="1155">
        <f>'2019'!R\Max</f>
        <v>0.86556237419500648</v>
      </c>
      <c r="BY128" s="1155">
        <f>'2020'!R\Max</f>
        <v>0.27067134063433218</v>
      </c>
      <c r="BZ128" s="1155">
        <f>'2021'!R\Max</f>
        <v>0.93237089890684011</v>
      </c>
      <c r="CA128" s="1155">
        <f>'2022'!R\Max</f>
        <v>0.60040698093413469</v>
      </c>
      <c r="CB128" s="1155">
        <f>'2023'!R\Max</f>
        <v>0.60040698093413492</v>
      </c>
      <c r="CC128" s="1155">
        <f>'2024'!R\Max</f>
        <v>0.600406938089727</v>
      </c>
      <c r="CD128" s="1155">
        <f>'2025'!R\Max</f>
        <v>0.60040698093413492</v>
      </c>
      <c r="CE128" s="1155">
        <f>'2026'!R\Max</f>
        <v>0.6004069809341348</v>
      </c>
      <c r="CF128" s="1156">
        <f>'2027'!R\Max</f>
        <v>0.60040698093413458</v>
      </c>
    </row>
    <row r="129" spans="1:84" s="6" customFormat="1" ht="11.25" x14ac:dyDescent="0.2">
      <c r="A129" s="11">
        <v>43215</v>
      </c>
      <c r="B129" s="380">
        <f>'2022'!Maxi_hp</f>
        <v>37.502516618915408</v>
      </c>
      <c r="C129" s="13">
        <f>'2022'!An_max</f>
        <v>2020</v>
      </c>
      <c r="D129" s="1070"/>
      <c r="E129" s="13"/>
      <c r="F129" s="13">
        <f t="shared" si="74"/>
        <v>9</v>
      </c>
      <c r="G129" s="13">
        <f t="shared" si="58"/>
        <v>10</v>
      </c>
      <c r="H129" s="173">
        <f t="shared" si="59"/>
        <v>43206</v>
      </c>
      <c r="I129" s="754">
        <f t="shared" si="60"/>
        <v>0.6428571428571429</v>
      </c>
      <c r="J129" s="747">
        <f t="shared" si="61"/>
        <v>41.710359220313173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P129" s="13">
        <f t="shared" si="62"/>
        <v>5</v>
      </c>
      <c r="AQ129" s="13">
        <f t="shared" si="63"/>
        <v>6</v>
      </c>
      <c r="AR129" s="173">
        <f t="shared" si="64"/>
        <v>43192</v>
      </c>
      <c r="AS129" s="754">
        <f t="shared" si="65"/>
        <v>0.8214285714285714</v>
      </c>
      <c r="AT129" s="770">
        <f t="shared" si="66"/>
        <v>41.750017371454405</v>
      </c>
      <c r="AU129" s="13">
        <f t="shared" si="67"/>
        <v>5</v>
      </c>
      <c r="AV129" s="13">
        <f t="shared" si="68"/>
        <v>6</v>
      </c>
      <c r="AW129" s="173">
        <f t="shared" si="69"/>
        <v>43206</v>
      </c>
      <c r="AX129" s="754">
        <f t="shared" si="70"/>
        <v>0.32142857142857145</v>
      </c>
      <c r="AY129" s="770">
        <f t="shared" si="71"/>
        <v>41.704278377816088</v>
      </c>
      <c r="AZ129" s="747">
        <f t="shared" si="75"/>
        <v>41.72714787463525</v>
      </c>
      <c r="BA129" s="646">
        <f t="shared" si="72"/>
        <v>0.89911756503529405</v>
      </c>
      <c r="BB129" s="641">
        <v>43215</v>
      </c>
      <c r="BC129" s="11">
        <v>43215</v>
      </c>
      <c r="BD129" s="290">
        <f>[3]!FeuilCaduc*(1-Persistant)+Persistant</f>
        <v>0.83469910223959143</v>
      </c>
      <c r="BE129" s="291">
        <f>[3]!CroissVégét</f>
        <v>0.13003135568089563</v>
      </c>
      <c r="BF129" s="822">
        <f>1+[3]!Salcycl*Ksac</f>
        <v>1.0086747755598979</v>
      </c>
      <c r="BH129" s="1101">
        <f t="shared" si="73"/>
        <v>0</v>
      </c>
      <c r="BI129" s="11">
        <v>44311</v>
      </c>
      <c r="BJ129" s="727">
        <v>0</v>
      </c>
      <c r="BK129" s="727">
        <v>0</v>
      </c>
      <c r="BL129" s="727">
        <v>0</v>
      </c>
      <c r="BM129" s="727">
        <v>0</v>
      </c>
      <c r="BN129" s="727">
        <v>0</v>
      </c>
      <c r="BO129" s="728">
        <v>0</v>
      </c>
      <c r="BP129" s="727">
        <v>7.7920538414884264E-6</v>
      </c>
      <c r="BQ129" s="727">
        <v>3.5375700619984989E-4</v>
      </c>
      <c r="BR129" s="727">
        <v>1.4182592272234231E-3</v>
      </c>
      <c r="BS129" s="727">
        <v>4.1365965667953149E-3</v>
      </c>
      <c r="BT129" s="727">
        <v>8.1783881802401388E-3</v>
      </c>
      <c r="BW129" s="1157">
        <f>'2018'!R\Max</f>
        <v>0</v>
      </c>
      <c r="BX129" s="1155">
        <f>'2019'!R\Max</f>
        <v>0.59357197035701648</v>
      </c>
      <c r="BY129" s="1155">
        <f>'2020'!R\Max</f>
        <v>0.89911756503529405</v>
      </c>
      <c r="BZ129" s="1155">
        <f>'2021'!R\Max</f>
        <v>0.47308418965679538</v>
      </c>
      <c r="CA129" s="1155">
        <f>'2022'!R\Max</f>
        <v>0.82976586975157329</v>
      </c>
      <c r="CB129" s="1155">
        <f>'2023'!R\Max</f>
        <v>0.82976586975157329</v>
      </c>
      <c r="CC129" s="1155">
        <f>'2024'!R\Max</f>
        <v>0.82976584794353236</v>
      </c>
      <c r="CD129" s="1155">
        <f>'2025'!R\Max</f>
        <v>0.82976586975157351</v>
      </c>
      <c r="CE129" s="1155">
        <f>'2026'!R\Max</f>
        <v>0.82976586975157329</v>
      </c>
      <c r="CF129" s="1156">
        <f>'2027'!R\Max</f>
        <v>0.82976586975157329</v>
      </c>
    </row>
    <row r="130" spans="1:84" s="6" customFormat="1" ht="11.25" x14ac:dyDescent="0.2">
      <c r="A130" s="11">
        <v>43216</v>
      </c>
      <c r="B130" s="380">
        <f>'2022'!Maxi_hp</f>
        <v>39.97943878783088</v>
      </c>
      <c r="C130" s="13">
        <f>'2022'!An_max</f>
        <v>2022</v>
      </c>
      <c r="D130" s="1070"/>
      <c r="E130" s="13"/>
      <c r="F130" s="13">
        <f t="shared" si="74"/>
        <v>9</v>
      </c>
      <c r="G130" s="13">
        <f t="shared" si="58"/>
        <v>10</v>
      </c>
      <c r="H130" s="173">
        <f t="shared" si="59"/>
        <v>43206</v>
      </c>
      <c r="I130" s="754">
        <f t="shared" si="60"/>
        <v>0.7142857142857143</v>
      </c>
      <c r="J130" s="747">
        <f t="shared" si="61"/>
        <v>41.835552770005805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P130" s="13">
        <f t="shared" si="62"/>
        <v>5</v>
      </c>
      <c r="AQ130" s="13">
        <f t="shared" si="63"/>
        <v>6</v>
      </c>
      <c r="AR130" s="173">
        <f t="shared" si="64"/>
        <v>43192</v>
      </c>
      <c r="AS130" s="754">
        <f t="shared" si="65"/>
        <v>0.8571428571428571</v>
      </c>
      <c r="AT130" s="770">
        <f t="shared" si="66"/>
        <v>41.865807579032015</v>
      </c>
      <c r="AU130" s="13">
        <f t="shared" si="67"/>
        <v>5</v>
      </c>
      <c r="AV130" s="13">
        <f t="shared" si="68"/>
        <v>6</v>
      </c>
      <c r="AW130" s="173">
        <f t="shared" si="69"/>
        <v>43206</v>
      </c>
      <c r="AX130" s="754">
        <f t="shared" si="70"/>
        <v>0.35714285714285715</v>
      </c>
      <c r="AY130" s="770">
        <f t="shared" si="71"/>
        <v>41.826008947246841</v>
      </c>
      <c r="AZ130" s="747">
        <f t="shared" si="75"/>
        <v>41.845908263139428</v>
      </c>
      <c r="BA130" s="646">
        <f t="shared" si="72"/>
        <v>0.95563309531538743</v>
      </c>
      <c r="BB130" s="641">
        <v>43216</v>
      </c>
      <c r="BC130" s="11">
        <v>43216</v>
      </c>
      <c r="BD130" s="290">
        <f>[3]!FeuilCaduc*(1-Persistant)+Persistant</f>
        <v>0.83649796866314208</v>
      </c>
      <c r="BE130" s="291">
        <f>[3]!CroissVégét</f>
        <v>0.13479526923661356</v>
      </c>
      <c r="BF130" s="822">
        <f>1+[3]!Salcycl*Ksac</f>
        <v>1.0091244921657856</v>
      </c>
      <c r="BH130" s="1101">
        <f t="shared" si="73"/>
        <v>0</v>
      </c>
      <c r="BI130" s="11">
        <v>44312</v>
      </c>
      <c r="BJ130" s="727">
        <v>0</v>
      </c>
      <c r="BK130" s="727">
        <v>0</v>
      </c>
      <c r="BL130" s="727">
        <v>0</v>
      </c>
      <c r="BM130" s="727">
        <v>0</v>
      </c>
      <c r="BN130" s="727">
        <v>0</v>
      </c>
      <c r="BO130" s="728">
        <v>0</v>
      </c>
      <c r="BP130" s="727">
        <v>6.5639000905700041E-6</v>
      </c>
      <c r="BQ130" s="727">
        <v>3.3686277359422167E-4</v>
      </c>
      <c r="BR130" s="727">
        <v>1.3775963839682355E-3</v>
      </c>
      <c r="BS130" s="727">
        <v>3.9223149013789286E-3</v>
      </c>
      <c r="BT130" s="727">
        <v>7.6538472525037905E-3</v>
      </c>
      <c r="BW130" s="1157">
        <f>'2018'!R\Max</f>
        <v>0</v>
      </c>
      <c r="BX130" s="1155">
        <f>'2019'!R\Max</f>
        <v>0.57205337296205316</v>
      </c>
      <c r="BY130" s="1155">
        <f>'2020'!R\Max</f>
        <v>0.79265612239710248</v>
      </c>
      <c r="BZ130" s="1155">
        <f>'2021'!R\Max</f>
        <v>0.10149273258603235</v>
      </c>
      <c r="CA130" s="1155">
        <f>'2022'!R\Max</f>
        <v>0.95563309531538743</v>
      </c>
      <c r="CB130" s="1155">
        <f>'2023'!R\Max</f>
        <v>0.95563309531538732</v>
      </c>
      <c r="CC130" s="1155">
        <f>'2024'!R\Max</f>
        <v>0.95563308972641114</v>
      </c>
      <c r="CD130" s="1155">
        <f>'2025'!R\Max</f>
        <v>0.95563309531538743</v>
      </c>
      <c r="CE130" s="1155">
        <f>'2026'!R\Max</f>
        <v>0.95563309531538743</v>
      </c>
      <c r="CF130" s="1156">
        <f>'2027'!R\Max</f>
        <v>0.95563309531538709</v>
      </c>
    </row>
    <row r="131" spans="1:84" s="6" customFormat="1" ht="11.25" x14ac:dyDescent="0.2">
      <c r="A131" s="11">
        <v>43217</v>
      </c>
      <c r="B131" s="380">
        <f>'2022'!Maxi_hp</f>
        <v>29.008527228448123</v>
      </c>
      <c r="C131" s="13">
        <f>'2022'!An_max</f>
        <v>2022</v>
      </c>
      <c r="D131" s="1070"/>
      <c r="E131" s="13"/>
      <c r="F131" s="13">
        <f t="shared" si="74"/>
        <v>9</v>
      </c>
      <c r="G131" s="13">
        <f t="shared" si="58"/>
        <v>10</v>
      </c>
      <c r="H131" s="173">
        <f t="shared" si="59"/>
        <v>43206</v>
      </c>
      <c r="I131" s="754">
        <f t="shared" si="60"/>
        <v>0.7857142857142857</v>
      </c>
      <c r="J131" s="747">
        <f t="shared" si="61"/>
        <v>41.956607690187433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P131" s="13">
        <f t="shared" si="62"/>
        <v>5</v>
      </c>
      <c r="AQ131" s="13">
        <f t="shared" si="63"/>
        <v>6</v>
      </c>
      <c r="AR131" s="173">
        <f t="shared" si="64"/>
        <v>43192</v>
      </c>
      <c r="AS131" s="754">
        <f t="shared" si="65"/>
        <v>0.8928571428571429</v>
      </c>
      <c r="AT131" s="770">
        <f t="shared" si="66"/>
        <v>41.977940809167919</v>
      </c>
      <c r="AU131" s="13">
        <f t="shared" si="67"/>
        <v>5</v>
      </c>
      <c r="AV131" s="13">
        <f t="shared" si="68"/>
        <v>6</v>
      </c>
      <c r="AW131" s="173">
        <f t="shared" si="69"/>
        <v>43206</v>
      </c>
      <c r="AX131" s="754">
        <f t="shared" si="70"/>
        <v>0.39285714285714285</v>
      </c>
      <c r="AY131" s="770">
        <f t="shared" si="71"/>
        <v>41.943877389654517</v>
      </c>
      <c r="AZ131" s="747">
        <f t="shared" si="75"/>
        <v>41.960909099411218</v>
      </c>
      <c r="BA131" s="646">
        <f t="shared" si="72"/>
        <v>0.69139353311522533</v>
      </c>
      <c r="BB131" s="641">
        <v>43217</v>
      </c>
      <c r="BC131" s="11">
        <v>43217</v>
      </c>
      <c r="BD131" s="290">
        <f>[3]!FeuilCaduc*(1-Persistant)+Persistant</f>
        <v>0.83835334604543776</v>
      </c>
      <c r="BE131" s="291">
        <f>[3]!CroissVégét</f>
        <v>0.13970387121088346</v>
      </c>
      <c r="BF131" s="822">
        <f>1+[3]!Salcycl*Ksac</f>
        <v>1.0095883365113594</v>
      </c>
      <c r="BH131" s="1101">
        <f t="shared" si="73"/>
        <v>0</v>
      </c>
      <c r="BI131" s="11">
        <v>44313</v>
      </c>
      <c r="BJ131" s="727">
        <v>0</v>
      </c>
      <c r="BK131" s="727">
        <v>0</v>
      </c>
      <c r="BL131" s="727">
        <v>0</v>
      </c>
      <c r="BM131" s="727">
        <v>0</v>
      </c>
      <c r="BN131" s="727">
        <v>0</v>
      </c>
      <c r="BO131" s="728">
        <v>0</v>
      </c>
      <c r="BP131" s="727">
        <v>5.4472266286272708E-6</v>
      </c>
      <c r="BQ131" s="727">
        <v>3.1953895971235312E-4</v>
      </c>
      <c r="BR131" s="727">
        <v>1.3353301861400149E-3</v>
      </c>
      <c r="BS131" s="727">
        <v>3.727511864272792E-3</v>
      </c>
      <c r="BT131" s="727">
        <v>7.1928867142842115E-3</v>
      </c>
      <c r="BW131" s="1157">
        <f>'2018'!R\Max</f>
        <v>0</v>
      </c>
      <c r="BX131" s="1155">
        <f>'2019'!R\Max</f>
        <v>0.5302842633554421</v>
      </c>
      <c r="BY131" s="1155">
        <f>'2020'!R\Max</f>
        <v>0.433142376128755</v>
      </c>
      <c r="BZ131" s="1155">
        <f>'2021'!R\Max</f>
        <v>0.34500979746048338</v>
      </c>
      <c r="CA131" s="1155">
        <f>'2022'!R\Max</f>
        <v>0.69139353311522533</v>
      </c>
      <c r="CB131" s="1155">
        <f>'2023'!R\Max</f>
        <v>0.69139353311522533</v>
      </c>
      <c r="CC131" s="1155">
        <f>'2024'!R\Max</f>
        <v>0.6913935094476219</v>
      </c>
      <c r="CD131" s="1155">
        <f>'2025'!R\Max</f>
        <v>0.69139353311522522</v>
      </c>
      <c r="CE131" s="1155">
        <f>'2026'!R\Max</f>
        <v>0.69139353311522522</v>
      </c>
      <c r="CF131" s="1156">
        <f>'2027'!R\Max</f>
        <v>0.69139353311522544</v>
      </c>
    </row>
    <row r="132" spans="1:84" s="6" customFormat="1" ht="11.25" x14ac:dyDescent="0.2">
      <c r="A132" s="11">
        <v>43218</v>
      </c>
      <c r="B132" s="380">
        <f>'2022'!Maxi_hp</f>
        <v>31.162451823892468</v>
      </c>
      <c r="C132" s="13">
        <f>'2022'!An_max</f>
        <v>2019</v>
      </c>
      <c r="D132" s="1070"/>
      <c r="E132" s="13"/>
      <c r="F132" s="13">
        <f t="shared" si="74"/>
        <v>9</v>
      </c>
      <c r="G132" s="13">
        <f t="shared" si="58"/>
        <v>10</v>
      </c>
      <c r="H132" s="173">
        <f t="shared" si="59"/>
        <v>43206</v>
      </c>
      <c r="I132" s="754">
        <f t="shared" si="60"/>
        <v>0.8571428571428571</v>
      </c>
      <c r="J132" s="747">
        <f t="shared" si="61"/>
        <v>42.073309912851883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P132" s="13">
        <f t="shared" si="62"/>
        <v>5</v>
      </c>
      <c r="AQ132" s="13">
        <f t="shared" si="63"/>
        <v>6</v>
      </c>
      <c r="AR132" s="173">
        <f t="shared" si="64"/>
        <v>43192</v>
      </c>
      <c r="AS132" s="754">
        <f t="shared" si="65"/>
        <v>0.9285714285714286</v>
      </c>
      <c r="AT132" s="770">
        <f t="shared" si="66"/>
        <v>42.086457197261709</v>
      </c>
      <c r="AU132" s="13">
        <f t="shared" si="67"/>
        <v>5</v>
      </c>
      <c r="AV132" s="13">
        <f t="shared" si="68"/>
        <v>6</v>
      </c>
      <c r="AW132" s="173">
        <f t="shared" si="69"/>
        <v>43206</v>
      </c>
      <c r="AX132" s="754">
        <f t="shared" si="70"/>
        <v>0.42857142857142855</v>
      </c>
      <c r="AY132" s="770">
        <f t="shared" si="71"/>
        <v>42.057897083993467</v>
      </c>
      <c r="AZ132" s="747">
        <f t="shared" si="75"/>
        <v>42.072177140627588</v>
      </c>
      <c r="BA132" s="646">
        <f t="shared" si="72"/>
        <v>0.74067031779625825</v>
      </c>
      <c r="BB132" s="641">
        <v>43218</v>
      </c>
      <c r="BC132" s="11">
        <v>43218</v>
      </c>
      <c r="BD132" s="290">
        <f>[3]!FeuilCaduc*(1-Persistant)+Persistant</f>
        <v>0.84026494605930402</v>
      </c>
      <c r="BE132" s="291">
        <f>[3]!CroissVégét</f>
        <v>0.14475951929663808</v>
      </c>
      <c r="BF132" s="822">
        <f>1+[3]!Salcycl*Ksac</f>
        <v>1.0100662365148261</v>
      </c>
      <c r="BH132" s="1101">
        <f t="shared" si="73"/>
        <v>0</v>
      </c>
      <c r="BI132" s="11">
        <v>44314</v>
      </c>
      <c r="BJ132" s="727">
        <v>0</v>
      </c>
      <c r="BK132" s="727">
        <v>0</v>
      </c>
      <c r="BL132" s="727">
        <v>0</v>
      </c>
      <c r="BM132" s="727">
        <v>0</v>
      </c>
      <c r="BN132" s="727">
        <v>0</v>
      </c>
      <c r="BO132" s="728">
        <v>0</v>
      </c>
      <c r="BP132" s="727">
        <v>4.4419756770313256E-6</v>
      </c>
      <c r="BQ132" s="727">
        <v>3.0178606836156626E-4</v>
      </c>
      <c r="BR132" s="727">
        <v>1.2914621110304313E-3</v>
      </c>
      <c r="BS132" s="727">
        <v>3.5521767272473142E-3</v>
      </c>
      <c r="BT132" s="727">
        <v>6.7954697756817421E-3</v>
      </c>
      <c r="BW132" s="1157">
        <f>'2018'!R\Max</f>
        <v>0</v>
      </c>
      <c r="BX132" s="1155">
        <f>'2019'!R\Max</f>
        <v>0.74067031779625825</v>
      </c>
      <c r="BY132" s="1155">
        <f>'2020'!R\Max</f>
        <v>0.33585566058909422</v>
      </c>
      <c r="BZ132" s="1155">
        <f>'2021'!R\Max</f>
        <v>0.29097847755437112</v>
      </c>
      <c r="CA132" s="1155">
        <f>'2022'!R\Max</f>
        <v>0.44130871640097458</v>
      </c>
      <c r="CB132" s="1155">
        <f>'2023'!R\Max</f>
        <v>0.44130871640097452</v>
      </c>
      <c r="CC132" s="1155">
        <f>'2024'!R\Max</f>
        <v>0.44130869377862703</v>
      </c>
      <c r="CD132" s="1155">
        <f>'2025'!R\Max</f>
        <v>0.44130871640097452</v>
      </c>
      <c r="CE132" s="1155">
        <f>'2026'!R\Max</f>
        <v>0.44130871640097452</v>
      </c>
      <c r="CF132" s="1156">
        <f>'2027'!R\Max</f>
        <v>0.44130871640097452</v>
      </c>
    </row>
    <row r="133" spans="1:84" s="6" customFormat="1" ht="11.25" x14ac:dyDescent="0.2">
      <c r="A133" s="11">
        <v>43219</v>
      </c>
      <c r="B133" s="380">
        <f>'2022'!Maxi_hp</f>
        <v>39.72311913554482</v>
      </c>
      <c r="C133" s="13">
        <f>'2022'!An_max</f>
        <v>2019</v>
      </c>
      <c r="D133" s="1070"/>
      <c r="E133" s="13"/>
      <c r="F133" s="13">
        <f t="shared" si="74"/>
        <v>9</v>
      </c>
      <c r="G133" s="13">
        <f t="shared" si="58"/>
        <v>10</v>
      </c>
      <c r="H133" s="173">
        <f t="shared" si="59"/>
        <v>43206</v>
      </c>
      <c r="I133" s="754">
        <f t="shared" si="60"/>
        <v>0.9285714285714286</v>
      </c>
      <c r="J133" s="747">
        <f t="shared" si="61"/>
        <v>42.185445372095067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P133" s="13">
        <f t="shared" si="62"/>
        <v>5</v>
      </c>
      <c r="AQ133" s="13">
        <f t="shared" si="63"/>
        <v>6</v>
      </c>
      <c r="AR133" s="173">
        <f t="shared" si="64"/>
        <v>43192</v>
      </c>
      <c r="AS133" s="754">
        <f t="shared" si="65"/>
        <v>0.9642857142857143</v>
      </c>
      <c r="AT133" s="770">
        <f t="shared" si="66"/>
        <v>42.191396881560124</v>
      </c>
      <c r="AU133" s="13">
        <f t="shared" si="67"/>
        <v>5</v>
      </c>
      <c r="AV133" s="13">
        <f t="shared" si="68"/>
        <v>6</v>
      </c>
      <c r="AW133" s="173">
        <f t="shared" si="69"/>
        <v>43206</v>
      </c>
      <c r="AX133" s="754">
        <f t="shared" si="70"/>
        <v>0.4642857142857143</v>
      </c>
      <c r="AY133" s="770">
        <f t="shared" si="71"/>
        <v>42.168081411745931</v>
      </c>
      <c r="AZ133" s="747">
        <f t="shared" si="75"/>
        <v>42.179739146653027</v>
      </c>
      <c r="BA133" s="646">
        <f t="shared" si="72"/>
        <v>0.9416309057583393</v>
      </c>
      <c r="BB133" s="641">
        <v>43219</v>
      </c>
      <c r="BC133" s="11">
        <v>43219</v>
      </c>
      <c r="BD133" s="290">
        <f>[3]!FeuilCaduc*(1-Persistant)+Persistant</f>
        <v>0.84223237207459767</v>
      </c>
      <c r="BE133" s="291">
        <f>[3]!CroissVégét</f>
        <v>0.14996445881890225</v>
      </c>
      <c r="BF133" s="822">
        <f>1+[3]!Salcycl*Ksac</f>
        <v>1.0105580930186495</v>
      </c>
      <c r="BH133" s="1101">
        <f t="shared" si="73"/>
        <v>0</v>
      </c>
      <c r="BI133" s="11">
        <v>44315</v>
      </c>
      <c r="BJ133" s="727">
        <v>0</v>
      </c>
      <c r="BK133" s="727">
        <v>0</v>
      </c>
      <c r="BL133" s="727">
        <v>0</v>
      </c>
      <c r="BM133" s="727">
        <v>0</v>
      </c>
      <c r="BN133" s="727">
        <v>0</v>
      </c>
      <c r="BO133" s="728">
        <v>0</v>
      </c>
      <c r="BP133" s="727">
        <v>3.5480866765183549E-6</v>
      </c>
      <c r="BQ133" s="727">
        <v>2.8360463317725956E-4</v>
      </c>
      <c r="BR133" s="727">
        <v>1.2459937272818972E-3</v>
      </c>
      <c r="BS133" s="727">
        <v>3.3962982748872578E-3</v>
      </c>
      <c r="BT133" s="727">
        <v>6.4615579028456391E-3</v>
      </c>
      <c r="BW133" s="1157">
        <f>'2018'!R\Max</f>
        <v>0</v>
      </c>
      <c r="BX133" s="1155">
        <f>'2019'!R\Max</f>
        <v>0.9416309057583393</v>
      </c>
      <c r="BY133" s="1155">
        <f>'2020'!R\Max</f>
        <v>0.52878560025901389</v>
      </c>
      <c r="BZ133" s="1155">
        <f>'2021'!R\Max</f>
        <v>0.44902785005133267</v>
      </c>
      <c r="CA133" s="1155">
        <f>'2022'!R\Max</f>
        <v>0.74937043282633198</v>
      </c>
      <c r="CB133" s="1155">
        <f>'2023'!R\Max</f>
        <v>0.74937043282633198</v>
      </c>
      <c r="CC133" s="1155">
        <f>'2024'!R\Max</f>
        <v>0.74937041885822409</v>
      </c>
      <c r="CD133" s="1155">
        <f>'2025'!R\Max</f>
        <v>0.74937043282633187</v>
      </c>
      <c r="CE133" s="1155">
        <f>'2026'!R\Max</f>
        <v>0.74937043282633198</v>
      </c>
      <c r="CF133" s="1156">
        <f>'2027'!R\Max</f>
        <v>0.74937043282633198</v>
      </c>
    </row>
    <row r="134" spans="1:84" s="6" customFormat="1" ht="11.25" x14ac:dyDescent="0.2">
      <c r="A134" s="11">
        <v>43220</v>
      </c>
      <c r="B134" s="380">
        <f>'2022'!Maxi_hp</f>
        <v>43.204941551644787</v>
      </c>
      <c r="C134" s="13">
        <f>'2022'!An_max</f>
        <v>2019</v>
      </c>
      <c r="D134" s="1070"/>
      <c r="E134" s="1073">
        <f>V$13/10</f>
        <v>42.2928</v>
      </c>
      <c r="F134" s="13">
        <f t="shared" si="74"/>
        <v>11</v>
      </c>
      <c r="G134" s="13">
        <f t="shared" si="58"/>
        <v>10</v>
      </c>
      <c r="H134" s="173">
        <f t="shared" si="59"/>
        <v>43234</v>
      </c>
      <c r="I134" s="754">
        <f t="shared" si="60"/>
        <v>1</v>
      </c>
      <c r="J134" s="747">
        <f t="shared" si="61"/>
        <v>42.292800001054999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P134" s="13">
        <f t="shared" si="62"/>
        <v>7</v>
      </c>
      <c r="AQ134" s="13">
        <f t="shared" si="63"/>
        <v>6</v>
      </c>
      <c r="AR134" s="173">
        <f t="shared" si="64"/>
        <v>43248</v>
      </c>
      <c r="AS134" s="754">
        <f t="shared" si="65"/>
        <v>1</v>
      </c>
      <c r="AT134" s="770">
        <f t="shared" si="66"/>
        <v>42.292799999564885</v>
      </c>
      <c r="AU134" s="13">
        <f t="shared" si="67"/>
        <v>5</v>
      </c>
      <c r="AV134" s="13">
        <f t="shared" si="68"/>
        <v>6</v>
      </c>
      <c r="AW134" s="173">
        <f t="shared" si="69"/>
        <v>43206</v>
      </c>
      <c r="AX134" s="754">
        <f t="shared" si="70"/>
        <v>0.5</v>
      </c>
      <c r="AY134" s="770">
        <f t="shared" si="71"/>
        <v>42.274443750083449</v>
      </c>
      <c r="AZ134" s="747">
        <f t="shared" si="75"/>
        <v>42.283621874824163</v>
      </c>
      <c r="BA134" s="646">
        <f t="shared" si="72"/>
        <v>1.0215673010670145</v>
      </c>
      <c r="BB134" s="641">
        <v>43220</v>
      </c>
      <c r="BC134" s="11">
        <v>43220</v>
      </c>
      <c r="BD134" s="290">
        <f>[3]!FeuilCaduc*(1-Persistant)+Persistant</f>
        <v>0.84425511563046163</v>
      </c>
      <c r="BE134" s="291">
        <f>[3]!CroissVégét</f>
        <v>0.1553208101334605</v>
      </c>
      <c r="BF134" s="822">
        <f>1+[3]!Salcycl*Ksac</f>
        <v>1.0110637789076153</v>
      </c>
      <c r="BH134" s="1101">
        <f t="shared" si="73"/>
        <v>0</v>
      </c>
      <c r="BI134" s="11">
        <v>44316</v>
      </c>
      <c r="BJ134" s="727">
        <v>0</v>
      </c>
      <c r="BK134" s="727">
        <v>0</v>
      </c>
      <c r="BL134" s="727">
        <v>0</v>
      </c>
      <c r="BM134" s="727">
        <v>0</v>
      </c>
      <c r="BN134" s="727">
        <v>0</v>
      </c>
      <c r="BO134" s="728">
        <v>0</v>
      </c>
      <c r="BP134" s="727">
        <v>2.765496044401005E-6</v>
      </c>
      <c r="BQ134" s="727">
        <v>2.6499521857517111E-4</v>
      </c>
      <c r="BR134" s="727">
        <v>1.1989266984185898E-3</v>
      </c>
      <c r="BS134" s="727">
        <v>3.2598647621366996E-3</v>
      </c>
      <c r="BT134" s="727">
        <v>6.1911106792875321E-3</v>
      </c>
      <c r="BW134" s="1157">
        <f>'2018'!R\Max</f>
        <v>0</v>
      </c>
      <c r="BX134" s="1155">
        <f>'2019'!R\Max</f>
        <v>1.0215673010670145</v>
      </c>
      <c r="BY134" s="1155">
        <f>'2020'!R\Max</f>
        <v>0.87243180484822591</v>
      </c>
      <c r="BZ134" s="1155">
        <f>'2021'!R\Max</f>
        <v>0.2530211222773337</v>
      </c>
      <c r="CA134" s="1155">
        <f>'2022'!R\Max</f>
        <v>0.78677650351398976</v>
      </c>
      <c r="CB134" s="1155">
        <f>'2023'!R\Max</f>
        <v>0.78677650351398976</v>
      </c>
      <c r="CC134" s="1155">
        <f>'2024'!R\Max</f>
        <v>0.78677649364191016</v>
      </c>
      <c r="CD134" s="1155">
        <f>'2025'!R\Max</f>
        <v>0.78677650351398976</v>
      </c>
      <c r="CE134" s="1155">
        <f>'2026'!R\Max</f>
        <v>0.78677650351398998</v>
      </c>
      <c r="CF134" s="1156">
        <f>'2027'!R\Max</f>
        <v>0.78677650351398976</v>
      </c>
    </row>
    <row r="135" spans="1:84" s="6" customFormat="1" ht="11.25" x14ac:dyDescent="0.2">
      <c r="A135" s="11">
        <v>43221</v>
      </c>
      <c r="B135" s="380">
        <f>'2022'!Maxi_hp</f>
        <v>40.273883228930465</v>
      </c>
      <c r="C135" s="13">
        <f>'2022'!An_max</f>
        <v>2019</v>
      </c>
      <c r="D135" s="1070"/>
      <c r="E135" s="13"/>
      <c r="F135" s="13">
        <f t="shared" si="74"/>
        <v>11</v>
      </c>
      <c r="G135" s="13">
        <f t="shared" si="58"/>
        <v>10</v>
      </c>
      <c r="H135" s="173">
        <f t="shared" si="59"/>
        <v>43234</v>
      </c>
      <c r="I135" s="754">
        <f t="shared" si="60"/>
        <v>0.9285714285714286</v>
      </c>
      <c r="J135" s="747">
        <f t="shared" si="61"/>
        <v>42.39592680398907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P135" s="13">
        <f t="shared" si="62"/>
        <v>7</v>
      </c>
      <c r="AQ135" s="13">
        <f t="shared" si="63"/>
        <v>6</v>
      </c>
      <c r="AR135" s="173">
        <f t="shared" si="64"/>
        <v>43248</v>
      </c>
      <c r="AS135" s="754">
        <f t="shared" si="65"/>
        <v>0.9642857142857143</v>
      </c>
      <c r="AT135" s="770">
        <f t="shared" si="66"/>
        <v>42.389850420770905</v>
      </c>
      <c r="AU135" s="13">
        <f t="shared" si="67"/>
        <v>5</v>
      </c>
      <c r="AV135" s="13">
        <f t="shared" si="68"/>
        <v>6</v>
      </c>
      <c r="AW135" s="173">
        <f t="shared" si="69"/>
        <v>43206</v>
      </c>
      <c r="AX135" s="754">
        <f t="shared" si="70"/>
        <v>0.5357142857142857</v>
      </c>
      <c r="AY135" s="770">
        <f t="shared" si="71"/>
        <v>42.376997479823018</v>
      </c>
      <c r="AZ135" s="747">
        <f t="shared" si="75"/>
        <v>42.383423950296958</v>
      </c>
      <c r="BA135" s="646">
        <f t="shared" si="72"/>
        <v>0.94994699408578709</v>
      </c>
      <c r="BB135" s="641">
        <v>43221</v>
      </c>
      <c r="BC135" s="11">
        <v>43221</v>
      </c>
      <c r="BD135" s="290">
        <f>[3]!FeuilCaduc*(1-Persistant)+Persistant</f>
        <v>0.84633255301595478</v>
      </c>
      <c r="BE135" s="291">
        <f>[3]!CroissVégét</f>
        <v>0.16083055564958049</v>
      </c>
      <c r="BF135" s="822">
        <f>1+[3]!Salcycl*Ksac</f>
        <v>1.0115831382539886</v>
      </c>
      <c r="BH135" s="1101">
        <f t="shared" si="73"/>
        <v>0</v>
      </c>
      <c r="BI135" s="11">
        <v>44317</v>
      </c>
      <c r="BJ135" s="727">
        <v>0</v>
      </c>
      <c r="BK135" s="727">
        <v>0</v>
      </c>
      <c r="BL135" s="727">
        <v>0</v>
      </c>
      <c r="BM135" s="727">
        <v>0</v>
      </c>
      <c r="BN135" s="727">
        <v>0</v>
      </c>
      <c r="BO135" s="728">
        <v>0</v>
      </c>
      <c r="BP135" s="727">
        <v>2.094136931775829E-6</v>
      </c>
      <c r="BQ135" s="727">
        <v>2.4595842070324487E-4</v>
      </c>
      <c r="BR135" s="727">
        <v>1.1502627863756248E-3</v>
      </c>
      <c r="BS135" s="727">
        <v>3.1428638718388347E-3</v>
      </c>
      <c r="BT135" s="727">
        <v>5.9840856671849567E-3</v>
      </c>
      <c r="BW135" s="1157">
        <f>'2018'!R\Max</f>
        <v>0</v>
      </c>
      <c r="BX135" s="1155">
        <f>'2019'!R\Max</f>
        <v>0.94994699408578709</v>
      </c>
      <c r="BY135" s="1155">
        <f>'2020'!R\Max</f>
        <v>0.75302690837626007</v>
      </c>
      <c r="BZ135" s="1155">
        <f>'2021'!R\Max</f>
        <v>0.32598592464158888</v>
      </c>
      <c r="CA135" s="1155">
        <f>'2022'!R\Max</f>
        <v>0.80911148570637659</v>
      </c>
      <c r="CB135" s="1155">
        <f>'2023'!R\Max</f>
        <v>0.80911148570637659</v>
      </c>
      <c r="CC135" s="1155">
        <f>'2024'!R\Max</f>
        <v>0.80911147871705991</v>
      </c>
      <c r="CD135" s="1155">
        <f>'2025'!R\Max</f>
        <v>0.80911148570637681</v>
      </c>
      <c r="CE135" s="1155">
        <f>'2026'!R\Max</f>
        <v>0.80911148570637681</v>
      </c>
      <c r="CF135" s="1156">
        <f>'2027'!R\Max</f>
        <v>0.80911148570637659</v>
      </c>
    </row>
    <row r="136" spans="1:84" s="6" customFormat="1" ht="11.25" x14ac:dyDescent="0.2">
      <c r="A136" s="11">
        <v>43222</v>
      </c>
      <c r="B136" s="380">
        <f>'2022'!Maxi_hp</f>
        <v>28.08893330221149</v>
      </c>
      <c r="C136" s="13">
        <f>'2022'!An_max</f>
        <v>2021</v>
      </c>
      <c r="D136" s="1070"/>
      <c r="E136" s="13"/>
      <c r="F136" s="13">
        <f t="shared" si="74"/>
        <v>11</v>
      </c>
      <c r="G136" s="13">
        <f t="shared" si="58"/>
        <v>10</v>
      </c>
      <c r="H136" s="173">
        <f t="shared" si="59"/>
        <v>43234</v>
      </c>
      <c r="I136" s="754">
        <f t="shared" si="60"/>
        <v>0.8571428571428571</v>
      </c>
      <c r="J136" s="747">
        <f t="shared" si="61"/>
        <v>42.495450146070553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P136" s="13">
        <f t="shared" si="62"/>
        <v>7</v>
      </c>
      <c r="AQ136" s="13">
        <f t="shared" si="63"/>
        <v>6</v>
      </c>
      <c r="AR136" s="173">
        <f t="shared" si="64"/>
        <v>43248</v>
      </c>
      <c r="AS136" s="754">
        <f t="shared" si="65"/>
        <v>0.9285714285714286</v>
      </c>
      <c r="AT136" s="770">
        <f t="shared" si="66"/>
        <v>42.4818033701075</v>
      </c>
      <c r="AU136" s="13">
        <f t="shared" si="67"/>
        <v>5</v>
      </c>
      <c r="AV136" s="13">
        <f t="shared" si="68"/>
        <v>6</v>
      </c>
      <c r="AW136" s="173">
        <f t="shared" si="69"/>
        <v>43206</v>
      </c>
      <c r="AX136" s="754">
        <f t="shared" si="70"/>
        <v>0.5714285714285714</v>
      </c>
      <c r="AY136" s="770">
        <f t="shared" si="71"/>
        <v>42.475755977098437</v>
      </c>
      <c r="AZ136" s="747">
        <f t="shared" si="75"/>
        <v>42.478779673602972</v>
      </c>
      <c r="BA136" s="646">
        <f t="shared" si="72"/>
        <v>0.66098683990076057</v>
      </c>
      <c r="BB136" s="641">
        <v>43222</v>
      </c>
      <c r="BC136" s="11">
        <v>43222</v>
      </c>
      <c r="BD136" s="290">
        <f>[3]!FeuilCaduc*(1-Persistant)+Persistant</f>
        <v>0.84846394199985486</v>
      </c>
      <c r="BE136" s="291">
        <f>[3]!CroissVégét</f>
        <v>0.16649552652045066</v>
      </c>
      <c r="BF136" s="822">
        <f>1+[3]!Salcycl*Ksac</f>
        <v>1.0121159854999637</v>
      </c>
      <c r="BH136" s="1101">
        <f t="shared" si="73"/>
        <v>0</v>
      </c>
      <c r="BI136" s="11">
        <v>44318</v>
      </c>
      <c r="BJ136" s="727">
        <v>0</v>
      </c>
      <c r="BK136" s="727">
        <v>0</v>
      </c>
      <c r="BL136" s="727">
        <v>0</v>
      </c>
      <c r="BM136" s="727">
        <v>0</v>
      </c>
      <c r="BN136" s="727">
        <v>0</v>
      </c>
      <c r="BO136" s="728">
        <v>0</v>
      </c>
      <c r="BP136" s="727">
        <v>1.5365061698059119E-6</v>
      </c>
      <c r="BQ136" s="727">
        <v>2.2689431470949363E-4</v>
      </c>
      <c r="BR136" s="727">
        <v>1.0999975263095822E-3</v>
      </c>
      <c r="BS136" s="727">
        <v>3.0442315701105886E-3</v>
      </c>
      <c r="BT136" s="727">
        <v>5.8373116499124368E-3</v>
      </c>
      <c r="BW136" s="1157">
        <f>'2018'!R\Max</f>
        <v>0</v>
      </c>
      <c r="BX136" s="1155">
        <f>'2019'!R\Max</f>
        <v>0.61392217452126319</v>
      </c>
      <c r="BY136" s="1155">
        <f>'2020'!R\Max</f>
        <v>0.38247334741739453</v>
      </c>
      <c r="BZ136" s="1155">
        <f>'2021'!R\Max</f>
        <v>0.66098683990076057</v>
      </c>
      <c r="CA136" s="1155">
        <f>'2022'!R\Max</f>
        <v>0.47035077435039896</v>
      </c>
      <c r="CB136" s="1155">
        <f>'2023'!R\Max</f>
        <v>0.47035077435039896</v>
      </c>
      <c r="CC136" s="1155">
        <f>'2024'!R\Max</f>
        <v>0.47035076594757241</v>
      </c>
      <c r="CD136" s="1155">
        <f>'2025'!R\Max</f>
        <v>0.47035077435039907</v>
      </c>
      <c r="CE136" s="1155">
        <f>'2026'!R\Max</f>
        <v>0.47035077435039907</v>
      </c>
      <c r="CF136" s="1156">
        <f>'2027'!R\Max</f>
        <v>0.47035077435039907</v>
      </c>
    </row>
    <row r="137" spans="1:84" s="6" customFormat="1" ht="11.25" x14ac:dyDescent="0.2">
      <c r="A137" s="11">
        <v>43223</v>
      </c>
      <c r="B137" s="380">
        <f>'2022'!Maxi_hp</f>
        <v>42.400180832539675</v>
      </c>
      <c r="C137" s="13">
        <f>'2022'!An_max</f>
        <v>2021</v>
      </c>
      <c r="D137" s="1070"/>
      <c r="E137" s="13"/>
      <c r="F137" s="13">
        <f t="shared" si="74"/>
        <v>11</v>
      </c>
      <c r="G137" s="13">
        <f t="shared" si="58"/>
        <v>10</v>
      </c>
      <c r="H137" s="173">
        <f t="shared" si="59"/>
        <v>43234</v>
      </c>
      <c r="I137" s="754">
        <f t="shared" si="60"/>
        <v>0.7857142857142857</v>
      </c>
      <c r="J137" s="747">
        <f t="shared" si="61"/>
        <v>42.591262992577889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P137" s="13">
        <f t="shared" si="62"/>
        <v>7</v>
      </c>
      <c r="AQ137" s="13">
        <f t="shared" si="63"/>
        <v>6</v>
      </c>
      <c r="AR137" s="173">
        <f t="shared" si="64"/>
        <v>43248</v>
      </c>
      <c r="AS137" s="754">
        <f t="shared" si="65"/>
        <v>0.8928571428571429</v>
      </c>
      <c r="AT137" s="770">
        <f t="shared" si="66"/>
        <v>42.568806018746855</v>
      </c>
      <c r="AU137" s="13">
        <f t="shared" si="67"/>
        <v>5</v>
      </c>
      <c r="AV137" s="13">
        <f t="shared" si="68"/>
        <v>6</v>
      </c>
      <c r="AW137" s="173">
        <f t="shared" si="69"/>
        <v>43206</v>
      </c>
      <c r="AX137" s="754">
        <f t="shared" si="70"/>
        <v>0.6071428571428571</v>
      </c>
      <c r="AY137" s="770">
        <f t="shared" si="71"/>
        <v>42.570732624456284</v>
      </c>
      <c r="AZ137" s="747">
        <f t="shared" si="75"/>
        <v>42.569769321601569</v>
      </c>
      <c r="BA137" s="646">
        <f t="shared" si="72"/>
        <v>0.99551358314799188</v>
      </c>
      <c r="BB137" s="641">
        <v>43223</v>
      </c>
      <c r="BC137" s="11">
        <v>43223</v>
      </c>
      <c r="BD137" s="290">
        <f>[3]!FeuilCaduc*(1-Persistant)+Persistant</f>
        <v>0.85064841875263586</v>
      </c>
      <c r="BE137" s="291">
        <f>[3]!CroissVégét</f>
        <v>0.1723173890515782</v>
      </c>
      <c r="BF137" s="822">
        <f>1+[3]!Salcycl*Ksac</f>
        <v>1.012662104688159</v>
      </c>
      <c r="BH137" s="1101">
        <f t="shared" si="73"/>
        <v>0</v>
      </c>
      <c r="BI137" s="11">
        <v>44319</v>
      </c>
      <c r="BJ137" s="727">
        <v>0</v>
      </c>
      <c r="BK137" s="727">
        <v>0</v>
      </c>
      <c r="BL137" s="727">
        <v>0</v>
      </c>
      <c r="BM137" s="727">
        <v>0</v>
      </c>
      <c r="BN137" s="727">
        <v>0</v>
      </c>
      <c r="BO137" s="728">
        <v>0</v>
      </c>
      <c r="BP137" s="727">
        <v>1.0685559826315764E-6</v>
      </c>
      <c r="BQ137" s="727">
        <v>2.0880995573883693E-4</v>
      </c>
      <c r="BR137" s="727">
        <v>1.0497475214892068E-3</v>
      </c>
      <c r="BS137" s="727">
        <v>2.9429848936516818E-3</v>
      </c>
      <c r="BT137" s="727">
        <v>5.6829177844353188E-3</v>
      </c>
      <c r="BW137" s="1157">
        <f>'2018'!R\Max</f>
        <v>0</v>
      </c>
      <c r="BX137" s="1155">
        <f>'2019'!R\Max</f>
        <v>0.35125888524065185</v>
      </c>
      <c r="BY137" s="1155">
        <f>'2020'!R\Max</f>
        <v>0.69471824864486309</v>
      </c>
      <c r="BZ137" s="1155">
        <f>'2021'!R\Max</f>
        <v>0.99551358314799188</v>
      </c>
      <c r="CA137" s="1155">
        <f>'2022'!R\Max</f>
        <v>0.52159504264757028</v>
      </c>
      <c r="CB137" s="1155">
        <f>'2023'!R\Max</f>
        <v>0.52159504264757017</v>
      </c>
      <c r="CC137" s="1155">
        <f>'2024'!R\Max</f>
        <v>0.52159503669930174</v>
      </c>
      <c r="CD137" s="1155">
        <f>'2025'!R\Max</f>
        <v>0.52159504264757028</v>
      </c>
      <c r="CE137" s="1155">
        <f>'2026'!R\Max</f>
        <v>0.52159504264757028</v>
      </c>
      <c r="CF137" s="1156">
        <f>'2027'!R\Max</f>
        <v>0.52159504264757006</v>
      </c>
    </row>
    <row r="138" spans="1:84" s="6" customFormat="1" ht="11.25" x14ac:dyDescent="0.2">
      <c r="A138" s="11">
        <v>43224</v>
      </c>
      <c r="B138" s="380">
        <f>'2022'!Maxi_hp</f>
        <v>39.79073296578693</v>
      </c>
      <c r="C138" s="13">
        <f>'2022'!An_max</f>
        <v>2020</v>
      </c>
      <c r="D138" s="1070"/>
      <c r="E138" s="13"/>
      <c r="F138" s="13">
        <f t="shared" si="74"/>
        <v>11</v>
      </c>
      <c r="G138" s="13">
        <f t="shared" si="58"/>
        <v>10</v>
      </c>
      <c r="H138" s="173">
        <f t="shared" si="59"/>
        <v>43234</v>
      </c>
      <c r="I138" s="754">
        <f t="shared" si="60"/>
        <v>0.7142857142857143</v>
      </c>
      <c r="J138" s="747">
        <f t="shared" si="61"/>
        <v>42.683258308576683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P138" s="13">
        <f t="shared" si="62"/>
        <v>7</v>
      </c>
      <c r="AQ138" s="13">
        <f t="shared" si="63"/>
        <v>6</v>
      </c>
      <c r="AR138" s="173">
        <f t="shared" si="64"/>
        <v>43248</v>
      </c>
      <c r="AS138" s="754">
        <f t="shared" si="65"/>
        <v>0.8571428571428571</v>
      </c>
      <c r="AT138" s="770">
        <f t="shared" si="66"/>
        <v>42.65100553913841</v>
      </c>
      <c r="AU138" s="13">
        <f t="shared" si="67"/>
        <v>5</v>
      </c>
      <c r="AV138" s="13">
        <f t="shared" si="68"/>
        <v>6</v>
      </c>
      <c r="AW138" s="173">
        <f t="shared" si="69"/>
        <v>43206</v>
      </c>
      <c r="AX138" s="754">
        <f t="shared" si="70"/>
        <v>0.6428571428571429</v>
      </c>
      <c r="AY138" s="770">
        <f t="shared" si="71"/>
        <v>42.661940798589164</v>
      </c>
      <c r="AZ138" s="747">
        <f t="shared" si="75"/>
        <v>42.656473168863783</v>
      </c>
      <c r="BA138" s="646">
        <f t="shared" si="72"/>
        <v>0.93223278968352485</v>
      </c>
      <c r="BB138" s="641">
        <v>43224</v>
      </c>
      <c r="BC138" s="11">
        <v>43224</v>
      </c>
      <c r="BD138" s="290">
        <f>[3]!FeuilCaduc*(1-Persistant)+Persistant</f>
        <v>0.8528849950053663</v>
      </c>
      <c r="BE138" s="291">
        <f>[3]!CroissVégét</f>
        <v>0.17829763088415901</v>
      </c>
      <c r="BF138" s="822">
        <f>1+[3]!Salcycl*Ksac</f>
        <v>1.0132212487513415</v>
      </c>
      <c r="BH138" s="1101">
        <f t="shared" si="73"/>
        <v>0</v>
      </c>
      <c r="BI138" s="11">
        <v>44320</v>
      </c>
      <c r="BJ138" s="727">
        <v>0</v>
      </c>
      <c r="BK138" s="727">
        <v>0</v>
      </c>
      <c r="BL138" s="727">
        <v>0</v>
      </c>
      <c r="BM138" s="727">
        <v>0</v>
      </c>
      <c r="BN138" s="727">
        <v>0</v>
      </c>
      <c r="BO138" s="728">
        <v>0</v>
      </c>
      <c r="BP138" s="727">
        <v>6.9022544661984363E-7</v>
      </c>
      <c r="BQ138" s="727">
        <v>1.9170490055713706E-4</v>
      </c>
      <c r="BR138" s="727">
        <v>9.995135555325948E-4</v>
      </c>
      <c r="BS138" s="727">
        <v>2.8391273055990468E-3</v>
      </c>
      <c r="BT138" s="727">
        <v>5.5209119265392133E-3</v>
      </c>
      <c r="BW138" s="1157">
        <f>'2018'!R\Max</f>
        <v>0</v>
      </c>
      <c r="BX138" s="1155">
        <f>'2019'!R\Max</f>
        <v>0.52866643959519788</v>
      </c>
      <c r="BY138" s="1155">
        <f>'2020'!R\Max</f>
        <v>0.93223278968352485</v>
      </c>
      <c r="BZ138" s="1155">
        <f>'2021'!R\Max</f>
        <v>0.87718329285213792</v>
      </c>
      <c r="CA138" s="1155">
        <f>'2022'!R\Max</f>
        <v>0.36286854319506556</v>
      </c>
      <c r="CB138" s="1155">
        <f>'2023'!R\Max</f>
        <v>0.36286854319506551</v>
      </c>
      <c r="CC138" s="1155">
        <f>'2024'!R\Max</f>
        <v>0.3628685395763277</v>
      </c>
      <c r="CD138" s="1155">
        <f>'2025'!R\Max</f>
        <v>0.36286854319506556</v>
      </c>
      <c r="CE138" s="1155">
        <f>'2026'!R\Max</f>
        <v>0.36286854319506556</v>
      </c>
      <c r="CF138" s="1156">
        <f>'2027'!R\Max</f>
        <v>0.36286854319506562</v>
      </c>
    </row>
    <row r="139" spans="1:84" s="6" customFormat="1" ht="11.25" x14ac:dyDescent="0.2">
      <c r="A139" s="11">
        <v>43225</v>
      </c>
      <c r="B139" s="380">
        <f>'2022'!Maxi_hp</f>
        <v>40.603023029597871</v>
      </c>
      <c r="C139" s="13">
        <f>'2022'!An_max</f>
        <v>2020</v>
      </c>
      <c r="D139" s="1070"/>
      <c r="E139" s="13"/>
      <c r="F139" s="13">
        <f t="shared" si="74"/>
        <v>11</v>
      </c>
      <c r="G139" s="13">
        <f t="shared" si="58"/>
        <v>10</v>
      </c>
      <c r="H139" s="173">
        <f t="shared" si="59"/>
        <v>43234</v>
      </c>
      <c r="I139" s="754">
        <f t="shared" si="60"/>
        <v>0.6428571428571429</v>
      </c>
      <c r="J139" s="747">
        <f t="shared" si="61"/>
        <v>42.771329063336758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P139" s="13">
        <f t="shared" si="62"/>
        <v>7</v>
      </c>
      <c r="AQ139" s="13">
        <f t="shared" si="63"/>
        <v>6</v>
      </c>
      <c r="AR139" s="173">
        <f t="shared" si="64"/>
        <v>43248</v>
      </c>
      <c r="AS139" s="754">
        <f t="shared" si="65"/>
        <v>0.8214285714285714</v>
      </c>
      <c r="AT139" s="770">
        <f t="shared" si="66"/>
        <v>42.728549100259059</v>
      </c>
      <c r="AU139" s="13">
        <f t="shared" si="67"/>
        <v>5</v>
      </c>
      <c r="AV139" s="13">
        <f t="shared" si="68"/>
        <v>6</v>
      </c>
      <c r="AW139" s="173">
        <f t="shared" si="69"/>
        <v>43206</v>
      </c>
      <c r="AX139" s="754">
        <f t="shared" si="70"/>
        <v>0.6785714285714286</v>
      </c>
      <c r="AY139" s="770">
        <f t="shared" si="71"/>
        <v>42.749393879994749</v>
      </c>
      <c r="AZ139" s="747">
        <f t="shared" si="75"/>
        <v>42.7389714901269</v>
      </c>
      <c r="BA139" s="646">
        <f t="shared" si="72"/>
        <v>0.94930468420731073</v>
      </c>
      <c r="BB139" s="641">
        <v>43225</v>
      </c>
      <c r="BC139" s="11">
        <v>43225</v>
      </c>
      <c r="BD139" s="290">
        <f>[3]!FeuilCaduc*(1-Persistant)+Persistant</f>
        <v>0.85517255549152238</v>
      </c>
      <c r="BE139" s="291">
        <f>[3]!CroissVégét</f>
        <v>0.1844375470173118</v>
      </c>
      <c r="BF139" s="822">
        <f>1+[3]!Salcycl*Ksac</f>
        <v>1.0137931388728807</v>
      </c>
      <c r="BH139" s="1101">
        <f t="shared" si="73"/>
        <v>0</v>
      </c>
      <c r="BI139" s="11">
        <v>44321</v>
      </c>
      <c r="BJ139" s="727">
        <v>0</v>
      </c>
      <c r="BK139" s="727">
        <v>0</v>
      </c>
      <c r="BL139" s="727">
        <v>0</v>
      </c>
      <c r="BM139" s="727">
        <v>0</v>
      </c>
      <c r="BN139" s="727">
        <v>0</v>
      </c>
      <c r="BO139" s="728">
        <v>0</v>
      </c>
      <c r="BP139" s="727">
        <v>4.0145031178221709E-7</v>
      </c>
      <c r="BQ139" s="727">
        <v>1.7557868113049914E-4</v>
      </c>
      <c r="BR139" s="727">
        <v>9.4929645597582315E-4</v>
      </c>
      <c r="BS139" s="727">
        <v>2.7326624676306237E-3</v>
      </c>
      <c r="BT139" s="727">
        <v>5.3513023858997484E-3</v>
      </c>
      <c r="BW139" s="1157">
        <f>'2018'!R\Max</f>
        <v>0</v>
      </c>
      <c r="BX139" s="1155">
        <f>'2019'!R\Max</f>
        <v>0.75445371678983708</v>
      </c>
      <c r="BY139" s="1155">
        <f>'2020'!R\Max</f>
        <v>0.94930468420731073</v>
      </c>
      <c r="BZ139" s="1155">
        <f>'2021'!R\Max</f>
        <v>0.60337383836397329</v>
      </c>
      <c r="CA139" s="1155">
        <f>'2022'!R\Max</f>
        <v>0.70829486362927863</v>
      </c>
      <c r="CB139" s="1155">
        <f>'2023'!R\Max</f>
        <v>0.70829486362927874</v>
      </c>
      <c r="CC139" s="1155">
        <f>'2024'!R\Max</f>
        <v>0.7082948617166176</v>
      </c>
      <c r="CD139" s="1155">
        <f>'2025'!R\Max</f>
        <v>0.70829486362927863</v>
      </c>
      <c r="CE139" s="1155">
        <f>'2026'!R\Max</f>
        <v>0.70829486362927863</v>
      </c>
      <c r="CF139" s="1156">
        <f>'2027'!R\Max</f>
        <v>0.70829486362927874</v>
      </c>
    </row>
    <row r="140" spans="1:84" s="6" customFormat="1" ht="11.25" x14ac:dyDescent="0.2">
      <c r="A140" s="11">
        <v>43226</v>
      </c>
      <c r="B140" s="380">
        <f>'2022'!Maxi_hp</f>
        <v>44.619992536921345</v>
      </c>
      <c r="C140" s="13">
        <f>'2022'!An_max</f>
        <v>2019</v>
      </c>
      <c r="D140" s="1070"/>
      <c r="E140" s="13"/>
      <c r="F140" s="13">
        <f t="shared" si="74"/>
        <v>11</v>
      </c>
      <c r="G140" s="13">
        <f t="shared" si="58"/>
        <v>10</v>
      </c>
      <c r="H140" s="173">
        <f t="shared" si="59"/>
        <v>43234</v>
      </c>
      <c r="I140" s="754">
        <f t="shared" si="60"/>
        <v>0.5714285714285714</v>
      </c>
      <c r="J140" s="747">
        <f t="shared" si="61"/>
        <v>42.85536822176406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P140" s="13">
        <f t="shared" si="62"/>
        <v>7</v>
      </c>
      <c r="AQ140" s="13">
        <f t="shared" si="63"/>
        <v>6</v>
      </c>
      <c r="AR140" s="173">
        <f t="shared" si="64"/>
        <v>43248</v>
      </c>
      <c r="AS140" s="754">
        <f t="shared" si="65"/>
        <v>0.7857142857142857</v>
      </c>
      <c r="AT140" s="770">
        <f t="shared" si="66"/>
        <v>42.80158387340073</v>
      </c>
      <c r="AU140" s="13">
        <f t="shared" si="67"/>
        <v>5</v>
      </c>
      <c r="AV140" s="13">
        <f t="shared" si="68"/>
        <v>6</v>
      </c>
      <c r="AW140" s="173">
        <f t="shared" si="69"/>
        <v>43206</v>
      </c>
      <c r="AX140" s="754">
        <f t="shared" si="70"/>
        <v>0.7142857142857143</v>
      </c>
      <c r="AY140" s="770">
        <f t="shared" si="71"/>
        <v>42.833105248319249</v>
      </c>
      <c r="AZ140" s="747">
        <f t="shared" si="75"/>
        <v>42.817344560859993</v>
      </c>
      <c r="BA140" s="646">
        <f t="shared" si="72"/>
        <v>1.0411762723872973</v>
      </c>
      <c r="BB140" s="641">
        <v>43226</v>
      </c>
      <c r="BC140" s="11">
        <v>43226</v>
      </c>
      <c r="BD140" s="290">
        <f>[3]!FeuilCaduc*(1-Persistant)+Persistant</f>
        <v>0.85750985571843319</v>
      </c>
      <c r="BE140" s="291">
        <f>[3]!CroissVégét</f>
        <v>0.19073822573999455</v>
      </c>
      <c r="BF140" s="822">
        <f>1+[3]!Salcycl*Ksac</f>
        <v>1.0143774639296084</v>
      </c>
      <c r="BH140" s="1101">
        <f t="shared" si="73"/>
        <v>0</v>
      </c>
      <c r="BI140" s="11">
        <v>44322</v>
      </c>
      <c r="BJ140" s="727">
        <v>0</v>
      </c>
      <c r="BK140" s="727">
        <v>0</v>
      </c>
      <c r="BL140" s="727">
        <v>0</v>
      </c>
      <c r="BM140" s="727">
        <v>0</v>
      </c>
      <c r="BN140" s="727">
        <v>0</v>
      </c>
      <c r="BO140" s="728">
        <v>0</v>
      </c>
      <c r="BP140" s="727">
        <v>2.0216280589225296E-7</v>
      </c>
      <c r="BQ140" s="727">
        <v>1.6043080249840519E-4</v>
      </c>
      <c r="BR140" s="727">
        <v>8.9909709428845678E-4</v>
      </c>
      <c r="BS140" s="727">
        <v>2.6235942457837444E-3</v>
      </c>
      <c r="BT140" s="727">
        <v>5.1740979429035399E-3</v>
      </c>
      <c r="BW140" s="1157">
        <f>'2018'!R\Max</f>
        <v>0</v>
      </c>
      <c r="BX140" s="1155">
        <f>'2019'!R\Max</f>
        <v>1.0411762723872973</v>
      </c>
      <c r="BY140" s="1155">
        <f>'2020'!R\Max</f>
        <v>0.87805366137468166</v>
      </c>
      <c r="BZ140" s="1155">
        <f>'2021'!R\Max</f>
        <v>0.63941359373770379</v>
      </c>
      <c r="CA140" s="1155">
        <f>'2022'!R\Max</f>
        <v>0.65609981884152657</v>
      </c>
      <c r="CB140" s="1155">
        <f>'2023'!R\Max</f>
        <v>0.65609981884152657</v>
      </c>
      <c r="CC140" s="1155">
        <f>'2024'!R\Max</f>
        <v>0.65609981777162307</v>
      </c>
      <c r="CD140" s="1155">
        <f>'2025'!R\Max</f>
        <v>0.65609981884152657</v>
      </c>
      <c r="CE140" s="1155">
        <f>'2026'!R\Max</f>
        <v>0.65609981884152646</v>
      </c>
      <c r="CF140" s="1156">
        <f>'2027'!R\Max</f>
        <v>0.65609981884152646</v>
      </c>
    </row>
    <row r="141" spans="1:84" s="6" customFormat="1" ht="11.25" x14ac:dyDescent="0.2">
      <c r="A141" s="11">
        <v>43227</v>
      </c>
      <c r="B141" s="380">
        <f>'2022'!Maxi_hp</f>
        <v>41.484775655026766</v>
      </c>
      <c r="C141" s="13">
        <f>'2022'!An_max</f>
        <v>2020</v>
      </c>
      <c r="D141" s="1070"/>
      <c r="E141" s="13"/>
      <c r="F141" s="13">
        <f t="shared" si="74"/>
        <v>11</v>
      </c>
      <c r="G141" s="13">
        <f t="shared" si="58"/>
        <v>10</v>
      </c>
      <c r="H141" s="173">
        <f t="shared" si="59"/>
        <v>43234</v>
      </c>
      <c r="I141" s="754">
        <f t="shared" si="60"/>
        <v>0.5</v>
      </c>
      <c r="J141" s="747">
        <f t="shared" si="61"/>
        <v>42.935268750414252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P141" s="13">
        <f t="shared" si="62"/>
        <v>7</v>
      </c>
      <c r="AQ141" s="13">
        <f t="shared" si="63"/>
        <v>6</v>
      </c>
      <c r="AR141" s="173">
        <f t="shared" si="64"/>
        <v>43248</v>
      </c>
      <c r="AS141" s="754">
        <f t="shared" si="65"/>
        <v>0.75</v>
      </c>
      <c r="AT141" s="770">
        <f t="shared" si="66"/>
        <v>42.870257030613722</v>
      </c>
      <c r="AU141" s="13">
        <f t="shared" si="67"/>
        <v>5</v>
      </c>
      <c r="AV141" s="13">
        <f t="shared" si="68"/>
        <v>6</v>
      </c>
      <c r="AW141" s="173">
        <f t="shared" si="69"/>
        <v>43206</v>
      </c>
      <c r="AX141" s="754">
        <f t="shared" si="70"/>
        <v>0.75</v>
      </c>
      <c r="AY141" s="770">
        <f t="shared" si="71"/>
        <v>42.91308828126639</v>
      </c>
      <c r="AZ141" s="747">
        <f t="shared" si="75"/>
        <v>42.891672655940056</v>
      </c>
      <c r="BA141" s="646">
        <f t="shared" si="72"/>
        <v>0.9662167458687797</v>
      </c>
      <c r="BB141" s="641">
        <v>43227</v>
      </c>
      <c r="BC141" s="11">
        <v>43227</v>
      </c>
      <c r="BD141" s="290">
        <f>[3]!FeuilCaduc*(1-Persistant)+Persistant</f>
        <v>0.85989552011524362</v>
      </c>
      <c r="BE141" s="291">
        <f>[3]!CroissVégét</f>
        <v>0.19720053455029921</v>
      </c>
      <c r="BF141" s="822">
        <f>1+[3]!Salcycl*Ksac</f>
        <v>1.0149738800288108</v>
      </c>
      <c r="BH141" s="1101">
        <f t="shared" si="73"/>
        <v>0</v>
      </c>
      <c r="BI141" s="11">
        <v>44323</v>
      </c>
      <c r="BJ141" s="727">
        <v>0</v>
      </c>
      <c r="BK141" s="727">
        <v>0</v>
      </c>
      <c r="BL141" s="727">
        <v>0</v>
      </c>
      <c r="BM141" s="727">
        <v>0</v>
      </c>
      <c r="BN141" s="727">
        <v>0</v>
      </c>
      <c r="BO141" s="728">
        <v>0</v>
      </c>
      <c r="BP141" s="727">
        <v>9.2291438590545206E-8</v>
      </c>
      <c r="BQ141" s="727">
        <v>1.4626074064404092E-4</v>
      </c>
      <c r="BR141" s="727">
        <v>8.489163858747136E-4</v>
      </c>
      <c r="BS141" s="727">
        <v>2.5119267162330653E-3</v>
      </c>
      <c r="BT141" s="727">
        <v>4.9893078653908277E-3</v>
      </c>
      <c r="BW141" s="1157">
        <f>'2018'!R\Max</f>
        <v>0</v>
      </c>
      <c r="BX141" s="1155">
        <f>'2019'!R\Max</f>
        <v>0.74942506154777622</v>
      </c>
      <c r="BY141" s="1155">
        <f>'2020'!R\Max</f>
        <v>0.9662167458687797</v>
      </c>
      <c r="BZ141" s="1155">
        <f>'2021'!R\Max</f>
        <v>0.51202070775647834</v>
      </c>
      <c r="CA141" s="1155">
        <f>'2022'!R\Max</f>
        <v>0.81414134950341255</v>
      </c>
      <c r="CB141" s="1155">
        <f>'2023'!R\Max</f>
        <v>0.81414134950341233</v>
      </c>
      <c r="CC141" s="1155">
        <f>'2024'!R\Max</f>
        <v>0.81414134917013459</v>
      </c>
      <c r="CD141" s="1155">
        <f>'2025'!R\Max</f>
        <v>0.81414134950341255</v>
      </c>
      <c r="CE141" s="1155">
        <f>'2026'!R\Max</f>
        <v>0.81414134950341255</v>
      </c>
      <c r="CF141" s="1156">
        <f>'2027'!R\Max</f>
        <v>0.81414134950341266</v>
      </c>
    </row>
    <row r="142" spans="1:84" s="6" customFormat="1" ht="11.25" x14ac:dyDescent="0.2">
      <c r="A142" s="11">
        <v>43228</v>
      </c>
      <c r="B142" s="380">
        <f>'2022'!Maxi_hp</f>
        <v>40.780889517262061</v>
      </c>
      <c r="C142" s="13">
        <f>'2022'!An_max</f>
        <v>2021</v>
      </c>
      <c r="D142" s="1070"/>
      <c r="E142" s="13"/>
      <c r="F142" s="13">
        <f t="shared" si="74"/>
        <v>11</v>
      </c>
      <c r="G142" s="13">
        <f t="shared" si="58"/>
        <v>10</v>
      </c>
      <c r="H142" s="173">
        <f t="shared" si="59"/>
        <v>43234</v>
      </c>
      <c r="I142" s="754">
        <f t="shared" si="60"/>
        <v>0.42857142857142855</v>
      </c>
      <c r="J142" s="747">
        <f t="shared" si="61"/>
        <v>43.010923614885122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P142" s="13">
        <f t="shared" si="62"/>
        <v>7</v>
      </c>
      <c r="AQ142" s="13">
        <f t="shared" si="63"/>
        <v>6</v>
      </c>
      <c r="AR142" s="173">
        <f t="shared" si="64"/>
        <v>43248</v>
      </c>
      <c r="AS142" s="754">
        <f t="shared" si="65"/>
        <v>0.7142857142857143</v>
      </c>
      <c r="AT142" s="770">
        <f t="shared" si="66"/>
        <v>42.934715742830718</v>
      </c>
      <c r="AU142" s="13">
        <f t="shared" si="67"/>
        <v>5</v>
      </c>
      <c r="AV142" s="13">
        <f t="shared" si="68"/>
        <v>6</v>
      </c>
      <c r="AW142" s="173">
        <f t="shared" si="69"/>
        <v>43206</v>
      </c>
      <c r="AX142" s="754">
        <f t="shared" si="70"/>
        <v>0.7857142857142857</v>
      </c>
      <c r="AY142" s="770">
        <f t="shared" si="71"/>
        <v>42.98935635909438</v>
      </c>
      <c r="AZ142" s="747">
        <f t="shared" si="75"/>
        <v>42.962036050962553</v>
      </c>
      <c r="BA142" s="646">
        <f t="shared" si="72"/>
        <v>0.94815191327694959</v>
      </c>
      <c r="BB142" s="641">
        <v>43228</v>
      </c>
      <c r="BC142" s="11">
        <v>43228</v>
      </c>
      <c r="BD142" s="290">
        <f>[3]!FeuilCaduc*(1-Persistant)+Persistant</f>
        <v>0.86232804060388435</v>
      </c>
      <c r="BE142" s="291">
        <f>[3]!CroissVégét</f>
        <v>0.2038251061465651</v>
      </c>
      <c r="BF142" s="822">
        <f>1+[3]!Salcycl*Ksac</f>
        <v>1.0155820101509712</v>
      </c>
      <c r="BH142" s="1101">
        <f t="shared" si="73"/>
        <v>0</v>
      </c>
      <c r="BI142" s="11">
        <v>44324</v>
      </c>
      <c r="BJ142" s="727">
        <v>0</v>
      </c>
      <c r="BK142" s="727">
        <v>0</v>
      </c>
      <c r="BL142" s="727">
        <v>0</v>
      </c>
      <c r="BM142" s="727">
        <v>0</v>
      </c>
      <c r="BN142" s="727">
        <v>0</v>
      </c>
      <c r="BO142" s="728">
        <v>0</v>
      </c>
      <c r="BP142" s="727">
        <v>7.1760805496140004E-8</v>
      </c>
      <c r="BQ142" s="727">
        <v>1.3353201969949972E-4</v>
      </c>
      <c r="BR142" s="727">
        <v>8.0122139631519298E-4</v>
      </c>
      <c r="BS142" s="727">
        <v>2.403328198926124E-3</v>
      </c>
      <c r="BT142" s="727">
        <v>4.8065356902492811E-3</v>
      </c>
      <c r="BW142" s="1157">
        <f>'2018'!R\Max</f>
        <v>0</v>
      </c>
      <c r="BX142" s="1155">
        <f>'2019'!R\Max</f>
        <v>0.50223871210080739</v>
      </c>
      <c r="BY142" s="1155">
        <f>'2020'!R\Max</f>
        <v>0.81812205717954334</v>
      </c>
      <c r="BZ142" s="1155">
        <f>'2021'!R\Max</f>
        <v>0.94815191327694959</v>
      </c>
      <c r="CA142" s="1155">
        <f>'2022'!R\Max</f>
        <v>0.83854449986401514</v>
      </c>
      <c r="CB142" s="1155">
        <f>'2023'!R\Max</f>
        <v>0.83854449986401514</v>
      </c>
      <c r="CC142" s="1155">
        <f>'2024'!R\Max</f>
        <v>0.83854449962803579</v>
      </c>
      <c r="CD142" s="1155">
        <f>'2025'!R\Max</f>
        <v>0.83854449986401514</v>
      </c>
      <c r="CE142" s="1155">
        <f>'2026'!R\Max</f>
        <v>0.83854449986401514</v>
      </c>
      <c r="CF142" s="1156">
        <f>'2027'!R\Max</f>
        <v>0.83854449986401502</v>
      </c>
    </row>
    <row r="143" spans="1:84" s="6" customFormat="1" ht="11.25" x14ac:dyDescent="0.2">
      <c r="A143" s="11">
        <v>43229</v>
      </c>
      <c r="B143" s="380">
        <f>'2022'!Maxi_hp</f>
        <v>40.647662544730203</v>
      </c>
      <c r="C143" s="13">
        <f>'2022'!An_max</f>
        <v>2022</v>
      </c>
      <c r="D143" s="1070"/>
      <c r="E143" s="13"/>
      <c r="F143" s="13">
        <f t="shared" si="74"/>
        <v>11</v>
      </c>
      <c r="G143" s="13">
        <f t="shared" ref="G143:G206" si="76">INT((MATCH($A143,x.2m)+1)/2)*2</f>
        <v>10</v>
      </c>
      <c r="H143" s="173">
        <f t="shared" ref="H143:H206" si="77">INDEX(x.2m,F143)</f>
        <v>43234</v>
      </c>
      <c r="I143" s="754">
        <f t="shared" ref="I143:I206" si="78">($A143-H143)/(INDEX(x.2m,G143)-H143)</f>
        <v>0.35714285714285715</v>
      </c>
      <c r="J143" s="747">
        <f t="shared" ref="J143:J206" si="79">((1-I143)*(INDEX(a.m,F143)*$A143*$A143+INDEX(b.m,F143)*$A143+INDEX(c.m,F143))+I143*(INDEX(a.m,G143)*$A143*$A143+INDEX(b.m,G143)*$A143+INDEX(c.m,G143)))/10</f>
        <v>43.082225783009612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P143" s="13">
        <f t="shared" ref="AP143:AP206" si="80">INT(MATCH($A143,x.2lg)/2)*2+1</f>
        <v>7</v>
      </c>
      <c r="AQ143" s="13">
        <f t="shared" ref="AQ143:AQ206" si="81">INT((MATCH($A143,x.2lg)+1)/2)*2</f>
        <v>6</v>
      </c>
      <c r="AR143" s="173">
        <f t="shared" ref="AR143:AR206" si="82">INDEX(x.2lg,AP143)</f>
        <v>43248</v>
      </c>
      <c r="AS143" s="754">
        <f t="shared" ref="AS143:AS206" si="83">($A143-AR143)/(INDEX(x.2lg,AQ143)-AR143)</f>
        <v>0.6785714285714286</v>
      </c>
      <c r="AT143" s="770">
        <f t="shared" ref="AT143:AT206" si="84">((1-AS143)*(INDEX(a.lg,AP143)*$A143*$A143+INDEX(b.lg,AP143)*$A143+INDEX(c.lg,AP143))+AS143*(INDEX(a.lg,AQ143)*$A143*$A143+INDEX(b.lg,AQ143)*$A143+INDEX(c.lg,AQ143)))/10</f>
        <v>42.995107180399025</v>
      </c>
      <c r="AU143" s="13">
        <f t="shared" ref="AU143:AU206" si="85">INT(MATCH($A143,x.2ld)/2)*2+1</f>
        <v>5</v>
      </c>
      <c r="AV143" s="13">
        <f t="shared" ref="AV143:AV206" si="86">INT((MATCH($A143,x.2ld)+1)/2)*2</f>
        <v>6</v>
      </c>
      <c r="AW143" s="173">
        <f t="shared" ref="AW143:AW206" si="87">INDEX(x.2ld,AU143)</f>
        <v>43206</v>
      </c>
      <c r="AX143" s="754">
        <f t="shared" ref="AX143:AX206" si="88">($A143-AW143)/(INDEX(x.2ld,AV143)-AW143)</f>
        <v>0.8214285714285714</v>
      </c>
      <c r="AY143" s="770">
        <f t="shared" ref="AY143:AY206" si="89">((1-AX143)*(INDEX(a.ld,AU143)*$A143*$A143+INDEX(b.ld,AU143)*$A143+INDEX(c.ld,AU143))+AX143*(INDEX(a.ld,AV143)*$A143*$A143+INDEX(b.ld,AV143)*$A143+INDEX(c.ld,AV143)))/10</f>
        <v>43.061922862141259</v>
      </c>
      <c r="AZ143" s="747">
        <f t="shared" si="75"/>
        <v>43.028515021270138</v>
      </c>
      <c r="BA143" s="646">
        <f t="shared" ref="BA143:BA206" si="90">+B143/J143</f>
        <v>0.94349030965713176</v>
      </c>
      <c r="BB143" s="641">
        <v>43229</v>
      </c>
      <c r="BC143" s="11">
        <v>43229</v>
      </c>
      <c r="BD143" s="290">
        <f>[3]!FeuilCaduc*(1-Persistant)+Persistant</f>
        <v>0.86480577563855354</v>
      </c>
      <c r="BE143" s="291">
        <f>[3]!CroissVégét</f>
        <v>0.21061232458125589</v>
      </c>
      <c r="BF143" s="822">
        <f>1+[3]!Salcycl*Ksac</f>
        <v>1.0162014439096383</v>
      </c>
      <c r="BH143" s="1101">
        <f t="shared" ref="BH143:BH206" si="91">INDEX($BJ143:$BT143,,$BH$10)*(1-Ratini)+INDEX($BJ143:$BT143,,$BH$10+1)*Ratini</f>
        <v>0</v>
      </c>
      <c r="BI143" s="11">
        <v>44325</v>
      </c>
      <c r="BJ143" s="727">
        <v>0</v>
      </c>
      <c r="BK143" s="727">
        <v>0</v>
      </c>
      <c r="BL143" s="727">
        <v>0</v>
      </c>
      <c r="BM143" s="727">
        <v>0</v>
      </c>
      <c r="BN143" s="727">
        <v>0</v>
      </c>
      <c r="BO143" s="728">
        <v>0</v>
      </c>
      <c r="BP143" s="727">
        <v>5.3804105235190563E-8</v>
      </c>
      <c r="BQ143" s="727">
        <v>1.2167249808009987E-4</v>
      </c>
      <c r="BR143" s="727">
        <v>7.5600773934150029E-4</v>
      </c>
      <c r="BS143" s="727">
        <v>2.2993889910226301E-3</v>
      </c>
      <c r="BT143" s="727">
        <v>4.630305167359094E-3</v>
      </c>
      <c r="BW143" s="1157">
        <f>'2018'!R\Max</f>
        <v>0</v>
      </c>
      <c r="BX143" s="1155">
        <f>'2019'!R\Max</f>
        <v>0.82561467395634136</v>
      </c>
      <c r="BY143" s="1155">
        <f>'2020'!R\Max</f>
        <v>0.85398087824607394</v>
      </c>
      <c r="BZ143" s="1155">
        <f>'2021'!R\Max</f>
        <v>0.348655026184443</v>
      </c>
      <c r="CA143" s="1155">
        <f>'2022'!R\Max</f>
        <v>0.94349030965713176</v>
      </c>
      <c r="CB143" s="1155">
        <f>'2023'!R\Max</f>
        <v>0.94349030965713176</v>
      </c>
      <c r="CC143" s="1155">
        <f>'2024'!R\Max</f>
        <v>0.94349030958619873</v>
      </c>
      <c r="CD143" s="1155">
        <f>'2025'!R\Max</f>
        <v>0.94349030965713188</v>
      </c>
      <c r="CE143" s="1155">
        <f>'2026'!R\Max</f>
        <v>0.9434903096571321</v>
      </c>
      <c r="CF143" s="1156">
        <f>'2027'!R\Max</f>
        <v>0.9434903096571321</v>
      </c>
    </row>
    <row r="144" spans="1:84" s="6" customFormat="1" ht="11.25" x14ac:dyDescent="0.2">
      <c r="A144" s="11">
        <v>43230</v>
      </c>
      <c r="B144" s="380">
        <f>'2022'!Maxi_hp</f>
        <v>37.579575727883402</v>
      </c>
      <c r="C144" s="13">
        <f>'2022'!An_max</f>
        <v>2022</v>
      </c>
      <c r="D144" s="1070"/>
      <c r="E144" s="13"/>
      <c r="F144" s="13">
        <f t="shared" ref="F144:F207" si="92">INT(MATCH($A144,x.2m)/2)*2+1</f>
        <v>11</v>
      </c>
      <c r="G144" s="13">
        <f t="shared" si="76"/>
        <v>10</v>
      </c>
      <c r="H144" s="173">
        <f t="shared" si="77"/>
        <v>43234</v>
      </c>
      <c r="I144" s="754">
        <f t="shared" si="78"/>
        <v>0.2857142857142857</v>
      </c>
      <c r="J144" s="747">
        <f t="shared" si="79"/>
        <v>43.149068221556284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P144" s="13">
        <f t="shared" si="80"/>
        <v>7</v>
      </c>
      <c r="AQ144" s="13">
        <f t="shared" si="81"/>
        <v>6</v>
      </c>
      <c r="AR144" s="173">
        <f t="shared" si="82"/>
        <v>43248</v>
      </c>
      <c r="AS144" s="754">
        <f t="shared" si="83"/>
        <v>0.6428571428571429</v>
      </c>
      <c r="AT144" s="770">
        <f t="shared" si="84"/>
        <v>43.05157851653972</v>
      </c>
      <c r="AU144" s="13">
        <f t="shared" si="85"/>
        <v>5</v>
      </c>
      <c r="AV144" s="13">
        <f t="shared" si="86"/>
        <v>6</v>
      </c>
      <c r="AW144" s="173">
        <f t="shared" si="87"/>
        <v>43206</v>
      </c>
      <c r="AX144" s="754">
        <f t="shared" si="88"/>
        <v>0.8571428571428571</v>
      </c>
      <c r="AY144" s="770">
        <f t="shared" si="89"/>
        <v>43.130801167019776</v>
      </c>
      <c r="AZ144" s="747">
        <f t="shared" ref="AZ144:AZ207" si="93">(AY144+AT144)/2</f>
        <v>43.091189841779752</v>
      </c>
      <c r="BA144" s="646">
        <f t="shared" si="90"/>
        <v>0.8709243855492923</v>
      </c>
      <c r="BB144" s="641">
        <v>43230</v>
      </c>
      <c r="BC144" s="11">
        <v>43230</v>
      </c>
      <c r="BD144" s="290">
        <f>[3]!FeuilCaduc*(1-Persistant)+Persistant</f>
        <v>0.86732694975764535</v>
      </c>
      <c r="BE144" s="291">
        <f>[3]!CroissVégét</f>
        <v>0.21756231167469237</v>
      </c>
      <c r="BF144" s="822">
        <f>1+[3]!Salcycl*Ksac</f>
        <v>1.0168317374394114</v>
      </c>
      <c r="BH144" s="1101">
        <f t="shared" si="91"/>
        <v>0</v>
      </c>
      <c r="BI144" s="11">
        <v>44326</v>
      </c>
      <c r="BJ144" s="727">
        <v>0</v>
      </c>
      <c r="BK144" s="727">
        <v>0</v>
      </c>
      <c r="BL144" s="727">
        <v>0</v>
      </c>
      <c r="BM144" s="727">
        <v>0</v>
      </c>
      <c r="BN144" s="727">
        <v>0</v>
      </c>
      <c r="BO144" s="728">
        <v>0</v>
      </c>
      <c r="BP144" s="727">
        <v>3.8419402886341712E-8</v>
      </c>
      <c r="BQ144" s="727">
        <v>1.1068164163917995E-4</v>
      </c>
      <c r="BR144" s="727">
        <v>7.132740755739944E-4</v>
      </c>
      <c r="BS144" s="727">
        <v>2.2001068427556568E-3</v>
      </c>
      <c r="BT144" s="727">
        <v>4.4606135597536458E-3</v>
      </c>
      <c r="BW144" s="1157">
        <f>'2018'!R\Max</f>
        <v>0</v>
      </c>
      <c r="BX144" s="1155">
        <f>'2019'!R\Max</f>
        <v>0.66330744976211287</v>
      </c>
      <c r="BY144" s="1155">
        <f>'2020'!R\Max</f>
        <v>0.74403704792074843</v>
      </c>
      <c r="BZ144" s="1155">
        <f>'2021'!R\Max</f>
        <v>0.70722559292341658</v>
      </c>
      <c r="CA144" s="1155">
        <f>'2022'!R\Max</f>
        <v>0.8709243855492923</v>
      </c>
      <c r="CB144" s="1155">
        <f>'2023'!R\Max</f>
        <v>0.8709243855492923</v>
      </c>
      <c r="CC144" s="1155">
        <f>'2024'!R\Max</f>
        <v>0.87092438544054229</v>
      </c>
      <c r="CD144" s="1155">
        <f>'2025'!R\Max</f>
        <v>0.8709243855492923</v>
      </c>
      <c r="CE144" s="1155">
        <f>'2026'!R\Max</f>
        <v>0.87092438554929219</v>
      </c>
      <c r="CF144" s="1156">
        <f>'2027'!R\Max</f>
        <v>0.87092438554929219</v>
      </c>
    </row>
    <row r="145" spans="1:84" s="6" customFormat="1" ht="11.25" x14ac:dyDescent="0.2">
      <c r="A145" s="11">
        <v>43231</v>
      </c>
      <c r="B145" s="380">
        <f>'2022'!Maxi_hp</f>
        <v>40.531538531633224</v>
      </c>
      <c r="C145" s="13">
        <f>'2022'!An_max</f>
        <v>2022</v>
      </c>
      <c r="D145" s="1070"/>
      <c r="E145" s="13"/>
      <c r="F145" s="13">
        <f t="shared" si="92"/>
        <v>11</v>
      </c>
      <c r="G145" s="13">
        <f t="shared" si="76"/>
        <v>10</v>
      </c>
      <c r="H145" s="173">
        <f t="shared" si="77"/>
        <v>43234</v>
      </c>
      <c r="I145" s="754">
        <f t="shared" si="78"/>
        <v>0.21428571428571427</v>
      </c>
      <c r="J145" s="747">
        <f t="shared" si="79"/>
        <v>43.211343895377851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P145" s="13">
        <f t="shared" si="80"/>
        <v>7</v>
      </c>
      <c r="AQ145" s="13">
        <f t="shared" si="81"/>
        <v>6</v>
      </c>
      <c r="AR145" s="173">
        <f t="shared" si="82"/>
        <v>43248</v>
      </c>
      <c r="AS145" s="754">
        <f t="shared" si="83"/>
        <v>0.6071428571428571</v>
      </c>
      <c r="AT145" s="770">
        <f t="shared" si="84"/>
        <v>43.104276920189818</v>
      </c>
      <c r="AU145" s="13">
        <f t="shared" si="85"/>
        <v>5</v>
      </c>
      <c r="AV145" s="13">
        <f t="shared" si="86"/>
        <v>6</v>
      </c>
      <c r="AW145" s="173">
        <f t="shared" si="87"/>
        <v>43206</v>
      </c>
      <c r="AX145" s="754">
        <f t="shared" si="88"/>
        <v>0.8928571428571429</v>
      </c>
      <c r="AY145" s="770">
        <f t="shared" si="89"/>
        <v>43.196004653589</v>
      </c>
      <c r="AZ145" s="747">
        <f t="shared" si="93"/>
        <v>43.150140786889409</v>
      </c>
      <c r="BA145" s="646">
        <f t="shared" si="90"/>
        <v>0.93798375328865258</v>
      </c>
      <c r="BB145" s="641">
        <v>43231</v>
      </c>
      <c r="BC145" s="11">
        <v>43231</v>
      </c>
      <c r="BD145" s="290">
        <f>[3]!FeuilCaduc*(1-Persistant)+Persistant</f>
        <v>0.86988965368990123</v>
      </c>
      <c r="BE145" s="291">
        <f>[3]!CroissVégét</f>
        <v>0.22467491379142088</v>
      </c>
      <c r="BF145" s="822">
        <f>1+[3]!Salcycl*Ksac</f>
        <v>1.0174724134224753</v>
      </c>
      <c r="BH145" s="1101">
        <f t="shared" si="91"/>
        <v>0</v>
      </c>
      <c r="BI145" s="11">
        <v>44327</v>
      </c>
      <c r="BJ145" s="727">
        <v>0</v>
      </c>
      <c r="BK145" s="727">
        <v>0</v>
      </c>
      <c r="BL145" s="727">
        <v>0</v>
      </c>
      <c r="BM145" s="727">
        <v>0</v>
      </c>
      <c r="BN145" s="727">
        <v>0</v>
      </c>
      <c r="BO145" s="728">
        <v>0</v>
      </c>
      <c r="BP145" s="727">
        <v>2.5604651776227433E-8</v>
      </c>
      <c r="BQ145" s="727">
        <v>1.0055888368190274E-4</v>
      </c>
      <c r="BR145" s="727">
        <v>6.7301898274952992E-4</v>
      </c>
      <c r="BS145" s="727">
        <v>2.1054793654124654E-3</v>
      </c>
      <c r="BT145" s="727">
        <v>4.2974579619441348E-3</v>
      </c>
      <c r="BW145" s="1157">
        <f>'2018'!R\Max</f>
        <v>0</v>
      </c>
      <c r="BX145" s="1155">
        <f>'2019'!R\Max</f>
        <v>0.64196961913814432</v>
      </c>
      <c r="BY145" s="1155">
        <f>'2020'!R\Max</f>
        <v>0.21309440917041308</v>
      </c>
      <c r="BZ145" s="1155">
        <f>'2021'!R\Max</f>
        <v>0.57872934815185617</v>
      </c>
      <c r="CA145" s="1155">
        <f>'2022'!R\Max</f>
        <v>0.93798375328865258</v>
      </c>
      <c r="CB145" s="1155">
        <f>'2023'!R\Max</f>
        <v>0.93798375328865247</v>
      </c>
      <c r="CC145" s="1155">
        <f>'2024'!R\Max</f>
        <v>0.93798375325045258</v>
      </c>
      <c r="CD145" s="1155">
        <f>'2025'!R\Max</f>
        <v>0.93798375328865247</v>
      </c>
      <c r="CE145" s="1155">
        <f>'2026'!R\Max</f>
        <v>0.93798375328865258</v>
      </c>
      <c r="CF145" s="1156">
        <f>'2027'!R\Max</f>
        <v>0.93798375328865224</v>
      </c>
    </row>
    <row r="146" spans="1:84" s="6" customFormat="1" ht="11.25" x14ac:dyDescent="0.2">
      <c r="A146" s="11">
        <v>43232</v>
      </c>
      <c r="B146" s="380">
        <f>'2022'!Maxi_hp</f>
        <v>40.951725833965142</v>
      </c>
      <c r="C146" s="13">
        <f>'2022'!An_max</f>
        <v>2019</v>
      </c>
      <c r="D146" s="1070"/>
      <c r="E146" s="13"/>
      <c r="F146" s="13">
        <f t="shared" si="92"/>
        <v>11</v>
      </c>
      <c r="G146" s="13">
        <f t="shared" si="76"/>
        <v>10</v>
      </c>
      <c r="H146" s="173">
        <f t="shared" si="77"/>
        <v>43234</v>
      </c>
      <c r="I146" s="754">
        <f t="shared" si="78"/>
        <v>0.14285714285714285</v>
      </c>
      <c r="J146" s="747">
        <f t="shared" si="79"/>
        <v>43.268945772520134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P146" s="13">
        <f t="shared" si="80"/>
        <v>7</v>
      </c>
      <c r="AQ146" s="13">
        <f t="shared" si="81"/>
        <v>6</v>
      </c>
      <c r="AR146" s="173">
        <f t="shared" si="82"/>
        <v>43248</v>
      </c>
      <c r="AS146" s="754">
        <f t="shared" si="83"/>
        <v>0.5714285714285714</v>
      </c>
      <c r="AT146" s="770">
        <f t="shared" si="84"/>
        <v>43.153349562202187</v>
      </c>
      <c r="AU146" s="13">
        <f t="shared" si="85"/>
        <v>5</v>
      </c>
      <c r="AV146" s="13">
        <f t="shared" si="86"/>
        <v>6</v>
      </c>
      <c r="AW146" s="173">
        <f t="shared" si="87"/>
        <v>43206</v>
      </c>
      <c r="AX146" s="754">
        <f t="shared" si="88"/>
        <v>0.9285714285714286</v>
      </c>
      <c r="AY146" s="770">
        <f t="shared" si="89"/>
        <v>43.257546702665941</v>
      </c>
      <c r="AZ146" s="747">
        <f t="shared" si="93"/>
        <v>43.205448132434064</v>
      </c>
      <c r="BA146" s="646">
        <f t="shared" si="90"/>
        <v>0.94644611979368709</v>
      </c>
      <c r="BB146" s="641">
        <v>43232</v>
      </c>
      <c r="BC146" s="11">
        <v>43232</v>
      </c>
      <c r="BD146" s="290">
        <f>[3]!FeuilCaduc*(1-Persistant)+Persistant</f>
        <v>0.8724918450538246</v>
      </c>
      <c r="BE146" s="291">
        <f>[3]!CroissVégét</f>
        <v>0.23194968908707836</v>
      </c>
      <c r="BF146" s="822">
        <f>1+[3]!Salcycl*Ksac</f>
        <v>1.0181229612634561</v>
      </c>
      <c r="BH146" s="1101">
        <f t="shared" si="91"/>
        <v>0</v>
      </c>
      <c r="BI146" s="11">
        <v>44328</v>
      </c>
      <c r="BJ146" s="727">
        <v>0</v>
      </c>
      <c r="BK146" s="727">
        <v>0</v>
      </c>
      <c r="BL146" s="727">
        <v>0</v>
      </c>
      <c r="BM146" s="727">
        <v>0</v>
      </c>
      <c r="BN146" s="727">
        <v>0</v>
      </c>
      <c r="BO146" s="728">
        <v>0</v>
      </c>
      <c r="BP146" s="727">
        <v>1.5357687855306134E-8</v>
      </c>
      <c r="BQ146" s="727">
        <v>9.1303623070607264E-5</v>
      </c>
      <c r="BR146" s="727">
        <v>6.3524095031589013E-4</v>
      </c>
      <c r="BS146" s="727">
        <v>2.0155040211839621E-3</v>
      </c>
      <c r="BT146" s="727">
        <v>4.1408352856677827E-3</v>
      </c>
      <c r="BW146" s="1157">
        <f>'2018'!R\Max</f>
        <v>0</v>
      </c>
      <c r="BX146" s="1155">
        <f>'2019'!R\Max</f>
        <v>0.94644611979368709</v>
      </c>
      <c r="BY146" s="1155">
        <f>'2020'!R\Max</f>
        <v>0.16400583705322802</v>
      </c>
      <c r="BZ146" s="1155">
        <f>'2021'!R\Max</f>
        <v>0.62128445332033744</v>
      </c>
      <c r="CA146" s="1155">
        <f>'2022'!R\Max</f>
        <v>0.72100349372040806</v>
      </c>
      <c r="CB146" s="1155">
        <f>'2023'!R\Max</f>
        <v>0.72100349372040817</v>
      </c>
      <c r="CC146" s="1155">
        <f>'2024'!R\Max</f>
        <v>0.7210034936396843</v>
      </c>
      <c r="CD146" s="1155">
        <f>'2025'!R\Max</f>
        <v>0.72100349372040839</v>
      </c>
      <c r="CE146" s="1155">
        <f>'2026'!R\Max</f>
        <v>0.72100349372040817</v>
      </c>
      <c r="CF146" s="1156">
        <f>'2027'!R\Max</f>
        <v>0.72100349372040817</v>
      </c>
    </row>
    <row r="147" spans="1:84" s="6" customFormat="1" ht="11.25" x14ac:dyDescent="0.2">
      <c r="A147" s="11">
        <v>43233</v>
      </c>
      <c r="B147" s="380">
        <f>'2022'!Maxi_hp</f>
        <v>45.292153927540518</v>
      </c>
      <c r="C147" s="13">
        <f>'2022'!An_max</f>
        <v>2019</v>
      </c>
      <c r="D147" s="1070"/>
      <c r="E147" s="13"/>
      <c r="F147" s="13">
        <f t="shared" si="92"/>
        <v>11</v>
      </c>
      <c r="G147" s="13">
        <f t="shared" si="76"/>
        <v>10</v>
      </c>
      <c r="H147" s="173">
        <f t="shared" si="77"/>
        <v>43234</v>
      </c>
      <c r="I147" s="754">
        <f t="shared" si="78"/>
        <v>7.1428571428571425E-2</v>
      </c>
      <c r="J147" s="747">
        <f t="shared" si="79"/>
        <v>43.32176681772939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P147" s="13">
        <f t="shared" si="80"/>
        <v>7</v>
      </c>
      <c r="AQ147" s="13">
        <f t="shared" si="81"/>
        <v>6</v>
      </c>
      <c r="AR147" s="173">
        <f t="shared" si="82"/>
        <v>43248</v>
      </c>
      <c r="AS147" s="754">
        <f t="shared" si="83"/>
        <v>0.5357142857142857</v>
      </c>
      <c r="AT147" s="770">
        <f t="shared" si="84"/>
        <v>43.198943615106067</v>
      </c>
      <c r="AU147" s="13">
        <f t="shared" si="85"/>
        <v>5</v>
      </c>
      <c r="AV147" s="13">
        <f t="shared" si="86"/>
        <v>6</v>
      </c>
      <c r="AW147" s="173">
        <f t="shared" si="87"/>
        <v>43206</v>
      </c>
      <c r="AX147" s="754">
        <f t="shared" si="88"/>
        <v>0.9642857142857143</v>
      </c>
      <c r="AY147" s="770">
        <f t="shared" si="89"/>
        <v>43.315440691714841</v>
      </c>
      <c r="AZ147" s="747">
        <f t="shared" si="93"/>
        <v>43.257192153410458</v>
      </c>
      <c r="BA147" s="646">
        <f t="shared" si="90"/>
        <v>1.0454826119650491</v>
      </c>
      <c r="BB147" s="641">
        <v>43233</v>
      </c>
      <c r="BC147" s="11">
        <v>43233</v>
      </c>
      <c r="BD147" s="290">
        <f>[3]!FeuilCaduc*(1-Persistant)+Persistant</f>
        <v>0.87513134968609607</v>
      </c>
      <c r="BE147" s="291">
        <f>[3]!CroissVégét</f>
        <v>0.23938589533798257</v>
      </c>
      <c r="BF147" s="822">
        <f>1+[3]!Salcycl*Ksac</f>
        <v>1.018782837421524</v>
      </c>
      <c r="BH147" s="1101">
        <f t="shared" si="91"/>
        <v>0</v>
      </c>
      <c r="BI147" s="11">
        <v>44329</v>
      </c>
      <c r="BJ147" s="727">
        <v>0</v>
      </c>
      <c r="BK147" s="727">
        <v>0</v>
      </c>
      <c r="BL147" s="727">
        <v>0</v>
      </c>
      <c r="BM147" s="727">
        <v>0</v>
      </c>
      <c r="BN147" s="727">
        <v>0</v>
      </c>
      <c r="BO147" s="728">
        <v>0</v>
      </c>
      <c r="BP147" s="727">
        <v>7.676224074567408E-9</v>
      </c>
      <c r="BQ147" s="727">
        <v>8.2915222331593621E-5</v>
      </c>
      <c r="BR147" s="727">
        <v>5.9993837403452335E-4</v>
      </c>
      <c r="BS147" s="727">
        <v>1.9301781130386996E-3</v>
      </c>
      <c r="BT147" s="727">
        <v>3.9907422456847532E-3</v>
      </c>
      <c r="BW147" s="1157">
        <f>'2018'!R\Max</f>
        <v>0</v>
      </c>
      <c r="BX147" s="1155">
        <f>'2019'!R\Max</f>
        <v>1.0454826119650491</v>
      </c>
      <c r="BY147" s="1155">
        <f>'2020'!R\Max</f>
        <v>0.37578164583414547</v>
      </c>
      <c r="BZ147" s="1155">
        <f>'2021'!R\Max</f>
        <v>0.79923231247443294</v>
      </c>
      <c r="CA147" s="1155">
        <f>'2022'!R\Max</f>
        <v>0.78628275633076172</v>
      </c>
      <c r="CB147" s="1155">
        <f>'2023'!R\Max</f>
        <v>0.78628275633076161</v>
      </c>
      <c r="CC147" s="1155">
        <f>'2024'!R\Max</f>
        <v>0.78628275629641364</v>
      </c>
      <c r="CD147" s="1155">
        <f>'2025'!R\Max</f>
        <v>0.78628275633076161</v>
      </c>
      <c r="CE147" s="1155">
        <f>'2026'!R\Max</f>
        <v>0.78628275633076172</v>
      </c>
      <c r="CF147" s="1156">
        <f>'2027'!R\Max</f>
        <v>0.78628275633076161</v>
      </c>
    </row>
    <row r="148" spans="1:84" s="6" customFormat="1" ht="11.25" x14ac:dyDescent="0.2">
      <c r="A148" s="11">
        <v>43234</v>
      </c>
      <c r="B148" s="380">
        <f>'2022'!Maxi_hp</f>
        <v>43.95743971785987</v>
      </c>
      <c r="C148" s="13">
        <f>'2022'!An_max</f>
        <v>2019</v>
      </c>
      <c r="D148" s="1070"/>
      <c r="E148" s="1073">
        <f>W$13/10</f>
        <v>43.369700000000002</v>
      </c>
      <c r="F148" s="13">
        <f t="shared" si="92"/>
        <v>11</v>
      </c>
      <c r="G148" s="13">
        <f t="shared" si="76"/>
        <v>12</v>
      </c>
      <c r="H148" s="173">
        <f t="shared" si="77"/>
        <v>43234</v>
      </c>
      <c r="I148" s="754">
        <f t="shared" si="78"/>
        <v>0</v>
      </c>
      <c r="J148" s="747">
        <f t="shared" si="79"/>
        <v>43.369699999690056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P148" s="13">
        <f t="shared" si="80"/>
        <v>7</v>
      </c>
      <c r="AQ148" s="13">
        <f t="shared" si="81"/>
        <v>6</v>
      </c>
      <c r="AR148" s="173">
        <f t="shared" si="82"/>
        <v>43248</v>
      </c>
      <c r="AS148" s="754">
        <f t="shared" si="83"/>
        <v>0.5</v>
      </c>
      <c r="AT148" s="770">
        <f t="shared" si="84"/>
        <v>43.241206249408421</v>
      </c>
      <c r="AU148" s="13">
        <f t="shared" si="85"/>
        <v>7</v>
      </c>
      <c r="AV148" s="13">
        <f t="shared" si="86"/>
        <v>6</v>
      </c>
      <c r="AW148" s="173">
        <f t="shared" si="87"/>
        <v>43262</v>
      </c>
      <c r="AX148" s="754">
        <f t="shared" si="88"/>
        <v>1</v>
      </c>
      <c r="AY148" s="770">
        <f t="shared" si="89"/>
        <v>43.369699999690056</v>
      </c>
      <c r="AZ148" s="747">
        <f t="shared" si="93"/>
        <v>43.305453124549238</v>
      </c>
      <c r="BA148" s="646">
        <f t="shared" si="90"/>
        <v>1.0135518511351016</v>
      </c>
      <c r="BB148" s="641">
        <v>43234</v>
      </c>
      <c r="BC148" s="11">
        <v>43234</v>
      </c>
      <c r="BD148" s="290">
        <f>[3]!FeuilCaduc*(1-Persistant)+Persistant</f>
        <v>0.87780586363088453</v>
      </c>
      <c r="BE148" s="291">
        <f>[3]!CroissVégét</f>
        <v>0.24698247846918731</v>
      </c>
      <c r="BF148" s="822">
        <f>1+[3]!Salcycl*Ksac</f>
        <v>1.0194514659077212</v>
      </c>
      <c r="BH148" s="1101">
        <f t="shared" si="91"/>
        <v>0</v>
      </c>
      <c r="BI148" s="11">
        <v>44330</v>
      </c>
      <c r="BJ148" s="727">
        <v>0</v>
      </c>
      <c r="BK148" s="727">
        <v>0</v>
      </c>
      <c r="BL148" s="727">
        <v>0</v>
      </c>
      <c r="BM148" s="727">
        <v>0</v>
      </c>
      <c r="BN148" s="727">
        <v>0</v>
      </c>
      <c r="BO148" s="728">
        <v>0</v>
      </c>
      <c r="BP148" s="727">
        <v>2.5578447621909599E-9</v>
      </c>
      <c r="BQ148" s="727">
        <v>7.5393005762387937E-5</v>
      </c>
      <c r="BR148" s="727">
        <v>5.6710955058691438E-4</v>
      </c>
      <c r="BS148" s="727">
        <v>1.8494987746087062E-3</v>
      </c>
      <c r="BT148" s="727">
        <v>3.8471753455996613E-3</v>
      </c>
      <c r="BW148" s="1157">
        <f>'2018'!R\Max</f>
        <v>0</v>
      </c>
      <c r="BX148" s="1155">
        <f>'2019'!R\Max</f>
        <v>1.0135518511351016</v>
      </c>
      <c r="BY148" s="1155">
        <f>'2020'!R\Max</f>
        <v>0.56815079260013845</v>
      </c>
      <c r="BZ148" s="1155">
        <f>'2021'!R\Max</f>
        <v>0.71661426528921113</v>
      </c>
      <c r="CA148" s="1155">
        <f>'2022'!R\Max</f>
        <v>0.81813314729520159</v>
      </c>
      <c r="CB148" s="1155">
        <f>'2023'!R\Max</f>
        <v>0.81813314729520181</v>
      </c>
      <c r="CC148" s="1155">
        <f>'2024'!R\Max</f>
        <v>0.81813314728487252</v>
      </c>
      <c r="CD148" s="1155">
        <f>'2025'!R\Max</f>
        <v>0.81813314729520181</v>
      </c>
      <c r="CE148" s="1155">
        <f>'2026'!R\Max</f>
        <v>0.81813314729520159</v>
      </c>
      <c r="CF148" s="1156">
        <f>'2027'!R\Max</f>
        <v>0.81813314729520159</v>
      </c>
    </row>
    <row r="149" spans="1:84" s="6" customFormat="1" ht="11.25" x14ac:dyDescent="0.2">
      <c r="A149" s="11">
        <v>43235</v>
      </c>
      <c r="B149" s="380">
        <f>'2022'!Maxi_hp</f>
        <v>44.25827136765831</v>
      </c>
      <c r="C149" s="13">
        <f>'2022'!An_max</f>
        <v>2019</v>
      </c>
      <c r="D149" s="1070"/>
      <c r="E149" s="13"/>
      <c r="F149" s="13">
        <f t="shared" si="92"/>
        <v>11</v>
      </c>
      <c r="G149" s="13">
        <f t="shared" si="76"/>
        <v>12</v>
      </c>
      <c r="H149" s="173">
        <f t="shared" si="77"/>
        <v>43234</v>
      </c>
      <c r="I149" s="754">
        <f t="shared" si="78"/>
        <v>7.1428571428571425E-2</v>
      </c>
      <c r="J149" s="747">
        <f t="shared" si="79"/>
        <v>43.411746337530865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P149" s="13">
        <f t="shared" si="80"/>
        <v>7</v>
      </c>
      <c r="AQ149" s="13">
        <f t="shared" si="81"/>
        <v>6</v>
      </c>
      <c r="AR149" s="173">
        <f t="shared" si="82"/>
        <v>43248</v>
      </c>
      <c r="AS149" s="754">
        <f t="shared" si="83"/>
        <v>0.4642857142857143</v>
      </c>
      <c r="AT149" s="770">
        <f t="shared" si="84"/>
        <v>43.280284636347957</v>
      </c>
      <c r="AU149" s="13">
        <f t="shared" si="85"/>
        <v>7</v>
      </c>
      <c r="AV149" s="13">
        <f t="shared" si="86"/>
        <v>6</v>
      </c>
      <c r="AW149" s="173">
        <f t="shared" si="87"/>
        <v>43262</v>
      </c>
      <c r="AX149" s="754">
        <f t="shared" si="88"/>
        <v>0.9642857142857143</v>
      </c>
      <c r="AY149" s="770">
        <f t="shared" si="89"/>
        <v>43.419189627515152</v>
      </c>
      <c r="AZ149" s="747">
        <f t="shared" si="93"/>
        <v>43.349737131931555</v>
      </c>
      <c r="BA149" s="646">
        <f t="shared" si="90"/>
        <v>1.0194999073187616</v>
      </c>
      <c r="BB149" s="641">
        <v>43235</v>
      </c>
      <c r="BC149" s="11">
        <v>43235</v>
      </c>
      <c r="BD149" s="290">
        <f>[3]!FeuilCaduc*(1-Persistant)+Persistant</f>
        <v>0.88051295581758837</v>
      </c>
      <c r="BE149" s="291">
        <f>[3]!CroissVégét</f>
        <v>0.25473806189926657</v>
      </c>
      <c r="BF149" s="822">
        <f>1+[3]!Salcycl*Ksac</f>
        <v>1.0201282389543971</v>
      </c>
      <c r="BH149" s="1101">
        <f t="shared" si="91"/>
        <v>0</v>
      </c>
      <c r="BI149" s="11">
        <v>44331</v>
      </c>
      <c r="BJ149" s="727">
        <v>0</v>
      </c>
      <c r="BK149" s="727">
        <v>0</v>
      </c>
      <c r="BL149" s="727">
        <v>0</v>
      </c>
      <c r="BM149" s="727">
        <v>0</v>
      </c>
      <c r="BN149" s="727">
        <v>0</v>
      </c>
      <c r="BO149" s="728">
        <v>0</v>
      </c>
      <c r="BP149" s="727">
        <v>0</v>
      </c>
      <c r="BQ149" s="727">
        <v>6.8736257538394663E-5</v>
      </c>
      <c r="BR149" s="727">
        <v>5.3675267217707533E-4</v>
      </c>
      <c r="BS149" s="727">
        <v>1.7734629600634553E-3</v>
      </c>
      <c r="BT149" s="727">
        <v>3.7101308636591401E-3</v>
      </c>
      <c r="BW149" s="1157">
        <f>'2018'!R\Max</f>
        <v>0</v>
      </c>
      <c r="BX149" s="1155">
        <f>'2019'!R\Max</f>
        <v>1.0194999073187616</v>
      </c>
      <c r="BY149" s="1155">
        <f>'2020'!R\Max</f>
        <v>0.27524429119696353</v>
      </c>
      <c r="BZ149" s="1155">
        <f>'2021'!R\Max</f>
        <v>0.3421929242501448</v>
      </c>
      <c r="CA149" s="1155">
        <f>'2022'!R\Max</f>
        <v>0.87066710132476532</v>
      </c>
      <c r="CB149" s="1155">
        <f>'2023'!R\Max</f>
        <v>0.87066710132476521</v>
      </c>
      <c r="CC149" s="1155">
        <f>'2024'!R\Max</f>
        <v>0.87066710132476532</v>
      </c>
      <c r="CD149" s="1155">
        <f>'2025'!R\Max</f>
        <v>0.87066710132476499</v>
      </c>
      <c r="CE149" s="1155">
        <f>'2026'!R\Max</f>
        <v>0.87066710132476499</v>
      </c>
      <c r="CF149" s="1156">
        <f>'2027'!R\Max</f>
        <v>0.87066710132476488</v>
      </c>
    </row>
    <row r="150" spans="1:84" s="6" customFormat="1" ht="11.25" x14ac:dyDescent="0.2">
      <c r="A150" s="11">
        <v>43236</v>
      </c>
      <c r="B150" s="380">
        <f>'2022'!Maxi_hp</f>
        <v>36.612235094431377</v>
      </c>
      <c r="C150" s="13">
        <f>'2022'!An_max</f>
        <v>2022</v>
      </c>
      <c r="D150" s="1070"/>
      <c r="E150" s="13"/>
      <c r="F150" s="13">
        <f t="shared" si="92"/>
        <v>11</v>
      </c>
      <c r="G150" s="13">
        <f t="shared" si="76"/>
        <v>12</v>
      </c>
      <c r="H150" s="173">
        <f t="shared" si="77"/>
        <v>43234</v>
      </c>
      <c r="I150" s="754">
        <f t="shared" si="78"/>
        <v>0.14285714285714285</v>
      </c>
      <c r="J150" s="747">
        <f t="shared" si="79"/>
        <v>43.447334984902824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P150" s="13">
        <f t="shared" si="80"/>
        <v>7</v>
      </c>
      <c r="AQ150" s="13">
        <f t="shared" si="81"/>
        <v>6</v>
      </c>
      <c r="AR150" s="173">
        <f t="shared" si="82"/>
        <v>43248</v>
      </c>
      <c r="AS150" s="754">
        <f t="shared" si="83"/>
        <v>0.42857142857142855</v>
      </c>
      <c r="AT150" s="770">
        <f t="shared" si="84"/>
        <v>43.316325947003705</v>
      </c>
      <c r="AU150" s="13">
        <f t="shared" si="85"/>
        <v>7</v>
      </c>
      <c r="AV150" s="13">
        <f t="shared" si="86"/>
        <v>6</v>
      </c>
      <c r="AW150" s="173">
        <f t="shared" si="87"/>
        <v>43262</v>
      </c>
      <c r="AX150" s="754">
        <f t="shared" si="88"/>
        <v>0.9285714285714286</v>
      </c>
      <c r="AY150" s="770">
        <f t="shared" si="89"/>
        <v>43.462926203837348</v>
      </c>
      <c r="AZ150" s="747">
        <f t="shared" si="93"/>
        <v>43.389626075420523</v>
      </c>
      <c r="BA150" s="646">
        <f t="shared" si="90"/>
        <v>0.84268080210566376</v>
      </c>
      <c r="BB150" s="641">
        <v>43236</v>
      </c>
      <c r="BC150" s="11">
        <v>43236</v>
      </c>
      <c r="BD150" s="290">
        <f>[3]!FeuilCaduc*(1-Persistant)+Persistant</f>
        <v>0.88325007144970769</v>
      </c>
      <c r="BE150" s="291">
        <f>[3]!CroissVégét</f>
        <v>0.2626509368215188</v>
      </c>
      <c r="BF150" s="822">
        <f>1+[3]!Salcycl*Ksac</f>
        <v>1.020812517862427</v>
      </c>
      <c r="BH150" s="1101">
        <f t="shared" si="91"/>
        <v>0</v>
      </c>
      <c r="BI150" s="11">
        <v>44332</v>
      </c>
      <c r="BJ150" s="727">
        <v>0</v>
      </c>
      <c r="BK150" s="727">
        <v>0</v>
      </c>
      <c r="BL150" s="727">
        <v>0</v>
      </c>
      <c r="BM150" s="727">
        <v>0</v>
      </c>
      <c r="BN150" s="727">
        <v>0</v>
      </c>
      <c r="BO150" s="728">
        <v>0</v>
      </c>
      <c r="BP150" s="727">
        <v>0</v>
      </c>
      <c r="BQ150" s="727">
        <v>6.315893276584691E-5</v>
      </c>
      <c r="BR150" s="727">
        <v>5.0970038444481927E-4</v>
      </c>
      <c r="BS150" s="727">
        <v>1.7034998147967943E-3</v>
      </c>
      <c r="BT150" s="727">
        <v>3.5813982910559254E-3</v>
      </c>
      <c r="BW150" s="1157">
        <f>'2018'!R\Max</f>
        <v>0</v>
      </c>
      <c r="BX150" s="1155">
        <f>'2019'!R\Max</f>
        <v>0.83900845931074441</v>
      </c>
      <c r="BY150" s="1155">
        <f>'2020'!R\Max</f>
        <v>0.34108528400813087</v>
      </c>
      <c r="BZ150" s="1155">
        <f>'2021'!R\Max</f>
        <v>0.22723618816397168</v>
      </c>
      <c r="CA150" s="1155">
        <f>'2022'!R\Max</f>
        <v>0.84268080210566376</v>
      </c>
      <c r="CB150" s="1155">
        <f>'2023'!R\Max</f>
        <v>0.84268080210566354</v>
      </c>
      <c r="CC150" s="1155">
        <f>'2024'!R\Max</f>
        <v>0.84268080210566376</v>
      </c>
      <c r="CD150" s="1155">
        <f>'2025'!R\Max</f>
        <v>0.84268080210566354</v>
      </c>
      <c r="CE150" s="1155">
        <f>'2026'!R\Max</f>
        <v>0.84268080210566343</v>
      </c>
      <c r="CF150" s="1156">
        <f>'2027'!R\Max</f>
        <v>0.84268080210566354</v>
      </c>
    </row>
    <row r="151" spans="1:84" s="6" customFormat="1" ht="11.25" x14ac:dyDescent="0.2">
      <c r="A151" s="11">
        <v>43237</v>
      </c>
      <c r="B151" s="380">
        <f>'2022'!Maxi_hp</f>
        <v>40.085945831650221</v>
      </c>
      <c r="C151" s="13">
        <f>'2022'!An_max</f>
        <v>2021</v>
      </c>
      <c r="D151" s="1070"/>
      <c r="E151" s="13"/>
      <c r="F151" s="13">
        <f t="shared" si="92"/>
        <v>11</v>
      </c>
      <c r="G151" s="13">
        <f t="shared" si="76"/>
        <v>12</v>
      </c>
      <c r="H151" s="173">
        <f t="shared" si="77"/>
        <v>43234</v>
      </c>
      <c r="I151" s="754">
        <f t="shared" si="78"/>
        <v>0.21428571428571427</v>
      </c>
      <c r="J151" s="747">
        <f t="shared" si="79"/>
        <v>43.47700111163514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P151" s="13">
        <f t="shared" si="80"/>
        <v>7</v>
      </c>
      <c r="AQ151" s="13">
        <f t="shared" si="81"/>
        <v>6</v>
      </c>
      <c r="AR151" s="173">
        <f t="shared" si="82"/>
        <v>43248</v>
      </c>
      <c r="AS151" s="754">
        <f t="shared" si="83"/>
        <v>0.39285714285714285</v>
      </c>
      <c r="AT151" s="770">
        <f t="shared" si="84"/>
        <v>43.349477353093349</v>
      </c>
      <c r="AU151" s="13">
        <f t="shared" si="85"/>
        <v>7</v>
      </c>
      <c r="AV151" s="13">
        <f t="shared" si="86"/>
        <v>6</v>
      </c>
      <c r="AW151" s="173">
        <f t="shared" si="87"/>
        <v>43262</v>
      </c>
      <c r="AX151" s="754">
        <f t="shared" si="88"/>
        <v>0.8928571428571429</v>
      </c>
      <c r="AY151" s="770">
        <f t="shared" si="89"/>
        <v>43.501150552030388</v>
      </c>
      <c r="AZ151" s="747">
        <f t="shared" si="93"/>
        <v>43.425313952561865</v>
      </c>
      <c r="BA151" s="646">
        <f t="shared" si="90"/>
        <v>0.92200346865512262</v>
      </c>
      <c r="BB151" s="641">
        <v>43237</v>
      </c>
      <c r="BC151" s="11">
        <v>43237</v>
      </c>
      <c r="BD151" s="290">
        <f>[3]!FeuilCaduc*(1-Persistant)+Persistant</f>
        <v>0.88601453612226877</v>
      </c>
      <c r="BE151" s="291">
        <f>[3]!CroissVégét</f>
        <v>0.27071905354146641</v>
      </c>
      <c r="BF151" s="822">
        <f>1+[3]!Salcycl*Ksac</f>
        <v>1.0215036340305672</v>
      </c>
      <c r="BH151" s="1101">
        <f t="shared" si="91"/>
        <v>0</v>
      </c>
      <c r="BI151" s="11">
        <v>44333</v>
      </c>
      <c r="BJ151" s="727">
        <v>0</v>
      </c>
      <c r="BK151" s="727">
        <v>0</v>
      </c>
      <c r="BL151" s="727">
        <v>0</v>
      </c>
      <c r="BM151" s="727">
        <v>0</v>
      </c>
      <c r="BN151" s="727">
        <v>0</v>
      </c>
      <c r="BO151" s="728">
        <v>0</v>
      </c>
      <c r="BP151" s="727">
        <v>0</v>
      </c>
      <c r="BQ151" s="727">
        <v>5.8262434056195011E-5</v>
      </c>
      <c r="BR151" s="727">
        <v>4.8595600307973087E-4</v>
      </c>
      <c r="BS151" s="727">
        <v>1.6406503884581264E-3</v>
      </c>
      <c r="BT151" s="727">
        <v>3.4640831561351861E-3</v>
      </c>
      <c r="BW151" s="1157">
        <f>'2018'!R\Max</f>
        <v>0</v>
      </c>
      <c r="BX151" s="1155">
        <f>'2019'!R\Max</f>
        <v>0.12417923505677875</v>
      </c>
      <c r="BY151" s="1155">
        <f>'2020'!R\Max</f>
        <v>0.58514515190944627</v>
      </c>
      <c r="BZ151" s="1155">
        <f>'2021'!R\Max</f>
        <v>0.92200346865512262</v>
      </c>
      <c r="CA151" s="1155">
        <f>'2022'!R\Max</f>
        <v>0.90525654706792136</v>
      </c>
      <c r="CB151" s="1155">
        <f>'2023'!R\Max</f>
        <v>0.90525654706792136</v>
      </c>
      <c r="CC151" s="1155">
        <f>'2024'!R\Max</f>
        <v>0.90525654706792136</v>
      </c>
      <c r="CD151" s="1155">
        <f>'2025'!R\Max</f>
        <v>0.90525654706792102</v>
      </c>
      <c r="CE151" s="1155">
        <f>'2026'!R\Max</f>
        <v>0.90525654706792125</v>
      </c>
      <c r="CF151" s="1156">
        <f>'2027'!R\Max</f>
        <v>0.90525654706792125</v>
      </c>
    </row>
    <row r="152" spans="1:84" s="6" customFormat="1" ht="11.25" x14ac:dyDescent="0.2">
      <c r="A152" s="11">
        <v>43238</v>
      </c>
      <c r="B152" s="380">
        <f>'2022'!Maxi_hp</f>
        <v>44.898392288883365</v>
      </c>
      <c r="C152" s="13">
        <f>'2022'!An_max</f>
        <v>2020</v>
      </c>
      <c r="D152" s="1070"/>
      <c r="E152" s="13"/>
      <c r="F152" s="13">
        <f t="shared" si="92"/>
        <v>11</v>
      </c>
      <c r="G152" s="13">
        <f t="shared" si="76"/>
        <v>12</v>
      </c>
      <c r="H152" s="173">
        <f t="shared" si="77"/>
        <v>43234</v>
      </c>
      <c r="I152" s="754">
        <f t="shared" si="78"/>
        <v>0.2857142857142857</v>
      </c>
      <c r="J152" s="747">
        <f t="shared" si="79"/>
        <v>43.501279883405985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P152" s="13">
        <f t="shared" si="80"/>
        <v>7</v>
      </c>
      <c r="AQ152" s="13">
        <f t="shared" si="81"/>
        <v>6</v>
      </c>
      <c r="AR152" s="173">
        <f t="shared" si="82"/>
        <v>43248</v>
      </c>
      <c r="AS152" s="754">
        <f t="shared" si="83"/>
        <v>0.35714285714285715</v>
      </c>
      <c r="AT152" s="770">
        <f t="shared" si="84"/>
        <v>43.379886023806669</v>
      </c>
      <c r="AU152" s="13">
        <f t="shared" si="85"/>
        <v>7</v>
      </c>
      <c r="AV152" s="13">
        <f t="shared" si="86"/>
        <v>6</v>
      </c>
      <c r="AW152" s="173">
        <f t="shared" si="87"/>
        <v>43262</v>
      </c>
      <c r="AX152" s="754">
        <f t="shared" si="88"/>
        <v>0.8571428571428571</v>
      </c>
      <c r="AY152" s="770">
        <f t="shared" si="89"/>
        <v>43.534103498953797</v>
      </c>
      <c r="AZ152" s="747">
        <f t="shared" si="93"/>
        <v>43.45699476138023</v>
      </c>
      <c r="BA152" s="646">
        <f t="shared" si="90"/>
        <v>1.0321165816091384</v>
      </c>
      <c r="BB152" s="641">
        <v>43238</v>
      </c>
      <c r="BC152" s="11">
        <v>43238</v>
      </c>
      <c r="BD152" s="290">
        <f>[3]!FeuilCaduc*(1-Persistant)+Persistant</f>
        <v>0.88880356067956079</v>
      </c>
      <c r="BE152" s="291">
        <f>[3]!CroissVégét</f>
        <v>0.27894001398938062</v>
      </c>
      <c r="BF152" s="822">
        <f>1+[3]!Salcycl*Ksac</f>
        <v>1.0222008901698902</v>
      </c>
      <c r="BH152" s="1101">
        <f t="shared" si="91"/>
        <v>0</v>
      </c>
      <c r="BI152" s="11">
        <v>44334</v>
      </c>
      <c r="BJ152" s="727">
        <v>0</v>
      </c>
      <c r="BK152" s="727">
        <v>0</v>
      </c>
      <c r="BL152" s="727">
        <v>0</v>
      </c>
      <c r="BM152" s="727">
        <v>0</v>
      </c>
      <c r="BN152" s="727">
        <v>0</v>
      </c>
      <c r="BO152" s="728">
        <v>0</v>
      </c>
      <c r="BP152" s="727">
        <v>0</v>
      </c>
      <c r="BQ152" s="727">
        <v>5.404612122050695E-5</v>
      </c>
      <c r="BR152" s="727">
        <v>4.6551636696392986E-4</v>
      </c>
      <c r="BS152" s="727">
        <v>1.5849080967564688E-3</v>
      </c>
      <c r="BT152" s="727">
        <v>3.3581751893776175E-3</v>
      </c>
      <c r="BW152" s="1157">
        <f>'2018'!R\Max</f>
        <v>0</v>
      </c>
      <c r="BX152" s="1155">
        <f>'2019'!R\Max</f>
        <v>0.63190999646196999</v>
      </c>
      <c r="BY152" s="1155">
        <f>'2020'!R\Max</f>
        <v>1.0321165816091384</v>
      </c>
      <c r="BZ152" s="1155">
        <f>'2021'!R\Max</f>
        <v>0.56703407226026881</v>
      </c>
      <c r="CA152" s="1155">
        <f>'2022'!R\Max</f>
        <v>0.87025099238758552</v>
      </c>
      <c r="CB152" s="1155">
        <f>'2023'!R\Max</f>
        <v>0.87025099238758552</v>
      </c>
      <c r="CC152" s="1155">
        <f>'2024'!R\Max</f>
        <v>0.87025099238758552</v>
      </c>
      <c r="CD152" s="1155">
        <f>'2025'!R\Max</f>
        <v>0.87025099238758563</v>
      </c>
      <c r="CE152" s="1155">
        <f>'2026'!R\Max</f>
        <v>0.87025099238758563</v>
      </c>
      <c r="CF152" s="1156">
        <f>'2027'!R\Max</f>
        <v>0.87025099238758552</v>
      </c>
    </row>
    <row r="153" spans="1:84" s="6" customFormat="1" ht="11.25" x14ac:dyDescent="0.2">
      <c r="A153" s="11">
        <v>43239</v>
      </c>
      <c r="B153" s="380">
        <f>'2022'!Maxi_hp</f>
        <v>44.234710656745264</v>
      </c>
      <c r="C153" s="13">
        <f>'2022'!An_max</f>
        <v>2020</v>
      </c>
      <c r="D153" s="1070"/>
      <c r="E153" s="13"/>
      <c r="F153" s="13">
        <f t="shared" si="92"/>
        <v>11</v>
      </c>
      <c r="G153" s="13">
        <f t="shared" si="76"/>
        <v>12</v>
      </c>
      <c r="H153" s="173">
        <f t="shared" si="77"/>
        <v>43234</v>
      </c>
      <c r="I153" s="754">
        <f t="shared" si="78"/>
        <v>0.35714285714285715</v>
      </c>
      <c r="J153" s="747">
        <f t="shared" si="79"/>
        <v>43.520706468128729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P153" s="13">
        <f t="shared" si="80"/>
        <v>7</v>
      </c>
      <c r="AQ153" s="13">
        <f t="shared" si="81"/>
        <v>6</v>
      </c>
      <c r="AR153" s="173">
        <f t="shared" si="82"/>
        <v>43248</v>
      </c>
      <c r="AS153" s="754">
        <f t="shared" si="83"/>
        <v>0.32142857142857145</v>
      </c>
      <c r="AT153" s="770">
        <f t="shared" si="84"/>
        <v>43.407699132298255</v>
      </c>
      <c r="AU153" s="13">
        <f t="shared" si="85"/>
        <v>7</v>
      </c>
      <c r="AV153" s="13">
        <f t="shared" si="86"/>
        <v>6</v>
      </c>
      <c r="AW153" s="173">
        <f t="shared" si="87"/>
        <v>43262</v>
      </c>
      <c r="AX153" s="754">
        <f t="shared" si="88"/>
        <v>0.8214285714285714</v>
      </c>
      <c r="AY153" s="770">
        <f t="shared" si="89"/>
        <v>43.562025870615614</v>
      </c>
      <c r="AZ153" s="747">
        <f t="shared" si="93"/>
        <v>43.484862501456931</v>
      </c>
      <c r="BA153" s="646">
        <f t="shared" si="90"/>
        <v>1.0164060799228849</v>
      </c>
      <c r="BB153" s="641">
        <v>43239</v>
      </c>
      <c r="BC153" s="11">
        <v>43239</v>
      </c>
      <c r="BD153" s="290">
        <f>[3]!FeuilCaduc*(1-Persistant)+Persistant</f>
        <v>0.8916142468189302</v>
      </c>
      <c r="BE153" s="291">
        <f>[3]!CroissVégét</f>
        <v>0.28731106552397356</v>
      </c>
      <c r="BF153" s="822">
        <f>1+[3]!Salcycl*Ksac</f>
        <v>1.0229035617047326</v>
      </c>
      <c r="BH153" s="1101">
        <f t="shared" si="91"/>
        <v>0</v>
      </c>
      <c r="BI153" s="11">
        <v>44335</v>
      </c>
      <c r="BJ153" s="727">
        <v>0</v>
      </c>
      <c r="BK153" s="727">
        <v>0</v>
      </c>
      <c r="BL153" s="727">
        <v>0</v>
      </c>
      <c r="BM153" s="727">
        <v>0</v>
      </c>
      <c r="BN153" s="727">
        <v>0</v>
      </c>
      <c r="BO153" s="728">
        <v>0</v>
      </c>
      <c r="BP153" s="727">
        <v>0</v>
      </c>
      <c r="BQ153" s="727">
        <v>5.050931740654314E-5</v>
      </c>
      <c r="BR153" s="727">
        <v>4.4837813660942666E-4</v>
      </c>
      <c r="BS153" s="727">
        <v>1.5362659821459902E-3</v>
      </c>
      <c r="BT153" s="727">
        <v>3.2636635366096907E-3</v>
      </c>
      <c r="BW153" s="1157">
        <f>'2018'!R\Max</f>
        <v>0</v>
      </c>
      <c r="BX153" s="1155">
        <f>'2019'!R\Max</f>
        <v>0.45787170678383654</v>
      </c>
      <c r="BY153" s="1155">
        <f>'2020'!R\Max</f>
        <v>1.0164060799228849</v>
      </c>
      <c r="BZ153" s="1155">
        <f>'2021'!R\Max</f>
        <v>0.77248662937274981</v>
      </c>
      <c r="CA153" s="1155">
        <f>'2022'!R\Max</f>
        <v>0.89780091371923654</v>
      </c>
      <c r="CB153" s="1155">
        <f>'2023'!R\Max</f>
        <v>0.89780091371923676</v>
      </c>
      <c r="CC153" s="1155">
        <f>'2024'!R\Max</f>
        <v>0.89780091371923676</v>
      </c>
      <c r="CD153" s="1155">
        <f>'2025'!R\Max</f>
        <v>0.89780091371923687</v>
      </c>
      <c r="CE153" s="1155">
        <f>'2026'!R\Max</f>
        <v>0.89780091371923687</v>
      </c>
      <c r="CF153" s="1156">
        <f>'2027'!R\Max</f>
        <v>0.89780091371923687</v>
      </c>
    </row>
    <row r="154" spans="1:84" s="6" customFormat="1" ht="11.25" x14ac:dyDescent="0.2">
      <c r="A154" s="11">
        <v>43240</v>
      </c>
      <c r="B154" s="380">
        <f>'2022'!Maxi_hp</f>
        <v>43.678078338959317</v>
      </c>
      <c r="C154" s="13">
        <f>'2022'!An_max</f>
        <v>2021</v>
      </c>
      <c r="D154" s="1070"/>
      <c r="E154" s="13"/>
      <c r="F154" s="13">
        <f t="shared" si="92"/>
        <v>11</v>
      </c>
      <c r="G154" s="13">
        <f t="shared" si="76"/>
        <v>12</v>
      </c>
      <c r="H154" s="173">
        <f t="shared" si="77"/>
        <v>43234</v>
      </c>
      <c r="I154" s="754">
        <f t="shared" si="78"/>
        <v>0.42857142857142855</v>
      </c>
      <c r="J154" s="747">
        <f t="shared" si="79"/>
        <v>43.535816034621419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P154" s="13">
        <f t="shared" si="80"/>
        <v>7</v>
      </c>
      <c r="AQ154" s="13">
        <f t="shared" si="81"/>
        <v>6</v>
      </c>
      <c r="AR154" s="173">
        <f t="shared" si="82"/>
        <v>43248</v>
      </c>
      <c r="AS154" s="754">
        <f t="shared" si="83"/>
        <v>0.2857142857142857</v>
      </c>
      <c r="AT154" s="770">
        <f t="shared" si="84"/>
        <v>43.433063848210239</v>
      </c>
      <c r="AU154" s="13">
        <f t="shared" si="85"/>
        <v>7</v>
      </c>
      <c r="AV154" s="13">
        <f t="shared" si="86"/>
        <v>6</v>
      </c>
      <c r="AW154" s="173">
        <f t="shared" si="87"/>
        <v>43262</v>
      </c>
      <c r="AX154" s="754">
        <f t="shared" si="88"/>
        <v>0.7857142857142857</v>
      </c>
      <c r="AY154" s="770">
        <f t="shared" si="89"/>
        <v>43.585158491334212</v>
      </c>
      <c r="AZ154" s="747">
        <f t="shared" si="93"/>
        <v>43.509111169772225</v>
      </c>
      <c r="BA154" s="646">
        <f t="shared" si="90"/>
        <v>1.0032677073107983</v>
      </c>
      <c r="BB154" s="641">
        <v>43240</v>
      </c>
      <c r="BC154" s="11">
        <v>43240</v>
      </c>
      <c r="BD154" s="290">
        <f>[3]!FeuilCaduc*(1-Persistant)+Persistant</f>
        <v>0.89444359344009583</v>
      </c>
      <c r="BE154" s="291">
        <f>[3]!CroissVégét</f>
        <v>0.29582909613929492</v>
      </c>
      <c r="BF154" s="822">
        <f>1+[3]!Salcycl*Ksac</f>
        <v>1.0236108983600241</v>
      </c>
      <c r="BH154" s="1101">
        <f t="shared" si="91"/>
        <v>0</v>
      </c>
      <c r="BI154" s="11">
        <v>44336</v>
      </c>
      <c r="BJ154" s="727">
        <v>0</v>
      </c>
      <c r="BK154" s="727">
        <v>0</v>
      </c>
      <c r="BL154" s="727">
        <v>0</v>
      </c>
      <c r="BM154" s="727">
        <v>0</v>
      </c>
      <c r="BN154" s="727">
        <v>0</v>
      </c>
      <c r="BO154" s="728">
        <v>0</v>
      </c>
      <c r="BP154" s="727">
        <v>0</v>
      </c>
      <c r="BQ154" s="727">
        <v>4.7651307609376219E-5</v>
      </c>
      <c r="BR154" s="727">
        <v>4.3453778692214201E-4</v>
      </c>
      <c r="BS154" s="727">
        <v>1.4947166982850963E-3</v>
      </c>
      <c r="BT154" s="727">
        <v>3.1805367340888625E-3</v>
      </c>
      <c r="BW154" s="1157">
        <f>'2018'!R\Max</f>
        <v>0</v>
      </c>
      <c r="BX154" s="1155">
        <f>'2019'!R\Max</f>
        <v>0.91212170580315222</v>
      </c>
      <c r="BY154" s="1155">
        <f>'2020'!R\Max</f>
        <v>0.97647592374899783</v>
      </c>
      <c r="BZ154" s="1155">
        <f>'2021'!R\Max</f>
        <v>1.0032677073107983</v>
      </c>
      <c r="CA154" s="1155">
        <f>'2022'!R\Max</f>
        <v>0.80067814561120909</v>
      </c>
      <c r="CB154" s="1155">
        <f>'2023'!R\Max</f>
        <v>0.80067814561120909</v>
      </c>
      <c r="CC154" s="1155">
        <f>'2024'!R\Max</f>
        <v>0.80067814561120898</v>
      </c>
      <c r="CD154" s="1155">
        <f>'2025'!R\Max</f>
        <v>0.80067814561120931</v>
      </c>
      <c r="CE154" s="1155">
        <f>'2026'!R\Max</f>
        <v>0.80067814561120909</v>
      </c>
      <c r="CF154" s="1156">
        <f>'2027'!R\Max</f>
        <v>0.80067814561120909</v>
      </c>
    </row>
    <row r="155" spans="1:84" s="6" customFormat="1" ht="11.25" x14ac:dyDescent="0.2">
      <c r="A155" s="11">
        <v>43241</v>
      </c>
      <c r="B155" s="380">
        <f>'2022'!Maxi_hp</f>
        <v>42.630970800856602</v>
      </c>
      <c r="C155" s="13">
        <f>'2022'!An_max</f>
        <v>2020</v>
      </c>
      <c r="D155" s="1070"/>
      <c r="E155" s="13"/>
      <c r="F155" s="13">
        <f t="shared" si="92"/>
        <v>11</v>
      </c>
      <c r="G155" s="13">
        <f t="shared" si="76"/>
        <v>12</v>
      </c>
      <c r="H155" s="173">
        <f t="shared" si="77"/>
        <v>43234</v>
      </c>
      <c r="I155" s="754">
        <f t="shared" si="78"/>
        <v>0.5</v>
      </c>
      <c r="J155" s="747">
        <f t="shared" si="79"/>
        <v>43.547143750078973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P155" s="13">
        <f t="shared" si="80"/>
        <v>7</v>
      </c>
      <c r="AQ155" s="13">
        <f t="shared" si="81"/>
        <v>6</v>
      </c>
      <c r="AR155" s="173">
        <f t="shared" si="82"/>
        <v>43248</v>
      </c>
      <c r="AS155" s="754">
        <f t="shared" si="83"/>
        <v>0.25</v>
      </c>
      <c r="AT155" s="770">
        <f t="shared" si="84"/>
        <v>43.456127343978736</v>
      </c>
      <c r="AU155" s="13">
        <f t="shared" si="85"/>
        <v>7</v>
      </c>
      <c r="AV155" s="13">
        <f t="shared" si="86"/>
        <v>6</v>
      </c>
      <c r="AW155" s="173">
        <f t="shared" si="87"/>
        <v>43262</v>
      </c>
      <c r="AX155" s="754">
        <f t="shared" si="88"/>
        <v>0.75</v>
      </c>
      <c r="AY155" s="770">
        <f t="shared" si="89"/>
        <v>43.603742187656465</v>
      </c>
      <c r="AZ155" s="747">
        <f t="shared" si="93"/>
        <v>43.5299347658176</v>
      </c>
      <c r="BA155" s="646">
        <f t="shared" si="90"/>
        <v>0.97896135382654781</v>
      </c>
      <c r="BB155" s="641">
        <v>43241</v>
      </c>
      <c r="BC155" s="11">
        <v>43241</v>
      </c>
      <c r="BD155" s="290">
        <f>[3]!FeuilCaduc*(1-Persistant)+Persistant</f>
        <v>0.89728850373293267</v>
      </c>
      <c r="BE155" s="291">
        <f>[3]!CroissVégét</f>
        <v>0.30449063118118064</v>
      </c>
      <c r="BF155" s="822">
        <f>1+[3]!Salcycl*Ksac</f>
        <v>1.0243221259332331</v>
      </c>
      <c r="BH155" s="1101">
        <f t="shared" si="91"/>
        <v>0</v>
      </c>
      <c r="BI155" s="11">
        <v>44337</v>
      </c>
      <c r="BJ155" s="727">
        <v>0</v>
      </c>
      <c r="BK155" s="727">
        <v>0</v>
      </c>
      <c r="BL155" s="727">
        <v>0</v>
      </c>
      <c r="BM155" s="727">
        <v>0</v>
      </c>
      <c r="BN155" s="727">
        <v>0</v>
      </c>
      <c r="BO155" s="728">
        <v>0</v>
      </c>
      <c r="BP155" s="727">
        <v>0</v>
      </c>
      <c r="BQ155" s="727">
        <v>4.5471337179049891E-5</v>
      </c>
      <c r="BR155" s="727">
        <v>4.2399159994011541E-4</v>
      </c>
      <c r="BS155" s="727">
        <v>1.4602524944074015E-3</v>
      </c>
      <c r="BT155" s="727">
        <v>3.1087826834018581E-3</v>
      </c>
      <c r="BW155" s="1157">
        <f>'2018'!R\Max</f>
        <v>0</v>
      </c>
      <c r="BX155" s="1155">
        <f>'2019'!R\Max</f>
        <v>0.71428950173597672</v>
      </c>
      <c r="BY155" s="1155">
        <f>'2020'!R\Max</f>
        <v>0.97896135382654781</v>
      </c>
      <c r="BZ155" s="1155">
        <f>'2021'!R\Max</f>
        <v>0.66694789056646397</v>
      </c>
      <c r="CA155" s="1155">
        <f>'2022'!R\Max</f>
        <v>0.79806237764452526</v>
      </c>
      <c r="CB155" s="1155">
        <f>'2023'!R\Max</f>
        <v>0.79806237764452526</v>
      </c>
      <c r="CC155" s="1155">
        <f>'2024'!R\Max</f>
        <v>0.79806237764452526</v>
      </c>
      <c r="CD155" s="1155">
        <f>'2025'!R\Max</f>
        <v>0.79806237764452526</v>
      </c>
      <c r="CE155" s="1155">
        <f>'2026'!R\Max</f>
        <v>0.79806237764452526</v>
      </c>
      <c r="CF155" s="1156">
        <f>'2027'!R\Max</f>
        <v>0.79806237764452526</v>
      </c>
    </row>
    <row r="156" spans="1:84" s="6" customFormat="1" ht="11.25" x14ac:dyDescent="0.2">
      <c r="A156" s="11">
        <v>43242</v>
      </c>
      <c r="B156" s="380">
        <f>'2022'!Maxi_hp</f>
        <v>42.922836576302252</v>
      </c>
      <c r="C156" s="13">
        <f>'2022'!An_max</f>
        <v>2019</v>
      </c>
      <c r="D156" s="1070"/>
      <c r="E156" s="13"/>
      <c r="F156" s="13">
        <f t="shared" si="92"/>
        <v>11</v>
      </c>
      <c r="G156" s="13">
        <f t="shared" si="76"/>
        <v>12</v>
      </c>
      <c r="H156" s="173">
        <f t="shared" si="77"/>
        <v>43234</v>
      </c>
      <c r="I156" s="754">
        <f t="shared" si="78"/>
        <v>0.5714285714285714</v>
      </c>
      <c r="J156" s="747">
        <f t="shared" si="79"/>
        <v>43.555224781270539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P156" s="13">
        <f t="shared" si="80"/>
        <v>7</v>
      </c>
      <c r="AQ156" s="13">
        <f t="shared" si="81"/>
        <v>6</v>
      </c>
      <c r="AR156" s="173">
        <f t="shared" si="82"/>
        <v>43248</v>
      </c>
      <c r="AS156" s="754">
        <f t="shared" si="83"/>
        <v>0.21428571428571427</v>
      </c>
      <c r="AT156" s="770">
        <f t="shared" si="84"/>
        <v>43.477036789511999</v>
      </c>
      <c r="AU156" s="13">
        <f t="shared" si="85"/>
        <v>7</v>
      </c>
      <c r="AV156" s="13">
        <f t="shared" si="86"/>
        <v>6</v>
      </c>
      <c r="AW156" s="173">
        <f t="shared" si="87"/>
        <v>43262</v>
      </c>
      <c r="AX156" s="754">
        <f t="shared" si="88"/>
        <v>0.7142857142857143</v>
      </c>
      <c r="AY156" s="770">
        <f t="shared" si="89"/>
        <v>43.618017784452867</v>
      </c>
      <c r="AZ156" s="747">
        <f t="shared" si="93"/>
        <v>43.547527286982429</v>
      </c>
      <c r="BA156" s="646">
        <f t="shared" si="90"/>
        <v>0.98548077278572044</v>
      </c>
      <c r="BB156" s="641">
        <v>43242</v>
      </c>
      <c r="BC156" s="11">
        <v>43242</v>
      </c>
      <c r="BD156" s="290">
        <f>[3]!FeuilCaduc*(1-Persistant)+Persistant</f>
        <v>0.90014579298999975</v>
      </c>
      <c r="BE156" s="291">
        <f>[3]!CroissVégét</f>
        <v>0.3132918316722918</v>
      </c>
      <c r="BF156" s="822">
        <f>1+[3]!Salcycl*Ksac</f>
        <v>1.0250364482474998</v>
      </c>
      <c r="BH156" s="1101">
        <f t="shared" si="91"/>
        <v>0</v>
      </c>
      <c r="BI156" s="11">
        <v>44338</v>
      </c>
      <c r="BJ156" s="727">
        <v>0</v>
      </c>
      <c r="BK156" s="727">
        <v>0</v>
      </c>
      <c r="BL156" s="727">
        <v>0</v>
      </c>
      <c r="BM156" s="727">
        <v>0</v>
      </c>
      <c r="BN156" s="727">
        <v>0</v>
      </c>
      <c r="BO156" s="728">
        <v>0</v>
      </c>
      <c r="BP156" s="727">
        <v>0</v>
      </c>
      <c r="BQ156" s="727">
        <v>4.3800122072812864E-5</v>
      </c>
      <c r="BR156" s="727">
        <v>4.1591550724247631E-4</v>
      </c>
      <c r="BS156" s="727">
        <v>1.431595599831722E-3</v>
      </c>
      <c r="BT156" s="727">
        <v>3.0470402777677363E-3</v>
      </c>
      <c r="BW156" s="1157">
        <f>'2018'!R\Max</f>
        <v>0</v>
      </c>
      <c r="BX156" s="1155">
        <f>'2019'!R\Max</f>
        <v>0.98548077278572044</v>
      </c>
      <c r="BY156" s="1155">
        <f>'2020'!R\Max</f>
        <v>0.90967560703872774</v>
      </c>
      <c r="BZ156" s="1155">
        <f>'2021'!R\Max</f>
        <v>0.54587072150495375</v>
      </c>
      <c r="CA156" s="1155">
        <f>'2022'!R\Max</f>
        <v>0.59646966170846194</v>
      </c>
      <c r="CB156" s="1155">
        <f>'2023'!R\Max</f>
        <v>0.59646966170846194</v>
      </c>
      <c r="CC156" s="1155">
        <f>'2024'!R\Max</f>
        <v>0.59646966170846194</v>
      </c>
      <c r="CD156" s="1155">
        <f>'2025'!R\Max</f>
        <v>0.59646966170846183</v>
      </c>
      <c r="CE156" s="1155">
        <f>'2026'!R\Max</f>
        <v>0.59646966170846205</v>
      </c>
      <c r="CF156" s="1156">
        <f>'2027'!R\Max</f>
        <v>0.59646966170846205</v>
      </c>
    </row>
    <row r="157" spans="1:84" s="6" customFormat="1" ht="11.25" x14ac:dyDescent="0.2">
      <c r="A157" s="11">
        <v>43243</v>
      </c>
      <c r="B157" s="380">
        <f>'2022'!Maxi_hp</f>
        <v>39.13669865982753</v>
      </c>
      <c r="C157" s="13">
        <f>'2022'!An_max</f>
        <v>2020</v>
      </c>
      <c r="D157" s="1070"/>
      <c r="E157" s="13"/>
      <c r="F157" s="13">
        <f t="shared" si="92"/>
        <v>11</v>
      </c>
      <c r="G157" s="13">
        <f t="shared" si="76"/>
        <v>12</v>
      </c>
      <c r="H157" s="173">
        <f t="shared" si="77"/>
        <v>43234</v>
      </c>
      <c r="I157" s="754">
        <f t="shared" si="78"/>
        <v>0.6428571428571429</v>
      </c>
      <c r="J157" s="747">
        <f t="shared" si="79"/>
        <v>43.560594296641646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P157" s="13">
        <f t="shared" si="80"/>
        <v>7</v>
      </c>
      <c r="AQ157" s="13">
        <f t="shared" si="81"/>
        <v>6</v>
      </c>
      <c r="AR157" s="173">
        <f t="shared" si="82"/>
        <v>43248</v>
      </c>
      <c r="AS157" s="754">
        <f t="shared" si="83"/>
        <v>0.17857142857142858</v>
      </c>
      <c r="AT157" s="770">
        <f t="shared" si="84"/>
        <v>43.495939355782632</v>
      </c>
      <c r="AU157" s="13">
        <f t="shared" si="85"/>
        <v>7</v>
      </c>
      <c r="AV157" s="13">
        <f t="shared" si="86"/>
        <v>6</v>
      </c>
      <c r="AW157" s="173">
        <f t="shared" si="87"/>
        <v>43262</v>
      </c>
      <c r="AX157" s="754">
        <f t="shared" si="88"/>
        <v>0.6785714285714286</v>
      </c>
      <c r="AY157" s="770">
        <f t="shared" si="89"/>
        <v>43.628226106667093</v>
      </c>
      <c r="AZ157" s="747">
        <f t="shared" si="93"/>
        <v>43.562082731224862</v>
      </c>
      <c r="BA157" s="646">
        <f t="shared" si="90"/>
        <v>0.89844271621530236</v>
      </c>
      <c r="BB157" s="641">
        <v>43243</v>
      </c>
      <c r="BC157" s="11">
        <v>43243</v>
      </c>
      <c r="BD157" s="290">
        <f>[3]!FeuilCaduc*(1-Persistant)+Persistant</f>
        <v>0.90301219712333258</v>
      </c>
      <c r="BE157" s="291">
        <f>[3]!CroissVégét</f>
        <v>0.3222284943358365</v>
      </c>
      <c r="BF157" s="822">
        <f>1+[3]!Salcycl*Ksac</f>
        <v>1.0257530492808331</v>
      </c>
      <c r="BH157" s="1101">
        <f t="shared" si="91"/>
        <v>0</v>
      </c>
      <c r="BI157" s="11">
        <v>44339</v>
      </c>
      <c r="BJ157" s="727">
        <v>0</v>
      </c>
      <c r="BK157" s="727">
        <v>0</v>
      </c>
      <c r="BL157" s="727">
        <v>0</v>
      </c>
      <c r="BM157" s="727">
        <v>0</v>
      </c>
      <c r="BN157" s="727">
        <v>0</v>
      </c>
      <c r="BO157" s="728">
        <v>0</v>
      </c>
      <c r="BP157" s="727">
        <v>0</v>
      </c>
      <c r="BQ157" s="727">
        <v>4.2175317483709659E-5</v>
      </c>
      <c r="BR157" s="727">
        <v>4.0785183810775083E-4</v>
      </c>
      <c r="BS157" s="727">
        <v>1.4030988446902483E-3</v>
      </c>
      <c r="BT157" s="727">
        <v>2.9857410197474924E-3</v>
      </c>
      <c r="BW157" s="1157">
        <f>'2018'!R\Max</f>
        <v>0</v>
      </c>
      <c r="BX157" s="1155">
        <f>'2019'!R\Max</f>
        <v>0.84859769978662858</v>
      </c>
      <c r="BY157" s="1155">
        <f>'2020'!R\Max</f>
        <v>0.89844271621530236</v>
      </c>
      <c r="BZ157" s="1155">
        <f>'2021'!R\Max</f>
        <v>0.63004807329000934</v>
      </c>
      <c r="CA157" s="1155">
        <f>'2022'!R\Max</f>
        <v>0.31052400158052906</v>
      </c>
      <c r="CB157" s="1155">
        <f>'2023'!R\Max</f>
        <v>0.31052400158052912</v>
      </c>
      <c r="CC157" s="1155">
        <f>'2024'!R\Max</f>
        <v>0.31052400158052901</v>
      </c>
      <c r="CD157" s="1155">
        <f>'2025'!R\Max</f>
        <v>0.31052400158052912</v>
      </c>
      <c r="CE157" s="1155">
        <f>'2026'!R\Max</f>
        <v>0.31052400158052912</v>
      </c>
      <c r="CF157" s="1156">
        <f>'2027'!R\Max</f>
        <v>0.31052400158052912</v>
      </c>
    </row>
    <row r="158" spans="1:84" s="6" customFormat="1" ht="11.25" x14ac:dyDescent="0.2">
      <c r="A158" s="11">
        <v>43244</v>
      </c>
      <c r="B158" s="380">
        <f>'2022'!Maxi_hp</f>
        <v>19.559062636800455</v>
      </c>
      <c r="C158" s="13">
        <f>'2022'!An_max</f>
        <v>2021</v>
      </c>
      <c r="D158" s="1070"/>
      <c r="E158" s="13"/>
      <c r="F158" s="13">
        <f t="shared" si="92"/>
        <v>11</v>
      </c>
      <c r="G158" s="13">
        <f t="shared" si="76"/>
        <v>12</v>
      </c>
      <c r="H158" s="173">
        <f t="shared" si="77"/>
        <v>43234</v>
      </c>
      <c r="I158" s="754">
        <f t="shared" si="78"/>
        <v>0.7142857142857143</v>
      </c>
      <c r="J158" s="747">
        <f t="shared" si="79"/>
        <v>43.563787463413817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P158" s="13">
        <f t="shared" si="80"/>
        <v>7</v>
      </c>
      <c r="AQ158" s="13">
        <f t="shared" si="81"/>
        <v>6</v>
      </c>
      <c r="AR158" s="173">
        <f t="shared" si="82"/>
        <v>43248</v>
      </c>
      <c r="AS158" s="754">
        <f t="shared" si="83"/>
        <v>0.14285714285714285</v>
      </c>
      <c r="AT158" s="770">
        <f t="shared" si="84"/>
        <v>43.512982215625904</v>
      </c>
      <c r="AU158" s="13">
        <f t="shared" si="85"/>
        <v>7</v>
      </c>
      <c r="AV158" s="13">
        <f t="shared" si="86"/>
        <v>6</v>
      </c>
      <c r="AW158" s="173">
        <f t="shared" si="87"/>
        <v>43262</v>
      </c>
      <c r="AX158" s="754">
        <f t="shared" si="88"/>
        <v>0.6428571428571429</v>
      </c>
      <c r="AY158" s="770">
        <f t="shared" si="89"/>
        <v>43.63460798161104</v>
      </c>
      <c r="AZ158" s="747">
        <f t="shared" si="93"/>
        <v>43.573795098618476</v>
      </c>
      <c r="BA158" s="646">
        <f t="shared" si="90"/>
        <v>0.44897525618558182</v>
      </c>
      <c r="BB158" s="641">
        <v>43244</v>
      </c>
      <c r="BC158" s="11">
        <v>43244</v>
      </c>
      <c r="BD158" s="290">
        <f>[3]!FeuilCaduc*(1-Persistant)+Persistant</f>
        <v>0.90588438185823272</v>
      </c>
      <c r="BE158" s="291">
        <f>[3]!CroissVégét</f>
        <v>0.33129605339749552</v>
      </c>
      <c r="BF158" s="822">
        <f>1+[3]!Salcycl*Ksac</f>
        <v>1.0264710954645582</v>
      </c>
      <c r="BH158" s="1101">
        <f t="shared" si="91"/>
        <v>0</v>
      </c>
      <c r="BI158" s="11">
        <v>44340</v>
      </c>
      <c r="BJ158" s="727">
        <v>0</v>
      </c>
      <c r="BK158" s="727">
        <v>0</v>
      </c>
      <c r="BL158" s="727">
        <v>0</v>
      </c>
      <c r="BM158" s="727">
        <v>0</v>
      </c>
      <c r="BN158" s="727">
        <v>0</v>
      </c>
      <c r="BO158" s="728">
        <v>0</v>
      </c>
      <c r="BP158" s="727">
        <v>0</v>
      </c>
      <c r="BQ158" s="727">
        <v>4.0596751722231265E-5</v>
      </c>
      <c r="BR158" s="727">
        <v>3.9979909592894512E-4</v>
      </c>
      <c r="BS158" s="727">
        <v>1.3747569637283233E-3</v>
      </c>
      <c r="BT158" s="727">
        <v>2.9248736033981337E-3</v>
      </c>
      <c r="BW158" s="1157">
        <f>'2018'!R\Max</f>
        <v>0</v>
      </c>
      <c r="BX158" s="1155">
        <f>'2019'!R\Max</f>
        <v>0.21338171353026436</v>
      </c>
      <c r="BY158" s="1155">
        <f>'2020'!R\Max</f>
        <v>0.27439123929816794</v>
      </c>
      <c r="BZ158" s="1155">
        <f>'2021'!R\Max</f>
        <v>0.44897525618558182</v>
      </c>
      <c r="CA158" s="1155">
        <f>'2022'!R\Max</f>
        <v>0.27797245681638089</v>
      </c>
      <c r="CB158" s="1155">
        <f>'2023'!R\Max</f>
        <v>0.27797245681638083</v>
      </c>
      <c r="CC158" s="1155">
        <f>'2024'!R\Max</f>
        <v>0.27797245681638083</v>
      </c>
      <c r="CD158" s="1155">
        <f>'2025'!R\Max</f>
        <v>0.27797245681638089</v>
      </c>
      <c r="CE158" s="1155">
        <f>'2026'!R\Max</f>
        <v>0.27797245681638089</v>
      </c>
      <c r="CF158" s="1156">
        <f>'2027'!R\Max</f>
        <v>0.27797245681638089</v>
      </c>
    </row>
    <row r="159" spans="1:84" s="6" customFormat="1" ht="11.25" x14ac:dyDescent="0.2">
      <c r="A159" s="11">
        <v>43245</v>
      </c>
      <c r="B159" s="380">
        <f>'2022'!Maxi_hp</f>
        <v>41.574102486699203</v>
      </c>
      <c r="C159" s="13">
        <f>'2022'!An_max</f>
        <v>2020</v>
      </c>
      <c r="D159" s="1070"/>
      <c r="E159" s="13"/>
      <c r="F159" s="13">
        <f t="shared" si="92"/>
        <v>11</v>
      </c>
      <c r="G159" s="13">
        <f t="shared" si="76"/>
        <v>12</v>
      </c>
      <c r="H159" s="173">
        <f t="shared" si="77"/>
        <v>43234</v>
      </c>
      <c r="I159" s="754">
        <f t="shared" si="78"/>
        <v>0.7857142857142857</v>
      </c>
      <c r="J159" s="747">
        <f t="shared" si="79"/>
        <v>43.56533944981971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P159" s="13">
        <f t="shared" si="80"/>
        <v>7</v>
      </c>
      <c r="AQ159" s="13">
        <f t="shared" si="81"/>
        <v>6</v>
      </c>
      <c r="AR159" s="173">
        <f t="shared" si="82"/>
        <v>43248</v>
      </c>
      <c r="AS159" s="754">
        <f t="shared" si="83"/>
        <v>0.10714285714285714</v>
      </c>
      <c r="AT159" s="770">
        <f t="shared" si="84"/>
        <v>43.528312538617421</v>
      </c>
      <c r="AU159" s="13">
        <f t="shared" si="85"/>
        <v>7</v>
      </c>
      <c r="AV159" s="13">
        <f t="shared" si="86"/>
        <v>6</v>
      </c>
      <c r="AW159" s="173">
        <f t="shared" si="87"/>
        <v>43262</v>
      </c>
      <c r="AX159" s="754">
        <f t="shared" si="88"/>
        <v>0.6071428571428571</v>
      </c>
      <c r="AY159" s="770">
        <f t="shared" si="89"/>
        <v>43.63740423293784</v>
      </c>
      <c r="AZ159" s="747">
        <f t="shared" si="93"/>
        <v>43.582858385777627</v>
      </c>
      <c r="BA159" s="646">
        <f t="shared" si="90"/>
        <v>0.95429309197936829</v>
      </c>
      <c r="BB159" s="641">
        <v>43245</v>
      </c>
      <c r="BC159" s="11">
        <v>43245</v>
      </c>
      <c r="BD159" s="290">
        <f>[3]!FeuilCaduc*(1-Persistant)+Persistant</f>
        <v>0.90875895257005612</v>
      </c>
      <c r="BE159" s="291">
        <f>[3]!CroissVégét</f>
        <v>0.34048958423292969</v>
      </c>
      <c r="BF159" s="822">
        <f>1+[3]!Salcycl*Ksac</f>
        <v>1.0271897381425139</v>
      </c>
      <c r="BH159" s="1101">
        <f t="shared" si="91"/>
        <v>0</v>
      </c>
      <c r="BI159" s="11">
        <v>44341</v>
      </c>
      <c r="BJ159" s="727">
        <v>0</v>
      </c>
      <c r="BK159" s="727">
        <v>0</v>
      </c>
      <c r="BL159" s="727">
        <v>0</v>
      </c>
      <c r="BM159" s="727">
        <v>0</v>
      </c>
      <c r="BN159" s="727">
        <v>0</v>
      </c>
      <c r="BO159" s="728">
        <v>0</v>
      </c>
      <c r="BP159" s="727">
        <v>0</v>
      </c>
      <c r="BQ159" s="727">
        <v>3.906451254367456E-5</v>
      </c>
      <c r="BR159" s="727">
        <v>3.9175829316132353E-4</v>
      </c>
      <c r="BS159" s="727">
        <v>1.3465733145515233E-3</v>
      </c>
      <c r="BT159" s="727">
        <v>2.8644450641705996E-3</v>
      </c>
      <c r="BW159" s="1157">
        <f>'2018'!R\Max</f>
        <v>0</v>
      </c>
      <c r="BX159" s="1155">
        <f>'2019'!R\Max</f>
        <v>0.48055196696233587</v>
      </c>
      <c r="BY159" s="1155">
        <f>'2020'!R\Max</f>
        <v>0.95429309197936829</v>
      </c>
      <c r="BZ159" s="1155">
        <f>'2021'!R\Max</f>
        <v>0.80948221368146966</v>
      </c>
      <c r="CA159" s="1155">
        <f>'2022'!R\Max</f>
        <v>0.68484850226974281</v>
      </c>
      <c r="CB159" s="1155">
        <f>'2023'!R\Max</f>
        <v>0.68484850226974292</v>
      </c>
      <c r="CC159" s="1155">
        <f>'2024'!R\Max</f>
        <v>0.68484850226974292</v>
      </c>
      <c r="CD159" s="1155">
        <f>'2025'!R\Max</f>
        <v>0.68484850226974292</v>
      </c>
      <c r="CE159" s="1155">
        <f>'2026'!R\Max</f>
        <v>0.68484850226974292</v>
      </c>
      <c r="CF159" s="1156">
        <f>'2027'!R\Max</f>
        <v>0.68484850226974292</v>
      </c>
    </row>
    <row r="160" spans="1:84" s="6" customFormat="1" ht="11.25" x14ac:dyDescent="0.2">
      <c r="A160" s="11">
        <v>43246</v>
      </c>
      <c r="B160" s="380">
        <f>'2022'!Maxi_hp</f>
        <v>43.15188461541296</v>
      </c>
      <c r="C160" s="13">
        <f>'2022'!An_max</f>
        <v>2020</v>
      </c>
      <c r="D160" s="1070"/>
      <c r="E160" s="13"/>
      <c r="F160" s="13">
        <f t="shared" si="92"/>
        <v>11</v>
      </c>
      <c r="G160" s="13">
        <f t="shared" si="76"/>
        <v>12</v>
      </c>
      <c r="H160" s="173">
        <f t="shared" si="77"/>
        <v>43234</v>
      </c>
      <c r="I160" s="754">
        <f t="shared" si="78"/>
        <v>0.8571428571428571</v>
      </c>
      <c r="J160" s="747">
        <f t="shared" si="79"/>
        <v>43.56578542302762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P160" s="13">
        <f t="shared" si="80"/>
        <v>7</v>
      </c>
      <c r="AQ160" s="13">
        <f t="shared" si="81"/>
        <v>6</v>
      </c>
      <c r="AR160" s="173">
        <f t="shared" si="82"/>
        <v>43248</v>
      </c>
      <c r="AS160" s="754">
        <f t="shared" si="83"/>
        <v>7.1428571428571425E-2</v>
      </c>
      <c r="AT160" s="770">
        <f t="shared" si="84"/>
        <v>43.542077496461573</v>
      </c>
      <c r="AU160" s="13">
        <f t="shared" si="85"/>
        <v>7</v>
      </c>
      <c r="AV160" s="13">
        <f t="shared" si="86"/>
        <v>6</v>
      </c>
      <c r="AW160" s="173">
        <f t="shared" si="87"/>
        <v>43262</v>
      </c>
      <c r="AX160" s="754">
        <f t="shared" si="88"/>
        <v>0.5714285714285714</v>
      </c>
      <c r="AY160" s="770">
        <f t="shared" si="89"/>
        <v>43.636855685551254</v>
      </c>
      <c r="AZ160" s="747">
        <f t="shared" si="93"/>
        <v>43.589466591006413</v>
      </c>
      <c r="BA160" s="646">
        <f t="shared" si="90"/>
        <v>0.9904994067340771</v>
      </c>
      <c r="BB160" s="641">
        <v>43246</v>
      </c>
      <c r="BC160" s="11">
        <v>43246</v>
      </c>
      <c r="BD160" s="290">
        <f>[3]!FeuilCaduc*(1-Persistant)+Persistant</f>
        <v>0.91163246472338955</v>
      </c>
      <c r="BE160" s="291">
        <f>[3]!CroissVégét</f>
        <v>0.34980380891459434</v>
      </c>
      <c r="BF160" s="822">
        <f>1+[3]!Salcycl*Ksac</f>
        <v>1.0279081161808474</v>
      </c>
      <c r="BH160" s="1101">
        <f t="shared" si="91"/>
        <v>0</v>
      </c>
      <c r="BI160" s="11">
        <v>44342</v>
      </c>
      <c r="BJ160" s="727">
        <v>0</v>
      </c>
      <c r="BK160" s="727">
        <v>0</v>
      </c>
      <c r="BL160" s="727">
        <v>0</v>
      </c>
      <c r="BM160" s="727">
        <v>0</v>
      </c>
      <c r="BN160" s="727">
        <v>0</v>
      </c>
      <c r="BO160" s="728">
        <v>0</v>
      </c>
      <c r="BP160" s="727">
        <v>0</v>
      </c>
      <c r="BQ160" s="727">
        <v>3.7578673969020673E-5</v>
      </c>
      <c r="BR160" s="727">
        <v>3.8373039854189039E-4</v>
      </c>
      <c r="BS160" s="727">
        <v>1.3185510872631811E-3</v>
      </c>
      <c r="BT160" s="727">
        <v>2.8044620661638714E-3</v>
      </c>
      <c r="BW160" s="1157">
        <f>'2018'!R\Max</f>
        <v>0</v>
      </c>
      <c r="BX160" s="1155">
        <f>'2019'!R\Max</f>
        <v>0.47508915095804743</v>
      </c>
      <c r="BY160" s="1155">
        <f>'2020'!R\Max</f>
        <v>0.9904994067340771</v>
      </c>
      <c r="BZ160" s="1155">
        <f>'2021'!R\Max</f>
        <v>0.84960449550492578</v>
      </c>
      <c r="CA160" s="1155">
        <f>'2022'!R\Max</f>
        <v>0.36676520926742368</v>
      </c>
      <c r="CB160" s="1155">
        <f>'2023'!R\Max</f>
        <v>0.36676520926742368</v>
      </c>
      <c r="CC160" s="1155">
        <f>'2024'!R\Max</f>
        <v>0.36676520926742368</v>
      </c>
      <c r="CD160" s="1155">
        <f>'2025'!R\Max</f>
        <v>0.36676520926742368</v>
      </c>
      <c r="CE160" s="1155">
        <f>'2026'!R\Max</f>
        <v>0.36676520926742368</v>
      </c>
      <c r="CF160" s="1156">
        <f>'2027'!R\Max</f>
        <v>0.36676520926742362</v>
      </c>
    </row>
    <row r="161" spans="1:84" s="6" customFormat="1" ht="11.25" x14ac:dyDescent="0.2">
      <c r="A161" s="11">
        <v>43247</v>
      </c>
      <c r="B161" s="380">
        <f>'2022'!Maxi_hp</f>
        <v>43.072441964376736</v>
      </c>
      <c r="C161" s="13">
        <f>'2022'!An_max</f>
        <v>2021</v>
      </c>
      <c r="D161" s="1070"/>
      <c r="E161" s="13"/>
      <c r="F161" s="13">
        <f t="shared" si="92"/>
        <v>11</v>
      </c>
      <c r="G161" s="13">
        <f t="shared" si="76"/>
        <v>12</v>
      </c>
      <c r="H161" s="173">
        <f t="shared" si="77"/>
        <v>43234</v>
      </c>
      <c r="I161" s="754">
        <f t="shared" si="78"/>
        <v>0.9285714285714286</v>
      </c>
      <c r="J161" s="747">
        <f t="shared" si="79"/>
        <v>43.565660550126005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P161" s="13">
        <f t="shared" si="80"/>
        <v>7</v>
      </c>
      <c r="AQ161" s="13">
        <f t="shared" si="81"/>
        <v>6</v>
      </c>
      <c r="AR161" s="173">
        <f t="shared" si="82"/>
        <v>43248</v>
      </c>
      <c r="AS161" s="754">
        <f t="shared" si="83"/>
        <v>3.5714285714285712E-2</v>
      </c>
      <c r="AT161" s="770">
        <f t="shared" si="84"/>
        <v>43.55442425993138</v>
      </c>
      <c r="AU161" s="13">
        <f t="shared" si="85"/>
        <v>7</v>
      </c>
      <c r="AV161" s="13">
        <f t="shared" si="86"/>
        <v>6</v>
      </c>
      <c r="AW161" s="173">
        <f t="shared" si="87"/>
        <v>43262</v>
      </c>
      <c r="AX161" s="754">
        <f t="shared" si="88"/>
        <v>0.5357142857142857</v>
      </c>
      <c r="AY161" s="770">
        <f t="shared" si="89"/>
        <v>43.633203166324115</v>
      </c>
      <c r="AZ161" s="747">
        <f t="shared" si="93"/>
        <v>43.593813713127744</v>
      </c>
      <c r="BA161" s="646">
        <f t="shared" si="90"/>
        <v>0.98867873046061638</v>
      </c>
      <c r="BB161" s="641">
        <v>43247</v>
      </c>
      <c r="BC161" s="11">
        <v>43247</v>
      </c>
      <c r="BD161" s="290">
        <f>[3]!FeuilCaduc*(1-Persistant)+Persistant</f>
        <v>0.91450143486658353</v>
      </c>
      <c r="BE161" s="291">
        <f>[3]!CroissVégét</f>
        <v>0.35923310369654604</v>
      </c>
      <c r="BF161" s="822">
        <f>1+[3]!Salcycl*Ksac</f>
        <v>1.0286253587166458</v>
      </c>
      <c r="BH161" s="1101">
        <f t="shared" si="91"/>
        <v>0</v>
      </c>
      <c r="BI161" s="11">
        <v>44343</v>
      </c>
      <c r="BJ161" s="727">
        <v>0</v>
      </c>
      <c r="BK161" s="727">
        <v>0</v>
      </c>
      <c r="BL161" s="727">
        <v>0</v>
      </c>
      <c r="BM161" s="727">
        <v>0</v>
      </c>
      <c r="BN161" s="727">
        <v>0</v>
      </c>
      <c r="BO161" s="728">
        <v>0</v>
      </c>
      <c r="BP161" s="727">
        <v>0</v>
      </c>
      <c r="BQ161" s="727">
        <v>3.6139296898121127E-5</v>
      </c>
      <c r="BR161" s="727">
        <v>3.7571633724912425E-4</v>
      </c>
      <c r="BS161" s="727">
        <v>1.2906933065812767E-3</v>
      </c>
      <c r="BT161" s="727">
        <v>2.7449309079964584E-3</v>
      </c>
      <c r="BW161" s="1157">
        <f>'2018'!R\Max</f>
        <v>0</v>
      </c>
      <c r="BX161" s="1155">
        <f>'2019'!R\Max</f>
        <v>0.50527023813801153</v>
      </c>
      <c r="BY161" s="1155">
        <f>'2020'!R\Max</f>
        <v>0.98814645731136741</v>
      </c>
      <c r="BZ161" s="1155">
        <f>'2021'!R\Max</f>
        <v>0.98867873046061638</v>
      </c>
      <c r="CA161" s="1155">
        <f>'2022'!R\Max</f>
        <v>0.72764715506818844</v>
      </c>
      <c r="CB161" s="1155">
        <f>'2023'!R\Max</f>
        <v>0.72764715506818844</v>
      </c>
      <c r="CC161" s="1155">
        <f>'2024'!R\Max</f>
        <v>0.72764715506818856</v>
      </c>
      <c r="CD161" s="1155">
        <f>'2025'!R\Max</f>
        <v>0.72764715506818844</v>
      </c>
      <c r="CE161" s="1155">
        <f>'2026'!R\Max</f>
        <v>0.72764715506818844</v>
      </c>
      <c r="CF161" s="1156">
        <f>'2027'!R\Max</f>
        <v>0.72764715506818844</v>
      </c>
    </row>
    <row r="162" spans="1:84" s="6" customFormat="1" ht="11.25" x14ac:dyDescent="0.2">
      <c r="A162" s="11">
        <v>43248</v>
      </c>
      <c r="B162" s="380">
        <f>'2022'!Maxi_hp</f>
        <v>41.82650557784492</v>
      </c>
      <c r="C162" s="13">
        <f>'2022'!An_max</f>
        <v>2020</v>
      </c>
      <c r="D162" s="1070"/>
      <c r="E162" s="1073">
        <f>X$13/10</f>
        <v>43.5655</v>
      </c>
      <c r="F162" s="13">
        <f t="shared" si="92"/>
        <v>13</v>
      </c>
      <c r="G162" s="13">
        <f t="shared" si="76"/>
        <v>12</v>
      </c>
      <c r="H162" s="173">
        <f t="shared" si="77"/>
        <v>43262</v>
      </c>
      <c r="I162" s="754">
        <f t="shared" si="78"/>
        <v>1</v>
      </c>
      <c r="J162" s="747">
        <f t="shared" si="79"/>
        <v>43.565500000119208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P162" s="13">
        <f t="shared" si="80"/>
        <v>7</v>
      </c>
      <c r="AQ162" s="13">
        <f t="shared" si="81"/>
        <v>8</v>
      </c>
      <c r="AR162" s="173">
        <f t="shared" si="82"/>
        <v>43248</v>
      </c>
      <c r="AS162" s="754">
        <f t="shared" si="83"/>
        <v>0</v>
      </c>
      <c r="AT162" s="770">
        <f t="shared" si="84"/>
        <v>43.565499999746677</v>
      </c>
      <c r="AU162" s="13">
        <f t="shared" si="85"/>
        <v>7</v>
      </c>
      <c r="AV162" s="13">
        <f t="shared" si="86"/>
        <v>6</v>
      </c>
      <c r="AW162" s="173">
        <f t="shared" si="87"/>
        <v>43262</v>
      </c>
      <c r="AX162" s="754">
        <f t="shared" si="88"/>
        <v>0.5</v>
      </c>
      <c r="AY162" s="770">
        <f t="shared" si="89"/>
        <v>43.626687500439587</v>
      </c>
      <c r="AZ162" s="747">
        <f t="shared" si="93"/>
        <v>43.596093750093132</v>
      </c>
      <c r="BA162" s="646">
        <f t="shared" si="90"/>
        <v>0.96008322130425383</v>
      </c>
      <c r="BB162" s="641">
        <v>43248</v>
      </c>
      <c r="BC162" s="11">
        <v>43248</v>
      </c>
      <c r="BD162" s="290">
        <f>[3]!FeuilCaduc*(1-Persistant)+Persistant</f>
        <v>0.91736235212844719</v>
      </c>
      <c r="BE162" s="291">
        <f>[3]!CroissVégét</f>
        <v>0.3687715084596308</v>
      </c>
      <c r="BF162" s="822">
        <f>1+[3]!Salcycl*Ksac</f>
        <v>1.0293405880321118</v>
      </c>
      <c r="BH162" s="1101">
        <f t="shared" si="91"/>
        <v>0</v>
      </c>
      <c r="BI162" s="11">
        <v>44344</v>
      </c>
      <c r="BJ162" s="727">
        <v>0</v>
      </c>
      <c r="BK162" s="727">
        <v>0</v>
      </c>
      <c r="BL162" s="727">
        <v>0</v>
      </c>
      <c r="BM162" s="727">
        <v>0</v>
      </c>
      <c r="BN162" s="727">
        <v>0</v>
      </c>
      <c r="BO162" s="728">
        <v>0</v>
      </c>
      <c r="BP162" s="727">
        <v>0</v>
      </c>
      <c r="BQ162" s="727">
        <v>3.4746429724204451E-5</v>
      </c>
      <c r="BR162" s="727">
        <v>3.6771699107595728E-4</v>
      </c>
      <c r="BS162" s="727">
        <v>1.2630028340008715E-3</v>
      </c>
      <c r="BT162" s="727">
        <v>2.6858575287747421E-3</v>
      </c>
      <c r="BW162" s="1157">
        <f>'2018'!R\Max</f>
        <v>0</v>
      </c>
      <c r="BX162" s="1155">
        <f>'2019'!R\Max</f>
        <v>0.47073202653426138</v>
      </c>
      <c r="BY162" s="1155">
        <f>'2020'!R\Max</f>
        <v>0.96008322130425383</v>
      </c>
      <c r="BZ162" s="1155">
        <f>'2021'!R\Max</f>
        <v>0.74624120754236523</v>
      </c>
      <c r="CA162" s="1155">
        <f>'2022'!R\Max</f>
        <v>0.92563003339562844</v>
      </c>
      <c r="CB162" s="1155">
        <f>'2023'!R\Max</f>
        <v>0.92563003339562833</v>
      </c>
      <c r="CC162" s="1155">
        <f>'2024'!R\Max</f>
        <v>0.92563003339562844</v>
      </c>
      <c r="CD162" s="1155">
        <f>'2025'!R\Max</f>
        <v>0.92563003339562833</v>
      </c>
      <c r="CE162" s="1155">
        <f>'2026'!R\Max</f>
        <v>0.92563003339562866</v>
      </c>
      <c r="CF162" s="1156">
        <f>'2027'!R\Max</f>
        <v>0.92563003339562844</v>
      </c>
    </row>
    <row r="163" spans="1:84" s="6" customFormat="1" ht="11.25" x14ac:dyDescent="0.2">
      <c r="A163" s="11">
        <v>43249</v>
      </c>
      <c r="B163" s="380">
        <f>'2022'!Maxi_hp</f>
        <v>43.771585370686978</v>
      </c>
      <c r="C163" s="13">
        <f>'2022'!An_max</f>
        <v>2022</v>
      </c>
      <c r="D163" s="1070"/>
      <c r="E163" s="13"/>
      <c r="F163" s="13">
        <f t="shared" si="92"/>
        <v>13</v>
      </c>
      <c r="G163" s="13">
        <f t="shared" si="76"/>
        <v>12</v>
      </c>
      <c r="H163" s="173">
        <f t="shared" si="77"/>
        <v>43262</v>
      </c>
      <c r="I163" s="754">
        <f t="shared" si="78"/>
        <v>0.9285714285714286</v>
      </c>
      <c r="J163" s="747">
        <f t="shared" si="79"/>
        <v>43.564269114684848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P163" s="13">
        <f t="shared" si="80"/>
        <v>7</v>
      </c>
      <c r="AQ163" s="13">
        <f t="shared" si="81"/>
        <v>8</v>
      </c>
      <c r="AR163" s="173">
        <f t="shared" si="82"/>
        <v>43248</v>
      </c>
      <c r="AS163" s="754">
        <f t="shared" si="83"/>
        <v>3.5714285714285712E-2</v>
      </c>
      <c r="AT163" s="770">
        <f t="shared" si="84"/>
        <v>43.574258910232622</v>
      </c>
      <c r="AU163" s="13">
        <f t="shared" si="85"/>
        <v>7</v>
      </c>
      <c r="AV163" s="13">
        <f t="shared" si="86"/>
        <v>6</v>
      </c>
      <c r="AW163" s="173">
        <f t="shared" si="87"/>
        <v>43262</v>
      </c>
      <c r="AX163" s="754">
        <f t="shared" si="88"/>
        <v>0.4642857142857143</v>
      </c>
      <c r="AY163" s="770">
        <f t="shared" si="89"/>
        <v>43.617549512834685</v>
      </c>
      <c r="AZ163" s="747">
        <f t="shared" si="93"/>
        <v>43.59590421153365</v>
      </c>
      <c r="BA163" s="646">
        <f t="shared" si="90"/>
        <v>1.0047588599605874</v>
      </c>
      <c r="BB163" s="641">
        <v>43249</v>
      </c>
      <c r="BC163" s="11">
        <v>43249</v>
      </c>
      <c r="BD163" s="290">
        <f>[3]!FeuilCaduc*(1-Persistant)+Persistant</f>
        <v>0.92021169015808968</v>
      </c>
      <c r="BE163" s="291">
        <f>[3]!CroissVégét</f>
        <v>0.37841273812207477</v>
      </c>
      <c r="BF163" s="822">
        <f>1+[3]!Salcycl*Ksac</f>
        <v>1.0300529225395225</v>
      </c>
      <c r="BH163" s="1101">
        <f t="shared" si="91"/>
        <v>0</v>
      </c>
      <c r="BI163" s="11">
        <v>44345</v>
      </c>
      <c r="BJ163" s="727">
        <v>0</v>
      </c>
      <c r="BK163" s="727">
        <v>0</v>
      </c>
      <c r="BL163" s="727">
        <v>0</v>
      </c>
      <c r="BM163" s="727">
        <v>0</v>
      </c>
      <c r="BN163" s="727">
        <v>0</v>
      </c>
      <c r="BO163" s="728">
        <v>0</v>
      </c>
      <c r="BP163" s="727">
        <v>0</v>
      </c>
      <c r="BQ163" s="727">
        <v>3.3400108947436683E-5</v>
      </c>
      <c r="BR163" s="727">
        <v>3.5973319859330287E-4</v>
      </c>
      <c r="BS163" s="727">
        <v>1.2354823699240339E-3</v>
      </c>
      <c r="BT163" s="727">
        <v>2.6272475139921931E-3</v>
      </c>
      <c r="BW163" s="1157">
        <f>'2018'!R\Max</f>
        <v>0</v>
      </c>
      <c r="BX163" s="1155">
        <f>'2019'!R\Max</f>
        <v>0.58670405136678361</v>
      </c>
      <c r="BY163" s="1155">
        <f>'2020'!R\Max</f>
        <v>0.9641381656059459</v>
      </c>
      <c r="BZ163" s="1155">
        <f>'2021'!R\Max</f>
        <v>0.60586185833947348</v>
      </c>
      <c r="CA163" s="1155">
        <f>'2022'!R\Max</f>
        <v>1.0047588599605874</v>
      </c>
      <c r="CB163" s="1155">
        <f>'2023'!R\Max</f>
        <v>1.0047588599605872</v>
      </c>
      <c r="CC163" s="1155">
        <f>'2024'!R\Max</f>
        <v>1.0047588599605877</v>
      </c>
      <c r="CD163" s="1155">
        <f>'2025'!R\Max</f>
        <v>1.0047588599605872</v>
      </c>
      <c r="CE163" s="1155">
        <f>'2026'!R\Max</f>
        <v>1.0047588599605874</v>
      </c>
      <c r="CF163" s="1156">
        <f>'2027'!R\Max</f>
        <v>1.0047588599605872</v>
      </c>
    </row>
    <row r="164" spans="1:84" s="6" customFormat="1" ht="11.25" x14ac:dyDescent="0.2">
      <c r="A164" s="11">
        <v>43250</v>
      </c>
      <c r="B164" s="380">
        <f>'2022'!Maxi_hp</f>
        <v>42.658493741310721</v>
      </c>
      <c r="C164" s="13">
        <f>'2022'!An_max</f>
        <v>2019</v>
      </c>
      <c r="D164" s="1070"/>
      <c r="E164" s="13"/>
      <c r="F164" s="13">
        <f t="shared" si="92"/>
        <v>13</v>
      </c>
      <c r="G164" s="13">
        <f t="shared" si="76"/>
        <v>12</v>
      </c>
      <c r="H164" s="173">
        <f t="shared" si="77"/>
        <v>43262</v>
      </c>
      <c r="I164" s="754">
        <f t="shared" si="78"/>
        <v>0.8571428571428571</v>
      </c>
      <c r="J164" s="747">
        <f t="shared" si="79"/>
        <v>43.560647813363801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P164" s="13">
        <f t="shared" si="80"/>
        <v>7</v>
      </c>
      <c r="AQ164" s="13">
        <f t="shared" si="81"/>
        <v>8</v>
      </c>
      <c r="AR164" s="173">
        <f t="shared" si="82"/>
        <v>43248</v>
      </c>
      <c r="AS164" s="754">
        <f t="shared" si="83"/>
        <v>7.1428571428571425E-2</v>
      </c>
      <c r="AT164" s="770">
        <f t="shared" si="84"/>
        <v>43.57962842586317</v>
      </c>
      <c r="AU164" s="13">
        <f t="shared" si="85"/>
        <v>7</v>
      </c>
      <c r="AV164" s="13">
        <f t="shared" si="86"/>
        <v>6</v>
      </c>
      <c r="AW164" s="173">
        <f t="shared" si="87"/>
        <v>43262</v>
      </c>
      <c r="AX164" s="754">
        <f t="shared" si="88"/>
        <v>0.42857142857142855</v>
      </c>
      <c r="AY164" s="770">
        <f t="shared" si="89"/>
        <v>43.606030029271324</v>
      </c>
      <c r="AZ164" s="747">
        <f t="shared" si="93"/>
        <v>43.59282922756725</v>
      </c>
      <c r="BA164" s="646">
        <f t="shared" si="90"/>
        <v>0.97928970028365114</v>
      </c>
      <c r="BB164" s="641">
        <v>43250</v>
      </c>
      <c r="BC164" s="11">
        <v>43250</v>
      </c>
      <c r="BD164" s="290">
        <f>[3]!FeuilCaduc*(1-Persistant)+Persistant</f>
        <v>0.92304591944345127</v>
      </c>
      <c r="BE164" s="291">
        <f>[3]!CroissVégét</f>
        <v>0.38815019600224987</v>
      </c>
      <c r="BF164" s="822">
        <f>1+[3]!Salcycl*Ksac</f>
        <v>1.0307614798608629</v>
      </c>
      <c r="BH164" s="1101">
        <f t="shared" si="91"/>
        <v>0</v>
      </c>
      <c r="BI164" s="11">
        <v>44346</v>
      </c>
      <c r="BJ164" s="727">
        <v>0</v>
      </c>
      <c r="BK164" s="727">
        <v>0</v>
      </c>
      <c r="BL164" s="727">
        <v>0</v>
      </c>
      <c r="BM164" s="727">
        <v>0</v>
      </c>
      <c r="BN164" s="727">
        <v>0</v>
      </c>
      <c r="BO164" s="728">
        <v>0</v>
      </c>
      <c r="BP164" s="727">
        <v>0</v>
      </c>
      <c r="BQ164" s="727">
        <v>3.2220921508511757E-5</v>
      </c>
      <c r="BR164" s="727">
        <v>3.52986060042046E-4</v>
      </c>
      <c r="BS164" s="727">
        <v>1.2115517037606237E-3</v>
      </c>
      <c r="BT164" s="727">
        <v>2.5756969311557334E-3</v>
      </c>
      <c r="BW164" s="1157">
        <f>'2018'!R\Max</f>
        <v>0</v>
      </c>
      <c r="BX164" s="1155">
        <f>'2019'!R\Max</f>
        <v>0.97928970028365114</v>
      </c>
      <c r="BY164" s="1155">
        <f>'2020'!R\Max</f>
        <v>0.93146910925639059</v>
      </c>
      <c r="BZ164" s="1155">
        <f>'2021'!R\Max</f>
        <v>0.87181793714451949</v>
      </c>
      <c r="CA164" s="1155">
        <f>'2022'!R\Max</f>
        <v>0.8323375255839105</v>
      </c>
      <c r="CB164" s="1155">
        <f>'2023'!R\Max</f>
        <v>0.8323375255839105</v>
      </c>
      <c r="CC164" s="1155">
        <f>'2024'!R\Max</f>
        <v>0.83233752558391039</v>
      </c>
      <c r="CD164" s="1155">
        <f>'2025'!R\Max</f>
        <v>0.8323375255839105</v>
      </c>
      <c r="CE164" s="1155">
        <f>'2026'!R\Max</f>
        <v>0.83233752558391039</v>
      </c>
      <c r="CF164" s="1156">
        <f>'2027'!R\Max</f>
        <v>0.8323375255839105</v>
      </c>
    </row>
    <row r="165" spans="1:84" s="6" customFormat="1" ht="11.25" x14ac:dyDescent="0.2">
      <c r="A165" s="11">
        <v>43251</v>
      </c>
      <c r="B165" s="380">
        <f>'2022'!Maxi_hp</f>
        <v>43.393408345276015</v>
      </c>
      <c r="C165" s="13">
        <f>'2022'!An_max</f>
        <v>2019</v>
      </c>
      <c r="D165" s="1070"/>
      <c r="E165" s="13"/>
      <c r="F165" s="13">
        <f t="shared" si="92"/>
        <v>13</v>
      </c>
      <c r="G165" s="13">
        <f t="shared" si="76"/>
        <v>12</v>
      </c>
      <c r="H165" s="173">
        <f t="shared" si="77"/>
        <v>43262</v>
      </c>
      <c r="I165" s="754">
        <f t="shared" si="78"/>
        <v>0.7857142857142857</v>
      </c>
      <c r="J165" s="747">
        <f t="shared" si="79"/>
        <v>43.554743130744569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P165" s="13">
        <f t="shared" si="80"/>
        <v>7</v>
      </c>
      <c r="AQ165" s="13">
        <f t="shared" si="81"/>
        <v>8</v>
      </c>
      <c r="AR165" s="173">
        <f t="shared" si="82"/>
        <v>43248</v>
      </c>
      <c r="AS165" s="754">
        <f t="shared" si="83"/>
        <v>0.10714285714285714</v>
      </c>
      <c r="AT165" s="770">
        <f t="shared" si="84"/>
        <v>43.581715579444008</v>
      </c>
      <c r="AU165" s="13">
        <f t="shared" si="85"/>
        <v>7</v>
      </c>
      <c r="AV165" s="13">
        <f t="shared" si="86"/>
        <v>6</v>
      </c>
      <c r="AW165" s="173">
        <f t="shared" si="87"/>
        <v>43262</v>
      </c>
      <c r="AX165" s="754">
        <f t="shared" si="88"/>
        <v>0.39285714285714285</v>
      </c>
      <c r="AY165" s="770">
        <f t="shared" si="89"/>
        <v>43.592369876076866</v>
      </c>
      <c r="AZ165" s="747">
        <f t="shared" si="93"/>
        <v>43.587042727760434</v>
      </c>
      <c r="BA165" s="646">
        <f t="shared" si="90"/>
        <v>0.99629581593480521</v>
      </c>
      <c r="BB165" s="641">
        <v>43251</v>
      </c>
      <c r="BC165" s="11">
        <v>43251</v>
      </c>
      <c r="BD165" s="290">
        <f>[3]!FeuilCaduc*(1-Persistant)+Persistant</f>
        <v>0.92586151993910282</v>
      </c>
      <c r="BE165" s="291">
        <f>[3]!CroissVégét</f>
        <v>0.3979769891015032</v>
      </c>
      <c r="BF165" s="822">
        <f>1+[3]!Salcycl*Ksac</f>
        <v>1.0314653799847757</v>
      </c>
      <c r="BH165" s="1101">
        <f t="shared" si="91"/>
        <v>0</v>
      </c>
      <c r="BI165" s="11">
        <v>44347</v>
      </c>
      <c r="BJ165" s="727">
        <v>0</v>
      </c>
      <c r="BK165" s="727">
        <v>0</v>
      </c>
      <c r="BL165" s="727">
        <v>0</v>
      </c>
      <c r="BM165" s="727">
        <v>0</v>
      </c>
      <c r="BN165" s="727">
        <v>0</v>
      </c>
      <c r="BO165" s="728">
        <v>0</v>
      </c>
      <c r="BP165" s="727">
        <v>0</v>
      </c>
      <c r="BQ165" s="727">
        <v>3.0995485951927966E-5</v>
      </c>
      <c r="BR165" s="727">
        <v>3.4664556509814002E-4</v>
      </c>
      <c r="BS165" s="727">
        <v>1.1897850418892606E-3</v>
      </c>
      <c r="BT165" s="727">
        <v>2.5294184303733609E-3</v>
      </c>
      <c r="BW165" s="1157">
        <f>'2018'!R\Max</f>
        <v>0</v>
      </c>
      <c r="BX165" s="1155">
        <f>'2019'!R\Max</f>
        <v>0.99629581593480521</v>
      </c>
      <c r="BY165" s="1155">
        <f>'2020'!R\Max</f>
        <v>0.97568350956121175</v>
      </c>
      <c r="BZ165" s="1155">
        <f>'2021'!R\Max</f>
        <v>0.95298539200575216</v>
      </c>
      <c r="CA165" s="1155">
        <f>'2022'!R\Max</f>
        <v>0.91109441255163215</v>
      </c>
      <c r="CB165" s="1155">
        <f>'2023'!R\Max</f>
        <v>0.91109441255163237</v>
      </c>
      <c r="CC165" s="1155">
        <f>'2024'!R\Max</f>
        <v>0.91109441255163237</v>
      </c>
      <c r="CD165" s="1155">
        <f>'2025'!R\Max</f>
        <v>0.91109441255163215</v>
      </c>
      <c r="CE165" s="1155">
        <f>'2026'!R\Max</f>
        <v>0.91109441255163237</v>
      </c>
      <c r="CF165" s="1156">
        <f>'2027'!R\Max</f>
        <v>0.91109441255163215</v>
      </c>
    </row>
    <row r="166" spans="1:84" s="6" customFormat="1" ht="11.25" x14ac:dyDescent="0.2">
      <c r="A166" s="11">
        <v>43252</v>
      </c>
      <c r="B166" s="380">
        <f>'2022'!Maxi_hp</f>
        <v>43.566085731494503</v>
      </c>
      <c r="C166" s="13">
        <f>'2022'!An_max</f>
        <v>2019</v>
      </c>
      <c r="D166" s="1070"/>
      <c r="E166" s="13"/>
      <c r="F166" s="13">
        <f t="shared" si="92"/>
        <v>13</v>
      </c>
      <c r="G166" s="13">
        <f t="shared" si="76"/>
        <v>12</v>
      </c>
      <c r="H166" s="173">
        <f t="shared" si="77"/>
        <v>43262</v>
      </c>
      <c r="I166" s="754">
        <f t="shared" si="78"/>
        <v>0.7142857142857143</v>
      </c>
      <c r="J166" s="747">
        <f t="shared" si="79"/>
        <v>43.546662099340132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P166" s="13">
        <f t="shared" si="80"/>
        <v>7</v>
      </c>
      <c r="AQ166" s="13">
        <f t="shared" si="81"/>
        <v>8</v>
      </c>
      <c r="AR166" s="173">
        <f t="shared" si="82"/>
        <v>43248</v>
      </c>
      <c r="AS166" s="754">
        <f t="shared" si="83"/>
        <v>0.14285714285714285</v>
      </c>
      <c r="AT166" s="770">
        <f t="shared" si="84"/>
        <v>43.580627405590249</v>
      </c>
      <c r="AU166" s="13">
        <f t="shared" si="85"/>
        <v>7</v>
      </c>
      <c r="AV166" s="13">
        <f t="shared" si="86"/>
        <v>6</v>
      </c>
      <c r="AW166" s="173">
        <f t="shared" si="87"/>
        <v>43262</v>
      </c>
      <c r="AX166" s="754">
        <f t="shared" si="88"/>
        <v>0.35714285714285715</v>
      </c>
      <c r="AY166" s="770">
        <f t="shared" si="89"/>
        <v>43.576809876625028</v>
      </c>
      <c r="AZ166" s="747">
        <f t="shared" si="93"/>
        <v>43.578718641107642</v>
      </c>
      <c r="BA166" s="646">
        <f t="shared" si="90"/>
        <v>1.0004460418139527</v>
      </c>
      <c r="BB166" s="641">
        <v>43252</v>
      </c>
      <c r="BC166" s="11">
        <v>43252</v>
      </c>
      <c r="BD166" s="290">
        <f>[3]!FeuilCaduc*(1-Persistant)+Persistant</f>
        <v>0.92865499392943418</v>
      </c>
      <c r="BE166" s="291">
        <f>[3]!CroissVégét</f>
        <v>0.4078859452556679</v>
      </c>
      <c r="BF166" s="822">
        <f>1+[3]!Salcycl*Ksac</f>
        <v>1.0321637484823585</v>
      </c>
      <c r="BH166" s="1101">
        <f t="shared" si="91"/>
        <v>0</v>
      </c>
      <c r="BI166" s="11">
        <v>44348</v>
      </c>
      <c r="BJ166" s="727">
        <v>0</v>
      </c>
      <c r="BK166" s="727">
        <v>0</v>
      </c>
      <c r="BL166" s="727">
        <v>0</v>
      </c>
      <c r="BM166" s="727">
        <v>0</v>
      </c>
      <c r="BN166" s="727">
        <v>0</v>
      </c>
      <c r="BO166" s="728">
        <v>0</v>
      </c>
      <c r="BP166" s="727">
        <v>0</v>
      </c>
      <c r="BQ166" s="727">
        <v>2.9723968567114719E-5</v>
      </c>
      <c r="BR166" s="727">
        <v>3.4071168624766216E-4</v>
      </c>
      <c r="BS166" s="727">
        <v>1.1701809443296655E-3</v>
      </c>
      <c r="BT166" s="727">
        <v>2.4884077742460104E-3</v>
      </c>
      <c r="BW166" s="1157">
        <f>'2018'!R\Max</f>
        <v>0</v>
      </c>
      <c r="BX166" s="1155">
        <f>'2019'!R\Max</f>
        <v>1.0004460418139527</v>
      </c>
      <c r="BY166" s="1155">
        <f>'2020'!R\Max</f>
        <v>0.97169599563443021</v>
      </c>
      <c r="BZ166" s="1155">
        <f>'2021'!R\Max</f>
        <v>0.55921804202643843</v>
      </c>
      <c r="CA166" s="1155">
        <f>'2022'!R\Max</f>
        <v>0.93214750939598001</v>
      </c>
      <c r="CB166" s="1155">
        <f>'2023'!R\Max</f>
        <v>0.93214750939598023</v>
      </c>
      <c r="CC166" s="1155">
        <f>'2024'!R\Max</f>
        <v>0.93214750939598001</v>
      </c>
      <c r="CD166" s="1155">
        <f>'2025'!R\Max</f>
        <v>0.93214750939598023</v>
      </c>
      <c r="CE166" s="1155">
        <f>'2026'!R\Max</f>
        <v>0.9321475093959799</v>
      </c>
      <c r="CF166" s="1156">
        <f>'2027'!R\Max</f>
        <v>0.93214750939598023</v>
      </c>
    </row>
    <row r="167" spans="1:84" s="6" customFormat="1" ht="11.25" x14ac:dyDescent="0.2">
      <c r="A167" s="11">
        <v>43253</v>
      </c>
      <c r="B167" s="380">
        <f>'2022'!Maxi_hp</f>
        <v>42.879308484292096</v>
      </c>
      <c r="C167" s="13">
        <f>'2022'!An_max</f>
        <v>2019</v>
      </c>
      <c r="D167" s="1070"/>
      <c r="E167" s="13"/>
      <c r="F167" s="13">
        <f t="shared" si="92"/>
        <v>13</v>
      </c>
      <c r="G167" s="13">
        <f t="shared" si="76"/>
        <v>12</v>
      </c>
      <c r="H167" s="173">
        <f t="shared" si="77"/>
        <v>43262</v>
      </c>
      <c r="I167" s="754">
        <f t="shared" si="78"/>
        <v>0.6428571428571429</v>
      </c>
      <c r="J167" s="747">
        <f t="shared" si="79"/>
        <v>43.536511752741141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P167" s="13">
        <f t="shared" si="80"/>
        <v>7</v>
      </c>
      <c r="AQ167" s="13">
        <f t="shared" si="81"/>
        <v>8</v>
      </c>
      <c r="AR167" s="173">
        <f t="shared" si="82"/>
        <v>43248</v>
      </c>
      <c r="AS167" s="754">
        <f t="shared" si="83"/>
        <v>0.17857142857142858</v>
      </c>
      <c r="AT167" s="770">
        <f t="shared" si="84"/>
        <v>43.576470936488889</v>
      </c>
      <c r="AU167" s="13">
        <f t="shared" si="85"/>
        <v>7</v>
      </c>
      <c r="AV167" s="13">
        <f t="shared" si="86"/>
        <v>6</v>
      </c>
      <c r="AW167" s="173">
        <f t="shared" si="87"/>
        <v>43262</v>
      </c>
      <c r="AX167" s="754">
        <f t="shared" si="88"/>
        <v>0.32142857142857145</v>
      </c>
      <c r="AY167" s="770">
        <f t="shared" si="89"/>
        <v>43.559590857901739</v>
      </c>
      <c r="AZ167" s="747">
        <f t="shared" si="93"/>
        <v>43.568030897195314</v>
      </c>
      <c r="BA167" s="646">
        <f t="shared" si="90"/>
        <v>0.98490454926243221</v>
      </c>
      <c r="BB167" s="641">
        <v>43253</v>
      </c>
      <c r="BC167" s="11">
        <v>43253</v>
      </c>
      <c r="BD167" s="290">
        <f>[3]!FeuilCaduc*(1-Persistant)+Persistant</f>
        <v>0.93142287904947363</v>
      </c>
      <c r="BE167" s="291">
        <f>[3]!CroissVégét</f>
        <v>0.41786963208449301</v>
      </c>
      <c r="BF167" s="822">
        <f>1+[3]!Salcycl*Ksac</f>
        <v>1.0328557197623685</v>
      </c>
      <c r="BH167" s="1101">
        <f t="shared" si="91"/>
        <v>0</v>
      </c>
      <c r="BI167" s="11">
        <v>44349</v>
      </c>
      <c r="BJ167" s="727">
        <v>0</v>
      </c>
      <c r="BK167" s="727">
        <v>0</v>
      </c>
      <c r="BL167" s="727">
        <v>0</v>
      </c>
      <c r="BM167" s="727">
        <v>0</v>
      </c>
      <c r="BN167" s="727">
        <v>0</v>
      </c>
      <c r="BO167" s="728">
        <v>0</v>
      </c>
      <c r="BP167" s="727">
        <v>0</v>
      </c>
      <c r="BQ167" s="727">
        <v>2.8406532009841558E-5</v>
      </c>
      <c r="BR167" s="727">
        <v>3.3518433826690698E-4</v>
      </c>
      <c r="BS167" s="727">
        <v>1.1527377261942541E-3</v>
      </c>
      <c r="BT167" s="727">
        <v>2.4526601637820406E-3</v>
      </c>
      <c r="BW167" s="1157">
        <f>'2018'!R\Max</f>
        <v>0</v>
      </c>
      <c r="BX167" s="1155">
        <f>'2019'!R\Max</f>
        <v>0.98490454926243221</v>
      </c>
      <c r="BY167" s="1155">
        <f>'2020'!R\Max</f>
        <v>0.4820049439607163</v>
      </c>
      <c r="BZ167" s="1155">
        <f>'2021'!R\Max</f>
        <v>0.73785193602482768</v>
      </c>
      <c r="CA167" s="1155">
        <f>'2022'!R\Max</f>
        <v>0.74463824331868678</v>
      </c>
      <c r="CB167" s="1155">
        <f>'2023'!R\Max</f>
        <v>0.74463824331868678</v>
      </c>
      <c r="CC167" s="1155">
        <f>'2024'!R\Max</f>
        <v>0.74463824331868678</v>
      </c>
      <c r="CD167" s="1155">
        <f>'2025'!R\Max</f>
        <v>0.74463824331868678</v>
      </c>
      <c r="CE167" s="1155">
        <f>'2026'!R\Max</f>
        <v>0.74463824331868678</v>
      </c>
      <c r="CF167" s="1156">
        <f>'2027'!R\Max</f>
        <v>0.74463824331868678</v>
      </c>
    </row>
    <row r="168" spans="1:84" s="6" customFormat="1" ht="11.25" x14ac:dyDescent="0.2">
      <c r="A168" s="11">
        <v>43254</v>
      </c>
      <c r="B168" s="380">
        <f>'2022'!Maxi_hp</f>
        <v>40.900365987061008</v>
      </c>
      <c r="C168" s="13">
        <f>'2022'!An_max</f>
        <v>2020</v>
      </c>
      <c r="D168" s="1070"/>
      <c r="E168" s="13"/>
      <c r="F168" s="13">
        <f t="shared" si="92"/>
        <v>13</v>
      </c>
      <c r="G168" s="13">
        <f t="shared" si="76"/>
        <v>12</v>
      </c>
      <c r="H168" s="173">
        <f t="shared" si="77"/>
        <v>43262</v>
      </c>
      <c r="I168" s="754">
        <f t="shared" si="78"/>
        <v>0.5714285714285714</v>
      </c>
      <c r="J168" s="747">
        <f t="shared" si="79"/>
        <v>43.524399125336537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P168" s="13">
        <f t="shared" si="80"/>
        <v>7</v>
      </c>
      <c r="AQ168" s="13">
        <f t="shared" si="81"/>
        <v>8</v>
      </c>
      <c r="AR168" s="173">
        <f t="shared" si="82"/>
        <v>43248</v>
      </c>
      <c r="AS168" s="754">
        <f t="shared" si="83"/>
        <v>0.21428571428571427</v>
      </c>
      <c r="AT168" s="770">
        <f t="shared" si="84"/>
        <v>43.569353207253982</v>
      </c>
      <c r="AU168" s="13">
        <f t="shared" si="85"/>
        <v>7</v>
      </c>
      <c r="AV168" s="13">
        <f t="shared" si="86"/>
        <v>6</v>
      </c>
      <c r="AW168" s="173">
        <f t="shared" si="87"/>
        <v>43262</v>
      </c>
      <c r="AX168" s="754">
        <f t="shared" si="88"/>
        <v>0.2857142857142857</v>
      </c>
      <c r="AY168" s="770">
        <f t="shared" si="89"/>
        <v>43.540953644950477</v>
      </c>
      <c r="AZ168" s="747">
        <f t="shared" si="93"/>
        <v>43.55515342610223</v>
      </c>
      <c r="BA168" s="646">
        <f t="shared" si="90"/>
        <v>0.93971121506539035</v>
      </c>
      <c r="BB168" s="641">
        <v>43254</v>
      </c>
      <c r="BC168" s="11">
        <v>43254</v>
      </c>
      <c r="BD168" s="290">
        <f>[3]!FeuilCaduc*(1-Persistant)+Persistant</f>
        <v>0.9341617613823191</v>
      </c>
      <c r="BE168" s="291">
        <f>[3]!CroissVégét</f>
        <v>0.42792037764903684</v>
      </c>
      <c r="BF168" s="822">
        <f>1+[3]!Salcycl*Ksac</f>
        <v>1.0335404403455797</v>
      </c>
      <c r="BH168" s="1101">
        <f t="shared" si="91"/>
        <v>0</v>
      </c>
      <c r="BI168" s="11">
        <v>44350</v>
      </c>
      <c r="BJ168" s="727">
        <v>0</v>
      </c>
      <c r="BK168" s="727">
        <v>0</v>
      </c>
      <c r="BL168" s="727">
        <v>0</v>
      </c>
      <c r="BM168" s="727">
        <v>0</v>
      </c>
      <c r="BN168" s="727">
        <v>0</v>
      </c>
      <c r="BO168" s="728">
        <v>0</v>
      </c>
      <c r="BP168" s="727">
        <v>0</v>
      </c>
      <c r="BQ168" s="727">
        <v>2.7043334665076354E-5</v>
      </c>
      <c r="BR168" s="727">
        <v>3.3006338366331641E-4</v>
      </c>
      <c r="BS168" s="727">
        <v>1.1374534867186622E-3</v>
      </c>
      <c r="BT168" s="727">
        <v>2.4221703091660378E-3</v>
      </c>
      <c r="BW168" s="1157">
        <f>'2018'!R\Max</f>
        <v>0</v>
      </c>
      <c r="BX168" s="1155">
        <f>'2019'!R\Max</f>
        <v>0.73663002841770586</v>
      </c>
      <c r="BY168" s="1155">
        <f>'2020'!R\Max</f>
        <v>0.93971121506539035</v>
      </c>
      <c r="BZ168" s="1155">
        <f>'2021'!R\Max</f>
        <v>0.81585040037016088</v>
      </c>
      <c r="CA168" s="1155">
        <f>'2022'!R\Max</f>
        <v>0.90223124954895328</v>
      </c>
      <c r="CB168" s="1155">
        <f>'2023'!R\Max</f>
        <v>0.90223124954895328</v>
      </c>
      <c r="CC168" s="1155">
        <f>'2024'!R\Max</f>
        <v>0.90223124954895328</v>
      </c>
      <c r="CD168" s="1155">
        <f>'2025'!R\Max</f>
        <v>0.90223124954895295</v>
      </c>
      <c r="CE168" s="1155">
        <f>'2026'!R\Max</f>
        <v>0.90223124954895328</v>
      </c>
      <c r="CF168" s="1156">
        <f>'2027'!R\Max</f>
        <v>0.90223124954895295</v>
      </c>
    </row>
    <row r="169" spans="1:84" s="6" customFormat="1" ht="11.25" x14ac:dyDescent="0.2">
      <c r="A169" s="11">
        <v>43255</v>
      </c>
      <c r="B169" s="380">
        <f>'2022'!Maxi_hp</f>
        <v>39.208479410281221</v>
      </c>
      <c r="C169" s="13">
        <f>'2022'!An_max</f>
        <v>2019</v>
      </c>
      <c r="D169" s="1070"/>
      <c r="E169" s="13"/>
      <c r="F169" s="13">
        <f t="shared" si="92"/>
        <v>13</v>
      </c>
      <c r="G169" s="13">
        <f t="shared" si="76"/>
        <v>12</v>
      </c>
      <c r="H169" s="173">
        <f t="shared" si="77"/>
        <v>43262</v>
      </c>
      <c r="I169" s="754">
        <f t="shared" si="78"/>
        <v>0.5</v>
      </c>
      <c r="J169" s="747">
        <f t="shared" si="79"/>
        <v>43.510431249998511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P169" s="13">
        <f t="shared" si="80"/>
        <v>7</v>
      </c>
      <c r="AQ169" s="13">
        <f t="shared" si="81"/>
        <v>8</v>
      </c>
      <c r="AR169" s="173">
        <f t="shared" si="82"/>
        <v>43248</v>
      </c>
      <c r="AS169" s="754">
        <f t="shared" si="83"/>
        <v>0.25</v>
      </c>
      <c r="AT169" s="770">
        <f t="shared" si="84"/>
        <v>43.559381250105801</v>
      </c>
      <c r="AU169" s="13">
        <f t="shared" si="85"/>
        <v>7</v>
      </c>
      <c r="AV169" s="13">
        <f t="shared" si="86"/>
        <v>6</v>
      </c>
      <c r="AW169" s="173">
        <f t="shared" si="87"/>
        <v>43262</v>
      </c>
      <c r="AX169" s="754">
        <f t="shared" si="88"/>
        <v>0.25</v>
      </c>
      <c r="AY169" s="770">
        <f t="shared" si="89"/>
        <v>43.521139062894505</v>
      </c>
      <c r="AZ169" s="747">
        <f t="shared" si="93"/>
        <v>43.540260156500153</v>
      </c>
      <c r="BA169" s="646">
        <f t="shared" si="90"/>
        <v>0.90112826473726493</v>
      </c>
      <c r="BB169" s="641">
        <v>43255</v>
      </c>
      <c r="BC169" s="11">
        <v>43255</v>
      </c>
      <c r="BD169" s="290">
        <f>[3]!FeuilCaduc*(1-Persistant)+Persistant</f>
        <v>0.93686828854957138</v>
      </c>
      <c r="BE169" s="291">
        <f>[3]!CroissVégét</f>
        <v>0.43803029270835642</v>
      </c>
      <c r="BF169" s="822">
        <f>1+[3]!Salcycl*Ksac</f>
        <v>1.0342170721373929</v>
      </c>
      <c r="BH169" s="1101">
        <f t="shared" si="91"/>
        <v>0</v>
      </c>
      <c r="BI169" s="11">
        <v>44351</v>
      </c>
      <c r="BJ169" s="727">
        <v>0</v>
      </c>
      <c r="BK169" s="727">
        <v>0</v>
      </c>
      <c r="BL169" s="727">
        <v>0</v>
      </c>
      <c r="BM169" s="727">
        <v>0</v>
      </c>
      <c r="BN169" s="727">
        <v>0</v>
      </c>
      <c r="BO169" s="728">
        <v>0</v>
      </c>
      <c r="BP169" s="727">
        <v>0</v>
      </c>
      <c r="BQ169" s="727">
        <v>2.5634530010017569E-5</v>
      </c>
      <c r="BR169" s="727">
        <v>3.2534863811832623E-4</v>
      </c>
      <c r="BS169" s="727">
        <v>1.1243261382988495E-3</v>
      </c>
      <c r="BT169" s="727">
        <v>2.3969325005415705E-3</v>
      </c>
      <c r="BW169" s="1157">
        <f>'2018'!R\Max</f>
        <v>0.34206645240118072</v>
      </c>
      <c r="BX169" s="1155">
        <f>'2019'!R\Max</f>
        <v>0.90112826473726493</v>
      </c>
      <c r="BY169" s="1155">
        <f>'2020'!R\Max</f>
        <v>0.43106359312706333</v>
      </c>
      <c r="BZ169" s="1155">
        <f>'2021'!R\Max</f>
        <v>0.14528104786627943</v>
      </c>
      <c r="CA169" s="1155">
        <f>'2022'!R\Max</f>
        <v>0.44842731902256794</v>
      </c>
      <c r="CB169" s="1155">
        <f>'2023'!R\Max</f>
        <v>0.4484273190225681</v>
      </c>
      <c r="CC169" s="1155">
        <f>'2024'!R\Max</f>
        <v>0.44842731902256799</v>
      </c>
      <c r="CD169" s="1155">
        <f>'2025'!R\Max</f>
        <v>0.44842731902256799</v>
      </c>
      <c r="CE169" s="1155">
        <f>'2026'!R\Max</f>
        <v>0.4484273190225681</v>
      </c>
      <c r="CF169" s="1156">
        <f>'2027'!R\Max</f>
        <v>0.44842731902256799</v>
      </c>
    </row>
    <row r="170" spans="1:84" s="6" customFormat="1" ht="11.25" x14ac:dyDescent="0.2">
      <c r="A170" s="11">
        <v>43256</v>
      </c>
      <c r="B170" s="380">
        <f>'2022'!Maxi_hp</f>
        <v>31.965848154895578</v>
      </c>
      <c r="C170" s="13">
        <f>'2022'!An_max</f>
        <v>2021</v>
      </c>
      <c r="D170" s="1070"/>
      <c r="E170" s="13"/>
      <c r="F170" s="13">
        <f t="shared" si="92"/>
        <v>13</v>
      </c>
      <c r="G170" s="13">
        <f t="shared" si="76"/>
        <v>12</v>
      </c>
      <c r="H170" s="173">
        <f t="shared" si="77"/>
        <v>43262</v>
      </c>
      <c r="I170" s="754">
        <f t="shared" si="78"/>
        <v>0.42857142857142855</v>
      </c>
      <c r="J170" s="747">
        <f t="shared" si="79"/>
        <v>43.494715160131456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P170" s="13">
        <f t="shared" si="80"/>
        <v>7</v>
      </c>
      <c r="AQ170" s="13">
        <f t="shared" si="81"/>
        <v>8</v>
      </c>
      <c r="AR170" s="173">
        <f t="shared" si="82"/>
        <v>43248</v>
      </c>
      <c r="AS170" s="754">
        <f t="shared" si="83"/>
        <v>0.2857142857142857</v>
      </c>
      <c r="AT170" s="770">
        <f t="shared" si="84"/>
        <v>43.546662099020821</v>
      </c>
      <c r="AU170" s="13">
        <f t="shared" si="85"/>
        <v>7</v>
      </c>
      <c r="AV170" s="13">
        <f t="shared" si="86"/>
        <v>6</v>
      </c>
      <c r="AW170" s="173">
        <f t="shared" si="87"/>
        <v>43262</v>
      </c>
      <c r="AX170" s="754">
        <f t="shared" si="88"/>
        <v>0.21428571428571427</v>
      </c>
      <c r="AY170" s="770">
        <f t="shared" si="89"/>
        <v>43.500387937854967</v>
      </c>
      <c r="AZ170" s="747">
        <f t="shared" si="93"/>
        <v>43.523525018437894</v>
      </c>
      <c r="BA170" s="646">
        <f t="shared" si="90"/>
        <v>0.7349363718605616</v>
      </c>
      <c r="BB170" s="641">
        <v>43256</v>
      </c>
      <c r="BC170" s="11">
        <v>43256</v>
      </c>
      <c r="BD170" s="290">
        <f>[3]!FeuilCaduc*(1-Persistant)+Persistant</f>
        <v>0.93953918270926895</v>
      </c>
      <c r="BE170" s="291">
        <f>[3]!CroissVégét</f>
        <v>0.44819129444890032</v>
      </c>
      <c r="BF170" s="822">
        <f>1+[3]!Salcycl*Ksac</f>
        <v>1.0348847956773173</v>
      </c>
      <c r="BH170" s="1101">
        <f t="shared" si="91"/>
        <v>0</v>
      </c>
      <c r="BI170" s="11">
        <v>44352</v>
      </c>
      <c r="BJ170" s="727">
        <v>0</v>
      </c>
      <c r="BK170" s="727">
        <v>0</v>
      </c>
      <c r="BL170" s="727">
        <v>0</v>
      </c>
      <c r="BM170" s="727">
        <v>0</v>
      </c>
      <c r="BN170" s="727">
        <v>0</v>
      </c>
      <c r="BO170" s="728">
        <v>0</v>
      </c>
      <c r="BP170" s="727">
        <v>0</v>
      </c>
      <c r="BQ170" s="727">
        <v>2.4251992809546239E-5</v>
      </c>
      <c r="BR170" s="727">
        <v>3.210968248001533E-4</v>
      </c>
      <c r="BS170" s="727">
        <v>1.1131995946664448E-3</v>
      </c>
      <c r="BT170" s="727">
        <v>2.3763083095988745E-3</v>
      </c>
      <c r="BW170" s="1157">
        <f>'2018'!R\Max</f>
        <v>0.30491835213656859</v>
      </c>
      <c r="BX170" s="1155">
        <f>'2019'!R\Max</f>
        <v>0.18119029489676591</v>
      </c>
      <c r="BY170" s="1155">
        <f>'2020'!R\Max</f>
        <v>0.59817927530713599</v>
      </c>
      <c r="BZ170" s="1155">
        <f>'2021'!R\Max</f>
        <v>0.7349363718605616</v>
      </c>
      <c r="CA170" s="1155">
        <f>'2022'!R\Max</f>
        <v>0.55045759380578763</v>
      </c>
      <c r="CB170" s="1155">
        <f>'2023'!R\Max</f>
        <v>0.55045759380578763</v>
      </c>
      <c r="CC170" s="1155">
        <f>'2024'!R\Max</f>
        <v>0.55045759380578752</v>
      </c>
      <c r="CD170" s="1155">
        <f>'2025'!R\Max</f>
        <v>0.55045759380578763</v>
      </c>
      <c r="CE170" s="1155">
        <f>'2026'!R\Max</f>
        <v>0.55045759380578752</v>
      </c>
      <c r="CF170" s="1156">
        <f>'2027'!R\Max</f>
        <v>0.55045759380578763</v>
      </c>
    </row>
    <row r="171" spans="1:84" s="6" customFormat="1" ht="11.25" x14ac:dyDescent="0.2">
      <c r="A171" s="11">
        <v>43257</v>
      </c>
      <c r="B171" s="380">
        <f>'2022'!Maxi_hp</f>
        <v>41.05414814635413</v>
      </c>
      <c r="C171" s="13">
        <f>'2022'!An_max</f>
        <v>2019</v>
      </c>
      <c r="D171" s="1070"/>
      <c r="E171" s="13"/>
      <c r="F171" s="13">
        <f t="shared" si="92"/>
        <v>13</v>
      </c>
      <c r="G171" s="13">
        <f t="shared" si="76"/>
        <v>12</v>
      </c>
      <c r="H171" s="173">
        <f t="shared" si="77"/>
        <v>43262</v>
      </c>
      <c r="I171" s="754">
        <f t="shared" si="78"/>
        <v>0.35714285714285715</v>
      </c>
      <c r="J171" s="747">
        <f t="shared" si="79"/>
        <v>43.477357889911424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P171" s="13">
        <f t="shared" si="80"/>
        <v>7</v>
      </c>
      <c r="AQ171" s="13">
        <f t="shared" si="81"/>
        <v>8</v>
      </c>
      <c r="AR171" s="173">
        <f t="shared" si="82"/>
        <v>43248</v>
      </c>
      <c r="AS171" s="754">
        <f t="shared" si="83"/>
        <v>0.32142857142857145</v>
      </c>
      <c r="AT171" s="770">
        <f t="shared" si="84"/>
        <v>43.531302788268242</v>
      </c>
      <c r="AU171" s="13">
        <f t="shared" si="85"/>
        <v>7</v>
      </c>
      <c r="AV171" s="13">
        <f t="shared" si="86"/>
        <v>6</v>
      </c>
      <c r="AW171" s="173">
        <f t="shared" si="87"/>
        <v>43262</v>
      </c>
      <c r="AX171" s="754">
        <f t="shared" si="88"/>
        <v>0.17857142857142858</v>
      </c>
      <c r="AY171" s="770">
        <f t="shared" si="89"/>
        <v>43.478941094476191</v>
      </c>
      <c r="AZ171" s="747">
        <f t="shared" si="93"/>
        <v>43.505121941372217</v>
      </c>
      <c r="BA171" s="646">
        <f t="shared" si="90"/>
        <v>0.94426501836443055</v>
      </c>
      <c r="BB171" s="641">
        <v>43257</v>
      </c>
      <c r="BC171" s="11">
        <v>43257</v>
      </c>
      <c r="BD171" s="290">
        <f>[3]!FeuilCaduc*(1-Persistant)+Persistant</f>
        <v>0.94217125337466512</v>
      </c>
      <c r="BE171" s="291">
        <f>[3]!CroissVégét</f>
        <v>0.45839513154318023</v>
      </c>
      <c r="BF171" s="822">
        <f>1+[3]!Salcycl*Ksac</f>
        <v>1.0355428133436664</v>
      </c>
      <c r="BH171" s="1101">
        <f t="shared" si="91"/>
        <v>0</v>
      </c>
      <c r="BI171" s="11">
        <v>44353</v>
      </c>
      <c r="BJ171" s="727">
        <v>0</v>
      </c>
      <c r="BK171" s="727">
        <v>0</v>
      </c>
      <c r="BL171" s="727">
        <v>0</v>
      </c>
      <c r="BM171" s="727">
        <v>0</v>
      </c>
      <c r="BN171" s="727">
        <v>0</v>
      </c>
      <c r="BO171" s="728">
        <v>0</v>
      </c>
      <c r="BP171" s="727">
        <v>0</v>
      </c>
      <c r="BQ171" s="727">
        <v>2.3062807729063394E-5</v>
      </c>
      <c r="BR171" s="727">
        <v>3.1812086271448516E-4</v>
      </c>
      <c r="BS171" s="727">
        <v>1.105330750062095E-3</v>
      </c>
      <c r="BT171" s="727">
        <v>2.3616296620428291E-3</v>
      </c>
      <c r="BW171" s="1157">
        <f>'2018'!R\Max</f>
        <v>0.29529893682015523</v>
      </c>
      <c r="BX171" s="1155">
        <f>'2019'!R\Max</f>
        <v>0.94426501836443055</v>
      </c>
      <c r="BY171" s="1155">
        <f>'2020'!R\Max</f>
        <v>0.41273870556170578</v>
      </c>
      <c r="BZ171" s="1155">
        <f>'2021'!R\Max</f>
        <v>0.74493407284170821</v>
      </c>
      <c r="CA171" s="1155">
        <f>'2022'!R\Max</f>
        <v>0.7643061937850214</v>
      </c>
      <c r="CB171" s="1155">
        <f>'2023'!R\Max</f>
        <v>0.76430619378502151</v>
      </c>
      <c r="CC171" s="1155">
        <f>'2024'!R\Max</f>
        <v>0.7643061937850214</v>
      </c>
      <c r="CD171" s="1155">
        <f>'2025'!R\Max</f>
        <v>0.7643061937850214</v>
      </c>
      <c r="CE171" s="1155">
        <f>'2026'!R\Max</f>
        <v>0.7643061937850214</v>
      </c>
      <c r="CF171" s="1156">
        <f>'2027'!R\Max</f>
        <v>0.76430619378502151</v>
      </c>
    </row>
    <row r="172" spans="1:84" s="6" customFormat="1" ht="11.25" x14ac:dyDescent="0.2">
      <c r="A172" s="11">
        <v>43258</v>
      </c>
      <c r="B172" s="380">
        <f>'2022'!Maxi_hp</f>
        <v>38.856191383459525</v>
      </c>
      <c r="C172" s="13">
        <f>'2022'!An_max</f>
        <v>2021</v>
      </c>
      <c r="D172" s="1070"/>
      <c r="E172" s="13"/>
      <c r="F172" s="13">
        <f t="shared" si="92"/>
        <v>13</v>
      </c>
      <c r="G172" s="13">
        <f t="shared" si="76"/>
        <v>12</v>
      </c>
      <c r="H172" s="173">
        <f t="shared" si="77"/>
        <v>43262</v>
      </c>
      <c r="I172" s="754">
        <f t="shared" si="78"/>
        <v>0.2857142857142857</v>
      </c>
      <c r="J172" s="747">
        <f t="shared" si="79"/>
        <v>43.458466472210624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P172" s="13">
        <f t="shared" si="80"/>
        <v>7</v>
      </c>
      <c r="AQ172" s="13">
        <f t="shared" si="81"/>
        <v>8</v>
      </c>
      <c r="AR172" s="173">
        <f t="shared" si="82"/>
        <v>43248</v>
      </c>
      <c r="AS172" s="754">
        <f t="shared" si="83"/>
        <v>0.35714285714285715</v>
      </c>
      <c r="AT172" s="770">
        <f t="shared" si="84"/>
        <v>43.513410349602673</v>
      </c>
      <c r="AU172" s="13">
        <f t="shared" si="85"/>
        <v>7</v>
      </c>
      <c r="AV172" s="13">
        <f t="shared" si="86"/>
        <v>6</v>
      </c>
      <c r="AW172" s="173">
        <f t="shared" si="87"/>
        <v>43262</v>
      </c>
      <c r="AX172" s="754">
        <f t="shared" si="88"/>
        <v>0.14285714285714285</v>
      </c>
      <c r="AY172" s="770">
        <f t="shared" si="89"/>
        <v>43.457039358945835</v>
      </c>
      <c r="AZ172" s="747">
        <f t="shared" si="93"/>
        <v>43.48522485427425</v>
      </c>
      <c r="BA172" s="646">
        <f t="shared" si="90"/>
        <v>0.89409945949901359</v>
      </c>
      <c r="BB172" s="641">
        <v>43258</v>
      </c>
      <c r="BC172" s="11">
        <v>43258</v>
      </c>
      <c r="BD172" s="290">
        <f>[3]!FeuilCaduc*(1-Persistant)+Persistant</f>
        <v>0.94476140996678681</v>
      </c>
      <c r="BE172" s="291">
        <f>[3]!CroissVégét</f>
        <v>0.46863341037883222</v>
      </c>
      <c r="BF172" s="822">
        <f>1+[3]!Salcycl*Ksac</f>
        <v>1.0361903524916967</v>
      </c>
      <c r="BH172" s="1101">
        <f t="shared" si="91"/>
        <v>0</v>
      </c>
      <c r="BI172" s="11">
        <v>44354</v>
      </c>
      <c r="BJ172" s="727">
        <v>0</v>
      </c>
      <c r="BK172" s="727">
        <v>0</v>
      </c>
      <c r="BL172" s="727">
        <v>0</v>
      </c>
      <c r="BM172" s="727">
        <v>0</v>
      </c>
      <c r="BN172" s="727">
        <v>0</v>
      </c>
      <c r="BO172" s="728">
        <v>0</v>
      </c>
      <c r="BP172" s="727">
        <v>0</v>
      </c>
      <c r="BQ172" s="727">
        <v>2.2066655547768272E-5</v>
      </c>
      <c r="BR172" s="727">
        <v>3.164188060343873E-4</v>
      </c>
      <c r="BS172" s="727">
        <v>1.1007150319637716E-3</v>
      </c>
      <c r="BT172" s="727">
        <v>2.3528886777881529E-3</v>
      </c>
      <c r="BW172" s="1157">
        <f>'2018'!R\Max</f>
        <v>0.80066490747382468</v>
      </c>
      <c r="BX172" s="1155">
        <f>'2019'!R\Max</f>
        <v>0.29792881831135282</v>
      </c>
      <c r="BY172" s="1155">
        <f>'2020'!R\Max</f>
        <v>0.41143341436907882</v>
      </c>
      <c r="BZ172" s="1155">
        <f>'2021'!R\Max</f>
        <v>0.89409945949901359</v>
      </c>
      <c r="CA172" s="1155">
        <f>'2022'!R\Max</f>
        <v>0.44316440678776714</v>
      </c>
      <c r="CB172" s="1155">
        <f>'2023'!R\Max</f>
        <v>0.44316440678776714</v>
      </c>
      <c r="CC172" s="1155">
        <f>'2024'!R\Max</f>
        <v>0.44316440678776714</v>
      </c>
      <c r="CD172" s="1155">
        <f>'2025'!R\Max</f>
        <v>0.44316440678776714</v>
      </c>
      <c r="CE172" s="1155">
        <f>'2026'!R\Max</f>
        <v>0.44316440678776703</v>
      </c>
      <c r="CF172" s="1156">
        <f>'2027'!R\Max</f>
        <v>0.4431644067877672</v>
      </c>
    </row>
    <row r="173" spans="1:84" s="6" customFormat="1" ht="11.25" x14ac:dyDescent="0.2">
      <c r="A173" s="11">
        <v>43259</v>
      </c>
      <c r="B173" s="380">
        <f>'2022'!Maxi_hp</f>
        <v>43.845518262110815</v>
      </c>
      <c r="C173" s="13">
        <f>'2022'!An_max</f>
        <v>2019</v>
      </c>
      <c r="D173" s="1070"/>
      <c r="E173" s="13"/>
      <c r="F173" s="13">
        <f t="shared" si="92"/>
        <v>13</v>
      </c>
      <c r="G173" s="13">
        <f t="shared" si="76"/>
        <v>12</v>
      </c>
      <c r="H173" s="173">
        <f t="shared" si="77"/>
        <v>43262</v>
      </c>
      <c r="I173" s="754">
        <f t="shared" si="78"/>
        <v>0.21428571428571427</v>
      </c>
      <c r="J173" s="747">
        <f t="shared" si="79"/>
        <v>43.438147941058766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P173" s="13">
        <f t="shared" si="80"/>
        <v>7</v>
      </c>
      <c r="AQ173" s="13">
        <f t="shared" si="81"/>
        <v>8</v>
      </c>
      <c r="AR173" s="173">
        <f t="shared" si="82"/>
        <v>43248</v>
      </c>
      <c r="AS173" s="754">
        <f t="shared" si="83"/>
        <v>0.39285714285714285</v>
      </c>
      <c r="AT173" s="770">
        <f t="shared" si="84"/>
        <v>43.493091818397602</v>
      </c>
      <c r="AU173" s="13">
        <f t="shared" si="85"/>
        <v>7</v>
      </c>
      <c r="AV173" s="13">
        <f t="shared" si="86"/>
        <v>6</v>
      </c>
      <c r="AW173" s="173">
        <f t="shared" si="87"/>
        <v>43262</v>
      </c>
      <c r="AX173" s="754">
        <f t="shared" si="88"/>
        <v>0.10714285714285714</v>
      </c>
      <c r="AY173" s="770">
        <f t="shared" si="89"/>
        <v>43.434923556580074</v>
      </c>
      <c r="AZ173" s="747">
        <f t="shared" si="93"/>
        <v>43.464007687488838</v>
      </c>
      <c r="BA173" s="646">
        <f t="shared" si="90"/>
        <v>1.0093781696587252</v>
      </c>
      <c r="BB173" s="641">
        <v>43259</v>
      </c>
      <c r="BC173" s="11">
        <v>43259</v>
      </c>
      <c r="BD173" s="290">
        <f>[3]!FeuilCaduc*(1-Persistant)+Persistant</f>
        <v>0.94730667401408586</v>
      </c>
      <c r="BE173" s="291">
        <f>[3]!CroissVégét</f>
        <v>0.4788976222853652</v>
      </c>
      <c r="BF173" s="822">
        <f>1+[3]!Salcycl*Ksac</f>
        <v>1.0368266685035215</v>
      </c>
      <c r="BH173" s="1101">
        <f t="shared" si="91"/>
        <v>0</v>
      </c>
      <c r="BI173" s="11">
        <v>44355</v>
      </c>
      <c r="BJ173" s="727">
        <v>0</v>
      </c>
      <c r="BK173" s="727">
        <v>0</v>
      </c>
      <c r="BL173" s="727">
        <v>0</v>
      </c>
      <c r="BM173" s="727">
        <v>0</v>
      </c>
      <c r="BN173" s="727">
        <v>0</v>
      </c>
      <c r="BO173" s="728">
        <v>0</v>
      </c>
      <c r="BP173" s="727">
        <v>0</v>
      </c>
      <c r="BQ173" s="727">
        <v>2.1263208295801332E-5</v>
      </c>
      <c r="BR173" s="727">
        <v>3.1598867805641859E-4</v>
      </c>
      <c r="BS173" s="727">
        <v>1.0993477885366449E-3</v>
      </c>
      <c r="BT173" s="727">
        <v>2.3500773314406782E-3</v>
      </c>
      <c r="BW173" s="1157">
        <f>'2018'!R\Max</f>
        <v>0.75562585811039773</v>
      </c>
      <c r="BX173" s="1155">
        <f>'2019'!R\Max</f>
        <v>1.0093781696587252</v>
      </c>
      <c r="BY173" s="1155">
        <f>'2020'!R\Max</f>
        <v>0.59720660258754188</v>
      </c>
      <c r="BZ173" s="1155">
        <f>'2021'!R\Max</f>
        <v>0.99397374261179439</v>
      </c>
      <c r="CA173" s="1155">
        <f>'2022'!R\Max</f>
        <v>0.39141187199738947</v>
      </c>
      <c r="CB173" s="1155">
        <f>'2023'!R\Max</f>
        <v>0.39141187199738947</v>
      </c>
      <c r="CC173" s="1155">
        <f>'2024'!R\Max</f>
        <v>0.39141187199738936</v>
      </c>
      <c r="CD173" s="1155">
        <f>'2025'!R\Max</f>
        <v>0.39141187199738953</v>
      </c>
      <c r="CE173" s="1155">
        <f>'2026'!R\Max</f>
        <v>0.39141187199738936</v>
      </c>
      <c r="CF173" s="1156">
        <f>'2027'!R\Max</f>
        <v>0.39141187199738947</v>
      </c>
    </row>
    <row r="174" spans="1:84" s="6" customFormat="1" ht="11.25" x14ac:dyDescent="0.2">
      <c r="A174" s="11">
        <v>43260</v>
      </c>
      <c r="B174" s="380">
        <f>'2022'!Maxi_hp</f>
        <v>42.32398609821027</v>
      </c>
      <c r="C174" s="13">
        <f>'2022'!An_max</f>
        <v>2021</v>
      </c>
      <c r="D174" s="1070"/>
      <c r="E174" s="13"/>
      <c r="F174" s="13">
        <f t="shared" si="92"/>
        <v>13</v>
      </c>
      <c r="G174" s="13">
        <f t="shared" si="76"/>
        <v>12</v>
      </c>
      <c r="H174" s="173">
        <f t="shared" si="77"/>
        <v>43262</v>
      </c>
      <c r="I174" s="754">
        <f t="shared" si="78"/>
        <v>0.14285714285714285</v>
      </c>
      <c r="J174" s="747">
        <f t="shared" si="79"/>
        <v>43.41650932958084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P174" s="13">
        <f t="shared" si="80"/>
        <v>7</v>
      </c>
      <c r="AQ174" s="13">
        <f t="shared" si="81"/>
        <v>8</v>
      </c>
      <c r="AR174" s="173">
        <f t="shared" si="82"/>
        <v>43248</v>
      </c>
      <c r="AS174" s="754">
        <f t="shared" si="83"/>
        <v>0.42857142857142855</v>
      </c>
      <c r="AT174" s="770">
        <f t="shared" si="84"/>
        <v>43.47045422747199</v>
      </c>
      <c r="AU174" s="13">
        <f t="shared" si="85"/>
        <v>7</v>
      </c>
      <c r="AV174" s="13">
        <f t="shared" si="86"/>
        <v>6</v>
      </c>
      <c r="AW174" s="173">
        <f t="shared" si="87"/>
        <v>43262</v>
      </c>
      <c r="AX174" s="754">
        <f t="shared" si="88"/>
        <v>7.1428571428571425E-2</v>
      </c>
      <c r="AY174" s="770">
        <f t="shared" si="89"/>
        <v>43.41283451233592</v>
      </c>
      <c r="AZ174" s="747">
        <f t="shared" si="93"/>
        <v>43.441644369903955</v>
      </c>
      <c r="BA174" s="646">
        <f t="shared" si="90"/>
        <v>0.9748362259370722</v>
      </c>
      <c r="BB174" s="641">
        <v>43260</v>
      </c>
      <c r="BC174" s="11">
        <v>43260</v>
      </c>
      <c r="BD174" s="290">
        <f>[3]!FeuilCaduc*(1-Persistant)+Persistant</f>
        <v>0.94980419091364054</v>
      </c>
      <c r="BE174" s="291">
        <f>[3]!CroissVégét</f>
        <v>0.48917917157397695</v>
      </c>
      <c r="BF174" s="822">
        <f>1+[3]!Salcycl*Ksac</f>
        <v>1.0374510477284102</v>
      </c>
      <c r="BH174" s="1101">
        <f t="shared" si="91"/>
        <v>0</v>
      </c>
      <c r="BI174" s="11">
        <v>44356</v>
      </c>
      <c r="BJ174" s="727">
        <v>0</v>
      </c>
      <c r="BK174" s="727">
        <v>0</v>
      </c>
      <c r="BL174" s="727">
        <v>0</v>
      </c>
      <c r="BM174" s="727">
        <v>0</v>
      </c>
      <c r="BN174" s="727">
        <v>0</v>
      </c>
      <c r="BO174" s="728">
        <v>0</v>
      </c>
      <c r="BP174" s="727">
        <v>0</v>
      </c>
      <c r="BQ174" s="727">
        <v>2.0652131851006897E-5</v>
      </c>
      <c r="BR174" s="727">
        <v>3.1682848842771771E-4</v>
      </c>
      <c r="BS174" s="727">
        <v>1.1012243326322712E-3</v>
      </c>
      <c r="BT174" s="727">
        <v>2.3531875326136598E-3</v>
      </c>
      <c r="BW174" s="1157">
        <f>'2018'!R\Max</f>
        <v>0.71906950417846871</v>
      </c>
      <c r="BX174" s="1155">
        <f>'2019'!R\Max</f>
        <v>0.82027825936789167</v>
      </c>
      <c r="BY174" s="1155">
        <f>'2020'!R\Max</f>
        <v>0.71161894068402509</v>
      </c>
      <c r="BZ174" s="1155">
        <f>'2021'!R\Max</f>
        <v>0.9748362259370722</v>
      </c>
      <c r="CA174" s="1155">
        <f>'2022'!R\Max</f>
        <v>0.76663826039376759</v>
      </c>
      <c r="CB174" s="1155">
        <f>'2023'!R\Max</f>
        <v>0.76663826039376759</v>
      </c>
      <c r="CC174" s="1155">
        <f>'2024'!R\Max</f>
        <v>0.76663826039376759</v>
      </c>
      <c r="CD174" s="1155">
        <f>'2025'!R\Max</f>
        <v>0.76663826039376781</v>
      </c>
      <c r="CE174" s="1155">
        <f>'2026'!R\Max</f>
        <v>0.76663826039376781</v>
      </c>
      <c r="CF174" s="1156">
        <f>'2027'!R\Max</f>
        <v>0.76663826039376759</v>
      </c>
    </row>
    <row r="175" spans="1:84" s="6" customFormat="1" ht="11.25" x14ac:dyDescent="0.2">
      <c r="A175" s="11">
        <v>43261</v>
      </c>
      <c r="B175" s="380">
        <f>'2022'!Maxi_hp</f>
        <v>42.347233701436771</v>
      </c>
      <c r="C175" s="13">
        <f>'2022'!An_max</f>
        <v>2022</v>
      </c>
      <c r="D175" s="1070"/>
      <c r="E175" s="13"/>
      <c r="F175" s="13">
        <f t="shared" si="92"/>
        <v>13</v>
      </c>
      <c r="G175" s="13">
        <f t="shared" si="76"/>
        <v>12</v>
      </c>
      <c r="H175" s="173">
        <f t="shared" si="77"/>
        <v>43262</v>
      </c>
      <c r="I175" s="754">
        <f t="shared" si="78"/>
        <v>7.1428571428571425E-2</v>
      </c>
      <c r="J175" s="747">
        <f t="shared" si="79"/>
        <v>43.393657671061476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P175" s="13">
        <f t="shared" si="80"/>
        <v>7</v>
      </c>
      <c r="AQ175" s="13">
        <f t="shared" si="81"/>
        <v>8</v>
      </c>
      <c r="AR175" s="173">
        <f t="shared" si="82"/>
        <v>43248</v>
      </c>
      <c r="AS175" s="754">
        <f t="shared" si="83"/>
        <v>0.4642857142857143</v>
      </c>
      <c r="AT175" s="770">
        <f t="shared" si="84"/>
        <v>43.445604610356632</v>
      </c>
      <c r="AU175" s="13">
        <f t="shared" si="85"/>
        <v>7</v>
      </c>
      <c r="AV175" s="13">
        <f t="shared" si="86"/>
        <v>6</v>
      </c>
      <c r="AW175" s="173">
        <f t="shared" si="87"/>
        <v>43262</v>
      </c>
      <c r="AX175" s="754">
        <f t="shared" si="88"/>
        <v>3.5714285714285712E-2</v>
      </c>
      <c r="AY175" s="770">
        <f t="shared" si="89"/>
        <v>43.391013051695857</v>
      </c>
      <c r="AZ175" s="747">
        <f t="shared" si="93"/>
        <v>43.418308831026245</v>
      </c>
      <c r="BA175" s="646">
        <f t="shared" si="90"/>
        <v>0.97588532458920729</v>
      </c>
      <c r="BB175" s="641">
        <v>43261</v>
      </c>
      <c r="BC175" s="11">
        <v>43261</v>
      </c>
      <c r="BD175" s="290">
        <f>[3]!FeuilCaduc*(1-Persistant)+Persistant</f>
        <v>0.95225124117029591</v>
      </c>
      <c r="BE175" s="291">
        <f>[3]!CroissVégét</f>
        <v>0.499469404196</v>
      </c>
      <c r="BF175" s="822">
        <f>1+[3]!Salcycl*Ksac</f>
        <v>1.038062810292574</v>
      </c>
      <c r="BH175" s="1101">
        <f t="shared" si="91"/>
        <v>0</v>
      </c>
      <c r="BI175" s="11">
        <v>44357</v>
      </c>
      <c r="BJ175" s="727">
        <v>0</v>
      </c>
      <c r="BK175" s="727">
        <v>0</v>
      </c>
      <c r="BL175" s="727">
        <v>0</v>
      </c>
      <c r="BM175" s="727">
        <v>0</v>
      </c>
      <c r="BN175" s="727">
        <v>0</v>
      </c>
      <c r="BO175" s="728">
        <v>0</v>
      </c>
      <c r="BP175" s="727">
        <v>0</v>
      </c>
      <c r="BQ175" s="727">
        <v>2.0233088535964893E-5</v>
      </c>
      <c r="BR175" s="727">
        <v>3.1893625037699293E-4</v>
      </c>
      <c r="BS175" s="727">
        <v>1.106339985801364E-3</v>
      </c>
      <c r="BT175" s="727">
        <v>2.3622112062731131E-3</v>
      </c>
      <c r="BW175" s="1157">
        <f>'2018'!R\Max</f>
        <v>0.30313790099053889</v>
      </c>
      <c r="BX175" s="1155">
        <f>'2019'!R\Max</f>
        <v>0.37738578337681988</v>
      </c>
      <c r="BY175" s="1155">
        <f>'2020'!R\Max</f>
        <v>0.37634847654827153</v>
      </c>
      <c r="BZ175" s="1155">
        <f>'2021'!R\Max</f>
        <v>0.95710595722350955</v>
      </c>
      <c r="CA175" s="1155">
        <f>'2022'!R\Max</f>
        <v>0.97588532458920729</v>
      </c>
      <c r="CB175" s="1155">
        <f>'2023'!R\Max</f>
        <v>0.9758853245892074</v>
      </c>
      <c r="CC175" s="1155">
        <f>'2024'!R\Max</f>
        <v>0.97588532458920729</v>
      </c>
      <c r="CD175" s="1155">
        <f>'2025'!R\Max</f>
        <v>0.97588532458920729</v>
      </c>
      <c r="CE175" s="1155">
        <f>'2026'!R\Max</f>
        <v>0.97588532458920729</v>
      </c>
      <c r="CF175" s="1156">
        <f>'2027'!R\Max</f>
        <v>0.9758853245892074</v>
      </c>
    </row>
    <row r="176" spans="1:84" s="6" customFormat="1" ht="11.25" x14ac:dyDescent="0.2">
      <c r="A176" s="11">
        <v>43262</v>
      </c>
      <c r="B176" s="380">
        <f>'2022'!Maxi_hp</f>
        <v>40.130158094722169</v>
      </c>
      <c r="C176" s="13">
        <f>'2022'!An_max</f>
        <v>2022</v>
      </c>
      <c r="D176" s="1070"/>
      <c r="E176" s="1073">
        <f>Y$13/10</f>
        <v>43.369700000000002</v>
      </c>
      <c r="F176" s="13">
        <f t="shared" si="92"/>
        <v>13</v>
      </c>
      <c r="G176" s="13">
        <f t="shared" si="76"/>
        <v>14</v>
      </c>
      <c r="H176" s="173">
        <f t="shared" si="77"/>
        <v>43262</v>
      </c>
      <c r="I176" s="754">
        <f t="shared" si="78"/>
        <v>0</v>
      </c>
      <c r="J176" s="747">
        <f t="shared" si="79"/>
        <v>43.369699999876318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P176" s="13">
        <f t="shared" si="80"/>
        <v>7</v>
      </c>
      <c r="AQ176" s="13">
        <f t="shared" si="81"/>
        <v>8</v>
      </c>
      <c r="AR176" s="173">
        <f t="shared" si="82"/>
        <v>43248</v>
      </c>
      <c r="AS176" s="754">
        <f t="shared" si="83"/>
        <v>0.5</v>
      </c>
      <c r="AT176" s="770">
        <f t="shared" si="84"/>
        <v>43.418650000169876</v>
      </c>
      <c r="AU176" s="13">
        <f t="shared" si="85"/>
        <v>7</v>
      </c>
      <c r="AV176" s="13">
        <f t="shared" si="86"/>
        <v>8</v>
      </c>
      <c r="AW176" s="173">
        <f t="shared" si="87"/>
        <v>43262</v>
      </c>
      <c r="AX176" s="754">
        <f t="shared" si="88"/>
        <v>0</v>
      </c>
      <c r="AY176" s="770">
        <f t="shared" si="89"/>
        <v>43.369700000435117</v>
      </c>
      <c r="AZ176" s="747">
        <f t="shared" si="93"/>
        <v>43.394175000302496</v>
      </c>
      <c r="BA176" s="646">
        <f t="shared" si="90"/>
        <v>0.92530402780827659</v>
      </c>
      <c r="BB176" s="641">
        <v>43262</v>
      </c>
      <c r="BC176" s="11">
        <v>43262</v>
      </c>
      <c r="BD176" s="290">
        <f>[3]!FeuilCaduc*(1-Persistant)+Persistant</f>
        <v>0.95464525103282949</v>
      </c>
      <c r="BE176" s="291">
        <f>[3]!CroissVégét</f>
        <v>0.50975963681802305</v>
      </c>
      <c r="BF176" s="822">
        <f>1+[3]!Salcycl*Ksac</f>
        <v>1.0386613127582074</v>
      </c>
      <c r="BH176" s="1101">
        <f t="shared" si="91"/>
        <v>0</v>
      </c>
      <c r="BI176" s="11">
        <v>44358</v>
      </c>
      <c r="BJ176" s="727">
        <v>0</v>
      </c>
      <c r="BK176" s="727">
        <v>0</v>
      </c>
      <c r="BL176" s="727">
        <v>0</v>
      </c>
      <c r="BM176" s="727">
        <v>0</v>
      </c>
      <c r="BN176" s="727">
        <v>0</v>
      </c>
      <c r="BO176" s="728">
        <v>0</v>
      </c>
      <c r="BP176" s="727">
        <v>0</v>
      </c>
      <c r="BQ176" s="727">
        <v>2.0005739714776753E-5</v>
      </c>
      <c r="BR176" s="727">
        <v>3.2230999794193569E-4</v>
      </c>
      <c r="BS176" s="727">
        <v>1.1146901222941119E-3</v>
      </c>
      <c r="BT176" s="727">
        <v>2.3771403730565286E-3</v>
      </c>
      <c r="BW176" s="1157">
        <f>'2018'!R\Max</f>
        <v>0.36543000040554935</v>
      </c>
      <c r="BX176" s="1155">
        <f>'2019'!R\Max</f>
        <v>0.53639461389440135</v>
      </c>
      <c r="BY176" s="1155">
        <f>'2020'!R\Max</f>
        <v>0.72597134727979196</v>
      </c>
      <c r="BZ176" s="1155">
        <f>'2021'!R\Max</f>
        <v>0.74444467933444269</v>
      </c>
      <c r="CA176" s="1155">
        <f>'2022'!R\Max</f>
        <v>0.92530402780827659</v>
      </c>
      <c r="CB176" s="1155">
        <f>'2023'!R\Max</f>
        <v>0.92530402780827681</v>
      </c>
      <c r="CC176" s="1155">
        <f>'2024'!R\Max</f>
        <v>0.92530402780827681</v>
      </c>
      <c r="CD176" s="1155">
        <f>'2025'!R\Max</f>
        <v>0.92530402780827692</v>
      </c>
      <c r="CE176" s="1155">
        <f>'2026'!R\Max</f>
        <v>0.92530402780827681</v>
      </c>
      <c r="CF176" s="1156">
        <f>'2027'!R\Max</f>
        <v>0.92530402780827692</v>
      </c>
    </row>
    <row r="177" spans="1:84" s="6" customFormat="1" ht="11.25" x14ac:dyDescent="0.2">
      <c r="A177" s="11">
        <v>43263</v>
      </c>
      <c r="B177" s="380">
        <f>'2022'!Maxi_hp</f>
        <v>42.346993291813639</v>
      </c>
      <c r="C177" s="13">
        <f>'2022'!An_max</f>
        <v>2019</v>
      </c>
      <c r="D177" s="1070"/>
      <c r="E177" s="13"/>
      <c r="F177" s="13">
        <f t="shared" si="92"/>
        <v>13</v>
      </c>
      <c r="G177" s="13">
        <f t="shared" si="76"/>
        <v>14</v>
      </c>
      <c r="H177" s="173">
        <f t="shared" si="77"/>
        <v>43262</v>
      </c>
      <c r="I177" s="754">
        <f t="shared" si="78"/>
        <v>7.1428571428571425E-2</v>
      </c>
      <c r="J177" s="747">
        <f t="shared" si="79"/>
        <v>43.344243859353341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P177" s="13">
        <f t="shared" si="80"/>
        <v>7</v>
      </c>
      <c r="AQ177" s="13">
        <f t="shared" si="81"/>
        <v>8</v>
      </c>
      <c r="AR177" s="173">
        <f t="shared" si="82"/>
        <v>43248</v>
      </c>
      <c r="AS177" s="754">
        <f t="shared" si="83"/>
        <v>0.5357142857142857</v>
      </c>
      <c r="AT177" s="770">
        <f t="shared" si="84"/>
        <v>43.38969743065536</v>
      </c>
      <c r="AU177" s="13">
        <f t="shared" si="85"/>
        <v>7</v>
      </c>
      <c r="AV177" s="13">
        <f t="shared" si="86"/>
        <v>8</v>
      </c>
      <c r="AW177" s="173">
        <f t="shared" si="87"/>
        <v>43262</v>
      </c>
      <c r="AX177" s="754">
        <f t="shared" si="88"/>
        <v>3.5714285714285712E-2</v>
      </c>
      <c r="AY177" s="770">
        <f t="shared" si="89"/>
        <v>43.348032400823598</v>
      </c>
      <c r="AZ177" s="747">
        <f t="shared" si="93"/>
        <v>43.368864915739479</v>
      </c>
      <c r="BA177" s="646">
        <f t="shared" si="90"/>
        <v>0.97699231827008781</v>
      </c>
      <c r="BB177" s="641">
        <v>43263</v>
      </c>
      <c r="BC177" s="11">
        <v>43263</v>
      </c>
      <c r="BD177" s="290">
        <f>[3]!FeuilCaduc*(1-Persistant)+Persistant</f>
        <v>0.9569838024496844</v>
      </c>
      <c r="BE177" s="291">
        <f>[3]!CroissVégét</f>
        <v>0.52004118610663486</v>
      </c>
      <c r="BF177" s="822">
        <f>1+[3]!Salcycl*Ksac</f>
        <v>1.0392459506124212</v>
      </c>
      <c r="BH177" s="1101">
        <f t="shared" si="91"/>
        <v>0</v>
      </c>
      <c r="BI177" s="11">
        <v>44359</v>
      </c>
      <c r="BJ177" s="727">
        <v>0</v>
      </c>
      <c r="BK177" s="727">
        <v>0</v>
      </c>
      <c r="BL177" s="727">
        <v>0</v>
      </c>
      <c r="BM177" s="727">
        <v>0</v>
      </c>
      <c r="BN177" s="727">
        <v>0</v>
      </c>
      <c r="BO177" s="728">
        <v>0</v>
      </c>
      <c r="BP177" s="727">
        <v>0</v>
      </c>
      <c r="BQ177" s="727">
        <v>1.9969748389969853E-5</v>
      </c>
      <c r="BR177" s="727">
        <v>3.2694780319833782E-4</v>
      </c>
      <c r="BS177" s="727">
        <v>1.1262702130664319E-3</v>
      </c>
      <c r="BT177" s="727">
        <v>2.3979672296042813E-3</v>
      </c>
      <c r="BW177" s="1157">
        <f>'2018'!R\Max</f>
        <v>0.35953793436569681</v>
      </c>
      <c r="BX177" s="1155">
        <f>'2019'!R\Max</f>
        <v>0.97699231827008781</v>
      </c>
      <c r="BY177" s="1155">
        <f>'2020'!R\Max</f>
        <v>0.44835596997262128</v>
      </c>
      <c r="BZ177" s="1155">
        <f>'2021'!R\Max</f>
        <v>0.79332962176306543</v>
      </c>
      <c r="CA177" s="1155">
        <f>'2022'!R\Max</f>
        <v>0.73309191471387924</v>
      </c>
      <c r="CB177" s="1155">
        <f>'2023'!R\Max</f>
        <v>0.73309191471387936</v>
      </c>
      <c r="CC177" s="1155">
        <f>'2024'!R\Max</f>
        <v>0.73309191471387924</v>
      </c>
      <c r="CD177" s="1155">
        <f>'2025'!R\Max</f>
        <v>0.73309191471387936</v>
      </c>
      <c r="CE177" s="1155">
        <f>'2026'!R\Max</f>
        <v>0.73309191471387936</v>
      </c>
      <c r="CF177" s="1156">
        <f>'2027'!R\Max</f>
        <v>0.73309191471387913</v>
      </c>
    </row>
    <row r="178" spans="1:84" s="6" customFormat="1" ht="11.25" x14ac:dyDescent="0.2">
      <c r="A178" s="11">
        <v>43264</v>
      </c>
      <c r="B178" s="380">
        <f>'2022'!Maxi_hp</f>
        <v>42.331938879997239</v>
      </c>
      <c r="C178" s="13">
        <f>'2022'!An_max</f>
        <v>2019</v>
      </c>
      <c r="D178" s="1070"/>
      <c r="E178" s="13"/>
      <c r="F178" s="13">
        <f t="shared" si="92"/>
        <v>13</v>
      </c>
      <c r="G178" s="13">
        <f t="shared" si="76"/>
        <v>14</v>
      </c>
      <c r="H178" s="173">
        <f t="shared" si="77"/>
        <v>43262</v>
      </c>
      <c r="I178" s="754">
        <f t="shared" si="78"/>
        <v>0.14285714285714285</v>
      </c>
      <c r="J178" s="747">
        <f t="shared" si="79"/>
        <v>43.316896792687473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P178" s="13">
        <f t="shared" si="80"/>
        <v>7</v>
      </c>
      <c r="AQ178" s="13">
        <f t="shared" si="81"/>
        <v>8</v>
      </c>
      <c r="AR178" s="173">
        <f t="shared" si="82"/>
        <v>43248</v>
      </c>
      <c r="AS178" s="754">
        <f t="shared" si="83"/>
        <v>0.5714285714285714</v>
      </c>
      <c r="AT178" s="770">
        <f t="shared" si="84"/>
        <v>43.358853935822843</v>
      </c>
      <c r="AU178" s="13">
        <f t="shared" si="85"/>
        <v>7</v>
      </c>
      <c r="AV178" s="13">
        <f t="shared" si="86"/>
        <v>8</v>
      </c>
      <c r="AW178" s="173">
        <f t="shared" si="87"/>
        <v>43262</v>
      </c>
      <c r="AX178" s="754">
        <f t="shared" si="88"/>
        <v>7.1428571428571425E-2</v>
      </c>
      <c r="AY178" s="770">
        <f t="shared" si="89"/>
        <v>43.32497782494341</v>
      </c>
      <c r="AZ178" s="747">
        <f t="shared" si="93"/>
        <v>43.341915880383127</v>
      </c>
      <c r="BA178" s="646">
        <f t="shared" si="90"/>
        <v>0.97726157722229745</v>
      </c>
      <c r="BB178" s="641">
        <v>43264</v>
      </c>
      <c r="BC178" s="11">
        <v>43264</v>
      </c>
      <c r="BD178" s="290">
        <f>[3]!FeuilCaduc*(1-Persistant)+Persistant</f>
        <v>0.9592646422710025</v>
      </c>
      <c r="BE178" s="291">
        <f>[3]!CroissVégét</f>
        <v>0.53030539801316789</v>
      </c>
      <c r="BF178" s="822">
        <f>1+[3]!Salcycl*Ksac</f>
        <v>1.0398161605677507</v>
      </c>
      <c r="BH178" s="1101">
        <f t="shared" si="91"/>
        <v>0</v>
      </c>
      <c r="BI178" s="11">
        <v>44360</v>
      </c>
      <c r="BJ178" s="727">
        <v>0</v>
      </c>
      <c r="BK178" s="727">
        <v>0</v>
      </c>
      <c r="BL178" s="727">
        <v>0</v>
      </c>
      <c r="BM178" s="727">
        <v>0</v>
      </c>
      <c r="BN178" s="727">
        <v>0</v>
      </c>
      <c r="BO178" s="728">
        <v>0</v>
      </c>
      <c r="BP178" s="727">
        <v>0</v>
      </c>
      <c r="BQ178" s="727">
        <v>2.0085071473956167E-5</v>
      </c>
      <c r="BR178" s="727">
        <v>3.3241823053298963E-4</v>
      </c>
      <c r="BS178" s="727">
        <v>1.1401033219539717E-3</v>
      </c>
      <c r="BT178" s="727">
        <v>2.423055274262946E-3</v>
      </c>
      <c r="BW178" s="1157">
        <f>'2018'!R\Max</f>
        <v>0.78233667053987455</v>
      </c>
      <c r="BX178" s="1155">
        <f>'2019'!R\Max</f>
        <v>0.97726157722229745</v>
      </c>
      <c r="BY178" s="1155">
        <f>'2020'!R\Max</f>
        <v>0.86175038622307076</v>
      </c>
      <c r="BZ178" s="1155">
        <f>'2021'!R\Max</f>
        <v>0.95838458047334474</v>
      </c>
      <c r="CA178" s="1155">
        <f>'2022'!R\Max</f>
        <v>0.89288931637677627</v>
      </c>
      <c r="CB178" s="1155">
        <f>'2023'!R\Max</f>
        <v>0.89288931637677638</v>
      </c>
      <c r="CC178" s="1155">
        <f>'2024'!R\Max</f>
        <v>0.89288931637677638</v>
      </c>
      <c r="CD178" s="1155">
        <f>'2025'!R\Max</f>
        <v>0.8928893163767766</v>
      </c>
      <c r="CE178" s="1155">
        <f>'2026'!R\Max</f>
        <v>0.89288931637677638</v>
      </c>
      <c r="CF178" s="1156">
        <f>'2027'!R\Max</f>
        <v>0.89288931637677638</v>
      </c>
    </row>
    <row r="179" spans="1:84" s="6" customFormat="1" ht="11.25" x14ac:dyDescent="0.2">
      <c r="A179" s="11">
        <v>43265</v>
      </c>
      <c r="B179" s="380">
        <f>'2022'!Maxi_hp</f>
        <v>38.498125268407549</v>
      </c>
      <c r="C179" s="13">
        <f>'2022'!An_max</f>
        <v>2021</v>
      </c>
      <c r="D179" s="1070"/>
      <c r="E179" s="13"/>
      <c r="F179" s="13">
        <f t="shared" si="92"/>
        <v>13</v>
      </c>
      <c r="G179" s="13">
        <f t="shared" si="76"/>
        <v>14</v>
      </c>
      <c r="H179" s="173">
        <f t="shared" si="77"/>
        <v>43262</v>
      </c>
      <c r="I179" s="754">
        <f t="shared" si="78"/>
        <v>0.21428571428571427</v>
      </c>
      <c r="J179" s="747">
        <f t="shared" si="79"/>
        <v>43.287765834320865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P179" s="13">
        <f t="shared" si="80"/>
        <v>7</v>
      </c>
      <c r="AQ179" s="13">
        <f t="shared" si="81"/>
        <v>8</v>
      </c>
      <c r="AR179" s="173">
        <f t="shared" si="82"/>
        <v>43248</v>
      </c>
      <c r="AS179" s="754">
        <f t="shared" si="83"/>
        <v>0.6071428571428571</v>
      </c>
      <c r="AT179" s="770">
        <f t="shared" si="84"/>
        <v>43.326226548917056</v>
      </c>
      <c r="AU179" s="13">
        <f t="shared" si="85"/>
        <v>7</v>
      </c>
      <c r="AV179" s="13">
        <f t="shared" si="86"/>
        <v>8</v>
      </c>
      <c r="AW179" s="173">
        <f t="shared" si="87"/>
        <v>43262</v>
      </c>
      <c r="AX179" s="754">
        <f t="shared" si="88"/>
        <v>0.10714285714285714</v>
      </c>
      <c r="AY179" s="770">
        <f t="shared" si="89"/>
        <v>43.3005228936007</v>
      </c>
      <c r="AZ179" s="747">
        <f t="shared" si="93"/>
        <v>43.313374721258882</v>
      </c>
      <c r="BA179" s="646">
        <f t="shared" si="90"/>
        <v>0.88935348189959407</v>
      </c>
      <c r="BB179" s="641">
        <v>43265</v>
      </c>
      <c r="BC179" s="11">
        <v>43265</v>
      </c>
      <c r="BD179" s="290">
        <f>[3]!FeuilCaduc*(1-Persistant)+Persistant</f>
        <v>0.96148569062856992</v>
      </c>
      <c r="BE179" s="291">
        <f>[3]!CroissVégét</f>
        <v>0.54054367684881977</v>
      </c>
      <c r="BF179" s="822">
        <f>1+[3]!Salcycl*Ksac</f>
        <v>1.0403714226571426</v>
      </c>
      <c r="BH179" s="1101">
        <f t="shared" si="91"/>
        <v>0</v>
      </c>
      <c r="BI179" s="11">
        <v>44361</v>
      </c>
      <c r="BJ179" s="727">
        <v>0</v>
      </c>
      <c r="BK179" s="727">
        <v>0</v>
      </c>
      <c r="BL179" s="727">
        <v>0</v>
      </c>
      <c r="BM179" s="727">
        <v>0</v>
      </c>
      <c r="BN179" s="727">
        <v>0</v>
      </c>
      <c r="BO179" s="728">
        <v>0</v>
      </c>
      <c r="BP179" s="727">
        <v>0</v>
      </c>
      <c r="BQ179" s="727">
        <v>2.0232012269741025E-5</v>
      </c>
      <c r="BR179" s="727">
        <v>3.3751128070118861E-4</v>
      </c>
      <c r="BS179" s="727">
        <v>1.1528014715306569E-3</v>
      </c>
      <c r="BT179" s="727">
        <v>2.4458705724884049E-3</v>
      </c>
      <c r="BW179" s="1157">
        <f>'2018'!R\Max</f>
        <v>0.74073480000922964</v>
      </c>
      <c r="BX179" s="1155">
        <f>'2019'!R\Max</f>
        <v>0.38034887949736013</v>
      </c>
      <c r="BY179" s="1155">
        <f>'2020'!R\Max</f>
        <v>0.69523774483981127</v>
      </c>
      <c r="BZ179" s="1155">
        <f>'2021'!R\Max</f>
        <v>0.88935348189959407</v>
      </c>
      <c r="CA179" s="1155">
        <f>'2022'!R\Max</f>
        <v>0.8005652245803101</v>
      </c>
      <c r="CB179" s="1155">
        <f>'2023'!R\Max</f>
        <v>0.8005652245803101</v>
      </c>
      <c r="CC179" s="1155">
        <f>'2024'!R\Max</f>
        <v>0.8005652245803101</v>
      </c>
      <c r="CD179" s="1155">
        <f>'2025'!R\Max</f>
        <v>0.8005652245803101</v>
      </c>
      <c r="CE179" s="1155">
        <f>'2026'!R\Max</f>
        <v>0.8005652245803101</v>
      </c>
      <c r="CF179" s="1156">
        <f>'2027'!R\Max</f>
        <v>0.8005652245803101</v>
      </c>
    </row>
    <row r="180" spans="1:84" s="6" customFormat="1" ht="11.25" x14ac:dyDescent="0.2">
      <c r="A180" s="11">
        <v>43266</v>
      </c>
      <c r="B180" s="380">
        <f>'2022'!Maxi_hp</f>
        <v>39.284680421129103</v>
      </c>
      <c r="C180" s="13">
        <f>'2022'!An_max</f>
        <v>2022</v>
      </c>
      <c r="D180" s="1070"/>
      <c r="E180" s="13"/>
      <c r="F180" s="13">
        <f t="shared" si="92"/>
        <v>13</v>
      </c>
      <c r="G180" s="13">
        <f t="shared" si="76"/>
        <v>14</v>
      </c>
      <c r="H180" s="173">
        <f t="shared" si="77"/>
        <v>43262</v>
      </c>
      <c r="I180" s="754">
        <f t="shared" si="78"/>
        <v>0.2857142857142857</v>
      </c>
      <c r="J180" s="747">
        <f t="shared" si="79"/>
        <v>43.256958017391824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P180" s="13">
        <f t="shared" si="80"/>
        <v>7</v>
      </c>
      <c r="AQ180" s="13">
        <f t="shared" si="81"/>
        <v>8</v>
      </c>
      <c r="AR180" s="173">
        <f t="shared" si="82"/>
        <v>43248</v>
      </c>
      <c r="AS180" s="754">
        <f t="shared" si="83"/>
        <v>0.6428571428571429</v>
      </c>
      <c r="AT180" s="770">
        <f t="shared" si="84"/>
        <v>43.291922303209347</v>
      </c>
      <c r="AU180" s="13">
        <f t="shared" si="85"/>
        <v>7</v>
      </c>
      <c r="AV180" s="13">
        <f t="shared" si="86"/>
        <v>8</v>
      </c>
      <c r="AW180" s="173">
        <f t="shared" si="87"/>
        <v>43262</v>
      </c>
      <c r="AX180" s="754">
        <f t="shared" si="88"/>
        <v>0.14285714285714285</v>
      </c>
      <c r="AY180" s="770">
        <f t="shared" si="89"/>
        <v>43.274654227814509</v>
      </c>
      <c r="AZ180" s="747">
        <f t="shared" si="93"/>
        <v>43.283288265511928</v>
      </c>
      <c r="BA180" s="646">
        <f t="shared" si="90"/>
        <v>0.90817020478727073</v>
      </c>
      <c r="BB180" s="641">
        <v>43266</v>
      </c>
      <c r="BC180" s="11">
        <v>43266</v>
      </c>
      <c r="BD180" s="290">
        <f>[3]!FeuilCaduc*(1-Persistant)+Persistant</f>
        <v>0.96364504843084275</v>
      </c>
      <c r="BE180" s="291">
        <f>[3]!CroissVégét</f>
        <v>0.55074751394309984</v>
      </c>
      <c r="BF180" s="822">
        <f>1+[3]!Salcycl*Ksac</f>
        <v>1.0409112621077106</v>
      </c>
      <c r="BH180" s="1101">
        <f t="shared" si="91"/>
        <v>0</v>
      </c>
      <c r="BI180" s="11">
        <v>44362</v>
      </c>
      <c r="BJ180" s="727">
        <v>0</v>
      </c>
      <c r="BK180" s="727">
        <v>0</v>
      </c>
      <c r="BL180" s="727">
        <v>0</v>
      </c>
      <c r="BM180" s="727">
        <v>0</v>
      </c>
      <c r="BN180" s="727">
        <v>0</v>
      </c>
      <c r="BO180" s="728">
        <v>0</v>
      </c>
      <c r="BP180" s="727">
        <v>0</v>
      </c>
      <c r="BQ180" s="727">
        <v>2.0410543441501956E-5</v>
      </c>
      <c r="BR180" s="727">
        <v>3.4222821978783716E-4</v>
      </c>
      <c r="BS180" s="727">
        <v>1.1643686080957424E-3</v>
      </c>
      <c r="BT180" s="727">
        <v>2.4664211649237156E-3</v>
      </c>
      <c r="BW180" s="1157">
        <f>'2018'!R\Max</f>
        <v>0.56171183919989087</v>
      </c>
      <c r="BX180" s="1155">
        <f>'2019'!R\Max</f>
        <v>0.34668653466911326</v>
      </c>
      <c r="BY180" s="1155">
        <f>'2020'!R\Max</f>
        <v>0.82357796353697343</v>
      </c>
      <c r="BZ180" s="1155">
        <f>'2021'!R\Max</f>
        <v>0.85342497946348506</v>
      </c>
      <c r="CA180" s="1155">
        <f>'2022'!R\Max</f>
        <v>0.90817020478727073</v>
      </c>
      <c r="CB180" s="1155">
        <f>'2023'!R\Max</f>
        <v>0.90817020478727051</v>
      </c>
      <c r="CC180" s="1155">
        <f>'2024'!R\Max</f>
        <v>0.90817020478727051</v>
      </c>
      <c r="CD180" s="1155">
        <f>'2025'!R\Max</f>
        <v>0.90817020478727073</v>
      </c>
      <c r="CE180" s="1155">
        <f>'2026'!R\Max</f>
        <v>0.90817020478727073</v>
      </c>
      <c r="CF180" s="1156">
        <f>'2027'!R\Max</f>
        <v>0.90817020478727073</v>
      </c>
    </row>
    <row r="181" spans="1:84" s="6" customFormat="1" ht="11.25" x14ac:dyDescent="0.2">
      <c r="A181" s="11">
        <v>43267</v>
      </c>
      <c r="B181" s="380">
        <f>'2022'!Maxi_hp</f>
        <v>44.363595434270344</v>
      </c>
      <c r="C181" s="13">
        <f>'2022'!An_max</f>
        <v>2019</v>
      </c>
      <c r="D181" s="1070"/>
      <c r="E181" s="13"/>
      <c r="F181" s="13">
        <f t="shared" si="92"/>
        <v>13</v>
      </c>
      <c r="G181" s="13">
        <f t="shared" si="76"/>
        <v>14</v>
      </c>
      <c r="H181" s="173">
        <f t="shared" si="77"/>
        <v>43262</v>
      </c>
      <c r="I181" s="754">
        <f t="shared" si="78"/>
        <v>0.35714285714285715</v>
      </c>
      <c r="J181" s="747">
        <f t="shared" si="79"/>
        <v>43.224580375224882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P181" s="13">
        <f t="shared" si="80"/>
        <v>7</v>
      </c>
      <c r="AQ181" s="13">
        <f t="shared" si="81"/>
        <v>8</v>
      </c>
      <c r="AR181" s="173">
        <f t="shared" si="82"/>
        <v>43248</v>
      </c>
      <c r="AS181" s="754">
        <f t="shared" si="83"/>
        <v>0.6785714285714286</v>
      </c>
      <c r="AT181" s="770">
        <f t="shared" si="84"/>
        <v>43.256048232410102</v>
      </c>
      <c r="AU181" s="13">
        <f t="shared" si="85"/>
        <v>7</v>
      </c>
      <c r="AV181" s="13">
        <f t="shared" si="86"/>
        <v>8</v>
      </c>
      <c r="AW181" s="173">
        <f t="shared" si="87"/>
        <v>43262</v>
      </c>
      <c r="AX181" s="754">
        <f t="shared" si="88"/>
        <v>0.17857142857142858</v>
      </c>
      <c r="AY181" s="770">
        <f t="shared" si="89"/>
        <v>43.247358448497423</v>
      </c>
      <c r="AZ181" s="747">
        <f t="shared" si="93"/>
        <v>43.251703340453759</v>
      </c>
      <c r="BA181" s="646">
        <f t="shared" si="90"/>
        <v>1.026351095815341</v>
      </c>
      <c r="BB181" s="641">
        <v>43267</v>
      </c>
      <c r="BC181" s="11">
        <v>43267</v>
      </c>
      <c r="BD181" s="290">
        <f>[3]!FeuilCaduc*(1-Persistant)+Persistant</f>
        <v>0.96574100391638185</v>
      </c>
      <c r="BE181" s="291">
        <f>[3]!CroissVégét</f>
        <v>0.56090851568364364</v>
      </c>
      <c r="BF181" s="822">
        <f>1+[3]!Salcycl*Ksac</f>
        <v>1.0414352509790954</v>
      </c>
      <c r="BH181" s="1101">
        <f t="shared" si="91"/>
        <v>0</v>
      </c>
      <c r="BI181" s="11">
        <v>44363</v>
      </c>
      <c r="BJ181" s="727">
        <v>0</v>
      </c>
      <c r="BK181" s="727">
        <v>0</v>
      </c>
      <c r="BL181" s="727">
        <v>0</v>
      </c>
      <c r="BM181" s="727">
        <v>0</v>
      </c>
      <c r="BN181" s="727">
        <v>0</v>
      </c>
      <c r="BO181" s="728">
        <v>0</v>
      </c>
      <c r="BP181" s="727">
        <v>0</v>
      </c>
      <c r="BQ181" s="727">
        <v>2.0620640191954528E-5</v>
      </c>
      <c r="BR181" s="727">
        <v>3.465703230433922E-4</v>
      </c>
      <c r="BS181" s="727">
        <v>1.1748086915062221E-3</v>
      </c>
      <c r="BT181" s="727">
        <v>2.4847151053884898E-3</v>
      </c>
      <c r="BW181" s="1157">
        <f>'2018'!R\Max</f>
        <v>0.57766679570336543</v>
      </c>
      <c r="BX181" s="1155">
        <f>'2019'!R\Max</f>
        <v>1.026351095815341</v>
      </c>
      <c r="BY181" s="1155">
        <f>'2020'!R\Max</f>
        <v>0.69320930157280491</v>
      </c>
      <c r="BZ181" s="1155">
        <f>'2021'!R\Max</f>
        <v>0.79236162874110194</v>
      </c>
      <c r="CA181" s="1155">
        <f>'2022'!R\Max</f>
        <v>0.85767432083089712</v>
      </c>
      <c r="CB181" s="1155">
        <f>'2023'!R\Max</f>
        <v>0.85767432083089712</v>
      </c>
      <c r="CC181" s="1155">
        <f>'2024'!R\Max</f>
        <v>0.85767432083089701</v>
      </c>
      <c r="CD181" s="1155">
        <f>'2025'!R\Max</f>
        <v>0.85767432083089701</v>
      </c>
      <c r="CE181" s="1155">
        <f>'2026'!R\Max</f>
        <v>0.85767432083089701</v>
      </c>
      <c r="CF181" s="1156">
        <f>'2027'!R\Max</f>
        <v>0.85767432083089734</v>
      </c>
    </row>
    <row r="182" spans="1:84" s="6" customFormat="1" ht="11.25" x14ac:dyDescent="0.2">
      <c r="A182" s="11">
        <v>43268</v>
      </c>
      <c r="B182" s="380">
        <f>'2022'!Maxi_hp</f>
        <v>42.925961898835723</v>
      </c>
      <c r="C182" s="13">
        <f>'2022'!An_max</f>
        <v>2019</v>
      </c>
      <c r="D182" s="1070"/>
      <c r="E182" s="13"/>
      <c r="F182" s="13">
        <f t="shared" si="92"/>
        <v>13</v>
      </c>
      <c r="G182" s="13">
        <f t="shared" si="76"/>
        <v>14</v>
      </c>
      <c r="H182" s="173">
        <f t="shared" si="77"/>
        <v>43262</v>
      </c>
      <c r="I182" s="754">
        <f t="shared" si="78"/>
        <v>0.42857142857142855</v>
      </c>
      <c r="J182" s="747">
        <f t="shared" si="79"/>
        <v>43.190739941410719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P182" s="13">
        <f t="shared" si="80"/>
        <v>7</v>
      </c>
      <c r="AQ182" s="13">
        <f t="shared" si="81"/>
        <v>8</v>
      </c>
      <c r="AR182" s="173">
        <f t="shared" si="82"/>
        <v>43248</v>
      </c>
      <c r="AS182" s="754">
        <f t="shared" si="83"/>
        <v>0.7142857142857143</v>
      </c>
      <c r="AT182" s="770">
        <f t="shared" si="84"/>
        <v>43.218711370070068</v>
      </c>
      <c r="AU182" s="13">
        <f t="shared" si="85"/>
        <v>7</v>
      </c>
      <c r="AV182" s="13">
        <f t="shared" si="86"/>
        <v>8</v>
      </c>
      <c r="AW182" s="173">
        <f t="shared" si="87"/>
        <v>43262</v>
      </c>
      <c r="AX182" s="754">
        <f t="shared" si="88"/>
        <v>0.21428571428571427</v>
      </c>
      <c r="AY182" s="770">
        <f t="shared" si="89"/>
        <v>43.218622175870195</v>
      </c>
      <c r="AZ182" s="747">
        <f t="shared" si="93"/>
        <v>43.218666772970131</v>
      </c>
      <c r="BA182" s="646">
        <f t="shared" si="90"/>
        <v>0.99386956456559494</v>
      </c>
      <c r="BB182" s="641">
        <v>43268</v>
      </c>
      <c r="BC182" s="11">
        <v>43268</v>
      </c>
      <c r="BD182" s="290">
        <f>[3]!FeuilCaduc*(1-Persistant)+Persistant</f>
        <v>0.96777203821575042</v>
      </c>
      <c r="BE182" s="291">
        <f>[3]!CroissVégét</f>
        <v>0.57101843074296321</v>
      </c>
      <c r="BF182" s="822">
        <f>1+[3]!Salcycl*Ksac</f>
        <v>1.0419430095539377</v>
      </c>
      <c r="BH182" s="1101">
        <f t="shared" si="91"/>
        <v>0</v>
      </c>
      <c r="BI182" s="11">
        <v>44364</v>
      </c>
      <c r="BJ182" s="727">
        <v>0</v>
      </c>
      <c r="BK182" s="727">
        <v>0</v>
      </c>
      <c r="BL182" s="727">
        <v>0</v>
      </c>
      <c r="BM182" s="727">
        <v>0</v>
      </c>
      <c r="BN182" s="727">
        <v>0</v>
      </c>
      <c r="BO182" s="728">
        <v>0</v>
      </c>
      <c r="BP182" s="727">
        <v>0</v>
      </c>
      <c r="BQ182" s="727">
        <v>2.0862280692682718E-5</v>
      </c>
      <c r="BR182" s="727">
        <v>3.5053886980527437E-4</v>
      </c>
      <c r="BS182" s="727">
        <v>1.1841256798448482E-3</v>
      </c>
      <c r="BT182" s="727">
        <v>2.5007604301187218E-3</v>
      </c>
      <c r="BW182" s="1157">
        <f>'2018'!R\Max</f>
        <v>0.60462279466537183</v>
      </c>
      <c r="BX182" s="1155">
        <f>'2019'!R\Max</f>
        <v>0.99386956456559494</v>
      </c>
      <c r="BY182" s="1155">
        <f>'2020'!R\Max</f>
        <v>0.47993254203581293</v>
      </c>
      <c r="BZ182" s="1155">
        <f>'2021'!R\Max</f>
        <v>0.25082988160292463</v>
      </c>
      <c r="CA182" s="1155">
        <f>'2022'!R\Max</f>
        <v>0.8741401932440227</v>
      </c>
      <c r="CB182" s="1155">
        <f>'2023'!R\Max</f>
        <v>0.8741401932440227</v>
      </c>
      <c r="CC182" s="1155">
        <f>'2024'!R\Max</f>
        <v>0.8741401932440227</v>
      </c>
      <c r="CD182" s="1155">
        <f>'2025'!R\Max</f>
        <v>0.87414019324402259</v>
      </c>
      <c r="CE182" s="1155">
        <f>'2026'!R\Max</f>
        <v>0.87414019324402259</v>
      </c>
      <c r="CF182" s="1156">
        <f>'2027'!R\Max</f>
        <v>0.87414019324402259</v>
      </c>
    </row>
    <row r="183" spans="1:84" s="6" customFormat="1" ht="11.25" x14ac:dyDescent="0.2">
      <c r="A183" s="11">
        <v>43269</v>
      </c>
      <c r="B183" s="380">
        <f>'2022'!Maxi_hp</f>
        <v>41.455412731300569</v>
      </c>
      <c r="C183" s="13">
        <f>'2022'!An_max</f>
        <v>2019</v>
      </c>
      <c r="D183" s="1070"/>
      <c r="E183" s="13"/>
      <c r="F183" s="13">
        <f t="shared" si="92"/>
        <v>13</v>
      </c>
      <c r="G183" s="13">
        <f t="shared" si="76"/>
        <v>14</v>
      </c>
      <c r="H183" s="173">
        <f t="shared" si="77"/>
        <v>43262</v>
      </c>
      <c r="I183" s="754">
        <f t="shared" si="78"/>
        <v>0.5</v>
      </c>
      <c r="J183" s="747">
        <f t="shared" si="79"/>
        <v>43.155543749779461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P183" s="13">
        <f t="shared" si="80"/>
        <v>7</v>
      </c>
      <c r="AQ183" s="13">
        <f t="shared" si="81"/>
        <v>8</v>
      </c>
      <c r="AR183" s="173">
        <f t="shared" si="82"/>
        <v>43248</v>
      </c>
      <c r="AS183" s="754">
        <f t="shared" si="83"/>
        <v>0.75</v>
      </c>
      <c r="AT183" s="770">
        <f t="shared" si="84"/>
        <v>43.180018749926241</v>
      </c>
      <c r="AU183" s="13">
        <f t="shared" si="85"/>
        <v>7</v>
      </c>
      <c r="AV183" s="13">
        <f t="shared" si="86"/>
        <v>8</v>
      </c>
      <c r="AW183" s="173">
        <f t="shared" si="87"/>
        <v>43262</v>
      </c>
      <c r="AX183" s="754">
        <f t="shared" si="88"/>
        <v>0.25</v>
      </c>
      <c r="AY183" s="770">
        <f t="shared" si="89"/>
        <v>43.188432031264526</v>
      </c>
      <c r="AZ183" s="747">
        <f t="shared" si="93"/>
        <v>43.184225390595387</v>
      </c>
      <c r="BA183" s="646">
        <f t="shared" si="90"/>
        <v>0.9606045742735525</v>
      </c>
      <c r="BB183" s="641">
        <v>43269</v>
      </c>
      <c r="BC183" s="11">
        <v>43269</v>
      </c>
      <c r="BD183" s="290">
        <f>[3]!FeuilCaduc*(1-Persistant)+Persistant</f>
        <v>0.96973682987916232</v>
      </c>
      <c r="BE183" s="291">
        <f>[3]!CroissVégét</f>
        <v>0.5810691763075071</v>
      </c>
      <c r="BF183" s="822">
        <f>1+[3]!Salcycl*Ksac</f>
        <v>1.0424342074697905</v>
      </c>
      <c r="BH183" s="1101">
        <f t="shared" si="91"/>
        <v>0</v>
      </c>
      <c r="BI183" s="11">
        <v>44365</v>
      </c>
      <c r="BJ183" s="727">
        <v>0</v>
      </c>
      <c r="BK183" s="727">
        <v>0</v>
      </c>
      <c r="BL183" s="727">
        <v>0</v>
      </c>
      <c r="BM183" s="727">
        <v>0</v>
      </c>
      <c r="BN183" s="727">
        <v>0</v>
      </c>
      <c r="BO183" s="728">
        <v>0</v>
      </c>
      <c r="BP183" s="727">
        <v>0</v>
      </c>
      <c r="BQ183" s="727">
        <v>2.1135446515121552E-5</v>
      </c>
      <c r="BR183" s="727">
        <v>3.5413513843021146E-4</v>
      </c>
      <c r="BS183" s="727">
        <v>1.1923235141253509E-3</v>
      </c>
      <c r="BT183" s="727">
        <v>2.514565127085418E-3</v>
      </c>
      <c r="BW183" s="1157">
        <f>'2018'!R\Max</f>
        <v>0.64787177376010052</v>
      </c>
      <c r="BX183" s="1155">
        <f>'2019'!R\Max</f>
        <v>0.9606045742735525</v>
      </c>
      <c r="BY183" s="1155">
        <f>'2020'!R\Max</f>
        <v>0.83219700606075819</v>
      </c>
      <c r="BZ183" s="1155">
        <f>'2021'!R\Max</f>
        <v>0.69558221710370904</v>
      </c>
      <c r="CA183" s="1155">
        <f>'2022'!R\Max</f>
        <v>0.90720428516913176</v>
      </c>
      <c r="CB183" s="1155">
        <f>'2023'!R\Max</f>
        <v>0.90720428516913176</v>
      </c>
      <c r="CC183" s="1155">
        <f>'2024'!R\Max</f>
        <v>0.90720428516913187</v>
      </c>
      <c r="CD183" s="1155">
        <f>'2025'!R\Max</f>
        <v>0.90720428516913176</v>
      </c>
      <c r="CE183" s="1155">
        <f>'2026'!R\Max</f>
        <v>0.90720428516913176</v>
      </c>
      <c r="CF183" s="1156">
        <f>'2027'!R\Max</f>
        <v>0.90720428516913176</v>
      </c>
    </row>
    <row r="184" spans="1:84" s="6" customFormat="1" ht="11.25" x14ac:dyDescent="0.2">
      <c r="A184" s="11">
        <v>43270</v>
      </c>
      <c r="B184" s="380">
        <f>'2022'!Maxi_hp</f>
        <v>40.09284587657087</v>
      </c>
      <c r="C184" s="13">
        <f>'2022'!An_max</f>
        <v>2022</v>
      </c>
      <c r="D184" s="1070"/>
      <c r="E184" s="13"/>
      <c r="F184" s="13">
        <f t="shared" si="92"/>
        <v>13</v>
      </c>
      <c r="G184" s="13">
        <f t="shared" si="76"/>
        <v>14</v>
      </c>
      <c r="H184" s="173">
        <f t="shared" si="77"/>
        <v>43262</v>
      </c>
      <c r="I184" s="754">
        <f t="shared" si="78"/>
        <v>0.5714285714285714</v>
      </c>
      <c r="J184" s="747">
        <f t="shared" si="79"/>
        <v>43.119098833575848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P184" s="13">
        <f t="shared" si="80"/>
        <v>7</v>
      </c>
      <c r="AQ184" s="13">
        <f t="shared" si="81"/>
        <v>8</v>
      </c>
      <c r="AR184" s="173">
        <f t="shared" si="82"/>
        <v>43248</v>
      </c>
      <c r="AS184" s="754">
        <f t="shared" si="83"/>
        <v>0.7857142857142857</v>
      </c>
      <c r="AT184" s="770">
        <f t="shared" si="84"/>
        <v>43.140077405077008</v>
      </c>
      <c r="AU184" s="13">
        <f t="shared" si="85"/>
        <v>7</v>
      </c>
      <c r="AV184" s="13">
        <f t="shared" si="86"/>
        <v>8</v>
      </c>
      <c r="AW184" s="173">
        <f t="shared" si="87"/>
        <v>43262</v>
      </c>
      <c r="AX184" s="754">
        <f t="shared" si="88"/>
        <v>0.2857142857142857</v>
      </c>
      <c r="AY184" s="770">
        <f t="shared" si="89"/>
        <v>43.156774635666181</v>
      </c>
      <c r="AZ184" s="747">
        <f t="shared" si="93"/>
        <v>43.148426020371595</v>
      </c>
      <c r="BA184" s="646">
        <f t="shared" si="90"/>
        <v>0.92981641456178798</v>
      </c>
      <c r="BB184" s="641">
        <v>43270</v>
      </c>
      <c r="BC184" s="11">
        <v>43270</v>
      </c>
      <c r="BD184" s="290">
        <f>[3]!FeuilCaduc*(1-Persistant)+Persistant</f>
        <v>0.97163425833483785</v>
      </c>
      <c r="BE184" s="291">
        <f>[3]!CroissVégét</f>
        <v>0.5910528631363321</v>
      </c>
      <c r="BF184" s="822">
        <f>1+[3]!Salcycl*Ksac</f>
        <v>1.0429085645837095</v>
      </c>
      <c r="BH184" s="1101">
        <f t="shared" si="91"/>
        <v>0</v>
      </c>
      <c r="BI184" s="11">
        <v>44366</v>
      </c>
      <c r="BJ184" s="727">
        <v>0</v>
      </c>
      <c r="BK184" s="727">
        <v>0</v>
      </c>
      <c r="BL184" s="727">
        <v>0</v>
      </c>
      <c r="BM184" s="727">
        <v>0</v>
      </c>
      <c r="BN184" s="727">
        <v>0</v>
      </c>
      <c r="BO184" s="728">
        <v>0</v>
      </c>
      <c r="BP184" s="727">
        <v>0</v>
      </c>
      <c r="BQ184" s="727">
        <v>2.1400553400183089E-5</v>
      </c>
      <c r="BR184" s="727">
        <v>3.5693235988880682E-4</v>
      </c>
      <c r="BS184" s="727">
        <v>1.1984370001614296E-3</v>
      </c>
      <c r="BT184" s="727">
        <v>2.5245139208178681E-3</v>
      </c>
      <c r="BW184" s="1157">
        <f>'2018'!R\Max</f>
        <v>0.91243606447353409</v>
      </c>
      <c r="BX184" s="1155">
        <f>'2019'!R\Max</f>
        <v>0.80820871281660345</v>
      </c>
      <c r="BY184" s="1155">
        <f>'2020'!R\Max</f>
        <v>0.68212586300785416</v>
      </c>
      <c r="BZ184" s="1155">
        <f>'2021'!R\Max</f>
        <v>0.55176163810126078</v>
      </c>
      <c r="CA184" s="1155">
        <f>'2022'!R\Max</f>
        <v>0.92981641456178798</v>
      </c>
      <c r="CB184" s="1155">
        <f>'2023'!R\Max</f>
        <v>0.92981641456178798</v>
      </c>
      <c r="CC184" s="1155">
        <f>'2024'!R\Max</f>
        <v>0.92981641456178798</v>
      </c>
      <c r="CD184" s="1155">
        <f>'2025'!R\Max</f>
        <v>0.92981641456178798</v>
      </c>
      <c r="CE184" s="1155">
        <f>'2026'!R\Max</f>
        <v>0.92981641456178787</v>
      </c>
      <c r="CF184" s="1156">
        <f>'2027'!R\Max</f>
        <v>0.92981641456178798</v>
      </c>
    </row>
    <row r="185" spans="1:84" s="6" customFormat="1" ht="11.25" x14ac:dyDescent="0.2">
      <c r="A185" s="11">
        <v>43271</v>
      </c>
      <c r="B185" s="380">
        <f>'2022'!Maxi_hp</f>
        <v>39.022000068069346</v>
      </c>
      <c r="C185" s="13">
        <f>'2022'!An_max</f>
        <v>2020</v>
      </c>
      <c r="D185" s="1070"/>
      <c r="E185" s="13"/>
      <c r="F185" s="13">
        <f t="shared" si="92"/>
        <v>13</v>
      </c>
      <c r="G185" s="13">
        <f t="shared" si="76"/>
        <v>14</v>
      </c>
      <c r="H185" s="173">
        <f t="shared" si="77"/>
        <v>43262</v>
      </c>
      <c r="I185" s="754">
        <f t="shared" si="78"/>
        <v>0.6428571428571429</v>
      </c>
      <c r="J185" s="747">
        <f t="shared" si="79"/>
        <v>43.081512226470352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P185" s="13">
        <f t="shared" si="80"/>
        <v>7</v>
      </c>
      <c r="AQ185" s="13">
        <f t="shared" si="81"/>
        <v>8</v>
      </c>
      <c r="AR185" s="173">
        <f t="shared" si="82"/>
        <v>43248</v>
      </c>
      <c r="AS185" s="754">
        <f t="shared" si="83"/>
        <v>0.8214285714285714</v>
      </c>
      <c r="AT185" s="770">
        <f t="shared" si="84"/>
        <v>43.098994369778254</v>
      </c>
      <c r="AU185" s="13">
        <f t="shared" si="85"/>
        <v>7</v>
      </c>
      <c r="AV185" s="13">
        <f t="shared" si="86"/>
        <v>8</v>
      </c>
      <c r="AW185" s="173">
        <f t="shared" si="87"/>
        <v>43262</v>
      </c>
      <c r="AX185" s="754">
        <f t="shared" si="88"/>
        <v>0.32142857142857145</v>
      </c>
      <c r="AY185" s="770">
        <f t="shared" si="89"/>
        <v>43.123636609562013</v>
      </c>
      <c r="AZ185" s="747">
        <f t="shared" si="93"/>
        <v>43.111315489670133</v>
      </c>
      <c r="BA185" s="646">
        <f t="shared" si="90"/>
        <v>0.90577136343169629</v>
      </c>
      <c r="BB185" s="641">
        <v>43271</v>
      </c>
      <c r="BC185" s="11">
        <v>43271</v>
      </c>
      <c r="BD185" s="290">
        <f>[3]!FeuilCaduc*(1-Persistant)+Persistant</f>
        <v>0.97346340625106642</v>
      </c>
      <c r="BE185" s="291">
        <f>[3]!CroissVégét</f>
        <v>0.60096181929049675</v>
      </c>
      <c r="BF185" s="822">
        <f>1+[3]!Salcycl*Ksac</f>
        <v>1.0433658515627666</v>
      </c>
      <c r="BH185" s="1101">
        <f t="shared" si="91"/>
        <v>0</v>
      </c>
      <c r="BI185" s="11">
        <v>44367</v>
      </c>
      <c r="BJ185" s="727">
        <v>0</v>
      </c>
      <c r="BK185" s="727">
        <v>0</v>
      </c>
      <c r="BL185" s="727">
        <v>0</v>
      </c>
      <c r="BM185" s="727">
        <v>0</v>
      </c>
      <c r="BN185" s="727">
        <v>0</v>
      </c>
      <c r="BO185" s="728">
        <v>0</v>
      </c>
      <c r="BP185" s="727">
        <v>0</v>
      </c>
      <c r="BQ185" s="727">
        <v>2.1586582198118084E-5</v>
      </c>
      <c r="BR185" s="727">
        <v>3.5887606771431733E-4</v>
      </c>
      <c r="BS185" s="727">
        <v>1.2026240300440152E-3</v>
      </c>
      <c r="BT185" s="727">
        <v>2.5312438869890944E-3</v>
      </c>
      <c r="BW185" s="1157">
        <f>'2018'!R\Max</f>
        <v>0.15031283430502917</v>
      </c>
      <c r="BX185" s="1155">
        <f>'2019'!R\Max</f>
        <v>0.44987999465258177</v>
      </c>
      <c r="BY185" s="1155">
        <f>'2020'!R\Max</f>
        <v>0.90577136343169629</v>
      </c>
      <c r="BZ185" s="1155">
        <f>'2021'!R\Max</f>
        <v>0.58219729953155219</v>
      </c>
      <c r="CA185" s="1155">
        <f>'2022'!R\Max</f>
        <v>0.5231313788322729</v>
      </c>
      <c r="CB185" s="1155">
        <f>'2023'!R\Max</f>
        <v>0.52313137883227301</v>
      </c>
      <c r="CC185" s="1155">
        <f>'2024'!R\Max</f>
        <v>0.52313137883227301</v>
      </c>
      <c r="CD185" s="1155">
        <f>'2025'!R\Max</f>
        <v>0.52313137883227312</v>
      </c>
      <c r="CE185" s="1155">
        <f>'2026'!R\Max</f>
        <v>0.5231313788322729</v>
      </c>
      <c r="CF185" s="1156">
        <f>'2027'!R\Max</f>
        <v>0.52313137883227301</v>
      </c>
    </row>
    <row r="186" spans="1:84" s="6" customFormat="1" ht="11.25" x14ac:dyDescent="0.2">
      <c r="A186" s="11">
        <v>43272</v>
      </c>
      <c r="B186" s="380">
        <f>'2022'!Maxi_hp</f>
        <v>35.180212507104621</v>
      </c>
      <c r="C186" s="13">
        <f>'2022'!An_max</f>
        <v>2020</v>
      </c>
      <c r="D186" s="1070"/>
      <c r="E186" s="13"/>
      <c r="F186" s="13">
        <f t="shared" si="92"/>
        <v>13</v>
      </c>
      <c r="G186" s="13">
        <f t="shared" si="76"/>
        <v>14</v>
      </c>
      <c r="H186" s="173">
        <f t="shared" si="77"/>
        <v>43262</v>
      </c>
      <c r="I186" s="754">
        <f t="shared" si="78"/>
        <v>0.7142857142857143</v>
      </c>
      <c r="J186" s="747">
        <f t="shared" si="79"/>
        <v>43.042890961760925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P186" s="13">
        <f t="shared" si="80"/>
        <v>7</v>
      </c>
      <c r="AQ186" s="13">
        <f t="shared" si="81"/>
        <v>8</v>
      </c>
      <c r="AR186" s="173">
        <f t="shared" si="82"/>
        <v>43248</v>
      </c>
      <c r="AS186" s="754">
        <f t="shared" si="83"/>
        <v>0.8571428571428571</v>
      </c>
      <c r="AT186" s="770">
        <f t="shared" si="84"/>
        <v>43.056876676742519</v>
      </c>
      <c r="AU186" s="13">
        <f t="shared" si="85"/>
        <v>7</v>
      </c>
      <c r="AV186" s="13">
        <f t="shared" si="86"/>
        <v>8</v>
      </c>
      <c r="AW186" s="173">
        <f t="shared" si="87"/>
        <v>43262</v>
      </c>
      <c r="AX186" s="754">
        <f t="shared" si="88"/>
        <v>0.35714285714285715</v>
      </c>
      <c r="AY186" s="770">
        <f t="shared" si="89"/>
        <v>43.089004573851284</v>
      </c>
      <c r="AZ186" s="747">
        <f t="shared" si="93"/>
        <v>43.072940625296901</v>
      </c>
      <c r="BA186" s="646">
        <f t="shared" si="90"/>
        <v>0.81732922025052945</v>
      </c>
      <c r="BB186" s="641">
        <v>43272</v>
      </c>
      <c r="BC186" s="11">
        <v>43272</v>
      </c>
      <c r="BD186" s="290">
        <f>[3]!FeuilCaduc*(1-Persistant)+Persistant</f>
        <v>0.97522356078331529</v>
      </c>
      <c r="BE186" s="291">
        <f>[3]!CroissVégét</f>
        <v>0.61078861238975013</v>
      </c>
      <c r="BF186" s="822">
        <f>1+[3]!Salcycl*Ksac</f>
        <v>1.0438058901958289</v>
      </c>
      <c r="BH186" s="1101">
        <f t="shared" si="91"/>
        <v>0</v>
      </c>
      <c r="BI186" s="11">
        <v>44368</v>
      </c>
      <c r="BJ186" s="727">
        <v>0</v>
      </c>
      <c r="BK186" s="727">
        <v>0</v>
      </c>
      <c r="BL186" s="727">
        <v>0</v>
      </c>
      <c r="BM186" s="727">
        <v>0</v>
      </c>
      <c r="BN186" s="727">
        <v>0</v>
      </c>
      <c r="BO186" s="728">
        <v>0</v>
      </c>
      <c r="BP186" s="727">
        <v>0</v>
      </c>
      <c r="BQ186" s="727">
        <v>2.1693701505733332E-5</v>
      </c>
      <c r="BR186" s="727">
        <v>3.5996825694156948E-4</v>
      </c>
      <c r="BS186" s="727">
        <v>1.2048896535236172E-3</v>
      </c>
      <c r="BT186" s="727">
        <v>2.534764189746143E-3</v>
      </c>
      <c r="BW186" s="1157">
        <f>'2018'!R\Max</f>
        <v>0.71003363598264702</v>
      </c>
      <c r="BX186" s="1155">
        <f>'2019'!R\Max</f>
        <v>0.16987253436258903</v>
      </c>
      <c r="BY186" s="1155">
        <f>'2020'!R\Max</f>
        <v>0.81732922025052945</v>
      </c>
      <c r="BZ186" s="1155">
        <f>'2021'!R\Max</f>
        <v>0.62395402180982773</v>
      </c>
      <c r="CA186" s="1155">
        <f>'2022'!R\Max</f>
        <v>0.36653709161787346</v>
      </c>
      <c r="CB186" s="1155">
        <f>'2023'!R\Max</f>
        <v>0.36653709161787357</v>
      </c>
      <c r="CC186" s="1155">
        <f>'2024'!R\Max</f>
        <v>0.36653709161787346</v>
      </c>
      <c r="CD186" s="1155">
        <f>'2025'!R\Max</f>
        <v>0.36653709161787357</v>
      </c>
      <c r="CE186" s="1155">
        <f>'2026'!R\Max</f>
        <v>0.36653709161787357</v>
      </c>
      <c r="CF186" s="1156">
        <f>'2027'!R\Max</f>
        <v>0.36653709161787351</v>
      </c>
    </row>
    <row r="187" spans="1:84" s="6" customFormat="1" ht="11.25" x14ac:dyDescent="0.2">
      <c r="A187" s="11">
        <v>43273</v>
      </c>
      <c r="B187" s="380">
        <f>'2022'!Maxi_hp</f>
        <v>43.398049823870345</v>
      </c>
      <c r="C187" s="13">
        <f>'2022'!An_max</f>
        <v>2020</v>
      </c>
      <c r="D187" s="1070"/>
      <c r="E187" s="13"/>
      <c r="F187" s="13">
        <f t="shared" si="92"/>
        <v>13</v>
      </c>
      <c r="G187" s="13">
        <f t="shared" si="76"/>
        <v>14</v>
      </c>
      <c r="H187" s="173">
        <f t="shared" si="77"/>
        <v>43262</v>
      </c>
      <c r="I187" s="754">
        <f t="shared" si="78"/>
        <v>0.7857142857142857</v>
      </c>
      <c r="J187" s="747">
        <f t="shared" si="79"/>
        <v>43.003342073384133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P187" s="13">
        <f t="shared" si="80"/>
        <v>7</v>
      </c>
      <c r="AQ187" s="13">
        <f t="shared" si="81"/>
        <v>8</v>
      </c>
      <c r="AR187" s="173">
        <f t="shared" si="82"/>
        <v>43248</v>
      </c>
      <c r="AS187" s="754">
        <f t="shared" si="83"/>
        <v>0.8928571428571429</v>
      </c>
      <c r="AT187" s="770">
        <f t="shared" si="84"/>
        <v>43.013831359513901</v>
      </c>
      <c r="AU187" s="13">
        <f t="shared" si="85"/>
        <v>7</v>
      </c>
      <c r="AV187" s="13">
        <f t="shared" si="86"/>
        <v>8</v>
      </c>
      <c r="AW187" s="173">
        <f t="shared" si="87"/>
        <v>43262</v>
      </c>
      <c r="AX187" s="754">
        <f t="shared" si="88"/>
        <v>0.39285714285714285</v>
      </c>
      <c r="AY187" s="770">
        <f t="shared" si="89"/>
        <v>43.052865149193842</v>
      </c>
      <c r="AZ187" s="747">
        <f t="shared" si="93"/>
        <v>43.033348254353868</v>
      </c>
      <c r="BA187" s="646">
        <f t="shared" si="90"/>
        <v>1.009178536631238</v>
      </c>
      <c r="BB187" s="641">
        <v>43273</v>
      </c>
      <c r="BC187" s="11">
        <v>43273</v>
      </c>
      <c r="BD187" s="290">
        <f>[3]!FeuilCaduc*(1-Persistant)+Persistant</f>
        <v>0.97691421369628162</v>
      </c>
      <c r="BE187" s="291">
        <f>[3]!CroissVégét</f>
        <v>0.62052607026992535</v>
      </c>
      <c r="BF187" s="822">
        <f>1+[3]!Salcycl*Ksac</f>
        <v>1.0442285534240705</v>
      </c>
      <c r="BH187" s="1101">
        <f t="shared" si="91"/>
        <v>0</v>
      </c>
      <c r="BI187" s="11">
        <v>44369</v>
      </c>
      <c r="BJ187" s="727">
        <v>0</v>
      </c>
      <c r="BK187" s="727">
        <v>0</v>
      </c>
      <c r="BL187" s="727">
        <v>0</v>
      </c>
      <c r="BM187" s="727">
        <v>0</v>
      </c>
      <c r="BN187" s="727">
        <v>0</v>
      </c>
      <c r="BO187" s="728">
        <v>0</v>
      </c>
      <c r="BP187" s="727">
        <v>0</v>
      </c>
      <c r="BQ187" s="727">
        <v>2.172207291835261E-5</v>
      </c>
      <c r="BR187" s="727">
        <v>3.6021084686775601E-4</v>
      </c>
      <c r="BS187" s="727">
        <v>1.2052387488786045E-3</v>
      </c>
      <c r="BT187" s="727">
        <v>2.5350837060325458E-3</v>
      </c>
      <c r="BW187" s="1157">
        <f>'2018'!R\Max</f>
        <v>0.82155036883733379</v>
      </c>
      <c r="BX187" s="1155">
        <f>'2019'!R\Max</f>
        <v>0.9415421884546602</v>
      </c>
      <c r="BY187" s="1155">
        <f>'2020'!R\Max</f>
        <v>1.009178536631238</v>
      </c>
      <c r="BZ187" s="1155">
        <f>'2021'!R\Max</f>
        <v>0.67014185983035046</v>
      </c>
      <c r="CA187" s="1155">
        <f>'2022'!R\Max</f>
        <v>0.76560601404519057</v>
      </c>
      <c r="CB187" s="1155">
        <f>'2023'!R\Max</f>
        <v>0.7656060140451908</v>
      </c>
      <c r="CC187" s="1155">
        <f>'2024'!R\Max</f>
        <v>0.7656060140451908</v>
      </c>
      <c r="CD187" s="1155">
        <f>'2025'!R\Max</f>
        <v>0.76560601404519057</v>
      </c>
      <c r="CE187" s="1155">
        <f>'2026'!R\Max</f>
        <v>0.7656060140451908</v>
      </c>
      <c r="CF187" s="1156">
        <f>'2027'!R\Max</f>
        <v>0.7656060140451908</v>
      </c>
    </row>
    <row r="188" spans="1:84" s="6" customFormat="1" ht="11.25" x14ac:dyDescent="0.2">
      <c r="A188" s="11">
        <v>43274</v>
      </c>
      <c r="B188" s="380">
        <f>'2022'!Maxi_hp</f>
        <v>43.321618231322205</v>
      </c>
      <c r="C188" s="13">
        <f>'2022'!An_max</f>
        <v>2018</v>
      </c>
      <c r="D188" s="1070"/>
      <c r="E188" s="13"/>
      <c r="F188" s="13">
        <f t="shared" si="92"/>
        <v>13</v>
      </c>
      <c r="G188" s="13">
        <f t="shared" si="76"/>
        <v>14</v>
      </c>
      <c r="H188" s="173">
        <f t="shared" si="77"/>
        <v>43262</v>
      </c>
      <c r="I188" s="754">
        <f t="shared" si="78"/>
        <v>0.8571428571428571</v>
      </c>
      <c r="J188" s="747">
        <f t="shared" si="79"/>
        <v>42.962972594637954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P188" s="13">
        <f t="shared" si="80"/>
        <v>7</v>
      </c>
      <c r="AQ188" s="13">
        <f t="shared" si="81"/>
        <v>8</v>
      </c>
      <c r="AR188" s="173">
        <f t="shared" si="82"/>
        <v>43248</v>
      </c>
      <c r="AS188" s="754">
        <f t="shared" si="83"/>
        <v>0.9285714285714286</v>
      </c>
      <c r="AT188" s="770">
        <f t="shared" si="84"/>
        <v>42.969965452102144</v>
      </c>
      <c r="AU188" s="13">
        <f t="shared" si="85"/>
        <v>7</v>
      </c>
      <c r="AV188" s="13">
        <f t="shared" si="86"/>
        <v>8</v>
      </c>
      <c r="AW188" s="173">
        <f t="shared" si="87"/>
        <v>43262</v>
      </c>
      <c r="AX188" s="754">
        <f t="shared" si="88"/>
        <v>0.42857142857142855</v>
      </c>
      <c r="AY188" s="770">
        <f t="shared" si="89"/>
        <v>43.015204956462341</v>
      </c>
      <c r="AZ188" s="747">
        <f t="shared" si="93"/>
        <v>42.992585204282243</v>
      </c>
      <c r="BA188" s="646">
        <f t="shared" si="90"/>
        <v>1.0083477844996465</v>
      </c>
      <c r="BB188" s="641">
        <v>43274</v>
      </c>
      <c r="BC188" s="11">
        <v>43274</v>
      </c>
      <c r="BD188" s="290">
        <f>[3]!FeuilCaduc*(1-Persistant)+Persistant</f>
        <v>0.97853506035948734</v>
      </c>
      <c r="BE188" s="291">
        <f>[3]!CroissVégét</f>
        <v>0.6301672999323692</v>
      </c>
      <c r="BF188" s="822">
        <f>1+[3]!Salcycl*Ksac</f>
        <v>1.0446337650898718</v>
      </c>
      <c r="BH188" s="1101">
        <f t="shared" si="91"/>
        <v>0</v>
      </c>
      <c r="BI188" s="11">
        <v>44370</v>
      </c>
      <c r="BJ188" s="727">
        <v>0</v>
      </c>
      <c r="BK188" s="727">
        <v>0</v>
      </c>
      <c r="BL188" s="727">
        <v>0</v>
      </c>
      <c r="BM188" s="727">
        <v>0</v>
      </c>
      <c r="BN188" s="727">
        <v>0</v>
      </c>
      <c r="BO188" s="728">
        <v>0</v>
      </c>
      <c r="BP188" s="727">
        <v>0</v>
      </c>
      <c r="BQ188" s="727">
        <v>2.1671628332546417E-5</v>
      </c>
      <c r="BR188" s="727">
        <v>3.5960199202937063E-4</v>
      </c>
      <c r="BS188" s="727">
        <v>1.2036636876373288E-3</v>
      </c>
      <c r="BT188" s="727">
        <v>2.5321850868238738E-3</v>
      </c>
      <c r="BW188" s="1157">
        <f>'2018'!R\Max</f>
        <v>1.0083477844996465</v>
      </c>
      <c r="BX188" s="1155">
        <f>'2019'!R\Max</f>
        <v>0.8801063073666453</v>
      </c>
      <c r="BY188" s="1155">
        <f>'2020'!R\Max</f>
        <v>0.8668419983176755</v>
      </c>
      <c r="BZ188" s="1155">
        <f>'2021'!R\Max</f>
        <v>0.41444489870247025</v>
      </c>
      <c r="CA188" s="1155">
        <f>'2022'!R\Max</f>
        <v>0.68859456638491046</v>
      </c>
      <c r="CB188" s="1155">
        <f>'2023'!R\Max</f>
        <v>0.68859456638491046</v>
      </c>
      <c r="CC188" s="1155">
        <f>'2024'!R\Max</f>
        <v>0.68859456638491034</v>
      </c>
      <c r="CD188" s="1155">
        <f>'2025'!R\Max</f>
        <v>0.68859456638491046</v>
      </c>
      <c r="CE188" s="1155">
        <f>'2026'!R\Max</f>
        <v>0.68859456638491023</v>
      </c>
      <c r="CF188" s="1156">
        <f>'2027'!R\Max</f>
        <v>0.68859456638491046</v>
      </c>
    </row>
    <row r="189" spans="1:84" s="6" customFormat="1" ht="11.25" x14ac:dyDescent="0.2">
      <c r="A189" s="11">
        <v>43275</v>
      </c>
      <c r="B189" s="380">
        <f>'2022'!Maxi_hp</f>
        <v>42.706685617077156</v>
      </c>
      <c r="C189" s="13">
        <f>'2022'!An_max</f>
        <v>2020</v>
      </c>
      <c r="D189" s="1070"/>
      <c r="E189" s="13"/>
      <c r="F189" s="13">
        <f t="shared" si="92"/>
        <v>13</v>
      </c>
      <c r="G189" s="13">
        <f t="shared" si="76"/>
        <v>14</v>
      </c>
      <c r="H189" s="173">
        <f t="shared" si="77"/>
        <v>43262</v>
      </c>
      <c r="I189" s="754">
        <f t="shared" si="78"/>
        <v>0.9285714285714286</v>
      </c>
      <c r="J189" s="747">
        <f t="shared" si="79"/>
        <v>42.921889558940066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P189" s="13">
        <f t="shared" si="80"/>
        <v>7</v>
      </c>
      <c r="AQ189" s="13">
        <f t="shared" si="81"/>
        <v>8</v>
      </c>
      <c r="AR189" s="173">
        <f t="shared" si="82"/>
        <v>43248</v>
      </c>
      <c r="AS189" s="754">
        <f t="shared" si="83"/>
        <v>0.9642857142857143</v>
      </c>
      <c r="AT189" s="770">
        <f t="shared" si="84"/>
        <v>42.92538598783181</v>
      </c>
      <c r="AU189" s="13">
        <f t="shared" si="85"/>
        <v>7</v>
      </c>
      <c r="AV189" s="13">
        <f t="shared" si="86"/>
        <v>8</v>
      </c>
      <c r="AW189" s="173">
        <f t="shared" si="87"/>
        <v>43262</v>
      </c>
      <c r="AX189" s="754">
        <f t="shared" si="88"/>
        <v>0.4642857142857143</v>
      </c>
      <c r="AY189" s="770">
        <f t="shared" si="89"/>
        <v>42.976010616595985</v>
      </c>
      <c r="AZ189" s="747">
        <f t="shared" si="93"/>
        <v>42.950698302213894</v>
      </c>
      <c r="BA189" s="646">
        <f t="shared" si="90"/>
        <v>0.9949861493966291</v>
      </c>
      <c r="BB189" s="641">
        <v>43275</v>
      </c>
      <c r="BC189" s="11">
        <v>43275</v>
      </c>
      <c r="BD189" s="290">
        <f>[3]!FeuilCaduc*(1-Persistant)+Persistant</f>
        <v>0.98008599762377813</v>
      </c>
      <c r="BE189" s="291">
        <f>[3]!CroissVégét</f>
        <v>0.63970570469545396</v>
      </c>
      <c r="BF189" s="822">
        <f>1+[3]!Salcycl*Ksac</f>
        <v>1.0450214994059446</v>
      </c>
      <c r="BH189" s="1101">
        <f t="shared" si="91"/>
        <v>0</v>
      </c>
      <c r="BI189" s="11">
        <v>44371</v>
      </c>
      <c r="BJ189" s="727">
        <v>0</v>
      </c>
      <c r="BK189" s="727">
        <v>0</v>
      </c>
      <c r="BL189" s="727">
        <v>0</v>
      </c>
      <c r="BM189" s="727">
        <v>0</v>
      </c>
      <c r="BN189" s="727">
        <v>0</v>
      </c>
      <c r="BO189" s="728">
        <v>0</v>
      </c>
      <c r="BP189" s="727">
        <v>0</v>
      </c>
      <c r="BQ189" s="727">
        <v>2.1542284087317809E-5</v>
      </c>
      <c r="BR189" s="727">
        <v>3.5813961338980818E-4</v>
      </c>
      <c r="BS189" s="727">
        <v>1.2001561093678741E-3</v>
      </c>
      <c r="BT189" s="727">
        <v>2.5260494879341972E-3</v>
      </c>
      <c r="BW189" s="1157">
        <f>'2018'!R\Max</f>
        <v>0.87511565015245429</v>
      </c>
      <c r="BX189" s="1155">
        <f>'2019'!R\Max</f>
        <v>0.63374264368583022</v>
      </c>
      <c r="BY189" s="1155">
        <f>'2020'!R\Max</f>
        <v>0.9949861493966291</v>
      </c>
      <c r="BZ189" s="1155">
        <f>'2021'!R\Max</f>
        <v>0.66078958492030015</v>
      </c>
      <c r="CA189" s="1155">
        <f>'2022'!R\Max</f>
        <v>0.7823696727717907</v>
      </c>
      <c r="CB189" s="1155">
        <f>'2023'!R\Max</f>
        <v>0.7823696727717907</v>
      </c>
      <c r="CC189" s="1155">
        <f>'2024'!R\Max</f>
        <v>0.7823696727717907</v>
      </c>
      <c r="CD189" s="1155">
        <f>'2025'!R\Max</f>
        <v>0.7823696727717907</v>
      </c>
      <c r="CE189" s="1155">
        <f>'2026'!R\Max</f>
        <v>0.78236967277179059</v>
      </c>
      <c r="CF189" s="1156">
        <f>'2027'!R\Max</f>
        <v>0.7823696727717907</v>
      </c>
    </row>
    <row r="190" spans="1:84" s="6" customFormat="1" ht="11.25" x14ac:dyDescent="0.2">
      <c r="A190" s="11">
        <v>43276</v>
      </c>
      <c r="B190" s="380">
        <f>'2022'!Maxi_hp</f>
        <v>42.181442408546353</v>
      </c>
      <c r="C190" s="13">
        <f>'2022'!An_max</f>
        <v>2018</v>
      </c>
      <c r="D190" s="1070"/>
      <c r="E190" s="1073">
        <f>Z$13/10</f>
        <v>42.880199999999995</v>
      </c>
      <c r="F190" s="13">
        <f t="shared" si="92"/>
        <v>15</v>
      </c>
      <c r="G190" s="13">
        <f t="shared" si="76"/>
        <v>14</v>
      </c>
      <c r="H190" s="173">
        <f t="shared" si="77"/>
        <v>43290</v>
      </c>
      <c r="I190" s="754">
        <f t="shared" si="78"/>
        <v>1</v>
      </c>
      <c r="J190" s="747">
        <f t="shared" si="79"/>
        <v>42.880199999734756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P190" s="13">
        <f t="shared" si="80"/>
        <v>9</v>
      </c>
      <c r="AQ190" s="13">
        <f t="shared" si="81"/>
        <v>8</v>
      </c>
      <c r="AR190" s="173">
        <f t="shared" si="82"/>
        <v>43304</v>
      </c>
      <c r="AS190" s="754">
        <f t="shared" si="83"/>
        <v>1</v>
      </c>
      <c r="AT190" s="770">
        <f t="shared" si="84"/>
        <v>42.880200000293556</v>
      </c>
      <c r="AU190" s="13">
        <f t="shared" si="85"/>
        <v>7</v>
      </c>
      <c r="AV190" s="13">
        <f t="shared" si="86"/>
        <v>8</v>
      </c>
      <c r="AW190" s="173">
        <f t="shared" si="87"/>
        <v>43262</v>
      </c>
      <c r="AX190" s="754">
        <f t="shared" si="88"/>
        <v>0.5</v>
      </c>
      <c r="AY190" s="770">
        <f t="shared" si="89"/>
        <v>42.935268750227991</v>
      </c>
      <c r="AZ190" s="747">
        <f t="shared" si="93"/>
        <v>42.907734375260773</v>
      </c>
      <c r="BA190" s="646">
        <f t="shared" si="90"/>
        <v>0.98370442322580753</v>
      </c>
      <c r="BB190" s="641">
        <v>43276</v>
      </c>
      <c r="BC190" s="11">
        <v>43276</v>
      </c>
      <c r="BD190" s="290">
        <f>[3]!FeuilCaduc*(1-Persistant)+Persistant</f>
        <v>0.98156712059481777</v>
      </c>
      <c r="BE190" s="291">
        <f>[3]!CroissVégét</f>
        <v>0.64913499947740572</v>
      </c>
      <c r="BF190" s="822">
        <f>1+[3]!Salcycl*Ksac</f>
        <v>1.0453917801487045</v>
      </c>
      <c r="BH190" s="1101">
        <f t="shared" si="91"/>
        <v>0</v>
      </c>
      <c r="BI190" s="11">
        <v>44372</v>
      </c>
      <c r="BJ190" s="727">
        <v>0</v>
      </c>
      <c r="BK190" s="727">
        <v>0</v>
      </c>
      <c r="BL190" s="727">
        <v>0</v>
      </c>
      <c r="BM190" s="727">
        <v>0</v>
      </c>
      <c r="BN190" s="727">
        <v>0</v>
      </c>
      <c r="BO190" s="728">
        <v>0</v>
      </c>
      <c r="BP190" s="727">
        <v>0</v>
      </c>
      <c r="BQ190" s="727">
        <v>2.1334172429275715E-5</v>
      </c>
      <c r="BR190" s="727">
        <v>3.5582521484659135E-4</v>
      </c>
      <c r="BS190" s="727">
        <v>1.1947196471493639E-3</v>
      </c>
      <c r="BT190" s="727">
        <v>2.5166832969083183E-3</v>
      </c>
      <c r="BW190" s="1157">
        <f>'2018'!R\Max</f>
        <v>0.98370442322580753</v>
      </c>
      <c r="BX190" s="1155">
        <f>'2019'!R\Max</f>
        <v>0.88779076928544687</v>
      </c>
      <c r="BY190" s="1155">
        <f>'2020'!R\Max</f>
        <v>0.90902323605590218</v>
      </c>
      <c r="BZ190" s="1155">
        <f>'2021'!R\Max</f>
        <v>0.93013657888918577</v>
      </c>
      <c r="CA190" s="1155">
        <f>'2022'!R\Max</f>
        <v>0.55858143700897889</v>
      </c>
      <c r="CB190" s="1155">
        <f>'2023'!R\Max</f>
        <v>0.558581437008979</v>
      </c>
      <c r="CC190" s="1155">
        <f>'2024'!R\Max</f>
        <v>0.55858143700897889</v>
      </c>
      <c r="CD190" s="1155">
        <f>'2025'!R\Max</f>
        <v>0.55858143700897889</v>
      </c>
      <c r="CE190" s="1155">
        <f>'2026'!R\Max</f>
        <v>0.55858143700897889</v>
      </c>
      <c r="CF190" s="1156">
        <f>'2027'!R\Max</f>
        <v>0.55858143700897889</v>
      </c>
    </row>
    <row r="191" spans="1:84" s="6" customFormat="1" ht="11.25" x14ac:dyDescent="0.2">
      <c r="A191" s="11">
        <v>43277</v>
      </c>
      <c r="B191" s="380">
        <f>'2022'!Maxi_hp</f>
        <v>41.141814363893154</v>
      </c>
      <c r="C191" s="13">
        <f>'2022'!An_max</f>
        <v>2021</v>
      </c>
      <c r="D191" s="1070"/>
      <c r="E191" s="13"/>
      <c r="F191" s="13">
        <f t="shared" si="92"/>
        <v>15</v>
      </c>
      <c r="G191" s="13">
        <f t="shared" si="76"/>
        <v>14</v>
      </c>
      <c r="H191" s="173">
        <f t="shared" si="77"/>
        <v>43290</v>
      </c>
      <c r="I191" s="754">
        <f t="shared" si="78"/>
        <v>0.9285714285714286</v>
      </c>
      <c r="J191" s="747">
        <f t="shared" si="79"/>
        <v>42.838439085254713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P191" s="13">
        <f t="shared" si="80"/>
        <v>9</v>
      </c>
      <c r="AQ191" s="13">
        <f t="shared" si="81"/>
        <v>8</v>
      </c>
      <c r="AR191" s="173">
        <f t="shared" si="82"/>
        <v>43304</v>
      </c>
      <c r="AS191" s="754">
        <f t="shared" si="83"/>
        <v>0.9642857142857143</v>
      </c>
      <c r="AT191" s="770">
        <f t="shared" si="84"/>
        <v>42.83387678136517</v>
      </c>
      <c r="AU191" s="13">
        <f t="shared" si="85"/>
        <v>7</v>
      </c>
      <c r="AV191" s="13">
        <f t="shared" si="86"/>
        <v>8</v>
      </c>
      <c r="AW191" s="173">
        <f t="shared" si="87"/>
        <v>43262</v>
      </c>
      <c r="AX191" s="754">
        <f t="shared" si="88"/>
        <v>0.5357142857142857</v>
      </c>
      <c r="AY191" s="770">
        <f t="shared" si="89"/>
        <v>42.892965978284238</v>
      </c>
      <c r="AZ191" s="747">
        <f t="shared" si="93"/>
        <v>42.8634213798247</v>
      </c>
      <c r="BA191" s="646">
        <f t="shared" si="90"/>
        <v>0.96039480528258681</v>
      </c>
      <c r="BB191" s="641">
        <v>43277</v>
      </c>
      <c r="BC191" s="11">
        <v>43277</v>
      </c>
      <c r="BD191" s="290">
        <f>[3]!FeuilCaduc*(1-Persistant)+Persistant</f>
        <v>0.98297871832830719</v>
      </c>
      <c r="BE191" s="291">
        <f>[3]!CroissVégét</f>
        <v>0.65844922415907026</v>
      </c>
      <c r="BF191" s="822">
        <f>1+[3]!Salcycl*Ksac</f>
        <v>1.0457446795820768</v>
      </c>
      <c r="BH191" s="1101">
        <f t="shared" si="91"/>
        <v>0</v>
      </c>
      <c r="BI191" s="11">
        <v>44373</v>
      </c>
      <c r="BJ191" s="727">
        <v>0</v>
      </c>
      <c r="BK191" s="727">
        <v>0</v>
      </c>
      <c r="BL191" s="727">
        <v>0</v>
      </c>
      <c r="BM191" s="727">
        <v>0</v>
      </c>
      <c r="BN191" s="727">
        <v>0</v>
      </c>
      <c r="BO191" s="728">
        <v>0</v>
      </c>
      <c r="BP191" s="727">
        <v>0</v>
      </c>
      <c r="BQ191" s="727">
        <v>2.1047425084939786E-5</v>
      </c>
      <c r="BR191" s="727">
        <v>3.5266029467235924E-4</v>
      </c>
      <c r="BS191" s="727">
        <v>1.1873579213294962E-3</v>
      </c>
      <c r="BT191" s="727">
        <v>2.5040928799714103E-3</v>
      </c>
      <c r="BW191" s="1157">
        <f>'2018'!R\Max</f>
        <v>0.95786878659857955</v>
      </c>
      <c r="BX191" s="1155">
        <f>'2019'!R\Max</f>
        <v>0.94223870517251695</v>
      </c>
      <c r="BY191" s="1155">
        <f>'2020'!R\Max</f>
        <v>0.80439513101410698</v>
      </c>
      <c r="BZ191" s="1155">
        <f>'2021'!R\Max</f>
        <v>0.96039480528258681</v>
      </c>
      <c r="CA191" s="1155">
        <f>'2022'!R\Max</f>
        <v>0.19951483075107557</v>
      </c>
      <c r="CB191" s="1155">
        <f>'2023'!R\Max</f>
        <v>0.19951483075107557</v>
      </c>
      <c r="CC191" s="1155">
        <f>'2024'!R\Max</f>
        <v>0.19951483075107551</v>
      </c>
      <c r="CD191" s="1155">
        <f>'2025'!R\Max</f>
        <v>0.19951483075107551</v>
      </c>
      <c r="CE191" s="1155">
        <f>'2026'!R\Max</f>
        <v>0.19951483075107557</v>
      </c>
      <c r="CF191" s="1156">
        <f>'2027'!R\Max</f>
        <v>0.19951483075107551</v>
      </c>
    </row>
    <row r="192" spans="1:84" s="6" customFormat="1" ht="11.25" x14ac:dyDescent="0.2">
      <c r="A192" s="11">
        <v>43278</v>
      </c>
      <c r="B192" s="380">
        <f>'2022'!Maxi_hp</f>
        <v>40.70663915680317</v>
      </c>
      <c r="C192" s="13">
        <f>'2022'!An_max</f>
        <v>2019</v>
      </c>
      <c r="D192" s="1070"/>
      <c r="E192" s="13"/>
      <c r="F192" s="13">
        <f t="shared" si="92"/>
        <v>15</v>
      </c>
      <c r="G192" s="13">
        <f t="shared" si="76"/>
        <v>14</v>
      </c>
      <c r="H192" s="173">
        <f t="shared" si="77"/>
        <v>43290</v>
      </c>
      <c r="I192" s="754">
        <f t="shared" si="78"/>
        <v>0.8571428571428571</v>
      </c>
      <c r="J192" s="747">
        <f t="shared" si="79"/>
        <v>42.796856559759803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P192" s="13">
        <f t="shared" si="80"/>
        <v>9</v>
      </c>
      <c r="AQ192" s="13">
        <f t="shared" si="81"/>
        <v>8</v>
      </c>
      <c r="AR192" s="173">
        <f t="shared" si="82"/>
        <v>43304</v>
      </c>
      <c r="AS192" s="754">
        <f t="shared" si="83"/>
        <v>0.9285714285714286</v>
      </c>
      <c r="AT192" s="770">
        <f t="shared" si="84"/>
        <v>42.785832106601447</v>
      </c>
      <c r="AU192" s="13">
        <f t="shared" si="85"/>
        <v>7</v>
      </c>
      <c r="AV192" s="13">
        <f t="shared" si="86"/>
        <v>8</v>
      </c>
      <c r="AW192" s="173">
        <f t="shared" si="87"/>
        <v>43262</v>
      </c>
      <c r="AX192" s="754">
        <f t="shared" si="88"/>
        <v>0.5714285714285714</v>
      </c>
      <c r="AY192" s="770">
        <f t="shared" si="89"/>
        <v>42.849088921371319</v>
      </c>
      <c r="AZ192" s="747">
        <f t="shared" si="93"/>
        <v>42.817460513986383</v>
      </c>
      <c r="BA192" s="646">
        <f t="shared" si="90"/>
        <v>0.95115955771102167</v>
      </c>
      <c r="BB192" s="641">
        <v>43278</v>
      </c>
      <c r="BC192" s="11">
        <v>43278</v>
      </c>
      <c r="BD192" s="290">
        <f>[3]!FeuilCaduc*(1-Persistant)+Persistant</f>
        <v>0.98432126848009438</v>
      </c>
      <c r="BE192" s="291">
        <f>[3]!CroissVégét</f>
        <v>0.66764275499450454</v>
      </c>
      <c r="BF192" s="822">
        <f>1+[3]!Salcycl*Ksac</f>
        <v>1.0460803171200237</v>
      </c>
      <c r="BH192" s="1101">
        <f t="shared" si="91"/>
        <v>0</v>
      </c>
      <c r="BI192" s="11">
        <v>44374</v>
      </c>
      <c r="BJ192" s="727">
        <v>0</v>
      </c>
      <c r="BK192" s="727">
        <v>0</v>
      </c>
      <c r="BL192" s="727">
        <v>0</v>
      </c>
      <c r="BM192" s="727">
        <v>0</v>
      </c>
      <c r="BN192" s="727">
        <v>0</v>
      </c>
      <c r="BO192" s="728">
        <v>0</v>
      </c>
      <c r="BP192" s="727">
        <v>0</v>
      </c>
      <c r="BQ192" s="727">
        <v>2.0752993516961928E-5</v>
      </c>
      <c r="BR192" s="727">
        <v>3.4870256994785692E-4</v>
      </c>
      <c r="BS192" s="727">
        <v>1.1779226307556808E-3</v>
      </c>
      <c r="BT192" s="727">
        <v>2.4876601824234718E-3</v>
      </c>
      <c r="BW192" s="1157">
        <f>'2018'!R\Max</f>
        <v>0.89924076315459101</v>
      </c>
      <c r="BX192" s="1155">
        <f>'2019'!R\Max</f>
        <v>0.95115955771102167</v>
      </c>
      <c r="BY192" s="1155">
        <f>'2020'!R\Max</f>
        <v>0.810603979824709</v>
      </c>
      <c r="BZ192" s="1155">
        <f>'2021'!R\Max</f>
        <v>0.14233641097961994</v>
      </c>
      <c r="CA192" s="1155">
        <f>'2022'!R\Max</f>
        <v>0.25860024315056229</v>
      </c>
      <c r="CB192" s="1155">
        <f>'2023'!R\Max</f>
        <v>0.25860024315056224</v>
      </c>
      <c r="CC192" s="1155">
        <f>'2024'!R\Max</f>
        <v>0.25860024315056229</v>
      </c>
      <c r="CD192" s="1155">
        <f>'2025'!R\Max</f>
        <v>0.25860024315056224</v>
      </c>
      <c r="CE192" s="1155">
        <f>'2026'!R\Max</f>
        <v>0.25860024315056229</v>
      </c>
      <c r="CF192" s="1156">
        <f>'2027'!R\Max</f>
        <v>0.25860024315056224</v>
      </c>
    </row>
    <row r="193" spans="1:84" s="6" customFormat="1" ht="11.25" x14ac:dyDescent="0.2">
      <c r="A193" s="11">
        <v>43279</v>
      </c>
      <c r="B193" s="380">
        <f>'2022'!Maxi_hp</f>
        <v>43.026185543990657</v>
      </c>
      <c r="C193" s="13">
        <f>'2022'!An_max</f>
        <v>2022</v>
      </c>
      <c r="D193" s="1070"/>
      <c r="E193" s="13"/>
      <c r="F193" s="13">
        <f t="shared" si="92"/>
        <v>15</v>
      </c>
      <c r="G193" s="13">
        <f t="shared" si="76"/>
        <v>14</v>
      </c>
      <c r="H193" s="173">
        <f t="shared" si="77"/>
        <v>43290</v>
      </c>
      <c r="I193" s="754">
        <f t="shared" si="78"/>
        <v>0.7857142857142857</v>
      </c>
      <c r="J193" s="747">
        <f t="shared" si="79"/>
        <v>42.75513132289052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P193" s="13">
        <f t="shared" si="80"/>
        <v>9</v>
      </c>
      <c r="AQ193" s="13">
        <f t="shared" si="81"/>
        <v>8</v>
      </c>
      <c r="AR193" s="173">
        <f t="shared" si="82"/>
        <v>43304</v>
      </c>
      <c r="AS193" s="754">
        <f t="shared" si="83"/>
        <v>0.8928571428571429</v>
      </c>
      <c r="AT193" s="770">
        <f t="shared" si="84"/>
        <v>42.736092734350152</v>
      </c>
      <c r="AU193" s="13">
        <f t="shared" si="85"/>
        <v>7</v>
      </c>
      <c r="AV193" s="13">
        <f t="shared" si="86"/>
        <v>8</v>
      </c>
      <c r="AW193" s="173">
        <f t="shared" si="87"/>
        <v>43262</v>
      </c>
      <c r="AX193" s="754">
        <f t="shared" si="88"/>
        <v>0.6071428571428571</v>
      </c>
      <c r="AY193" s="770">
        <f t="shared" si="89"/>
        <v>42.803624200707837</v>
      </c>
      <c r="AZ193" s="747">
        <f t="shared" si="93"/>
        <v>42.769858467528991</v>
      </c>
      <c r="BA193" s="646">
        <f t="shared" si="90"/>
        <v>1.0063396886575582</v>
      </c>
      <c r="BB193" s="641">
        <v>43279</v>
      </c>
      <c r="BC193" s="11">
        <v>43279</v>
      </c>
      <c r="BD193" s="290">
        <f>[3]!FeuilCaduc*(1-Persistant)+Persistant</f>
        <v>0.98559543095251079</v>
      </c>
      <c r="BE193" s="291">
        <f>[3]!CroissVégét</f>
        <v>0.67671031405616355</v>
      </c>
      <c r="BF193" s="822">
        <f>1+[3]!Salcycl*Ksac</f>
        <v>1.0463988577381278</v>
      </c>
      <c r="BH193" s="1101">
        <f t="shared" si="91"/>
        <v>0</v>
      </c>
      <c r="BI193" s="11">
        <v>44375</v>
      </c>
      <c r="BJ193" s="727">
        <v>0</v>
      </c>
      <c r="BK193" s="727">
        <v>0</v>
      </c>
      <c r="BL193" s="727">
        <v>0</v>
      </c>
      <c r="BM193" s="727">
        <v>0</v>
      </c>
      <c r="BN193" s="727">
        <v>0</v>
      </c>
      <c r="BO193" s="728">
        <v>0</v>
      </c>
      <c r="BP193" s="727">
        <v>0</v>
      </c>
      <c r="BQ193" s="727">
        <v>2.0490287982385618E-5</v>
      </c>
      <c r="BR193" s="727">
        <v>3.4437949836679734E-4</v>
      </c>
      <c r="BS193" s="727">
        <v>1.1673822048727789E-3</v>
      </c>
      <c r="BT193" s="727">
        <v>2.4690081195179441E-3</v>
      </c>
      <c r="BW193" s="1157">
        <f>'2018'!R\Max</f>
        <v>0.66971684838070544</v>
      </c>
      <c r="BX193" s="1155">
        <f>'2019'!R\Max</f>
        <v>0.9287359072478697</v>
      </c>
      <c r="BY193" s="1155">
        <f>'2020'!R\Max</f>
        <v>0.7162868258157703</v>
      </c>
      <c r="BZ193" s="1155">
        <f>'2021'!R\Max</f>
        <v>0.45040481582565617</v>
      </c>
      <c r="CA193" s="1155">
        <f>'2022'!R\Max</f>
        <v>1.0063396886575582</v>
      </c>
      <c r="CB193" s="1155">
        <f>'2023'!R\Max</f>
        <v>1.0063396886575582</v>
      </c>
      <c r="CC193" s="1155">
        <f>'2024'!R\Max</f>
        <v>1.0063396886575582</v>
      </c>
      <c r="CD193" s="1155">
        <f>'2025'!R\Max</f>
        <v>1.0063396886575582</v>
      </c>
      <c r="CE193" s="1155">
        <f>'2026'!R\Max</f>
        <v>1.0063396886575582</v>
      </c>
      <c r="CF193" s="1156">
        <f>'2027'!R\Max</f>
        <v>1.0063396886575584</v>
      </c>
    </row>
    <row r="194" spans="1:84" s="6" customFormat="1" ht="11.25" x14ac:dyDescent="0.2">
      <c r="A194" s="11">
        <v>43280</v>
      </c>
      <c r="B194" s="380">
        <f>'2022'!Maxi_hp</f>
        <v>41.575903340599019</v>
      </c>
      <c r="C194" s="13">
        <f>'2022'!An_max</f>
        <v>2022</v>
      </c>
      <c r="D194" s="1070"/>
      <c r="E194" s="13"/>
      <c r="F194" s="13">
        <f t="shared" si="92"/>
        <v>15</v>
      </c>
      <c r="G194" s="13">
        <f t="shared" si="76"/>
        <v>14</v>
      </c>
      <c r="H194" s="173">
        <f t="shared" si="77"/>
        <v>43290</v>
      </c>
      <c r="I194" s="754">
        <f t="shared" si="78"/>
        <v>0.7142857142857143</v>
      </c>
      <c r="J194" s="747">
        <f t="shared" si="79"/>
        <v>42.71294227394143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P194" s="13">
        <f t="shared" si="80"/>
        <v>9</v>
      </c>
      <c r="AQ194" s="13">
        <f t="shared" si="81"/>
        <v>8</v>
      </c>
      <c r="AR194" s="173">
        <f t="shared" si="82"/>
        <v>43304</v>
      </c>
      <c r="AS194" s="754">
        <f t="shared" si="83"/>
        <v>0.8571428571428571</v>
      </c>
      <c r="AT194" s="770">
        <f t="shared" si="84"/>
        <v>42.684685423012283</v>
      </c>
      <c r="AU194" s="13">
        <f t="shared" si="85"/>
        <v>7</v>
      </c>
      <c r="AV194" s="13">
        <f t="shared" si="86"/>
        <v>8</v>
      </c>
      <c r="AW194" s="173">
        <f t="shared" si="87"/>
        <v>43262</v>
      </c>
      <c r="AX194" s="754">
        <f t="shared" si="88"/>
        <v>0.6428571428571429</v>
      </c>
      <c r="AY194" s="770">
        <f t="shared" si="89"/>
        <v>42.756558436780637</v>
      </c>
      <c r="AZ194" s="747">
        <f t="shared" si="93"/>
        <v>42.72062192989646</v>
      </c>
      <c r="BA194" s="646">
        <f t="shared" si="90"/>
        <v>0.97337952215864787</v>
      </c>
      <c r="BB194" s="641">
        <v>43280</v>
      </c>
      <c r="BC194" s="11">
        <v>43280</v>
      </c>
      <c r="BD194" s="290">
        <f>[3]!FeuilCaduc*(1-Persistant)+Persistant</f>
        <v>0.98680204058609777</v>
      </c>
      <c r="BE194" s="291">
        <f>[3]!CroissVégét</f>
        <v>0.6856469767197082</v>
      </c>
      <c r="BF194" s="822">
        <f>1+[3]!Salcycl*Ksac</f>
        <v>1.0467005101465245</v>
      </c>
      <c r="BH194" s="1101">
        <f t="shared" si="91"/>
        <v>0</v>
      </c>
      <c r="BI194" s="11">
        <v>44376</v>
      </c>
      <c r="BJ194" s="727">
        <v>0</v>
      </c>
      <c r="BK194" s="727">
        <v>0</v>
      </c>
      <c r="BL194" s="727">
        <v>0</v>
      </c>
      <c r="BM194" s="727">
        <v>0</v>
      </c>
      <c r="BN194" s="727">
        <v>0</v>
      </c>
      <c r="BO194" s="728">
        <v>0</v>
      </c>
      <c r="BP194" s="727">
        <v>0</v>
      </c>
      <c r="BQ194" s="727">
        <v>2.025927157801764E-5</v>
      </c>
      <c r="BR194" s="727">
        <v>3.3969181007916839E-4</v>
      </c>
      <c r="BS194" s="727">
        <v>1.1557389403147684E-3</v>
      </c>
      <c r="BT194" s="727">
        <v>2.4481413907068007E-3</v>
      </c>
      <c r="BW194" s="1157">
        <f>'2018'!R\Max</f>
        <v>0.84854344536337101</v>
      </c>
      <c r="BX194" s="1155">
        <f>'2019'!R\Max</f>
        <v>0.91461998870341987</v>
      </c>
      <c r="BY194" s="1155">
        <f>'2020'!R\Max</f>
        <v>0.8612790609364247</v>
      </c>
      <c r="BZ194" s="1155">
        <f>'2021'!R\Max</f>
        <v>0.66400441424929035</v>
      </c>
      <c r="CA194" s="1155">
        <f>'2022'!R\Max</f>
        <v>0.97337952215864787</v>
      </c>
      <c r="CB194" s="1155">
        <f>'2023'!R\Max</f>
        <v>0.97337952215864776</v>
      </c>
      <c r="CC194" s="1155">
        <f>'2024'!R\Max</f>
        <v>0.97337952215864787</v>
      </c>
      <c r="CD194" s="1155">
        <f>'2025'!R\Max</f>
        <v>0.97337952215864754</v>
      </c>
      <c r="CE194" s="1155">
        <f>'2026'!R\Max</f>
        <v>0.97337952215864787</v>
      </c>
      <c r="CF194" s="1156">
        <f>'2027'!R\Max</f>
        <v>0.97337952215864754</v>
      </c>
    </row>
    <row r="195" spans="1:84" s="6" customFormat="1" ht="11.25" x14ac:dyDescent="0.2">
      <c r="A195" s="11">
        <v>43281</v>
      </c>
      <c r="B195" s="380">
        <f>'2022'!Maxi_hp</f>
        <v>39.940934900012763</v>
      </c>
      <c r="C195" s="13">
        <f>'2022'!An_max</f>
        <v>2018</v>
      </c>
      <c r="D195" s="1070"/>
      <c r="E195" s="13"/>
      <c r="F195" s="13">
        <f t="shared" si="92"/>
        <v>15</v>
      </c>
      <c r="G195" s="13">
        <f t="shared" si="76"/>
        <v>14</v>
      </c>
      <c r="H195" s="173">
        <f t="shared" si="77"/>
        <v>43290</v>
      </c>
      <c r="I195" s="754">
        <f t="shared" si="78"/>
        <v>0.6428571428571429</v>
      </c>
      <c r="J195" s="747">
        <f t="shared" si="79"/>
        <v>42.669968312699346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P195" s="13">
        <f t="shared" si="80"/>
        <v>9</v>
      </c>
      <c r="AQ195" s="13">
        <f t="shared" si="81"/>
        <v>8</v>
      </c>
      <c r="AR195" s="173">
        <f t="shared" si="82"/>
        <v>43304</v>
      </c>
      <c r="AS195" s="754">
        <f t="shared" si="83"/>
        <v>0.8214285714285714</v>
      </c>
      <c r="AT195" s="770">
        <f t="shared" si="84"/>
        <v>42.631636930722742</v>
      </c>
      <c r="AU195" s="13">
        <f t="shared" si="85"/>
        <v>7</v>
      </c>
      <c r="AV195" s="13">
        <f t="shared" si="86"/>
        <v>8</v>
      </c>
      <c r="AW195" s="173">
        <f t="shared" si="87"/>
        <v>43262</v>
      </c>
      <c r="AX195" s="754">
        <f t="shared" si="88"/>
        <v>0.6785714285714286</v>
      </c>
      <c r="AY195" s="770">
        <f t="shared" si="89"/>
        <v>42.70787825031605</v>
      </c>
      <c r="AZ195" s="747">
        <f t="shared" si="93"/>
        <v>42.669757590519396</v>
      </c>
      <c r="BA195" s="646">
        <f t="shared" si="90"/>
        <v>0.93604322851408417</v>
      </c>
      <c r="BB195" s="641">
        <v>43281</v>
      </c>
      <c r="BC195" s="11">
        <v>43281</v>
      </c>
      <c r="BD195" s="290">
        <f>[3]!FeuilCaduc*(1-Persistant)+Persistant</f>
        <v>0.98794209895328122</v>
      </c>
      <c r="BE195" s="291">
        <f>[3]!CroissVégét</f>
        <v>0.69444817721081942</v>
      </c>
      <c r="BF195" s="822">
        <f>1+[3]!Salcycl*Ksac</f>
        <v>1.0469855247383204</v>
      </c>
      <c r="BH195" s="1101">
        <f t="shared" si="91"/>
        <v>0</v>
      </c>
      <c r="BI195" s="11">
        <v>44377</v>
      </c>
      <c r="BJ195" s="727">
        <v>0</v>
      </c>
      <c r="BK195" s="727">
        <v>0</v>
      </c>
      <c r="BL195" s="727">
        <v>0</v>
      </c>
      <c r="BM195" s="727">
        <v>0</v>
      </c>
      <c r="BN195" s="727">
        <v>0</v>
      </c>
      <c r="BO195" s="728">
        <v>0</v>
      </c>
      <c r="BP195" s="727">
        <v>0</v>
      </c>
      <c r="BQ195" s="727">
        <v>2.0059907347295245E-5</v>
      </c>
      <c r="BR195" s="727">
        <v>3.34640219137207E-4</v>
      </c>
      <c r="BS195" s="727">
        <v>1.1429950911663121E-3</v>
      </c>
      <c r="BT195" s="727">
        <v>2.4250646160873146E-3</v>
      </c>
      <c r="BW195" s="1157">
        <f>'2018'!R\Max</f>
        <v>0.93604322851408417</v>
      </c>
      <c r="BX195" s="1155">
        <f>'2019'!R\Max</f>
        <v>0.85655813028289107</v>
      </c>
      <c r="BY195" s="1155">
        <f>'2020'!R\Max</f>
        <v>0.42077841896708212</v>
      </c>
      <c r="BZ195" s="1155">
        <f>'2021'!R\Max</f>
        <v>0.83752641559365593</v>
      </c>
      <c r="CA195" s="1155">
        <f>'2022'!R\Max</f>
        <v>0.23698736253264643</v>
      </c>
      <c r="CB195" s="1155">
        <f>'2023'!R\Max</f>
        <v>0.23698736253264638</v>
      </c>
      <c r="CC195" s="1155">
        <f>'2024'!R\Max</f>
        <v>0.23698736253264643</v>
      </c>
      <c r="CD195" s="1155">
        <f>'2025'!R\Max</f>
        <v>0.23698736253264643</v>
      </c>
      <c r="CE195" s="1155">
        <f>'2026'!R\Max</f>
        <v>0.23698736253264643</v>
      </c>
      <c r="CF195" s="1156">
        <f>'2027'!R\Max</f>
        <v>0.23698736253264646</v>
      </c>
    </row>
    <row r="196" spans="1:84" s="6" customFormat="1" ht="11.25" x14ac:dyDescent="0.2">
      <c r="A196" s="11">
        <v>43282</v>
      </c>
      <c r="B196" s="380">
        <f>'2022'!Maxi_hp</f>
        <v>41.378085246589393</v>
      </c>
      <c r="C196" s="13">
        <f>'2022'!An_max</f>
        <v>2020</v>
      </c>
      <c r="D196" s="1070"/>
      <c r="E196" s="13"/>
      <c r="F196" s="13">
        <f t="shared" si="92"/>
        <v>15</v>
      </c>
      <c r="G196" s="13">
        <f t="shared" si="76"/>
        <v>14</v>
      </c>
      <c r="H196" s="173">
        <f t="shared" si="77"/>
        <v>43290</v>
      </c>
      <c r="I196" s="754">
        <f t="shared" si="78"/>
        <v>0.5714285714285714</v>
      </c>
      <c r="J196" s="747">
        <f t="shared" si="79"/>
        <v>42.625888338099635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P196" s="13">
        <f t="shared" si="80"/>
        <v>9</v>
      </c>
      <c r="AQ196" s="13">
        <f t="shared" si="81"/>
        <v>8</v>
      </c>
      <c r="AR196" s="173">
        <f t="shared" si="82"/>
        <v>43304</v>
      </c>
      <c r="AS196" s="754">
        <f t="shared" si="83"/>
        <v>0.7857142857142857</v>
      </c>
      <c r="AT196" s="770">
        <f t="shared" si="84"/>
        <v>42.576974016028856</v>
      </c>
      <c r="AU196" s="13">
        <f t="shared" si="85"/>
        <v>7</v>
      </c>
      <c r="AV196" s="13">
        <f t="shared" si="86"/>
        <v>8</v>
      </c>
      <c r="AW196" s="173">
        <f t="shared" si="87"/>
        <v>43262</v>
      </c>
      <c r="AX196" s="754">
        <f t="shared" si="88"/>
        <v>0.7142857142857143</v>
      </c>
      <c r="AY196" s="770">
        <f t="shared" si="89"/>
        <v>42.657570262386329</v>
      </c>
      <c r="AZ196" s="747">
        <f t="shared" si="93"/>
        <v>42.617272139207593</v>
      </c>
      <c r="BA196" s="646">
        <f t="shared" si="90"/>
        <v>0.97072663725825659</v>
      </c>
      <c r="BB196" s="641">
        <v>43282</v>
      </c>
      <c r="BC196" s="11">
        <v>43282</v>
      </c>
      <c r="BD196" s="290">
        <f>[3]!FeuilCaduc*(1-Persistant)+Persistant</f>
        <v>0.98901676531745952</v>
      </c>
      <c r="BE196" s="291">
        <f>[3]!CroissVégét</f>
        <v>0.70310971225270513</v>
      </c>
      <c r="BF196" s="822">
        <f>1+[3]!Salcycl*Ksac</f>
        <v>1.0472541913293649</v>
      </c>
      <c r="BH196" s="1101">
        <f t="shared" si="91"/>
        <v>0</v>
      </c>
      <c r="BI196" s="11">
        <v>44378</v>
      </c>
      <c r="BJ196" s="727">
        <v>0</v>
      </c>
      <c r="BK196" s="727">
        <v>0</v>
      </c>
      <c r="BL196" s="727">
        <v>0</v>
      </c>
      <c r="BM196" s="727">
        <v>0</v>
      </c>
      <c r="BN196" s="727">
        <v>0</v>
      </c>
      <c r="BO196" s="728">
        <v>0</v>
      </c>
      <c r="BP196" s="727">
        <v>0</v>
      </c>
      <c r="BQ196" s="727">
        <v>1.9892158464581577E-5</v>
      </c>
      <c r="BR196" s="727">
        <v>3.2922542132112051E-4</v>
      </c>
      <c r="BS196" s="727">
        <v>1.1291528623989084E-3</v>
      </c>
      <c r="BT196" s="727">
        <v>2.3997823232333637E-3</v>
      </c>
      <c r="BW196" s="1157">
        <f>'2018'!R\Max</f>
        <v>0.85120562765413355</v>
      </c>
      <c r="BX196" s="1155">
        <f>'2019'!R\Max</f>
        <v>0.30713171602783101</v>
      </c>
      <c r="BY196" s="1155">
        <f>'2020'!R\Max</f>
        <v>0.97072663725825659</v>
      </c>
      <c r="BZ196" s="1155">
        <f>'2021'!R\Max</f>
        <v>0.91955560584487706</v>
      </c>
      <c r="CA196" s="1155">
        <f>'2022'!R\Max</f>
        <v>0.91921026590989607</v>
      </c>
      <c r="CB196" s="1155">
        <f>'2023'!R\Max</f>
        <v>0.91921026590989596</v>
      </c>
      <c r="CC196" s="1155">
        <f>'2024'!R\Max</f>
        <v>0.91921026590989607</v>
      </c>
      <c r="CD196" s="1155">
        <f>'2025'!R\Max</f>
        <v>0.91921026590989596</v>
      </c>
      <c r="CE196" s="1155">
        <f>'2026'!R\Max</f>
        <v>0.91921026590989607</v>
      </c>
      <c r="CF196" s="1156">
        <f>'2027'!R\Max</f>
        <v>0.91921026590989607</v>
      </c>
    </row>
    <row r="197" spans="1:84" s="6" customFormat="1" ht="11.25" x14ac:dyDescent="0.2">
      <c r="A197" s="11">
        <v>43283</v>
      </c>
      <c r="B197" s="380">
        <f>'2022'!Maxi_hp</f>
        <v>40.387490579650731</v>
      </c>
      <c r="C197" s="13">
        <f>'2022'!An_max</f>
        <v>2022</v>
      </c>
      <c r="D197" s="1070"/>
      <c r="E197" s="13"/>
      <c r="F197" s="13">
        <f t="shared" si="92"/>
        <v>15</v>
      </c>
      <c r="G197" s="13">
        <f t="shared" si="76"/>
        <v>14</v>
      </c>
      <c r="H197" s="173">
        <f t="shared" si="77"/>
        <v>43290</v>
      </c>
      <c r="I197" s="754">
        <f t="shared" si="78"/>
        <v>0.5</v>
      </c>
      <c r="J197" s="747">
        <f t="shared" si="79"/>
        <v>42.580381250102072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P197" s="13">
        <f t="shared" si="80"/>
        <v>9</v>
      </c>
      <c r="AQ197" s="13">
        <f t="shared" si="81"/>
        <v>8</v>
      </c>
      <c r="AR197" s="173">
        <f t="shared" si="82"/>
        <v>43304</v>
      </c>
      <c r="AS197" s="754">
        <f t="shared" si="83"/>
        <v>0.75</v>
      </c>
      <c r="AT197" s="770">
        <f t="shared" si="84"/>
        <v>42.52072343751788</v>
      </c>
      <c r="AU197" s="13">
        <f t="shared" si="85"/>
        <v>7</v>
      </c>
      <c r="AV197" s="13">
        <f t="shared" si="86"/>
        <v>8</v>
      </c>
      <c r="AW197" s="173">
        <f t="shared" si="87"/>
        <v>43262</v>
      </c>
      <c r="AX197" s="754">
        <f t="shared" si="88"/>
        <v>0.75</v>
      </c>
      <c r="AY197" s="770">
        <f t="shared" si="89"/>
        <v>42.605621093930679</v>
      </c>
      <c r="AZ197" s="747">
        <f t="shared" si="93"/>
        <v>42.563172265724276</v>
      </c>
      <c r="BA197" s="646">
        <f t="shared" si="90"/>
        <v>0.9484999756678768</v>
      </c>
      <c r="BB197" s="641">
        <v>43283</v>
      </c>
      <c r="BC197" s="11">
        <v>43283</v>
      </c>
      <c r="BD197" s="290">
        <f>[3]!FeuilCaduc*(1-Persistant)+Persistant</f>
        <v>0.99002734682730487</v>
      </c>
      <c r="BE197" s="291">
        <f>[3]!CroissVégét</f>
        <v>0.71162774286802644</v>
      </c>
      <c r="BF197" s="822">
        <f>1+[3]!Salcycl*Ksac</f>
        <v>1.0475068367068263</v>
      </c>
      <c r="BH197" s="1101">
        <f t="shared" si="91"/>
        <v>0</v>
      </c>
      <c r="BI197" s="11">
        <v>44379</v>
      </c>
      <c r="BJ197" s="727">
        <v>0</v>
      </c>
      <c r="BK197" s="727">
        <v>0</v>
      </c>
      <c r="BL197" s="727">
        <v>0</v>
      </c>
      <c r="BM197" s="727">
        <v>0</v>
      </c>
      <c r="BN197" s="727">
        <v>0</v>
      </c>
      <c r="BO197" s="728">
        <v>0</v>
      </c>
      <c r="BP197" s="727">
        <v>0</v>
      </c>
      <c r="BQ197" s="727">
        <v>1.975598841963964E-5</v>
      </c>
      <c r="BR197" s="727">
        <v>3.2344809196780929E-4</v>
      </c>
      <c r="BS197" s="727">
        <v>1.114214403317231E-3</v>
      </c>
      <c r="BT197" s="727">
        <v>2.3722989340482646E-3</v>
      </c>
      <c r="BW197" s="1157">
        <f>'2018'!R\Max</f>
        <v>0.77195591503507877</v>
      </c>
      <c r="BX197" s="1155">
        <f>'2019'!R\Max</f>
        <v>0.49466948245441955</v>
      </c>
      <c r="BY197" s="1155">
        <f>'2020'!R\Max</f>
        <v>0.76351619694933548</v>
      </c>
      <c r="BZ197" s="1155">
        <f>'2021'!R\Max</f>
        <v>0.89703142363003163</v>
      </c>
      <c r="CA197" s="1155">
        <f>'2022'!R\Max</f>
        <v>0.9484999756678768</v>
      </c>
      <c r="CB197" s="1155">
        <f>'2023'!R\Max</f>
        <v>0.94849997566787714</v>
      </c>
      <c r="CC197" s="1155">
        <f>'2024'!R\Max</f>
        <v>0.94849997566787692</v>
      </c>
      <c r="CD197" s="1155">
        <f>'2025'!R\Max</f>
        <v>0.94849997566787692</v>
      </c>
      <c r="CE197" s="1155">
        <f>'2026'!R\Max</f>
        <v>0.9484999756678768</v>
      </c>
      <c r="CF197" s="1156">
        <f>'2027'!R\Max</f>
        <v>0.9484999756678768</v>
      </c>
    </row>
    <row r="198" spans="1:84" s="6" customFormat="1" ht="11.25" x14ac:dyDescent="0.2">
      <c r="A198" s="11">
        <v>43284</v>
      </c>
      <c r="B198" s="380">
        <f>'2022'!Maxi_hp</f>
        <v>34.016353689339262</v>
      </c>
      <c r="C198" s="13">
        <f>'2022'!An_max</f>
        <v>2019</v>
      </c>
      <c r="D198" s="1070"/>
      <c r="E198" s="13"/>
      <c r="F198" s="13">
        <f t="shared" si="92"/>
        <v>15</v>
      </c>
      <c r="G198" s="13">
        <f t="shared" si="76"/>
        <v>14</v>
      </c>
      <c r="H198" s="173">
        <f t="shared" si="77"/>
        <v>43290</v>
      </c>
      <c r="I198" s="754">
        <f t="shared" si="78"/>
        <v>0.42857142857142855</v>
      </c>
      <c r="J198" s="747">
        <f t="shared" si="79"/>
        <v>42.533125947761746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P198" s="13">
        <f t="shared" si="80"/>
        <v>9</v>
      </c>
      <c r="AQ198" s="13">
        <f t="shared" si="81"/>
        <v>8</v>
      </c>
      <c r="AR198" s="173">
        <f t="shared" si="82"/>
        <v>43304</v>
      </c>
      <c r="AS198" s="754">
        <f t="shared" si="83"/>
        <v>0.7142857142857143</v>
      </c>
      <c r="AT198" s="770">
        <f t="shared" si="84"/>
        <v>42.462911953457763</v>
      </c>
      <c r="AU198" s="13">
        <f t="shared" si="85"/>
        <v>7</v>
      </c>
      <c r="AV198" s="13">
        <f t="shared" si="86"/>
        <v>8</v>
      </c>
      <c r="AW198" s="173">
        <f t="shared" si="87"/>
        <v>43262</v>
      </c>
      <c r="AX198" s="754">
        <f t="shared" si="88"/>
        <v>0.7857142857142857</v>
      </c>
      <c r="AY198" s="770">
        <f t="shared" si="89"/>
        <v>42.552017365276285</v>
      </c>
      <c r="AZ198" s="747">
        <f t="shared" si="93"/>
        <v>42.507464659367024</v>
      </c>
      <c r="BA198" s="646">
        <f t="shared" si="90"/>
        <v>0.79976143138685363</v>
      </c>
      <c r="BB198" s="641">
        <v>43284</v>
      </c>
      <c r="BC198" s="11">
        <v>43284</v>
      </c>
      <c r="BD198" s="290">
        <f>[3]!FeuilCaduc*(1-Persistant)+Persistant</f>
        <v>0.99097528802180368</v>
      </c>
      <c r="BE198" s="291">
        <f>[3]!CroissVégét</f>
        <v>0.71999879440261938</v>
      </c>
      <c r="BF198" s="822">
        <f>1+[3]!Salcycl*Ksac</f>
        <v>1.0477438220054509</v>
      </c>
      <c r="BH198" s="1101">
        <f t="shared" si="91"/>
        <v>0</v>
      </c>
      <c r="BI198" s="11">
        <v>44380</v>
      </c>
      <c r="BJ198" s="727">
        <v>0</v>
      </c>
      <c r="BK198" s="727">
        <v>0</v>
      </c>
      <c r="BL198" s="727">
        <v>0</v>
      </c>
      <c r="BM198" s="727">
        <v>0</v>
      </c>
      <c r="BN198" s="727">
        <v>0</v>
      </c>
      <c r="BO198" s="728">
        <v>0</v>
      </c>
      <c r="BP198" s="727">
        <v>0</v>
      </c>
      <c r="BQ198" s="727">
        <v>1.976961604730134E-5</v>
      </c>
      <c r="BR198" s="727">
        <v>3.1850583874247208E-4</v>
      </c>
      <c r="BS198" s="727">
        <v>1.1015336620218486E-3</v>
      </c>
      <c r="BT198" s="727">
        <v>2.349083469838129E-3</v>
      </c>
      <c r="BW198" s="1157">
        <f>'2018'!R\Max</f>
        <v>0.77777754831675583</v>
      </c>
      <c r="BX198" s="1155">
        <f>'2019'!R\Max</f>
        <v>0.79976143138685363</v>
      </c>
      <c r="BY198" s="1155">
        <f>'2020'!R\Max</f>
        <v>0.3323009035378498</v>
      </c>
      <c r="BZ198" s="1155">
        <f>'2021'!R\Max</f>
        <v>0.57932116820527413</v>
      </c>
      <c r="CA198" s="1155">
        <f>'2022'!R\Max</f>
        <v>0.78590702429233328</v>
      </c>
      <c r="CB198" s="1155">
        <f>'2023'!R\Max</f>
        <v>0.78590702429233317</v>
      </c>
      <c r="CC198" s="1155">
        <f>'2024'!R\Max</f>
        <v>0.78590702429233328</v>
      </c>
      <c r="CD198" s="1155">
        <f>'2025'!R\Max</f>
        <v>0.78590702429233328</v>
      </c>
      <c r="CE198" s="1155">
        <f>'2026'!R\Max</f>
        <v>0.78590702429233328</v>
      </c>
      <c r="CF198" s="1156">
        <f>'2027'!R\Max</f>
        <v>0.78590702429233328</v>
      </c>
    </row>
    <row r="199" spans="1:84" s="6" customFormat="1" ht="11.25" x14ac:dyDescent="0.2">
      <c r="A199" s="11">
        <v>43285</v>
      </c>
      <c r="B199" s="380">
        <f>'2022'!Maxi_hp</f>
        <v>39.345572837234378</v>
      </c>
      <c r="C199" s="13">
        <f>'2022'!An_max</f>
        <v>2019</v>
      </c>
      <c r="D199" s="1070"/>
      <c r="E199" s="13"/>
      <c r="F199" s="13">
        <f t="shared" si="92"/>
        <v>15</v>
      </c>
      <c r="G199" s="13">
        <f t="shared" si="76"/>
        <v>14</v>
      </c>
      <c r="H199" s="173">
        <f t="shared" si="77"/>
        <v>43290</v>
      </c>
      <c r="I199" s="754">
        <f t="shared" si="78"/>
        <v>0.35714285714285715</v>
      </c>
      <c r="J199" s="747">
        <f t="shared" si="79"/>
        <v>42.483801330107134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P199" s="13">
        <f t="shared" si="80"/>
        <v>9</v>
      </c>
      <c r="AQ199" s="13">
        <f t="shared" si="81"/>
        <v>8</v>
      </c>
      <c r="AR199" s="173">
        <f t="shared" si="82"/>
        <v>43304</v>
      </c>
      <c r="AS199" s="754">
        <f t="shared" si="83"/>
        <v>0.6785714285714286</v>
      </c>
      <c r="AT199" s="770">
        <f t="shared" si="84"/>
        <v>42.403566322116447</v>
      </c>
      <c r="AU199" s="13">
        <f t="shared" si="85"/>
        <v>7</v>
      </c>
      <c r="AV199" s="13">
        <f t="shared" si="86"/>
        <v>8</v>
      </c>
      <c r="AW199" s="173">
        <f t="shared" si="87"/>
        <v>43262</v>
      </c>
      <c r="AX199" s="754">
        <f t="shared" si="88"/>
        <v>0.8214285714285714</v>
      </c>
      <c r="AY199" s="770">
        <f t="shared" si="89"/>
        <v>42.496745697648393</v>
      </c>
      <c r="AZ199" s="747">
        <f t="shared" si="93"/>
        <v>42.45015600988242</v>
      </c>
      <c r="BA199" s="646">
        <f t="shared" si="90"/>
        <v>0.92613117483324692</v>
      </c>
      <c r="BB199" s="641">
        <v>43285</v>
      </c>
      <c r="BC199" s="11">
        <v>43285</v>
      </c>
      <c r="BD199" s="290">
        <f>[3]!FeuilCaduc*(1-Persistant)+Persistant</f>
        <v>0.99186215972658798</v>
      </c>
      <c r="BE199" s="291">
        <f>[3]!CroissVégét</f>
        <v>0.72821975485053358</v>
      </c>
      <c r="BF199" s="822">
        <f>1+[3]!Salcycl*Ksac</f>
        <v>1.047965539931647</v>
      </c>
      <c r="BH199" s="1101">
        <f t="shared" si="91"/>
        <v>0</v>
      </c>
      <c r="BI199" s="11">
        <v>44381</v>
      </c>
      <c r="BJ199" s="727">
        <v>0</v>
      </c>
      <c r="BK199" s="727">
        <v>0</v>
      </c>
      <c r="BL199" s="727">
        <v>0</v>
      </c>
      <c r="BM199" s="727">
        <v>0</v>
      </c>
      <c r="BN199" s="727">
        <v>0</v>
      </c>
      <c r="BO199" s="728">
        <v>0</v>
      </c>
      <c r="BP199" s="727">
        <v>0</v>
      </c>
      <c r="BQ199" s="727">
        <v>1.9972108463679964E-5</v>
      </c>
      <c r="BR199" s="727">
        <v>3.1482239472269098E-4</v>
      </c>
      <c r="BS199" s="727">
        <v>1.0920696637517708E-3</v>
      </c>
      <c r="BT199" s="727">
        <v>2.3317418070872395E-3</v>
      </c>
      <c r="BW199" s="1157">
        <f>'2018'!R\Max</f>
        <v>0.72257242918586662</v>
      </c>
      <c r="BX199" s="1155">
        <f>'2019'!R\Max</f>
        <v>0.92613117483324692</v>
      </c>
      <c r="BY199" s="1155">
        <f>'2020'!R\Max</f>
        <v>0.77536955008501207</v>
      </c>
      <c r="BZ199" s="1155">
        <f>'2021'!R\Max</f>
        <v>0.60943602216395987</v>
      </c>
      <c r="CA199" s="1155">
        <f>'2022'!R\Max</f>
        <v>0.75412297448543486</v>
      </c>
      <c r="CB199" s="1155">
        <f>'2023'!R\Max</f>
        <v>0.75412297448543464</v>
      </c>
      <c r="CC199" s="1155">
        <f>'2024'!R\Max</f>
        <v>0.75412297448543486</v>
      </c>
      <c r="CD199" s="1155">
        <f>'2025'!R\Max</f>
        <v>0.75412297448543464</v>
      </c>
      <c r="CE199" s="1155">
        <f>'2026'!R\Max</f>
        <v>0.75412297448543464</v>
      </c>
      <c r="CF199" s="1156">
        <f>'2027'!R\Max</f>
        <v>0.75412297448543486</v>
      </c>
    </row>
    <row r="200" spans="1:84" s="6" customFormat="1" ht="11.25" x14ac:dyDescent="0.2">
      <c r="A200" s="11">
        <v>43286</v>
      </c>
      <c r="B200" s="380">
        <f>'2022'!Maxi_hp</f>
        <v>42.685652702898089</v>
      </c>
      <c r="C200" s="13">
        <f>'2022'!An_max</f>
        <v>2020</v>
      </c>
      <c r="D200" s="1070"/>
      <c r="E200" s="13"/>
      <c r="F200" s="13">
        <f t="shared" si="92"/>
        <v>15</v>
      </c>
      <c r="G200" s="13">
        <f t="shared" si="76"/>
        <v>14</v>
      </c>
      <c r="H200" s="173">
        <f t="shared" si="77"/>
        <v>43290</v>
      </c>
      <c r="I200" s="754">
        <f t="shared" si="78"/>
        <v>0.2857142857142857</v>
      </c>
      <c r="J200" s="747">
        <f t="shared" si="79"/>
        <v>42.432086297710029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P200" s="13">
        <f t="shared" si="80"/>
        <v>9</v>
      </c>
      <c r="AQ200" s="13">
        <f t="shared" si="81"/>
        <v>8</v>
      </c>
      <c r="AR200" s="173">
        <f t="shared" si="82"/>
        <v>43304</v>
      </c>
      <c r="AS200" s="754">
        <f t="shared" si="83"/>
        <v>0.6428571428571429</v>
      </c>
      <c r="AT200" s="770">
        <f t="shared" si="84"/>
        <v>42.342713301735266</v>
      </c>
      <c r="AU200" s="13">
        <f t="shared" si="85"/>
        <v>7</v>
      </c>
      <c r="AV200" s="13">
        <f t="shared" si="86"/>
        <v>8</v>
      </c>
      <c r="AW200" s="173">
        <f t="shared" si="87"/>
        <v>43262</v>
      </c>
      <c r="AX200" s="754">
        <f t="shared" si="88"/>
        <v>0.8571428571428571</v>
      </c>
      <c r="AY200" s="770">
        <f t="shared" si="89"/>
        <v>42.439792711527218</v>
      </c>
      <c r="AZ200" s="747">
        <f t="shared" si="93"/>
        <v>42.391253006631246</v>
      </c>
      <c r="BA200" s="646">
        <f t="shared" si="90"/>
        <v>1.0059758175313134</v>
      </c>
      <c r="BB200" s="641">
        <v>43286</v>
      </c>
      <c r="BC200" s="11">
        <v>43286</v>
      </c>
      <c r="BD200" s="290">
        <f>[3]!FeuilCaduc*(1-Persistant)+Persistant</f>
        <v>0.9926896474264294</v>
      </c>
      <c r="BE200" s="291">
        <f>[3]!CroissVégét</f>
        <v>0.73628787157048126</v>
      </c>
      <c r="BF200" s="822">
        <f>1+[3]!Salcycl*Ksac</f>
        <v>1.0481724118566074</v>
      </c>
      <c r="BH200" s="1101">
        <f t="shared" si="91"/>
        <v>0</v>
      </c>
      <c r="BI200" s="11">
        <v>44382</v>
      </c>
      <c r="BJ200" s="727">
        <v>0</v>
      </c>
      <c r="BK200" s="727">
        <v>0</v>
      </c>
      <c r="BL200" s="727">
        <v>0</v>
      </c>
      <c r="BM200" s="727">
        <v>0</v>
      </c>
      <c r="BN200" s="727">
        <v>0</v>
      </c>
      <c r="BO200" s="728">
        <v>0</v>
      </c>
      <c r="BP200" s="727">
        <v>0</v>
      </c>
      <c r="BQ200" s="727">
        <v>2.036321051182206E-5</v>
      </c>
      <c r="BR200" s="727">
        <v>3.1239608833319769E-4</v>
      </c>
      <c r="BS200" s="727">
        <v>1.0858183100859098E-3</v>
      </c>
      <c r="BT200" s="727">
        <v>2.320266665258136E-3</v>
      </c>
      <c r="BW200" s="1157">
        <f>'2018'!R\Max</f>
        <v>0.62496552751088474</v>
      </c>
      <c r="BX200" s="1155">
        <f>'2019'!R\Max</f>
        <v>0.90132035827766044</v>
      </c>
      <c r="BY200" s="1155">
        <f>'2020'!R\Max</f>
        <v>1.0059758175313134</v>
      </c>
      <c r="BZ200" s="1155">
        <f>'2021'!R\Max</f>
        <v>0.97598292182529123</v>
      </c>
      <c r="CA200" s="1155">
        <f>'2022'!R\Max</f>
        <v>0.9423621526892445</v>
      </c>
      <c r="CB200" s="1155">
        <f>'2023'!R\Max</f>
        <v>0.94236215268924439</v>
      </c>
      <c r="CC200" s="1155">
        <f>'2024'!R\Max</f>
        <v>0.94236215268924439</v>
      </c>
      <c r="CD200" s="1155">
        <f>'2025'!R\Max</f>
        <v>0.94236215268924417</v>
      </c>
      <c r="CE200" s="1155">
        <f>'2026'!R\Max</f>
        <v>0.94236215268924439</v>
      </c>
      <c r="CF200" s="1156">
        <f>'2027'!R\Max</f>
        <v>0.94236215268924417</v>
      </c>
    </row>
    <row r="201" spans="1:84" s="6" customFormat="1" ht="11.25" x14ac:dyDescent="0.2">
      <c r="A201" s="11">
        <v>43287</v>
      </c>
      <c r="B201" s="380">
        <f>'2022'!Maxi_hp</f>
        <v>42.389212353371924</v>
      </c>
      <c r="C201" s="13">
        <f>'2022'!An_max</f>
        <v>2020</v>
      </c>
      <c r="D201" s="1070"/>
      <c r="E201" s="13"/>
      <c r="F201" s="13">
        <f t="shared" si="92"/>
        <v>15</v>
      </c>
      <c r="G201" s="13">
        <f t="shared" si="76"/>
        <v>14</v>
      </c>
      <c r="H201" s="173">
        <f t="shared" si="77"/>
        <v>43290</v>
      </c>
      <c r="I201" s="754">
        <f t="shared" si="78"/>
        <v>0.21428571428571427</v>
      </c>
      <c r="J201" s="747">
        <f t="shared" si="79"/>
        <v>42.377659748827242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P201" s="13">
        <f t="shared" si="80"/>
        <v>9</v>
      </c>
      <c r="AQ201" s="13">
        <f t="shared" si="81"/>
        <v>8</v>
      </c>
      <c r="AR201" s="173">
        <f t="shared" si="82"/>
        <v>43304</v>
      </c>
      <c r="AS201" s="754">
        <f t="shared" si="83"/>
        <v>0.6071428571428571</v>
      </c>
      <c r="AT201" s="770">
        <f t="shared" si="84"/>
        <v>42.280379651154263</v>
      </c>
      <c r="AU201" s="13">
        <f t="shared" si="85"/>
        <v>7</v>
      </c>
      <c r="AV201" s="13">
        <f t="shared" si="86"/>
        <v>8</v>
      </c>
      <c r="AW201" s="173">
        <f t="shared" si="87"/>
        <v>43262</v>
      </c>
      <c r="AX201" s="754">
        <f t="shared" si="88"/>
        <v>0.8928571428571429</v>
      </c>
      <c r="AY201" s="770">
        <f t="shared" si="89"/>
        <v>42.381145027885211</v>
      </c>
      <c r="AZ201" s="747">
        <f t="shared" si="93"/>
        <v>42.330762339519737</v>
      </c>
      <c r="BA201" s="646">
        <f t="shared" si="90"/>
        <v>1.0002726107249234</v>
      </c>
      <c r="BB201" s="641">
        <v>43287</v>
      </c>
      <c r="BC201" s="11">
        <v>43287</v>
      </c>
      <c r="BD201" s="290">
        <f>[3]!FeuilCaduc*(1-Persistant)+Persistant</f>
        <v>0.99345953920229579</v>
      </c>
      <c r="BE201" s="291">
        <f>[3]!CroissVégét</f>
        <v>0.74420074649273349</v>
      </c>
      <c r="BF201" s="822">
        <f>1+[3]!Salcycl*Ksac</f>
        <v>1.048364884800574</v>
      </c>
      <c r="BH201" s="1101">
        <f t="shared" si="91"/>
        <v>0</v>
      </c>
      <c r="BI201" s="11">
        <v>44383</v>
      </c>
      <c r="BJ201" s="727">
        <v>0</v>
      </c>
      <c r="BK201" s="727">
        <v>0</v>
      </c>
      <c r="BL201" s="727">
        <v>0</v>
      </c>
      <c r="BM201" s="727">
        <v>0</v>
      </c>
      <c r="BN201" s="727">
        <v>0</v>
      </c>
      <c r="BO201" s="728">
        <v>0</v>
      </c>
      <c r="BP201" s="727">
        <v>0</v>
      </c>
      <c r="BQ201" s="727">
        <v>2.094267478934004E-5</v>
      </c>
      <c r="BR201" s="727">
        <v>3.1122528781114253E-4</v>
      </c>
      <c r="BS201" s="727">
        <v>1.0827756044815367E-3</v>
      </c>
      <c r="BT201" s="727">
        <v>2.3146509500111823E-3</v>
      </c>
      <c r="BW201" s="1157">
        <f>'2018'!R\Max</f>
        <v>0.82673303954519806</v>
      </c>
      <c r="BX201" s="1155">
        <f>'2019'!R\Max</f>
        <v>0.91155188146041521</v>
      </c>
      <c r="BY201" s="1155">
        <f>'2020'!R\Max</f>
        <v>1.0002726107249234</v>
      </c>
      <c r="BZ201" s="1155">
        <f>'2021'!R\Max</f>
        <v>0.34881859489643674</v>
      </c>
      <c r="CA201" s="1155">
        <f>'2022'!R\Max</f>
        <v>0.75382495193533106</v>
      </c>
      <c r="CB201" s="1155">
        <f>'2023'!R\Max</f>
        <v>0.75382495193533106</v>
      </c>
      <c r="CC201" s="1155">
        <f>'2024'!R\Max</f>
        <v>0.75382495193533117</v>
      </c>
      <c r="CD201" s="1155">
        <f>'2025'!R\Max</f>
        <v>0.75382495193533128</v>
      </c>
      <c r="CE201" s="1155">
        <f>'2026'!R\Max</f>
        <v>0.75382495193533117</v>
      </c>
      <c r="CF201" s="1156">
        <f>'2027'!R\Max</f>
        <v>0.75382495193533117</v>
      </c>
    </row>
    <row r="202" spans="1:84" s="6" customFormat="1" ht="11.25" x14ac:dyDescent="0.2">
      <c r="A202" s="11">
        <v>43288</v>
      </c>
      <c r="B202" s="380">
        <f>'2022'!Maxi_hp</f>
        <v>41.168172925291458</v>
      </c>
      <c r="C202" s="13">
        <f>'2022'!An_max</f>
        <v>2022</v>
      </c>
      <c r="D202" s="1070"/>
      <c r="E202" s="13"/>
      <c r="F202" s="13">
        <f t="shared" si="92"/>
        <v>15</v>
      </c>
      <c r="G202" s="13">
        <f t="shared" si="76"/>
        <v>14</v>
      </c>
      <c r="H202" s="173">
        <f t="shared" si="77"/>
        <v>43290</v>
      </c>
      <c r="I202" s="754">
        <f t="shared" si="78"/>
        <v>0.14285714285714285</v>
      </c>
      <c r="J202" s="747">
        <f t="shared" si="79"/>
        <v>42.320200583099258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P202" s="13">
        <f t="shared" si="80"/>
        <v>9</v>
      </c>
      <c r="AQ202" s="13">
        <f t="shared" si="81"/>
        <v>8</v>
      </c>
      <c r="AR202" s="173">
        <f t="shared" si="82"/>
        <v>43304</v>
      </c>
      <c r="AS202" s="754">
        <f t="shared" si="83"/>
        <v>0.5714285714285714</v>
      </c>
      <c r="AT202" s="770">
        <f t="shared" si="84"/>
        <v>42.216592128228925</v>
      </c>
      <c r="AU202" s="13">
        <f t="shared" si="85"/>
        <v>7</v>
      </c>
      <c r="AV202" s="13">
        <f t="shared" si="86"/>
        <v>8</v>
      </c>
      <c r="AW202" s="173">
        <f t="shared" si="87"/>
        <v>43262</v>
      </c>
      <c r="AX202" s="754">
        <f t="shared" si="88"/>
        <v>0.9285714285714286</v>
      </c>
      <c r="AY202" s="770">
        <f t="shared" si="89"/>
        <v>42.320789267575101</v>
      </c>
      <c r="AZ202" s="747">
        <f t="shared" si="93"/>
        <v>42.268690697902016</v>
      </c>
      <c r="BA202" s="646">
        <f t="shared" si="90"/>
        <v>0.9727783034594627</v>
      </c>
      <c r="BB202" s="641">
        <v>43288</v>
      </c>
      <c r="BC202" s="11">
        <v>43288</v>
      </c>
      <c r="BD202" s="290">
        <f>[3]!FeuilCaduc*(1-Persistant)+Persistant</f>
        <v>0.99417371332411075</v>
      </c>
      <c r="BE202" s="291">
        <f>[3]!CroissVégét</f>
        <v>0.75195632992281269</v>
      </c>
      <c r="BF202" s="822">
        <f>1+[3]!Salcycl*Ksac</f>
        <v>1.0485434283310278</v>
      </c>
      <c r="BH202" s="1101">
        <f t="shared" si="91"/>
        <v>0</v>
      </c>
      <c r="BI202" s="11">
        <v>44384</v>
      </c>
      <c r="BJ202" s="727">
        <v>0</v>
      </c>
      <c r="BK202" s="727">
        <v>0</v>
      </c>
      <c r="BL202" s="727">
        <v>0</v>
      </c>
      <c r="BM202" s="727">
        <v>0</v>
      </c>
      <c r="BN202" s="727">
        <v>0</v>
      </c>
      <c r="BO202" s="728">
        <v>0</v>
      </c>
      <c r="BP202" s="727">
        <v>0</v>
      </c>
      <c r="BQ202" s="727">
        <v>2.1710262760496877E-5</v>
      </c>
      <c r="BR202" s="727">
        <v>3.1130840858500653E-4</v>
      </c>
      <c r="BS202" s="727">
        <v>1.0829376711224839E-3</v>
      </c>
      <c r="BT202" s="727">
        <v>2.3148877876124317E-3</v>
      </c>
      <c r="BW202" s="1157">
        <f>'2018'!R\Max</f>
        <v>0.92228164062425677</v>
      </c>
      <c r="BX202" s="1155">
        <f>'2019'!R\Max</f>
        <v>0.85334788031360187</v>
      </c>
      <c r="BY202" s="1155">
        <f>'2020'!R\Max</f>
        <v>0.6560397654635417</v>
      </c>
      <c r="BZ202" s="1155">
        <f>'2021'!R\Max</f>
        <v>0.63295731706762415</v>
      </c>
      <c r="CA202" s="1155">
        <f>'2022'!R\Max</f>
        <v>0.9727783034594627</v>
      </c>
      <c r="CB202" s="1155">
        <f>'2023'!R\Max</f>
        <v>0.9727783034594627</v>
      </c>
      <c r="CC202" s="1155">
        <f>'2024'!R\Max</f>
        <v>0.97277830345946281</v>
      </c>
      <c r="CD202" s="1155">
        <f>'2025'!R\Max</f>
        <v>0.9727783034594627</v>
      </c>
      <c r="CE202" s="1155">
        <f>'2026'!R\Max</f>
        <v>0.97277830345946281</v>
      </c>
      <c r="CF202" s="1156">
        <f>'2027'!R\Max</f>
        <v>0.9727783034594627</v>
      </c>
    </row>
    <row r="203" spans="1:84" s="6" customFormat="1" ht="11.25" x14ac:dyDescent="0.2">
      <c r="A203" s="11">
        <v>43289</v>
      </c>
      <c r="B203" s="380">
        <f>'2022'!Maxi_hp</f>
        <v>44.11830918893618</v>
      </c>
      <c r="C203" s="13">
        <f>'2022'!An_max</f>
        <v>2020</v>
      </c>
      <c r="D203" s="1070"/>
      <c r="E203" s="13"/>
      <c r="F203" s="13">
        <f t="shared" si="92"/>
        <v>15</v>
      </c>
      <c r="G203" s="13">
        <f t="shared" si="76"/>
        <v>14</v>
      </c>
      <c r="H203" s="173">
        <f t="shared" si="77"/>
        <v>43290</v>
      </c>
      <c r="I203" s="754">
        <f t="shared" si="78"/>
        <v>7.1428571428571425E-2</v>
      </c>
      <c r="J203" s="747">
        <f t="shared" si="79"/>
        <v>42.259387700751958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P203" s="13">
        <f t="shared" si="80"/>
        <v>9</v>
      </c>
      <c r="AQ203" s="13">
        <f t="shared" si="81"/>
        <v>8</v>
      </c>
      <c r="AR203" s="173">
        <f t="shared" si="82"/>
        <v>43304</v>
      </c>
      <c r="AS203" s="754">
        <f t="shared" si="83"/>
        <v>0.5357142857142857</v>
      </c>
      <c r="AT203" s="770">
        <f t="shared" si="84"/>
        <v>42.151377491939016</v>
      </c>
      <c r="AU203" s="13">
        <f t="shared" si="85"/>
        <v>7</v>
      </c>
      <c r="AV203" s="13">
        <f t="shared" si="86"/>
        <v>8</v>
      </c>
      <c r="AW203" s="173">
        <f t="shared" si="87"/>
        <v>43262</v>
      </c>
      <c r="AX203" s="754">
        <f t="shared" si="88"/>
        <v>0.9642857142857143</v>
      </c>
      <c r="AY203" s="770">
        <f t="shared" si="89"/>
        <v>42.258712051369784</v>
      </c>
      <c r="AZ203" s="747">
        <f t="shared" si="93"/>
        <v>42.2050447716544</v>
      </c>
      <c r="BA203" s="646">
        <f t="shared" si="90"/>
        <v>1.0439883677763544</v>
      </c>
      <c r="BB203" s="641">
        <v>43289</v>
      </c>
      <c r="BC203" s="11">
        <v>43289</v>
      </c>
      <c r="BD203" s="290">
        <f>[3]!FeuilCaduc*(1-Persistant)+Persistant</f>
        <v>0.99483412559225748</v>
      </c>
      <c r="BE203" s="291">
        <f>[3]!CroissVégét</f>
        <v>0.75955291305401751</v>
      </c>
      <c r="BF203" s="822">
        <f>1+[3]!Salcycl*Ksac</f>
        <v>1.0487085313980644</v>
      </c>
      <c r="BH203" s="1101">
        <f t="shared" si="91"/>
        <v>0</v>
      </c>
      <c r="BI203" s="11">
        <v>44385</v>
      </c>
      <c r="BJ203" s="727">
        <v>0</v>
      </c>
      <c r="BK203" s="727">
        <v>0</v>
      </c>
      <c r="BL203" s="727">
        <v>0</v>
      </c>
      <c r="BM203" s="727">
        <v>0</v>
      </c>
      <c r="BN203" s="727">
        <v>0</v>
      </c>
      <c r="BO203" s="728">
        <v>0</v>
      </c>
      <c r="BP203" s="727">
        <v>0</v>
      </c>
      <c r="BQ203" s="727">
        <v>2.2665745868430645E-5</v>
      </c>
      <c r="BR203" s="727">
        <v>3.126439206552437E-4</v>
      </c>
      <c r="BS203" s="727">
        <v>1.0863007737734248E-3</v>
      </c>
      <c r="BT203" s="727">
        <v>2.3209705593545426E-3</v>
      </c>
      <c r="BW203" s="1157">
        <f>'2018'!R\Max</f>
        <v>0.91691595320824804</v>
      </c>
      <c r="BX203" s="1155">
        <f>'2019'!R\Max</f>
        <v>0.56644787264114127</v>
      </c>
      <c r="BY203" s="1155">
        <f>'2020'!R\Max</f>
        <v>1.0439883677763544</v>
      </c>
      <c r="BZ203" s="1155">
        <f>'2021'!R\Max</f>
        <v>0.854788081879432</v>
      </c>
      <c r="CA203" s="1155">
        <f>'2022'!R\Max</f>
        <v>1.0050441570188644</v>
      </c>
      <c r="CB203" s="1155">
        <f>'2023'!R\Max</f>
        <v>1.0050441570188646</v>
      </c>
      <c r="CC203" s="1155">
        <f>'2024'!R\Max</f>
        <v>1.0050441570188646</v>
      </c>
      <c r="CD203" s="1155">
        <f>'2025'!R\Max</f>
        <v>1.0050441570188646</v>
      </c>
      <c r="CE203" s="1155">
        <f>'2026'!R\Max</f>
        <v>1.0050441570188644</v>
      </c>
      <c r="CF203" s="1156">
        <f>'2027'!R\Max</f>
        <v>1.0050441570188646</v>
      </c>
    </row>
    <row r="204" spans="1:84" s="6" customFormat="1" ht="11.25" x14ac:dyDescent="0.2">
      <c r="A204" s="11">
        <v>43290</v>
      </c>
      <c r="B204" s="380">
        <f>'2022'!Maxi_hp</f>
        <v>42.583630575998079</v>
      </c>
      <c r="C204" s="13">
        <f>'2022'!An_max</f>
        <v>2021</v>
      </c>
      <c r="D204" s="1070"/>
      <c r="E204" s="1073">
        <f>AA$13/10</f>
        <v>42.194900000000004</v>
      </c>
      <c r="F204" s="13">
        <f t="shared" si="92"/>
        <v>15</v>
      </c>
      <c r="G204" s="13">
        <f t="shared" si="76"/>
        <v>16</v>
      </c>
      <c r="H204" s="173">
        <f t="shared" si="77"/>
        <v>43290</v>
      </c>
      <c r="I204" s="754">
        <f t="shared" si="78"/>
        <v>0</v>
      </c>
      <c r="J204" s="747">
        <f t="shared" si="79"/>
        <v>42.194900000840427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P204" s="13">
        <f t="shared" si="80"/>
        <v>9</v>
      </c>
      <c r="AQ204" s="13">
        <f t="shared" si="81"/>
        <v>8</v>
      </c>
      <c r="AR204" s="173">
        <f t="shared" si="82"/>
        <v>43304</v>
      </c>
      <c r="AS204" s="754">
        <f t="shared" si="83"/>
        <v>0.5</v>
      </c>
      <c r="AT204" s="770">
        <f t="shared" si="84"/>
        <v>42.084762500040235</v>
      </c>
      <c r="AU204" s="13">
        <f t="shared" si="85"/>
        <v>9</v>
      </c>
      <c r="AV204" s="13">
        <f t="shared" si="86"/>
        <v>8</v>
      </c>
      <c r="AW204" s="173">
        <f t="shared" si="87"/>
        <v>43318</v>
      </c>
      <c r="AX204" s="754">
        <f t="shared" si="88"/>
        <v>1</v>
      </c>
      <c r="AY204" s="770">
        <f t="shared" si="89"/>
        <v>42.194900000095366</v>
      </c>
      <c r="AZ204" s="747">
        <f t="shared" si="93"/>
        <v>42.1398312500678</v>
      </c>
      <c r="BA204" s="646">
        <f t="shared" si="90"/>
        <v>1.0092127383913674</v>
      </c>
      <c r="BB204" s="641">
        <v>43290</v>
      </c>
      <c r="BC204" s="11">
        <v>43290</v>
      </c>
      <c r="BD204" s="290">
        <f>[3]!FeuilCaduc*(1-Persistant)+Persistant</f>
        <v>0.99544279652192258</v>
      </c>
      <c r="BE204" s="291">
        <f>[3]!CroissVégét</f>
        <v>0.76698911930492164</v>
      </c>
      <c r="BF204" s="822">
        <f>1+[3]!Salcycl*Ksac</f>
        <v>1.0488606991304807</v>
      </c>
      <c r="BH204" s="1101">
        <f t="shared" si="91"/>
        <v>0</v>
      </c>
      <c r="BI204" s="11">
        <v>44386</v>
      </c>
      <c r="BJ204" s="727">
        <v>0</v>
      </c>
      <c r="BK204" s="727">
        <v>0</v>
      </c>
      <c r="BL204" s="727">
        <v>0</v>
      </c>
      <c r="BM204" s="727">
        <v>0</v>
      </c>
      <c r="BN204" s="727">
        <v>0</v>
      </c>
      <c r="BO204" s="728">
        <v>0</v>
      </c>
      <c r="BP204" s="727">
        <v>0</v>
      </c>
      <c r="BQ204" s="727">
        <v>2.380890664671792E-5</v>
      </c>
      <c r="BR204" s="727">
        <v>3.1523035596543324E-4</v>
      </c>
      <c r="BS204" s="727">
        <v>1.092861334601126E-3</v>
      </c>
      <c r="BT204" s="727">
        <v>2.3328929359070784E-3</v>
      </c>
      <c r="BW204" s="1157">
        <f>'2018'!R\Max</f>
        <v>0.89550322441608465</v>
      </c>
      <c r="BX204" s="1155">
        <f>'2019'!R\Max</f>
        <v>0.35151659880948416</v>
      </c>
      <c r="BY204" s="1155">
        <f>'2020'!R\Max</f>
        <v>0.99986038767712393</v>
      </c>
      <c r="BZ204" s="1155">
        <f>'2021'!R\Max</f>
        <v>1.0092127383913674</v>
      </c>
      <c r="CA204" s="1155">
        <f>'2022'!R\Max</f>
        <v>0.98753983585729632</v>
      </c>
      <c r="CB204" s="1155">
        <f>'2023'!R\Max</f>
        <v>0.98753983585729632</v>
      </c>
      <c r="CC204" s="1155">
        <f>'2024'!R\Max</f>
        <v>0.98753983585729621</v>
      </c>
      <c r="CD204" s="1155">
        <f>'2025'!R\Max</f>
        <v>0.98753983585729654</v>
      </c>
      <c r="CE204" s="1155">
        <f>'2026'!R\Max</f>
        <v>0.98753983585729621</v>
      </c>
      <c r="CF204" s="1156">
        <f>'2027'!R\Max</f>
        <v>0.98753983585729632</v>
      </c>
    </row>
    <row r="205" spans="1:84" s="6" customFormat="1" ht="11.25" x14ac:dyDescent="0.2">
      <c r="A205" s="11">
        <v>43291</v>
      </c>
      <c r="B205" s="380">
        <f>'2022'!Maxi_hp</f>
        <v>41.184194792398188</v>
      </c>
      <c r="C205" s="13">
        <f>'2022'!An_max</f>
        <v>2022</v>
      </c>
      <c r="D205" s="1070"/>
      <c r="E205" s="13"/>
      <c r="F205" s="13">
        <f t="shared" si="92"/>
        <v>15</v>
      </c>
      <c r="G205" s="13">
        <f t="shared" si="76"/>
        <v>16</v>
      </c>
      <c r="H205" s="173">
        <f t="shared" si="77"/>
        <v>43290</v>
      </c>
      <c r="I205" s="754">
        <f t="shared" si="78"/>
        <v>7.1428571428571425E-2</v>
      </c>
      <c r="J205" s="747">
        <f t="shared" si="79"/>
        <v>42.12629150949153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P205" s="13">
        <f t="shared" si="80"/>
        <v>9</v>
      </c>
      <c r="AQ205" s="13">
        <f t="shared" si="81"/>
        <v>8</v>
      </c>
      <c r="AR205" s="173">
        <f t="shared" si="82"/>
        <v>43304</v>
      </c>
      <c r="AS205" s="754">
        <f t="shared" si="83"/>
        <v>0.4642857142857143</v>
      </c>
      <c r="AT205" s="770">
        <f t="shared" si="84"/>
        <v>42.016773911379275</v>
      </c>
      <c r="AU205" s="13">
        <f t="shared" si="85"/>
        <v>9</v>
      </c>
      <c r="AV205" s="13">
        <f t="shared" si="86"/>
        <v>8</v>
      </c>
      <c r="AW205" s="173">
        <f t="shared" si="87"/>
        <v>43318</v>
      </c>
      <c r="AX205" s="754">
        <f t="shared" si="88"/>
        <v>0.9642857142857143</v>
      </c>
      <c r="AY205" s="770">
        <f t="shared" si="89"/>
        <v>42.129223781405017</v>
      </c>
      <c r="AZ205" s="747">
        <f t="shared" si="93"/>
        <v>42.072998846392146</v>
      </c>
      <c r="BA205" s="646">
        <f t="shared" si="90"/>
        <v>0.97763637188711294</v>
      </c>
      <c r="BB205" s="641">
        <v>43291</v>
      </c>
      <c r="BC205" s="11">
        <v>43291</v>
      </c>
      <c r="BD205" s="290">
        <f>[3]!FeuilCaduc*(1-Persistant)+Persistant</f>
        <v>0.99600179846457615</v>
      </c>
      <c r="BE205" s="291">
        <f>[3]!CroissVégét</f>
        <v>0.77426389460057909</v>
      </c>
      <c r="BF205" s="822">
        <f>1+[3]!Salcycl*Ksac</f>
        <v>1.049000449616144</v>
      </c>
      <c r="BH205" s="1101">
        <f t="shared" si="91"/>
        <v>0</v>
      </c>
      <c r="BI205" s="11">
        <v>44387</v>
      </c>
      <c r="BJ205" s="727">
        <v>0</v>
      </c>
      <c r="BK205" s="727">
        <v>0</v>
      </c>
      <c r="BL205" s="727">
        <v>0</v>
      </c>
      <c r="BM205" s="727">
        <v>0</v>
      </c>
      <c r="BN205" s="727">
        <v>0</v>
      </c>
      <c r="BO205" s="728">
        <v>0</v>
      </c>
      <c r="BP205" s="727">
        <v>0</v>
      </c>
      <c r="BQ205" s="727">
        <v>2.5139539831871663E-5</v>
      </c>
      <c r="BR205" s="727">
        <v>3.1906631578673743E-4</v>
      </c>
      <c r="BS205" s="727">
        <v>1.1026159530419654E-3</v>
      </c>
      <c r="BT205" s="727">
        <v>2.3506489117656837E-3</v>
      </c>
      <c r="BW205" s="1157">
        <f>'2018'!R\Max</f>
        <v>0.95372464226313969</v>
      </c>
      <c r="BX205" s="1155">
        <f>'2019'!R\Max</f>
        <v>0.97138283204845777</v>
      </c>
      <c r="BY205" s="1155">
        <f>'2020'!R\Max</f>
        <v>0.93318861313907953</v>
      </c>
      <c r="BZ205" s="1155">
        <f>'2021'!R\Max</f>
        <v>0.87883503557536813</v>
      </c>
      <c r="CA205" s="1155">
        <f>'2022'!R\Max</f>
        <v>0.97763637188711294</v>
      </c>
      <c r="CB205" s="1155">
        <f>'2023'!R\Max</f>
        <v>0.97763637188711294</v>
      </c>
      <c r="CC205" s="1155">
        <f>'2024'!R\Max</f>
        <v>0.97763637188711294</v>
      </c>
      <c r="CD205" s="1155">
        <f>'2025'!R\Max</f>
        <v>0.97763637188711305</v>
      </c>
      <c r="CE205" s="1155">
        <f>'2026'!R\Max</f>
        <v>0.97763637188711294</v>
      </c>
      <c r="CF205" s="1156">
        <f>'2027'!R\Max</f>
        <v>0.97763637188711294</v>
      </c>
    </row>
    <row r="206" spans="1:84" s="6" customFormat="1" ht="11.25" x14ac:dyDescent="0.2">
      <c r="A206" s="11">
        <v>43292</v>
      </c>
      <c r="B206" s="380">
        <f>'2022'!Maxi_hp</f>
        <v>41.921892854152688</v>
      </c>
      <c r="C206" s="13">
        <f>'2022'!An_max</f>
        <v>2019</v>
      </c>
      <c r="D206" s="1070"/>
      <c r="E206" s="13"/>
      <c r="F206" s="13">
        <f t="shared" si="92"/>
        <v>15</v>
      </c>
      <c r="G206" s="13">
        <f t="shared" si="76"/>
        <v>16</v>
      </c>
      <c r="H206" s="173">
        <f t="shared" si="77"/>
        <v>43290</v>
      </c>
      <c r="I206" s="754">
        <f t="shared" si="78"/>
        <v>0.14285714285714285</v>
      </c>
      <c r="J206" s="747">
        <f t="shared" si="79"/>
        <v>42.05361574393298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P206" s="13">
        <f t="shared" si="80"/>
        <v>9</v>
      </c>
      <c r="AQ206" s="13">
        <f t="shared" si="81"/>
        <v>8</v>
      </c>
      <c r="AR206" s="173">
        <f t="shared" si="82"/>
        <v>43304</v>
      </c>
      <c r="AS206" s="754">
        <f t="shared" si="83"/>
        <v>0.42857142857142855</v>
      </c>
      <c r="AT206" s="770">
        <f t="shared" si="84"/>
        <v>41.947438483951345</v>
      </c>
      <c r="AU206" s="13">
        <f t="shared" si="85"/>
        <v>9</v>
      </c>
      <c r="AV206" s="13">
        <f t="shared" si="86"/>
        <v>8</v>
      </c>
      <c r="AW206" s="173">
        <f t="shared" si="87"/>
        <v>43318</v>
      </c>
      <c r="AX206" s="754">
        <f t="shared" si="88"/>
        <v>0.9285714285714286</v>
      </c>
      <c r="AY206" s="770">
        <f t="shared" si="89"/>
        <v>42.061589741134753</v>
      </c>
      <c r="AZ206" s="747">
        <f t="shared" si="93"/>
        <v>42.004514112543049</v>
      </c>
      <c r="BA206" s="646">
        <f t="shared" si="90"/>
        <v>0.99686773925499395</v>
      </c>
      <c r="BB206" s="641">
        <v>43292</v>
      </c>
      <c r="BC206" s="11">
        <v>43292</v>
      </c>
      <c r="BD206" s="290">
        <f>[3]!FeuilCaduc*(1-Persistant)+Persistant</f>
        <v>0.99651324276022013</v>
      </c>
      <c r="BE206" s="291">
        <f>[3]!CroissVégét</f>
        <v>0.78137649671730769</v>
      </c>
      <c r="BF206" s="822">
        <f>1+[3]!Salcycl*Ksac</f>
        <v>1.0491283106900551</v>
      </c>
      <c r="BH206" s="1101">
        <f t="shared" si="91"/>
        <v>0</v>
      </c>
      <c r="BI206" s="11">
        <v>44388</v>
      </c>
      <c r="BJ206" s="727">
        <v>0</v>
      </c>
      <c r="BK206" s="727">
        <v>0</v>
      </c>
      <c r="BL206" s="727">
        <v>0</v>
      </c>
      <c r="BM206" s="727">
        <v>0</v>
      </c>
      <c r="BN206" s="727">
        <v>0</v>
      </c>
      <c r="BO206" s="728">
        <v>0</v>
      </c>
      <c r="BP206" s="727">
        <v>0</v>
      </c>
      <c r="BQ206" s="727">
        <v>2.6493464515081577E-5</v>
      </c>
      <c r="BR206" s="727">
        <v>3.2335222897287392E-4</v>
      </c>
      <c r="BS206" s="727">
        <v>1.114325727989937E-3</v>
      </c>
      <c r="BT206" s="727">
        <v>2.3729204970511881E-3</v>
      </c>
      <c r="BW206" s="1157">
        <f>'2018'!R\Max</f>
        <v>0.94245120413930628</v>
      </c>
      <c r="BX206" s="1155">
        <f>'2019'!R\Max</f>
        <v>0.99686773925499395</v>
      </c>
      <c r="BY206" s="1155">
        <f>'2020'!R\Max</f>
        <v>0.81018465761346659</v>
      </c>
      <c r="BZ206" s="1155">
        <f>'2021'!R\Max</f>
        <v>0.85038829452938636</v>
      </c>
      <c r="CA206" s="1155">
        <f>'2022'!R\Max</f>
        <v>0.94488739869950922</v>
      </c>
      <c r="CB206" s="1155">
        <f>'2023'!R\Max</f>
        <v>0.944887398699509</v>
      </c>
      <c r="CC206" s="1155">
        <f>'2024'!R\Max</f>
        <v>0.94488739869950922</v>
      </c>
      <c r="CD206" s="1155">
        <f>'2025'!R\Max</f>
        <v>0.94488739869950922</v>
      </c>
      <c r="CE206" s="1155">
        <f>'2026'!R\Max</f>
        <v>0.94488739869950922</v>
      </c>
      <c r="CF206" s="1156">
        <f>'2027'!R\Max</f>
        <v>0.94488739869950933</v>
      </c>
    </row>
    <row r="207" spans="1:84" s="6" customFormat="1" ht="11.25" x14ac:dyDescent="0.2">
      <c r="A207" s="11">
        <v>43293</v>
      </c>
      <c r="B207" s="380">
        <f>'2022'!Maxi_hp</f>
        <v>42.496597456132768</v>
      </c>
      <c r="C207" s="13">
        <f>'2022'!An_max</f>
        <v>2019</v>
      </c>
      <c r="D207" s="1070"/>
      <c r="E207" s="13"/>
      <c r="F207" s="13">
        <f t="shared" si="92"/>
        <v>15</v>
      </c>
      <c r="G207" s="13">
        <f t="shared" ref="G207:G270" si="94">INT((MATCH($A207,x.2m)+1)/2)*2</f>
        <v>16</v>
      </c>
      <c r="H207" s="173">
        <f t="shared" ref="H207:H270" si="95">INDEX(x.2m,F207)</f>
        <v>43290</v>
      </c>
      <c r="I207" s="754">
        <f t="shared" ref="I207:I270" si="96">($A207-H207)/(INDEX(x.2m,G207)-H207)</f>
        <v>0.21428571428571427</v>
      </c>
      <c r="J207" s="747">
        <f t="shared" ref="J207:J270" si="97">((1-I207)*(INDEX(a.m,F207)*$A207*$A207+INDEX(b.m,F207)*$A207+INDEX(c.m,F207))+I207*(INDEX(a.m,G207)*$A207*$A207+INDEX(b.m,G207)*$A207+INDEX(c.m,G207)))/10</f>
        <v>41.977300838620536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P207" s="13">
        <f t="shared" ref="AP207:AP270" si="98">INT(MATCH($A207,x.2lg)/2)*2+1</f>
        <v>9</v>
      </c>
      <c r="AQ207" s="13">
        <f t="shared" ref="AQ207:AQ270" si="99">INT((MATCH($A207,x.2lg)+1)/2)*2</f>
        <v>8</v>
      </c>
      <c r="AR207" s="173">
        <f t="shared" ref="AR207:AR270" si="100">INDEX(x.2lg,AP207)</f>
        <v>43304</v>
      </c>
      <c r="AS207" s="754">
        <f t="shared" ref="AS207:AS270" si="101">($A207-AR207)/(INDEX(x.2lg,AQ207)-AR207)</f>
        <v>0.39285714285714285</v>
      </c>
      <c r="AT207" s="770">
        <f t="shared" ref="AT207:AT270" si="102">((1-AS207)*(INDEX(a.lg,AP207)*$A207*$A207+INDEX(b.lg,AP207)*$A207+INDEX(c.lg,AP207))+AS207*(INDEX(a.lg,AQ207)*$A207*$A207+INDEX(b.lg,AQ207)*$A207+INDEX(c.lg,AQ207)))/10</f>
        <v>41.876782976722879</v>
      </c>
      <c r="AU207" s="13">
        <f t="shared" ref="AU207:AU270" si="103">INT(MATCH($A207,x.2ld)/2)*2+1</f>
        <v>9</v>
      </c>
      <c r="AV207" s="13">
        <f t="shared" ref="AV207:AV270" si="104">INT((MATCH($A207,x.2ld)+1)/2)*2</f>
        <v>8</v>
      </c>
      <c r="AW207" s="173">
        <f t="shared" ref="AW207:AW270" si="105">INDEX(x.2ld,AU207)</f>
        <v>43318</v>
      </c>
      <c r="AX207" s="754">
        <f t="shared" ref="AX207:AX270" si="106">($A207-AW207)/(INDEX(x.2ld,AV207)-AW207)</f>
        <v>0.8928571428571429</v>
      </c>
      <c r="AY207" s="770">
        <f t="shared" ref="AY207:AY270" si="107">((1-AX207)*(INDEX(a.ld,AU207)*$A207*$A207+INDEX(b.ld,AU207)*$A207+INDEX(c.ld,AU207))+AX207*(INDEX(a.ld,AV207)*$A207*$A207+INDEX(b.ld,AV207)*$A207+INDEX(c.ld,AV207)))/10</f>
        <v>41.992038017032407</v>
      </c>
      <c r="AZ207" s="747">
        <f t="shared" si="93"/>
        <v>41.934410496877646</v>
      </c>
      <c r="BA207" s="646">
        <f t="shared" ref="BA207:BA270" si="108">+B207/J207</f>
        <v>1.0123708911039477</v>
      </c>
      <c r="BB207" s="641">
        <v>43293</v>
      </c>
      <c r="BC207" s="11">
        <v>43293</v>
      </c>
      <c r="BD207" s="290">
        <f>[3]!FeuilCaduc*(1-Persistant)+Persistant</f>
        <v>0.99697926701252793</v>
      </c>
      <c r="BE207" s="291">
        <f>[3]!CroissVégét</f>
        <v>0.78832648381074411</v>
      </c>
      <c r="BF207" s="822">
        <f>1+[3]!Salcycl*Ksac</f>
        <v>1.0492448167531321</v>
      </c>
      <c r="BH207" s="1101">
        <f t="shared" ref="BH207:BH270" si="109">INDEX($BJ207:$BT207,,$BH$10)*(1-Ratini)+INDEX($BJ207:$BT207,,$BH$10+1)*Ratini</f>
        <v>0</v>
      </c>
      <c r="BI207" s="11">
        <v>44389</v>
      </c>
      <c r="BJ207" s="727">
        <v>0</v>
      </c>
      <c r="BK207" s="727">
        <v>0</v>
      </c>
      <c r="BL207" s="727">
        <v>0</v>
      </c>
      <c r="BM207" s="727">
        <v>0</v>
      </c>
      <c r="BN207" s="727">
        <v>0</v>
      </c>
      <c r="BO207" s="728">
        <v>0</v>
      </c>
      <c r="BP207" s="727">
        <v>0</v>
      </c>
      <c r="BQ207" s="727">
        <v>2.7800379421353861E-5</v>
      </c>
      <c r="BR207" s="727">
        <v>3.2803200956340201E-4</v>
      </c>
      <c r="BS207" s="727">
        <v>1.1281400401290207E-3</v>
      </c>
      <c r="BT207" s="727">
        <v>2.4003240916968568E-3</v>
      </c>
      <c r="BW207" s="1157">
        <f>'2018'!R\Max</f>
        <v>0.7623365164203314</v>
      </c>
      <c r="BX207" s="1155">
        <f>'2019'!R\Max</f>
        <v>1.0123708911039477</v>
      </c>
      <c r="BY207" s="1155">
        <f>'2020'!R\Max</f>
        <v>0.78292677758166873</v>
      </c>
      <c r="BZ207" s="1155">
        <f>'2021'!R\Max</f>
        <v>0.22485583535254072</v>
      </c>
      <c r="CA207" s="1155">
        <f>'2022'!R\Max</f>
        <v>0.9419647426952259</v>
      </c>
      <c r="CB207" s="1155">
        <f>'2023'!R\Max</f>
        <v>0.9419647426952259</v>
      </c>
      <c r="CC207" s="1155">
        <f>'2024'!R\Max</f>
        <v>0.94196474269522568</v>
      </c>
      <c r="CD207" s="1155">
        <f>'2025'!R\Max</f>
        <v>0.94196474269522568</v>
      </c>
      <c r="CE207" s="1155">
        <f>'2026'!R\Max</f>
        <v>0.94196474269522568</v>
      </c>
      <c r="CF207" s="1156">
        <f>'2027'!R\Max</f>
        <v>0.94196474269522568</v>
      </c>
    </row>
    <row r="208" spans="1:84" s="6" customFormat="1" ht="11.25" x14ac:dyDescent="0.2">
      <c r="A208" s="11">
        <v>43294</v>
      </c>
      <c r="B208" s="380">
        <f>'2022'!Maxi_hp</f>
        <v>39.387936405089434</v>
      </c>
      <c r="C208" s="13">
        <f>'2022'!An_max</f>
        <v>2022</v>
      </c>
      <c r="D208" s="1070"/>
      <c r="E208" s="13"/>
      <c r="F208" s="13">
        <f t="shared" ref="F208:F271" si="110">INT(MATCH($A208,x.2m)/2)*2+1</f>
        <v>15</v>
      </c>
      <c r="G208" s="13">
        <f t="shared" si="94"/>
        <v>16</v>
      </c>
      <c r="H208" s="173">
        <f t="shared" si="95"/>
        <v>43290</v>
      </c>
      <c r="I208" s="754">
        <f t="shared" si="96"/>
        <v>0.2857142857142857</v>
      </c>
      <c r="J208" s="747">
        <f t="shared" si="97"/>
        <v>41.897774927690627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P208" s="13">
        <f t="shared" si="98"/>
        <v>9</v>
      </c>
      <c r="AQ208" s="13">
        <f t="shared" si="99"/>
        <v>8</v>
      </c>
      <c r="AR208" s="173">
        <f t="shared" si="100"/>
        <v>43304</v>
      </c>
      <c r="AS208" s="754">
        <f t="shared" si="101"/>
        <v>0.35714285714285715</v>
      </c>
      <c r="AT208" s="770">
        <f t="shared" si="102"/>
        <v>41.804834147303225</v>
      </c>
      <c r="AU208" s="13">
        <f t="shared" si="103"/>
        <v>9</v>
      </c>
      <c r="AV208" s="13">
        <f t="shared" si="104"/>
        <v>8</v>
      </c>
      <c r="AW208" s="173">
        <f t="shared" si="105"/>
        <v>43318</v>
      </c>
      <c r="AX208" s="754">
        <f t="shared" si="106"/>
        <v>0.8571428571428571</v>
      </c>
      <c r="AY208" s="770">
        <f t="shared" si="107"/>
        <v>41.920608746606327</v>
      </c>
      <c r="AZ208" s="747">
        <f t="shared" ref="AZ208:AZ271" si="111">(AY208+AT208)/2</f>
        <v>41.862721446954779</v>
      </c>
      <c r="BA208" s="646">
        <f t="shared" si="108"/>
        <v>0.94009613811394988</v>
      </c>
      <c r="BB208" s="641">
        <v>43294</v>
      </c>
      <c r="BC208" s="11">
        <v>43294</v>
      </c>
      <c r="BD208" s="290">
        <f>[3]!FeuilCaduc*(1-Persistant)+Persistant</f>
        <v>0.99740202257665411</v>
      </c>
      <c r="BE208" s="291">
        <f>[3]!CroissVégét</f>
        <v>0.79511370224543498</v>
      </c>
      <c r="BF208" s="822">
        <f>1+[3]!Salcycl*Ksac</f>
        <v>1.0493505056441634</v>
      </c>
      <c r="BH208" s="1101">
        <f t="shared" si="109"/>
        <v>0</v>
      </c>
      <c r="BI208" s="11">
        <v>44390</v>
      </c>
      <c r="BJ208" s="727">
        <v>0</v>
      </c>
      <c r="BK208" s="727">
        <v>0</v>
      </c>
      <c r="BL208" s="727">
        <v>0</v>
      </c>
      <c r="BM208" s="727">
        <v>0</v>
      </c>
      <c r="BN208" s="727">
        <v>0</v>
      </c>
      <c r="BO208" s="728">
        <v>0</v>
      </c>
      <c r="BP208" s="727">
        <v>0</v>
      </c>
      <c r="BQ208" s="727">
        <v>2.9060399952407618E-5</v>
      </c>
      <c r="BR208" s="727">
        <v>3.3310551545161253E-4</v>
      </c>
      <c r="BS208" s="727">
        <v>1.1440574020969985E-3</v>
      </c>
      <c r="BT208" s="727">
        <v>2.4328556599361576E-3</v>
      </c>
      <c r="BW208" s="1157">
        <f>'2018'!R\Max</f>
        <v>0.89409150624780998</v>
      </c>
      <c r="BX208" s="1155">
        <f>'2019'!R\Max</f>
        <v>0.87528149855672777</v>
      </c>
      <c r="BY208" s="1155">
        <f>'2020'!R\Max</f>
        <v>0.65090230586377884</v>
      </c>
      <c r="BZ208" s="1155">
        <f>'2021'!R\Max</f>
        <v>0.47395894241993664</v>
      </c>
      <c r="CA208" s="1155">
        <f>'2022'!R\Max</f>
        <v>0.94009613811394988</v>
      </c>
      <c r="CB208" s="1155">
        <f>'2023'!R\Max</f>
        <v>0.94009613811395021</v>
      </c>
      <c r="CC208" s="1155">
        <f>'2024'!R\Max</f>
        <v>0.94009613811394988</v>
      </c>
      <c r="CD208" s="1155">
        <f>'2025'!R\Max</f>
        <v>0.9400961381139501</v>
      </c>
      <c r="CE208" s="1155">
        <f>'2026'!R\Max</f>
        <v>0.9400961381139501</v>
      </c>
      <c r="CF208" s="1156">
        <f>'2027'!R\Max</f>
        <v>0.9400961381139501</v>
      </c>
    </row>
    <row r="209" spans="1:84" s="6" customFormat="1" ht="11.25" x14ac:dyDescent="0.2">
      <c r="A209" s="11">
        <v>43295</v>
      </c>
      <c r="B209" s="380">
        <f>'2022'!Maxi_hp</f>
        <v>42.613851519576691</v>
      </c>
      <c r="C209" s="13">
        <f>'2022'!An_max</f>
        <v>2020</v>
      </c>
      <c r="D209" s="1070"/>
      <c r="E209" s="13"/>
      <c r="F209" s="13">
        <f t="shared" si="110"/>
        <v>15</v>
      </c>
      <c r="G209" s="13">
        <f t="shared" si="94"/>
        <v>16</v>
      </c>
      <c r="H209" s="173">
        <f t="shared" si="95"/>
        <v>43290</v>
      </c>
      <c r="I209" s="754">
        <f t="shared" si="96"/>
        <v>0.35714285714285715</v>
      </c>
      <c r="J209" s="747">
        <f t="shared" si="97"/>
        <v>41.815466144348363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P209" s="13">
        <f t="shared" si="98"/>
        <v>9</v>
      </c>
      <c r="AQ209" s="13">
        <f t="shared" si="99"/>
        <v>8</v>
      </c>
      <c r="AR209" s="173">
        <f t="shared" si="100"/>
        <v>43304</v>
      </c>
      <c r="AS209" s="754">
        <f t="shared" si="101"/>
        <v>0.32142857142857145</v>
      </c>
      <c r="AT209" s="770">
        <f t="shared" si="102"/>
        <v>41.731618754559065</v>
      </c>
      <c r="AU209" s="13">
        <f t="shared" si="103"/>
        <v>9</v>
      </c>
      <c r="AV209" s="13">
        <f t="shared" si="104"/>
        <v>8</v>
      </c>
      <c r="AW209" s="173">
        <f t="shared" si="105"/>
        <v>43318</v>
      </c>
      <c r="AX209" s="754">
        <f t="shared" si="106"/>
        <v>0.8214285714285714</v>
      </c>
      <c r="AY209" s="770">
        <f t="shared" si="107"/>
        <v>41.847342066899202</v>
      </c>
      <c r="AZ209" s="747">
        <f t="shared" si="111"/>
        <v>41.789480410729134</v>
      </c>
      <c r="BA209" s="646">
        <f t="shared" si="108"/>
        <v>1.0190930640943299</v>
      </c>
      <c r="BB209" s="641">
        <v>43295</v>
      </c>
      <c r="BC209" s="11">
        <v>43295</v>
      </c>
      <c r="BD209" s="290">
        <f>[3]!FeuilCaduc*(1-Persistant)+Persistant</f>
        <v>0.99778366234633942</v>
      </c>
      <c r="BE209" s="291">
        <f>[3]!CroissVégét</f>
        <v>0.80173827384170082</v>
      </c>
      <c r="BF209" s="822">
        <f>1+[3]!Salcycl*Ksac</f>
        <v>1.0494459155865847</v>
      </c>
      <c r="BH209" s="1101">
        <f t="shared" si="109"/>
        <v>0</v>
      </c>
      <c r="BI209" s="11">
        <v>44391</v>
      </c>
      <c r="BJ209" s="727">
        <v>0</v>
      </c>
      <c r="BK209" s="727">
        <v>0</v>
      </c>
      <c r="BL209" s="727">
        <v>0</v>
      </c>
      <c r="BM209" s="727">
        <v>0</v>
      </c>
      <c r="BN209" s="727">
        <v>0</v>
      </c>
      <c r="BO209" s="728">
        <v>0</v>
      </c>
      <c r="BP209" s="727">
        <v>0</v>
      </c>
      <c r="BQ209" s="727">
        <v>3.0273641536834848E-5</v>
      </c>
      <c r="BR209" s="727">
        <v>3.3857264229993089E-4</v>
      </c>
      <c r="BS209" s="727">
        <v>1.1620765010720232E-3</v>
      </c>
      <c r="BT209" s="727">
        <v>2.4705115763162776E-3</v>
      </c>
      <c r="BW209" s="1157">
        <f>'2018'!R\Max</f>
        <v>0.90736160617555028</v>
      </c>
      <c r="BX209" s="1155">
        <f>'2019'!R\Max</f>
        <v>1.0053412178361019</v>
      </c>
      <c r="BY209" s="1155">
        <f>'2020'!R\Max</f>
        <v>1.0190930640943299</v>
      </c>
      <c r="BZ209" s="1155">
        <f>'2021'!R\Max</f>
        <v>0.49935614467902051</v>
      </c>
      <c r="CA209" s="1155">
        <f>'2022'!R\Max</f>
        <v>0.92547938709795585</v>
      </c>
      <c r="CB209" s="1155">
        <f>'2023'!R\Max</f>
        <v>0.92547938709795585</v>
      </c>
      <c r="CC209" s="1155">
        <f>'2024'!R\Max</f>
        <v>0.92547938709795596</v>
      </c>
      <c r="CD209" s="1155">
        <f>'2025'!R\Max</f>
        <v>0.92547938709795596</v>
      </c>
      <c r="CE209" s="1155">
        <f>'2026'!R\Max</f>
        <v>0.92547938709795585</v>
      </c>
      <c r="CF209" s="1156">
        <f>'2027'!R\Max</f>
        <v>0.92547938709795585</v>
      </c>
    </row>
    <row r="210" spans="1:84" s="6" customFormat="1" ht="11.25" x14ac:dyDescent="0.2">
      <c r="A210" s="11">
        <v>43296</v>
      </c>
      <c r="B210" s="380">
        <f>'2022'!Maxi_hp</f>
        <v>43.03729894617058</v>
      </c>
      <c r="C210" s="13">
        <f>'2022'!An_max</f>
        <v>2019</v>
      </c>
      <c r="D210" s="1070"/>
      <c r="E210" s="13"/>
      <c r="F210" s="13">
        <f t="shared" si="110"/>
        <v>15</v>
      </c>
      <c r="G210" s="13">
        <f t="shared" si="94"/>
        <v>16</v>
      </c>
      <c r="H210" s="173">
        <f t="shared" si="95"/>
        <v>43290</v>
      </c>
      <c r="I210" s="754">
        <f t="shared" si="96"/>
        <v>0.42857142857142855</v>
      </c>
      <c r="J210" s="747">
        <f t="shared" si="97"/>
        <v>41.73080262423359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P210" s="13">
        <f t="shared" si="98"/>
        <v>9</v>
      </c>
      <c r="AQ210" s="13">
        <f t="shared" si="99"/>
        <v>8</v>
      </c>
      <c r="AR210" s="173">
        <f t="shared" si="100"/>
        <v>43304</v>
      </c>
      <c r="AS210" s="754">
        <f t="shared" si="101"/>
        <v>0.2857142857142857</v>
      </c>
      <c r="AT210" s="770">
        <f t="shared" si="102"/>
        <v>41.657163556665182</v>
      </c>
      <c r="AU210" s="13">
        <f t="shared" si="103"/>
        <v>9</v>
      </c>
      <c r="AV210" s="13">
        <f t="shared" si="104"/>
        <v>8</v>
      </c>
      <c r="AW210" s="173">
        <f t="shared" si="105"/>
        <v>43318</v>
      </c>
      <c r="AX210" s="754">
        <f t="shared" si="106"/>
        <v>0.7857142857142857</v>
      </c>
      <c r="AY210" s="770">
        <f t="shared" si="107"/>
        <v>41.772278116124554</v>
      </c>
      <c r="AZ210" s="747">
        <f t="shared" si="111"/>
        <v>41.714720836394868</v>
      </c>
      <c r="BA210" s="646">
        <f t="shared" si="108"/>
        <v>1.0313077209106516</v>
      </c>
      <c r="BB210" s="641">
        <v>43296</v>
      </c>
      <c r="BC210" s="11">
        <v>43296</v>
      </c>
      <c r="BD210" s="290">
        <f>[3]!FeuilCaduc*(1-Persistant)+Persistant</f>
        <v>0.99812632892300646</v>
      </c>
      <c r="BE210" s="291">
        <f>[3]!CroissVégét</f>
        <v>0.80820058265200556</v>
      </c>
      <c r="BF210" s="822">
        <f>1+[3]!Salcycl*Ksac</f>
        <v>1.0495315822307516</v>
      </c>
      <c r="BH210" s="1101">
        <f t="shared" si="109"/>
        <v>0</v>
      </c>
      <c r="BI210" s="11">
        <v>44392</v>
      </c>
      <c r="BJ210" s="727">
        <v>0</v>
      </c>
      <c r="BK210" s="727">
        <v>0</v>
      </c>
      <c r="BL210" s="727">
        <v>0</v>
      </c>
      <c r="BM210" s="727">
        <v>0</v>
      </c>
      <c r="BN210" s="727">
        <v>0</v>
      </c>
      <c r="BO210" s="728">
        <v>0</v>
      </c>
      <c r="BP210" s="727">
        <v>0</v>
      </c>
      <c r="BQ210" s="727">
        <v>3.1440219357958166E-5</v>
      </c>
      <c r="BR210" s="727">
        <v>3.4443332587777106E-4</v>
      </c>
      <c r="BS210" s="727">
        <v>1.1821962112312458E-3</v>
      </c>
      <c r="BT210" s="727">
        <v>2.5132886560604241E-3</v>
      </c>
      <c r="BW210" s="1157">
        <f>'2018'!R\Max</f>
        <v>0.91280655052053428</v>
      </c>
      <c r="BX210" s="1155">
        <f>'2019'!R\Max</f>
        <v>1.0313077209106516</v>
      </c>
      <c r="BY210" s="1155">
        <f>'2020'!R\Max</f>
        <v>0.83658850660479733</v>
      </c>
      <c r="BZ210" s="1155">
        <f>'2021'!R\Max</f>
        <v>0.65637031296535497</v>
      </c>
      <c r="CA210" s="1155">
        <f>'2022'!R\Max</f>
        <v>0.89802152000179791</v>
      </c>
      <c r="CB210" s="1155">
        <f>'2023'!R\Max</f>
        <v>0.89802152000179791</v>
      </c>
      <c r="CC210" s="1155">
        <f>'2024'!R\Max</f>
        <v>0.89802152000179791</v>
      </c>
      <c r="CD210" s="1155">
        <f>'2025'!R\Max</f>
        <v>0.89802152000179813</v>
      </c>
      <c r="CE210" s="1155">
        <f>'2026'!R\Max</f>
        <v>0.89802152000179791</v>
      </c>
      <c r="CF210" s="1156">
        <f>'2027'!R\Max</f>
        <v>0.89802152000179791</v>
      </c>
    </row>
    <row r="211" spans="1:84" s="6" customFormat="1" ht="11.25" x14ac:dyDescent="0.2">
      <c r="A211" s="11">
        <v>43297</v>
      </c>
      <c r="B211" s="380">
        <f>'2022'!Maxi_hp</f>
        <v>41.785421826741953</v>
      </c>
      <c r="C211" s="13">
        <f>'2022'!An_max</f>
        <v>2019</v>
      </c>
      <c r="D211" s="1070"/>
      <c r="E211" s="13"/>
      <c r="F211" s="13">
        <f t="shared" si="110"/>
        <v>15</v>
      </c>
      <c r="G211" s="13">
        <f t="shared" si="94"/>
        <v>16</v>
      </c>
      <c r="H211" s="173">
        <f t="shared" si="95"/>
        <v>43290</v>
      </c>
      <c r="I211" s="754">
        <f t="shared" si="96"/>
        <v>0.5</v>
      </c>
      <c r="J211" s="747">
        <f t="shared" si="97"/>
        <v>41.644212500425056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P211" s="13">
        <f t="shared" si="98"/>
        <v>9</v>
      </c>
      <c r="AQ211" s="13">
        <f t="shared" si="99"/>
        <v>8</v>
      </c>
      <c r="AR211" s="173">
        <f t="shared" si="100"/>
        <v>43304</v>
      </c>
      <c r="AS211" s="754">
        <f t="shared" si="101"/>
        <v>0.25</v>
      </c>
      <c r="AT211" s="770">
        <f t="shared" si="102"/>
        <v>41.581495312275365</v>
      </c>
      <c r="AU211" s="13">
        <f t="shared" si="103"/>
        <v>9</v>
      </c>
      <c r="AV211" s="13">
        <f t="shared" si="104"/>
        <v>8</v>
      </c>
      <c r="AW211" s="173">
        <f t="shared" si="105"/>
        <v>43318</v>
      </c>
      <c r="AX211" s="754">
        <f t="shared" si="106"/>
        <v>0.75</v>
      </c>
      <c r="AY211" s="770">
        <f t="shared" si="107"/>
        <v>41.695457031391562</v>
      </c>
      <c r="AZ211" s="747">
        <f t="shared" si="111"/>
        <v>41.63847617183346</v>
      </c>
      <c r="BA211" s="646">
        <f t="shared" si="108"/>
        <v>1.0033908511612617</v>
      </c>
      <c r="BB211" s="641">
        <v>43297</v>
      </c>
      <c r="BC211" s="11">
        <v>43297</v>
      </c>
      <c r="BD211" s="290">
        <f>[3]!FeuilCaduc*(1-Persistant)+Persistant</f>
        <v>0.99843214324488216</v>
      </c>
      <c r="BE211" s="291">
        <f>[3]!CroissVégét</f>
        <v>0.81450126137468837</v>
      </c>
      <c r="BF211" s="822">
        <f>1+[3]!Salcycl*Ksac</f>
        <v>1.0496080358112205</v>
      </c>
      <c r="BH211" s="1101">
        <f t="shared" si="109"/>
        <v>0</v>
      </c>
      <c r="BI211" s="11">
        <v>44393</v>
      </c>
      <c r="BJ211" s="727">
        <v>0</v>
      </c>
      <c r="BK211" s="727">
        <v>0</v>
      </c>
      <c r="BL211" s="727">
        <v>0</v>
      </c>
      <c r="BM211" s="727">
        <v>0</v>
      </c>
      <c r="BN211" s="727">
        <v>0</v>
      </c>
      <c r="BO211" s="728">
        <v>0</v>
      </c>
      <c r="BP211" s="727">
        <v>0</v>
      </c>
      <c r="BQ211" s="727">
        <v>3.25602480805925E-5</v>
      </c>
      <c r="BR211" s="727">
        <v>3.5068754438664533E-4</v>
      </c>
      <c r="BS211" s="727">
        <v>1.2044156061656259E-3</v>
      </c>
      <c r="BT211" s="727">
        <v>2.5611841853369417E-3</v>
      </c>
      <c r="BW211" s="1157">
        <f>'2018'!R\Max</f>
        <v>0.45732355700776683</v>
      </c>
      <c r="BX211" s="1155">
        <f>'2019'!R\Max</f>
        <v>1.0033908511612617</v>
      </c>
      <c r="BY211" s="1155">
        <f>'2020'!R\Max</f>
        <v>0.41430940963290303</v>
      </c>
      <c r="BZ211" s="1155">
        <f>'2021'!R\Max</f>
        <v>0.71536634938341281</v>
      </c>
      <c r="CA211" s="1155">
        <f>'2022'!R\Max</f>
        <v>0.93282293048919607</v>
      </c>
      <c r="CB211" s="1155">
        <f>'2023'!R\Max</f>
        <v>0.93282293048919607</v>
      </c>
      <c r="CC211" s="1155">
        <f>'2024'!R\Max</f>
        <v>0.93282293048919618</v>
      </c>
      <c r="CD211" s="1155">
        <f>'2025'!R\Max</f>
        <v>0.93282293048919607</v>
      </c>
      <c r="CE211" s="1155">
        <f>'2026'!R\Max</f>
        <v>0.93282293048919607</v>
      </c>
      <c r="CF211" s="1156">
        <f>'2027'!R\Max</f>
        <v>0.93282293048919585</v>
      </c>
    </row>
    <row r="212" spans="1:84" s="6" customFormat="1" ht="11.25" x14ac:dyDescent="0.2">
      <c r="A212" s="11">
        <v>43298</v>
      </c>
      <c r="B212" s="380">
        <f>'2022'!Maxi_hp</f>
        <v>41.903533821101661</v>
      </c>
      <c r="C212" s="13">
        <f>'2022'!An_max</f>
        <v>2021</v>
      </c>
      <c r="D212" s="1070"/>
      <c r="E212" s="13"/>
      <c r="F212" s="13">
        <f t="shared" si="110"/>
        <v>15</v>
      </c>
      <c r="G212" s="13">
        <f t="shared" si="94"/>
        <v>16</v>
      </c>
      <c r="H212" s="173">
        <f t="shared" si="95"/>
        <v>43290</v>
      </c>
      <c r="I212" s="754">
        <f t="shared" si="96"/>
        <v>0.5714285714285714</v>
      </c>
      <c r="J212" s="747">
        <f t="shared" si="97"/>
        <v>41.556123906799726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P212" s="13">
        <f t="shared" si="98"/>
        <v>9</v>
      </c>
      <c r="AQ212" s="13">
        <f t="shared" si="99"/>
        <v>8</v>
      </c>
      <c r="AR212" s="173">
        <f t="shared" si="100"/>
        <v>43304</v>
      </c>
      <c r="AS212" s="754">
        <f t="shared" si="101"/>
        <v>0.21428571428571427</v>
      </c>
      <c r="AT212" s="770">
        <f t="shared" si="102"/>
        <v>41.504640779817208</v>
      </c>
      <c r="AU212" s="13">
        <f t="shared" si="103"/>
        <v>9</v>
      </c>
      <c r="AV212" s="13">
        <f t="shared" si="104"/>
        <v>8</v>
      </c>
      <c r="AW212" s="173">
        <f t="shared" si="105"/>
        <v>43318</v>
      </c>
      <c r="AX212" s="754">
        <f t="shared" si="106"/>
        <v>0.7142857142857143</v>
      </c>
      <c r="AY212" s="770">
        <f t="shared" si="107"/>
        <v>41.61691895060774</v>
      </c>
      <c r="AZ212" s="747">
        <f t="shared" si="111"/>
        <v>41.560779865212474</v>
      </c>
      <c r="BA212" s="646">
        <f t="shared" si="108"/>
        <v>1.0083600172884528</v>
      </c>
      <c r="BB212" s="641">
        <v>43298</v>
      </c>
      <c r="BC212" s="11">
        <v>43298</v>
      </c>
      <c r="BD212" s="290">
        <f>[3]!FeuilCaduc*(1-Persistant)+Persistant</f>
        <v>0.99870319374883132</v>
      </c>
      <c r="BE212" s="291">
        <f>[3]!CroissVégét</f>
        <v>0.82064117750784105</v>
      </c>
      <c r="BF212" s="822">
        <f>1+[3]!Salcycl*Ksac</f>
        <v>1.0496757984372078</v>
      </c>
      <c r="BH212" s="1101">
        <f t="shared" si="109"/>
        <v>0</v>
      </c>
      <c r="BI212" s="11">
        <v>44394</v>
      </c>
      <c r="BJ212" s="727">
        <v>0</v>
      </c>
      <c r="BK212" s="727">
        <v>0</v>
      </c>
      <c r="BL212" s="727">
        <v>0</v>
      </c>
      <c r="BM212" s="727">
        <v>0</v>
      </c>
      <c r="BN212" s="727">
        <v>0</v>
      </c>
      <c r="BO212" s="728">
        <v>0</v>
      </c>
      <c r="BP212" s="727">
        <v>0</v>
      </c>
      <c r="BQ212" s="727">
        <v>3.3841832687715611E-5</v>
      </c>
      <c r="BR212" s="727">
        <v>3.5814375713410606E-4</v>
      </c>
      <c r="BS212" s="727">
        <v>1.2301215097962636E-3</v>
      </c>
      <c r="BT212" s="727">
        <v>2.615933257986472E-3</v>
      </c>
      <c r="BW212" s="1157">
        <f>'2018'!R\Max</f>
        <v>0.83044718398709483</v>
      </c>
      <c r="BX212" s="1155">
        <f>'2019'!R\Max</f>
        <v>0.95105166462640922</v>
      </c>
      <c r="BY212" s="1155">
        <f>'2020'!R\Max</f>
        <v>0.3982606666828159</v>
      </c>
      <c r="BZ212" s="1155">
        <f>'2021'!R\Max</f>
        <v>1.0083600172884528</v>
      </c>
      <c r="CA212" s="1155">
        <f>'2022'!R\Max</f>
        <v>0.91659103096557981</v>
      </c>
      <c r="CB212" s="1155">
        <f>'2023'!R\Max</f>
        <v>0.9165910309655797</v>
      </c>
      <c r="CC212" s="1155">
        <f>'2024'!R\Max</f>
        <v>0.9165910309655797</v>
      </c>
      <c r="CD212" s="1155">
        <f>'2025'!R\Max</f>
        <v>0.91659103096557981</v>
      </c>
      <c r="CE212" s="1155">
        <f>'2026'!R\Max</f>
        <v>0.91659103096557981</v>
      </c>
      <c r="CF212" s="1156">
        <f>'2027'!R\Max</f>
        <v>0.91659103096557981</v>
      </c>
    </row>
    <row r="213" spans="1:84" s="6" customFormat="1" ht="11.25" x14ac:dyDescent="0.2">
      <c r="A213" s="11">
        <v>43299</v>
      </c>
      <c r="B213" s="380">
        <f>'2022'!Maxi_hp</f>
        <v>38.01746196958247</v>
      </c>
      <c r="C213" s="13">
        <f>'2022'!An_max</f>
        <v>2022</v>
      </c>
      <c r="D213" s="1070"/>
      <c r="E213" s="13"/>
      <c r="F213" s="13">
        <f t="shared" si="110"/>
        <v>15</v>
      </c>
      <c r="G213" s="13">
        <f t="shared" si="94"/>
        <v>16</v>
      </c>
      <c r="H213" s="173">
        <f t="shared" si="95"/>
        <v>43290</v>
      </c>
      <c r="I213" s="754">
        <f t="shared" si="96"/>
        <v>0.6428571428571429</v>
      </c>
      <c r="J213" s="747">
        <f t="shared" si="97"/>
        <v>41.466964978199186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P213" s="13">
        <f t="shared" si="98"/>
        <v>9</v>
      </c>
      <c r="AQ213" s="13">
        <f t="shared" si="99"/>
        <v>8</v>
      </c>
      <c r="AR213" s="173">
        <f t="shared" si="100"/>
        <v>43304</v>
      </c>
      <c r="AS213" s="754">
        <f t="shared" si="101"/>
        <v>0.17857142857142858</v>
      </c>
      <c r="AT213" s="770">
        <f t="shared" si="102"/>
        <v>41.426626717172823</v>
      </c>
      <c r="AU213" s="13">
        <f t="shared" si="103"/>
        <v>9</v>
      </c>
      <c r="AV213" s="13">
        <f t="shared" si="104"/>
        <v>8</v>
      </c>
      <c r="AW213" s="173">
        <f t="shared" si="105"/>
        <v>43318</v>
      </c>
      <c r="AX213" s="754">
        <f t="shared" si="106"/>
        <v>0.6785714285714286</v>
      </c>
      <c r="AY213" s="770">
        <f t="shared" si="107"/>
        <v>41.536704011088503</v>
      </c>
      <c r="AZ213" s="747">
        <f t="shared" si="111"/>
        <v>41.481665364130663</v>
      </c>
      <c r="BA213" s="646">
        <f t="shared" si="108"/>
        <v>0.91681322685587774</v>
      </c>
      <c r="BB213" s="641">
        <v>43299</v>
      </c>
      <c r="BC213" s="11">
        <v>43299</v>
      </c>
      <c r="BD213" s="290">
        <f>[3]!FeuilCaduc*(1-Persistant)+Persistant</f>
        <v>0.99894152613161069</v>
      </c>
      <c r="BE213" s="291">
        <f>[3]!CroissVégét</f>
        <v>0.82662141934042188</v>
      </c>
      <c r="BF213" s="822">
        <f>1+[3]!Salcycl*Ksac</f>
        <v>1.0497353815329027</v>
      </c>
      <c r="BH213" s="1101">
        <f t="shared" si="109"/>
        <v>0</v>
      </c>
      <c r="BI213" s="11">
        <v>44395</v>
      </c>
      <c r="BJ213" s="727">
        <v>0</v>
      </c>
      <c r="BK213" s="727">
        <v>0</v>
      </c>
      <c r="BL213" s="727">
        <v>0</v>
      </c>
      <c r="BM213" s="727">
        <v>0</v>
      </c>
      <c r="BN213" s="727">
        <v>0</v>
      </c>
      <c r="BO213" s="728">
        <v>0</v>
      </c>
      <c r="BP213" s="727">
        <v>0</v>
      </c>
      <c r="BQ213" s="727">
        <v>3.5167358217567782E-5</v>
      </c>
      <c r="BR213" s="727">
        <v>3.6561173443635533E-4</v>
      </c>
      <c r="BS213" s="727">
        <v>1.2559810997297145E-3</v>
      </c>
      <c r="BT213" s="727">
        <v>2.6711080958800766E-3</v>
      </c>
      <c r="BW213" s="1157">
        <f>'2018'!R\Max</f>
        <v>0.68908832409921428</v>
      </c>
      <c r="BX213" s="1155">
        <f>'2019'!R\Max</f>
        <v>0.68721669880062219</v>
      </c>
      <c r="BY213" s="1155">
        <f>'2020'!R\Max</f>
        <v>0.4563665939069646</v>
      </c>
      <c r="BZ213" s="1155">
        <f>'2021'!R\Max</f>
        <v>0.88942859736321833</v>
      </c>
      <c r="CA213" s="1155">
        <f>'2022'!R\Max</f>
        <v>0.91681322685587774</v>
      </c>
      <c r="CB213" s="1155">
        <f>'2023'!R\Max</f>
        <v>0.91681322685587796</v>
      </c>
      <c r="CC213" s="1155">
        <f>'2024'!R\Max</f>
        <v>0.91681322685587774</v>
      </c>
      <c r="CD213" s="1155">
        <f>'2025'!R\Max</f>
        <v>0.91681322685587774</v>
      </c>
      <c r="CE213" s="1155">
        <f>'2026'!R\Max</f>
        <v>0.91681322685587796</v>
      </c>
      <c r="CF213" s="1156">
        <f>'2027'!R\Max</f>
        <v>0.91681322685587829</v>
      </c>
    </row>
    <row r="214" spans="1:84" s="6" customFormat="1" ht="11.25" x14ac:dyDescent="0.2">
      <c r="A214" s="11">
        <v>43300</v>
      </c>
      <c r="B214" s="380">
        <f>'2022'!Maxi_hp</f>
        <v>42.433234679233138</v>
      </c>
      <c r="C214" s="13">
        <f>'2022'!An_max</f>
        <v>2020</v>
      </c>
      <c r="D214" s="1070"/>
      <c r="E214" s="13"/>
      <c r="F214" s="13">
        <f t="shared" si="110"/>
        <v>15</v>
      </c>
      <c r="G214" s="13">
        <f t="shared" si="94"/>
        <v>16</v>
      </c>
      <c r="H214" s="173">
        <f t="shared" si="95"/>
        <v>43290</v>
      </c>
      <c r="I214" s="754">
        <f t="shared" si="96"/>
        <v>0.7142857142857143</v>
      </c>
      <c r="J214" s="747">
        <f t="shared" si="97"/>
        <v>41.37716384858691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P214" s="13">
        <f t="shared" si="98"/>
        <v>9</v>
      </c>
      <c r="AQ214" s="13">
        <f t="shared" si="99"/>
        <v>8</v>
      </c>
      <c r="AR214" s="173">
        <f t="shared" si="100"/>
        <v>43304</v>
      </c>
      <c r="AS214" s="754">
        <f t="shared" si="101"/>
        <v>0.14285714285714285</v>
      </c>
      <c r="AT214" s="770">
        <f t="shared" si="102"/>
        <v>41.347479883395138</v>
      </c>
      <c r="AU214" s="13">
        <f t="shared" si="103"/>
        <v>9</v>
      </c>
      <c r="AV214" s="13">
        <f t="shared" si="104"/>
        <v>8</v>
      </c>
      <c r="AW214" s="173">
        <f t="shared" si="105"/>
        <v>43318</v>
      </c>
      <c r="AX214" s="754">
        <f t="shared" si="106"/>
        <v>0.6428571428571429</v>
      </c>
      <c r="AY214" s="770">
        <f t="shared" si="107"/>
        <v>41.454852350601662</v>
      </c>
      <c r="AZ214" s="747">
        <f t="shared" si="111"/>
        <v>41.401166116998397</v>
      </c>
      <c r="BA214" s="646">
        <f t="shared" si="108"/>
        <v>1.0255230357138723</v>
      </c>
      <c r="BB214" s="641">
        <v>43300</v>
      </c>
      <c r="BC214" s="11">
        <v>43300</v>
      </c>
      <c r="BD214" s="290">
        <f>[3]!FeuilCaduc*(1-Persistant)+Persistant</f>
        <v>0.99914913377070502</v>
      </c>
      <c r="BE214" s="291">
        <f>[3]!CroissVégét</f>
        <v>0.83244328187154937</v>
      </c>
      <c r="BF214" s="822">
        <f>1+[3]!Salcycl*Ksac</f>
        <v>1.0497872834426762</v>
      </c>
      <c r="BH214" s="1101">
        <f t="shared" si="109"/>
        <v>0</v>
      </c>
      <c r="BI214" s="11">
        <v>44396</v>
      </c>
      <c r="BJ214" s="727">
        <v>0</v>
      </c>
      <c r="BK214" s="727">
        <v>0</v>
      </c>
      <c r="BL214" s="727">
        <v>0</v>
      </c>
      <c r="BM214" s="727">
        <v>0</v>
      </c>
      <c r="BN214" s="727">
        <v>0</v>
      </c>
      <c r="BO214" s="728">
        <v>0</v>
      </c>
      <c r="BP214" s="727">
        <v>0</v>
      </c>
      <c r="BQ214" s="727">
        <v>3.6536857086375014E-5</v>
      </c>
      <c r="BR214" s="727">
        <v>3.7309200273487336E-4</v>
      </c>
      <c r="BS214" s="727">
        <v>1.2819960777789713E-3</v>
      </c>
      <c r="BT214" s="727">
        <v>2.7267122251322935E-3</v>
      </c>
      <c r="BW214" s="1157">
        <f>'2018'!R\Max</f>
        <v>0.93774630296411021</v>
      </c>
      <c r="BX214" s="1155">
        <f>'2019'!R\Max</f>
        <v>0.97228178391832343</v>
      </c>
      <c r="BY214" s="1155">
        <f>'2020'!R\Max</f>
        <v>1.0255230357138723</v>
      </c>
      <c r="BZ214" s="1155">
        <f>'2021'!R\Max</f>
        <v>0.9893716850247114</v>
      </c>
      <c r="CA214" s="1155">
        <f>'2022'!R\Max</f>
        <v>0.71339993834079896</v>
      </c>
      <c r="CB214" s="1155">
        <f>'2023'!R\Max</f>
        <v>0.71339993834079884</v>
      </c>
      <c r="CC214" s="1155">
        <f>'2024'!R\Max</f>
        <v>0.71339993834079896</v>
      </c>
      <c r="CD214" s="1155">
        <f>'2025'!R\Max</f>
        <v>0.71339993834079896</v>
      </c>
      <c r="CE214" s="1155">
        <f>'2026'!R\Max</f>
        <v>0.71339993834079896</v>
      </c>
      <c r="CF214" s="1156">
        <f>'2027'!R\Max</f>
        <v>0.71339993834079896</v>
      </c>
    </row>
    <row r="215" spans="1:84" s="6" customFormat="1" ht="11.25" x14ac:dyDescent="0.2">
      <c r="A215" s="11">
        <v>43301</v>
      </c>
      <c r="B215" s="380">
        <f>'2022'!Maxi_hp</f>
        <v>41.130665538224456</v>
      </c>
      <c r="C215" s="13">
        <f>'2022'!An_max</f>
        <v>2020</v>
      </c>
      <c r="D215" s="1070"/>
      <c r="E215" s="13"/>
      <c r="F215" s="13">
        <f t="shared" si="110"/>
        <v>15</v>
      </c>
      <c r="G215" s="13">
        <f t="shared" si="94"/>
        <v>16</v>
      </c>
      <c r="H215" s="173">
        <f t="shared" si="95"/>
        <v>43290</v>
      </c>
      <c r="I215" s="754">
        <f t="shared" si="96"/>
        <v>0.7857142857142857</v>
      </c>
      <c r="J215" s="747">
        <f t="shared" si="97"/>
        <v>41.287148651607069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P215" s="13">
        <f t="shared" si="98"/>
        <v>9</v>
      </c>
      <c r="AQ215" s="13">
        <f t="shared" si="99"/>
        <v>8</v>
      </c>
      <c r="AR215" s="173">
        <f t="shared" si="100"/>
        <v>43304</v>
      </c>
      <c r="AS215" s="754">
        <f t="shared" si="101"/>
        <v>0.10714285714285714</v>
      </c>
      <c r="AT215" s="770">
        <f t="shared" si="102"/>
        <v>41.267227036140063</v>
      </c>
      <c r="AU215" s="13">
        <f t="shared" si="103"/>
        <v>9</v>
      </c>
      <c r="AV215" s="13">
        <f t="shared" si="104"/>
        <v>8</v>
      </c>
      <c r="AW215" s="173">
        <f t="shared" si="105"/>
        <v>43318</v>
      </c>
      <c r="AX215" s="754">
        <f t="shared" si="106"/>
        <v>0.6071428571428571</v>
      </c>
      <c r="AY215" s="770">
        <f t="shared" si="107"/>
        <v>41.371404106768651</v>
      </c>
      <c r="AZ215" s="747">
        <f t="shared" si="111"/>
        <v>41.319315571454354</v>
      </c>
      <c r="BA215" s="646">
        <f t="shared" si="108"/>
        <v>0.99620988325682014</v>
      </c>
      <c r="BB215" s="641">
        <v>43301</v>
      </c>
      <c r="BC215" s="11">
        <v>43301</v>
      </c>
      <c r="BD215" s="290">
        <f>[3]!FeuilCaduc*(1-Persistant)+Persistant</f>
        <v>0.99932794885786236</v>
      </c>
      <c r="BE215" s="291">
        <f>[3]!CroissVégét</f>
        <v>0.83810825274241962</v>
      </c>
      <c r="BF215" s="822">
        <f>1+[3]!Salcycl*Ksac</f>
        <v>1.0498319872144657</v>
      </c>
      <c r="BH215" s="1101">
        <f t="shared" si="109"/>
        <v>0</v>
      </c>
      <c r="BI215" s="11">
        <v>44397</v>
      </c>
      <c r="BJ215" s="727">
        <v>0</v>
      </c>
      <c r="BK215" s="727">
        <v>0</v>
      </c>
      <c r="BL215" s="727">
        <v>0</v>
      </c>
      <c r="BM215" s="727">
        <v>0</v>
      </c>
      <c r="BN215" s="727">
        <v>0</v>
      </c>
      <c r="BO215" s="728">
        <v>0</v>
      </c>
      <c r="BP215" s="727">
        <v>0</v>
      </c>
      <c r="BQ215" s="727">
        <v>3.7950368802165809E-5</v>
      </c>
      <c r="BR215" s="727">
        <v>3.8058510752328809E-4</v>
      </c>
      <c r="BS215" s="727">
        <v>1.3081682217140553E-3</v>
      </c>
      <c r="BT215" s="727">
        <v>2.782749342572301E-3</v>
      </c>
      <c r="BW215" s="1157">
        <f>'2018'!R\Max</f>
        <v>0.45261501430418477</v>
      </c>
      <c r="BX215" s="1155">
        <f>'2019'!R\Max</f>
        <v>0.48489278097884458</v>
      </c>
      <c r="BY215" s="1155">
        <f>'2020'!R\Max</f>
        <v>0.99620988325682014</v>
      </c>
      <c r="BZ215" s="1155">
        <f>'2021'!R\Max</f>
        <v>0.77970739895864316</v>
      </c>
      <c r="CA215" s="1155">
        <f>'2022'!R\Max</f>
        <v>0.69986467891079762</v>
      </c>
      <c r="CB215" s="1155">
        <f>'2023'!R\Max</f>
        <v>0.69986467891079773</v>
      </c>
      <c r="CC215" s="1155">
        <f>'2024'!R\Max</f>
        <v>0.69986467891079762</v>
      </c>
      <c r="CD215" s="1155">
        <f>'2025'!R\Max</f>
        <v>0.69986467891079762</v>
      </c>
      <c r="CE215" s="1155">
        <f>'2026'!R\Max</f>
        <v>0.69986467891079773</v>
      </c>
      <c r="CF215" s="1156">
        <f>'2027'!R\Max</f>
        <v>0.69986467891079773</v>
      </c>
    </row>
    <row r="216" spans="1:84" s="6" customFormat="1" ht="11.25" x14ac:dyDescent="0.2">
      <c r="A216" s="11">
        <v>43302</v>
      </c>
      <c r="B216" s="380">
        <f>'2022'!Maxi_hp</f>
        <v>37.731956107423237</v>
      </c>
      <c r="C216" s="13">
        <f>'2022'!An_max</f>
        <v>2022</v>
      </c>
      <c r="D216" s="1070"/>
      <c r="E216" s="13"/>
      <c r="F216" s="13">
        <f t="shared" si="110"/>
        <v>15</v>
      </c>
      <c r="G216" s="13">
        <f t="shared" si="94"/>
        <v>16</v>
      </c>
      <c r="H216" s="173">
        <f t="shared" si="95"/>
        <v>43290</v>
      </c>
      <c r="I216" s="754">
        <f t="shared" si="96"/>
        <v>0.8571428571428571</v>
      </c>
      <c r="J216" s="747">
        <f t="shared" si="97"/>
        <v>41.197347521968183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P216" s="13">
        <f t="shared" si="98"/>
        <v>9</v>
      </c>
      <c r="AQ216" s="13">
        <f t="shared" si="99"/>
        <v>8</v>
      </c>
      <c r="AR216" s="173">
        <f t="shared" si="100"/>
        <v>43304</v>
      </c>
      <c r="AS216" s="754">
        <f t="shared" si="101"/>
        <v>7.1428571428571425E-2</v>
      </c>
      <c r="AT216" s="770">
        <f t="shared" si="102"/>
        <v>41.185894934354081</v>
      </c>
      <c r="AU216" s="13">
        <f t="shared" si="103"/>
        <v>9</v>
      </c>
      <c r="AV216" s="13">
        <f t="shared" si="104"/>
        <v>8</v>
      </c>
      <c r="AW216" s="173">
        <f t="shared" si="105"/>
        <v>43318</v>
      </c>
      <c r="AX216" s="754">
        <f t="shared" si="106"/>
        <v>0.5714285714285714</v>
      </c>
      <c r="AY216" s="770">
        <f t="shared" si="107"/>
        <v>41.286399416891598</v>
      </c>
      <c r="AZ216" s="747">
        <f t="shared" si="111"/>
        <v>41.23614717562284</v>
      </c>
      <c r="BA216" s="646">
        <f t="shared" si="108"/>
        <v>0.91588314241112123</v>
      </c>
      <c r="BB216" s="641">
        <v>43302</v>
      </c>
      <c r="BC216" s="11">
        <v>43302</v>
      </c>
      <c r="BD216" s="290">
        <f>[3]!FeuilCaduc*(1-Persistant)+Persistant</f>
        <v>0.9994798342909732</v>
      </c>
      <c r="BE216" s="291">
        <f>[3]!CroissVégét</f>
        <v>0.84361799825853956</v>
      </c>
      <c r="BF216" s="822">
        <f>1+[3]!Salcycl*Ksac</f>
        <v>1.0498699585727433</v>
      </c>
      <c r="BH216" s="1101">
        <f t="shared" si="109"/>
        <v>0</v>
      </c>
      <c r="BI216" s="11">
        <v>44398</v>
      </c>
      <c r="BJ216" s="727">
        <v>0</v>
      </c>
      <c r="BK216" s="727">
        <v>0</v>
      </c>
      <c r="BL216" s="727">
        <v>0</v>
      </c>
      <c r="BM216" s="727">
        <v>0</v>
      </c>
      <c r="BN216" s="727">
        <v>0</v>
      </c>
      <c r="BO216" s="728">
        <v>0</v>
      </c>
      <c r="BP216" s="727">
        <v>0</v>
      </c>
      <c r="BQ216" s="727">
        <v>3.9407940227302459E-5</v>
      </c>
      <c r="BR216" s="727">
        <v>3.8809161341520987E-4</v>
      </c>
      <c r="BS216" s="727">
        <v>1.3344993861665528E-3</v>
      </c>
      <c r="BT216" s="727">
        <v>2.8392233182540291E-3</v>
      </c>
      <c r="BW216" s="1157">
        <f>'2018'!R\Max</f>
        <v>0.53519768936934664</v>
      </c>
      <c r="BX216" s="1155">
        <f>'2019'!R\Max</f>
        <v>0.79315789105412449</v>
      </c>
      <c r="BY216" s="1155">
        <f>'2020'!R\Max</f>
        <v>0.83303137154692619</v>
      </c>
      <c r="BZ216" s="1155">
        <f>'2021'!R\Max</f>
        <v>0.78282590680519282</v>
      </c>
      <c r="CA216" s="1155">
        <f>'2022'!R\Max</f>
        <v>0.91588314241112123</v>
      </c>
      <c r="CB216" s="1155">
        <f>'2023'!R\Max</f>
        <v>0.91588314241112123</v>
      </c>
      <c r="CC216" s="1155">
        <f>'2024'!R\Max</f>
        <v>0.91588314241112101</v>
      </c>
      <c r="CD216" s="1155">
        <f>'2025'!R\Max</f>
        <v>0.91588314241112123</v>
      </c>
      <c r="CE216" s="1155">
        <f>'2026'!R\Max</f>
        <v>0.91588314241112101</v>
      </c>
      <c r="CF216" s="1156">
        <f>'2027'!R\Max</f>
        <v>0.91588314241112123</v>
      </c>
    </row>
    <row r="217" spans="1:84" s="6" customFormat="1" ht="11.25" x14ac:dyDescent="0.2">
      <c r="A217" s="11">
        <v>43303</v>
      </c>
      <c r="B217" s="380">
        <f>'2022'!Maxi_hp</f>
        <v>39.921621323756099</v>
      </c>
      <c r="C217" s="13">
        <f>'2022'!An_max</f>
        <v>2018</v>
      </c>
      <c r="D217" s="1070"/>
      <c r="E217" s="13"/>
      <c r="F217" s="13">
        <f t="shared" si="110"/>
        <v>15</v>
      </c>
      <c r="G217" s="13">
        <f t="shared" si="94"/>
        <v>16</v>
      </c>
      <c r="H217" s="173">
        <f t="shared" si="95"/>
        <v>43290</v>
      </c>
      <c r="I217" s="754">
        <f t="shared" si="96"/>
        <v>0.9285714285714286</v>
      </c>
      <c r="J217" s="747">
        <f t="shared" si="97"/>
        <v>41.108188593314431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P217" s="13">
        <f t="shared" si="98"/>
        <v>9</v>
      </c>
      <c r="AQ217" s="13">
        <f t="shared" si="99"/>
        <v>8</v>
      </c>
      <c r="AR217" s="173">
        <f t="shared" si="100"/>
        <v>43304</v>
      </c>
      <c r="AS217" s="754">
        <f t="shared" si="101"/>
        <v>3.5714285714285712E-2</v>
      </c>
      <c r="AT217" s="770">
        <f t="shared" si="102"/>
        <v>41.103510336178758</v>
      </c>
      <c r="AU217" s="13">
        <f t="shared" si="103"/>
        <v>9</v>
      </c>
      <c r="AV217" s="13">
        <f t="shared" si="104"/>
        <v>8</v>
      </c>
      <c r="AW217" s="173">
        <f t="shared" si="105"/>
        <v>43318</v>
      </c>
      <c r="AX217" s="754">
        <f t="shared" si="106"/>
        <v>0.5357142857142857</v>
      </c>
      <c r="AY217" s="770">
        <f t="shared" si="107"/>
        <v>41.199878418718335</v>
      </c>
      <c r="AZ217" s="747">
        <f t="shared" si="111"/>
        <v>41.15169437744855</v>
      </c>
      <c r="BA217" s="646">
        <f t="shared" si="108"/>
        <v>0.97113550097531398</v>
      </c>
      <c r="BB217" s="641">
        <v>43303</v>
      </c>
      <c r="BC217" s="11">
        <v>43303</v>
      </c>
      <c r="BD217" s="290">
        <f>[3]!FeuilCaduc*(1-Persistant)+Persistant</f>
        <v>0.99960657636211303</v>
      </c>
      <c r="BE217" s="291">
        <f>[3]!CroissVégét</f>
        <v>0.84897434957309781</v>
      </c>
      <c r="BF217" s="822">
        <f>1+[3]!Salcycl*Ksac</f>
        <v>1.0499016440905282</v>
      </c>
      <c r="BH217" s="1101">
        <f t="shared" si="109"/>
        <v>0</v>
      </c>
      <c r="BI217" s="11">
        <v>44399</v>
      </c>
      <c r="BJ217" s="727">
        <v>0</v>
      </c>
      <c r="BK217" s="727">
        <v>0</v>
      </c>
      <c r="BL217" s="727">
        <v>0</v>
      </c>
      <c r="BM217" s="727">
        <v>0</v>
      </c>
      <c r="BN217" s="727">
        <v>0</v>
      </c>
      <c r="BO217" s="728">
        <v>0</v>
      </c>
      <c r="BP217" s="727">
        <v>0</v>
      </c>
      <c r="BQ217" s="727">
        <v>4.0909625841167793E-5</v>
      </c>
      <c r="BR217" s="727">
        <v>3.9561210421392275E-4</v>
      </c>
      <c r="BS217" s="727">
        <v>1.3609915035405218E-3</v>
      </c>
      <c r="BT217" s="727">
        <v>2.8961381979797965E-3</v>
      </c>
      <c r="BW217" s="1157">
        <f>'2018'!R\Max</f>
        <v>0.97113550097531398</v>
      </c>
      <c r="BX217" s="1155">
        <f>'2019'!R\Max</f>
        <v>0.821608263177663</v>
      </c>
      <c r="BY217" s="1155">
        <f>'2020'!R\Max</f>
        <v>0.92620627042773063</v>
      </c>
      <c r="BZ217" s="1155">
        <f>'2021'!R\Max</f>
        <v>0.91634214074315568</v>
      </c>
      <c r="CA217" s="1155">
        <f>'2022'!R\Max</f>
        <v>0.72859929625709596</v>
      </c>
      <c r="CB217" s="1155">
        <f>'2023'!R\Max</f>
        <v>0.72859929625709585</v>
      </c>
      <c r="CC217" s="1155">
        <f>'2024'!R\Max</f>
        <v>0.72859929625709574</v>
      </c>
      <c r="CD217" s="1155">
        <f>'2025'!R\Max</f>
        <v>0.72859929625709574</v>
      </c>
      <c r="CE217" s="1155">
        <f>'2026'!R\Max</f>
        <v>0.72859929625709596</v>
      </c>
      <c r="CF217" s="1156">
        <f>'2027'!R\Max</f>
        <v>0.72859929625709574</v>
      </c>
    </row>
    <row r="218" spans="1:84" s="6" customFormat="1" ht="11.25" x14ac:dyDescent="0.2">
      <c r="A218" s="11">
        <v>43304</v>
      </c>
      <c r="B218" s="380">
        <f>'2022'!Maxi_hp</f>
        <v>40.234800142137267</v>
      </c>
      <c r="C218" s="13">
        <f>'2022'!An_max</f>
        <v>2018</v>
      </c>
      <c r="D218" s="1070"/>
      <c r="E218" s="1073">
        <f>AB$13/10</f>
        <v>41.020099999999999</v>
      </c>
      <c r="F218" s="13">
        <f t="shared" si="110"/>
        <v>17</v>
      </c>
      <c r="G218" s="13">
        <f t="shared" si="94"/>
        <v>16</v>
      </c>
      <c r="H218" s="173">
        <f t="shared" si="95"/>
        <v>43318</v>
      </c>
      <c r="I218" s="754">
        <f t="shared" si="96"/>
        <v>1</v>
      </c>
      <c r="J218" s="747">
        <f t="shared" si="97"/>
        <v>41.020099999848753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P218" s="13">
        <f t="shared" si="98"/>
        <v>9</v>
      </c>
      <c r="AQ218" s="13">
        <f t="shared" si="99"/>
        <v>10</v>
      </c>
      <c r="AR218" s="173">
        <f t="shared" si="100"/>
        <v>43304</v>
      </c>
      <c r="AS218" s="754">
        <f t="shared" si="101"/>
        <v>0</v>
      </c>
      <c r="AT218" s="770">
        <f t="shared" si="102"/>
        <v>41.020099999941884</v>
      </c>
      <c r="AU218" s="13">
        <f t="shared" si="103"/>
        <v>9</v>
      </c>
      <c r="AV218" s="13">
        <f t="shared" si="104"/>
        <v>8</v>
      </c>
      <c r="AW218" s="173">
        <f t="shared" si="105"/>
        <v>43318</v>
      </c>
      <c r="AX218" s="754">
        <f t="shared" si="106"/>
        <v>0.5</v>
      </c>
      <c r="AY218" s="770">
        <f t="shared" si="107"/>
        <v>41.111881250049919</v>
      </c>
      <c r="AZ218" s="747">
        <f t="shared" si="111"/>
        <v>41.065990624995905</v>
      </c>
      <c r="BA218" s="646">
        <f t="shared" si="108"/>
        <v>0.98085573029528494</v>
      </c>
      <c r="BB218" s="641">
        <v>43304</v>
      </c>
      <c r="BC218" s="11">
        <v>43304</v>
      </c>
      <c r="BD218" s="290">
        <f>[3]!FeuilCaduc*(1-Persistant)+Persistant</f>
        <v>0.99970987827148239</v>
      </c>
      <c r="BE218" s="291">
        <f>[3]!CroissVégét</f>
        <v>0.854179289095362</v>
      </c>
      <c r="BF218" s="822">
        <f>1+[3]!Salcycl*Ksac</f>
        <v>1.0499274695678706</v>
      </c>
      <c r="BH218" s="1101">
        <f t="shared" si="109"/>
        <v>0</v>
      </c>
      <c r="BI218" s="11">
        <v>44400</v>
      </c>
      <c r="BJ218" s="727">
        <v>0</v>
      </c>
      <c r="BK218" s="727">
        <v>0</v>
      </c>
      <c r="BL218" s="727">
        <v>0</v>
      </c>
      <c r="BM218" s="727">
        <v>0</v>
      </c>
      <c r="BN218" s="727">
        <v>0</v>
      </c>
      <c r="BO218" s="728">
        <v>0</v>
      </c>
      <c r="BP218" s="727">
        <v>0</v>
      </c>
      <c r="BQ218" s="727">
        <v>4.2455488003761769E-5</v>
      </c>
      <c r="BR218" s="727">
        <v>4.0314718299088614E-4</v>
      </c>
      <c r="BS218" s="727">
        <v>1.3876465849536963E-3</v>
      </c>
      <c r="BT218" s="727">
        <v>2.9534982058884302E-3</v>
      </c>
      <c r="BW218" s="1157">
        <f>'2018'!R\Max</f>
        <v>0.98085573029528494</v>
      </c>
      <c r="BX218" s="1155">
        <f>'2019'!R\Max</f>
        <v>0.91479166885356378</v>
      </c>
      <c r="BY218" s="1155">
        <f>'2020'!R\Max</f>
        <v>0.85713733126029679</v>
      </c>
      <c r="BZ218" s="1155">
        <f>'2021'!R\Max</f>
        <v>0.74216517297857731</v>
      </c>
      <c r="CA218" s="1155">
        <f>'2022'!R\Max</f>
        <v>0.85484321954634568</v>
      </c>
      <c r="CB218" s="1155">
        <f>'2023'!R\Max</f>
        <v>0.85484321954634568</v>
      </c>
      <c r="CC218" s="1155">
        <f>'2024'!R\Max</f>
        <v>0.85484321954634568</v>
      </c>
      <c r="CD218" s="1155">
        <f>'2025'!R\Max</f>
        <v>0.85484321954634557</v>
      </c>
      <c r="CE218" s="1155">
        <f>'2026'!R\Max</f>
        <v>0.85484321954634568</v>
      </c>
      <c r="CF218" s="1156">
        <f>'2027'!R\Max</f>
        <v>0.85484321954634568</v>
      </c>
    </row>
    <row r="219" spans="1:84" s="6" customFormat="1" ht="11.25" x14ac:dyDescent="0.2">
      <c r="A219" s="11">
        <v>43305</v>
      </c>
      <c r="B219" s="380">
        <f>'2022'!Maxi_hp</f>
        <v>37.893996743141429</v>
      </c>
      <c r="C219" s="13">
        <f>'2022'!An_max</f>
        <v>2022</v>
      </c>
      <c r="D219" s="1070"/>
      <c r="E219" s="13"/>
      <c r="F219" s="13">
        <f t="shared" si="110"/>
        <v>17</v>
      </c>
      <c r="G219" s="13">
        <f t="shared" si="94"/>
        <v>16</v>
      </c>
      <c r="H219" s="173">
        <f t="shared" si="95"/>
        <v>43318</v>
      </c>
      <c r="I219" s="754">
        <f t="shared" si="96"/>
        <v>0.9285714285714286</v>
      </c>
      <c r="J219" s="747">
        <f t="shared" si="97"/>
        <v>40.932903352719066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P219" s="13">
        <f t="shared" si="98"/>
        <v>9</v>
      </c>
      <c r="AQ219" s="13">
        <f t="shared" si="99"/>
        <v>10</v>
      </c>
      <c r="AR219" s="173">
        <f t="shared" si="100"/>
        <v>43304</v>
      </c>
      <c r="AS219" s="754">
        <f t="shared" si="101"/>
        <v>3.5714285714285712E-2</v>
      </c>
      <c r="AT219" s="770">
        <f t="shared" si="102"/>
        <v>40.936103209287729</v>
      </c>
      <c r="AU219" s="13">
        <f t="shared" si="103"/>
        <v>9</v>
      </c>
      <c r="AV219" s="13">
        <f t="shared" si="104"/>
        <v>8</v>
      </c>
      <c r="AW219" s="173">
        <f t="shared" si="105"/>
        <v>43318</v>
      </c>
      <c r="AX219" s="754">
        <f t="shared" si="106"/>
        <v>0.4642857142857143</v>
      </c>
      <c r="AY219" s="770">
        <f t="shared" si="107"/>
        <v>41.022448048181829</v>
      </c>
      <c r="AZ219" s="747">
        <f t="shared" si="111"/>
        <v>40.979275628734783</v>
      </c>
      <c r="BA219" s="646">
        <f t="shared" si="108"/>
        <v>0.92575883065534437</v>
      </c>
      <c r="BB219" s="641">
        <v>43305</v>
      </c>
      <c r="BC219" s="11">
        <v>43305</v>
      </c>
      <c r="BD219" s="290">
        <f>[3]!FeuilCaduc*(1-Persistant)+Persistant</f>
        <v>0.99979135448869283</v>
      </c>
      <c r="BE219" s="291">
        <f>[3]!CroissVégét</f>
        <v>0.85923493718111654</v>
      </c>
      <c r="BF219" s="822">
        <f>1+[3]!Salcycl*Ksac</f>
        <v>1.0499478386221732</v>
      </c>
      <c r="BH219" s="1101">
        <f t="shared" si="109"/>
        <v>0</v>
      </c>
      <c r="BI219" s="11">
        <v>44401</v>
      </c>
      <c r="BJ219" s="727">
        <v>0</v>
      </c>
      <c r="BK219" s="727">
        <v>0</v>
      </c>
      <c r="BL219" s="727">
        <v>0</v>
      </c>
      <c r="BM219" s="727">
        <v>0</v>
      </c>
      <c r="BN219" s="727">
        <v>0</v>
      </c>
      <c r="BO219" s="728">
        <v>0</v>
      </c>
      <c r="BP219" s="727">
        <v>0</v>
      </c>
      <c r="BQ219" s="727">
        <v>4.4045526091753639E-5</v>
      </c>
      <c r="BR219" s="727">
        <v>4.1069680894387391E-4</v>
      </c>
      <c r="BS219" s="727">
        <v>1.4144644370080834E-3</v>
      </c>
      <c r="BT219" s="727">
        <v>3.0113028841926288E-3</v>
      </c>
      <c r="BW219" s="1157">
        <f>'2018'!R\Max</f>
        <v>0.77764387897169163</v>
      </c>
      <c r="BX219" s="1155">
        <f>'2019'!R\Max</f>
        <v>0.9184043991356301</v>
      </c>
      <c r="BY219" s="1155">
        <f>'2020'!R\Max</f>
        <v>0.80641572391683014</v>
      </c>
      <c r="BZ219" s="1155">
        <f>'2021'!R\Max</f>
        <v>0.49541732589634363</v>
      </c>
      <c r="CA219" s="1155">
        <f>'2022'!R\Max</f>
        <v>0.92575883065534437</v>
      </c>
      <c r="CB219" s="1155">
        <f>'2023'!R\Max</f>
        <v>0.92575883065534437</v>
      </c>
      <c r="CC219" s="1155">
        <f>'2024'!R\Max</f>
        <v>0.92575883065534459</v>
      </c>
      <c r="CD219" s="1155">
        <f>'2025'!R\Max</f>
        <v>0.92575883065534437</v>
      </c>
      <c r="CE219" s="1155">
        <f>'2026'!R\Max</f>
        <v>0.92575883065534437</v>
      </c>
      <c r="CF219" s="1156">
        <f>'2027'!R\Max</f>
        <v>0.92575883065534437</v>
      </c>
    </row>
    <row r="220" spans="1:84" s="6" customFormat="1" ht="11.25" x14ac:dyDescent="0.2">
      <c r="A220" s="11">
        <v>43306</v>
      </c>
      <c r="B220" s="380">
        <f>'2022'!Maxi_hp</f>
        <v>41.517040985591251</v>
      </c>
      <c r="C220" s="13">
        <f>'2022'!An_max</f>
        <v>2020</v>
      </c>
      <c r="D220" s="1070"/>
      <c r="E220" s="13"/>
      <c r="F220" s="13">
        <f t="shared" si="110"/>
        <v>17</v>
      </c>
      <c r="G220" s="13">
        <f t="shared" si="94"/>
        <v>16</v>
      </c>
      <c r="H220" s="173">
        <f t="shared" si="95"/>
        <v>43318</v>
      </c>
      <c r="I220" s="754">
        <f t="shared" si="96"/>
        <v>0.8571428571428571</v>
      </c>
      <c r="J220" s="747">
        <f t="shared" si="97"/>
        <v>40.845992128231693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P220" s="13">
        <f t="shared" si="98"/>
        <v>9</v>
      </c>
      <c r="AQ220" s="13">
        <f t="shared" si="99"/>
        <v>10</v>
      </c>
      <c r="AR220" s="173">
        <f t="shared" si="100"/>
        <v>43304</v>
      </c>
      <c r="AS220" s="754">
        <f t="shared" si="101"/>
        <v>7.1428571428571425E-2</v>
      </c>
      <c r="AT220" s="770">
        <f t="shared" si="102"/>
        <v>40.851861133399822</v>
      </c>
      <c r="AU220" s="13">
        <f t="shared" si="103"/>
        <v>9</v>
      </c>
      <c r="AV220" s="13">
        <f t="shared" si="104"/>
        <v>8</v>
      </c>
      <c r="AW220" s="173">
        <f t="shared" si="105"/>
        <v>43318</v>
      </c>
      <c r="AX220" s="754">
        <f t="shared" si="106"/>
        <v>0.42857142857142855</v>
      </c>
      <c r="AY220" s="770">
        <f t="shared" si="107"/>
        <v>40.931618950702251</v>
      </c>
      <c r="AZ220" s="747">
        <f t="shared" si="111"/>
        <v>40.89174004205104</v>
      </c>
      <c r="BA220" s="646">
        <f t="shared" si="108"/>
        <v>1.0164287564677796</v>
      </c>
      <c r="BB220" s="641">
        <v>43306</v>
      </c>
      <c r="BC220" s="11">
        <v>43306</v>
      </c>
      <c r="BD220" s="290">
        <f>[3]!FeuilCaduc*(1-Persistant)+Persistant</f>
        <v>0.99985252597448171</v>
      </c>
      <c r="BE220" s="291">
        <f>[3]!CroissVégét</f>
        <v>0.86414353915538655</v>
      </c>
      <c r="BF220" s="822">
        <f>1+[3]!Salcycl*Ksac</f>
        <v>1.0499631314936204</v>
      </c>
      <c r="BH220" s="1101">
        <f t="shared" si="109"/>
        <v>0</v>
      </c>
      <c r="BI220" s="11">
        <v>44402</v>
      </c>
      <c r="BJ220" s="727">
        <v>0</v>
      </c>
      <c r="BK220" s="727">
        <v>0</v>
      </c>
      <c r="BL220" s="727">
        <v>0</v>
      </c>
      <c r="BM220" s="727">
        <v>0</v>
      </c>
      <c r="BN220" s="727">
        <v>0</v>
      </c>
      <c r="BO220" s="728">
        <v>0</v>
      </c>
      <c r="BP220" s="727">
        <v>0</v>
      </c>
      <c r="BQ220" s="727">
        <v>4.6127026070995027E-5</v>
      </c>
      <c r="BR220" s="727">
        <v>4.2063768722783466E-4</v>
      </c>
      <c r="BS220" s="727">
        <v>1.446903339479015E-3</v>
      </c>
      <c r="BT220" s="727">
        <v>3.0787969567535409E-3</v>
      </c>
      <c r="BW220" s="1157">
        <f>'2018'!R\Max</f>
        <v>0.9480226632104598</v>
      </c>
      <c r="BX220" s="1155">
        <f>'2019'!R\Max</f>
        <v>0.92348701603237493</v>
      </c>
      <c r="BY220" s="1155">
        <f>'2020'!R\Max</f>
        <v>1.0164287564677796</v>
      </c>
      <c r="BZ220" s="1155">
        <f>'2021'!R\Max</f>
        <v>0.65009462765003279</v>
      </c>
      <c r="CA220" s="1155">
        <f>'2022'!R\Max</f>
        <v>0.52276883637109117</v>
      </c>
      <c r="CB220" s="1155">
        <f>'2023'!R\Max</f>
        <v>0.52276883637109128</v>
      </c>
      <c r="CC220" s="1155">
        <f>'2024'!R\Max</f>
        <v>0.52276883637109139</v>
      </c>
      <c r="CD220" s="1155">
        <f>'2025'!R\Max</f>
        <v>0.52276883637109139</v>
      </c>
      <c r="CE220" s="1155">
        <f>'2026'!R\Max</f>
        <v>0.52276883637109128</v>
      </c>
      <c r="CF220" s="1156">
        <f>'2027'!R\Max</f>
        <v>0.52276883637109139</v>
      </c>
    </row>
    <row r="221" spans="1:84" s="6" customFormat="1" ht="11.25" x14ac:dyDescent="0.2">
      <c r="A221" s="11">
        <v>43307</v>
      </c>
      <c r="B221" s="380">
        <f>'2022'!Maxi_hp</f>
        <v>40.464552652725096</v>
      </c>
      <c r="C221" s="13">
        <f>'2022'!An_max</f>
        <v>2020</v>
      </c>
      <c r="D221" s="1070"/>
      <c r="E221" s="13"/>
      <c r="F221" s="13">
        <f t="shared" si="110"/>
        <v>17</v>
      </c>
      <c r="G221" s="13">
        <f t="shared" si="94"/>
        <v>16</v>
      </c>
      <c r="H221" s="173">
        <f t="shared" si="95"/>
        <v>43318</v>
      </c>
      <c r="I221" s="754">
        <f t="shared" si="96"/>
        <v>0.7857142857142857</v>
      </c>
      <c r="J221" s="747">
        <f t="shared" si="97"/>
        <v>40.759152259325077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P221" s="13">
        <f t="shared" si="98"/>
        <v>9</v>
      </c>
      <c r="AQ221" s="13">
        <f t="shared" si="99"/>
        <v>10</v>
      </c>
      <c r="AR221" s="173">
        <f t="shared" si="100"/>
        <v>43304</v>
      </c>
      <c r="AS221" s="754">
        <f t="shared" si="101"/>
        <v>0.10714285714285714</v>
      </c>
      <c r="AT221" s="770">
        <f t="shared" si="102"/>
        <v>40.767253359640016</v>
      </c>
      <c r="AU221" s="13">
        <f t="shared" si="103"/>
        <v>9</v>
      </c>
      <c r="AV221" s="13">
        <f t="shared" si="104"/>
        <v>8</v>
      </c>
      <c r="AW221" s="173">
        <f t="shared" si="105"/>
        <v>43318</v>
      </c>
      <c r="AX221" s="754">
        <f t="shared" si="106"/>
        <v>0.39285714285714285</v>
      </c>
      <c r="AY221" s="770">
        <f t="shared" si="107"/>
        <v>40.839434095059651</v>
      </c>
      <c r="AZ221" s="747">
        <f t="shared" si="111"/>
        <v>40.803343727349834</v>
      </c>
      <c r="BA221" s="646">
        <f t="shared" si="108"/>
        <v>0.99277218513462628</v>
      </c>
      <c r="BB221" s="641">
        <v>43307</v>
      </c>
      <c r="BC221" s="11">
        <v>43307</v>
      </c>
      <c r="BD221" s="290">
        <f>[3]!FeuilCaduc*(1-Persistant)+Persistant</f>
        <v>0.99989481626753784</v>
      </c>
      <c r="BE221" s="291">
        <f>[3]!CroissVégét</f>
        <v>0.86890745271110437</v>
      </c>
      <c r="BF221" s="822">
        <f>1+[3]!Salcycl*Ksac</f>
        <v>1.0499737040668844</v>
      </c>
      <c r="BH221" s="1101">
        <f t="shared" si="109"/>
        <v>0</v>
      </c>
      <c r="BI221" s="11">
        <v>44403</v>
      </c>
      <c r="BJ221" s="727">
        <v>0</v>
      </c>
      <c r="BK221" s="727">
        <v>0</v>
      </c>
      <c r="BL221" s="727">
        <v>0</v>
      </c>
      <c r="BM221" s="727">
        <v>0</v>
      </c>
      <c r="BN221" s="727">
        <v>0</v>
      </c>
      <c r="BO221" s="728">
        <v>0</v>
      </c>
      <c r="BP221" s="727">
        <v>0</v>
      </c>
      <c r="BQ221" s="727">
        <v>4.8862924210697638E-5</v>
      </c>
      <c r="BR221" s="727">
        <v>4.3376287845145342E-4</v>
      </c>
      <c r="BS221" s="727">
        <v>1.4861901151597854E-3</v>
      </c>
      <c r="BT221" s="727">
        <v>3.1572817101249966E-3</v>
      </c>
      <c r="BW221" s="1157">
        <f>'2018'!R\Max</f>
        <v>0.92989368212547074</v>
      </c>
      <c r="BX221" s="1155">
        <f>'2019'!R\Max</f>
        <v>0.46589239027876633</v>
      </c>
      <c r="BY221" s="1155">
        <f>'2020'!R\Max</f>
        <v>0.99277218513462628</v>
      </c>
      <c r="BZ221" s="1155">
        <f>'2021'!R\Max</f>
        <v>0.58308445464896508</v>
      </c>
      <c r="CA221" s="1155">
        <f>'2022'!R\Max</f>
        <v>0.96437868220477863</v>
      </c>
      <c r="CB221" s="1155">
        <f>'2023'!R\Max</f>
        <v>0.96437868220477874</v>
      </c>
      <c r="CC221" s="1155">
        <f>'2024'!R\Max</f>
        <v>0.96437868220477874</v>
      </c>
      <c r="CD221" s="1155">
        <f>'2025'!R\Max</f>
        <v>0.96437868220477863</v>
      </c>
      <c r="CE221" s="1155">
        <f>'2026'!R\Max</f>
        <v>0.96437868220477863</v>
      </c>
      <c r="CF221" s="1156">
        <f>'2027'!R\Max</f>
        <v>0.96437868220477874</v>
      </c>
    </row>
    <row r="222" spans="1:84" s="6" customFormat="1" ht="11.25" x14ac:dyDescent="0.2">
      <c r="A222" s="11">
        <v>43308</v>
      </c>
      <c r="B222" s="380">
        <f>'2022'!Maxi_hp</f>
        <v>41.272360426201722</v>
      </c>
      <c r="C222" s="13">
        <f>'2022'!An_max</f>
        <v>2022</v>
      </c>
      <c r="D222" s="1070"/>
      <c r="E222" s="13"/>
      <c r="F222" s="13">
        <f t="shared" si="110"/>
        <v>17</v>
      </c>
      <c r="G222" s="13">
        <f t="shared" si="94"/>
        <v>16</v>
      </c>
      <c r="H222" s="173">
        <f t="shared" si="95"/>
        <v>43318</v>
      </c>
      <c r="I222" s="754">
        <f t="shared" si="96"/>
        <v>0.7142857142857143</v>
      </c>
      <c r="J222" s="747">
        <f t="shared" si="97"/>
        <v>40.672169679243652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P222" s="13">
        <f t="shared" si="98"/>
        <v>9</v>
      </c>
      <c r="AQ222" s="13">
        <f t="shared" si="99"/>
        <v>10</v>
      </c>
      <c r="AR222" s="173">
        <f t="shared" si="100"/>
        <v>43304</v>
      </c>
      <c r="AS222" s="754">
        <f t="shared" si="101"/>
        <v>0.14285714285714285</v>
      </c>
      <c r="AT222" s="770">
        <f t="shared" si="102"/>
        <v>40.682159475290348</v>
      </c>
      <c r="AU222" s="13">
        <f t="shared" si="103"/>
        <v>9</v>
      </c>
      <c r="AV222" s="13">
        <f t="shared" si="104"/>
        <v>8</v>
      </c>
      <c r="AW222" s="173">
        <f t="shared" si="105"/>
        <v>43318</v>
      </c>
      <c r="AX222" s="754">
        <f t="shared" si="106"/>
        <v>0.35714285714285715</v>
      </c>
      <c r="AY222" s="770">
        <f t="shared" si="107"/>
        <v>40.745933619021834</v>
      </c>
      <c r="AZ222" s="747">
        <f t="shared" si="111"/>
        <v>40.714046547156087</v>
      </c>
      <c r="BA222" s="646">
        <f t="shared" si="108"/>
        <v>1.0147567919708096</v>
      </c>
      <c r="BB222" s="641">
        <v>43308</v>
      </c>
      <c r="BC222" s="11">
        <v>43308</v>
      </c>
      <c r="BD222" s="290">
        <f>[3]!FeuilCaduc*(1-Persistant)+Persistant</f>
        <v>0.99991954843281095</v>
      </c>
      <c r="BE222" s="291">
        <f>[3]!CroissVégét</f>
        <v>0.87352913572103608</v>
      </c>
      <c r="BF222" s="822">
        <f>1+[3]!Salcycl*Ksac</f>
        <v>1.0499798871082027</v>
      </c>
      <c r="BH222" s="1101">
        <f t="shared" si="109"/>
        <v>0</v>
      </c>
      <c r="BI222" s="11">
        <v>44404</v>
      </c>
      <c r="BJ222" s="727">
        <v>0</v>
      </c>
      <c r="BK222" s="727">
        <v>0</v>
      </c>
      <c r="BL222" s="727">
        <v>0</v>
      </c>
      <c r="BM222" s="727">
        <v>0</v>
      </c>
      <c r="BN222" s="727">
        <v>0</v>
      </c>
      <c r="BO222" s="728">
        <v>0</v>
      </c>
      <c r="BP222" s="727">
        <v>0</v>
      </c>
      <c r="BQ222" s="727">
        <v>5.2252892950913279E-5</v>
      </c>
      <c r="BR222" s="727">
        <v>4.5007072368099383E-4</v>
      </c>
      <c r="BS222" s="727">
        <v>1.5323214922115117E-3</v>
      </c>
      <c r="BT222" s="727">
        <v>3.2467523055915537E-3</v>
      </c>
      <c r="BW222" s="1157">
        <f>'2018'!R\Max</f>
        <v>0.82869914017765289</v>
      </c>
      <c r="BX222" s="1155">
        <f>'2019'!R\Max</f>
        <v>0.20057620473500756</v>
      </c>
      <c r="BY222" s="1155">
        <f>'2020'!R\Max</f>
        <v>0.79279303645058352</v>
      </c>
      <c r="BZ222" s="1155">
        <f>'2021'!R\Max</f>
        <v>0.83246303389460508</v>
      </c>
      <c r="CA222" s="1155">
        <f>'2022'!R\Max</f>
        <v>1.0147567919708096</v>
      </c>
      <c r="CB222" s="1155">
        <f>'2023'!R\Max</f>
        <v>1.01475679197081</v>
      </c>
      <c r="CC222" s="1155">
        <f>'2024'!R\Max</f>
        <v>1.0147567919708098</v>
      </c>
      <c r="CD222" s="1155">
        <f>'2025'!R\Max</f>
        <v>1.01475679197081</v>
      </c>
      <c r="CE222" s="1155">
        <f>'2026'!R\Max</f>
        <v>1.0147567919708098</v>
      </c>
      <c r="CF222" s="1156">
        <f>'2027'!R\Max</f>
        <v>1.01475679197081</v>
      </c>
    </row>
    <row r="223" spans="1:84" s="6" customFormat="1" ht="11.25" x14ac:dyDescent="0.2">
      <c r="A223" s="11">
        <v>43309</v>
      </c>
      <c r="B223" s="380">
        <f>'2022'!Maxi_hp</f>
        <v>39.810455578458225</v>
      </c>
      <c r="C223" s="13">
        <f>'2022'!An_max</f>
        <v>2019</v>
      </c>
      <c r="D223" s="1070"/>
      <c r="E223" s="13"/>
      <c r="F223" s="13">
        <f t="shared" si="110"/>
        <v>17</v>
      </c>
      <c r="G223" s="13">
        <f t="shared" si="94"/>
        <v>16</v>
      </c>
      <c r="H223" s="173">
        <f t="shared" si="95"/>
        <v>43318</v>
      </c>
      <c r="I223" s="754">
        <f t="shared" si="96"/>
        <v>0.6428571428571429</v>
      </c>
      <c r="J223" s="747">
        <f t="shared" si="97"/>
        <v>40.584830320633145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P223" s="13">
        <f t="shared" si="98"/>
        <v>9</v>
      </c>
      <c r="AQ223" s="13">
        <f t="shared" si="99"/>
        <v>10</v>
      </c>
      <c r="AR223" s="173">
        <f t="shared" si="100"/>
        <v>43304</v>
      </c>
      <c r="AS223" s="754">
        <f t="shared" si="101"/>
        <v>0.17857142857142858</v>
      </c>
      <c r="AT223" s="770">
        <f t="shared" si="102"/>
        <v>40.596459067566322</v>
      </c>
      <c r="AU223" s="13">
        <f t="shared" si="103"/>
        <v>9</v>
      </c>
      <c r="AV223" s="13">
        <f t="shared" si="104"/>
        <v>8</v>
      </c>
      <c r="AW223" s="173">
        <f t="shared" si="105"/>
        <v>43318</v>
      </c>
      <c r="AX223" s="754">
        <f t="shared" si="106"/>
        <v>0.32142857142857145</v>
      </c>
      <c r="AY223" s="770">
        <f t="shared" si="107"/>
        <v>40.651157660150375</v>
      </c>
      <c r="AZ223" s="747">
        <f t="shared" si="111"/>
        <v>40.623808363858345</v>
      </c>
      <c r="BA223" s="646">
        <f t="shared" si="108"/>
        <v>0.98091960133731959</v>
      </c>
      <c r="BB223" s="641">
        <v>43309</v>
      </c>
      <c r="BC223" s="11">
        <v>43309</v>
      </c>
      <c r="BD223" s="290">
        <f>[3]!FeuilCaduc*(1-Persistant)+Persistant</f>
        <v>0.99992794285951137</v>
      </c>
      <c r="BE223" s="291">
        <f>[3]!CroissVégét</f>
        <v>0.8780111344941991</v>
      </c>
      <c r="BF223" s="822">
        <f>1+[3]!Salcycl*Ksac</f>
        <v>1.0499819857148778</v>
      </c>
      <c r="BH223" s="1101">
        <f t="shared" si="109"/>
        <v>0</v>
      </c>
      <c r="BI223" s="11">
        <v>44405</v>
      </c>
      <c r="BJ223" s="727">
        <v>0</v>
      </c>
      <c r="BK223" s="727">
        <v>0</v>
      </c>
      <c r="BL223" s="727">
        <v>0</v>
      </c>
      <c r="BM223" s="727">
        <v>0</v>
      </c>
      <c r="BN223" s="727">
        <v>0</v>
      </c>
      <c r="BO223" s="728">
        <v>0</v>
      </c>
      <c r="BP223" s="727">
        <v>0</v>
      </c>
      <c r="BQ223" s="727">
        <v>5.6296654654389378E-5</v>
      </c>
      <c r="BR223" s="727">
        <v>4.6955980685976946E-4</v>
      </c>
      <c r="BS223" s="727">
        <v>1.5852947070239332E-3</v>
      </c>
      <c r="BT223" s="727">
        <v>3.3472047004924916E-3</v>
      </c>
      <c r="BW223" s="1157">
        <f>'2018'!R\Max</f>
        <v>0.4578450246017059</v>
      </c>
      <c r="BX223" s="1155">
        <f>'2019'!R\Max</f>
        <v>0.98091960133731959</v>
      </c>
      <c r="BY223" s="1155">
        <f>'2020'!R\Max</f>
        <v>0.94456856390279087</v>
      </c>
      <c r="BZ223" s="1155">
        <f>'2021'!R\Max</f>
        <v>0.4576497443777634</v>
      </c>
      <c r="CA223" s="1155">
        <f>'2022'!R\Max</f>
        <v>0.82071579641018755</v>
      </c>
      <c r="CB223" s="1155">
        <f>'2023'!R\Max</f>
        <v>0.82071579641018777</v>
      </c>
      <c r="CC223" s="1155">
        <f>'2024'!R\Max</f>
        <v>0.82071579641018755</v>
      </c>
      <c r="CD223" s="1155">
        <f>'2025'!R\Max</f>
        <v>0.82071579641018755</v>
      </c>
      <c r="CE223" s="1155">
        <f>'2026'!R\Max</f>
        <v>0.82071579641018755</v>
      </c>
      <c r="CF223" s="1156">
        <f>'2027'!R\Max</f>
        <v>0.82071579641018777</v>
      </c>
    </row>
    <row r="224" spans="1:84" s="6" customFormat="1" ht="11.25" x14ac:dyDescent="0.2">
      <c r="A224" s="11">
        <v>43310</v>
      </c>
      <c r="B224" s="380">
        <f>'2022'!Maxi_hp</f>
        <v>38.323446514546944</v>
      </c>
      <c r="C224" s="13">
        <f>'2022'!An_max</f>
        <v>2021</v>
      </c>
      <c r="D224" s="1070"/>
      <c r="E224" s="13"/>
      <c r="F224" s="13">
        <f t="shared" si="110"/>
        <v>17</v>
      </c>
      <c r="G224" s="13">
        <f t="shared" si="94"/>
        <v>16</v>
      </c>
      <c r="H224" s="173">
        <f t="shared" si="95"/>
        <v>43318</v>
      </c>
      <c r="I224" s="754">
        <f t="shared" si="96"/>
        <v>0.5714285714285714</v>
      </c>
      <c r="J224" s="747">
        <f t="shared" si="97"/>
        <v>40.496920116352186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P224" s="13">
        <f t="shared" si="98"/>
        <v>9</v>
      </c>
      <c r="AQ224" s="13">
        <f t="shared" si="99"/>
        <v>10</v>
      </c>
      <c r="AR224" s="173">
        <f t="shared" si="100"/>
        <v>43304</v>
      </c>
      <c r="AS224" s="754">
        <f t="shared" si="101"/>
        <v>0.21428571428571427</v>
      </c>
      <c r="AT224" s="770">
        <f t="shared" si="102"/>
        <v>40.510031723896304</v>
      </c>
      <c r="AU224" s="13">
        <f t="shared" si="103"/>
        <v>9</v>
      </c>
      <c r="AV224" s="13">
        <f t="shared" si="104"/>
        <v>8</v>
      </c>
      <c r="AW224" s="173">
        <f t="shared" si="105"/>
        <v>43318</v>
      </c>
      <c r="AX224" s="754">
        <f t="shared" si="106"/>
        <v>0.2857142857142857</v>
      </c>
      <c r="AY224" s="770">
        <f t="shared" si="107"/>
        <v>40.555146355740725</v>
      </c>
      <c r="AZ224" s="747">
        <f t="shared" si="111"/>
        <v>40.532589039818518</v>
      </c>
      <c r="BA224" s="646">
        <f t="shared" si="108"/>
        <v>0.94632990371710712</v>
      </c>
      <c r="BB224" s="641">
        <v>43310</v>
      </c>
      <c r="BC224" s="11">
        <v>43310</v>
      </c>
      <c r="BD224" s="290">
        <f>[3]!FeuilCaduc*(1-Persistant)+Persistant</f>
        <v>0.99992111588909649</v>
      </c>
      <c r="BE224" s="291">
        <f>[3]!CroissVégét</f>
        <v>0.88235607250226589</v>
      </c>
      <c r="BF224" s="822">
        <f>1+[3]!Salcycl*Ksac</f>
        <v>1.0499802789722741</v>
      </c>
      <c r="BH224" s="1101">
        <f t="shared" si="109"/>
        <v>0</v>
      </c>
      <c r="BI224" s="11">
        <v>44406</v>
      </c>
      <c r="BJ224" s="727">
        <v>0</v>
      </c>
      <c r="BK224" s="727">
        <v>0</v>
      </c>
      <c r="BL224" s="727">
        <v>0</v>
      </c>
      <c r="BM224" s="727">
        <v>0</v>
      </c>
      <c r="BN224" s="727">
        <v>0</v>
      </c>
      <c r="BO224" s="728">
        <v>0</v>
      </c>
      <c r="BP224" s="727">
        <v>0</v>
      </c>
      <c r="BQ224" s="727">
        <v>6.0993979574801988E-5</v>
      </c>
      <c r="BR224" s="727">
        <v>4.9222894492775794E-4</v>
      </c>
      <c r="BS224" s="727">
        <v>1.645107482968429E-3</v>
      </c>
      <c r="BT224" s="727">
        <v>3.4586356141220131E-3</v>
      </c>
      <c r="BW224" s="1157">
        <f>'2018'!R\Max</f>
        <v>0.89207995827960951</v>
      </c>
      <c r="BX224" s="1155">
        <f>'2019'!R\Max</f>
        <v>0.93016094954257955</v>
      </c>
      <c r="BY224" s="1155">
        <f>'2020'!R\Max</f>
        <v>0.57870797995105139</v>
      </c>
      <c r="BZ224" s="1155">
        <f>'2021'!R\Max</f>
        <v>0.94632990371710712</v>
      </c>
      <c r="CA224" s="1155">
        <f>'2022'!R\Max</f>
        <v>0.52459965330494795</v>
      </c>
      <c r="CB224" s="1155">
        <f>'2023'!R\Max</f>
        <v>0.52459965330494807</v>
      </c>
      <c r="CC224" s="1155">
        <f>'2024'!R\Max</f>
        <v>0.52459965330494795</v>
      </c>
      <c r="CD224" s="1155">
        <f>'2025'!R\Max</f>
        <v>0.52459965330494807</v>
      </c>
      <c r="CE224" s="1155">
        <f>'2026'!R\Max</f>
        <v>0.52459965330494795</v>
      </c>
      <c r="CF224" s="1156">
        <f>'2027'!R\Max</f>
        <v>0.52459965330494807</v>
      </c>
    </row>
    <row r="225" spans="1:84" s="6" customFormat="1" ht="11.25" x14ac:dyDescent="0.2">
      <c r="A225" s="11">
        <v>43311</v>
      </c>
      <c r="B225" s="380">
        <f>'2022'!Maxi_hp</f>
        <v>37.359921298844867</v>
      </c>
      <c r="C225" s="13">
        <f>'2022'!An_max</f>
        <v>2018</v>
      </c>
      <c r="D225" s="1070"/>
      <c r="E225" s="13"/>
      <c r="F225" s="13">
        <f t="shared" si="110"/>
        <v>17</v>
      </c>
      <c r="G225" s="13">
        <f t="shared" si="94"/>
        <v>16</v>
      </c>
      <c r="H225" s="173">
        <f t="shared" si="95"/>
        <v>43318</v>
      </c>
      <c r="I225" s="754">
        <f t="shared" si="96"/>
        <v>0.5</v>
      </c>
      <c r="J225" s="747">
        <f t="shared" si="97"/>
        <v>40.408224999858064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P225" s="13">
        <f t="shared" si="98"/>
        <v>9</v>
      </c>
      <c r="AQ225" s="13">
        <f t="shared" si="99"/>
        <v>10</v>
      </c>
      <c r="AR225" s="173">
        <f t="shared" si="100"/>
        <v>43304</v>
      </c>
      <c r="AS225" s="754">
        <f t="shared" si="101"/>
        <v>0.25</v>
      </c>
      <c r="AT225" s="770">
        <f t="shared" si="102"/>
        <v>40.422757031256332</v>
      </c>
      <c r="AU225" s="13">
        <f t="shared" si="103"/>
        <v>9</v>
      </c>
      <c r="AV225" s="13">
        <f t="shared" si="104"/>
        <v>8</v>
      </c>
      <c r="AW225" s="173">
        <f t="shared" si="105"/>
        <v>43318</v>
      </c>
      <c r="AX225" s="754">
        <f t="shared" si="106"/>
        <v>0.25</v>
      </c>
      <c r="AY225" s="770">
        <f t="shared" si="107"/>
        <v>40.457939843880013</v>
      </c>
      <c r="AZ225" s="747">
        <f t="shared" si="111"/>
        <v>40.440348437568176</v>
      </c>
      <c r="BA225" s="646">
        <f t="shared" si="108"/>
        <v>0.92456229638832432</v>
      </c>
      <c r="BB225" s="641">
        <v>43311</v>
      </c>
      <c r="BC225" s="11">
        <v>43311</v>
      </c>
      <c r="BD225" s="290">
        <f>[3]!FeuilCaduc*(1-Persistant)+Persistant</f>
        <v>0.99990007924593782</v>
      </c>
      <c r="BE225" s="291">
        <f>[3]!CroissVégét</f>
        <v>0.88656663959603077</v>
      </c>
      <c r="BF225" s="822">
        <f>1+[3]!Salcycl*Ksac</f>
        <v>1.0499750198114846</v>
      </c>
      <c r="BH225" s="1101">
        <f t="shared" si="109"/>
        <v>0</v>
      </c>
      <c r="BI225" s="11">
        <v>44407</v>
      </c>
      <c r="BJ225" s="727">
        <v>0</v>
      </c>
      <c r="BK225" s="727">
        <v>0</v>
      </c>
      <c r="BL225" s="727">
        <v>0</v>
      </c>
      <c r="BM225" s="727">
        <v>0</v>
      </c>
      <c r="BN225" s="727">
        <v>0</v>
      </c>
      <c r="BO225" s="728">
        <v>0</v>
      </c>
      <c r="BP225" s="727">
        <v>0</v>
      </c>
      <c r="BQ225" s="727">
        <v>6.634468382685369E-5</v>
      </c>
      <c r="BR225" s="727">
        <v>5.1807717795685198E-4</v>
      </c>
      <c r="BS225" s="727">
        <v>1.7117580092038558E-3</v>
      </c>
      <c r="BT225" s="727">
        <v>3.5810424937410116E-3</v>
      </c>
      <c r="BW225" s="1157">
        <f>'2018'!R\Max</f>
        <v>0.92456229638832432</v>
      </c>
      <c r="BX225" s="1155">
        <f>'2019'!R\Max</f>
        <v>0.48510672164529806</v>
      </c>
      <c r="BY225" s="1155">
        <f>'2020'!R\Max</f>
        <v>0.88001691757031941</v>
      </c>
      <c r="BZ225" s="1155">
        <f>'2021'!R\Max</f>
        <v>0.30327633091885253</v>
      </c>
      <c r="CA225" s="1155">
        <f>'2022'!R\Max</f>
        <v>0.84028413011667169</v>
      </c>
      <c r="CB225" s="1155">
        <f>'2023'!R\Max</f>
        <v>0.84028413011667169</v>
      </c>
      <c r="CC225" s="1155">
        <f>'2024'!R\Max</f>
        <v>0.84028413011667169</v>
      </c>
      <c r="CD225" s="1155">
        <f>'2025'!R\Max</f>
        <v>0.84028413011667169</v>
      </c>
      <c r="CE225" s="1155">
        <f>'2026'!R\Max</f>
        <v>0.84028413011667169</v>
      </c>
      <c r="CF225" s="1156">
        <f>'2027'!R\Max</f>
        <v>0.8402841301166718</v>
      </c>
    </row>
    <row r="226" spans="1:84" s="6" customFormat="1" ht="11.25" x14ac:dyDescent="0.2">
      <c r="A226" s="11">
        <v>43312</v>
      </c>
      <c r="B226" s="380">
        <f>'2022'!Maxi_hp</f>
        <v>39.57385341036813</v>
      </c>
      <c r="C226" s="13">
        <f>'2022'!An_max</f>
        <v>2022</v>
      </c>
      <c r="D226" s="1070"/>
      <c r="E226" s="13"/>
      <c r="F226" s="13">
        <f t="shared" si="110"/>
        <v>17</v>
      </c>
      <c r="G226" s="13">
        <f t="shared" si="94"/>
        <v>16</v>
      </c>
      <c r="H226" s="173">
        <f t="shared" si="95"/>
        <v>43318</v>
      </c>
      <c r="I226" s="754">
        <f t="shared" si="96"/>
        <v>0.42857142857142855</v>
      </c>
      <c r="J226" s="747">
        <f t="shared" si="97"/>
        <v>40.318530903610267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P226" s="13">
        <f t="shared" si="98"/>
        <v>9</v>
      </c>
      <c r="AQ226" s="13">
        <f t="shared" si="99"/>
        <v>10</v>
      </c>
      <c r="AR226" s="173">
        <f t="shared" si="100"/>
        <v>43304</v>
      </c>
      <c r="AS226" s="754">
        <f t="shared" si="101"/>
        <v>0.2857142857142857</v>
      </c>
      <c r="AT226" s="770">
        <f t="shared" si="102"/>
        <v>40.334514576994948</v>
      </c>
      <c r="AU226" s="13">
        <f t="shared" si="103"/>
        <v>9</v>
      </c>
      <c r="AV226" s="13">
        <f t="shared" si="104"/>
        <v>8</v>
      </c>
      <c r="AW226" s="173">
        <f t="shared" si="105"/>
        <v>43318</v>
      </c>
      <c r="AX226" s="754">
        <f t="shared" si="106"/>
        <v>0.21428571428571427</v>
      </c>
      <c r="AY226" s="770">
        <f t="shared" si="107"/>
        <v>40.359578261857052</v>
      </c>
      <c r="AZ226" s="747">
        <f t="shared" si="111"/>
        <v>40.347046419426</v>
      </c>
      <c r="BA226" s="646">
        <f t="shared" si="108"/>
        <v>0.98153014317355858</v>
      </c>
      <c r="BB226" s="641">
        <v>43312</v>
      </c>
      <c r="BC226" s="11">
        <v>43312</v>
      </c>
      <c r="BD226" s="290">
        <f>[3]!FeuilCaduc*(1-Persistant)+Persistant</f>
        <v>0.99986574023617636</v>
      </c>
      <c r="BE226" s="291">
        <f>[3]!CroissVégét</f>
        <v>0.89064558172697694</v>
      </c>
      <c r="BF226" s="822">
        <f>1+[3]!Salcycl*Ksac</f>
        <v>1.0499664350590441</v>
      </c>
      <c r="BH226" s="1101">
        <f t="shared" si="109"/>
        <v>0</v>
      </c>
      <c r="BI226" s="11">
        <v>44408</v>
      </c>
      <c r="BJ226" s="727">
        <v>0</v>
      </c>
      <c r="BK226" s="727">
        <v>0</v>
      </c>
      <c r="BL226" s="727">
        <v>0</v>
      </c>
      <c r="BM226" s="727">
        <v>0</v>
      </c>
      <c r="BN226" s="727">
        <v>0</v>
      </c>
      <c r="BO226" s="728">
        <v>0</v>
      </c>
      <c r="BP226" s="727">
        <v>2.4675848321271476E-9</v>
      </c>
      <c r="BQ226" s="727">
        <v>7.2732575572095702E-5</v>
      </c>
      <c r="BR226" s="727">
        <v>5.4709767608572318E-4</v>
      </c>
      <c r="BS226" s="727">
        <v>1.7842345988788634E-3</v>
      </c>
      <c r="BT226" s="727">
        <v>3.7114181711339184E-3</v>
      </c>
      <c r="BW226" s="1157">
        <f>'2018'!R\Max</f>
        <v>0.83519386683940167</v>
      </c>
      <c r="BX226" s="1155">
        <f>'2019'!R\Max</f>
        <v>0.95235853444771856</v>
      </c>
      <c r="BY226" s="1155">
        <f>'2020'!R\Max</f>
        <v>0.9463854130737398</v>
      </c>
      <c r="BZ226" s="1155">
        <f>'2021'!R\Max</f>
        <v>0.22542548490062547</v>
      </c>
      <c r="CA226" s="1155">
        <f>'2022'!R\Max</f>
        <v>0.98153014317355858</v>
      </c>
      <c r="CB226" s="1155">
        <f>'2023'!R\Max</f>
        <v>0.98153014317311149</v>
      </c>
      <c r="CC226" s="1155">
        <f>'2024'!R\Max</f>
        <v>0.9815301431699287</v>
      </c>
      <c r="CD226" s="1155">
        <f>'2025'!R\Max</f>
        <v>0.98153014317355891</v>
      </c>
      <c r="CE226" s="1155">
        <f>'2026'!R\Max</f>
        <v>0.98153014317355891</v>
      </c>
      <c r="CF226" s="1156">
        <f>'2027'!R\Max</f>
        <v>0.98153014317355869</v>
      </c>
    </row>
    <row r="227" spans="1:84" s="6" customFormat="1" ht="11.25" x14ac:dyDescent="0.2">
      <c r="A227" s="11">
        <v>43313</v>
      </c>
      <c r="B227" s="380">
        <f>'2022'!Maxi_hp</f>
        <v>39.466065603726243</v>
      </c>
      <c r="C227" s="13">
        <f>'2022'!An_max</f>
        <v>2022</v>
      </c>
      <c r="D227" s="1070"/>
      <c r="E227" s="13"/>
      <c r="F227" s="13">
        <f t="shared" si="110"/>
        <v>17</v>
      </c>
      <c r="G227" s="13">
        <f t="shared" si="94"/>
        <v>16</v>
      </c>
      <c r="H227" s="173">
        <f t="shared" si="95"/>
        <v>43318</v>
      </c>
      <c r="I227" s="754">
        <f t="shared" si="96"/>
        <v>0.35714285714285715</v>
      </c>
      <c r="J227" s="747">
        <f t="shared" si="97"/>
        <v>40.227623760753445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P227" s="13">
        <f t="shared" si="98"/>
        <v>9</v>
      </c>
      <c r="AQ227" s="13">
        <f t="shared" si="99"/>
        <v>10</v>
      </c>
      <c r="AR227" s="173">
        <f t="shared" si="100"/>
        <v>43304</v>
      </c>
      <c r="AS227" s="754">
        <f t="shared" si="101"/>
        <v>0.32142857142857145</v>
      </c>
      <c r="AT227" s="770">
        <f t="shared" si="102"/>
        <v>40.245183949006197</v>
      </c>
      <c r="AU227" s="13">
        <f t="shared" si="103"/>
        <v>9</v>
      </c>
      <c r="AV227" s="13">
        <f t="shared" si="104"/>
        <v>8</v>
      </c>
      <c r="AW227" s="173">
        <f t="shared" si="105"/>
        <v>43318</v>
      </c>
      <c r="AX227" s="754">
        <f t="shared" si="106"/>
        <v>0.17857142857142858</v>
      </c>
      <c r="AY227" s="770">
        <f t="shared" si="107"/>
        <v>40.260101747266681</v>
      </c>
      <c r="AZ227" s="747">
        <f t="shared" si="111"/>
        <v>40.252642848136439</v>
      </c>
      <c r="BA227" s="646">
        <f t="shared" si="108"/>
        <v>0.98106877598447195</v>
      </c>
      <c r="BB227" s="641">
        <v>43313</v>
      </c>
      <c r="BC227" s="11">
        <v>43313</v>
      </c>
      <c r="BD227" s="290">
        <f>[3]!FeuilCaduc*(1-Persistant)+Persistant</f>
        <v>0.99981890267354601</v>
      </c>
      <c r="BE227" s="291">
        <f>[3]!CroissVégét</f>
        <v>0.89459569118431537</v>
      </c>
      <c r="BF227" s="822">
        <f>1+[3]!Salcycl*Ksac</f>
        <v>1.0499547256683865</v>
      </c>
      <c r="BH227" s="1101">
        <f t="shared" si="109"/>
        <v>0</v>
      </c>
      <c r="BI227" s="11">
        <v>44409</v>
      </c>
      <c r="BJ227" s="727">
        <v>0</v>
      </c>
      <c r="BK227" s="727">
        <v>0</v>
      </c>
      <c r="BL227" s="727">
        <v>0</v>
      </c>
      <c r="BM227" s="727">
        <v>0</v>
      </c>
      <c r="BN227" s="727">
        <v>0</v>
      </c>
      <c r="BO227" s="728">
        <v>0</v>
      </c>
      <c r="BP227" s="727">
        <v>7.4017188758264163E-9</v>
      </c>
      <c r="BQ227" s="727">
        <v>7.9950136976647098E-5</v>
      </c>
      <c r="BR227" s="727">
        <v>5.7848431003158134E-4</v>
      </c>
      <c r="BS227" s="727">
        <v>1.8611540822941236E-3</v>
      </c>
      <c r="BT227" s="727">
        <v>3.8480315219442535E-3</v>
      </c>
      <c r="BW227" s="1157">
        <f>'2018'!R\Max</f>
        <v>0.9118813217498436</v>
      </c>
      <c r="BX227" s="1155">
        <f>'2019'!R\Max</f>
        <v>0.87680950965517401</v>
      </c>
      <c r="BY227" s="1155">
        <f>'2020'!R\Max</f>
        <v>0.91690571435139789</v>
      </c>
      <c r="BZ227" s="1155">
        <f>'2021'!R\Max</f>
        <v>0.8058072126161695</v>
      </c>
      <c r="CA227" s="1155">
        <f>'2022'!R\Max</f>
        <v>0.98106877598447195</v>
      </c>
      <c r="CB227" s="1155">
        <f>'2023'!R\Max</f>
        <v>0.98106877598306985</v>
      </c>
      <c r="CC227" s="1155">
        <f>'2024'!R\Max</f>
        <v>0.98106877597325204</v>
      </c>
      <c r="CD227" s="1155">
        <f>'2025'!R\Max</f>
        <v>0.98106877598447173</v>
      </c>
      <c r="CE227" s="1155">
        <f>'2026'!R\Max</f>
        <v>0.98106877598447162</v>
      </c>
      <c r="CF227" s="1156">
        <f>'2027'!R\Max</f>
        <v>0.98106877598447162</v>
      </c>
    </row>
    <row r="228" spans="1:84" s="6" customFormat="1" ht="11.25" x14ac:dyDescent="0.2">
      <c r="A228" s="11">
        <v>43314</v>
      </c>
      <c r="B228" s="380">
        <f>'2022'!Maxi_hp</f>
        <v>39.353713796788718</v>
      </c>
      <c r="C228" s="13">
        <f>'2022'!An_max</f>
        <v>2022</v>
      </c>
      <c r="D228" s="1070"/>
      <c r="E228" s="13"/>
      <c r="F228" s="13">
        <f t="shared" si="110"/>
        <v>17</v>
      </c>
      <c r="G228" s="13">
        <f t="shared" si="94"/>
        <v>16</v>
      </c>
      <c r="H228" s="173">
        <f t="shared" si="95"/>
        <v>43318</v>
      </c>
      <c r="I228" s="754">
        <f t="shared" si="96"/>
        <v>0.2857142857142857</v>
      </c>
      <c r="J228" s="747">
        <f t="shared" si="97"/>
        <v>40.13528950416616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P228" s="13">
        <f t="shared" si="98"/>
        <v>9</v>
      </c>
      <c r="AQ228" s="13">
        <f t="shared" si="99"/>
        <v>10</v>
      </c>
      <c r="AR228" s="173">
        <f t="shared" si="100"/>
        <v>43304</v>
      </c>
      <c r="AS228" s="754">
        <f t="shared" si="101"/>
        <v>0.35714285714285715</v>
      </c>
      <c r="AT228" s="770">
        <f t="shared" si="102"/>
        <v>40.154644734159639</v>
      </c>
      <c r="AU228" s="13">
        <f t="shared" si="103"/>
        <v>9</v>
      </c>
      <c r="AV228" s="13">
        <f t="shared" si="104"/>
        <v>8</v>
      </c>
      <c r="AW228" s="173">
        <f t="shared" si="105"/>
        <v>43318</v>
      </c>
      <c r="AX228" s="754">
        <f t="shared" si="106"/>
        <v>0.14285714285714285</v>
      </c>
      <c r="AY228" s="770">
        <f t="shared" si="107"/>
        <v>40.159550437490864</v>
      </c>
      <c r="AZ228" s="747">
        <f t="shared" si="111"/>
        <v>40.157097585825255</v>
      </c>
      <c r="BA228" s="646">
        <f t="shared" si="108"/>
        <v>0.98052647141622551</v>
      </c>
      <c r="BB228" s="641">
        <v>43314</v>
      </c>
      <c r="BC228" s="11">
        <v>43314</v>
      </c>
      <c r="BD228" s="290">
        <f>[3]!FeuilCaduc*(1-Persistant)+Persistant</f>
        <v>0.99976026848477439</v>
      </c>
      <c r="BE228" s="291">
        <f>[3]!CroissVégét</f>
        <v>0.89841979735358901</v>
      </c>
      <c r="BF228" s="822">
        <f>1+[3]!Salcycl*Ksac</f>
        <v>1.0499400671211936</v>
      </c>
      <c r="BH228" s="1101">
        <f t="shared" si="109"/>
        <v>0</v>
      </c>
      <c r="BI228" s="11">
        <v>44410</v>
      </c>
      <c r="BJ228" s="727">
        <v>0</v>
      </c>
      <c r="BK228" s="727">
        <v>0</v>
      </c>
      <c r="BL228" s="727">
        <v>0</v>
      </c>
      <c r="BM228" s="727">
        <v>0</v>
      </c>
      <c r="BN228" s="727">
        <v>0</v>
      </c>
      <c r="BO228" s="728">
        <v>0</v>
      </c>
      <c r="BP228" s="727">
        <v>1.4801541642915252E-8</v>
      </c>
      <c r="BQ228" s="727">
        <v>8.7997255300491459E-5</v>
      </c>
      <c r="BR228" s="727">
        <v>6.1223704166751217E-4</v>
      </c>
      <c r="BS228" s="727">
        <v>1.9425168021441658E-3</v>
      </c>
      <c r="BT228" s="727">
        <v>3.9908836860548906E-3</v>
      </c>
      <c r="BW228" s="1157">
        <f>'2018'!R\Max</f>
        <v>0.92142194241090225</v>
      </c>
      <c r="BX228" s="1155">
        <f>'2019'!R\Max</f>
        <v>0.92108045406908223</v>
      </c>
      <c r="BY228" s="1155">
        <f>'2020'!R\Max</f>
        <v>0.76851057416293289</v>
      </c>
      <c r="BZ228" s="1155">
        <f>'2021'!R\Max</f>
        <v>0.93202557716142409</v>
      </c>
      <c r="CA228" s="1155">
        <f>'2022'!R\Max</f>
        <v>0.98052647141622551</v>
      </c>
      <c r="CB228" s="1155">
        <f>'2023'!R\Max</f>
        <v>0.98052647141328875</v>
      </c>
      <c r="CC228" s="1155">
        <f>'2024'!R\Max</f>
        <v>0.98052647139302684</v>
      </c>
      <c r="CD228" s="1155">
        <f>'2025'!R\Max</f>
        <v>0.9805264714162254</v>
      </c>
      <c r="CE228" s="1155">
        <f>'2026'!R\Max</f>
        <v>0.9805264714162254</v>
      </c>
      <c r="CF228" s="1156">
        <f>'2027'!R\Max</f>
        <v>0.98052647141622518</v>
      </c>
    </row>
    <row r="229" spans="1:84" s="6" customFormat="1" ht="11.25" x14ac:dyDescent="0.2">
      <c r="A229" s="11">
        <v>43315</v>
      </c>
      <c r="B229" s="380">
        <f>'2022'!Maxi_hp</f>
        <v>38.935712166326411</v>
      </c>
      <c r="C229" s="13">
        <f>'2022'!An_max</f>
        <v>2019</v>
      </c>
      <c r="D229" s="1070"/>
      <c r="E229" s="13"/>
      <c r="F229" s="13">
        <f t="shared" si="110"/>
        <v>17</v>
      </c>
      <c r="G229" s="13">
        <f t="shared" si="94"/>
        <v>16</v>
      </c>
      <c r="H229" s="173">
        <f t="shared" si="95"/>
        <v>43318</v>
      </c>
      <c r="I229" s="754">
        <f t="shared" si="96"/>
        <v>0.21428571428571427</v>
      </c>
      <c r="J229" s="747">
        <f t="shared" si="97"/>
        <v>40.041314066813456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P229" s="13">
        <f t="shared" si="98"/>
        <v>9</v>
      </c>
      <c r="AQ229" s="13">
        <f t="shared" si="99"/>
        <v>10</v>
      </c>
      <c r="AR229" s="173">
        <f t="shared" si="100"/>
        <v>43304</v>
      </c>
      <c r="AS229" s="754">
        <f t="shared" si="101"/>
        <v>0.39285714285714285</v>
      </c>
      <c r="AT229" s="770">
        <f t="shared" si="102"/>
        <v>40.06277651905215</v>
      </c>
      <c r="AU229" s="13">
        <f t="shared" si="103"/>
        <v>9</v>
      </c>
      <c r="AV229" s="13">
        <f t="shared" si="104"/>
        <v>8</v>
      </c>
      <c r="AW229" s="173">
        <f t="shared" si="105"/>
        <v>43318</v>
      </c>
      <c r="AX229" s="754">
        <f t="shared" si="106"/>
        <v>0.10714285714285714</v>
      </c>
      <c r="AY229" s="770">
        <f t="shared" si="107"/>
        <v>40.057964470510242</v>
      </c>
      <c r="AZ229" s="747">
        <f t="shared" si="111"/>
        <v>40.060370494781196</v>
      </c>
      <c r="BA229" s="646">
        <f t="shared" si="108"/>
        <v>0.97238847110156712</v>
      </c>
      <c r="BB229" s="641">
        <v>43315</v>
      </c>
      <c r="BC229" s="11">
        <v>43315</v>
      </c>
      <c r="BD229" s="290">
        <f>[3]!FeuilCaduc*(1-Persistant)+Persistant</f>
        <v>0.99969043994158979</v>
      </c>
      <c r="BE229" s="291">
        <f>[3]!CroissVégét</f>
        <v>0.90212075799903491</v>
      </c>
      <c r="BF229" s="822">
        <f>1+[3]!Salcycl*Ksac</f>
        <v>1.0499226099853973</v>
      </c>
      <c r="BH229" s="1101">
        <f t="shared" si="109"/>
        <v>0</v>
      </c>
      <c r="BI229" s="11">
        <v>44411</v>
      </c>
      <c r="BJ229" s="727">
        <v>0</v>
      </c>
      <c r="BK229" s="727">
        <v>0</v>
      </c>
      <c r="BL229" s="727">
        <v>0</v>
      </c>
      <c r="BM229" s="727">
        <v>0</v>
      </c>
      <c r="BN229" s="727">
        <v>0</v>
      </c>
      <c r="BO229" s="728">
        <v>0</v>
      </c>
      <c r="BP229" s="727">
        <v>2.4666360115401459E-8</v>
      </c>
      <c r="BQ229" s="727">
        <v>9.6873867271396387E-5</v>
      </c>
      <c r="BR229" s="727">
        <v>6.4835596039678053E-4</v>
      </c>
      <c r="BS229" s="727">
        <v>2.0283233178366939E-3</v>
      </c>
      <c r="BT229" s="727">
        <v>4.1399760714000847E-3</v>
      </c>
      <c r="BW229" s="1157">
        <f>'2018'!R\Max</f>
        <v>0.93929671344587418</v>
      </c>
      <c r="BX229" s="1155">
        <f>'2019'!R\Max</f>
        <v>0.97238847110156712</v>
      </c>
      <c r="BY229" s="1155">
        <f>'2020'!R\Max</f>
        <v>0.60139297430445438</v>
      </c>
      <c r="BZ229" s="1155">
        <f>'2021'!R\Max</f>
        <v>0.65364972722834924</v>
      </c>
      <c r="CA229" s="1155">
        <f>'2022'!R\Max</f>
        <v>0.91717317612526739</v>
      </c>
      <c r="CB229" s="1155">
        <f>'2023'!R\Max</f>
        <v>0.91717317610543991</v>
      </c>
      <c r="CC229" s="1155">
        <f>'2024'!R\Max</f>
        <v>0.91717317597058712</v>
      </c>
      <c r="CD229" s="1155">
        <f>'2025'!R\Max</f>
        <v>0.91717317612526739</v>
      </c>
      <c r="CE229" s="1155">
        <f>'2026'!R\Max</f>
        <v>0.91717317612526739</v>
      </c>
      <c r="CF229" s="1156">
        <f>'2027'!R\Max</f>
        <v>0.91717317612526739</v>
      </c>
    </row>
    <row r="230" spans="1:84" s="6" customFormat="1" ht="11.25" x14ac:dyDescent="0.2">
      <c r="A230" s="11">
        <v>43316</v>
      </c>
      <c r="B230" s="380">
        <f>'2022'!Maxi_hp</f>
        <v>36.542089306289583</v>
      </c>
      <c r="C230" s="13">
        <f>'2022'!An_max</f>
        <v>2019</v>
      </c>
      <c r="D230" s="1070"/>
      <c r="E230" s="13"/>
      <c r="F230" s="13">
        <f t="shared" si="110"/>
        <v>17</v>
      </c>
      <c r="G230" s="13">
        <f t="shared" si="94"/>
        <v>16</v>
      </c>
      <c r="H230" s="173">
        <f t="shared" si="95"/>
        <v>43318</v>
      </c>
      <c r="I230" s="754">
        <f t="shared" si="96"/>
        <v>0.14285714285714285</v>
      </c>
      <c r="J230" s="747">
        <f t="shared" si="97"/>
        <v>39.945483381873267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P230" s="13">
        <f t="shared" si="98"/>
        <v>9</v>
      </c>
      <c r="AQ230" s="13">
        <f t="shared" si="99"/>
        <v>10</v>
      </c>
      <c r="AR230" s="173">
        <f t="shared" si="100"/>
        <v>43304</v>
      </c>
      <c r="AS230" s="754">
        <f t="shared" si="101"/>
        <v>0.42857142857142855</v>
      </c>
      <c r="AT230" s="770">
        <f t="shared" si="102"/>
        <v>39.969458892249634</v>
      </c>
      <c r="AU230" s="13">
        <f t="shared" si="103"/>
        <v>9</v>
      </c>
      <c r="AV230" s="13">
        <f t="shared" si="104"/>
        <v>8</v>
      </c>
      <c r="AW230" s="173">
        <f t="shared" si="105"/>
        <v>43318</v>
      </c>
      <c r="AX230" s="754">
        <f t="shared" si="106"/>
        <v>7.1428571428571425E-2</v>
      </c>
      <c r="AY230" s="770">
        <f t="shared" si="107"/>
        <v>39.955383983467314</v>
      </c>
      <c r="AZ230" s="747">
        <f t="shared" si="111"/>
        <v>39.962421437858474</v>
      </c>
      <c r="BA230" s="646">
        <f t="shared" si="108"/>
        <v>0.91479902638684552</v>
      </c>
      <c r="BB230" s="641">
        <v>43316</v>
      </c>
      <c r="BC230" s="11">
        <v>43316</v>
      </c>
      <c r="BD230" s="290">
        <f>[3]!FeuilCaduc*(1-Persistant)+Persistant</f>
        <v>0.99960992246144886</v>
      </c>
      <c r="BE230" s="291">
        <f>[3]!CroissVégét</f>
        <v>0.90570145106838851</v>
      </c>
      <c r="BF230" s="822">
        <f>1+[3]!Salcycl*Ksac</f>
        <v>1.0499024806153623</v>
      </c>
      <c r="BH230" s="1101">
        <f t="shared" si="109"/>
        <v>0</v>
      </c>
      <c r="BI230" s="11">
        <v>44412</v>
      </c>
      <c r="BJ230" s="727">
        <v>0</v>
      </c>
      <c r="BK230" s="727">
        <v>0</v>
      </c>
      <c r="BL230" s="727">
        <v>0</v>
      </c>
      <c r="BM230" s="727">
        <v>0</v>
      </c>
      <c r="BN230" s="727">
        <v>0</v>
      </c>
      <c r="BO230" s="728">
        <v>0</v>
      </c>
      <c r="BP230" s="727">
        <v>3.6995641083287165E-8</v>
      </c>
      <c r="BQ230" s="727">
        <v>1.0657995650546179E-4</v>
      </c>
      <c r="BR230" s="727">
        <v>6.8684127580051534E-4</v>
      </c>
      <c r="BS230" s="727">
        <v>2.1185743917016601E-3</v>
      </c>
      <c r="BT230" s="727">
        <v>4.2953103346266841E-3</v>
      </c>
      <c r="BW230" s="1157">
        <f>'2018'!R\Max</f>
        <v>0.90573553864813361</v>
      </c>
      <c r="BX230" s="1155">
        <f>'2019'!R\Max</f>
        <v>0.91479902638684552</v>
      </c>
      <c r="BY230" s="1155">
        <f>'2020'!R\Max</f>
        <v>0.88200444523884614</v>
      </c>
      <c r="BZ230" s="1155">
        <f>'2021'!R\Max</f>
        <v>0.63682680966265748</v>
      </c>
      <c r="CA230" s="1155">
        <f>'2022'!R\Max</f>
        <v>0.90398876780987703</v>
      </c>
      <c r="CB230" s="1155">
        <f>'2023'!R\Max</f>
        <v>0.90398876777530446</v>
      </c>
      <c r="CC230" s="1155">
        <f>'2024'!R\Max</f>
        <v>0.90398876754334001</v>
      </c>
      <c r="CD230" s="1155">
        <f>'2025'!R\Max</f>
        <v>0.90398876780987703</v>
      </c>
      <c r="CE230" s="1155">
        <f>'2026'!R\Max</f>
        <v>0.90398876780987703</v>
      </c>
      <c r="CF230" s="1156">
        <f>'2027'!R\Max</f>
        <v>0.9039887678098768</v>
      </c>
    </row>
    <row r="231" spans="1:84" s="6" customFormat="1" ht="11.25" x14ac:dyDescent="0.2">
      <c r="A231" s="11">
        <v>43317</v>
      </c>
      <c r="B231" s="380">
        <f>'2022'!Maxi_hp</f>
        <v>40.51327472097406</v>
      </c>
      <c r="C231" s="13">
        <f>'2022'!An_max</f>
        <v>2020</v>
      </c>
      <c r="D231" s="1070"/>
      <c r="E231" s="13"/>
      <c r="F231" s="13">
        <f t="shared" si="110"/>
        <v>17</v>
      </c>
      <c r="G231" s="13">
        <f t="shared" si="94"/>
        <v>16</v>
      </c>
      <c r="H231" s="173">
        <f t="shared" si="95"/>
        <v>43318</v>
      </c>
      <c r="I231" s="754">
        <f t="shared" si="96"/>
        <v>7.1428571428571425E-2</v>
      </c>
      <c r="J231" s="747">
        <f t="shared" si="97"/>
        <v>39.847583381924778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P231" s="13">
        <f t="shared" si="98"/>
        <v>9</v>
      </c>
      <c r="AQ231" s="13">
        <f t="shared" si="99"/>
        <v>10</v>
      </c>
      <c r="AR231" s="173">
        <f t="shared" si="100"/>
        <v>43304</v>
      </c>
      <c r="AS231" s="754">
        <f t="shared" si="101"/>
        <v>0.4642857142857143</v>
      </c>
      <c r="AT231" s="770">
        <f t="shared" si="102"/>
        <v>39.874571439723617</v>
      </c>
      <c r="AU231" s="13">
        <f t="shared" si="103"/>
        <v>9</v>
      </c>
      <c r="AV231" s="13">
        <f t="shared" si="104"/>
        <v>8</v>
      </c>
      <c r="AW231" s="173">
        <f t="shared" si="105"/>
        <v>43318</v>
      </c>
      <c r="AX231" s="754">
        <f t="shared" si="106"/>
        <v>3.5714285714285712E-2</v>
      </c>
      <c r="AY231" s="770">
        <f t="shared" si="107"/>
        <v>39.851849114023416</v>
      </c>
      <c r="AZ231" s="747">
        <f t="shared" si="111"/>
        <v>39.863210276873517</v>
      </c>
      <c r="BA231" s="646">
        <f t="shared" si="108"/>
        <v>1.0167059400483305</v>
      </c>
      <c r="BB231" s="641">
        <v>43317</v>
      </c>
      <c r="BC231" s="11">
        <v>43317</v>
      </c>
      <c r="BD231" s="290">
        <f>[3]!FeuilCaduc*(1-Persistant)+Persistant</f>
        <v>0.9995191279149005</v>
      </c>
      <c r="BE231" s="291">
        <f>[3]!CroissVégét</f>
        <v>0.90916476701567317</v>
      </c>
      <c r="BF231" s="822">
        <f>1+[3]!Salcycl*Ksac</f>
        <v>1.0498797819787251</v>
      </c>
      <c r="BH231" s="1101">
        <f t="shared" si="109"/>
        <v>0</v>
      </c>
      <c r="BI231" s="11">
        <v>44413</v>
      </c>
      <c r="BJ231" s="727">
        <v>0</v>
      </c>
      <c r="BK231" s="727">
        <v>0</v>
      </c>
      <c r="BL231" s="727">
        <v>0</v>
      </c>
      <c r="BM231" s="727">
        <v>0</v>
      </c>
      <c r="BN231" s="727">
        <v>0</v>
      </c>
      <c r="BO231" s="728">
        <v>0</v>
      </c>
      <c r="BP231" s="727">
        <v>5.1789003482340998E-8</v>
      </c>
      <c r="BQ231" s="727">
        <v>1.1711555092740502E-4</v>
      </c>
      <c r="BR231" s="727">
        <v>7.2769331028342738E-4</v>
      </c>
      <c r="BS231" s="727">
        <v>2.2132709751939384E-3</v>
      </c>
      <c r="BT231" s="727">
        <v>4.4568883617419819E-3</v>
      </c>
      <c r="BW231" s="1157">
        <f>'2018'!R\Max</f>
        <v>0.90334029064330945</v>
      </c>
      <c r="BX231" s="1155">
        <f>'2019'!R\Max</f>
        <v>0.93186671114683151</v>
      </c>
      <c r="BY231" s="1155">
        <f>'2020'!R\Max</f>
        <v>1.0167059400483305</v>
      </c>
      <c r="BZ231" s="1155">
        <f>'2021'!R\Max</f>
        <v>0.87840881310257679</v>
      </c>
      <c r="CA231" s="1155">
        <f>'2022'!R\Max</f>
        <v>0.82284804230311548</v>
      </c>
      <c r="CB231" s="1155">
        <f>'2023'!R\Max</f>
        <v>0.82284804222045982</v>
      </c>
      <c r="CC231" s="1155">
        <f>'2024'!R\Max</f>
        <v>0.82284804167301551</v>
      </c>
      <c r="CD231" s="1155">
        <f>'2025'!R\Max</f>
        <v>0.82284804230311548</v>
      </c>
      <c r="CE231" s="1155">
        <f>'2026'!R\Max</f>
        <v>0.82284804230311548</v>
      </c>
      <c r="CF231" s="1156">
        <f>'2027'!R\Max</f>
        <v>0.82284804230311581</v>
      </c>
    </row>
    <row r="232" spans="1:84" s="6" customFormat="1" ht="11.25" x14ac:dyDescent="0.2">
      <c r="A232" s="11">
        <v>43318</v>
      </c>
      <c r="B232" s="380">
        <f>'2022'!Maxi_hp</f>
        <v>40.005159812023336</v>
      </c>
      <c r="C232" s="13">
        <f>'2022'!An_max</f>
        <v>2020</v>
      </c>
      <c r="D232" s="1070"/>
      <c r="E232" s="1073">
        <f>AC$13/10</f>
        <v>39.747399999999999</v>
      </c>
      <c r="F232" s="13">
        <f t="shared" si="110"/>
        <v>17</v>
      </c>
      <c r="G232" s="13">
        <f t="shared" si="94"/>
        <v>18</v>
      </c>
      <c r="H232" s="173">
        <f t="shared" si="95"/>
        <v>43318</v>
      </c>
      <c r="I232" s="754">
        <f t="shared" si="96"/>
        <v>0</v>
      </c>
      <c r="J232" s="747">
        <f t="shared" si="97"/>
        <v>39.747399999946353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P232" s="13">
        <f t="shared" si="98"/>
        <v>9</v>
      </c>
      <c r="AQ232" s="13">
        <f t="shared" si="99"/>
        <v>10</v>
      </c>
      <c r="AR232" s="173">
        <f t="shared" si="100"/>
        <v>43304</v>
      </c>
      <c r="AS232" s="754">
        <f t="shared" si="101"/>
        <v>0.5</v>
      </c>
      <c r="AT232" s="770">
        <f t="shared" si="102"/>
        <v>39.777993750106546</v>
      </c>
      <c r="AU232" s="13">
        <f t="shared" si="103"/>
        <v>9</v>
      </c>
      <c r="AV232" s="13">
        <f t="shared" si="104"/>
        <v>10</v>
      </c>
      <c r="AW232" s="173">
        <f t="shared" si="105"/>
        <v>43318</v>
      </c>
      <c r="AX232" s="754">
        <f t="shared" si="106"/>
        <v>0</v>
      </c>
      <c r="AY232" s="770">
        <f t="shared" si="107"/>
        <v>39.747399999946353</v>
      </c>
      <c r="AZ232" s="747">
        <f t="shared" si="111"/>
        <v>39.76269687502645</v>
      </c>
      <c r="BA232" s="646">
        <f t="shared" si="108"/>
        <v>1.0064849477469553</v>
      </c>
      <c r="BB232" s="641">
        <v>43318</v>
      </c>
      <c r="BC232" s="11">
        <v>43318</v>
      </c>
      <c r="BD232" s="290">
        <f>[3]!FeuilCaduc*(1-Persistant)+Persistant</f>
        <v>0.99941837837403535</v>
      </c>
      <c r="BE232" s="291">
        <f>[3]!CroissVégét</f>
        <v>0.91251360163473627</v>
      </c>
      <c r="BF232" s="822">
        <f>1+[3]!Salcycl*Ksac</f>
        <v>1.0498545945935089</v>
      </c>
      <c r="BH232" s="1101">
        <f t="shared" si="109"/>
        <v>0</v>
      </c>
      <c r="BI232" s="11">
        <v>44414</v>
      </c>
      <c r="BJ232" s="727">
        <v>0</v>
      </c>
      <c r="BK232" s="727">
        <v>0</v>
      </c>
      <c r="BL232" s="727">
        <v>0</v>
      </c>
      <c r="BM232" s="727">
        <v>0</v>
      </c>
      <c r="BN232" s="727">
        <v>0</v>
      </c>
      <c r="BO232" s="728">
        <v>0</v>
      </c>
      <c r="BP232" s="727">
        <v>6.9046210732084716E-8</v>
      </c>
      <c r="BQ232" s="727">
        <v>1.2848072019130944E-4</v>
      </c>
      <c r="BR232" s="727">
        <v>7.7091249172237496E-4</v>
      </c>
      <c r="BS232" s="727">
        <v>2.3124141951046066E-3</v>
      </c>
      <c r="BT232" s="727">
        <v>4.6247122487788903E-3</v>
      </c>
      <c r="BW232" s="1157">
        <f>'2018'!R\Max</f>
        <v>0.89289931488365804</v>
      </c>
      <c r="BX232" s="1155">
        <f>'2019'!R\Max</f>
        <v>0.74350214354194333</v>
      </c>
      <c r="BY232" s="1155">
        <f>'2020'!R\Max</f>
        <v>1.0064849477469553</v>
      </c>
      <c r="BZ232" s="1155">
        <f>'2021'!R\Max</f>
        <v>0.35946326262100964</v>
      </c>
      <c r="CA232" s="1155">
        <f>'2022'!R\Max</f>
        <v>0.89533324268037595</v>
      </c>
      <c r="CB232" s="1155">
        <f>'2023'!R\Max</f>
        <v>0.89533324260837976</v>
      </c>
      <c r="CC232" s="1155">
        <f>'2024'!R\Max</f>
        <v>0.89533324213737764</v>
      </c>
      <c r="CD232" s="1155">
        <f>'2025'!R\Max</f>
        <v>0.89533324268037584</v>
      </c>
      <c r="CE232" s="1155">
        <f>'2026'!R\Max</f>
        <v>0.89533324268037584</v>
      </c>
      <c r="CF232" s="1156">
        <f>'2027'!R\Max</f>
        <v>0.89533324268037595</v>
      </c>
    </row>
    <row r="233" spans="1:84" s="6" customFormat="1" ht="11.25" x14ac:dyDescent="0.2">
      <c r="A233" s="11">
        <v>43319</v>
      </c>
      <c r="B233" s="380">
        <f>'2022'!Maxi_hp</f>
        <v>38.644291488995613</v>
      </c>
      <c r="C233" s="13">
        <f>'2022'!An_max</f>
        <v>2020</v>
      </c>
      <c r="D233" s="1070"/>
      <c r="E233" s="13"/>
      <c r="F233" s="13">
        <f t="shared" si="110"/>
        <v>17</v>
      </c>
      <c r="G233" s="13">
        <f t="shared" si="94"/>
        <v>18</v>
      </c>
      <c r="H233" s="173">
        <f t="shared" si="95"/>
        <v>43318</v>
      </c>
      <c r="I233" s="754">
        <f t="shared" si="96"/>
        <v>7.1428571428571425E-2</v>
      </c>
      <c r="J233" s="747">
        <f t="shared" si="97"/>
        <v>39.645254336324122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P233" s="13">
        <f t="shared" si="98"/>
        <v>9</v>
      </c>
      <c r="AQ233" s="13">
        <f t="shared" si="99"/>
        <v>10</v>
      </c>
      <c r="AR233" s="173">
        <f t="shared" si="100"/>
        <v>43304</v>
      </c>
      <c r="AS233" s="754">
        <f t="shared" si="101"/>
        <v>0.5357142857142857</v>
      </c>
      <c r="AT233" s="770">
        <f t="shared" si="102"/>
        <v>39.679605409702546</v>
      </c>
      <c r="AU233" s="13">
        <f t="shared" si="103"/>
        <v>9</v>
      </c>
      <c r="AV233" s="13">
        <f t="shared" si="104"/>
        <v>10</v>
      </c>
      <c r="AW233" s="173">
        <f t="shared" si="105"/>
        <v>43318</v>
      </c>
      <c r="AX233" s="754">
        <f t="shared" si="106"/>
        <v>3.5714285714285712E-2</v>
      </c>
      <c r="AY233" s="770">
        <f t="shared" si="107"/>
        <v>39.642906288656278</v>
      </c>
      <c r="AZ233" s="747">
        <f t="shared" si="111"/>
        <v>39.661255849179412</v>
      </c>
      <c r="BA233" s="646">
        <f t="shared" si="108"/>
        <v>0.97475201347336549</v>
      </c>
      <c r="BB233" s="641">
        <v>43319</v>
      </c>
      <c r="BC233" s="11">
        <v>43319</v>
      </c>
      <c r="BD233" s="290">
        <f>[3]!FeuilCaduc*(1-Persistant)+Persistant</f>
        <v>0.99930791023380428</v>
      </c>
      <c r="BE233" s="291">
        <f>[3]!CroissVégét</f>
        <v>0.91575084939386342</v>
      </c>
      <c r="BF233" s="822">
        <f>1+[3]!Salcycl*Ksac</f>
        <v>1.049826977558451</v>
      </c>
      <c r="BH233" s="1101">
        <f t="shared" si="109"/>
        <v>0</v>
      </c>
      <c r="BI233" s="11">
        <v>44415</v>
      </c>
      <c r="BJ233" s="727">
        <v>0</v>
      </c>
      <c r="BK233" s="727">
        <v>0</v>
      </c>
      <c r="BL233" s="727">
        <v>0</v>
      </c>
      <c r="BM233" s="727">
        <v>0</v>
      </c>
      <c r="BN233" s="727">
        <v>0</v>
      </c>
      <c r="BO233" s="728">
        <v>0</v>
      </c>
      <c r="BP233" s="727">
        <v>8.8767163073666931E-8</v>
      </c>
      <c r="BQ233" s="727">
        <v>1.4067557310082867E-4</v>
      </c>
      <c r="BR233" s="727">
        <v>8.1649934611127087E-4</v>
      </c>
      <c r="BS233" s="727">
        <v>2.4160053397607787E-3</v>
      </c>
      <c r="BT233" s="727">
        <v>4.7987842824377437E-3</v>
      </c>
      <c r="BW233" s="1157">
        <f>'2018'!R\Max</f>
        <v>0.58471622209201812</v>
      </c>
      <c r="BX233" s="1155">
        <f>'2019'!R\Max</f>
        <v>0.76868236109827526</v>
      </c>
      <c r="BY233" s="1155">
        <f>'2020'!R\Max</f>
        <v>0.97475201347336549</v>
      </c>
      <c r="BZ233" s="1155">
        <f>'2021'!R\Max</f>
        <v>0.43741926727997443</v>
      </c>
      <c r="CA233" s="1155">
        <f>'2022'!R\Max</f>
        <v>0.96191968918351123</v>
      </c>
      <c r="CB233" s="1155">
        <f>'2023'!R\Max</f>
        <v>0.9619196891467644</v>
      </c>
      <c r="CC233" s="1155">
        <f>'2024'!R\Max</f>
        <v>0.96191968890917179</v>
      </c>
      <c r="CD233" s="1155">
        <f>'2025'!R\Max</f>
        <v>0.96191968918351123</v>
      </c>
      <c r="CE233" s="1155">
        <f>'2026'!R\Max</f>
        <v>0.96191968918351145</v>
      </c>
      <c r="CF233" s="1156">
        <f>'2027'!R\Max</f>
        <v>0.96191968918351112</v>
      </c>
    </row>
    <row r="234" spans="1:84" s="6" customFormat="1" ht="11.25" x14ac:dyDescent="0.2">
      <c r="A234" s="11">
        <v>43320</v>
      </c>
      <c r="B234" s="380">
        <f>'2022'!Maxi_hp</f>
        <v>38.853932004616944</v>
      </c>
      <c r="C234" s="13">
        <f>'2022'!An_max</f>
        <v>2022</v>
      </c>
      <c r="D234" s="1070"/>
      <c r="E234" s="13"/>
      <c r="F234" s="13">
        <f t="shared" si="110"/>
        <v>17</v>
      </c>
      <c r="G234" s="13">
        <f t="shared" si="94"/>
        <v>18</v>
      </c>
      <c r="H234" s="173">
        <f t="shared" si="95"/>
        <v>43318</v>
      </c>
      <c r="I234" s="754">
        <f t="shared" si="96"/>
        <v>0.14285714285714285</v>
      </c>
      <c r="J234" s="747">
        <f t="shared" si="97"/>
        <v>39.541610203763206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P234" s="13">
        <f t="shared" si="98"/>
        <v>9</v>
      </c>
      <c r="AQ234" s="13">
        <f t="shared" si="99"/>
        <v>10</v>
      </c>
      <c r="AR234" s="173">
        <f t="shared" si="100"/>
        <v>43304</v>
      </c>
      <c r="AS234" s="754">
        <f t="shared" si="101"/>
        <v>0.5714285714285714</v>
      </c>
      <c r="AT234" s="770">
        <f t="shared" si="102"/>
        <v>39.579286005720498</v>
      </c>
      <c r="AU234" s="13">
        <f t="shared" si="103"/>
        <v>9</v>
      </c>
      <c r="AV234" s="13">
        <f t="shared" si="104"/>
        <v>10</v>
      </c>
      <c r="AW234" s="173">
        <f t="shared" si="105"/>
        <v>43318</v>
      </c>
      <c r="AX234" s="754">
        <f t="shared" si="106"/>
        <v>7.1428571428571425E-2</v>
      </c>
      <c r="AY234" s="770">
        <f t="shared" si="107"/>
        <v>39.539059238375295</v>
      </c>
      <c r="AZ234" s="747">
        <f t="shared" si="111"/>
        <v>39.559172622047896</v>
      </c>
      <c r="BA234" s="646">
        <f t="shared" si="108"/>
        <v>0.98260874568327983</v>
      </c>
      <c r="BB234" s="641">
        <v>43320</v>
      </c>
      <c r="BC234" s="11">
        <v>43320</v>
      </c>
      <c r="BD234" s="290">
        <f>[3]!FeuilCaduc*(1-Persistant)+Persistant</f>
        <v>0.99918787863611658</v>
      </c>
      <c r="BE234" s="291">
        <f>[3]!CroissVégét</f>
        <v>0.91887939725970647</v>
      </c>
      <c r="BF234" s="822">
        <f>1+[3]!Salcycl*Ksac</f>
        <v>1.0497969696590292</v>
      </c>
      <c r="BH234" s="1101">
        <f t="shared" si="109"/>
        <v>0</v>
      </c>
      <c r="BI234" s="11">
        <v>44416</v>
      </c>
      <c r="BJ234" s="727">
        <v>0</v>
      </c>
      <c r="BK234" s="727">
        <v>0</v>
      </c>
      <c r="BL234" s="727">
        <v>0</v>
      </c>
      <c r="BM234" s="727">
        <v>0</v>
      </c>
      <c r="BN234" s="727">
        <v>0</v>
      </c>
      <c r="BO234" s="728">
        <v>0</v>
      </c>
      <c r="BP234" s="727">
        <v>1.9437406006070799E-7</v>
      </c>
      <c r="BQ234" s="727">
        <v>1.542498695681567E-4</v>
      </c>
      <c r="BR234" s="727">
        <v>8.6445749421768187E-4</v>
      </c>
      <c r="BS234" s="727">
        <v>2.5225147783944544E-3</v>
      </c>
      <c r="BT234" s="727">
        <v>4.9747549747104994E-3</v>
      </c>
      <c r="BW234" s="1157">
        <f>'2018'!R\Max</f>
        <v>0.80902828167217711</v>
      </c>
      <c r="BX234" s="1155">
        <f>'2019'!R\Max</f>
        <v>0.95366463579867722</v>
      </c>
      <c r="BY234" s="1155">
        <f>'2020'!R\Max</f>
        <v>0.93638327475386474</v>
      </c>
      <c r="BZ234" s="1155">
        <f>'2021'!R\Max</f>
        <v>0.6145037441256056</v>
      </c>
      <c r="CA234" s="1155">
        <f>'2022'!R\Max</f>
        <v>0.98260874568327983</v>
      </c>
      <c r="CB234" s="1155">
        <f>'2023'!R\Max</f>
        <v>0.98260874564517486</v>
      </c>
      <c r="CC234" s="1155">
        <f>'2024'!R\Max</f>
        <v>0.98260874540154064</v>
      </c>
      <c r="CD234" s="1155">
        <f>'2025'!R\Max</f>
        <v>0.98260874568327983</v>
      </c>
      <c r="CE234" s="1155">
        <f>'2026'!R\Max</f>
        <v>0.98260874568328005</v>
      </c>
      <c r="CF234" s="1156">
        <f>'2027'!R\Max</f>
        <v>0.98260874568327972</v>
      </c>
    </row>
    <row r="235" spans="1:84" s="6" customFormat="1" ht="11.25" x14ac:dyDescent="0.2">
      <c r="A235" s="11">
        <v>43321</v>
      </c>
      <c r="B235" s="380">
        <f>'2022'!Maxi_hp</f>
        <v>38.382501503737309</v>
      </c>
      <c r="C235" s="13">
        <f>'2022'!An_max</f>
        <v>2021</v>
      </c>
      <c r="D235" s="1070"/>
      <c r="E235" s="13"/>
      <c r="F235" s="13">
        <f t="shared" si="110"/>
        <v>17</v>
      </c>
      <c r="G235" s="13">
        <f t="shared" si="94"/>
        <v>18</v>
      </c>
      <c r="H235" s="173">
        <f t="shared" si="95"/>
        <v>43318</v>
      </c>
      <c r="I235" s="754">
        <f t="shared" si="96"/>
        <v>0.21428571428571427</v>
      </c>
      <c r="J235" s="747">
        <f t="shared" si="97"/>
        <v>39.436467601811245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P235" s="13">
        <f t="shared" si="98"/>
        <v>9</v>
      </c>
      <c r="AQ235" s="13">
        <f t="shared" si="99"/>
        <v>10</v>
      </c>
      <c r="AR235" s="173">
        <f t="shared" si="100"/>
        <v>43304</v>
      </c>
      <c r="AS235" s="754">
        <f t="shared" si="101"/>
        <v>0.6071428571428571</v>
      </c>
      <c r="AT235" s="770">
        <f t="shared" si="102"/>
        <v>39.476915126526727</v>
      </c>
      <c r="AU235" s="13">
        <f t="shared" si="103"/>
        <v>9</v>
      </c>
      <c r="AV235" s="13">
        <f t="shared" si="104"/>
        <v>10</v>
      </c>
      <c r="AW235" s="173">
        <f t="shared" si="105"/>
        <v>43318</v>
      </c>
      <c r="AX235" s="754">
        <f t="shared" si="106"/>
        <v>0.10714285714285714</v>
      </c>
      <c r="AY235" s="770">
        <f t="shared" si="107"/>
        <v>39.435631402555323</v>
      </c>
      <c r="AZ235" s="747">
        <f t="shared" si="111"/>
        <v>39.456273264541025</v>
      </c>
      <c r="BA235" s="646">
        <f t="shared" si="108"/>
        <v>0.97327432799722846</v>
      </c>
      <c r="BB235" s="641">
        <v>43321</v>
      </c>
      <c r="BC235" s="11">
        <v>43321</v>
      </c>
      <c r="BD235" s="290">
        <f>[3]!FeuilCaduc*(1-Persistant)+Persistant</f>
        <v>0.99905836212559096</v>
      </c>
      <c r="BE235" s="291">
        <f>[3]!CroissVégét</f>
        <v>0.92190211899696306</v>
      </c>
      <c r="BF235" s="822">
        <f>1+[3]!Salcycl*Ksac</f>
        <v>1.0497645905313977</v>
      </c>
      <c r="BH235" s="1101">
        <f t="shared" si="109"/>
        <v>0</v>
      </c>
      <c r="BI235" s="11">
        <v>44417</v>
      </c>
      <c r="BJ235" s="727">
        <v>0</v>
      </c>
      <c r="BK235" s="727">
        <v>0</v>
      </c>
      <c r="BL235" s="727">
        <v>0</v>
      </c>
      <c r="BM235" s="727">
        <v>0</v>
      </c>
      <c r="BN235" s="727">
        <v>0</v>
      </c>
      <c r="BO235" s="728">
        <v>0</v>
      </c>
      <c r="BP235" s="727">
        <v>3.8585353729891544E-7</v>
      </c>
      <c r="BQ235" s="727">
        <v>1.6875726135999087E-4</v>
      </c>
      <c r="BR235" s="727">
        <v>9.1241527216026684E-4</v>
      </c>
      <c r="BS235" s="727">
        <v>2.6264956046447539E-3</v>
      </c>
      <c r="BT235" s="727">
        <v>5.1433985580653582E-3</v>
      </c>
      <c r="BW235" s="1157">
        <f>'2018'!R\Max</f>
        <v>0.21834235865233573</v>
      </c>
      <c r="BX235" s="1155">
        <f>'2019'!R\Max</f>
        <v>0.87955910955863092</v>
      </c>
      <c r="BY235" s="1155">
        <f>'2020'!R\Max</f>
        <v>0.92101473673785417</v>
      </c>
      <c r="BZ235" s="1155">
        <f>'2021'!R\Max</f>
        <v>0.97327432799722846</v>
      </c>
      <c r="CA235" s="1155">
        <f>'2022'!R\Max</f>
        <v>0.92722895070303701</v>
      </c>
      <c r="CB235" s="1155">
        <f>'2023'!R\Max</f>
        <v>0.92722895040001452</v>
      </c>
      <c r="CC235" s="1155">
        <f>'2024'!R\Max</f>
        <v>0.92722894848311743</v>
      </c>
      <c r="CD235" s="1155">
        <f>'2025'!R\Max</f>
        <v>0.92722895070303679</v>
      </c>
      <c r="CE235" s="1155">
        <f>'2026'!R\Max</f>
        <v>0.92722895070303679</v>
      </c>
      <c r="CF235" s="1156">
        <f>'2027'!R\Max</f>
        <v>0.92722895070303679</v>
      </c>
    </row>
    <row r="236" spans="1:84" s="6" customFormat="1" ht="11.25" x14ac:dyDescent="0.2">
      <c r="A236" s="11">
        <v>43322</v>
      </c>
      <c r="B236" s="380">
        <f>'2022'!Maxi_hp</f>
        <v>35.976281897663725</v>
      </c>
      <c r="C236" s="13">
        <f>'2022'!An_max</f>
        <v>2018</v>
      </c>
      <c r="D236" s="1070"/>
      <c r="E236" s="13"/>
      <c r="F236" s="13">
        <f t="shared" si="110"/>
        <v>17</v>
      </c>
      <c r="G236" s="13">
        <f t="shared" si="94"/>
        <v>18</v>
      </c>
      <c r="H236" s="173">
        <f t="shared" si="95"/>
        <v>43318</v>
      </c>
      <c r="I236" s="754">
        <f t="shared" si="96"/>
        <v>0.2857142857142857</v>
      </c>
      <c r="J236" s="747">
        <f t="shared" si="97"/>
        <v>39.329826530361814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P236" s="13">
        <f t="shared" si="98"/>
        <v>9</v>
      </c>
      <c r="AQ236" s="13">
        <f t="shared" si="99"/>
        <v>10</v>
      </c>
      <c r="AR236" s="173">
        <f t="shared" si="100"/>
        <v>43304</v>
      </c>
      <c r="AS236" s="754">
        <f t="shared" si="101"/>
        <v>0.6428571428571429</v>
      </c>
      <c r="AT236" s="770">
        <f t="shared" si="102"/>
        <v>39.372372357879897</v>
      </c>
      <c r="AU236" s="13">
        <f t="shared" si="103"/>
        <v>9</v>
      </c>
      <c r="AV236" s="13">
        <f t="shared" si="104"/>
        <v>10</v>
      </c>
      <c r="AW236" s="173">
        <f t="shared" si="105"/>
        <v>43318</v>
      </c>
      <c r="AX236" s="754">
        <f t="shared" si="106"/>
        <v>0.14285714285714285</v>
      </c>
      <c r="AY236" s="770">
        <f t="shared" si="107"/>
        <v>39.332395335340074</v>
      </c>
      <c r="AZ236" s="747">
        <f t="shared" si="111"/>
        <v>39.352383846609982</v>
      </c>
      <c r="BA236" s="646">
        <f t="shared" si="108"/>
        <v>0.91473278860995688</v>
      </c>
      <c r="BB236" s="641">
        <v>43322</v>
      </c>
      <c r="BC236" s="11">
        <v>43322</v>
      </c>
      <c r="BD236" s="290">
        <f>[3]!FeuilCaduc*(1-Persistant)+Persistant</f>
        <v>0.99891936746561016</v>
      </c>
      <c r="BE236" s="291">
        <f>[3]!CroissVégét</f>
        <v>0.92482186992875737</v>
      </c>
      <c r="BF236" s="822">
        <f>1+[3]!Salcycl*Ksac</f>
        <v>1.0497298418664025</v>
      </c>
      <c r="BH236" s="1101">
        <f t="shared" si="109"/>
        <v>0</v>
      </c>
      <c r="BI236" s="11">
        <v>44418</v>
      </c>
      <c r="BJ236" s="727">
        <v>0</v>
      </c>
      <c r="BK236" s="727">
        <v>0</v>
      </c>
      <c r="BL236" s="727">
        <v>0</v>
      </c>
      <c r="BM236" s="727">
        <v>0</v>
      </c>
      <c r="BN236" s="727">
        <v>0</v>
      </c>
      <c r="BO236" s="728">
        <v>0</v>
      </c>
      <c r="BP236" s="727">
        <v>6.6319702536278343E-7</v>
      </c>
      <c r="BQ236" s="727">
        <v>1.8419796085406503E-4</v>
      </c>
      <c r="BR236" s="727">
        <v>9.6037377364918903E-4</v>
      </c>
      <c r="BS236" s="727">
        <v>2.7279504007284008E-3</v>
      </c>
      <c r="BT236" s="727">
        <v>5.3047194723137231E-3</v>
      </c>
      <c r="BW236" s="1157">
        <f>'2018'!R\Max</f>
        <v>0.91473278860995688</v>
      </c>
      <c r="BX236" s="1155">
        <f>'2019'!R\Max</f>
        <v>0.6697145906926032</v>
      </c>
      <c r="BY236" s="1155">
        <f>'2020'!R\Max</f>
        <v>0.71457511665527107</v>
      </c>
      <c r="BZ236" s="1155">
        <f>'2021'!R\Max</f>
        <v>0.91350819582833331</v>
      </c>
      <c r="CA236" s="1155">
        <f>'2022'!R\Max</f>
        <v>0.89472055039147258</v>
      </c>
      <c r="CB236" s="1155">
        <f>'2023'!R\Max</f>
        <v>0.89472054965418724</v>
      </c>
      <c r="CC236" s="1155">
        <f>'2024'!R\Max</f>
        <v>0.89472054503736587</v>
      </c>
      <c r="CD236" s="1155">
        <f>'2025'!R\Max</f>
        <v>0.89472055039147258</v>
      </c>
      <c r="CE236" s="1155">
        <f>'2026'!R\Max</f>
        <v>0.89472055039147258</v>
      </c>
      <c r="CF236" s="1156">
        <f>'2027'!R\Max</f>
        <v>0.89472055039147258</v>
      </c>
    </row>
    <row r="237" spans="1:84" s="6" customFormat="1" ht="11.25" x14ac:dyDescent="0.2">
      <c r="A237" s="11">
        <v>43323</v>
      </c>
      <c r="B237" s="380">
        <f>'2022'!Maxi_hp</f>
        <v>36.771034850041509</v>
      </c>
      <c r="C237" s="13">
        <f>'2022'!An_max</f>
        <v>2018</v>
      </c>
      <c r="D237" s="1070"/>
      <c r="E237" s="13"/>
      <c r="F237" s="13">
        <f t="shared" si="110"/>
        <v>17</v>
      </c>
      <c r="G237" s="13">
        <f t="shared" si="94"/>
        <v>18</v>
      </c>
      <c r="H237" s="173">
        <f t="shared" si="95"/>
        <v>43318</v>
      </c>
      <c r="I237" s="754">
        <f t="shared" si="96"/>
        <v>0.35714285714285715</v>
      </c>
      <c r="J237" s="747">
        <f t="shared" si="97"/>
        <v>39.221686989574565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P237" s="13">
        <f t="shared" si="98"/>
        <v>9</v>
      </c>
      <c r="AQ237" s="13">
        <f t="shared" si="99"/>
        <v>10</v>
      </c>
      <c r="AR237" s="173">
        <f t="shared" si="100"/>
        <v>43304</v>
      </c>
      <c r="AS237" s="754">
        <f t="shared" si="101"/>
        <v>0.6785714285714286</v>
      </c>
      <c r="AT237" s="770">
        <f t="shared" si="102"/>
        <v>39.265537288259445</v>
      </c>
      <c r="AU237" s="13">
        <f t="shared" si="103"/>
        <v>9</v>
      </c>
      <c r="AV237" s="13">
        <f t="shared" si="104"/>
        <v>10</v>
      </c>
      <c r="AW237" s="173">
        <f t="shared" si="105"/>
        <v>43318</v>
      </c>
      <c r="AX237" s="754">
        <f t="shared" si="106"/>
        <v>0.17857142857142858</v>
      </c>
      <c r="AY237" s="770">
        <f t="shared" si="107"/>
        <v>39.229123590134876</v>
      </c>
      <c r="AZ237" s="747">
        <f t="shared" si="111"/>
        <v>39.247330439197157</v>
      </c>
      <c r="BA237" s="646">
        <f t="shared" si="108"/>
        <v>0.93751793133771988</v>
      </c>
      <c r="BB237" s="641">
        <v>43323</v>
      </c>
      <c r="BC237" s="11">
        <v>43323</v>
      </c>
      <c r="BD237" s="290">
        <f>[3]!FeuilCaduc*(1-Persistant)+Persistant</f>
        <v>0.99877083454395099</v>
      </c>
      <c r="BE237" s="291">
        <f>[3]!CroissVégét</f>
        <v>0.92764148214144238</v>
      </c>
      <c r="BF237" s="822">
        <f>1+[3]!Salcycl*Ksac</f>
        <v>1.0496927086359877</v>
      </c>
      <c r="BH237" s="1101">
        <f t="shared" si="109"/>
        <v>0</v>
      </c>
      <c r="BI237" s="11">
        <v>44419</v>
      </c>
      <c r="BJ237" s="727">
        <v>0</v>
      </c>
      <c r="BK237" s="727">
        <v>0</v>
      </c>
      <c r="BL237" s="727">
        <v>0</v>
      </c>
      <c r="BM237" s="727">
        <v>0</v>
      </c>
      <c r="BN237" s="727">
        <v>0</v>
      </c>
      <c r="BO237" s="728">
        <v>0</v>
      </c>
      <c r="BP237" s="727">
        <v>1.0264004828812263E-6</v>
      </c>
      <c r="BQ237" s="727">
        <v>2.0057221416975142E-4</v>
      </c>
      <c r="BR237" s="727">
        <v>1.0083340325383649E-3</v>
      </c>
      <c r="BS237" s="727">
        <v>2.8268814784201436E-3</v>
      </c>
      <c r="BT237" s="727">
        <v>5.4587215390939801E-3</v>
      </c>
      <c r="BW237" s="1157">
        <f>'2018'!R\Max</f>
        <v>0.93751793133771988</v>
      </c>
      <c r="BX237" s="1155">
        <f>'2019'!R\Max</f>
        <v>0.50133195765652738</v>
      </c>
      <c r="BY237" s="1155">
        <f>'2020'!R\Max</f>
        <v>0.68743949259360815</v>
      </c>
      <c r="BZ237" s="1155">
        <f>'2021'!R\Max</f>
        <v>0.89941241339717981</v>
      </c>
      <c r="CA237" s="1155">
        <f>'2022'!R\Max</f>
        <v>0.83783335505649248</v>
      </c>
      <c r="CB237" s="1155">
        <f>'2023'!R\Max</f>
        <v>0.83783335338829701</v>
      </c>
      <c r="CC237" s="1155">
        <f>'2024'!R\Max</f>
        <v>0.83783334304303725</v>
      </c>
      <c r="CD237" s="1155">
        <f>'2025'!R\Max</f>
        <v>0.83783335505649248</v>
      </c>
      <c r="CE237" s="1155">
        <f>'2026'!R\Max</f>
        <v>0.83783335505649248</v>
      </c>
      <c r="CF237" s="1156">
        <f>'2027'!R\Max</f>
        <v>0.83783335505649248</v>
      </c>
    </row>
    <row r="238" spans="1:84" s="6" customFormat="1" ht="11.25" x14ac:dyDescent="0.2">
      <c r="A238" s="11">
        <v>43324</v>
      </c>
      <c r="B238" s="380">
        <f>'2022'!Maxi_hp</f>
        <v>34.27274619245987</v>
      </c>
      <c r="C238" s="13">
        <f>'2022'!An_max</f>
        <v>2022</v>
      </c>
      <c r="D238" s="1070"/>
      <c r="E238" s="13"/>
      <c r="F238" s="13">
        <f t="shared" si="110"/>
        <v>17</v>
      </c>
      <c r="G238" s="13">
        <f t="shared" si="94"/>
        <v>18</v>
      </c>
      <c r="H238" s="173">
        <f t="shared" si="95"/>
        <v>43318</v>
      </c>
      <c r="I238" s="754">
        <f t="shared" si="96"/>
        <v>0.42857142857142855</v>
      </c>
      <c r="J238" s="747">
        <f t="shared" si="97"/>
        <v>39.112048979449483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P238" s="13">
        <f t="shared" si="98"/>
        <v>9</v>
      </c>
      <c r="AQ238" s="13">
        <f t="shared" si="99"/>
        <v>10</v>
      </c>
      <c r="AR238" s="173">
        <f t="shared" si="100"/>
        <v>43304</v>
      </c>
      <c r="AS238" s="754">
        <f t="shared" si="101"/>
        <v>0.7142857142857143</v>
      </c>
      <c r="AT238" s="770">
        <f t="shared" si="102"/>
        <v>39.156289504681311</v>
      </c>
      <c r="AU238" s="13">
        <f t="shared" si="103"/>
        <v>9</v>
      </c>
      <c r="AV238" s="13">
        <f t="shared" si="104"/>
        <v>10</v>
      </c>
      <c r="AW238" s="173">
        <f t="shared" si="105"/>
        <v>43318</v>
      </c>
      <c r="AX238" s="754">
        <f t="shared" si="106"/>
        <v>0.21428571428571427</v>
      </c>
      <c r="AY238" s="770">
        <f t="shared" si="107"/>
        <v>39.125588721050214</v>
      </c>
      <c r="AZ238" s="747">
        <f t="shared" si="111"/>
        <v>39.140939112865766</v>
      </c>
      <c r="BA238" s="646">
        <f t="shared" si="108"/>
        <v>0.8762707934444367</v>
      </c>
      <c r="BB238" s="641">
        <v>43324</v>
      </c>
      <c r="BC238" s="11">
        <v>43324</v>
      </c>
      <c r="BD238" s="290">
        <f>[3]!FeuilCaduc*(1-Persistant)+Persistant</f>
        <v>0.99861264129868688</v>
      </c>
      <c r="BE238" s="291">
        <f>[3]!CroissVégét</f>
        <v>0.93036376011657451</v>
      </c>
      <c r="BF238" s="822">
        <f>1+[3]!Salcycl*Ksac</f>
        <v>1.0496531603246717</v>
      </c>
      <c r="BH238" s="1101">
        <f t="shared" si="109"/>
        <v>0</v>
      </c>
      <c r="BI238" s="11">
        <v>44420</v>
      </c>
      <c r="BJ238" s="727">
        <v>0</v>
      </c>
      <c r="BK238" s="727">
        <v>0</v>
      </c>
      <c r="BL238" s="727">
        <v>0</v>
      </c>
      <c r="BM238" s="727">
        <v>0</v>
      </c>
      <c r="BN238" s="727">
        <v>0</v>
      </c>
      <c r="BO238" s="728">
        <v>0</v>
      </c>
      <c r="BP238" s="727">
        <v>1.4754641296360437E-6</v>
      </c>
      <c r="BQ238" s="727">
        <v>2.1788029827078247E-4</v>
      </c>
      <c r="BR238" s="727">
        <v>1.056297022850994E-3</v>
      </c>
      <c r="BS238" s="727">
        <v>2.9232908869940705E-3</v>
      </c>
      <c r="BT238" s="727">
        <v>5.6054079848181374E-3</v>
      </c>
      <c r="BW238" s="1157">
        <f>'2018'!R\Max</f>
        <v>0.87398406995681555</v>
      </c>
      <c r="BX238" s="1155">
        <f>'2019'!R\Max</f>
        <v>0.53656082845132325</v>
      </c>
      <c r="BY238" s="1155">
        <f>'2020'!R\Max</f>
        <v>0.79844727293692142</v>
      </c>
      <c r="BZ238" s="1155">
        <f>'2021'!R\Max</f>
        <v>0.87039141619819127</v>
      </c>
      <c r="CA238" s="1155">
        <f>'2022'!R\Max</f>
        <v>0.8762707934444367</v>
      </c>
      <c r="CB238" s="1155">
        <f>'2023'!R\Max</f>
        <v>0.87627079150576714</v>
      </c>
      <c r="CC238" s="1155">
        <f>'2024'!R\Max</f>
        <v>0.87627077959394384</v>
      </c>
      <c r="CD238" s="1155">
        <f>'2025'!R\Max</f>
        <v>0.87627079344443659</v>
      </c>
      <c r="CE238" s="1155">
        <f>'2026'!R\Max</f>
        <v>0.87627079344443659</v>
      </c>
      <c r="CF238" s="1156">
        <f>'2027'!R\Max</f>
        <v>0.87627079344443637</v>
      </c>
    </row>
    <row r="239" spans="1:84" s="6" customFormat="1" ht="11.25" x14ac:dyDescent="0.2">
      <c r="A239" s="11">
        <v>43325</v>
      </c>
      <c r="B239" s="380">
        <f>'2022'!Maxi_hp</f>
        <v>34.50916616392346</v>
      </c>
      <c r="C239" s="13">
        <f>'2022'!An_max</f>
        <v>2019</v>
      </c>
      <c r="D239" s="1070"/>
      <c r="E239" s="13"/>
      <c r="F239" s="13">
        <f t="shared" si="110"/>
        <v>17</v>
      </c>
      <c r="G239" s="13">
        <f t="shared" si="94"/>
        <v>18</v>
      </c>
      <c r="H239" s="173">
        <f t="shared" si="95"/>
        <v>43318</v>
      </c>
      <c r="I239" s="754">
        <f t="shared" si="96"/>
        <v>0.5</v>
      </c>
      <c r="J239" s="747">
        <f t="shared" si="97"/>
        <v>39.00091249998659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P239" s="13">
        <f t="shared" si="98"/>
        <v>9</v>
      </c>
      <c r="AQ239" s="13">
        <f t="shared" si="99"/>
        <v>10</v>
      </c>
      <c r="AR239" s="173">
        <f t="shared" si="100"/>
        <v>43304</v>
      </c>
      <c r="AS239" s="754">
        <f t="shared" si="101"/>
        <v>0.75</v>
      </c>
      <c r="AT239" s="770">
        <f t="shared" si="102"/>
        <v>39.044508593576026</v>
      </c>
      <c r="AU239" s="13">
        <f t="shared" si="103"/>
        <v>9</v>
      </c>
      <c r="AV239" s="13">
        <f t="shared" si="104"/>
        <v>10</v>
      </c>
      <c r="AW239" s="173">
        <f t="shared" si="105"/>
        <v>43318</v>
      </c>
      <c r="AX239" s="754">
        <f t="shared" si="106"/>
        <v>0.25</v>
      </c>
      <c r="AY239" s="770">
        <f t="shared" si="107"/>
        <v>39.021563281351703</v>
      </c>
      <c r="AZ239" s="747">
        <f t="shared" si="111"/>
        <v>39.033035937463865</v>
      </c>
      <c r="BA239" s="646">
        <f t="shared" si="108"/>
        <v>0.88482971171342018</v>
      </c>
      <c r="BB239" s="641">
        <v>43325</v>
      </c>
      <c r="BC239" s="11">
        <v>43325</v>
      </c>
      <c r="BD239" s="290">
        <f>[3]!FeuilCaduc*(1-Persistant)+Persistant</f>
        <v>0.9984446085972869</v>
      </c>
      <c r="BE239" s="291">
        <f>[3]!CroissVégét</f>
        <v>0.93299147677206173</v>
      </c>
      <c r="BF239" s="822">
        <f>1+[3]!Salcycl*Ksac</f>
        <v>1.0496111521493217</v>
      </c>
      <c r="BH239" s="1101">
        <f t="shared" si="109"/>
        <v>0</v>
      </c>
      <c r="BI239" s="11">
        <v>44421</v>
      </c>
      <c r="BJ239" s="727">
        <v>0</v>
      </c>
      <c r="BK239" s="727">
        <v>0</v>
      </c>
      <c r="BL239" s="727">
        <v>0</v>
      </c>
      <c r="BM239" s="727">
        <v>0</v>
      </c>
      <c r="BN239" s="727">
        <v>0</v>
      </c>
      <c r="BO239" s="728">
        <v>0</v>
      </c>
      <c r="BP239" s="727">
        <v>2.0103921796534452E-6</v>
      </c>
      <c r="BQ239" s="727">
        <v>2.3612251806399422E-4</v>
      </c>
      <c r="BR239" s="727">
        <v>1.1042636587832654E-3</v>
      </c>
      <c r="BS239" s="727">
        <v>3.0171804211017593E-3</v>
      </c>
      <c r="BT239" s="727">
        <v>5.7447814634944416E-3</v>
      </c>
      <c r="BW239" s="1157">
        <f>'2018'!R\Max</f>
        <v>0.50706643623700398</v>
      </c>
      <c r="BX239" s="1155">
        <f>'2019'!R\Max</f>
        <v>0.88482971171342018</v>
      </c>
      <c r="BY239" s="1155">
        <f>'2020'!R\Max</f>
        <v>0.49824781155968267</v>
      </c>
      <c r="BZ239" s="1155">
        <f>'2021'!R\Max</f>
        <v>0.5832114571801208</v>
      </c>
      <c r="CA239" s="1155">
        <f>'2022'!R\Max</f>
        <v>0.63252019370320156</v>
      </c>
      <c r="CB239" s="1155">
        <f>'2023'!R\Max</f>
        <v>0.63252018796834952</v>
      </c>
      <c r="CC239" s="1155">
        <f>'2024'!R\Max</f>
        <v>0.63252015304147746</v>
      </c>
      <c r="CD239" s="1155">
        <f>'2025'!R\Max</f>
        <v>0.63252019370320156</v>
      </c>
      <c r="CE239" s="1155">
        <f>'2026'!R\Max</f>
        <v>0.63252019370320178</v>
      </c>
      <c r="CF239" s="1156">
        <f>'2027'!R\Max</f>
        <v>0.63252019370320178</v>
      </c>
    </row>
    <row r="240" spans="1:84" s="6" customFormat="1" ht="11.25" x14ac:dyDescent="0.2">
      <c r="A240" s="11">
        <v>43326</v>
      </c>
      <c r="B240" s="380">
        <f>'2022'!Maxi_hp</f>
        <v>38.844476104478311</v>
      </c>
      <c r="C240" s="13">
        <f>'2022'!An_max</f>
        <v>2019</v>
      </c>
      <c r="D240" s="1070"/>
      <c r="E240" s="13"/>
      <c r="F240" s="13">
        <f t="shared" si="110"/>
        <v>17</v>
      </c>
      <c r="G240" s="13">
        <f t="shared" si="94"/>
        <v>18</v>
      </c>
      <c r="H240" s="173">
        <f t="shared" si="95"/>
        <v>43318</v>
      </c>
      <c r="I240" s="754">
        <f t="shared" si="96"/>
        <v>0.5714285714285714</v>
      </c>
      <c r="J240" s="747">
        <f t="shared" si="97"/>
        <v>38.888277550893172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P240" s="13">
        <f t="shared" si="98"/>
        <v>9</v>
      </c>
      <c r="AQ240" s="13">
        <f t="shared" si="99"/>
        <v>10</v>
      </c>
      <c r="AR240" s="173">
        <f t="shared" si="100"/>
        <v>43304</v>
      </c>
      <c r="AS240" s="754">
        <f t="shared" si="101"/>
        <v>0.7857142857142857</v>
      </c>
      <c r="AT240" s="770">
        <f t="shared" si="102"/>
        <v>38.930074143742345</v>
      </c>
      <c r="AU240" s="13">
        <f t="shared" si="103"/>
        <v>9</v>
      </c>
      <c r="AV240" s="13">
        <f t="shared" si="104"/>
        <v>10</v>
      </c>
      <c r="AW240" s="173">
        <f t="shared" si="105"/>
        <v>43318</v>
      </c>
      <c r="AX240" s="754">
        <f t="shared" si="106"/>
        <v>0.2857142857142857</v>
      </c>
      <c r="AY240" s="770">
        <f t="shared" si="107"/>
        <v>38.916819825183069</v>
      </c>
      <c r="AZ240" s="747">
        <f t="shared" si="111"/>
        <v>38.923446984462707</v>
      </c>
      <c r="BA240" s="646">
        <f t="shared" si="108"/>
        <v>0.99887365938597983</v>
      </c>
      <c r="BB240" s="641">
        <v>43326</v>
      </c>
      <c r="BC240" s="11">
        <v>43326</v>
      </c>
      <c r="BD240" s="290">
        <f>[3]!FeuilCaduc*(1-Persistant)+Persistant</f>
        <v>0.9982665050048336</v>
      </c>
      <c r="BE240" s="291">
        <f>[3]!CroissVégét</f>
        <v>0.93552736989395957</v>
      </c>
      <c r="BF240" s="822">
        <f>1+[3]!Salcycl*Ksac</f>
        <v>1.0495666262512084</v>
      </c>
      <c r="BH240" s="1101">
        <f t="shared" si="109"/>
        <v>0</v>
      </c>
      <c r="BI240" s="11">
        <v>44422</v>
      </c>
      <c r="BJ240" s="727">
        <v>0</v>
      </c>
      <c r="BK240" s="727">
        <v>0</v>
      </c>
      <c r="BL240" s="727">
        <v>0</v>
      </c>
      <c r="BM240" s="727">
        <v>0</v>
      </c>
      <c r="BN240" s="727">
        <v>0</v>
      </c>
      <c r="BO240" s="728">
        <v>0</v>
      </c>
      <c r="BP240" s="727">
        <v>2.6542172413471566E-6</v>
      </c>
      <c r="BQ240" s="727">
        <v>2.5433226687876932E-4</v>
      </c>
      <c r="BR240" s="727">
        <v>1.15068395071355E-3</v>
      </c>
      <c r="BS240" s="727">
        <v>3.1286934123955137E-3</v>
      </c>
      <c r="BT240" s="727">
        <v>5.9419910367699315E-3</v>
      </c>
      <c r="BW240" s="1157">
        <f>'2018'!R\Max</f>
        <v>0.6127865301822879</v>
      </c>
      <c r="BX240" s="1155">
        <f>'2019'!R\Max</f>
        <v>0.99887365938597983</v>
      </c>
      <c r="BY240" s="1155">
        <f>'2020'!R\Max</f>
        <v>0.30289416026180088</v>
      </c>
      <c r="BZ240" s="1155">
        <f>'2021'!R\Max</f>
        <v>0.88251540788427374</v>
      </c>
      <c r="CA240" s="1155">
        <f>'2022'!R\Max</f>
        <v>0.67150360947299681</v>
      </c>
      <c r="CB240" s="1155">
        <f>'2023'!R\Max</f>
        <v>0.67150360219949945</v>
      </c>
      <c r="CC240" s="1155">
        <f>'2024'!R\Max</f>
        <v>0.6715035582739225</v>
      </c>
      <c r="CD240" s="1155">
        <f>'2025'!R\Max</f>
        <v>0.6715036094729967</v>
      </c>
      <c r="CE240" s="1155">
        <f>'2026'!R\Max</f>
        <v>0.67150360947299659</v>
      </c>
      <c r="CF240" s="1156">
        <f>'2027'!R\Max</f>
        <v>0.6715036094729967</v>
      </c>
    </row>
    <row r="241" spans="1:84" s="6" customFormat="1" ht="11.25" x14ac:dyDescent="0.2">
      <c r="A241" s="11">
        <v>43327</v>
      </c>
      <c r="B241" s="380">
        <f>'2022'!Maxi_hp</f>
        <v>38.017729507891737</v>
      </c>
      <c r="C241" s="13">
        <f>'2022'!An_max</f>
        <v>2018</v>
      </c>
      <c r="D241" s="1070"/>
      <c r="E241" s="13"/>
      <c r="F241" s="13">
        <f t="shared" si="110"/>
        <v>17</v>
      </c>
      <c r="G241" s="13">
        <f t="shared" si="94"/>
        <v>18</v>
      </c>
      <c r="H241" s="173">
        <f t="shared" si="95"/>
        <v>43318</v>
      </c>
      <c r="I241" s="754">
        <f t="shared" si="96"/>
        <v>0.6428571428571429</v>
      </c>
      <c r="J241" s="747">
        <f t="shared" si="97"/>
        <v>38.774144132555065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P241" s="13">
        <f t="shared" si="98"/>
        <v>9</v>
      </c>
      <c r="AQ241" s="13">
        <f t="shared" si="99"/>
        <v>10</v>
      </c>
      <c r="AR241" s="173">
        <f t="shared" si="100"/>
        <v>43304</v>
      </c>
      <c r="AS241" s="754">
        <f t="shared" si="101"/>
        <v>0.8214285714285714</v>
      </c>
      <c r="AT241" s="770">
        <f t="shared" si="102"/>
        <v>38.812865741278181</v>
      </c>
      <c r="AU241" s="13">
        <f t="shared" si="103"/>
        <v>9</v>
      </c>
      <c r="AV241" s="13">
        <f t="shared" si="104"/>
        <v>10</v>
      </c>
      <c r="AW241" s="173">
        <f t="shared" si="105"/>
        <v>43318</v>
      </c>
      <c r="AX241" s="754">
        <f t="shared" si="106"/>
        <v>0.32142857142857145</v>
      </c>
      <c r="AY241" s="770">
        <f t="shared" si="107"/>
        <v>38.811130906089346</v>
      </c>
      <c r="AZ241" s="747">
        <f t="shared" si="111"/>
        <v>38.811998323683767</v>
      </c>
      <c r="BA241" s="646">
        <f t="shared" si="108"/>
        <v>0.98049177766303708</v>
      </c>
      <c r="BB241" s="641">
        <v>43327</v>
      </c>
      <c r="BC241" s="11">
        <v>43327</v>
      </c>
      <c r="BD241" s="290">
        <f>[3]!FeuilCaduc*(1-Persistant)+Persistant</f>
        <v>0.99807805138100247</v>
      </c>
      <c r="BE241" s="291">
        <f>[3]!CroissVégét</f>
        <v>0.93797413894004</v>
      </c>
      <c r="BF241" s="822">
        <f>1+[3]!Salcycl*Ksac</f>
        <v>1.0495195128452506</v>
      </c>
      <c r="BH241" s="1101">
        <f t="shared" si="109"/>
        <v>0</v>
      </c>
      <c r="BI241" s="11">
        <v>44423</v>
      </c>
      <c r="BJ241" s="727">
        <v>0</v>
      </c>
      <c r="BK241" s="727">
        <v>0</v>
      </c>
      <c r="BL241" s="727">
        <v>0</v>
      </c>
      <c r="BM241" s="727">
        <v>0</v>
      </c>
      <c r="BN241" s="727">
        <v>0</v>
      </c>
      <c r="BO241" s="728">
        <v>0</v>
      </c>
      <c r="BP241" s="727">
        <v>3.4044854173257E-6</v>
      </c>
      <c r="BQ241" s="727">
        <v>2.7212633905703562E-4</v>
      </c>
      <c r="BR241" s="727">
        <v>1.1955647821921434E-3</v>
      </c>
      <c r="BS241" s="727">
        <v>3.2588403283000484E-3</v>
      </c>
      <c r="BT241" s="727">
        <v>6.2000400945756914E-3</v>
      </c>
      <c r="BW241" s="1157">
        <f>'2018'!R\Max</f>
        <v>0.98049177766303708</v>
      </c>
      <c r="BX241" s="1155">
        <f>'2019'!R\Max</f>
        <v>0.46784721265138157</v>
      </c>
      <c r="BY241" s="1155">
        <f>'2020'!R\Max</f>
        <v>0.92850328603237509</v>
      </c>
      <c r="BZ241" s="1155">
        <f>'2021'!R\Max</f>
        <v>0.38162558122103962</v>
      </c>
      <c r="CA241" s="1155">
        <f>'2022'!R\Max</f>
        <v>0.64364753355286686</v>
      </c>
      <c r="CB241" s="1155">
        <f>'2023'!R\Max</f>
        <v>0.64364752373683076</v>
      </c>
      <c r="CC241" s="1155">
        <f>'2024'!R\Max</f>
        <v>0.64364746493213676</v>
      </c>
      <c r="CD241" s="1155">
        <f>'2025'!R\Max</f>
        <v>0.64364753355286675</v>
      </c>
      <c r="CE241" s="1155">
        <f>'2026'!R\Max</f>
        <v>0.64364753355286675</v>
      </c>
      <c r="CF241" s="1156">
        <f>'2027'!R\Max</f>
        <v>0.64364753355286675</v>
      </c>
    </row>
    <row r="242" spans="1:84" s="6" customFormat="1" ht="11.25" x14ac:dyDescent="0.2">
      <c r="A242" s="11">
        <v>43328</v>
      </c>
      <c r="B242" s="380">
        <f>'2022'!Maxi_hp</f>
        <v>38.177761326018796</v>
      </c>
      <c r="C242" s="13">
        <f>'2022'!An_max</f>
        <v>2019</v>
      </c>
      <c r="D242" s="1070"/>
      <c r="E242" s="13"/>
      <c r="F242" s="13">
        <f t="shared" si="110"/>
        <v>17</v>
      </c>
      <c r="G242" s="13">
        <f t="shared" si="94"/>
        <v>18</v>
      </c>
      <c r="H242" s="173">
        <f t="shared" si="95"/>
        <v>43318</v>
      </c>
      <c r="I242" s="754">
        <f t="shared" si="96"/>
        <v>0.7142857142857143</v>
      </c>
      <c r="J242" s="747">
        <f t="shared" si="97"/>
        <v>38.658512244825914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P242" s="13">
        <f t="shared" si="98"/>
        <v>9</v>
      </c>
      <c r="AQ242" s="13">
        <f t="shared" si="99"/>
        <v>10</v>
      </c>
      <c r="AR242" s="173">
        <f t="shared" si="100"/>
        <v>43304</v>
      </c>
      <c r="AS242" s="754">
        <f t="shared" si="101"/>
        <v>0.8571428571428571</v>
      </c>
      <c r="AT242" s="770">
        <f t="shared" si="102"/>
        <v>38.692762973691735</v>
      </c>
      <c r="AU242" s="13">
        <f t="shared" si="103"/>
        <v>9</v>
      </c>
      <c r="AV242" s="13">
        <f t="shared" si="104"/>
        <v>10</v>
      </c>
      <c r="AW242" s="173">
        <f t="shared" si="105"/>
        <v>43318</v>
      </c>
      <c r="AX242" s="754">
        <f t="shared" si="106"/>
        <v>0.35714285714285715</v>
      </c>
      <c r="AY242" s="770">
        <f t="shared" si="107"/>
        <v>38.704269078147732</v>
      </c>
      <c r="AZ242" s="747">
        <f t="shared" si="111"/>
        <v>38.69851602591973</v>
      </c>
      <c r="BA242" s="646">
        <f t="shared" si="108"/>
        <v>0.98756416398638147</v>
      </c>
      <c r="BB242" s="641">
        <v>43328</v>
      </c>
      <c r="BC242" s="11">
        <v>43328</v>
      </c>
      <c r="BD242" s="290">
        <f>[3]!FeuilCaduc*(1-Persistant)+Persistant</f>
        <v>0.99787892524986321</v>
      </c>
      <c r="BE242" s="291">
        <f>[3]!CroissVégét</f>
        <v>0.94033444219607754</v>
      </c>
      <c r="BF242" s="822">
        <f>1+[3]!Salcycl*Ksac</f>
        <v>1.0494697313124659</v>
      </c>
      <c r="BH242" s="1101">
        <f t="shared" si="109"/>
        <v>0</v>
      </c>
      <c r="BI242" s="11">
        <v>44424</v>
      </c>
      <c r="BJ242" s="727">
        <v>0</v>
      </c>
      <c r="BK242" s="727">
        <v>0</v>
      </c>
      <c r="BL242" s="727">
        <v>0</v>
      </c>
      <c r="BM242" s="727">
        <v>0</v>
      </c>
      <c r="BN242" s="727">
        <v>0</v>
      </c>
      <c r="BO242" s="728">
        <v>0</v>
      </c>
      <c r="BP242" s="727">
        <v>4.2612121247221747E-6</v>
      </c>
      <c r="BQ242" s="727">
        <v>2.8950506420467111E-4</v>
      </c>
      <c r="BR242" s="727">
        <v>1.2389068302643387E-3</v>
      </c>
      <c r="BS242" s="727">
        <v>3.4076230127892807E-3</v>
      </c>
      <c r="BT242" s="727">
        <v>6.5189321839489922E-3</v>
      </c>
      <c r="BW242" s="1157">
        <f>'2018'!R\Max</f>
        <v>0.88811438278177635</v>
      </c>
      <c r="BX242" s="1155">
        <f>'2019'!R\Max</f>
        <v>0.98756416398638147</v>
      </c>
      <c r="BY242" s="1155">
        <f>'2020'!R\Max</f>
        <v>0.8313714813432318</v>
      </c>
      <c r="BZ242" s="1155">
        <f>'2021'!R\Max</f>
        <v>0.57649764675853488</v>
      </c>
      <c r="CA242" s="1155">
        <f>'2022'!R\Max</f>
        <v>0.63865612094815305</v>
      </c>
      <c r="CB242" s="1155">
        <f>'2023'!R\Max</f>
        <v>0.6386561084441218</v>
      </c>
      <c r="CC242" s="1155">
        <f>'2024'!R\Max</f>
        <v>0.63865603411067506</v>
      </c>
      <c r="CD242" s="1155">
        <f>'2025'!R\Max</f>
        <v>0.63865612094815283</v>
      </c>
      <c r="CE242" s="1155">
        <f>'2026'!R\Max</f>
        <v>0.63865612094815305</v>
      </c>
      <c r="CF242" s="1156">
        <f>'2027'!R\Max</f>
        <v>0.63865612094815305</v>
      </c>
    </row>
    <row r="243" spans="1:84" s="6" customFormat="1" ht="11.25" x14ac:dyDescent="0.2">
      <c r="A243" s="11">
        <v>43329</v>
      </c>
      <c r="B243" s="380">
        <f>'2022'!Maxi_hp</f>
        <v>37.316431373615615</v>
      </c>
      <c r="C243" s="13">
        <f>'2022'!An_max</f>
        <v>2019</v>
      </c>
      <c r="D243" s="1070"/>
      <c r="E243" s="13"/>
      <c r="F243" s="13">
        <f t="shared" si="110"/>
        <v>17</v>
      </c>
      <c r="G243" s="13">
        <f t="shared" si="94"/>
        <v>18</v>
      </c>
      <c r="H243" s="173">
        <f t="shared" si="95"/>
        <v>43318</v>
      </c>
      <c r="I243" s="754">
        <f t="shared" si="96"/>
        <v>0.7857142857142857</v>
      </c>
      <c r="J243" s="747">
        <f t="shared" si="97"/>
        <v>38.541381887679123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P243" s="13">
        <f t="shared" si="98"/>
        <v>9</v>
      </c>
      <c r="AQ243" s="13">
        <f t="shared" si="99"/>
        <v>10</v>
      </c>
      <c r="AR243" s="173">
        <f t="shared" si="100"/>
        <v>43304</v>
      </c>
      <c r="AS243" s="754">
        <f t="shared" si="101"/>
        <v>0.8928571428571429</v>
      </c>
      <c r="AT243" s="770">
        <f t="shared" si="102"/>
        <v>38.5696454292762</v>
      </c>
      <c r="AU243" s="13">
        <f t="shared" si="103"/>
        <v>9</v>
      </c>
      <c r="AV243" s="13">
        <f t="shared" si="104"/>
        <v>10</v>
      </c>
      <c r="AW243" s="173">
        <f t="shared" si="105"/>
        <v>43318</v>
      </c>
      <c r="AX243" s="754">
        <f t="shared" si="106"/>
        <v>0.39285714285714285</v>
      </c>
      <c r="AY243" s="770">
        <f t="shared" si="107"/>
        <v>38.596006894843391</v>
      </c>
      <c r="AZ243" s="747">
        <f t="shared" si="111"/>
        <v>38.582826162059796</v>
      </c>
      <c r="BA243" s="646">
        <f t="shared" si="108"/>
        <v>0.96821726533746577</v>
      </c>
      <c r="BB243" s="641">
        <v>43329</v>
      </c>
      <c r="BC243" s="11">
        <v>43329</v>
      </c>
      <c r="BD243" s="290">
        <f>[3]!FeuilCaduc*(1-Persistant)+Persistant</f>
        <v>0.99766876489160472</v>
      </c>
      <c r="BE243" s="291">
        <f>[3]!CroissVégét</f>
        <v>0.94261089426578282</v>
      </c>
      <c r="BF243" s="822">
        <f>1+[3]!Salcycl*Ksac</f>
        <v>1.0494171912229011</v>
      </c>
      <c r="BH243" s="1101">
        <f t="shared" si="109"/>
        <v>0</v>
      </c>
      <c r="BI243" s="11">
        <v>44425</v>
      </c>
      <c r="BJ243" s="727">
        <v>0</v>
      </c>
      <c r="BK243" s="727">
        <v>0</v>
      </c>
      <c r="BL243" s="727">
        <v>0</v>
      </c>
      <c r="BM243" s="727">
        <v>0</v>
      </c>
      <c r="BN243" s="727">
        <v>0</v>
      </c>
      <c r="BO243" s="728">
        <v>0</v>
      </c>
      <c r="BP243" s="727">
        <v>5.2244165641758422E-6</v>
      </c>
      <c r="BQ243" s="727">
        <v>3.0646873130766607E-4</v>
      </c>
      <c r="BR243" s="727">
        <v>1.2807106475891152E-3</v>
      </c>
      <c r="BS243" s="727">
        <v>3.5750439727484443E-3</v>
      </c>
      <c r="BT243" s="727">
        <v>6.8986732251705143E-3</v>
      </c>
      <c r="BW243" s="1157">
        <f>'2018'!R\Max</f>
        <v>0.59418686369448448</v>
      </c>
      <c r="BX243" s="1155">
        <f>'2019'!R\Max</f>
        <v>0.96821726533746577</v>
      </c>
      <c r="BY243" s="1155">
        <f>'2020'!R\Max</f>
        <v>0.35345435865099806</v>
      </c>
      <c r="BZ243" s="1155">
        <f>'2021'!R\Max</f>
        <v>0.73075275101988579</v>
      </c>
      <c r="CA243" s="1155">
        <f>'2022'!R\Max</f>
        <v>0.50891729303206334</v>
      </c>
      <c r="CB243" s="1155">
        <f>'2023'!R\Max</f>
        <v>0.50891727624430194</v>
      </c>
      <c r="CC243" s="1155">
        <f>'2024'!R\Max</f>
        <v>0.50891717717609875</v>
      </c>
      <c r="CD243" s="1155">
        <f>'2025'!R\Max</f>
        <v>0.50891729303206334</v>
      </c>
      <c r="CE243" s="1155">
        <f>'2026'!R\Max</f>
        <v>0.50891729303206334</v>
      </c>
      <c r="CF243" s="1156">
        <f>'2027'!R\Max</f>
        <v>0.50891729303206334</v>
      </c>
    </row>
    <row r="244" spans="1:84" s="6" customFormat="1" ht="11.25" x14ac:dyDescent="0.2">
      <c r="A244" s="11">
        <v>43330</v>
      </c>
      <c r="B244" s="380">
        <f>'2022'!Maxi_hp</f>
        <v>36.873994716439007</v>
      </c>
      <c r="C244" s="13">
        <f>'2022'!An_max</f>
        <v>2021</v>
      </c>
      <c r="D244" s="1070"/>
      <c r="E244" s="13"/>
      <c r="F244" s="13">
        <f t="shared" si="110"/>
        <v>17</v>
      </c>
      <c r="G244" s="13">
        <f t="shared" si="94"/>
        <v>18</v>
      </c>
      <c r="H244" s="173">
        <f t="shared" si="95"/>
        <v>43318</v>
      </c>
      <c r="I244" s="754">
        <f t="shared" si="96"/>
        <v>0.8571428571428571</v>
      </c>
      <c r="J244" s="747">
        <f t="shared" si="97"/>
        <v>38.422753061141286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P244" s="13">
        <f t="shared" si="98"/>
        <v>9</v>
      </c>
      <c r="AQ244" s="13">
        <f t="shared" si="99"/>
        <v>10</v>
      </c>
      <c r="AR244" s="173">
        <f t="shared" si="100"/>
        <v>43304</v>
      </c>
      <c r="AS244" s="754">
        <f t="shared" si="101"/>
        <v>0.9285714285714286</v>
      </c>
      <c r="AT244" s="770">
        <f t="shared" si="102"/>
        <v>38.443392693304588</v>
      </c>
      <c r="AU244" s="13">
        <f t="shared" si="103"/>
        <v>9</v>
      </c>
      <c r="AV244" s="13">
        <f t="shared" si="104"/>
        <v>10</v>
      </c>
      <c r="AW244" s="173">
        <f t="shared" si="105"/>
        <v>43318</v>
      </c>
      <c r="AX244" s="754">
        <f t="shared" si="106"/>
        <v>0.42857142857142855</v>
      </c>
      <c r="AY244" s="770">
        <f t="shared" si="107"/>
        <v>38.486116909608242</v>
      </c>
      <c r="AZ244" s="747">
        <f t="shared" si="111"/>
        <v>38.464754801456415</v>
      </c>
      <c r="BA244" s="646">
        <f t="shared" si="108"/>
        <v>0.9596916352600301</v>
      </c>
      <c r="BB244" s="641">
        <v>43330</v>
      </c>
      <c r="BC244" s="11">
        <v>43330</v>
      </c>
      <c r="BD244" s="290">
        <f>[3]!FeuilCaduc*(1-Persistant)+Persistant</f>
        <v>0.99744717311090825</v>
      </c>
      <c r="BE244" s="291">
        <f>[3]!CroissVégét</f>
        <v>0.94480606387541</v>
      </c>
      <c r="BF244" s="822">
        <f>1+[3]!Salcycl*Ksac</f>
        <v>1.0493617932777271</v>
      </c>
      <c r="BH244" s="1101">
        <f t="shared" si="109"/>
        <v>0</v>
      </c>
      <c r="BI244" s="11">
        <v>44426</v>
      </c>
      <c r="BJ244" s="727">
        <v>0</v>
      </c>
      <c r="BK244" s="727">
        <v>0</v>
      </c>
      <c r="BL244" s="727">
        <v>0</v>
      </c>
      <c r="BM244" s="727">
        <v>0</v>
      </c>
      <c r="BN244" s="727">
        <v>0</v>
      </c>
      <c r="BO244" s="728">
        <v>0</v>
      </c>
      <c r="BP244" s="727">
        <v>6.2941213889774638E-6</v>
      </c>
      <c r="BQ244" s="727">
        <v>3.2301759002635009E-4</v>
      </c>
      <c r="BR244" s="727">
        <v>1.3209766672361888E-3</v>
      </c>
      <c r="BS244" s="727">
        <v>3.761106320088779E-3</v>
      </c>
      <c r="BT244" s="727">
        <v>7.3392713227247025E-3</v>
      </c>
      <c r="BW244" s="1157">
        <f>'2018'!R\Max</f>
        <v>0.52160719653640863</v>
      </c>
      <c r="BX244" s="1155">
        <f>'2019'!R\Max</f>
        <v>0.6386220826672494</v>
      </c>
      <c r="BY244" s="1155">
        <f>'2020'!R\Max</f>
        <v>0.79098189367492844</v>
      </c>
      <c r="BZ244" s="1155">
        <f>'2021'!R\Max</f>
        <v>0.9596916352600301</v>
      </c>
      <c r="CA244" s="1155">
        <f>'2022'!R\Max</f>
        <v>0.75750421047860461</v>
      </c>
      <c r="CB244" s="1155">
        <f>'2023'!R\Max</f>
        <v>0.75750419545199354</v>
      </c>
      <c r="CC244" s="1155">
        <f>'2024'!R\Max</f>
        <v>0.75750410739749618</v>
      </c>
      <c r="CD244" s="1155">
        <f>'2025'!R\Max</f>
        <v>0.7575042104786045</v>
      </c>
      <c r="CE244" s="1155">
        <f>'2026'!R\Max</f>
        <v>0.7575042104786045</v>
      </c>
      <c r="CF244" s="1156">
        <f>'2027'!R\Max</f>
        <v>0.75750421047860439</v>
      </c>
    </row>
    <row r="245" spans="1:84" s="6" customFormat="1" ht="11.25" x14ac:dyDescent="0.2">
      <c r="A245" s="11">
        <v>43331</v>
      </c>
      <c r="B245" s="380">
        <f>'2022'!Maxi_hp</f>
        <v>35.384293693834039</v>
      </c>
      <c r="C245" s="13">
        <f>'2022'!An_max</f>
        <v>2018</v>
      </c>
      <c r="D245" s="1070"/>
      <c r="E245" s="13"/>
      <c r="F245" s="13">
        <f t="shared" si="110"/>
        <v>17</v>
      </c>
      <c r="G245" s="13">
        <f t="shared" si="94"/>
        <v>18</v>
      </c>
      <c r="H245" s="173">
        <f t="shared" si="95"/>
        <v>43318</v>
      </c>
      <c r="I245" s="754">
        <f t="shared" si="96"/>
        <v>0.9285714285714286</v>
      </c>
      <c r="J245" s="747">
        <f t="shared" si="97"/>
        <v>38.302625765278933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P245" s="13">
        <f t="shared" si="98"/>
        <v>9</v>
      </c>
      <c r="AQ245" s="13">
        <f t="shared" si="99"/>
        <v>10</v>
      </c>
      <c r="AR245" s="173">
        <f t="shared" si="100"/>
        <v>43304</v>
      </c>
      <c r="AS245" s="754">
        <f t="shared" si="101"/>
        <v>0.9642857142857143</v>
      </c>
      <c r="AT245" s="770">
        <f t="shared" si="102"/>
        <v>38.313884354761932</v>
      </c>
      <c r="AU245" s="13">
        <f t="shared" si="103"/>
        <v>9</v>
      </c>
      <c r="AV245" s="13">
        <f t="shared" si="104"/>
        <v>10</v>
      </c>
      <c r="AW245" s="173">
        <f t="shared" si="105"/>
        <v>43318</v>
      </c>
      <c r="AX245" s="754">
        <f t="shared" si="106"/>
        <v>0.4642857142857143</v>
      </c>
      <c r="AY245" s="770">
        <f t="shared" si="107"/>
        <v>38.374371676918656</v>
      </c>
      <c r="AZ245" s="747">
        <f t="shared" si="111"/>
        <v>38.344128015840298</v>
      </c>
      <c r="BA245" s="646">
        <f t="shared" si="108"/>
        <v>0.92380856369146525</v>
      </c>
      <c r="BB245" s="641">
        <v>43331</v>
      </c>
      <c r="BC245" s="11">
        <v>43331</v>
      </c>
      <c r="BD245" s="290">
        <f>[3]!FeuilCaduc*(1-Persistant)+Persistant</f>
        <v>0.99721372064282132</v>
      </c>
      <c r="BE245" s="291">
        <f>[3]!CroissVégét</f>
        <v>0.94692247197428869</v>
      </c>
      <c r="BF245" s="822">
        <f>1+[3]!Salcycl*Ksac</f>
        <v>1.0493034301607054</v>
      </c>
      <c r="BH245" s="1101">
        <f t="shared" si="109"/>
        <v>0</v>
      </c>
      <c r="BI245" s="11">
        <v>44427</v>
      </c>
      <c r="BJ245" s="727">
        <v>0</v>
      </c>
      <c r="BK245" s="727">
        <v>0</v>
      </c>
      <c r="BL245" s="727">
        <v>0</v>
      </c>
      <c r="BM245" s="727">
        <v>0</v>
      </c>
      <c r="BN245" s="727">
        <v>0</v>
      </c>
      <c r="BO245" s="728">
        <v>0</v>
      </c>
      <c r="BP245" s="727">
        <v>7.4703523742617449E-6</v>
      </c>
      <c r="BQ245" s="727">
        <v>3.3915185199387334E-4</v>
      </c>
      <c r="BR245" s="727">
        <v>1.3597052075019162E-3</v>
      </c>
      <c r="BS245" s="727">
        <v>3.9658137139128814E-3</v>
      </c>
      <c r="BT245" s="727">
        <v>7.8407365763556811E-3</v>
      </c>
      <c r="BW245" s="1157">
        <f>'2018'!R\Max</f>
        <v>0.92380856369146525</v>
      </c>
      <c r="BX245" s="1155">
        <f>'2019'!R\Max</f>
        <v>0.6321814733852783</v>
      </c>
      <c r="BY245" s="1155">
        <f>'2020'!R\Max</f>
        <v>0.72478378321858428</v>
      </c>
      <c r="BZ245" s="1155">
        <f>'2021'!R\Max</f>
        <v>0.87648455165362404</v>
      </c>
      <c r="CA245" s="1155">
        <f>'2022'!R\Max</f>
        <v>0.76612319051297284</v>
      </c>
      <c r="CB245" s="1155">
        <f>'2023'!R\Max</f>
        <v>0.76612317293317345</v>
      </c>
      <c r="CC245" s="1155">
        <f>'2024'!R\Max</f>
        <v>0.76612307060667162</v>
      </c>
      <c r="CD245" s="1155">
        <f>'2025'!R\Max</f>
        <v>0.76612319051297284</v>
      </c>
      <c r="CE245" s="1155">
        <f>'2026'!R\Max</f>
        <v>0.76612319051297273</v>
      </c>
      <c r="CF245" s="1156">
        <f>'2027'!R\Max</f>
        <v>0.76612319051297284</v>
      </c>
    </row>
    <row r="246" spans="1:84" s="6" customFormat="1" ht="11.25" x14ac:dyDescent="0.2">
      <c r="A246" s="11">
        <v>43332</v>
      </c>
      <c r="B246" s="380">
        <f>'2022'!Maxi_hp</f>
        <v>36.556455204531737</v>
      </c>
      <c r="C246" s="13">
        <f>'2022'!An_max</f>
        <v>2021</v>
      </c>
      <c r="D246" s="1070"/>
      <c r="E246" s="1073">
        <f>AD$13/10</f>
        <v>38.180999999999997</v>
      </c>
      <c r="F246" s="13">
        <f t="shared" si="110"/>
        <v>19</v>
      </c>
      <c r="G246" s="13">
        <f t="shared" si="94"/>
        <v>18</v>
      </c>
      <c r="H246" s="173">
        <f t="shared" si="95"/>
        <v>43346</v>
      </c>
      <c r="I246" s="754">
        <f t="shared" si="96"/>
        <v>1</v>
      </c>
      <c r="J246" s="747">
        <f t="shared" si="97"/>
        <v>38.181000000052151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P246" s="13">
        <f t="shared" si="98"/>
        <v>11</v>
      </c>
      <c r="AQ246" s="13">
        <f t="shared" si="99"/>
        <v>10</v>
      </c>
      <c r="AR246" s="173">
        <f t="shared" si="100"/>
        <v>43360</v>
      </c>
      <c r="AS246" s="754">
        <f t="shared" si="101"/>
        <v>1</v>
      </c>
      <c r="AT246" s="770">
        <f t="shared" si="102"/>
        <v>38.18100000061095</v>
      </c>
      <c r="AU246" s="13">
        <f t="shared" si="103"/>
        <v>9</v>
      </c>
      <c r="AV246" s="13">
        <f t="shared" si="104"/>
        <v>10</v>
      </c>
      <c r="AW246" s="173">
        <f t="shared" si="105"/>
        <v>43318</v>
      </c>
      <c r="AX246" s="754">
        <f t="shared" si="106"/>
        <v>0.5</v>
      </c>
      <c r="AY246" s="770">
        <f t="shared" si="107"/>
        <v>38.260543750040235</v>
      </c>
      <c r="AZ246" s="747">
        <f t="shared" si="111"/>
        <v>38.220771875325596</v>
      </c>
      <c r="BA246" s="646">
        <f t="shared" si="108"/>
        <v>0.95745148645875711</v>
      </c>
      <c r="BB246" s="641">
        <v>43332</v>
      </c>
      <c r="BC246" s="11">
        <v>43332</v>
      </c>
      <c r="BD246" s="290">
        <f>[3]!FeuilCaduc*(1-Persistant)+Persistant</f>
        <v>0.99696794916354636</v>
      </c>
      <c r="BE246" s="291">
        <f>[3]!CroissVégét</f>
        <v>0.94896259011285922</v>
      </c>
      <c r="BF246" s="822">
        <f>1+[3]!Salcycl*Ksac</f>
        <v>1.0492419872908867</v>
      </c>
      <c r="BH246" s="1101">
        <f t="shared" si="109"/>
        <v>0</v>
      </c>
      <c r="BI246" s="11">
        <v>44428</v>
      </c>
      <c r="BJ246" s="727">
        <v>0</v>
      </c>
      <c r="BK246" s="727">
        <v>0</v>
      </c>
      <c r="BL246" s="727">
        <v>0</v>
      </c>
      <c r="BM246" s="727">
        <v>0</v>
      </c>
      <c r="BN246" s="727">
        <v>0</v>
      </c>
      <c r="BO246" s="728">
        <v>0</v>
      </c>
      <c r="BP246" s="727">
        <v>8.7531380862544762E-6</v>
      </c>
      <c r="BQ246" s="727">
        <v>3.5487169211634718E-4</v>
      </c>
      <c r="BR246" s="727">
        <v>1.3968964767310616E-3</v>
      </c>
      <c r="BS246" s="727">
        <v>4.1891703026986065E-3</v>
      </c>
      <c r="BT246" s="727">
        <v>8.4030808921613971E-3</v>
      </c>
      <c r="BW246" s="1157">
        <f>'2018'!R\Max</f>
        <v>0.95251563398868777</v>
      </c>
      <c r="BX246" s="1155">
        <f>'2019'!R\Max</f>
        <v>0.58118279362661984</v>
      </c>
      <c r="BY246" s="1155">
        <f>'2020'!R\Max</f>
        <v>0.95606946887556188</v>
      </c>
      <c r="BZ246" s="1155">
        <f>'2021'!R\Max</f>
        <v>0.95745148645875711</v>
      </c>
      <c r="CA246" s="1155">
        <f>'2022'!R\Max</f>
        <v>0.95403147767658547</v>
      </c>
      <c r="CB246" s="1155">
        <f>'2023'!R\Max</f>
        <v>0.95403147258329701</v>
      </c>
      <c r="CC246" s="1155">
        <f>'2024'!R\Max</f>
        <v>0.95403144312656663</v>
      </c>
      <c r="CD246" s="1155">
        <f>'2025'!R\Max</f>
        <v>0.95403147767658569</v>
      </c>
      <c r="CE246" s="1155">
        <f>'2026'!R\Max</f>
        <v>0.95403147767658569</v>
      </c>
      <c r="CF246" s="1156">
        <f>'2027'!R\Max</f>
        <v>0.95403147767658569</v>
      </c>
    </row>
    <row r="247" spans="1:84" s="6" customFormat="1" ht="11.25" x14ac:dyDescent="0.2">
      <c r="A247" s="11">
        <v>43333</v>
      </c>
      <c r="B247" s="380">
        <f>'2022'!Maxi_hp</f>
        <v>36.591801967762351</v>
      </c>
      <c r="C247" s="13">
        <f>'2022'!An_max</f>
        <v>2020</v>
      </c>
      <c r="D247" s="1070"/>
      <c r="E247" s="13"/>
      <c r="F247" s="13">
        <f t="shared" si="110"/>
        <v>19</v>
      </c>
      <c r="G247" s="13">
        <f t="shared" si="94"/>
        <v>18</v>
      </c>
      <c r="H247" s="173">
        <f t="shared" si="95"/>
        <v>43346</v>
      </c>
      <c r="I247" s="754">
        <f t="shared" si="96"/>
        <v>0.9285714285714286</v>
      </c>
      <c r="J247" s="747">
        <f t="shared" si="97"/>
        <v>38.059499106981924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P247" s="13">
        <f t="shared" si="98"/>
        <v>11</v>
      </c>
      <c r="AQ247" s="13">
        <f t="shared" si="99"/>
        <v>10</v>
      </c>
      <c r="AR247" s="173">
        <f t="shared" si="100"/>
        <v>43360</v>
      </c>
      <c r="AS247" s="754">
        <f t="shared" si="101"/>
        <v>0.9642857142857143</v>
      </c>
      <c r="AT247" s="770">
        <f t="shared" si="102"/>
        <v>38.045502243603451</v>
      </c>
      <c r="AU247" s="13">
        <f t="shared" si="103"/>
        <v>9</v>
      </c>
      <c r="AV247" s="13">
        <f t="shared" si="104"/>
        <v>10</v>
      </c>
      <c r="AW247" s="173">
        <f t="shared" si="105"/>
        <v>43318</v>
      </c>
      <c r="AX247" s="754">
        <f t="shared" si="106"/>
        <v>0.5357142857142857</v>
      </c>
      <c r="AY247" s="770">
        <f t="shared" si="107"/>
        <v>38.144405683016934</v>
      </c>
      <c r="AZ247" s="747">
        <f t="shared" si="111"/>
        <v>38.094953963310189</v>
      </c>
      <c r="BA247" s="646">
        <f t="shared" si="108"/>
        <v>0.96143677206328948</v>
      </c>
      <c r="BB247" s="641">
        <v>43333</v>
      </c>
      <c r="BC247" s="11">
        <v>43333</v>
      </c>
      <c r="BD247" s="290">
        <f>[3]!FeuilCaduc*(1-Persistant)+Persistant</f>
        <v>0.99670937388049308</v>
      </c>
      <c r="BE247" s="291">
        <f>[3]!CroissVégét</f>
        <v>0.95092883908018766</v>
      </c>
      <c r="BF247" s="822">
        <f>1+[3]!Salcycl*Ksac</f>
        <v>1.0491773434701233</v>
      </c>
      <c r="BH247" s="1101">
        <f t="shared" si="109"/>
        <v>0</v>
      </c>
      <c r="BI247" s="11">
        <v>44429</v>
      </c>
      <c r="BJ247" s="727">
        <v>0</v>
      </c>
      <c r="BK247" s="727">
        <v>0</v>
      </c>
      <c r="BL247" s="727">
        <v>0</v>
      </c>
      <c r="BM247" s="727">
        <v>0</v>
      </c>
      <c r="BN247" s="727">
        <v>0</v>
      </c>
      <c r="BO247" s="728">
        <v>0</v>
      </c>
      <c r="BP247" s="727">
        <v>1.0142509551365422E-5</v>
      </c>
      <c r="BQ247" s="727">
        <v>3.7017724986577246E-4</v>
      </c>
      <c r="BR247" s="727">
        <v>1.4325505781095441E-3</v>
      </c>
      <c r="BS247" s="727">
        <v>4.4311806663989376E-3</v>
      </c>
      <c r="BT247" s="727">
        <v>9.0263177935222764E-3</v>
      </c>
      <c r="BW247" s="1157">
        <f>'2018'!R\Max</f>
        <v>0.9309614589513262</v>
      </c>
      <c r="BX247" s="1155">
        <f>'2019'!R\Max</f>
        <v>0.89821469778698493</v>
      </c>
      <c r="BY247" s="1155">
        <f>'2020'!R\Max</f>
        <v>0.96143677206328948</v>
      </c>
      <c r="BZ247" s="1155">
        <f>'2021'!R\Max</f>
        <v>0.90638020711658362</v>
      </c>
      <c r="CA247" s="1155">
        <f>'2022'!R\Max</f>
        <v>0.6000101523487692</v>
      </c>
      <c r="CB247" s="1155">
        <f>'2023'!R\Max</f>
        <v>0.60001011973129847</v>
      </c>
      <c r="CC247" s="1155">
        <f>'2024'!R\Max</f>
        <v>0.60000993224457744</v>
      </c>
      <c r="CD247" s="1155">
        <f>'2025'!R\Max</f>
        <v>0.60001015234876909</v>
      </c>
      <c r="CE247" s="1155">
        <f>'2026'!R\Max</f>
        <v>0.6000101523487692</v>
      </c>
      <c r="CF247" s="1156">
        <f>'2027'!R\Max</f>
        <v>0.60001015234876909</v>
      </c>
    </row>
    <row r="248" spans="1:84" s="6" customFormat="1" ht="11.25" x14ac:dyDescent="0.2">
      <c r="A248" s="11">
        <v>43334</v>
      </c>
      <c r="B248" s="380">
        <f>'2022'!Maxi_hp</f>
        <v>38.793135012494737</v>
      </c>
      <c r="C248" s="13">
        <f>'2022'!An_max</f>
        <v>2019</v>
      </c>
      <c r="D248" s="1070"/>
      <c r="E248" s="13"/>
      <c r="F248" s="13">
        <f t="shared" si="110"/>
        <v>19</v>
      </c>
      <c r="G248" s="13">
        <f t="shared" si="94"/>
        <v>18</v>
      </c>
      <c r="H248" s="173">
        <f t="shared" si="95"/>
        <v>43346</v>
      </c>
      <c r="I248" s="754">
        <f t="shared" si="96"/>
        <v>0.8571428571428571</v>
      </c>
      <c r="J248" s="747">
        <f t="shared" si="97"/>
        <v>37.939246938750145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P248" s="13">
        <f t="shared" si="98"/>
        <v>11</v>
      </c>
      <c r="AQ248" s="13">
        <f t="shared" si="99"/>
        <v>10</v>
      </c>
      <c r="AR248" s="173">
        <f t="shared" si="100"/>
        <v>43360</v>
      </c>
      <c r="AS248" s="754">
        <f t="shared" si="101"/>
        <v>0.9285714285714286</v>
      </c>
      <c r="AT248" s="770">
        <f t="shared" si="102"/>
        <v>37.908189376922593</v>
      </c>
      <c r="AU248" s="13">
        <f t="shared" si="103"/>
        <v>9</v>
      </c>
      <c r="AV248" s="13">
        <f t="shared" si="104"/>
        <v>10</v>
      </c>
      <c r="AW248" s="173">
        <f t="shared" si="105"/>
        <v>43318</v>
      </c>
      <c r="AX248" s="754">
        <f t="shared" si="106"/>
        <v>0.5714285714285714</v>
      </c>
      <c r="AY248" s="770">
        <f t="shared" si="107"/>
        <v>38.025730028908171</v>
      </c>
      <c r="AZ248" s="747">
        <f t="shared" si="111"/>
        <v>37.966959702915382</v>
      </c>
      <c r="BA248" s="646">
        <f t="shared" si="108"/>
        <v>1.0225067217365471</v>
      </c>
      <c r="BB248" s="641">
        <v>43334</v>
      </c>
      <c r="BC248" s="11">
        <v>43334</v>
      </c>
      <c r="BD248" s="290">
        <f>[3]!FeuilCaduc*(1-Persistant)+Persistant</f>
        <v>0.99643748568313639</v>
      </c>
      <c r="BE248" s="291">
        <f>[3]!CroissVégét</f>
        <v>0.95282358778342446</v>
      </c>
      <c r="BF248" s="822">
        <f>1+[3]!Salcycl*Ksac</f>
        <v>1.049109371420784</v>
      </c>
      <c r="BH248" s="1101">
        <f t="shared" si="109"/>
        <v>0</v>
      </c>
      <c r="BI248" s="11">
        <v>44430</v>
      </c>
      <c r="BJ248" s="727">
        <v>0</v>
      </c>
      <c r="BK248" s="727">
        <v>0</v>
      </c>
      <c r="BL248" s="727">
        <v>0</v>
      </c>
      <c r="BM248" s="727">
        <v>0</v>
      </c>
      <c r="BN248" s="727">
        <v>0</v>
      </c>
      <c r="BO248" s="728">
        <v>0</v>
      </c>
      <c r="BP248" s="727">
        <v>1.1684395526988835E-5</v>
      </c>
      <c r="BQ248" s="727">
        <v>3.8504230508400422E-4</v>
      </c>
      <c r="BR248" s="727">
        <v>1.4777962794860064E-3</v>
      </c>
      <c r="BS248" s="727">
        <v>4.8388316081786377E-3</v>
      </c>
      <c r="BT248" s="727">
        <v>1.0118159172658859E-2</v>
      </c>
      <c r="BW248" s="1157">
        <f>'2018'!R\Max</f>
        <v>0.92091739789373461</v>
      </c>
      <c r="BX248" s="1155">
        <f>'2019'!R\Max</f>
        <v>1.0225067217365471</v>
      </c>
      <c r="BY248" s="1155">
        <f>'2020'!R\Max</f>
        <v>0.85476806460596055</v>
      </c>
      <c r="BZ248" s="1155">
        <f>'2021'!R\Max</f>
        <v>0.3472389888688317</v>
      </c>
      <c r="CA248" s="1155">
        <f>'2022'!R\Max</f>
        <v>0.49913210889415505</v>
      </c>
      <c r="CB248" s="1155">
        <f>'2023'!R\Max</f>
        <v>0.49913206937721644</v>
      </c>
      <c r="CC248" s="1155">
        <f>'2024'!R\Max</f>
        <v>0.49913184356162354</v>
      </c>
      <c r="CD248" s="1155">
        <f>'2025'!R\Max</f>
        <v>0.49913210889415505</v>
      </c>
      <c r="CE248" s="1155">
        <f>'2026'!R\Max</f>
        <v>0.49913210889415516</v>
      </c>
      <c r="CF248" s="1156">
        <f>'2027'!R\Max</f>
        <v>0.49913210889415505</v>
      </c>
    </row>
    <row r="249" spans="1:84" s="6" customFormat="1" ht="11.25" x14ac:dyDescent="0.2">
      <c r="A249" s="11">
        <v>43335</v>
      </c>
      <c r="B249" s="380">
        <f>'2022'!Maxi_hp</f>
        <v>36.458624208406086</v>
      </c>
      <c r="C249" s="13">
        <f>'2022'!An_max</f>
        <v>2019</v>
      </c>
      <c r="D249" s="1070"/>
      <c r="E249" s="13"/>
      <c r="F249" s="13">
        <f t="shared" si="110"/>
        <v>19</v>
      </c>
      <c r="G249" s="13">
        <f t="shared" si="94"/>
        <v>18</v>
      </c>
      <c r="H249" s="173">
        <f t="shared" si="95"/>
        <v>43346</v>
      </c>
      <c r="I249" s="754">
        <f t="shared" si="96"/>
        <v>0.7857142857142857</v>
      </c>
      <c r="J249" s="747">
        <f t="shared" si="97"/>
        <v>37.819494260062598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P249" s="13">
        <f t="shared" si="98"/>
        <v>11</v>
      </c>
      <c r="AQ249" s="13">
        <f t="shared" si="99"/>
        <v>10</v>
      </c>
      <c r="AR249" s="173">
        <f t="shared" si="100"/>
        <v>43360</v>
      </c>
      <c r="AS249" s="754">
        <f t="shared" si="101"/>
        <v>0.8928571428571429</v>
      </c>
      <c r="AT249" s="770">
        <f t="shared" si="102"/>
        <v>37.768994504266551</v>
      </c>
      <c r="AU249" s="13">
        <f t="shared" si="103"/>
        <v>9</v>
      </c>
      <c r="AV249" s="13">
        <f t="shared" si="104"/>
        <v>10</v>
      </c>
      <c r="AW249" s="173">
        <f t="shared" si="105"/>
        <v>43318</v>
      </c>
      <c r="AX249" s="754">
        <f t="shared" si="106"/>
        <v>0.6071428571428571</v>
      </c>
      <c r="AY249" s="770">
        <f t="shared" si="107"/>
        <v>37.904289342542846</v>
      </c>
      <c r="AZ249" s="747">
        <f t="shared" si="111"/>
        <v>37.836641923404699</v>
      </c>
      <c r="BA249" s="646">
        <f t="shared" si="108"/>
        <v>0.96401670412886531</v>
      </c>
      <c r="BB249" s="641">
        <v>43335</v>
      </c>
      <c r="BC249" s="11">
        <v>43335</v>
      </c>
      <c r="BD249" s="290">
        <f>[3]!FeuilCaduc*(1-Persistant)+Persistant</f>
        <v>0.996151752843635</v>
      </c>
      <c r="BE249" s="291">
        <f>[3]!CroissVégét</f>
        <v>0.95464915235219705</v>
      </c>
      <c r="BF249" s="822">
        <f>1+[3]!Salcycl*Ksac</f>
        <v>1.0490379382109087</v>
      </c>
      <c r="BH249" s="1101">
        <f t="shared" si="109"/>
        <v>0</v>
      </c>
      <c r="BI249" s="11">
        <v>44431</v>
      </c>
      <c r="BJ249" s="727">
        <v>0</v>
      </c>
      <c r="BK249" s="727">
        <v>0</v>
      </c>
      <c r="BL249" s="727">
        <v>0</v>
      </c>
      <c r="BM249" s="727">
        <v>0</v>
      </c>
      <c r="BN249" s="727">
        <v>0</v>
      </c>
      <c r="BO249" s="728">
        <v>0</v>
      </c>
      <c r="BP249" s="727">
        <v>1.3295412948170127E-5</v>
      </c>
      <c r="BQ249" s="727">
        <v>3.9891729510457049E-4</v>
      </c>
      <c r="BR249" s="727">
        <v>1.5326321083115068E-3</v>
      </c>
      <c r="BS249" s="727">
        <v>5.4136809629862061E-3</v>
      </c>
      <c r="BT249" s="727">
        <v>1.1683032802868608E-2</v>
      </c>
      <c r="BW249" s="1157">
        <f>'2018'!R\Max</f>
        <v>0.81634940110315524</v>
      </c>
      <c r="BX249" s="1155">
        <f>'2019'!R\Max</f>
        <v>0.96401670412886531</v>
      </c>
      <c r="BY249" s="1155">
        <f>'2020'!R\Max</f>
        <v>0.68874741056098454</v>
      </c>
      <c r="BZ249" s="1155">
        <f>'2021'!R\Max</f>
        <v>0.91776265573911708</v>
      </c>
      <c r="CA249" s="1155">
        <f>'2022'!R\Max</f>
        <v>0.89679802720028423</v>
      </c>
      <c r="CB249" s="1155">
        <f>'2023'!R\Max</f>
        <v>0.89679801039936247</v>
      </c>
      <c r="CC249" s="1155">
        <f>'2024'!R\Max</f>
        <v>0.8967979149297286</v>
      </c>
      <c r="CD249" s="1155">
        <f>'2025'!R\Max</f>
        <v>0.89679802720028423</v>
      </c>
      <c r="CE249" s="1155">
        <f>'2026'!R\Max</f>
        <v>0.89679802720028423</v>
      </c>
      <c r="CF249" s="1156">
        <f>'2027'!R\Max</f>
        <v>0.89679802720028423</v>
      </c>
    </row>
    <row r="250" spans="1:84" s="6" customFormat="1" ht="11.25" x14ac:dyDescent="0.2">
      <c r="A250" s="11">
        <v>43336</v>
      </c>
      <c r="B250" s="380">
        <f>'2022'!Maxi_hp</f>
        <v>36.227969880355467</v>
      </c>
      <c r="C250" s="13">
        <f>'2022'!An_max</f>
        <v>2019</v>
      </c>
      <c r="D250" s="1070"/>
      <c r="E250" s="13"/>
      <c r="F250" s="13">
        <f t="shared" si="110"/>
        <v>19</v>
      </c>
      <c r="G250" s="13">
        <f t="shared" si="94"/>
        <v>18</v>
      </c>
      <c r="H250" s="173">
        <f t="shared" si="95"/>
        <v>43346</v>
      </c>
      <c r="I250" s="754">
        <f t="shared" si="96"/>
        <v>0.7142857142857143</v>
      </c>
      <c r="J250" s="747">
        <f t="shared" si="97"/>
        <v>37.699491836689411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P250" s="13">
        <f t="shared" si="98"/>
        <v>11</v>
      </c>
      <c r="AQ250" s="13">
        <f t="shared" si="99"/>
        <v>10</v>
      </c>
      <c r="AR250" s="173">
        <f t="shared" si="100"/>
        <v>43360</v>
      </c>
      <c r="AS250" s="754">
        <f t="shared" si="101"/>
        <v>0.8571428571428571</v>
      </c>
      <c r="AT250" s="770">
        <f t="shared" si="102"/>
        <v>37.627850728641661</v>
      </c>
      <c r="AU250" s="13">
        <f t="shared" si="103"/>
        <v>9</v>
      </c>
      <c r="AV250" s="13">
        <f t="shared" si="104"/>
        <v>10</v>
      </c>
      <c r="AW250" s="173">
        <f t="shared" si="105"/>
        <v>43318</v>
      </c>
      <c r="AX250" s="754">
        <f t="shared" si="106"/>
        <v>0.6428571428571429</v>
      </c>
      <c r="AY250" s="770">
        <f t="shared" si="107"/>
        <v>37.779856177392816</v>
      </c>
      <c r="AZ250" s="747">
        <f t="shared" si="111"/>
        <v>37.703853453017238</v>
      </c>
      <c r="BA250" s="646">
        <f t="shared" si="108"/>
        <v>0.96096706123497799</v>
      </c>
      <c r="BB250" s="641">
        <v>43336</v>
      </c>
      <c r="BC250" s="11">
        <v>43336</v>
      </c>
      <c r="BD250" s="290">
        <f>[3]!FeuilCaduc*(1-Persistant)+Persistant</f>
        <v>0.99585162226367219</v>
      </c>
      <c r="BE250" s="291">
        <f>[3]!CroissVégét</f>
        <v>0.95640779545152554</v>
      </c>
      <c r="BF250" s="822">
        <f>1+[3]!Salcycl*Ksac</f>
        <v>1.048962905565918</v>
      </c>
      <c r="BH250" s="1101">
        <f t="shared" si="109"/>
        <v>0</v>
      </c>
      <c r="BI250" s="11">
        <v>44432</v>
      </c>
      <c r="BJ250" s="727">
        <v>0</v>
      </c>
      <c r="BK250" s="727">
        <v>0</v>
      </c>
      <c r="BL250" s="727">
        <v>0</v>
      </c>
      <c r="BM250" s="727">
        <v>0</v>
      </c>
      <c r="BN250" s="727">
        <v>0</v>
      </c>
      <c r="BO250" s="728">
        <v>0</v>
      </c>
      <c r="BP250" s="727">
        <v>1.4975604971132493E-5</v>
      </c>
      <c r="BQ250" s="727">
        <v>4.1180250011589326E-4</v>
      </c>
      <c r="BR250" s="727">
        <v>1.5970611277361475E-3</v>
      </c>
      <c r="BS250" s="727">
        <v>6.1557653351770368E-3</v>
      </c>
      <c r="BT250" s="727">
        <v>1.3721039437236066E-2</v>
      </c>
      <c r="BW250" s="1157">
        <f>'2018'!R\Max</f>
        <v>0.71767139693045023</v>
      </c>
      <c r="BX250" s="1155">
        <f>'2019'!R\Max</f>
        <v>0.96096706123497799</v>
      </c>
      <c r="BY250" s="1155">
        <f>'2020'!R\Max</f>
        <v>0.79317887137590415</v>
      </c>
      <c r="BZ250" s="1155">
        <f>'2021'!R\Max</f>
        <v>0.89290204177020205</v>
      </c>
      <c r="CA250" s="1155">
        <f>'2022'!R\Max</f>
        <v>0.88419483878773952</v>
      </c>
      <c r="CB250" s="1155">
        <f>'2023'!R\Max</f>
        <v>0.88419481766246655</v>
      </c>
      <c r="CC250" s="1155">
        <f>'2024'!R\Max</f>
        <v>0.88419469826324903</v>
      </c>
      <c r="CD250" s="1155">
        <f>'2025'!R\Max</f>
        <v>0.8841948387877393</v>
      </c>
      <c r="CE250" s="1155">
        <f>'2026'!R\Max</f>
        <v>0.88419483878773952</v>
      </c>
      <c r="CF250" s="1156">
        <f>'2027'!R\Max</f>
        <v>0.88419483878773952</v>
      </c>
    </row>
    <row r="251" spans="1:84" s="6" customFormat="1" ht="11.25" x14ac:dyDescent="0.2">
      <c r="A251" s="11">
        <v>43337</v>
      </c>
      <c r="B251" s="380">
        <f>'2022'!Maxi_hp</f>
        <v>34.955028036144711</v>
      </c>
      <c r="C251" s="13">
        <f>'2022'!An_max</f>
        <v>2020</v>
      </c>
      <c r="D251" s="1070"/>
      <c r="E251" s="13"/>
      <c r="F251" s="13">
        <f t="shared" si="110"/>
        <v>19</v>
      </c>
      <c r="G251" s="13">
        <f t="shared" si="94"/>
        <v>18</v>
      </c>
      <c r="H251" s="173">
        <f t="shared" si="95"/>
        <v>43346</v>
      </c>
      <c r="I251" s="754">
        <f t="shared" si="96"/>
        <v>0.6428571428571429</v>
      </c>
      <c r="J251" s="747">
        <f t="shared" si="97"/>
        <v>37.57849043356255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P251" s="13">
        <f t="shared" si="98"/>
        <v>11</v>
      </c>
      <c r="AQ251" s="13">
        <f t="shared" si="99"/>
        <v>10</v>
      </c>
      <c r="AR251" s="173">
        <f t="shared" si="100"/>
        <v>43360</v>
      </c>
      <c r="AS251" s="754">
        <f t="shared" si="101"/>
        <v>0.8214285714285714</v>
      </c>
      <c r="AT251" s="770">
        <f t="shared" si="102"/>
        <v>37.484691156127624</v>
      </c>
      <c r="AU251" s="13">
        <f t="shared" si="103"/>
        <v>9</v>
      </c>
      <c r="AV251" s="13">
        <f t="shared" si="104"/>
        <v>10</v>
      </c>
      <c r="AW251" s="173">
        <f t="shared" si="105"/>
        <v>43318</v>
      </c>
      <c r="AX251" s="754">
        <f t="shared" si="106"/>
        <v>0.6785714285714286</v>
      </c>
      <c r="AY251" s="770">
        <f t="shared" si="107"/>
        <v>37.652203086264691</v>
      </c>
      <c r="AZ251" s="747">
        <f t="shared" si="111"/>
        <v>37.568447121196158</v>
      </c>
      <c r="BA251" s="646">
        <f t="shared" si="108"/>
        <v>0.93018712654101876</v>
      </c>
      <c r="BB251" s="641">
        <v>43337</v>
      </c>
      <c r="BC251" s="11">
        <v>43337</v>
      </c>
      <c r="BD251" s="290">
        <f>[3]!FeuilCaduc*(1-Persistant)+Persistant</f>
        <v>0.99553652027151274</v>
      </c>
      <c r="BE251" s="291">
        <f>[3]!CroissVégét</f>
        <v>0.95810172578745478</v>
      </c>
      <c r="BF251" s="822">
        <f>1+[3]!Salcycl*Ksac</f>
        <v>1.0488841300678782</v>
      </c>
      <c r="BH251" s="1101">
        <f t="shared" si="109"/>
        <v>0</v>
      </c>
      <c r="BI251" s="11">
        <v>44433</v>
      </c>
      <c r="BJ251" s="727">
        <v>0</v>
      </c>
      <c r="BK251" s="727">
        <v>0</v>
      </c>
      <c r="BL251" s="727">
        <v>0</v>
      </c>
      <c r="BM251" s="727">
        <v>0</v>
      </c>
      <c r="BN251" s="727">
        <v>0</v>
      </c>
      <c r="BO251" s="728">
        <v>0</v>
      </c>
      <c r="BP251" s="727">
        <v>1.6725025852162913E-5</v>
      </c>
      <c r="BQ251" s="727">
        <v>4.2369832982664204E-4</v>
      </c>
      <c r="BR251" s="727">
        <v>1.6710873957299192E-3</v>
      </c>
      <c r="BS251" s="727">
        <v>7.0651307553424823E-3</v>
      </c>
      <c r="BT251" s="727">
        <v>1.6232305156394181E-2</v>
      </c>
      <c r="BW251" s="1157">
        <f>'2018'!R\Max</f>
        <v>0.11790660858368464</v>
      </c>
      <c r="BX251" s="1155">
        <f>'2019'!R\Max</f>
        <v>0.85465851461625075</v>
      </c>
      <c r="BY251" s="1155">
        <f>'2020'!R\Max</f>
        <v>0.93018712654101876</v>
      </c>
      <c r="BZ251" s="1155">
        <f>'2021'!R\Max</f>
        <v>0.91653216794888315</v>
      </c>
      <c r="CA251" s="1155">
        <f>'2022'!R\Max</f>
        <v>0.65421295911940558</v>
      </c>
      <c r="CB251" s="1155">
        <f>'2023'!R\Max</f>
        <v>0.65421290653861974</v>
      </c>
      <c r="CC251" s="1155">
        <f>'2024'!R\Max</f>
        <v>0.65421261087774929</v>
      </c>
      <c r="CD251" s="1155">
        <f>'2025'!R\Max</f>
        <v>0.65421295911940547</v>
      </c>
      <c r="CE251" s="1155">
        <f>'2026'!R\Max</f>
        <v>0.65421295911940536</v>
      </c>
      <c r="CF251" s="1156">
        <f>'2027'!R\Max</f>
        <v>0.65421295911940547</v>
      </c>
    </row>
    <row r="252" spans="1:84" s="6" customFormat="1" ht="11.25" x14ac:dyDescent="0.2">
      <c r="A252" s="11">
        <v>43338</v>
      </c>
      <c r="B252" s="380">
        <f>'2022'!Maxi_hp</f>
        <v>36.589991055920372</v>
      </c>
      <c r="C252" s="13">
        <f>'2022'!An_max</f>
        <v>2020</v>
      </c>
      <c r="D252" s="1070"/>
      <c r="E252" s="13"/>
      <c r="F252" s="13">
        <f t="shared" si="110"/>
        <v>19</v>
      </c>
      <c r="G252" s="13">
        <f t="shared" si="94"/>
        <v>18</v>
      </c>
      <c r="H252" s="173">
        <f t="shared" si="95"/>
        <v>43346</v>
      </c>
      <c r="I252" s="754">
        <f t="shared" si="96"/>
        <v>0.5714285714285714</v>
      </c>
      <c r="J252" s="747">
        <f t="shared" si="97"/>
        <v>37.455740816784761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P252" s="13">
        <f t="shared" si="98"/>
        <v>11</v>
      </c>
      <c r="AQ252" s="13">
        <f t="shared" si="99"/>
        <v>10</v>
      </c>
      <c r="AR252" s="173">
        <f t="shared" si="100"/>
        <v>43360</v>
      </c>
      <c r="AS252" s="754">
        <f t="shared" si="101"/>
        <v>0.7857142857142857</v>
      </c>
      <c r="AT252" s="770">
        <f t="shared" si="102"/>
        <v>37.339448888626478</v>
      </c>
      <c r="AU252" s="13">
        <f t="shared" si="103"/>
        <v>9</v>
      </c>
      <c r="AV252" s="13">
        <f t="shared" si="104"/>
        <v>10</v>
      </c>
      <c r="AW252" s="173">
        <f t="shared" si="105"/>
        <v>43318</v>
      </c>
      <c r="AX252" s="754">
        <f t="shared" si="106"/>
        <v>0.7142857142857143</v>
      </c>
      <c r="AY252" s="770">
        <f t="shared" si="107"/>
        <v>37.521102623747922</v>
      </c>
      <c r="AZ252" s="747">
        <f t="shared" si="111"/>
        <v>37.4302757561872</v>
      </c>
      <c r="BA252" s="646">
        <f t="shared" si="108"/>
        <v>0.97688605960033692</v>
      </c>
      <c r="BB252" s="641">
        <v>43338</v>
      </c>
      <c r="BC252" s="11">
        <v>43338</v>
      </c>
      <c r="BD252" s="290">
        <f>[3]!FeuilCaduc*(1-Persistant)+Persistant</f>
        <v>0.99520585298074637</v>
      </c>
      <c r="BE252" s="291">
        <f>[3]!CroissVégét</f>
        <v>0.95973309779026206</v>
      </c>
      <c r="BF252" s="822">
        <f>1+[3]!Salcycl*Ksac</f>
        <v>1.0488014632451865</v>
      </c>
      <c r="BH252" s="1101">
        <f t="shared" si="109"/>
        <v>0</v>
      </c>
      <c r="BI252" s="11">
        <v>44434</v>
      </c>
      <c r="BJ252" s="727">
        <v>0</v>
      </c>
      <c r="BK252" s="727">
        <v>0</v>
      </c>
      <c r="BL252" s="727">
        <v>0</v>
      </c>
      <c r="BM252" s="727">
        <v>0</v>
      </c>
      <c r="BN252" s="727">
        <v>0</v>
      </c>
      <c r="BO252" s="728">
        <v>0</v>
      </c>
      <c r="BP252" s="727">
        <v>1.8543726267625614E-5</v>
      </c>
      <c r="BQ252" s="727">
        <v>4.3460491495467702E-4</v>
      </c>
      <c r="BR252" s="727">
        <v>1.7547144474626393E-3</v>
      </c>
      <c r="BS252" s="727">
        <v>8.1418273659434031E-3</v>
      </c>
      <c r="BT252" s="727">
        <v>1.9216969934245164E-2</v>
      </c>
      <c r="BW252" s="1157">
        <f>'2018'!R\Max</f>
        <v>0.96849476470626761</v>
      </c>
      <c r="BX252" s="1155">
        <f>'2019'!R\Max</f>
        <v>0.80026250148966771</v>
      </c>
      <c r="BY252" s="1155">
        <f>'2020'!R\Max</f>
        <v>0.97688605960033692</v>
      </c>
      <c r="BZ252" s="1155">
        <f>'2021'!R\Max</f>
        <v>0.96856948434174683</v>
      </c>
      <c r="CA252" s="1155">
        <f>'2022'!R\Max</f>
        <v>0.79894258213670954</v>
      </c>
      <c r="CB252" s="1155">
        <f>'2023'!R\Max</f>
        <v>0.7989425403857886</v>
      </c>
      <c r="CC252" s="1155">
        <f>'2024'!R\Max</f>
        <v>0.79894230677288491</v>
      </c>
      <c r="CD252" s="1155">
        <f>'2025'!R\Max</f>
        <v>0.79894258213670954</v>
      </c>
      <c r="CE252" s="1155">
        <f>'2026'!R\Max</f>
        <v>0.79894258213670954</v>
      </c>
      <c r="CF252" s="1156">
        <f>'2027'!R\Max</f>
        <v>0.79894258213670943</v>
      </c>
    </row>
    <row r="253" spans="1:84" s="6" customFormat="1" ht="11.25" x14ac:dyDescent="0.2">
      <c r="A253" s="11">
        <v>43339</v>
      </c>
      <c r="B253" s="380">
        <f>'2022'!Maxi_hp</f>
        <v>36.207633790648693</v>
      </c>
      <c r="C253" s="13">
        <f>'2022'!An_max</f>
        <v>2022</v>
      </c>
      <c r="D253" s="1070"/>
      <c r="E253" s="13"/>
      <c r="F253" s="13">
        <f t="shared" si="110"/>
        <v>19</v>
      </c>
      <c r="G253" s="13">
        <f t="shared" si="94"/>
        <v>18</v>
      </c>
      <c r="H253" s="173">
        <f t="shared" si="95"/>
        <v>43346</v>
      </c>
      <c r="I253" s="754">
        <f t="shared" si="96"/>
        <v>0.5</v>
      </c>
      <c r="J253" s="747">
        <f t="shared" si="97"/>
        <v>37.330493749957533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P253" s="13">
        <f t="shared" si="98"/>
        <v>11</v>
      </c>
      <c r="AQ253" s="13">
        <f t="shared" si="99"/>
        <v>10</v>
      </c>
      <c r="AR253" s="173">
        <f t="shared" si="100"/>
        <v>43360</v>
      </c>
      <c r="AS253" s="754">
        <f t="shared" si="101"/>
        <v>0.75</v>
      </c>
      <c r="AT253" s="770">
        <f t="shared" si="102"/>
        <v>37.192057031206787</v>
      </c>
      <c r="AU253" s="13">
        <f t="shared" si="103"/>
        <v>9</v>
      </c>
      <c r="AV253" s="13">
        <f t="shared" si="104"/>
        <v>10</v>
      </c>
      <c r="AW253" s="173">
        <f t="shared" si="105"/>
        <v>43318</v>
      </c>
      <c r="AX253" s="754">
        <f t="shared" si="106"/>
        <v>0.75</v>
      </c>
      <c r="AY253" s="770">
        <f t="shared" si="107"/>
        <v>37.386327343713489</v>
      </c>
      <c r="AZ253" s="747">
        <f t="shared" si="111"/>
        <v>37.289192187460138</v>
      </c>
      <c r="BA253" s="646">
        <f t="shared" si="108"/>
        <v>0.96992110613832649</v>
      </c>
      <c r="BB253" s="641">
        <v>43339</v>
      </c>
      <c r="BC253" s="11">
        <v>43339</v>
      </c>
      <c r="BD253" s="290">
        <f>[3]!FeuilCaduc*(1-Persistant)+Persistant</f>
        <v>0.99485900622949497</v>
      </c>
      <c r="BE253" s="291">
        <f>[3]!CroissVégét</f>
        <v>0.9613040114607565</v>
      </c>
      <c r="BF253" s="822">
        <f>1+[3]!Salcycl*Ksac</f>
        <v>1.0487147515573738</v>
      </c>
      <c r="BH253" s="1101">
        <f t="shared" si="109"/>
        <v>0</v>
      </c>
      <c r="BI253" s="11">
        <v>44435</v>
      </c>
      <c r="BJ253" s="727">
        <v>0</v>
      </c>
      <c r="BK253" s="727">
        <v>0</v>
      </c>
      <c r="BL253" s="727">
        <v>0</v>
      </c>
      <c r="BM253" s="727">
        <v>0</v>
      </c>
      <c r="BN253" s="727">
        <v>0</v>
      </c>
      <c r="BO253" s="728">
        <v>0</v>
      </c>
      <c r="BP253" s="727">
        <v>2.0431760967404237E-5</v>
      </c>
      <c r="BQ253" s="727">
        <v>4.4452235367361636E-4</v>
      </c>
      <c r="BR253" s="727">
        <v>1.8479462648080076E-3</v>
      </c>
      <c r="BS253" s="727">
        <v>9.3859128354752078E-3</v>
      </c>
      <c r="BT253" s="727">
        <v>2.2675194994903811E-2</v>
      </c>
      <c r="BW253" s="1157">
        <f>'2018'!R\Max</f>
        <v>0.73613884347467684</v>
      </c>
      <c r="BX253" s="1155">
        <f>'2019'!R\Max</f>
        <v>0.6404887381221045</v>
      </c>
      <c r="BY253" s="1155">
        <f>'2020'!R\Max</f>
        <v>0.50815512344382174</v>
      </c>
      <c r="BZ253" s="1155">
        <f>'2021'!R\Max</f>
        <v>0.8775407972278686</v>
      </c>
      <c r="CA253" s="1155">
        <f>'2022'!R\Max</f>
        <v>0.96992110613832649</v>
      </c>
      <c r="CB253" s="1155">
        <f>'2023'!R\Max</f>
        <v>0.96992109771347046</v>
      </c>
      <c r="CC253" s="1155">
        <f>'2024'!R\Max</f>
        <v>0.9699210507944459</v>
      </c>
      <c r="CD253" s="1155">
        <f>'2025'!R\Max</f>
        <v>0.96992110613832627</v>
      </c>
      <c r="CE253" s="1155">
        <f>'2026'!R\Max</f>
        <v>0.96992110613832605</v>
      </c>
      <c r="CF253" s="1156">
        <f>'2027'!R\Max</f>
        <v>0.96992110613832649</v>
      </c>
    </row>
    <row r="254" spans="1:84" s="6" customFormat="1" ht="11.25" x14ac:dyDescent="0.2">
      <c r="A254" s="11">
        <v>43340</v>
      </c>
      <c r="B254" s="380">
        <f>'2022'!Maxi_hp</f>
        <v>37.6474142668485</v>
      </c>
      <c r="C254" s="13">
        <f>'2022'!An_max</f>
        <v>2021</v>
      </c>
      <c r="D254" s="1070"/>
      <c r="E254" s="13"/>
      <c r="F254" s="13">
        <f t="shared" si="110"/>
        <v>19</v>
      </c>
      <c r="G254" s="13">
        <f t="shared" si="94"/>
        <v>18</v>
      </c>
      <c r="H254" s="173">
        <f t="shared" si="95"/>
        <v>43346</v>
      </c>
      <c r="I254" s="754">
        <f t="shared" si="96"/>
        <v>0.42857142857142855</v>
      </c>
      <c r="J254" s="747">
        <f t="shared" si="97"/>
        <v>37.201999999449718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P254" s="13">
        <f t="shared" si="98"/>
        <v>11</v>
      </c>
      <c r="AQ254" s="13">
        <f t="shared" si="99"/>
        <v>10</v>
      </c>
      <c r="AR254" s="173">
        <f t="shared" si="100"/>
        <v>43360</v>
      </c>
      <c r="AS254" s="754">
        <f t="shared" si="101"/>
        <v>0.7142857142857143</v>
      </c>
      <c r="AT254" s="770">
        <f t="shared" si="102"/>
        <v>37.042448688351683</v>
      </c>
      <c r="AU254" s="13">
        <f t="shared" si="103"/>
        <v>9</v>
      </c>
      <c r="AV254" s="13">
        <f t="shared" si="104"/>
        <v>10</v>
      </c>
      <c r="AW254" s="173">
        <f t="shared" si="105"/>
        <v>43318</v>
      </c>
      <c r="AX254" s="754">
        <f t="shared" si="106"/>
        <v>0.7857142857142857</v>
      </c>
      <c r="AY254" s="770">
        <f t="shared" si="107"/>
        <v>37.247649799460284</v>
      </c>
      <c r="AZ254" s="747">
        <f t="shared" si="111"/>
        <v>37.145049243905987</v>
      </c>
      <c r="BA254" s="646">
        <f t="shared" si="108"/>
        <v>1.0119728581099234</v>
      </c>
      <c r="BB254" s="641">
        <v>43340</v>
      </c>
      <c r="BC254" s="11">
        <v>43340</v>
      </c>
      <c r="BD254" s="290">
        <f>[3]!FeuilCaduc*(1-Persistant)+Persistant</f>
        <v>0.99449534512594595</v>
      </c>
      <c r="BE254" s="291">
        <f>[3]!CroissVégét</f>
        <v>0.96281651236587618</v>
      </c>
      <c r="BF254" s="822">
        <f>1+[3]!Salcycl*Ksac</f>
        <v>1.0486238362814864</v>
      </c>
      <c r="BH254" s="1101">
        <f t="shared" si="109"/>
        <v>0</v>
      </c>
      <c r="BI254" s="11">
        <v>44436</v>
      </c>
      <c r="BJ254" s="727">
        <v>0</v>
      </c>
      <c r="BK254" s="727">
        <v>0</v>
      </c>
      <c r="BL254" s="727">
        <v>0</v>
      </c>
      <c r="BM254" s="727">
        <v>0</v>
      </c>
      <c r="BN254" s="727">
        <v>0</v>
      </c>
      <c r="BO254" s="728">
        <v>5.8645498405273197E-11</v>
      </c>
      <c r="BP254" s="727">
        <v>2.3345410905143821E-5</v>
      </c>
      <c r="BQ254" s="727">
        <v>4.5983560482287773E-4</v>
      </c>
      <c r="BR254" s="727">
        <v>2.1229955646035184E-3</v>
      </c>
      <c r="BS254" s="727">
        <v>1.1152047552946253E-2</v>
      </c>
      <c r="BT254" s="727">
        <v>2.7157192021807147E-2</v>
      </c>
      <c r="BW254" s="1157">
        <f>'2018'!R\Max</f>
        <v>0.768297826583627</v>
      </c>
      <c r="BX254" s="1155">
        <f>'2019'!R\Max</f>
        <v>0.74466786709400101</v>
      </c>
      <c r="BY254" s="1155">
        <f>'2020'!R\Max</f>
        <v>0.93754367382504999</v>
      </c>
      <c r="BZ254" s="1155">
        <f>'2021'!R\Max</f>
        <v>1.0119728581099234</v>
      </c>
      <c r="CA254" s="1155">
        <f>'2022'!R\Max</f>
        <v>0.94179072074391101</v>
      </c>
      <c r="CB254" s="1155">
        <f>'2023'!R\Max</f>
        <v>0.94179070250619545</v>
      </c>
      <c r="CC254" s="1155">
        <f>'2024'!R\Max</f>
        <v>0.94179060139540871</v>
      </c>
      <c r="CD254" s="1155">
        <f>'2025'!R\Max</f>
        <v>0.94179072074431802</v>
      </c>
      <c r="CE254" s="1155">
        <f>'2026'!R\Max</f>
        <v>0.94179072074431802</v>
      </c>
      <c r="CF254" s="1156">
        <f>'2027'!R\Max</f>
        <v>0.9417907207440821</v>
      </c>
    </row>
    <row r="255" spans="1:84" s="6" customFormat="1" ht="11.25" x14ac:dyDescent="0.2">
      <c r="A255" s="11">
        <v>43341</v>
      </c>
      <c r="B255" s="380">
        <f>'2022'!Maxi_hp</f>
        <v>37.163900184673778</v>
      </c>
      <c r="C255" s="13">
        <f>'2022'!An_max</f>
        <v>2021</v>
      </c>
      <c r="D255" s="1070"/>
      <c r="E255" s="13"/>
      <c r="F255" s="13">
        <f t="shared" si="110"/>
        <v>19</v>
      </c>
      <c r="G255" s="13">
        <f t="shared" si="94"/>
        <v>18</v>
      </c>
      <c r="H255" s="173">
        <f t="shared" si="95"/>
        <v>43346</v>
      </c>
      <c r="I255" s="754">
        <f t="shared" si="96"/>
        <v>0.35714285714285715</v>
      </c>
      <c r="J255" s="747">
        <f t="shared" si="97"/>
        <v>37.069510331709999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P255" s="13">
        <f t="shared" si="98"/>
        <v>11</v>
      </c>
      <c r="AQ255" s="13">
        <f t="shared" si="99"/>
        <v>10</v>
      </c>
      <c r="AR255" s="173">
        <f t="shared" si="100"/>
        <v>43360</v>
      </c>
      <c r="AS255" s="754">
        <f t="shared" si="101"/>
        <v>0.6785714285714286</v>
      </c>
      <c r="AT255" s="770">
        <f t="shared" si="102"/>
        <v>36.890556963014284</v>
      </c>
      <c r="AU255" s="13">
        <f t="shared" si="103"/>
        <v>9</v>
      </c>
      <c r="AV255" s="13">
        <f t="shared" si="104"/>
        <v>10</v>
      </c>
      <c r="AW255" s="173">
        <f t="shared" si="105"/>
        <v>43318</v>
      </c>
      <c r="AX255" s="754">
        <f t="shared" si="106"/>
        <v>0.8214285714285714</v>
      </c>
      <c r="AY255" s="770">
        <f t="shared" si="107"/>
        <v>37.104842544573231</v>
      </c>
      <c r="AZ255" s="747">
        <f t="shared" si="111"/>
        <v>36.997699753793754</v>
      </c>
      <c r="BA255" s="646">
        <f t="shared" si="108"/>
        <v>1.0025462934934708</v>
      </c>
      <c r="BB255" s="641">
        <v>43341</v>
      </c>
      <c r="BC255" s="11">
        <v>43341</v>
      </c>
      <c r="BD255" s="290">
        <f>[3]!FeuilCaduc*(1-Persistant)+Persistant</f>
        <v>0.99411421323281979</v>
      </c>
      <c r="BE255" s="291">
        <f>[3]!CroissVégét</f>
        <v>0.96427259177046543</v>
      </c>
      <c r="BF255" s="822">
        <f>1+[3]!Salcycl*Ksac</f>
        <v>1.0485285533082049</v>
      </c>
      <c r="BH255" s="1101">
        <f t="shared" si="109"/>
        <v>0</v>
      </c>
      <c r="BI255" s="11">
        <v>44437</v>
      </c>
      <c r="BJ255" s="727">
        <v>0</v>
      </c>
      <c r="BK255" s="727">
        <v>0</v>
      </c>
      <c r="BL255" s="727">
        <v>0</v>
      </c>
      <c r="BM255" s="727">
        <v>0</v>
      </c>
      <c r="BN255" s="727">
        <v>0</v>
      </c>
      <c r="BO255" s="728">
        <v>1.7595221321855004E-10</v>
      </c>
      <c r="BP255" s="727">
        <v>2.7261955986282746E-5</v>
      </c>
      <c r="BQ255" s="727">
        <v>4.8151397295545739E-4</v>
      </c>
      <c r="BR255" s="727">
        <v>2.5814652802532301E-3</v>
      </c>
      <c r="BS255" s="727">
        <v>1.3420245279071059E-2</v>
      </c>
      <c r="BT255" s="727">
        <v>3.2598125336555692E-2</v>
      </c>
      <c r="BW255" s="1157">
        <f>'2018'!R\Max</f>
        <v>0.64777548554308473</v>
      </c>
      <c r="BX255" s="1155">
        <f>'2019'!R\Max</f>
        <v>0.92880920234191577</v>
      </c>
      <c r="BY255" s="1155">
        <f>'2020'!R\Max</f>
        <v>0.15895531687400544</v>
      </c>
      <c r="BZ255" s="1155">
        <f>'2021'!R\Max</f>
        <v>1.0025462934934708</v>
      </c>
      <c r="CA255" s="1155">
        <f>'2022'!R\Max</f>
        <v>0.64794807510521857</v>
      </c>
      <c r="CB255" s="1155">
        <f>'2023'!R\Max</f>
        <v>0.64794798576612611</v>
      </c>
      <c r="CC255" s="1155">
        <f>'2024'!R\Max</f>
        <v>0.64794749260257711</v>
      </c>
      <c r="CD255" s="1155">
        <f>'2025'!R\Max</f>
        <v>0.64794807511031594</v>
      </c>
      <c r="CE255" s="1155">
        <f>'2026'!R\Max</f>
        <v>0.64794807511031594</v>
      </c>
      <c r="CF255" s="1156">
        <f>'2027'!R\Max</f>
        <v>0.64794807510735641</v>
      </c>
    </row>
    <row r="256" spans="1:84" s="6" customFormat="1" ht="11.25" x14ac:dyDescent="0.2">
      <c r="A256" s="11">
        <v>43342</v>
      </c>
      <c r="B256" s="380">
        <f>'2022'!Maxi_hp</f>
        <v>35.748351799960105</v>
      </c>
      <c r="C256" s="13">
        <f>'2022'!An_max</f>
        <v>2021</v>
      </c>
      <c r="D256" s="1070"/>
      <c r="E256" s="13"/>
      <c r="F256" s="13">
        <f t="shared" si="110"/>
        <v>19</v>
      </c>
      <c r="G256" s="13">
        <f t="shared" si="94"/>
        <v>18</v>
      </c>
      <c r="H256" s="173">
        <f t="shared" si="95"/>
        <v>43346</v>
      </c>
      <c r="I256" s="754">
        <f t="shared" si="96"/>
        <v>0.2857142857142857</v>
      </c>
      <c r="J256" s="747">
        <f t="shared" si="97"/>
        <v>36.932275509781071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P256" s="13">
        <f t="shared" si="98"/>
        <v>11</v>
      </c>
      <c r="AQ256" s="13">
        <f t="shared" si="99"/>
        <v>10</v>
      </c>
      <c r="AR256" s="173">
        <f t="shared" si="100"/>
        <v>43360</v>
      </c>
      <c r="AS256" s="754">
        <f t="shared" si="101"/>
        <v>0.6428571428571429</v>
      </c>
      <c r="AT256" s="770">
        <f t="shared" si="102"/>
        <v>36.736314959903915</v>
      </c>
      <c r="AU256" s="13">
        <f t="shared" si="103"/>
        <v>9</v>
      </c>
      <c r="AV256" s="13">
        <f t="shared" si="104"/>
        <v>10</v>
      </c>
      <c r="AW256" s="173">
        <f t="shared" si="105"/>
        <v>43318</v>
      </c>
      <c r="AX256" s="754">
        <f t="shared" si="106"/>
        <v>0.8571428571428571</v>
      </c>
      <c r="AY256" s="770">
        <f t="shared" si="107"/>
        <v>36.95767813383469</v>
      </c>
      <c r="AZ256" s="747">
        <f t="shared" si="111"/>
        <v>36.846996546869306</v>
      </c>
      <c r="BA256" s="646">
        <f t="shared" si="108"/>
        <v>0.9679433857383789</v>
      </c>
      <c r="BB256" s="641">
        <v>43342</v>
      </c>
      <c r="BC256" s="11">
        <v>43342</v>
      </c>
      <c r="BD256" s="290">
        <f>[3]!FeuilCaduc*(1-Persistant)+Persistant</f>
        <v>0.99371493142973943</v>
      </c>
      <c r="BE256" s="291">
        <f>[3]!CroissVégét</f>
        <v>0.96567418689281481</v>
      </c>
      <c r="BF256" s="822">
        <f>1+[3]!Salcycl*Ksac</f>
        <v>1.0484287328574349</v>
      </c>
      <c r="BH256" s="1101">
        <f t="shared" si="109"/>
        <v>0</v>
      </c>
      <c r="BI256" s="11">
        <v>44438</v>
      </c>
      <c r="BJ256" s="727">
        <v>0</v>
      </c>
      <c r="BK256" s="727">
        <v>0</v>
      </c>
      <c r="BL256" s="727">
        <v>0</v>
      </c>
      <c r="BM256" s="727">
        <v>0</v>
      </c>
      <c r="BN256" s="727">
        <v>0</v>
      </c>
      <c r="BO256" s="728">
        <v>3.5193850492180862E-10</v>
      </c>
      <c r="BP256" s="727">
        <v>3.2181756588504577E-5</v>
      </c>
      <c r="BQ256" s="727">
        <v>5.0955972815995608E-4</v>
      </c>
      <c r="BR256" s="727">
        <v>3.223415200342404E-3</v>
      </c>
      <c r="BS256" s="727">
        <v>1.6190693190763342E-2</v>
      </c>
      <c r="BT256" s="727">
        <v>3.8998378185212811E-2</v>
      </c>
      <c r="BW256" s="1157">
        <f>'2018'!R\Max</f>
        <v>0.82161035400769344</v>
      </c>
      <c r="BX256" s="1155">
        <f>'2019'!R\Max</f>
        <v>0.92059942078718027</v>
      </c>
      <c r="BY256" s="1155">
        <f>'2020'!R\Max</f>
        <v>0.44463855881967096</v>
      </c>
      <c r="BZ256" s="1155">
        <f>'2021'!R\Max</f>
        <v>0.9679433857383789</v>
      </c>
      <c r="CA256" s="1155">
        <f>'2022'!R\Max</f>
        <v>0.93768945287876915</v>
      </c>
      <c r="CB256" s="1155">
        <f>'2023'!R\Max</f>
        <v>0.93768942564878222</v>
      </c>
      <c r="CC256" s="1155">
        <f>'2024'!R\Max</f>
        <v>0.93768927595657103</v>
      </c>
      <c r="CD256" s="1155">
        <f>'2025'!R\Max</f>
        <v>0.93768945288139072</v>
      </c>
      <c r="CE256" s="1155">
        <f>'2026'!R\Max</f>
        <v>0.93768945288139094</v>
      </c>
      <c r="CF256" s="1156">
        <f>'2027'!R\Max</f>
        <v>0.93768945287986694</v>
      </c>
    </row>
    <row r="257" spans="1:84" s="6" customFormat="1" ht="11.25" x14ac:dyDescent="0.2">
      <c r="A257" s="11">
        <v>43343</v>
      </c>
      <c r="B257" s="380">
        <f>'2022'!Maxi_hp</f>
        <v>35.974532803787852</v>
      </c>
      <c r="C257" s="13">
        <f>'2022'!An_max</f>
        <v>2021</v>
      </c>
      <c r="D257" s="1070"/>
      <c r="E257" s="13"/>
      <c r="F257" s="13">
        <f t="shared" si="110"/>
        <v>19</v>
      </c>
      <c r="G257" s="13">
        <f t="shared" si="94"/>
        <v>18</v>
      </c>
      <c r="H257" s="173">
        <f t="shared" si="95"/>
        <v>43346</v>
      </c>
      <c r="I257" s="754">
        <f t="shared" si="96"/>
        <v>0.21428571428571427</v>
      </c>
      <c r="J257" s="747">
        <f t="shared" si="97"/>
        <v>36.789546300284563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P257" s="13">
        <f t="shared" si="98"/>
        <v>11</v>
      </c>
      <c r="AQ257" s="13">
        <f t="shared" si="99"/>
        <v>10</v>
      </c>
      <c r="AR257" s="173">
        <f t="shared" si="100"/>
        <v>43360</v>
      </c>
      <c r="AS257" s="754">
        <f t="shared" si="101"/>
        <v>0.6071428571428571</v>
      </c>
      <c r="AT257" s="770">
        <f t="shared" si="102"/>
        <v>36.579655782798568</v>
      </c>
      <c r="AU257" s="13">
        <f t="shared" si="103"/>
        <v>9</v>
      </c>
      <c r="AV257" s="13">
        <f t="shared" si="104"/>
        <v>10</v>
      </c>
      <c r="AW257" s="173">
        <f t="shared" si="105"/>
        <v>43318</v>
      </c>
      <c r="AX257" s="754">
        <f t="shared" si="106"/>
        <v>0.8928571428571429</v>
      </c>
      <c r="AY257" s="770">
        <f t="shared" si="107"/>
        <v>36.805929120656636</v>
      </c>
      <c r="AZ257" s="747">
        <f t="shared" si="111"/>
        <v>36.692792451727598</v>
      </c>
      <c r="BA257" s="646">
        <f t="shared" si="108"/>
        <v>0.97784660104681942</v>
      </c>
      <c r="BB257" s="641">
        <v>43343</v>
      </c>
      <c r="BC257" s="11">
        <v>43343</v>
      </c>
      <c r="BD257" s="290">
        <f>[3]!FeuilCaduc*(1-Persistant)+Persistant</f>
        <v>0.99329679649832814</v>
      </c>
      <c r="BE257" s="291">
        <f>[3]!CroissVégét</f>
        <v>0.9670231812722152</v>
      </c>
      <c r="BF257" s="822">
        <f>1+[3]!Salcycl*Ksac</f>
        <v>1.048324199124582</v>
      </c>
      <c r="BH257" s="1101">
        <f t="shared" si="109"/>
        <v>0</v>
      </c>
      <c r="BI257" s="11">
        <v>44439</v>
      </c>
      <c r="BJ257" s="727">
        <v>0</v>
      </c>
      <c r="BK257" s="727">
        <v>0</v>
      </c>
      <c r="BL257" s="727">
        <v>0</v>
      </c>
      <c r="BM257" s="727">
        <v>0</v>
      </c>
      <c r="BN257" s="727">
        <v>0</v>
      </c>
      <c r="BO257" s="728">
        <v>5.8662547997082823E-10</v>
      </c>
      <c r="BP257" s="727">
        <v>3.8105221360747713E-5</v>
      </c>
      <c r="BQ257" s="727">
        <v>5.4397544454549171E-4</v>
      </c>
      <c r="BR257" s="727">
        <v>4.0489137627134882E-3</v>
      </c>
      <c r="BS257" s="727">
        <v>1.9463602845071575E-2</v>
      </c>
      <c r="BT257" s="727">
        <v>4.6358381151280069E-2</v>
      </c>
      <c r="BW257" s="1157">
        <f>'2018'!R\Max</f>
        <v>0.82076307204533838</v>
      </c>
      <c r="BX257" s="1155">
        <f>'2019'!R\Max</f>
        <v>0.87390739671697881</v>
      </c>
      <c r="BY257" s="1155">
        <f>'2020'!R\Max</f>
        <v>0.56544687181422393</v>
      </c>
      <c r="BZ257" s="1155">
        <f>'2021'!R\Max</f>
        <v>0.97784660104681942</v>
      </c>
      <c r="CA257" s="1155">
        <f>'2022'!R\Max</f>
        <v>0.44116065495279383</v>
      </c>
      <c r="CB257" s="1155">
        <f>'2023'!R\Max</f>
        <v>0.44116051781993348</v>
      </c>
      <c r="CC257" s="1155">
        <f>'2024'!R\Max</f>
        <v>0.44115976693939957</v>
      </c>
      <c r="CD257" s="1155">
        <f>'2025'!R\Max</f>
        <v>0.44116065497130502</v>
      </c>
      <c r="CE257" s="1155">
        <f>'2026'!R\Max</f>
        <v>0.44116065497130513</v>
      </c>
      <c r="CF257" s="1156">
        <f>'2027'!R\Max</f>
        <v>0.44116065496053608</v>
      </c>
    </row>
    <row r="258" spans="1:84" s="6" customFormat="1" ht="11.25" x14ac:dyDescent="0.2">
      <c r="A258" s="11">
        <v>43344</v>
      </c>
      <c r="B258" s="380">
        <f>'2022'!Maxi_hp</f>
        <v>36.800779305473014</v>
      </c>
      <c r="C258" s="13">
        <f>'2022'!An_max</f>
        <v>2018</v>
      </c>
      <c r="D258" s="1070"/>
      <c r="E258" s="13"/>
      <c r="F258" s="13">
        <f t="shared" si="110"/>
        <v>19</v>
      </c>
      <c r="G258" s="13">
        <f t="shared" si="94"/>
        <v>18</v>
      </c>
      <c r="H258" s="173">
        <f t="shared" si="95"/>
        <v>43346</v>
      </c>
      <c r="I258" s="754">
        <f t="shared" si="96"/>
        <v>0.14285714285714285</v>
      </c>
      <c r="J258" s="747">
        <f t="shared" si="97"/>
        <v>36.640573469336545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P258" s="13">
        <f t="shared" si="98"/>
        <v>11</v>
      </c>
      <c r="AQ258" s="13">
        <f t="shared" si="99"/>
        <v>10</v>
      </c>
      <c r="AR258" s="173">
        <f t="shared" si="100"/>
        <v>43360</v>
      </c>
      <c r="AS258" s="754">
        <f t="shared" si="101"/>
        <v>0.5714285714285714</v>
      </c>
      <c r="AT258" s="770">
        <f t="shared" si="102"/>
        <v>36.420512536008445</v>
      </c>
      <c r="AU258" s="13">
        <f t="shared" si="103"/>
        <v>9</v>
      </c>
      <c r="AV258" s="13">
        <f t="shared" si="104"/>
        <v>10</v>
      </c>
      <c r="AW258" s="173">
        <f t="shared" si="105"/>
        <v>43318</v>
      </c>
      <c r="AX258" s="754">
        <f t="shared" si="106"/>
        <v>0.9285714285714286</v>
      </c>
      <c r="AY258" s="770">
        <f t="shared" si="107"/>
        <v>36.649368057865651</v>
      </c>
      <c r="AZ258" s="747">
        <f t="shared" si="111"/>
        <v>36.534940296937052</v>
      </c>
      <c r="BA258" s="646">
        <f t="shared" si="108"/>
        <v>1.004372361591735</v>
      </c>
      <c r="BB258" s="641">
        <v>43344</v>
      </c>
      <c r="BC258" s="11">
        <v>43344</v>
      </c>
      <c r="BD258" s="290">
        <f>[3]!FeuilCaduc*(1-Persistant)+Persistant</f>
        <v>0.99285907948019281</v>
      </c>
      <c r="BE258" s="291">
        <f>[3]!CroissVégét</f>
        <v>0.96832140523745813</v>
      </c>
      <c r="BF258" s="822">
        <f>1+[3]!Salcycl*Ksac</f>
        <v>1.0482147698700481</v>
      </c>
      <c r="BH258" s="1101">
        <f t="shared" si="109"/>
        <v>0</v>
      </c>
      <c r="BI258" s="11">
        <v>44440</v>
      </c>
      <c r="BJ258" s="727">
        <v>0</v>
      </c>
      <c r="BK258" s="727">
        <v>0</v>
      </c>
      <c r="BL258" s="727">
        <v>0</v>
      </c>
      <c r="BM258" s="727">
        <v>0</v>
      </c>
      <c r="BN258" s="727">
        <v>0</v>
      </c>
      <c r="BO258" s="728">
        <v>8.8003709429140067E-10</v>
      </c>
      <c r="BP258" s="727">
        <v>4.5032808991962408E-5</v>
      </c>
      <c r="BQ258" s="727">
        <v>5.8476401146743072E-4</v>
      </c>
      <c r="BR258" s="727">
        <v>5.0580383780410663E-3</v>
      </c>
      <c r="BS258" s="727">
        <v>2.3239211064551679E-2</v>
      </c>
      <c r="BT258" s="727">
        <v>5.4678613846396447E-2</v>
      </c>
      <c r="BW258" s="1157">
        <f>'2018'!R\Max</f>
        <v>1.004372361591735</v>
      </c>
      <c r="BX258" s="1155">
        <f>'2019'!R\Max</f>
        <v>0.30731265562715798</v>
      </c>
      <c r="BY258" s="1155">
        <f>'2020'!R\Max</f>
        <v>0.82043770317734754</v>
      </c>
      <c r="BZ258" s="1155">
        <f>'2021'!R\Max</f>
        <v>0.614391134506451</v>
      </c>
      <c r="CA258" s="1155">
        <f>'2022'!R\Max</f>
        <v>0.83553123312782185</v>
      </c>
      <c r="CB258" s="1155">
        <f>'2023'!R\Max</f>
        <v>0.83553114207473045</v>
      </c>
      <c r="CC258" s="1155">
        <f>'2024'!R\Max</f>
        <v>0.83553064539539634</v>
      </c>
      <c r="CD258" s="1155">
        <f>'2025'!R\Max</f>
        <v>0.83553123314336442</v>
      </c>
      <c r="CE258" s="1155">
        <f>'2026'!R\Max</f>
        <v>0.83553123314336442</v>
      </c>
      <c r="CF258" s="1156">
        <f>'2027'!R\Max</f>
        <v>0.83553123313431421</v>
      </c>
    </row>
    <row r="259" spans="1:84" s="6" customFormat="1" ht="11.25" x14ac:dyDescent="0.2">
      <c r="A259" s="11">
        <v>43345</v>
      </c>
      <c r="B259" s="380">
        <f>'2022'!Maxi_hp</f>
        <v>34.771079559810111</v>
      </c>
      <c r="C259" s="13">
        <f>'2022'!An_max</f>
        <v>2018</v>
      </c>
      <c r="D259" s="1070"/>
      <c r="E259" s="13"/>
      <c r="F259" s="13">
        <f t="shared" si="110"/>
        <v>19</v>
      </c>
      <c r="G259" s="13">
        <f t="shared" si="94"/>
        <v>18</v>
      </c>
      <c r="H259" s="173">
        <f t="shared" si="95"/>
        <v>43346</v>
      </c>
      <c r="I259" s="754">
        <f t="shared" si="96"/>
        <v>7.1428571428571425E-2</v>
      </c>
      <c r="J259" s="747">
        <f t="shared" si="97"/>
        <v>36.484607780338926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P259" s="13">
        <f t="shared" si="98"/>
        <v>11</v>
      </c>
      <c r="AQ259" s="13">
        <f t="shared" si="99"/>
        <v>10</v>
      </c>
      <c r="AR259" s="173">
        <f t="shared" si="100"/>
        <v>43360</v>
      </c>
      <c r="AS259" s="754">
        <f t="shared" si="101"/>
        <v>0.5357142857142857</v>
      </c>
      <c r="AT259" s="770">
        <f t="shared" si="102"/>
        <v>36.258818324109804</v>
      </c>
      <c r="AU259" s="13">
        <f t="shared" si="103"/>
        <v>9</v>
      </c>
      <c r="AV259" s="13">
        <f t="shared" si="104"/>
        <v>10</v>
      </c>
      <c r="AW259" s="173">
        <f t="shared" si="105"/>
        <v>43318</v>
      </c>
      <c r="AX259" s="754">
        <f t="shared" si="106"/>
        <v>0.9642857142857143</v>
      </c>
      <c r="AY259" s="770">
        <f t="shared" si="107"/>
        <v>36.487767499445809</v>
      </c>
      <c r="AZ259" s="747">
        <f t="shared" si="111"/>
        <v>36.37329291177781</v>
      </c>
      <c r="BA259" s="646">
        <f t="shared" si="108"/>
        <v>0.95303421566581259</v>
      </c>
      <c r="BB259" s="641">
        <v>43345</v>
      </c>
      <c r="BC259" s="11">
        <v>43345</v>
      </c>
      <c r="BD259" s="290">
        <f>[3]!FeuilCaduc*(1-Persistant)+Persistant</f>
        <v>0.99240102386264439</v>
      </c>
      <c r="BE259" s="291">
        <f>[3]!CroissVégét</f>
        <v>0.96957063646587138</v>
      </c>
      <c r="BF259" s="822">
        <f>1+[3]!Salcycl*Ksac</f>
        <v>1.0481002559656611</v>
      </c>
      <c r="BH259" s="1101">
        <f t="shared" si="109"/>
        <v>0</v>
      </c>
      <c r="BI259" s="11">
        <v>44441</v>
      </c>
      <c r="BJ259" s="727">
        <v>0</v>
      </c>
      <c r="BK259" s="727">
        <v>0</v>
      </c>
      <c r="BL259" s="727">
        <v>0</v>
      </c>
      <c r="BM259" s="727">
        <v>0</v>
      </c>
      <c r="BN259" s="727">
        <v>0</v>
      </c>
      <c r="BO259" s="728">
        <v>1.2322002567815853E-9</v>
      </c>
      <c r="BP259" s="727">
        <v>5.2965029979890842E-5</v>
      </c>
      <c r="BQ259" s="727">
        <v>6.3192864475133926E-4</v>
      </c>
      <c r="BR259" s="727">
        <v>6.25087575341672E-3</v>
      </c>
      <c r="BS259" s="727">
        <v>2.7517780822662916E-2</v>
      </c>
      <c r="BT259" s="727">
        <v>6.3959606601077482E-2</v>
      </c>
      <c r="BW259" s="1157">
        <f>'2018'!R\Max</f>
        <v>0.95303421566581259</v>
      </c>
      <c r="BX259" s="1155">
        <f>'2019'!R\Max</f>
        <v>0.94443410954620555</v>
      </c>
      <c r="BY259" s="1155">
        <f>'2020'!R\Max</f>
        <v>0.91455308431070104</v>
      </c>
      <c r="BZ259" s="1155">
        <f>'2021'!R\Max</f>
        <v>0.40570228823638382</v>
      </c>
      <c r="CA259" s="1155">
        <f>'2022'!R\Max</f>
        <v>0.82754345003310736</v>
      </c>
      <c r="CB259" s="1155">
        <f>'2023'!R\Max</f>
        <v>0.82754333792726342</v>
      </c>
      <c r="CC259" s="1155">
        <f>'2024'!R\Max</f>
        <v>0.82754272862732015</v>
      </c>
      <c r="CD259" s="1155">
        <f>'2025'!R\Max</f>
        <v>0.82754345005580532</v>
      </c>
      <c r="CE259" s="1155">
        <f>'2026'!R\Max</f>
        <v>0.82754345005580521</v>
      </c>
      <c r="CF259" s="1156">
        <f>'2027'!R\Max</f>
        <v>0.82754345004257668</v>
      </c>
    </row>
    <row r="260" spans="1:84" s="6" customFormat="1" ht="11.25" x14ac:dyDescent="0.2">
      <c r="A260" s="11">
        <v>43346</v>
      </c>
      <c r="B260" s="380">
        <f>'2022'!Maxi_hp</f>
        <v>37.558631129408738</v>
      </c>
      <c r="C260" s="13">
        <f>'2022'!An_max</f>
        <v>2020</v>
      </c>
      <c r="D260" s="1070"/>
      <c r="E260" s="1073">
        <f>AE$13/10</f>
        <v>36.320900000000002</v>
      </c>
      <c r="F260" s="13">
        <f t="shared" si="110"/>
        <v>19</v>
      </c>
      <c r="G260" s="13">
        <f t="shared" si="94"/>
        <v>20</v>
      </c>
      <c r="H260" s="173">
        <f t="shared" si="95"/>
        <v>43346</v>
      </c>
      <c r="I260" s="754">
        <f t="shared" si="96"/>
        <v>0</v>
      </c>
      <c r="J260" s="747">
        <f t="shared" si="97"/>
        <v>36.320900000631809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P260" s="13">
        <f t="shared" si="98"/>
        <v>11</v>
      </c>
      <c r="AQ260" s="13">
        <f t="shared" si="99"/>
        <v>10</v>
      </c>
      <c r="AR260" s="173">
        <f t="shared" si="100"/>
        <v>43360</v>
      </c>
      <c r="AS260" s="754">
        <f t="shared" si="101"/>
        <v>0.5</v>
      </c>
      <c r="AT260" s="770">
        <f t="shared" si="102"/>
        <v>36.094506250135602</v>
      </c>
      <c r="AU260" s="13">
        <f t="shared" si="103"/>
        <v>11</v>
      </c>
      <c r="AV260" s="13">
        <f t="shared" si="104"/>
        <v>10</v>
      </c>
      <c r="AW260" s="173">
        <f t="shared" si="105"/>
        <v>43374</v>
      </c>
      <c r="AX260" s="754">
        <f t="shared" si="106"/>
        <v>1</v>
      </c>
      <c r="AY260" s="770">
        <f t="shared" si="107"/>
        <v>36.320899999886748</v>
      </c>
      <c r="AZ260" s="747">
        <f t="shared" si="111"/>
        <v>36.207703125011179</v>
      </c>
      <c r="BA260" s="646">
        <f t="shared" si="108"/>
        <v>1.0340776558057592</v>
      </c>
      <c r="BB260" s="641">
        <v>43346</v>
      </c>
      <c r="BC260" s="11">
        <v>43346</v>
      </c>
      <c r="BD260" s="290">
        <f>[3]!FeuilCaduc*(1-Persistant)+Persistant</f>
        <v>0.99192184365103486</v>
      </c>
      <c r="BE260" s="291">
        <f>[3]!CroissVégét</f>
        <v>0.97077260062312232</v>
      </c>
      <c r="BF260" s="822">
        <f>1+[3]!Salcycl*Ksac</f>
        <v>1.0479804609127588</v>
      </c>
      <c r="BH260" s="1101">
        <f t="shared" si="109"/>
        <v>0</v>
      </c>
      <c r="BI260" s="11">
        <v>44442</v>
      </c>
      <c r="BJ260" s="727">
        <v>0</v>
      </c>
      <c r="BK260" s="727">
        <v>0</v>
      </c>
      <c r="BL260" s="727">
        <v>0</v>
      </c>
      <c r="BM260" s="727">
        <v>0</v>
      </c>
      <c r="BN260" s="727">
        <v>0</v>
      </c>
      <c r="BO260" s="728">
        <v>1.6431449328070304E-9</v>
      </c>
      <c r="BP260" s="727">
        <v>6.1902448399412345E-5</v>
      </c>
      <c r="BQ260" s="727">
        <v>6.8547289791101172E-4</v>
      </c>
      <c r="BR260" s="727">
        <v>7.6275222158878764E-3</v>
      </c>
      <c r="BS260" s="727">
        <v>3.2299602128938731E-2</v>
      </c>
      <c r="BT260" s="727">
        <v>7.4201942154916031E-2</v>
      </c>
      <c r="BW260" s="1157">
        <f>'2018'!R\Max</f>
        <v>0.96768078248864886</v>
      </c>
      <c r="BX260" s="1155">
        <f>'2019'!R\Max</f>
        <v>1.0045976129841789</v>
      </c>
      <c r="BY260" s="1155">
        <f>'2020'!R\Max</f>
        <v>1.0340776558057592</v>
      </c>
      <c r="BZ260" s="1155">
        <f>'2021'!R\Max</f>
        <v>0.61238172215858788</v>
      </c>
      <c r="CA260" s="1155">
        <f>'2022'!R\Max</f>
        <v>0.80766579103859726</v>
      </c>
      <c r="CB260" s="1155">
        <f>'2023'!R\Max</f>
        <v>0.80766564728140922</v>
      </c>
      <c r="CC260" s="1155">
        <f>'2024'!R\Max</f>
        <v>0.80766486866980469</v>
      </c>
      <c r="CD260" s="1155">
        <f>'2025'!R\Max</f>
        <v>0.80766579107169045</v>
      </c>
      <c r="CE260" s="1155">
        <f>'2026'!R\Max</f>
        <v>0.80766579107169056</v>
      </c>
      <c r="CF260" s="1156">
        <f>'2027'!R\Max</f>
        <v>0.80766579105238723</v>
      </c>
    </row>
    <row r="261" spans="1:84" s="6" customFormat="1" ht="11.25" x14ac:dyDescent="0.2">
      <c r="A261" s="11">
        <v>43347</v>
      </c>
      <c r="B261" s="380">
        <f>'2022'!Maxi_hp</f>
        <v>36.263260924320456</v>
      </c>
      <c r="C261" s="13">
        <f>'2022'!An_max</f>
        <v>2019</v>
      </c>
      <c r="D261" s="1070"/>
      <c r="E261" s="13"/>
      <c r="F261" s="13">
        <f t="shared" si="110"/>
        <v>19</v>
      </c>
      <c r="G261" s="13">
        <f t="shared" si="94"/>
        <v>20</v>
      </c>
      <c r="H261" s="173">
        <f t="shared" si="95"/>
        <v>43346</v>
      </c>
      <c r="I261" s="754">
        <f t="shared" si="96"/>
        <v>7.1428571428571425E-2</v>
      </c>
      <c r="J261" s="747">
        <f t="shared" si="97"/>
        <v>36.149182542759391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P261" s="13">
        <f t="shared" si="98"/>
        <v>11</v>
      </c>
      <c r="AQ261" s="13">
        <f t="shared" si="99"/>
        <v>10</v>
      </c>
      <c r="AR261" s="173">
        <f t="shared" si="100"/>
        <v>43360</v>
      </c>
      <c r="AS261" s="754">
        <f t="shared" si="101"/>
        <v>0.4642857142857143</v>
      </c>
      <c r="AT261" s="770">
        <f t="shared" si="102"/>
        <v>35.927509418103305</v>
      </c>
      <c r="AU261" s="13">
        <f t="shared" si="103"/>
        <v>11</v>
      </c>
      <c r="AV261" s="13">
        <f t="shared" si="104"/>
        <v>10</v>
      </c>
      <c r="AW261" s="173">
        <f t="shared" si="105"/>
        <v>43374</v>
      </c>
      <c r="AX261" s="754">
        <f t="shared" si="106"/>
        <v>0.9642857142857143</v>
      </c>
      <c r="AY261" s="770">
        <f t="shared" si="107"/>
        <v>36.149336404340076</v>
      </c>
      <c r="AZ261" s="747">
        <f t="shared" si="111"/>
        <v>36.038422911221687</v>
      </c>
      <c r="BA261" s="646">
        <f t="shared" si="108"/>
        <v>1.0031557665633553</v>
      </c>
      <c r="BB261" s="641">
        <v>43347</v>
      </c>
      <c r="BC261" s="11">
        <v>43347</v>
      </c>
      <c r="BD261" s="290">
        <f>[3]!FeuilCaduc*(1-Persistant)+Persistant</f>
        <v>0.99142072138988702</v>
      </c>
      <c r="BE261" s="291">
        <f>[3]!CroissVégét</f>
        <v>0.97192897207465079</v>
      </c>
      <c r="BF261" s="822">
        <f>1+[3]!Salcycl*Ksac</f>
        <v>1.0478551803474718</v>
      </c>
      <c r="BH261" s="1101">
        <f t="shared" si="109"/>
        <v>0</v>
      </c>
      <c r="BI261" s="11">
        <v>44443</v>
      </c>
      <c r="BJ261" s="727">
        <v>0</v>
      </c>
      <c r="BK261" s="727">
        <v>0</v>
      </c>
      <c r="BL261" s="727">
        <v>0</v>
      </c>
      <c r="BM261" s="727">
        <v>0</v>
      </c>
      <c r="BN261" s="727">
        <v>0</v>
      </c>
      <c r="BO261" s="728">
        <v>2.112904247678141E-9</v>
      </c>
      <c r="BP261" s="727">
        <v>7.1845683670443623E-5</v>
      </c>
      <c r="BQ261" s="727">
        <v>7.4540067336337126E-4</v>
      </c>
      <c r="BR261" s="727">
        <v>9.1880840359321019E-3</v>
      </c>
      <c r="BS261" s="727">
        <v>3.7584992913919563E-2</v>
      </c>
      <c r="BT261" s="727">
        <v>8.5406257346260964E-2</v>
      </c>
      <c r="BW261" s="1157">
        <f>'2018'!R\Max</f>
        <v>0.89665639406999142</v>
      </c>
      <c r="BX261" s="1155">
        <f>'2019'!R\Max</f>
        <v>1.0031557665633553</v>
      </c>
      <c r="BY261" s="1155">
        <f>'2020'!R\Max</f>
        <v>0.9936056850734809</v>
      </c>
      <c r="BZ261" s="1155">
        <f>'2021'!R\Max</f>
        <v>0.78563112620735176</v>
      </c>
      <c r="CA261" s="1155">
        <f>'2022'!R\Max</f>
        <v>0.89924908520725277</v>
      </c>
      <c r="CB261" s="1155">
        <f>'2023'!R\Max</f>
        <v>0.89924898711116985</v>
      </c>
      <c r="CC261" s="1155">
        <f>'2024'!R\Max</f>
        <v>0.89924845757491156</v>
      </c>
      <c r="CD261" s="1155">
        <f>'2025'!R\Max</f>
        <v>0.89924908523218827</v>
      </c>
      <c r="CE261" s="1155">
        <f>'2026'!R\Max</f>
        <v>0.89924908523218827</v>
      </c>
      <c r="CF261" s="1156">
        <f>'2027'!R\Max</f>
        <v>0.89924908521763192</v>
      </c>
    </row>
    <row r="262" spans="1:84" s="6" customFormat="1" ht="11.25" x14ac:dyDescent="0.2">
      <c r="A262" s="11">
        <v>43348</v>
      </c>
      <c r="B262" s="380">
        <f>'2022'!Maxi_hp</f>
        <v>35.661957440699879</v>
      </c>
      <c r="C262" s="13">
        <f>'2022'!An_max</f>
        <v>2020</v>
      </c>
      <c r="D262" s="1070"/>
      <c r="E262" s="13"/>
      <c r="F262" s="13">
        <f t="shared" si="110"/>
        <v>19</v>
      </c>
      <c r="G262" s="13">
        <f t="shared" si="94"/>
        <v>20</v>
      </c>
      <c r="H262" s="173">
        <f t="shared" si="95"/>
        <v>43346</v>
      </c>
      <c r="I262" s="754">
        <f t="shared" si="96"/>
        <v>0.14285714285714285</v>
      </c>
      <c r="J262" s="747">
        <f t="shared" si="97"/>
        <v>35.970115451195412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P262" s="13">
        <f t="shared" si="98"/>
        <v>11</v>
      </c>
      <c r="AQ262" s="13">
        <f t="shared" si="99"/>
        <v>10</v>
      </c>
      <c r="AR262" s="173">
        <f t="shared" si="100"/>
        <v>43360</v>
      </c>
      <c r="AS262" s="754">
        <f t="shared" si="101"/>
        <v>0.42857142857142855</v>
      </c>
      <c r="AT262" s="770">
        <f t="shared" si="102"/>
        <v>35.757760932988354</v>
      </c>
      <c r="AU262" s="13">
        <f t="shared" si="103"/>
        <v>11</v>
      </c>
      <c r="AV262" s="13">
        <f t="shared" si="104"/>
        <v>10</v>
      </c>
      <c r="AW262" s="173">
        <f t="shared" si="105"/>
        <v>43374</v>
      </c>
      <c r="AX262" s="754">
        <f t="shared" si="106"/>
        <v>0.9285714285714286</v>
      </c>
      <c r="AY262" s="770">
        <f t="shared" si="107"/>
        <v>35.973843786067192</v>
      </c>
      <c r="AZ262" s="747">
        <f t="shared" si="111"/>
        <v>35.865802359527777</v>
      </c>
      <c r="BA262" s="646">
        <f t="shared" si="108"/>
        <v>0.99143294352464217</v>
      </c>
      <c r="BB262" s="641">
        <v>43348</v>
      </c>
      <c r="BC262" s="11">
        <v>43348</v>
      </c>
      <c r="BD262" s="290">
        <f>[3]!FeuilCaduc*(1-Persistant)+Persistant</f>
        <v>0.99089680619752429</v>
      </c>
      <c r="BE262" s="291">
        <f>[3]!CroissVégét</f>
        <v>0.97304137466019458</v>
      </c>
      <c r="BF262" s="822">
        <f>1+[3]!Salcycl*Ksac</f>
        <v>1.0477242015493811</v>
      </c>
      <c r="BH262" s="1101">
        <f t="shared" si="109"/>
        <v>0</v>
      </c>
      <c r="BI262" s="11">
        <v>44444</v>
      </c>
      <c r="BJ262" s="727">
        <v>0</v>
      </c>
      <c r="BK262" s="727">
        <v>0</v>
      </c>
      <c r="BL262" s="727">
        <v>0</v>
      </c>
      <c r="BM262" s="727">
        <v>0</v>
      </c>
      <c r="BN262" s="727">
        <v>0</v>
      </c>
      <c r="BO262" s="728">
        <v>1.4799388973317232E-8</v>
      </c>
      <c r="BP262" s="727">
        <v>8.4685415136891314E-5</v>
      </c>
      <c r="BQ262" s="727">
        <v>9.6218580548552957E-4</v>
      </c>
      <c r="BR262" s="727">
        <v>1.1262485669685489E-2</v>
      </c>
      <c r="BS262" s="727">
        <v>4.3875388239154052E-2</v>
      </c>
      <c r="BT262" s="727">
        <v>9.8092719555649466E-2</v>
      </c>
      <c r="BW262" s="1157">
        <f>'2018'!R\Max</f>
        <v>0.81347640041905311</v>
      </c>
      <c r="BX262" s="1155">
        <f>'2019'!R\Max</f>
        <v>0.79306682665602857</v>
      </c>
      <c r="BY262" s="1155">
        <f>'2020'!R\Max</f>
        <v>0.99143294352464217</v>
      </c>
      <c r="BZ262" s="1155">
        <f>'2021'!R\Max</f>
        <v>0.88027676125458509</v>
      </c>
      <c r="CA262" s="1155">
        <f>'2022'!R\Max</f>
        <v>0.80118917374780119</v>
      </c>
      <c r="CB262" s="1155">
        <f>'2023'!R\Max</f>
        <v>0.80118896877693091</v>
      </c>
      <c r="CC262" s="1155">
        <f>'2024'!R\Max</f>
        <v>0.80118786619956339</v>
      </c>
      <c r="CD262" s="1155">
        <f>'2025'!R\Max</f>
        <v>0.80118917405635737</v>
      </c>
      <c r="CE262" s="1155">
        <f>'2026'!R\Max</f>
        <v>0.80118917405635737</v>
      </c>
      <c r="CF262" s="1156">
        <f>'2027'!R\Max</f>
        <v>0.80118917387609034</v>
      </c>
    </row>
    <row r="263" spans="1:84" s="6" customFormat="1" ht="11.25" x14ac:dyDescent="0.2">
      <c r="A263" s="11">
        <v>43349</v>
      </c>
      <c r="B263" s="380">
        <f>'2022'!Maxi_hp</f>
        <v>37.214641888290501</v>
      </c>
      <c r="C263" s="13">
        <f>'2022'!An_max</f>
        <v>2019</v>
      </c>
      <c r="D263" s="1070"/>
      <c r="E263" s="13"/>
      <c r="F263" s="13">
        <f t="shared" si="110"/>
        <v>19</v>
      </c>
      <c r="G263" s="13">
        <f t="shared" si="94"/>
        <v>20</v>
      </c>
      <c r="H263" s="173">
        <f t="shared" si="95"/>
        <v>43346</v>
      </c>
      <c r="I263" s="754">
        <f t="shared" si="96"/>
        <v>0.21428571428571427</v>
      </c>
      <c r="J263" s="747">
        <f t="shared" si="97"/>
        <v>35.78434092559452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P263" s="13">
        <f t="shared" si="98"/>
        <v>11</v>
      </c>
      <c r="AQ263" s="13">
        <f t="shared" si="99"/>
        <v>10</v>
      </c>
      <c r="AR263" s="173">
        <f t="shared" si="100"/>
        <v>43360</v>
      </c>
      <c r="AS263" s="754">
        <f t="shared" si="101"/>
        <v>0.39285714285714285</v>
      </c>
      <c r="AT263" s="770">
        <f t="shared" si="102"/>
        <v>35.585193898236113</v>
      </c>
      <c r="AU263" s="13">
        <f t="shared" si="103"/>
        <v>11</v>
      </c>
      <c r="AV263" s="13">
        <f t="shared" si="104"/>
        <v>10</v>
      </c>
      <c r="AW263" s="173">
        <f t="shared" si="105"/>
        <v>43374</v>
      </c>
      <c r="AX263" s="754">
        <f t="shared" si="106"/>
        <v>0.8928571428571429</v>
      </c>
      <c r="AY263" s="770">
        <f t="shared" si="107"/>
        <v>35.794489041662636</v>
      </c>
      <c r="AZ263" s="747">
        <f t="shared" si="111"/>
        <v>35.689841469949371</v>
      </c>
      <c r="BA263" s="646">
        <f t="shared" si="108"/>
        <v>1.0399700239182823</v>
      </c>
      <c r="BB263" s="641">
        <v>43349</v>
      </c>
      <c r="BC263" s="11">
        <v>43349</v>
      </c>
      <c r="BD263" s="290">
        <f>[3]!FeuilCaduc*(1-Persistant)+Persistant</f>
        <v>0.99034921188061475</v>
      </c>
      <c r="BE263" s="291">
        <f>[3]!CroissVégét</f>
        <v>0.97411138252345786</v>
      </c>
      <c r="BF263" s="822">
        <f>1+[3]!Salcycl*Ksac</f>
        <v>1.0475873029701537</v>
      </c>
      <c r="BH263" s="1101">
        <f t="shared" si="109"/>
        <v>0</v>
      </c>
      <c r="BI263" s="11">
        <v>44445</v>
      </c>
      <c r="BJ263" s="727">
        <v>0</v>
      </c>
      <c r="BK263" s="727">
        <v>0</v>
      </c>
      <c r="BL263" s="727">
        <v>0</v>
      </c>
      <c r="BM263" s="727">
        <v>0</v>
      </c>
      <c r="BN263" s="727">
        <v>0</v>
      </c>
      <c r="BO263" s="728">
        <v>3.9708263619608831E-8</v>
      </c>
      <c r="BP263" s="727">
        <v>1.0037728914697304E-4</v>
      </c>
      <c r="BQ263" s="727">
        <v>1.3359289062862755E-3</v>
      </c>
      <c r="BR263" s="727">
        <v>1.3839861608012125E-2</v>
      </c>
      <c r="BS263" s="727">
        <v>5.1024197173312087E-2</v>
      </c>
      <c r="BT263" s="727">
        <v>0.11185401943854996</v>
      </c>
      <c r="BW263" s="1157">
        <f>'2018'!R\Max</f>
        <v>0.60563768652780647</v>
      </c>
      <c r="BX263" s="1155">
        <f>'2019'!R\Max</f>
        <v>1.0399700239182823</v>
      </c>
      <c r="BY263" s="1155">
        <f>'2020'!R\Max</f>
        <v>0.91715839566391288</v>
      </c>
      <c r="BZ263" s="1155">
        <f>'2021'!R\Max</f>
        <v>0.95507616559285824</v>
      </c>
      <c r="CA263" s="1155">
        <f>'2022'!R\Max</f>
        <v>0.92108795552558287</v>
      </c>
      <c r="CB263" s="1155">
        <f>'2023'!R\Max</f>
        <v>0.92108784372848962</v>
      </c>
      <c r="CC263" s="1155">
        <f>'2024'!R\Max</f>
        <v>0.92108724448010704</v>
      </c>
      <c r="CD263" s="1155">
        <f>'2025'!R\Max</f>
        <v>0.92108795590526926</v>
      </c>
      <c r="CE263" s="1155">
        <f>'2026'!R\Max</f>
        <v>0.92108795590526948</v>
      </c>
      <c r="CF263" s="1156">
        <f>'2027'!R\Max</f>
        <v>0.92108795568327961</v>
      </c>
    </row>
    <row r="264" spans="1:84" s="6" customFormat="1" ht="11.25" x14ac:dyDescent="0.2">
      <c r="A264" s="11">
        <v>43350</v>
      </c>
      <c r="B264" s="380">
        <f>'2022'!Maxi_hp</f>
        <v>35.695847850032024</v>
      </c>
      <c r="C264" s="13">
        <f>'2022'!An_max</f>
        <v>2019</v>
      </c>
      <c r="D264" s="1070"/>
      <c r="E264" s="13"/>
      <c r="F264" s="13">
        <f t="shared" si="110"/>
        <v>19</v>
      </c>
      <c r="G264" s="13">
        <f t="shared" si="94"/>
        <v>20</v>
      </c>
      <c r="H264" s="173">
        <f t="shared" si="95"/>
        <v>43346</v>
      </c>
      <c r="I264" s="754">
        <f t="shared" si="96"/>
        <v>0.2857142857142857</v>
      </c>
      <c r="J264" s="747">
        <f t="shared" si="97"/>
        <v>35.592501165717842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P264" s="13">
        <f t="shared" si="98"/>
        <v>11</v>
      </c>
      <c r="AQ264" s="13">
        <f t="shared" si="99"/>
        <v>10</v>
      </c>
      <c r="AR264" s="173">
        <f t="shared" si="100"/>
        <v>43360</v>
      </c>
      <c r="AS264" s="754">
        <f t="shared" si="101"/>
        <v>0.35714285714285715</v>
      </c>
      <c r="AT264" s="770">
        <f t="shared" si="102"/>
        <v>35.409741417611279</v>
      </c>
      <c r="AU264" s="13">
        <f t="shared" si="103"/>
        <v>11</v>
      </c>
      <c r="AV264" s="13">
        <f t="shared" si="104"/>
        <v>10</v>
      </c>
      <c r="AW264" s="173">
        <f t="shared" si="105"/>
        <v>43374</v>
      </c>
      <c r="AX264" s="754">
        <f t="shared" si="106"/>
        <v>0.8571428571428571</v>
      </c>
      <c r="AY264" s="770">
        <f t="shared" si="107"/>
        <v>35.61133906745485</v>
      </c>
      <c r="AZ264" s="747">
        <f t="shared" si="111"/>
        <v>35.510540242533068</v>
      </c>
      <c r="BA264" s="646">
        <f t="shared" si="108"/>
        <v>1.0029036083705667</v>
      </c>
      <c r="BB264" s="641">
        <v>43350</v>
      </c>
      <c r="BC264" s="11">
        <v>43350</v>
      </c>
      <c r="BD264" s="290">
        <f>[3]!FeuilCaduc*(1-Persistant)+Persistant</f>
        <v>0.98977701519593753</v>
      </c>
      <c r="BE264" s="291">
        <f>[3]!CroissVégét</f>
        <v>0.97514052098953308</v>
      </c>
      <c r="BF264" s="822">
        <f>1+[3]!Salcycl*Ksac</f>
        <v>1.0474442537989843</v>
      </c>
      <c r="BH264" s="1101">
        <f t="shared" si="109"/>
        <v>0</v>
      </c>
      <c r="BI264" s="11">
        <v>44446</v>
      </c>
      <c r="BJ264" s="727">
        <v>0</v>
      </c>
      <c r="BK264" s="727">
        <v>0</v>
      </c>
      <c r="BL264" s="727">
        <v>0</v>
      </c>
      <c r="BM264" s="727">
        <v>0</v>
      </c>
      <c r="BN264" s="727">
        <v>0</v>
      </c>
      <c r="BO264" s="728">
        <v>7.6845846363919734E-8</v>
      </c>
      <c r="BP264" s="727">
        <v>1.1892305475243869E-4</v>
      </c>
      <c r="BQ264" s="727">
        <v>1.8667126658668761E-3</v>
      </c>
      <c r="BR264" s="727">
        <v>1.6920514661205477E-2</v>
      </c>
      <c r="BS264" s="727">
        <v>5.9032013320404739E-2</v>
      </c>
      <c r="BT264" s="727">
        <v>0.12669103460431599</v>
      </c>
      <c r="BW264" s="1157">
        <f>'2018'!R\Max</f>
        <v>0.74408057690482265</v>
      </c>
      <c r="BX264" s="1155">
        <f>'2019'!R\Max</f>
        <v>1.0029036083705667</v>
      </c>
      <c r="BY264" s="1155">
        <f>'2020'!R\Max</f>
        <v>0.55814393627505654</v>
      </c>
      <c r="BZ264" s="1155">
        <f>'2021'!R\Max</f>
        <v>0.73943475271673442</v>
      </c>
      <c r="CA264" s="1155">
        <f>'2022'!R\Max</f>
        <v>0.70350618694986911</v>
      </c>
      <c r="CB264" s="1155">
        <f>'2023'!R\Max</f>
        <v>0.70350580362393111</v>
      </c>
      <c r="CC264" s="1155">
        <f>'2024'!R\Max</f>
        <v>0.70350375608966587</v>
      </c>
      <c r="CD264" s="1155">
        <f>'2025'!R\Max</f>
        <v>0.70350618906948148</v>
      </c>
      <c r="CE264" s="1155">
        <f>'2026'!R\Max</f>
        <v>0.70350618906948137</v>
      </c>
      <c r="CF264" s="1156">
        <f>'2027'!R\Max</f>
        <v>0.70350618782932217</v>
      </c>
    </row>
    <row r="265" spans="1:84" s="6" customFormat="1" ht="11.25" x14ac:dyDescent="0.2">
      <c r="A265" s="11">
        <v>43351</v>
      </c>
      <c r="B265" s="380">
        <f>'2022'!Maxi_hp</f>
        <v>32.004308101052679</v>
      </c>
      <c r="C265" s="13">
        <f>'2022'!An_max</f>
        <v>2018</v>
      </c>
      <c r="D265" s="1070"/>
      <c r="E265" s="13"/>
      <c r="F265" s="13">
        <f t="shared" si="110"/>
        <v>19</v>
      </c>
      <c r="G265" s="13">
        <f t="shared" si="94"/>
        <v>20</v>
      </c>
      <c r="H265" s="173">
        <f t="shared" si="95"/>
        <v>43346</v>
      </c>
      <c r="I265" s="754">
        <f t="shared" si="96"/>
        <v>0.35714285714285715</v>
      </c>
      <c r="J265" s="747">
        <f t="shared" si="97"/>
        <v>35.395238374759046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P265" s="13">
        <f t="shared" si="98"/>
        <v>11</v>
      </c>
      <c r="AQ265" s="13">
        <f t="shared" si="99"/>
        <v>10</v>
      </c>
      <c r="AR265" s="173">
        <f t="shared" si="100"/>
        <v>43360</v>
      </c>
      <c r="AS265" s="754">
        <f t="shared" si="101"/>
        <v>0.32142857142857145</v>
      </c>
      <c r="AT265" s="770">
        <f t="shared" si="102"/>
        <v>35.231336595384143</v>
      </c>
      <c r="AU265" s="13">
        <f t="shared" si="103"/>
        <v>11</v>
      </c>
      <c r="AV265" s="13">
        <f t="shared" si="104"/>
        <v>10</v>
      </c>
      <c r="AW265" s="173">
        <f t="shared" si="105"/>
        <v>43374</v>
      </c>
      <c r="AX265" s="754">
        <f t="shared" si="106"/>
        <v>0.8214285714285714</v>
      </c>
      <c r="AY265" s="770">
        <f t="shared" si="107"/>
        <v>35.424460757949518</v>
      </c>
      <c r="AZ265" s="747">
        <f t="shared" si="111"/>
        <v>35.327898676666834</v>
      </c>
      <c r="BA265" s="646">
        <f t="shared" si="108"/>
        <v>0.9041981229846866</v>
      </c>
      <c r="BB265" s="641">
        <v>43351</v>
      </c>
      <c r="BC265" s="11">
        <v>43351</v>
      </c>
      <c r="BD265" s="290">
        <f>[3]!FeuilCaduc*(1-Persistant)+Persistant</f>
        <v>0.98917925432669707</v>
      </c>
      <c r="BE265" s="291">
        <f>[3]!CroissVégét</f>
        <v>0.97613026748322473</v>
      </c>
      <c r="BF265" s="822">
        <f>1+[3]!Salcycl*Ksac</f>
        <v>1.0472948135816742</v>
      </c>
      <c r="BH265" s="1101">
        <f t="shared" si="109"/>
        <v>0</v>
      </c>
      <c r="BI265" s="11">
        <v>44447</v>
      </c>
      <c r="BJ265" s="727">
        <v>0</v>
      </c>
      <c r="BK265" s="727">
        <v>0</v>
      </c>
      <c r="BL265" s="727">
        <v>0</v>
      </c>
      <c r="BM265" s="727">
        <v>0</v>
      </c>
      <c r="BN265" s="727">
        <v>0</v>
      </c>
      <c r="BO265" s="728">
        <v>1.2621913058946483E-7</v>
      </c>
      <c r="BP265" s="727">
        <v>1.4032462532575731E-4</v>
      </c>
      <c r="BQ265" s="727">
        <v>2.5546284818719427E-3</v>
      </c>
      <c r="BR265" s="727">
        <v>2.050477648880019E-2</v>
      </c>
      <c r="BS265" s="727">
        <v>6.7899481400935366E-2</v>
      </c>
      <c r="BT265" s="727">
        <v>0.14260470995499103</v>
      </c>
      <c r="BW265" s="1157">
        <f>'2018'!R\Max</f>
        <v>0.9041981229846866</v>
      </c>
      <c r="BX265" s="1155">
        <f>'2019'!R\Max</f>
        <v>0.88470215378785777</v>
      </c>
      <c r="BY265" s="1155">
        <f>'2020'!R\Max</f>
        <v>0.87461296375159014</v>
      </c>
      <c r="BZ265" s="1155">
        <f>'2021'!R\Max</f>
        <v>0.6733700356101151</v>
      </c>
      <c r="CA265" s="1155">
        <f>'2022'!R\Max</f>
        <v>0.78270181576862596</v>
      </c>
      <c r="CB265" s="1155">
        <f>'2023'!R\Max</f>
        <v>0.78270144382253171</v>
      </c>
      <c r="CC265" s="1155">
        <f>'2024'!R\Max</f>
        <v>0.78269946373800969</v>
      </c>
      <c r="CD265" s="1155">
        <f>'2025'!R\Max</f>
        <v>0.78270181862256105</v>
      </c>
      <c r="CE265" s="1155">
        <f>'2026'!R\Max</f>
        <v>0.78270181862256094</v>
      </c>
      <c r="CF265" s="1156">
        <f>'2027'!R\Max</f>
        <v>0.78270181695160257</v>
      </c>
    </row>
    <row r="266" spans="1:84" s="6" customFormat="1" ht="11.25" x14ac:dyDescent="0.2">
      <c r="A266" s="11">
        <v>43352</v>
      </c>
      <c r="B266" s="380">
        <f>'2022'!Maxi_hp</f>
        <v>33.483412316512208</v>
      </c>
      <c r="C266" s="13">
        <f>'2022'!An_max</f>
        <v>2020</v>
      </c>
      <c r="D266" s="1070"/>
      <c r="E266" s="13"/>
      <c r="F266" s="13">
        <f t="shared" si="110"/>
        <v>19</v>
      </c>
      <c r="G266" s="13">
        <f t="shared" si="94"/>
        <v>20</v>
      </c>
      <c r="H266" s="173">
        <f t="shared" si="95"/>
        <v>43346</v>
      </c>
      <c r="I266" s="754">
        <f t="shared" si="96"/>
        <v>0.42857142857142855</v>
      </c>
      <c r="J266" s="747">
        <f t="shared" si="97"/>
        <v>35.193194752186535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P266" s="13">
        <f t="shared" si="98"/>
        <v>11</v>
      </c>
      <c r="AQ266" s="13">
        <f t="shared" si="99"/>
        <v>10</v>
      </c>
      <c r="AR266" s="173">
        <f t="shared" si="100"/>
        <v>43360</v>
      </c>
      <c r="AS266" s="754">
        <f t="shared" si="101"/>
        <v>0.2857142857142857</v>
      </c>
      <c r="AT266" s="770">
        <f t="shared" si="102"/>
        <v>35.049912536516786</v>
      </c>
      <c r="AU266" s="13">
        <f t="shared" si="103"/>
        <v>11</v>
      </c>
      <c r="AV266" s="13">
        <f t="shared" si="104"/>
        <v>10</v>
      </c>
      <c r="AW266" s="173">
        <f t="shared" si="105"/>
        <v>43374</v>
      </c>
      <c r="AX266" s="754">
        <f t="shared" si="106"/>
        <v>0.7857142857142857</v>
      </c>
      <c r="AY266" s="770">
        <f t="shared" si="107"/>
        <v>35.233921009435186</v>
      </c>
      <c r="AZ266" s="747">
        <f t="shared" si="111"/>
        <v>35.141916772975989</v>
      </c>
      <c r="BA266" s="646">
        <f t="shared" si="108"/>
        <v>0.95141724280180329</v>
      </c>
      <c r="BB266" s="641">
        <v>43352</v>
      </c>
      <c r="BC266" s="11">
        <v>43352</v>
      </c>
      <c r="BD266" s="290">
        <f>[3]!FeuilCaduc*(1-Persistant)+Persistant</f>
        <v>0.9885549276398875</v>
      </c>
      <c r="BE266" s="291">
        <f>[3]!CroissVégét</f>
        <v>0.97708205248193514</v>
      </c>
      <c r="BF266" s="822">
        <f>1+[3]!Salcycl*Ksac</f>
        <v>1.0471387319099719</v>
      </c>
      <c r="BH266" s="1101">
        <f t="shared" si="109"/>
        <v>0</v>
      </c>
      <c r="BI266" s="11">
        <v>44448</v>
      </c>
      <c r="BJ266" s="727">
        <v>0</v>
      </c>
      <c r="BK266" s="727">
        <v>0</v>
      </c>
      <c r="BL266" s="727">
        <v>0</v>
      </c>
      <c r="BM266" s="727">
        <v>0</v>
      </c>
      <c r="BN266" s="727">
        <v>0</v>
      </c>
      <c r="BO266" s="728">
        <v>1.8783580642619439E-7</v>
      </c>
      <c r="BP266" s="727">
        <v>1.6458408358284703E-4</v>
      </c>
      <c r="BQ266" s="727">
        <v>3.3997767360964158E-3</v>
      </c>
      <c r="BR266" s="727">
        <v>2.4593008485380055E-2</v>
      </c>
      <c r="BS266" s="727">
        <v>7.7627298762617772E-2</v>
      </c>
      <c r="BT266" s="727">
        <v>0.15959605957504239</v>
      </c>
      <c r="BW266" s="1157">
        <f>'2018'!R\Max</f>
        <v>0.67492618484496514</v>
      </c>
      <c r="BX266" s="1155">
        <f>'2019'!R\Max</f>
        <v>0.78639972675131398</v>
      </c>
      <c r="BY266" s="1155">
        <f>'2020'!R\Max</f>
        <v>0.95141724280180329</v>
      </c>
      <c r="BZ266" s="1155">
        <f>'2021'!R\Max</f>
        <v>0.41365266002938011</v>
      </c>
      <c r="CA266" s="1155">
        <f>'2022'!R\Max</f>
        <v>0.43900676454832371</v>
      </c>
      <c r="CB266" s="1155">
        <f>'2023'!R\Max</f>
        <v>0.43900612748895917</v>
      </c>
      <c r="CC266" s="1155">
        <f>'2024'!R\Max</f>
        <v>0.43900274695273045</v>
      </c>
      <c r="CD266" s="1155">
        <f>'2025'!R\Max</f>
        <v>0.43900677073193295</v>
      </c>
      <c r="CE266" s="1155">
        <f>'2026'!R\Max</f>
        <v>0.43900677073193306</v>
      </c>
      <c r="CF266" s="1156">
        <f>'2027'!R\Max</f>
        <v>0.43900676710906789</v>
      </c>
    </row>
    <row r="267" spans="1:84" s="6" customFormat="1" ht="11.25" x14ac:dyDescent="0.2">
      <c r="A267" s="11">
        <v>43353</v>
      </c>
      <c r="B267" s="380">
        <f>'2022'!Maxi_hp</f>
        <v>33.121802280387051</v>
      </c>
      <c r="C267" s="13">
        <f>'2022'!An_max</f>
        <v>2022</v>
      </c>
      <c r="D267" s="1070"/>
      <c r="E267" s="13"/>
      <c r="F267" s="13">
        <f t="shared" si="110"/>
        <v>19</v>
      </c>
      <c r="G267" s="13">
        <f t="shared" si="94"/>
        <v>20</v>
      </c>
      <c r="H267" s="173">
        <f t="shared" si="95"/>
        <v>43346</v>
      </c>
      <c r="I267" s="754">
        <f t="shared" si="96"/>
        <v>0.5</v>
      </c>
      <c r="J267" s="747">
        <f t="shared" si="97"/>
        <v>34.987012499384583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P267" s="13">
        <f t="shared" si="98"/>
        <v>11</v>
      </c>
      <c r="AQ267" s="13">
        <f t="shared" si="99"/>
        <v>10</v>
      </c>
      <c r="AR267" s="173">
        <f t="shared" si="100"/>
        <v>43360</v>
      </c>
      <c r="AS267" s="754">
        <f t="shared" si="101"/>
        <v>0.25</v>
      </c>
      <c r="AT267" s="770">
        <f t="shared" si="102"/>
        <v>34.865402343589814</v>
      </c>
      <c r="AU267" s="13">
        <f t="shared" si="103"/>
        <v>11</v>
      </c>
      <c r="AV267" s="13">
        <f t="shared" si="104"/>
        <v>10</v>
      </c>
      <c r="AW267" s="173">
        <f t="shared" si="105"/>
        <v>43374</v>
      </c>
      <c r="AX267" s="754">
        <f t="shared" si="106"/>
        <v>0.75</v>
      </c>
      <c r="AY267" s="770">
        <f t="shared" si="107"/>
        <v>35.039786718878894</v>
      </c>
      <c r="AZ267" s="747">
        <f t="shared" si="111"/>
        <v>34.952594531234354</v>
      </c>
      <c r="BA267" s="646">
        <f t="shared" si="108"/>
        <v>0.94668849708072844</v>
      </c>
      <c r="BB267" s="641">
        <v>43353</v>
      </c>
      <c r="BC267" s="11">
        <v>43353</v>
      </c>
      <c r="BD267" s="290">
        <f>[3]!FeuilCaduc*(1-Persistant)+Persistant</f>
        <v>0.98790299278950333</v>
      </c>
      <c r="BE267" s="291">
        <f>[3]!CroissVégét</f>
        <v>0.97799726049726488</v>
      </c>
      <c r="BF267" s="822">
        <f>1+[3]!Salcycl*Ksac</f>
        <v>1.0469757481973758</v>
      </c>
      <c r="BH267" s="1101">
        <f t="shared" si="109"/>
        <v>0</v>
      </c>
      <c r="BI267" s="11">
        <v>44449</v>
      </c>
      <c r="BJ267" s="727">
        <v>0</v>
      </c>
      <c r="BK267" s="727">
        <v>0</v>
      </c>
      <c r="BL267" s="727">
        <v>0</v>
      </c>
      <c r="BM267" s="727">
        <v>0</v>
      </c>
      <c r="BN267" s="727">
        <v>0</v>
      </c>
      <c r="BO267" s="728">
        <v>2.6170428228979892E-7</v>
      </c>
      <c r="BP267" s="727">
        <v>1.9170368660136408E-4</v>
      </c>
      <c r="BQ267" s="727">
        <v>4.4022670710324903E-3</v>
      </c>
      <c r="BR267" s="727">
        <v>2.9185602665769875E-2</v>
      </c>
      <c r="BS267" s="727">
        <v>8.8216216888841639E-2</v>
      </c>
      <c r="BT267" s="727">
        <v>0.17766616861617257</v>
      </c>
      <c r="BW267" s="1157">
        <f>'2018'!R\Max</f>
        <v>0.78388421625511617</v>
      </c>
      <c r="BX267" s="1155">
        <f>'2019'!R\Max</f>
        <v>0.26381301295701826</v>
      </c>
      <c r="BY267" s="1155">
        <f>'2020'!R\Max</f>
        <v>0.54533839345342638</v>
      </c>
      <c r="BZ267" s="1155">
        <f>'2021'!R\Max</f>
        <v>0.75653221993042596</v>
      </c>
      <c r="CA267" s="1155">
        <f>'2022'!R\Max</f>
        <v>0.94668849708072844</v>
      </c>
      <c r="CB267" s="1155">
        <f>'2023'!R\Max</f>
        <v>0.94668834373231436</v>
      </c>
      <c r="CC267" s="1155">
        <f>'2024'!R\Max</f>
        <v>0.94668753247074122</v>
      </c>
      <c r="CD267" s="1155">
        <f>'2025'!R\Max</f>
        <v>0.94668849885609985</v>
      </c>
      <c r="CE267" s="1155">
        <f>'2026'!R\Max</f>
        <v>0.94668849885609985</v>
      </c>
      <c r="CF267" s="1156">
        <f>'2027'!R\Max</f>
        <v>0.94668849781527764</v>
      </c>
    </row>
    <row r="268" spans="1:84" s="6" customFormat="1" ht="11.25" x14ac:dyDescent="0.2">
      <c r="A268" s="11">
        <v>43354</v>
      </c>
      <c r="B268" s="380">
        <f>'2022'!Maxi_hp</f>
        <v>33.003036179252092</v>
      </c>
      <c r="C268" s="13">
        <f>'2022'!An_max</f>
        <v>2022</v>
      </c>
      <c r="D268" s="1070"/>
      <c r="E268" s="13"/>
      <c r="F268" s="13">
        <f t="shared" si="110"/>
        <v>19</v>
      </c>
      <c r="G268" s="13">
        <f t="shared" si="94"/>
        <v>20</v>
      </c>
      <c r="H268" s="173">
        <f t="shared" si="95"/>
        <v>43346</v>
      </c>
      <c r="I268" s="754">
        <f t="shared" si="96"/>
        <v>0.5714285714285714</v>
      </c>
      <c r="J268" s="747">
        <f t="shared" si="97"/>
        <v>34.777333819121125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P268" s="13">
        <f t="shared" si="98"/>
        <v>11</v>
      </c>
      <c r="AQ268" s="13">
        <f t="shared" si="99"/>
        <v>10</v>
      </c>
      <c r="AR268" s="173">
        <f t="shared" si="100"/>
        <v>43360</v>
      </c>
      <c r="AS268" s="754">
        <f t="shared" si="101"/>
        <v>0.21428571428571427</v>
      </c>
      <c r="AT268" s="770">
        <f t="shared" si="102"/>
        <v>34.677739121818114</v>
      </c>
      <c r="AU268" s="13">
        <f t="shared" si="103"/>
        <v>11</v>
      </c>
      <c r="AV268" s="13">
        <f t="shared" si="104"/>
        <v>10</v>
      </c>
      <c r="AW268" s="173">
        <f t="shared" si="105"/>
        <v>43374</v>
      </c>
      <c r="AX268" s="754">
        <f t="shared" si="106"/>
        <v>0.7142857142857143</v>
      </c>
      <c r="AY268" s="770">
        <f t="shared" si="107"/>
        <v>34.842124781225408</v>
      </c>
      <c r="AZ268" s="747">
        <f t="shared" si="111"/>
        <v>34.759931951521764</v>
      </c>
      <c r="BA268" s="646">
        <f t="shared" si="108"/>
        <v>0.94898120571584765</v>
      </c>
      <c r="BB268" s="641">
        <v>43354</v>
      </c>
      <c r="BC268" s="11">
        <v>43354</v>
      </c>
      <c r="BD268" s="290">
        <f>[3]!FeuilCaduc*(1-Persistant)+Persistant</f>
        <v>0.98722236622785298</v>
      </c>
      <c r="BE268" s="291">
        <f>[3]!CroissVégét</f>
        <v>0.97887723107993829</v>
      </c>
      <c r="BF268" s="822">
        <f>1+[3]!Salcycl*Ksac</f>
        <v>1.0468055915569632</v>
      </c>
      <c r="BH268" s="1101">
        <f t="shared" si="109"/>
        <v>2.0826109570531149E-12</v>
      </c>
      <c r="BI268" s="11">
        <v>44450</v>
      </c>
      <c r="BJ268" s="727">
        <v>0</v>
      </c>
      <c r="BK268" s="727">
        <v>0</v>
      </c>
      <c r="BL268" s="727">
        <v>0</v>
      </c>
      <c r="BM268" s="727">
        <v>0</v>
      </c>
      <c r="BN268" s="727">
        <v>1.8517665825260551E-9</v>
      </c>
      <c r="BO268" s="728">
        <v>6.750421447682284E-5</v>
      </c>
      <c r="BP268" s="727">
        <v>4.3728321151301739E-4</v>
      </c>
      <c r="BQ268" s="727">
        <v>5.9719829103003106E-3</v>
      </c>
      <c r="BR268" s="727">
        <v>3.4704275477795782E-2</v>
      </c>
      <c r="BS268" s="727">
        <v>0.10011901017912685</v>
      </c>
      <c r="BT268" s="727">
        <v>0.19735354109510181</v>
      </c>
      <c r="BW268" s="1157">
        <f>'2018'!R\Max</f>
        <v>0.91485455269346405</v>
      </c>
      <c r="BX268" s="1155">
        <f>'2019'!R\Max</f>
        <v>0.8970031994100045</v>
      </c>
      <c r="BY268" s="1155">
        <f>'2020'!R\Max</f>
        <v>0.8723863233311564</v>
      </c>
      <c r="BZ268" s="1155">
        <f>'2021'!R\Max</f>
        <v>0.78684954037706611</v>
      </c>
      <c r="CA268" s="1155">
        <f>'2022'!R\Max</f>
        <v>0.94898120571584765</v>
      </c>
      <c r="CB268" s="1155">
        <f>'2023'!R\Max</f>
        <v>0.94898080524917217</v>
      </c>
      <c r="CC268" s="1155">
        <f>'2024'!R\Max</f>
        <v>0.94897929342941056</v>
      </c>
      <c r="CD268" s="1155">
        <f>'2025'!R\Max</f>
        <v>0.94898164751004477</v>
      </c>
      <c r="CE268" s="1155">
        <f>'2026'!R\Max</f>
        <v>0.94898164750240965</v>
      </c>
      <c r="CF268" s="1156">
        <f>'2027'!R\Max</f>
        <v>0.94898138834404944</v>
      </c>
    </row>
    <row r="269" spans="1:84" s="6" customFormat="1" ht="11.25" x14ac:dyDescent="0.2">
      <c r="A269" s="11">
        <v>43355</v>
      </c>
      <c r="B269" s="380">
        <f>'2022'!Maxi_hp</f>
        <v>34.361918081315721</v>
      </c>
      <c r="C269" s="13">
        <f>'2022'!An_max</f>
        <v>2019</v>
      </c>
      <c r="D269" s="1070"/>
      <c r="E269" s="13"/>
      <c r="F269" s="13">
        <f t="shared" si="110"/>
        <v>19</v>
      </c>
      <c r="G269" s="13">
        <f t="shared" si="94"/>
        <v>20</v>
      </c>
      <c r="H269" s="173">
        <f t="shared" si="95"/>
        <v>43346</v>
      </c>
      <c r="I269" s="754">
        <f t="shared" si="96"/>
        <v>0.6428571428571429</v>
      </c>
      <c r="J269" s="747">
        <f t="shared" si="97"/>
        <v>34.564800911050824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P269" s="13">
        <f t="shared" si="98"/>
        <v>11</v>
      </c>
      <c r="AQ269" s="13">
        <f t="shared" si="99"/>
        <v>10</v>
      </c>
      <c r="AR269" s="173">
        <f t="shared" si="100"/>
        <v>43360</v>
      </c>
      <c r="AS269" s="754">
        <f t="shared" si="101"/>
        <v>0.17857142857142858</v>
      </c>
      <c r="AT269" s="770">
        <f t="shared" si="102"/>
        <v>34.486855973995162</v>
      </c>
      <c r="AU269" s="13">
        <f t="shared" si="103"/>
        <v>11</v>
      </c>
      <c r="AV269" s="13">
        <f t="shared" si="104"/>
        <v>10</v>
      </c>
      <c r="AW269" s="173">
        <f t="shared" si="105"/>
        <v>43374</v>
      </c>
      <c r="AX269" s="754">
        <f t="shared" si="106"/>
        <v>0.6785714285714286</v>
      </c>
      <c r="AY269" s="770">
        <f t="shared" si="107"/>
        <v>34.641002093268824</v>
      </c>
      <c r="AZ269" s="747">
        <f t="shared" si="111"/>
        <v>34.563929033631993</v>
      </c>
      <c r="BA269" s="646">
        <f t="shared" si="108"/>
        <v>0.99413036313279501</v>
      </c>
      <c r="BB269" s="641">
        <v>43355</v>
      </c>
      <c r="BC269" s="11">
        <v>43355</v>
      </c>
      <c r="BD269" s="290">
        <f>[3]!FeuilCaduc*(1-Persistant)+Persistant</f>
        <v>0.9865119231838495</v>
      </c>
      <c r="BE269" s="291">
        <f>[3]!CroissVégét</f>
        <v>0.97972325984311226</v>
      </c>
      <c r="BF269" s="822">
        <f>1+[3]!Salcycl*Ksac</f>
        <v>1.0466279807959624</v>
      </c>
      <c r="BH269" s="1101">
        <f t="shared" si="109"/>
        <v>6.2491456359564093E-12</v>
      </c>
      <c r="BI269" s="11">
        <v>44451</v>
      </c>
      <c r="BJ269" s="727">
        <v>0</v>
      </c>
      <c r="BK269" s="727">
        <v>0</v>
      </c>
      <c r="BL269" s="727">
        <v>0</v>
      </c>
      <c r="BM269" s="727">
        <v>0</v>
      </c>
      <c r="BN269" s="727">
        <v>5.5564670006235257E-9</v>
      </c>
      <c r="BO269" s="728">
        <v>2.019576492583558E-4</v>
      </c>
      <c r="BP269" s="727">
        <v>9.0050284581414037E-4</v>
      </c>
      <c r="BQ269" s="727">
        <v>8.102912541992198E-3</v>
      </c>
      <c r="BR269" s="727">
        <v>4.0977159729664647E-2</v>
      </c>
      <c r="BS269" s="727">
        <v>0.11298144964501472</v>
      </c>
      <c r="BT269" s="727">
        <v>0.2181085053357176</v>
      </c>
      <c r="BW269" s="1157">
        <f>'2018'!R\Max</f>
        <v>0.60651234065895276</v>
      </c>
      <c r="BX269" s="1155">
        <f>'2019'!R\Max</f>
        <v>0.99413036313279501</v>
      </c>
      <c r="BY269" s="1155">
        <f>'2020'!R\Max</f>
        <v>0.94530084502063594</v>
      </c>
      <c r="BZ269" s="1155">
        <f>'2021'!R\Max</f>
        <v>0.93797635538035196</v>
      </c>
      <c r="CA269" s="1155">
        <f>'2022'!R\Max</f>
        <v>0.67046460675199715</v>
      </c>
      <c r="CB269" s="1155">
        <f>'2023'!R\Max</f>
        <v>0.67046054981842385</v>
      </c>
      <c r="CC269" s="1155">
        <f>'2024'!R\Max</f>
        <v>0.67044744154901803</v>
      </c>
      <c r="CD269" s="1155">
        <f>'2025'!R\Max</f>
        <v>0.67047067312772179</v>
      </c>
      <c r="CE269" s="1155">
        <f>'2026'!R\Max</f>
        <v>0.67047067302260732</v>
      </c>
      <c r="CF269" s="1156">
        <f>'2027'!R\Max</f>
        <v>0.67046711237259093</v>
      </c>
    </row>
    <row r="270" spans="1:84" s="6" customFormat="1" ht="11.25" x14ac:dyDescent="0.2">
      <c r="A270" s="11">
        <v>43356</v>
      </c>
      <c r="B270" s="380">
        <f>'2022'!Maxi_hp</f>
        <v>32.643598753916862</v>
      </c>
      <c r="C270" s="13">
        <f>'2022'!An_max</f>
        <v>2020</v>
      </c>
      <c r="D270" s="1070"/>
      <c r="E270" s="13"/>
      <c r="F270" s="13">
        <f t="shared" si="110"/>
        <v>19</v>
      </c>
      <c r="G270" s="13">
        <f t="shared" si="94"/>
        <v>20</v>
      </c>
      <c r="H270" s="173">
        <f t="shared" si="95"/>
        <v>43346</v>
      </c>
      <c r="I270" s="754">
        <f t="shared" si="96"/>
        <v>0.7142857142857143</v>
      </c>
      <c r="J270" s="747">
        <f t="shared" si="97"/>
        <v>34.350055976318465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P270" s="13">
        <f t="shared" si="98"/>
        <v>11</v>
      </c>
      <c r="AQ270" s="13">
        <f t="shared" si="99"/>
        <v>10</v>
      </c>
      <c r="AR270" s="173">
        <f t="shared" si="100"/>
        <v>43360</v>
      </c>
      <c r="AS270" s="754">
        <f t="shared" si="101"/>
        <v>0.14285714285714285</v>
      </c>
      <c r="AT270" s="770">
        <f t="shared" si="102"/>
        <v>34.292686005628539</v>
      </c>
      <c r="AU270" s="13">
        <f t="shared" si="103"/>
        <v>11</v>
      </c>
      <c r="AV270" s="13">
        <f t="shared" si="104"/>
        <v>10</v>
      </c>
      <c r="AW270" s="173">
        <f t="shared" si="105"/>
        <v>43374</v>
      </c>
      <c r="AX270" s="754">
        <f t="shared" si="106"/>
        <v>0.6428571428571429</v>
      </c>
      <c r="AY270" s="770">
        <f t="shared" si="107"/>
        <v>34.436485550126861</v>
      </c>
      <c r="AZ270" s="747">
        <f t="shared" si="111"/>
        <v>34.3645857778777</v>
      </c>
      <c r="BA270" s="646">
        <f t="shared" si="108"/>
        <v>0.95032155919693218</v>
      </c>
      <c r="BB270" s="641">
        <v>43356</v>
      </c>
      <c r="BC270" s="11">
        <v>43356</v>
      </c>
      <c r="BD270" s="290">
        <f>[3]!FeuilCaduc*(1-Persistant)+Persistant</f>
        <v>0.98577049816296836</v>
      </c>
      <c r="BE270" s="291">
        <f>[3]!CroissVégét</f>
        <v>0.98053659949953242</v>
      </c>
      <c r="BF270" s="822">
        <f>1+[3]!Salcycl*Ksac</f>
        <v>1.0464426245407421</v>
      </c>
      <c r="BH270" s="1101">
        <f t="shared" si="109"/>
        <v>1.2501041265116616E-11</v>
      </c>
      <c r="BI270" s="11">
        <v>44452</v>
      </c>
      <c r="BJ270" s="727">
        <v>0</v>
      </c>
      <c r="BK270" s="727">
        <v>0</v>
      </c>
      <c r="BL270" s="727">
        <v>0</v>
      </c>
      <c r="BM270" s="727">
        <v>0</v>
      </c>
      <c r="BN270" s="727">
        <v>1.1115379174936223E-8</v>
      </c>
      <c r="BO270" s="728">
        <v>4.0366836449827535E-4</v>
      </c>
      <c r="BP270" s="727">
        <v>1.5815135528502884E-3</v>
      </c>
      <c r="BQ270" s="727">
        <v>1.0795473608136163E-2</v>
      </c>
      <c r="BR270" s="727">
        <v>4.8004921423578956E-2</v>
      </c>
      <c r="BS270" s="727">
        <v>0.12680453555829643</v>
      </c>
      <c r="BT270" s="727">
        <v>0.23993237796920844</v>
      </c>
      <c r="BW270" s="1157">
        <f>'2018'!R\Max</f>
        <v>0.49437750418149012</v>
      </c>
      <c r="BX270" s="1155">
        <f>'2019'!R\Max</f>
        <v>0.74889122949319664</v>
      </c>
      <c r="BY270" s="1155">
        <f>'2020'!R\Max</f>
        <v>0.95032155919693218</v>
      </c>
      <c r="BZ270" s="1155">
        <f>'2021'!R\Max</f>
        <v>0.66369479464162895</v>
      </c>
      <c r="CA270" s="1155">
        <f>'2022'!R\Max</f>
        <v>0.25383508467676263</v>
      </c>
      <c r="CB270" s="1155">
        <f>'2023'!R\Max</f>
        <v>0.25382914917049115</v>
      </c>
      <c r="CC270" s="1155">
        <f>'2024'!R\Max</f>
        <v>0.25381127071918402</v>
      </c>
      <c r="CD270" s="1155">
        <f>'2025'!R\Max</f>
        <v>0.25384489301515495</v>
      </c>
      <c r="CE270" s="1155">
        <f>'2026'!R\Max</f>
        <v>0.25384489284511141</v>
      </c>
      <c r="CF270" s="1156">
        <f>'2027'!R\Max</f>
        <v>0.25383913257801161</v>
      </c>
    </row>
    <row r="271" spans="1:84" s="6" customFormat="1" ht="11.25" x14ac:dyDescent="0.2">
      <c r="A271" s="11">
        <v>43357</v>
      </c>
      <c r="B271" s="380">
        <f>'2022'!Maxi_hp</f>
        <v>31.813436700328825</v>
      </c>
      <c r="C271" s="13">
        <f>'2022'!An_max</f>
        <v>2020</v>
      </c>
      <c r="D271" s="1070"/>
      <c r="E271" s="13"/>
      <c r="F271" s="13">
        <f t="shared" si="110"/>
        <v>19</v>
      </c>
      <c r="G271" s="13">
        <f t="shared" ref="G271:G334" si="112">INT((MATCH($A271,x.2m)+1)/2)*2</f>
        <v>20</v>
      </c>
      <c r="H271" s="173">
        <f t="shared" ref="H271:H334" si="113">INDEX(x.2m,F271)</f>
        <v>43346</v>
      </c>
      <c r="I271" s="754">
        <f t="shared" ref="I271:I334" si="114">($A271-H271)/(INDEX(x.2m,G271)-H271)</f>
        <v>0.7857142857142857</v>
      </c>
      <c r="J271" s="747">
        <f t="shared" ref="J271:J334" si="115">((1-I271)*(INDEX(a.m,F271)*$A271*$A271+INDEX(b.m,F271)*$A271+INDEX(c.m,F271))+I271*(INDEX(a.m,G271)*$A271*$A271+INDEX(b.m,G271)*$A271+INDEX(c.m,G271)))/10</f>
        <v>34.133741217106582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P271" s="13">
        <f t="shared" ref="AP271:AP334" si="116">INT(MATCH($A271,x.2lg)/2)*2+1</f>
        <v>11</v>
      </c>
      <c r="AQ271" s="13">
        <f t="shared" ref="AQ271:AQ334" si="117">INT((MATCH($A271,x.2lg)+1)/2)*2</f>
        <v>10</v>
      </c>
      <c r="AR271" s="173">
        <f t="shared" ref="AR271:AR334" si="118">INDEX(x.2lg,AP271)</f>
        <v>43360</v>
      </c>
      <c r="AS271" s="754">
        <f t="shared" ref="AS271:AS334" si="119">($A271-AR271)/(INDEX(x.2lg,AQ271)-AR271)</f>
        <v>0.10714285714285714</v>
      </c>
      <c r="AT271" s="770">
        <f t="shared" ref="AT271:AT334" si="120">((1-AS271)*(INDEX(a.lg,AP271)*$A271*$A271+INDEX(b.lg,AP271)*$A271+INDEX(c.lg,AP271))+AS271*(INDEX(a.lg,AQ271)*$A271*$A271+INDEX(b.lg,AQ271)*$A271+INDEX(c.lg,AQ271)))/10</f>
        <v>34.09516232037651</v>
      </c>
      <c r="AU271" s="13">
        <f t="shared" ref="AU271:AU334" si="121">INT(MATCH($A271,x.2ld)/2)*2+1</f>
        <v>11</v>
      </c>
      <c r="AV271" s="13">
        <f t="shared" ref="AV271:AV334" si="122">INT((MATCH($A271,x.2ld)+1)/2)*2</f>
        <v>10</v>
      </c>
      <c r="AW271" s="173">
        <f t="shared" ref="AW271:AW334" si="123">INDEX(x.2ld,AU271)</f>
        <v>43374</v>
      </c>
      <c r="AX271" s="754">
        <f t="shared" ref="AX271:AX334" si="124">($A271-AW271)/(INDEX(x.2ld,AV271)-AW271)</f>
        <v>0.6071428571428571</v>
      </c>
      <c r="AY271" s="770">
        <f t="shared" ref="AY271:AY334" si="125">((1-AX271)*(INDEX(a.ld,AU271)*$A271*$A271+INDEX(b.ld,AU271)*$A271+INDEX(c.ld,AU271))+AX271*(INDEX(a.ld,AV271)*$A271*$A271+INDEX(b.ld,AV271)*$A271+INDEX(c.ld,AV271)))/10</f>
        <v>34.228642048314214</v>
      </c>
      <c r="AZ271" s="747">
        <f t="shared" si="111"/>
        <v>34.161902184345365</v>
      </c>
      <c r="BA271" s="646">
        <f t="shared" ref="BA271:BA334" si="126">+B271/J271</f>
        <v>0.93202314091445371</v>
      </c>
      <c r="BB271" s="641">
        <v>43357</v>
      </c>
      <c r="BC271" s="11">
        <v>43357</v>
      </c>
      <c r="BD271" s="290">
        <f>[3]!FeuilCaduc*(1-Persistant)+Persistant</f>
        <v>0.98499688601861646</v>
      </c>
      <c r="BE271" s="291">
        <f>[3]!CroissVégét</f>
        <v>0.98131846090840358</v>
      </c>
      <c r="BF271" s="822">
        <f>1+[3]!Salcycl*Ksac</f>
        <v>1.0462492215046542</v>
      </c>
      <c r="BH271" s="1101">
        <f t="shared" ref="BH271:BH334" si="127">INDEX($BJ271:$BT271,,$BH$10)*(1-Ratini)+INDEX($BJ271:$BT271,,$BH$10+1)*Ratini</f>
        <v>2.0839863204651593E-11</v>
      </c>
      <c r="BI271" s="11">
        <v>44453</v>
      </c>
      <c r="BJ271" s="727">
        <v>0</v>
      </c>
      <c r="BK271" s="727">
        <v>0</v>
      </c>
      <c r="BL271" s="727">
        <v>0</v>
      </c>
      <c r="BM271" s="727">
        <v>0</v>
      </c>
      <c r="BN271" s="727">
        <v>1.8529894955221803E-8</v>
      </c>
      <c r="BO271" s="728">
        <v>6.726868486352424E-4</v>
      </c>
      <c r="BP271" s="727">
        <v>2.4804796966661786E-3</v>
      </c>
      <c r="BQ271" s="727">
        <v>1.4050118939214255E-2</v>
      </c>
      <c r="BR271" s="727">
        <v>5.5788276149033304E-2</v>
      </c>
      <c r="BS271" s="727">
        <v>0.14158933456163841</v>
      </c>
      <c r="BT271" s="727">
        <v>0.26282655378190806</v>
      </c>
      <c r="BW271" s="1157">
        <f>'2018'!R\Max</f>
        <v>0.58138721290844397</v>
      </c>
      <c r="BX271" s="1155">
        <f>'2019'!R\Max</f>
        <v>0.83066668368399754</v>
      </c>
      <c r="BY271" s="1155">
        <f>'2020'!R\Max</f>
        <v>0.93202314091445371</v>
      </c>
      <c r="BZ271" s="1155">
        <f>'2021'!R\Max</f>
        <v>0.39481137830938856</v>
      </c>
      <c r="CA271" s="1155">
        <f>'2022'!R\Max</f>
        <v>0.75796120593002392</v>
      </c>
      <c r="CB271" s="1155">
        <f>'2023'!R\Max</f>
        <v>0.75795139182180293</v>
      </c>
      <c r="CC271" s="1155">
        <f>'2024'!R\Max</f>
        <v>0.75792289059499485</v>
      </c>
      <c r="CD271" s="1155">
        <f>'2025'!R\Max</f>
        <v>0.75797817967458647</v>
      </c>
      <c r="CE271" s="1155">
        <f>'2026'!R\Max</f>
        <v>0.75797817938030942</v>
      </c>
      <c r="CF271" s="1156">
        <f>'2027'!R\Max</f>
        <v>0.75796820575928736</v>
      </c>
    </row>
    <row r="272" spans="1:84" s="6" customFormat="1" ht="11.25" x14ac:dyDescent="0.2">
      <c r="A272" s="11">
        <v>43358</v>
      </c>
      <c r="B272" s="380">
        <f>'2022'!Maxi_hp</f>
        <v>32.156591580426863</v>
      </c>
      <c r="C272" s="13">
        <f>'2022'!An_max</f>
        <v>2020</v>
      </c>
      <c r="D272" s="1070"/>
      <c r="E272" s="13"/>
      <c r="F272" s="13">
        <f t="shared" ref="F272:F335" si="128">INT(MATCH($A272,x.2m)/2)*2+1</f>
        <v>19</v>
      </c>
      <c r="G272" s="13">
        <f t="shared" si="112"/>
        <v>20</v>
      </c>
      <c r="H272" s="173">
        <f t="shared" si="113"/>
        <v>43346</v>
      </c>
      <c r="I272" s="754">
        <f t="shared" si="114"/>
        <v>0.8571428571428571</v>
      </c>
      <c r="J272" s="747">
        <f t="shared" si="115"/>
        <v>33.916498833788296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P272" s="13">
        <f t="shared" si="116"/>
        <v>11</v>
      </c>
      <c r="AQ272" s="13">
        <f t="shared" si="117"/>
        <v>10</v>
      </c>
      <c r="AR272" s="173">
        <f t="shared" si="118"/>
        <v>43360</v>
      </c>
      <c r="AS272" s="754">
        <f t="shared" si="119"/>
        <v>7.1428571428571425E-2</v>
      </c>
      <c r="AT272" s="770">
        <f t="shared" si="120"/>
        <v>33.89421802115227</v>
      </c>
      <c r="AU272" s="13">
        <f t="shared" si="121"/>
        <v>11</v>
      </c>
      <c r="AV272" s="13">
        <f t="shared" si="122"/>
        <v>10</v>
      </c>
      <c r="AW272" s="173">
        <f t="shared" si="123"/>
        <v>43374</v>
      </c>
      <c r="AX272" s="754">
        <f t="shared" si="124"/>
        <v>0.5714285714285714</v>
      </c>
      <c r="AY272" s="770">
        <f t="shared" si="125"/>
        <v>34.017538484185934</v>
      </c>
      <c r="AZ272" s="747">
        <f t="shared" ref="AZ272:AZ335" si="129">(AY272+AT272)/2</f>
        <v>33.955878252669102</v>
      </c>
      <c r="BA272" s="646">
        <f t="shared" si="126"/>
        <v>0.94811058588370045</v>
      </c>
      <c r="BB272" s="641">
        <v>43358</v>
      </c>
      <c r="BC272" s="11">
        <v>43358</v>
      </c>
      <c r="BD272" s="290">
        <f>[3]!FeuilCaduc*(1-Persistant)+Persistant</f>
        <v>0.98418984363898465</v>
      </c>
      <c r="BE272" s="291">
        <f>[3]!CroissVégét</f>
        <v>0.98207001412819972</v>
      </c>
      <c r="BF272" s="822">
        <f>1+[3]!Salcycl*Ksac</f>
        <v>1.0460474609097461</v>
      </c>
      <c r="BH272" s="1101">
        <f t="shared" si="127"/>
        <v>3.1267308614339689E-11</v>
      </c>
      <c r="BI272" s="11">
        <v>44454</v>
      </c>
      <c r="BJ272" s="727">
        <v>0</v>
      </c>
      <c r="BK272" s="727">
        <v>0</v>
      </c>
      <c r="BL272" s="727">
        <v>0</v>
      </c>
      <c r="BM272" s="727">
        <v>0</v>
      </c>
      <c r="BN272" s="727">
        <v>2.7801523381731935E-8</v>
      </c>
      <c r="BO272" s="728">
        <v>1.0090678409742126E-3</v>
      </c>
      <c r="BP272" s="727">
        <v>3.5975794250513609E-3</v>
      </c>
      <c r="BQ272" s="727">
        <v>1.7867337541080792E-2</v>
      </c>
      <c r="BR272" s="727">
        <v>6.4327990405926461E-2</v>
      </c>
      <c r="BS272" s="727">
        <v>0.15733698134705146</v>
      </c>
      <c r="BT272" s="727">
        <v>0.28679250757560654</v>
      </c>
      <c r="BW272" s="1157">
        <f>'2018'!R\Max</f>
        <v>0.76657064674248609</v>
      </c>
      <c r="BX272" s="1155">
        <f>'2019'!R\Max</f>
        <v>0.85501689382305479</v>
      </c>
      <c r="BY272" s="1155">
        <f>'2020'!R\Max</f>
        <v>0.94811058588370045</v>
      </c>
      <c r="BZ272" s="1155">
        <f>'2021'!R\Max</f>
        <v>0.63055648307459977</v>
      </c>
      <c r="CA272" s="1155">
        <f>'2022'!R\Max</f>
        <v>0.92557285351206964</v>
      </c>
      <c r="CB272" s="1155">
        <f>'2023'!R\Max</f>
        <v>0.92556742973250683</v>
      </c>
      <c r="CC272" s="1155">
        <f>'2024'!R\Max</f>
        <v>0.92555201333069603</v>
      </c>
      <c r="CD272" s="1155">
        <f>'2025'!R\Max</f>
        <v>0.92558247016398998</v>
      </c>
      <c r="CE272" s="1155">
        <f>'2026'!R\Max</f>
        <v>0.92558246999728511</v>
      </c>
      <c r="CF272" s="1156">
        <f>'2027'!R\Max</f>
        <v>0.92557681649880919</v>
      </c>
    </row>
    <row r="273" spans="1:84" s="6" customFormat="1" ht="11.25" x14ac:dyDescent="0.2">
      <c r="A273" s="11">
        <v>43359</v>
      </c>
      <c r="B273" s="380">
        <f>'2022'!Maxi_hp</f>
        <v>31.548663581663206</v>
      </c>
      <c r="C273" s="13">
        <f>'2022'!An_max</f>
        <v>2018</v>
      </c>
      <c r="D273" s="1070"/>
      <c r="E273" s="13"/>
      <c r="F273" s="13">
        <f t="shared" si="128"/>
        <v>19</v>
      </c>
      <c r="G273" s="13">
        <f t="shared" si="112"/>
        <v>20</v>
      </c>
      <c r="H273" s="173">
        <f t="shared" si="113"/>
        <v>43346</v>
      </c>
      <c r="I273" s="754">
        <f t="shared" si="114"/>
        <v>0.9285714285714286</v>
      </c>
      <c r="J273" s="747">
        <f t="shared" si="115"/>
        <v>33.69897102761481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P273" s="13">
        <f t="shared" si="116"/>
        <v>11</v>
      </c>
      <c r="AQ273" s="13">
        <f t="shared" si="117"/>
        <v>10</v>
      </c>
      <c r="AR273" s="173">
        <f t="shared" si="118"/>
        <v>43360</v>
      </c>
      <c r="AS273" s="754">
        <f t="shared" si="119"/>
        <v>3.5714285714285712E-2</v>
      </c>
      <c r="AT273" s="770">
        <f t="shared" si="120"/>
        <v>33.689786212864732</v>
      </c>
      <c r="AU273" s="13">
        <f t="shared" si="121"/>
        <v>11</v>
      </c>
      <c r="AV273" s="13">
        <f t="shared" si="122"/>
        <v>10</v>
      </c>
      <c r="AW273" s="173">
        <f t="shared" si="123"/>
        <v>43374</v>
      </c>
      <c r="AX273" s="754">
        <f t="shared" si="124"/>
        <v>0.5357142857142857</v>
      </c>
      <c r="AY273" s="770">
        <f t="shared" si="125"/>
        <v>33.803241752833131</v>
      </c>
      <c r="AZ273" s="747">
        <f t="shared" si="129"/>
        <v>33.746513982848931</v>
      </c>
      <c r="BA273" s="646">
        <f t="shared" si="126"/>
        <v>0.93619070908160595</v>
      </c>
      <c r="BB273" s="641">
        <v>43359</v>
      </c>
      <c r="BC273" s="11">
        <v>43359</v>
      </c>
      <c r="BD273" s="290">
        <f>[3]!FeuilCaduc*(1-Persistant)+Persistant</f>
        <v>0.98334809228712805</v>
      </c>
      <c r="BE273" s="291">
        <f>[3]!CroissVégét</f>
        <v>0.98279238947199099</v>
      </c>
      <c r="BF273" s="822">
        <f>1+[3]!Salcycl*Ksac</f>
        <v>1.0458370230717819</v>
      </c>
      <c r="BH273" s="1101">
        <f t="shared" si="127"/>
        <v>4.3785210121467058E-11</v>
      </c>
      <c r="BI273" s="11">
        <v>44455</v>
      </c>
      <c r="BJ273" s="727">
        <v>0</v>
      </c>
      <c r="BK273" s="727">
        <v>0</v>
      </c>
      <c r="BL273" s="727">
        <v>0</v>
      </c>
      <c r="BM273" s="727">
        <v>0</v>
      </c>
      <c r="BN273" s="727">
        <v>3.893189394650171E-8</v>
      </c>
      <c r="BO273" s="728">
        <v>1.4128704499821705E-3</v>
      </c>
      <c r="BP273" s="727">
        <v>4.9330050525772801E-3</v>
      </c>
      <c r="BQ273" s="727">
        <v>2.2247655581902479E-2</v>
      </c>
      <c r="BR273" s="727">
        <v>7.3624882927950469E-2</v>
      </c>
      <c r="BS273" s="727">
        <v>0.17404868033523838</v>
      </c>
      <c r="BT273" s="727">
        <v>0.311831796029649</v>
      </c>
      <c r="BW273" s="1157">
        <f>'2018'!R\Max</f>
        <v>0.93619070908160595</v>
      </c>
      <c r="BX273" s="1155">
        <f>'2019'!R\Max</f>
        <v>0.87152399887181542</v>
      </c>
      <c r="BY273" s="1155">
        <f>'2020'!R\Max</f>
        <v>0.87767594944321659</v>
      </c>
      <c r="BZ273" s="1155">
        <f>'2021'!R\Max</f>
        <v>0.45941486371614276</v>
      </c>
      <c r="CA273" s="1155">
        <f>'2022'!R\Max</f>
        <v>0.69700034553792434</v>
      </c>
      <c r="CB273" s="1155">
        <f>'2023'!R\Max</f>
        <v>0.69697728089596189</v>
      </c>
      <c r="CC273" s="1155">
        <f>'2024'!R\Max</f>
        <v>0.69691263049061203</v>
      </c>
      <c r="CD273" s="1155">
        <f>'2025'!R\Max</f>
        <v>0.69704186905659404</v>
      </c>
      <c r="CE273" s="1155">
        <f>'2026'!R\Max</f>
        <v>0.69704186833688186</v>
      </c>
      <c r="CF273" s="1156">
        <f>'2027'!R\Max</f>
        <v>0.69701744492073514</v>
      </c>
    </row>
    <row r="274" spans="1:84" s="6" customFormat="1" ht="11.25" x14ac:dyDescent="0.2">
      <c r="A274" s="11">
        <v>43360</v>
      </c>
      <c r="B274" s="380">
        <f>'2022'!Maxi_hp</f>
        <v>33.133845987379907</v>
      </c>
      <c r="C274" s="13">
        <f>'2022'!An_max</f>
        <v>2022</v>
      </c>
      <c r="D274" s="1070"/>
      <c r="E274" s="1073">
        <f>AF$13/10</f>
        <v>33.4818</v>
      </c>
      <c r="F274" s="13">
        <f t="shared" si="128"/>
        <v>21</v>
      </c>
      <c r="G274" s="13">
        <f t="shared" si="112"/>
        <v>20</v>
      </c>
      <c r="H274" s="173">
        <f t="shared" si="113"/>
        <v>43374</v>
      </c>
      <c r="I274" s="754">
        <f t="shared" si="114"/>
        <v>1</v>
      </c>
      <c r="J274" s="747">
        <f t="shared" si="115"/>
        <v>33.481799999997023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P274" s="13">
        <f t="shared" si="116"/>
        <v>11</v>
      </c>
      <c r="AQ274" s="13">
        <f t="shared" si="117"/>
        <v>12</v>
      </c>
      <c r="AR274" s="173">
        <f t="shared" si="118"/>
        <v>43360</v>
      </c>
      <c r="AS274" s="754">
        <f t="shared" si="119"/>
        <v>0</v>
      </c>
      <c r="AT274" s="770">
        <f t="shared" si="120"/>
        <v>33.481799999997023</v>
      </c>
      <c r="AU274" s="13">
        <f t="shared" si="121"/>
        <v>11</v>
      </c>
      <c r="AV274" s="13">
        <f t="shared" si="122"/>
        <v>10</v>
      </c>
      <c r="AW274" s="173">
        <f t="shared" si="123"/>
        <v>43374</v>
      </c>
      <c r="AX274" s="754">
        <f t="shared" si="124"/>
        <v>0.5</v>
      </c>
      <c r="AY274" s="770">
        <f t="shared" si="125"/>
        <v>33.585818749852479</v>
      </c>
      <c r="AZ274" s="747">
        <f t="shared" si="129"/>
        <v>33.533809374924751</v>
      </c>
      <c r="BA274" s="646">
        <f t="shared" si="126"/>
        <v>0.98960766707234538</v>
      </c>
      <c r="BB274" s="641">
        <v>43360</v>
      </c>
      <c r="BC274" s="11">
        <v>43360</v>
      </c>
      <c r="BD274" s="290">
        <f>[3]!FeuilCaduc*(1-Persistant)+Persistant</f>
        <v>0.98247032062508133</v>
      </c>
      <c r="BE274" s="291">
        <f>[3]!CroissVégét</f>
        <v>0.98348667856218763</v>
      </c>
      <c r="BF274" s="822">
        <f>1+[3]!Salcycl*Ksac</f>
        <v>1.0456175801562704</v>
      </c>
      <c r="BH274" s="1101">
        <f t="shared" si="127"/>
        <v>5.8395539489427986E-11</v>
      </c>
      <c r="BI274" s="11">
        <v>44456</v>
      </c>
      <c r="BJ274" s="727">
        <v>0</v>
      </c>
      <c r="BK274" s="727">
        <v>0</v>
      </c>
      <c r="BL274" s="727">
        <v>0</v>
      </c>
      <c r="BM274" s="727">
        <v>0</v>
      </c>
      <c r="BN274" s="727">
        <v>5.1922759855308625E-8</v>
      </c>
      <c r="BO274" s="728">
        <v>1.884158271608158E-3</v>
      </c>
      <c r="BP274" s="727">
        <v>6.4869634437185134E-3</v>
      </c>
      <c r="BQ274" s="727">
        <v>2.7191637379466269E-2</v>
      </c>
      <c r="BR274" s="727">
        <v>8.3679826007147351E-2</v>
      </c>
      <c r="BS274" s="727">
        <v>0.19172570735763544</v>
      </c>
      <c r="BT274" s="727">
        <v>0.33794605956779544</v>
      </c>
      <c r="BW274" s="1157">
        <f>'2018'!R\Max</f>
        <v>0.85798977681215283</v>
      </c>
      <c r="BX274" s="1155">
        <f>'2019'!R\Max</f>
        <v>0.85486040685274989</v>
      </c>
      <c r="BY274" s="1155">
        <f>'2020'!R\Max</f>
        <v>0.84722811646854346</v>
      </c>
      <c r="BZ274" s="1155">
        <f>'2021'!R\Max</f>
        <v>0.90612012214160809</v>
      </c>
      <c r="CA274" s="1155">
        <f>'2022'!R\Max</f>
        <v>0.98960766707234538</v>
      </c>
      <c r="CB274" s="1155">
        <f>'2023'!R\Max</f>
        <v>0.9896061754417963</v>
      </c>
      <c r="CC274" s="1155">
        <f>'2024'!R\Max</f>
        <v>0.98960203348388187</v>
      </c>
      <c r="CD274" s="1155">
        <f>'2025'!R\Max</f>
        <v>0.98961037920247874</v>
      </c>
      <c r="CE274" s="1155">
        <f>'2026'!R\Max</f>
        <v>0.98961037915548311</v>
      </c>
      <c r="CF274" s="1156">
        <f>'2027'!R\Max</f>
        <v>0.98960878322933388</v>
      </c>
    </row>
    <row r="275" spans="1:84" s="6" customFormat="1" ht="11.25" x14ac:dyDescent="0.2">
      <c r="A275" s="11">
        <v>43361</v>
      </c>
      <c r="B275" s="380">
        <f>'2022'!Maxi_hp</f>
        <v>33.270665157690054</v>
      </c>
      <c r="C275" s="13">
        <f>'2022'!An_max</f>
        <v>2022</v>
      </c>
      <c r="D275" s="1070"/>
      <c r="E275" s="13"/>
      <c r="F275" s="13">
        <f t="shared" si="128"/>
        <v>21</v>
      </c>
      <c r="G275" s="13">
        <f t="shared" si="112"/>
        <v>20</v>
      </c>
      <c r="H275" s="173">
        <f t="shared" si="113"/>
        <v>43374</v>
      </c>
      <c r="I275" s="754">
        <f t="shared" si="114"/>
        <v>0.9285714285714286</v>
      </c>
      <c r="J275" s="747">
        <f t="shared" si="115"/>
        <v>33.264486261004848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P275" s="13">
        <f t="shared" si="116"/>
        <v>11</v>
      </c>
      <c r="AQ275" s="13">
        <f t="shared" si="117"/>
        <v>12</v>
      </c>
      <c r="AR275" s="173">
        <f t="shared" si="118"/>
        <v>43360</v>
      </c>
      <c r="AS275" s="754">
        <f t="shared" si="119"/>
        <v>3.5714285714285712E-2</v>
      </c>
      <c r="AT275" s="770">
        <f t="shared" si="120"/>
        <v>33.270335196850027</v>
      </c>
      <c r="AU275" s="13">
        <f t="shared" si="121"/>
        <v>11</v>
      </c>
      <c r="AV275" s="13">
        <f t="shared" si="122"/>
        <v>10</v>
      </c>
      <c r="AW275" s="173">
        <f t="shared" si="123"/>
        <v>43374</v>
      </c>
      <c r="AX275" s="754">
        <f t="shared" si="124"/>
        <v>0.4642857142857143</v>
      </c>
      <c r="AY275" s="770">
        <f t="shared" si="125"/>
        <v>33.365336372729921</v>
      </c>
      <c r="AZ275" s="747">
        <f t="shared" si="129"/>
        <v>33.317835784789978</v>
      </c>
      <c r="BA275" s="646">
        <f t="shared" si="126"/>
        <v>1.0001857505520069</v>
      </c>
      <c r="BB275" s="641">
        <v>43361</v>
      </c>
      <c r="BC275" s="11">
        <v>43361</v>
      </c>
      <c r="BD275" s="290">
        <f>[3]!FeuilCaduc*(1-Persistant)+Persistant</f>
        <v>0.98155518844534817</v>
      </c>
      <c r="BE275" s="291">
        <f>[3]!CroissVégét</f>
        <v>0.98415393538190332</v>
      </c>
      <c r="BF275" s="822">
        <f>1+[3]!Salcycl*Ksac</f>
        <v>1.0453887971113371</v>
      </c>
      <c r="BH275" s="1101">
        <f t="shared" si="127"/>
        <v>7.5100411285410776E-11</v>
      </c>
      <c r="BI275" s="11">
        <v>44457</v>
      </c>
      <c r="BJ275" s="727">
        <v>0</v>
      </c>
      <c r="BK275" s="727">
        <v>0</v>
      </c>
      <c r="BL275" s="727">
        <v>0</v>
      </c>
      <c r="BM275" s="727">
        <v>0</v>
      </c>
      <c r="BN275" s="727">
        <v>6.6776001288818481E-8</v>
      </c>
      <c r="BO275" s="728">
        <v>2.4229995075737958E-3</v>
      </c>
      <c r="BP275" s="727">
        <v>8.2596763958683074E-3</v>
      </c>
      <c r="BQ275" s="727">
        <v>3.2699886387950336E-2</v>
      </c>
      <c r="BR275" s="727">
        <v>9.4493746816505589E-2</v>
      </c>
      <c r="BS275" s="727">
        <v>0.21036941133364462</v>
      </c>
      <c r="BT275" s="727">
        <v>0.36513702421630034</v>
      </c>
      <c r="BW275" s="1157">
        <f>'2018'!R\Max</f>
        <v>0.78385705171988473</v>
      </c>
      <c r="BX275" s="1155">
        <f>'2019'!R\Max</f>
        <v>0.53210260542766841</v>
      </c>
      <c r="BY275" s="1155">
        <f>'2020'!R\Max</f>
        <v>0.86071704115854542</v>
      </c>
      <c r="BZ275" s="1155">
        <f>'2021'!R\Max</f>
        <v>0.18289969112467885</v>
      </c>
      <c r="CA275" s="1155">
        <f>'2022'!R\Max</f>
        <v>1.0001857505520069</v>
      </c>
      <c r="CB275" s="1155">
        <f>'2023'!R\Max</f>
        <v>1.0001857505520069</v>
      </c>
      <c r="CC275" s="1155">
        <f>'2024'!R\Max</f>
        <v>1.0001857505520064</v>
      </c>
      <c r="CD275" s="1155">
        <f>'2025'!R\Max</f>
        <v>1.0001857505520066</v>
      </c>
      <c r="CE275" s="1155">
        <f>'2026'!R\Max</f>
        <v>1.0001857505520066</v>
      </c>
      <c r="CF275" s="1156">
        <f>'2027'!R\Max</f>
        <v>1.0001857505520066</v>
      </c>
    </row>
    <row r="276" spans="1:84" s="6" customFormat="1" ht="11.25" x14ac:dyDescent="0.2">
      <c r="A276" s="11">
        <v>43362</v>
      </c>
      <c r="B276" s="380">
        <f>'2022'!Maxi_hp</f>
        <v>32.612832561298127</v>
      </c>
      <c r="C276" s="13">
        <f>'2022'!An_max</f>
        <v>2022</v>
      </c>
      <c r="D276" s="1070"/>
      <c r="E276" s="13"/>
      <c r="F276" s="13">
        <f t="shared" si="128"/>
        <v>21</v>
      </c>
      <c r="G276" s="13">
        <f t="shared" si="112"/>
        <v>20</v>
      </c>
      <c r="H276" s="173">
        <f t="shared" si="113"/>
        <v>43374</v>
      </c>
      <c r="I276" s="754">
        <f t="shared" si="114"/>
        <v>0.8571428571428571</v>
      </c>
      <c r="J276" s="747">
        <f t="shared" si="115"/>
        <v>33.045959475051077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P276" s="13">
        <f t="shared" si="116"/>
        <v>11</v>
      </c>
      <c r="AQ276" s="13">
        <f t="shared" si="117"/>
        <v>12</v>
      </c>
      <c r="AR276" s="173">
        <f t="shared" si="118"/>
        <v>43360</v>
      </c>
      <c r="AS276" s="754">
        <f t="shared" si="119"/>
        <v>7.1428571428571425E-2</v>
      </c>
      <c r="AT276" s="770">
        <f t="shared" si="120"/>
        <v>33.055538975979601</v>
      </c>
      <c r="AU276" s="13">
        <f t="shared" si="121"/>
        <v>11</v>
      </c>
      <c r="AV276" s="13">
        <f t="shared" si="122"/>
        <v>10</v>
      </c>
      <c r="AW276" s="173">
        <f t="shared" si="123"/>
        <v>43374</v>
      </c>
      <c r="AX276" s="754">
        <f t="shared" si="124"/>
        <v>0.42857142857142855</v>
      </c>
      <c r="AY276" s="770">
        <f t="shared" si="125"/>
        <v>33.141861516450128</v>
      </c>
      <c r="AZ276" s="747">
        <f t="shared" si="129"/>
        <v>33.098700246214861</v>
      </c>
      <c r="BA276" s="646">
        <f t="shared" si="126"/>
        <v>0.98689319600237513</v>
      </c>
      <c r="BB276" s="641">
        <v>43362</v>
      </c>
      <c r="BC276" s="11">
        <v>43362</v>
      </c>
      <c r="BD276" s="290">
        <f>[3]!FeuilCaduc*(1-Persistant)+Persistant</f>
        <v>0.98060133112518399</v>
      </c>
      <c r="BE276" s="291">
        <f>[3]!CroissVégét</f>
        <v>0.98479517732042654</v>
      </c>
      <c r="BF276" s="822">
        <f>1+[3]!Salcycl*Ksac</f>
        <v>1.0451503327812959</v>
      </c>
      <c r="BH276" s="1101">
        <f t="shared" si="127"/>
        <v>7.1967012875436175E-8</v>
      </c>
      <c r="BI276" s="11">
        <v>44458</v>
      </c>
      <c r="BJ276" s="727">
        <v>0</v>
      </c>
      <c r="BK276" s="727">
        <v>0</v>
      </c>
      <c r="BL276" s="727">
        <v>0</v>
      </c>
      <c r="BM276" s="727">
        <v>7.3278414917998569E-9</v>
      </c>
      <c r="BN276" s="727">
        <v>5.7481652119398433E-5</v>
      </c>
      <c r="BO276" s="728">
        <v>3.2358157336532284E-3</v>
      </c>
      <c r="BP276" s="727">
        <v>1.0747130257261395E-2</v>
      </c>
      <c r="BQ276" s="727">
        <v>3.9288977251402186E-2</v>
      </c>
      <c r="BR276" s="727">
        <v>0.10656979501696685</v>
      </c>
      <c r="BS276" s="727">
        <v>0.23017462551913193</v>
      </c>
      <c r="BT276" s="727">
        <v>0.39334845706084409</v>
      </c>
      <c r="BW276" s="1157">
        <f>'2018'!R\Max</f>
        <v>0.78565807323348424</v>
      </c>
      <c r="BX276" s="1155">
        <f>'2019'!R\Max</f>
        <v>0.86811676113638592</v>
      </c>
      <c r="BY276" s="1155">
        <f>'2020'!R\Max</f>
        <v>0.3978369212625042</v>
      </c>
      <c r="BZ276" s="1155">
        <f>'2021'!R\Max</f>
        <v>0.71593051408707253</v>
      </c>
      <c r="CA276" s="1155">
        <f>'2022'!R\Max</f>
        <v>0.98689319600237513</v>
      </c>
      <c r="CB276" s="1155">
        <f>'2023'!R\Max</f>
        <v>0.98689004662846425</v>
      </c>
      <c r="CC276" s="1155">
        <f>'2024'!R\Max</f>
        <v>0.98688144159636559</v>
      </c>
      <c r="CD276" s="1155">
        <f>'2025'!R\Max</f>
        <v>0.98689908794277303</v>
      </c>
      <c r="CE276" s="1155">
        <f>'2026'!R\Max</f>
        <v>0.98689902179034183</v>
      </c>
      <c r="CF276" s="1156">
        <f>'2027'!R\Max</f>
        <v>0.98689558897479079</v>
      </c>
    </row>
    <row r="277" spans="1:84" s="6" customFormat="1" ht="11.25" x14ac:dyDescent="0.2">
      <c r="A277" s="11">
        <v>43363</v>
      </c>
      <c r="B277" s="380">
        <f>'2022'!Maxi_hp</f>
        <v>34.029849011308073</v>
      </c>
      <c r="C277" s="13">
        <f>'2022'!An_max</f>
        <v>2022</v>
      </c>
      <c r="D277" s="1070"/>
      <c r="E277" s="13"/>
      <c r="F277" s="13">
        <f t="shared" si="128"/>
        <v>21</v>
      </c>
      <c r="G277" s="13">
        <f t="shared" si="112"/>
        <v>20</v>
      </c>
      <c r="H277" s="173">
        <f t="shared" si="113"/>
        <v>43374</v>
      </c>
      <c r="I277" s="754">
        <f t="shared" si="114"/>
        <v>0.7857142857142857</v>
      </c>
      <c r="J277" s="747">
        <f t="shared" si="115"/>
        <v>32.826005575752689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P277" s="13">
        <f t="shared" si="116"/>
        <v>11</v>
      </c>
      <c r="AQ277" s="13">
        <f t="shared" si="117"/>
        <v>12</v>
      </c>
      <c r="AR277" s="173">
        <f t="shared" si="118"/>
        <v>43360</v>
      </c>
      <c r="AS277" s="754">
        <f t="shared" si="119"/>
        <v>0.10714285714285714</v>
      </c>
      <c r="AT277" s="770">
        <f t="shared" si="120"/>
        <v>32.837451473104636</v>
      </c>
      <c r="AU277" s="13">
        <f t="shared" si="121"/>
        <v>11</v>
      </c>
      <c r="AV277" s="13">
        <f t="shared" si="122"/>
        <v>10</v>
      </c>
      <c r="AW277" s="173">
        <f t="shared" si="123"/>
        <v>43374</v>
      </c>
      <c r="AX277" s="754">
        <f t="shared" si="124"/>
        <v>0.39285714285714285</v>
      </c>
      <c r="AY277" s="770">
        <f t="shared" si="125"/>
        <v>32.915461076277175</v>
      </c>
      <c r="AZ277" s="747">
        <f t="shared" si="129"/>
        <v>32.876456274690909</v>
      </c>
      <c r="BA277" s="646">
        <f t="shared" si="126"/>
        <v>1.0366734671014806</v>
      </c>
      <c r="BB277" s="641">
        <v>43363</v>
      </c>
      <c r="BC277" s="11">
        <v>43363</v>
      </c>
      <c r="BD277" s="290">
        <f>[3]!FeuilCaduc*(1-Persistant)+Persistant</f>
        <v>0.97960736481078747</v>
      </c>
      <c r="BE277" s="291">
        <f>[3]!CroissVégét</f>
        <v>0.98541138621054403</v>
      </c>
      <c r="BF277" s="822">
        <f>1+[3]!Salcycl*Ksac</f>
        <v>1.0449018412026969</v>
      </c>
      <c r="BH277" s="1101">
        <f t="shared" si="127"/>
        <v>2.1579756014183485E-7</v>
      </c>
      <c r="BI277" s="11">
        <v>44459</v>
      </c>
      <c r="BJ277" s="727">
        <v>0</v>
      </c>
      <c r="BK277" s="727">
        <v>0</v>
      </c>
      <c r="BL277" s="727">
        <v>0</v>
      </c>
      <c r="BM277" s="727">
        <v>2.1989990967061467E-8</v>
      </c>
      <c r="BN277" s="727">
        <v>1.723472045602185E-4</v>
      </c>
      <c r="BO277" s="728">
        <v>4.3228546130863266E-3</v>
      </c>
      <c r="BP277" s="727">
        <v>1.394811902148313E-2</v>
      </c>
      <c r="BQ277" s="727">
        <v>4.6809079409367974E-2</v>
      </c>
      <c r="BR277" s="727">
        <v>0.11957854869596504</v>
      </c>
      <c r="BS277" s="727">
        <v>0.25064026411226437</v>
      </c>
      <c r="BT277" s="727">
        <v>0.42206100544406105</v>
      </c>
      <c r="BW277" s="1157">
        <f>'2018'!R\Max</f>
        <v>0.93205661804167284</v>
      </c>
      <c r="BX277" s="1155">
        <f>'2019'!R\Max</f>
        <v>0.94351719226957376</v>
      </c>
      <c r="BY277" s="1155">
        <f>'2020'!R\Max</f>
        <v>0.65535963435637279</v>
      </c>
      <c r="BZ277" s="1155">
        <f>'2021'!R\Max</f>
        <v>0.63556486066947426</v>
      </c>
      <c r="CA277" s="1155">
        <f>'2022'!R\Max</f>
        <v>1.0366734671014806</v>
      </c>
      <c r="CB277" s="1155">
        <f>'2023'!R\Max</f>
        <v>1.0366734671014806</v>
      </c>
      <c r="CC277" s="1155">
        <f>'2024'!R\Max</f>
        <v>1.0366734671014806</v>
      </c>
      <c r="CD277" s="1155">
        <f>'2025'!R\Max</f>
        <v>1.0366734671014806</v>
      </c>
      <c r="CE277" s="1155">
        <f>'2026'!R\Max</f>
        <v>1.0366734671014806</v>
      </c>
      <c r="CF277" s="1156">
        <f>'2027'!R\Max</f>
        <v>1.0366734671014803</v>
      </c>
    </row>
    <row r="278" spans="1:84" s="6" customFormat="1" ht="11.25" x14ac:dyDescent="0.2">
      <c r="A278" s="11">
        <v>43364</v>
      </c>
      <c r="B278" s="380">
        <f>'2022'!Maxi_hp</f>
        <v>32.84635122027899</v>
      </c>
      <c r="C278" s="13">
        <f>'2022'!An_max</f>
        <v>2022</v>
      </c>
      <c r="D278" s="1070"/>
      <c r="E278" s="13"/>
      <c r="F278" s="13">
        <f t="shared" si="128"/>
        <v>21</v>
      </c>
      <c r="G278" s="13">
        <f t="shared" si="112"/>
        <v>20</v>
      </c>
      <c r="H278" s="173">
        <f t="shared" si="113"/>
        <v>43374</v>
      </c>
      <c r="I278" s="754">
        <f t="shared" si="114"/>
        <v>0.7142857142857143</v>
      </c>
      <c r="J278" s="747">
        <f t="shared" si="115"/>
        <v>32.604410495928356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P278" s="13">
        <f t="shared" si="116"/>
        <v>11</v>
      </c>
      <c r="AQ278" s="13">
        <f t="shared" si="117"/>
        <v>12</v>
      </c>
      <c r="AR278" s="173">
        <f t="shared" si="118"/>
        <v>43360</v>
      </c>
      <c r="AS278" s="754">
        <f t="shared" si="119"/>
        <v>0.14285714285714285</v>
      </c>
      <c r="AT278" s="770">
        <f t="shared" si="120"/>
        <v>32.616112827669298</v>
      </c>
      <c r="AU278" s="13">
        <f t="shared" si="121"/>
        <v>11</v>
      </c>
      <c r="AV278" s="13">
        <f t="shared" si="122"/>
        <v>10</v>
      </c>
      <c r="AW278" s="173">
        <f t="shared" si="123"/>
        <v>43374</v>
      </c>
      <c r="AX278" s="754">
        <f t="shared" si="124"/>
        <v>0.35714285714285715</v>
      </c>
      <c r="AY278" s="770">
        <f t="shared" si="125"/>
        <v>32.686201949976386</v>
      </c>
      <c r="AZ278" s="747">
        <f t="shared" si="129"/>
        <v>32.651157388822838</v>
      </c>
      <c r="BA278" s="646">
        <f t="shared" si="126"/>
        <v>1.0074204906842541</v>
      </c>
      <c r="BB278" s="641">
        <v>43364</v>
      </c>
      <c r="BC278" s="11">
        <v>43364</v>
      </c>
      <c r="BD278" s="290">
        <f>[3]!FeuilCaduc*(1-Persistant)+Persistant</f>
        <v>0.97857189232993147</v>
      </c>
      <c r="BE278" s="291">
        <f>[3]!CroissVégét</f>
        <v>0.98600350935571934</v>
      </c>
      <c r="BF278" s="822">
        <f>1+[3]!Salcycl*Ksac</f>
        <v>1.0446429730824829</v>
      </c>
      <c r="BH278" s="1101">
        <f t="shared" si="127"/>
        <v>4.3163506292938573E-7</v>
      </c>
      <c r="BI278" s="11">
        <v>44460</v>
      </c>
      <c r="BJ278" s="727">
        <v>0</v>
      </c>
      <c r="BK278" s="727">
        <v>0</v>
      </c>
      <c r="BL278" s="727">
        <v>0</v>
      </c>
      <c r="BM278" s="727">
        <v>4.3993413820734664E-8</v>
      </c>
      <c r="BN278" s="727">
        <v>3.44717994759903E-4</v>
      </c>
      <c r="BO278" s="728">
        <v>5.6843950058825038E-3</v>
      </c>
      <c r="BP278" s="727">
        <v>1.7863381074337395E-2</v>
      </c>
      <c r="BQ278" s="727">
        <v>5.5261271736480072E-2</v>
      </c>
      <c r="BR278" s="727">
        <v>0.13352128175473124</v>
      </c>
      <c r="BS278" s="727">
        <v>0.27176762858009634</v>
      </c>
      <c r="BT278" s="727">
        <v>0.45127613066170164</v>
      </c>
      <c r="BW278" s="1157">
        <f>'2018'!R\Max</f>
        <v>0.72811292917858184</v>
      </c>
      <c r="BX278" s="1155">
        <f>'2019'!R\Max</f>
        <v>0.64888718741939155</v>
      </c>
      <c r="BY278" s="1155">
        <f>'2020'!R\Max</f>
        <v>0.69874141612484686</v>
      </c>
      <c r="BZ278" s="1155">
        <f>'2021'!R\Max</f>
        <v>0.30750569770211866</v>
      </c>
      <c r="CA278" s="1155">
        <f>'2022'!R\Max</f>
        <v>1.0074204906842541</v>
      </c>
      <c r="CB278" s="1155">
        <f>'2023'!R\Max</f>
        <v>1.0074204906842539</v>
      </c>
      <c r="CC278" s="1155">
        <f>'2024'!R\Max</f>
        <v>1.0074204906842537</v>
      </c>
      <c r="CD278" s="1155">
        <f>'2025'!R\Max</f>
        <v>1.0074204906842537</v>
      </c>
      <c r="CE278" s="1155">
        <f>'2026'!R\Max</f>
        <v>1.0074204906842539</v>
      </c>
      <c r="CF278" s="1156">
        <f>'2027'!R\Max</f>
        <v>1.0074204906842539</v>
      </c>
    </row>
    <row r="279" spans="1:84" s="6" customFormat="1" ht="11.25" x14ac:dyDescent="0.2">
      <c r="A279" s="11">
        <v>43365</v>
      </c>
      <c r="B279" s="380">
        <f>'2022'!Maxi_hp</f>
        <v>31.626022229598281</v>
      </c>
      <c r="C279" s="13">
        <f>'2022'!An_max</f>
        <v>2022</v>
      </c>
      <c r="D279" s="1070"/>
      <c r="E279" s="13"/>
      <c r="F279" s="13">
        <f t="shared" si="128"/>
        <v>21</v>
      </c>
      <c r="G279" s="13">
        <f t="shared" si="112"/>
        <v>20</v>
      </c>
      <c r="H279" s="173">
        <f t="shared" si="113"/>
        <v>43374</v>
      </c>
      <c r="I279" s="754">
        <f t="shared" si="114"/>
        <v>0.6428571428571429</v>
      </c>
      <c r="J279" s="747">
        <f t="shared" si="115"/>
        <v>32.380960167731558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P279" s="13">
        <f t="shared" si="116"/>
        <v>11</v>
      </c>
      <c r="AQ279" s="13">
        <f t="shared" si="117"/>
        <v>12</v>
      </c>
      <c r="AR279" s="173">
        <f t="shared" si="118"/>
        <v>43360</v>
      </c>
      <c r="AS279" s="754">
        <f t="shared" si="119"/>
        <v>0.17857142857142858</v>
      </c>
      <c r="AT279" s="770">
        <f t="shared" si="120"/>
        <v>32.391563176576582</v>
      </c>
      <c r="AU279" s="13">
        <f t="shared" si="121"/>
        <v>11</v>
      </c>
      <c r="AV279" s="13">
        <f t="shared" si="122"/>
        <v>10</v>
      </c>
      <c r="AW279" s="173">
        <f t="shared" si="123"/>
        <v>43374</v>
      </c>
      <c r="AX279" s="754">
        <f t="shared" si="124"/>
        <v>0.32142857142857145</v>
      </c>
      <c r="AY279" s="770">
        <f t="shared" si="125"/>
        <v>32.454151031973637</v>
      </c>
      <c r="AZ279" s="747">
        <f t="shared" si="129"/>
        <v>32.42285710427511</v>
      </c>
      <c r="BA279" s="646">
        <f t="shared" si="126"/>
        <v>0.97668574575235756</v>
      </c>
      <c r="BB279" s="641">
        <v>43365</v>
      </c>
      <c r="BC279" s="11">
        <v>43365</v>
      </c>
      <c r="BD279" s="290">
        <f>[3]!FeuilCaduc*(1-Persistant)+Persistant</f>
        <v>0.97749350982277661</v>
      </c>
      <c r="BE279" s="291">
        <f>[3]!CroissVégét</f>
        <v>0.98657246054533965</v>
      </c>
      <c r="BF279" s="822">
        <f>1+[3]!Salcycl*Ksac</f>
        <v>1.0443733774556943</v>
      </c>
      <c r="BH279" s="1101">
        <f t="shared" si="127"/>
        <v>7.195528963593861E-7</v>
      </c>
      <c r="BI279" s="11">
        <v>44461</v>
      </c>
      <c r="BJ279" s="727">
        <v>0</v>
      </c>
      <c r="BK279" s="727">
        <v>0</v>
      </c>
      <c r="BL279" s="727">
        <v>0</v>
      </c>
      <c r="BM279" s="727">
        <v>7.3345590753811911E-8</v>
      </c>
      <c r="BN279" s="727">
        <v>5.7465262063587476E-4</v>
      </c>
      <c r="BO279" s="728">
        <v>7.3207356133003238E-3</v>
      </c>
      <c r="BP279" s="727">
        <v>2.2493706839387378E-2</v>
      </c>
      <c r="BQ279" s="727">
        <v>6.4646704894185184E-2</v>
      </c>
      <c r="BR279" s="727">
        <v>0.14839934759512044</v>
      </c>
      <c r="BS279" s="727">
        <v>0.29355809304923869</v>
      </c>
      <c r="BT279" s="727">
        <v>0.48099537007738813</v>
      </c>
      <c r="BW279" s="1157">
        <f>'2018'!R\Max</f>
        <v>0.93056343855702006</v>
      </c>
      <c r="BX279" s="1155">
        <f>'2019'!R\Max</f>
        <v>0.21694108179623772</v>
      </c>
      <c r="BY279" s="1155">
        <f>'2020'!R\Max</f>
        <v>0.67740669953156818</v>
      </c>
      <c r="BZ279" s="1155">
        <f>'2021'!R\Max</f>
        <v>0.96167351752994046</v>
      </c>
      <c r="CA279" s="1155">
        <f>'2022'!R\Max</f>
        <v>0.97668574575235756</v>
      </c>
      <c r="CB279" s="1155">
        <f>'2023'!R\Max</f>
        <v>0.97667405425104137</v>
      </c>
      <c r="CC279" s="1155">
        <f>'2024'!R\Max</f>
        <v>0.97664286932115241</v>
      </c>
      <c r="CD279" s="1155">
        <f>'2025'!R\Max</f>
        <v>0.97670914318576085</v>
      </c>
      <c r="CE279" s="1155">
        <f>'2026'!R\Max</f>
        <v>0.97670795940907262</v>
      </c>
      <c r="CF279" s="1156">
        <f>'2027'!R\Max</f>
        <v>0.97669483277977065</v>
      </c>
    </row>
    <row r="280" spans="1:84" s="6" customFormat="1" ht="11.25" x14ac:dyDescent="0.2">
      <c r="A280" s="11">
        <v>43366</v>
      </c>
      <c r="B280" s="380">
        <f>'2022'!Maxi_hp</f>
        <v>30.447289439965701</v>
      </c>
      <c r="C280" s="13">
        <f>'2022'!An_max</f>
        <v>2018</v>
      </c>
      <c r="D280" s="1070"/>
      <c r="E280" s="13"/>
      <c r="F280" s="13">
        <f t="shared" si="128"/>
        <v>21</v>
      </c>
      <c r="G280" s="13">
        <f t="shared" si="112"/>
        <v>20</v>
      </c>
      <c r="H280" s="173">
        <f t="shared" si="113"/>
        <v>43374</v>
      </c>
      <c r="I280" s="754">
        <f t="shared" si="114"/>
        <v>0.5714285714285714</v>
      </c>
      <c r="J280" s="747">
        <f t="shared" si="115"/>
        <v>32.155440524912308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P280" s="13">
        <f t="shared" si="116"/>
        <v>11</v>
      </c>
      <c r="AQ280" s="13">
        <f t="shared" si="117"/>
        <v>12</v>
      </c>
      <c r="AR280" s="173">
        <f t="shared" si="118"/>
        <v>43360</v>
      </c>
      <c r="AS280" s="754">
        <f t="shared" si="119"/>
        <v>0.21428571428571427</v>
      </c>
      <c r="AT280" s="770">
        <f t="shared" si="120"/>
        <v>32.163842656463387</v>
      </c>
      <c r="AU280" s="13">
        <f t="shared" si="121"/>
        <v>11</v>
      </c>
      <c r="AV280" s="13">
        <f t="shared" si="122"/>
        <v>10</v>
      </c>
      <c r="AW280" s="173">
        <f t="shared" si="123"/>
        <v>43374</v>
      </c>
      <c r="AX280" s="754">
        <f t="shared" si="124"/>
        <v>0.2857142857142857</v>
      </c>
      <c r="AY280" s="770">
        <f t="shared" si="125"/>
        <v>32.219375218823551</v>
      </c>
      <c r="AZ280" s="747">
        <f t="shared" si="129"/>
        <v>32.191608937643466</v>
      </c>
      <c r="BA280" s="646">
        <f t="shared" si="126"/>
        <v>0.94687831803693612</v>
      </c>
      <c r="BB280" s="641">
        <v>43366</v>
      </c>
      <c r="BC280" s="11">
        <v>43366</v>
      </c>
      <c r="BD280" s="290">
        <f>[3]!FeuilCaduc*(1-Persistant)+Persistant</f>
        <v>0.97637081407171811</v>
      </c>
      <c r="BE280" s="291">
        <f>[3]!CroissVégét</f>
        <v>0.98711912105647015</v>
      </c>
      <c r="BF280" s="822">
        <f>1+[3]!Salcycl*Ksac</f>
        <v>1.0440927035179295</v>
      </c>
      <c r="BH280" s="1101">
        <f t="shared" si="127"/>
        <v>1.079635436129945E-6</v>
      </c>
      <c r="BI280" s="11">
        <v>44462</v>
      </c>
      <c r="BJ280" s="727">
        <v>0</v>
      </c>
      <c r="BK280" s="727">
        <v>0</v>
      </c>
      <c r="BL280" s="727">
        <v>0</v>
      </c>
      <c r="BM280" s="727">
        <v>1.1005512391308849E-7</v>
      </c>
      <c r="BN280" s="727">
        <v>8.6221846531824356E-4</v>
      </c>
      <c r="BO280" s="728">
        <v>9.2322449454331976E-3</v>
      </c>
      <c r="BP280" s="727">
        <v>2.7840089156963357E-2</v>
      </c>
      <c r="BQ280" s="727">
        <v>7.4967003548027072E-2</v>
      </c>
      <c r="BR280" s="727">
        <v>0.16421505660270197</v>
      </c>
      <c r="BS280" s="727">
        <v>0.31601478902472036</v>
      </c>
      <c r="BT280" s="727">
        <v>0.51122306006601737</v>
      </c>
      <c r="BW280" s="1157">
        <f>'2018'!R\Max</f>
        <v>0.94687831803693612</v>
      </c>
      <c r="BX280" s="1155">
        <f>'2019'!R\Max</f>
        <v>0.85888271015525242</v>
      </c>
      <c r="BY280" s="1155">
        <f>'2020'!R\Max</f>
        <v>0.49625174870952254</v>
      </c>
      <c r="BZ280" s="1155">
        <f>'2021'!R\Max</f>
        <v>0.79323165244098914</v>
      </c>
      <c r="CA280" s="1155">
        <f>'2022'!R\Max</f>
        <v>0.60836199500208832</v>
      </c>
      <c r="CB280" s="1155">
        <f>'2023'!R\Max</f>
        <v>0.60821016490301005</v>
      </c>
      <c r="CC280" s="1155">
        <f>'2024'!R\Max</f>
        <v>0.60780780326947936</v>
      </c>
      <c r="CD280" s="1155">
        <f>'2025'!R\Max</f>
        <v>0.60867113497673442</v>
      </c>
      <c r="CE280" s="1155">
        <f>'2026'!R\Max</f>
        <v>0.60865242853014623</v>
      </c>
      <c r="CF280" s="1156">
        <f>'2027'!R\Max</f>
        <v>0.60848064290238757</v>
      </c>
    </row>
    <row r="281" spans="1:84" s="6" customFormat="1" ht="11.25" x14ac:dyDescent="0.2">
      <c r="A281" s="11">
        <v>43367</v>
      </c>
      <c r="B281" s="380">
        <f>'2022'!Maxi_hp</f>
        <v>26.744687251171772</v>
      </c>
      <c r="C281" s="13">
        <f>'2022'!An_max</f>
        <v>2021</v>
      </c>
      <c r="D281" s="1070"/>
      <c r="E281" s="13"/>
      <c r="F281" s="13">
        <f t="shared" si="128"/>
        <v>21</v>
      </c>
      <c r="G281" s="13">
        <f t="shared" si="112"/>
        <v>20</v>
      </c>
      <c r="H281" s="173">
        <f t="shared" si="113"/>
        <v>43374</v>
      </c>
      <c r="I281" s="754">
        <f t="shared" si="114"/>
        <v>0.5</v>
      </c>
      <c r="J281" s="747">
        <f t="shared" si="115"/>
        <v>31.927637500315903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P281" s="13">
        <f t="shared" si="116"/>
        <v>11</v>
      </c>
      <c r="AQ281" s="13">
        <f t="shared" si="117"/>
        <v>12</v>
      </c>
      <c r="AR281" s="173">
        <f t="shared" si="118"/>
        <v>43360</v>
      </c>
      <c r="AS281" s="754">
        <f t="shared" si="119"/>
        <v>0.25</v>
      </c>
      <c r="AT281" s="770">
        <f t="shared" si="120"/>
        <v>31.932991405855866</v>
      </c>
      <c r="AU281" s="13">
        <f t="shared" si="121"/>
        <v>11</v>
      </c>
      <c r="AV281" s="13">
        <f t="shared" si="122"/>
        <v>10</v>
      </c>
      <c r="AW281" s="173">
        <f t="shared" si="123"/>
        <v>43374</v>
      </c>
      <c r="AX281" s="754">
        <f t="shared" si="124"/>
        <v>0.25</v>
      </c>
      <c r="AY281" s="770">
        <f t="shared" si="125"/>
        <v>31.981941406428813</v>
      </c>
      <c r="AZ281" s="747">
        <f t="shared" si="129"/>
        <v>31.957466406142338</v>
      </c>
      <c r="BA281" s="646">
        <f t="shared" si="126"/>
        <v>0.83766571362842457</v>
      </c>
      <c r="BB281" s="641">
        <v>43367</v>
      </c>
      <c r="BC281" s="11">
        <v>43367</v>
      </c>
      <c r="BD281" s="290">
        <f>[3]!FeuilCaduc*(1-Persistant)+Persistant</f>
        <v>0.97520241050221512</v>
      </c>
      <c r="BE281" s="291">
        <f>[3]!CroissVégét</f>
        <v>0.98764434064074225</v>
      </c>
      <c r="BF281" s="822">
        <f>1+[3]!Salcycl*Ksac</f>
        <v>1.0438006026255537</v>
      </c>
      <c r="BH281" s="1101">
        <f t="shared" si="127"/>
        <v>1.5119777237139908E-6</v>
      </c>
      <c r="BI281" s="11">
        <v>44463</v>
      </c>
      <c r="BJ281" s="727">
        <v>0</v>
      </c>
      <c r="BK281" s="727">
        <v>0</v>
      </c>
      <c r="BL281" s="727">
        <v>0</v>
      </c>
      <c r="BM281" s="727">
        <v>1.5413170285450253E-7</v>
      </c>
      <c r="BN281" s="727">
        <v>1.2074914296883897E-3</v>
      </c>
      <c r="BO281" s="728">
        <v>1.1419329301613747E-2</v>
      </c>
      <c r="BP281" s="727">
        <v>3.3903616476717378E-2</v>
      </c>
      <c r="BQ281" s="727">
        <v>8.6223881193150706E-2</v>
      </c>
      <c r="BR281" s="727">
        <v>0.18097068135197183</v>
      </c>
      <c r="BS281" s="727">
        <v>0.33914051701029185</v>
      </c>
      <c r="BT281" s="727">
        <v>0.54196283089537955</v>
      </c>
      <c r="BW281" s="1157">
        <f>'2018'!R\Max</f>
        <v>0.75481415944523822</v>
      </c>
      <c r="BX281" s="1155">
        <f>'2019'!R\Max</f>
        <v>0.65165417326702424</v>
      </c>
      <c r="BY281" s="1155">
        <f>'2020'!R\Max</f>
        <v>0.80653814353770326</v>
      </c>
      <c r="BZ281" s="1155">
        <f>'2021'!R\Max</f>
        <v>0.83766571362842457</v>
      </c>
      <c r="CA281" s="1155">
        <f>'2022'!R\Max</f>
        <v>0.38238317854158033</v>
      </c>
      <c r="CB281" s="1155">
        <f>'2023'!R\Max</f>
        <v>0.3821992996721037</v>
      </c>
      <c r="CC281" s="1155">
        <f>'2024'!R\Max</f>
        <v>0.38171465680286748</v>
      </c>
      <c r="CD281" s="1155">
        <f>'2025'!R\Max</f>
        <v>0.38276302987977334</v>
      </c>
      <c r="CE281" s="1155">
        <f>'2026'!R\Max</f>
        <v>0.38273689131718658</v>
      </c>
      <c r="CF281" s="1156">
        <f>'2027'!R\Max</f>
        <v>0.38252750304223676</v>
      </c>
    </row>
    <row r="282" spans="1:84" s="6" customFormat="1" ht="11.25" x14ac:dyDescent="0.2">
      <c r="A282" s="11">
        <v>43368</v>
      </c>
      <c r="B282" s="380">
        <f>'2022'!Maxi_hp</f>
        <v>31.944717903389673</v>
      </c>
      <c r="C282" s="13">
        <f>'2022'!An_max</f>
        <v>2018</v>
      </c>
      <c r="D282" s="1070"/>
      <c r="E282" s="13"/>
      <c r="F282" s="13">
        <f t="shared" si="128"/>
        <v>21</v>
      </c>
      <c r="G282" s="13">
        <f t="shared" si="112"/>
        <v>20</v>
      </c>
      <c r="H282" s="173">
        <f t="shared" si="113"/>
        <v>43374</v>
      </c>
      <c r="I282" s="754">
        <f t="shared" si="114"/>
        <v>0.42857142857142855</v>
      </c>
      <c r="J282" s="747">
        <f t="shared" si="115"/>
        <v>31.697337026361907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P282" s="13">
        <f t="shared" si="116"/>
        <v>11</v>
      </c>
      <c r="AQ282" s="13">
        <f t="shared" si="117"/>
        <v>12</v>
      </c>
      <c r="AR282" s="173">
        <f t="shared" si="118"/>
        <v>43360</v>
      </c>
      <c r="AS282" s="754">
        <f t="shared" si="119"/>
        <v>0.2857142857142857</v>
      </c>
      <c r="AT282" s="770">
        <f t="shared" si="120"/>
        <v>31.699049562907646</v>
      </c>
      <c r="AU282" s="13">
        <f t="shared" si="121"/>
        <v>11</v>
      </c>
      <c r="AV282" s="13">
        <f t="shared" si="122"/>
        <v>10</v>
      </c>
      <c r="AW282" s="173">
        <f t="shared" si="123"/>
        <v>43374</v>
      </c>
      <c r="AX282" s="754">
        <f t="shared" si="124"/>
        <v>0.21428571428571427</v>
      </c>
      <c r="AY282" s="770">
        <f t="shared" si="125"/>
        <v>31.741916490372802</v>
      </c>
      <c r="AZ282" s="747">
        <f t="shared" si="129"/>
        <v>31.720483026640224</v>
      </c>
      <c r="BA282" s="646">
        <f t="shared" si="126"/>
        <v>1.0078044687735763</v>
      </c>
      <c r="BB282" s="641">
        <v>43368</v>
      </c>
      <c r="BC282" s="11">
        <v>43368</v>
      </c>
      <c r="BD282" s="290">
        <f>[3]!FeuilCaduc*(1-Persistant)+Persistant</f>
        <v>0.97398692181773572</v>
      </c>
      <c r="BE282" s="291">
        <f>[3]!CroissVégét</f>
        <v>0.98814893849517882</v>
      </c>
      <c r="BF282" s="822">
        <f>1+[3]!Salcycl*Ksac</f>
        <v>1.043496730454434</v>
      </c>
      <c r="BH282" s="1101">
        <f t="shared" si="127"/>
        <v>6.3056734776135946E-5</v>
      </c>
      <c r="BI282" s="11">
        <v>44464</v>
      </c>
      <c r="BJ282" s="727">
        <v>0</v>
      </c>
      <c r="BK282" s="727">
        <v>0</v>
      </c>
      <c r="BL282" s="727">
        <v>2.4131929648513413E-8</v>
      </c>
      <c r="BM282" s="727">
        <v>6.108762415053336E-5</v>
      </c>
      <c r="BN282" s="727">
        <v>1.8119346757512775E-3</v>
      </c>
      <c r="BO282" s="728">
        <v>1.4235339093396582E-2</v>
      </c>
      <c r="BP282" s="727">
        <v>4.1034906110962929E-2</v>
      </c>
      <c r="BQ282" s="727">
        <v>9.875808783866441E-2</v>
      </c>
      <c r="BR282" s="727">
        <v>0.19882295087528995</v>
      </c>
      <c r="BS282" s="727">
        <v>0.36277894323975157</v>
      </c>
      <c r="BT282" s="727">
        <v>0.5724498686227466</v>
      </c>
      <c r="BW282" s="1157">
        <f>'2018'!R\Max</f>
        <v>1.0078044687735763</v>
      </c>
      <c r="BX282" s="1155">
        <f>'2019'!R\Max</f>
        <v>0.64750806641512082</v>
      </c>
      <c r="BY282" s="1155">
        <f>'2020'!R\Max</f>
        <v>0.45292936738464357</v>
      </c>
      <c r="BZ282" s="1155">
        <f>'2021'!R\Max</f>
        <v>0.70314512951751906</v>
      </c>
      <c r="CA282" s="1155">
        <f>'2022'!R\Max</f>
        <v>0.72025246468635296</v>
      </c>
      <c r="CB282" s="1155">
        <f>'2023'!R\Max</f>
        <v>0.72006226969940534</v>
      </c>
      <c r="CC282" s="1155">
        <f>'2024'!R\Max</f>
        <v>0.71956552284814546</v>
      </c>
      <c r="CD282" s="1155">
        <f>'2025'!R\Max</f>
        <v>0.7206544908530389</v>
      </c>
      <c r="CE282" s="1155">
        <f>'2026'!R\Max</f>
        <v>0.72062199527000814</v>
      </c>
      <c r="CF282" s="1156">
        <f>'2027'!R\Max</f>
        <v>0.7204031042781851</v>
      </c>
    </row>
    <row r="283" spans="1:84" s="6" customFormat="1" ht="11.25" x14ac:dyDescent="0.2">
      <c r="A283" s="11">
        <v>43369</v>
      </c>
      <c r="B283" s="380">
        <f>'2022'!Maxi_hp</f>
        <v>30.905032154620368</v>
      </c>
      <c r="C283" s="13">
        <f>'2022'!An_max</f>
        <v>2018</v>
      </c>
      <c r="D283" s="1070"/>
      <c r="E283" s="13"/>
      <c r="F283" s="13">
        <f t="shared" si="128"/>
        <v>21</v>
      </c>
      <c r="G283" s="13">
        <f t="shared" si="112"/>
        <v>20</v>
      </c>
      <c r="H283" s="173">
        <f t="shared" si="113"/>
        <v>43374</v>
      </c>
      <c r="I283" s="754">
        <f t="shared" si="114"/>
        <v>0.35714285714285715</v>
      </c>
      <c r="J283" s="747">
        <f t="shared" si="115"/>
        <v>31.464325036826938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P283" s="13">
        <f t="shared" si="116"/>
        <v>11</v>
      </c>
      <c r="AQ283" s="13">
        <f t="shared" si="117"/>
        <v>12</v>
      </c>
      <c r="AR283" s="173">
        <f t="shared" si="118"/>
        <v>43360</v>
      </c>
      <c r="AS283" s="754">
        <f t="shared" si="119"/>
        <v>0.32142857142857145</v>
      </c>
      <c r="AT283" s="770">
        <f t="shared" si="120"/>
        <v>31.462057263417439</v>
      </c>
      <c r="AU283" s="13">
        <f t="shared" si="121"/>
        <v>11</v>
      </c>
      <c r="AV283" s="13">
        <f t="shared" si="122"/>
        <v>10</v>
      </c>
      <c r="AW283" s="173">
        <f t="shared" si="123"/>
        <v>43374</v>
      </c>
      <c r="AX283" s="754">
        <f t="shared" si="124"/>
        <v>0.17857142857142858</v>
      </c>
      <c r="AY283" s="770">
        <f t="shared" si="125"/>
        <v>31.499367367595966</v>
      </c>
      <c r="AZ283" s="747">
        <f t="shared" si="129"/>
        <v>31.4807123155067</v>
      </c>
      <c r="BA283" s="646">
        <f t="shared" si="126"/>
        <v>0.9822245390119777</v>
      </c>
      <c r="BB283" s="641">
        <v>43369</v>
      </c>
      <c r="BC283" s="11">
        <v>43369</v>
      </c>
      <c r="BD283" s="290">
        <f>[3]!FeuilCaduc*(1-Persistant)+Persistant</f>
        <v>0.97272299722331523</v>
      </c>
      <c r="BE283" s="291">
        <f>[3]!CroissVégét</f>
        <v>0.98863370421593466</v>
      </c>
      <c r="BF283" s="822">
        <f>1+[3]!Salcycl*Ksac</f>
        <v>1.0431807493058287</v>
      </c>
      <c r="BH283" s="1101">
        <f t="shared" si="127"/>
        <v>1.8578552147315236E-4</v>
      </c>
      <c r="BI283" s="11">
        <v>44465</v>
      </c>
      <c r="BJ283" s="727">
        <v>0</v>
      </c>
      <c r="BK283" s="727">
        <v>0</v>
      </c>
      <c r="BL283" s="727">
        <v>7.2424060366550841E-8</v>
      </c>
      <c r="BM283" s="727">
        <v>1.8298186880193526E-4</v>
      </c>
      <c r="BN283" s="727">
        <v>2.6758672096703919E-3</v>
      </c>
      <c r="BO283" s="728">
        <v>1.7613667885394528E-2</v>
      </c>
      <c r="BP283" s="727">
        <v>4.9018963238215432E-2</v>
      </c>
      <c r="BQ283" s="727">
        <v>0.11216008398796906</v>
      </c>
      <c r="BR283" s="727">
        <v>0.21735072341982259</v>
      </c>
      <c r="BS283" s="727">
        <v>0.38647759690014311</v>
      </c>
      <c r="BT283" s="727">
        <v>0.6021452348336489</v>
      </c>
      <c r="BW283" s="1157">
        <f>'2018'!R\Max</f>
        <v>0.9822245390119777</v>
      </c>
      <c r="BX283" s="1155">
        <f>'2019'!R\Max</f>
        <v>0.78549527761083959</v>
      </c>
      <c r="BY283" s="1155">
        <f>'2020'!R\Max</f>
        <v>0.44877112320449325</v>
      </c>
      <c r="BZ283" s="1155">
        <f>'2021'!R\Max</f>
        <v>0.80223994307451418</v>
      </c>
      <c r="CA283" s="1155">
        <f>'2022'!R\Max</f>
        <v>0.69175242867053388</v>
      </c>
      <c r="CB283" s="1155">
        <f>'2023'!R\Max</f>
        <v>0.69151190576954424</v>
      </c>
      <c r="CC283" s="1155">
        <f>'2024'!R\Max</f>
        <v>0.69089173673382298</v>
      </c>
      <c r="CD283" s="1155">
        <f>'2025'!R\Max</f>
        <v>0.69227534327847595</v>
      </c>
      <c r="CE283" s="1155">
        <f>'2026'!R\Max</f>
        <v>0.69222608122411788</v>
      </c>
      <c r="CF283" s="1156">
        <f>'2027'!R\Max</f>
        <v>0.6919452563709253</v>
      </c>
    </row>
    <row r="284" spans="1:84" s="6" customFormat="1" ht="11.25" x14ac:dyDescent="0.2">
      <c r="A284" s="11">
        <v>43370</v>
      </c>
      <c r="B284" s="380">
        <f>'2022'!Maxi_hp</f>
        <v>30.281766812625989</v>
      </c>
      <c r="C284" s="13">
        <f>'2022'!An_max</f>
        <v>2018</v>
      </c>
      <c r="D284" s="1070"/>
      <c r="E284" s="13"/>
      <c r="F284" s="13">
        <f t="shared" si="128"/>
        <v>21</v>
      </c>
      <c r="G284" s="13">
        <f t="shared" si="112"/>
        <v>20</v>
      </c>
      <c r="H284" s="173">
        <f t="shared" si="113"/>
        <v>43374</v>
      </c>
      <c r="I284" s="754">
        <f t="shared" si="114"/>
        <v>0.2857142857142857</v>
      </c>
      <c r="J284" s="747">
        <f t="shared" si="115"/>
        <v>31.228387464157173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P284" s="13">
        <f t="shared" si="116"/>
        <v>11</v>
      </c>
      <c r="AQ284" s="13">
        <f t="shared" si="117"/>
        <v>12</v>
      </c>
      <c r="AR284" s="173">
        <f t="shared" si="118"/>
        <v>43360</v>
      </c>
      <c r="AS284" s="754">
        <f t="shared" si="119"/>
        <v>0.35714285714285715</v>
      </c>
      <c r="AT284" s="770">
        <f t="shared" si="120"/>
        <v>31.222054646456876</v>
      </c>
      <c r="AU284" s="13">
        <f t="shared" si="121"/>
        <v>11</v>
      </c>
      <c r="AV284" s="13">
        <f t="shared" si="122"/>
        <v>10</v>
      </c>
      <c r="AW284" s="173">
        <f t="shared" si="123"/>
        <v>43374</v>
      </c>
      <c r="AX284" s="754">
        <f t="shared" si="124"/>
        <v>0.14285714285714285</v>
      </c>
      <c r="AY284" s="770">
        <f t="shared" si="125"/>
        <v>31.254360933655072</v>
      </c>
      <c r="AZ284" s="747">
        <f t="shared" si="129"/>
        <v>31.238207790055974</v>
      </c>
      <c r="BA284" s="646">
        <f t="shared" si="126"/>
        <v>0.96968717476630262</v>
      </c>
      <c r="BB284" s="641">
        <v>43370</v>
      </c>
      <c r="BC284" s="11">
        <v>43370</v>
      </c>
      <c r="BD284" s="290">
        <f>[3]!FeuilCaduc*(1-Persistant)+Persistant</f>
        <v>0.97140932218387765</v>
      </c>
      <c r="BE284" s="291">
        <f>[3]!CroissVégét</f>
        <v>0.98909939873407315</v>
      </c>
      <c r="BF284" s="822">
        <f>1+[3]!Salcycl*Ksac</f>
        <v>1.0428523305459694</v>
      </c>
      <c r="BH284" s="1101">
        <f t="shared" si="127"/>
        <v>3.6977610459058494E-4</v>
      </c>
      <c r="BI284" s="11">
        <v>44466</v>
      </c>
      <c r="BJ284" s="727">
        <v>0</v>
      </c>
      <c r="BK284" s="727">
        <v>0</v>
      </c>
      <c r="BL284" s="727">
        <v>1.4490709276234858E-7</v>
      </c>
      <c r="BM284" s="727">
        <v>3.6591433109251029E-4</v>
      </c>
      <c r="BN284" s="727">
        <v>3.7996344355608874E-3</v>
      </c>
      <c r="BO284" s="728">
        <v>2.1555128490412197E-2</v>
      </c>
      <c r="BP284" s="727">
        <v>5.785714281350432E-2</v>
      </c>
      <c r="BQ284" s="727">
        <v>0.12643144995490926</v>
      </c>
      <c r="BR284" s="727">
        <v>0.23655549879524365</v>
      </c>
      <c r="BS284" s="727">
        <v>0.41023733132031587</v>
      </c>
      <c r="BT284" s="727">
        <v>0.63104884881649237</v>
      </c>
      <c r="BW284" s="1157">
        <f>'2018'!R\Max</f>
        <v>0.96968717476630262</v>
      </c>
      <c r="BX284" s="1155">
        <f>'2019'!R\Max</f>
        <v>0.77703119699022283</v>
      </c>
      <c r="BY284" s="1155">
        <f>'2020'!R\Max</f>
        <v>0.3662096420779391</v>
      </c>
      <c r="BZ284" s="1155">
        <f>'2021'!R\Max</f>
        <v>0.52704920694125457</v>
      </c>
      <c r="CA284" s="1155">
        <f>'2022'!R\Max</f>
        <v>0.34950719396723445</v>
      </c>
      <c r="CB284" s="1155">
        <f>'2023'!R\Max</f>
        <v>0.34920462630939175</v>
      </c>
      <c r="CC284" s="1155">
        <f>'2024'!R\Max</f>
        <v>0.34843654291240173</v>
      </c>
      <c r="CD284" s="1155">
        <f>'2025'!R\Max</f>
        <v>0.35018537608208539</v>
      </c>
      <c r="CE284" s="1155">
        <f>'2026'!R\Max</f>
        <v>0.35011244955125315</v>
      </c>
      <c r="CF284" s="1156">
        <f>'2027'!R\Max</f>
        <v>0.34975315078114561</v>
      </c>
    </row>
    <row r="285" spans="1:84" s="6" customFormat="1" ht="11.25" x14ac:dyDescent="0.2">
      <c r="A285" s="11">
        <v>43371</v>
      </c>
      <c r="B285" s="380">
        <f>'2022'!Maxi_hp</f>
        <v>29.367871929004963</v>
      </c>
      <c r="C285" s="13">
        <f>'2022'!An_max</f>
        <v>2018</v>
      </c>
      <c r="D285" s="1070"/>
      <c r="E285" s="13"/>
      <c r="F285" s="13">
        <f t="shared" si="128"/>
        <v>21</v>
      </c>
      <c r="G285" s="13">
        <f t="shared" si="112"/>
        <v>20</v>
      </c>
      <c r="H285" s="173">
        <f t="shared" si="113"/>
        <v>43374</v>
      </c>
      <c r="I285" s="754">
        <f t="shared" si="114"/>
        <v>0.21428571428571427</v>
      </c>
      <c r="J285" s="747">
        <f t="shared" si="115"/>
        <v>30.989310240931808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P285" s="13">
        <f t="shared" si="116"/>
        <v>11</v>
      </c>
      <c r="AQ285" s="13">
        <f t="shared" si="117"/>
        <v>12</v>
      </c>
      <c r="AR285" s="173">
        <f t="shared" si="118"/>
        <v>43360</v>
      </c>
      <c r="AS285" s="754">
        <f t="shared" si="119"/>
        <v>0.39285714285714285</v>
      </c>
      <c r="AT285" s="770">
        <f t="shared" si="120"/>
        <v>30.97908184886245</v>
      </c>
      <c r="AU285" s="13">
        <f t="shared" si="121"/>
        <v>11</v>
      </c>
      <c r="AV285" s="13">
        <f t="shared" si="122"/>
        <v>10</v>
      </c>
      <c r="AW285" s="173">
        <f t="shared" si="123"/>
        <v>43374</v>
      </c>
      <c r="AX285" s="754">
        <f t="shared" si="124"/>
        <v>0.10714285714285714</v>
      </c>
      <c r="AY285" s="770">
        <f t="shared" si="125"/>
        <v>31.006964083069136</v>
      </c>
      <c r="AZ285" s="747">
        <f t="shared" si="129"/>
        <v>30.993022965965793</v>
      </c>
      <c r="BA285" s="646">
        <f t="shared" si="126"/>
        <v>0.94767749590679207</v>
      </c>
      <c r="BB285" s="641">
        <v>43371</v>
      </c>
      <c r="BC285" s="11">
        <v>43371</v>
      </c>
      <c r="BD285" s="290">
        <f>[3]!FeuilCaduc*(1-Persistant)+Persistant</f>
        <v>0.9700446286554737</v>
      </c>
      <c r="BE285" s="291">
        <f>[3]!CroissVégét</f>
        <v>0.98954675523264646</v>
      </c>
      <c r="BF285" s="822">
        <f>1+[3]!Salcycl*Ksac</f>
        <v>1.0425111571638683</v>
      </c>
      <c r="BH285" s="1101">
        <f t="shared" si="127"/>
        <v>6.1511172741945995E-4</v>
      </c>
      <c r="BI285" s="11">
        <v>44467</v>
      </c>
      <c r="BJ285" s="727">
        <v>0</v>
      </c>
      <c r="BK285" s="727">
        <v>0</v>
      </c>
      <c r="BL285" s="727">
        <v>2.4161389076202999E-7</v>
      </c>
      <c r="BM285" s="727">
        <v>6.0996793472001308E-4</v>
      </c>
      <c r="BN285" s="727">
        <v>5.1836034454806187E-3</v>
      </c>
      <c r="BO285" s="728">
        <v>2.6060573971367219E-2</v>
      </c>
      <c r="BP285" s="727">
        <v>6.7550848014774165E-2</v>
      </c>
      <c r="BQ285" s="727">
        <v>0.14157379148176019</v>
      </c>
      <c r="BR285" s="727">
        <v>0.25643876033527918</v>
      </c>
      <c r="BS285" s="727">
        <v>0.434058899584224</v>
      </c>
      <c r="BT285" s="727">
        <v>0.65916041883954291</v>
      </c>
      <c r="BW285" s="1157">
        <f>'2018'!R\Max</f>
        <v>0.94767749590679207</v>
      </c>
      <c r="BX285" s="1155">
        <f>'2019'!R\Max</f>
        <v>0.77978988651169778</v>
      </c>
      <c r="BY285" s="1155">
        <f>'2020'!R\Max</f>
        <v>0.28237859922685737</v>
      </c>
      <c r="BZ285" s="1155">
        <f>'2021'!R\Max</f>
        <v>0.58144738530907314</v>
      </c>
      <c r="CA285" s="1155">
        <f>'2022'!R\Max</f>
        <v>0.39887251657864353</v>
      </c>
      <c r="CB285" s="1155">
        <f>'2023'!R\Max</f>
        <v>0.39849990069642005</v>
      </c>
      <c r="CC285" s="1155">
        <f>'2024'!R\Max</f>
        <v>0.39756745175746383</v>
      </c>
      <c r="CD285" s="1155">
        <f>'2025'!R\Max</f>
        <v>0.39973173090617292</v>
      </c>
      <c r="CE285" s="1155">
        <f>'2026'!R\Max</f>
        <v>0.3996286530683178</v>
      </c>
      <c r="CF285" s="1156">
        <f>'2027'!R\Max</f>
        <v>0.39917941477221486</v>
      </c>
    </row>
    <row r="286" spans="1:84" s="6" customFormat="1" ht="11.25" x14ac:dyDescent="0.2">
      <c r="A286" s="11">
        <v>43372</v>
      </c>
      <c r="B286" s="380">
        <f>'2022'!Maxi_hp</f>
        <v>29.816399783631852</v>
      </c>
      <c r="C286" s="13">
        <f>'2022'!An_max</f>
        <v>2018</v>
      </c>
      <c r="D286" s="1070"/>
      <c r="E286" s="13"/>
      <c r="F286" s="13">
        <f t="shared" si="128"/>
        <v>21</v>
      </c>
      <c r="G286" s="13">
        <f t="shared" si="112"/>
        <v>20</v>
      </c>
      <c r="H286" s="173">
        <f t="shared" si="113"/>
        <v>43374</v>
      </c>
      <c r="I286" s="754">
        <f t="shared" si="114"/>
        <v>0.14285714285714285</v>
      </c>
      <c r="J286" s="747">
        <f t="shared" si="115"/>
        <v>30.746879300794433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P286" s="13">
        <f t="shared" si="116"/>
        <v>11</v>
      </c>
      <c r="AQ286" s="13">
        <f t="shared" si="117"/>
        <v>12</v>
      </c>
      <c r="AR286" s="173">
        <f t="shared" si="118"/>
        <v>43360</v>
      </c>
      <c r="AS286" s="754">
        <f t="shared" si="119"/>
        <v>0.42857142857142855</v>
      </c>
      <c r="AT286" s="770">
        <f t="shared" si="120"/>
        <v>30.733179008428539</v>
      </c>
      <c r="AU286" s="13">
        <f t="shared" si="121"/>
        <v>11</v>
      </c>
      <c r="AV286" s="13">
        <f t="shared" si="122"/>
        <v>10</v>
      </c>
      <c r="AW286" s="173">
        <f t="shared" si="123"/>
        <v>43374</v>
      </c>
      <c r="AX286" s="754">
        <f t="shared" si="124"/>
        <v>7.1428571428571425E-2</v>
      </c>
      <c r="AY286" s="770">
        <f t="shared" si="125"/>
        <v>30.757243713816358</v>
      </c>
      <c r="AZ286" s="747">
        <f t="shared" si="129"/>
        <v>30.74521136112245</v>
      </c>
      <c r="BA286" s="646">
        <f t="shared" si="126"/>
        <v>0.96973743227532883</v>
      </c>
      <c r="BB286" s="641">
        <v>43372</v>
      </c>
      <c r="BC286" s="11">
        <v>43372</v>
      </c>
      <c r="BD286" s="290">
        <f>[3]!FeuilCaduc*(1-Persistant)+Persistant</f>
        <v>0.96862770572008172</v>
      </c>
      <c r="BE286" s="291">
        <f>[3]!CroissVégét</f>
        <v>0.98997648004446692</v>
      </c>
      <c r="BF286" s="822">
        <f>1+[3]!Salcycl*Ksac</f>
        <v>1.0421569264300203</v>
      </c>
      <c r="BH286" s="1101">
        <f t="shared" si="127"/>
        <v>9.2188043646950532E-4</v>
      </c>
      <c r="BI286" s="11">
        <v>44468</v>
      </c>
      <c r="BJ286" s="727">
        <v>0</v>
      </c>
      <c r="BK286" s="727">
        <v>0</v>
      </c>
      <c r="BL286" s="727">
        <v>3.6257921573834996E-7</v>
      </c>
      <c r="BM286" s="727">
        <v>9.1523039080149539E-4</v>
      </c>
      <c r="BN286" s="727">
        <v>6.8281601670462135E-3</v>
      </c>
      <c r="BO286" s="728">
        <v>3.1130891474549123E-2</v>
      </c>
      <c r="BP286" s="727">
        <v>7.810152091830358E-2</v>
      </c>
      <c r="BQ286" s="727">
        <v>0.15758873030458589</v>
      </c>
      <c r="BR286" s="727">
        <v>0.27700196764271995</v>
      </c>
      <c r="BS286" s="727">
        <v>0.45794295412898578</v>
      </c>
      <c r="BT286" s="727">
        <v>0.68647945122481813</v>
      </c>
      <c r="BW286" s="1157">
        <f>'2018'!R\Max</f>
        <v>0.96973743227532883</v>
      </c>
      <c r="BX286" s="1155">
        <f>'2019'!R\Max</f>
        <v>0.95614938035778863</v>
      </c>
      <c r="BY286" s="1155">
        <f>'2020'!R\Max</f>
        <v>0.71488333566629769</v>
      </c>
      <c r="BZ286" s="1155">
        <f>'2021'!R\Max</f>
        <v>0.63963444329813901</v>
      </c>
      <c r="CA286" s="1155">
        <f>'2022'!R\Max</f>
        <v>0.54755784243896488</v>
      </c>
      <c r="CB286" s="1155">
        <f>'2023'!R\Max</f>
        <v>0.54711242426606921</v>
      </c>
      <c r="CC286" s="1155">
        <f>'2024'!R\Max</f>
        <v>0.54601278224280603</v>
      </c>
      <c r="CD286" s="1155">
        <f>'2025'!R\Max</f>
        <v>0.54861219188829635</v>
      </c>
      <c r="CE286" s="1155">
        <f>'2026'!R\Max</f>
        <v>0.54847375663427889</v>
      </c>
      <c r="CF286" s="1156">
        <f>'2027'!R\Max</f>
        <v>0.54792926507118778</v>
      </c>
    </row>
    <row r="287" spans="1:84" s="6" customFormat="1" ht="11.25" x14ac:dyDescent="0.2">
      <c r="A287" s="11">
        <v>43373</v>
      </c>
      <c r="B287" s="380">
        <f>'2022'!Maxi_hp</f>
        <v>27.899503681565321</v>
      </c>
      <c r="C287" s="13">
        <f>'2022'!An_max</f>
        <v>2018</v>
      </c>
      <c r="D287" s="1070"/>
      <c r="E287" s="13"/>
      <c r="F287" s="13">
        <f t="shared" si="128"/>
        <v>21</v>
      </c>
      <c r="G287" s="13">
        <f t="shared" si="112"/>
        <v>20</v>
      </c>
      <c r="H287" s="173">
        <f t="shared" si="113"/>
        <v>43374</v>
      </c>
      <c r="I287" s="754">
        <f t="shared" si="114"/>
        <v>7.1428571428571425E-2</v>
      </c>
      <c r="J287" s="747">
        <f t="shared" si="115"/>
        <v>30.500880576031552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P287" s="13">
        <f t="shared" si="116"/>
        <v>11</v>
      </c>
      <c r="AQ287" s="13">
        <f t="shared" si="117"/>
        <v>12</v>
      </c>
      <c r="AR287" s="173">
        <f t="shared" si="118"/>
        <v>43360</v>
      </c>
      <c r="AS287" s="754">
        <f t="shared" si="119"/>
        <v>0.4642857142857143</v>
      </c>
      <c r="AT287" s="770">
        <f t="shared" si="120"/>
        <v>30.484386263242254</v>
      </c>
      <c r="AU287" s="13">
        <f t="shared" si="121"/>
        <v>11</v>
      </c>
      <c r="AV287" s="13">
        <f t="shared" si="122"/>
        <v>10</v>
      </c>
      <c r="AW287" s="173">
        <f t="shared" si="123"/>
        <v>43374</v>
      </c>
      <c r="AX287" s="754">
        <f t="shared" si="124"/>
        <v>3.5714285714285712E-2</v>
      </c>
      <c r="AY287" s="770">
        <f t="shared" si="125"/>
        <v>30.505266721187429</v>
      </c>
      <c r="AZ287" s="747">
        <f t="shared" si="129"/>
        <v>30.494826492214841</v>
      </c>
      <c r="BA287" s="646">
        <f t="shared" si="126"/>
        <v>0.9147114166759347</v>
      </c>
      <c r="BB287" s="641">
        <v>43373</v>
      </c>
      <c r="BC287" s="11">
        <v>43373</v>
      </c>
      <c r="BD287" s="290">
        <f>[3]!FeuilCaduc*(1-Persistant)+Persistant</f>
        <v>0.96715741054763371</v>
      </c>
      <c r="BE287" s="291">
        <f>[3]!CroissVégét</f>
        <v>0.99038925353008489</v>
      </c>
      <c r="BF287" s="822">
        <f>1+[3]!Salcycl*Ksac</f>
        <v>1.0417893526369084</v>
      </c>
      <c r="BH287" s="1101">
        <f t="shared" si="127"/>
        <v>1.2901744081766035E-3</v>
      </c>
      <c r="BI287" s="11">
        <v>44469</v>
      </c>
      <c r="BJ287" s="727">
        <v>0</v>
      </c>
      <c r="BK287" s="727">
        <v>0</v>
      </c>
      <c r="BL287" s="727">
        <v>5.078394606409776E-7</v>
      </c>
      <c r="BM287" s="727">
        <v>1.2817935270341872E-3</v>
      </c>
      <c r="BN287" s="727">
        <v>8.733706511113163E-3</v>
      </c>
      <c r="BO287" s="728">
        <v>3.6766996063321934E-2</v>
      </c>
      <c r="BP287" s="727">
        <v>8.9510633175372237E-2</v>
      </c>
      <c r="BQ287" s="727">
        <v>0.17447789472151387</v>
      </c>
      <c r="BR287" s="727">
        <v>0.29824654934018147</v>
      </c>
      <c r="BS287" s="727">
        <v>0.48189004635328797</v>
      </c>
      <c r="BT287" s="727">
        <v>0.71300525943819082</v>
      </c>
      <c r="BW287" s="1157">
        <f>'2018'!R\Max</f>
        <v>0.9147114166759347</v>
      </c>
      <c r="BX287" s="1155">
        <f>'2019'!R\Max</f>
        <v>0.56627821636748288</v>
      </c>
      <c r="BY287" s="1155">
        <f>'2020'!R\Max</f>
        <v>0.76400384439855074</v>
      </c>
      <c r="BZ287" s="1155">
        <f>'2021'!R\Max</f>
        <v>0.42811836852858404</v>
      </c>
      <c r="CA287" s="1155">
        <f>'2022'!R\Max</f>
        <v>0.68879186363829847</v>
      </c>
      <c r="CB287" s="1155">
        <f>'2023'!R\Max</f>
        <v>0.68834965255901692</v>
      </c>
      <c r="CC287" s="1155">
        <f>'2024'!R\Max</f>
        <v>0.68727199859661103</v>
      </c>
      <c r="CD287" s="1155">
        <f>'2025'!R\Max</f>
        <v>0.68986419769727825</v>
      </c>
      <c r="CE287" s="1155">
        <f>'2026'!R\Max</f>
        <v>0.68971244890630556</v>
      </c>
      <c r="CF287" s="1156">
        <f>'2027'!R\Max</f>
        <v>0.68916492041294408</v>
      </c>
    </row>
    <row r="288" spans="1:84" s="6" customFormat="1" ht="11.25" x14ac:dyDescent="0.2">
      <c r="A288" s="11">
        <v>43374</v>
      </c>
      <c r="B288" s="380">
        <f>'2022'!Maxi_hp</f>
        <v>29.54290748735184</v>
      </c>
      <c r="C288" s="13">
        <f>'2022'!An_max</f>
        <v>2020</v>
      </c>
      <c r="D288" s="1070"/>
      <c r="E288" s="1073">
        <f>AG$13/10</f>
        <v>30.251099999999997</v>
      </c>
      <c r="F288" s="13">
        <f t="shared" si="128"/>
        <v>21</v>
      </c>
      <c r="G288" s="13">
        <f t="shared" si="112"/>
        <v>22</v>
      </c>
      <c r="H288" s="173">
        <f t="shared" si="113"/>
        <v>43374</v>
      </c>
      <c r="I288" s="754">
        <f t="shared" si="114"/>
        <v>0</v>
      </c>
      <c r="J288" s="747">
        <f t="shared" si="115"/>
        <v>30.251100000739097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P288" s="13">
        <f t="shared" si="116"/>
        <v>11</v>
      </c>
      <c r="AQ288" s="13">
        <f t="shared" si="117"/>
        <v>12</v>
      </c>
      <c r="AR288" s="173">
        <f t="shared" si="118"/>
        <v>43360</v>
      </c>
      <c r="AS288" s="754">
        <f t="shared" si="119"/>
        <v>0.5</v>
      </c>
      <c r="AT288" s="770">
        <f t="shared" si="120"/>
        <v>30.232743749953805</v>
      </c>
      <c r="AU288" s="13">
        <f t="shared" si="121"/>
        <v>11</v>
      </c>
      <c r="AV288" s="13">
        <f t="shared" si="122"/>
        <v>12</v>
      </c>
      <c r="AW288" s="173">
        <f t="shared" si="123"/>
        <v>43374</v>
      </c>
      <c r="AX288" s="754">
        <f t="shared" si="124"/>
        <v>0</v>
      </c>
      <c r="AY288" s="770">
        <f t="shared" si="125"/>
        <v>30.25109999999404</v>
      </c>
      <c r="AZ288" s="747">
        <f t="shared" si="129"/>
        <v>30.241921874973922</v>
      </c>
      <c r="BA288" s="646">
        <f t="shared" si="126"/>
        <v>0.97658952853383996</v>
      </c>
      <c r="BB288" s="641">
        <v>43374</v>
      </c>
      <c r="BC288" s="11">
        <v>43374</v>
      </c>
      <c r="BD288" s="290">
        <f>[3]!FeuilCaduc*(1-Persistant)+Persistant</f>
        <v>0.96563267960259114</v>
      </c>
      <c r="BE288" s="291">
        <f>[3]!CroissVégét</f>
        <v>0.99078573093558142</v>
      </c>
      <c r="BF288" s="822">
        <f>1+[3]!Salcycl*Ksac</f>
        <v>1.0414081699006479</v>
      </c>
      <c r="BH288" s="1101">
        <f t="shared" si="127"/>
        <v>1.7200892756011972E-3</v>
      </c>
      <c r="BI288" s="11">
        <v>44470</v>
      </c>
      <c r="BJ288" s="727">
        <v>0</v>
      </c>
      <c r="BK288" s="727">
        <v>0</v>
      </c>
      <c r="BL288" s="727">
        <v>6.7743238412322404E-7</v>
      </c>
      <c r="BM288" s="727">
        <v>1.7097526168473982E-3</v>
      </c>
      <c r="BN288" s="727">
        <v>1.0900657519386034E-2</v>
      </c>
      <c r="BO288" s="728">
        <v>4.2969824551492508E-2</v>
      </c>
      <c r="BP288" s="727">
        <v>0.10177967668807537</v>
      </c>
      <c r="BQ288" s="727">
        <v>0.19224291015923684</v>
      </c>
      <c r="BR288" s="727">
        <v>0.32017389581766104</v>
      </c>
      <c r="BS288" s="727">
        <v>0.50590062622037235</v>
      </c>
      <c r="BT288" s="727">
        <v>0.7387369731712724</v>
      </c>
      <c r="BW288" s="1157">
        <f>'2018'!R\Max</f>
        <v>0.60823956217759356</v>
      </c>
      <c r="BX288" s="1155">
        <f>'2019'!R\Max</f>
        <v>0.77032658851376068</v>
      </c>
      <c r="BY288" s="1155">
        <f>'2020'!R\Max</f>
        <v>0.97658952853383996</v>
      </c>
      <c r="BZ288" s="1155">
        <f>'2021'!R\Max</f>
        <v>0.74213087322605809</v>
      </c>
      <c r="CA288" s="1155">
        <f>'2022'!R\Max</f>
        <v>0.8914670407152262</v>
      </c>
      <c r="CB288" s="1155">
        <f>'2023'!R\Max</f>
        <v>0.89123965741291789</v>
      </c>
      <c r="CC288" s="1155">
        <f>'2024'!R\Max</f>
        <v>0.89069197418913915</v>
      </c>
      <c r="CD288" s="1155">
        <f>'2025'!R\Max</f>
        <v>0.89203037024627219</v>
      </c>
      <c r="CE288" s="1155">
        <f>'2026'!R\Max</f>
        <v>0.89194552999896493</v>
      </c>
      <c r="CF288" s="1156">
        <f>'2027'!R\Max</f>
        <v>0.89166088302299995</v>
      </c>
    </row>
    <row r="289" spans="1:84" s="6" customFormat="1" ht="11.25" x14ac:dyDescent="0.2">
      <c r="A289" s="11">
        <v>43375</v>
      </c>
      <c r="B289" s="380">
        <f>'2022'!Maxi_hp</f>
        <v>29.656559533352279</v>
      </c>
      <c r="C289" s="13">
        <f>'2022'!An_max</f>
        <v>2018</v>
      </c>
      <c r="D289" s="1070"/>
      <c r="E289" s="13"/>
      <c r="F289" s="13">
        <f t="shared" si="128"/>
        <v>21</v>
      </c>
      <c r="G289" s="13">
        <f t="shared" si="112"/>
        <v>22</v>
      </c>
      <c r="H289" s="173">
        <f t="shared" si="113"/>
        <v>43374</v>
      </c>
      <c r="I289" s="754">
        <f t="shared" si="114"/>
        <v>7.1428571428571425E-2</v>
      </c>
      <c r="J289" s="747">
        <f t="shared" si="115"/>
        <v>29.997858674371876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P289" s="13">
        <f t="shared" si="116"/>
        <v>11</v>
      </c>
      <c r="AQ289" s="13">
        <f t="shared" si="117"/>
        <v>12</v>
      </c>
      <c r="AR289" s="173">
        <f t="shared" si="118"/>
        <v>43360</v>
      </c>
      <c r="AS289" s="754">
        <f t="shared" si="119"/>
        <v>0.5357142857142857</v>
      </c>
      <c r="AT289" s="770">
        <f t="shared" si="120"/>
        <v>29.978291606158017</v>
      </c>
      <c r="AU289" s="13">
        <f t="shared" si="121"/>
        <v>11</v>
      </c>
      <c r="AV289" s="13">
        <f t="shared" si="122"/>
        <v>12</v>
      </c>
      <c r="AW289" s="173">
        <f t="shared" si="123"/>
        <v>43374</v>
      </c>
      <c r="AX289" s="754">
        <f t="shared" si="124"/>
        <v>3.5714285714285712E-2</v>
      </c>
      <c r="AY289" s="770">
        <f t="shared" si="125"/>
        <v>29.993042164971122</v>
      </c>
      <c r="AZ289" s="747">
        <f t="shared" si="129"/>
        <v>29.985666885564569</v>
      </c>
      <c r="BA289" s="646">
        <f t="shared" si="126"/>
        <v>0.98862254987182874</v>
      </c>
      <c r="BB289" s="641">
        <v>43375</v>
      </c>
      <c r="BC289" s="11">
        <v>43375</v>
      </c>
      <c r="BD289" s="290">
        <f>[3]!FeuilCaduc*(1-Persistant)+Persistant</f>
        <v>0.96405254000676222</v>
      </c>
      <c r="BE289" s="291">
        <f>[3]!CroissVégét</f>
        <v>0.99116654322989417</v>
      </c>
      <c r="BF289" s="822">
        <f>1+[3]!Salcycl*Ksac</f>
        <v>1.0410131350016905</v>
      </c>
      <c r="BH289" s="1101">
        <f t="shared" si="127"/>
        <v>2.211723455139902E-3</v>
      </c>
      <c r="BI289" s="11">
        <v>44471</v>
      </c>
      <c r="BJ289" s="727">
        <v>0</v>
      </c>
      <c r="BK289" s="727">
        <v>0</v>
      </c>
      <c r="BL289" s="727">
        <v>8.7139684467396233E-7</v>
      </c>
      <c r="BM289" s="727">
        <v>2.199205708567535E-3</v>
      </c>
      <c r="BN289" s="727">
        <v>1.3329438512124399E-2</v>
      </c>
      <c r="BO289" s="728">
        <v>4.974032933710662E-2</v>
      </c>
      <c r="BP289" s="727">
        <v>0.11491015428620448</v>
      </c>
      <c r="BQ289" s="727">
        <v>0.21088538974164578</v>
      </c>
      <c r="BR289" s="727">
        <v>0.34278535198381044</v>
      </c>
      <c r="BS289" s="727">
        <v>0.52997504186712674</v>
      </c>
      <c r="BT289" s="727">
        <v>0.76367354743241123</v>
      </c>
      <c r="BW289" s="1157">
        <f>'2018'!R\Max</f>
        <v>0.98862254987182874</v>
      </c>
      <c r="BX289" s="1155">
        <f>'2019'!R\Max</f>
        <v>0.62290810215486248</v>
      </c>
      <c r="BY289" s="1155">
        <f>'2020'!R\Max</f>
        <v>0.2047814167127596</v>
      </c>
      <c r="BZ289" s="1155">
        <f>'2021'!R\Max</f>
        <v>0.9190936600043691</v>
      </c>
      <c r="CA289" s="1155">
        <f>'2022'!R\Max</f>
        <v>0.94477206864215513</v>
      </c>
      <c r="CB289" s="1155">
        <f>'2023'!R\Max</f>
        <v>0.944633331329778</v>
      </c>
      <c r="CC289" s="1155">
        <f>'2024'!R\Max</f>
        <v>0.9443031590658526</v>
      </c>
      <c r="CD289" s="1155">
        <f>'2025'!R\Max</f>
        <v>0.9451228887126496</v>
      </c>
      <c r="CE289" s="1155">
        <f>'2026'!R\Max</f>
        <v>0.94506717116884287</v>
      </c>
      <c r="CF289" s="1156">
        <f>'2027'!R\Max</f>
        <v>0.94489155348331666</v>
      </c>
    </row>
    <row r="290" spans="1:84" s="6" customFormat="1" ht="11.25" x14ac:dyDescent="0.2">
      <c r="A290" s="11">
        <v>43376</v>
      </c>
      <c r="B290" s="380">
        <f>'2022'!Maxi_hp</f>
        <v>28.585247689548495</v>
      </c>
      <c r="C290" s="13">
        <f>'2022'!An_max</f>
        <v>2018</v>
      </c>
      <c r="D290" s="1070"/>
      <c r="E290" s="13"/>
      <c r="F290" s="13">
        <f t="shared" si="128"/>
        <v>21</v>
      </c>
      <c r="G290" s="13">
        <f t="shared" si="112"/>
        <v>22</v>
      </c>
      <c r="H290" s="173">
        <f t="shared" si="113"/>
        <v>43374</v>
      </c>
      <c r="I290" s="754">
        <f t="shared" si="114"/>
        <v>0.14285714285714285</v>
      </c>
      <c r="J290" s="747">
        <f t="shared" si="115"/>
        <v>29.741620408371091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P290" s="13">
        <f t="shared" si="116"/>
        <v>11</v>
      </c>
      <c r="AQ290" s="13">
        <f t="shared" si="117"/>
        <v>12</v>
      </c>
      <c r="AR290" s="173">
        <f t="shared" si="118"/>
        <v>43360</v>
      </c>
      <c r="AS290" s="754">
        <f t="shared" si="119"/>
        <v>0.5714285714285714</v>
      </c>
      <c r="AT290" s="770">
        <f t="shared" si="120"/>
        <v>29.721069970673749</v>
      </c>
      <c r="AU290" s="13">
        <f t="shared" si="121"/>
        <v>11</v>
      </c>
      <c r="AV290" s="13">
        <f t="shared" si="122"/>
        <v>12</v>
      </c>
      <c r="AW290" s="173">
        <f t="shared" si="123"/>
        <v>43374</v>
      </c>
      <c r="AX290" s="754">
        <f t="shared" si="124"/>
        <v>7.1428571428571425E-2</v>
      </c>
      <c r="AY290" s="770">
        <f t="shared" si="125"/>
        <v>29.729561297312777</v>
      </c>
      <c r="AZ290" s="747">
        <f t="shared" si="129"/>
        <v>29.725315633993262</v>
      </c>
      <c r="BA290" s="646">
        <f t="shared" si="126"/>
        <v>0.96111937739286313</v>
      </c>
      <c r="BB290" s="641">
        <v>43376</v>
      </c>
      <c r="BC290" s="11">
        <v>43376</v>
      </c>
      <c r="BD290" s="290">
        <f>[3]!FeuilCaduc*(1-Persistant)+Persistant</f>
        <v>0.9624161209651827</v>
      </c>
      <c r="BE290" s="291">
        <f>[3]!CroissVégét</f>
        <v>0.99153229792147035</v>
      </c>
      <c r="BF290" s="822">
        <f>1+[3]!Salcycl*Ksac</f>
        <v>1.0406040302412958</v>
      </c>
      <c r="BH290" s="1101">
        <f t="shared" si="127"/>
        <v>2.8938544283743962E-3</v>
      </c>
      <c r="BI290" s="11">
        <v>44472</v>
      </c>
      <c r="BJ290" s="727">
        <v>0</v>
      </c>
      <c r="BK290" s="727">
        <v>1.816840925804006E-8</v>
      </c>
      <c r="BL290" s="727">
        <v>2.7557475525670486E-6</v>
      </c>
      <c r="BM290" s="727">
        <v>2.8788757547108784E-3</v>
      </c>
      <c r="BN290" s="727">
        <v>1.619725730203191E-2</v>
      </c>
      <c r="BO290" s="728">
        <v>5.7280238851218211E-2</v>
      </c>
      <c r="BP290" s="727">
        <v>0.12887733028266579</v>
      </c>
      <c r="BQ290" s="727">
        <v>0.23031415379166914</v>
      </c>
      <c r="BR290" s="727">
        <v>0.36580025525548998</v>
      </c>
      <c r="BS290" s="727">
        <v>0.55370394374207821</v>
      </c>
      <c r="BT290" s="727">
        <v>0.78713069977558181</v>
      </c>
      <c r="BW290" s="1157">
        <f>'2018'!R\Max</f>
        <v>0.96111937739286313</v>
      </c>
      <c r="BX290" s="1155">
        <f>'2019'!R\Max</f>
        <v>0.79337851752682054</v>
      </c>
      <c r="BY290" s="1155">
        <f>'2020'!R\Max</f>
        <v>0.1240931831304618</v>
      </c>
      <c r="BZ290" s="1155">
        <f>'2021'!R\Max</f>
        <v>0.14001604297535372</v>
      </c>
      <c r="CA290" s="1155">
        <f>'2022'!R\Max</f>
        <v>0.88050546589671252</v>
      </c>
      <c r="CB290" s="1155">
        <f>'2023'!R\Max</f>
        <v>0.88019126659878089</v>
      </c>
      <c r="CC290" s="1155">
        <f>'2024'!R\Max</f>
        <v>0.87945428010707416</v>
      </c>
      <c r="CD290" s="1155">
        <f>'2025'!R\Max</f>
        <v>0.88131767844736408</v>
      </c>
      <c r="CE290" s="1155">
        <f>'2026'!R\Max</f>
        <v>0.88118227556175899</v>
      </c>
      <c r="CF290" s="1156">
        <f>'2027'!R\Max</f>
        <v>0.88077925992934281</v>
      </c>
    </row>
    <row r="291" spans="1:84" s="6" customFormat="1" ht="11.25" x14ac:dyDescent="0.2">
      <c r="A291" s="11">
        <v>43377</v>
      </c>
      <c r="B291" s="380">
        <f>'2022'!Maxi_hp</f>
        <v>29.342644538407928</v>
      </c>
      <c r="C291" s="13">
        <f>'2022'!An_max</f>
        <v>2022</v>
      </c>
      <c r="D291" s="1070"/>
      <c r="E291" s="13"/>
      <c r="F291" s="13">
        <f t="shared" si="128"/>
        <v>21</v>
      </c>
      <c r="G291" s="13">
        <f t="shared" si="112"/>
        <v>22</v>
      </c>
      <c r="H291" s="173">
        <f t="shared" si="113"/>
        <v>43374</v>
      </c>
      <c r="I291" s="754">
        <f t="shared" si="114"/>
        <v>0.21428571428571427</v>
      </c>
      <c r="J291" s="747">
        <f t="shared" si="115"/>
        <v>29.482385204732417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P291" s="13">
        <f t="shared" si="116"/>
        <v>11</v>
      </c>
      <c r="AQ291" s="13">
        <f t="shared" si="117"/>
        <v>12</v>
      </c>
      <c r="AR291" s="173">
        <f t="shared" si="118"/>
        <v>43360</v>
      </c>
      <c r="AS291" s="754">
        <f t="shared" si="119"/>
        <v>0.6071428571428571</v>
      </c>
      <c r="AT291" s="770">
        <f t="shared" si="120"/>
        <v>29.461118979978245</v>
      </c>
      <c r="AU291" s="13">
        <f t="shared" si="121"/>
        <v>11</v>
      </c>
      <c r="AV291" s="13">
        <f t="shared" si="122"/>
        <v>12</v>
      </c>
      <c r="AW291" s="173">
        <f t="shared" si="123"/>
        <v>43374</v>
      </c>
      <c r="AX291" s="754">
        <f t="shared" si="124"/>
        <v>0.10714285714285714</v>
      </c>
      <c r="AY291" s="770">
        <f t="shared" si="125"/>
        <v>29.460978498654111</v>
      </c>
      <c r="AZ291" s="747">
        <f t="shared" si="129"/>
        <v>29.461048739316176</v>
      </c>
      <c r="BA291" s="646">
        <f t="shared" si="126"/>
        <v>0.99526019806897925</v>
      </c>
      <c r="BB291" s="641">
        <v>43377</v>
      </c>
      <c r="BC291" s="11">
        <v>43377</v>
      </c>
      <c r="BD291" s="290">
        <f>[3]!FeuilCaduc*(1-Persistant)+Persistant</f>
        <v>0.96072266515787474</v>
      </c>
      <c r="BE291" s="291">
        <f>[3]!CroissVégét</f>
        <v>0.99188357985413123</v>
      </c>
      <c r="BF291" s="822">
        <f>1+[3]!Salcycl*Ksac</f>
        <v>1.0401806662894686</v>
      </c>
      <c r="BH291" s="1101">
        <f t="shared" si="127"/>
        <v>3.7667018352470489E-3</v>
      </c>
      <c r="BI291" s="11">
        <v>44473</v>
      </c>
      <c r="BJ291" s="727">
        <v>0</v>
      </c>
      <c r="BK291" s="727">
        <v>5.4532052088804004E-8</v>
      </c>
      <c r="BL291" s="727">
        <v>6.3329844574445127E-6</v>
      </c>
      <c r="BM291" s="727">
        <v>3.7490468710351765E-3</v>
      </c>
      <c r="BN291" s="727">
        <v>1.9447068929604926E-2</v>
      </c>
      <c r="BO291" s="728">
        <v>6.5383225219950228E-2</v>
      </c>
      <c r="BP291" s="727">
        <v>0.1431839326339806</v>
      </c>
      <c r="BQ291" s="727">
        <v>0.25001159236521148</v>
      </c>
      <c r="BR291" s="727">
        <v>0.38871423589076431</v>
      </c>
      <c r="BS291" s="727">
        <v>0.57689229792616947</v>
      </c>
      <c r="BT291" s="727">
        <v>0.80916445000804005</v>
      </c>
      <c r="BW291" s="1157">
        <f>'2018'!R\Max</f>
        <v>0.96459272619772063</v>
      </c>
      <c r="BX291" s="1155">
        <f>'2019'!R\Max</f>
        <v>0.24553310017256963</v>
      </c>
      <c r="BY291" s="1155">
        <f>'2020'!R\Max</f>
        <v>0.41030716006287138</v>
      </c>
      <c r="BZ291" s="1155">
        <f>'2021'!R\Max</f>
        <v>0.78661949923231178</v>
      </c>
      <c r="CA291" s="1155">
        <f>'2022'!R\Max</f>
        <v>0.99526019806897925</v>
      </c>
      <c r="CB291" s="1155">
        <f>'2023'!R\Max</f>
        <v>0.99524451967685257</v>
      </c>
      <c r="CC291" s="1155">
        <f>'2024'!R\Max</f>
        <v>0.99520825005393421</v>
      </c>
      <c r="CD291" s="1155">
        <f>'2025'!R\Max</f>
        <v>0.99530154971646412</v>
      </c>
      <c r="CE291" s="1155">
        <f>'2026'!R\Max</f>
        <v>0.99529436141390937</v>
      </c>
      <c r="CF291" s="1156">
        <f>'2027'!R\Max</f>
        <v>0.99527401697661511</v>
      </c>
    </row>
    <row r="292" spans="1:84" s="6" customFormat="1" ht="11.25" x14ac:dyDescent="0.2">
      <c r="A292" s="11">
        <v>43378</v>
      </c>
      <c r="B292" s="380">
        <f>'2022'!Maxi_hp</f>
        <v>29.520531135154268</v>
      </c>
      <c r="C292" s="13">
        <f>'2022'!An_max</f>
        <v>2022</v>
      </c>
      <c r="D292" s="1070"/>
      <c r="E292" s="13"/>
      <c r="F292" s="13">
        <f t="shared" si="128"/>
        <v>21</v>
      </c>
      <c r="G292" s="13">
        <f t="shared" si="112"/>
        <v>22</v>
      </c>
      <c r="H292" s="173">
        <f t="shared" si="113"/>
        <v>43374</v>
      </c>
      <c r="I292" s="754">
        <f t="shared" si="114"/>
        <v>0.2857142857142857</v>
      </c>
      <c r="J292" s="747">
        <f t="shared" si="115"/>
        <v>29.220153061300515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P292" s="13">
        <f t="shared" si="116"/>
        <v>11</v>
      </c>
      <c r="AQ292" s="13">
        <f t="shared" si="117"/>
        <v>12</v>
      </c>
      <c r="AR292" s="173">
        <f t="shared" si="118"/>
        <v>43360</v>
      </c>
      <c r="AS292" s="754">
        <f t="shared" si="119"/>
        <v>0.6428571428571429</v>
      </c>
      <c r="AT292" s="770">
        <f t="shared" si="120"/>
        <v>29.198478771453459</v>
      </c>
      <c r="AU292" s="13">
        <f t="shared" si="121"/>
        <v>11</v>
      </c>
      <c r="AV292" s="13">
        <f t="shared" si="122"/>
        <v>12</v>
      </c>
      <c r="AW292" s="173">
        <f t="shared" si="123"/>
        <v>43374</v>
      </c>
      <c r="AX292" s="754">
        <f t="shared" si="124"/>
        <v>0.14285714285714285</v>
      </c>
      <c r="AY292" s="770">
        <f t="shared" si="125"/>
        <v>29.187614868893956</v>
      </c>
      <c r="AZ292" s="747">
        <f t="shared" si="129"/>
        <v>29.193046820173706</v>
      </c>
      <c r="BA292" s="646">
        <f t="shared" si="126"/>
        <v>1.0102798254760539</v>
      </c>
      <c r="BB292" s="641">
        <v>43378</v>
      </c>
      <c r="BC292" s="11">
        <v>43378</v>
      </c>
      <c r="BD292" s="290">
        <f>[3]!FeuilCaduc*(1-Persistant)+Persistant</f>
        <v>0.95897153999715545</v>
      </c>
      <c r="BE292" s="291">
        <f>[3]!CroissVégét</f>
        <v>0.99222095198209459</v>
      </c>
      <c r="BF292" s="822">
        <f>1+[3]!Salcycl*Ksac</f>
        <v>1.0397428849992889</v>
      </c>
      <c r="BH292" s="1101">
        <f t="shared" si="127"/>
        <v>4.8305644024554976E-3</v>
      </c>
      <c r="BI292" s="11">
        <v>44474</v>
      </c>
      <c r="BJ292" s="727">
        <v>0</v>
      </c>
      <c r="BK292" s="727">
        <v>1.0911861782714452E-7</v>
      </c>
      <c r="BL292" s="727">
        <v>1.1605687130277617E-5</v>
      </c>
      <c r="BM292" s="727">
        <v>4.8100174204042988E-3</v>
      </c>
      <c r="BN292" s="727">
        <v>2.3079495262780789E-2</v>
      </c>
      <c r="BO292" s="728">
        <v>7.4050245292086869E-2</v>
      </c>
      <c r="BP292" s="727">
        <v>0.15783065317670525</v>
      </c>
      <c r="BQ292" s="727">
        <v>0.26997830540756884</v>
      </c>
      <c r="BR292" s="727">
        <v>0.41152727161478564</v>
      </c>
      <c r="BS292" s="727">
        <v>0.59953922870825416</v>
      </c>
      <c r="BT292" s="727">
        <v>0.8297723301340828</v>
      </c>
      <c r="BW292" s="1157">
        <f>'2018'!R\Max</f>
        <v>0.95541717333487597</v>
      </c>
      <c r="BX292" s="1155">
        <f>'2019'!R\Max</f>
        <v>0.83983603708657306</v>
      </c>
      <c r="BY292" s="1155">
        <f>'2020'!R\Max</f>
        <v>0.46226374995921188</v>
      </c>
      <c r="BZ292" s="1155">
        <f>'2021'!R\Max</f>
        <v>0.32340386123614739</v>
      </c>
      <c r="CA292" s="1155">
        <f>'2022'!R\Max</f>
        <v>1.0102798254760539</v>
      </c>
      <c r="CB292" s="1155">
        <f>'2023'!R\Max</f>
        <v>1.0102798254760543</v>
      </c>
      <c r="CC292" s="1155">
        <f>'2024'!R\Max</f>
        <v>1.0102798254760539</v>
      </c>
      <c r="CD292" s="1155">
        <f>'2025'!R\Max</f>
        <v>1.0102798254760541</v>
      </c>
      <c r="CE292" s="1155">
        <f>'2026'!R\Max</f>
        <v>1.0102798254760539</v>
      </c>
      <c r="CF292" s="1156">
        <f>'2027'!R\Max</f>
        <v>1.0102798254760541</v>
      </c>
    </row>
    <row r="293" spans="1:84" s="6" customFormat="1" ht="11.25" x14ac:dyDescent="0.2">
      <c r="A293" s="11">
        <v>43379</v>
      </c>
      <c r="B293" s="380">
        <f>'2022'!Maxi_hp</f>
        <v>25.825303664148674</v>
      </c>
      <c r="C293" s="13">
        <f>'2022'!An_max</f>
        <v>2018</v>
      </c>
      <c r="D293" s="1070"/>
      <c r="E293" s="13"/>
      <c r="F293" s="13">
        <f t="shared" si="128"/>
        <v>21</v>
      </c>
      <c r="G293" s="13">
        <f t="shared" si="112"/>
        <v>22</v>
      </c>
      <c r="H293" s="173">
        <f t="shared" si="113"/>
        <v>43374</v>
      </c>
      <c r="I293" s="754">
        <f t="shared" si="114"/>
        <v>0.35714285714285715</v>
      </c>
      <c r="J293" s="747">
        <f t="shared" si="115"/>
        <v>28.954923980044462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P293" s="13">
        <f t="shared" si="116"/>
        <v>11</v>
      </c>
      <c r="AQ293" s="13">
        <f t="shared" si="117"/>
        <v>12</v>
      </c>
      <c r="AR293" s="173">
        <f t="shared" si="118"/>
        <v>43360</v>
      </c>
      <c r="AS293" s="754">
        <f t="shared" si="119"/>
        <v>0.6785714285714286</v>
      </c>
      <c r="AT293" s="770">
        <f t="shared" si="120"/>
        <v>28.933189483971468</v>
      </c>
      <c r="AU293" s="13">
        <f t="shared" si="121"/>
        <v>11</v>
      </c>
      <c r="AV293" s="13">
        <f t="shared" si="122"/>
        <v>12</v>
      </c>
      <c r="AW293" s="173">
        <f t="shared" si="123"/>
        <v>43374</v>
      </c>
      <c r="AX293" s="754">
        <f t="shared" si="124"/>
        <v>0.17857142857142858</v>
      </c>
      <c r="AY293" s="770">
        <f t="shared" si="125"/>
        <v>28.909791508636307</v>
      </c>
      <c r="AZ293" s="747">
        <f t="shared" si="129"/>
        <v>28.921490496303889</v>
      </c>
      <c r="BA293" s="646">
        <f t="shared" si="126"/>
        <v>0.89191405516889966</v>
      </c>
      <c r="BB293" s="641">
        <v>43379</v>
      </c>
      <c r="BC293" s="11">
        <v>43379</v>
      </c>
      <c r="BD293" s="290">
        <f>[3]!FeuilCaduc*(1-Persistant)+Persistant</f>
        <v>0.95716224864798471</v>
      </c>
      <c r="BE293" s="291">
        <f>[3]!CroissVégét</f>
        <v>0.99254495612417293</v>
      </c>
      <c r="BF293" s="822">
        <f>1+[3]!Salcycl*Ksac</f>
        <v>1.0392905621619961</v>
      </c>
      <c r="BH293" s="1101">
        <f t="shared" si="127"/>
        <v>6.0857456576695812E-3</v>
      </c>
      <c r="BI293" s="11">
        <v>44475</v>
      </c>
      <c r="BJ293" s="727">
        <v>0</v>
      </c>
      <c r="BK293" s="727">
        <v>1.8195646136454799E-7</v>
      </c>
      <c r="BL293" s="727">
        <v>1.8576496207440811E-5</v>
      </c>
      <c r="BM293" s="727">
        <v>6.0620905687077068E-3</v>
      </c>
      <c r="BN293" s="727">
        <v>2.7095161146738749E-2</v>
      </c>
      <c r="BO293" s="728">
        <v>8.3282245677620381E-2</v>
      </c>
      <c r="BP293" s="727">
        <v>0.17281813596930112</v>
      </c>
      <c r="BQ293" s="727">
        <v>0.29021481815039807</v>
      </c>
      <c r="BR293" s="727">
        <v>0.43423923462501618</v>
      </c>
      <c r="BS293" s="727">
        <v>0.62164373399081851</v>
      </c>
      <c r="BT293" s="727">
        <v>0.84895171118995039</v>
      </c>
      <c r="BW293" s="1157">
        <f>'2018'!R\Max</f>
        <v>0.89191405516889966</v>
      </c>
      <c r="BX293" s="1155">
        <f>'2019'!R\Max</f>
        <v>0.46167522200380939</v>
      </c>
      <c r="BY293" s="1155">
        <f>'2020'!R\Max</f>
        <v>0.66728041580131814</v>
      </c>
      <c r="BZ293" s="1155">
        <f>'2021'!R\Max</f>
        <v>0.76901384721945965</v>
      </c>
      <c r="CA293" s="1155">
        <f>'2022'!R\Max</f>
        <v>0.33295744857351212</v>
      </c>
      <c r="CB293" s="1155">
        <f>'2023'!R\Max</f>
        <v>0.33206648589208315</v>
      </c>
      <c r="CC293" s="1155">
        <f>'2024'!R\Max</f>
        <v>0.33008870090638143</v>
      </c>
      <c r="CD293" s="1155">
        <f>'2025'!R\Max</f>
        <v>0.3354328611551245</v>
      </c>
      <c r="CE293" s="1155">
        <f>'2026'!R\Max</f>
        <v>0.33496748299712481</v>
      </c>
      <c r="CF293" s="1156">
        <f>'2027'!R\Max</f>
        <v>0.33376688650547903</v>
      </c>
    </row>
    <row r="294" spans="1:84" s="6" customFormat="1" ht="11.25" x14ac:dyDescent="0.2">
      <c r="A294" s="11">
        <v>43380</v>
      </c>
      <c r="B294" s="380">
        <f>'2022'!Maxi_hp</f>
        <v>28.972781254005142</v>
      </c>
      <c r="C294" s="13">
        <f>'2022'!An_max</f>
        <v>2021</v>
      </c>
      <c r="D294" s="1070"/>
      <c r="E294" s="13"/>
      <c r="F294" s="13">
        <f t="shared" si="128"/>
        <v>21</v>
      </c>
      <c r="G294" s="13">
        <f t="shared" si="112"/>
        <v>22</v>
      </c>
      <c r="H294" s="173">
        <f t="shared" si="113"/>
        <v>43374</v>
      </c>
      <c r="I294" s="754">
        <f t="shared" si="114"/>
        <v>0.42857142857142855</v>
      </c>
      <c r="J294" s="747">
        <f t="shared" si="115"/>
        <v>28.686697959527372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P294" s="13">
        <f t="shared" si="116"/>
        <v>11</v>
      </c>
      <c r="AQ294" s="13">
        <f t="shared" si="117"/>
        <v>12</v>
      </c>
      <c r="AR294" s="173">
        <f t="shared" si="118"/>
        <v>43360</v>
      </c>
      <c r="AS294" s="754">
        <f t="shared" si="119"/>
        <v>0.7142857142857143</v>
      </c>
      <c r="AT294" s="770">
        <f t="shared" si="120"/>
        <v>28.665291253424119</v>
      </c>
      <c r="AU294" s="13">
        <f t="shared" si="121"/>
        <v>11</v>
      </c>
      <c r="AV294" s="13">
        <f t="shared" si="122"/>
        <v>12</v>
      </c>
      <c r="AW294" s="173">
        <f t="shared" si="123"/>
        <v>43374</v>
      </c>
      <c r="AX294" s="754">
        <f t="shared" si="124"/>
        <v>0.21428571428571427</v>
      </c>
      <c r="AY294" s="770">
        <f t="shared" si="125"/>
        <v>28.627829519356602</v>
      </c>
      <c r="AZ294" s="747">
        <f t="shared" si="129"/>
        <v>28.646560386390362</v>
      </c>
      <c r="BA294" s="646">
        <f t="shared" si="126"/>
        <v>1.0099726812364878</v>
      </c>
      <c r="BB294" s="641">
        <v>43380</v>
      </c>
      <c r="BC294" s="11">
        <v>43380</v>
      </c>
      <c r="BD294" s="290">
        <f>[3]!FeuilCaduc*(1-Persistant)+Persistant</f>
        <v>0.95529444070762437</v>
      </c>
      <c r="BE294" s="291">
        <f>[3]!CroissVégét</f>
        <v>0.9928561136972186</v>
      </c>
      <c r="BF294" s="822">
        <f>1+[3]!Salcycl*Ksac</f>
        <v>1.0388236101769062</v>
      </c>
      <c r="BH294" s="1101">
        <f t="shared" si="127"/>
        <v>7.5325518443225895E-3</v>
      </c>
      <c r="BI294" s="11">
        <v>44476</v>
      </c>
      <c r="BJ294" s="727">
        <v>0</v>
      </c>
      <c r="BK294" s="727">
        <v>2.7307440368515974E-7</v>
      </c>
      <c r="BL294" s="727">
        <v>2.7248094834737479E-5</v>
      </c>
      <c r="BM294" s="727">
        <v>7.505572201987238E-3</v>
      </c>
      <c r="BN294" s="727">
        <v>3.1494690244371036E-2</v>
      </c>
      <c r="BO294" s="728">
        <v>9.3080156654868518E-2</v>
      </c>
      <c r="BP294" s="727">
        <v>0.18814697372867895</v>
      </c>
      <c r="BQ294" s="727">
        <v>0.31072157839226411</v>
      </c>
      <c r="BR294" s="727">
        <v>0.45684989297808049</v>
      </c>
      <c r="BS294" s="727">
        <v>0.64320469152557458</v>
      </c>
      <c r="BT294" s="727">
        <v>0.8666998191853712</v>
      </c>
      <c r="BW294" s="1157">
        <f>'2018'!R\Max</f>
        <v>0.33916985152227719</v>
      </c>
      <c r="BX294" s="1155">
        <f>'2019'!R\Max</f>
        <v>0.73828939989585329</v>
      </c>
      <c r="BY294" s="1155">
        <f>'2020'!R\Max</f>
        <v>0.17648342537472275</v>
      </c>
      <c r="BZ294" s="1155">
        <f>'2021'!R\Max</f>
        <v>1.0099726812364878</v>
      </c>
      <c r="CA294" s="1155">
        <f>'2022'!R\Max</f>
        <v>0.70339121175868247</v>
      </c>
      <c r="CB294" s="1155">
        <f>'2023'!R\Max</f>
        <v>0.70247746638973874</v>
      </c>
      <c r="CC294" s="1155">
        <f>'2024'!R\Max</f>
        <v>0.70047510708694427</v>
      </c>
      <c r="CD294" s="1155">
        <f>'2025'!R\Max</f>
        <v>0.70596918425759281</v>
      </c>
      <c r="CE294" s="1155">
        <f>'2026'!R\Max</f>
        <v>0.70547077331498453</v>
      </c>
      <c r="CF294" s="1156">
        <f>'2027'!R\Max</f>
        <v>0.70422988950994525</v>
      </c>
    </row>
    <row r="295" spans="1:84" s="6" customFormat="1" ht="11.25" x14ac:dyDescent="0.2">
      <c r="A295" s="11">
        <v>43381</v>
      </c>
      <c r="B295" s="380">
        <f>'2022'!Maxi_hp</f>
        <v>28.425909994617459</v>
      </c>
      <c r="C295" s="13">
        <f>'2022'!An_max</f>
        <v>2021</v>
      </c>
      <c r="D295" s="1070"/>
      <c r="E295" s="13"/>
      <c r="F295" s="13">
        <f t="shared" si="128"/>
        <v>21</v>
      </c>
      <c r="G295" s="13">
        <f t="shared" si="112"/>
        <v>22</v>
      </c>
      <c r="H295" s="173">
        <f t="shared" si="113"/>
        <v>43374</v>
      </c>
      <c r="I295" s="754">
        <f t="shared" si="114"/>
        <v>0.5</v>
      </c>
      <c r="J295" s="747">
        <f t="shared" si="115"/>
        <v>28.415475000068547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P295" s="13">
        <f t="shared" si="116"/>
        <v>11</v>
      </c>
      <c r="AQ295" s="13">
        <f t="shared" si="117"/>
        <v>12</v>
      </c>
      <c r="AR295" s="173">
        <f t="shared" si="118"/>
        <v>43360</v>
      </c>
      <c r="AS295" s="754">
        <f t="shared" si="119"/>
        <v>0.75</v>
      </c>
      <c r="AT295" s="770">
        <f t="shared" si="120"/>
        <v>28.394824218284338</v>
      </c>
      <c r="AU295" s="13">
        <f t="shared" si="121"/>
        <v>11</v>
      </c>
      <c r="AV295" s="13">
        <f t="shared" si="122"/>
        <v>12</v>
      </c>
      <c r="AW295" s="173">
        <f t="shared" si="123"/>
        <v>43374</v>
      </c>
      <c r="AX295" s="754">
        <f t="shared" si="124"/>
        <v>0.25</v>
      </c>
      <c r="AY295" s="770">
        <f t="shared" si="125"/>
        <v>28.342050000443123</v>
      </c>
      <c r="AZ295" s="747">
        <f t="shared" si="129"/>
        <v>28.368437109363732</v>
      </c>
      <c r="BA295" s="646">
        <f t="shared" si="126"/>
        <v>1.000367229284356</v>
      </c>
      <c r="BB295" s="641">
        <v>43381</v>
      </c>
      <c r="BC295" s="11">
        <v>43381</v>
      </c>
      <c r="BD295" s="290">
        <f>[3]!FeuilCaduc*(1-Persistant)+Persistant</f>
        <v>0.9533679224406586</v>
      </c>
      <c r="BE295" s="291">
        <f>[3]!CroissVégét</f>
        <v>0.99315492642894099</v>
      </c>
      <c r="BF295" s="822">
        <f>1+[3]!Salcycl*Ksac</f>
        <v>1.0383419806101646</v>
      </c>
      <c r="BH295" s="1101">
        <f t="shared" si="127"/>
        <v>9.1712898364601277E-3</v>
      </c>
      <c r="BI295" s="11">
        <v>44477</v>
      </c>
      <c r="BJ295" s="727">
        <v>0</v>
      </c>
      <c r="BK295" s="727">
        <v>3.8250153240364163E-7</v>
      </c>
      <c r="BL295" s="727">
        <v>3.7623190111611223E-5</v>
      </c>
      <c r="BM295" s="727">
        <v>9.1407688436212827E-3</v>
      </c>
      <c r="BN295" s="727">
        <v>3.6278700877006603E-2</v>
      </c>
      <c r="BO295" s="728">
        <v>0.10344488607836594</v>
      </c>
      <c r="BP295" s="727">
        <v>0.2038177042683457</v>
      </c>
      <c r="BQ295" s="727">
        <v>0.3314989537818846</v>
      </c>
      <c r="BR295" s="727">
        <v>0.47935891198065911</v>
      </c>
      <c r="BS295" s="727">
        <v>0.66422086515485101</v>
      </c>
      <c r="BT295" s="727">
        <v>0.88301375105304425</v>
      </c>
      <c r="BW295" s="1157">
        <f>'2018'!R\Max</f>
        <v>0.3766897054106178</v>
      </c>
      <c r="BX295" s="1155">
        <f>'2019'!R\Max</f>
        <v>0.91479690209449727</v>
      </c>
      <c r="BY295" s="1155">
        <f>'2020'!R\Max</f>
        <v>0.76583251287747411</v>
      </c>
      <c r="BZ295" s="1155">
        <f>'2021'!R\Max</f>
        <v>1.000367229284356</v>
      </c>
      <c r="CA295" s="1155">
        <f>'2022'!R\Max</f>
        <v>0.44856067114988607</v>
      </c>
      <c r="CB295" s="1155">
        <f>'2023'!R\Max</f>
        <v>0.44738684536698259</v>
      </c>
      <c r="CC295" s="1155">
        <f>'2024'!R\Max</f>
        <v>0.44487077188509688</v>
      </c>
      <c r="CD295" s="1155">
        <f>'2025'!R\Max</f>
        <v>0.45195710075929924</v>
      </c>
      <c r="CE295" s="1155">
        <f>'2026'!R\Max</f>
        <v>0.45127954531451092</v>
      </c>
      <c r="CF295" s="1156">
        <f>'2027'!R\Max</f>
        <v>0.44965483962837816</v>
      </c>
    </row>
    <row r="296" spans="1:84" s="6" customFormat="1" ht="11.25" x14ac:dyDescent="0.2">
      <c r="A296" s="11">
        <v>43382</v>
      </c>
      <c r="B296" s="380">
        <f>'2022'!Maxi_hp</f>
        <v>26.833200173835117</v>
      </c>
      <c r="C296" s="13">
        <f>'2022'!An_max</f>
        <v>2022</v>
      </c>
      <c r="D296" s="1070"/>
      <c r="E296" s="13"/>
      <c r="F296" s="13">
        <f t="shared" si="128"/>
        <v>21</v>
      </c>
      <c r="G296" s="13">
        <f t="shared" si="112"/>
        <v>22</v>
      </c>
      <c r="H296" s="173">
        <f t="shared" si="113"/>
        <v>43374</v>
      </c>
      <c r="I296" s="754">
        <f t="shared" si="114"/>
        <v>0.5714285714285714</v>
      </c>
      <c r="J296" s="747">
        <f t="shared" si="115"/>
        <v>28.141255102253389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P296" s="13">
        <f t="shared" si="116"/>
        <v>11</v>
      </c>
      <c r="AQ296" s="13">
        <f t="shared" si="117"/>
        <v>12</v>
      </c>
      <c r="AR296" s="173">
        <f t="shared" si="118"/>
        <v>43360</v>
      </c>
      <c r="AS296" s="754">
        <f t="shared" si="119"/>
        <v>0.7857142857142857</v>
      </c>
      <c r="AT296" s="770">
        <f t="shared" si="120"/>
        <v>28.121828516572712</v>
      </c>
      <c r="AU296" s="13">
        <f t="shared" si="121"/>
        <v>11</v>
      </c>
      <c r="AV296" s="13">
        <f t="shared" si="122"/>
        <v>12</v>
      </c>
      <c r="AW296" s="173">
        <f t="shared" si="123"/>
        <v>43374</v>
      </c>
      <c r="AX296" s="754">
        <f t="shared" si="124"/>
        <v>0.2857142857142857</v>
      </c>
      <c r="AY296" s="770">
        <f t="shared" si="125"/>
        <v>28.052774052521482</v>
      </c>
      <c r="AZ296" s="747">
        <f t="shared" si="129"/>
        <v>28.087301284547095</v>
      </c>
      <c r="BA296" s="646">
        <f t="shared" si="126"/>
        <v>0.95351824488050174</v>
      </c>
      <c r="BB296" s="641">
        <v>43382</v>
      </c>
      <c r="BC296" s="11">
        <v>43382</v>
      </c>
      <c r="BD296" s="290">
        <f>[3]!FeuilCaduc*(1-Persistant)+Persistant</f>
        <v>0.95138266646623926</v>
      </c>
      <c r="BE296" s="291">
        <f>[3]!CroissVégét</f>
        <v>0.9934418770502661</v>
      </c>
      <c r="BF296" s="822">
        <f>1+[3]!Salcycl*Ksac</f>
        <v>1.0378456666165599</v>
      </c>
      <c r="BH296" s="1101">
        <f t="shared" si="127"/>
        <v>1.1182052129838155E-2</v>
      </c>
      <c r="BI296" s="11">
        <v>44478</v>
      </c>
      <c r="BJ296" s="727">
        <v>0</v>
      </c>
      <c r="BK296" s="727">
        <v>1.8256306482059664E-6</v>
      </c>
      <c r="BL296" s="727">
        <v>1.6599166461584594E-4</v>
      </c>
      <c r="BM296" s="727">
        <v>1.1147759416400692E-2</v>
      </c>
      <c r="BN296" s="727">
        <v>4.1639340454412838E-2</v>
      </c>
      <c r="BO296" s="728">
        <v>0.11439326633974375</v>
      </c>
      <c r="BP296" s="727">
        <v>0.21978124470778637</v>
      </c>
      <c r="BQ296" s="727">
        <v>0.35226232467803953</v>
      </c>
      <c r="BR296" s="727">
        <v>0.501477041662584</v>
      </c>
      <c r="BS296" s="727">
        <v>0.68435629459794456</v>
      </c>
      <c r="BT296" s="727">
        <v>0.89774787903209807</v>
      </c>
      <c r="BW296" s="1157">
        <f>'2018'!R\Max</f>
        <v>0.8772031827245208</v>
      </c>
      <c r="BX296" s="1155">
        <f>'2019'!R\Max</f>
        <v>0.22645893108498305</v>
      </c>
      <c r="BY296" s="1155">
        <f>'2020'!R\Max</f>
        <v>0.84350510681968116</v>
      </c>
      <c r="BZ296" s="1155">
        <f>'2021'!R\Max</f>
        <v>0.39220718895638862</v>
      </c>
      <c r="CA296" s="1155">
        <f>'2022'!R\Max</f>
        <v>0.95351824488050174</v>
      </c>
      <c r="CB296" s="1155">
        <f>'2023'!R\Max</f>
        <v>0.95329085175012906</v>
      </c>
      <c r="CC296" s="1155">
        <f>'2024'!R\Max</f>
        <v>0.95280827578783478</v>
      </c>
      <c r="CD296" s="1155">
        <f>'2025'!R\Max</f>
        <v>0.95418297601342272</v>
      </c>
      <c r="CE296" s="1155">
        <f>'2026'!R\Max</f>
        <v>0.95404734446267603</v>
      </c>
      <c r="CF296" s="1156">
        <f>'2027'!R\Max</f>
        <v>0.95373181023870612</v>
      </c>
    </row>
    <row r="297" spans="1:84" s="6" customFormat="1" ht="11.25" x14ac:dyDescent="0.2">
      <c r="A297" s="11">
        <v>43383</v>
      </c>
      <c r="B297" s="380">
        <f>'2022'!Maxi_hp</f>
        <v>21.405536530211585</v>
      </c>
      <c r="C297" s="13">
        <f>'2022'!An_max</f>
        <v>2022</v>
      </c>
      <c r="D297" s="1070"/>
      <c r="E297" s="13"/>
      <c r="F297" s="13">
        <f t="shared" si="128"/>
        <v>21</v>
      </c>
      <c r="G297" s="13">
        <f t="shared" si="112"/>
        <v>22</v>
      </c>
      <c r="H297" s="173">
        <f t="shared" si="113"/>
        <v>43374</v>
      </c>
      <c r="I297" s="754">
        <f t="shared" si="114"/>
        <v>0.6428571428571429</v>
      </c>
      <c r="J297" s="747">
        <f t="shared" si="115"/>
        <v>27.864038265496493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P297" s="13">
        <f t="shared" si="116"/>
        <v>11</v>
      </c>
      <c r="AQ297" s="13">
        <f t="shared" si="117"/>
        <v>12</v>
      </c>
      <c r="AR297" s="173">
        <f t="shared" si="118"/>
        <v>43360</v>
      </c>
      <c r="AS297" s="754">
        <f t="shared" si="119"/>
        <v>0.8214285714285714</v>
      </c>
      <c r="AT297" s="770">
        <f t="shared" si="120"/>
        <v>27.846344285484935</v>
      </c>
      <c r="AU297" s="13">
        <f t="shared" si="121"/>
        <v>11</v>
      </c>
      <c r="AV297" s="13">
        <f t="shared" si="122"/>
        <v>12</v>
      </c>
      <c r="AW297" s="173">
        <f t="shared" si="123"/>
        <v>43374</v>
      </c>
      <c r="AX297" s="754">
        <f t="shared" si="124"/>
        <v>0.32142857142857145</v>
      </c>
      <c r="AY297" s="770">
        <f t="shared" si="125"/>
        <v>27.760322777260029</v>
      </c>
      <c r="AZ297" s="747">
        <f t="shared" si="129"/>
        <v>27.803333531372481</v>
      </c>
      <c r="BA297" s="646">
        <f t="shared" si="126"/>
        <v>0.76821372143741462</v>
      </c>
      <c r="BB297" s="641">
        <v>43383</v>
      </c>
      <c r="BC297" s="11">
        <v>43383</v>
      </c>
      <c r="BD297" s="290">
        <f>[3]!FeuilCaduc*(1-Persistant)+Persistant</f>
        <v>0.94933882079623833</v>
      </c>
      <c r="BE297" s="291">
        <f>[3]!CroissVégét</f>
        <v>0.99371742996744827</v>
      </c>
      <c r="BF297" s="822">
        <f>1+[3]!Salcycl*Ksac</f>
        <v>1.0373347051990596</v>
      </c>
      <c r="BH297" s="1101">
        <f t="shared" si="127"/>
        <v>1.3503947448555821E-2</v>
      </c>
      <c r="BI297" s="11">
        <v>44479</v>
      </c>
      <c r="BJ297" s="727">
        <v>0</v>
      </c>
      <c r="BK297" s="727">
        <v>4.6045494265321206E-6</v>
      </c>
      <c r="BL297" s="727">
        <v>4.1251391303009477E-4</v>
      </c>
      <c r="BM297" s="727">
        <v>1.3465811434453747E-2</v>
      </c>
      <c r="BN297" s="727">
        <v>4.7374687341306482E-2</v>
      </c>
      <c r="BO297" s="728">
        <v>0.12557071169276959</v>
      </c>
      <c r="BP297" s="727">
        <v>0.23568590613617044</v>
      </c>
      <c r="BQ297" s="727">
        <v>0.37266983330502801</v>
      </c>
      <c r="BR297" s="727">
        <v>0.52304723198607661</v>
      </c>
      <c r="BS297" s="727">
        <v>0.70376814353905559</v>
      </c>
      <c r="BT297" s="727">
        <v>0.91167085753320576</v>
      </c>
      <c r="BW297" s="1157">
        <f>'2018'!R\Max</f>
        <v>0.46500733754014212</v>
      </c>
      <c r="BX297" s="1155">
        <f>'2019'!R\Max</f>
        <v>0.73929967188017387</v>
      </c>
      <c r="BY297" s="1155">
        <f>'2020'!R\Max</f>
        <v>0.62857773060022237</v>
      </c>
      <c r="BZ297" s="1155">
        <f>'2021'!R\Max</f>
        <v>0.69891834099584482</v>
      </c>
      <c r="CA297" s="1155">
        <f>'2022'!R\Max</f>
        <v>0.76821372143741462</v>
      </c>
      <c r="CB297" s="1155">
        <f>'2023'!R\Max</f>
        <v>0.76723553981891413</v>
      </c>
      <c r="CC297" s="1155">
        <f>'2024'!R\Max</f>
        <v>0.76519908120421543</v>
      </c>
      <c r="CD297" s="1155">
        <f>'2025'!R\Max</f>
        <v>0.77113646839694028</v>
      </c>
      <c r="CE297" s="1155">
        <f>'2026'!R\Max</f>
        <v>0.77052298775095684</v>
      </c>
      <c r="CF297" s="1156">
        <f>'2027'!R\Max</f>
        <v>0.76914423276381283</v>
      </c>
    </row>
    <row r="298" spans="1:84" s="6" customFormat="1" ht="11.25" x14ac:dyDescent="0.2">
      <c r="A298" s="11">
        <v>43384</v>
      </c>
      <c r="B298" s="380">
        <f>'2022'!Maxi_hp</f>
        <v>28.014827724061675</v>
      </c>
      <c r="C298" s="13">
        <f>'2022'!An_max</f>
        <v>2021</v>
      </c>
      <c r="D298" s="1070"/>
      <c r="E298" s="13"/>
      <c r="F298" s="13">
        <f t="shared" si="128"/>
        <v>21</v>
      </c>
      <c r="G298" s="13">
        <f t="shared" si="112"/>
        <v>22</v>
      </c>
      <c r="H298" s="173">
        <f t="shared" si="113"/>
        <v>43374</v>
      </c>
      <c r="I298" s="754">
        <f t="shared" si="114"/>
        <v>0.7142857142857143</v>
      </c>
      <c r="J298" s="747">
        <f t="shared" si="115"/>
        <v>27.583824489851082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P298" s="13">
        <f t="shared" si="116"/>
        <v>11</v>
      </c>
      <c r="AQ298" s="13">
        <f t="shared" si="117"/>
        <v>12</v>
      </c>
      <c r="AR298" s="173">
        <f t="shared" si="118"/>
        <v>43360</v>
      </c>
      <c r="AS298" s="754">
        <f t="shared" si="119"/>
        <v>0.8571428571428571</v>
      </c>
      <c r="AT298" s="770">
        <f t="shared" si="120"/>
        <v>27.568411661205552</v>
      </c>
      <c r="AU298" s="13">
        <f t="shared" si="121"/>
        <v>11</v>
      </c>
      <c r="AV298" s="13">
        <f t="shared" si="122"/>
        <v>12</v>
      </c>
      <c r="AW298" s="173">
        <f t="shared" si="123"/>
        <v>43374</v>
      </c>
      <c r="AX298" s="754">
        <f t="shared" si="124"/>
        <v>0.35714285714285715</v>
      </c>
      <c r="AY298" s="770">
        <f t="shared" si="125"/>
        <v>27.46501727442789</v>
      </c>
      <c r="AZ298" s="747">
        <f t="shared" si="129"/>
        <v>27.516714467816719</v>
      </c>
      <c r="BA298" s="646">
        <f t="shared" si="126"/>
        <v>1.0156252166688913</v>
      </c>
      <c r="BB298" s="641">
        <v>43384</v>
      </c>
      <c r="BC298" s="11">
        <v>43384</v>
      </c>
      <c r="BD298" s="290">
        <f>[3]!FeuilCaduc*(1-Persistant)+Persistant</f>
        <v>0.94723671712584379</v>
      </c>
      <c r="BE298" s="291">
        <f>[3]!CroissVégét</f>
        <v>0.99398203191418089</v>
      </c>
      <c r="BF298" s="822">
        <f>1+[3]!Salcycl*Ksac</f>
        <v>1.0368091792814609</v>
      </c>
      <c r="BH298" s="1101">
        <f t="shared" si="127"/>
        <v>1.6137458468302626E-2</v>
      </c>
      <c r="BI298" s="11">
        <v>44480</v>
      </c>
      <c r="BJ298" s="727">
        <v>0</v>
      </c>
      <c r="BK298" s="727">
        <v>8.7213558177266672E-6</v>
      </c>
      <c r="BL298" s="727">
        <v>7.7737550160978611E-4</v>
      </c>
      <c r="BM298" s="727">
        <v>1.6095407485754044E-2</v>
      </c>
      <c r="BN298" s="727">
        <v>5.348530211880561E-2</v>
      </c>
      <c r="BO298" s="728">
        <v>0.1369774938001985</v>
      </c>
      <c r="BP298" s="727">
        <v>0.25153141022210329</v>
      </c>
      <c r="BQ298" s="727">
        <v>0.39272060660174424</v>
      </c>
      <c r="BR298" s="727">
        <v>0.54406814923180979</v>
      </c>
      <c r="BS298" s="727">
        <v>0.72245459467405759</v>
      </c>
      <c r="BT298" s="727">
        <v>0.92478047827198084</v>
      </c>
      <c r="BW298" s="1157">
        <f>'2018'!R\Max</f>
        <v>0.69467983146009649</v>
      </c>
      <c r="BX298" s="1155">
        <f>'2019'!R\Max</f>
        <v>0.97609405539884719</v>
      </c>
      <c r="BY298" s="1155">
        <f>'2020'!R\Max</f>
        <v>0.54750751699913514</v>
      </c>
      <c r="BZ298" s="1155">
        <f>'2021'!R\Max</f>
        <v>1.0156252166688913</v>
      </c>
      <c r="CA298" s="1155">
        <f>'2022'!R\Max</f>
        <v>0.60767603987964136</v>
      </c>
      <c r="CB298" s="1155">
        <f>'2023'!R\Max</f>
        <v>0.6062812244014848</v>
      </c>
      <c r="CC298" s="1155">
        <f>'2024'!R\Max</f>
        <v>0.6034289790174322</v>
      </c>
      <c r="CD298" s="1155">
        <f>'2025'!R\Max</f>
        <v>0.61193057582056165</v>
      </c>
      <c r="CE298" s="1155">
        <f>'2026'!R\Max</f>
        <v>0.61101340848414287</v>
      </c>
      <c r="CF298" s="1156">
        <f>'2027'!R\Max</f>
        <v>0.60901851921709105</v>
      </c>
    </row>
    <row r="299" spans="1:84" s="6" customFormat="1" ht="11.25" x14ac:dyDescent="0.2">
      <c r="A299" s="11">
        <v>43385</v>
      </c>
      <c r="B299" s="380">
        <f>'2022'!Maxi_hp</f>
        <v>26.927218477967962</v>
      </c>
      <c r="C299" s="13">
        <f>'2022'!An_max</f>
        <v>2021</v>
      </c>
      <c r="D299" s="1070"/>
      <c r="E299" s="13"/>
      <c r="F299" s="13">
        <f t="shared" si="128"/>
        <v>21</v>
      </c>
      <c r="G299" s="13">
        <f t="shared" si="112"/>
        <v>22</v>
      </c>
      <c r="H299" s="173">
        <f t="shared" si="113"/>
        <v>43374</v>
      </c>
      <c r="I299" s="754">
        <f t="shared" si="114"/>
        <v>0.7857142857142857</v>
      </c>
      <c r="J299" s="747">
        <f t="shared" si="115"/>
        <v>27.300613775769513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P299" s="13">
        <f t="shared" si="116"/>
        <v>11</v>
      </c>
      <c r="AQ299" s="13">
        <f t="shared" si="117"/>
        <v>12</v>
      </c>
      <c r="AR299" s="173">
        <f t="shared" si="118"/>
        <v>43360</v>
      </c>
      <c r="AS299" s="754">
        <f t="shared" si="119"/>
        <v>0.8928571428571429</v>
      </c>
      <c r="AT299" s="770">
        <f t="shared" si="120"/>
        <v>27.288070783870563</v>
      </c>
      <c r="AU299" s="13">
        <f t="shared" si="121"/>
        <v>11</v>
      </c>
      <c r="AV299" s="13">
        <f t="shared" si="122"/>
        <v>12</v>
      </c>
      <c r="AW299" s="173">
        <f t="shared" si="123"/>
        <v>43374</v>
      </c>
      <c r="AX299" s="754">
        <f t="shared" si="124"/>
        <v>0.39285714285714285</v>
      </c>
      <c r="AY299" s="770">
        <f t="shared" si="125"/>
        <v>27.167178644406214</v>
      </c>
      <c r="AZ299" s="747">
        <f t="shared" si="129"/>
        <v>27.227624714138386</v>
      </c>
      <c r="BA299" s="646">
        <f t="shared" si="126"/>
        <v>0.98632282406291705</v>
      </c>
      <c r="BB299" s="641">
        <v>43385</v>
      </c>
      <c r="BC299" s="11">
        <v>43385</v>
      </c>
      <c r="BD299" s="290">
        <f>[3]!FeuilCaduc*(1-Persistant)+Persistant</f>
        <v>0.9450768782819946</v>
      </c>
      <c r="BE299" s="291">
        <f>[3]!CroissVégét</f>
        <v>0.99423611258398381</v>
      </c>
      <c r="BF299" s="822">
        <f>1+[3]!Salcycl*Ksac</f>
        <v>1.0362692195704986</v>
      </c>
      <c r="BH299" s="1101">
        <f t="shared" si="127"/>
        <v>1.9083059544561274E-2</v>
      </c>
      <c r="BI299" s="11">
        <v>44481</v>
      </c>
      <c r="BJ299" s="727">
        <v>0</v>
      </c>
      <c r="BK299" s="727">
        <v>1.417814345064185E-5</v>
      </c>
      <c r="BL299" s="727">
        <v>1.2607616112181514E-3</v>
      </c>
      <c r="BM299" s="727">
        <v>1.9037021854410772E-2</v>
      </c>
      <c r="BN299" s="727">
        <v>5.9971722533223901E-2</v>
      </c>
      <c r="BO299" s="728">
        <v>0.14861383695240454</v>
      </c>
      <c r="BP299" s="727">
        <v>0.26731740909452378</v>
      </c>
      <c r="BQ299" s="727">
        <v>0.41241368079171808</v>
      </c>
      <c r="BR299" s="727">
        <v>0.56453836308034833</v>
      </c>
      <c r="BS299" s="727">
        <v>0.74041374293950724</v>
      </c>
      <c r="BT299" s="727">
        <v>0.93707446922659499</v>
      </c>
      <c r="BW299" s="1157">
        <f>'2018'!R\Max</f>
        <v>0.875746415446788</v>
      </c>
      <c r="BX299" s="1155">
        <f>'2019'!R\Max</f>
        <v>0.46637541595725185</v>
      </c>
      <c r="BY299" s="1155">
        <f>'2020'!R\Max</f>
        <v>0.44414139423974902</v>
      </c>
      <c r="BZ299" s="1155">
        <f>'2021'!R\Max</f>
        <v>0.98632282406291705</v>
      </c>
      <c r="CA299" s="1155">
        <f>'2022'!R\Max</f>
        <v>0.74671527268691762</v>
      </c>
      <c r="CB299" s="1155">
        <f>'2023'!R\Max</f>
        <v>0.74554028308313891</v>
      </c>
      <c r="CC299" s="1155">
        <f>'2024'!R\Max</f>
        <v>0.74316552006227865</v>
      </c>
      <c r="CD299" s="1155">
        <f>'2025'!R\Max</f>
        <v>0.75034467288722706</v>
      </c>
      <c r="CE299" s="1155">
        <f>'2026'!R\Max</f>
        <v>0.74954549455976749</v>
      </c>
      <c r="CF299" s="1156">
        <f>'2027'!R\Max</f>
        <v>0.74785465412969787</v>
      </c>
    </row>
    <row r="300" spans="1:84" s="6" customFormat="1" ht="11.25" x14ac:dyDescent="0.2">
      <c r="A300" s="11">
        <v>43386</v>
      </c>
      <c r="B300" s="380">
        <f>'2022'!Maxi_hp</f>
        <v>25.635281069099932</v>
      </c>
      <c r="C300" s="13">
        <f>'2022'!An_max</f>
        <v>2021</v>
      </c>
      <c r="D300" s="1070"/>
      <c r="E300" s="13"/>
      <c r="F300" s="13">
        <f t="shared" si="128"/>
        <v>21</v>
      </c>
      <c r="G300" s="13">
        <f t="shared" si="112"/>
        <v>22</v>
      </c>
      <c r="H300" s="173">
        <f t="shared" si="113"/>
        <v>43374</v>
      </c>
      <c r="I300" s="754">
        <f t="shared" si="114"/>
        <v>0.8571428571428571</v>
      </c>
      <c r="J300" s="747">
        <f t="shared" si="115"/>
        <v>27.014406122639777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P300" s="13">
        <f t="shared" si="116"/>
        <v>11</v>
      </c>
      <c r="AQ300" s="13">
        <f t="shared" si="117"/>
        <v>12</v>
      </c>
      <c r="AR300" s="173">
        <f t="shared" si="118"/>
        <v>43360</v>
      </c>
      <c r="AS300" s="754">
        <f t="shared" si="119"/>
        <v>0.9285714285714286</v>
      </c>
      <c r="AT300" s="770">
        <f t="shared" si="120"/>
        <v>27.005361789278687</v>
      </c>
      <c r="AU300" s="13">
        <f t="shared" si="121"/>
        <v>11</v>
      </c>
      <c r="AV300" s="13">
        <f t="shared" si="122"/>
        <v>12</v>
      </c>
      <c r="AW300" s="173">
        <f t="shared" si="123"/>
        <v>43374</v>
      </c>
      <c r="AX300" s="754">
        <f t="shared" si="124"/>
        <v>0.42857142857142855</v>
      </c>
      <c r="AY300" s="770">
        <f t="shared" si="125"/>
        <v>26.867127988460869</v>
      </c>
      <c r="AZ300" s="747">
        <f t="shared" si="129"/>
        <v>26.93624488886978</v>
      </c>
      <c r="BA300" s="646">
        <f t="shared" si="126"/>
        <v>0.94894853333888207</v>
      </c>
      <c r="BB300" s="641">
        <v>43386</v>
      </c>
      <c r="BC300" s="11">
        <v>43386</v>
      </c>
      <c r="BD300" s="290">
        <f>[3]!FeuilCaduc*(1-Persistant)+Persistant</f>
        <v>0.94286002473988373</v>
      </c>
      <c r="BE300" s="291">
        <f>[3]!CroissVégét</f>
        <v>0.99448008524317211</v>
      </c>
      <c r="BF300" s="822">
        <f>1+[3]!Salcycl*Ksac</f>
        <v>1.0357150061849709</v>
      </c>
      <c r="BH300" s="1101">
        <f t="shared" si="127"/>
        <v>2.2341213332038711E-2</v>
      </c>
      <c r="BI300" s="11">
        <v>44482</v>
      </c>
      <c r="BJ300" s="727">
        <v>0</v>
      </c>
      <c r="BK300" s="727">
        <v>2.0976987036176598E-5</v>
      </c>
      <c r="BL300" s="727">
        <v>1.8628557462427972E-3</v>
      </c>
      <c r="BM300" s="727">
        <v>2.2291117140839291E-2</v>
      </c>
      <c r="BN300" s="727">
        <v>6.6834459458689793E-2</v>
      </c>
      <c r="BO300" s="728">
        <v>0.16047991568813194</v>
      </c>
      <c r="BP300" s="727">
        <v>0.28304348617235853</v>
      </c>
      <c r="BQ300" s="727">
        <v>0.4317480055185845</v>
      </c>
      <c r="BR300" s="727">
        <v>0.58445635286688691</v>
      </c>
      <c r="BS300" s="727">
        <v>0.75764360366945793</v>
      </c>
      <c r="BT300" s="727">
        <v>0.94855050369482496</v>
      </c>
      <c r="BW300" s="1157">
        <f>'2018'!R\Max</f>
        <v>0.57885455772275807</v>
      </c>
      <c r="BX300" s="1155">
        <f>'2019'!R\Max</f>
        <v>0.91097120927370445</v>
      </c>
      <c r="BY300" s="1155">
        <f>'2020'!R\Max</f>
        <v>0.68519467446137439</v>
      </c>
      <c r="BZ300" s="1155">
        <f>'2021'!R\Max</f>
        <v>0.94894853333888207</v>
      </c>
      <c r="CA300" s="1155">
        <f>'2022'!R\Max</f>
        <v>0.58172974851776427</v>
      </c>
      <c r="CB300" s="1155">
        <f>'2023'!R\Max</f>
        <v>0.58013423136411957</v>
      </c>
      <c r="CC300" s="1155">
        <f>'2024'!R\Max</f>
        <v>0.57696304699929035</v>
      </c>
      <c r="CD300" s="1155">
        <f>'2025'!R\Max</f>
        <v>0.58675562508016388</v>
      </c>
      <c r="CE300" s="1155">
        <f>'2026'!R\Max</f>
        <v>0.58562121042130566</v>
      </c>
      <c r="CF300" s="1156">
        <f>'2027'!R\Max</f>
        <v>0.58329334276026668</v>
      </c>
    </row>
    <row r="301" spans="1:84" s="6" customFormat="1" ht="11.25" x14ac:dyDescent="0.2">
      <c r="A301" s="11">
        <v>43387</v>
      </c>
      <c r="B301" s="380">
        <f>'2022'!Maxi_hp</f>
        <v>27.876049215110069</v>
      </c>
      <c r="C301" s="13">
        <f>'2022'!An_max</f>
        <v>2021</v>
      </c>
      <c r="D301" s="1070"/>
      <c r="E301" s="13"/>
      <c r="F301" s="13">
        <f t="shared" si="128"/>
        <v>21</v>
      </c>
      <c r="G301" s="13">
        <f t="shared" si="112"/>
        <v>22</v>
      </c>
      <c r="H301" s="173">
        <f t="shared" si="113"/>
        <v>43374</v>
      </c>
      <c r="I301" s="754">
        <f t="shared" si="114"/>
        <v>0.9285714285714286</v>
      </c>
      <c r="J301" s="747">
        <f t="shared" si="115"/>
        <v>26.725201531153704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P301" s="13">
        <f t="shared" si="116"/>
        <v>11</v>
      </c>
      <c r="AQ301" s="13">
        <f t="shared" si="117"/>
        <v>12</v>
      </c>
      <c r="AR301" s="173">
        <f t="shared" si="118"/>
        <v>43360</v>
      </c>
      <c r="AS301" s="754">
        <f t="shared" si="119"/>
        <v>0.9642857142857143</v>
      </c>
      <c r="AT301" s="770">
        <f t="shared" si="120"/>
        <v>26.720324815317458</v>
      </c>
      <c r="AU301" s="13">
        <f t="shared" si="121"/>
        <v>11</v>
      </c>
      <c r="AV301" s="13">
        <f t="shared" si="122"/>
        <v>12</v>
      </c>
      <c r="AW301" s="173">
        <f t="shared" si="123"/>
        <v>43374</v>
      </c>
      <c r="AX301" s="754">
        <f t="shared" si="124"/>
        <v>0.4642857142857143</v>
      </c>
      <c r="AY301" s="770">
        <f t="shared" si="125"/>
        <v>26.565186407001288</v>
      </c>
      <c r="AZ301" s="747">
        <f t="shared" si="129"/>
        <v>26.642755611159373</v>
      </c>
      <c r="BA301" s="646">
        <f t="shared" si="126"/>
        <v>1.0430622640063094</v>
      </c>
      <c r="BB301" s="641">
        <v>43387</v>
      </c>
      <c r="BC301" s="11">
        <v>43387</v>
      </c>
      <c r="BD301" s="290">
        <f>[3]!FeuilCaduc*(1-Persistant)+Persistant</f>
        <v>0.9405870801235594</v>
      </c>
      <c r="BE301" s="291">
        <f>[3]!CroissVégét</f>
        <v>0.99471434732473374</v>
      </c>
      <c r="BF301" s="822">
        <f>1+[3]!Salcycl*Ksac</f>
        <v>1.0351467700308898</v>
      </c>
      <c r="BH301" s="1101">
        <f t="shared" si="127"/>
        <v>2.5912367404276795E-2</v>
      </c>
      <c r="BI301" s="11">
        <v>44483</v>
      </c>
      <c r="BJ301" s="727">
        <v>0</v>
      </c>
      <c r="BK301" s="727">
        <v>2.9119927770940633E-5</v>
      </c>
      <c r="BL301" s="727">
        <v>2.5838384435234066E-3</v>
      </c>
      <c r="BM301" s="727">
        <v>2.5858140882110855E-2</v>
      </c>
      <c r="BN301" s="727">
        <v>7.4073992860334462E-2</v>
      </c>
      <c r="BO301" s="728">
        <v>0.17257585241666137</v>
      </c>
      <c r="BP301" s="727">
        <v>0.29870915699672823</v>
      </c>
      <c r="BQ301" s="727">
        <v>0.45072244798548727</v>
      </c>
      <c r="BR301" s="727">
        <v>0.60382051384138191</v>
      </c>
      <c r="BS301" s="727">
        <v>0.77414212075934707</v>
      </c>
      <c r="BT301" s="727">
        <v>0.95920620936005341</v>
      </c>
      <c r="BW301" s="1157">
        <f>'2018'!R\Max</f>
        <v>0.85764241516610473</v>
      </c>
      <c r="BX301" s="1155">
        <f>'2019'!R\Max</f>
        <v>0.28125857452827702</v>
      </c>
      <c r="BY301" s="1155">
        <f>'2020'!R\Max</f>
        <v>0.62428830702917237</v>
      </c>
      <c r="BZ301" s="1155">
        <f>'2021'!R\Max</f>
        <v>1.0430622640063094</v>
      </c>
      <c r="CA301" s="1155">
        <f>'2022'!R\Max</f>
        <v>0.46335919223913052</v>
      </c>
      <c r="CB301" s="1155">
        <f>'2023'!R\Max</f>
        <v>0.46164414112516644</v>
      </c>
      <c r="CC301" s="1155">
        <f>'2024'!R\Max</f>
        <v>0.45828789119098434</v>
      </c>
      <c r="CD301" s="1155">
        <f>'2025'!R\Max</f>
        <v>0.4688610662889332</v>
      </c>
      <c r="CE301" s="1155">
        <f>'2026'!R\Max</f>
        <v>0.46758974231487788</v>
      </c>
      <c r="CF301" s="1156">
        <f>'2027'!R\Max</f>
        <v>0.4650562414758847</v>
      </c>
    </row>
    <row r="302" spans="1:84" s="6" customFormat="1" ht="11.25" x14ac:dyDescent="0.2">
      <c r="A302" s="11">
        <v>43388</v>
      </c>
      <c r="B302" s="380">
        <f>'2022'!Maxi_hp</f>
        <v>25.958386813134396</v>
      </c>
      <c r="C302" s="13">
        <f>'2022'!An_max</f>
        <v>2022</v>
      </c>
      <c r="D302" s="1070"/>
      <c r="E302" s="1073">
        <f>AH$13/10</f>
        <v>26.433</v>
      </c>
      <c r="F302" s="13">
        <f t="shared" si="128"/>
        <v>23</v>
      </c>
      <c r="G302" s="13">
        <f t="shared" si="112"/>
        <v>22</v>
      </c>
      <c r="H302" s="173">
        <f t="shared" si="113"/>
        <v>43402</v>
      </c>
      <c r="I302" s="754">
        <f t="shared" si="114"/>
        <v>1</v>
      </c>
      <c r="J302" s="747">
        <f t="shared" si="115"/>
        <v>26.433000000193715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P302" s="13">
        <f t="shared" si="116"/>
        <v>13</v>
      </c>
      <c r="AQ302" s="13">
        <f t="shared" si="117"/>
        <v>12</v>
      </c>
      <c r="AR302" s="173">
        <f t="shared" si="118"/>
        <v>43416</v>
      </c>
      <c r="AS302" s="754">
        <f t="shared" si="119"/>
        <v>1</v>
      </c>
      <c r="AT302" s="770">
        <f t="shared" si="120"/>
        <v>26.432999999448658</v>
      </c>
      <c r="AU302" s="13">
        <f t="shared" si="121"/>
        <v>11</v>
      </c>
      <c r="AV302" s="13">
        <f t="shared" si="122"/>
        <v>12</v>
      </c>
      <c r="AW302" s="173">
        <f t="shared" si="123"/>
        <v>43374</v>
      </c>
      <c r="AX302" s="754">
        <f t="shared" si="124"/>
        <v>0.5</v>
      </c>
      <c r="AY302" s="770">
        <f t="shared" si="125"/>
        <v>26.261674999911339</v>
      </c>
      <c r="AZ302" s="747">
        <f t="shared" si="129"/>
        <v>26.347337499679998</v>
      </c>
      <c r="BA302" s="646">
        <f t="shared" si="126"/>
        <v>0.98204467192313238</v>
      </c>
      <c r="BB302" s="641">
        <v>43388</v>
      </c>
      <c r="BC302" s="11">
        <v>43388</v>
      </c>
      <c r="BD302" s="290">
        <f>[3]!FeuilCaduc*(1-Persistant)+Persistant</f>
        <v>0.93825917561333938</v>
      </c>
      <c r="BE302" s="291">
        <f>[3]!CroissVégét</f>
        <v>0.99493928100346574</v>
      </c>
      <c r="BF302" s="822">
        <f>1+[3]!Salcycl*Ksac</f>
        <v>1.0345647939033349</v>
      </c>
      <c r="BH302" s="1101">
        <f t="shared" si="127"/>
        <v>2.9796950873101257E-2</v>
      </c>
      <c r="BI302" s="11">
        <v>44484</v>
      </c>
      <c r="BJ302" s="727">
        <v>0</v>
      </c>
      <c r="BK302" s="727">
        <v>3.8608958740836023E-5</v>
      </c>
      <c r="BL302" s="727">
        <v>3.4238859812720807E-3</v>
      </c>
      <c r="BM302" s="727">
        <v>2.97385221721411E-2</v>
      </c>
      <c r="BN302" s="727">
        <v>8.1690767756943325E-2</v>
      </c>
      <c r="BO302" s="728">
        <v>0.18490171503860331</v>
      </c>
      <c r="BP302" s="727">
        <v>0.31431387006063477</v>
      </c>
      <c r="BQ302" s="727">
        <v>0.46933579709056011</v>
      </c>
      <c r="BR302" s="727">
        <v>0.62262916342325436</v>
      </c>
      <c r="BS302" s="727">
        <v>0.78990717482269091</v>
      </c>
      <c r="BT302" s="727">
        <v>0.96903917734807965</v>
      </c>
      <c r="BW302" s="1157">
        <f>'2018'!R\Max</f>
        <v>0.27858507646005998</v>
      </c>
      <c r="BX302" s="1155">
        <f>'2019'!R\Max</f>
        <v>0.82322760567331132</v>
      </c>
      <c r="BY302" s="1155">
        <f>'2020'!R\Max</f>
        <v>0.40508044968719825</v>
      </c>
      <c r="BZ302" s="1155">
        <f>'2021'!R\Max</f>
        <v>0.92239230591006194</v>
      </c>
      <c r="CA302" s="1155">
        <f>'2022'!R\Max</f>
        <v>0.98204467192313238</v>
      </c>
      <c r="CB302" s="1155">
        <f>'2023'!R\Max</f>
        <v>0.98191658624967593</v>
      </c>
      <c r="CC302" s="1155">
        <f>'2024'!R\Max</f>
        <v>0.98166636764095072</v>
      </c>
      <c r="CD302" s="1155">
        <f>'2025'!R\Max</f>
        <v>0.98245502409613661</v>
      </c>
      <c r="CE302" s="1155">
        <f>'2026'!R\Max</f>
        <v>0.982359099973664</v>
      </c>
      <c r="CF302" s="1156">
        <f>'2027'!R\Max</f>
        <v>0.98217144142251522</v>
      </c>
    </row>
    <row r="303" spans="1:84" s="6" customFormat="1" ht="11.25" x14ac:dyDescent="0.2">
      <c r="A303" s="11">
        <v>43389</v>
      </c>
      <c r="B303" s="380">
        <f>'2022'!Maxi_hp</f>
        <v>25.248209273651742</v>
      </c>
      <c r="C303" s="13">
        <f>'2022'!An_max</f>
        <v>2021</v>
      </c>
      <c r="D303" s="1070"/>
      <c r="E303" s="13"/>
      <c r="F303" s="13">
        <f t="shared" si="128"/>
        <v>23</v>
      </c>
      <c r="G303" s="13">
        <f t="shared" si="112"/>
        <v>22</v>
      </c>
      <c r="H303" s="173">
        <f t="shared" si="113"/>
        <v>43402</v>
      </c>
      <c r="I303" s="754">
        <f t="shared" si="114"/>
        <v>0.9285714285714286</v>
      </c>
      <c r="J303" s="747">
        <f t="shared" si="115"/>
        <v>26.137105813356378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P303" s="13">
        <f t="shared" si="116"/>
        <v>13</v>
      </c>
      <c r="AQ303" s="13">
        <f t="shared" si="117"/>
        <v>12</v>
      </c>
      <c r="AR303" s="173">
        <f t="shared" si="118"/>
        <v>43416</v>
      </c>
      <c r="AS303" s="754">
        <f t="shared" si="119"/>
        <v>0.9642857142857143</v>
      </c>
      <c r="AT303" s="770">
        <f t="shared" si="120"/>
        <v>26.139621100667863</v>
      </c>
      <c r="AU303" s="13">
        <f t="shared" si="121"/>
        <v>11</v>
      </c>
      <c r="AV303" s="13">
        <f t="shared" si="122"/>
        <v>12</v>
      </c>
      <c r="AW303" s="173">
        <f t="shared" si="123"/>
        <v>43374</v>
      </c>
      <c r="AX303" s="754">
        <f t="shared" si="124"/>
        <v>0.5357142857142857</v>
      </c>
      <c r="AY303" s="770">
        <f t="shared" si="125"/>
        <v>25.956914869148751</v>
      </c>
      <c r="AZ303" s="747">
        <f t="shared" si="129"/>
        <v>26.048267984908307</v>
      </c>
      <c r="BA303" s="646">
        <f t="shared" si="126"/>
        <v>0.9659910111680996</v>
      </c>
      <c r="BB303" s="641">
        <v>43389</v>
      </c>
      <c r="BC303" s="11">
        <v>43389</v>
      </c>
      <c r="BD303" s="290">
        <f>[3]!FeuilCaduc*(1-Persistant)+Persistant</f>
        <v>0.9358776531903088</v>
      </c>
      <c r="BE303" s="291">
        <f>[3]!CroissVégét</f>
        <v>0.99515525375273173</v>
      </c>
      <c r="BF303" s="822">
        <f>1+[3]!Salcycl*Ksac</f>
        <v>1.0339694132975772</v>
      </c>
      <c r="BH303" s="1101">
        <f t="shared" si="127"/>
        <v>3.3995371008125837E-2</v>
      </c>
      <c r="BI303" s="11">
        <v>44485</v>
      </c>
      <c r="BJ303" s="727">
        <v>0</v>
      </c>
      <c r="BK303" s="727">
        <v>4.9446010324662065E-5</v>
      </c>
      <c r="BL303" s="727">
        <v>4.3831690879957584E-3</v>
      </c>
      <c r="BM303" s="727">
        <v>3.3932668281933545E-2</v>
      </c>
      <c r="BN303" s="727">
        <v>8.9685190183796504E-2</v>
      </c>
      <c r="BO303" s="728">
        <v>0.19745751456718516</v>
      </c>
      <c r="BP303" s="727">
        <v>0.32985700763957021</v>
      </c>
      <c r="BQ303" s="727">
        <v>0.48758676756385427</v>
      </c>
      <c r="BR303" s="727">
        <v>0.64088054745811585</v>
      </c>
      <c r="BS303" s="727">
        <v>0.80493659135048778</v>
      </c>
      <c r="BT303" s="727">
        <v>0.97804697128742379</v>
      </c>
      <c r="BW303" s="1157">
        <f>'2018'!R\Max</f>
        <v>0.55314416547121015</v>
      </c>
      <c r="BX303" s="1155">
        <f>'2019'!R\Max</f>
        <v>0.8490550321664263</v>
      </c>
      <c r="BY303" s="1155">
        <f>'2020'!R\Max</f>
        <v>0.52239795652112153</v>
      </c>
      <c r="BZ303" s="1155">
        <f>'2021'!R\Max</f>
        <v>0.9659910111680996</v>
      </c>
      <c r="CA303" s="1155">
        <f>'2022'!R\Max</f>
        <v>0.88155561283238204</v>
      </c>
      <c r="CB303" s="1155">
        <f>'2023'!R\Max</f>
        <v>0.88076259485005448</v>
      </c>
      <c r="CC303" s="1155">
        <f>'2024'!R\Max</f>
        <v>0.87923548114511318</v>
      </c>
      <c r="CD303" s="1155">
        <f>'2025'!R\Max</f>
        <v>0.88413870139497674</v>
      </c>
      <c r="CE303" s="1155">
        <f>'2026'!R\Max</f>
        <v>0.88352164902408548</v>
      </c>
      <c r="CF303" s="1156">
        <f>'2027'!R\Max</f>
        <v>0.88234722441386404</v>
      </c>
    </row>
    <row r="304" spans="1:84" s="6" customFormat="1" ht="11.25" x14ac:dyDescent="0.2">
      <c r="A304" s="11">
        <v>43390</v>
      </c>
      <c r="B304" s="380">
        <f>'2022'!Maxi_hp</f>
        <v>23.457499941196161</v>
      </c>
      <c r="C304" s="13">
        <f>'2022'!An_max</f>
        <v>2021</v>
      </c>
      <c r="D304" s="1070"/>
      <c r="E304" s="13"/>
      <c r="F304" s="13">
        <f t="shared" si="128"/>
        <v>23</v>
      </c>
      <c r="G304" s="13">
        <f t="shared" si="112"/>
        <v>22</v>
      </c>
      <c r="H304" s="173">
        <f t="shared" si="113"/>
        <v>43402</v>
      </c>
      <c r="I304" s="754">
        <f t="shared" si="114"/>
        <v>0.8571428571428571</v>
      </c>
      <c r="J304" s="747">
        <f t="shared" si="115"/>
        <v>25.837037318332921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P304" s="13">
        <f t="shared" si="116"/>
        <v>13</v>
      </c>
      <c r="AQ304" s="13">
        <f t="shared" si="117"/>
        <v>12</v>
      </c>
      <c r="AR304" s="173">
        <f t="shared" si="118"/>
        <v>43416</v>
      </c>
      <c r="AS304" s="754">
        <f t="shared" si="119"/>
        <v>0.9285714285714286</v>
      </c>
      <c r="AT304" s="770">
        <f t="shared" si="120"/>
        <v>25.836930284063733</v>
      </c>
      <c r="AU304" s="13">
        <f t="shared" si="121"/>
        <v>11</v>
      </c>
      <c r="AV304" s="13">
        <f t="shared" si="122"/>
        <v>12</v>
      </c>
      <c r="AW304" s="173">
        <f t="shared" si="123"/>
        <v>43374</v>
      </c>
      <c r="AX304" s="754">
        <f t="shared" si="124"/>
        <v>0.5714285714285714</v>
      </c>
      <c r="AY304" s="770">
        <f t="shared" si="125"/>
        <v>25.651227113684378</v>
      </c>
      <c r="AZ304" s="747">
        <f t="shared" si="129"/>
        <v>25.744078698874056</v>
      </c>
      <c r="BA304" s="646">
        <f t="shared" si="126"/>
        <v>0.90790208072934364</v>
      </c>
      <c r="BB304" s="641">
        <v>43390</v>
      </c>
      <c r="BC304" s="11">
        <v>43390</v>
      </c>
      <c r="BD304" s="290">
        <f>[3]!FeuilCaduc*(1-Persistant)+Persistant</f>
        <v>0.93344406765650922</v>
      </c>
      <c r="BE304" s="291">
        <f>[3]!CroissVégét</f>
        <v>0.99536261888322142</v>
      </c>
      <c r="BF304" s="822">
        <f>1+[3]!Salcycl*Ksac</f>
        <v>1.0333610169141274</v>
      </c>
      <c r="BH304" s="1101">
        <f t="shared" si="127"/>
        <v>3.8739275940428496E-2</v>
      </c>
      <c r="BI304" s="11">
        <v>44486</v>
      </c>
      <c r="BJ304" s="727">
        <v>9.9231655409248565E-8</v>
      </c>
      <c r="BK304" s="727">
        <v>1.5880434693263653E-4</v>
      </c>
      <c r="BL304" s="727">
        <v>5.6906292337702037E-3</v>
      </c>
      <c r="BM304" s="727">
        <v>3.8672170535077585E-2</v>
      </c>
      <c r="BN304" s="727">
        <v>9.8339362198905392E-2</v>
      </c>
      <c r="BO304" s="728">
        <v>0.21038592892754629</v>
      </c>
      <c r="BP304" s="727">
        <v>0.34535807960209353</v>
      </c>
      <c r="BQ304" s="727">
        <v>0.50521866291482131</v>
      </c>
      <c r="BR304" s="727">
        <v>0.65818482423031055</v>
      </c>
      <c r="BS304" s="727">
        <v>0.81894762063103788</v>
      </c>
      <c r="BT304" s="727">
        <v>0.98619061716746748</v>
      </c>
      <c r="BW304" s="1157">
        <f>'2018'!R\Max</f>
        <v>0.57815157417549135</v>
      </c>
      <c r="BX304" s="1155">
        <f>'2019'!R\Max</f>
        <v>0.50138537007242057</v>
      </c>
      <c r="BY304" s="1155">
        <f>'2020'!R\Max</f>
        <v>0.29558197176114648</v>
      </c>
      <c r="BZ304" s="1155">
        <f>'2021'!R\Max</f>
        <v>0.90790208072934364</v>
      </c>
      <c r="CA304" s="1155">
        <f>'2022'!R\Max</f>
        <v>0.51932051299894411</v>
      </c>
      <c r="CB304" s="1155">
        <f>'2023'!R\Max</f>
        <v>0.51734992010086922</v>
      </c>
      <c r="CC304" s="1155">
        <f>'2024'!R\Max</f>
        <v>0.51363071896546109</v>
      </c>
      <c r="CD304" s="1155">
        <f>'2025'!R\Max</f>
        <v>0.52590891021518171</v>
      </c>
      <c r="CE304" s="1155">
        <f>'2026'!R\Max</f>
        <v>0.52429015336351759</v>
      </c>
      <c r="CF304" s="1156">
        <f>'2027'!R\Max</f>
        <v>0.52131234794953329</v>
      </c>
    </row>
    <row r="305" spans="1:84" s="6" customFormat="1" ht="11.25" x14ac:dyDescent="0.2">
      <c r="A305" s="11">
        <v>43391</v>
      </c>
      <c r="B305" s="380">
        <f>'2022'!Maxi_hp</f>
        <v>25.579002164286386</v>
      </c>
      <c r="C305" s="13">
        <f>'2022'!An_max</f>
        <v>2020</v>
      </c>
      <c r="D305" s="1070"/>
      <c r="E305" s="13"/>
      <c r="F305" s="13">
        <f t="shared" si="128"/>
        <v>23</v>
      </c>
      <c r="G305" s="13">
        <f t="shared" si="112"/>
        <v>22</v>
      </c>
      <c r="H305" s="173">
        <f t="shared" si="113"/>
        <v>43402</v>
      </c>
      <c r="I305" s="754">
        <f t="shared" si="114"/>
        <v>0.7857142857142857</v>
      </c>
      <c r="J305" s="747">
        <f t="shared" si="115"/>
        <v>25.533115616028333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P305" s="13">
        <f t="shared" si="116"/>
        <v>13</v>
      </c>
      <c r="AQ305" s="13">
        <f t="shared" si="117"/>
        <v>12</v>
      </c>
      <c r="AR305" s="173">
        <f t="shared" si="118"/>
        <v>43416</v>
      </c>
      <c r="AS305" s="754">
        <f t="shared" si="119"/>
        <v>0.8928571428571429</v>
      </c>
      <c r="AT305" s="770">
        <f t="shared" si="120"/>
        <v>25.525730302557349</v>
      </c>
      <c r="AU305" s="13">
        <f t="shared" si="121"/>
        <v>11</v>
      </c>
      <c r="AV305" s="13">
        <f t="shared" si="122"/>
        <v>12</v>
      </c>
      <c r="AW305" s="173">
        <f t="shared" si="123"/>
        <v>43374</v>
      </c>
      <c r="AX305" s="754">
        <f t="shared" si="124"/>
        <v>0.6071428571428571</v>
      </c>
      <c r="AY305" s="770">
        <f t="shared" si="125"/>
        <v>25.344932835455985</v>
      </c>
      <c r="AZ305" s="747">
        <f t="shared" si="129"/>
        <v>25.435331569006667</v>
      </c>
      <c r="BA305" s="646">
        <f t="shared" si="126"/>
        <v>1.0017971386237428</v>
      </c>
      <c r="BB305" s="641">
        <v>43391</v>
      </c>
      <c r="BC305" s="11">
        <v>43391</v>
      </c>
      <c r="BD305" s="290">
        <f>[3]!FeuilCaduc*(1-Persistant)+Persistant</f>
        <v>0.93096018737847663</v>
      </c>
      <c r="BE305" s="291">
        <f>[3]!CroissVégét</f>
        <v>0.99556171606410238</v>
      </c>
      <c r="BF305" s="822">
        <f>1+[3]!Salcycl*Ksac</f>
        <v>1.0327400468446191</v>
      </c>
      <c r="BH305" s="1101">
        <f t="shared" si="127"/>
        <v>4.3899696021354871E-2</v>
      </c>
      <c r="BI305" s="11">
        <v>44487</v>
      </c>
      <c r="BJ305" s="727">
        <v>2.978437319637254E-7</v>
      </c>
      <c r="BK305" s="727">
        <v>3.6681309821406743E-4</v>
      </c>
      <c r="BL305" s="727">
        <v>7.3450863230062795E-3</v>
      </c>
      <c r="BM305" s="727">
        <v>4.3828113812788755E-2</v>
      </c>
      <c r="BN305" s="727">
        <v>0.10747588310797568</v>
      </c>
      <c r="BO305" s="728">
        <v>0.22348474650308806</v>
      </c>
      <c r="BP305" s="727">
        <v>0.36084281113752875</v>
      </c>
      <c r="BQ305" s="727">
        <v>0.52232316601504403</v>
      </c>
      <c r="BR305" s="727">
        <v>0.67482366376026459</v>
      </c>
      <c r="BS305" s="727">
        <v>0.83235033765135791</v>
      </c>
      <c r="BT305" s="727">
        <v>0.99415593835695004</v>
      </c>
      <c r="BW305" s="1157">
        <f>'2018'!R\Max</f>
        <v>0.26072138434509129</v>
      </c>
      <c r="BX305" s="1155">
        <f>'2019'!R\Max</f>
        <v>0.39044842215333997</v>
      </c>
      <c r="BY305" s="1155">
        <f>'2020'!R\Max</f>
        <v>1.0017971386237428</v>
      </c>
      <c r="BZ305" s="1155">
        <f>'2021'!R\Max</f>
        <v>0.92217446163445715</v>
      </c>
      <c r="CA305" s="1155">
        <f>'2022'!R\Max</f>
        <v>0.9145273860739529</v>
      </c>
      <c r="CB305" s="1155">
        <f>'2023'!R\Max</f>
        <v>0.91388404821510671</v>
      </c>
      <c r="CC305" s="1155">
        <f>'2024'!R\Max</f>
        <v>0.91267143763816927</v>
      </c>
      <c r="CD305" s="1155">
        <f>'2025'!R\Max</f>
        <v>0.91667738828363243</v>
      </c>
      <c r="CE305" s="1155">
        <f>'2026'!R\Max</f>
        <v>0.91614191491401187</v>
      </c>
      <c r="CF305" s="1156">
        <f>'2027'!R\Max</f>
        <v>0.91517733563118842</v>
      </c>
    </row>
    <row r="306" spans="1:84" s="6" customFormat="1" ht="11.25" x14ac:dyDescent="0.2">
      <c r="A306" s="11">
        <v>43392</v>
      </c>
      <c r="B306" s="380">
        <f>'2022'!Maxi_hp</f>
        <v>24.959587812927008</v>
      </c>
      <c r="C306" s="13">
        <f>'2022'!An_max</f>
        <v>2020</v>
      </c>
      <c r="D306" s="1070"/>
      <c r="E306" s="13"/>
      <c r="F306" s="13">
        <f t="shared" si="128"/>
        <v>23</v>
      </c>
      <c r="G306" s="13">
        <f t="shared" si="112"/>
        <v>22</v>
      </c>
      <c r="H306" s="173">
        <f t="shared" si="113"/>
        <v>43402</v>
      </c>
      <c r="I306" s="754">
        <f t="shared" si="114"/>
        <v>0.7142857142857143</v>
      </c>
      <c r="J306" s="747">
        <f t="shared" si="115"/>
        <v>25.225661808092678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P306" s="13">
        <f t="shared" si="116"/>
        <v>13</v>
      </c>
      <c r="AQ306" s="13">
        <f t="shared" si="117"/>
        <v>12</v>
      </c>
      <c r="AR306" s="173">
        <f t="shared" si="118"/>
        <v>43416</v>
      </c>
      <c r="AS306" s="754">
        <f t="shared" si="119"/>
        <v>0.8571428571428571</v>
      </c>
      <c r="AT306" s="770">
        <f t="shared" si="120"/>
        <v>25.206823906621764</v>
      </c>
      <c r="AU306" s="13">
        <f t="shared" si="121"/>
        <v>11</v>
      </c>
      <c r="AV306" s="13">
        <f t="shared" si="122"/>
        <v>12</v>
      </c>
      <c r="AW306" s="173">
        <f t="shared" si="123"/>
        <v>43374</v>
      </c>
      <c r="AX306" s="754">
        <f t="shared" si="124"/>
        <v>0.6428571428571429</v>
      </c>
      <c r="AY306" s="770">
        <f t="shared" si="125"/>
        <v>25.038353134349119</v>
      </c>
      <c r="AZ306" s="747">
        <f t="shared" si="129"/>
        <v>25.122588520485444</v>
      </c>
      <c r="BA306" s="646">
        <f t="shared" si="126"/>
        <v>0.98945224917427899</v>
      </c>
      <c r="BB306" s="641">
        <v>43392</v>
      </c>
      <c r="BC306" s="11">
        <v>43392</v>
      </c>
      <c r="BD306" s="290">
        <f>[3]!FeuilCaduc*(1-Persistant)+Persistant</f>
        <v>0.92842799371149387</v>
      </c>
      <c r="BE306" s="291">
        <f>[3]!CroissVégét</f>
        <v>0.99575287182696259</v>
      </c>
      <c r="BF306" s="822">
        <f>1+[3]!Salcycl*Ksac</f>
        <v>1.0321069984278735</v>
      </c>
      <c r="BH306" s="1101">
        <f t="shared" si="127"/>
        <v>4.9477097746100138E-2</v>
      </c>
      <c r="BI306" s="11">
        <v>44488</v>
      </c>
      <c r="BJ306" s="727">
        <v>5.9598060047199876E-7</v>
      </c>
      <c r="BK306" s="727">
        <v>6.7361526520615068E-4</v>
      </c>
      <c r="BL306" s="727">
        <v>9.3470170556234234E-3</v>
      </c>
      <c r="BM306" s="727">
        <v>4.9400964671873694E-2</v>
      </c>
      <c r="BN306" s="727">
        <v>0.1170951646855844</v>
      </c>
      <c r="BO306" s="728">
        <v>0.23675370234549298</v>
      </c>
      <c r="BP306" s="727">
        <v>0.37631045926774837</v>
      </c>
      <c r="BQ306" s="727">
        <v>0.53889856043311224</v>
      </c>
      <c r="BR306" s="727">
        <v>0.6907949896433534</v>
      </c>
      <c r="BS306" s="727">
        <v>0.84514265270269084</v>
      </c>
      <c r="BT306" s="727">
        <v>1.0019414334176595</v>
      </c>
      <c r="BW306" s="1157">
        <f>'2018'!R\Max</f>
        <v>0.60649577540586941</v>
      </c>
      <c r="BX306" s="1155">
        <f>'2019'!R\Max</f>
        <v>0.7759807701580228</v>
      </c>
      <c r="BY306" s="1155">
        <f>'2020'!R\Max</f>
        <v>0.98945224917427899</v>
      </c>
      <c r="BZ306" s="1155">
        <f>'2021'!R\Max</f>
        <v>0.93770921369339266</v>
      </c>
      <c r="CA306" s="1155">
        <f>'2022'!R\Max</f>
        <v>0.42503273466615871</v>
      </c>
      <c r="CB306" s="1155">
        <f>'2023'!R\Max</f>
        <v>0.42295666738297638</v>
      </c>
      <c r="CC306" s="1155">
        <f>'2024'!R\Max</f>
        <v>0.419124805322524</v>
      </c>
      <c r="CD306" s="1155">
        <f>'2025'!R\Max</f>
        <v>0.4321896930731759</v>
      </c>
      <c r="CE306" s="1155">
        <f>'2026'!R\Max</f>
        <v>0.43034838819885735</v>
      </c>
      <c r="CF306" s="1156">
        <f>'2027'!R\Max</f>
        <v>0.42715837998682638</v>
      </c>
    </row>
    <row r="307" spans="1:84" s="6" customFormat="1" ht="11.25" x14ac:dyDescent="0.2">
      <c r="A307" s="11">
        <v>43393</v>
      </c>
      <c r="B307" s="380">
        <f>'2022'!Maxi_hp</f>
        <v>20.300420803339481</v>
      </c>
      <c r="C307" s="13">
        <f>'2022'!An_max</f>
        <v>2020</v>
      </c>
      <c r="D307" s="1070"/>
      <c r="E307" s="13"/>
      <c r="F307" s="13">
        <f t="shared" si="128"/>
        <v>23</v>
      </c>
      <c r="G307" s="13">
        <f t="shared" si="112"/>
        <v>22</v>
      </c>
      <c r="H307" s="173">
        <f t="shared" si="113"/>
        <v>43402</v>
      </c>
      <c r="I307" s="754">
        <f t="shared" si="114"/>
        <v>0.6428571428571429</v>
      </c>
      <c r="J307" s="747">
        <f t="shared" si="115"/>
        <v>24.914996993701372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P307" s="13">
        <f t="shared" si="116"/>
        <v>13</v>
      </c>
      <c r="AQ307" s="13">
        <f t="shared" si="117"/>
        <v>12</v>
      </c>
      <c r="AR307" s="173">
        <f t="shared" si="118"/>
        <v>43416</v>
      </c>
      <c r="AS307" s="754">
        <f t="shared" si="119"/>
        <v>0.8214285714285714</v>
      </c>
      <c r="AT307" s="770">
        <f t="shared" si="120"/>
        <v>24.881013848153607</v>
      </c>
      <c r="AU307" s="13">
        <f t="shared" si="121"/>
        <v>11</v>
      </c>
      <c r="AV307" s="13">
        <f t="shared" si="122"/>
        <v>12</v>
      </c>
      <c r="AW307" s="173">
        <f t="shared" si="123"/>
        <v>43374</v>
      </c>
      <c r="AX307" s="754">
        <f t="shared" si="124"/>
        <v>0.6785714285714286</v>
      </c>
      <c r="AY307" s="770">
        <f t="shared" si="125"/>
        <v>24.731809110789829</v>
      </c>
      <c r="AZ307" s="747">
        <f t="shared" si="129"/>
        <v>24.80641147947172</v>
      </c>
      <c r="BA307" s="646">
        <f t="shared" si="126"/>
        <v>0.81478720661581949</v>
      </c>
      <c r="BB307" s="641">
        <v>43393</v>
      </c>
      <c r="BC307" s="11">
        <v>43393</v>
      </c>
      <c r="BD307" s="290">
        <f>[3]!FeuilCaduc*(1-Persistant)+Persistant</f>
        <v>0.92584967907216797</v>
      </c>
      <c r="BE307" s="291">
        <f>[3]!CroissVégét</f>
        <v>0.99593640005294937</v>
      </c>
      <c r="BF307" s="822">
        <f>1+[3]!Salcycl*Ksac</f>
        <v>1.031462419768042</v>
      </c>
      <c r="BH307" s="1101">
        <f t="shared" si="127"/>
        <v>5.5471906069815204E-2</v>
      </c>
      <c r="BI307" s="11">
        <v>44489</v>
      </c>
      <c r="BJ307" s="727">
        <v>9.9378115519044377E-7</v>
      </c>
      <c r="BK307" s="727">
        <v>1.0793483659350838E-3</v>
      </c>
      <c r="BL307" s="727">
        <v>1.1696874876658549E-2</v>
      </c>
      <c r="BM307" s="727">
        <v>5.5391148151716148E-2</v>
      </c>
      <c r="BN307" s="727">
        <v>0.12719755707497019</v>
      </c>
      <c r="BO307" s="728">
        <v>0.25019246750497504</v>
      </c>
      <c r="BP307" s="727">
        <v>0.39176021566053681</v>
      </c>
      <c r="BQ307" s="727">
        <v>0.55494308145817972</v>
      </c>
      <c r="BR307" s="727">
        <v>0.70609668590558816</v>
      </c>
      <c r="BS307" s="727">
        <v>0.8573224481011017</v>
      </c>
      <c r="BT307" s="727">
        <v>1.009545576696774</v>
      </c>
      <c r="BW307" s="1157">
        <f>'2018'!R\Max</f>
        <v>0.25557513441634977</v>
      </c>
      <c r="BX307" s="1155">
        <f>'2019'!R\Max</f>
        <v>0.34193920295214358</v>
      </c>
      <c r="BY307" s="1155">
        <f>'2020'!R\Max</f>
        <v>0.81478720661581949</v>
      </c>
      <c r="BZ307" s="1155">
        <f>'2021'!R\Max</f>
        <v>0.78408186323864482</v>
      </c>
      <c r="CA307" s="1155">
        <f>'2022'!R\Max</f>
        <v>0.20757896391430788</v>
      </c>
      <c r="CB307" s="1155">
        <f>'2023'!R\Max</f>
        <v>0.20628990938576527</v>
      </c>
      <c r="CC307" s="1155">
        <f>'2024'!R\Max</f>
        <v>0.20393802144280479</v>
      </c>
      <c r="CD307" s="1155">
        <f>'2025'!R\Max</f>
        <v>0.2121053889430872</v>
      </c>
      <c r="CE307" s="1155">
        <f>'2026'!R\Max</f>
        <v>0.21091051531355517</v>
      </c>
      <c r="CF307" s="1156">
        <f>'2027'!R\Max</f>
        <v>0.20890796896372596</v>
      </c>
    </row>
    <row r="308" spans="1:84" s="6" customFormat="1" ht="11.25" x14ac:dyDescent="0.2">
      <c r="A308" s="11">
        <v>43394</v>
      </c>
      <c r="B308" s="380">
        <f>'2022'!Maxi_hp</f>
        <v>15.02935928669431</v>
      </c>
      <c r="C308" s="13">
        <f>'2022'!An_max</f>
        <v>2019</v>
      </c>
      <c r="D308" s="1070"/>
      <c r="E308" s="13"/>
      <c r="F308" s="13">
        <f t="shared" si="128"/>
        <v>23</v>
      </c>
      <c r="G308" s="13">
        <f t="shared" si="112"/>
        <v>22</v>
      </c>
      <c r="H308" s="173">
        <f t="shared" si="113"/>
        <v>43402</v>
      </c>
      <c r="I308" s="754">
        <f t="shared" si="114"/>
        <v>0.5714285714285714</v>
      </c>
      <c r="J308" s="747">
        <f t="shared" si="115"/>
        <v>24.601442274158551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P308" s="13">
        <f t="shared" si="116"/>
        <v>13</v>
      </c>
      <c r="AQ308" s="13">
        <f t="shared" si="117"/>
        <v>12</v>
      </c>
      <c r="AR308" s="173">
        <f t="shared" si="118"/>
        <v>43416</v>
      </c>
      <c r="AS308" s="754">
        <f t="shared" si="119"/>
        <v>0.7857142857142857</v>
      </c>
      <c r="AT308" s="770">
        <f t="shared" si="120"/>
        <v>24.549102879076131</v>
      </c>
      <c r="AU308" s="13">
        <f t="shared" si="121"/>
        <v>11</v>
      </c>
      <c r="AV308" s="13">
        <f t="shared" si="122"/>
        <v>12</v>
      </c>
      <c r="AW308" s="173">
        <f t="shared" si="123"/>
        <v>43374</v>
      </c>
      <c r="AX308" s="754">
        <f t="shared" si="124"/>
        <v>0.7142857142857143</v>
      </c>
      <c r="AY308" s="770">
        <f t="shared" si="125"/>
        <v>24.425621865935891</v>
      </c>
      <c r="AZ308" s="747">
        <f t="shared" si="129"/>
        <v>24.487362372506013</v>
      </c>
      <c r="BA308" s="646">
        <f t="shared" si="126"/>
        <v>0.61091374721884528</v>
      </c>
      <c r="BB308" s="641">
        <v>43394</v>
      </c>
      <c r="BC308" s="11">
        <v>43394</v>
      </c>
      <c r="BD308" s="290">
        <f>[3]!FeuilCaduc*(1-Persistant)+Persistant</f>
        <v>0.92322764363766141</v>
      </c>
      <c r="BE308" s="291">
        <f>[3]!CroissVégét</f>
        <v>0.99611260244351996</v>
      </c>
      <c r="BF308" s="822">
        <f>1+[3]!Salcycl*Ksac</f>
        <v>1.0308069109094153</v>
      </c>
      <c r="BH308" s="1101">
        <f t="shared" si="127"/>
        <v>6.1884499919150446E-2</v>
      </c>
      <c r="BI308" s="11">
        <v>44490</v>
      </c>
      <c r="BJ308" s="727">
        <v>1.4913777322001453E-6</v>
      </c>
      <c r="BK308" s="727">
        <v>1.5841433618528911E-3</v>
      </c>
      <c r="BL308" s="727">
        <v>1.4395086209828208E-2</v>
      </c>
      <c r="BM308" s="727">
        <v>6.1799043286584664E-2</v>
      </c>
      <c r="BN308" s="727">
        <v>0.13778334362102346</v>
      </c>
      <c r="BO308" s="728">
        <v>0.26380064730074348</v>
      </c>
      <c r="BP308" s="727">
        <v>0.40719120695323774</v>
      </c>
      <c r="BQ308" s="727">
        <v>0.57045492200338499</v>
      </c>
      <c r="BR308" s="727">
        <v>0.72072660439659986</v>
      </c>
      <c r="BS308" s="727">
        <v>0.86888758491067331</v>
      </c>
      <c r="BT308" s="727">
        <v>1.0169668202894215</v>
      </c>
      <c r="BW308" s="1157">
        <f>'2018'!R\Max</f>
        <v>0.48240386521707435</v>
      </c>
      <c r="BX308" s="1155">
        <f>'2019'!R\Max</f>
        <v>0.61091374721884528</v>
      </c>
      <c r="BY308" s="1155">
        <f>'2020'!R\Max</f>
        <v>0.15087596578209703</v>
      </c>
      <c r="BZ308" s="1155">
        <f>'2021'!R\Max</f>
        <v>0.37664336303755247</v>
      </c>
      <c r="CA308" s="1155">
        <f>'2022'!R\Max</f>
        <v>0.45404260459713325</v>
      </c>
      <c r="CB308" s="1155">
        <f>'2023'!R\Max</f>
        <v>0.45179694765378775</v>
      </c>
      <c r="CC308" s="1155">
        <f>'2024'!R\Max</f>
        <v>0.44771268629330563</v>
      </c>
      <c r="CD308" s="1155">
        <f>'2025'!R\Max</f>
        <v>0.46197941970696482</v>
      </c>
      <c r="CE308" s="1155">
        <f>'2026'!R\Max</f>
        <v>0.45984323104340791</v>
      </c>
      <c r="CF308" s="1156">
        <f>'2027'!R\Max</f>
        <v>0.45636019697880786</v>
      </c>
    </row>
    <row r="309" spans="1:84" s="6" customFormat="1" ht="11.25" x14ac:dyDescent="0.2">
      <c r="A309" s="11">
        <v>43395</v>
      </c>
      <c r="B309" s="380">
        <f>'2022'!Maxi_hp</f>
        <v>22.197470097705743</v>
      </c>
      <c r="C309" s="13">
        <f>'2022'!An_max</f>
        <v>2022</v>
      </c>
      <c r="D309" s="1070"/>
      <c r="E309" s="13"/>
      <c r="F309" s="13">
        <f t="shared" si="128"/>
        <v>23</v>
      </c>
      <c r="G309" s="13">
        <f t="shared" si="112"/>
        <v>22</v>
      </c>
      <c r="H309" s="173">
        <f t="shared" si="113"/>
        <v>43402</v>
      </c>
      <c r="I309" s="754">
        <f t="shared" si="114"/>
        <v>0.5</v>
      </c>
      <c r="J309" s="747">
        <f t="shared" si="115"/>
        <v>24.285318750143052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P309" s="13">
        <f t="shared" si="116"/>
        <v>13</v>
      </c>
      <c r="AQ309" s="13">
        <f t="shared" si="117"/>
        <v>12</v>
      </c>
      <c r="AR309" s="173">
        <f t="shared" si="118"/>
        <v>43416</v>
      </c>
      <c r="AS309" s="754">
        <f t="shared" si="119"/>
        <v>0.75</v>
      </c>
      <c r="AT309" s="770">
        <f t="shared" si="120"/>
        <v>24.211893750354648</v>
      </c>
      <c r="AU309" s="13">
        <f t="shared" si="121"/>
        <v>11</v>
      </c>
      <c r="AV309" s="13">
        <f t="shared" si="122"/>
        <v>12</v>
      </c>
      <c r="AW309" s="173">
        <f t="shared" si="123"/>
        <v>43374</v>
      </c>
      <c r="AX309" s="754">
        <f t="shared" si="124"/>
        <v>0.75</v>
      </c>
      <c r="AY309" s="770">
        <f t="shared" si="125"/>
        <v>24.120112500118559</v>
      </c>
      <c r="AZ309" s="747">
        <f t="shared" si="129"/>
        <v>24.166003125236603</v>
      </c>
      <c r="BA309" s="646">
        <f t="shared" si="126"/>
        <v>0.91402836117088193</v>
      </c>
      <c r="BB309" s="641">
        <v>43395</v>
      </c>
      <c r="BC309" s="11">
        <v>43395</v>
      </c>
      <c r="BD309" s="290">
        <f>[3]!FeuilCaduc*(1-Persistant)+Persistant</f>
        <v>0.92056449066099522</v>
      </c>
      <c r="BE309" s="291">
        <f>[3]!CroissVégét</f>
        <v>0.99628176897521181</v>
      </c>
      <c r="BF309" s="822">
        <f>1+[3]!Salcycl*Ksac</f>
        <v>1.0301411226652488</v>
      </c>
      <c r="BH309" s="1101">
        <f t="shared" si="127"/>
        <v>6.8715207703665585E-2</v>
      </c>
      <c r="BI309" s="11">
        <v>44491</v>
      </c>
      <c r="BJ309" s="727">
        <v>2.0888950277849449E-6</v>
      </c>
      <c r="BK309" s="727">
        <v>2.1881235842751787E-3</v>
      </c>
      <c r="BL309" s="727">
        <v>1.7442046691076254E-2</v>
      </c>
      <c r="BM309" s="727">
        <v>6.8624978617806753E-2</v>
      </c>
      <c r="BN309" s="727">
        <v>0.14885273570292085</v>
      </c>
      <c r="BO309" s="728">
        <v>0.27757777959068453</v>
      </c>
      <c r="BP309" s="727">
        <v>0.42260249507509795</v>
      </c>
      <c r="BQ309" s="727">
        <v>0.58543223850734649</v>
      </c>
      <c r="BR309" s="727">
        <v>0.73468257218010513</v>
      </c>
      <c r="BS309" s="727">
        <v>0.87983590966355252</v>
      </c>
      <c r="BT309" s="727">
        <v>1.0242035959974283</v>
      </c>
      <c r="BW309" s="1157">
        <f>'2018'!R\Max</f>
        <v>0.58627347260395335</v>
      </c>
      <c r="BX309" s="1155">
        <f>'2019'!R\Max</f>
        <v>0.11764255232150157</v>
      </c>
      <c r="BY309" s="1155">
        <f>'2020'!R\Max</f>
        <v>0.68779943117401487</v>
      </c>
      <c r="BZ309" s="1155">
        <f>'2021'!R\Max</f>
        <v>0.38068116588674594</v>
      </c>
      <c r="CA309" s="1155">
        <f>'2022'!R\Max</f>
        <v>0.91402836117088193</v>
      </c>
      <c r="CB309" s="1155">
        <f>'2023'!R\Max</f>
        <v>0.91329267158971228</v>
      </c>
      <c r="CC309" s="1155">
        <f>'2024'!R\Max</f>
        <v>0.91194673705510554</v>
      </c>
      <c r="CD309" s="1155">
        <f>'2025'!R\Max</f>
        <v>0.91661095451111252</v>
      </c>
      <c r="CE309" s="1155">
        <f>'2026'!R\Max</f>
        <v>0.91590719323314285</v>
      </c>
      <c r="CF309" s="1156">
        <f>'2027'!R\Max</f>
        <v>0.91478352577583144</v>
      </c>
    </row>
    <row r="310" spans="1:84" s="6" customFormat="1" ht="11.25" x14ac:dyDescent="0.2">
      <c r="A310" s="11">
        <v>43396</v>
      </c>
      <c r="B310" s="380">
        <f>'2022'!Maxi_hp</f>
        <v>23.868421011205619</v>
      </c>
      <c r="C310" s="13">
        <f>'2022'!An_max</f>
        <v>2018</v>
      </c>
      <c r="D310" s="1070"/>
      <c r="E310" s="13"/>
      <c r="F310" s="13">
        <f t="shared" si="128"/>
        <v>23</v>
      </c>
      <c r="G310" s="13">
        <f t="shared" si="112"/>
        <v>22</v>
      </c>
      <c r="H310" s="173">
        <f t="shared" si="113"/>
        <v>43402</v>
      </c>
      <c r="I310" s="754">
        <f t="shared" si="114"/>
        <v>0.42857142857142855</v>
      </c>
      <c r="J310" s="747">
        <f t="shared" si="115"/>
        <v>23.966947522227251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P310" s="13">
        <f t="shared" si="116"/>
        <v>13</v>
      </c>
      <c r="AQ310" s="13">
        <f t="shared" si="117"/>
        <v>12</v>
      </c>
      <c r="AR310" s="173">
        <f t="shared" si="118"/>
        <v>43416</v>
      </c>
      <c r="AS310" s="754">
        <f t="shared" si="119"/>
        <v>0.7142857142857143</v>
      </c>
      <c r="AT310" s="770">
        <f t="shared" si="120"/>
        <v>23.870189213220563</v>
      </c>
      <c r="AU310" s="13">
        <f t="shared" si="121"/>
        <v>11</v>
      </c>
      <c r="AV310" s="13">
        <f t="shared" si="122"/>
        <v>12</v>
      </c>
      <c r="AW310" s="173">
        <f t="shared" si="123"/>
        <v>43374</v>
      </c>
      <c r="AX310" s="754">
        <f t="shared" si="124"/>
        <v>0.7857142857142857</v>
      </c>
      <c r="AY310" s="770">
        <f t="shared" si="125"/>
        <v>23.815602113665747</v>
      </c>
      <c r="AZ310" s="747">
        <f t="shared" si="129"/>
        <v>23.842895663443155</v>
      </c>
      <c r="BA310" s="646">
        <f t="shared" si="126"/>
        <v>0.99588906718595449</v>
      </c>
      <c r="BB310" s="641">
        <v>43396</v>
      </c>
      <c r="BC310" s="11">
        <v>43396</v>
      </c>
      <c r="BD310" s="290">
        <f>[3]!FeuilCaduc*(1-Persistant)+Persistant</f>
        <v>0.91786302040318457</v>
      </c>
      <c r="BE310" s="291">
        <f>[3]!CroissVégét</f>
        <v>0.99644417833885535</v>
      </c>
      <c r="BF310" s="822">
        <f>1+[3]!Salcycl*Ksac</f>
        <v>1.0294657551007962</v>
      </c>
      <c r="BH310" s="1101">
        <f t="shared" si="127"/>
        <v>7.5999948687217003E-2</v>
      </c>
      <c r="BI310" s="11">
        <v>44492</v>
      </c>
      <c r="BJ310" s="727">
        <v>2.9172684331605455E-6</v>
      </c>
      <c r="BK310" s="727">
        <v>3.0497918778300465E-3</v>
      </c>
      <c r="BL310" s="727">
        <v>2.0961736602364653E-2</v>
      </c>
      <c r="BM310" s="727">
        <v>7.5905025437407458E-2</v>
      </c>
      <c r="BN310" s="727">
        <v>0.16030662781388449</v>
      </c>
      <c r="BO310" s="728">
        <v>0.29132792573625038</v>
      </c>
      <c r="BP310" s="727">
        <v>0.43759466852363371</v>
      </c>
      <c r="BQ310" s="727">
        <v>0.59940626713712852</v>
      </c>
      <c r="BR310" s="727">
        <v>0.74743344256148703</v>
      </c>
      <c r="BS310" s="727">
        <v>0.88976898962307116</v>
      </c>
      <c r="BT310" s="727">
        <v>1.0309429963057479</v>
      </c>
      <c r="BW310" s="1157">
        <f>'2018'!R\Max</f>
        <v>0.99588906718595449</v>
      </c>
      <c r="BX310" s="1155">
        <f>'2019'!R\Max</f>
        <v>0.48536134238321682</v>
      </c>
      <c r="BY310" s="1155">
        <f>'2020'!R\Max</f>
        <v>0.14732658751696648</v>
      </c>
      <c r="BZ310" s="1155">
        <f>'2021'!R\Max</f>
        <v>0.98496793749533029</v>
      </c>
      <c r="CA310" s="1155">
        <f>'2022'!R\Max</f>
        <v>0.59222742848649068</v>
      </c>
      <c r="CB310" s="1155">
        <f>'2023'!R\Max</f>
        <v>0.58991496058410142</v>
      </c>
      <c r="CC310" s="1155">
        <f>'2024'!R\Max</f>
        <v>0.58574380555165251</v>
      </c>
      <c r="CD310" s="1155">
        <f>'2025'!R\Max</f>
        <v>0.60055998130070132</v>
      </c>
      <c r="CE310" s="1155">
        <f>'2026'!R\Max</f>
        <v>0.59821828548325173</v>
      </c>
      <c r="CF310" s="1156">
        <f>'2027'!R\Max</f>
        <v>0.59462275453795921</v>
      </c>
    </row>
    <row r="311" spans="1:84" s="6" customFormat="1" ht="11.25" x14ac:dyDescent="0.2">
      <c r="A311" s="11">
        <v>43397</v>
      </c>
      <c r="B311" s="380">
        <f>'2022'!Maxi_hp</f>
        <v>24.436721996898605</v>
      </c>
      <c r="C311" s="13">
        <f>'2022'!An_max</f>
        <v>2021</v>
      </c>
      <c r="D311" s="1070"/>
      <c r="E311" s="13"/>
      <c r="F311" s="13">
        <f t="shared" si="128"/>
        <v>23</v>
      </c>
      <c r="G311" s="13">
        <f t="shared" si="112"/>
        <v>22</v>
      </c>
      <c r="H311" s="173">
        <f t="shared" si="113"/>
        <v>43402</v>
      </c>
      <c r="I311" s="754">
        <f t="shared" si="114"/>
        <v>0.35714285714285715</v>
      </c>
      <c r="J311" s="747">
        <f t="shared" si="115"/>
        <v>23.646649690171969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P311" s="13">
        <f t="shared" si="116"/>
        <v>13</v>
      </c>
      <c r="AQ311" s="13">
        <f t="shared" si="117"/>
        <v>12</v>
      </c>
      <c r="AR311" s="173">
        <f t="shared" si="118"/>
        <v>43416</v>
      </c>
      <c r="AS311" s="754">
        <f t="shared" si="119"/>
        <v>0.6785714285714286</v>
      </c>
      <c r="AT311" s="770">
        <f t="shared" si="120"/>
        <v>23.524792019224595</v>
      </c>
      <c r="AU311" s="13">
        <f t="shared" si="121"/>
        <v>11</v>
      </c>
      <c r="AV311" s="13">
        <f t="shared" si="122"/>
        <v>12</v>
      </c>
      <c r="AW311" s="173">
        <f t="shared" si="123"/>
        <v>43374</v>
      </c>
      <c r="AX311" s="754">
        <f t="shared" si="124"/>
        <v>0.8214285714285714</v>
      </c>
      <c r="AY311" s="770">
        <f t="shared" si="125"/>
        <v>23.512411807597218</v>
      </c>
      <c r="AZ311" s="747">
        <f t="shared" si="129"/>
        <v>23.518601913410905</v>
      </c>
      <c r="BA311" s="646">
        <f t="shared" si="126"/>
        <v>1.0334115960222054</v>
      </c>
      <c r="BB311" s="641">
        <v>43397</v>
      </c>
      <c r="BC311" s="11">
        <v>43397</v>
      </c>
      <c r="BD311" s="290">
        <f>[3]!FeuilCaduc*(1-Persistant)+Persistant</f>
        <v>0.91512622269448374</v>
      </c>
      <c r="BE311" s="291">
        <f>[3]!CroissVégét</f>
        <v>0.99660009836364072</v>
      </c>
      <c r="BF311" s="822">
        <f>1+[3]!Salcycl*Ksac</f>
        <v>1.0287815556736208</v>
      </c>
      <c r="BH311" s="1101">
        <f t="shared" si="127"/>
        <v>8.3558867922465641E-2</v>
      </c>
      <c r="BI311" s="11">
        <v>44493</v>
      </c>
      <c r="BJ311" s="727">
        <v>3.9768244317949192E-6</v>
      </c>
      <c r="BK311" s="727">
        <v>4.168186763786148E-3</v>
      </c>
      <c r="BL311" s="727">
        <v>2.483778736793181E-2</v>
      </c>
      <c r="BM311" s="727">
        <v>8.3459341303477708E-2</v>
      </c>
      <c r="BN311" s="727">
        <v>0.17195405823056512</v>
      </c>
      <c r="BO311" s="728">
        <v>0.30503785255024968</v>
      </c>
      <c r="BP311" s="727">
        <v>0.45222155032643396</v>
      </c>
      <c r="BQ311" s="727">
        <v>0.61266895098391072</v>
      </c>
      <c r="BR311" s="727">
        <v>0.75927648911026147</v>
      </c>
      <c r="BS311" s="727">
        <v>0.89903214673256904</v>
      </c>
      <c r="BT311" s="727">
        <v>1.0373392492051632</v>
      </c>
      <c r="BW311" s="1157">
        <f>'2018'!R\Max</f>
        <v>0.9760118167961721</v>
      </c>
      <c r="BX311" s="1155">
        <f>'2019'!R\Max</f>
        <v>0.55958330542185519</v>
      </c>
      <c r="BY311" s="1155">
        <f>'2020'!R\Max</f>
        <v>0.25544685929373528</v>
      </c>
      <c r="BZ311" s="1155">
        <f>'2021'!R\Max</f>
        <v>1.0334115960222054</v>
      </c>
      <c r="CA311" s="1155">
        <f>'2022'!R\Max</f>
        <v>0.73685329537164912</v>
      </c>
      <c r="CB311" s="1155">
        <f>'2023'!R\Max</f>
        <v>0.73494947705993063</v>
      </c>
      <c r="CC311" s="1155">
        <f>'2024'!R\Max</f>
        <v>0.7315218506677309</v>
      </c>
      <c r="CD311" s="1155">
        <f>'2025'!R\Max</f>
        <v>0.74375321975432807</v>
      </c>
      <c r="CE311" s="1155">
        <f>'2026'!R\Max</f>
        <v>0.74177834174381041</v>
      </c>
      <c r="CF311" s="1156">
        <f>'2027'!R\Max</f>
        <v>0.7388256279147184</v>
      </c>
    </row>
    <row r="312" spans="1:84" s="6" customFormat="1" ht="11.25" x14ac:dyDescent="0.2">
      <c r="A312" s="11">
        <v>43398</v>
      </c>
      <c r="B312" s="380">
        <f>'2022'!Maxi_hp</f>
        <v>22.975160579894975</v>
      </c>
      <c r="C312" s="13">
        <f>'2022'!An_max</f>
        <v>2018</v>
      </c>
      <c r="D312" s="1070"/>
      <c r="E312" s="13"/>
      <c r="F312" s="13">
        <f t="shared" si="128"/>
        <v>23</v>
      </c>
      <c r="G312" s="13">
        <f t="shared" si="112"/>
        <v>22</v>
      </c>
      <c r="H312" s="173">
        <f t="shared" si="113"/>
        <v>43402</v>
      </c>
      <c r="I312" s="754">
        <f t="shared" si="114"/>
        <v>0.2857142857142857</v>
      </c>
      <c r="J312" s="747">
        <f t="shared" si="115"/>
        <v>23.324746355946576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P312" s="13">
        <f t="shared" si="116"/>
        <v>13</v>
      </c>
      <c r="AQ312" s="13">
        <f t="shared" si="117"/>
        <v>12</v>
      </c>
      <c r="AR312" s="173">
        <f t="shared" si="118"/>
        <v>43416</v>
      </c>
      <c r="AS312" s="754">
        <f t="shared" si="119"/>
        <v>0.6428571428571429</v>
      </c>
      <c r="AT312" s="770">
        <f t="shared" si="120"/>
        <v>23.176504920449638</v>
      </c>
      <c r="AU312" s="13">
        <f t="shared" si="121"/>
        <v>11</v>
      </c>
      <c r="AV312" s="13">
        <f t="shared" si="122"/>
        <v>12</v>
      </c>
      <c r="AW312" s="173">
        <f t="shared" si="123"/>
        <v>43374</v>
      </c>
      <c r="AX312" s="754">
        <f t="shared" si="124"/>
        <v>0.8571428571428571</v>
      </c>
      <c r="AY312" s="770">
        <f t="shared" si="125"/>
        <v>23.210862682294099</v>
      </c>
      <c r="AZ312" s="747">
        <f t="shared" si="129"/>
        <v>23.193683801371868</v>
      </c>
      <c r="BA312" s="646">
        <f t="shared" si="126"/>
        <v>0.98501223675847283</v>
      </c>
      <c r="BB312" s="641">
        <v>43398</v>
      </c>
      <c r="BC312" s="11">
        <v>43398</v>
      </c>
      <c r="BD312" s="290">
        <f>[3]!FeuilCaduc*(1-Persistant)+Persistant</f>
        <v>0.91235726814858187</v>
      </c>
      <c r="BE312" s="291">
        <f>[3]!CroissVégét</f>
        <v>0.99674978642645717</v>
      </c>
      <c r="BF312" s="822">
        <f>1+[3]!Salcycl*Ksac</f>
        <v>1.0280893170371455</v>
      </c>
      <c r="BH312" s="1101">
        <f t="shared" si="127"/>
        <v>9.1392984606152569E-2</v>
      </c>
      <c r="BI312" s="11">
        <v>44494</v>
      </c>
      <c r="BJ312" s="727">
        <v>5.267910917530421E-6</v>
      </c>
      <c r="BK312" s="727">
        <v>5.5436924986977847E-3</v>
      </c>
      <c r="BL312" s="727">
        <v>2.9070882469732343E-2</v>
      </c>
      <c r="BM312" s="727">
        <v>9.1288944785068896E-2</v>
      </c>
      <c r="BN312" s="727">
        <v>0.18379660363621553</v>
      </c>
      <c r="BO312" s="728">
        <v>0.31870980545827404</v>
      </c>
      <c r="BP312" s="727">
        <v>0.46648602911485754</v>
      </c>
      <c r="BQ312" s="727">
        <v>0.62522388076542601</v>
      </c>
      <c r="BR312" s="727">
        <v>0.7702161059449214</v>
      </c>
      <c r="BS312" s="727">
        <v>0.90763111317201706</v>
      </c>
      <c r="BT312" s="727">
        <v>1.0433995337686472</v>
      </c>
      <c r="BW312" s="1157">
        <f>'2018'!R\Max</f>
        <v>0.98501223675847283</v>
      </c>
      <c r="BX312" s="1155">
        <f>'2019'!R\Max</f>
        <v>0.79230078937859338</v>
      </c>
      <c r="BY312" s="1155">
        <f>'2020'!R\Max</f>
        <v>0.86556547646891668</v>
      </c>
      <c r="BZ312" s="1155">
        <f>'2021'!R\Max</f>
        <v>0.95943980548557806</v>
      </c>
      <c r="CA312" s="1155">
        <f>'2022'!R\Max</f>
        <v>0.64683283389891488</v>
      </c>
      <c r="CB312" s="1155">
        <f>'2023'!R\Max</f>
        <v>0.6445424933759728</v>
      </c>
      <c r="CC312" s="1155">
        <f>'2024'!R\Max</f>
        <v>0.64045383133249423</v>
      </c>
      <c r="CD312" s="1155">
        <f>'2025'!R\Max</f>
        <v>0.65527052308967237</v>
      </c>
      <c r="CE312" s="1155">
        <f>'2026'!R\Max</f>
        <v>0.65279857084199067</v>
      </c>
      <c r="CF312" s="1156">
        <f>'2027'!R\Max</f>
        <v>0.64921726266683322</v>
      </c>
    </row>
    <row r="313" spans="1:84" s="6" customFormat="1" ht="11.25" x14ac:dyDescent="0.2">
      <c r="A313" s="11">
        <v>43399</v>
      </c>
      <c r="B313" s="380">
        <f>'2022'!Maxi_hp</f>
        <v>22.259943902038003</v>
      </c>
      <c r="C313" s="13">
        <f>'2022'!An_max</f>
        <v>2019</v>
      </c>
      <c r="D313" s="1070"/>
      <c r="E313" s="13"/>
      <c r="F313" s="13">
        <f t="shared" si="128"/>
        <v>23</v>
      </c>
      <c r="G313" s="13">
        <f t="shared" si="112"/>
        <v>22</v>
      </c>
      <c r="H313" s="173">
        <f t="shared" si="113"/>
        <v>43402</v>
      </c>
      <c r="I313" s="754">
        <f t="shared" si="114"/>
        <v>0.21428571428571427</v>
      </c>
      <c r="J313" s="747">
        <f t="shared" si="115"/>
        <v>23.001558618859519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P313" s="13">
        <f t="shared" si="116"/>
        <v>13</v>
      </c>
      <c r="AQ313" s="13">
        <f t="shared" si="117"/>
        <v>12</v>
      </c>
      <c r="AR313" s="173">
        <f t="shared" si="118"/>
        <v>43416</v>
      </c>
      <c r="AS313" s="754">
        <f t="shared" si="119"/>
        <v>0.6071428571428571</v>
      </c>
      <c r="AT313" s="770">
        <f t="shared" si="120"/>
        <v>22.826130667062746</v>
      </c>
      <c r="AU313" s="13">
        <f t="shared" si="121"/>
        <v>11</v>
      </c>
      <c r="AV313" s="13">
        <f t="shared" si="122"/>
        <v>12</v>
      </c>
      <c r="AW313" s="173">
        <f t="shared" si="123"/>
        <v>43374</v>
      </c>
      <c r="AX313" s="754">
        <f t="shared" si="124"/>
        <v>0.8928571428571429</v>
      </c>
      <c r="AY313" s="770">
        <f t="shared" si="125"/>
        <v>22.911275838245636</v>
      </c>
      <c r="AZ313" s="747">
        <f t="shared" si="129"/>
        <v>22.868703252654193</v>
      </c>
      <c r="BA313" s="646">
        <f t="shared" si="126"/>
        <v>0.96775806678537646</v>
      </c>
      <c r="BB313" s="641">
        <v>43399</v>
      </c>
      <c r="BC313" s="11">
        <v>43399</v>
      </c>
      <c r="BD313" s="290">
        <f>[3]!FeuilCaduc*(1-Persistant)+Persistant</f>
        <v>0.90955949806510361</v>
      </c>
      <c r="BE313" s="291">
        <f>[3]!CroissVégét</f>
        <v>0.99689348984691617</v>
      </c>
      <c r="BF313" s="822">
        <f>1+[3]!Salcycl*Ksac</f>
        <v>1.0273898745162759</v>
      </c>
      <c r="BH313" s="1101">
        <f t="shared" si="127"/>
        <v>9.9502731865893659E-2</v>
      </c>
      <c r="BI313" s="11">
        <v>44495</v>
      </c>
      <c r="BJ313" s="727">
        <v>6.7908635179592438E-6</v>
      </c>
      <c r="BK313" s="727">
        <v>7.1766810232761812E-3</v>
      </c>
      <c r="BL313" s="727">
        <v>3.366156045241428E-2</v>
      </c>
      <c r="BM313" s="727">
        <v>9.9394269149310988E-2</v>
      </c>
      <c r="BN313" s="727">
        <v>0.19583457324815459</v>
      </c>
      <c r="BO313" s="728">
        <v>0.33234368064337272</v>
      </c>
      <c r="BP313" s="727">
        <v>0.48038742837295867</v>
      </c>
      <c r="BQ313" s="727">
        <v>0.63706972652608285</v>
      </c>
      <c r="BR313" s="727">
        <v>0.78025052934339356</v>
      </c>
      <c r="BS313" s="727">
        <v>0.91556428118382527</v>
      </c>
      <c r="BT313" s="727">
        <v>1.0491225180518728</v>
      </c>
      <c r="BW313" s="1157">
        <f>'2018'!R\Max</f>
        <v>0.10735393365722021</v>
      </c>
      <c r="BX313" s="1155">
        <f>'2019'!R\Max</f>
        <v>0.96775806678537646</v>
      </c>
      <c r="BY313" s="1155">
        <f>'2020'!R\Max</f>
        <v>0.67251089574479705</v>
      </c>
      <c r="BZ313" s="1155">
        <f>'2021'!R\Max</f>
        <v>0.72997055533259791</v>
      </c>
      <c r="CA313" s="1155">
        <f>'2022'!R\Max</f>
        <v>0.43538118035133355</v>
      </c>
      <c r="CB313" s="1155">
        <f>'2023'!R\Max</f>
        <v>0.43287217751211493</v>
      </c>
      <c r="CC313" s="1155">
        <f>'2024'!R\Max</f>
        <v>0.42844765820493491</v>
      </c>
      <c r="CD313" s="1155">
        <f>'2025'!R\Max</f>
        <v>0.44483542277686544</v>
      </c>
      <c r="CE313" s="1155">
        <f>'2026'!R\Max</f>
        <v>0.44199288479876964</v>
      </c>
      <c r="CF313" s="1156">
        <f>'2027'!R\Max</f>
        <v>0.43801326310555366</v>
      </c>
    </row>
    <row r="314" spans="1:84" s="6" customFormat="1" ht="11.25" x14ac:dyDescent="0.2">
      <c r="A314" s="11">
        <v>43400</v>
      </c>
      <c r="B314" s="380">
        <f>'2022'!Maxi_hp</f>
        <v>20.509460885058797</v>
      </c>
      <c r="C314" s="13">
        <f>'2022'!An_max</f>
        <v>2021</v>
      </c>
      <c r="D314" s="1070"/>
      <c r="E314" s="13"/>
      <c r="F314" s="13">
        <f t="shared" si="128"/>
        <v>23</v>
      </c>
      <c r="G314" s="13">
        <f t="shared" si="112"/>
        <v>22</v>
      </c>
      <c r="H314" s="173">
        <f t="shared" si="113"/>
        <v>43402</v>
      </c>
      <c r="I314" s="754">
        <f t="shared" si="114"/>
        <v>0.14285714285714285</v>
      </c>
      <c r="J314" s="747">
        <f t="shared" si="115"/>
        <v>22.67740758024156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P314" s="13">
        <f t="shared" si="116"/>
        <v>13</v>
      </c>
      <c r="AQ314" s="13">
        <f t="shared" si="117"/>
        <v>12</v>
      </c>
      <c r="AR314" s="173">
        <f t="shared" si="118"/>
        <v>43416</v>
      </c>
      <c r="AS314" s="754">
        <f t="shared" si="119"/>
        <v>0.5714285714285714</v>
      </c>
      <c r="AT314" s="770">
        <f t="shared" si="120"/>
        <v>22.474472012690136</v>
      </c>
      <c r="AU314" s="13">
        <f t="shared" si="121"/>
        <v>11</v>
      </c>
      <c r="AV314" s="13">
        <f t="shared" si="122"/>
        <v>12</v>
      </c>
      <c r="AW314" s="173">
        <f t="shared" si="123"/>
        <v>43374</v>
      </c>
      <c r="AX314" s="754">
        <f t="shared" si="124"/>
        <v>0.9285714285714286</v>
      </c>
      <c r="AY314" s="770">
        <f t="shared" si="125"/>
        <v>22.613972376147284</v>
      </c>
      <c r="AZ314" s="747">
        <f t="shared" si="129"/>
        <v>22.544222194418708</v>
      </c>
      <c r="BA314" s="646">
        <f t="shared" si="126"/>
        <v>0.90440059396067574</v>
      </c>
      <c r="BB314" s="641">
        <v>43400</v>
      </c>
      <c r="BC314" s="11">
        <v>43400</v>
      </c>
      <c r="BD314" s="290">
        <f>[3]!FeuilCaduc*(1-Persistant)+Persistant</f>
        <v>0.90673641306712205</v>
      </c>
      <c r="BE314" s="291">
        <f>[3]!CroissVégét</f>
        <v>0.99703144626847073</v>
      </c>
      <c r="BF314" s="822">
        <f>1+[3]!Salcycl*Ksac</f>
        <v>1.0266841032667804</v>
      </c>
      <c r="BH314" s="1101">
        <f t="shared" si="127"/>
        <v>0.10788852292720694</v>
      </c>
      <c r="BI314" s="11">
        <v>44496</v>
      </c>
      <c r="BJ314" s="727">
        <v>8.5460207520656585E-6</v>
      </c>
      <c r="BK314" s="727">
        <v>9.0675277054996593E-3</v>
      </c>
      <c r="BL314" s="727">
        <v>3.8610355999005204E-2</v>
      </c>
      <c r="BM314" s="727">
        <v>0.10777572778088913</v>
      </c>
      <c r="BN314" s="727">
        <v>0.20806823892660903</v>
      </c>
      <c r="BO314" s="728">
        <v>0.34593932257190729</v>
      </c>
      <c r="BP314" s="727">
        <v>0.49392500709979564</v>
      </c>
      <c r="BQ314" s="727">
        <v>0.6482050889527341</v>
      </c>
      <c r="BR314" s="727">
        <v>0.7893779259551994</v>
      </c>
      <c r="BS314" s="727">
        <v>0.92282999025180223</v>
      </c>
      <c r="BT314" s="727">
        <v>1.0545068379133915</v>
      </c>
      <c r="BW314" s="1157">
        <f>'2018'!R\Max</f>
        <v>0.25252489374928161</v>
      </c>
      <c r="BX314" s="1155">
        <f>'2019'!R\Max</f>
        <v>0.71555968660262637</v>
      </c>
      <c r="BY314" s="1155">
        <f>'2020'!R\Max</f>
        <v>0.72588977348907413</v>
      </c>
      <c r="BZ314" s="1155">
        <f>'2021'!R\Max</f>
        <v>0.90440059396067574</v>
      </c>
      <c r="CA314" s="1155">
        <f>'2022'!R\Max</f>
        <v>0.40868642406173633</v>
      </c>
      <c r="CB314" s="1155">
        <f>'2023'!R\Max</f>
        <v>0.40617527151702271</v>
      </c>
      <c r="CC314" s="1155">
        <f>'2024'!R\Max</f>
        <v>0.40177955016948697</v>
      </c>
      <c r="CD314" s="1155">
        <f>'2025'!R\Max</f>
        <v>0.4182826307299044</v>
      </c>
      <c r="CE314" s="1155">
        <f>'2026'!R\Max</f>
        <v>0.41533760756676263</v>
      </c>
      <c r="CF314" s="1156">
        <f>'2027'!R\Max</f>
        <v>0.41133129125259921</v>
      </c>
    </row>
    <row r="315" spans="1:84" s="6" customFormat="1" ht="11.25" x14ac:dyDescent="0.2">
      <c r="A315" s="11">
        <v>43401</v>
      </c>
      <c r="B315" s="380">
        <f>'2022'!Maxi_hp</f>
        <v>22.111247290077316</v>
      </c>
      <c r="C315" s="13">
        <f>'2022'!An_max</f>
        <v>2021</v>
      </c>
      <c r="D315" s="1070"/>
      <c r="E315" s="13"/>
      <c r="F315" s="13">
        <f t="shared" si="128"/>
        <v>23</v>
      </c>
      <c r="G315" s="13">
        <f t="shared" si="112"/>
        <v>22</v>
      </c>
      <c r="H315" s="173">
        <f t="shared" si="113"/>
        <v>43402</v>
      </c>
      <c r="I315" s="754">
        <f t="shared" si="114"/>
        <v>7.1428571428571425E-2</v>
      </c>
      <c r="J315" s="747">
        <f t="shared" si="115"/>
        <v>22.352614340598564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P315" s="13">
        <f t="shared" si="116"/>
        <v>13</v>
      </c>
      <c r="AQ315" s="13">
        <f t="shared" si="117"/>
        <v>12</v>
      </c>
      <c r="AR315" s="173">
        <f t="shared" si="118"/>
        <v>43416</v>
      </c>
      <c r="AS315" s="754">
        <f t="shared" si="119"/>
        <v>0.5357142857142857</v>
      </c>
      <c r="AT315" s="770">
        <f t="shared" si="120"/>
        <v>22.122331706328051</v>
      </c>
      <c r="AU315" s="13">
        <f t="shared" si="121"/>
        <v>11</v>
      </c>
      <c r="AV315" s="13">
        <f t="shared" si="122"/>
        <v>12</v>
      </c>
      <c r="AW315" s="173">
        <f t="shared" si="123"/>
        <v>43374</v>
      </c>
      <c r="AX315" s="754">
        <f t="shared" si="124"/>
        <v>0.9642857142857143</v>
      </c>
      <c r="AY315" s="770">
        <f t="shared" si="125"/>
        <v>22.319273396571432</v>
      </c>
      <c r="AZ315" s="747">
        <f t="shared" si="129"/>
        <v>22.220802551449744</v>
      </c>
      <c r="BA315" s="646">
        <f t="shared" si="126"/>
        <v>0.98920184248502607</v>
      </c>
      <c r="BB315" s="641">
        <v>43401</v>
      </c>
      <c r="BC315" s="11">
        <v>43401</v>
      </c>
      <c r="BD315" s="290">
        <f>[3]!FeuilCaduc*(1-Persistant)+Persistant</f>
        <v>0.90389166053146663</v>
      </c>
      <c r="BE315" s="291">
        <f>[3]!CroissVégét</f>
        <v>0.99716388402603495</v>
      </c>
      <c r="BF315" s="822">
        <f>1+[3]!Salcycl*Ksac</f>
        <v>1.0259729151328667</v>
      </c>
      <c r="BH315" s="1101">
        <f t="shared" si="127"/>
        <v>0.11655074864099851</v>
      </c>
      <c r="BI315" s="11">
        <v>44497</v>
      </c>
      <c r="BJ315" s="727">
        <v>1.0533721901626758E-5</v>
      </c>
      <c r="BK315" s="727">
        <v>1.1216608976335916E-2</v>
      </c>
      <c r="BL315" s="727">
        <v>4.3917796668302859E-2</v>
      </c>
      <c r="BM315" s="727">
        <v>0.11643371170865256</v>
      </c>
      <c r="BN315" s="727">
        <v>0.22049783348119667</v>
      </c>
      <c r="BO315" s="728">
        <v>0.3594965244774691</v>
      </c>
      <c r="BP315" s="727">
        <v>0.50709796330538082</v>
      </c>
      <c r="BQ315" s="727">
        <v>0.65862850605752565</v>
      </c>
      <c r="BR315" s="727">
        <v>0.79759640128794962</v>
      </c>
      <c r="BS315" s="727">
        <v>0.92942653336560044</v>
      </c>
      <c r="BT315" s="727">
        <v>1.0595511002329607</v>
      </c>
      <c r="BW315" s="1157">
        <f>'2018'!R\Max</f>
        <v>0.11422248381215311</v>
      </c>
      <c r="BX315" s="1155">
        <f>'2019'!R\Max</f>
        <v>0.28422607712988168</v>
      </c>
      <c r="BY315" s="1155">
        <f>'2020'!R\Max</f>
        <v>0.71626762553593393</v>
      </c>
      <c r="BZ315" s="1155">
        <f>'2021'!R\Max</f>
        <v>0.98920184248502607</v>
      </c>
      <c r="CA315" s="1155">
        <f>'2022'!R\Max</f>
        <v>0.54795303376632976</v>
      </c>
      <c r="CB315" s="1155">
        <f>'2023'!R\Max</f>
        <v>0.54533248319137584</v>
      </c>
      <c r="CC315" s="1155">
        <f>'2024'!R\Max</f>
        <v>0.54075856833022629</v>
      </c>
      <c r="CD315" s="1155">
        <f>'2025'!R\Max</f>
        <v>0.55802511716125613</v>
      </c>
      <c r="CE315" s="1155">
        <f>'2026'!R\Max</f>
        <v>0.55488609287280199</v>
      </c>
      <c r="CF315" s="1156">
        <f>'2027'!R\Max</f>
        <v>0.55071460520315307</v>
      </c>
    </row>
    <row r="316" spans="1:84" s="6" customFormat="1" ht="11.25" x14ac:dyDescent="0.2">
      <c r="A316" s="11">
        <v>43402</v>
      </c>
      <c r="B316" s="380">
        <f>'2022'!Maxi_hp</f>
        <v>18.063917561707093</v>
      </c>
      <c r="C316" s="13">
        <f>'2022'!An_max</f>
        <v>2022</v>
      </c>
      <c r="D316" s="1070"/>
      <c r="E316" s="1073">
        <f>AI$13/10</f>
        <v>22.0275</v>
      </c>
      <c r="F316" s="13">
        <f t="shared" si="128"/>
        <v>23</v>
      </c>
      <c r="G316" s="13">
        <f t="shared" si="112"/>
        <v>24</v>
      </c>
      <c r="H316" s="173">
        <f t="shared" si="113"/>
        <v>43402</v>
      </c>
      <c r="I316" s="754">
        <f t="shared" si="114"/>
        <v>0</v>
      </c>
      <c r="J316" s="747">
        <f t="shared" si="115"/>
        <v>22.027500000037254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P316" s="13">
        <f t="shared" si="116"/>
        <v>13</v>
      </c>
      <c r="AQ316" s="13">
        <f t="shared" si="117"/>
        <v>12</v>
      </c>
      <c r="AR316" s="173">
        <f t="shared" si="118"/>
        <v>43416</v>
      </c>
      <c r="AS316" s="754">
        <f t="shared" si="119"/>
        <v>0.5</v>
      </c>
      <c r="AT316" s="770">
        <f t="shared" si="120"/>
        <v>21.770512500219048</v>
      </c>
      <c r="AU316" s="13">
        <f t="shared" si="121"/>
        <v>13</v>
      </c>
      <c r="AV316" s="13">
        <f t="shared" si="122"/>
        <v>12</v>
      </c>
      <c r="AW316" s="173">
        <f t="shared" si="123"/>
        <v>43430</v>
      </c>
      <c r="AX316" s="754">
        <f t="shared" si="124"/>
        <v>1</v>
      </c>
      <c r="AY316" s="770">
        <f t="shared" si="125"/>
        <v>22.027500000037254</v>
      </c>
      <c r="AZ316" s="747">
        <f t="shared" si="129"/>
        <v>21.899006250128153</v>
      </c>
      <c r="BA316" s="646">
        <f t="shared" si="126"/>
        <v>0.82006208428902705</v>
      </c>
      <c r="BB316" s="641">
        <v>43402</v>
      </c>
      <c r="BC316" s="11">
        <v>43402</v>
      </c>
      <c r="BD316" s="290">
        <f>[3]!FeuilCaduc*(1-Persistant)+Persistant</f>
        <v>0.90102902088032577</v>
      </c>
      <c r="BE316" s="291">
        <f>[3]!CroissVégét</f>
        <v>0.99729102250050727</v>
      </c>
      <c r="BF316" s="822">
        <f>1+[3]!Salcycl*Ksac</f>
        <v>1.0252572552200814</v>
      </c>
      <c r="BH316" s="1101">
        <f t="shared" si="127"/>
        <v>0.125489775010759</v>
      </c>
      <c r="BI316" s="11">
        <v>44498</v>
      </c>
      <c r="BJ316" s="727">
        <v>1.2754304882594865E-5</v>
      </c>
      <c r="BK316" s="727">
        <v>1.3624299965444987E-2</v>
      </c>
      <c r="BL316" s="727">
        <v>4.9584399632170581E-2</v>
      </c>
      <c r="BM316" s="727">
        <v>0.12536858713193419</v>
      </c>
      <c r="BN316" s="727">
        <v>0.23312354897683502</v>
      </c>
      <c r="BO316" s="728">
        <v>0.37301502884380899</v>
      </c>
      <c r="BP316" s="727">
        <v>0.51990543750519291</v>
      </c>
      <c r="BQ316" s="727">
        <v>0.66833845985882601</v>
      </c>
      <c r="BR316" s="727">
        <v>0.80490400819147956</v>
      </c>
      <c r="BS316" s="727">
        <v>0.93535216328239246</v>
      </c>
      <c r="BT316" s="727">
        <v>1.0642538861266904</v>
      </c>
      <c r="BW316" s="1157">
        <f>'2018'!R\Max</f>
        <v>0.15516568923585916</v>
      </c>
      <c r="BX316" s="1155">
        <f>'2019'!R\Max</f>
        <v>0.80557478297315999</v>
      </c>
      <c r="BY316" s="1155">
        <f>'2020'!R\Max</f>
        <v>0.44643763286469079</v>
      </c>
      <c r="BZ316" s="1155">
        <f>'2021'!R\Max</f>
        <v>0.54349249729048188</v>
      </c>
      <c r="CA316" s="1155">
        <f>'2022'!R\Max</f>
        <v>0.82006208428902705</v>
      </c>
      <c r="CB316" s="1155">
        <f>'2023'!R\Max</f>
        <v>0.81847303185621778</v>
      </c>
      <c r="CC316" s="1155">
        <f>'2024'!R\Max</f>
        <v>0.81569737313460111</v>
      </c>
      <c r="CD316" s="1155">
        <f>'2025'!R\Max</f>
        <v>0.82616172619545292</v>
      </c>
      <c r="CE316" s="1155">
        <f>'2026'!R\Max</f>
        <v>0.82423951419724506</v>
      </c>
      <c r="CF316" s="1156">
        <f>'2027'!R\Max</f>
        <v>0.8217327180814179</v>
      </c>
    </row>
    <row r="317" spans="1:84" s="6" customFormat="1" ht="11.25" x14ac:dyDescent="0.2">
      <c r="A317" s="11">
        <v>43403</v>
      </c>
      <c r="B317" s="380">
        <f>'2022'!Maxi_hp</f>
        <v>19.915918764671726</v>
      </c>
      <c r="C317" s="13">
        <f>'2022'!An_max</f>
        <v>2018</v>
      </c>
      <c r="D317" s="1070"/>
      <c r="E317" s="13"/>
      <c r="F317" s="13">
        <f t="shared" si="128"/>
        <v>23</v>
      </c>
      <c r="G317" s="13">
        <f t="shared" si="112"/>
        <v>24</v>
      </c>
      <c r="H317" s="173">
        <f t="shared" si="113"/>
        <v>43402</v>
      </c>
      <c r="I317" s="754">
        <f t="shared" si="114"/>
        <v>7.1428571428571425E-2</v>
      </c>
      <c r="J317" s="747">
        <f t="shared" si="115"/>
        <v>21.697640506856676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P317" s="13">
        <f t="shared" si="116"/>
        <v>13</v>
      </c>
      <c r="AQ317" s="13">
        <f t="shared" si="117"/>
        <v>12</v>
      </c>
      <c r="AR317" s="173">
        <f t="shared" si="118"/>
        <v>43416</v>
      </c>
      <c r="AS317" s="754">
        <f t="shared" si="119"/>
        <v>0.4642857142857143</v>
      </c>
      <c r="AT317" s="770">
        <f t="shared" si="120"/>
        <v>21.419817147510393</v>
      </c>
      <c r="AU317" s="13">
        <f t="shared" si="121"/>
        <v>13</v>
      </c>
      <c r="AV317" s="13">
        <f t="shared" si="122"/>
        <v>12</v>
      </c>
      <c r="AW317" s="173">
        <f t="shared" si="123"/>
        <v>43430</v>
      </c>
      <c r="AX317" s="754">
        <f t="shared" si="124"/>
        <v>0.9642857142857143</v>
      </c>
      <c r="AY317" s="770">
        <f t="shared" si="125"/>
        <v>21.733507887691459</v>
      </c>
      <c r="AZ317" s="747">
        <f t="shared" si="129"/>
        <v>21.576662517600926</v>
      </c>
      <c r="BA317" s="646">
        <f t="shared" si="126"/>
        <v>0.91788407861113253</v>
      </c>
      <c r="BB317" s="641">
        <v>43403</v>
      </c>
      <c r="BC317" s="11">
        <v>43403</v>
      </c>
      <c r="BD317" s="290">
        <f>[3]!FeuilCaduc*(1-Persistant)+Persistant</f>
        <v>0.8981523928128603</v>
      </c>
      <c r="BE317" s="291">
        <f>[3]!CroissVégét</f>
        <v>0.99741307246059263</v>
      </c>
      <c r="BF317" s="822">
        <f>1+[3]!Salcycl*Ksac</f>
        <v>1.0245380982032151</v>
      </c>
      <c r="BH317" s="1101">
        <f t="shared" si="127"/>
        <v>0.13470594071999642</v>
      </c>
      <c r="BI317" s="11">
        <v>44499</v>
      </c>
      <c r="BJ317" s="727">
        <v>1.5208104116498511E-5</v>
      </c>
      <c r="BK317" s="727">
        <v>1.6290972136901911E-2</v>
      </c>
      <c r="BL317" s="727">
        <v>5.5610668412916793E-2</v>
      </c>
      <c r="BM317" s="727">
        <v>0.13458069294710648</v>
      </c>
      <c r="BN317" s="727">
        <v>0.24594553504010616</v>
      </c>
      <c r="BO317" s="728">
        <v>0.38649452788853156</v>
      </c>
      <c r="BP317" s="727">
        <v>0.53234651621578721</v>
      </c>
      <c r="BQ317" s="727">
        <v>0.6773333830636008</v>
      </c>
      <c r="BR317" s="727">
        <v>0.81129875534375073</v>
      </c>
      <c r="BS317" s="727">
        <v>0.94060509879061149</v>
      </c>
      <c r="BT317" s="727">
        <v>1.068613754164552</v>
      </c>
      <c r="BW317" s="1157">
        <f>'2018'!R\Max</f>
        <v>0.91788407861113253</v>
      </c>
      <c r="BX317" s="1155">
        <f>'2019'!R\Max</f>
        <v>0.56787022175094037</v>
      </c>
      <c r="BY317" s="1155">
        <f>'2020'!R\Max</f>
        <v>0.88586842162143931</v>
      </c>
      <c r="BZ317" s="1155">
        <f>'2021'!R\Max</f>
        <v>0.34587519927742011</v>
      </c>
      <c r="CA317" s="1155">
        <f>'2022'!R\Max</f>
        <v>0.69466970123884486</v>
      </c>
      <c r="CB317" s="1155">
        <f>'2023'!R\Max</f>
        <v>0.69235798975820007</v>
      </c>
      <c r="CC317" s="1155">
        <f>'2024'!R\Max</f>
        <v>0.6883654913169146</v>
      </c>
      <c r="CD317" s="1155">
        <f>'2025'!R\Max</f>
        <v>0.70371886493667524</v>
      </c>
      <c r="CE317" s="1155">
        <f>'2026'!R\Max</f>
        <v>0.70080365998548344</v>
      </c>
      <c r="CF317" s="1156">
        <f>'2027'!R\Max</f>
        <v>0.69711607303080059</v>
      </c>
    </row>
    <row r="318" spans="1:84" s="6" customFormat="1" ht="11.25" x14ac:dyDescent="0.2">
      <c r="A318" s="11">
        <v>43404</v>
      </c>
      <c r="B318" s="380">
        <f>'2022'!Maxi_hp</f>
        <v>21.044547034866937</v>
      </c>
      <c r="C318" s="13">
        <f>'2022'!An_max</f>
        <v>2020</v>
      </c>
      <c r="D318" s="1070"/>
      <c r="E318" s="13"/>
      <c r="F318" s="13">
        <f t="shared" si="128"/>
        <v>23</v>
      </c>
      <c r="G318" s="13">
        <f t="shared" si="112"/>
        <v>24</v>
      </c>
      <c r="H318" s="173">
        <f t="shared" si="113"/>
        <v>43402</v>
      </c>
      <c r="I318" s="754">
        <f t="shared" si="114"/>
        <v>0.14285714285714285</v>
      </c>
      <c r="J318" s="747">
        <f t="shared" si="115"/>
        <v>21.359610787246911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P318" s="13">
        <f t="shared" si="116"/>
        <v>13</v>
      </c>
      <c r="AQ318" s="13">
        <f t="shared" si="117"/>
        <v>12</v>
      </c>
      <c r="AR318" s="173">
        <f t="shared" si="118"/>
        <v>43416</v>
      </c>
      <c r="AS318" s="754">
        <f t="shared" si="119"/>
        <v>0.42857142857142855</v>
      </c>
      <c r="AT318" s="770">
        <f t="shared" si="120"/>
        <v>21.071048397570848</v>
      </c>
      <c r="AU318" s="13">
        <f t="shared" si="121"/>
        <v>13</v>
      </c>
      <c r="AV318" s="13">
        <f t="shared" si="122"/>
        <v>12</v>
      </c>
      <c r="AW318" s="173">
        <f t="shared" si="123"/>
        <v>43430</v>
      </c>
      <c r="AX318" s="754">
        <f t="shared" si="124"/>
        <v>0.9285714285714286</v>
      </c>
      <c r="AY318" s="770">
        <f t="shared" si="125"/>
        <v>21.432518458502766</v>
      </c>
      <c r="AZ318" s="747">
        <f t="shared" si="129"/>
        <v>21.251783428036809</v>
      </c>
      <c r="BA318" s="646">
        <f t="shared" si="126"/>
        <v>0.98524955555051186</v>
      </c>
      <c r="BB318" s="641">
        <v>43404</v>
      </c>
      <c r="BC318" s="11">
        <v>43404</v>
      </c>
      <c r="BD318" s="290">
        <f>[3]!FeuilCaduc*(1-Persistant)+Persistant</f>
        <v>0.89526577756520931</v>
      </c>
      <c r="BE318" s="291">
        <f>[3]!CroissVégét</f>
        <v>0.99753023639231442</v>
      </c>
      <c r="BF318" s="822">
        <f>1+[3]!Salcycl*Ksac</f>
        <v>1.0238164443913023</v>
      </c>
      <c r="BH318" s="1101">
        <f t="shared" si="127"/>
        <v>0.14404788334611518</v>
      </c>
      <c r="BI318" s="11">
        <v>44500</v>
      </c>
      <c r="BJ318" s="727">
        <v>1.0311824897776208E-4</v>
      </c>
      <c r="BK318" s="727">
        <v>1.9254236108724902E-2</v>
      </c>
      <c r="BL318" s="727">
        <v>6.1963650710709132E-2</v>
      </c>
      <c r="BM318" s="727">
        <v>0.14391888290878405</v>
      </c>
      <c r="BN318" s="727">
        <v>0.25862043010465652</v>
      </c>
      <c r="BO318" s="728">
        <v>0.39947973602386661</v>
      </c>
      <c r="BP318" s="727">
        <v>0.54393611617498516</v>
      </c>
      <c r="BQ318" s="727">
        <v>0.68529433464359757</v>
      </c>
      <c r="BR318" s="727">
        <v>0.81657286318554489</v>
      </c>
      <c r="BS318" s="727">
        <v>0.94487350352817978</v>
      </c>
      <c r="BT318" s="727">
        <v>1.0721187715577478</v>
      </c>
      <c r="BW318" s="1157">
        <f>'2018'!R\Max</f>
        <v>0.3199476629607455</v>
      </c>
      <c r="BX318" s="1155">
        <f>'2019'!R\Max</f>
        <v>0.59606491141031992</v>
      </c>
      <c r="BY318" s="1155">
        <f>'2020'!R\Max</f>
        <v>0.98524955555051186</v>
      </c>
      <c r="BZ318" s="1155">
        <f>'2021'!R\Max</f>
        <v>0.59781646503436991</v>
      </c>
      <c r="CA318" s="1155">
        <f>'2022'!R\Max</f>
        <v>0.66835141930321507</v>
      </c>
      <c r="CB318" s="1155">
        <f>'2023'!R\Max</f>
        <v>0.6659084720800903</v>
      </c>
      <c r="CC318" s="1155">
        <f>'2024'!R\Max</f>
        <v>0.66172496047048923</v>
      </c>
      <c r="CD318" s="1155">
        <f>'2025'!R\Max</f>
        <v>0.67805253869718884</v>
      </c>
      <c r="CE318" s="1155">
        <f>'2026'!R\Max</f>
        <v>0.67486906655251822</v>
      </c>
      <c r="CF318" s="1156">
        <f>'2027'!R\Max</f>
        <v>0.67094802965737321</v>
      </c>
    </row>
    <row r="319" spans="1:84" s="6" customFormat="1" ht="11.25" x14ac:dyDescent="0.2">
      <c r="A319" s="11">
        <v>43405</v>
      </c>
      <c r="B319" s="380">
        <f>'2022'!Maxi_hp</f>
        <v>19.702358339343263</v>
      </c>
      <c r="C319" s="13">
        <f>'2022'!An_max</f>
        <v>2020</v>
      </c>
      <c r="D319" s="1070"/>
      <c r="E319" s="13"/>
      <c r="F319" s="13">
        <f t="shared" si="128"/>
        <v>23</v>
      </c>
      <c r="G319" s="13">
        <f t="shared" si="112"/>
        <v>24</v>
      </c>
      <c r="H319" s="173">
        <f t="shared" si="113"/>
        <v>43402</v>
      </c>
      <c r="I319" s="754">
        <f t="shared" si="114"/>
        <v>0.21428571428571427</v>
      </c>
      <c r="J319" s="747">
        <f t="shared" si="115"/>
        <v>21.015230412022877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P319" s="13">
        <f t="shared" si="116"/>
        <v>13</v>
      </c>
      <c r="AQ319" s="13">
        <f t="shared" si="117"/>
        <v>12</v>
      </c>
      <c r="AR319" s="173">
        <f t="shared" si="118"/>
        <v>43416</v>
      </c>
      <c r="AS319" s="754">
        <f t="shared" si="119"/>
        <v>0.39285714285714285</v>
      </c>
      <c r="AT319" s="770">
        <f t="shared" si="120"/>
        <v>20.725009001911221</v>
      </c>
      <c r="AU319" s="13">
        <f t="shared" si="121"/>
        <v>13</v>
      </c>
      <c r="AV319" s="13">
        <f t="shared" si="122"/>
        <v>12</v>
      </c>
      <c r="AW319" s="173">
        <f t="shared" si="123"/>
        <v>43430</v>
      </c>
      <c r="AX319" s="754">
        <f t="shared" si="124"/>
        <v>0.8928571428571429</v>
      </c>
      <c r="AY319" s="770">
        <f t="shared" si="125"/>
        <v>21.125401359794861</v>
      </c>
      <c r="AZ319" s="747">
        <f t="shared" si="129"/>
        <v>20.925205180853041</v>
      </c>
      <c r="BA319" s="646">
        <f t="shared" si="126"/>
        <v>0.93752759085008575</v>
      </c>
      <c r="BB319" s="641">
        <v>43405</v>
      </c>
      <c r="BC319" s="11">
        <v>43405</v>
      </c>
      <c r="BD319" s="290">
        <f>[3]!FeuilCaduc*(1-Persistant)+Persistant</f>
        <v>0.89237326229624314</v>
      </c>
      <c r="BE319" s="291">
        <f>[3]!CroissVégét</f>
        <v>0.99764270881659778</v>
      </c>
      <c r="BF319" s="822">
        <f>1+[3]!Salcycl*Ksac</f>
        <v>1.0230933155740607</v>
      </c>
      <c r="BH319" s="1101">
        <f t="shared" si="127"/>
        <v>0.15328275560956992</v>
      </c>
      <c r="BI319" s="11">
        <v>44501</v>
      </c>
      <c r="BJ319" s="727">
        <v>2.7650698917709395E-4</v>
      </c>
      <c r="BK319" s="727">
        <v>2.241664129296201E-2</v>
      </c>
      <c r="BL319" s="727">
        <v>6.8413364281202718E-2</v>
      </c>
      <c r="BM319" s="727">
        <v>0.15315036752263961</v>
      </c>
      <c r="BN319" s="727">
        <v>0.27086406458728118</v>
      </c>
      <c r="BO319" s="728">
        <v>0.41182585697459273</v>
      </c>
      <c r="BP319" s="727">
        <v>0.5546521978607436</v>
      </c>
      <c r="BQ319" s="727">
        <v>0.69247636791039924</v>
      </c>
      <c r="BR319" s="727">
        <v>0.82111475872735928</v>
      </c>
      <c r="BS319" s="727">
        <v>0.94843762252350905</v>
      </c>
      <c r="BT319" s="727">
        <v>1.0748035098032671</v>
      </c>
      <c r="BW319" s="1157">
        <f>'2018'!R\Max</f>
        <v>0.68872510930528508</v>
      </c>
      <c r="BX319" s="1155">
        <f>'2019'!R\Max</f>
        <v>0.25323482948787007</v>
      </c>
      <c r="BY319" s="1155">
        <f>'2020'!R\Max</f>
        <v>0.93752759085008575</v>
      </c>
      <c r="BZ319" s="1155">
        <f>'2021'!R\Max</f>
        <v>0.5761150192837986</v>
      </c>
      <c r="CA319" s="1155">
        <f>'2022'!R\Max</f>
        <v>0.72790100476787956</v>
      </c>
      <c r="CB319" s="1155">
        <f>'2023'!R\Max</f>
        <v>0.72569380348994006</v>
      </c>
      <c r="CC319" s="1155">
        <f>'2024'!R\Max</f>
        <v>0.72193707570238863</v>
      </c>
      <c r="CD319" s="1155">
        <f>'2025'!R\Max</f>
        <v>0.73674615675972444</v>
      </c>
      <c r="CE319" s="1155">
        <f>'2026'!R\Max</f>
        <v>0.73380148280947965</v>
      </c>
      <c r="CF319" s="1156">
        <f>'2027'!R\Max</f>
        <v>0.73025288868589833</v>
      </c>
    </row>
    <row r="320" spans="1:84" s="6" customFormat="1" ht="11.25" x14ac:dyDescent="0.2">
      <c r="A320" s="11">
        <v>43406</v>
      </c>
      <c r="B320" s="380">
        <f>'2022'!Maxi_hp</f>
        <v>18.470798370056769</v>
      </c>
      <c r="C320" s="13">
        <f>'2022'!An_max</f>
        <v>2020</v>
      </c>
      <c r="D320" s="1070"/>
      <c r="E320" s="13"/>
      <c r="F320" s="13">
        <f t="shared" si="128"/>
        <v>23</v>
      </c>
      <c r="G320" s="13">
        <f t="shared" si="112"/>
        <v>24</v>
      </c>
      <c r="H320" s="173">
        <f t="shared" si="113"/>
        <v>43402</v>
      </c>
      <c r="I320" s="754">
        <f t="shared" si="114"/>
        <v>0.2857142857142857</v>
      </c>
      <c r="J320" s="747">
        <f t="shared" si="115"/>
        <v>20.666318950535995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P320" s="13">
        <f t="shared" si="116"/>
        <v>13</v>
      </c>
      <c r="AQ320" s="13">
        <f t="shared" si="117"/>
        <v>12</v>
      </c>
      <c r="AR320" s="173">
        <f t="shared" si="118"/>
        <v>43416</v>
      </c>
      <c r="AS320" s="754">
        <f t="shared" si="119"/>
        <v>0.35714285714285715</v>
      </c>
      <c r="AT320" s="770">
        <f t="shared" si="120"/>
        <v>20.382501713186503</v>
      </c>
      <c r="AU320" s="13">
        <f t="shared" si="121"/>
        <v>13</v>
      </c>
      <c r="AV320" s="13">
        <f t="shared" si="122"/>
        <v>12</v>
      </c>
      <c r="AW320" s="173">
        <f t="shared" si="123"/>
        <v>43430</v>
      </c>
      <c r="AX320" s="754">
        <f t="shared" si="124"/>
        <v>0.8571428571428571</v>
      </c>
      <c r="AY320" s="770">
        <f t="shared" si="125"/>
        <v>20.813026239190783</v>
      </c>
      <c r="AZ320" s="747">
        <f t="shared" si="129"/>
        <v>20.597763976188645</v>
      </c>
      <c r="BA320" s="646">
        <f t="shared" si="126"/>
        <v>0.89376334577366601</v>
      </c>
      <c r="BB320" s="641">
        <v>43406</v>
      </c>
      <c r="BC320" s="11">
        <v>43406</v>
      </c>
      <c r="BD320" s="290">
        <f>[3]!FeuilCaduc*(1-Persistant)+Persistant</f>
        <v>0.88947900270464697</v>
      </c>
      <c r="BE320" s="291">
        <f>[3]!CroissVégét</f>
        <v>0.99775067659530603</v>
      </c>
      <c r="BF320" s="822">
        <f>1+[3]!Salcycl*Ksac</f>
        <v>1.0223697506761618</v>
      </c>
      <c r="BH320" s="1101">
        <f t="shared" si="127"/>
        <v>0.1624102506269558</v>
      </c>
      <c r="BI320" s="11">
        <v>44502</v>
      </c>
      <c r="BJ320" s="727">
        <v>5.35496040075777E-4</v>
      </c>
      <c r="BK320" s="727">
        <v>2.5778447403815213E-2</v>
      </c>
      <c r="BL320" s="727">
        <v>7.4959875554657732E-2</v>
      </c>
      <c r="BM320" s="727">
        <v>0.16227484055362257</v>
      </c>
      <c r="BN320" s="727">
        <v>0.28267555576481451</v>
      </c>
      <c r="BO320" s="728">
        <v>0.4235315810554463</v>
      </c>
      <c r="BP320" s="727">
        <v>0.5644929872711324</v>
      </c>
      <c r="BQ320" s="727">
        <v>0.69887772220179467</v>
      </c>
      <c r="BR320" s="727">
        <v>0.82492263338627247</v>
      </c>
      <c r="BS320" s="727">
        <v>0.95129557133359399</v>
      </c>
      <c r="BT320" s="727">
        <v>1.0766658035783176</v>
      </c>
      <c r="BW320" s="1157">
        <f>'2018'!R\Max</f>
        <v>0.32639648202000593</v>
      </c>
      <c r="BX320" s="1155">
        <f>'2019'!R\Max</f>
        <v>0.19400684817165556</v>
      </c>
      <c r="BY320" s="1155">
        <f>'2020'!R\Max</f>
        <v>0.89376334577366601</v>
      </c>
      <c r="BZ320" s="1155">
        <f>'2021'!R\Max</f>
        <v>0.87621266201616599</v>
      </c>
      <c r="CA320" s="1155">
        <f>'2022'!R\Max</f>
        <v>0.86519430357802551</v>
      </c>
      <c r="CB320" s="1155">
        <f>'2023'!R\Max</f>
        <v>0.86388035096128124</v>
      </c>
      <c r="CC320" s="1155">
        <f>'2024'!R\Max</f>
        <v>0.86165289960424463</v>
      </c>
      <c r="CD320" s="1155">
        <f>'2025'!R\Max</f>
        <v>0.87048174123954469</v>
      </c>
      <c r="CE320" s="1155">
        <f>'2026'!R\Max</f>
        <v>0.8687025859537848</v>
      </c>
      <c r="CF320" s="1156">
        <f>'2027'!R\Max</f>
        <v>0.86659541564644293</v>
      </c>
    </row>
    <row r="321" spans="1:84" s="6" customFormat="1" ht="11.25" x14ac:dyDescent="0.2">
      <c r="A321" s="11">
        <v>43407</v>
      </c>
      <c r="B321" s="380">
        <f>'2022'!Maxi_hp</f>
        <v>19.194337554419008</v>
      </c>
      <c r="C321" s="13">
        <f>'2022'!An_max</f>
        <v>2020</v>
      </c>
      <c r="D321" s="1070"/>
      <c r="E321" s="13"/>
      <c r="F321" s="13">
        <f t="shared" si="128"/>
        <v>23</v>
      </c>
      <c r="G321" s="13">
        <f t="shared" si="112"/>
        <v>24</v>
      </c>
      <c r="H321" s="173">
        <f t="shared" si="113"/>
        <v>43402</v>
      </c>
      <c r="I321" s="754">
        <f t="shared" si="114"/>
        <v>0.35714285714285715</v>
      </c>
      <c r="J321" s="747">
        <f t="shared" si="115"/>
        <v>20.314695973308488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P321" s="13">
        <f t="shared" si="116"/>
        <v>13</v>
      </c>
      <c r="AQ321" s="13">
        <f t="shared" si="117"/>
        <v>12</v>
      </c>
      <c r="AR321" s="173">
        <f t="shared" si="118"/>
        <v>43416</v>
      </c>
      <c r="AS321" s="754">
        <f t="shared" si="119"/>
        <v>0.32142857142857145</v>
      </c>
      <c r="AT321" s="770">
        <f t="shared" si="120"/>
        <v>20.044329283559428</v>
      </c>
      <c r="AU321" s="13">
        <f t="shared" si="121"/>
        <v>13</v>
      </c>
      <c r="AV321" s="13">
        <f t="shared" si="122"/>
        <v>12</v>
      </c>
      <c r="AW321" s="173">
        <f t="shared" si="123"/>
        <v>43430</v>
      </c>
      <c r="AX321" s="754">
        <f t="shared" si="124"/>
        <v>0.8214285714285714</v>
      </c>
      <c r="AY321" s="770">
        <f t="shared" si="125"/>
        <v>20.496262743721516</v>
      </c>
      <c r="AZ321" s="747">
        <f t="shared" si="129"/>
        <v>20.270296013640472</v>
      </c>
      <c r="BA321" s="646">
        <f t="shared" si="126"/>
        <v>0.94484985547598044</v>
      </c>
      <c r="BB321" s="641">
        <v>43407</v>
      </c>
      <c r="BC321" s="11">
        <v>43407</v>
      </c>
      <c r="BD321" s="290">
        <f>[3]!FeuilCaduc*(1-Persistant)+Persistant</f>
        <v>0.88658720499030574</v>
      </c>
      <c r="BE321" s="291">
        <f>[3]!CroissVégét</f>
        <v>0.99785431922609247</v>
      </c>
      <c r="BF321" s="822">
        <f>1+[3]!Salcycl*Ksac</f>
        <v>1.0216468012475763</v>
      </c>
      <c r="BH321" s="1101">
        <f t="shared" si="127"/>
        <v>0.17143002841921812</v>
      </c>
      <c r="BI321" s="11">
        <v>44503</v>
      </c>
      <c r="BJ321" s="727">
        <v>8.8020600374010135E-4</v>
      </c>
      <c r="BK321" s="727">
        <v>2.9339901455871134E-2</v>
      </c>
      <c r="BL321" s="727">
        <v>8.1603226823893427E-2</v>
      </c>
      <c r="BM321" s="727">
        <v>0.17129196268122474</v>
      </c>
      <c r="BN321" s="727">
        <v>0.29405397876592815</v>
      </c>
      <c r="BO321" s="728">
        <v>0.43459555746104594</v>
      </c>
      <c r="BP321" s="727">
        <v>0.57345667683492441</v>
      </c>
      <c r="BQ321" s="727">
        <v>0.70449661599742586</v>
      </c>
      <c r="BR321" s="727">
        <v>0.82799466739571381</v>
      </c>
      <c r="BS321" s="727">
        <v>0.9534454579952979</v>
      </c>
      <c r="BT321" s="727">
        <v>1.0777034841416564</v>
      </c>
      <c r="BW321" s="1157">
        <f>'2018'!R\Max</f>
        <v>0.84667433911387258</v>
      </c>
      <c r="BX321" s="1155">
        <f>'2019'!R\Max</f>
        <v>0.3861819731175275</v>
      </c>
      <c r="BY321" s="1155">
        <f>'2020'!R\Max</f>
        <v>0.94484985547598044</v>
      </c>
      <c r="BZ321" s="1155">
        <f>'2021'!R\Max</f>
        <v>0.57428637034182439</v>
      </c>
      <c r="CA321" s="1155">
        <f>'2022'!R\Max</f>
        <v>0.32042006345667634</v>
      </c>
      <c r="CB321" s="1155">
        <f>'2023'!R\Max</f>
        <v>0.3179621580407796</v>
      </c>
      <c r="CC321" s="1155">
        <f>'2024'!R\Max</f>
        <v>0.3138979727866324</v>
      </c>
      <c r="CD321" s="1155">
        <f>'2025'!R\Max</f>
        <v>0.33074665870167047</v>
      </c>
      <c r="CE321" s="1155">
        <f>'2026'!R\Max</f>
        <v>0.32716489559236789</v>
      </c>
      <c r="CF321" s="1156">
        <f>'2027'!R\Max</f>
        <v>0.32308547144708516</v>
      </c>
    </row>
    <row r="322" spans="1:84" s="6" customFormat="1" ht="11.25" x14ac:dyDescent="0.2">
      <c r="A322" s="11">
        <v>43408</v>
      </c>
      <c r="B322" s="380">
        <f>'2022'!Maxi_hp</f>
        <v>14.185805406628766</v>
      </c>
      <c r="C322" s="13">
        <f>'2022'!An_max</f>
        <v>2018</v>
      </c>
      <c r="D322" s="1070"/>
      <c r="E322" s="13"/>
      <c r="F322" s="13">
        <f t="shared" si="128"/>
        <v>23</v>
      </c>
      <c r="G322" s="13">
        <f t="shared" si="112"/>
        <v>24</v>
      </c>
      <c r="H322" s="173">
        <f t="shared" si="113"/>
        <v>43402</v>
      </c>
      <c r="I322" s="754">
        <f t="shared" si="114"/>
        <v>0.42857142857142855</v>
      </c>
      <c r="J322" s="747">
        <f t="shared" si="115"/>
        <v>19.96218104990465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P322" s="13">
        <f t="shared" si="116"/>
        <v>13</v>
      </c>
      <c r="AQ322" s="13">
        <f t="shared" si="117"/>
        <v>12</v>
      </c>
      <c r="AR322" s="173">
        <f t="shared" si="118"/>
        <v>43416</v>
      </c>
      <c r="AS322" s="754">
        <f t="shared" si="119"/>
        <v>0.2857142857142857</v>
      </c>
      <c r="AT322" s="770">
        <f t="shared" si="120"/>
        <v>19.711294461148125</v>
      </c>
      <c r="AU322" s="13">
        <f t="shared" si="121"/>
        <v>13</v>
      </c>
      <c r="AV322" s="13">
        <f t="shared" si="122"/>
        <v>12</v>
      </c>
      <c r="AW322" s="173">
        <f t="shared" si="123"/>
        <v>43430</v>
      </c>
      <c r="AX322" s="754">
        <f t="shared" si="124"/>
        <v>0.7857142857142857</v>
      </c>
      <c r="AY322" s="770">
        <f t="shared" si="125"/>
        <v>20.175980520514507</v>
      </c>
      <c r="AZ322" s="747">
        <f t="shared" si="129"/>
        <v>19.943637490831314</v>
      </c>
      <c r="BA322" s="646">
        <f t="shared" si="126"/>
        <v>0.71063404199996094</v>
      </c>
      <c r="BB322" s="641">
        <v>43408</v>
      </c>
      <c r="BC322" s="11">
        <v>43408</v>
      </c>
      <c r="BD322" s="290">
        <f>[3]!FeuilCaduc*(1-Persistant)+Persistant</f>
        <v>0.88370210727942844</v>
      </c>
      <c r="BE322" s="291">
        <f>[3]!CroissVégét</f>
        <v>0.99795380912643716</v>
      </c>
      <c r="BF322" s="822">
        <f>1+[3]!Salcycl*Ksac</f>
        <v>1.0209255268198572</v>
      </c>
      <c r="BH322" s="1101">
        <f t="shared" si="127"/>
        <v>0.18034171697909909</v>
      </c>
      <c r="BI322" s="11">
        <v>44504</v>
      </c>
      <c r="BJ322" s="727">
        <v>1.3107555830946466E-3</v>
      </c>
      <c r="BK322" s="727">
        <v>3.3101235957537292E-2</v>
      </c>
      <c r="BL322" s="727">
        <v>8.8343435409950072E-2</v>
      </c>
      <c r="BM322" s="727">
        <v>0.18020136256353531</v>
      </c>
      <c r="BN322" s="727">
        <v>0.30499837065127844</v>
      </c>
      <c r="BO322" s="728">
        <v>0.44501640026136396</v>
      </c>
      <c r="BP322" s="727">
        <v>0.58154143355223664</v>
      </c>
      <c r="BQ322" s="727">
        <v>0.70933125415706599</v>
      </c>
      <c r="BR322" s="727">
        <v>0.8303290365903897</v>
      </c>
      <c r="BS322" s="727">
        <v>0.95488538954451352</v>
      </c>
      <c r="BT322" s="727">
        <v>1.0779143869135395</v>
      </c>
      <c r="BW322" s="1157">
        <f>'2018'!R\Max</f>
        <v>0.71063404199996094</v>
      </c>
      <c r="BX322" s="1155">
        <f>'2019'!R\Max</f>
        <v>0.4456472202938323</v>
      </c>
      <c r="BY322" s="1155">
        <f>'2020'!R\Max</f>
        <v>0.18053885716135618</v>
      </c>
      <c r="BZ322" s="1155">
        <f>'2021'!R\Max</f>
        <v>0.45758238284106523</v>
      </c>
      <c r="CA322" s="1155">
        <f>'2022'!R\Max</f>
        <v>0.47114943405231363</v>
      </c>
      <c r="CB322" s="1155">
        <f>'2023'!R\Max</f>
        <v>0.4683129661292782</v>
      </c>
      <c r="CC322" s="1155">
        <f>'2024'!R\Max</f>
        <v>0.46364305452641874</v>
      </c>
      <c r="CD322" s="1155">
        <f>'2025'!R\Max</f>
        <v>0.48309876562456344</v>
      </c>
      <c r="CE322" s="1155">
        <f>'2026'!R\Max</f>
        <v>0.47892065669227513</v>
      </c>
      <c r="CF322" s="1156">
        <f>'2027'!R\Max</f>
        <v>0.47422744962955571</v>
      </c>
    </row>
    <row r="323" spans="1:84" s="6" customFormat="1" ht="11.25" x14ac:dyDescent="0.2">
      <c r="A323" s="11">
        <v>43409</v>
      </c>
      <c r="B323" s="380">
        <f>'2022'!Maxi_hp</f>
        <v>19.974952359032539</v>
      </c>
      <c r="C323" s="13">
        <f>'2022'!An_max</f>
        <v>2022</v>
      </c>
      <c r="D323" s="1070"/>
      <c r="E323" s="13"/>
      <c r="F323" s="13">
        <f t="shared" si="128"/>
        <v>23</v>
      </c>
      <c r="G323" s="13">
        <f t="shared" si="112"/>
        <v>24</v>
      </c>
      <c r="H323" s="173">
        <f t="shared" si="113"/>
        <v>43402</v>
      </c>
      <c r="I323" s="754">
        <f t="shared" si="114"/>
        <v>0.5</v>
      </c>
      <c r="J323" s="747">
        <f t="shared" si="115"/>
        <v>19.610593750607222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P323" s="13">
        <f t="shared" si="116"/>
        <v>13</v>
      </c>
      <c r="AQ323" s="13">
        <f t="shared" si="117"/>
        <v>12</v>
      </c>
      <c r="AR323" s="173">
        <f t="shared" si="118"/>
        <v>43416</v>
      </c>
      <c r="AS323" s="754">
        <f t="shared" si="119"/>
        <v>0.25</v>
      </c>
      <c r="AT323" s="770">
        <f t="shared" si="120"/>
        <v>19.384200000856072</v>
      </c>
      <c r="AU323" s="13">
        <f t="shared" si="121"/>
        <v>13</v>
      </c>
      <c r="AV323" s="13">
        <f t="shared" si="122"/>
        <v>12</v>
      </c>
      <c r="AW323" s="173">
        <f t="shared" si="123"/>
        <v>43430</v>
      </c>
      <c r="AX323" s="754">
        <f t="shared" si="124"/>
        <v>0.75</v>
      </c>
      <c r="AY323" s="770">
        <f t="shared" si="125"/>
        <v>19.853049218305387</v>
      </c>
      <c r="AZ323" s="747">
        <f t="shared" si="129"/>
        <v>19.618624609580728</v>
      </c>
      <c r="BA323" s="646">
        <f t="shared" si="126"/>
        <v>1.0185796826480094</v>
      </c>
      <c r="BB323" s="641">
        <v>43409</v>
      </c>
      <c r="BC323" s="11">
        <v>43409</v>
      </c>
      <c r="BD323" s="290">
        <f>[3]!FeuilCaduc*(1-Persistant)+Persistant</f>
        <v>0.88082796063835156</v>
      </c>
      <c r="BE323" s="291">
        <f>[3]!CroissVégét</f>
        <v>0.99804931190721602</v>
      </c>
      <c r="BF323" s="822">
        <f>1+[3]!Salcycl*Ksac</f>
        <v>1.0202069901595878</v>
      </c>
      <c r="BH323" s="1101">
        <f t="shared" si="127"/>
        <v>0.18914491333709463</v>
      </c>
      <c r="BI323" s="11">
        <v>44505</v>
      </c>
      <c r="BJ323" s="727">
        <v>1.8272607960666517E-3</v>
      </c>
      <c r="BK323" s="727">
        <v>3.7062667104213541E-2</v>
      </c>
      <c r="BL323" s="727">
        <v>9.5180492827030283E-2</v>
      </c>
      <c r="BM323" s="727">
        <v>0.18900263789980667</v>
      </c>
      <c r="BN323" s="727">
        <v>0.31550773449111991</v>
      </c>
      <c r="BO323" s="728">
        <v>0.45479269439348374</v>
      </c>
      <c r="BP323" s="727">
        <v>0.58874540713030032</v>
      </c>
      <c r="BQ323" s="727">
        <v>0.71337983515294301</v>
      </c>
      <c r="BR323" s="727">
        <v>0.83192391918423492</v>
      </c>
      <c r="BS323" s="727">
        <v>0.95561347852729794</v>
      </c>
      <c r="BT323" s="727">
        <v>1.0772963590466094</v>
      </c>
      <c r="BW323" s="1157">
        <f>'2018'!R\Max</f>
        <v>0.28626630205957432</v>
      </c>
      <c r="BX323" s="1155">
        <f>'2019'!R\Max</f>
        <v>0.45093451113911026</v>
      </c>
      <c r="BY323" s="1155">
        <f>'2020'!R\Max</f>
        <v>0.53401000169432422</v>
      </c>
      <c r="BZ323" s="1155">
        <f>'2021'!R\Max</f>
        <v>0.38375822770286155</v>
      </c>
      <c r="CA323" s="1155">
        <f>'2022'!R\Max</f>
        <v>1.0185796826480094</v>
      </c>
      <c r="CB323" s="1155">
        <f>'2023'!R\Max</f>
        <v>1.0185796826480089</v>
      </c>
      <c r="CC323" s="1155">
        <f>'2024'!R\Max</f>
        <v>1.0185796826480094</v>
      </c>
      <c r="CD323" s="1155">
        <f>'2025'!R\Max</f>
        <v>1.0185796826480091</v>
      </c>
      <c r="CE323" s="1155">
        <f>'2026'!R\Max</f>
        <v>1.0185796826480094</v>
      </c>
      <c r="CF323" s="1156">
        <f>'2027'!R\Max</f>
        <v>1.0185796826480089</v>
      </c>
    </row>
    <row r="324" spans="1:84" s="6" customFormat="1" ht="11.25" x14ac:dyDescent="0.2">
      <c r="A324" s="11">
        <v>43410</v>
      </c>
      <c r="B324" s="380">
        <f>'2022'!Maxi_hp</f>
        <v>19.022619955261106</v>
      </c>
      <c r="C324" s="13">
        <f>'2022'!An_max</f>
        <v>2022</v>
      </c>
      <c r="D324" s="1070"/>
      <c r="E324" s="13"/>
      <c r="F324" s="13">
        <f t="shared" si="128"/>
        <v>23</v>
      </c>
      <c r="G324" s="13">
        <f t="shared" si="112"/>
        <v>24</v>
      </c>
      <c r="H324" s="173">
        <f t="shared" si="113"/>
        <v>43402</v>
      </c>
      <c r="I324" s="754">
        <f t="shared" si="114"/>
        <v>0.5714285714285714</v>
      </c>
      <c r="J324" s="747">
        <f t="shared" si="115"/>
        <v>19.261753644927275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P324" s="13">
        <f t="shared" si="116"/>
        <v>13</v>
      </c>
      <c r="AQ324" s="13">
        <f t="shared" si="117"/>
        <v>12</v>
      </c>
      <c r="AR324" s="173">
        <f t="shared" si="118"/>
        <v>43416</v>
      </c>
      <c r="AS324" s="754">
        <f t="shared" si="119"/>
        <v>0.21428571428571427</v>
      </c>
      <c r="AT324" s="770">
        <f t="shared" si="120"/>
        <v>19.063848653222834</v>
      </c>
      <c r="AU324" s="13">
        <f t="shared" si="121"/>
        <v>13</v>
      </c>
      <c r="AV324" s="13">
        <f t="shared" si="122"/>
        <v>12</v>
      </c>
      <c r="AW324" s="173">
        <f t="shared" si="123"/>
        <v>43430</v>
      </c>
      <c r="AX324" s="754">
        <f t="shared" si="124"/>
        <v>0.7142857142857143</v>
      </c>
      <c r="AY324" s="770">
        <f t="shared" si="125"/>
        <v>19.528338483661145</v>
      </c>
      <c r="AZ324" s="747">
        <f t="shared" si="129"/>
        <v>19.296093568441989</v>
      </c>
      <c r="BA324" s="646">
        <f t="shared" si="126"/>
        <v>0.98758505097332372</v>
      </c>
      <c r="BB324" s="641">
        <v>43410</v>
      </c>
      <c r="BC324" s="11">
        <v>43410</v>
      </c>
      <c r="BD324" s="290">
        <f>[3]!FeuilCaduc*(1-Persistant)+Persistant</f>
        <v>0.87796900980541837</v>
      </c>
      <c r="BE324" s="291">
        <f>[3]!CroissVégét</f>
        <v>0.99814098663615436</v>
      </c>
      <c r="BF324" s="822">
        <f>1+[3]!Salcycl*Ksac</f>
        <v>1.0194922524513546</v>
      </c>
      <c r="BH324" s="1101">
        <f t="shared" si="127"/>
        <v>0.19767521247184414</v>
      </c>
      <c r="BI324" s="11">
        <v>44506</v>
      </c>
      <c r="BJ324" s="727">
        <v>2.535054505681813E-3</v>
      </c>
      <c r="BK324" s="727">
        <v>4.1173325234926852E-2</v>
      </c>
      <c r="BL324" s="727">
        <v>0.10195500189099577</v>
      </c>
      <c r="BM324" s="727">
        <v>0.19753144363991423</v>
      </c>
      <c r="BN324" s="727">
        <v>0.32536440143502471</v>
      </c>
      <c r="BO324" s="728">
        <v>0.46375506121527316</v>
      </c>
      <c r="BP324" s="727">
        <v>0.59494746812247823</v>
      </c>
      <c r="BQ324" s="727">
        <v>0.71656832960001227</v>
      </c>
      <c r="BR324" s="727">
        <v>0.83268278946905117</v>
      </c>
      <c r="BS324" s="727">
        <v>0.95541090926117611</v>
      </c>
      <c r="BT324" s="727">
        <v>1.0755174246220556</v>
      </c>
      <c r="BW324" s="1157">
        <f>'2018'!R\Max</f>
        <v>0.72993608339027871</v>
      </c>
      <c r="BX324" s="1155">
        <f>'2019'!R\Max</f>
        <v>0.45234123825770256</v>
      </c>
      <c r="BY324" s="1155">
        <f>'2020'!R\Max</f>
        <v>0.70871598892825372</v>
      </c>
      <c r="BZ324" s="1155">
        <f>'2021'!R\Max</f>
        <v>0.66274456168187834</v>
      </c>
      <c r="CA324" s="1155">
        <f>'2022'!R\Max</f>
        <v>0.98758505097332372</v>
      </c>
      <c r="CB324" s="1155">
        <f>'2023'!R\Max</f>
        <v>0.98744330634702404</v>
      </c>
      <c r="CC324" s="1155">
        <f>'2024'!R\Max</f>
        <v>0.98721071822068818</v>
      </c>
      <c r="CD324" s="1155">
        <f>'2025'!R\Max</f>
        <v>0.98817676446800518</v>
      </c>
      <c r="CE324" s="1155">
        <f>'2026'!R\Max</f>
        <v>0.98796862667272434</v>
      </c>
      <c r="CF324" s="1156">
        <f>'2027'!R\Max</f>
        <v>0.98773832482166191</v>
      </c>
    </row>
    <row r="325" spans="1:84" s="6" customFormat="1" ht="11.25" x14ac:dyDescent="0.2">
      <c r="A325" s="11">
        <v>43411</v>
      </c>
      <c r="B325" s="380">
        <f>'2022'!Maxi_hp</f>
        <v>18.24735206974805</v>
      </c>
      <c r="C325" s="13">
        <f>'2022'!An_max</f>
        <v>2022</v>
      </c>
      <c r="D325" s="1070"/>
      <c r="E325" s="13"/>
      <c r="F325" s="13">
        <f t="shared" si="128"/>
        <v>23</v>
      </c>
      <c r="G325" s="13">
        <f t="shared" si="112"/>
        <v>24</v>
      </c>
      <c r="H325" s="173">
        <f t="shared" si="113"/>
        <v>43402</v>
      </c>
      <c r="I325" s="754">
        <f t="shared" si="114"/>
        <v>0.6428571428571429</v>
      </c>
      <c r="J325" s="747">
        <f t="shared" si="115"/>
        <v>18.917480303214063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P325" s="13">
        <f t="shared" si="116"/>
        <v>13</v>
      </c>
      <c r="AQ325" s="13">
        <f t="shared" si="117"/>
        <v>12</v>
      </c>
      <c r="AR325" s="173">
        <f t="shared" si="118"/>
        <v>43416</v>
      </c>
      <c r="AS325" s="754">
        <f t="shared" si="119"/>
        <v>0.17857142857142858</v>
      </c>
      <c r="AT325" s="770">
        <f t="shared" si="120"/>
        <v>18.751043168867803</v>
      </c>
      <c r="AU325" s="13">
        <f t="shared" si="121"/>
        <v>13</v>
      </c>
      <c r="AV325" s="13">
        <f t="shared" si="122"/>
        <v>12</v>
      </c>
      <c r="AW325" s="173">
        <f t="shared" si="123"/>
        <v>43430</v>
      </c>
      <c r="AX325" s="754">
        <f t="shared" si="124"/>
        <v>0.6785714285714286</v>
      </c>
      <c r="AY325" s="770">
        <f t="shared" si="125"/>
        <v>19.202717963947048</v>
      </c>
      <c r="AZ325" s="747">
        <f t="shared" si="129"/>
        <v>18.976880566407424</v>
      </c>
      <c r="BA325" s="646">
        <f t="shared" si="126"/>
        <v>0.96457624256904029</v>
      </c>
      <c r="BB325" s="641">
        <v>43411</v>
      </c>
      <c r="BC325" s="11">
        <v>43411</v>
      </c>
      <c r="BD325" s="290">
        <f>[3]!FeuilCaduc*(1-Persistant)+Persistant</f>
        <v>0.8751294737737112</v>
      </c>
      <c r="BE325" s="291">
        <f>[3]!CroissVégét</f>
        <v>0.99822898609149657</v>
      </c>
      <c r="BF325" s="822">
        <f>1+[3]!Salcycl*Ksac</f>
        <v>1.0187823684434278</v>
      </c>
      <c r="BH325" s="1101">
        <f t="shared" si="127"/>
        <v>0.20589603841769358</v>
      </c>
      <c r="BI325" s="11">
        <v>44507</v>
      </c>
      <c r="BJ325" s="727">
        <v>3.4342577768157168E-3</v>
      </c>
      <c r="BK325" s="727">
        <v>4.5273814977185432E-2</v>
      </c>
      <c r="BL325" s="727">
        <v>0.10854219347179726</v>
      </c>
      <c r="BM325" s="727">
        <v>0.20575105161419197</v>
      </c>
      <c r="BN325" s="727">
        <v>0.33466697646435223</v>
      </c>
      <c r="BO325" s="728">
        <v>0.47209862826622484</v>
      </c>
      <c r="BP325" s="727">
        <v>0.60054685230384497</v>
      </c>
      <c r="BQ325" s="727">
        <v>0.71936508537683441</v>
      </c>
      <c r="BR325" s="727">
        <v>0.83313647940208524</v>
      </c>
      <c r="BS325" s="727">
        <v>0.95467468093772867</v>
      </c>
      <c r="BT325" s="727">
        <v>1.0728886438008536</v>
      </c>
      <c r="BW325" s="1157">
        <f>'2018'!R\Max</f>
        <v>0.37419134192366799</v>
      </c>
      <c r="BX325" s="1155">
        <f>'2019'!R\Max</f>
        <v>0.1388249935138097</v>
      </c>
      <c r="BY325" s="1155">
        <f>'2020'!R\Max</f>
        <v>0.55794504263098144</v>
      </c>
      <c r="BZ325" s="1155">
        <f>'2021'!R\Max</f>
        <v>0.34717756615143286</v>
      </c>
      <c r="CA325" s="1155">
        <f>'2022'!R\Max</f>
        <v>0.96457624256904029</v>
      </c>
      <c r="CB325" s="1155">
        <f>'2023'!R\Max</f>
        <v>0.96417981670776765</v>
      </c>
      <c r="CC325" s="1155">
        <f>'2024'!R\Max</f>
        <v>0.96353603400300614</v>
      </c>
      <c r="CD325" s="1155">
        <f>'2025'!R\Max</f>
        <v>0.96624978421733709</v>
      </c>
      <c r="CE325" s="1155">
        <f>'2026'!R\Max</f>
        <v>0.96565513810996062</v>
      </c>
      <c r="CF325" s="1156">
        <f>'2027'!R\Max</f>
        <v>0.96500702442756492</v>
      </c>
    </row>
    <row r="326" spans="1:84" s="6" customFormat="1" ht="11.25" x14ac:dyDescent="0.2">
      <c r="A326" s="11">
        <v>43412</v>
      </c>
      <c r="B326" s="380">
        <f>'2022'!Maxi_hp</f>
        <v>16.798255579370284</v>
      </c>
      <c r="C326" s="13">
        <f>'2022'!An_max</f>
        <v>2021</v>
      </c>
      <c r="D326" s="1070"/>
      <c r="E326" s="13"/>
      <c r="F326" s="13">
        <f t="shared" si="128"/>
        <v>23</v>
      </c>
      <c r="G326" s="13">
        <f t="shared" si="112"/>
        <v>24</v>
      </c>
      <c r="H326" s="173">
        <f t="shared" si="113"/>
        <v>43402</v>
      </c>
      <c r="I326" s="754">
        <f t="shared" si="114"/>
        <v>0.7142857142857143</v>
      </c>
      <c r="J326" s="747">
        <f t="shared" si="115"/>
        <v>18.579593295231462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P326" s="13">
        <f t="shared" si="116"/>
        <v>13</v>
      </c>
      <c r="AQ326" s="13">
        <f t="shared" si="117"/>
        <v>12</v>
      </c>
      <c r="AR326" s="173">
        <f t="shared" si="118"/>
        <v>43416</v>
      </c>
      <c r="AS326" s="754">
        <f t="shared" si="119"/>
        <v>0.14285714285714285</v>
      </c>
      <c r="AT326" s="770">
        <f t="shared" si="120"/>
        <v>18.446586298197509</v>
      </c>
      <c r="AU326" s="13">
        <f t="shared" si="121"/>
        <v>13</v>
      </c>
      <c r="AV326" s="13">
        <f t="shared" si="122"/>
        <v>12</v>
      </c>
      <c r="AW326" s="173">
        <f t="shared" si="123"/>
        <v>43430</v>
      </c>
      <c r="AX326" s="754">
        <f t="shared" si="124"/>
        <v>0.6428571428571429</v>
      </c>
      <c r="AY326" s="770">
        <f t="shared" si="125"/>
        <v>18.877057306558292</v>
      </c>
      <c r="AZ326" s="747">
        <f t="shared" si="129"/>
        <v>18.661821802377901</v>
      </c>
      <c r="BA326" s="646">
        <f t="shared" si="126"/>
        <v>0.90412396614093993</v>
      </c>
      <c r="BB326" s="641">
        <v>43412</v>
      </c>
      <c r="BC326" s="11">
        <v>43412</v>
      </c>
      <c r="BD326" s="290">
        <f>[3]!FeuilCaduc*(1-Persistant)+Persistant</f>
        <v>0.87231352635968007</v>
      </c>
      <c r="BE326" s="291">
        <f>[3]!CroissVégét</f>
        <v>0.99831345700622864</v>
      </c>
      <c r="BF326" s="822">
        <f>1+[3]!Salcycl*Ksac</f>
        <v>1.0180783815899199</v>
      </c>
      <c r="BH326" s="1101">
        <f t="shared" si="127"/>
        <v>0.21380663393504087</v>
      </c>
      <c r="BI326" s="11">
        <v>44508</v>
      </c>
      <c r="BJ326" s="727">
        <v>4.5251143251600146E-3</v>
      </c>
      <c r="BK326" s="727">
        <v>4.9364008447781924E-2</v>
      </c>
      <c r="BL326" s="727">
        <v>0.11494159502881263</v>
      </c>
      <c r="BM326" s="727">
        <v>0.21366070511377433</v>
      </c>
      <c r="BN326" s="727">
        <v>0.34341423096248719</v>
      </c>
      <c r="BO326" s="728">
        <v>0.47982197114980468</v>
      </c>
      <c r="BP326" s="727">
        <v>0.60554209040869411</v>
      </c>
      <c r="BQ326" s="727">
        <v>0.72176886559381759</v>
      </c>
      <c r="BR326" s="727">
        <v>0.83328381004055219</v>
      </c>
      <c r="BS326" s="727">
        <v>0.95340321240559744</v>
      </c>
      <c r="BT326" s="727">
        <v>1.069407928304279</v>
      </c>
      <c r="BW326" s="1157">
        <f>'2018'!R\Max</f>
        <v>0.54341865303439874</v>
      </c>
      <c r="BX326" s="1155">
        <f>'2019'!R\Max</f>
        <v>0.57508975605563761</v>
      </c>
      <c r="BY326" s="1155">
        <f>'2020'!R\Max</f>
        <v>0.13299088352928051</v>
      </c>
      <c r="BZ326" s="1155">
        <f>'2021'!R\Max</f>
        <v>0.90412396614093993</v>
      </c>
      <c r="CA326" s="1155">
        <f>'2022'!R\Max</f>
        <v>0.70360689940933152</v>
      </c>
      <c r="CB326" s="1155">
        <f>'2023'!R\Max</f>
        <v>0.70118656456413231</v>
      </c>
      <c r="CC326" s="1155">
        <f>'2024'!R\Max</f>
        <v>0.69732411835840657</v>
      </c>
      <c r="CD326" s="1155">
        <f>'2025'!R\Max</f>
        <v>0.71408666101088492</v>
      </c>
      <c r="CE326" s="1155">
        <f>'2026'!R\Max</f>
        <v>0.71029994468250102</v>
      </c>
      <c r="CF326" s="1156">
        <f>'2027'!R\Max</f>
        <v>0.70626507526959137</v>
      </c>
    </row>
    <row r="327" spans="1:84" s="6" customFormat="1" ht="11.25" x14ac:dyDescent="0.2">
      <c r="A327" s="11">
        <v>43413</v>
      </c>
      <c r="B327" s="380">
        <f>'2022'!Maxi_hp</f>
        <v>13.987292778156712</v>
      </c>
      <c r="C327" s="13">
        <f>'2022'!An_max</f>
        <v>2020</v>
      </c>
      <c r="D327" s="1070"/>
      <c r="E327" s="13"/>
      <c r="F327" s="13">
        <f t="shared" si="128"/>
        <v>23</v>
      </c>
      <c r="G327" s="13">
        <f t="shared" si="112"/>
        <v>24</v>
      </c>
      <c r="H327" s="173">
        <f t="shared" si="113"/>
        <v>43402</v>
      </c>
      <c r="I327" s="754">
        <f t="shared" si="114"/>
        <v>0.7857142857142857</v>
      </c>
      <c r="J327" s="747">
        <f t="shared" si="115"/>
        <v>18.249912191182375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P327" s="13">
        <f t="shared" si="116"/>
        <v>13</v>
      </c>
      <c r="AQ327" s="13">
        <f t="shared" si="117"/>
        <v>12</v>
      </c>
      <c r="AR327" s="173">
        <f t="shared" si="118"/>
        <v>43416</v>
      </c>
      <c r="AS327" s="754">
        <f t="shared" si="119"/>
        <v>0.10714285714285714</v>
      </c>
      <c r="AT327" s="770">
        <f t="shared" si="120"/>
        <v>18.151280795490102</v>
      </c>
      <c r="AU327" s="13">
        <f t="shared" si="121"/>
        <v>13</v>
      </c>
      <c r="AV327" s="13">
        <f t="shared" si="122"/>
        <v>12</v>
      </c>
      <c r="AW327" s="173">
        <f t="shared" si="123"/>
        <v>43430</v>
      </c>
      <c r="AX327" s="754">
        <f t="shared" si="124"/>
        <v>0.6071428571428571</v>
      </c>
      <c r="AY327" s="770">
        <f t="shared" si="125"/>
        <v>18.552226158798607</v>
      </c>
      <c r="AZ327" s="747">
        <f t="shared" si="129"/>
        <v>18.351753477144356</v>
      </c>
      <c r="BA327" s="646">
        <f t="shared" si="126"/>
        <v>0.76643068917968882</v>
      </c>
      <c r="BB327" s="641">
        <v>43413</v>
      </c>
      <c r="BC327" s="11">
        <v>43413</v>
      </c>
      <c r="BD327" s="290">
        <f>[3]!FeuilCaduc*(1-Persistant)+Persistant</f>
        <v>0.86952527689382553</v>
      </c>
      <c r="BE327" s="291">
        <f>[3]!CroissVégét</f>
        <v>0.99839454030316765</v>
      </c>
      <c r="BF327" s="822">
        <f>1+[3]!Salcycl*Ksac</f>
        <v>1.0173813192234564</v>
      </c>
      <c r="BH327" s="1101">
        <f t="shared" si="127"/>
        <v>0.22140622414136804</v>
      </c>
      <c r="BI327" s="11">
        <v>44509</v>
      </c>
      <c r="BJ327" s="727">
        <v>5.8078572089029267E-3</v>
      </c>
      <c r="BK327" s="727">
        <v>5.3443763310493657E-2</v>
      </c>
      <c r="BL327" s="727">
        <v>0.12115271745938208</v>
      </c>
      <c r="BM327" s="727">
        <v>0.22125962978046027</v>
      </c>
      <c r="BN327" s="727">
        <v>0.35160492437157154</v>
      </c>
      <c r="BO327" s="728">
        <v>0.4869236597156068</v>
      </c>
      <c r="BP327" s="727">
        <v>0.60993171696188608</v>
      </c>
      <c r="BQ327" s="727">
        <v>0.72377843937085129</v>
      </c>
      <c r="BR327" s="727">
        <v>0.83312361379514466</v>
      </c>
      <c r="BS327" s="727">
        <v>0.95159494719581927</v>
      </c>
      <c r="BT327" s="727">
        <v>1.0650732338026829</v>
      </c>
      <c r="BW327" s="1157">
        <f>'2018'!R\Max</f>
        <v>0.18132430892003124</v>
      </c>
      <c r="BX327" s="1155">
        <f>'2019'!R\Max</f>
        <v>0.71303234302465246</v>
      </c>
      <c r="BY327" s="1155">
        <f>'2020'!R\Max</f>
        <v>0.76643068917968882</v>
      </c>
      <c r="BZ327" s="1155">
        <f>'2021'!R\Max</f>
        <v>0.75604436564942767</v>
      </c>
      <c r="CA327" s="1155">
        <f>'2022'!R\Max</f>
        <v>0.38848238662201867</v>
      </c>
      <c r="CB327" s="1155">
        <f>'2023'!R\Max</f>
        <v>0.38572765209997328</v>
      </c>
      <c r="CC327" s="1155">
        <f>'2024'!R\Max</f>
        <v>0.38141385392809363</v>
      </c>
      <c r="CD327" s="1155">
        <f>'2025'!R\Max</f>
        <v>0.40075718605571614</v>
      </c>
      <c r="CE327" s="1155">
        <f>'2026'!R\Max</f>
        <v>0.39624191828022809</v>
      </c>
      <c r="CF327" s="1156">
        <f>'2027'!R\Max</f>
        <v>0.39154411306441017</v>
      </c>
    </row>
    <row r="328" spans="1:84" s="6" customFormat="1" ht="11.25" x14ac:dyDescent="0.2">
      <c r="A328" s="11">
        <v>43414</v>
      </c>
      <c r="B328" s="380">
        <f>'2022'!Maxi_hp</f>
        <v>13.982713546036214</v>
      </c>
      <c r="C328" s="13">
        <f>'2022'!An_max</f>
        <v>2022</v>
      </c>
      <c r="D328" s="1070"/>
      <c r="E328" s="13"/>
      <c r="F328" s="13">
        <f t="shared" si="128"/>
        <v>23</v>
      </c>
      <c r="G328" s="13">
        <f t="shared" si="112"/>
        <v>24</v>
      </c>
      <c r="H328" s="173">
        <f t="shared" si="113"/>
        <v>43402</v>
      </c>
      <c r="I328" s="754">
        <f t="shared" si="114"/>
        <v>0.8571428571428571</v>
      </c>
      <c r="J328" s="747">
        <f t="shared" si="115"/>
        <v>17.930256560843969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P328" s="13">
        <f t="shared" si="116"/>
        <v>13</v>
      </c>
      <c r="AQ328" s="13">
        <f t="shared" si="117"/>
        <v>12</v>
      </c>
      <c r="AR328" s="173">
        <f t="shared" si="118"/>
        <v>43416</v>
      </c>
      <c r="AS328" s="754">
        <f t="shared" si="119"/>
        <v>7.1428571428571425E-2</v>
      </c>
      <c r="AT328" s="770">
        <f t="shared" si="120"/>
        <v>17.865929411857259</v>
      </c>
      <c r="AU328" s="13">
        <f t="shared" si="121"/>
        <v>13</v>
      </c>
      <c r="AV328" s="13">
        <f t="shared" si="122"/>
        <v>12</v>
      </c>
      <c r="AW328" s="173">
        <f t="shared" si="123"/>
        <v>43430</v>
      </c>
      <c r="AX328" s="754">
        <f t="shared" si="124"/>
        <v>0.5714285714285714</v>
      </c>
      <c r="AY328" s="770">
        <f t="shared" si="125"/>
        <v>18.229094168650256</v>
      </c>
      <c r="AZ328" s="747">
        <f t="shared" si="129"/>
        <v>18.047511790253758</v>
      </c>
      <c r="BA328" s="646">
        <f t="shared" si="126"/>
        <v>0.77983901114787246</v>
      </c>
      <c r="BB328" s="641">
        <v>43414</v>
      </c>
      <c r="BC328" s="11">
        <v>43414</v>
      </c>
      <c r="BD328" s="290">
        <f>[3]!FeuilCaduc*(1-Persistant)+Persistant</f>
        <v>0.86676875116955832</v>
      </c>
      <c r="BE328" s="291">
        <f>[3]!CroissVégét</f>
        <v>0.99847237132123801</v>
      </c>
      <c r="BF328" s="822">
        <f>1+[3]!Salcycl*Ksac</f>
        <v>1.0166921877923896</v>
      </c>
      <c r="BH328" s="1101">
        <f t="shared" si="127"/>
        <v>0.22869401941394935</v>
      </c>
      <c r="BI328" s="11">
        <v>44510</v>
      </c>
      <c r="BJ328" s="727">
        <v>7.2827070780845096E-3</v>
      </c>
      <c r="BK328" s="727">
        <v>5.7512922902209856E-2</v>
      </c>
      <c r="BL328" s="727">
        <v>0.12717505687022657</v>
      </c>
      <c r="BM328" s="727">
        <v>0.22854703650688801</v>
      </c>
      <c r="BN328" s="727">
        <v>0.35923780934515753</v>
      </c>
      <c r="BO328" s="728">
        <v>0.49340226379166663</v>
      </c>
      <c r="BP328" s="727">
        <v>0.61371427583361848</v>
      </c>
      <c r="BQ328" s="727">
        <v>0.725392585425081</v>
      </c>
      <c r="BR328" s="727">
        <v>0.83265473719741445</v>
      </c>
      <c r="BS328" s="727">
        <v>0.94924835837192267</v>
      </c>
      <c r="BT328" s="727">
        <v>1.0598825676481036</v>
      </c>
      <c r="BW328" s="1157">
        <f>'2018'!R\Max</f>
        <v>0.65260154688299621</v>
      </c>
      <c r="BX328" s="1155">
        <f>'2019'!R\Max</f>
        <v>0.74159092331109155</v>
      </c>
      <c r="BY328" s="1155">
        <f>'2020'!R\Max</f>
        <v>0.71580498933913106</v>
      </c>
      <c r="BZ328" s="1155">
        <f>'2021'!R\Max</f>
        <v>0.23902110690764677</v>
      </c>
      <c r="CA328" s="1155">
        <f>'2022'!R\Max</f>
        <v>0.77983901114787246</v>
      </c>
      <c r="CB328" s="1155">
        <f>'2023'!R\Max</f>
        <v>0.77783486671457869</v>
      </c>
      <c r="CC328" s="1155">
        <f>'2024'!R\Max</f>
        <v>0.77468918240106854</v>
      </c>
      <c r="CD328" s="1155">
        <f>'2025'!R\Max</f>
        <v>0.78862491371426047</v>
      </c>
      <c r="CE328" s="1155">
        <f>'2026'!R\Max</f>
        <v>0.78541219222008385</v>
      </c>
      <c r="CF328" s="1156">
        <f>'2027'!R\Max</f>
        <v>0.78205435406927826</v>
      </c>
    </row>
    <row r="329" spans="1:84" s="6" customFormat="1" ht="11.25" x14ac:dyDescent="0.2">
      <c r="A329" s="11">
        <v>43415</v>
      </c>
      <c r="B329" s="380">
        <f>'2022'!Maxi_hp</f>
        <v>16.472302935797078</v>
      </c>
      <c r="C329" s="13">
        <f>'2022'!An_max</f>
        <v>2022</v>
      </c>
      <c r="D329" s="1070"/>
      <c r="E329" s="13"/>
      <c r="F329" s="13">
        <f t="shared" si="128"/>
        <v>23</v>
      </c>
      <c r="G329" s="13">
        <f t="shared" si="112"/>
        <v>24</v>
      </c>
      <c r="H329" s="173">
        <f t="shared" si="113"/>
        <v>43402</v>
      </c>
      <c r="I329" s="754">
        <f t="shared" si="114"/>
        <v>0.9285714285714286</v>
      </c>
      <c r="J329" s="747">
        <f t="shared" si="115"/>
        <v>17.622445974312722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P329" s="13">
        <f t="shared" si="116"/>
        <v>13</v>
      </c>
      <c r="AQ329" s="13">
        <f t="shared" si="117"/>
        <v>12</v>
      </c>
      <c r="AR329" s="173">
        <f t="shared" si="118"/>
        <v>43416</v>
      </c>
      <c r="AS329" s="754">
        <f t="shared" si="119"/>
        <v>3.5714285714285712E-2</v>
      </c>
      <c r="AT329" s="770">
        <f t="shared" si="120"/>
        <v>17.591334895337269</v>
      </c>
      <c r="AU329" s="13">
        <f t="shared" si="121"/>
        <v>13</v>
      </c>
      <c r="AV329" s="13">
        <f t="shared" si="122"/>
        <v>12</v>
      </c>
      <c r="AW329" s="173">
        <f t="shared" si="123"/>
        <v>43430</v>
      </c>
      <c r="AX329" s="754">
        <f t="shared" si="124"/>
        <v>0.5357142857142857</v>
      </c>
      <c r="AY329" s="770">
        <f t="shared" si="125"/>
        <v>17.908530983056075</v>
      </c>
      <c r="AZ329" s="747">
        <f t="shared" si="129"/>
        <v>17.749932939196672</v>
      </c>
      <c r="BA329" s="646">
        <f t="shared" si="126"/>
        <v>0.93473419977044359</v>
      </c>
      <c r="BB329" s="641">
        <v>43415</v>
      </c>
      <c r="BC329" s="11">
        <v>43415</v>
      </c>
      <c r="BD329" s="290">
        <f>[3]!FeuilCaduc*(1-Persistant)+Persistant</f>
        <v>0.86404787278515471</v>
      </c>
      <c r="BE329" s="291">
        <f>[3]!CroissVégét</f>
        <v>0.99854708003323223</v>
      </c>
      <c r="BF329" s="822">
        <f>1+[3]!Salcycl*Ksac</f>
        <v>1.0160119681962887</v>
      </c>
      <c r="BH329" s="1101">
        <f t="shared" si="127"/>
        <v>0.23566921829059073</v>
      </c>
      <c r="BI329" s="11">
        <v>44511</v>
      </c>
      <c r="BJ329" s="727">
        <v>8.9498704239050642E-3</v>
      </c>
      <c r="BK329" s="727">
        <v>6.1571316358598333E-2</v>
      </c>
      <c r="BL329" s="727">
        <v>0.13300809634780303</v>
      </c>
      <c r="BM329" s="727">
        <v>0.23552212433474251</v>
      </c>
      <c r="BN329" s="727">
        <v>0.36631163689770968</v>
      </c>
      <c r="BO329" s="728">
        <v>0.4992563589123804</v>
      </c>
      <c r="BP329" s="727">
        <v>0.61688832578865782</v>
      </c>
      <c r="BQ329" s="727">
        <v>0.72661009565208734</v>
      </c>
      <c r="BR329" s="727">
        <v>0.83187604365953893</v>
      </c>
      <c r="BS329" s="727">
        <v>0.94636195337132056</v>
      </c>
      <c r="BT329" s="727">
        <v>1.0538339965971266</v>
      </c>
      <c r="BW329" s="1157">
        <f>'2018'!R\Max</f>
        <v>0.8998483375679045</v>
      </c>
      <c r="BX329" s="1155">
        <f>'2019'!R\Max</f>
        <v>0.83453500445296924</v>
      </c>
      <c r="BY329" s="1155">
        <f>'2020'!R\Max</f>
        <v>0.53273294188989029</v>
      </c>
      <c r="BZ329" s="1155">
        <f>'2021'!R\Max</f>
        <v>0.34857320570350714</v>
      </c>
      <c r="CA329" s="1155">
        <f>'2022'!R\Max</f>
        <v>0.93473419977044359</v>
      </c>
      <c r="CB329" s="1155">
        <f>'2023'!R\Max</f>
        <v>0.93401988681550574</v>
      </c>
      <c r="CC329" s="1155">
        <f>'2024'!R\Max</f>
        <v>0.93290393422412754</v>
      </c>
      <c r="CD329" s="1155">
        <f>'2025'!R\Max</f>
        <v>0.9378592214398499</v>
      </c>
      <c r="CE329" s="1155">
        <f>'2026'!R\Max</f>
        <v>0.93671548096286605</v>
      </c>
      <c r="CF329" s="1156">
        <f>'2027'!R\Max</f>
        <v>0.93552395077252259</v>
      </c>
    </row>
    <row r="330" spans="1:84" s="6" customFormat="1" ht="11.25" x14ac:dyDescent="0.2">
      <c r="A330" s="11">
        <v>43416</v>
      </c>
      <c r="B330" s="380">
        <f>'2022'!Maxi_hp</f>
        <v>16.237743820350616</v>
      </c>
      <c r="C330" s="13">
        <f>'2022'!An_max</f>
        <v>2022</v>
      </c>
      <c r="D330" s="1070"/>
      <c r="E330" s="1073">
        <f>AJ$13/10</f>
        <v>17.328299999999999</v>
      </c>
      <c r="F330" s="13">
        <f t="shared" si="128"/>
        <v>25</v>
      </c>
      <c r="G330" s="13">
        <f t="shared" si="112"/>
        <v>24</v>
      </c>
      <c r="H330" s="173">
        <f t="shared" si="113"/>
        <v>43430</v>
      </c>
      <c r="I330" s="754">
        <f t="shared" si="114"/>
        <v>1</v>
      </c>
      <c r="J330" s="747">
        <f t="shared" si="115"/>
        <v>17.328300001472236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P330" s="13">
        <f t="shared" si="116"/>
        <v>13</v>
      </c>
      <c r="AQ330" s="13">
        <f t="shared" si="117"/>
        <v>14</v>
      </c>
      <c r="AR330" s="173">
        <f t="shared" si="118"/>
        <v>43416</v>
      </c>
      <c r="AS330" s="754">
        <f t="shared" si="119"/>
        <v>0</v>
      </c>
      <c r="AT330" s="770">
        <f t="shared" si="120"/>
        <v>17.328300001472236</v>
      </c>
      <c r="AU330" s="13">
        <f t="shared" si="121"/>
        <v>13</v>
      </c>
      <c r="AV330" s="13">
        <f t="shared" si="122"/>
        <v>12</v>
      </c>
      <c r="AW330" s="173">
        <f t="shared" si="123"/>
        <v>43430</v>
      </c>
      <c r="AX330" s="754">
        <f t="shared" si="124"/>
        <v>0.5</v>
      </c>
      <c r="AY330" s="770">
        <f t="shared" si="125"/>
        <v>17.591406250046568</v>
      </c>
      <c r="AZ330" s="747">
        <f t="shared" si="129"/>
        <v>17.459853125759402</v>
      </c>
      <c r="BA330" s="646">
        <f t="shared" si="126"/>
        <v>0.93706502189891883</v>
      </c>
      <c r="BB330" s="641">
        <v>43416</v>
      </c>
      <c r="BC330" s="11">
        <v>43416</v>
      </c>
      <c r="BD330" s="290">
        <f>[3]!FeuilCaduc*(1-Persistant)+Persistant</f>
        <v>0.86136644501136117</v>
      </c>
      <c r="BE330" s="291">
        <f>[3]!CroissVégét</f>
        <v>0.99861879125535868</v>
      </c>
      <c r="BF330" s="822">
        <f>1+[3]!Salcycl*Ksac</f>
        <v>1.0153416112528404</v>
      </c>
      <c r="BH330" s="1101">
        <f t="shared" si="127"/>
        <v>0.24233101037320826</v>
      </c>
      <c r="BI330" s="11">
        <v>44512</v>
      </c>
      <c r="BJ330" s="727">
        <v>1.0809537828119262E-2</v>
      </c>
      <c r="BK330" s="727">
        <v>6.5618758740475749E-2</v>
      </c>
      <c r="BL330" s="727">
        <v>0.13865130773022946</v>
      </c>
      <c r="BM330" s="727">
        <v>0.24218408335580024</v>
      </c>
      <c r="BN330" s="727">
        <v>0.37282516155858431</v>
      </c>
      <c r="BO330" s="728">
        <v>0.50448453205259303</v>
      </c>
      <c r="BP330" s="727">
        <v>0.61945244604326755</v>
      </c>
      <c r="BQ330" s="727">
        <v>0.72742977871617276</v>
      </c>
      <c r="BR330" s="727">
        <v>0.83078641624455929</v>
      </c>
      <c r="BS330" s="727">
        <v>0.94293427885864511</v>
      </c>
      <c r="BT330" s="727">
        <v>1.0469256545470877</v>
      </c>
      <c r="BW330" s="1157">
        <f>'2018'!R\Max</f>
        <v>0.88084720291358665</v>
      </c>
      <c r="BX330" s="1155">
        <f>'2019'!R\Max</f>
        <v>0.60402835561255275</v>
      </c>
      <c r="BY330" s="1155">
        <f>'2020'!R\Max</f>
        <v>0.67174228361122768</v>
      </c>
      <c r="BZ330" s="1155">
        <f>'2021'!R\Max</f>
        <v>0.29804133764861512</v>
      </c>
      <c r="CA330" s="1155">
        <f>'2022'!R\Max</f>
        <v>0.93706502189891883</v>
      </c>
      <c r="CB330" s="1155">
        <f>'2023'!R\Max</f>
        <v>0.93637429985692711</v>
      </c>
      <c r="CC330" s="1155">
        <f>'2024'!R\Max</f>
        <v>0.93530505656531215</v>
      </c>
      <c r="CD330" s="1155">
        <f>'2025'!R\Max</f>
        <v>0.94010797160675519</v>
      </c>
      <c r="CE330" s="1155">
        <f>'2026'!R\Max</f>
        <v>0.93898864130741333</v>
      </c>
      <c r="CF330" s="1156">
        <f>'2027'!R\Max</f>
        <v>0.93783165655556844</v>
      </c>
    </row>
    <row r="331" spans="1:84" s="6" customFormat="1" ht="11.25" x14ac:dyDescent="0.2">
      <c r="A331" s="11">
        <v>43417</v>
      </c>
      <c r="B331" s="380">
        <f>'2022'!Maxi_hp</f>
        <v>17.166565954887307</v>
      </c>
      <c r="C331" s="13">
        <f>'2022'!An_max</f>
        <v>2020</v>
      </c>
      <c r="D331" s="1070"/>
      <c r="E331" s="13"/>
      <c r="F331" s="13">
        <f t="shared" si="128"/>
        <v>25</v>
      </c>
      <c r="G331" s="13">
        <f t="shared" si="112"/>
        <v>24</v>
      </c>
      <c r="H331" s="173">
        <f t="shared" si="113"/>
        <v>43430</v>
      </c>
      <c r="I331" s="754">
        <f t="shared" si="114"/>
        <v>0.9285714285714286</v>
      </c>
      <c r="J331" s="747">
        <f t="shared" si="115"/>
        <v>17.045089287257618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P331" s="13">
        <f t="shared" si="116"/>
        <v>13</v>
      </c>
      <c r="AQ331" s="13">
        <f t="shared" si="117"/>
        <v>14</v>
      </c>
      <c r="AR331" s="173">
        <f t="shared" si="118"/>
        <v>43416</v>
      </c>
      <c r="AS331" s="754">
        <f t="shared" si="119"/>
        <v>3.5714285714285712E-2</v>
      </c>
      <c r="AT331" s="770">
        <f t="shared" si="120"/>
        <v>17.071416585333644</v>
      </c>
      <c r="AU331" s="13">
        <f t="shared" si="121"/>
        <v>13</v>
      </c>
      <c r="AV331" s="13">
        <f t="shared" si="122"/>
        <v>12</v>
      </c>
      <c r="AW331" s="173">
        <f t="shared" si="123"/>
        <v>43430</v>
      </c>
      <c r="AX331" s="754">
        <f t="shared" si="124"/>
        <v>0.4642857142857143</v>
      </c>
      <c r="AY331" s="770">
        <f t="shared" si="125"/>
        <v>17.278589615555081</v>
      </c>
      <c r="AZ331" s="747">
        <f t="shared" si="129"/>
        <v>17.175003100444364</v>
      </c>
      <c r="BA331" s="646">
        <f t="shared" si="126"/>
        <v>1.0071267838837608</v>
      </c>
      <c r="BB331" s="641">
        <v>43417</v>
      </c>
      <c r="BC331" s="11">
        <v>43417</v>
      </c>
      <c r="BD331" s="290">
        <f>[3]!FeuilCaduc*(1-Persistant)+Persistant</f>
        <v>0.8587281333137079</v>
      </c>
      <c r="BE331" s="291">
        <f>[3]!CroissVégét</f>
        <v>0.99868762484886009</v>
      </c>
      <c r="BF331" s="822">
        <f>1+[3]!Salcycl*Ksac</f>
        <v>1.014682033328427</v>
      </c>
      <c r="BH331" s="1101">
        <f t="shared" si="127"/>
        <v>0.24867857922786507</v>
      </c>
      <c r="BI331" s="11">
        <v>44513</v>
      </c>
      <c r="BJ331" s="727">
        <v>1.2861882212315837E-2</v>
      </c>
      <c r="BK331" s="727">
        <v>6.965505115928565E-2</v>
      </c>
      <c r="BL331" s="727">
        <v>0.14410415337723881</v>
      </c>
      <c r="BM331" s="727">
        <v>0.24853209760943454</v>
      </c>
      <c r="BN331" s="727">
        <v>0.37877714652044792</v>
      </c>
      <c r="BO331" s="728">
        <v>0.50908538735405096</v>
      </c>
      <c r="BP331" s="727">
        <v>0.62140524181263879</v>
      </c>
      <c r="BQ331" s="727">
        <v>0.72785046362942896</v>
      </c>
      <c r="BR331" s="727">
        <v>0.82938476042373621</v>
      </c>
      <c r="BS331" s="727">
        <v>0.93896392556440256</v>
      </c>
      <c r="BT331" s="727">
        <v>1.0391557502558868</v>
      </c>
      <c r="BW331" s="1157">
        <f>'2018'!R\Max</f>
        <v>0.31908367519825231</v>
      </c>
      <c r="BX331" s="1155">
        <f>'2019'!R\Max</f>
        <v>0.66168548270509198</v>
      </c>
      <c r="BY331" s="1155">
        <f>'2020'!R\Max</f>
        <v>1.0071267838837608</v>
      </c>
      <c r="BZ331" s="1155">
        <f>'2021'!R\Max</f>
        <v>0.22991649293382665</v>
      </c>
      <c r="CA331" s="1155">
        <f>'2022'!R\Max</f>
        <v>0.95571921932731352</v>
      </c>
      <c r="CB331" s="1155">
        <f>'2023'!R\Max</f>
        <v>0.95522374799742582</v>
      </c>
      <c r="CC331" s="1155">
        <f>'2024'!R\Max</f>
        <v>0.95446332074890827</v>
      </c>
      <c r="CD331" s="1155">
        <f>'2025'!R\Max</f>
        <v>0.95791379917337749</v>
      </c>
      <c r="CE331" s="1155">
        <f>'2026'!R\Max</f>
        <v>0.95710352430897438</v>
      </c>
      <c r="CF331" s="1156">
        <f>'2027'!R\Max</f>
        <v>0.95627101320358909</v>
      </c>
    </row>
    <row r="332" spans="1:84" s="6" customFormat="1" ht="11.25" x14ac:dyDescent="0.2">
      <c r="A332" s="11">
        <v>43418</v>
      </c>
      <c r="B332" s="380">
        <f>'2022'!Maxi_hp</f>
        <v>12.052084330395068</v>
      </c>
      <c r="C332" s="13">
        <f>'2022'!An_max</f>
        <v>2020</v>
      </c>
      <c r="D332" s="1070"/>
      <c r="E332" s="13"/>
      <c r="F332" s="13">
        <f t="shared" si="128"/>
        <v>25</v>
      </c>
      <c r="G332" s="13">
        <f t="shared" si="112"/>
        <v>24</v>
      </c>
      <c r="H332" s="173">
        <f t="shared" si="113"/>
        <v>43430</v>
      </c>
      <c r="I332" s="754">
        <f t="shared" si="114"/>
        <v>0.8571428571428571</v>
      </c>
      <c r="J332" s="747">
        <f t="shared" si="115"/>
        <v>16.768871430201191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P332" s="13">
        <f t="shared" si="116"/>
        <v>13</v>
      </c>
      <c r="AQ332" s="13">
        <f t="shared" si="117"/>
        <v>14</v>
      </c>
      <c r="AR332" s="173">
        <f t="shared" si="118"/>
        <v>43416</v>
      </c>
      <c r="AS332" s="754">
        <f t="shared" si="119"/>
        <v>7.1428571428571425E-2</v>
      </c>
      <c r="AT332" s="770">
        <f t="shared" si="120"/>
        <v>16.815086657607132</v>
      </c>
      <c r="AU332" s="13">
        <f t="shared" si="121"/>
        <v>13</v>
      </c>
      <c r="AV332" s="13">
        <f t="shared" si="122"/>
        <v>12</v>
      </c>
      <c r="AW332" s="173">
        <f t="shared" si="123"/>
        <v>43430</v>
      </c>
      <c r="AX332" s="754">
        <f t="shared" si="124"/>
        <v>0.42857142857142855</v>
      </c>
      <c r="AY332" s="770">
        <f t="shared" si="125"/>
        <v>16.970950728535122</v>
      </c>
      <c r="AZ332" s="747">
        <f t="shared" si="129"/>
        <v>16.893018693071127</v>
      </c>
      <c r="BA332" s="646">
        <f t="shared" si="126"/>
        <v>0.71871767760643324</v>
      </c>
      <c r="BB332" s="641">
        <v>43418</v>
      </c>
      <c r="BC332" s="11">
        <v>43418</v>
      </c>
      <c r="BD332" s="290">
        <f>[3]!FeuilCaduc*(1-Persistant)+Persistant</f>
        <v>0.85613644865397354</v>
      </c>
      <c r="BE332" s="291">
        <f>[3]!CroissVégét</f>
        <v>0.99875369591398344</v>
      </c>
      <c r="BF332" s="822">
        <f>1+[3]!Salcycl*Ksac</f>
        <v>1.0140341121634935</v>
      </c>
      <c r="BH332" s="1101">
        <f t="shared" si="127"/>
        <v>0.25461903227259913</v>
      </c>
      <c r="BI332" s="11">
        <v>44514</v>
      </c>
      <c r="BJ332" s="727">
        <v>1.5048051215030929E-2</v>
      </c>
      <c r="BK332" s="727">
        <v>7.3591200639048615E-2</v>
      </c>
      <c r="BL332" s="727">
        <v>0.1492565689827052</v>
      </c>
      <c r="BM332" s="727">
        <v>0.25447327647702339</v>
      </c>
      <c r="BN332" s="727">
        <v>0.38407295544854192</v>
      </c>
      <c r="BO332" s="728">
        <v>0.51297571948869969</v>
      </c>
      <c r="BP332" s="727">
        <v>0.62268955527923808</v>
      </c>
      <c r="BQ332" s="727">
        <v>0.72771105918537071</v>
      </c>
      <c r="BR332" s="727">
        <v>0.82744729987886689</v>
      </c>
      <c r="BS332" s="727">
        <v>0.93428848123320607</v>
      </c>
      <c r="BT332" s="727">
        <v>1.0305522491505756</v>
      </c>
      <c r="BW332" s="1157">
        <f>'2018'!R\Max</f>
        <v>0.68322626634228545</v>
      </c>
      <c r="BX332" s="1155">
        <f>'2019'!R\Max</f>
        <v>0.23430246471349331</v>
      </c>
      <c r="BY332" s="1155">
        <f>'2020'!R\Max</f>
        <v>0.71871767760643324</v>
      </c>
      <c r="BZ332" s="1155">
        <f>'2021'!R\Max</f>
        <v>0.19714934267636855</v>
      </c>
      <c r="CA332" s="1155">
        <f>'2022'!R\Max</f>
        <v>0.42047295725548034</v>
      </c>
      <c r="CB332" s="1155">
        <f>'2023'!R\Max</f>
        <v>0.41764104057806001</v>
      </c>
      <c r="CC332" s="1155">
        <f>'2024'!R\Max</f>
        <v>0.41340037467056445</v>
      </c>
      <c r="CD332" s="1155">
        <f>'2025'!R\Max</f>
        <v>0.43353420150096267</v>
      </c>
      <c r="CE332" s="1155">
        <f>'2026'!R\Max</f>
        <v>0.42860843293712109</v>
      </c>
      <c r="CF332" s="1156">
        <f>'2027'!R\Max</f>
        <v>0.42368082159371123</v>
      </c>
    </row>
    <row r="333" spans="1:84" s="6" customFormat="1" ht="11.25" x14ac:dyDescent="0.2">
      <c r="A333" s="11">
        <v>43419</v>
      </c>
      <c r="B333" s="380">
        <f>'2022'!Maxi_hp</f>
        <v>15.011200511504091</v>
      </c>
      <c r="C333" s="13">
        <f>'2022'!An_max</f>
        <v>2020</v>
      </c>
      <c r="D333" s="1070"/>
      <c r="E333" s="13"/>
      <c r="F333" s="13">
        <f t="shared" si="128"/>
        <v>25</v>
      </c>
      <c r="G333" s="13">
        <f t="shared" si="112"/>
        <v>24</v>
      </c>
      <c r="H333" s="173">
        <f t="shared" si="113"/>
        <v>43430</v>
      </c>
      <c r="I333" s="754">
        <f t="shared" si="114"/>
        <v>0.7857142857142857</v>
      </c>
      <c r="J333" s="747">
        <f t="shared" si="115"/>
        <v>16.49964642971754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P333" s="13">
        <f t="shared" si="116"/>
        <v>13</v>
      </c>
      <c r="AQ333" s="13">
        <f t="shared" si="117"/>
        <v>14</v>
      </c>
      <c r="AR333" s="173">
        <f t="shared" si="118"/>
        <v>43416</v>
      </c>
      <c r="AS333" s="754">
        <f t="shared" si="119"/>
        <v>0.10714285714285714</v>
      </c>
      <c r="AT333" s="770">
        <f t="shared" si="120"/>
        <v>16.559828204315689</v>
      </c>
      <c r="AU333" s="13">
        <f t="shared" si="121"/>
        <v>13</v>
      </c>
      <c r="AV333" s="13">
        <f t="shared" si="122"/>
        <v>12</v>
      </c>
      <c r="AW333" s="173">
        <f t="shared" si="123"/>
        <v>43430</v>
      </c>
      <c r="AX333" s="754">
        <f t="shared" si="124"/>
        <v>0.39285714285714285</v>
      </c>
      <c r="AY333" s="770">
        <f t="shared" si="125"/>
        <v>16.669359235583606</v>
      </c>
      <c r="AZ333" s="747">
        <f t="shared" si="129"/>
        <v>16.614593719949646</v>
      </c>
      <c r="BA333" s="646">
        <f t="shared" si="126"/>
        <v>0.90978922339010815</v>
      </c>
      <c r="BB333" s="641">
        <v>43419</v>
      </c>
      <c r="BC333" s="11">
        <v>43419</v>
      </c>
      <c r="BD333" s="290">
        <f>[3]!FeuilCaduc*(1-Persistant)+Persistant</f>
        <v>0.85359473168955746</v>
      </c>
      <c r="BE333" s="291">
        <f>[3]!CroissVégét</f>
        <v>0.99881711497657366</v>
      </c>
      <c r="BF333" s="822">
        <f>1+[3]!Salcycl*Ksac</f>
        <v>1.0133986829223893</v>
      </c>
      <c r="BH333" s="1101">
        <f t="shared" si="127"/>
        <v>0.26030412655355095</v>
      </c>
      <c r="BI333" s="11">
        <v>44515</v>
      </c>
      <c r="BJ333" s="727">
        <v>1.7282318740781868E-2</v>
      </c>
      <c r="BK333" s="727">
        <v>7.7389385642290545E-2</v>
      </c>
      <c r="BL333" s="727">
        <v>0.15414153963009067</v>
      </c>
      <c r="BM333" s="727">
        <v>0.26015916005141593</v>
      </c>
      <c r="BN333" s="727">
        <v>0.38905703381428913</v>
      </c>
      <c r="BO333" s="728">
        <v>0.5166120508053943</v>
      </c>
      <c r="BP333" s="727">
        <v>0.62379134264795288</v>
      </c>
      <c r="BQ333" s="727">
        <v>0.72732970897958127</v>
      </c>
      <c r="BR333" s="727">
        <v>0.825179862143682</v>
      </c>
      <c r="BS333" s="727">
        <v>0.92921854878745336</v>
      </c>
      <c r="BT333" s="727">
        <v>1.0216274415333981</v>
      </c>
      <c r="BW333" s="1157">
        <f>'2018'!R\Max</f>
        <v>0.70571744057105901</v>
      </c>
      <c r="BX333" s="1155">
        <f>'2019'!R\Max</f>
        <v>0.58249333831139627</v>
      </c>
      <c r="BY333" s="1155">
        <f>'2020'!R\Max</f>
        <v>0.90978922339010815</v>
      </c>
      <c r="BZ333" s="1155">
        <f>'2021'!R\Max</f>
        <v>0.24355987627961762</v>
      </c>
      <c r="CA333" s="1155">
        <f>'2022'!R\Max</f>
        <v>0.53311831391831621</v>
      </c>
      <c r="CB333" s="1155">
        <f>'2023'!R\Max</f>
        <v>0.5302245796559818</v>
      </c>
      <c r="CC333" s="1155">
        <f>'2024'!R\Max</f>
        <v>0.52591634819290956</v>
      </c>
      <c r="CD333" s="1155">
        <f>'2025'!R\Max</f>
        <v>0.54644377395152977</v>
      </c>
      <c r="CE333" s="1155">
        <f>'2026'!R\Max</f>
        <v>0.54142194446773972</v>
      </c>
      <c r="CF333" s="1156">
        <f>'2027'!R\Max</f>
        <v>0.53639941094311461</v>
      </c>
    </row>
    <row r="334" spans="1:84" s="6" customFormat="1" ht="11.25" x14ac:dyDescent="0.2">
      <c r="A334" s="11">
        <v>43420</v>
      </c>
      <c r="B334" s="380">
        <f>'2022'!Maxi_hp</f>
        <v>14.52095020445914</v>
      </c>
      <c r="C334" s="13">
        <f>'2022'!An_max</f>
        <v>2022</v>
      </c>
      <c r="D334" s="1070"/>
      <c r="E334" s="13"/>
      <c r="F334" s="13">
        <f t="shared" si="128"/>
        <v>25</v>
      </c>
      <c r="G334" s="13">
        <f t="shared" si="112"/>
        <v>24</v>
      </c>
      <c r="H334" s="173">
        <f t="shared" si="113"/>
        <v>43430</v>
      </c>
      <c r="I334" s="754">
        <f t="shared" si="114"/>
        <v>0.7142857142857143</v>
      </c>
      <c r="J334" s="747">
        <f t="shared" si="115"/>
        <v>16.237414286817824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P334" s="13">
        <f t="shared" si="116"/>
        <v>13</v>
      </c>
      <c r="AQ334" s="13">
        <f t="shared" si="117"/>
        <v>14</v>
      </c>
      <c r="AR334" s="173">
        <f t="shared" si="118"/>
        <v>43416</v>
      </c>
      <c r="AS334" s="754">
        <f t="shared" si="119"/>
        <v>0.14285714285714285</v>
      </c>
      <c r="AT334" s="770">
        <f t="shared" si="120"/>
        <v>16.306159208289216</v>
      </c>
      <c r="AU334" s="13">
        <f t="shared" si="121"/>
        <v>13</v>
      </c>
      <c r="AV334" s="13">
        <f t="shared" si="122"/>
        <v>12</v>
      </c>
      <c r="AW334" s="173">
        <f t="shared" si="123"/>
        <v>43430</v>
      </c>
      <c r="AX334" s="754">
        <f t="shared" si="124"/>
        <v>0.35714285714285715</v>
      </c>
      <c r="AY334" s="770">
        <f t="shared" si="125"/>
        <v>16.374684785007098</v>
      </c>
      <c r="AZ334" s="747">
        <f t="shared" si="129"/>
        <v>16.340421996648157</v>
      </c>
      <c r="BA334" s="646">
        <f t="shared" si="126"/>
        <v>0.89428956778221902</v>
      </c>
      <c r="BB334" s="641">
        <v>43420</v>
      </c>
      <c r="BC334" s="11">
        <v>43420</v>
      </c>
      <c r="BD334" s="290">
        <f>[3]!FeuilCaduc*(1-Persistant)+Persistant</f>
        <v>0.85110613798280521</v>
      </c>
      <c r="BE334" s="291">
        <f>[3]!CroissVégét</f>
        <v>0.9988779881675528</v>
      </c>
      <c r="BF334" s="822">
        <f>1+[3]!Salcycl*Ksac</f>
        <v>1.0127765344957014</v>
      </c>
      <c r="BH334" s="1101">
        <f t="shared" si="127"/>
        <v>0.26573311556346224</v>
      </c>
      <c r="BI334" s="11">
        <v>44516</v>
      </c>
      <c r="BJ334" s="727">
        <v>1.9564636632990889E-2</v>
      </c>
      <c r="BK334" s="727">
        <v>8.1049230242590364E-2</v>
      </c>
      <c r="BL334" s="727">
        <v>0.15875843044312341</v>
      </c>
      <c r="BM334" s="727">
        <v>0.26558900199529106</v>
      </c>
      <c r="BN334" s="727">
        <v>0.39372848417950146</v>
      </c>
      <c r="BO334" s="728">
        <v>0.51999349007595985</v>
      </c>
      <c r="BP334" s="727">
        <v>0.62470979937752213</v>
      </c>
      <c r="BQ334" s="727">
        <v>0.72670550715008042</v>
      </c>
      <c r="BR334" s="727">
        <v>0.82258142817153557</v>
      </c>
      <c r="BS334" s="727">
        <v>0.92375305350766901</v>
      </c>
      <c r="BT334" s="727">
        <v>1.0123804063594701</v>
      </c>
      <c r="BW334" s="1157">
        <f>'2018'!R\Max</f>
        <v>0.7869916107267757</v>
      </c>
      <c r="BX334" s="1155">
        <f>'2019'!R\Max</f>
        <v>0.60463369571447345</v>
      </c>
      <c r="BY334" s="1155">
        <f>'2020'!R\Max</f>
        <v>0.78227443153739351</v>
      </c>
      <c r="BZ334" s="1155">
        <f>'2021'!R\Max</f>
        <v>0.39213439132907291</v>
      </c>
      <c r="CA334" s="1155">
        <f>'2022'!R\Max</f>
        <v>0.89428956778221902</v>
      </c>
      <c r="CB334" s="1155">
        <f>'2023'!R\Max</f>
        <v>0.89318669119137206</v>
      </c>
      <c r="CC334" s="1155">
        <f>'2024'!R\Max</f>
        <v>0.89154276230619967</v>
      </c>
      <c r="CD334" s="1155">
        <f>'2025'!R\Max</f>
        <v>0.89927778767433808</v>
      </c>
      <c r="CE334" s="1155">
        <f>'2026'!R\Max</f>
        <v>0.89741565183793737</v>
      </c>
      <c r="CF334" s="1156">
        <f>'2027'!R\Max</f>
        <v>0.89553363347669535</v>
      </c>
    </row>
    <row r="335" spans="1:84" s="6" customFormat="1" ht="11.25" x14ac:dyDescent="0.2">
      <c r="A335" s="11">
        <v>43421</v>
      </c>
      <c r="B335" s="380">
        <f>'2022'!Maxi_hp</f>
        <v>16.318890198291346</v>
      </c>
      <c r="C335" s="13">
        <f>'2022'!An_max</f>
        <v>2018</v>
      </c>
      <c r="D335" s="1070"/>
      <c r="E335" s="13"/>
      <c r="F335" s="13">
        <f t="shared" si="128"/>
        <v>25</v>
      </c>
      <c r="G335" s="13">
        <f t="shared" ref="G335:G380" si="130">INT((MATCH($A335,x.2m)+1)/2)*2</f>
        <v>24</v>
      </c>
      <c r="H335" s="173">
        <f t="shared" ref="H335:H380" si="131">INDEX(x.2m,F335)</f>
        <v>43430</v>
      </c>
      <c r="I335" s="754">
        <f t="shared" ref="I335:I380" si="132">($A335-H335)/(INDEX(x.2m,G335)-H335)</f>
        <v>0.6428571428571429</v>
      </c>
      <c r="J335" s="747">
        <f t="shared" ref="J335:J380" si="133">((1-I335)*(INDEX(a.m,F335)*$A335*$A335+INDEX(b.m,F335)*$A335+INDEX(c.m,F335))+I335*(INDEX(a.m,G335)*$A335*$A335+INDEX(b.m,G335)*$A335+INDEX(c.m,G335)))/10</f>
        <v>15.982175001235944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P335" s="13">
        <f t="shared" ref="AP335:AP380" si="134">INT(MATCH($A335,x.2lg)/2)*2+1</f>
        <v>13</v>
      </c>
      <c r="AQ335" s="13">
        <f t="shared" ref="AQ335:AQ380" si="135">INT((MATCH($A335,x.2lg)+1)/2)*2</f>
        <v>14</v>
      </c>
      <c r="AR335" s="173">
        <f t="shared" ref="AR335:AR380" si="136">INDEX(x.2lg,AP335)</f>
        <v>43416</v>
      </c>
      <c r="AS335" s="754">
        <f t="shared" ref="AS335:AS380" si="137">($A335-AR335)/(INDEX(x.2lg,AQ335)-AR335)</f>
        <v>0.17857142857142858</v>
      </c>
      <c r="AT335" s="770">
        <f t="shared" ref="AT335:AT380" si="138">((1-AS335)*(INDEX(a.lg,AP335)*$A335*$A335+INDEX(b.lg,AP335)*$A335+INDEX(c.lg,AP335))+AS335*(INDEX(a.lg,AQ335)*$A335*$A335+INDEX(b.lg,AQ335)*$A335+INDEX(c.lg,AQ335)))/10</f>
        <v>16.054597655630538</v>
      </c>
      <c r="AU335" s="13">
        <f t="shared" ref="AU335:AU380" si="139">INT(MATCH($A335,x.2ld)/2)*2+1</f>
        <v>13</v>
      </c>
      <c r="AV335" s="13">
        <f t="shared" ref="AV335:AV380" si="140">INT((MATCH($A335,x.2ld)+1)/2)*2</f>
        <v>12</v>
      </c>
      <c r="AW335" s="173">
        <f t="shared" ref="AW335:AW380" si="141">INDEX(x.2ld,AU335)</f>
        <v>43430</v>
      </c>
      <c r="AX335" s="754">
        <f t="shared" ref="AX335:AX380" si="142">($A335-AW335)/(INDEX(x.2ld,AV335)-AW335)</f>
        <v>0.32142857142857145</v>
      </c>
      <c r="AY335" s="770">
        <f t="shared" ref="AY335:AY380" si="143">((1-AX335)*(INDEX(a.ld,AU335)*$A335*$A335+INDEX(b.ld,AU335)*$A335+INDEX(c.ld,AU335))+AX335*(INDEX(a.ld,AV335)*$A335*$A335+INDEX(b.ld,AV335)*$A335+INDEX(c.ld,AV335)))/10</f>
        <v>16.087797023339331</v>
      </c>
      <c r="AZ335" s="747">
        <f t="shared" si="129"/>
        <v>16.071197339484932</v>
      </c>
      <c r="BA335" s="646">
        <f t="shared" ref="BA335:BA380" si="144">+B335/J335</f>
        <v>1.021068171073672</v>
      </c>
      <c r="BB335" s="641">
        <v>43421</v>
      </c>
      <c r="BC335" s="11">
        <v>43421</v>
      </c>
      <c r="BD335" s="290">
        <f>[3]!FeuilCaduc*(1-Persistant)+Persistant</f>
        <v>0.84867362432465421</v>
      </c>
      <c r="BE335" s="291">
        <f>[3]!CroissVégét</f>
        <v>0.99893641739554129</v>
      </c>
      <c r="BF335" s="822">
        <f>1+[3]!Salcycl*Ksac</f>
        <v>1.0121684060811635</v>
      </c>
      <c r="BH335" s="1101">
        <f t="shared" ref="BH335:BH380" si="145">INDEX($BJ335:$BT335,,$BH$10)*(1-Ratini)+INDEX($BJ335:$BT335,,$BH$10+1)*Ratini</f>
        <v>0.2709052534932726</v>
      </c>
      <c r="BI335" s="11">
        <v>44517</v>
      </c>
      <c r="BJ335" s="727">
        <v>2.1894944744878981E-2</v>
      </c>
      <c r="BK335" s="727">
        <v>8.4570356257178805E-2</v>
      </c>
      <c r="BL335" s="727">
        <v>0.16310661108026867</v>
      </c>
      <c r="BM335" s="727">
        <v>0.27076205666140829</v>
      </c>
      <c r="BN335" s="727">
        <v>0.39808641701393888</v>
      </c>
      <c r="BO335" s="728">
        <v>0.52311915411002163</v>
      </c>
      <c r="BP335" s="727">
        <v>0.62544413222085771</v>
      </c>
      <c r="BQ335" s="727">
        <v>0.72583756939305566</v>
      </c>
      <c r="BR335" s="727">
        <v>0.81965101454274858</v>
      </c>
      <c r="BS335" s="727">
        <v>0.91789097172794221</v>
      </c>
      <c r="BT335" s="727">
        <v>1.0028102814944824</v>
      </c>
      <c r="BW335" s="1157">
        <f>'2018'!R\Max</f>
        <v>1.021068171073672</v>
      </c>
      <c r="BX335" s="1155">
        <f>'2019'!R\Max</f>
        <v>0.35690200989158533</v>
      </c>
      <c r="BY335" s="1155">
        <f>'2020'!R\Max</f>
        <v>0.85605190459962455</v>
      </c>
      <c r="BZ335" s="1155">
        <f>'2021'!R\Max</f>
        <v>0.12579084451136557</v>
      </c>
      <c r="CA335" s="1155">
        <f>'2022'!R\Max</f>
        <v>0.67520888670249257</v>
      </c>
      <c r="CB335" s="1155">
        <f>'2023'!R\Max</f>
        <v>0.672658357205135</v>
      </c>
      <c r="CC335" s="1155">
        <f>'2024'!R\Max</f>
        <v>0.66891620152575693</v>
      </c>
      <c r="CD335" s="1155">
        <f>'2025'!R\Max</f>
        <v>0.68696971429856801</v>
      </c>
      <c r="CE335" s="1155">
        <f>'2026'!R\Max</f>
        <v>0.68253834950315728</v>
      </c>
      <c r="CF335" s="1156">
        <f>'2027'!R\Max</f>
        <v>0.67811270632862697</v>
      </c>
    </row>
    <row r="336" spans="1:84" s="6" customFormat="1" ht="11.25" x14ac:dyDescent="0.2">
      <c r="A336" s="11">
        <v>43422</v>
      </c>
      <c r="B336" s="380">
        <f>'2022'!Maxi_hp</f>
        <v>14.520944266694507</v>
      </c>
      <c r="C336" s="13">
        <f>'2022'!An_max</f>
        <v>2018</v>
      </c>
      <c r="D336" s="1070"/>
      <c r="E336" s="13"/>
      <c r="F336" s="13">
        <f t="shared" ref="F336:F380" si="146">INT(MATCH($A336,x.2m)/2)*2+1</f>
        <v>25</v>
      </c>
      <c r="G336" s="13">
        <f t="shared" si="130"/>
        <v>24</v>
      </c>
      <c r="H336" s="173">
        <f t="shared" si="131"/>
        <v>43430</v>
      </c>
      <c r="I336" s="754">
        <f t="shared" si="132"/>
        <v>0.5714285714285714</v>
      </c>
      <c r="J336" s="747">
        <f t="shared" si="133"/>
        <v>15.733928572812252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P336" s="13">
        <f t="shared" si="134"/>
        <v>13</v>
      </c>
      <c r="AQ336" s="13">
        <f t="shared" si="135"/>
        <v>14</v>
      </c>
      <c r="AR336" s="173">
        <f t="shared" si="136"/>
        <v>43416</v>
      </c>
      <c r="AS336" s="754">
        <f t="shared" si="137"/>
        <v>0.21428571428571427</v>
      </c>
      <c r="AT336" s="770">
        <f t="shared" si="138"/>
        <v>15.805661529781563</v>
      </c>
      <c r="AU336" s="13">
        <f t="shared" si="139"/>
        <v>13</v>
      </c>
      <c r="AV336" s="13">
        <f t="shared" si="140"/>
        <v>12</v>
      </c>
      <c r="AW336" s="173">
        <f t="shared" si="141"/>
        <v>43430</v>
      </c>
      <c r="AX336" s="754">
        <f t="shared" si="142"/>
        <v>0.2857142857142857</v>
      </c>
      <c r="AY336" s="770">
        <f t="shared" si="143"/>
        <v>15.809565597945559</v>
      </c>
      <c r="AZ336" s="747">
        <f t="shared" ref="AZ336:AZ380" si="147">(AY336+AT336)/2</f>
        <v>15.807613563863562</v>
      </c>
      <c r="BA336" s="646">
        <f t="shared" si="144"/>
        <v>0.92290645654679371</v>
      </c>
      <c r="BB336" s="641">
        <v>43422</v>
      </c>
      <c r="BC336" s="11">
        <v>43422</v>
      </c>
      <c r="BD336" s="290">
        <f>[3]!FeuilCaduc*(1-Persistant)+Persistant</f>
        <v>0.84629993626838529</v>
      </c>
      <c r="BE336" s="291">
        <f>[3]!CroissVégét</f>
        <v>0.99899250051286803</v>
      </c>
      <c r="BF336" s="822">
        <f>1+[3]!Salcycl*Ksac</f>
        <v>1.0115749840670962</v>
      </c>
      <c r="BH336" s="1101">
        <f t="shared" si="145"/>
        <v>0.27581979758062175</v>
      </c>
      <c r="BI336" s="11">
        <v>44518</v>
      </c>
      <c r="BJ336" s="727">
        <v>2.4273170513348208E-2</v>
      </c>
      <c r="BK336" s="727">
        <v>8.7952384528263525E-2</v>
      </c>
      <c r="BL336" s="727">
        <v>0.16718545820024533</v>
      </c>
      <c r="BM336" s="727">
        <v>0.2756775814405506</v>
      </c>
      <c r="BN336" s="727">
        <v>0.40212995353998349</v>
      </c>
      <c r="BO336" s="728">
        <v>0.5259881700469452</v>
      </c>
      <c r="BP336" s="727">
        <v>0.62599356083221835</v>
      </c>
      <c r="BQ336" s="727">
        <v>0.72472503509135511</v>
      </c>
      <c r="BR336" s="727">
        <v>0.81638767637405285</v>
      </c>
      <c r="BS336" s="727">
        <v>0.91163133430372467</v>
      </c>
      <c r="BT336" s="727">
        <v>0.99291626647427556</v>
      </c>
      <c r="BW336" s="1157">
        <f>'2018'!R\Max</f>
        <v>0.92290645654679371</v>
      </c>
      <c r="BX336" s="1155">
        <f>'2019'!R\Max</f>
        <v>0.47092646822256506</v>
      </c>
      <c r="BY336" s="1155">
        <f>'2020'!R\Max</f>
        <v>0.92005615413551378</v>
      </c>
      <c r="BZ336" s="1155">
        <f>'2021'!R\Max</f>
        <v>0.66714070175969631</v>
      </c>
      <c r="CA336" s="1155">
        <f>'2022'!R\Max</f>
        <v>0.56763140557534653</v>
      </c>
      <c r="CB336" s="1155">
        <f>'2023'!R\Max</f>
        <v>0.56478153998286618</v>
      </c>
      <c r="CC336" s="1155">
        <f>'2024'!R\Max</f>
        <v>0.56065296439896639</v>
      </c>
      <c r="CD336" s="1155">
        <f>'2025'!R\Max</f>
        <v>0.58092954292999599</v>
      </c>
      <c r="CE336" s="1155">
        <f>'2026'!R\Max</f>
        <v>0.57589325761737131</v>
      </c>
      <c r="CF336" s="1156">
        <f>'2027'!R\Max</f>
        <v>0.57089726240993777</v>
      </c>
    </row>
    <row r="337" spans="1:84" s="6" customFormat="1" ht="11.25" x14ac:dyDescent="0.2">
      <c r="A337" s="11">
        <v>43423</v>
      </c>
      <c r="B337" s="380">
        <f>'2022'!Maxi_hp</f>
        <v>15.038910963249226</v>
      </c>
      <c r="C337" s="13">
        <f>'2022'!An_max</f>
        <v>2020</v>
      </c>
      <c r="D337" s="1070"/>
      <c r="E337" s="13"/>
      <c r="F337" s="13">
        <f t="shared" si="146"/>
        <v>25</v>
      </c>
      <c r="G337" s="13">
        <f t="shared" si="130"/>
        <v>24</v>
      </c>
      <c r="H337" s="173">
        <f t="shared" si="131"/>
        <v>43430</v>
      </c>
      <c r="I337" s="754">
        <f t="shared" si="132"/>
        <v>0.5</v>
      </c>
      <c r="J337" s="747">
        <f t="shared" si="133"/>
        <v>15.492675000056625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P337" s="13">
        <f t="shared" si="134"/>
        <v>13</v>
      </c>
      <c r="AQ337" s="13">
        <f t="shared" si="135"/>
        <v>14</v>
      </c>
      <c r="AR337" s="173">
        <f t="shared" si="136"/>
        <v>43416</v>
      </c>
      <c r="AS337" s="754">
        <f t="shared" si="137"/>
        <v>0.25</v>
      </c>
      <c r="AT337" s="770">
        <f t="shared" si="138"/>
        <v>15.559868814796209</v>
      </c>
      <c r="AU337" s="13">
        <f t="shared" si="139"/>
        <v>13</v>
      </c>
      <c r="AV337" s="13">
        <f t="shared" si="140"/>
        <v>12</v>
      </c>
      <c r="AW337" s="173">
        <f t="shared" si="141"/>
        <v>43430</v>
      </c>
      <c r="AX337" s="754">
        <f t="shared" si="142"/>
        <v>0.25</v>
      </c>
      <c r="AY337" s="770">
        <f t="shared" si="143"/>
        <v>15.54086015507346</v>
      </c>
      <c r="AZ337" s="747">
        <f t="shared" si="147"/>
        <v>15.550364484934835</v>
      </c>
      <c r="BA337" s="646">
        <f t="shared" si="144"/>
        <v>0.97071105946482827</v>
      </c>
      <c r="BB337" s="641">
        <v>43423</v>
      </c>
      <c r="BC337" s="11">
        <v>43423</v>
      </c>
      <c r="BD337" s="290">
        <f>[3]!FeuilCaduc*(1-Persistant)+Persistant</f>
        <v>0.84398759695987169</v>
      </c>
      <c r="BE337" s="291">
        <f>[3]!CroissVégét</f>
        <v>0.99904633147520905</v>
      </c>
      <c r="BF337" s="822">
        <f>1+[3]!Salcycl*Ksac</f>
        <v>1.0109968992399678</v>
      </c>
      <c r="BH337" s="1101">
        <f t="shared" si="145"/>
        <v>0.28047601045961984</v>
      </c>
      <c r="BI337" s="11">
        <v>44519</v>
      </c>
      <c r="BJ337" s="727">
        <v>2.669922853301376E-2</v>
      </c>
      <c r="BK337" s="727">
        <v>9.1194936204797794E-2</v>
      </c>
      <c r="BL337" s="727">
        <v>0.17099435792833717</v>
      </c>
      <c r="BM337" s="727">
        <v>0.28033483911073598</v>
      </c>
      <c r="BN337" s="727">
        <v>0.40585822857910198</v>
      </c>
      <c r="BO337" s="728">
        <v>0.52859967765006233</v>
      </c>
      <c r="BP337" s="727">
        <v>0.62635731937704231</v>
      </c>
      <c r="BQ337" s="727">
        <v>0.72336706944602347</v>
      </c>
      <c r="BR337" s="727">
        <v>0.81279051023142312</v>
      </c>
      <c r="BS337" s="727">
        <v>0.90497323008334873</v>
      </c>
      <c r="BT337" s="727">
        <v>0.98269762526840909</v>
      </c>
      <c r="BW337" s="1157">
        <f>'2018'!R\Max</f>
        <v>0.73458958738932734</v>
      </c>
      <c r="BX337" s="1155">
        <f>'2019'!R\Max</f>
        <v>0.61601363695830524</v>
      </c>
      <c r="BY337" s="1155">
        <f>'2020'!R\Max</f>
        <v>0.97071105946482827</v>
      </c>
      <c r="BZ337" s="1155">
        <f>'2021'!R\Max</f>
        <v>0.92732438650132232</v>
      </c>
      <c r="CA337" s="1155">
        <f>'2022'!R\Max</f>
        <v>0.3866896829370971</v>
      </c>
      <c r="CB337" s="1155">
        <f>'2023'!R\Max</f>
        <v>0.38394185317283186</v>
      </c>
      <c r="CC337" s="1155">
        <f>'2024'!R\Max</f>
        <v>0.38001991970103866</v>
      </c>
      <c r="CD337" s="1155">
        <f>'2025'!R\Max</f>
        <v>0.39972503922057973</v>
      </c>
      <c r="CE337" s="1155">
        <f>'2026'!R\Max</f>
        <v>0.39475304529346794</v>
      </c>
      <c r="CF337" s="1156">
        <f>'2027'!R\Max</f>
        <v>0.38986511692184123</v>
      </c>
    </row>
    <row r="338" spans="1:84" s="6" customFormat="1" ht="11.25" x14ac:dyDescent="0.2">
      <c r="A338" s="11">
        <v>43424</v>
      </c>
      <c r="B338" s="380">
        <f>'2022'!Maxi_hp</f>
        <v>14.953005209630511</v>
      </c>
      <c r="C338" s="13">
        <f>'2022'!An_max</f>
        <v>2019</v>
      </c>
      <c r="D338" s="1070"/>
      <c r="E338" s="13"/>
      <c r="F338" s="13">
        <f t="shared" si="146"/>
        <v>25</v>
      </c>
      <c r="G338" s="13">
        <f t="shared" si="130"/>
        <v>24</v>
      </c>
      <c r="H338" s="173">
        <f t="shared" si="131"/>
        <v>43430</v>
      </c>
      <c r="I338" s="754">
        <f t="shared" si="132"/>
        <v>0.42857142857142855</v>
      </c>
      <c r="J338" s="747">
        <f t="shared" si="133"/>
        <v>15.258414285949296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P338" s="13">
        <f t="shared" si="134"/>
        <v>13</v>
      </c>
      <c r="AQ338" s="13">
        <f t="shared" si="135"/>
        <v>14</v>
      </c>
      <c r="AR338" s="173">
        <f t="shared" si="136"/>
        <v>43416</v>
      </c>
      <c r="AS338" s="754">
        <f t="shared" si="137"/>
        <v>0.2857142857142857</v>
      </c>
      <c r="AT338" s="770">
        <f t="shared" si="138"/>
        <v>15.317737495686327</v>
      </c>
      <c r="AU338" s="13">
        <f t="shared" si="139"/>
        <v>13</v>
      </c>
      <c r="AV338" s="13">
        <f t="shared" si="140"/>
        <v>12</v>
      </c>
      <c r="AW338" s="173">
        <f t="shared" si="141"/>
        <v>43430</v>
      </c>
      <c r="AX338" s="754">
        <f t="shared" si="142"/>
        <v>0.21428571428571427</v>
      </c>
      <c r="AY338" s="770">
        <f t="shared" si="143"/>
        <v>15.282550344280233</v>
      </c>
      <c r="AZ338" s="747">
        <f t="shared" si="147"/>
        <v>15.300143919983281</v>
      </c>
      <c r="BA338" s="646">
        <f t="shared" si="144"/>
        <v>0.97998421915965273</v>
      </c>
      <c r="BB338" s="641">
        <v>43424</v>
      </c>
      <c r="BC338" s="11">
        <v>43424</v>
      </c>
      <c r="BD338" s="290">
        <f>[3]!FeuilCaduc*(1-Persistant)+Persistant</f>
        <v>0.84173889734056495</v>
      </c>
      <c r="BE338" s="291">
        <f>[3]!CroissVégét</f>
        <v>0.99909800049508712</v>
      </c>
      <c r="BF338" s="822">
        <f>1+[3]!Salcycl*Ksac</f>
        <v>1.0104347243351413</v>
      </c>
      <c r="BH338" s="1101">
        <f t="shared" si="145"/>
        <v>0.28488616996111121</v>
      </c>
      <c r="BI338" s="11">
        <v>44520</v>
      </c>
      <c r="BJ338" s="727">
        <v>2.9107819610174248E-2</v>
      </c>
      <c r="BK338" s="727">
        <v>9.4198336255947715E-2</v>
      </c>
      <c r="BL338" s="727">
        <v>0.17454245159398141</v>
      </c>
      <c r="BM338" s="727">
        <v>0.28474613669866539</v>
      </c>
      <c r="BN338" s="727">
        <v>0.40925758947915092</v>
      </c>
      <c r="BO338" s="728">
        <v>0.53078923924981092</v>
      </c>
      <c r="BP338" s="727">
        <v>0.62640084855603262</v>
      </c>
      <c r="BQ338" s="727">
        <v>0.72166915476800098</v>
      </c>
      <c r="BR338" s="727">
        <v>0.80884150698698243</v>
      </c>
      <c r="BS338" s="727">
        <v>0.89795689557475711</v>
      </c>
      <c r="BT338" s="727">
        <v>0.97231182946959949</v>
      </c>
      <c r="BW338" s="1157">
        <f>'2018'!R\Max</f>
        <v>0.38931532555905479</v>
      </c>
      <c r="BX338" s="1155">
        <f>'2019'!R\Max</f>
        <v>0.97998421915965273</v>
      </c>
      <c r="BY338" s="1155">
        <f>'2020'!R\Max</f>
        <v>0.31772493582490985</v>
      </c>
      <c r="BZ338" s="1155">
        <f>'2021'!R\Max</f>
        <v>0.90270128745651945</v>
      </c>
      <c r="CA338" s="1155">
        <f>'2022'!R\Max</f>
        <v>0.77025937862988281</v>
      </c>
      <c r="CB338" s="1155">
        <f>'2023'!R\Max</f>
        <v>0.76820136112292614</v>
      </c>
      <c r="CC338" s="1155">
        <f>'2024'!R\Max</f>
        <v>0.76525815677560394</v>
      </c>
      <c r="CD338" s="1155">
        <f>'2025'!R\Max</f>
        <v>0.77981752480881128</v>
      </c>
      <c r="CE338" s="1155">
        <f>'2026'!R\Max</f>
        <v>0.77621499488733359</v>
      </c>
      <c r="CF338" s="1156">
        <f>'2027'!R\Max</f>
        <v>0.77262310362012965</v>
      </c>
    </row>
    <row r="339" spans="1:84" s="6" customFormat="1" ht="11.25" x14ac:dyDescent="0.2">
      <c r="A339" s="11">
        <v>43425</v>
      </c>
      <c r="B339" s="380">
        <f>'2022'!Maxi_hp</f>
        <v>14.614708080024094</v>
      </c>
      <c r="C339" s="13">
        <f>'2022'!An_max</f>
        <v>2018</v>
      </c>
      <c r="D339" s="1070"/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1"/>
        <v>43430</v>
      </c>
      <c r="I339" s="754">
        <f t="shared" si="132"/>
        <v>0.35714285714285715</v>
      </c>
      <c r="J339" s="747">
        <f t="shared" si="133"/>
        <v>15.031146429000154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P339" s="13">
        <f t="shared" si="134"/>
        <v>13</v>
      </c>
      <c r="AQ339" s="13">
        <f t="shared" si="135"/>
        <v>14</v>
      </c>
      <c r="AR339" s="173">
        <f t="shared" si="136"/>
        <v>43416</v>
      </c>
      <c r="AS339" s="754">
        <f t="shared" si="137"/>
        <v>0.32142857142857145</v>
      </c>
      <c r="AT339" s="770">
        <f t="shared" si="138"/>
        <v>15.079785555015718</v>
      </c>
      <c r="AU339" s="13">
        <f t="shared" si="139"/>
        <v>13</v>
      </c>
      <c r="AV339" s="13">
        <f t="shared" si="140"/>
        <v>12</v>
      </c>
      <c r="AW339" s="173">
        <f t="shared" si="141"/>
        <v>43430</v>
      </c>
      <c r="AX339" s="754">
        <f t="shared" si="142"/>
        <v>0.17857142857142858</v>
      </c>
      <c r="AY339" s="770">
        <f t="shared" si="143"/>
        <v>15.035505813069175</v>
      </c>
      <c r="AZ339" s="747">
        <f t="shared" si="147"/>
        <v>15.057645684042447</v>
      </c>
      <c r="BA339" s="646">
        <f t="shared" si="144"/>
        <v>0.97229497091634942</v>
      </c>
      <c r="BB339" s="641">
        <v>43425</v>
      </c>
      <c r="BC339" s="11">
        <v>43425</v>
      </c>
      <c r="BD339" s="290">
        <f>[3]!FeuilCaduc*(1-Persistant)+Persistant</f>
        <v>0.83955588778867762</v>
      </c>
      <c r="BE339" s="291">
        <f>[3]!CroissVégét</f>
        <v>0.99914759418945731</v>
      </c>
      <c r="BF339" s="822">
        <f>1+[3]!Salcycl*Ksac</f>
        <v>1.0098889719471693</v>
      </c>
      <c r="BH339" s="1101">
        <f t="shared" si="145"/>
        <v>0.28921449194323001</v>
      </c>
      <c r="BI339" s="11">
        <v>44521</v>
      </c>
      <c r="BJ339" s="727">
        <v>3.1392944023287496E-2</v>
      </c>
      <c r="BK339" s="727">
        <v>9.7013489062645633E-2</v>
      </c>
      <c r="BL339" s="727">
        <v>0.17798944736358474</v>
      </c>
      <c r="BM339" s="727">
        <v>0.2890756305644715</v>
      </c>
      <c r="BN339" s="727">
        <v>0.41254509562114794</v>
      </c>
      <c r="BO339" s="728">
        <v>0.53272480144154877</v>
      </c>
      <c r="BP339" s="727">
        <v>0.62624326369359617</v>
      </c>
      <c r="BQ339" s="727">
        <v>0.71970308168655273</v>
      </c>
      <c r="BR339" s="727">
        <v>0.80463510305845409</v>
      </c>
      <c r="BS339" s="727">
        <v>0.89079978119657766</v>
      </c>
      <c r="BT339" s="727">
        <v>0.96209017376764161</v>
      </c>
      <c r="BW339" s="1157">
        <f>'2018'!R\Max</f>
        <v>0.97229497091634942</v>
      </c>
      <c r="BX339" s="1155">
        <f>'2019'!R\Max</f>
        <v>0.93334024517068903</v>
      </c>
      <c r="BY339" s="1155">
        <f>'2020'!R\Max</f>
        <v>0.85919048220219962</v>
      </c>
      <c r="BZ339" s="1155">
        <f>'2021'!R\Max</f>
        <v>0.43283861594458806</v>
      </c>
      <c r="CA339" s="1155">
        <f>'2022'!R\Max</f>
        <v>0.14832867223697341</v>
      </c>
      <c r="CB339" s="1155">
        <f>'2023'!R\Max</f>
        <v>0.14710360123344093</v>
      </c>
      <c r="CC339" s="1155">
        <f>'2024'!R\Max</f>
        <v>0.14538883802794472</v>
      </c>
      <c r="CD339" s="1155">
        <f>'2025'!R\Max</f>
        <v>0.15422928832926139</v>
      </c>
      <c r="CE339" s="1155">
        <f>'2026'!R\Max</f>
        <v>0.15196456871242037</v>
      </c>
      <c r="CF339" s="1156">
        <f>'2027'!R\Max</f>
        <v>0.14975725961972364</v>
      </c>
    </row>
    <row r="340" spans="1:84" s="6" customFormat="1" ht="11.25" x14ac:dyDescent="0.2">
      <c r="A340" s="11">
        <v>43426</v>
      </c>
      <c r="B340" s="380">
        <f>'2022'!Maxi_hp</f>
        <v>15.138714921882022</v>
      </c>
      <c r="C340" s="13">
        <f>'2022'!An_max</f>
        <v>2020</v>
      </c>
      <c r="D340" s="1070"/>
      <c r="E340" s="13"/>
      <c r="F340" s="13">
        <f t="shared" si="146"/>
        <v>25</v>
      </c>
      <c r="G340" s="13">
        <f t="shared" si="130"/>
        <v>24</v>
      </c>
      <c r="H340" s="173">
        <f t="shared" si="131"/>
        <v>43430</v>
      </c>
      <c r="I340" s="754">
        <f t="shared" si="132"/>
        <v>0.2857142857142857</v>
      </c>
      <c r="J340" s="747">
        <f t="shared" si="133"/>
        <v>14.810871429209197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P340" s="13">
        <f t="shared" si="134"/>
        <v>13</v>
      </c>
      <c r="AQ340" s="13">
        <f t="shared" si="135"/>
        <v>14</v>
      </c>
      <c r="AR340" s="173">
        <f t="shared" si="136"/>
        <v>43416</v>
      </c>
      <c r="AS340" s="754">
        <f t="shared" si="137"/>
        <v>0.35714285714285715</v>
      </c>
      <c r="AT340" s="770">
        <f t="shared" si="138"/>
        <v>14.846530978967035</v>
      </c>
      <c r="AU340" s="13">
        <f t="shared" si="139"/>
        <v>13</v>
      </c>
      <c r="AV340" s="13">
        <f t="shared" si="140"/>
        <v>12</v>
      </c>
      <c r="AW340" s="173">
        <f t="shared" si="141"/>
        <v>43430</v>
      </c>
      <c r="AX340" s="754">
        <f t="shared" si="142"/>
        <v>0.14285714285714285</v>
      </c>
      <c r="AY340" s="770">
        <f t="shared" si="143"/>
        <v>14.800596207692953</v>
      </c>
      <c r="AZ340" s="747">
        <f t="shared" si="147"/>
        <v>14.823563593329993</v>
      </c>
      <c r="BA340" s="646">
        <f t="shared" si="144"/>
        <v>1.0221353277043692</v>
      </c>
      <c r="BB340" s="641">
        <v>43426</v>
      </c>
      <c r="BC340" s="11">
        <v>43426</v>
      </c>
      <c r="BD340" s="290">
        <f>[3]!FeuilCaduc*(1-Persistant)+Persistant</f>
        <v>0.8374403712526679</v>
      </c>
      <c r="BE340" s="291">
        <f>[3]!CroissVégét</f>
        <v>0.99919519572159454</v>
      </c>
      <c r="BF340" s="822">
        <f>1+[3]!Salcycl*Ksac</f>
        <v>1.009360092813167</v>
      </c>
      <c r="BH340" s="1101">
        <f t="shared" si="145"/>
        <v>0.29346039448308958</v>
      </c>
      <c r="BI340" s="11">
        <v>44522</v>
      </c>
      <c r="BJ340" s="727">
        <v>3.3554339521903204E-2</v>
      </c>
      <c r="BK340" s="727">
        <v>9.9639985635958619E-2</v>
      </c>
      <c r="BL340" s="727">
        <v>0.18133490009635636</v>
      </c>
      <c r="BM340" s="727">
        <v>0.29332273887992899</v>
      </c>
      <c r="BN340" s="727">
        <v>0.41572008100807023</v>
      </c>
      <c r="BO340" s="728">
        <v>0.5344055379203565</v>
      </c>
      <c r="BP340" s="727">
        <v>0.62588381200957699</v>
      </c>
      <c r="BQ340" s="727">
        <v>0.71746805209729303</v>
      </c>
      <c r="BR340" s="727">
        <v>0.80017055385899261</v>
      </c>
      <c r="BS340" s="727">
        <v>0.8835013251077366</v>
      </c>
      <c r="BT340" s="727">
        <v>0.95203246128523189</v>
      </c>
      <c r="BW340" s="1157">
        <f>'2018'!R\Max</f>
        <v>0.90284200666361536</v>
      </c>
      <c r="BX340" s="1155">
        <f>'2019'!R\Max</f>
        <v>0.53391273907772896</v>
      </c>
      <c r="BY340" s="1155">
        <f>'2020'!R\Max</f>
        <v>1.0221353277043692</v>
      </c>
      <c r="BZ340" s="1155">
        <f>'2021'!R\Max</f>
        <v>0.64710806215714922</v>
      </c>
      <c r="CA340" s="1155">
        <f>'2022'!R\Max</f>
        <v>0.44134415766244833</v>
      </c>
      <c r="CB340" s="1155">
        <f>'2023'!R\Max</f>
        <v>0.43850089746700216</v>
      </c>
      <c r="CC340" s="1155">
        <f>'2024'!R\Max</f>
        <v>0.43453118558011389</v>
      </c>
      <c r="CD340" s="1155">
        <f>'2025'!R\Max</f>
        <v>0.45495270563533446</v>
      </c>
      <c r="CE340" s="1155">
        <f>'2026'!R\Max</f>
        <v>0.44974569890397348</v>
      </c>
      <c r="CF340" s="1156">
        <f>'2027'!R\Max</f>
        <v>0.44465553195795232</v>
      </c>
    </row>
    <row r="341" spans="1:84" s="6" customFormat="1" ht="11.25" x14ac:dyDescent="0.2">
      <c r="A341" s="11">
        <v>43427</v>
      </c>
      <c r="B341" s="380">
        <f>'2022'!Maxi_hp</f>
        <v>14.559641419504979</v>
      </c>
      <c r="C341" s="13">
        <f>'2022'!An_max</f>
        <v>2020</v>
      </c>
      <c r="D341" s="1070"/>
      <c r="E341" s="13"/>
      <c r="F341" s="13">
        <f t="shared" si="146"/>
        <v>25</v>
      </c>
      <c r="G341" s="13">
        <f t="shared" si="130"/>
        <v>24</v>
      </c>
      <c r="H341" s="173">
        <f t="shared" si="131"/>
        <v>43430</v>
      </c>
      <c r="I341" s="754">
        <f t="shared" si="132"/>
        <v>0.21428571428571427</v>
      </c>
      <c r="J341" s="747">
        <f t="shared" si="133"/>
        <v>14.597589285831367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P341" s="13">
        <f t="shared" si="134"/>
        <v>13</v>
      </c>
      <c r="AQ341" s="13">
        <f t="shared" si="135"/>
        <v>14</v>
      </c>
      <c r="AR341" s="173">
        <f t="shared" si="136"/>
        <v>43416</v>
      </c>
      <c r="AS341" s="754">
        <f t="shared" si="137"/>
        <v>0.39285714285714285</v>
      </c>
      <c r="AT341" s="770">
        <f t="shared" si="138"/>
        <v>14.618491752977883</v>
      </c>
      <c r="AU341" s="13">
        <f t="shared" si="139"/>
        <v>13</v>
      </c>
      <c r="AV341" s="13">
        <f t="shared" si="140"/>
        <v>12</v>
      </c>
      <c r="AW341" s="173">
        <f t="shared" si="141"/>
        <v>43430</v>
      </c>
      <c r="AX341" s="754">
        <f t="shared" si="142"/>
        <v>0.10714285714285714</v>
      </c>
      <c r="AY341" s="770">
        <f t="shared" si="143"/>
        <v>14.578691176862256</v>
      </c>
      <c r="AZ341" s="747">
        <f t="shared" si="147"/>
        <v>14.598591464920069</v>
      </c>
      <c r="BA341" s="646">
        <f t="shared" si="144"/>
        <v>0.99740040183462209</v>
      </c>
      <c r="BB341" s="641">
        <v>43427</v>
      </c>
      <c r="BC341" s="11">
        <v>43427</v>
      </c>
      <c r="BD341" s="290">
        <f>[3]!FeuilCaduc*(1-Persistant)+Persistant</f>
        <v>0.83539389791934549</v>
      </c>
      <c r="BE341" s="291">
        <f>[3]!CroissVégét</f>
        <v>0.99924088493749397</v>
      </c>
      <c r="BF341" s="822">
        <f>1+[3]!Salcycl*Ksac</f>
        <v>1.0088484744798363</v>
      </c>
      <c r="BH341" s="1101">
        <f t="shared" si="145"/>
        <v>0.29762143721704026</v>
      </c>
      <c r="BI341" s="11">
        <v>44523</v>
      </c>
      <c r="BJ341" s="727">
        <v>3.5591528010984835E-2</v>
      </c>
      <c r="BK341" s="727">
        <v>0.10207679302830389</v>
      </c>
      <c r="BL341" s="727">
        <v>0.18457721500487467</v>
      </c>
      <c r="BM341" s="727">
        <v>0.29748502221626272</v>
      </c>
      <c r="BN341" s="727">
        <v>0.41877927496163625</v>
      </c>
      <c r="BO341" s="728">
        <v>0.53582731117207372</v>
      </c>
      <c r="BP341" s="727">
        <v>0.62531787469503941</v>
      </c>
      <c r="BQ341" s="727">
        <v>0.71495885888869037</v>
      </c>
      <c r="BR341" s="727">
        <v>0.79544221243633273</v>
      </c>
      <c r="BS341" s="727">
        <v>0.87605555940725033</v>
      </c>
      <c r="BT341" s="727">
        <v>0.9421326544844818</v>
      </c>
      <c r="BW341" s="1157">
        <f>'2018'!R\Max</f>
        <v>0.5441743351096876</v>
      </c>
      <c r="BX341" s="1155">
        <f>'2019'!R\Max</f>
        <v>0.30238916532342802</v>
      </c>
      <c r="BY341" s="1155">
        <f>'2020'!R\Max</f>
        <v>0.99740040183462209</v>
      </c>
      <c r="BZ341" s="1155">
        <f>'2021'!R\Max</f>
        <v>0.5026480816707205</v>
      </c>
      <c r="CA341" s="1155">
        <f>'2022'!R\Max</f>
        <v>0.6011526538845432</v>
      </c>
      <c r="CB341" s="1155">
        <f>'2023'!R\Max</f>
        <v>0.59839384217094926</v>
      </c>
      <c r="CC341" s="1155">
        <f>'2024'!R\Max</f>
        <v>0.594547620224122</v>
      </c>
      <c r="CD341" s="1155">
        <f>'2025'!R\Max</f>
        <v>0.61427248580339278</v>
      </c>
      <c r="CE341" s="1155">
        <f>'2026'!R\Max</f>
        <v>0.60926511701089137</v>
      </c>
      <c r="CF341" s="1156">
        <f>'2027'!R\Max</f>
        <v>0.60436006231950246</v>
      </c>
    </row>
    <row r="342" spans="1:84" s="6" customFormat="1" ht="11.25" x14ac:dyDescent="0.2">
      <c r="A342" s="11">
        <v>43428</v>
      </c>
      <c r="B342" s="380">
        <f>'2022'!Maxi_hp</f>
        <v>14.017853674238541</v>
      </c>
      <c r="C342" s="13">
        <f>'2022'!An_max</f>
        <v>2020</v>
      </c>
      <c r="D342" s="1070"/>
      <c r="E342" s="13"/>
      <c r="F342" s="13">
        <f t="shared" si="146"/>
        <v>25</v>
      </c>
      <c r="G342" s="13">
        <f t="shared" si="130"/>
        <v>24</v>
      </c>
      <c r="H342" s="173">
        <f t="shared" si="131"/>
        <v>43430</v>
      </c>
      <c r="I342" s="754">
        <f t="shared" si="132"/>
        <v>0.14285714285714285</v>
      </c>
      <c r="J342" s="747">
        <f t="shared" si="133"/>
        <v>14.391300000356779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P342" s="13">
        <f t="shared" si="134"/>
        <v>13</v>
      </c>
      <c r="AQ342" s="13">
        <f t="shared" si="135"/>
        <v>14</v>
      </c>
      <c r="AR342" s="173">
        <f t="shared" si="136"/>
        <v>43416</v>
      </c>
      <c r="AS342" s="754">
        <f t="shared" si="137"/>
        <v>0.42857142857142855</v>
      </c>
      <c r="AT342" s="770">
        <f t="shared" si="138"/>
        <v>14.396185858547687</v>
      </c>
      <c r="AU342" s="13">
        <f t="shared" si="139"/>
        <v>13</v>
      </c>
      <c r="AV342" s="13">
        <f t="shared" si="140"/>
        <v>12</v>
      </c>
      <c r="AW342" s="173">
        <f t="shared" si="141"/>
        <v>43430</v>
      </c>
      <c r="AX342" s="754">
        <f t="shared" si="142"/>
        <v>7.1428571428571425E-2</v>
      </c>
      <c r="AY342" s="770">
        <f t="shared" si="143"/>
        <v>14.370660366706684</v>
      </c>
      <c r="AZ342" s="747">
        <f t="shared" si="147"/>
        <v>14.383423112627185</v>
      </c>
      <c r="BA342" s="646">
        <f t="shared" si="144"/>
        <v>0.97405054956056925</v>
      </c>
      <c r="BB342" s="641">
        <v>43428</v>
      </c>
      <c r="BC342" s="11">
        <v>43428</v>
      </c>
      <c r="BD342" s="290">
        <f>[3]!FeuilCaduc*(1-Persistant)+Persistant</f>
        <v>0.83341776144677304</v>
      </c>
      <c r="BE342" s="291">
        <f>[3]!CroissVégét</f>
        <v>0.99928473849698995</v>
      </c>
      <c r="BF342" s="822">
        <f>1+[3]!Salcycl*Ksac</f>
        <v>1.0083544403616933</v>
      </c>
      <c r="BH342" s="1101">
        <f t="shared" si="145"/>
        <v>0.30169632337449409</v>
      </c>
      <c r="BI342" s="11">
        <v>44524</v>
      </c>
      <c r="BJ342" s="727">
        <v>3.7504146122320489E-2</v>
      </c>
      <c r="BK342" s="727">
        <v>0.10432326792384834</v>
      </c>
      <c r="BL342" s="727">
        <v>0.18771549726462286</v>
      </c>
      <c r="BM342" s="727">
        <v>0.30156118413687838</v>
      </c>
      <c r="BN342" s="727">
        <v>0.42172108407273884</v>
      </c>
      <c r="BO342" s="728">
        <v>0.53698820624806287</v>
      </c>
      <c r="BP342" s="727">
        <v>0.62454346810129335</v>
      </c>
      <c r="BQ342" s="727">
        <v>0.71217335884317945</v>
      </c>
      <c r="BR342" s="727">
        <v>0.79044788248178022</v>
      </c>
      <c r="BS342" s="727">
        <v>0.86846035169300628</v>
      </c>
      <c r="BT342" s="727">
        <v>0.93238884336013594</v>
      </c>
      <c r="BW342" s="1157">
        <f>'2018'!R\Max</f>
        <v>0.91499035426573261</v>
      </c>
      <c r="BX342" s="1155">
        <f>'2019'!R\Max</f>
        <v>0.55519511109414188</v>
      </c>
      <c r="BY342" s="1155">
        <f>'2020'!R\Max</f>
        <v>0.97405054956056925</v>
      </c>
      <c r="BZ342" s="1155">
        <f>'2021'!R\Max</f>
        <v>6.2674899621314159E-2</v>
      </c>
      <c r="CA342" s="1155">
        <f>'2022'!R\Max</f>
        <v>0.59041378022203961</v>
      </c>
      <c r="CB342" s="1155">
        <f>'2023'!R\Max</f>
        <v>0.58764634511138392</v>
      </c>
      <c r="CC342" s="1155">
        <f>'2024'!R\Max</f>
        <v>0.58380760264664977</v>
      </c>
      <c r="CD342" s="1155">
        <f>'2025'!R\Max</f>
        <v>0.60363999636724974</v>
      </c>
      <c r="CE342" s="1155">
        <f>'2026'!R\Max</f>
        <v>0.59857211914930453</v>
      </c>
      <c r="CF342" s="1156">
        <f>'2027'!R\Max</f>
        <v>0.59363791968607871</v>
      </c>
    </row>
    <row r="343" spans="1:84" s="6" customFormat="1" ht="11.25" x14ac:dyDescent="0.2">
      <c r="A343" s="11">
        <v>43429</v>
      </c>
      <c r="B343" s="380">
        <f>'2022'!Maxi_hp</f>
        <v>14.256922771094214</v>
      </c>
      <c r="C343" s="13">
        <f>'2022'!An_max</f>
        <v>2020</v>
      </c>
      <c r="D343" s="1070"/>
      <c r="E343" s="13"/>
      <c r="F343" s="13">
        <f t="shared" si="146"/>
        <v>25</v>
      </c>
      <c r="G343" s="13">
        <f t="shared" si="130"/>
        <v>24</v>
      </c>
      <c r="H343" s="173">
        <f t="shared" si="131"/>
        <v>43430</v>
      </c>
      <c r="I343" s="754">
        <f t="shared" si="132"/>
        <v>7.1428571428571425E-2</v>
      </c>
      <c r="J343" s="747">
        <f t="shared" si="133"/>
        <v>14.192003571348533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P343" s="13">
        <f t="shared" si="134"/>
        <v>13</v>
      </c>
      <c r="AQ343" s="13">
        <f t="shared" si="135"/>
        <v>14</v>
      </c>
      <c r="AR343" s="173">
        <f t="shared" si="136"/>
        <v>43416</v>
      </c>
      <c r="AS343" s="754">
        <f t="shared" si="137"/>
        <v>0.4642857142857143</v>
      </c>
      <c r="AT343" s="770">
        <f t="shared" si="138"/>
        <v>14.180131279863417</v>
      </c>
      <c r="AU343" s="13">
        <f t="shared" si="139"/>
        <v>13</v>
      </c>
      <c r="AV343" s="13">
        <f t="shared" si="140"/>
        <v>12</v>
      </c>
      <c r="AW343" s="173">
        <f t="shared" si="141"/>
        <v>43430</v>
      </c>
      <c r="AX343" s="754">
        <f t="shared" si="142"/>
        <v>3.5714285714285712E-2</v>
      </c>
      <c r="AY343" s="770">
        <f t="shared" si="143"/>
        <v>14.177373426033384</v>
      </c>
      <c r="AZ343" s="747">
        <f t="shared" si="147"/>
        <v>14.178752352948401</v>
      </c>
      <c r="BA343" s="646">
        <f t="shared" si="144"/>
        <v>1.0045743505784301</v>
      </c>
      <c r="BB343" s="641">
        <v>43429</v>
      </c>
      <c r="BC343" s="11">
        <v>43429</v>
      </c>
      <c r="BD343" s="290">
        <f>[3]!FeuilCaduc*(1-Persistant)+Persistant</f>
        <v>0.83151299677976409</v>
      </c>
      <c r="BE343" s="291">
        <f>[3]!CroissVégét</f>
        <v>0.99932682999978462</v>
      </c>
      <c r="BF343" s="822">
        <f>1+[3]!Salcycl*Ksac</f>
        <v>1.007878249194941</v>
      </c>
      <c r="BH343" s="1101">
        <f t="shared" si="145"/>
        <v>0.30568528768065212</v>
      </c>
      <c r="BI343" s="11">
        <v>44525</v>
      </c>
      <c r="BJ343" s="727">
        <v>3.9292029703334633E-2</v>
      </c>
      <c r="BK343" s="727">
        <v>0.10637931702763108</v>
      </c>
      <c r="BL343" s="727">
        <v>0.19074980899871141</v>
      </c>
      <c r="BM343" s="727">
        <v>0.30555145899388791</v>
      </c>
      <c r="BN343" s="727">
        <v>0.424546074427959</v>
      </c>
      <c r="BO343" s="728">
        <v>0.53788909422356845</v>
      </c>
      <c r="BP343" s="727">
        <v>0.62356184813885251</v>
      </c>
      <c r="BQ343" s="727">
        <v>0.70911312244062064</v>
      </c>
      <c r="BR343" s="727">
        <v>0.78518949616855016</v>
      </c>
      <c r="BS343" s="727">
        <v>0.86071809682637657</v>
      </c>
      <c r="BT343" s="727">
        <v>0.92280393769996838</v>
      </c>
      <c r="BW343" s="1157">
        <f>'2018'!R\Max</f>
        <v>0.44415717956119505</v>
      </c>
      <c r="BX343" s="1155">
        <f>'2019'!R\Max</f>
        <v>0.51489033035192555</v>
      </c>
      <c r="BY343" s="1155">
        <f>'2020'!R\Max</f>
        <v>1.0045743505784301</v>
      </c>
      <c r="BZ343" s="1155">
        <f>'2021'!R\Max</f>
        <v>0.75438562119090047</v>
      </c>
      <c r="CA343" s="1155">
        <f>'2022'!R\Max</f>
        <v>0.24672552305421452</v>
      </c>
      <c r="CB343" s="1155">
        <f>'2023'!R\Max</f>
        <v>0.24472562109558732</v>
      </c>
      <c r="CC343" s="1155">
        <f>'2024'!R\Max</f>
        <v>0.24198421730457303</v>
      </c>
      <c r="CD343" s="1155">
        <f>'2025'!R\Max</f>
        <v>0.25652154224195273</v>
      </c>
      <c r="CE343" s="1155">
        <f>'2026'!R\Max</f>
        <v>0.25271286192202547</v>
      </c>
      <c r="CF343" s="1156">
        <f>'2027'!R\Max</f>
        <v>0.24907631796518642</v>
      </c>
    </row>
    <row r="344" spans="1:84" s="6" customFormat="1" ht="11.25" x14ac:dyDescent="0.2">
      <c r="A344" s="11">
        <v>43430</v>
      </c>
      <c r="B344" s="380">
        <f>'2022'!Maxi_hp</f>
        <v>13.332457203646875</v>
      </c>
      <c r="C344" s="13">
        <f>'2022'!An_max</f>
        <v>2020</v>
      </c>
      <c r="D344" s="1070"/>
      <c r="E344" s="1073">
        <f>AK$13/10</f>
        <v>13.999699999999999</v>
      </c>
      <c r="F344" s="13">
        <f t="shared" si="146"/>
        <v>25</v>
      </c>
      <c r="G344" s="13">
        <f t="shared" si="130"/>
        <v>26</v>
      </c>
      <c r="H344" s="173">
        <f t="shared" si="131"/>
        <v>43430</v>
      </c>
      <c r="I344" s="754">
        <f t="shared" si="132"/>
        <v>0</v>
      </c>
      <c r="J344" s="747">
        <f t="shared" si="133"/>
        <v>13.999700000137091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P344" s="13">
        <f t="shared" si="134"/>
        <v>13</v>
      </c>
      <c r="AQ344" s="13">
        <f t="shared" si="135"/>
        <v>14</v>
      </c>
      <c r="AR344" s="173">
        <f t="shared" si="136"/>
        <v>43416</v>
      </c>
      <c r="AS344" s="754">
        <f t="shared" si="137"/>
        <v>0.5</v>
      </c>
      <c r="AT344" s="770">
        <f t="shared" si="138"/>
        <v>13.970846004411579</v>
      </c>
      <c r="AU344" s="13">
        <f t="shared" si="139"/>
        <v>13</v>
      </c>
      <c r="AV344" s="13">
        <f t="shared" si="140"/>
        <v>14</v>
      </c>
      <c r="AW344" s="173">
        <f t="shared" si="141"/>
        <v>43430</v>
      </c>
      <c r="AX344" s="754">
        <f t="shared" si="142"/>
        <v>0</v>
      </c>
      <c r="AY344" s="770">
        <f t="shared" si="143"/>
        <v>13.999699999392032</v>
      </c>
      <c r="AZ344" s="747">
        <f t="shared" si="147"/>
        <v>13.985273001901806</v>
      </c>
      <c r="BA344" s="646">
        <f t="shared" si="144"/>
        <v>0.95233877893928565</v>
      </c>
      <c r="BB344" s="641">
        <v>43430</v>
      </c>
      <c r="BC344" s="11">
        <v>43430</v>
      </c>
      <c r="BD344" s="290">
        <f>[3]!FeuilCaduc*(1-Persistant)+Persistant</f>
        <v>0.82968037955327611</v>
      </c>
      <c r="BE344" s="291">
        <f>[3]!CroissVégét</f>
        <v>0.99936723010658135</v>
      </c>
      <c r="BF344" s="822">
        <f>1+[3]!Salcycl*Ksac</f>
        <v>1.007420094888319</v>
      </c>
      <c r="BH344" s="1101">
        <f t="shared" si="145"/>
        <v>0.30958861081495592</v>
      </c>
      <c r="BI344" s="11">
        <v>44526</v>
      </c>
      <c r="BJ344" s="727">
        <v>4.0955050157122641E-2</v>
      </c>
      <c r="BK344" s="727">
        <v>0.10824489539028209</v>
      </c>
      <c r="BL344" s="727">
        <v>0.19368025397316915</v>
      </c>
      <c r="BM344" s="727">
        <v>0.30945612709966269</v>
      </c>
      <c r="BN344" s="727">
        <v>0.42725485272244967</v>
      </c>
      <c r="BO344" s="728">
        <v>0.53853089379747598</v>
      </c>
      <c r="BP344" s="727">
        <v>0.62237429322043147</v>
      </c>
      <c r="BQ344" s="727">
        <v>0.7057797359423672</v>
      </c>
      <c r="BR344" s="727">
        <v>0.77966898075469759</v>
      </c>
      <c r="BS344" s="727">
        <v>0.85283114394529491</v>
      </c>
      <c r="BT344" s="727">
        <v>0.91338073474451864</v>
      </c>
      <c r="BW344" s="1157">
        <f>'2018'!R\Max</f>
        <v>0.20851293675254026</v>
      </c>
      <c r="BX344" s="1155">
        <f>'2019'!R\Max</f>
        <v>0.93558063641622136</v>
      </c>
      <c r="BY344" s="1155">
        <f>'2020'!R\Max</f>
        <v>0.95233877893928565</v>
      </c>
      <c r="BZ344" s="1155">
        <f>'2021'!R\Max</f>
        <v>0.38053665815494231</v>
      </c>
      <c r="CA344" s="1155">
        <f>'2022'!R\Max</f>
        <v>0.50264827616629881</v>
      </c>
      <c r="CB344" s="1155">
        <f>'2023'!R\Max</f>
        <v>0.49983146087026181</v>
      </c>
      <c r="CC344" s="1155">
        <f>'2024'!R\Max</f>
        <v>0.49595657494227885</v>
      </c>
      <c r="CD344" s="1155">
        <f>'2025'!R\Max</f>
        <v>0.51630607942733631</v>
      </c>
      <c r="CE344" s="1155">
        <f>'2026'!R\Max</f>
        <v>0.51100868298299118</v>
      </c>
      <c r="CF344" s="1156">
        <f>'2027'!R\Max</f>
        <v>0.50594451952370845</v>
      </c>
    </row>
    <row r="345" spans="1:84" s="6" customFormat="1" ht="11.25" x14ac:dyDescent="0.2">
      <c r="A345" s="11">
        <v>43431</v>
      </c>
      <c r="B345" s="380">
        <f>'2022'!Maxi_hp</f>
        <v>14.406333862137721</v>
      </c>
      <c r="C345" s="13">
        <f>'2022'!An_max</f>
        <v>2018</v>
      </c>
      <c r="D345" s="1070"/>
      <c r="E345" s="13"/>
      <c r="F345" s="13">
        <f t="shared" si="146"/>
        <v>25</v>
      </c>
      <c r="G345" s="13">
        <f t="shared" si="130"/>
        <v>26</v>
      </c>
      <c r="H345" s="173">
        <f t="shared" si="131"/>
        <v>43430</v>
      </c>
      <c r="I345" s="754">
        <f t="shared" si="132"/>
        <v>7.1428571428571425E-2</v>
      </c>
      <c r="J345" s="747">
        <f t="shared" si="133"/>
        <v>13.811838320483057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P345" s="13">
        <f t="shared" si="134"/>
        <v>13</v>
      </c>
      <c r="AQ345" s="13">
        <f t="shared" si="135"/>
        <v>14</v>
      </c>
      <c r="AR345" s="173">
        <f t="shared" si="136"/>
        <v>43416</v>
      </c>
      <c r="AS345" s="754">
        <f t="shared" si="137"/>
        <v>0.5357142857142857</v>
      </c>
      <c r="AT345" s="770">
        <f t="shared" si="138"/>
        <v>13.768848013691604</v>
      </c>
      <c r="AU345" s="13">
        <f t="shared" si="139"/>
        <v>13</v>
      </c>
      <c r="AV345" s="13">
        <f t="shared" si="140"/>
        <v>14</v>
      </c>
      <c r="AW345" s="173">
        <f t="shared" si="141"/>
        <v>43430</v>
      </c>
      <c r="AX345" s="754">
        <f t="shared" si="142"/>
        <v>3.5714285714285712E-2</v>
      </c>
      <c r="AY345" s="770">
        <f t="shared" si="143"/>
        <v>13.834540382825901</v>
      </c>
      <c r="AZ345" s="747">
        <f t="shared" si="147"/>
        <v>13.801694198258753</v>
      </c>
      <c r="BA345" s="646">
        <f t="shared" si="144"/>
        <v>1.0430424631291131</v>
      </c>
      <c r="BB345" s="641">
        <v>43431</v>
      </c>
      <c r="BC345" s="11">
        <v>43431</v>
      </c>
      <c r="BD345" s="290">
        <f>[3]!FeuilCaduc*(1-Persistant)+Persistant</f>
        <v>0.82792042707648716</v>
      </c>
      <c r="BE345" s="291">
        <f>[3]!CroissVégét</f>
        <v>0.9994060066555025</v>
      </c>
      <c r="BF345" s="822">
        <f>1+[3]!Salcycl*Ksac</f>
        <v>1.0069801067691218</v>
      </c>
      <c r="BH345" s="1101">
        <f t="shared" si="145"/>
        <v>0.31340661775731116</v>
      </c>
      <c r="BI345" s="11">
        <v>44527</v>
      </c>
      <c r="BJ345" s="727">
        <v>4.2493111851816097E-2</v>
      </c>
      <c r="BK345" s="727">
        <v>0.10992000248482921</v>
      </c>
      <c r="BL345" s="727">
        <v>0.19650697551187959</v>
      </c>
      <c r="BM345" s="727">
        <v>0.31327551307369511</v>
      </c>
      <c r="BN345" s="727">
        <v>0.42984806403944664</v>
      </c>
      <c r="BO345" s="728">
        <v>0.53891456617111211</v>
      </c>
      <c r="BP345" s="727">
        <v>0.62098210030316359</v>
      </c>
      <c r="BQ345" s="727">
        <v>0.70217479609384326</v>
      </c>
      <c r="BR345" s="727">
        <v>0.77388825356985003</v>
      </c>
      <c r="BS345" s="727">
        <v>0.84480179395089983</v>
      </c>
      <c r="BT345" s="727">
        <v>0.9041219230938603</v>
      </c>
      <c r="BW345" s="1157">
        <f>'2018'!R\Max</f>
        <v>1.0430424631291131</v>
      </c>
      <c r="BX345" s="1155">
        <f>'2019'!R\Max</f>
        <v>0.87612555491184829</v>
      </c>
      <c r="BY345" s="1155">
        <f>'2020'!R\Max</f>
        <v>0.88282314434660758</v>
      </c>
      <c r="BZ345" s="1155">
        <f>'2021'!R\Max</f>
        <v>0.5188912566370032</v>
      </c>
      <c r="CA345" s="1155">
        <f>'2022'!R\Max</f>
        <v>0.71237713053787532</v>
      </c>
      <c r="CB345" s="1155">
        <f>'2023'!R\Max</f>
        <v>0.71008416871336055</v>
      </c>
      <c r="CC345" s="1155">
        <f>'2024'!R\Max</f>
        <v>0.70691549287420208</v>
      </c>
      <c r="CD345" s="1155">
        <f>'2025'!R\Max</f>
        <v>0.723392170163906</v>
      </c>
      <c r="CE345" s="1155">
        <f>'2026'!R\Max</f>
        <v>0.71912497305937573</v>
      </c>
      <c r="CF345" s="1156">
        <f>'2027'!R\Max</f>
        <v>0.71504783820036799</v>
      </c>
    </row>
    <row r="346" spans="1:84" s="6" customFormat="1" ht="11.25" x14ac:dyDescent="0.2">
      <c r="A346" s="11">
        <v>43432</v>
      </c>
      <c r="B346" s="380">
        <f>'2022'!Maxi_hp</f>
        <v>11.673950035161885</v>
      </c>
      <c r="C346" s="13">
        <f>'2022'!An_max</f>
        <v>2018</v>
      </c>
      <c r="D346" s="1070"/>
      <c r="E346" s="13"/>
      <c r="F346" s="13">
        <f t="shared" si="146"/>
        <v>25</v>
      </c>
      <c r="G346" s="13">
        <f t="shared" si="130"/>
        <v>26</v>
      </c>
      <c r="H346" s="173">
        <f t="shared" si="131"/>
        <v>43430</v>
      </c>
      <c r="I346" s="754">
        <f t="shared" si="132"/>
        <v>0.14285714285714285</v>
      </c>
      <c r="J346" s="747">
        <f t="shared" si="133"/>
        <v>13.62665247789451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P346" s="13">
        <f t="shared" si="134"/>
        <v>13</v>
      </c>
      <c r="AQ346" s="13">
        <f t="shared" si="135"/>
        <v>14</v>
      </c>
      <c r="AR346" s="173">
        <f t="shared" si="136"/>
        <v>43416</v>
      </c>
      <c r="AS346" s="754">
        <f t="shared" si="137"/>
        <v>0.5714285714285714</v>
      </c>
      <c r="AT346" s="770">
        <f t="shared" si="138"/>
        <v>13.574655292821783</v>
      </c>
      <c r="AU346" s="13">
        <f t="shared" si="139"/>
        <v>13</v>
      </c>
      <c r="AV346" s="13">
        <f t="shared" si="140"/>
        <v>14</v>
      </c>
      <c r="AW346" s="173">
        <f t="shared" si="141"/>
        <v>43430</v>
      </c>
      <c r="AX346" s="754">
        <f t="shared" si="142"/>
        <v>7.1428571428571425E-2</v>
      </c>
      <c r="AY346" s="770">
        <f t="shared" si="143"/>
        <v>13.678180445092064</v>
      </c>
      <c r="AZ346" s="747">
        <f t="shared" si="147"/>
        <v>13.626417868956924</v>
      </c>
      <c r="BA346" s="646">
        <f t="shared" si="144"/>
        <v>0.8566997693747348</v>
      </c>
      <c r="BB346" s="641">
        <v>43432</v>
      </c>
      <c r="BC346" s="11">
        <v>43432</v>
      </c>
      <c r="BD346" s="290">
        <f>[3]!FeuilCaduc*(1-Persistant)+Persistant</f>
        <v>0.8262334008779274</v>
      </c>
      <c r="BE346" s="291">
        <f>[3]!CroissVégét</f>
        <v>0.99944322477397196</v>
      </c>
      <c r="BF346" s="822">
        <f>1+[3]!Salcycl*Ksac</f>
        <v>1.0065583502194819</v>
      </c>
      <c r="BH346" s="1101">
        <f t="shared" si="145"/>
        <v>0.31699167784419108</v>
      </c>
      <c r="BI346" s="11">
        <v>44528</v>
      </c>
      <c r="BJ346" s="727">
        <v>4.3903977278681193E-2</v>
      </c>
      <c r="BK346" s="727">
        <v>0.11137952879575336</v>
      </c>
      <c r="BL346" s="727">
        <v>0.19914908351741742</v>
      </c>
      <c r="BM346" s="727">
        <v>0.31686199255831832</v>
      </c>
      <c r="BN346" s="727">
        <v>0.43217247712638185</v>
      </c>
      <c r="BO346" s="728">
        <v>0.53891512209274206</v>
      </c>
      <c r="BP346" s="727">
        <v>0.61929280262720143</v>
      </c>
      <c r="BQ346" s="727">
        <v>0.69831917771914709</v>
      </c>
      <c r="BR346" s="727">
        <v>0.76795833665710433</v>
      </c>
      <c r="BS346" s="727">
        <v>0.8368030091769505</v>
      </c>
      <c r="BT346" s="727">
        <v>0.89521666081303908</v>
      </c>
      <c r="BW346" s="1157">
        <f>'2018'!R\Max</f>
        <v>0.8566997693747348</v>
      </c>
      <c r="BX346" s="1155">
        <f>'2019'!R\Max</f>
        <v>0.5120260106642438</v>
      </c>
      <c r="BY346" s="1155">
        <f>'2020'!R\Max</f>
        <v>0.74663820650498258</v>
      </c>
      <c r="BZ346" s="1155">
        <f>'2021'!R\Max</f>
        <v>0.28300790077695614</v>
      </c>
      <c r="CA346" s="1155">
        <f>'2022'!R\Max</f>
        <v>0.47323432334271015</v>
      </c>
      <c r="CB346" s="1155">
        <f>'2023'!R\Max</f>
        <v>0.47047986387101587</v>
      </c>
      <c r="CC346" s="1155">
        <f>'2024'!R\Max</f>
        <v>0.46669563156034177</v>
      </c>
      <c r="CD346" s="1155">
        <f>'2025'!R\Max</f>
        <v>0.48673230738454426</v>
      </c>
      <c r="CE346" s="1155">
        <f>'2026'!R\Max</f>
        <v>0.48142829711322688</v>
      </c>
      <c r="CF346" s="1156">
        <f>'2027'!R\Max</f>
        <v>0.47646066864547842</v>
      </c>
    </row>
    <row r="347" spans="1:84" s="6" customFormat="1" ht="11.25" x14ac:dyDescent="0.2">
      <c r="A347" s="11">
        <v>43433</v>
      </c>
      <c r="B347" s="380">
        <f>'2022'!Maxi_hp</f>
        <v>13.75945482004663</v>
      </c>
      <c r="C347" s="13">
        <f>'2022'!An_max</f>
        <v>2018</v>
      </c>
      <c r="D347" s="1070"/>
      <c r="E347" s="13"/>
      <c r="F347" s="13">
        <f t="shared" si="146"/>
        <v>25</v>
      </c>
      <c r="G347" s="13">
        <f t="shared" si="130"/>
        <v>26</v>
      </c>
      <c r="H347" s="173">
        <f t="shared" si="131"/>
        <v>43430</v>
      </c>
      <c r="I347" s="754">
        <f t="shared" si="132"/>
        <v>0.21428571428571427</v>
      </c>
      <c r="J347" s="747">
        <f t="shared" si="133"/>
        <v>13.445319843398673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P347" s="13">
        <f t="shared" si="134"/>
        <v>13</v>
      </c>
      <c r="AQ347" s="13">
        <f t="shared" si="135"/>
        <v>14</v>
      </c>
      <c r="AR347" s="173">
        <f t="shared" si="136"/>
        <v>43416</v>
      </c>
      <c r="AS347" s="754">
        <f t="shared" si="137"/>
        <v>0.6071428571428571</v>
      </c>
      <c r="AT347" s="770">
        <f t="shared" si="138"/>
        <v>13.388785825403673</v>
      </c>
      <c r="AU347" s="13">
        <f t="shared" si="139"/>
        <v>13</v>
      </c>
      <c r="AV347" s="13">
        <f t="shared" si="140"/>
        <v>14</v>
      </c>
      <c r="AW347" s="173">
        <f t="shared" si="141"/>
        <v>43430</v>
      </c>
      <c r="AX347" s="754">
        <f t="shared" si="142"/>
        <v>0.10714285714285714</v>
      </c>
      <c r="AY347" s="770">
        <f t="shared" si="143"/>
        <v>13.530568199391876</v>
      </c>
      <c r="AZ347" s="747">
        <f t="shared" si="147"/>
        <v>13.459677012397774</v>
      </c>
      <c r="BA347" s="646">
        <f t="shared" si="144"/>
        <v>1.0233638902091413</v>
      </c>
      <c r="BB347" s="641">
        <v>43433</v>
      </c>
      <c r="BC347" s="11">
        <v>43433</v>
      </c>
      <c r="BD347" s="290">
        <f>[3]!FeuilCaduc*(1-Persistant)+Persistant</f>
        <v>0.8246193107798383</v>
      </c>
      <c r="BE347" s="291">
        <f>[3]!CroissVégét</f>
        <v>0.9994789469862303</v>
      </c>
      <c r="BF347" s="822">
        <f>1+[3]!Salcycl*Ksac</f>
        <v>1.0061548276949595</v>
      </c>
      <c r="BH347" s="1101">
        <f t="shared" si="145"/>
        <v>0.32043657752625815</v>
      </c>
      <c r="BI347" s="11">
        <v>44529</v>
      </c>
      <c r="BJ347" s="727">
        <v>4.5246837377773817E-2</v>
      </c>
      <c r="BK347" s="727">
        <v>0.11271265955043629</v>
      </c>
      <c r="BL347" s="727">
        <v>0.20171670357628771</v>
      </c>
      <c r="BM347" s="727">
        <v>0.32030835014613829</v>
      </c>
      <c r="BN347" s="727">
        <v>0.43432252867849402</v>
      </c>
      <c r="BO347" s="728">
        <v>0.53861569732584058</v>
      </c>
      <c r="BP347" s="727">
        <v>0.61736370047818945</v>
      </c>
      <c r="BQ347" s="727">
        <v>0.69437503743177009</v>
      </c>
      <c r="BR347" s="727">
        <v>0.76210469381545132</v>
      </c>
      <c r="BS347" s="727">
        <v>0.82899869769781021</v>
      </c>
      <c r="BT347" s="727">
        <v>0.8866376994263282</v>
      </c>
      <c r="BW347" s="1157">
        <f>'2018'!R\Max</f>
        <v>1.0233638902091413</v>
      </c>
      <c r="BX347" s="1155">
        <f>'2019'!R\Max</f>
        <v>0.65297736173013365</v>
      </c>
      <c r="BY347" s="1155">
        <f>'2020'!R\Max</f>
        <v>0.46907267648545947</v>
      </c>
      <c r="BZ347" s="1155">
        <f>'2021'!R\Max</f>
        <v>0.39035427158774155</v>
      </c>
      <c r="CA347" s="1155">
        <f>'2022'!R\Max</f>
        <v>0.53887127334948781</v>
      </c>
      <c r="CB347" s="1155">
        <f>'2023'!R\Max</f>
        <v>0.53615427831494489</v>
      </c>
      <c r="CC347" s="1155">
        <f>'2024'!R\Max</f>
        <v>0.53240781803233739</v>
      </c>
      <c r="CD347" s="1155">
        <f>'2025'!R\Max</f>
        <v>0.55218657884928768</v>
      </c>
      <c r="CE347" s="1155">
        <f>'2026'!R\Max</f>
        <v>0.54692862275483023</v>
      </c>
      <c r="CF347" s="1156">
        <f>'2027'!R\Max</f>
        <v>0.54204654692271825</v>
      </c>
    </row>
    <row r="348" spans="1:84" s="6" customFormat="1" ht="11.25" x14ac:dyDescent="0.2">
      <c r="A348" s="11">
        <v>43434</v>
      </c>
      <c r="B348" s="380">
        <f>'2022'!Maxi_hp</f>
        <v>12.01500433375004</v>
      </c>
      <c r="C348" s="13">
        <f>'2022'!An_max</f>
        <v>2020</v>
      </c>
      <c r="D348" s="1070"/>
      <c r="E348" s="13"/>
      <c r="F348" s="13">
        <f t="shared" si="146"/>
        <v>25</v>
      </c>
      <c r="G348" s="13">
        <f t="shared" si="130"/>
        <v>26</v>
      </c>
      <c r="H348" s="173">
        <f t="shared" si="131"/>
        <v>43430</v>
      </c>
      <c r="I348" s="754">
        <f t="shared" si="132"/>
        <v>0.2857142857142857</v>
      </c>
      <c r="J348" s="747">
        <f t="shared" si="133"/>
        <v>13.269017783765282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P348" s="13">
        <f t="shared" si="134"/>
        <v>13</v>
      </c>
      <c r="AQ348" s="13">
        <f t="shared" si="135"/>
        <v>14</v>
      </c>
      <c r="AR348" s="173">
        <f t="shared" si="136"/>
        <v>43416</v>
      </c>
      <c r="AS348" s="754">
        <f t="shared" si="137"/>
        <v>0.6428571428571429</v>
      </c>
      <c r="AT348" s="770">
        <f t="shared" si="138"/>
        <v>13.211757597752978</v>
      </c>
      <c r="AU348" s="13">
        <f t="shared" si="139"/>
        <v>13</v>
      </c>
      <c r="AV348" s="13">
        <f t="shared" si="140"/>
        <v>14</v>
      </c>
      <c r="AW348" s="173">
        <f t="shared" si="141"/>
        <v>43430</v>
      </c>
      <c r="AX348" s="754">
        <f t="shared" si="142"/>
        <v>0.14285714285714285</v>
      </c>
      <c r="AY348" s="770">
        <f t="shared" si="143"/>
        <v>13.391651659139566</v>
      </c>
      <c r="AZ348" s="747">
        <f t="shared" si="147"/>
        <v>13.301704628446272</v>
      </c>
      <c r="BA348" s="646">
        <f t="shared" si="144"/>
        <v>0.90549312161224671</v>
      </c>
      <c r="BB348" s="641">
        <v>43434</v>
      </c>
      <c r="BC348" s="11">
        <v>43434</v>
      </c>
      <c r="BD348" s="290">
        <f>[3]!FeuilCaduc*(1-Persistant)+Persistant</f>
        <v>0.82307792045804407</v>
      </c>
      <c r="BE348" s="291">
        <f>[3]!CroissVégét</f>
        <v>0.99951323331664843</v>
      </c>
      <c r="BF348" s="822">
        <f>1+[3]!Salcycl*Ksac</f>
        <v>1.0057694801145109</v>
      </c>
      <c r="BH348" s="1101">
        <f t="shared" si="145"/>
        <v>0.32374175863998239</v>
      </c>
      <c r="BI348" s="11">
        <v>44530</v>
      </c>
      <c r="BJ348" s="727">
        <v>4.6521693876118438E-2</v>
      </c>
      <c r="BK348" s="727">
        <v>0.11391952079281625</v>
      </c>
      <c r="BL348" s="727">
        <v>0.20421009626769232</v>
      </c>
      <c r="BM348" s="727">
        <v>0.32361502733792125</v>
      </c>
      <c r="BN348" s="727">
        <v>0.43629895868964513</v>
      </c>
      <c r="BO348" s="728">
        <v>0.53801734550497071</v>
      </c>
      <c r="BP348" s="727">
        <v>0.61519611823002762</v>
      </c>
      <c r="BQ348" s="727">
        <v>0.69034401453090366</v>
      </c>
      <c r="BR348" s="727">
        <v>0.7563292581403952</v>
      </c>
      <c r="BS348" s="727">
        <v>0.82139107311278026</v>
      </c>
      <c r="BT348" s="727">
        <v>0.87838745399079288</v>
      </c>
      <c r="BW348" s="1157">
        <f>'2018'!R\Max</f>
        <v>0.53700299849302369</v>
      </c>
      <c r="BX348" s="1155">
        <f>'2019'!R\Max</f>
        <v>0.60323049852816046</v>
      </c>
      <c r="BY348" s="1155">
        <f>'2020'!R\Max</f>
        <v>0.90549312161224671</v>
      </c>
      <c r="BZ348" s="1155">
        <f>'2021'!R\Max</f>
        <v>0.6124451720939984</v>
      </c>
      <c r="CA348" s="1155">
        <f>'2022'!R\Max</f>
        <v>0.19918990442591977</v>
      </c>
      <c r="CB348" s="1155">
        <f>'2023'!R\Max</f>
        <v>0.1976559926577435</v>
      </c>
      <c r="CC348" s="1155">
        <f>'2024'!R\Max</f>
        <v>0.19554728462610541</v>
      </c>
      <c r="CD348" s="1155">
        <f>'2025'!R\Max</f>
        <v>0.20686452347472939</v>
      </c>
      <c r="CE348" s="1155">
        <f>'2026'!R\Max</f>
        <v>0.20378513049322494</v>
      </c>
      <c r="CF348" s="1156">
        <f>'2027'!R\Max</f>
        <v>0.2009909527473786</v>
      </c>
    </row>
    <row r="349" spans="1:84" s="6" customFormat="1" ht="11.25" x14ac:dyDescent="0.2">
      <c r="A349" s="11">
        <v>43435</v>
      </c>
      <c r="B349" s="380">
        <f>'2022'!Maxi_hp</f>
        <v>12.606497833534238</v>
      </c>
      <c r="C349" s="13">
        <f>'2022'!An_max</f>
        <v>2020</v>
      </c>
      <c r="D349" s="1070"/>
      <c r="E349" s="13"/>
      <c r="F349" s="13">
        <f t="shared" si="146"/>
        <v>25</v>
      </c>
      <c r="G349" s="13">
        <f t="shared" si="130"/>
        <v>26</v>
      </c>
      <c r="H349" s="173">
        <f t="shared" si="131"/>
        <v>43430</v>
      </c>
      <c r="I349" s="754">
        <f t="shared" si="132"/>
        <v>0.35714285714285715</v>
      </c>
      <c r="J349" s="747">
        <f t="shared" si="133"/>
        <v>13.098923669595802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P349" s="13">
        <f t="shared" si="134"/>
        <v>13</v>
      </c>
      <c r="AQ349" s="13">
        <f t="shared" si="135"/>
        <v>14</v>
      </c>
      <c r="AR349" s="173">
        <f t="shared" si="136"/>
        <v>43416</v>
      </c>
      <c r="AS349" s="754">
        <f t="shared" si="137"/>
        <v>0.6785714285714286</v>
      </c>
      <c r="AT349" s="770">
        <f t="shared" si="138"/>
        <v>13.044088595733047</v>
      </c>
      <c r="AU349" s="13">
        <f t="shared" si="139"/>
        <v>13</v>
      </c>
      <c r="AV349" s="13">
        <f t="shared" si="140"/>
        <v>14</v>
      </c>
      <c r="AW349" s="173">
        <f t="shared" si="141"/>
        <v>43430</v>
      </c>
      <c r="AX349" s="754">
        <f t="shared" si="142"/>
        <v>0.17857142857142858</v>
      </c>
      <c r="AY349" s="770">
        <f t="shared" si="143"/>
        <v>13.261378837483269</v>
      </c>
      <c r="AZ349" s="747">
        <f t="shared" si="147"/>
        <v>13.152733716608157</v>
      </c>
      <c r="BA349" s="646">
        <f t="shared" si="144"/>
        <v>0.96240715279496247</v>
      </c>
      <c r="BB349" s="641">
        <v>43435</v>
      </c>
      <c r="BC349" s="11">
        <v>43435</v>
      </c>
      <c r="BD349" s="290">
        <f>[3]!FeuilCaduc*(1-Persistant)+Persistant</f>
        <v>0.82160875443216697</v>
      </c>
      <c r="BE349" s="291">
        <f>[3]!CroissVégét</f>
        <v>0.99954614138899944</v>
      </c>
      <c r="BF349" s="822">
        <f>1+[3]!Salcycl*Ksac</f>
        <v>1.0054021886080418</v>
      </c>
      <c r="BH349" s="1101">
        <f t="shared" si="145"/>
        <v>0.32690770434625455</v>
      </c>
      <c r="BI349" s="11">
        <v>44531</v>
      </c>
      <c r="BJ349" s="727">
        <v>4.7728566098160681E-2</v>
      </c>
      <c r="BK349" s="727">
        <v>0.11500026149852946</v>
      </c>
      <c r="BL349" s="727">
        <v>0.20662955019760304</v>
      </c>
      <c r="BM349" s="727">
        <v>0.32678250696766453</v>
      </c>
      <c r="BN349" s="727">
        <v>0.43810254065311816</v>
      </c>
      <c r="BO349" s="728">
        <v>0.5371211450864225</v>
      </c>
      <c r="BP349" s="727">
        <v>0.61279138551356471</v>
      </c>
      <c r="BQ349" s="727">
        <v>0.6862277220724573</v>
      </c>
      <c r="BR349" s="727">
        <v>0.75063390459450252</v>
      </c>
      <c r="BS349" s="727">
        <v>0.81398226311978916</v>
      </c>
      <c r="BT349" s="727">
        <v>0.870468234423878</v>
      </c>
      <c r="BW349" s="1157">
        <f>'2018'!R\Max</f>
        <v>0.86293358232813333</v>
      </c>
      <c r="BX349" s="1155">
        <f>'2019'!R\Max</f>
        <v>0.35418251846619841</v>
      </c>
      <c r="BY349" s="1155">
        <f>'2020'!R\Max</f>
        <v>0.96240715279496247</v>
      </c>
      <c r="BZ349" s="1155">
        <f>'2021'!R\Max</f>
        <v>0.2279316653356572</v>
      </c>
      <c r="CA349" s="1155">
        <f>'2022'!R\Max</f>
        <v>0.18679889481542183</v>
      </c>
      <c r="CB349" s="1155">
        <f>'2023'!R\Max</f>
        <v>0.18538069125830961</v>
      </c>
      <c r="CC349" s="1155">
        <f>'2024'!R\Max</f>
        <v>0.18342086427129137</v>
      </c>
      <c r="CD349" s="1155">
        <f>'2025'!R\Max</f>
        <v>0.19392480777272297</v>
      </c>
      <c r="CE349" s="1155">
        <f>'2026'!R\Max</f>
        <v>0.19104114299777661</v>
      </c>
      <c r="CF349" s="1156">
        <f>'2027'!R\Max</f>
        <v>0.18846078451832288</v>
      </c>
    </row>
    <row r="350" spans="1:84" s="6" customFormat="1" ht="11.25" x14ac:dyDescent="0.2">
      <c r="A350" s="11">
        <v>43436</v>
      </c>
      <c r="B350" s="380">
        <f>'2022'!Maxi_hp</f>
        <v>5.9138462610467215</v>
      </c>
      <c r="C350" s="13">
        <f>'2022'!An_max</f>
        <v>2021</v>
      </c>
      <c r="D350" s="1070"/>
      <c r="E350" s="13"/>
      <c r="F350" s="13">
        <f t="shared" si="146"/>
        <v>25</v>
      </c>
      <c r="G350" s="13">
        <f t="shared" si="130"/>
        <v>26</v>
      </c>
      <c r="H350" s="173">
        <f t="shared" si="131"/>
        <v>43430</v>
      </c>
      <c r="I350" s="754">
        <f t="shared" si="132"/>
        <v>0.42857142857142855</v>
      </c>
      <c r="J350" s="747">
        <f t="shared" si="133"/>
        <v>12.936214868298597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P350" s="13">
        <f t="shared" si="134"/>
        <v>13</v>
      </c>
      <c r="AQ350" s="13">
        <f t="shared" si="135"/>
        <v>14</v>
      </c>
      <c r="AR350" s="173">
        <f t="shared" si="136"/>
        <v>43416</v>
      </c>
      <c r="AS350" s="754">
        <f t="shared" si="137"/>
        <v>0.7142857142857143</v>
      </c>
      <c r="AT350" s="770">
        <f t="shared" si="138"/>
        <v>12.886296798501695</v>
      </c>
      <c r="AU350" s="13">
        <f t="shared" si="139"/>
        <v>13</v>
      </c>
      <c r="AV350" s="13">
        <f t="shared" si="140"/>
        <v>14</v>
      </c>
      <c r="AW350" s="173">
        <f t="shared" si="141"/>
        <v>43430</v>
      </c>
      <c r="AX350" s="754">
        <f t="shared" si="142"/>
        <v>0.21428571428571427</v>
      </c>
      <c r="AY350" s="770">
        <f t="shared" si="143"/>
        <v>13.139697746506759</v>
      </c>
      <c r="AZ350" s="747">
        <f t="shared" si="147"/>
        <v>13.012997272504226</v>
      </c>
      <c r="BA350" s="646">
        <f t="shared" si="144"/>
        <v>0.45715430064007007</v>
      </c>
      <c r="BB350" s="641">
        <v>43436</v>
      </c>
      <c r="BC350" s="11">
        <v>43436</v>
      </c>
      <c r="BD350" s="290">
        <f>[3]!FeuilCaduc*(1-Persistant)+Persistant</f>
        <v>0.82021110642007999</v>
      </c>
      <c r="BE350" s="291">
        <f>[3]!CroissVégét</f>
        <v>0.99957772652184329</v>
      </c>
      <c r="BF350" s="822">
        <f>1+[3]!Salcycl*Ksac</f>
        <v>1.0050527766050199</v>
      </c>
      <c r="BH350" s="1101">
        <f t="shared" si="145"/>
        <v>0.32993493632555054</v>
      </c>
      <c r="BI350" s="11">
        <v>44532</v>
      </c>
      <c r="BJ350" s="727">
        <v>4.8867489562545136E-2</v>
      </c>
      <c r="BK350" s="727">
        <v>0.11595505098390874</v>
      </c>
      <c r="BL350" s="727">
        <v>0.20897538051708217</v>
      </c>
      <c r="BM350" s="727">
        <v>0.32981131039850414</v>
      </c>
      <c r="BN350" s="727">
        <v>0.43973407809694726</v>
      </c>
      <c r="BO350" s="728">
        <v>0.5359281933236969</v>
      </c>
      <c r="BP350" s="727">
        <v>0.6101508324832301</v>
      </c>
      <c r="BQ350" s="727">
        <v>0.68202774532332933</v>
      </c>
      <c r="BR350" s="727">
        <v>0.74502045192622379</v>
      </c>
      <c r="BS350" s="727">
        <v>0.8067743139292658</v>
      </c>
      <c r="BT350" s="727">
        <v>0.86288225268645424</v>
      </c>
      <c r="BW350" s="1157">
        <f>'2018'!R\Max</f>
        <v>0.40535904312339222</v>
      </c>
      <c r="BX350" s="1155">
        <f>'2019'!R\Max</f>
        <v>0.20855754672003154</v>
      </c>
      <c r="BY350" s="1155">
        <f>'2020'!R\Max</f>
        <v>0.24177583020287127</v>
      </c>
      <c r="BZ350" s="1155">
        <f>'2021'!R\Max</f>
        <v>0.45715430064007007</v>
      </c>
      <c r="CA350" s="1155">
        <f>'2022'!R\Max</f>
        <v>0.29250969810912419</v>
      </c>
      <c r="CB350" s="1155">
        <f>'2023'!R\Max</f>
        <v>0.29034657479591119</v>
      </c>
      <c r="CC350" s="1155">
        <f>'2024'!R\Max</f>
        <v>0.28733584539673818</v>
      </c>
      <c r="CD350" s="1155">
        <f>'2025'!R\Max</f>
        <v>0.3034200975768731</v>
      </c>
      <c r="CE350" s="1155">
        <f>'2026'!R\Max</f>
        <v>0.29896444620904944</v>
      </c>
      <c r="CF350" s="1156">
        <f>'2027'!R\Max</f>
        <v>0.29503730122560801</v>
      </c>
    </row>
    <row r="351" spans="1:84" s="6" customFormat="1" ht="11.25" x14ac:dyDescent="0.2">
      <c r="A351" s="11">
        <v>43437</v>
      </c>
      <c r="B351" s="380">
        <f>'2022'!Maxi_hp</f>
        <v>10.154627758831777</v>
      </c>
      <c r="C351" s="13">
        <f>'2022'!An_max</f>
        <v>2021</v>
      </c>
      <c r="D351" s="1070"/>
      <c r="E351" s="13"/>
      <c r="F351" s="13">
        <f t="shared" si="146"/>
        <v>25</v>
      </c>
      <c r="G351" s="13">
        <f t="shared" si="130"/>
        <v>26</v>
      </c>
      <c r="H351" s="173">
        <f t="shared" si="131"/>
        <v>43430</v>
      </c>
      <c r="I351" s="754">
        <f t="shared" si="132"/>
        <v>0.5</v>
      </c>
      <c r="J351" s="747">
        <f t="shared" si="133"/>
        <v>12.78206875026226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P351" s="13">
        <f t="shared" si="134"/>
        <v>13</v>
      </c>
      <c r="AQ351" s="13">
        <f t="shared" si="135"/>
        <v>14</v>
      </c>
      <c r="AR351" s="173">
        <f t="shared" si="136"/>
        <v>43416</v>
      </c>
      <c r="AS351" s="754">
        <f t="shared" si="137"/>
        <v>0.75</v>
      </c>
      <c r="AT351" s="770">
        <f t="shared" si="138"/>
        <v>12.738900192454457</v>
      </c>
      <c r="AU351" s="13">
        <f t="shared" si="139"/>
        <v>13</v>
      </c>
      <c r="AV351" s="13">
        <f t="shared" si="140"/>
        <v>14</v>
      </c>
      <c r="AW351" s="173">
        <f t="shared" si="141"/>
        <v>43430</v>
      </c>
      <c r="AX351" s="754">
        <f t="shared" si="142"/>
        <v>0.25</v>
      </c>
      <c r="AY351" s="770">
        <f t="shared" si="143"/>
        <v>13.026556398719549</v>
      </c>
      <c r="AZ351" s="747">
        <f t="shared" si="147"/>
        <v>12.882728295587004</v>
      </c>
      <c r="BA351" s="646">
        <f t="shared" si="144"/>
        <v>0.7944432123808931</v>
      </c>
      <c r="BB351" s="641">
        <v>43437</v>
      </c>
      <c r="BC351" s="11">
        <v>43437</v>
      </c>
      <c r="BD351" s="290">
        <f>[3]!FeuilCaduc*(1-Persistant)+Persistant</f>
        <v>0.81888404898018519</v>
      </c>
      <c r="BE351" s="291">
        <f>[3]!CroissVégét</f>
        <v>0.99960804182016849</v>
      </c>
      <c r="BF351" s="822">
        <f>1+[3]!Salcycl*Ksac</f>
        <v>1.0047210122450463</v>
      </c>
      <c r="BH351" s="1101">
        <f t="shared" si="145"/>
        <v>0.33282401196887162</v>
      </c>
      <c r="BI351" s="11">
        <v>44533</v>
      </c>
      <c r="BJ351" s="727">
        <v>4.9938514578294978E-2</v>
      </c>
      <c r="BK351" s="727">
        <v>0.11678407631349678</v>
      </c>
      <c r="BL351" s="727">
        <v>0.21124792743794174</v>
      </c>
      <c r="BM351" s="727">
        <v>0.33270199471439904</v>
      </c>
      <c r="BN351" s="727">
        <v>0.44119440111352914</v>
      </c>
      <c r="BO351" s="728">
        <v>0.53443960023590331</v>
      </c>
      <c r="BP351" s="727">
        <v>0.60727578507554869</v>
      </c>
      <c r="BQ351" s="727">
        <v>0.67774564020654915</v>
      </c>
      <c r="BR351" s="727">
        <v>0.73949066457869961</v>
      </c>
      <c r="BS351" s="727">
        <v>0.79976919466712082</v>
      </c>
      <c r="BT351" s="727">
        <v>0.85563162995421305</v>
      </c>
      <c r="BW351" s="1157">
        <f>'2018'!R\Max</f>
        <v>0.50928430037576078</v>
      </c>
      <c r="BX351" s="1155">
        <f>'2019'!R\Max</f>
        <v>0.20189067058819665</v>
      </c>
      <c r="BY351" s="1155">
        <f>'2020'!R\Max</f>
        <v>6.5894954235527214E-2</v>
      </c>
      <c r="BZ351" s="1155">
        <f>'2021'!R\Max</f>
        <v>0.7944432123808931</v>
      </c>
      <c r="CA351" s="1155">
        <f>'2022'!R\Max</f>
        <v>0.52490582126703866</v>
      </c>
      <c r="CB351" s="1155">
        <f>'2023'!R\Max</f>
        <v>0.52233869361844887</v>
      </c>
      <c r="CC351" s="1155">
        <f>'2024'!R\Max</f>
        <v>0.51871303885709796</v>
      </c>
      <c r="CD351" s="1155">
        <f>'2025'!R\Max</f>
        <v>0.53772438886005491</v>
      </c>
      <c r="CE351" s="1155">
        <f>'2026'!R\Max</f>
        <v>0.53247261693808123</v>
      </c>
      <c r="CF351" s="1156">
        <f>'2027'!R\Max</f>
        <v>0.52787981959493424</v>
      </c>
    </row>
    <row r="352" spans="1:84" s="6" customFormat="1" ht="11.25" x14ac:dyDescent="0.2">
      <c r="A352" s="11">
        <v>43438</v>
      </c>
      <c r="B352" s="380">
        <f>'2022'!Maxi_hp</f>
        <v>9.825135926325423</v>
      </c>
      <c r="C352" s="13">
        <f>'2022'!An_max</f>
        <v>2022</v>
      </c>
      <c r="D352" s="1070"/>
      <c r="E352" s="13"/>
      <c r="F352" s="13">
        <f t="shared" si="146"/>
        <v>25</v>
      </c>
      <c r="G352" s="13">
        <f t="shared" si="130"/>
        <v>26</v>
      </c>
      <c r="H352" s="173">
        <f t="shared" si="131"/>
        <v>43430</v>
      </c>
      <c r="I352" s="754">
        <f t="shared" si="132"/>
        <v>0.5714285714285714</v>
      </c>
      <c r="J352" s="747">
        <f t="shared" si="133"/>
        <v>12.63766268257584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P352" s="13">
        <f t="shared" si="134"/>
        <v>13</v>
      </c>
      <c r="AQ352" s="13">
        <f t="shared" si="135"/>
        <v>14</v>
      </c>
      <c r="AR352" s="173">
        <f t="shared" si="136"/>
        <v>43416</v>
      </c>
      <c r="AS352" s="754">
        <f t="shared" si="137"/>
        <v>0.7857142857142857</v>
      </c>
      <c r="AT352" s="770">
        <f t="shared" si="138"/>
        <v>12.602416761804905</v>
      </c>
      <c r="AU352" s="13">
        <f t="shared" si="139"/>
        <v>13</v>
      </c>
      <c r="AV352" s="13">
        <f t="shared" si="140"/>
        <v>14</v>
      </c>
      <c r="AW352" s="173">
        <f t="shared" si="141"/>
        <v>43430</v>
      </c>
      <c r="AX352" s="754">
        <f t="shared" si="142"/>
        <v>0.2857142857142857</v>
      </c>
      <c r="AY352" s="770">
        <f t="shared" si="143"/>
        <v>12.921902807482653</v>
      </c>
      <c r="AZ352" s="747">
        <f t="shared" si="147"/>
        <v>12.762159784643778</v>
      </c>
      <c r="BA352" s="646">
        <f t="shared" si="144"/>
        <v>0.77744881890793105</v>
      </c>
      <c r="BB352" s="641">
        <v>43438</v>
      </c>
      <c r="BC352" s="11">
        <v>43438</v>
      </c>
      <c r="BD352" s="290">
        <f>[3]!FeuilCaduc*(1-Persistant)+Persistant</f>
        <v>0.81762644435550791</v>
      </c>
      <c r="BE352" s="291">
        <f>[3]!CroissVégét</f>
        <v>0.99963713826343847</v>
      </c>
      <c r="BF352" s="822">
        <f>1+[3]!Salcycl*Ksac</f>
        <v>1.004406611088877</v>
      </c>
      <c r="BH352" s="1101">
        <f t="shared" si="145"/>
        <v>0.33541171886936288</v>
      </c>
      <c r="BI352" s="11">
        <v>44534</v>
      </c>
      <c r="BJ352" s="727">
        <v>5.0893630448126233E-2</v>
      </c>
      <c r="BK352" s="727">
        <v>0.1174980979909445</v>
      </c>
      <c r="BL352" s="727">
        <v>0.21335183501716931</v>
      </c>
      <c r="BM352" s="727">
        <v>0.33529129594566576</v>
      </c>
      <c r="BN352" s="727">
        <v>0.44236609314538389</v>
      </c>
      <c r="BO352" s="728">
        <v>0.53274869880853271</v>
      </c>
      <c r="BP352" s="727">
        <v>0.60428762649627099</v>
      </c>
      <c r="BQ352" s="727">
        <v>0.67353306785904599</v>
      </c>
      <c r="BR352" s="727">
        <v>0.7341671035821079</v>
      </c>
      <c r="BS352" s="727">
        <v>0.79314599156964105</v>
      </c>
      <c r="BT352" s="727">
        <v>0.84890298411040288</v>
      </c>
      <c r="BW352" s="1157">
        <f>'2018'!R\Max</f>
        <v>0.29499931792795803</v>
      </c>
      <c r="BX352" s="1155">
        <f>'2019'!R\Max</f>
        <v>0.33619439387244787</v>
      </c>
      <c r="BY352" s="1155">
        <f>'2020'!R\Max</f>
        <v>0.66285886653993042</v>
      </c>
      <c r="BZ352" s="1155">
        <f>'2021'!R\Max</f>
        <v>0.27703633986162524</v>
      </c>
      <c r="CA352" s="1155">
        <f>'2022'!R\Max</f>
        <v>0.77744881890793105</v>
      </c>
      <c r="CB352" s="1155">
        <f>'2023'!R\Max</f>
        <v>0.77569503891026326</v>
      </c>
      <c r="CC352" s="1155">
        <f>'2024'!R\Max</f>
        <v>0.77317906241094769</v>
      </c>
      <c r="CD352" s="1155">
        <f>'2025'!R\Max</f>
        <v>0.78611076151450543</v>
      </c>
      <c r="CE352" s="1155">
        <f>'2026'!R\Max</f>
        <v>0.78255173854320992</v>
      </c>
      <c r="CF352" s="1156">
        <f>'2027'!R\Max</f>
        <v>0.77946210414700423</v>
      </c>
    </row>
    <row r="353" spans="1:84" s="6" customFormat="1" ht="11.25" x14ac:dyDescent="0.2">
      <c r="A353" s="11">
        <v>43439</v>
      </c>
      <c r="B353" s="380">
        <f>'2022'!Maxi_hp</f>
        <v>11.560418979019833</v>
      </c>
      <c r="C353" s="13">
        <f>'2022'!An_max</f>
        <v>2022</v>
      </c>
      <c r="D353" s="1070"/>
      <c r="E353" s="13"/>
      <c r="F353" s="13">
        <f t="shared" si="146"/>
        <v>25</v>
      </c>
      <c r="G353" s="13">
        <f t="shared" si="130"/>
        <v>26</v>
      </c>
      <c r="H353" s="173">
        <f t="shared" si="131"/>
        <v>43430</v>
      </c>
      <c r="I353" s="754">
        <f t="shared" si="132"/>
        <v>0.6428571428571429</v>
      </c>
      <c r="J353" s="747">
        <f t="shared" si="133"/>
        <v>12.50417403413781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P353" s="13">
        <f t="shared" si="134"/>
        <v>13</v>
      </c>
      <c r="AQ353" s="13">
        <f t="shared" si="135"/>
        <v>14</v>
      </c>
      <c r="AR353" s="173">
        <f t="shared" si="136"/>
        <v>43416</v>
      </c>
      <c r="AS353" s="754">
        <f t="shared" si="137"/>
        <v>0.8214285714285714</v>
      </c>
      <c r="AT353" s="770">
        <f t="shared" si="138"/>
        <v>12.477364491857589</v>
      </c>
      <c r="AU353" s="13">
        <f t="shared" si="139"/>
        <v>13</v>
      </c>
      <c r="AV353" s="13">
        <f t="shared" si="140"/>
        <v>14</v>
      </c>
      <c r="AW353" s="173">
        <f t="shared" si="141"/>
        <v>43430</v>
      </c>
      <c r="AX353" s="754">
        <f t="shared" si="142"/>
        <v>0.32142857142857145</v>
      </c>
      <c r="AY353" s="770">
        <f t="shared" si="143"/>
        <v>12.825684986955356</v>
      </c>
      <c r="AZ353" s="747">
        <f t="shared" si="147"/>
        <v>12.651524739406472</v>
      </c>
      <c r="BA353" s="646">
        <f t="shared" si="144"/>
        <v>0.92452479847597935</v>
      </c>
      <c r="BB353" s="641">
        <v>43439</v>
      </c>
      <c r="BC353" s="11">
        <v>43439</v>
      </c>
      <c r="BD353" s="290">
        <f>[3]!FeuilCaduc*(1-Persistant)+Persistant</f>
        <v>0.81643695642479197</v>
      </c>
      <c r="BE353" s="291">
        <f>[3]!CroissVégét</f>
        <v>0.99966506479017636</v>
      </c>
      <c r="BF353" s="822">
        <f>1+[3]!Salcycl*Ksac</f>
        <v>1.0041092391061979</v>
      </c>
      <c r="BH353" s="1101">
        <f t="shared" si="145"/>
        <v>0.33768562939854863</v>
      </c>
      <c r="BI353" s="11">
        <v>44535</v>
      </c>
      <c r="BJ353" s="727">
        <v>5.1798240776386527E-2</v>
      </c>
      <c r="BK353" s="727">
        <v>0.11819682991959778</v>
      </c>
      <c r="BL353" s="727">
        <v>0.21527771783662</v>
      </c>
      <c r="BM353" s="727">
        <v>0.33756675705473499</v>
      </c>
      <c r="BN353" s="727">
        <v>0.44326284643483427</v>
      </c>
      <c r="BO353" s="728">
        <v>0.53102053710763675</v>
      </c>
      <c r="BP353" s="727">
        <v>0.60132175018343892</v>
      </c>
      <c r="BQ353" s="727">
        <v>0.66948543395546445</v>
      </c>
      <c r="BR353" s="727">
        <v>0.72906862572127362</v>
      </c>
      <c r="BS353" s="727">
        <v>0.78686537915021604</v>
      </c>
      <c r="BT353" s="727">
        <v>0.84253983276666722</v>
      </c>
      <c r="BW353" s="1157">
        <f>'2018'!R\Max</f>
        <v>0.87048227247578902</v>
      </c>
      <c r="BX353" s="1155">
        <f>'2019'!R\Max</f>
        <v>0.46967064120011631</v>
      </c>
      <c r="BY353" s="1155">
        <f>'2020'!R\Max</f>
        <v>0.44460319437270335</v>
      </c>
      <c r="BZ353" s="1155">
        <f>'2021'!R\Max</f>
        <v>0.34342851199647528</v>
      </c>
      <c r="CA353" s="1155">
        <f>'2022'!R\Max</f>
        <v>0.92452479847597935</v>
      </c>
      <c r="CB353" s="1155">
        <f>'2023'!R\Max</f>
        <v>0.92382862250419773</v>
      </c>
      <c r="CC353" s="1155">
        <f>'2024'!R\Max</f>
        <v>0.92281777016692401</v>
      </c>
      <c r="CD353" s="1155">
        <f>'2025'!R\Max</f>
        <v>0.92794793553755406</v>
      </c>
      <c r="CE353" s="1155">
        <f>'2026'!R\Max</f>
        <v>0.92653393542345763</v>
      </c>
      <c r="CF353" s="1156">
        <f>'2027'!R\Max</f>
        <v>0.92531891533943444</v>
      </c>
    </row>
    <row r="354" spans="1:84" s="6" customFormat="1" ht="11.25" x14ac:dyDescent="0.2">
      <c r="A354" s="11">
        <v>43440</v>
      </c>
      <c r="B354" s="380">
        <f>'2022'!Maxi_hp</f>
        <v>11.896832592856089</v>
      </c>
      <c r="C354" s="13">
        <f>'2022'!An_max</f>
        <v>2020</v>
      </c>
      <c r="D354" s="1070"/>
      <c r="E354" s="13"/>
      <c r="F354" s="13">
        <f t="shared" si="146"/>
        <v>25</v>
      </c>
      <c r="G354" s="13">
        <f t="shared" si="130"/>
        <v>26</v>
      </c>
      <c r="H354" s="173">
        <f t="shared" si="131"/>
        <v>43430</v>
      </c>
      <c r="I354" s="754">
        <f t="shared" si="132"/>
        <v>0.7142857142857143</v>
      </c>
      <c r="J354" s="747">
        <f t="shared" si="133"/>
        <v>12.382780174272401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P354" s="13">
        <f t="shared" si="134"/>
        <v>13</v>
      </c>
      <c r="AQ354" s="13">
        <f t="shared" si="135"/>
        <v>14</v>
      </c>
      <c r="AR354" s="173">
        <f t="shared" si="136"/>
        <v>43416</v>
      </c>
      <c r="AS354" s="754">
        <f t="shared" si="137"/>
        <v>0.8571428571428571</v>
      </c>
      <c r="AT354" s="770">
        <f t="shared" si="138"/>
        <v>12.364261367065566</v>
      </c>
      <c r="AU354" s="13">
        <f t="shared" si="139"/>
        <v>13</v>
      </c>
      <c r="AV354" s="13">
        <f t="shared" si="140"/>
        <v>14</v>
      </c>
      <c r="AW354" s="173">
        <f t="shared" si="141"/>
        <v>43430</v>
      </c>
      <c r="AX354" s="754">
        <f t="shared" si="142"/>
        <v>0.35714285714285715</v>
      </c>
      <c r="AY354" s="770">
        <f t="shared" si="143"/>
        <v>12.737850951616252</v>
      </c>
      <c r="AZ354" s="747">
        <f t="shared" si="147"/>
        <v>12.551056159340909</v>
      </c>
      <c r="BA354" s="646">
        <f t="shared" si="144"/>
        <v>0.96075618119863249</v>
      </c>
      <c r="BB354" s="641">
        <v>43440</v>
      </c>
      <c r="BC354" s="11">
        <v>43440</v>
      </c>
      <c r="BD354" s="290">
        <f>[3]!FeuilCaduc*(1-Persistant)+Persistant</f>
        <v>0.81531406365785486</v>
      </c>
      <c r="BE354" s="291">
        <f>[3]!CroissVégét</f>
        <v>0.9996918683792223</v>
      </c>
      <c r="BF354" s="822">
        <f>1+[3]!Salcycl*Ksac</f>
        <v>1.0038285159144638</v>
      </c>
      <c r="BH354" s="1101">
        <f t="shared" si="145"/>
        <v>0.33964638005209369</v>
      </c>
      <c r="BI354" s="11">
        <v>44536</v>
      </c>
      <c r="BJ354" s="727">
        <v>5.2652433714960097E-2</v>
      </c>
      <c r="BK354" s="727">
        <v>0.11888050496205722</v>
      </c>
      <c r="BL354" s="727">
        <v>0.21702597569544624</v>
      </c>
      <c r="BM354" s="727">
        <v>0.33952901426021154</v>
      </c>
      <c r="BN354" s="727">
        <v>0.44388554355005216</v>
      </c>
      <c r="BO354" s="728">
        <v>0.52925624529428561</v>
      </c>
      <c r="BP354" s="727">
        <v>0.59837945851099561</v>
      </c>
      <c r="BQ354" s="727">
        <v>0.66560421346814502</v>
      </c>
      <c r="BR354" s="727">
        <v>0.72419685282229973</v>
      </c>
      <c r="BS354" s="727">
        <v>0.78092912969207839</v>
      </c>
      <c r="BT354" s="727">
        <v>0.83654406744968968</v>
      </c>
      <c r="BW354" s="1157">
        <f>'2018'!R\Max</f>
        <v>0.61396020234059523</v>
      </c>
      <c r="BX354" s="1155">
        <f>'2019'!R\Max</f>
        <v>0.41156145691588802</v>
      </c>
      <c r="BY354" s="1155">
        <f>'2020'!R\Max</f>
        <v>0.96075618119863249</v>
      </c>
      <c r="BZ354" s="1155">
        <f>'2021'!R\Max</f>
        <v>0.60632896926647983</v>
      </c>
      <c r="CA354" s="1155">
        <f>'2022'!R\Max</f>
        <v>0.66507573725160252</v>
      </c>
      <c r="CB354" s="1155">
        <f>'2023'!R\Max</f>
        <v>0.6628954217648978</v>
      </c>
      <c r="CC354" s="1155">
        <f>'2024'!R\Max</f>
        <v>0.65972581286146204</v>
      </c>
      <c r="CD354" s="1155">
        <f>'2025'!R\Max</f>
        <v>0.67600440046096566</v>
      </c>
      <c r="CE354" s="1155">
        <f>'2026'!R\Max</f>
        <v>0.67141739444925763</v>
      </c>
      <c r="CF354" s="1156">
        <f>'2027'!R\Max</f>
        <v>0.66756930651877489</v>
      </c>
    </row>
    <row r="355" spans="1:84" s="6" customFormat="1" ht="11.25" x14ac:dyDescent="0.2">
      <c r="A355" s="11">
        <v>43441</v>
      </c>
      <c r="B355" s="380">
        <f>'2022'!Maxi_hp</f>
        <v>11.718067390953806</v>
      </c>
      <c r="C355" s="13">
        <f>'2022'!An_max</f>
        <v>2018</v>
      </c>
      <c r="D355" s="1070"/>
      <c r="E355" s="13"/>
      <c r="F355" s="13">
        <f t="shared" si="146"/>
        <v>25</v>
      </c>
      <c r="G355" s="13">
        <f t="shared" si="130"/>
        <v>26</v>
      </c>
      <c r="H355" s="173">
        <f t="shared" si="131"/>
        <v>43430</v>
      </c>
      <c r="I355" s="754">
        <f t="shared" si="132"/>
        <v>0.7857142857142857</v>
      </c>
      <c r="J355" s="747">
        <f t="shared" si="133"/>
        <v>12.27465847241027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P355" s="13">
        <f t="shared" si="134"/>
        <v>13</v>
      </c>
      <c r="AQ355" s="13">
        <f t="shared" si="135"/>
        <v>14</v>
      </c>
      <c r="AR355" s="173">
        <f t="shared" si="136"/>
        <v>43416</v>
      </c>
      <c r="AS355" s="754">
        <f t="shared" si="137"/>
        <v>0.8928571428571429</v>
      </c>
      <c r="AT355" s="770">
        <f t="shared" si="138"/>
        <v>12.263625370551432</v>
      </c>
      <c r="AU355" s="13">
        <f t="shared" si="139"/>
        <v>13</v>
      </c>
      <c r="AV355" s="13">
        <f t="shared" si="140"/>
        <v>14</v>
      </c>
      <c r="AW355" s="173">
        <f t="shared" si="141"/>
        <v>43430</v>
      </c>
      <c r="AX355" s="754">
        <f t="shared" si="142"/>
        <v>0.39285714285714285</v>
      </c>
      <c r="AY355" s="770">
        <f t="shared" si="143"/>
        <v>12.65834871216544</v>
      </c>
      <c r="AZ355" s="747">
        <f t="shared" si="147"/>
        <v>12.460987041358436</v>
      </c>
      <c r="BA355" s="646">
        <f t="shared" si="144"/>
        <v>0.95465526941482626</v>
      </c>
      <c r="BB355" s="641">
        <v>43441</v>
      </c>
      <c r="BC355" s="11">
        <v>43441</v>
      </c>
      <c r="BD355" s="290">
        <f>[3]!FeuilCaduc*(1-Persistant)+Persistant</f>
        <v>0.81425607296546376</v>
      </c>
      <c r="BE355" s="291">
        <f>[3]!CroissVégét</f>
        <v>0.99971759412779237</v>
      </c>
      <c r="BF355" s="822">
        <f>1+[3]!Salcycl*Ksac</f>
        <v>1.0035640182413659</v>
      </c>
      <c r="BH355" s="1101">
        <f t="shared" si="145"/>
        <v>0.34129463266249999</v>
      </c>
      <c r="BI355" s="11">
        <v>44537</v>
      </c>
      <c r="BJ355" s="727">
        <v>5.3456305975289858E-2</v>
      </c>
      <c r="BK355" s="727">
        <v>0.11954936206807713</v>
      </c>
      <c r="BL355" s="727">
        <v>0.21859702804743317</v>
      </c>
      <c r="BM355" s="727">
        <v>0.3411787291313938</v>
      </c>
      <c r="BN355" s="727">
        <v>0.44423508008945578</v>
      </c>
      <c r="BO355" s="728">
        <v>0.52745693973154628</v>
      </c>
      <c r="BP355" s="727">
        <v>0.59546202848989982</v>
      </c>
      <c r="BQ355" s="727">
        <v>0.66189084400533549</v>
      </c>
      <c r="BR355" s="727">
        <v>0.71955335932818987</v>
      </c>
      <c r="BS355" s="727">
        <v>0.77533895578790923</v>
      </c>
      <c r="BT355" s="727">
        <v>0.83091751881015252</v>
      </c>
      <c r="BW355" s="1157">
        <f>'2018'!R\Max</f>
        <v>0.95465526941482626</v>
      </c>
      <c r="BX355" s="1155">
        <f>'2019'!R\Max</f>
        <v>0.60793955684710577</v>
      </c>
      <c r="BY355" s="1155">
        <f>'2020'!R\Max</f>
        <v>0.58136777893044711</v>
      </c>
      <c r="BZ355" s="1155">
        <f>'2021'!R\Max</f>
        <v>0.30217571394555209</v>
      </c>
      <c r="CA355" s="1155">
        <f>'2022'!R\Max</f>
        <v>0.78932379205821823</v>
      </c>
      <c r="CB355" s="1155">
        <f>'2023'!R\Max</f>
        <v>0.78771959336222652</v>
      </c>
      <c r="CC355" s="1155">
        <f>'2024'!R\Max</f>
        <v>0.78536550628614599</v>
      </c>
      <c r="CD355" s="1155">
        <f>'2025'!R\Max</f>
        <v>0.79733442145812905</v>
      </c>
      <c r="CE355" s="1155">
        <f>'2026'!R\Max</f>
        <v>0.79395902311284583</v>
      </c>
      <c r="CF355" s="1156">
        <f>'2027'!R\Max</f>
        <v>0.79114915968051991</v>
      </c>
    </row>
    <row r="356" spans="1:84" s="6" customFormat="1" ht="11.25" x14ac:dyDescent="0.2">
      <c r="A356" s="11">
        <v>43442</v>
      </c>
      <c r="B356" s="380">
        <f>'2022'!Maxi_hp</f>
        <v>10.360105711351219</v>
      </c>
      <c r="C356" s="13">
        <f>'2022'!An_max</f>
        <v>2018</v>
      </c>
      <c r="D356" s="1070"/>
      <c r="E356" s="13"/>
      <c r="F356" s="13">
        <f t="shared" si="146"/>
        <v>25</v>
      </c>
      <c r="G356" s="13">
        <f t="shared" si="130"/>
        <v>26</v>
      </c>
      <c r="H356" s="173">
        <f t="shared" si="131"/>
        <v>43430</v>
      </c>
      <c r="I356" s="754">
        <f t="shared" si="132"/>
        <v>0.8571428571428571</v>
      </c>
      <c r="J356" s="747">
        <f t="shared" si="133"/>
        <v>12.180986296598402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P356" s="13">
        <f t="shared" si="134"/>
        <v>13</v>
      </c>
      <c r="AQ356" s="13">
        <f t="shared" si="135"/>
        <v>14</v>
      </c>
      <c r="AR356" s="173">
        <f t="shared" si="136"/>
        <v>43416</v>
      </c>
      <c r="AS356" s="754">
        <f t="shared" si="137"/>
        <v>0.9285714285714286</v>
      </c>
      <c r="AT356" s="770">
        <f t="shared" si="138"/>
        <v>12.175974486821463</v>
      </c>
      <c r="AU356" s="13">
        <f t="shared" si="139"/>
        <v>13</v>
      </c>
      <c r="AV356" s="13">
        <f t="shared" si="140"/>
        <v>14</v>
      </c>
      <c r="AW356" s="173">
        <f t="shared" si="141"/>
        <v>43430</v>
      </c>
      <c r="AX356" s="754">
        <f t="shared" si="142"/>
        <v>0.42857142857142855</v>
      </c>
      <c r="AY356" s="770">
        <f t="shared" si="143"/>
        <v>12.587126278877259</v>
      </c>
      <c r="AZ356" s="747">
        <f t="shared" si="147"/>
        <v>12.381550382849362</v>
      </c>
      <c r="BA356" s="646">
        <f t="shared" si="144"/>
        <v>0.85051451985003279</v>
      </c>
      <c r="BB356" s="641">
        <v>43442</v>
      </c>
      <c r="BC356" s="11">
        <v>43442</v>
      </c>
      <c r="BD356" s="290">
        <f>[3]!FeuilCaduc*(1-Persistant)+Persistant</f>
        <v>0.81326113432799818</v>
      </c>
      <c r="BE356" s="291">
        <f>[3]!CroissVégét</f>
        <v>0.99974228532646048</v>
      </c>
      <c r="BF356" s="822">
        <f>1+[3]!Salcycl*Ksac</f>
        <v>1.0033152835819996</v>
      </c>
      <c r="BH356" s="1101">
        <f t="shared" si="145"/>
        <v>0.34263106791599768</v>
      </c>
      <c r="BI356" s="11">
        <v>44538</v>
      </c>
      <c r="BJ356" s="727">
        <v>5.4209961783784739E-2</v>
      </c>
      <c r="BK356" s="727">
        <v>0.12020364597143623</v>
      </c>
      <c r="BL356" s="727">
        <v>0.21999131032520078</v>
      </c>
      <c r="BM356" s="727">
        <v>0.34251658210423674</v>
      </c>
      <c r="BN356" s="727">
        <v>0.44431235902276561</v>
      </c>
      <c r="BO356" s="728">
        <v>0.52562372228337584</v>
      </c>
      <c r="BP356" s="727">
        <v>0.59257071231636849</v>
      </c>
      <c r="BQ356" s="727">
        <v>0.65834672933650928</v>
      </c>
      <c r="BR356" s="727">
        <v>0.71513967708432835</v>
      </c>
      <c r="BS356" s="727">
        <v>0.77009651757821651</v>
      </c>
      <c r="BT356" s="727">
        <v>0.82566196434494954</v>
      </c>
      <c r="BW356" s="1157">
        <f>'2018'!R\Max</f>
        <v>0.85051451985003279</v>
      </c>
      <c r="BX356" s="1155">
        <f>'2019'!R\Max</f>
        <v>0.84135007333003231</v>
      </c>
      <c r="BY356" s="1155">
        <f>'2020'!R\Max</f>
        <v>8.8229539075187505E-2</v>
      </c>
      <c r="BZ356" s="1155">
        <f>'2021'!R\Max</f>
        <v>0.56966887707235547</v>
      </c>
      <c r="CA356" s="1155">
        <f>'2022'!R\Max</f>
        <v>0.25304314796963451</v>
      </c>
      <c r="CB356" s="1155">
        <f>'2023'!R\Max</f>
        <v>0.2513342312166032</v>
      </c>
      <c r="CC356" s="1155">
        <f>'2024'!R\Max</f>
        <v>0.24884284224943534</v>
      </c>
      <c r="CD356" s="1155">
        <f>'2025'!R\Max</f>
        <v>0.26185515162223422</v>
      </c>
      <c r="CE356" s="1155">
        <f>'2026'!R\Max</f>
        <v>0.25806649725175002</v>
      </c>
      <c r="CF356" s="1156">
        <f>'2027'!R\Max</f>
        <v>0.25500365239855249</v>
      </c>
    </row>
    <row r="357" spans="1:84" s="6" customFormat="1" ht="11.25" x14ac:dyDescent="0.2">
      <c r="A357" s="11">
        <v>43443</v>
      </c>
      <c r="B357" s="380">
        <f>'2022'!Maxi_hp</f>
        <v>6.3586080107423522</v>
      </c>
      <c r="C357" s="13">
        <f>'2022'!An_max</f>
        <v>2019</v>
      </c>
      <c r="D357" s="1070"/>
      <c r="E357" s="13"/>
      <c r="F357" s="13">
        <f t="shared" si="146"/>
        <v>25</v>
      </c>
      <c r="G357" s="13">
        <f t="shared" si="130"/>
        <v>26</v>
      </c>
      <c r="H357" s="173">
        <f t="shared" si="131"/>
        <v>43430</v>
      </c>
      <c r="I357" s="754">
        <f t="shared" si="132"/>
        <v>0.9285714285714286</v>
      </c>
      <c r="J357" s="747">
        <f t="shared" si="133"/>
        <v>12.102941015628833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P357" s="13">
        <f t="shared" si="134"/>
        <v>13</v>
      </c>
      <c r="AQ357" s="13">
        <f t="shared" si="135"/>
        <v>14</v>
      </c>
      <c r="AR357" s="173">
        <f t="shared" si="136"/>
        <v>43416</v>
      </c>
      <c r="AS357" s="754">
        <f t="shared" si="137"/>
        <v>0.9642857142857143</v>
      </c>
      <c r="AT357" s="770">
        <f t="shared" si="138"/>
        <v>12.101826704000789</v>
      </c>
      <c r="AU357" s="13">
        <f t="shared" si="139"/>
        <v>13</v>
      </c>
      <c r="AV357" s="13">
        <f t="shared" si="140"/>
        <v>14</v>
      </c>
      <c r="AW357" s="173">
        <f t="shared" si="141"/>
        <v>43430</v>
      </c>
      <c r="AX357" s="754">
        <f t="shared" si="142"/>
        <v>0.4642857142857143</v>
      </c>
      <c r="AY357" s="770">
        <f t="shared" si="143"/>
        <v>12.524131671019962</v>
      </c>
      <c r="AZ357" s="747">
        <f t="shared" si="147"/>
        <v>12.312979187510376</v>
      </c>
      <c r="BA357" s="646">
        <f t="shared" si="144"/>
        <v>0.5253770965694472</v>
      </c>
      <c r="BB357" s="641">
        <v>43443</v>
      </c>
      <c r="BC357" s="11">
        <v>43443</v>
      </c>
      <c r="BD357" s="290">
        <f>[3]!FeuilCaduc*(1-Persistant)+Persistant</f>
        <v>0.81232725608220924</v>
      </c>
      <c r="BE357" s="291">
        <f>[3]!CroissVégét</f>
        <v>0.99976598353118062</v>
      </c>
      <c r="BF357" s="822">
        <f>1+[3]!Salcycl*Ksac</f>
        <v>1.0030818140205524</v>
      </c>
      <c r="BH357" s="1101">
        <f t="shared" si="145"/>
        <v>0.34365637886919886</v>
      </c>
      <c r="BI357" s="11">
        <v>44539</v>
      </c>
      <c r="BJ357" s="727">
        <v>5.4913511837201917E-2</v>
      </c>
      <c r="BK357" s="727">
        <v>0.12084360688672792</v>
      </c>
      <c r="BL357" s="727">
        <v>0.22120927026426596</v>
      </c>
      <c r="BM357" s="727">
        <v>0.3435432659970778</v>
      </c>
      <c r="BN357" s="727">
        <v>0.44411828503171336</v>
      </c>
      <c r="BO357" s="728">
        <v>0.52375767961305608</v>
      </c>
      <c r="BP357" s="727">
        <v>0.58970673791958494</v>
      </c>
      <c r="BQ357" s="727">
        <v>0.65497324291707582</v>
      </c>
      <c r="BR357" s="727">
        <v>0.71095730012328395</v>
      </c>
      <c r="BS357" s="727">
        <v>0.76520342998897528</v>
      </c>
      <c r="BT357" s="727">
        <v>0.82077913611861375</v>
      </c>
      <c r="BW357" s="1157">
        <f>'2018'!R\Max</f>
        <v>0.30105192236169309</v>
      </c>
      <c r="BX357" s="1155">
        <f>'2019'!R\Max</f>
        <v>0.5253770965694472</v>
      </c>
      <c r="BY357" s="1155">
        <f>'2020'!R\Max</f>
        <v>0.3594083183575561</v>
      </c>
      <c r="BZ357" s="1155">
        <f>'2021'!R\Max</f>
        <v>0.46197683522976324</v>
      </c>
      <c r="CA357" s="1155">
        <f>'2022'!R\Max</f>
        <v>0.36472604562027922</v>
      </c>
      <c r="CB357" s="1155">
        <f>'2023'!R\Max</f>
        <v>0.36256368885258361</v>
      </c>
      <c r="CC357" s="1155">
        <f>'2024'!R\Max</f>
        <v>0.35939259008610125</v>
      </c>
      <c r="CD357" s="1155">
        <f>'2025'!R\Max</f>
        <v>0.37585100871943738</v>
      </c>
      <c r="CE357" s="1155">
        <f>'2026'!R\Max</f>
        <v>0.37105530424600297</v>
      </c>
      <c r="CF357" s="1156">
        <f>'2027'!R\Max</f>
        <v>0.36719866142280061</v>
      </c>
    </row>
    <row r="358" spans="1:84" s="6" customFormat="1" ht="11.25" x14ac:dyDescent="0.2">
      <c r="A358" s="11">
        <v>43444</v>
      </c>
      <c r="B358" s="380">
        <f>'2022'!Maxi_hp</f>
        <v>11.203024909325297</v>
      </c>
      <c r="C358" s="13">
        <f>'2022'!An_max</f>
        <v>2019</v>
      </c>
      <c r="D358" s="1070"/>
      <c r="E358" s="1073">
        <f>AL$13/10</f>
        <v>12.041700000000001</v>
      </c>
      <c r="F358" s="13">
        <f t="shared" si="146"/>
        <v>27</v>
      </c>
      <c r="G358" s="13">
        <f t="shared" si="130"/>
        <v>26</v>
      </c>
      <c r="H358" s="173">
        <f t="shared" si="131"/>
        <v>43458</v>
      </c>
      <c r="I358" s="754">
        <f t="shared" si="132"/>
        <v>1</v>
      </c>
      <c r="J358" s="747">
        <f t="shared" si="133"/>
        <v>12.04169999808073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P358" s="13">
        <f t="shared" si="134"/>
        <v>15</v>
      </c>
      <c r="AQ358" s="13">
        <f t="shared" si="135"/>
        <v>14</v>
      </c>
      <c r="AR358" s="173">
        <f t="shared" si="136"/>
        <v>43473</v>
      </c>
      <c r="AS358" s="754">
        <f t="shared" si="137"/>
        <v>1</v>
      </c>
      <c r="AT358" s="770">
        <f t="shared" si="138"/>
        <v>12.041700001060963</v>
      </c>
      <c r="AU358" s="13">
        <f t="shared" si="139"/>
        <v>13</v>
      </c>
      <c r="AV358" s="13">
        <f t="shared" si="140"/>
        <v>14</v>
      </c>
      <c r="AW358" s="173">
        <f t="shared" si="141"/>
        <v>43430</v>
      </c>
      <c r="AX358" s="754">
        <f t="shared" si="142"/>
        <v>0.5</v>
      </c>
      <c r="AY358" s="770">
        <f t="shared" si="143"/>
        <v>12.469312896579504</v>
      </c>
      <c r="AZ358" s="747">
        <f t="shared" si="147"/>
        <v>12.255506448820235</v>
      </c>
      <c r="BA358" s="646">
        <f t="shared" si="144"/>
        <v>0.93035243454918271</v>
      </c>
      <c r="BB358" s="641">
        <v>43444</v>
      </c>
      <c r="BC358" s="11">
        <v>43444</v>
      </c>
      <c r="BD358" s="290">
        <f>[3]!FeuilCaduc*(1-Persistant)+Persistant</f>
        <v>0.81145232074151274</v>
      </c>
      <c r="BE358" s="291">
        <f>[3]!CroissVégét</f>
        <v>0.9997887286324697</v>
      </c>
      <c r="BF358" s="822">
        <f>1+[3]!Salcycl*Ksac</f>
        <v>1.0028630801853782</v>
      </c>
      <c r="BH358" s="1101">
        <f t="shared" si="145"/>
        <v>0.34437126446160937</v>
      </c>
      <c r="BI358" s="11">
        <v>44540</v>
      </c>
      <c r="BJ358" s="727">
        <v>5.5567072257370786E-2</v>
      </c>
      <c r="BK358" s="727">
        <v>0.12146950020469705</v>
      </c>
      <c r="BL358" s="727">
        <v>0.22225136422444219</v>
      </c>
      <c r="BM358" s="727">
        <v>0.34425947952222219</v>
      </c>
      <c r="BN358" s="727">
        <v>0.44365375884538838</v>
      </c>
      <c r="BO358" s="728">
        <v>0.52185988247529691</v>
      </c>
      <c r="BP358" s="727">
        <v>0.58687130950227018</v>
      </c>
      <c r="BQ358" s="727">
        <v>0.65177173140516909</v>
      </c>
      <c r="BR358" s="727">
        <v>0.70700768944101378</v>
      </c>
      <c r="BS358" s="727">
        <v>0.76066126996000905</v>
      </c>
      <c r="BT358" s="727">
        <v>0.81627072847481819</v>
      </c>
      <c r="BW358" s="1157">
        <f>'2018'!R\Max</f>
        <v>0.68345701914217194</v>
      </c>
      <c r="BX358" s="1155">
        <f>'2019'!R\Max</f>
        <v>0.93035243454918271</v>
      </c>
      <c r="BY358" s="1155">
        <f>'2020'!R\Max</f>
        <v>0.40014741287405647</v>
      </c>
      <c r="BZ358" s="1155">
        <f>'2021'!R\Max</f>
        <v>0.12793061327651403</v>
      </c>
      <c r="CA358" s="1155">
        <f>'2022'!R\Max</f>
        <v>0.6431579682783154</v>
      </c>
      <c r="CB358" s="1155">
        <f>'2023'!R\Max</f>
        <v>0.64103907385610559</v>
      </c>
      <c r="CC358" s="1155">
        <f>'2024'!R\Max</f>
        <v>0.63790343452539355</v>
      </c>
      <c r="CD358" s="1155">
        <f>'2025'!R\Max</f>
        <v>0.65390904873199074</v>
      </c>
      <c r="CE358" s="1155">
        <f>'2026'!R\Max</f>
        <v>0.649292832879936</v>
      </c>
      <c r="CF358" s="1156">
        <f>'2027'!R\Max</f>
        <v>0.64556494093000572</v>
      </c>
    </row>
    <row r="359" spans="1:84" s="6" customFormat="1" ht="11.25" x14ac:dyDescent="0.2">
      <c r="A359" s="11">
        <v>43445</v>
      </c>
      <c r="B359" s="380">
        <f>'2022'!Maxi_hp</f>
        <v>10.504365744752464</v>
      </c>
      <c r="C359" s="13">
        <f>'2022'!An_max</f>
        <v>2021</v>
      </c>
      <c r="D359" s="1070"/>
      <c r="E359" s="13"/>
      <c r="F359" s="13">
        <f t="shared" si="146"/>
        <v>27</v>
      </c>
      <c r="G359" s="13">
        <f t="shared" si="130"/>
        <v>26</v>
      </c>
      <c r="H359" s="173">
        <f t="shared" si="131"/>
        <v>43458</v>
      </c>
      <c r="I359" s="754">
        <f t="shared" si="132"/>
        <v>0.9285714285714286</v>
      </c>
      <c r="J359" s="747">
        <f t="shared" si="133"/>
        <v>11.998025767345514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P359" s="13">
        <f t="shared" si="134"/>
        <v>15</v>
      </c>
      <c r="AQ359" s="13">
        <f t="shared" si="135"/>
        <v>14</v>
      </c>
      <c r="AR359" s="173">
        <f t="shared" si="136"/>
        <v>43473</v>
      </c>
      <c r="AS359" s="754">
        <f t="shared" si="137"/>
        <v>0.96551724137931039</v>
      </c>
      <c r="AT359" s="770">
        <f t="shared" si="138"/>
        <v>11.9955754727639</v>
      </c>
      <c r="AU359" s="13">
        <f t="shared" si="139"/>
        <v>13</v>
      </c>
      <c r="AV359" s="13">
        <f t="shared" si="140"/>
        <v>14</v>
      </c>
      <c r="AW359" s="173">
        <f t="shared" si="141"/>
        <v>43430</v>
      </c>
      <c r="AX359" s="754">
        <f t="shared" si="142"/>
        <v>0.5357142857142857</v>
      </c>
      <c r="AY359" s="770">
        <f t="shared" si="143"/>
        <v>12.422617969182985</v>
      </c>
      <c r="AZ359" s="747">
        <f t="shared" si="147"/>
        <v>12.209096720973442</v>
      </c>
      <c r="BA359" s="646">
        <f t="shared" si="144"/>
        <v>0.87550785007827903</v>
      </c>
      <c r="BB359" s="641">
        <v>43445</v>
      </c>
      <c r="BC359" s="11">
        <v>43445</v>
      </c>
      <c r="BD359" s="290">
        <f>[3]!FeuilCaduc*(1-Persistant)+Persistant</f>
        <v>0.81063410122249158</v>
      </c>
      <c r="BE359" s="291">
        <f>[3]!CroissVégét</f>
        <v>0.99981055892185233</v>
      </c>
      <c r="BF359" s="822">
        <f>1+[3]!Salcycl*Ksac</f>
        <v>1.0026585253056228</v>
      </c>
      <c r="BH359" s="1101">
        <f t="shared" si="145"/>
        <v>0.34477642303351197</v>
      </c>
      <c r="BI359" s="11">
        <v>44541</v>
      </c>
      <c r="BJ359" s="727">
        <v>5.6170763546763335E-2</v>
      </c>
      <c r="BK359" s="727">
        <v>0.12208158618945987</v>
      </c>
      <c r="BL359" s="727">
        <v>0.22311805351468472</v>
      </c>
      <c r="BM359" s="727">
        <v>0.34466592080289815</v>
      </c>
      <c r="BN359" s="727">
        <v>0.44291967158256107</v>
      </c>
      <c r="BO359" s="728">
        <v>0.51993138501660452</v>
      </c>
      <c r="BP359" s="727">
        <v>0.58406560809058261</v>
      </c>
      <c r="BQ359" s="727">
        <v>0.64874351818879761</v>
      </c>
      <c r="BR359" s="727">
        <v>0.70329227778432291</v>
      </c>
      <c r="BS359" s="727">
        <v>0.75647158368549572</v>
      </c>
      <c r="BT359" s="727">
        <v>0.81213840576087415</v>
      </c>
      <c r="BW359" s="1157">
        <f>'2018'!R\Max</f>
        <v>0.72704097215959995</v>
      </c>
      <c r="BX359" s="1155">
        <f>'2019'!R\Max</f>
        <v>9.0112172092177867E-2</v>
      </c>
      <c r="BY359" s="1155">
        <f>'2020'!R\Max</f>
        <v>0.28594614812040747</v>
      </c>
      <c r="BZ359" s="1155">
        <f>'2021'!R\Max</f>
        <v>0.87550785007827903</v>
      </c>
      <c r="CA359" s="1155">
        <f>'2022'!R\Max</f>
        <v>0.75817487740830247</v>
      </c>
      <c r="CB359" s="1155">
        <f>'2023'!R\Max</f>
        <v>0.75650155727428736</v>
      </c>
      <c r="CC359" s="1155">
        <f>'2024'!R\Max</f>
        <v>0.75401588490383153</v>
      </c>
      <c r="CD359" s="1155">
        <f>'2025'!R\Max</f>
        <v>0.76662359459461804</v>
      </c>
      <c r="CE359" s="1155">
        <f>'2026'!R\Max</f>
        <v>0.76299885307971427</v>
      </c>
      <c r="CF359" s="1156">
        <f>'2027'!R\Max</f>
        <v>0.76007059748097439</v>
      </c>
    </row>
    <row r="360" spans="1:84" s="6" customFormat="1" ht="11.25" x14ac:dyDescent="0.2">
      <c r="A360" s="11">
        <v>43446</v>
      </c>
      <c r="B360" s="380">
        <f>'2022'!Maxi_hp</f>
        <v>10.718459481317785</v>
      </c>
      <c r="C360" s="13">
        <f>'2022'!An_max</f>
        <v>2021</v>
      </c>
      <c r="D360" s="1070"/>
      <c r="E360" s="13"/>
      <c r="F360" s="13">
        <f t="shared" si="146"/>
        <v>27</v>
      </c>
      <c r="G360" s="13">
        <f t="shared" si="130"/>
        <v>26</v>
      </c>
      <c r="H360" s="173">
        <f t="shared" si="131"/>
        <v>43458</v>
      </c>
      <c r="I360" s="754">
        <f t="shared" si="132"/>
        <v>0.8571428571428571</v>
      </c>
      <c r="J360" s="747">
        <f t="shared" si="133"/>
        <v>11.971117910317011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P360" s="13">
        <f t="shared" si="134"/>
        <v>15</v>
      </c>
      <c r="AQ360" s="13">
        <f t="shared" si="135"/>
        <v>14</v>
      </c>
      <c r="AR360" s="173">
        <f t="shared" si="136"/>
        <v>43473</v>
      </c>
      <c r="AS360" s="754">
        <f t="shared" si="137"/>
        <v>0.93103448275862066</v>
      </c>
      <c r="AT360" s="770">
        <f t="shared" si="138"/>
        <v>11.962807931160103</v>
      </c>
      <c r="AU360" s="13">
        <f t="shared" si="139"/>
        <v>13</v>
      </c>
      <c r="AV360" s="13">
        <f t="shared" si="140"/>
        <v>14</v>
      </c>
      <c r="AW360" s="173">
        <f t="shared" si="141"/>
        <v>43430</v>
      </c>
      <c r="AX360" s="754">
        <f t="shared" si="142"/>
        <v>0.5714285714285714</v>
      </c>
      <c r="AY360" s="770">
        <f t="shared" si="143"/>
        <v>12.383994905650615</v>
      </c>
      <c r="AZ360" s="747">
        <f t="shared" si="147"/>
        <v>12.173401418405358</v>
      </c>
      <c r="BA360" s="646">
        <f t="shared" si="144"/>
        <v>0.89535994563050347</v>
      </c>
      <c r="BB360" s="641">
        <v>43446</v>
      </c>
      <c r="BC360" s="11">
        <v>43446</v>
      </c>
      <c r="BD360" s="290">
        <f>[3]!FeuilCaduc*(1-Persistant)+Persistant</f>
        <v>0.80987027734864592</v>
      </c>
      <c r="BE360" s="291">
        <f>[3]!CroissVégét</f>
        <v>0.99983151115568181</v>
      </c>
      <c r="BF360" s="822">
        <f>1+[3]!Salcycl*Ksac</f>
        <v>1.0024675693371614</v>
      </c>
      <c r="BH360" s="1101">
        <f t="shared" si="145"/>
        <v>0.34487254584023813</v>
      </c>
      <c r="BI360" s="11">
        <v>44542</v>
      </c>
      <c r="BJ360" s="727">
        <v>5.6724709543492298E-2</v>
      </c>
      <c r="BK360" s="727">
        <v>0.12268012967445495</v>
      </c>
      <c r="BL360" s="727">
        <v>0.22380980071561549</v>
      </c>
      <c r="BM360" s="727">
        <v>0.34476328088660108</v>
      </c>
      <c r="BN360" s="727">
        <v>0.44191689908932202</v>
      </c>
      <c r="BO360" s="728">
        <v>0.51797322407010682</v>
      </c>
      <c r="BP360" s="727">
        <v>0.58129079207776324</v>
      </c>
      <c r="BQ360" s="727">
        <v>0.64588990690604686</v>
      </c>
      <c r="BR360" s="727">
        <v>0.69981247443078132</v>
      </c>
      <c r="BS360" s="727">
        <v>0.75263589384634966</v>
      </c>
      <c r="BT360" s="727">
        <v>0.80838381004351623</v>
      </c>
      <c r="BW360" s="1157">
        <f>'2018'!R\Max</f>
        <v>0.18050312889251505</v>
      </c>
      <c r="BX360" s="1155">
        <f>'2019'!R\Max</f>
        <v>0.3293859870944853</v>
      </c>
      <c r="BY360" s="1155">
        <f>'2020'!R\Max</f>
        <v>0.44961528701596598</v>
      </c>
      <c r="BZ360" s="1155">
        <f>'2021'!R\Max</f>
        <v>0.89535994563050347</v>
      </c>
      <c r="CA360" s="1155">
        <f>'2022'!R\Max</f>
        <v>0.29711025478181929</v>
      </c>
      <c r="CB360" s="1155">
        <f>'2023'!R\Max</f>
        <v>0.29523413456591252</v>
      </c>
      <c r="CC360" s="1155">
        <f>'2024'!R\Max</f>
        <v>0.29247668361241219</v>
      </c>
      <c r="CD360" s="1155">
        <f>'2025'!R\Max</f>
        <v>0.30683577142459623</v>
      </c>
      <c r="CE360" s="1155">
        <f>'2026'!R\Max</f>
        <v>0.30260914315281401</v>
      </c>
      <c r="CF360" s="1156">
        <f>'2027'!R\Max</f>
        <v>0.29925509715212462</v>
      </c>
    </row>
    <row r="361" spans="1:84" s="6" customFormat="1" ht="11.25" x14ac:dyDescent="0.2">
      <c r="A361" s="11">
        <v>43447</v>
      </c>
      <c r="B361" s="380">
        <f>'2022'!Maxi_hp</f>
        <v>11.207179441431046</v>
      </c>
      <c r="C361" s="13">
        <f>'2022'!An_max</f>
        <v>2021</v>
      </c>
      <c r="D361" s="1070"/>
      <c r="E361" s="13"/>
      <c r="F361" s="13">
        <f t="shared" si="146"/>
        <v>27</v>
      </c>
      <c r="G361" s="13">
        <f t="shared" si="130"/>
        <v>26</v>
      </c>
      <c r="H361" s="173">
        <f t="shared" si="131"/>
        <v>43458</v>
      </c>
      <c r="I361" s="754">
        <f t="shared" si="132"/>
        <v>0.7857142857142857</v>
      </c>
      <c r="J361" s="747">
        <f t="shared" si="133"/>
        <v>11.959809387422034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P361" s="13">
        <f t="shared" si="134"/>
        <v>15</v>
      </c>
      <c r="AQ361" s="13">
        <f t="shared" si="135"/>
        <v>14</v>
      </c>
      <c r="AR361" s="173">
        <f t="shared" si="136"/>
        <v>43473</v>
      </c>
      <c r="AS361" s="754">
        <f t="shared" si="137"/>
        <v>0.89655172413793105</v>
      </c>
      <c r="AT361" s="770">
        <f t="shared" si="138"/>
        <v>11.942975946284573</v>
      </c>
      <c r="AU361" s="13">
        <f t="shared" si="139"/>
        <v>13</v>
      </c>
      <c r="AV361" s="13">
        <f t="shared" si="140"/>
        <v>14</v>
      </c>
      <c r="AW361" s="173">
        <f t="shared" si="141"/>
        <v>43430</v>
      </c>
      <c r="AX361" s="754">
        <f t="shared" si="142"/>
        <v>0.6071428571428571</v>
      </c>
      <c r="AY361" s="770">
        <f t="shared" si="143"/>
        <v>12.353391714553748</v>
      </c>
      <c r="AZ361" s="747">
        <f t="shared" si="147"/>
        <v>12.148183830419161</v>
      </c>
      <c r="BA361" s="646">
        <f t="shared" si="144"/>
        <v>0.93707007180377655</v>
      </c>
      <c r="BB361" s="641">
        <v>43447</v>
      </c>
      <c r="BC361" s="11">
        <v>43447</v>
      </c>
      <c r="BD361" s="290">
        <f>[3]!FeuilCaduc*(1-Persistant)+Persistant</f>
        <v>0.80915845250192853</v>
      </c>
      <c r="BE361" s="291">
        <f>[3]!CroissVégét</f>
        <v>0.99985162061643362</v>
      </c>
      <c r="BF361" s="822">
        <f>1+[3]!Salcycl*Ksac</f>
        <v>1.0022896131254821</v>
      </c>
      <c r="BH361" s="1101">
        <f t="shared" si="145"/>
        <v>0.34486854040945725</v>
      </c>
      <c r="BI361" s="11">
        <v>44543</v>
      </c>
      <c r="BJ361" s="727">
        <v>5.721367681631092E-2</v>
      </c>
      <c r="BK361" s="727">
        <v>0.12324679111034276</v>
      </c>
      <c r="BL361" s="727">
        <v>0.22440101900654388</v>
      </c>
      <c r="BM361" s="727">
        <v>0.34476039814001225</v>
      </c>
      <c r="BN361" s="727">
        <v>0.44091577465837467</v>
      </c>
      <c r="BO361" s="728">
        <v>0.51620765481506126</v>
      </c>
      <c r="BP361" s="727">
        <v>0.57878049292224487</v>
      </c>
      <c r="BQ361" s="727">
        <v>0.64332496350349477</v>
      </c>
      <c r="BR361" s="727">
        <v>0.69664616703526772</v>
      </c>
      <c r="BS361" s="727">
        <v>0.74917190916385934</v>
      </c>
      <c r="BT361" s="727">
        <v>0.80500069668513241</v>
      </c>
      <c r="BW361" s="1157">
        <f>'2018'!R\Max</f>
        <v>8.4578596478428109E-2</v>
      </c>
      <c r="BX361" s="1155">
        <f>'2019'!R\Max</f>
        <v>8.9773903628731722E-2</v>
      </c>
      <c r="BY361" s="1155">
        <f>'2020'!R\Max</f>
        <v>0.53971352874289535</v>
      </c>
      <c r="BZ361" s="1155">
        <f>'2021'!R\Max</f>
        <v>0.93707007180377655</v>
      </c>
      <c r="CA361" s="1155">
        <f>'2022'!R\Max</f>
        <v>0.29507963741223753</v>
      </c>
      <c r="CB361" s="1155">
        <f>'2023'!R\Max</f>
        <v>0.2932311261067394</v>
      </c>
      <c r="CC361" s="1155">
        <f>'2024'!R\Max</f>
        <v>0.29051767598811845</v>
      </c>
      <c r="CD361" s="1155">
        <f>'2025'!R\Max</f>
        <v>0.30466710409858622</v>
      </c>
      <c r="CE361" s="1155">
        <f>'2026'!R\Max</f>
        <v>0.30050071770405284</v>
      </c>
      <c r="CF361" s="1156">
        <f>'2027'!R\Max</f>
        <v>0.2971940628919747</v>
      </c>
    </row>
    <row r="362" spans="1:84" s="6" customFormat="1" ht="11.25" x14ac:dyDescent="0.2">
      <c r="A362" s="11">
        <v>43448</v>
      </c>
      <c r="B362" s="380">
        <f>'2022'!Maxi_hp</f>
        <v>10.863458902037726</v>
      </c>
      <c r="C362" s="13">
        <f>'2022'!An_max</f>
        <v>2021</v>
      </c>
      <c r="D362" s="1070"/>
      <c r="E362" s="13"/>
      <c r="F362" s="13">
        <f t="shared" si="146"/>
        <v>27</v>
      </c>
      <c r="G362" s="13">
        <f t="shared" si="130"/>
        <v>26</v>
      </c>
      <c r="H362" s="173">
        <f t="shared" si="131"/>
        <v>43458</v>
      </c>
      <c r="I362" s="754">
        <f t="shared" si="132"/>
        <v>0.7142857142857143</v>
      </c>
      <c r="J362" s="747">
        <f t="shared" si="133"/>
        <v>11.962933166325092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P362" s="13">
        <f t="shared" si="134"/>
        <v>15</v>
      </c>
      <c r="AQ362" s="13">
        <f t="shared" si="135"/>
        <v>14</v>
      </c>
      <c r="AR362" s="173">
        <f t="shared" si="136"/>
        <v>43473</v>
      </c>
      <c r="AS362" s="754">
        <f t="shared" si="137"/>
        <v>0.86206896551724133</v>
      </c>
      <c r="AT362" s="770">
        <f t="shared" si="138"/>
        <v>11.935658076765209</v>
      </c>
      <c r="AU362" s="13">
        <f t="shared" si="139"/>
        <v>13</v>
      </c>
      <c r="AV362" s="13">
        <f t="shared" si="140"/>
        <v>14</v>
      </c>
      <c r="AW362" s="173">
        <f t="shared" si="141"/>
        <v>43430</v>
      </c>
      <c r="AX362" s="754">
        <f t="shared" si="142"/>
        <v>0.6428571428571429</v>
      </c>
      <c r="AY362" s="770">
        <f t="shared" si="143"/>
        <v>12.330756408508336</v>
      </c>
      <c r="AZ362" s="747">
        <f t="shared" si="147"/>
        <v>12.133207242636772</v>
      </c>
      <c r="BA362" s="646">
        <f t="shared" si="144"/>
        <v>0.90809325363596305</v>
      </c>
      <c r="BB362" s="641">
        <v>43448</v>
      </c>
      <c r="BC362" s="11">
        <v>43448</v>
      </c>
      <c r="BD362" s="290">
        <f>[3]!FeuilCaduc*(1-Persistant)+Persistant</f>
        <v>0.80849617029323162</v>
      </c>
      <c r="BE362" s="291">
        <f>[3]!CroissVégét</f>
        <v>0.99987092117157228</v>
      </c>
      <c r="BF362" s="822">
        <f>1+[3]!Salcycl*Ksac</f>
        <v>1.0021240425733078</v>
      </c>
      <c r="BH362" s="1101">
        <f t="shared" si="145"/>
        <v>0.34476510586343456</v>
      </c>
      <c r="BI362" s="11">
        <v>44544</v>
      </c>
      <c r="BJ362" s="727">
        <v>5.7637789679984626E-2</v>
      </c>
      <c r="BK362" s="727">
        <v>0.12378183985094433</v>
      </c>
      <c r="BL362" s="727">
        <v>0.22489217721697249</v>
      </c>
      <c r="BM362" s="727">
        <v>0.34465797147947558</v>
      </c>
      <c r="BN362" s="727">
        <v>0.43991718030238292</v>
      </c>
      <c r="BO362" s="728">
        <v>0.51463572143024894</v>
      </c>
      <c r="BP362" s="727">
        <v>0.5765358717144774</v>
      </c>
      <c r="BQ362" s="727">
        <v>0.6410499851596434</v>
      </c>
      <c r="BR362" s="727">
        <v>0.6937947475280003</v>
      </c>
      <c r="BS362" s="727">
        <v>0.74608113022802691</v>
      </c>
      <c r="BT362" s="727">
        <v>0.80199068478108615</v>
      </c>
      <c r="BW362" s="1157">
        <f>'2018'!R\Max</f>
        <v>0.12366284739578946</v>
      </c>
      <c r="BX362" s="1155">
        <f>'2019'!R\Max</f>
        <v>0.85719075738437922</v>
      </c>
      <c r="BY362" s="1155">
        <f>'2020'!R\Max</f>
        <v>0.54901138463484189</v>
      </c>
      <c r="BZ362" s="1155">
        <f>'2021'!R\Max</f>
        <v>0.90809325363596305</v>
      </c>
      <c r="CA362" s="1155">
        <f>'2022'!R\Max</f>
        <v>0.71388396433309453</v>
      </c>
      <c r="CB362" s="1155">
        <f>'2023'!R\Max</f>
        <v>0.71208009678366424</v>
      </c>
      <c r="CC362" s="1155">
        <f>'2024'!R\Max</f>
        <v>0.70941386451037713</v>
      </c>
      <c r="CD362" s="1155">
        <f>'2025'!R\Max</f>
        <v>0.72303198128942014</v>
      </c>
      <c r="CE362" s="1155">
        <f>'2026'!R\Max</f>
        <v>0.71910274852454581</v>
      </c>
      <c r="CF362" s="1156">
        <f>'2027'!R\Max</f>
        <v>0.71593297395346711</v>
      </c>
    </row>
    <row r="363" spans="1:84" s="6" customFormat="1" ht="11.25" x14ac:dyDescent="0.2">
      <c r="A363" s="11">
        <v>43449</v>
      </c>
      <c r="B363" s="380">
        <f>'2022'!Maxi_hp</f>
        <v>11.20513204000641</v>
      </c>
      <c r="C363" s="13">
        <f>'2022'!An_max</f>
        <v>2021</v>
      </c>
      <c r="D363" s="1070"/>
      <c r="E363" s="13"/>
      <c r="F363" s="13">
        <f t="shared" si="146"/>
        <v>27</v>
      </c>
      <c r="G363" s="13">
        <f t="shared" si="130"/>
        <v>26</v>
      </c>
      <c r="H363" s="173">
        <f t="shared" si="131"/>
        <v>43458</v>
      </c>
      <c r="I363" s="754">
        <f t="shared" si="132"/>
        <v>0.6428571428571429</v>
      </c>
      <c r="J363" s="747">
        <f t="shared" si="133"/>
        <v>11.979322212508746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P363" s="13">
        <f t="shared" si="134"/>
        <v>15</v>
      </c>
      <c r="AQ363" s="13">
        <f t="shared" si="135"/>
        <v>14</v>
      </c>
      <c r="AR363" s="173">
        <f t="shared" si="136"/>
        <v>43473</v>
      </c>
      <c r="AS363" s="754">
        <f t="shared" si="137"/>
        <v>0.82758620689655171</v>
      </c>
      <c r="AT363" s="770">
        <f t="shared" si="138"/>
        <v>11.940432889399856</v>
      </c>
      <c r="AU363" s="13">
        <f t="shared" si="139"/>
        <v>13</v>
      </c>
      <c r="AV363" s="13">
        <f t="shared" si="140"/>
        <v>14</v>
      </c>
      <c r="AW363" s="173">
        <f t="shared" si="141"/>
        <v>43430</v>
      </c>
      <c r="AX363" s="754">
        <f t="shared" si="142"/>
        <v>0.6785714285714286</v>
      </c>
      <c r="AY363" s="770">
        <f t="shared" si="143"/>
        <v>12.316037004760334</v>
      </c>
      <c r="AZ363" s="747">
        <f t="shared" si="147"/>
        <v>12.128234947080095</v>
      </c>
      <c r="BA363" s="646">
        <f t="shared" si="144"/>
        <v>0.93537278998189632</v>
      </c>
      <c r="BB363" s="641">
        <v>43449</v>
      </c>
      <c r="BC363" s="11">
        <v>43449</v>
      </c>
      <c r="BD363" s="290">
        <f>[3]!FeuilCaduc*(1-Persistant)+Persistant</f>
        <v>0.80788093112473136</v>
      </c>
      <c r="BE363" s="291">
        <f>[3]!CroissVégét</f>
        <v>0.99988944533008528</v>
      </c>
      <c r="BF363" s="822">
        <f>1+[3]!Salcycl*Ksac</f>
        <v>1.0019702327811828</v>
      </c>
      <c r="BH363" s="1101">
        <f t="shared" si="145"/>
        <v>0.34456293295267942</v>
      </c>
      <c r="BI363" s="11">
        <v>44545</v>
      </c>
      <c r="BJ363" s="727">
        <v>5.7997171311012646E-2</v>
      </c>
      <c r="BK363" s="727">
        <v>0.1242855472860626</v>
      </c>
      <c r="BL363" s="727">
        <v>0.22528374087059067</v>
      </c>
      <c r="BM363" s="727">
        <v>0.34445669144999885</v>
      </c>
      <c r="BN363" s="727">
        <v>0.43892198928921666</v>
      </c>
      <c r="BO363" s="728">
        <v>0.5132584679735821</v>
      </c>
      <c r="BP363" s="727">
        <v>0.57455808883422443</v>
      </c>
      <c r="BQ363" s="727">
        <v>0.63906626971287983</v>
      </c>
      <c r="BR363" s="727">
        <v>0.69125960539492137</v>
      </c>
      <c r="BS363" s="727">
        <v>0.74336505723919255</v>
      </c>
      <c r="BT363" s="727">
        <v>0.79935539362085795</v>
      </c>
      <c r="BW363" s="1157">
        <f>'2018'!R\Max</f>
        <v>0.31545296113010823</v>
      </c>
      <c r="BX363" s="1155">
        <f>'2019'!R\Max</f>
        <v>0.93375462905579754</v>
      </c>
      <c r="BY363" s="1155">
        <f>'2020'!R\Max</f>
        <v>0.12835094436921984</v>
      </c>
      <c r="BZ363" s="1155">
        <f>'2021'!R\Max</f>
        <v>0.93537278998189632</v>
      </c>
      <c r="CA363" s="1155">
        <f>'2022'!R\Max</f>
        <v>0.34677273872022618</v>
      </c>
      <c r="CB363" s="1155">
        <f>'2023'!R\Max</f>
        <v>0.34479628753700925</v>
      </c>
      <c r="CC363" s="1155">
        <f>'2024'!R\Max</f>
        <v>0.34190773061154356</v>
      </c>
      <c r="CD363" s="1155">
        <f>'2025'!R\Max</f>
        <v>0.35699568027600931</v>
      </c>
      <c r="CE363" s="1155">
        <f>'2026'!R\Max</f>
        <v>0.35257091938541074</v>
      </c>
      <c r="CF363" s="1156">
        <f>'2027'!R\Max</f>
        <v>0.34903645430804742</v>
      </c>
    </row>
    <row r="364" spans="1:84" s="6" customFormat="1" ht="11.25" x14ac:dyDescent="0.2">
      <c r="A364" s="11">
        <v>43450</v>
      </c>
      <c r="B364" s="380">
        <f>'2022'!Maxi_hp</f>
        <v>11.238528761899044</v>
      </c>
      <c r="C364" s="13">
        <f>'2022'!An_max</f>
        <v>2021</v>
      </c>
      <c r="D364" s="1070"/>
      <c r="E364" s="13"/>
      <c r="F364" s="13">
        <f t="shared" si="146"/>
        <v>27</v>
      </c>
      <c r="G364" s="13">
        <f t="shared" si="130"/>
        <v>26</v>
      </c>
      <c r="H364" s="173">
        <f t="shared" si="131"/>
        <v>43458</v>
      </c>
      <c r="I364" s="754">
        <f t="shared" si="132"/>
        <v>0.5714285714285714</v>
      </c>
      <c r="J364" s="747">
        <f t="shared" si="133"/>
        <v>12.007809492945672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P364" s="13">
        <f t="shared" si="134"/>
        <v>15</v>
      </c>
      <c r="AQ364" s="13">
        <f t="shared" si="135"/>
        <v>14</v>
      </c>
      <c r="AR364" s="173">
        <f t="shared" si="136"/>
        <v>43473</v>
      </c>
      <c r="AS364" s="754">
        <f t="shared" si="137"/>
        <v>0.7931034482758621</v>
      </c>
      <c r="AT364" s="770">
        <f t="shared" si="138"/>
        <v>11.956878948725503</v>
      </c>
      <c r="AU364" s="13">
        <f t="shared" si="139"/>
        <v>13</v>
      </c>
      <c r="AV364" s="13">
        <f t="shared" si="140"/>
        <v>14</v>
      </c>
      <c r="AW364" s="173">
        <f t="shared" si="141"/>
        <v>43430</v>
      </c>
      <c r="AX364" s="754">
        <f t="shared" si="142"/>
        <v>0.7142857142857143</v>
      </c>
      <c r="AY364" s="770">
        <f t="shared" si="143"/>
        <v>12.309181513317995</v>
      </c>
      <c r="AZ364" s="747">
        <f t="shared" si="147"/>
        <v>12.133030231021749</v>
      </c>
      <c r="BA364" s="646">
        <f t="shared" si="144"/>
        <v>0.93593496536578435</v>
      </c>
      <c r="BB364" s="641">
        <v>43450</v>
      </c>
      <c r="BC364" s="11">
        <v>43450</v>
      </c>
      <c r="BD364" s="290">
        <f>[3]!FeuilCaduc*(1-Persistant)+Persistant</f>
        <v>0.80731020851983559</v>
      </c>
      <c r="BE364" s="291">
        <f>[3]!CroissVégét</f>
        <v>0.9999072242967757</v>
      </c>
      <c r="BF364" s="822">
        <f>1+[3]!Salcycl*Ksac</f>
        <v>1.0018275521299589</v>
      </c>
      <c r="BH364" s="1101">
        <f t="shared" si="145"/>
        <v>0.34426270189709501</v>
      </c>
      <c r="BI364" s="11">
        <v>44546</v>
      </c>
      <c r="BJ364" s="727">
        <v>5.829194238307301E-2</v>
      </c>
      <c r="BK364" s="727">
        <v>0.12475818615003474</v>
      </c>
      <c r="BL364" s="727">
        <v>0.22557617004401148</v>
      </c>
      <c r="BM364" s="727">
        <v>0.34415723806404386</v>
      </c>
      <c r="BN364" s="727">
        <v>0.43793106607921739</v>
      </c>
      <c r="BO364" s="728">
        <v>0.51207694227341483</v>
      </c>
      <c r="BP364" s="727">
        <v>0.57284830932445685</v>
      </c>
      <c r="BQ364" s="727">
        <v>0.63737512152307929</v>
      </c>
      <c r="BR364" s="727">
        <v>0.68904213404459558</v>
      </c>
      <c r="BS364" s="727">
        <v>0.74102519757381569</v>
      </c>
      <c r="BT364" s="727">
        <v>0.79709645023653186</v>
      </c>
      <c r="BW364" s="1157">
        <f>'2018'!R\Max</f>
        <v>0.1725709677332449</v>
      </c>
      <c r="BX364" s="1155">
        <f>'2019'!R\Max</f>
        <v>0.73347538875971141</v>
      </c>
      <c r="BY364" s="1155">
        <f>'2020'!R\Max</f>
        <v>0.11515411575994573</v>
      </c>
      <c r="BZ364" s="1155">
        <f>'2021'!R\Max</f>
        <v>0.93593496536578435</v>
      </c>
      <c r="CA364" s="1155">
        <f>'2022'!R\Max</f>
        <v>0.2880326072695783</v>
      </c>
      <c r="CB364" s="1155">
        <f>'2023'!R\Max</f>
        <v>0.28625788712774819</v>
      </c>
      <c r="CC364" s="1155">
        <f>'2024'!R\Max</f>
        <v>0.28367855831318789</v>
      </c>
      <c r="CD364" s="1155">
        <f>'2025'!R\Max</f>
        <v>0.29723765077260084</v>
      </c>
      <c r="CE364" s="1155">
        <f>'2026'!R\Max</f>
        <v>0.29325784168092128</v>
      </c>
      <c r="CF364" s="1156">
        <f>'2027'!R\Max</f>
        <v>0.29007110748947484</v>
      </c>
    </row>
    <row r="365" spans="1:84" s="6" customFormat="1" ht="11.25" x14ac:dyDescent="0.2">
      <c r="A365" s="11">
        <v>43451</v>
      </c>
      <c r="B365" s="380">
        <f>'2022'!Maxi_hp</f>
        <v>12.021783785395716</v>
      </c>
      <c r="C365" s="13">
        <f>'2022'!An_max</f>
        <v>2018</v>
      </c>
      <c r="D365" s="1070"/>
      <c r="E365" s="13"/>
      <c r="F365" s="13">
        <f t="shared" si="146"/>
        <v>27</v>
      </c>
      <c r="G365" s="13">
        <f t="shared" si="130"/>
        <v>26</v>
      </c>
      <c r="H365" s="173">
        <f t="shared" si="131"/>
        <v>43458</v>
      </c>
      <c r="I365" s="754">
        <f t="shared" si="132"/>
        <v>0.5</v>
      </c>
      <c r="J365" s="747">
        <f t="shared" si="133"/>
        <v>12.047227973118424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P365" s="13">
        <f t="shared" si="134"/>
        <v>15</v>
      </c>
      <c r="AQ365" s="13">
        <f t="shared" si="135"/>
        <v>14</v>
      </c>
      <c r="AR365" s="173">
        <f t="shared" si="136"/>
        <v>43473</v>
      </c>
      <c r="AS365" s="754">
        <f t="shared" si="137"/>
        <v>0.75862068965517238</v>
      </c>
      <c r="AT365" s="770">
        <f t="shared" si="138"/>
        <v>11.984574816607196</v>
      </c>
      <c r="AU365" s="13">
        <f t="shared" si="139"/>
        <v>13</v>
      </c>
      <c r="AV365" s="13">
        <f t="shared" si="140"/>
        <v>14</v>
      </c>
      <c r="AW365" s="173">
        <f t="shared" si="141"/>
        <v>43430</v>
      </c>
      <c r="AX365" s="754">
        <f t="shared" si="142"/>
        <v>0.75</v>
      </c>
      <c r="AY365" s="770">
        <f t="shared" si="143"/>
        <v>12.310137946158648</v>
      </c>
      <c r="AZ365" s="747">
        <f t="shared" si="147"/>
        <v>12.147356381382922</v>
      </c>
      <c r="BA365" s="646">
        <f t="shared" si="144"/>
        <v>0.99788796329085139</v>
      </c>
      <c r="BB365" s="641">
        <v>43451</v>
      </c>
      <c r="BC365" s="11">
        <v>43451</v>
      </c>
      <c r="BD365" s="290">
        <f>[3]!FeuilCaduc*(1-Persistant)+Persistant</f>
        <v>0.80678146510036286</v>
      </c>
      <c r="BE365" s="291">
        <f>[3]!CroissVégét</f>
        <v>0.99992428802440059</v>
      </c>
      <c r="BF365" s="822">
        <f>1+[3]!Salcycl*Ksac</f>
        <v>1.0016953662750907</v>
      </c>
      <c r="BH365" s="1101">
        <f t="shared" si="145"/>
        <v>0.34386508023519413</v>
      </c>
      <c r="BI365" s="11">
        <v>44547</v>
      </c>
      <c r="BJ365" s="727">
        <v>5.8522219703823035E-2</v>
      </c>
      <c r="BK365" s="727">
        <v>0.12520002983319217</v>
      </c>
      <c r="BL365" s="727">
        <v>0.22576991723077933</v>
      </c>
      <c r="BM365" s="727">
        <v>0.34376027864837932</v>
      </c>
      <c r="BN365" s="727">
        <v>0.43694526627274444</v>
      </c>
      <c r="BO365" s="728">
        <v>0.51109219983188392</v>
      </c>
      <c r="BP365" s="727">
        <v>0.57140770827871645</v>
      </c>
      <c r="BQ365" s="727">
        <v>0.63597785734818979</v>
      </c>
      <c r="BR365" s="727">
        <v>0.68714373719131339</v>
      </c>
      <c r="BS365" s="727">
        <v>0.73906307336767973</v>
      </c>
      <c r="BT365" s="727">
        <v>0.7952154969700248</v>
      </c>
      <c r="BW365" s="1157">
        <f>'2018'!R\Max</f>
        <v>0.99788796329085139</v>
      </c>
      <c r="BX365" s="1155">
        <f>'2019'!R\Max</f>
        <v>0.53635312940346402</v>
      </c>
      <c r="BY365" s="1155">
        <f>'2020'!R\Max</f>
        <v>0.87926571830159506</v>
      </c>
      <c r="BZ365" s="1155">
        <f>'2021'!R\Max</f>
        <v>0.98508545396790614</v>
      </c>
      <c r="CA365" s="1155">
        <f>'2022'!R\Max</f>
        <v>0.16779912810250613</v>
      </c>
      <c r="CB365" s="1155">
        <f>'2023'!R\Max</f>
        <v>0.16677046193648987</v>
      </c>
      <c r="CC365" s="1155">
        <f>'2024'!R\Max</f>
        <v>0.16528343140262144</v>
      </c>
      <c r="CD365" s="1155">
        <f>'2025'!R\Max</f>
        <v>0.17313128330543964</v>
      </c>
      <c r="CE365" s="1155">
        <f>'2026'!R\Max</f>
        <v>0.1708338126627289</v>
      </c>
      <c r="CF365" s="1156">
        <f>'2027'!R\Max</f>
        <v>0.16898328640817614</v>
      </c>
    </row>
    <row r="366" spans="1:84" s="6" customFormat="1" ht="11.25" x14ac:dyDescent="0.2">
      <c r="A366" s="11">
        <v>43452</v>
      </c>
      <c r="B366" s="380">
        <f>'2022'!Maxi_hp</f>
        <v>11.681754622743613</v>
      </c>
      <c r="C366" s="13">
        <f>'2022'!An_max</f>
        <v>2021</v>
      </c>
      <c r="D366" s="1070"/>
      <c r="E366" s="13"/>
      <c r="F366" s="13">
        <f t="shared" si="146"/>
        <v>27</v>
      </c>
      <c r="G366" s="13">
        <f t="shared" si="130"/>
        <v>26</v>
      </c>
      <c r="H366" s="173">
        <f t="shared" si="131"/>
        <v>43458</v>
      </c>
      <c r="I366" s="754">
        <f t="shared" si="132"/>
        <v>0.42857142857142855</v>
      </c>
      <c r="J366" s="747">
        <f t="shared" si="133"/>
        <v>12.096410617232323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P366" s="13">
        <f t="shared" si="134"/>
        <v>15</v>
      </c>
      <c r="AQ366" s="13">
        <f t="shared" si="135"/>
        <v>14</v>
      </c>
      <c r="AR366" s="173">
        <f t="shared" si="136"/>
        <v>43473</v>
      </c>
      <c r="AS366" s="754">
        <f t="shared" si="137"/>
        <v>0.72413793103448276</v>
      </c>
      <c r="AT366" s="770">
        <f t="shared" si="138"/>
        <v>12.023099061281517</v>
      </c>
      <c r="AU366" s="13">
        <f t="shared" si="139"/>
        <v>13</v>
      </c>
      <c r="AV366" s="13">
        <f t="shared" si="140"/>
        <v>14</v>
      </c>
      <c r="AW366" s="173">
        <f t="shared" si="141"/>
        <v>43430</v>
      </c>
      <c r="AX366" s="754">
        <f t="shared" si="142"/>
        <v>0.7857142857142857</v>
      </c>
      <c r="AY366" s="770">
        <f t="shared" si="143"/>
        <v>12.318854320794344</v>
      </c>
      <c r="AZ366" s="747">
        <f t="shared" si="147"/>
        <v>12.17097669103793</v>
      </c>
      <c r="BA366" s="646">
        <f t="shared" si="144"/>
        <v>0.96572074083712089</v>
      </c>
      <c r="BB366" s="641">
        <v>43452</v>
      </c>
      <c r="BC366" s="11">
        <v>43452</v>
      </c>
      <c r="BD366" s="290">
        <f>[3]!FeuilCaduc*(1-Persistant)+Persistant</f>
        <v>0.80629216809548476</v>
      </c>
      <c r="BE366" s="291">
        <f>[3]!CroissVégét</f>
        <v>0.99994066526373915</v>
      </c>
      <c r="BF366" s="822">
        <f>1+[3]!Salcycl*Ksac</f>
        <v>1.0015730420238711</v>
      </c>
      <c r="BH366" s="1101">
        <f t="shared" si="145"/>
        <v>0.34343088366451974</v>
      </c>
      <c r="BI366" s="11">
        <v>44548</v>
      </c>
      <c r="BJ366" s="727">
        <v>5.8670572854950032E-2</v>
      </c>
      <c r="BK366" s="727">
        <v>0.12556755499986039</v>
      </c>
      <c r="BL366" s="727">
        <v>0.22585824977071617</v>
      </c>
      <c r="BM366" s="727">
        <v>0.3433265663530729</v>
      </c>
      <c r="BN366" s="727">
        <v>0.43608095749942932</v>
      </c>
      <c r="BO366" s="728">
        <v>0.51040051978700085</v>
      </c>
      <c r="BP366" s="727">
        <v>0.57037619970864539</v>
      </c>
      <c r="BQ366" s="727">
        <v>0.63500794223238</v>
      </c>
      <c r="BR366" s="727">
        <v>0.68575161705310406</v>
      </c>
      <c r="BS366" s="727">
        <v>0.73766735035165787</v>
      </c>
      <c r="BT366" s="727">
        <v>0.79389311431409082</v>
      </c>
      <c r="BW366" s="1157">
        <f>'2018'!R\Max</f>
        <v>0.68343485632024603</v>
      </c>
      <c r="BX366" s="1155">
        <f>'2019'!R\Max</f>
        <v>0.77186719005197058</v>
      </c>
      <c r="BY366" s="1155">
        <f>'2020'!R\Max</f>
        <v>0.42223230919938964</v>
      </c>
      <c r="BZ366" s="1155">
        <f>'2021'!R\Max</f>
        <v>0.96572074083712089</v>
      </c>
      <c r="CA366" s="1155">
        <f>'2022'!R\Max</f>
        <v>0.92713228632706401</v>
      </c>
      <c r="CB366" s="1155">
        <f>'2023'!R\Max</f>
        <v>0.92655092832102792</v>
      </c>
      <c r="CC366" s="1155">
        <f>'2024'!R\Max</f>
        <v>0.92570396574206792</v>
      </c>
      <c r="CD366" s="1155">
        <f>'2025'!R\Max</f>
        <v>0.93004419069590416</v>
      </c>
      <c r="CE366" s="1155">
        <f>'2026'!R\Max</f>
        <v>0.92881422967090044</v>
      </c>
      <c r="CF366" s="1156">
        <f>'2027'!R\Max</f>
        <v>0.92779519540578159</v>
      </c>
    </row>
    <row r="367" spans="1:84" s="6" customFormat="1" ht="11.25" x14ac:dyDescent="0.2">
      <c r="A367" s="11">
        <v>43453</v>
      </c>
      <c r="B367" s="380">
        <f>'2022'!Maxi_hp</f>
        <v>11.859161695286367</v>
      </c>
      <c r="C367" s="13">
        <f>'2022'!An_max</f>
        <v>2021</v>
      </c>
      <c r="D367" s="1070"/>
      <c r="E367" s="13"/>
      <c r="F367" s="13">
        <f t="shared" si="146"/>
        <v>27</v>
      </c>
      <c r="G367" s="13">
        <f t="shared" si="130"/>
        <v>26</v>
      </c>
      <c r="H367" s="173">
        <f t="shared" si="131"/>
        <v>43458</v>
      </c>
      <c r="I367" s="754">
        <f t="shared" si="132"/>
        <v>0.35714285714285715</v>
      </c>
      <c r="J367" s="747">
        <f t="shared" si="133"/>
        <v>12.154190390716705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P367" s="13">
        <f t="shared" si="134"/>
        <v>15</v>
      </c>
      <c r="AQ367" s="13">
        <f t="shared" si="135"/>
        <v>14</v>
      </c>
      <c r="AR367" s="173">
        <f t="shared" si="136"/>
        <v>43473</v>
      </c>
      <c r="AS367" s="754">
        <f t="shared" si="137"/>
        <v>0.68965517241379315</v>
      </c>
      <c r="AT367" s="770">
        <f t="shared" si="138"/>
        <v>12.072030243483082</v>
      </c>
      <c r="AU367" s="13">
        <f t="shared" si="139"/>
        <v>13</v>
      </c>
      <c r="AV367" s="13">
        <f t="shared" si="140"/>
        <v>14</v>
      </c>
      <c r="AW367" s="173">
        <f t="shared" si="141"/>
        <v>43430</v>
      </c>
      <c r="AX367" s="754">
        <f t="shared" si="142"/>
        <v>0.8214285714285714</v>
      </c>
      <c r="AY367" s="770">
        <f t="shared" si="143"/>
        <v>12.335278642816203</v>
      </c>
      <c r="AZ367" s="747">
        <f t="shared" si="147"/>
        <v>12.203654443149642</v>
      </c>
      <c r="BA367" s="646">
        <f t="shared" si="144"/>
        <v>0.97572617459936462</v>
      </c>
      <c r="BB367" s="641">
        <v>43453</v>
      </c>
      <c r="BC367" s="11">
        <v>43453</v>
      </c>
      <c r="BD367" s="290">
        <f>[3]!FeuilCaduc*(1-Persistant)+Persistant</f>
        <v>0.80583980427281687</v>
      </c>
      <c r="BE367" s="291">
        <f>[3]!CroissVégét</f>
        <v>0.99995638361167161</v>
      </c>
      <c r="BF367" s="822">
        <f>1+[3]!Salcycl*Ksac</f>
        <v>1.0014599510682043</v>
      </c>
      <c r="BH367" s="1101">
        <f t="shared" si="145"/>
        <v>0.34312473420841716</v>
      </c>
      <c r="BI367" s="11">
        <v>44549</v>
      </c>
      <c r="BJ367" s="727">
        <v>5.8785218226703684E-2</v>
      </c>
      <c r="BK367" s="727">
        <v>0.12585044501996337</v>
      </c>
      <c r="BL367" s="727">
        <v>0.2259374053053716</v>
      </c>
      <c r="BM367" s="727">
        <v>0.34302077425942751</v>
      </c>
      <c r="BN367" s="727">
        <v>0.43545741433771135</v>
      </c>
      <c r="BO367" s="728">
        <v>0.50991072694592732</v>
      </c>
      <c r="BP367" s="727">
        <v>0.56963488176422394</v>
      </c>
      <c r="BQ367" s="727">
        <v>0.63431652068994504</v>
      </c>
      <c r="BR367" s="727">
        <v>0.68474634295829639</v>
      </c>
      <c r="BS367" s="727">
        <v>0.73666233537665871</v>
      </c>
      <c r="BT367" s="727">
        <v>0.79294632892794736</v>
      </c>
      <c r="BW367" s="1157">
        <f>'2018'!R\Max</f>
        <v>0.97525907799806388</v>
      </c>
      <c r="BX367" s="1155">
        <f>'2019'!R\Max</f>
        <v>0.5444988046734861</v>
      </c>
      <c r="BY367" s="1155">
        <f>'2020'!R\Max</f>
        <v>0.32392678683678428</v>
      </c>
      <c r="BZ367" s="1155">
        <f>'2021'!R\Max</f>
        <v>0.97572617459936462</v>
      </c>
      <c r="CA367" s="1155">
        <f>'2022'!R\Max</f>
        <v>0.92105990393592052</v>
      </c>
      <c r="CB367" s="1155">
        <f>'2023'!R\Max</f>
        <v>0.92043766364149471</v>
      </c>
      <c r="CC367" s="1155">
        <f>'2024'!R\Max</f>
        <v>0.91953521660699078</v>
      </c>
      <c r="CD367" s="1155">
        <f>'2025'!R\Max</f>
        <v>0.92417622225668339</v>
      </c>
      <c r="CE367" s="1155">
        <f>'2026'!R\Max</f>
        <v>0.92286341914661285</v>
      </c>
      <c r="CF367" s="1156">
        <f>'2027'!R\Max</f>
        <v>0.92177076585842899</v>
      </c>
    </row>
    <row r="368" spans="1:84" s="6" customFormat="1" ht="11.25" x14ac:dyDescent="0.2">
      <c r="A368" s="11">
        <v>43454</v>
      </c>
      <c r="B368" s="380">
        <f>'2022'!Maxi_hp</f>
        <v>10.857367407751404</v>
      </c>
      <c r="C368" s="13">
        <f>'2022'!An_max</f>
        <v>2021</v>
      </c>
      <c r="D368" s="1070"/>
      <c r="E368" s="13"/>
      <c r="F368" s="13">
        <f t="shared" si="146"/>
        <v>27</v>
      </c>
      <c r="G368" s="13">
        <f t="shared" si="130"/>
        <v>26</v>
      </c>
      <c r="H368" s="173">
        <f t="shared" si="131"/>
        <v>43458</v>
      </c>
      <c r="I368" s="754">
        <f t="shared" si="132"/>
        <v>0.2857142857142857</v>
      </c>
      <c r="J368" s="747">
        <f t="shared" si="133"/>
        <v>12.219400259958846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P368" s="13">
        <f t="shared" si="134"/>
        <v>15</v>
      </c>
      <c r="AQ368" s="13">
        <f t="shared" si="135"/>
        <v>14</v>
      </c>
      <c r="AR368" s="173">
        <f t="shared" si="136"/>
        <v>43473</v>
      </c>
      <c r="AS368" s="754">
        <f t="shared" si="137"/>
        <v>0.65517241379310343</v>
      </c>
      <c r="AT368" s="770">
        <f t="shared" si="138"/>
        <v>12.130946928827928</v>
      </c>
      <c r="AU368" s="13">
        <f t="shared" si="139"/>
        <v>13</v>
      </c>
      <c r="AV368" s="13">
        <f t="shared" si="140"/>
        <v>14</v>
      </c>
      <c r="AW368" s="173">
        <f t="shared" si="141"/>
        <v>43430</v>
      </c>
      <c r="AX368" s="754">
        <f t="shared" si="142"/>
        <v>0.8571428571428571</v>
      </c>
      <c r="AY368" s="770">
        <f t="shared" si="143"/>
        <v>12.359358933993748</v>
      </c>
      <c r="AZ368" s="747">
        <f t="shared" si="147"/>
        <v>12.245152931410839</v>
      </c>
      <c r="BA368" s="646">
        <f t="shared" si="144"/>
        <v>0.88853521259381119</v>
      </c>
      <c r="BB368" s="641">
        <v>43454</v>
      </c>
      <c r="BC368" s="11">
        <v>43454</v>
      </c>
      <c r="BD368" s="290">
        <f>[3]!FeuilCaduc*(1-Persistant)+Persistant</f>
        <v>0.80542189418879484</v>
      </c>
      <c r="BE368" s="291">
        <f>[3]!CroissVégét</f>
        <v>0.99997146955734828</v>
      </c>
      <c r="BF368" s="822">
        <f>1+[3]!Salcycl*Ksac</f>
        <v>1.0013554735471988</v>
      </c>
      <c r="BH368" s="1101">
        <f t="shared" si="145"/>
        <v>0.34294737710249068</v>
      </c>
      <c r="BI368" s="11">
        <v>44550</v>
      </c>
      <c r="BJ368" s="727">
        <v>5.8866268472344614E-2</v>
      </c>
      <c r="BK368" s="727">
        <v>0.12604893770036504</v>
      </c>
      <c r="BL368" s="727">
        <v>0.22600784930952317</v>
      </c>
      <c r="BM368" s="727">
        <v>0.34284364735346629</v>
      </c>
      <c r="BN368" s="727">
        <v>0.43507560369015713</v>
      </c>
      <c r="BO368" s="728">
        <v>0.50962393191966393</v>
      </c>
      <c r="BP368" s="727">
        <v>0.56918501259448495</v>
      </c>
      <c r="BQ368" s="727">
        <v>0.63390498167797071</v>
      </c>
      <c r="BR368" s="727">
        <v>0.68412943756472466</v>
      </c>
      <c r="BS368" s="727">
        <v>0.73604965966945146</v>
      </c>
      <c r="BT368" s="727">
        <v>0.79237688453193378</v>
      </c>
      <c r="BW368" s="1157">
        <f>'2018'!R\Max</f>
        <v>0.75650129438126501</v>
      </c>
      <c r="BX368" s="1155">
        <f>'2019'!R\Max</f>
        <v>0.40391958555412633</v>
      </c>
      <c r="BY368" s="1155">
        <f>'2020'!R\Max</f>
        <v>0.46114574496675065</v>
      </c>
      <c r="BZ368" s="1155">
        <f>'2021'!R\Max</f>
        <v>0.88853521259381119</v>
      </c>
      <c r="CA368" s="1155">
        <f>'2022'!R\Max</f>
        <v>0.22744608082787449</v>
      </c>
      <c r="CB368" s="1155">
        <f>'2023'!R\Max</f>
        <v>0.22607463241997788</v>
      </c>
      <c r="CC368" s="1155">
        <f>'2024'!R\Max</f>
        <v>0.22411727616192692</v>
      </c>
      <c r="CD368" s="1155">
        <f>'2025'!R\Max</f>
        <v>0.23454169946757084</v>
      </c>
      <c r="CE368" s="1155">
        <f>'2026'!R\Max</f>
        <v>0.23151064556531695</v>
      </c>
      <c r="CF368" s="1156">
        <f>'2027'!R\Max</f>
        <v>0.22903298260335953</v>
      </c>
    </row>
    <row r="369" spans="1:84" s="6" customFormat="1" ht="11.25" x14ac:dyDescent="0.2">
      <c r="A369" s="11">
        <v>43455</v>
      </c>
      <c r="B369" s="380">
        <f>'2022'!Maxi_hp</f>
        <v>10.896065094329265</v>
      </c>
      <c r="C369" s="13">
        <f>'2022'!An_max</f>
        <v>2021</v>
      </c>
      <c r="D369" s="1070"/>
      <c r="E369" s="13"/>
      <c r="F369" s="13">
        <f t="shared" si="146"/>
        <v>27</v>
      </c>
      <c r="G369" s="13">
        <f t="shared" si="130"/>
        <v>26</v>
      </c>
      <c r="H369" s="173">
        <f t="shared" si="131"/>
        <v>43458</v>
      </c>
      <c r="I369" s="754">
        <f t="shared" si="132"/>
        <v>0.21428571428571427</v>
      </c>
      <c r="J369" s="747">
        <f t="shared" si="133"/>
        <v>12.290873190175208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P369" s="13">
        <f t="shared" si="134"/>
        <v>15</v>
      </c>
      <c r="AQ369" s="13">
        <f t="shared" si="135"/>
        <v>14</v>
      </c>
      <c r="AR369" s="173">
        <f t="shared" si="136"/>
        <v>43473</v>
      </c>
      <c r="AS369" s="754">
        <f t="shared" si="137"/>
        <v>0.62068965517241381</v>
      </c>
      <c r="AT369" s="770">
        <f t="shared" si="138"/>
        <v>12.199427678898491</v>
      </c>
      <c r="AU369" s="13">
        <f t="shared" si="139"/>
        <v>13</v>
      </c>
      <c r="AV369" s="13">
        <f t="shared" si="140"/>
        <v>14</v>
      </c>
      <c r="AW369" s="173">
        <f t="shared" si="141"/>
        <v>43430</v>
      </c>
      <c r="AX369" s="754">
        <f t="shared" si="142"/>
        <v>0.8928571428571429</v>
      </c>
      <c r="AY369" s="770">
        <f t="shared" si="143"/>
        <v>12.391043202046838</v>
      </c>
      <c r="AZ369" s="747">
        <f t="shared" si="147"/>
        <v>12.295235440472664</v>
      </c>
      <c r="BA369" s="646">
        <f t="shared" si="144"/>
        <v>0.88651676131839896</v>
      </c>
      <c r="BB369" s="641">
        <v>43455</v>
      </c>
      <c r="BC369" s="11">
        <v>43455</v>
      </c>
      <c r="BD369" s="290">
        <f>[3]!FeuilCaduc*(1-Persistant)+Persistant</f>
        <v>0.80503600566304356</v>
      </c>
      <c r="BE369" s="291">
        <f>[3]!CroissVégét</f>
        <v>0.99998594852652212</v>
      </c>
      <c r="BF369" s="822">
        <f>1+[3]!Salcycl*Ksac</f>
        <v>1.001259001415761</v>
      </c>
      <c r="BH369" s="1101">
        <f t="shared" si="145"/>
        <v>0.34289957308146413</v>
      </c>
      <c r="BI369" s="11">
        <v>44551</v>
      </c>
      <c r="BJ369" s="727">
        <v>5.891383172970318E-2</v>
      </c>
      <c r="BK369" s="727">
        <v>0.12616325957387023</v>
      </c>
      <c r="BL369" s="727">
        <v>0.2260700454156693</v>
      </c>
      <c r="BM369" s="727">
        <v>0.34279594610428082</v>
      </c>
      <c r="BN369" s="727">
        <v>0.43493652221447499</v>
      </c>
      <c r="BO369" s="728">
        <v>0.50954126984685688</v>
      </c>
      <c r="BP369" s="727">
        <v>0.56902788608105637</v>
      </c>
      <c r="BQ369" s="727">
        <v>0.63377474818993085</v>
      </c>
      <c r="BR369" s="727">
        <v>0.68390247138234406</v>
      </c>
      <c r="BS369" s="727">
        <v>0.7358310026550261</v>
      </c>
      <c r="BT369" s="727">
        <v>0.79218657093300904</v>
      </c>
      <c r="BW369" s="1157">
        <f>'2018'!R\Max</f>
        <v>0.45044855872975803</v>
      </c>
      <c r="BX369" s="1155">
        <f>'2019'!R\Max</f>
        <v>0.88268535587793207</v>
      </c>
      <c r="BY369" s="1155">
        <f>'2020'!R\Max</f>
        <v>0.38901785637438152</v>
      </c>
      <c r="BZ369" s="1155">
        <f>'2021'!R\Max</f>
        <v>0.88651676131839896</v>
      </c>
      <c r="CA369" s="1155">
        <f>'2022'!R\Max</f>
        <v>0.82582484412280732</v>
      </c>
      <c r="CB369" s="1155">
        <f>'2023'!R\Max</f>
        <v>0.82460989039931465</v>
      </c>
      <c r="CC369" s="1155">
        <f>'2024'!R\Max</f>
        <v>0.82285913747028527</v>
      </c>
      <c r="CD369" s="1155">
        <f>'2025'!R\Max</f>
        <v>0.83193788669321145</v>
      </c>
      <c r="CE369" s="1155">
        <f>'2026'!R\Max</f>
        <v>0.82936362802253527</v>
      </c>
      <c r="CF369" s="1156">
        <f>'2027'!R\Max</f>
        <v>0.82721779568287535</v>
      </c>
    </row>
    <row r="370" spans="1:84" s="6" customFormat="1" ht="11.25" x14ac:dyDescent="0.2">
      <c r="A370" s="11">
        <v>43456</v>
      </c>
      <c r="B370" s="380">
        <f>'2022'!Maxi_hp</f>
        <v>12.677093484896854</v>
      </c>
      <c r="C370" s="13">
        <f>'2022'!An_max</f>
        <v>2021</v>
      </c>
      <c r="D370" s="1070"/>
      <c r="E370" s="13"/>
      <c r="F370" s="13">
        <f t="shared" si="146"/>
        <v>27</v>
      </c>
      <c r="G370" s="13">
        <f t="shared" si="130"/>
        <v>26</v>
      </c>
      <c r="H370" s="173">
        <f t="shared" si="131"/>
        <v>43458</v>
      </c>
      <c r="I370" s="754">
        <f t="shared" si="132"/>
        <v>0.14285714285714285</v>
      </c>
      <c r="J370" s="747">
        <f t="shared" si="133"/>
        <v>12.36744214700801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P370" s="13">
        <f t="shared" si="134"/>
        <v>15</v>
      </c>
      <c r="AQ370" s="13">
        <f t="shared" si="135"/>
        <v>14</v>
      </c>
      <c r="AR370" s="173">
        <f t="shared" si="136"/>
        <v>43473</v>
      </c>
      <c r="AS370" s="754">
        <f t="shared" si="137"/>
        <v>0.58620689655172409</v>
      </c>
      <c r="AT370" s="770">
        <f t="shared" si="138"/>
        <v>12.277051063909614</v>
      </c>
      <c r="AU370" s="13">
        <f t="shared" si="139"/>
        <v>13</v>
      </c>
      <c r="AV370" s="13">
        <f t="shared" si="140"/>
        <v>14</v>
      </c>
      <c r="AW370" s="173">
        <f t="shared" si="141"/>
        <v>43430</v>
      </c>
      <c r="AX370" s="754">
        <f t="shared" si="142"/>
        <v>0.9285714285714286</v>
      </c>
      <c r="AY370" s="770">
        <f t="shared" si="143"/>
        <v>12.430279458207744</v>
      </c>
      <c r="AZ370" s="747">
        <f t="shared" si="147"/>
        <v>12.35366526105868</v>
      </c>
      <c r="BA370" s="646">
        <f t="shared" si="144"/>
        <v>1.0250376217012469</v>
      </c>
      <c r="BB370" s="641">
        <v>43456</v>
      </c>
      <c r="BC370" s="11">
        <v>43456</v>
      </c>
      <c r="BD370" s="290">
        <f>[3]!FeuilCaduc*(1-Persistant)+Persistant</f>
        <v>0.80467976638976668</v>
      </c>
      <c r="BE370" s="291">
        <f>[3]!CroissVégét</f>
        <v>0.99999984492411664</v>
      </c>
      <c r="BF370" s="822">
        <f>1+[3]!Salcycl*Ksac</f>
        <v>1.0011699415974418</v>
      </c>
      <c r="BH370" s="1101">
        <f t="shared" si="145"/>
        <v>0.34298210086198361</v>
      </c>
      <c r="BI370" s="11">
        <v>44552</v>
      </c>
      <c r="BJ370" s="729">
        <v>5.8928010889306263E-2</v>
      </c>
      <c r="BK370" s="729">
        <v>0.12619362407302126</v>
      </c>
      <c r="BL370" s="729">
        <v>0.22612445510455409</v>
      </c>
      <c r="BM370" s="729">
        <v>0.3428784489442489</v>
      </c>
      <c r="BN370" s="729">
        <v>0.43504120110200661</v>
      </c>
      <c r="BO370" s="730">
        <v>0.50966390432465936</v>
      </c>
      <c r="BP370" s="729">
        <v>0.56916483757408387</v>
      </c>
      <c r="BQ370" s="729">
        <v>0.63392728271439069</v>
      </c>
      <c r="BR370" s="729">
        <v>0.68406707045882542</v>
      </c>
      <c r="BS370" s="729">
        <v>0.7360080996952495</v>
      </c>
      <c r="BT370" s="729">
        <v>0.7923772314196027</v>
      </c>
      <c r="BW370" s="1157">
        <f>'2018'!R\Max</f>
        <v>0.36911954703036709</v>
      </c>
      <c r="BX370" s="1155">
        <f>'2019'!R\Max</f>
        <v>0.38234622888821646</v>
      </c>
      <c r="BY370" s="1155">
        <f>'2020'!R\Max</f>
        <v>0.47958329759776336</v>
      </c>
      <c r="BZ370" s="1155">
        <f>'2021'!R\Max</f>
        <v>1.0250376217012469</v>
      </c>
      <c r="CA370" s="1155">
        <f>'2022'!R\Max</f>
        <v>0.93072939532025345</v>
      </c>
      <c r="CB370" s="1155">
        <f>'2023'!R\Max</f>
        <v>0.93018793211459616</v>
      </c>
      <c r="CC370" s="1155">
        <f>'2024'!R\Max</f>
        <v>0.92940605296631085</v>
      </c>
      <c r="CD370" s="1155">
        <f>'2025'!R\Max</f>
        <v>0.93343986444430949</v>
      </c>
      <c r="CE370" s="1155">
        <f>'2026'!R\Max</f>
        <v>0.93230127552629238</v>
      </c>
      <c r="CF370" s="1156">
        <f>'2027'!R\Max</f>
        <v>0.93134905137394663</v>
      </c>
    </row>
    <row r="371" spans="1:84" s="6" customFormat="1" ht="11.25" x14ac:dyDescent="0.2">
      <c r="A371" s="11">
        <v>43457</v>
      </c>
      <c r="B371" s="380">
        <f>'2022'!Maxi_hp</f>
        <v>11.766325638958318</v>
      </c>
      <c r="C371" s="13">
        <f>'2022'!An_max</f>
        <v>2020</v>
      </c>
      <c r="D371" s="1070"/>
      <c r="E371" s="13"/>
      <c r="F371" s="13">
        <f t="shared" si="146"/>
        <v>27</v>
      </c>
      <c r="G371" s="13">
        <f t="shared" si="130"/>
        <v>26</v>
      </c>
      <c r="H371" s="173">
        <f t="shared" si="131"/>
        <v>43458</v>
      </c>
      <c r="I371" s="754">
        <f t="shared" si="132"/>
        <v>7.1428571428571425E-2</v>
      </c>
      <c r="J371" s="747">
        <f t="shared" si="133"/>
        <v>12.447940094981874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P371" s="13">
        <f t="shared" si="134"/>
        <v>15</v>
      </c>
      <c r="AQ371" s="13">
        <f t="shared" si="135"/>
        <v>14</v>
      </c>
      <c r="AR371" s="173">
        <f t="shared" si="136"/>
        <v>43473</v>
      </c>
      <c r="AS371" s="754">
        <f t="shared" si="137"/>
        <v>0.55172413793103448</v>
      </c>
      <c r="AT371" s="770">
        <f t="shared" si="138"/>
        <v>12.363395643542553</v>
      </c>
      <c r="AU371" s="13">
        <f t="shared" si="139"/>
        <v>13</v>
      </c>
      <c r="AV371" s="13">
        <f t="shared" si="140"/>
        <v>14</v>
      </c>
      <c r="AW371" s="173">
        <f t="shared" si="141"/>
        <v>43430</v>
      </c>
      <c r="AX371" s="754">
        <f t="shared" si="142"/>
        <v>0.9642857142857143</v>
      </c>
      <c r="AY371" s="770">
        <f t="shared" si="143"/>
        <v>12.477015720946449</v>
      </c>
      <c r="AZ371" s="747">
        <f t="shared" si="147"/>
        <v>12.4202056822445</v>
      </c>
      <c r="BA371" s="646">
        <f t="shared" si="144"/>
        <v>0.94524279111060838</v>
      </c>
      <c r="BB371" s="641">
        <v>43457</v>
      </c>
      <c r="BC371" s="11">
        <v>43457</v>
      </c>
      <c r="BD371" s="290">
        <f>[3]!FeuilCaduc*(1-Persistant)+Persistant</f>
        <v>0.8043508756081631</v>
      </c>
      <c r="BE371" s="291">
        <f>[3]!CroissVégét</f>
        <v>0.99999984492411664</v>
      </c>
      <c r="BF371" s="822">
        <f>1+[3]!Salcycl*Ksac</f>
        <v>1.0010877189020408</v>
      </c>
      <c r="BH371" s="1101">
        <f t="shared" si="145"/>
        <v>0.34319599681091234</v>
      </c>
      <c r="BI371" s="11">
        <v>44553</v>
      </c>
      <c r="BJ371" s="727">
        <v>5.8908943574942335E-2</v>
      </c>
      <c r="BK371" s="727">
        <v>0.12614031688046753</v>
      </c>
      <c r="BL371" s="727">
        <v>0.22617169370475107</v>
      </c>
      <c r="BM371" s="727">
        <v>0.3430921918630041</v>
      </c>
      <c r="BN371" s="727">
        <v>0.4353910117584292</v>
      </c>
      <c r="BO371" s="728">
        <v>0.5099933838000924</v>
      </c>
      <c r="BP371" s="727">
        <v>0.56959764328163254</v>
      </c>
      <c r="BQ371" s="727">
        <v>0.63436453110810009</v>
      </c>
      <c r="BR371" s="727">
        <v>0.68462539721523163</v>
      </c>
      <c r="BS371" s="727">
        <v>0.73658325888609222</v>
      </c>
      <c r="BT371" s="727">
        <v>0.79295131817145259</v>
      </c>
      <c r="BW371" s="1157">
        <f>'2018'!R\Max</f>
        <v>0.24586047176028616</v>
      </c>
      <c r="BX371" s="1155">
        <f>'2019'!R\Max</f>
        <v>0.3900299735643874</v>
      </c>
      <c r="BY371" s="1155">
        <f>'2020'!R\Max</f>
        <v>0.94524279111060838</v>
      </c>
      <c r="BZ371" s="1155">
        <f>'2021'!R\Max</f>
        <v>0.3064176826134109</v>
      </c>
      <c r="CA371" s="1155">
        <f>'2022'!R\Max</f>
        <v>0.90992369673482765</v>
      </c>
      <c r="CB371" s="1155">
        <f>'2023'!R\Max</f>
        <v>0.90924011944715033</v>
      </c>
      <c r="CC371" s="1155">
        <f>'2024'!R\Max</f>
        <v>0.90825210635812526</v>
      </c>
      <c r="CD371" s="1155">
        <f>'2025'!R\Max</f>
        <v>0.91335059368048066</v>
      </c>
      <c r="CE371" s="1155">
        <f>'2026'!R\Max</f>
        <v>0.9119087708419561</v>
      </c>
      <c r="CF371" s="1156">
        <f>'2027'!R\Max</f>
        <v>0.91070589751131903</v>
      </c>
    </row>
    <row r="372" spans="1:84" s="6" customFormat="1" ht="11.25" x14ac:dyDescent="0.2">
      <c r="A372" s="11">
        <v>43458</v>
      </c>
      <c r="B372" s="380">
        <f>'2022'!Maxi_hp</f>
        <v>11.585601604209947</v>
      </c>
      <c r="C372" s="13">
        <f>'2022'!An_max</f>
        <v>2022</v>
      </c>
      <c r="D372" s="1070"/>
      <c r="E372" s="1073">
        <f>AM$13/10</f>
        <v>12.5312</v>
      </c>
      <c r="F372" s="13">
        <f t="shared" si="146"/>
        <v>27</v>
      </c>
      <c r="G372" s="13">
        <f t="shared" si="130"/>
        <v>28</v>
      </c>
      <c r="H372" s="173">
        <f t="shared" si="131"/>
        <v>43458</v>
      </c>
      <c r="I372" s="754">
        <f t="shared" si="132"/>
        <v>0</v>
      </c>
      <c r="J372" s="747">
        <f t="shared" si="133"/>
        <v>12.531199999898671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P372" s="13">
        <f t="shared" si="134"/>
        <v>15</v>
      </c>
      <c r="AQ372" s="13">
        <f t="shared" si="135"/>
        <v>14</v>
      </c>
      <c r="AR372" s="173">
        <f t="shared" si="136"/>
        <v>43473</v>
      </c>
      <c r="AS372" s="754">
        <f t="shared" si="137"/>
        <v>0.51724137931034486</v>
      </c>
      <c r="AT372" s="770">
        <f t="shared" si="138"/>
        <v>12.458039983027968</v>
      </c>
      <c r="AU372" s="13">
        <f t="shared" si="139"/>
        <v>15</v>
      </c>
      <c r="AV372" s="13">
        <f t="shared" si="140"/>
        <v>14</v>
      </c>
      <c r="AW372" s="173">
        <f t="shared" si="141"/>
        <v>43487</v>
      </c>
      <c r="AX372" s="754">
        <f t="shared" si="142"/>
        <v>1</v>
      </c>
      <c r="AY372" s="770">
        <f t="shared" si="143"/>
        <v>12.531200000643731</v>
      </c>
      <c r="AZ372" s="747">
        <f t="shared" si="147"/>
        <v>12.494619991835849</v>
      </c>
      <c r="BA372" s="646">
        <f t="shared" si="144"/>
        <v>0.92454047531789685</v>
      </c>
      <c r="BB372" s="641">
        <v>43458</v>
      </c>
      <c r="BC372" s="11">
        <v>43458</v>
      </c>
      <c r="BD372" s="290">
        <f>[3]!FeuilCaduc*(1-Persistant)+Persistant</f>
        <v>0.8040471147634275</v>
      </c>
      <c r="BE372" s="291">
        <f>[3]!CroissVégét</f>
        <v>0.99999984492411664</v>
      </c>
      <c r="BF372" s="822">
        <f>1+[3]!Salcycl*Ksac</f>
        <v>1.0010117786908568</v>
      </c>
      <c r="BH372" s="1101">
        <f t="shared" si="145"/>
        <v>0.34354131829120693</v>
      </c>
      <c r="BI372" s="11">
        <v>44554</v>
      </c>
      <c r="BJ372" s="727">
        <v>5.8856588733621706E-2</v>
      </c>
      <c r="BK372" s="727">
        <v>0.126003238703952</v>
      </c>
      <c r="BL372" s="727">
        <v>0.22621171350111899</v>
      </c>
      <c r="BM372" s="727">
        <v>0.34343723212555116</v>
      </c>
      <c r="BN372" s="727">
        <v>0.43598609854336717</v>
      </c>
      <c r="BO372" s="728">
        <v>0.51052980412489957</v>
      </c>
      <c r="BP372" s="727">
        <v>0.57032646940302312</v>
      </c>
      <c r="BQ372" s="727">
        <v>0.63508663761718886</v>
      </c>
      <c r="BR372" s="727">
        <v>0.6855776861952767</v>
      </c>
      <c r="BS372" s="727">
        <v>0.73755670926671535</v>
      </c>
      <c r="BT372" s="727">
        <v>0.79390903661470158</v>
      </c>
      <c r="BW372" s="1157">
        <f>'2018'!R\Max</f>
        <v>0.269353517308142</v>
      </c>
      <c r="BX372" s="1155">
        <f>'2019'!R\Max</f>
        <v>0.7386626305404409</v>
      </c>
      <c r="BY372" s="1155">
        <f>'2020'!R\Max</f>
        <v>0.58695856164964633</v>
      </c>
      <c r="BZ372" s="1155">
        <f>'2021'!R\Max</f>
        <v>0.64403727229342578</v>
      </c>
      <c r="CA372" s="1155">
        <f>'2022'!R\Max</f>
        <v>0.92454047531789685</v>
      </c>
      <c r="CB372" s="1155">
        <f>'2023'!R\Max</f>
        <v>0.92396253550054419</v>
      </c>
      <c r="CC372" s="1155">
        <f>'2024'!R\Max</f>
        <v>0.92312461822171621</v>
      </c>
      <c r="CD372" s="1155">
        <f>'2025'!R\Max</f>
        <v>0.92743748890108968</v>
      </c>
      <c r="CE372" s="1155">
        <f>'2026'!R\Max</f>
        <v>0.9262165386571436</v>
      </c>
      <c r="CF372" s="1156">
        <f>'2027'!R\Max</f>
        <v>0.92520092412134447</v>
      </c>
    </row>
    <row r="373" spans="1:84" s="6" customFormat="1" ht="11.25" x14ac:dyDescent="0.2">
      <c r="A373" s="11">
        <v>43459</v>
      </c>
      <c r="B373" s="380">
        <f>'2022'!Maxi_hp</f>
        <v>7.2647215358617787</v>
      </c>
      <c r="C373" s="13">
        <f>'2022'!An_max</f>
        <v>2018</v>
      </c>
      <c r="D373" s="1070"/>
      <c r="E373" s="13"/>
      <c r="F373" s="13">
        <f t="shared" si="146"/>
        <v>27</v>
      </c>
      <c r="G373" s="13">
        <f t="shared" si="130"/>
        <v>28</v>
      </c>
      <c r="H373" s="173">
        <f t="shared" si="131"/>
        <v>43458</v>
      </c>
      <c r="I373" s="754">
        <f t="shared" si="132"/>
        <v>6.6666666666666666E-2</v>
      </c>
      <c r="J373" s="747">
        <f t="shared" si="133"/>
        <v>12.619917653948068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P373" s="13">
        <f t="shared" si="134"/>
        <v>15</v>
      </c>
      <c r="AQ373" s="13">
        <f t="shared" si="135"/>
        <v>14</v>
      </c>
      <c r="AR373" s="173">
        <f t="shared" si="136"/>
        <v>43473</v>
      </c>
      <c r="AS373" s="754">
        <f t="shared" si="137"/>
        <v>0.48275862068965519</v>
      </c>
      <c r="AT373" s="770">
        <f t="shared" si="138"/>
        <v>12.560562647082682</v>
      </c>
      <c r="AU373" s="13">
        <f t="shared" si="139"/>
        <v>15</v>
      </c>
      <c r="AV373" s="13">
        <f t="shared" si="140"/>
        <v>14</v>
      </c>
      <c r="AW373" s="173">
        <f t="shared" si="141"/>
        <v>43487</v>
      </c>
      <c r="AX373" s="754">
        <f t="shared" si="142"/>
        <v>0.96551724137931039</v>
      </c>
      <c r="AY373" s="770">
        <f t="shared" si="143"/>
        <v>12.594600036380621</v>
      </c>
      <c r="AZ373" s="747">
        <f t="shared" si="147"/>
        <v>12.577581341731651</v>
      </c>
      <c r="BA373" s="646">
        <f t="shared" si="144"/>
        <v>0.57565522494428101</v>
      </c>
      <c r="BB373" s="641">
        <v>43459</v>
      </c>
      <c r="BC373" s="11">
        <v>43459</v>
      </c>
      <c r="BD373" s="290">
        <f>[3]!FeuilCaduc*(1-Persistant)+Persistant</f>
        <v>0.80376635709992073</v>
      </c>
      <c r="BE373" s="291">
        <f>[3]!CroissVégét</f>
        <v>0.99999984492411664</v>
      </c>
      <c r="BF373" s="822">
        <f>1+[3]!Salcycl*Ksac</f>
        <v>1.0009415892749802</v>
      </c>
      <c r="BH373" s="1101">
        <f t="shared" si="145"/>
        <v>0.34401731701071625</v>
      </c>
      <c r="BI373" s="11">
        <v>44555</v>
      </c>
      <c r="BJ373" s="727">
        <v>5.8770757148207169E-2</v>
      </c>
      <c r="BK373" s="727">
        <v>0.12578197078176839</v>
      </c>
      <c r="BL373" s="727">
        <v>0.2262439192473977</v>
      </c>
      <c r="BM373" s="727">
        <v>0.34391282156983227</v>
      </c>
      <c r="BN373" s="727">
        <v>0.43682559762145406</v>
      </c>
      <c r="BO373" s="728">
        <v>0.51127206599602382</v>
      </c>
      <c r="BP373" s="727">
        <v>0.57135015877667383</v>
      </c>
      <c r="BQ373" s="727">
        <v>0.63609226472676739</v>
      </c>
      <c r="BR373" s="727">
        <v>0.68692258808272477</v>
      </c>
      <c r="BS373" s="727">
        <v>0.73892697129206608</v>
      </c>
      <c r="BT373" s="727">
        <v>0.79524874485780295</v>
      </c>
      <c r="BW373" s="1157">
        <f>'2018'!R\Max</f>
        <v>0.57565522494428101</v>
      </c>
      <c r="BX373" s="1155">
        <f>'2019'!R\Max</f>
        <v>0.55046241564072096</v>
      </c>
      <c r="BY373" s="1155">
        <f>'2020'!R\Max</f>
        <v>0.56355323767980292</v>
      </c>
      <c r="BZ373" s="1155">
        <f>'2021'!R\Max</f>
        <v>0.44510193247954477</v>
      </c>
      <c r="CA373" s="1155">
        <f>'2022'!R\Max</f>
        <v>0.53504856928436262</v>
      </c>
      <c r="CB373" s="1155">
        <f>'2023'!R\Max</f>
        <v>0.53300898291546528</v>
      </c>
      <c r="CC373" s="1155">
        <f>'2024'!R\Max</f>
        <v>0.53006260051120591</v>
      </c>
      <c r="CD373" s="1155">
        <f>'2025'!R\Max</f>
        <v>0.54548134999865161</v>
      </c>
      <c r="CE373" s="1155">
        <f>'2026'!R\Max</f>
        <v>0.54102986513880258</v>
      </c>
      <c r="CF373" s="1156">
        <f>'2027'!R\Max</f>
        <v>0.53739155773285685</v>
      </c>
    </row>
    <row r="374" spans="1:84" s="6" customFormat="1" ht="11.25" x14ac:dyDescent="0.2">
      <c r="A374" s="11">
        <v>43460</v>
      </c>
      <c r="B374" s="380">
        <f>'2022'!Maxi_hp</f>
        <v>12.958648457601393</v>
      </c>
      <c r="C374" s="13">
        <f>'2022'!An_max</f>
        <v>2018</v>
      </c>
      <c r="D374" s="1070"/>
      <c r="E374" s="13"/>
      <c r="F374" s="13">
        <f t="shared" si="146"/>
        <v>27</v>
      </c>
      <c r="G374" s="13">
        <f t="shared" si="130"/>
        <v>28</v>
      </c>
      <c r="H374" s="173">
        <f t="shared" si="131"/>
        <v>43458</v>
      </c>
      <c r="I374" s="754">
        <f t="shared" si="132"/>
        <v>0.13333333333333333</v>
      </c>
      <c r="J374" s="747">
        <f t="shared" si="133"/>
        <v>12.717296807269255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P374" s="13">
        <f t="shared" si="134"/>
        <v>15</v>
      </c>
      <c r="AQ374" s="13">
        <f t="shared" si="135"/>
        <v>14</v>
      </c>
      <c r="AR374" s="173">
        <f t="shared" si="136"/>
        <v>43473</v>
      </c>
      <c r="AS374" s="754">
        <f t="shared" si="137"/>
        <v>0.44827586206896552</v>
      </c>
      <c r="AT374" s="770">
        <f t="shared" si="138"/>
        <v>12.670542200680439</v>
      </c>
      <c r="AU374" s="13">
        <f t="shared" si="139"/>
        <v>15</v>
      </c>
      <c r="AV374" s="13">
        <f t="shared" si="140"/>
        <v>14</v>
      </c>
      <c r="AW374" s="173">
        <f t="shared" si="141"/>
        <v>43487</v>
      </c>
      <c r="AX374" s="754">
        <f t="shared" si="142"/>
        <v>0.93103448275862066</v>
      </c>
      <c r="AY374" s="770">
        <f t="shared" si="143"/>
        <v>12.668794168686045</v>
      </c>
      <c r="AZ374" s="747">
        <f t="shared" si="147"/>
        <v>12.669668184683243</v>
      </c>
      <c r="BA374" s="646">
        <f t="shared" si="144"/>
        <v>1.0189782195060653</v>
      </c>
      <c r="BB374" s="641">
        <v>43460</v>
      </c>
      <c r="BC374" s="11">
        <v>43460</v>
      </c>
      <c r="BD374" s="290">
        <f>[3]!FeuilCaduc*(1-Persistant)+Persistant</f>
        <v>0.80350657613850163</v>
      </c>
      <c r="BE374" s="291">
        <f>[3]!CroissVégét</f>
        <v>0.99999984492411664</v>
      </c>
      <c r="BF374" s="822">
        <f>1+[3]!Salcycl*Ksac</f>
        <v>1.0008766440346255</v>
      </c>
      <c r="BH374" s="1101">
        <f t="shared" si="145"/>
        <v>0.34462326261275272</v>
      </c>
      <c r="BI374" s="11">
        <v>44556</v>
      </c>
      <c r="BJ374" s="727">
        <v>5.8651254369525931E-2</v>
      </c>
      <c r="BK374" s="727">
        <v>0.12547608128984022</v>
      </c>
      <c r="BL374" s="727">
        <v>0.22626771355400629</v>
      </c>
      <c r="BM374" s="727">
        <v>0.34451822995066789</v>
      </c>
      <c r="BN374" s="727">
        <v>0.43790867959932889</v>
      </c>
      <c r="BO374" s="728">
        <v>0.51221909849503133</v>
      </c>
      <c r="BP374" s="727">
        <v>0.57266759559999292</v>
      </c>
      <c r="BQ374" s="727">
        <v>0.63738011431370956</v>
      </c>
      <c r="BR374" s="727">
        <v>0.68865880895152765</v>
      </c>
      <c r="BS374" s="727">
        <v>0.74069262120588519</v>
      </c>
      <c r="BT374" s="727">
        <v>0.79696885435005227</v>
      </c>
      <c r="BW374" s="1157">
        <f>'2018'!R\Max</f>
        <v>1.0189782195060653</v>
      </c>
      <c r="BX374" s="1155">
        <f>'2019'!R\Max</f>
        <v>0.35787223864793483</v>
      </c>
      <c r="BY374" s="1155">
        <f>'2020'!R\Max</f>
        <v>0.22961526665189294</v>
      </c>
      <c r="BZ374" s="1155">
        <f>'2021'!R\Max</f>
        <v>0.6025506785010013</v>
      </c>
      <c r="CA374" s="1155">
        <f>'2022'!R\Max</f>
        <v>0.94022821408724278</v>
      </c>
      <c r="CB374" s="1155">
        <f>'2023'!R\Max</f>
        <v>0.93976947889027551</v>
      </c>
      <c r="CC374" s="1155">
        <f>'2024'!R\Max</f>
        <v>0.93909760145546128</v>
      </c>
      <c r="CD374" s="1155">
        <f>'2025'!R\Max</f>
        <v>0.94253028732621058</v>
      </c>
      <c r="CE374" s="1155">
        <f>'2026'!R\Max</f>
        <v>0.94155363575540552</v>
      </c>
      <c r="CF374" s="1156">
        <f>'2027'!R\Max</f>
        <v>0.94075029399410004</v>
      </c>
    </row>
    <row r="375" spans="1:84" s="6" customFormat="1" ht="11.25" x14ac:dyDescent="0.2">
      <c r="A375" s="11">
        <v>43461</v>
      </c>
      <c r="B375" s="380">
        <f>'2022'!Maxi_hp</f>
        <v>13.195050919032267</v>
      </c>
      <c r="C375" s="13">
        <f>'2022'!An_max</f>
        <v>2018</v>
      </c>
      <c r="D375" s="1070"/>
      <c r="E375" s="13"/>
      <c r="F375" s="13">
        <f t="shared" si="146"/>
        <v>27</v>
      </c>
      <c r="G375" s="13">
        <f t="shared" si="130"/>
        <v>28</v>
      </c>
      <c r="H375" s="173">
        <f t="shared" si="131"/>
        <v>43458</v>
      </c>
      <c r="I375" s="754">
        <f t="shared" si="132"/>
        <v>0.2</v>
      </c>
      <c r="J375" s="747">
        <f t="shared" si="133"/>
        <v>12.82293235436082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P375" s="13">
        <f t="shared" si="134"/>
        <v>15</v>
      </c>
      <c r="AQ375" s="13">
        <f t="shared" si="135"/>
        <v>14</v>
      </c>
      <c r="AR375" s="173">
        <f t="shared" si="136"/>
        <v>43473</v>
      </c>
      <c r="AS375" s="754">
        <f t="shared" si="137"/>
        <v>0.41379310344827586</v>
      </c>
      <c r="AT375" s="770">
        <f t="shared" si="138"/>
        <v>12.787557206636873</v>
      </c>
      <c r="AU375" s="13">
        <f t="shared" si="139"/>
        <v>15</v>
      </c>
      <c r="AV375" s="13">
        <f t="shared" si="140"/>
        <v>14</v>
      </c>
      <c r="AW375" s="173">
        <f t="shared" si="141"/>
        <v>43487</v>
      </c>
      <c r="AX375" s="754">
        <f t="shared" si="142"/>
        <v>0.89655172413793105</v>
      </c>
      <c r="AY375" s="770">
        <f t="shared" si="143"/>
        <v>12.753446296448336</v>
      </c>
      <c r="AZ375" s="747">
        <f t="shared" si="147"/>
        <v>12.770501751542604</v>
      </c>
      <c r="BA375" s="646">
        <f t="shared" si="144"/>
        <v>1.0290197713274918</v>
      </c>
      <c r="BB375" s="641">
        <v>43461</v>
      </c>
      <c r="BC375" s="11">
        <v>43461</v>
      </c>
      <c r="BD375" s="290">
        <f>[3]!FeuilCaduc*(1-Persistant)+Persistant</f>
        <v>0.80326585300069508</v>
      </c>
      <c r="BE375" s="291">
        <f>[3]!CroissVégét</f>
        <v>0.99999984492411664</v>
      </c>
      <c r="BF375" s="822">
        <f>1+[3]!Salcycl*Ksac</f>
        <v>1.0008164632501737</v>
      </c>
      <c r="BH375" s="1101">
        <f t="shared" si="145"/>
        <v>0.34519410641960346</v>
      </c>
      <c r="BI375" s="11">
        <v>44557</v>
      </c>
      <c r="BJ375" s="727">
        <v>5.8449651535014864E-2</v>
      </c>
      <c r="BK375" s="727">
        <v>0.12509572006863745</v>
      </c>
      <c r="BL375" s="727">
        <v>0.22618646754005545</v>
      </c>
      <c r="BM375" s="727">
        <v>0.34508835725360593</v>
      </c>
      <c r="BN375" s="727">
        <v>0.43911589084601738</v>
      </c>
      <c r="BO375" s="728">
        <v>0.51346236909217136</v>
      </c>
      <c r="BP375" s="727">
        <v>0.57439815339143241</v>
      </c>
      <c r="BQ375" s="727">
        <v>0.63909954321456564</v>
      </c>
      <c r="BR375" s="727">
        <v>0.6909063411059807</v>
      </c>
      <c r="BS375" s="727">
        <v>0.7430300450827374</v>
      </c>
      <c r="BT375" s="727">
        <v>0.79925299880985878</v>
      </c>
      <c r="BW375" s="1157">
        <f>'2018'!R\Max</f>
        <v>1.0290197713274918</v>
      </c>
      <c r="BX375" s="1155">
        <f>'2019'!R\Max</f>
        <v>0.94586892672104217</v>
      </c>
      <c r="BY375" s="1155">
        <f>'2020'!R\Max</f>
        <v>0.77175768161084768</v>
      </c>
      <c r="BZ375" s="1155">
        <f>'2021'!R\Max</f>
        <v>0.59847443545664003</v>
      </c>
      <c r="CA375" s="1155">
        <f>'2022'!R\Max</f>
        <v>0.34918256122954128</v>
      </c>
      <c r="CB375" s="1155">
        <f>'2023'!R\Max</f>
        <v>0.34734752640710403</v>
      </c>
      <c r="CC375" s="1155">
        <f>'2024'!R\Max</f>
        <v>0.34467720713260658</v>
      </c>
      <c r="CD375" s="1155">
        <f>'2025'!R\Max</f>
        <v>0.35867186057562472</v>
      </c>
      <c r="CE375" s="1155">
        <f>'2026'!R\Max</f>
        <v>0.35457493005472168</v>
      </c>
      <c r="CF375" s="1156">
        <f>'2027'!R\Max</f>
        <v>0.35128805770731508</v>
      </c>
    </row>
    <row r="376" spans="1:84" s="6" customFormat="1" ht="11.25" x14ac:dyDescent="0.2">
      <c r="A376" s="11">
        <v>43462</v>
      </c>
      <c r="B376" s="380">
        <f>'2022'!Maxi_hp</f>
        <v>12.61970257797199</v>
      </c>
      <c r="C376" s="13">
        <f>'2022'!An_max</f>
        <v>2022</v>
      </c>
      <c r="D376" s="1070"/>
      <c r="E376" s="13"/>
      <c r="F376" s="13">
        <f t="shared" si="146"/>
        <v>27</v>
      </c>
      <c r="G376" s="13">
        <f t="shared" si="130"/>
        <v>28</v>
      </c>
      <c r="H376" s="173">
        <f t="shared" si="131"/>
        <v>43458</v>
      </c>
      <c r="I376" s="754">
        <f t="shared" si="132"/>
        <v>0.26666666666666666</v>
      </c>
      <c r="J376" s="747">
        <f t="shared" si="133"/>
        <v>12.93641919190685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P376" s="13">
        <f t="shared" si="134"/>
        <v>15</v>
      </c>
      <c r="AQ376" s="13">
        <f t="shared" si="135"/>
        <v>14</v>
      </c>
      <c r="AR376" s="173">
        <f t="shared" si="136"/>
        <v>43473</v>
      </c>
      <c r="AS376" s="754">
        <f t="shared" si="137"/>
        <v>0.37931034482758619</v>
      </c>
      <c r="AT376" s="770">
        <f t="shared" si="138"/>
        <v>12.911186229257748</v>
      </c>
      <c r="AU376" s="13">
        <f t="shared" si="139"/>
        <v>15</v>
      </c>
      <c r="AV376" s="13">
        <f t="shared" si="140"/>
        <v>14</v>
      </c>
      <c r="AW376" s="173">
        <f t="shared" si="141"/>
        <v>43487</v>
      </c>
      <c r="AX376" s="754">
        <f t="shared" si="142"/>
        <v>0.86206896551724133</v>
      </c>
      <c r="AY376" s="770">
        <f t="shared" si="143"/>
        <v>12.848220317271251</v>
      </c>
      <c r="AZ376" s="747">
        <f t="shared" si="147"/>
        <v>12.8797032732645</v>
      </c>
      <c r="BA376" s="646">
        <f t="shared" si="144"/>
        <v>0.97551744348753011</v>
      </c>
      <c r="BB376" s="641">
        <v>43462</v>
      </c>
      <c r="BC376" s="11">
        <v>43462</v>
      </c>
      <c r="BD376" s="290">
        <f>[3]!FeuilCaduc*(1-Persistant)+Persistant</f>
        <v>0.80304238255323301</v>
      </c>
      <c r="BE376" s="291">
        <f>[3]!CroissVégét</f>
        <v>0.99999984492411664</v>
      </c>
      <c r="BF376" s="822">
        <f>1+[3]!Salcycl*Ksac</f>
        <v>1.0007605956383083</v>
      </c>
      <c r="BH376" s="1101">
        <f t="shared" si="145"/>
        <v>0.34566861040002922</v>
      </c>
      <c r="BI376" s="11">
        <v>44558</v>
      </c>
      <c r="BJ376" s="727">
        <v>5.8183280024968455E-2</v>
      </c>
      <c r="BK376" s="727">
        <v>0.12468437058805892</v>
      </c>
      <c r="BL376" s="727">
        <v>0.22600666004648884</v>
      </c>
      <c r="BM376" s="727">
        <v>0.34556202797607632</v>
      </c>
      <c r="BN376" s="727">
        <v>0.44033045810083327</v>
      </c>
      <c r="BO376" s="728">
        <v>0.51490547715079282</v>
      </c>
      <c r="BP376" s="727">
        <v>0.576401804046341</v>
      </c>
      <c r="BQ376" s="727">
        <v>0.64111698699615915</v>
      </c>
      <c r="BR376" s="727">
        <v>0.69347780730480013</v>
      </c>
      <c r="BS376" s="727">
        <v>0.74575046176281323</v>
      </c>
      <c r="BT376" s="727">
        <v>0.80192046707077935</v>
      </c>
      <c r="BW376" s="1157">
        <f>'2018'!R\Max</f>
        <v>0.15246817511887917</v>
      </c>
      <c r="BX376" s="1155">
        <f>'2019'!R\Max</f>
        <v>0.1732350873291042</v>
      </c>
      <c r="BY376" s="1155">
        <f>'2020'!R\Max</f>
        <v>0.32382745646485861</v>
      </c>
      <c r="BZ376" s="1155">
        <f>'2021'!R\Max</f>
        <v>0.27441195854121059</v>
      </c>
      <c r="CA376" s="1155">
        <f>'2022'!R\Max</f>
        <v>0.97551744348753011</v>
      </c>
      <c r="CB376" s="1155">
        <f>'2023'!R\Max</f>
        <v>0.97532445214416397</v>
      </c>
      <c r="CC376" s="1155">
        <f>'2024'!R\Max</f>
        <v>0.97503886022345032</v>
      </c>
      <c r="CD376" s="1155">
        <f>'2025'!R\Max</f>
        <v>0.97648559556429126</v>
      </c>
      <c r="CE376" s="1155">
        <f>'2026'!R\Max</f>
        <v>0.9760726081207991</v>
      </c>
      <c r="CF376" s="1156">
        <f>'2027'!R\Max</f>
        <v>0.97573611408160887</v>
      </c>
    </row>
    <row r="377" spans="1:84" s="6" customFormat="1" ht="11.25" x14ac:dyDescent="0.2">
      <c r="A377" s="11">
        <v>43463</v>
      </c>
      <c r="B377" s="380">
        <f>'2022'!Maxi_hp</f>
        <v>12.09881611457118</v>
      </c>
      <c r="C377" s="13">
        <f>'2022'!An_max</f>
        <v>2019</v>
      </c>
      <c r="D377" s="1070"/>
      <c r="E377" s="13"/>
      <c r="F377" s="13">
        <f t="shared" si="146"/>
        <v>27</v>
      </c>
      <c r="G377" s="13">
        <f t="shared" si="130"/>
        <v>28</v>
      </c>
      <c r="H377" s="173">
        <f t="shared" si="131"/>
        <v>43458</v>
      </c>
      <c r="I377" s="754">
        <f t="shared" si="132"/>
        <v>0.33333333333333331</v>
      </c>
      <c r="J377" s="747">
        <f t="shared" si="133"/>
        <v>13.057352216541767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P377" s="13">
        <f t="shared" si="134"/>
        <v>15</v>
      </c>
      <c r="AQ377" s="13">
        <f t="shared" si="135"/>
        <v>14</v>
      </c>
      <c r="AR377" s="173">
        <f t="shared" si="136"/>
        <v>43473</v>
      </c>
      <c r="AS377" s="754">
        <f t="shared" si="137"/>
        <v>0.34482758620689657</v>
      </c>
      <c r="AT377" s="770">
        <f t="shared" si="138"/>
        <v>13.041007833362652</v>
      </c>
      <c r="AU377" s="13">
        <f t="shared" si="139"/>
        <v>15</v>
      </c>
      <c r="AV377" s="13">
        <f t="shared" si="140"/>
        <v>14</v>
      </c>
      <c r="AW377" s="173">
        <f t="shared" si="141"/>
        <v>43487</v>
      </c>
      <c r="AX377" s="754">
        <f t="shared" si="142"/>
        <v>0.82758620689655171</v>
      </c>
      <c r="AY377" s="770">
        <f t="shared" si="143"/>
        <v>12.952780140962068</v>
      </c>
      <c r="AZ377" s="747">
        <f t="shared" si="147"/>
        <v>12.996893987162359</v>
      </c>
      <c r="BA377" s="646">
        <f t="shared" si="144"/>
        <v>0.92659031585620699</v>
      </c>
      <c r="BB377" s="641">
        <v>43463</v>
      </c>
      <c r="BC377" s="11">
        <v>43463</v>
      </c>
      <c r="BD377" s="290">
        <f>[3]!FeuilCaduc*(1-Persistant)+Persistant</f>
        <v>0.80283447835743404</v>
      </c>
      <c r="BE377" s="291">
        <f>[3]!CroissVégét</f>
        <v>0.99999984492411664</v>
      </c>
      <c r="BF377" s="822">
        <f>1+[3]!Salcycl*Ksac</f>
        <v>1.0007086195893584</v>
      </c>
      <c r="BH377" s="1101">
        <f t="shared" si="145"/>
        <v>0.34604578496324029</v>
      </c>
      <c r="BI377" s="11">
        <v>44559</v>
      </c>
      <c r="BJ377" s="727">
        <v>5.7851893460636371E-2</v>
      </c>
      <c r="BK377" s="727">
        <v>0.12424164512861474</v>
      </c>
      <c r="BL377" s="727">
        <v>0.22572757124662723</v>
      </c>
      <c r="BM377" s="727">
        <v>0.34593825261335004</v>
      </c>
      <c r="BN377" s="727">
        <v>0.44155131533773623</v>
      </c>
      <c r="BO377" s="728">
        <v>0.51654740913077357</v>
      </c>
      <c r="BP377" s="727">
        <v>0.57867749634131971</v>
      </c>
      <c r="BQ377" s="727">
        <v>0.64343125665134115</v>
      </c>
      <c r="BR377" s="727">
        <v>0.69637194695335647</v>
      </c>
      <c r="BS377" s="727">
        <v>0.74885255487046443</v>
      </c>
      <c r="BT377" s="727">
        <v>0.80496979342859787</v>
      </c>
      <c r="BW377" s="1157">
        <f>'2018'!R\Max</f>
        <v>0.16762615524373209</v>
      </c>
      <c r="BX377" s="1155">
        <f>'2019'!R\Max</f>
        <v>0.92659031585620699</v>
      </c>
      <c r="BY377" s="1155">
        <f>'2020'!R\Max</f>
        <v>0.4313442955622489</v>
      </c>
      <c r="BZ377" s="1155">
        <f>'2021'!R\Max</f>
        <v>0.24124524056402083</v>
      </c>
      <c r="CA377" s="1155">
        <f>'2022'!R\Max</f>
        <v>0.53803392501083702</v>
      </c>
      <c r="CB377" s="1155">
        <f>'2023'!R\Max</f>
        <v>0.53603779617670499</v>
      </c>
      <c r="CC377" s="1155">
        <f>'2024'!R\Max</f>
        <v>0.53309997884101323</v>
      </c>
      <c r="CD377" s="1155">
        <f>'2025'!R\Max</f>
        <v>0.54826603263431706</v>
      </c>
      <c r="CE377" s="1155">
        <f>'2026'!R\Max</f>
        <v>0.54384854230679958</v>
      </c>
      <c r="CF377" s="1156">
        <f>'2027'!R\Max</f>
        <v>0.54030973599995791</v>
      </c>
    </row>
    <row r="378" spans="1:84" s="6" customFormat="1" ht="11.25" x14ac:dyDescent="0.2">
      <c r="A378" s="11">
        <v>43464</v>
      </c>
      <c r="B378" s="380">
        <f>'2022'!Maxi_hp</f>
        <v>12.623938379603631</v>
      </c>
      <c r="C378" s="13">
        <f>'2022'!An_max</f>
        <v>2019</v>
      </c>
      <c r="D378" s="1070"/>
      <c r="E378" s="13"/>
      <c r="F378" s="13">
        <f t="shared" si="146"/>
        <v>27</v>
      </c>
      <c r="G378" s="13">
        <f t="shared" si="130"/>
        <v>28</v>
      </c>
      <c r="H378" s="173">
        <f t="shared" si="131"/>
        <v>43458</v>
      </c>
      <c r="I378" s="754">
        <f t="shared" si="132"/>
        <v>0.4</v>
      </c>
      <c r="J378" s="747">
        <f t="shared" si="133"/>
        <v>13.185326325297357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P378" s="13">
        <f t="shared" si="134"/>
        <v>15</v>
      </c>
      <c r="AQ378" s="13">
        <f t="shared" si="135"/>
        <v>14</v>
      </c>
      <c r="AR378" s="173">
        <f t="shared" si="136"/>
        <v>43473</v>
      </c>
      <c r="AS378" s="754">
        <f t="shared" si="137"/>
        <v>0.31034482758620691</v>
      </c>
      <c r="AT378" s="770">
        <f t="shared" si="138"/>
        <v>13.176600583719795</v>
      </c>
      <c r="AU378" s="13">
        <f t="shared" si="139"/>
        <v>15</v>
      </c>
      <c r="AV378" s="13">
        <f t="shared" si="140"/>
        <v>14</v>
      </c>
      <c r="AW378" s="173">
        <f t="shared" si="141"/>
        <v>43487</v>
      </c>
      <c r="AX378" s="754">
        <f t="shared" si="142"/>
        <v>0.7931034482758621</v>
      </c>
      <c r="AY378" s="770">
        <f t="shared" si="143"/>
        <v>13.066789663814266</v>
      </c>
      <c r="AZ378" s="747">
        <f t="shared" si="147"/>
        <v>13.121695123767029</v>
      </c>
      <c r="BA378" s="646">
        <f t="shared" si="144"/>
        <v>0.95742328010368261</v>
      </c>
      <c r="BB378" s="641">
        <v>43464</v>
      </c>
      <c r="BC378" s="11">
        <v>43464</v>
      </c>
      <c r="BD378" s="290">
        <f>[3]!FeuilCaduc*(1-Persistant)+Persistant</f>
        <v>0.8026405764187875</v>
      </c>
      <c r="BE378" s="291">
        <f>[3]!CroissVégét</f>
        <v>0.99999984492411664</v>
      </c>
      <c r="BF378" s="822">
        <f>1+[3]!Salcycl*Ksac</f>
        <v>1.0006601441046969</v>
      </c>
      <c r="BH378" s="1101">
        <f t="shared" si="145"/>
        <v>0.34632462587383117</v>
      </c>
      <c r="BI378" s="11">
        <v>44560</v>
      </c>
      <c r="BJ378" s="727">
        <v>5.7455241335581692E-2</v>
      </c>
      <c r="BK378" s="727">
        <v>0.12376715710502999</v>
      </c>
      <c r="BL378" s="727">
        <v>0.22534847295980448</v>
      </c>
      <c r="BM378" s="727">
        <v>0.34621602701189325</v>
      </c>
      <c r="BN378" s="727">
        <v>0.44277738560650876</v>
      </c>
      <c r="BO378" s="728">
        <v>0.51838715910351396</v>
      </c>
      <c r="BP378" s="727">
        <v>0.58122418889348859</v>
      </c>
      <c r="BQ378" s="727">
        <v>0.64604117567847075</v>
      </c>
      <c r="BR378" s="727">
        <v>0.69958750913747159</v>
      </c>
      <c r="BS378" s="727">
        <v>0.7523350226387957</v>
      </c>
      <c r="BT378" s="727">
        <v>0.80839952747399613</v>
      </c>
      <c r="BW378" s="1157">
        <f>'2018'!R\Max</f>
        <v>0.15727518017625147</v>
      </c>
      <c r="BX378" s="1155">
        <f>'2019'!R\Max</f>
        <v>0.95742328010368261</v>
      </c>
      <c r="BY378" s="1155">
        <f>'2020'!R\Max</f>
        <v>0.3960854328138933</v>
      </c>
      <c r="BZ378" s="1155">
        <f>'2021'!R\Max</f>
        <v>0.63968967369806817</v>
      </c>
      <c r="CA378" s="1155">
        <f>'2022'!R\Max</f>
        <v>0.68516255166364981</v>
      </c>
      <c r="CB378" s="1155">
        <f>'2023'!R\Max</f>
        <v>0.6834297292566881</v>
      </c>
      <c r="CC378" s="1155">
        <f>'2024'!R\Max</f>
        <v>0.6808662300683419</v>
      </c>
      <c r="CD378" s="1155">
        <f>'2025'!R\Max</f>
        <v>0.69397995540897173</v>
      </c>
      <c r="CE378" s="1155">
        <f>'2026'!R\Max</f>
        <v>0.69018267024328517</v>
      </c>
      <c r="CF378" s="1156">
        <f>'2027'!R\Max</f>
        <v>0.68713136642051709</v>
      </c>
    </row>
    <row r="379" spans="1:84" s="6" customFormat="1" ht="11.25" x14ac:dyDescent="0.2">
      <c r="A379" s="11">
        <v>43465</v>
      </c>
      <c r="B379" s="380">
        <f>'2022'!Maxi_hp</f>
        <v>12.634141180813497</v>
      </c>
      <c r="C379" s="13">
        <f>'2022'!An_max</f>
        <v>2021</v>
      </c>
      <c r="D379" s="1070"/>
      <c r="E379" s="13"/>
      <c r="F379" s="13">
        <f t="shared" si="146"/>
        <v>27</v>
      </c>
      <c r="G379" s="13">
        <f t="shared" si="130"/>
        <v>28</v>
      </c>
      <c r="H379" s="173">
        <f t="shared" si="131"/>
        <v>43458</v>
      </c>
      <c r="I379" s="754">
        <f t="shared" si="132"/>
        <v>0.46666666666666667</v>
      </c>
      <c r="J379" s="747">
        <f t="shared" si="133"/>
        <v>13.319936412920555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P379" s="13">
        <f t="shared" si="134"/>
        <v>15</v>
      </c>
      <c r="AQ379" s="13">
        <f t="shared" si="135"/>
        <v>14</v>
      </c>
      <c r="AR379" s="173">
        <f t="shared" si="136"/>
        <v>43473</v>
      </c>
      <c r="AS379" s="754">
        <f t="shared" si="137"/>
        <v>0.27586206896551724</v>
      </c>
      <c r="AT379" s="770">
        <f t="shared" si="138"/>
        <v>13.317543043144818</v>
      </c>
      <c r="AU379" s="13">
        <f t="shared" si="139"/>
        <v>15</v>
      </c>
      <c r="AV379" s="13">
        <f t="shared" si="140"/>
        <v>14</v>
      </c>
      <c r="AW379" s="173">
        <f t="shared" si="141"/>
        <v>43487</v>
      </c>
      <c r="AX379" s="754">
        <f t="shared" si="142"/>
        <v>0.75862068965517238</v>
      </c>
      <c r="AY379" s="770">
        <f t="shared" si="143"/>
        <v>13.18991278815886</v>
      </c>
      <c r="AZ379" s="747">
        <f t="shared" si="147"/>
        <v>13.25372791565184</v>
      </c>
      <c r="BA379" s="646">
        <f t="shared" si="144"/>
        <v>0.94851362567753517</v>
      </c>
      <c r="BB379" s="641">
        <v>43465</v>
      </c>
      <c r="BC379" s="11">
        <v>43465</v>
      </c>
      <c r="BD379" s="290">
        <f>[3]!FeuilCaduc*(1-Persistant)+Persistant</f>
        <v>0.80245923774287642</v>
      </c>
      <c r="BE379" s="291">
        <f>[3]!CroissVégét</f>
        <v>0.99999984492411664</v>
      </c>
      <c r="BF379" s="822">
        <f>1+[3]!Salcycl*Ksac</f>
        <v>1.000614809435719</v>
      </c>
      <c r="BH379" s="1101">
        <f t="shared" si="145"/>
        <v>0.34650411691966637</v>
      </c>
      <c r="BI379" s="11">
        <v>44561</v>
      </c>
      <c r="BJ379" s="727">
        <v>5.6993070700958902E-2</v>
      </c>
      <c r="BK379" s="727">
        <v>0.1232605219208418</v>
      </c>
      <c r="BL379" s="727">
        <v>0.22486863129678147</v>
      </c>
      <c r="BM379" s="727">
        <v>0.34639433504016642</v>
      </c>
      <c r="BN379" s="727">
        <v>0.44400758111304783</v>
      </c>
      <c r="BO379" s="728">
        <v>0.52042372395043801</v>
      </c>
      <c r="BP379" s="727">
        <v>0.58404084352874586</v>
      </c>
      <c r="BQ379" s="727">
        <v>0.64894557284789522</v>
      </c>
      <c r="BR379" s="727">
        <v>0.70312324476630517</v>
      </c>
      <c r="BS379" s="727">
        <v>0.75619656857256645</v>
      </c>
      <c r="BT379" s="727">
        <v>0.81220822477717258</v>
      </c>
      <c r="BW379" s="1157">
        <f>'2018'!R\Max</f>
        <v>0.23762246208530166</v>
      </c>
      <c r="BX379" s="1155">
        <f>'2019'!R\Max</f>
        <v>0.79659184352225632</v>
      </c>
      <c r="BY379" s="1155">
        <f>'2020'!R\Max</f>
        <v>0.42432899539426744</v>
      </c>
      <c r="BZ379" s="1155">
        <f>'2021'!R\Max</f>
        <v>0.94851362567753517</v>
      </c>
      <c r="CA379" s="1155">
        <f>'2022'!R\Max</f>
        <v>0.6359606438168548</v>
      </c>
      <c r="CB379" s="1155">
        <f>'2023'!R\Max</f>
        <v>0.6341002525484436</v>
      </c>
      <c r="CC379" s="1155">
        <f>'2024'!R\Max</f>
        <v>0.63134733604669147</v>
      </c>
      <c r="CD379" s="1155">
        <f>'2025'!R\Max</f>
        <v>0.64544609274231424</v>
      </c>
      <c r="CE379" s="1155">
        <f>'2026'!R\Max</f>
        <v>0.64135593062231722</v>
      </c>
      <c r="CF379" s="1156">
        <f>'2027'!R\Max</f>
        <v>0.6380751057681906</v>
      </c>
    </row>
    <row r="380" spans="1:84" s="6" customFormat="1" ht="12" customHeight="1" thickBot="1" x14ac:dyDescent="0.25">
      <c r="A380" s="11">
        <v>43466</v>
      </c>
      <c r="B380" s="381">
        <f>'2022'!Maxi_hp</f>
        <v>9.8304510021791351</v>
      </c>
      <c r="C380" s="14">
        <f>'2022'!An_max</f>
        <v>2020</v>
      </c>
      <c r="D380" s="1071"/>
      <c r="E380" s="14"/>
      <c r="F380" s="14">
        <f t="shared" si="146"/>
        <v>27</v>
      </c>
      <c r="G380" s="14">
        <f t="shared" si="130"/>
        <v>28</v>
      </c>
      <c r="H380" s="749">
        <f t="shared" si="131"/>
        <v>43458</v>
      </c>
      <c r="I380" s="750">
        <f t="shared" si="132"/>
        <v>0.53333333333333333</v>
      </c>
      <c r="J380" s="748">
        <f t="shared" si="133"/>
        <v>13.460777378877003</v>
      </c>
      <c r="M380" s="812" t="s">
        <v>242</v>
      </c>
      <c r="N380" s="813">
        <f>$AZ22*10</f>
        <v>145.24877838828954</v>
      </c>
      <c r="O380" s="813">
        <f>$AZ36*10</f>
        <v>175.97245529107749</v>
      </c>
      <c r="P380" s="813">
        <f>$AZ50*10</f>
        <v>215.4994322236162</v>
      </c>
      <c r="Q380" s="813">
        <f>$AZ64*10</f>
        <v>259.71034374879673</v>
      </c>
      <c r="R380" s="813">
        <f>$AZ78*10</f>
        <v>303.79593749990454</v>
      </c>
      <c r="S380" s="813">
        <f>$AZ92*10</f>
        <v>344.54681250499561</v>
      </c>
      <c r="T380" s="813">
        <f>$AZ106*10</f>
        <v>378.8730000006035</v>
      </c>
      <c r="U380" s="813">
        <f>$AZ120*10</f>
        <v>404.84709375351667</v>
      </c>
      <c r="V380" s="813">
        <f>$AZ134*10</f>
        <v>422.83621874824166</v>
      </c>
      <c r="W380" s="813">
        <f>$AZ148*10</f>
        <v>433.0545312454924</v>
      </c>
      <c r="X380" s="813">
        <f>$AZ162*10</f>
        <v>435.96093750093132</v>
      </c>
      <c r="Y380" s="813">
        <f>$AZ176*10</f>
        <v>433.94175000302494</v>
      </c>
      <c r="Z380" s="813">
        <f>$AZ190*10</f>
        <v>429.0773437526077</v>
      </c>
      <c r="AA380" s="813">
        <f>$AZ204*10</f>
        <v>421.398312500678</v>
      </c>
      <c r="AB380" s="813">
        <f>$AZ218*10</f>
        <v>410.65990624995902</v>
      </c>
      <c r="AC380" s="813">
        <f>$AZ232*10</f>
        <v>397.6269687502645</v>
      </c>
      <c r="AD380" s="813">
        <f>$AZ246*10</f>
        <v>382.20771875325596</v>
      </c>
      <c r="AE380" s="813">
        <f>$AZ260*10</f>
        <v>362.07703125011176</v>
      </c>
      <c r="AF380" s="813">
        <f>$AZ274*10</f>
        <v>335.33809374924749</v>
      </c>
      <c r="AG380" s="813">
        <f>$AZ288*10</f>
        <v>302.41921874973923</v>
      </c>
      <c r="AH380" s="813">
        <f>$AZ302*10</f>
        <v>263.47337499679998</v>
      </c>
      <c r="AI380" s="813">
        <f>$AZ316*10</f>
        <v>218.99006250128153</v>
      </c>
      <c r="AJ380" s="813">
        <f>$AZ330*10</f>
        <v>174.598531257594</v>
      </c>
      <c r="AK380" s="813">
        <f>$AZ344*10</f>
        <v>139.85273001901805</v>
      </c>
      <c r="AL380" s="813">
        <f>$AZ358*10</f>
        <v>122.55506448820235</v>
      </c>
      <c r="AM380" s="813">
        <f>$AZ372*10</f>
        <v>124.94619991835849</v>
      </c>
      <c r="AP380" s="14">
        <f t="shared" si="134"/>
        <v>15</v>
      </c>
      <c r="AQ380" s="14">
        <f t="shared" si="135"/>
        <v>14</v>
      </c>
      <c r="AR380" s="749">
        <f t="shared" si="136"/>
        <v>43473</v>
      </c>
      <c r="AS380" s="750">
        <f t="shared" si="137"/>
        <v>0.2413793103448276</v>
      </c>
      <c r="AT380" s="771">
        <f t="shared" si="138"/>
        <v>13.463413777690509</v>
      </c>
      <c r="AU380" s="14">
        <f t="shared" si="139"/>
        <v>15</v>
      </c>
      <c r="AV380" s="14">
        <f t="shared" si="140"/>
        <v>14</v>
      </c>
      <c r="AW380" s="749">
        <f t="shared" si="141"/>
        <v>43487</v>
      </c>
      <c r="AX380" s="750">
        <f t="shared" si="142"/>
        <v>0.72413793103448276</v>
      </c>
      <c r="AY380" s="771">
        <f t="shared" si="143"/>
        <v>13.3218134177656</v>
      </c>
      <c r="AZ380" s="748">
        <f t="shared" si="147"/>
        <v>13.392613597728054</v>
      </c>
      <c r="BA380" s="646">
        <f t="shared" si="144"/>
        <v>0.73030336402452734</v>
      </c>
      <c r="BB380" s="641">
        <v>43466</v>
      </c>
      <c r="BC380" s="11">
        <v>43466</v>
      </c>
      <c r="BD380" s="292">
        <f>[3]!FeuilCaduc*(1-Persistant)+Persistant</f>
        <v>0.80228914971430698</v>
      </c>
      <c r="BE380" s="293">
        <f>[3]!CroissVégét</f>
        <v>0.99999984492411664</v>
      </c>
      <c r="BF380" s="823">
        <f>1+[3]!Salcycl*Ksac</f>
        <v>1.0005722874285767</v>
      </c>
      <c r="BH380" s="1102">
        <f t="shared" si="145"/>
        <v>0.34658323257552642</v>
      </c>
      <c r="BI380" s="11">
        <v>44562</v>
      </c>
      <c r="BJ380" s="827">
        <v>5.6465127850057535E-2</v>
      </c>
      <c r="BK380" s="731">
        <v>0.12272135782143695</v>
      </c>
      <c r="BL380" s="731">
        <v>0.22428730930236032</v>
      </c>
      <c r="BM380" s="731">
        <v>0.3464721512551856</v>
      </c>
      <c r="BN380" s="731">
        <v>0.44524080329429494</v>
      </c>
      <c r="BO380" s="732">
        <v>0.52265609855523709</v>
      </c>
      <c r="BP380" s="731">
        <v>0.58712641864304294</v>
      </c>
      <c r="BQ380" s="731">
        <v>0.65214327496065083</v>
      </c>
      <c r="BR380" s="731">
        <v>0.70697789870684835</v>
      </c>
      <c r="BS380" s="731">
        <v>0.76043589210206308</v>
      </c>
      <c r="BT380" s="731">
        <v>0.81639443756274266</v>
      </c>
      <c r="BW380" s="1158">
        <f>'2018'!R\Max</f>
        <v>0</v>
      </c>
      <c r="BX380" s="1159">
        <f>'2019'!R\Max</f>
        <v>0</v>
      </c>
      <c r="BY380" s="1159">
        <f>'2020'!R\Max</f>
        <v>0.73030336402452734</v>
      </c>
      <c r="BZ380" s="1159">
        <f>'2021'!R\Max</f>
        <v>0</v>
      </c>
      <c r="CA380" s="1159">
        <f>'2022'!R\Max</f>
        <v>0</v>
      </c>
      <c r="CB380" s="1159">
        <f>'2023'!R\Max</f>
        <v>0</v>
      </c>
      <c r="CC380" s="1159">
        <f>'2024'!R\Max</f>
        <v>0.68098852686297962</v>
      </c>
      <c r="CD380" s="1159">
        <f>'2025'!R\Max</f>
        <v>0</v>
      </c>
      <c r="CE380" s="1159">
        <f>'2026'!R\Max</f>
        <v>0</v>
      </c>
      <c r="CF380" s="1160">
        <f>'2027'!R\Max</f>
        <v>0</v>
      </c>
    </row>
    <row r="381" spans="1:84" ht="12" customHeight="1" x14ac:dyDescent="0.25">
      <c r="B381" s="637" t="s">
        <v>166</v>
      </c>
      <c r="M381" s="136" t="s">
        <v>243</v>
      </c>
      <c r="N381" s="814">
        <f t="shared" ref="N381:AM381" si="148">1-N3/N380*Ajust_M</f>
        <v>-4.2838336997719217E-3</v>
      </c>
      <c r="O381" s="814">
        <f t="shared" si="148"/>
        <v>4.1566465039518663E-3</v>
      </c>
      <c r="P381" s="814">
        <f t="shared" si="148"/>
        <v>5.5421131454425065E-4</v>
      </c>
      <c r="Q381" s="814">
        <f t="shared" si="148"/>
        <v>-2.7093886252134158E-3</v>
      </c>
      <c r="R381" s="814">
        <f t="shared" si="148"/>
        <v>1.0070493451040941E-3</v>
      </c>
      <c r="S381" s="814">
        <f t="shared" si="148"/>
        <v>-1.7758833570247212E-4</v>
      </c>
      <c r="T381" s="814">
        <f t="shared" si="148"/>
        <v>-2.5839793265682864E-3</v>
      </c>
      <c r="U381" s="814">
        <f t="shared" si="148"/>
        <v>1.284667128753858E-3</v>
      </c>
      <c r="V381" s="814">
        <f t="shared" si="148"/>
        <v>-2.1706099829854608E-4</v>
      </c>
      <c r="W381" s="814">
        <f t="shared" si="148"/>
        <v>-1.4835747190078408E-3</v>
      </c>
      <c r="X381" s="814">
        <f t="shared" si="148"/>
        <v>7.0175438809971791E-4</v>
      </c>
      <c r="Y381" s="814">
        <f t="shared" si="148"/>
        <v>5.6401579940912328E-4</v>
      </c>
      <c r="Z381" s="814">
        <f t="shared" si="148"/>
        <v>6.4171123602019264E-4</v>
      </c>
      <c r="AA381" s="814">
        <f t="shared" si="148"/>
        <v>-1.3068099301443148E-3</v>
      </c>
      <c r="AB381" s="814">
        <f t="shared" si="148"/>
        <v>1.1174849138541054E-3</v>
      </c>
      <c r="AC381" s="814">
        <f t="shared" si="148"/>
        <v>3.8470416316405132E-4</v>
      </c>
      <c r="AD381" s="814">
        <f t="shared" si="148"/>
        <v>1.0405827348367591E-3</v>
      </c>
      <c r="AE381" s="814">
        <f t="shared" si="148"/>
        <v>-3.1263202362767917E-3</v>
      </c>
      <c r="AF381" s="814">
        <f t="shared" si="148"/>
        <v>1.5509533779254348E-3</v>
      </c>
      <c r="AG381" s="814">
        <f t="shared" si="148"/>
        <v>-3.0349013743324882E-4</v>
      </c>
      <c r="AH381" s="814">
        <f t="shared" si="148"/>
        <v>-3.2512772996908801E-3</v>
      </c>
      <c r="AI381" s="814">
        <f t="shared" si="148"/>
        <v>-5.8675607652787232E-3</v>
      </c>
      <c r="AJ381" s="814">
        <f t="shared" si="148"/>
        <v>7.5346066666113209E-3</v>
      </c>
      <c r="AK381" s="814">
        <f t="shared" si="148"/>
        <v>-1.0315850177706753E-3</v>
      </c>
      <c r="AL381" s="814">
        <f t="shared" si="148"/>
        <v>1.7445745690976122E-2</v>
      </c>
      <c r="AM381" s="814">
        <f t="shared" si="148"/>
        <v>-2.927660720218217E-3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5" priority="20" stopIfTrue="1" operator="lessThan">
      <formula>0.01</formula>
    </cfRule>
    <cfRule type="cellIs" dxfId="34" priority="21" stopIfTrue="1" operator="greaterThan">
      <formula>0.05</formula>
    </cfRule>
  </conditionalFormatting>
  <conditionalFormatting sqref="A9:J9 A7:J7">
    <cfRule type="cellIs" dxfId="33" priority="50" stopIfTrue="1" operator="lessThan">
      <formula>0.01</formula>
    </cfRule>
    <cfRule type="cellIs" dxfId="32" priority="51" stopIfTrue="1" operator="greaterThan">
      <formula>0.05</formula>
    </cfRule>
  </conditionalFormatting>
  <conditionalFormatting sqref="N381:AM381">
    <cfRule type="cellIs" dxfId="31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8" activePane="bottomLeft" state="frozen"/>
      <selection activeCell="B15" sqref="B15:B380"/>
      <selection pane="bottomLeft" activeCell="AI5" sqref="AI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7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32" t="s">
        <v>24</v>
      </c>
      <c r="I1" s="1232"/>
      <c r="J1" s="1232"/>
      <c r="K1" s="1232"/>
      <c r="L1" s="15"/>
      <c r="M1" s="34"/>
      <c r="N1" s="538"/>
      <c r="O1" s="539"/>
      <c r="P1" s="540" t="s">
        <v>4</v>
      </c>
      <c r="Q1" s="420">
        <v>8.0000000000000002E-3</v>
      </c>
      <c r="R1" s="541"/>
      <c r="S1" s="542" t="s">
        <v>101</v>
      </c>
      <c r="T1" s="825">
        <f>PertePVan/365.25</f>
        <v>2.1902806297056812E-5</v>
      </c>
      <c r="U1" s="539"/>
      <c r="V1" s="543"/>
      <c r="W1" s="208"/>
      <c r="X1" s="544"/>
      <c r="Y1" s="536" t="s">
        <v>164</v>
      </c>
      <c r="Z1" s="1233">
        <v>0.14000000000000001</v>
      </c>
      <c r="AA1" s="1234"/>
      <c r="AB1" s="631"/>
      <c r="AC1" s="632"/>
      <c r="AE1" s="536" t="s">
        <v>246</v>
      </c>
      <c r="AF1" s="1109">
        <v>0.05</v>
      </c>
      <c r="AG1" s="539"/>
      <c r="AH1" s="208"/>
      <c r="AI1" s="208"/>
      <c r="AJ1" s="208"/>
      <c r="AK1" s="208"/>
      <c r="AL1" s="536" t="s">
        <v>118</v>
      </c>
      <c r="AM1" s="650">
        <v>0.7</v>
      </c>
      <c r="AN1" s="630"/>
      <c r="AO1" s="208"/>
      <c r="AP1" s="208"/>
      <c r="AQ1" s="208"/>
      <c r="AR1" s="536" t="s">
        <v>100</v>
      </c>
      <c r="AS1" s="368">
        <v>0.8</v>
      </c>
      <c r="AT1" s="651" t="s">
        <v>54</v>
      </c>
      <c r="AU1" s="537"/>
    </row>
    <row r="2" spans="1:78" s="533" customFormat="1" ht="18" customHeight="1" thickBot="1" x14ac:dyDescent="0.35">
      <c r="A2" s="83" t="s">
        <v>127</v>
      </c>
      <c r="B2" s="1188" t="str">
        <f>Station</f>
        <v>Donneville</v>
      </c>
      <c r="C2" s="1189"/>
      <c r="D2" s="1189"/>
      <c r="E2" s="1189"/>
      <c r="F2" s="1190"/>
      <c r="G2" s="824" t="s">
        <v>247</v>
      </c>
      <c r="K2" s="81"/>
      <c r="L2" s="534"/>
      <c r="M2" s="38"/>
      <c r="U2" s="35"/>
      <c r="V2" s="35"/>
      <c r="W2" s="35">
        <f>U5/Recap!L38</f>
        <v>0.18403382943062171</v>
      </c>
      <c r="X2" s="535"/>
      <c r="AA2" s="537"/>
      <c r="AB2" s="537"/>
      <c r="AC2" s="537"/>
      <c r="AD2" s="537"/>
      <c r="AE2" s="536" t="s">
        <v>165</v>
      </c>
      <c r="AF2" s="656">
        <v>2</v>
      </c>
      <c r="AG2" s="657">
        <f>+Tau_i*365</f>
        <v>730</v>
      </c>
      <c r="AH2" s="543"/>
      <c r="AI2" s="240"/>
      <c r="AJ2" s="544"/>
      <c r="AL2" s="648" t="s">
        <v>196</v>
      </c>
      <c r="AM2" s="1230">
        <v>0.5</v>
      </c>
      <c r="AN2" s="1231"/>
      <c r="AS2" s="209" t="s">
        <v>119</v>
      </c>
      <c r="AT2" s="652">
        <f>H_i</f>
        <v>-1.998875338297653</v>
      </c>
      <c r="AU2" s="649"/>
      <c r="AY2" s="659"/>
      <c r="AZ2" s="659"/>
      <c r="BB2" s="535"/>
      <c r="BE2" s="31"/>
      <c r="BF2" s="29"/>
      <c r="BH2" s="535"/>
      <c r="BI2" s="535"/>
      <c r="BJ2" s="535"/>
      <c r="BK2" s="70"/>
      <c r="BL2" s="70"/>
      <c r="BM2" s="535"/>
      <c r="BN2" s="535"/>
      <c r="BO2" s="535"/>
      <c r="BP2" s="535"/>
      <c r="BQ2" s="70"/>
      <c r="BR2" s="70"/>
      <c r="BS2" s="535"/>
      <c r="BT2" s="535"/>
      <c r="BU2" s="535"/>
      <c r="BW2" s="31"/>
      <c r="BX2" s="29"/>
      <c r="BZ2" s="535"/>
    </row>
    <row r="3" spans="1:78" s="80" customFormat="1" ht="12.75" customHeight="1" x14ac:dyDescent="0.25">
      <c r="A3" s="1224">
        <f>'2018'!An</f>
        <v>2018</v>
      </c>
      <c r="B3" s="1225"/>
      <c r="C3" s="1225"/>
      <c r="D3" s="1225"/>
      <c r="E3" s="1225"/>
      <c r="F3" s="1226"/>
      <c r="G3" s="1224">
        <f>'2019'!An</f>
        <v>2019</v>
      </c>
      <c r="H3" s="1225"/>
      <c r="I3" s="1225"/>
      <c r="J3" s="1225"/>
      <c r="K3" s="1225"/>
      <c r="L3" s="1226"/>
      <c r="M3" s="1224">
        <f>'2020'!An</f>
        <v>2020</v>
      </c>
      <c r="N3" s="1225"/>
      <c r="O3" s="1225"/>
      <c r="P3" s="1225"/>
      <c r="Q3" s="1225"/>
      <c r="R3" s="1226"/>
      <c r="S3" s="1224">
        <f>'2021'!An</f>
        <v>2021</v>
      </c>
      <c r="T3" s="1225"/>
      <c r="U3" s="1225"/>
      <c r="V3" s="1225"/>
      <c r="W3" s="1225"/>
      <c r="X3" s="1226"/>
      <c r="Y3" s="1224">
        <f>'2022'!An</f>
        <v>2022</v>
      </c>
      <c r="Z3" s="1225"/>
      <c r="AA3" s="1225"/>
      <c r="AB3" s="1225"/>
      <c r="AC3" s="1225"/>
      <c r="AD3" s="1226"/>
      <c r="AE3" s="1224">
        <f>'2023'!An</f>
        <v>2023</v>
      </c>
      <c r="AF3" s="1225"/>
      <c r="AG3" s="1225"/>
      <c r="AH3" s="1225"/>
      <c r="AI3" s="1225"/>
      <c r="AJ3" s="1226"/>
      <c r="AK3" s="1224">
        <f>'2024'!An</f>
        <v>2024</v>
      </c>
      <c r="AL3" s="1225"/>
      <c r="AM3" s="1229"/>
      <c r="AN3" s="1229"/>
      <c r="AO3" s="1225"/>
      <c r="AP3" s="1226"/>
      <c r="AQ3" s="1224">
        <f>'2025'!An</f>
        <v>2025</v>
      </c>
      <c r="AR3" s="1225"/>
      <c r="AS3" s="1225"/>
      <c r="AT3" s="1225"/>
      <c r="AU3" s="1225"/>
      <c r="AV3" s="1226"/>
      <c r="AW3" s="1224">
        <f>'2026'!An</f>
        <v>2026</v>
      </c>
      <c r="AX3" s="1225"/>
      <c r="AY3" s="1225"/>
      <c r="AZ3" s="1225"/>
      <c r="BA3" s="1225"/>
      <c r="BB3" s="1226"/>
      <c r="BC3" s="1224">
        <f>'2027'!An</f>
        <v>2027</v>
      </c>
      <c r="BD3" s="1225"/>
      <c r="BE3" s="1225"/>
      <c r="BF3" s="1225"/>
      <c r="BG3" s="1225"/>
      <c r="BH3" s="1226"/>
      <c r="BI3" s="1220" t="e">
        <v>#NAME?</v>
      </c>
      <c r="BJ3" s="1221"/>
      <c r="BK3" s="1221"/>
      <c r="BL3" s="1221"/>
      <c r="BM3" s="1221"/>
      <c r="BN3" s="1222"/>
      <c r="BO3" s="1220" t="e">
        <v>#NAME?</v>
      </c>
      <c r="BP3" s="1221"/>
      <c r="BQ3" s="1221"/>
      <c r="BR3" s="1221"/>
      <c r="BS3" s="1221"/>
      <c r="BT3" s="1222"/>
      <c r="BU3" s="1220" t="e">
        <v>#NAME?</v>
      </c>
      <c r="BV3" s="1221"/>
      <c r="BW3" s="1221"/>
      <c r="BX3" s="1221"/>
      <c r="BY3" s="1221"/>
      <c r="BZ3" s="1222"/>
    </row>
    <row r="4" spans="1:78" s="429" customFormat="1" ht="15" customHeight="1" x14ac:dyDescent="0.25">
      <c r="A4" s="213" t="s">
        <v>73</v>
      </c>
      <c r="B4" s="443" t="s">
        <v>130</v>
      </c>
      <c r="C4" s="444" t="s">
        <v>130</v>
      </c>
      <c r="D4" s="445" t="s">
        <v>76</v>
      </c>
      <c r="E4" s="577" t="s">
        <v>76</v>
      </c>
      <c r="F4" s="433"/>
      <c r="G4" s="358" t="s">
        <v>88</v>
      </c>
      <c r="H4" s="443" t="s">
        <v>130</v>
      </c>
      <c r="I4" s="444" t="s">
        <v>130</v>
      </c>
      <c r="J4" s="445" t="s">
        <v>76</v>
      </c>
      <c r="K4" s="577" t="s">
        <v>76</v>
      </c>
      <c r="L4" s="433"/>
      <c r="M4" s="358" t="s">
        <v>88</v>
      </c>
      <c r="N4" s="443" t="s">
        <v>130</v>
      </c>
      <c r="O4" s="444" t="s">
        <v>130</v>
      </c>
      <c r="P4" s="445" t="s">
        <v>76</v>
      </c>
      <c r="Q4" s="577" t="s">
        <v>76</v>
      </c>
      <c r="R4" s="433"/>
      <c r="S4" s="358" t="s">
        <v>88</v>
      </c>
      <c r="T4" s="443" t="s">
        <v>130</v>
      </c>
      <c r="U4" s="444" t="s">
        <v>130</v>
      </c>
      <c r="V4" s="445" t="s">
        <v>76</v>
      </c>
      <c r="W4" s="577" t="s">
        <v>76</v>
      </c>
      <c r="X4" s="433"/>
      <c r="Y4" s="358" t="s">
        <v>88</v>
      </c>
      <c r="Z4" s="443" t="s">
        <v>130</v>
      </c>
      <c r="AA4" s="444" t="s">
        <v>130</v>
      </c>
      <c r="AB4" s="445" t="s">
        <v>76</v>
      </c>
      <c r="AC4" s="577" t="s">
        <v>76</v>
      </c>
      <c r="AD4" s="433"/>
      <c r="AE4" s="358" t="s">
        <v>88</v>
      </c>
      <c r="AF4" s="443" t="s">
        <v>130</v>
      </c>
      <c r="AG4" s="444" t="s">
        <v>130</v>
      </c>
      <c r="AH4" s="445" t="s">
        <v>76</v>
      </c>
      <c r="AI4" s="577" t="s">
        <v>76</v>
      </c>
      <c r="AJ4" s="433"/>
      <c r="AK4" s="358" t="s">
        <v>88</v>
      </c>
      <c r="AL4" s="443" t="s">
        <v>130</v>
      </c>
      <c r="AM4" s="444" t="s">
        <v>130</v>
      </c>
      <c r="AN4" s="445" t="s">
        <v>76</v>
      </c>
      <c r="AO4" s="577" t="s">
        <v>76</v>
      </c>
      <c r="AP4" s="433"/>
      <c r="AQ4" s="358" t="s">
        <v>88</v>
      </c>
      <c r="AR4" s="443" t="s">
        <v>130</v>
      </c>
      <c r="AS4" s="444" t="s">
        <v>130</v>
      </c>
      <c r="AT4" s="445" t="s">
        <v>76</v>
      </c>
      <c r="AU4" s="577" t="s">
        <v>76</v>
      </c>
      <c r="AV4" s="433"/>
      <c r="AW4" s="358" t="s">
        <v>88</v>
      </c>
      <c r="AX4" s="443" t="s">
        <v>130</v>
      </c>
      <c r="AY4" s="444" t="s">
        <v>130</v>
      </c>
      <c r="AZ4" s="445" t="s">
        <v>76</v>
      </c>
      <c r="BA4" s="577" t="s">
        <v>76</v>
      </c>
      <c r="BB4" s="433"/>
      <c r="BC4" s="358" t="s">
        <v>88</v>
      </c>
      <c r="BD4" s="443" t="s">
        <v>130</v>
      </c>
      <c r="BE4" s="444" t="s">
        <v>130</v>
      </c>
      <c r="BF4" s="445" t="s">
        <v>76</v>
      </c>
      <c r="BG4" s="577" t="s">
        <v>76</v>
      </c>
      <c r="BH4" s="433"/>
      <c r="BI4" s="358" t="s">
        <v>88</v>
      </c>
      <c r="BJ4" s="443" t="s">
        <v>130</v>
      </c>
      <c r="BK4" s="444" t="s">
        <v>130</v>
      </c>
      <c r="BL4" s="445" t="s">
        <v>76</v>
      </c>
      <c r="BM4" s="577" t="s">
        <v>76</v>
      </c>
      <c r="BN4" s="433"/>
      <c r="BO4" s="358" t="s">
        <v>88</v>
      </c>
      <c r="BP4" s="443" t="s">
        <v>130</v>
      </c>
      <c r="BQ4" s="444" t="s">
        <v>130</v>
      </c>
      <c r="BR4" s="445" t="s">
        <v>76</v>
      </c>
      <c r="BS4" s="577" t="s">
        <v>76</v>
      </c>
      <c r="BT4" s="433"/>
      <c r="BU4" s="358" t="s">
        <v>88</v>
      </c>
      <c r="BV4" s="443" t="s">
        <v>130</v>
      </c>
      <c r="BW4" s="444" t="s">
        <v>130</v>
      </c>
      <c r="BX4" s="445" t="s">
        <v>76</v>
      </c>
      <c r="BY4" s="577" t="s">
        <v>76</v>
      </c>
      <c r="BZ4" s="433"/>
    </row>
    <row r="5" spans="1:78" s="429" customFormat="1" ht="15" customHeight="1" x14ac:dyDescent="0.25">
      <c r="A5" s="213" t="s">
        <v>16</v>
      </c>
      <c r="B5" s="434" t="s">
        <v>130</v>
      </c>
      <c r="C5" s="440" t="s">
        <v>130</v>
      </c>
      <c r="D5" s="441" t="s">
        <v>130</v>
      </c>
      <c r="E5" s="442" t="s">
        <v>130</v>
      </c>
      <c r="F5" s="187"/>
      <c r="G5" s="358" t="s">
        <v>89</v>
      </c>
      <c r="H5" s="434" t="s">
        <v>130</v>
      </c>
      <c r="I5" s="440" t="s">
        <v>130</v>
      </c>
      <c r="J5" s="441" t="s">
        <v>130</v>
      </c>
      <c r="K5" s="442" t="s">
        <v>130</v>
      </c>
      <c r="L5" s="187"/>
      <c r="M5" s="358" t="s">
        <v>89</v>
      </c>
      <c r="N5" s="434" t="s">
        <v>130</v>
      </c>
      <c r="O5" s="440" t="s">
        <v>130</v>
      </c>
      <c r="P5" s="441" t="s">
        <v>130</v>
      </c>
      <c r="Q5" s="442" t="s">
        <v>130</v>
      </c>
      <c r="R5" s="187"/>
      <c r="S5" s="358" t="s">
        <v>89</v>
      </c>
      <c r="T5" s="434">
        <v>44306</v>
      </c>
      <c r="U5" s="440">
        <v>1.7000000000000001E-2</v>
      </c>
      <c r="V5" s="441">
        <v>0.15</v>
      </c>
      <c r="W5" s="442" t="s">
        <v>130</v>
      </c>
      <c r="X5" s="187"/>
      <c r="Y5" s="358" t="s">
        <v>89</v>
      </c>
      <c r="Z5" s="434" t="s">
        <v>130</v>
      </c>
      <c r="AA5" s="440" t="s">
        <v>130</v>
      </c>
      <c r="AB5" s="441" t="s">
        <v>130</v>
      </c>
      <c r="AC5" s="442" t="s">
        <v>130</v>
      </c>
      <c r="AD5" s="187"/>
      <c r="AE5" s="358" t="s">
        <v>89</v>
      </c>
      <c r="AF5" s="434" t="s">
        <v>130</v>
      </c>
      <c r="AG5" s="440" t="s">
        <v>130</v>
      </c>
      <c r="AH5" s="441">
        <f>AVERAGE(AB10,V10,P10)</f>
        <v>0.14666666666666667</v>
      </c>
      <c r="AI5" s="442">
        <f>AVERAGE(AC10,W10,Q10)</f>
        <v>2</v>
      </c>
      <c r="AJ5" s="187"/>
      <c r="AK5" s="358" t="s">
        <v>89</v>
      </c>
      <c r="AL5" s="434" t="s">
        <v>130</v>
      </c>
      <c r="AM5" s="440" t="s">
        <v>130</v>
      </c>
      <c r="AN5" s="441" t="s">
        <v>130</v>
      </c>
      <c r="AO5" s="442" t="s">
        <v>130</v>
      </c>
      <c r="AP5" s="187"/>
      <c r="AQ5" s="358" t="s">
        <v>89</v>
      </c>
      <c r="AR5" s="434" t="s">
        <v>130</v>
      </c>
      <c r="AS5" s="440" t="s">
        <v>130</v>
      </c>
      <c r="AT5" s="441" t="s">
        <v>130</v>
      </c>
      <c r="AU5" s="442" t="s">
        <v>130</v>
      </c>
      <c r="AV5" s="187"/>
      <c r="AW5" s="358" t="s">
        <v>89</v>
      </c>
      <c r="AX5" s="434" t="s">
        <v>130</v>
      </c>
      <c r="AY5" s="440" t="s">
        <v>130</v>
      </c>
      <c r="AZ5" s="441" t="s">
        <v>130</v>
      </c>
      <c r="BA5" s="442" t="s">
        <v>130</v>
      </c>
      <c r="BB5" s="187"/>
      <c r="BC5" s="358" t="s">
        <v>89</v>
      </c>
      <c r="BD5" s="434" t="s">
        <v>130</v>
      </c>
      <c r="BE5" s="440" t="s">
        <v>130</v>
      </c>
      <c r="BF5" s="441" t="s">
        <v>130</v>
      </c>
      <c r="BG5" s="442" t="s">
        <v>130</v>
      </c>
      <c r="BH5" s="187"/>
      <c r="BI5" s="358" t="s">
        <v>89</v>
      </c>
      <c r="BJ5" s="434" t="s">
        <v>130</v>
      </c>
      <c r="BK5" s="440" t="s">
        <v>130</v>
      </c>
      <c r="BL5" s="441" t="s">
        <v>130</v>
      </c>
      <c r="BM5" s="442" t="s">
        <v>130</v>
      </c>
      <c r="BN5" s="187"/>
      <c r="BO5" s="358" t="s">
        <v>89</v>
      </c>
      <c r="BP5" s="434" t="s">
        <v>130</v>
      </c>
      <c r="BQ5" s="440" t="s">
        <v>130</v>
      </c>
      <c r="BR5" s="441" t="s">
        <v>130</v>
      </c>
      <c r="BS5" s="442" t="s">
        <v>130</v>
      </c>
      <c r="BT5" s="187"/>
      <c r="BU5" s="358" t="s">
        <v>89</v>
      </c>
      <c r="BV5" s="434" t="s">
        <v>130</v>
      </c>
      <c r="BW5" s="440" t="s">
        <v>130</v>
      </c>
      <c r="BX5" s="441" t="s">
        <v>130</v>
      </c>
      <c r="BY5" s="442" t="s">
        <v>130</v>
      </c>
      <c r="BZ5" s="187"/>
    </row>
    <row r="6" spans="1:78" s="429" customFormat="1" ht="15" customHeight="1" x14ac:dyDescent="0.25">
      <c r="A6" s="213" t="s">
        <v>18</v>
      </c>
      <c r="B6" s="421" t="s">
        <v>130</v>
      </c>
      <c r="C6" s="435" t="s">
        <v>130</v>
      </c>
      <c r="D6" s="1223" t="s">
        <v>130</v>
      </c>
      <c r="E6" s="1223"/>
      <c r="F6" s="188"/>
      <c r="G6" s="358" t="s">
        <v>90</v>
      </c>
      <c r="H6" s="421" t="s">
        <v>130</v>
      </c>
      <c r="I6" s="435" t="s">
        <v>130</v>
      </c>
      <c r="J6" s="1223">
        <v>-1.1000000000000001</v>
      </c>
      <c r="K6" s="1223"/>
      <c r="L6" s="188"/>
      <c r="M6" s="358" t="s">
        <v>90</v>
      </c>
      <c r="N6" s="421" t="s">
        <v>130</v>
      </c>
      <c r="O6" s="435" t="s">
        <v>130</v>
      </c>
      <c r="P6" s="1223">
        <v>-0.8</v>
      </c>
      <c r="Q6" s="1223"/>
      <c r="R6" s="188"/>
      <c r="S6" s="358" t="s">
        <v>90</v>
      </c>
      <c r="T6" s="421" t="s">
        <v>130</v>
      </c>
      <c r="U6" s="435" t="s">
        <v>130</v>
      </c>
      <c r="V6" s="1223" t="s">
        <v>130</v>
      </c>
      <c r="W6" s="1223"/>
      <c r="X6" s="188"/>
      <c r="Y6" s="358" t="s">
        <v>90</v>
      </c>
      <c r="Z6" s="421" t="s">
        <v>130</v>
      </c>
      <c r="AA6" s="435" t="s">
        <v>130</v>
      </c>
      <c r="AB6" s="1223" t="s">
        <v>130</v>
      </c>
      <c r="AC6" s="1223"/>
      <c r="AD6" s="188"/>
      <c r="AE6" s="358" t="s">
        <v>90</v>
      </c>
      <c r="AF6" s="421" t="s">
        <v>130</v>
      </c>
      <c r="AG6" s="435" t="s">
        <v>130</v>
      </c>
      <c r="AH6" s="1223" t="s">
        <v>130</v>
      </c>
      <c r="AI6" s="1223"/>
      <c r="AJ6" s="188"/>
      <c r="AK6" s="358" t="s">
        <v>90</v>
      </c>
      <c r="AL6" s="421" t="s">
        <v>130</v>
      </c>
      <c r="AM6" s="435" t="s">
        <v>130</v>
      </c>
      <c r="AN6" s="1223" t="s">
        <v>130</v>
      </c>
      <c r="AO6" s="1223"/>
      <c r="AP6" s="188"/>
      <c r="AQ6" s="358" t="s">
        <v>90</v>
      </c>
      <c r="AR6" s="421" t="s">
        <v>130</v>
      </c>
      <c r="AS6" s="435" t="s">
        <v>130</v>
      </c>
      <c r="AT6" s="1223" t="s">
        <v>130</v>
      </c>
      <c r="AU6" s="1223"/>
      <c r="AV6" s="188"/>
      <c r="AW6" s="358" t="s">
        <v>90</v>
      </c>
      <c r="AX6" s="421" t="s">
        <v>130</v>
      </c>
      <c r="AY6" s="435" t="s">
        <v>130</v>
      </c>
      <c r="AZ6" s="1223" t="s">
        <v>130</v>
      </c>
      <c r="BA6" s="1223"/>
      <c r="BB6" s="188"/>
      <c r="BC6" s="358" t="s">
        <v>90</v>
      </c>
      <c r="BD6" s="421" t="s">
        <v>130</v>
      </c>
      <c r="BE6" s="435" t="s">
        <v>130</v>
      </c>
      <c r="BF6" s="1223" t="s">
        <v>130</v>
      </c>
      <c r="BG6" s="1223"/>
      <c r="BH6" s="188"/>
      <c r="BI6" s="358" t="s">
        <v>90</v>
      </c>
      <c r="BJ6" s="421" t="s">
        <v>130</v>
      </c>
      <c r="BK6" s="435" t="s">
        <v>130</v>
      </c>
      <c r="BL6" s="1223" t="s">
        <v>130</v>
      </c>
      <c r="BM6" s="1223"/>
      <c r="BN6" s="188"/>
      <c r="BO6" s="358" t="s">
        <v>90</v>
      </c>
      <c r="BP6" s="421" t="s">
        <v>130</v>
      </c>
      <c r="BQ6" s="435" t="s">
        <v>130</v>
      </c>
      <c r="BR6" s="1223" t="s">
        <v>130</v>
      </c>
      <c r="BS6" s="1223"/>
      <c r="BT6" s="188"/>
      <c r="BU6" s="358" t="s">
        <v>90</v>
      </c>
      <c r="BV6" s="421" t="s">
        <v>130</v>
      </c>
      <c r="BW6" s="435" t="s">
        <v>130</v>
      </c>
      <c r="BX6" s="1223" t="s">
        <v>130</v>
      </c>
      <c r="BY6" s="1223"/>
      <c r="BZ6" s="188"/>
    </row>
    <row r="7" spans="1:78" ht="15.75" x14ac:dyDescent="0.25">
      <c r="A7" s="833" t="s">
        <v>266</v>
      </c>
      <c r="B7" s="432"/>
      <c r="C7" s="432"/>
      <c r="D7" s="221"/>
      <c r="E7" s="1227">
        <f>'2018'!Dépas_env</f>
        <v>4.3042463129113084E-2</v>
      </c>
      <c r="F7" s="1228"/>
      <c r="G7" s="833" t="s">
        <v>265</v>
      </c>
      <c r="H7" s="432"/>
      <c r="I7" s="432"/>
      <c r="J7" s="221"/>
      <c r="K7" s="1227">
        <f>'2019'!Dépas_env</f>
        <v>4.5482611965049102E-2</v>
      </c>
      <c r="L7" s="1228"/>
      <c r="M7" s="833" t="s">
        <v>265</v>
      </c>
      <c r="N7" s="432"/>
      <c r="O7" s="432"/>
      <c r="P7" s="221"/>
      <c r="Q7" s="1227">
        <f>'2020'!Dépas_env</f>
        <v>4.3988367776354398E-2</v>
      </c>
      <c r="R7" s="1228"/>
      <c r="S7" s="833" t="s">
        <v>265</v>
      </c>
      <c r="T7" s="432"/>
      <c r="U7" s="432"/>
      <c r="V7" s="221"/>
      <c r="W7" s="1227">
        <f>'2021'!Dépas_env</f>
        <v>4.3062264006309414E-2</v>
      </c>
      <c r="X7" s="1228"/>
      <c r="Y7" s="833" t="s">
        <v>265</v>
      </c>
      <c r="Z7" s="432"/>
      <c r="AA7" s="432"/>
      <c r="AB7" s="221"/>
      <c r="AC7" s="1227">
        <f>'2022'!Dépas_env</f>
        <v>4.129892302115179E-2</v>
      </c>
      <c r="AD7" s="1228"/>
      <c r="AE7" s="833" t="s">
        <v>265</v>
      </c>
      <c r="AF7" s="432"/>
      <c r="AG7" s="432"/>
      <c r="AH7" s="221"/>
      <c r="AI7" s="1227">
        <f>'2023'!Dépas_env</f>
        <v>4.129892302115179E-2</v>
      </c>
      <c r="AJ7" s="1228"/>
      <c r="AK7" s="833" t="s">
        <v>265</v>
      </c>
      <c r="AL7" s="432"/>
      <c r="AM7" s="432"/>
      <c r="AN7" s="221"/>
      <c r="AO7" s="1227">
        <f>'2024'!Dépas_env</f>
        <v>4.129892302115179E-2</v>
      </c>
      <c r="AP7" s="1228"/>
      <c r="AQ7" s="833" t="s">
        <v>265</v>
      </c>
      <c r="AR7" s="432"/>
      <c r="AS7" s="432"/>
      <c r="AT7" s="221"/>
      <c r="AU7" s="1227">
        <f>'2025'!Dépas_env</f>
        <v>4.129892302115179E-2</v>
      </c>
      <c r="AV7" s="1228"/>
      <c r="AW7" s="833" t="s">
        <v>265</v>
      </c>
      <c r="AX7" s="432"/>
      <c r="AY7" s="432"/>
      <c r="AZ7" s="221"/>
      <c r="BA7" s="1227">
        <f>'2026'!Dépas_env</f>
        <v>4.1298923021151568E-2</v>
      </c>
      <c r="BB7" s="1228"/>
      <c r="BC7" s="833" t="s">
        <v>265</v>
      </c>
      <c r="BD7" s="432"/>
      <c r="BE7" s="432"/>
      <c r="BF7" s="221"/>
      <c r="BG7" s="1227">
        <f>'2027'!Dépas_env</f>
        <v>4.129892302115179E-2</v>
      </c>
      <c r="BH7" s="1228"/>
      <c r="BI7" s="833" t="s">
        <v>265</v>
      </c>
      <c r="BJ7" s="432"/>
      <c r="BK7" s="432"/>
      <c r="BL7" s="221"/>
      <c r="BM7" s="1227"/>
      <c r="BN7" s="1228"/>
      <c r="BO7" s="833" t="s">
        <v>265</v>
      </c>
      <c r="BP7" s="432"/>
      <c r="BQ7" s="432"/>
      <c r="BR7" s="221"/>
      <c r="BS7" s="1227"/>
      <c r="BT7" s="1228"/>
      <c r="BU7" s="833" t="s">
        <v>265</v>
      </c>
      <c r="BV7" s="432"/>
      <c r="BW7" s="432"/>
      <c r="BX7" s="221"/>
      <c r="BY7" s="1227"/>
      <c r="BZ7" s="1228"/>
    </row>
    <row r="8" spans="1:78" ht="15.75" x14ac:dyDescent="0.25">
      <c r="A8" s="428" t="s">
        <v>129</v>
      </c>
      <c r="T8" s="658" t="s">
        <v>193</v>
      </c>
    </row>
    <row r="9" spans="1:78" s="28" customFormat="1" ht="15" customHeight="1" x14ac:dyDescent="0.25">
      <c r="A9" s="447" t="s">
        <v>73</v>
      </c>
      <c r="B9" s="580">
        <f>IF(B4="D",T0,IF(YEAR(B4)=A3,B4, "err."))</f>
        <v>43209</v>
      </c>
      <c r="C9" s="581">
        <f>IF(B9&gt;T0,IF(C4="D",0,C4),0)</f>
        <v>0</v>
      </c>
      <c r="D9" s="582" t="s">
        <v>76</v>
      </c>
      <c r="E9" s="463" t="s">
        <v>76</v>
      </c>
      <c r="F9" s="1167">
        <f>IF(C5="I",T0,B10)</f>
        <v>43209</v>
      </c>
      <c r="G9" s="448" t="s">
        <v>88</v>
      </c>
      <c r="H9" s="580">
        <f>IF(H4="D",B9,IF(YEAR(H4)=G3,H4, "err."))</f>
        <v>43209</v>
      </c>
      <c r="I9" s="581">
        <f>IF(YEAR(H9)=G3,IF(I4="D",C9,I4),C9)</f>
        <v>0</v>
      </c>
      <c r="J9" s="583" t="s">
        <v>76</v>
      </c>
      <c r="K9" s="452" t="s">
        <v>76</v>
      </c>
      <c r="L9" s="1167">
        <f>IF(I5="I",F9,IF(YEAR(H10)=G3,H10,F9))</f>
        <v>43209</v>
      </c>
      <c r="M9" s="450" t="s">
        <v>88</v>
      </c>
      <c r="N9" s="580">
        <f>IF(N4="D",H9,IF(YEAR(N4)=M3,N4, "err."))</f>
        <v>43209</v>
      </c>
      <c r="O9" s="581">
        <f>IF(YEAR(N9)=M3,IF(O4="D",I9,O4),I9)</f>
        <v>0</v>
      </c>
      <c r="P9" s="583" t="s">
        <v>76</v>
      </c>
      <c r="Q9" s="452" t="s">
        <v>76</v>
      </c>
      <c r="R9" s="1167">
        <f>IF(O5="I",L9,IF(YEAR(N10)=M3,N10,L9))</f>
        <v>43209</v>
      </c>
      <c r="S9" s="448" t="s">
        <v>88</v>
      </c>
      <c r="T9" s="580">
        <f>IF(T4="D",N9,IF(YEAR(T4)=S3,T4, "err."))</f>
        <v>43209</v>
      </c>
      <c r="U9" s="581">
        <f>IF(YEAR(T9)=S3,IF(U4="D",O9,U4),O9)</f>
        <v>0</v>
      </c>
      <c r="V9" s="583" t="s">
        <v>76</v>
      </c>
      <c r="W9" s="452" t="s">
        <v>76</v>
      </c>
      <c r="X9" s="1167">
        <f>IF(U5="I",R9,IF(YEAR(T10)=S3,T10,R9))</f>
        <v>44306</v>
      </c>
      <c r="Y9" s="448" t="s">
        <v>88</v>
      </c>
      <c r="Z9" s="580">
        <f>IF(Z4="D",T9,IF(YEAR(Z4)=Y3,Z4, "err."))</f>
        <v>43209</v>
      </c>
      <c r="AA9" s="581">
        <f>IF(YEAR(Z9)=Y3,IF(AA4="D",U9,AA4),U9)</f>
        <v>0</v>
      </c>
      <c r="AB9" s="583" t="s">
        <v>76</v>
      </c>
      <c r="AC9" s="452" t="s">
        <v>76</v>
      </c>
      <c r="AD9" s="1167">
        <f>IF(AA5="I",X9,IF(YEAR(Z10)=Y3,Z10,X9))</f>
        <v>44306</v>
      </c>
      <c r="AE9" s="448" t="s">
        <v>88</v>
      </c>
      <c r="AF9" s="580">
        <f>IF(AF4="D",Z9,IF(YEAR(AF4)=AE3,AF4, "err."))</f>
        <v>43209</v>
      </c>
      <c r="AG9" s="581">
        <f>IF(YEAR(AF9)=AE3,IF(AG4="D",AA9,AG4),AA9)</f>
        <v>0</v>
      </c>
      <c r="AH9" s="583" t="s">
        <v>76</v>
      </c>
      <c r="AI9" s="452" t="s">
        <v>76</v>
      </c>
      <c r="AJ9" s="1167">
        <f>IF(AG5="I",AD9,IF(YEAR(AF10)=AE3,AF10,AD9))</f>
        <v>45046</v>
      </c>
      <c r="AK9" s="448" t="s">
        <v>88</v>
      </c>
      <c r="AL9" s="596">
        <f>IF(AL4="D",AF9,AL4)</f>
        <v>43209</v>
      </c>
      <c r="AM9" s="597">
        <f>IF(AM4="D",AG9,AM4)</f>
        <v>0</v>
      </c>
      <c r="AN9" s="583" t="s">
        <v>76</v>
      </c>
      <c r="AO9" s="598" t="s">
        <v>76</v>
      </c>
      <c r="AP9" s="1167">
        <f>IF(AM5="I",AJ9,IF(YEAR(AL10)=AK3,AL10,AJ9))</f>
        <v>45046</v>
      </c>
      <c r="AQ9" s="448" t="s">
        <v>88</v>
      </c>
      <c r="AR9" s="580">
        <f>IF(AR4="D",AL9,AR4)</f>
        <v>43209</v>
      </c>
      <c r="AS9" s="581">
        <f>IF(AS4="D",AM9,AS4)</f>
        <v>0</v>
      </c>
      <c r="AT9" s="583" t="s">
        <v>76</v>
      </c>
      <c r="AU9" s="452" t="s">
        <v>76</v>
      </c>
      <c r="AV9" s="1167">
        <f>IF(AS5="I",AP9,IF(YEAR(AR10)=AQ3,AR10,AP9))</f>
        <v>45777</v>
      </c>
      <c r="AW9" s="448" t="s">
        <v>88</v>
      </c>
      <c r="AX9" s="580">
        <f>IF(AX4="D",AR9,AX4)</f>
        <v>43209</v>
      </c>
      <c r="AY9" s="581">
        <f>IF(AY4="D",AS9,AY4)</f>
        <v>0</v>
      </c>
      <c r="AZ9" s="583" t="s">
        <v>76</v>
      </c>
      <c r="BA9" s="452" t="s">
        <v>76</v>
      </c>
      <c r="BB9" s="1167">
        <f>IF(AY5="I",AV9,IF(YEAR(AX10)=AW3,AX10,AV9))</f>
        <v>45777</v>
      </c>
      <c r="BC9" s="448" t="s">
        <v>88</v>
      </c>
      <c r="BD9" s="580">
        <f>IF(BD4="D",AX9,BD4)</f>
        <v>43209</v>
      </c>
      <c r="BE9" s="581">
        <f>IF(BE4="D",AY9,BE4)</f>
        <v>0</v>
      </c>
      <c r="BF9" s="583" t="s">
        <v>76</v>
      </c>
      <c r="BG9" s="452" t="s">
        <v>76</v>
      </c>
      <c r="BH9" s="1167">
        <f>IF(BE5="I",BB9,IF(YEAR(BD10)=BC3,BD10,BB9))</f>
        <v>46507</v>
      </c>
      <c r="BI9" s="448" t="s">
        <v>88</v>
      </c>
      <c r="BJ9" s="580">
        <f>IF(BJ4="D",BD9,BJ4)</f>
        <v>43209</v>
      </c>
      <c r="BK9" s="581">
        <f>IF(BK4="D",BE9,BK4)</f>
        <v>0</v>
      </c>
      <c r="BL9" s="583" t="s">
        <v>76</v>
      </c>
      <c r="BM9" s="452" t="s">
        <v>76</v>
      </c>
      <c r="BN9" s="1167" t="e">
        <f>IF(BK5="I",BH9,IF(YEAR(BJ10)=BI3,BJ10,BH9))</f>
        <v>#NAME?</v>
      </c>
      <c r="BO9" s="448" t="s">
        <v>88</v>
      </c>
      <c r="BP9" s="580">
        <f>IF(BP4="D",BJ9,BP4)</f>
        <v>43209</v>
      </c>
      <c r="BQ9" s="581">
        <f>IF(BQ4="D",BK9,BQ4)</f>
        <v>0</v>
      </c>
      <c r="BR9" s="583" t="s">
        <v>76</v>
      </c>
      <c r="BS9" s="452" t="s">
        <v>76</v>
      </c>
      <c r="BT9" s="1167" t="e">
        <f>IF(BQ5="I",BN9,IF(YEAR(BP10)=BO3,BP10,BN9))</f>
        <v>#NAME?</v>
      </c>
      <c r="BU9" s="448" t="s">
        <v>88</v>
      </c>
      <c r="BV9" s="580">
        <f>IF(BV4="D",BP9,BV4)</f>
        <v>43209</v>
      </c>
      <c r="BW9" s="581">
        <f>IF(BW4="D",BQ9,BW4)</f>
        <v>0</v>
      </c>
      <c r="BX9" s="583" t="s">
        <v>76</v>
      </c>
      <c r="BY9" s="452" t="s">
        <v>76</v>
      </c>
      <c r="BZ9" s="1167" t="e">
        <f>IF(BW5="I",BT9,IF(YEAR(BV10)=BU3,BV10,BT9))</f>
        <v>#NAME?</v>
      </c>
    </row>
    <row r="10" spans="1:78" s="451" customFormat="1" ht="15" customHeight="1" x14ac:dyDescent="0.25">
      <c r="A10" s="464" t="s">
        <v>16</v>
      </c>
      <c r="B10" s="578">
        <f>IF(B5="D",T0,IF(YEAR(B5)=A3,B5, "err."))</f>
        <v>43209</v>
      </c>
      <c r="C10" s="584">
        <f>IF(B10&gt;T0,IF(C5="D",0,C5),0)</f>
        <v>0</v>
      </c>
      <c r="D10" s="585">
        <f>IF(YEAR(B10)=A3,IF(D5="D",Salim_i,D5),Salim_i)</f>
        <v>0.14000000000000001</v>
      </c>
      <c r="E10" s="586">
        <f>IF(E5="D",Tau_i,IF(YEAR(B10)=A3,E5,Tau_i))</f>
        <v>2</v>
      </c>
      <c r="F10" s="1168">
        <f>C10</f>
        <v>0</v>
      </c>
      <c r="G10" s="450" t="s">
        <v>89</v>
      </c>
      <c r="H10" s="578">
        <f>IF(H5="D",IF(AND(G3&gt;=YEAR(F9)+Inter_net,G3&gt;Amaj),DATE(G3,4,30),B10),IF(YEAR(H5)=G3,H5,"err."))</f>
        <v>43209</v>
      </c>
      <c r="I10" s="584">
        <f>IF(G3=YEAR(H10),IF(I5="D",F10,I5),C13)</f>
        <v>0</v>
      </c>
      <c r="J10" s="585">
        <f>IF(G3=YEAR(H10),IF(J5="D",D10,J5),D10)</f>
        <v>0.14000000000000001</v>
      </c>
      <c r="K10" s="586">
        <f>IF(G3=YEAR(H10),IF(K5="D",E10,K5),E10)</f>
        <v>2</v>
      </c>
      <c r="L10" s="1168">
        <f>IF(I5="I",F10,IF(I5="D",F10,I5))</f>
        <v>0</v>
      </c>
      <c r="M10" s="450" t="s">
        <v>89</v>
      </c>
      <c r="N10" s="578">
        <f>IF(N5="D",IF(AND(M3&gt;=YEAR(L9)+Inter_net,M3&gt;Amaj),DATE(M3,4,30),H10),IF(YEAR(N5)=M3,N5,"err."))</f>
        <v>43209</v>
      </c>
      <c r="O10" s="584">
        <f>IF(M3=YEAR(N10),IF(O5="D",L10,O5),I13)</f>
        <v>0</v>
      </c>
      <c r="P10" s="585">
        <f>IF(M3=YEAR(N10),IF(P5="D",J10,P5),J10)</f>
        <v>0.14000000000000001</v>
      </c>
      <c r="Q10" s="586">
        <f>IF(M3=YEAR(N10),IF(Q5="D",K10,Q5),K10)</f>
        <v>2</v>
      </c>
      <c r="R10" s="1168">
        <f>IF(O5="I",L10,IF(O5="D",L10,O5))</f>
        <v>0</v>
      </c>
      <c r="S10" s="450" t="s">
        <v>89</v>
      </c>
      <c r="T10" s="578">
        <f>IF(T5="D",IF(AND(S3&gt;=YEAR(R9)+Inter_net,S3&gt;Amaj),DATE(S3,4,30),N10),IF(YEAR(T5)=S3,T5,"err."))</f>
        <v>44306</v>
      </c>
      <c r="U10" s="584">
        <f>IF(S3=YEAR(T10),IF(U5="D",R10,U5),O13)</f>
        <v>1.7000000000000001E-2</v>
      </c>
      <c r="V10" s="585">
        <f>IF(S3=YEAR(T10),IF(V5="D",P10,V5),P10)</f>
        <v>0.15</v>
      </c>
      <c r="W10" s="586">
        <f>IF(S3=YEAR(T10),IF(W5="D",Q10,W5),Q10)</f>
        <v>2</v>
      </c>
      <c r="X10" s="1168">
        <f>IF(U5="I",R10,IF(U5="D",R10,U5))</f>
        <v>1.7000000000000001E-2</v>
      </c>
      <c r="Y10" s="450" t="s">
        <v>89</v>
      </c>
      <c r="Z10" s="578">
        <f>IF(Z5="D",IF(AND(Y3&gt;=YEAR(X9)+Inter_net,Y3&gt;Amaj),DATE(Y3,4,30),T10),IF(YEAR(Z5)=Y3,Z5,"err."))</f>
        <v>44306</v>
      </c>
      <c r="AA10" s="584">
        <f>IF(Y3=YEAR(Z10),IF(AA5="D",X10,AA5),U13)</f>
        <v>1.7000000000000001E-2</v>
      </c>
      <c r="AB10" s="585">
        <f>IF(Y3=YEAR(Z10),IF(AB5="D",V10,AB5),V10)</f>
        <v>0.15</v>
      </c>
      <c r="AC10" s="586">
        <f>IF(Y3=YEAR(Z10),IF(AC5="D",W10,AC5),W10)</f>
        <v>2</v>
      </c>
      <c r="AD10" s="1168">
        <f>IF(AA5="I",X10,IF(AA5="D",X10,AA5))</f>
        <v>1.7000000000000001E-2</v>
      </c>
      <c r="AE10" s="450" t="s">
        <v>89</v>
      </c>
      <c r="AF10" s="578">
        <f>IF(AF5="D",IF(AND(AE3&gt;=YEAR(AD9)+Inter_net,AE3&gt;Amaj),DATE(AE3,4,30),Z10),IF(YEAR(AF5)=AE3,AF5,"err."))</f>
        <v>45046</v>
      </c>
      <c r="AG10" s="584">
        <f>IF(AE3=YEAR(AF10),IF(AG5="D",AD10,AG5),AA13)</f>
        <v>1.7000000000000001E-2</v>
      </c>
      <c r="AH10" s="585">
        <f>IF(AE3=YEAR(AF10),IF(AH5="D",AB10,AH5),AB10)</f>
        <v>0.14666666666666667</v>
      </c>
      <c r="AI10" s="586">
        <f>IF(AE3=YEAR(AF10),IF(AI5="D",AC10,AI5),AC10)</f>
        <v>2</v>
      </c>
      <c r="AJ10" s="1168">
        <f>IF(AG5="I",AD10,IF(AG5="D",AD10,AG5))</f>
        <v>1.7000000000000001E-2</v>
      </c>
      <c r="AK10" s="450" t="s">
        <v>89</v>
      </c>
      <c r="AL10" s="578">
        <f>IF(AL5="D",IF(AND(AK3&gt;=YEAR(AJ9)+Inter_net,AK3&gt;Amaj),DATE(AK3,4,30),AF10),IF(YEAR(AL5)=AK3,AL5,"err."))</f>
        <v>45046</v>
      </c>
      <c r="AM10" s="584">
        <f>IF(AK3=YEAR(AL10),IF(AM5="D",AJ10,AM5),AG13)</f>
        <v>1.7000000000000001E-2</v>
      </c>
      <c r="AN10" s="585">
        <f>IF(AN5="D",AH10,AN5)</f>
        <v>0.14666666666666667</v>
      </c>
      <c r="AO10" s="586">
        <f>IF(AO5="D",AI10,AO5)</f>
        <v>2</v>
      </c>
      <c r="AP10" s="1168">
        <f>IF(AM5="I",AJ10,IF(AM5="D",AJ10,AM5))</f>
        <v>1.7000000000000001E-2</v>
      </c>
      <c r="AQ10" s="450" t="s">
        <v>89</v>
      </c>
      <c r="AR10" s="578">
        <f>IF(AR5="D",IF(AND(AQ3&gt;=YEAR(AP9)+Inter_net,AQ3&gt;Amaj),DATE(AQ3,4,30),AL10),IF(YEAR(AR5)=AQ3,AR5,"err."))</f>
        <v>45777</v>
      </c>
      <c r="AS10" s="584">
        <f>IF(AQ3=YEAR(AR10),IF(AS5="D",AP10,AS5),AM13)</f>
        <v>1.7000000000000001E-2</v>
      </c>
      <c r="AT10" s="585">
        <f>IF(AT5="D",AN10,AT5)</f>
        <v>0.14666666666666667</v>
      </c>
      <c r="AU10" s="586">
        <f>IF(AU5="D",AO10,AU5)</f>
        <v>2</v>
      </c>
      <c r="AV10" s="1168">
        <f>IF(AS5="I",AP10,IF(AS5="D",AP10,AS5))</f>
        <v>1.7000000000000001E-2</v>
      </c>
      <c r="AW10" s="450" t="s">
        <v>89</v>
      </c>
      <c r="AX10" s="578">
        <f>IF(AX5="D",IF(AND(AW3&gt;=YEAR(AV9)+Inter_net,AW3&gt;Amaj),DATE(AW3,4,30),AR10),IF(YEAR(AX5)=AW3,AX5,"err."))</f>
        <v>45777</v>
      </c>
      <c r="AY10" s="584">
        <f>IF(AW3=YEAR(AX10),IF(AY5="D",AV10,AY5),AS13)</f>
        <v>1.7000000000000001E-2</v>
      </c>
      <c r="AZ10" s="585">
        <f>IF(AZ5="D",AT10,AZ5)</f>
        <v>0.14666666666666667</v>
      </c>
      <c r="BA10" s="586">
        <f>IF(BA5="D",AU10,BA5)</f>
        <v>2</v>
      </c>
      <c r="BB10" s="1168">
        <f>IF(AY5="I",AV10,IF(AY5="D",AV10,AY5))</f>
        <v>1.7000000000000001E-2</v>
      </c>
      <c r="BC10" s="450" t="s">
        <v>89</v>
      </c>
      <c r="BD10" s="578">
        <f>IF(BD5="D",IF(AND(BC3&gt;=YEAR(BB9)+Inter_net,BC3&gt;Amaj),DATE(BC3,4,30),AX10),IF(YEAR(BD5)=BC3,BD5,"err."))</f>
        <v>46507</v>
      </c>
      <c r="BE10" s="584">
        <f>IF(BC3=YEAR(BD10),IF(BE5="D",BB10,BE5),AY13)</f>
        <v>1.7000000000000001E-2</v>
      </c>
      <c r="BF10" s="585">
        <f>IF(BF5="D",AZ10,BF5)</f>
        <v>0.14666666666666667</v>
      </c>
      <c r="BG10" s="586">
        <f>IF(BG5="D",BA10,BG5)</f>
        <v>2</v>
      </c>
      <c r="BH10" s="1168">
        <f>IF(BE5="I",BB10,IF(BE5="D",BB10,BE5))</f>
        <v>1.7000000000000001E-2</v>
      </c>
      <c r="BI10" s="450" t="s">
        <v>89</v>
      </c>
      <c r="BJ10" s="578" t="e">
        <f>IF(BJ5="D",IF(AND(BI3&gt;=YEAR(BH9)+Inter_net,BI3&gt;Amaj),DATE(BI3,4,30),BD10),IF(YEAR(BJ5)=BI3,BJ5,"err."))</f>
        <v>#NAME?</v>
      </c>
      <c r="BK10" s="584" t="e">
        <f>IF(BI3=YEAR(BJ10),IF(BK5="D",BH10,BK5),BE13)</f>
        <v>#NAME?</v>
      </c>
      <c r="BL10" s="585">
        <f>IF(BL5="D",BF10,BL5)</f>
        <v>0.14666666666666667</v>
      </c>
      <c r="BM10" s="586">
        <f>IF(BM5="D",BG10,BM5)</f>
        <v>2</v>
      </c>
      <c r="BN10" s="1168">
        <f>IF(BK5="I",BH10,IF(BK5="D",BH10,BK5))</f>
        <v>1.7000000000000001E-2</v>
      </c>
      <c r="BO10" s="450" t="s">
        <v>89</v>
      </c>
      <c r="BP10" s="578" t="e">
        <f>IF(BP5="D",IF(AND(BO3&gt;=YEAR(BN9)+Inter_net,BO3&gt;Amaj),DATE(BO3,4,30),BJ10),IF(YEAR(BP5)=BO3,BP5,"err."))</f>
        <v>#NAME?</v>
      </c>
      <c r="BQ10" s="584" t="e">
        <f>IF(BO3=YEAR(BP10),IF(BQ5="D",BN10,BQ5),BK13)</f>
        <v>#NAME?</v>
      </c>
      <c r="BR10" s="585">
        <f>IF(BR5="D",BL10,BR5)</f>
        <v>0.14666666666666667</v>
      </c>
      <c r="BS10" s="586">
        <f>IF(BS5="D",BM10,BS5)</f>
        <v>2</v>
      </c>
      <c r="BT10" s="1168">
        <f>IF(BQ5="I",BN10,IF(BQ5="D",BN10,BQ5))</f>
        <v>1.7000000000000001E-2</v>
      </c>
      <c r="BU10" s="450" t="s">
        <v>89</v>
      </c>
      <c r="BV10" s="578" t="e">
        <f>IF(BV5="D",IF(AND(BU3&gt;=YEAR(BT9)+Inter_net,BU3&gt;Amaj),DATE(BU3,4,30),BP10),IF(YEAR(BV5)=BU3,BV5,"err."))</f>
        <v>#NAME?</v>
      </c>
      <c r="BW10" s="584" t="e">
        <f>IF(BU3=YEAR(BV10),IF(BW5="D",BT10,BW5),BQ13)</f>
        <v>#NAME?</v>
      </c>
      <c r="BX10" s="585">
        <f>IF(BX5="D",BR10,BX5)</f>
        <v>0.14666666666666667</v>
      </c>
      <c r="BY10" s="586">
        <f>IF(BY5="D",BS10,BY5)</f>
        <v>2</v>
      </c>
      <c r="BZ10" s="1168">
        <f>IF(BW5="I",BT10,IF(BW5="D",BT10,BW5))</f>
        <v>1.7000000000000001E-2</v>
      </c>
    </row>
    <row r="11" spans="1:78" s="451" customFormat="1" ht="15" customHeight="1" x14ac:dyDescent="0.25">
      <c r="A11" s="449" t="s">
        <v>18</v>
      </c>
      <c r="B11" s="579">
        <f>IF(B6="D",DATE(A3,1,1),IF(YEAR(B6)=A3,B6, "err."))</f>
        <v>43101</v>
      </c>
      <c r="C11" s="587">
        <f>IF(C6="D",D_i,C6)</f>
        <v>0.7</v>
      </c>
      <c r="D11" s="1219">
        <f>IF(D6="D",IF(B11&gt;DATE(A3,1,1),H_i,H_i+PousHi),D6)</f>
        <v>-1.498875338297653</v>
      </c>
      <c r="E11" s="1219"/>
      <c r="F11" s="188"/>
      <c r="G11" s="450" t="s">
        <v>90</v>
      </c>
      <c r="H11" s="579">
        <f>IF(H6="D",IF(AND(G3&gt;=YEAR(B11)+Inter_tai,G3&gt;Amaj),DATE(G3,3,31),B11),IF(YEAR(H6)=G3,H6,"err."))</f>
        <v>43101</v>
      </c>
      <c r="I11" s="587">
        <f>IF(I6="D",IF(G3=YEAR(H11),D_i,C11),I6)</f>
        <v>0.7</v>
      </c>
      <c r="J11" s="1219">
        <f>IF(J6="D",IF(G3=YEAR(H11),H_i,D16+E16),J6)</f>
        <v>-1.1000000000000001</v>
      </c>
      <c r="K11" s="1219"/>
      <c r="L11" s="188"/>
      <c r="M11" s="450" t="s">
        <v>90</v>
      </c>
      <c r="N11" s="579">
        <f>IF(N6="D",IF(AND(M3&gt;=YEAR(H11)+Inter_tai,M3&gt;Amaj),DATE(M3,3,31),H11),IF(YEAR(N6)=M3,N6,"err."))</f>
        <v>43101</v>
      </c>
      <c r="O11" s="587">
        <f>IF(O6="D",IF(M3=YEAR(N11),D_i,I11),O6)</f>
        <v>0.7</v>
      </c>
      <c r="P11" s="1219">
        <f>IF(P6="D",IF(M3=YEAR(N11),H_i,J16+K16),P6)</f>
        <v>-0.8</v>
      </c>
      <c r="Q11" s="1219"/>
      <c r="R11" s="188"/>
      <c r="S11" s="450" t="s">
        <v>90</v>
      </c>
      <c r="T11" s="579">
        <f>IF(T6="D",IF(AND(S3&gt;=YEAR(N11)+Inter_tai,S3&gt;Amaj),DATE(S3,3,31),N11),IF(YEAR(T6)=S3,T6,"err."))</f>
        <v>43101</v>
      </c>
      <c r="U11" s="587">
        <f>IF(U6="D",IF(S3=YEAR(T11),D_i,O11),U6)</f>
        <v>0.7</v>
      </c>
      <c r="V11" s="1219">
        <f>IF(V6="D",IF(S3=YEAR(T11),H_i,P16+Q16),V6)</f>
        <v>-0.49999998466681705</v>
      </c>
      <c r="W11" s="1219"/>
      <c r="X11" s="188"/>
      <c r="Y11" s="450" t="s">
        <v>90</v>
      </c>
      <c r="Z11" s="579">
        <f>IF(Z6="D",IF(AND(Y3&gt;=YEAR(T11)+Inter_tai,Y3&gt;Amaj),DATE(Y3,3,31),T11),IF(YEAR(Z6)=Y3,Z6,"err."))</f>
        <v>43101</v>
      </c>
      <c r="AA11" s="587">
        <f>IF(AA6="D",IF(Y3=YEAR(Z11),D_i,U11),AA6)</f>
        <v>0.7</v>
      </c>
      <c r="AB11" s="1219">
        <f>IF(AB6="D",IF(Y3=YEAR(Z11),H_i,V16+W16),AB6)</f>
        <v>-0.19999996933363406</v>
      </c>
      <c r="AC11" s="1219"/>
      <c r="AD11" s="188"/>
      <c r="AE11" s="450" t="s">
        <v>90</v>
      </c>
      <c r="AF11" s="579">
        <f>IF(AF6="D",IF(AND(AE3&gt;=YEAR(Z11)+Inter_tai,AE3&gt;Amaj),DATE(AE3,3,31),Z11),IF(YEAR(AF6)=AE3,AF6,"err."))</f>
        <v>43101</v>
      </c>
      <c r="AG11" s="587">
        <f>IF(AG6="D",IF(AE3=YEAR(AF11),D_i,AA11),AG6)</f>
        <v>0.7</v>
      </c>
      <c r="AH11" s="1219">
        <f>IF(AH6="D",IF(AE3=YEAR(AF11),H_i,AB16+AC16),AH6)</f>
        <v>0.10000004599954887</v>
      </c>
      <c r="AI11" s="1219"/>
      <c r="AJ11" s="188"/>
      <c r="AK11" s="450" t="s">
        <v>90</v>
      </c>
      <c r="AL11" s="579">
        <f>IF(AL6="D",IF(AND(AK3&gt;=YEAR(AF11)+Inter_tai,AK3&gt;Amaj),DATE(AK3,3,31),AF11),IF(YEAR(AL6)=AK3,AL6,"err."))</f>
        <v>43101</v>
      </c>
      <c r="AM11" s="587">
        <f>IF(AM6="D",IF(AK3=YEAR(AL11),D_i,AG11),AM6)</f>
        <v>0.7</v>
      </c>
      <c r="AN11" s="1219">
        <f>IF(AN6="D",IF(AK3=YEAR(AL11),H_i,AH16+PousHi),AN6)</f>
        <v>0.59999999947677429</v>
      </c>
      <c r="AO11" s="1219"/>
      <c r="AP11" s="188"/>
      <c r="AQ11" s="450" t="s">
        <v>90</v>
      </c>
      <c r="AR11" s="579">
        <f>IF(AR6="D",IF(AND(AQ3&gt;=YEAR(AL11)+Inter_tai,AQ3&gt;Amaj),DATE(AQ3,3,31),AL11),IF(YEAR(AR6)=AQ3,AR6,"err."))</f>
        <v>45747</v>
      </c>
      <c r="AS11" s="587">
        <f>IF(AS6="D",IF(AQ3=YEAR(AR11),D_i,AM11),AS6)</f>
        <v>0.7</v>
      </c>
      <c r="AT11" s="1219">
        <f>IF(AT6="D",IF(AQ3=YEAR(AR11),H_i,AN16+PousHi),AT6)</f>
        <v>-1.998875338297653</v>
      </c>
      <c r="AU11" s="1219"/>
      <c r="AV11" s="188"/>
      <c r="AW11" s="450" t="s">
        <v>90</v>
      </c>
      <c r="AX11" s="579">
        <f>IF(AX6="D",IF(AND(AW3&gt;=YEAR(AR11)+Inter_tai,AW3&gt;Amaj),DATE(AW3,3,31),AR11),IF(YEAR(AX6)=AW3,AX6,"err."))</f>
        <v>45747</v>
      </c>
      <c r="AY11" s="587">
        <f>IF(AY6="D",IF(AW3=YEAR(AX11),D_i,AS11),AY6)</f>
        <v>0.7</v>
      </c>
      <c r="AZ11" s="1219">
        <f>IF(AZ6="D",IF(AW3=YEAR(AX11),H_i,AT16+PousHi),AZ6)</f>
        <v>-1.0238635249751651</v>
      </c>
      <c r="BA11" s="1219"/>
      <c r="BB11" s="188"/>
      <c r="BC11" s="450" t="s">
        <v>90</v>
      </c>
      <c r="BD11" s="579">
        <f>IF(BD6="D",IF(AND(BC3&gt;=YEAR(AX11)+Inter_tai,BC3&gt;Amaj),DATE(BC3,3,31),AX11),IF(YEAR(BD6)=BC3,BD6,"err."))</f>
        <v>45747</v>
      </c>
      <c r="BE11" s="587">
        <f>IF(BE6="D",IF(BC3=YEAR(BD11),D_i,AY11),BE6)</f>
        <v>0.7</v>
      </c>
      <c r="BF11" s="1219">
        <f>IF(BF6="D",IF(BC3=YEAR(BD11),H_i,AZ16+PousHi),BF6)</f>
        <v>-0.52386360251310671</v>
      </c>
      <c r="BG11" s="1219"/>
      <c r="BH11" s="188"/>
      <c r="BI11" s="450" t="s">
        <v>90</v>
      </c>
      <c r="BJ11" s="579" t="e">
        <f>IF(BJ6="D",IF(AND(BI3&gt;=YEAR(BD11)+Inter_tai,BI3&gt;Amaj),DATE(BI3,3,31),BD11),IF(YEAR(BJ6)=BI3,BJ6,"err."))</f>
        <v>#NAME?</v>
      </c>
      <c r="BK11" s="587" t="e">
        <f>IF(BK6="D",IF(BI3=YEAR(BJ11),D_i,BE11),BK6)</f>
        <v>#NAME?</v>
      </c>
      <c r="BL11" s="1219" t="e">
        <f>IF(BL6="D",IF(BI3=YEAR(BJ11),H_i,BF16+PousHi),BL6)</f>
        <v>#NAME?</v>
      </c>
      <c r="BM11" s="1219"/>
      <c r="BN11" s="188"/>
      <c r="BO11" s="450" t="s">
        <v>90</v>
      </c>
      <c r="BP11" s="579" t="e">
        <f>IF(BP6="D",IF(AND(BO3&gt;=YEAR(BJ11)+Inter_tai,BO3&gt;Amaj),DATE(BO3,3,31),BJ11),IF(YEAR(BP6)=BO3,BP6,"err."))</f>
        <v>#NAME?</v>
      </c>
      <c r="BQ11" s="587" t="e">
        <f>IF(BQ6="D",IF(BO3=YEAR(BP11),D_i,BK11),BQ6)</f>
        <v>#NAME?</v>
      </c>
      <c r="BR11" s="1219" t="e">
        <f>IF(BR6="D",IF(BO3=YEAR(BP11),H_i,BL16+PousHi),BR6)</f>
        <v>#NAME?</v>
      </c>
      <c r="BS11" s="1219"/>
      <c r="BT11" s="188"/>
      <c r="BU11" s="450" t="s">
        <v>90</v>
      </c>
      <c r="BV11" s="579" t="e">
        <f>IF(BV6="D",IF(AND(BU3&gt;=YEAR(BP11)+Inter_tai,BU3&gt;Amaj),DATE(BU3,3,31),BP11),IF(YEAR(BV6)=BU3,BV6,"err."))</f>
        <v>#NAME?</v>
      </c>
      <c r="BW11" s="587" t="e">
        <f>IF(BW6="D",IF(BU3=YEAR(BV11),D_i,BQ11),BW6)</f>
        <v>#NAME?</v>
      </c>
      <c r="BX11" s="1219" t="e">
        <f>IF(BX6="D",IF(BU3=YEAR(BV11),H_i,BR16+PousHi),BX6)</f>
        <v>#NAME?</v>
      </c>
      <c r="BY11" s="1219"/>
      <c r="BZ11" s="188"/>
    </row>
    <row r="12" spans="1:78" s="3" customFormat="1" x14ac:dyDescent="0.25">
      <c r="A12" s="8" t="s">
        <v>163</v>
      </c>
      <c r="B12" s="446"/>
      <c r="C12" s="403"/>
      <c r="D12" s="1169"/>
      <c r="E12" s="1170"/>
      <c r="G12" s="357"/>
      <c r="H12" s="446"/>
      <c r="I12" s="21"/>
      <c r="J12" s="1169"/>
      <c r="K12" s="1170"/>
      <c r="L12" s="446"/>
      <c r="M12" s="446"/>
      <c r="O12" s="21"/>
      <c r="P12" s="1169"/>
      <c r="Q12" s="1170"/>
      <c r="U12" s="21"/>
      <c r="V12" s="1169"/>
      <c r="W12" s="1170"/>
      <c r="AA12" s="21"/>
      <c r="AB12" s="1169"/>
      <c r="AC12" s="1170"/>
      <c r="AF12" s="1171"/>
      <c r="AG12" s="21"/>
      <c r="AH12" s="1169"/>
      <c r="AI12" s="1170"/>
      <c r="AL12" s="446"/>
      <c r="AM12" s="403"/>
      <c r="AN12" s="1169"/>
      <c r="AO12" s="1170"/>
      <c r="AS12" s="21"/>
      <c r="AT12" s="1169"/>
      <c r="AU12" s="1170"/>
      <c r="AY12" s="21"/>
      <c r="AZ12" s="1169"/>
      <c r="BA12" s="1170"/>
      <c r="BE12" s="21"/>
      <c r="BF12" s="21"/>
      <c r="BK12" s="21"/>
      <c r="BL12" s="21"/>
      <c r="BQ12" s="21"/>
      <c r="BR12" s="21"/>
      <c r="BW12" s="21"/>
      <c r="BX12" s="21"/>
    </row>
    <row r="13" spans="1:78" s="409" customFormat="1" ht="15" customHeight="1" x14ac:dyDescent="0.25">
      <c r="A13" s="460" t="s">
        <v>16</v>
      </c>
      <c r="B13" s="588">
        <f>+'2018'!Tnet</f>
        <v>43209</v>
      </c>
      <c r="C13" s="589">
        <f>+'2018'!Resal</f>
        <v>0</v>
      </c>
      <c r="D13" s="590">
        <f>+'2018'!Salim</f>
        <v>0.14000000000000001</v>
      </c>
      <c r="E13" s="591">
        <f>+'2018'!Tau_j/365</f>
        <v>2</v>
      </c>
      <c r="F13" s="465"/>
      <c r="G13" s="466" t="s">
        <v>89</v>
      </c>
      <c r="H13" s="588">
        <f>+'2019'!Tnet</f>
        <v>43209</v>
      </c>
      <c r="I13" s="589">
        <f>+'2019'!Resal</f>
        <v>0</v>
      </c>
      <c r="J13" s="590">
        <f>+'2019'!Salim</f>
        <v>0.14000000000000001</v>
      </c>
      <c r="K13" s="591">
        <f>+'2019'!Tau_j/365</f>
        <v>2</v>
      </c>
      <c r="L13" s="467"/>
      <c r="M13" s="450" t="s">
        <v>89</v>
      </c>
      <c r="N13" s="588">
        <f>+'2020'!Tnet</f>
        <v>43209</v>
      </c>
      <c r="O13" s="589">
        <f>+'2020'!Resal</f>
        <v>0</v>
      </c>
      <c r="P13" s="590">
        <f>+'2020'!Salim</f>
        <v>0.14000000000000001</v>
      </c>
      <c r="Q13" s="591">
        <f>+'2020'!Tau_j/365</f>
        <v>2</v>
      </c>
      <c r="R13" s="467"/>
      <c r="S13" s="450" t="s">
        <v>89</v>
      </c>
      <c r="T13" s="588">
        <f>+'2021'!Tnet</f>
        <v>44306</v>
      </c>
      <c r="U13" s="589">
        <f>+'2021'!Resal</f>
        <v>1.7000000000000001E-2</v>
      </c>
      <c r="V13" s="590">
        <f>+'2021'!Salim</f>
        <v>0.15</v>
      </c>
      <c r="W13" s="591">
        <f>+'2021'!Tau_j/365</f>
        <v>2</v>
      </c>
      <c r="X13" s="467"/>
      <c r="Y13" s="450" t="s">
        <v>89</v>
      </c>
      <c r="Z13" s="588">
        <f>+'2022'!Tnet</f>
        <v>44306</v>
      </c>
      <c r="AA13" s="589">
        <f>+'2022'!Resal</f>
        <v>1.7000000000000001E-2</v>
      </c>
      <c r="AB13" s="590">
        <f>+'2022'!Salim</f>
        <v>0.15</v>
      </c>
      <c r="AC13" s="591">
        <f>+'2022'!Tau_j/365</f>
        <v>2</v>
      </c>
      <c r="AD13" s="467"/>
      <c r="AE13" s="450" t="s">
        <v>89</v>
      </c>
      <c r="AF13" s="588">
        <f>+'2023'!Tnet</f>
        <v>45046</v>
      </c>
      <c r="AG13" s="589">
        <f>+'2023'!Resal</f>
        <v>1.7000000000000001E-2</v>
      </c>
      <c r="AH13" s="590">
        <f>+'2023'!Salim</f>
        <v>0.14666666666666667</v>
      </c>
      <c r="AI13" s="591">
        <f>+'2023'!Tau_j/365</f>
        <v>2</v>
      </c>
      <c r="AJ13" s="467"/>
      <c r="AK13" s="450" t="s">
        <v>89</v>
      </c>
      <c r="AL13" s="588">
        <f>+'2024'!Tnet</f>
        <v>45046</v>
      </c>
      <c r="AM13" s="589">
        <f>+'2024'!Resal</f>
        <v>1.7000000000000001E-2</v>
      </c>
      <c r="AN13" s="590">
        <f>+'2024'!Salim</f>
        <v>0.14666666666666667</v>
      </c>
      <c r="AO13" s="591">
        <f>+'2024'!Tau_j/365</f>
        <v>2</v>
      </c>
      <c r="AP13" s="465"/>
      <c r="AQ13" s="450" t="s">
        <v>89</v>
      </c>
      <c r="AR13" s="588">
        <f>+'2025'!Tnet</f>
        <v>45777</v>
      </c>
      <c r="AS13" s="589">
        <f>+'2025'!Resal</f>
        <v>1.7000000000000001E-2</v>
      </c>
      <c r="AT13" s="590">
        <f>+'2025'!Salim</f>
        <v>0.14666666666666667</v>
      </c>
      <c r="AU13" s="591">
        <f>+'2025'!Tau_j/365</f>
        <v>2</v>
      </c>
      <c r="AV13" s="465"/>
      <c r="AW13" s="450" t="s">
        <v>89</v>
      </c>
      <c r="AX13" s="588">
        <f>+'2026'!Tnet</f>
        <v>45777</v>
      </c>
      <c r="AY13" s="589">
        <f>+'2026'!Resal</f>
        <v>1.7000000000000001E-2</v>
      </c>
      <c r="AZ13" s="590">
        <f>+'2026'!Salim</f>
        <v>0.14666666666666667</v>
      </c>
      <c r="BA13" s="591">
        <f>+'2026'!Tau_j/365</f>
        <v>2</v>
      </c>
      <c r="BB13" s="465"/>
      <c r="BC13" s="450" t="s">
        <v>89</v>
      </c>
      <c r="BD13" s="588">
        <f>+'2027'!Tnet</f>
        <v>46507</v>
      </c>
      <c r="BE13" s="589">
        <f>+'2027'!Resal</f>
        <v>1.7000000000000001E-2</v>
      </c>
      <c r="BF13" s="590">
        <f>+'2027'!Salim</f>
        <v>0.14666666666666667</v>
      </c>
      <c r="BG13" s="591">
        <f>+'2027'!Tau_j/365</f>
        <v>2</v>
      </c>
      <c r="BH13" s="465"/>
      <c r="BI13" s="450" t="s">
        <v>89</v>
      </c>
      <c r="BJ13" s="588">
        <f>+'2018'!Tnet</f>
        <v>43209</v>
      </c>
      <c r="BK13" s="589">
        <f>+'2018'!Resal</f>
        <v>0</v>
      </c>
      <c r="BL13" s="590">
        <f>+'2018'!Salim</f>
        <v>0.14000000000000001</v>
      </c>
      <c r="BM13" s="591">
        <f>+'2018'!Tau_j/365</f>
        <v>2</v>
      </c>
      <c r="BN13" s="465"/>
      <c r="BO13" s="450" t="s">
        <v>89</v>
      </c>
      <c r="BP13" s="588">
        <f>+'2018'!Tnet</f>
        <v>43209</v>
      </c>
      <c r="BQ13" s="589">
        <f>+'2018'!Resal</f>
        <v>0</v>
      </c>
      <c r="BR13" s="590">
        <f>+'2018'!Salim</f>
        <v>0.14000000000000001</v>
      </c>
      <c r="BS13" s="591">
        <f>+'2018'!Tau_j/365</f>
        <v>2</v>
      </c>
      <c r="BT13" s="465"/>
      <c r="BU13" s="450" t="s">
        <v>89</v>
      </c>
      <c r="BV13" s="588">
        <f>+'2018'!Tnet</f>
        <v>43209</v>
      </c>
      <c r="BW13" s="589">
        <f>+'2018'!Resal</f>
        <v>0</v>
      </c>
      <c r="BX13" s="590">
        <f>+'2018'!Salim</f>
        <v>0.14000000000000001</v>
      </c>
      <c r="BY13" s="591">
        <f>+'2018'!Tau_j/365</f>
        <v>2</v>
      </c>
      <c r="BZ13" s="465"/>
    </row>
    <row r="14" spans="1:78" s="459" customFormat="1" ht="12.75" customHeight="1" x14ac:dyDescent="0.25">
      <c r="A14" s="476"/>
      <c r="B14" s="477" t="s">
        <v>2</v>
      </c>
      <c r="C14" s="477" t="s">
        <v>124</v>
      </c>
      <c r="D14" s="477" t="s">
        <v>125</v>
      </c>
      <c r="E14" s="477" t="s">
        <v>126</v>
      </c>
      <c r="F14" s="478"/>
      <c r="G14" s="479"/>
      <c r="H14" s="480" t="s">
        <v>2</v>
      </c>
      <c r="I14" s="480" t="s">
        <v>124</v>
      </c>
      <c r="J14" s="480" t="s">
        <v>125</v>
      </c>
      <c r="K14" s="480" t="s">
        <v>126</v>
      </c>
      <c r="L14" s="481"/>
      <c r="M14" s="482"/>
      <c r="N14" s="480" t="s">
        <v>2</v>
      </c>
      <c r="O14" s="480" t="s">
        <v>124</v>
      </c>
      <c r="P14" s="480" t="s">
        <v>125</v>
      </c>
      <c r="Q14" s="480" t="s">
        <v>126</v>
      </c>
      <c r="R14" s="478"/>
      <c r="S14" s="479"/>
      <c r="T14" s="480" t="s">
        <v>2</v>
      </c>
      <c r="U14" s="480" t="s">
        <v>124</v>
      </c>
      <c r="V14" s="480" t="s">
        <v>125</v>
      </c>
      <c r="W14" s="480" t="s">
        <v>126</v>
      </c>
      <c r="X14" s="478"/>
      <c r="Y14" s="479"/>
      <c r="Z14" s="480" t="s">
        <v>2</v>
      </c>
      <c r="AA14" s="480" t="s">
        <v>124</v>
      </c>
      <c r="AB14" s="480" t="s">
        <v>125</v>
      </c>
      <c r="AC14" s="480" t="s">
        <v>126</v>
      </c>
      <c r="AD14" s="478"/>
      <c r="AE14" s="479"/>
      <c r="AF14" s="480" t="s">
        <v>2</v>
      </c>
      <c r="AG14" s="480" t="s">
        <v>124</v>
      </c>
      <c r="AH14" s="480" t="s">
        <v>125</v>
      </c>
      <c r="AI14" s="480" t="s">
        <v>126</v>
      </c>
      <c r="AJ14" s="478"/>
      <c r="AK14" s="479"/>
      <c r="AL14" s="480" t="s">
        <v>2</v>
      </c>
      <c r="AM14" s="480" t="s">
        <v>124</v>
      </c>
      <c r="AN14" s="480" t="s">
        <v>125</v>
      </c>
      <c r="AO14" s="480" t="s">
        <v>126</v>
      </c>
      <c r="AP14" s="478"/>
      <c r="AQ14" s="479"/>
      <c r="AR14" s="480" t="s">
        <v>2</v>
      </c>
      <c r="AS14" s="480" t="s">
        <v>124</v>
      </c>
      <c r="AT14" s="480" t="s">
        <v>125</v>
      </c>
      <c r="AU14" s="480" t="s">
        <v>126</v>
      </c>
      <c r="AV14" s="478"/>
      <c r="AW14" s="479"/>
      <c r="AX14" s="480" t="s">
        <v>2</v>
      </c>
      <c r="AY14" s="480" t="s">
        <v>124</v>
      </c>
      <c r="AZ14" s="480" t="s">
        <v>125</v>
      </c>
      <c r="BA14" s="480" t="s">
        <v>126</v>
      </c>
      <c r="BB14" s="478"/>
      <c r="BC14" s="479"/>
      <c r="BD14" s="480" t="s">
        <v>2</v>
      </c>
      <c r="BE14" s="480" t="s">
        <v>124</v>
      </c>
      <c r="BF14" s="480" t="s">
        <v>125</v>
      </c>
      <c r="BG14" s="480" t="s">
        <v>126</v>
      </c>
      <c r="BH14" s="478"/>
      <c r="BI14" s="479"/>
      <c r="BJ14" s="480" t="s">
        <v>2</v>
      </c>
      <c r="BK14" s="480" t="s">
        <v>124</v>
      </c>
      <c r="BL14" s="480" t="s">
        <v>125</v>
      </c>
      <c r="BM14" s="480" t="s">
        <v>126</v>
      </c>
      <c r="BN14" s="478"/>
      <c r="BO14" s="479"/>
      <c r="BP14" s="480" t="s">
        <v>2</v>
      </c>
      <c r="BQ14" s="480" t="s">
        <v>124</v>
      </c>
      <c r="BR14" s="480" t="s">
        <v>125</v>
      </c>
      <c r="BS14" s="480" t="s">
        <v>126</v>
      </c>
      <c r="BT14" s="478"/>
      <c r="BU14" s="479"/>
      <c r="BV14" s="480" t="s">
        <v>2</v>
      </c>
      <c r="BW14" s="480" t="s">
        <v>124</v>
      </c>
      <c r="BX14" s="480" t="s">
        <v>125</v>
      </c>
      <c r="BY14" s="480" t="s">
        <v>126</v>
      </c>
      <c r="BZ14" s="478"/>
    </row>
    <row r="15" spans="1:78" s="462" customFormat="1" ht="15" customHeight="1" x14ac:dyDescent="0.25">
      <c r="A15" s="483" t="s">
        <v>120</v>
      </c>
      <c r="B15" s="592">
        <f>B11</f>
        <v>43101</v>
      </c>
      <c r="C15" s="593">
        <f>'2018'!Dd</f>
        <v>0.7</v>
      </c>
      <c r="D15" s="593">
        <f>'2018'!Df</f>
        <v>0.7</v>
      </c>
      <c r="E15" s="593">
        <f>'2018'!PousD</f>
        <v>0</v>
      </c>
      <c r="F15" s="468"/>
      <c r="G15" s="484" t="s">
        <v>123</v>
      </c>
      <c r="H15" s="592">
        <f>H11</f>
        <v>43101</v>
      </c>
      <c r="I15" s="593">
        <f>'2019'!Dd</f>
        <v>0.7</v>
      </c>
      <c r="J15" s="593">
        <f>'2019'!Df</f>
        <v>0.7</v>
      </c>
      <c r="K15" s="593">
        <f>'2019'!PousD</f>
        <v>0</v>
      </c>
      <c r="L15" s="468"/>
      <c r="M15" s="484" t="s">
        <v>123</v>
      </c>
      <c r="N15" s="592">
        <f>N11</f>
        <v>43101</v>
      </c>
      <c r="O15" s="593">
        <f>'2020'!Dd</f>
        <v>0.7</v>
      </c>
      <c r="P15" s="593">
        <f>'2020'!Df</f>
        <v>0.7</v>
      </c>
      <c r="Q15" s="593">
        <f>'2020'!PousD</f>
        <v>0</v>
      </c>
      <c r="R15" s="468"/>
      <c r="S15" s="485" t="s">
        <v>123</v>
      </c>
      <c r="T15" s="592">
        <f>T11</f>
        <v>43101</v>
      </c>
      <c r="U15" s="593">
        <f>'2021'!Dd</f>
        <v>0.7</v>
      </c>
      <c r="V15" s="593">
        <f>'2021'!Df</f>
        <v>0.7</v>
      </c>
      <c r="W15" s="593">
        <f>'2021'!PousD</f>
        <v>0</v>
      </c>
      <c r="X15" s="468"/>
      <c r="Y15" s="485" t="s">
        <v>123</v>
      </c>
      <c r="Z15" s="592">
        <f>Z11</f>
        <v>43101</v>
      </c>
      <c r="AA15" s="593">
        <f>'2022'!Dd</f>
        <v>0.7</v>
      </c>
      <c r="AB15" s="593">
        <f>'2022'!Df</f>
        <v>0.7</v>
      </c>
      <c r="AC15" s="593">
        <f>'2022'!PousD</f>
        <v>0</v>
      </c>
      <c r="AD15" s="468"/>
      <c r="AE15" s="485" t="s">
        <v>123</v>
      </c>
      <c r="AF15" s="592">
        <f>AF11</f>
        <v>43101</v>
      </c>
      <c r="AG15" s="593">
        <f>'2023'!Dd</f>
        <v>0.7</v>
      </c>
      <c r="AH15" s="593">
        <f>'2023'!Df</f>
        <v>0.7</v>
      </c>
      <c r="AI15" s="593">
        <f>'2023'!PousD</f>
        <v>0</v>
      </c>
      <c r="AJ15" s="468"/>
      <c r="AK15" s="485" t="s">
        <v>123</v>
      </c>
      <c r="AL15" s="592">
        <f>AL11</f>
        <v>43101</v>
      </c>
      <c r="AM15" s="593">
        <f>'2024'!Dd</f>
        <v>0.7</v>
      </c>
      <c r="AN15" s="593">
        <f>'2024'!Df</f>
        <v>0.7</v>
      </c>
      <c r="AO15" s="593">
        <f>'2024'!PousD</f>
        <v>0</v>
      </c>
      <c r="AP15" s="468"/>
      <c r="AQ15" s="485" t="s">
        <v>123</v>
      </c>
      <c r="AR15" s="592">
        <f>AR11</f>
        <v>45747</v>
      </c>
      <c r="AS15" s="593">
        <f>'2025'!Dd</f>
        <v>0.7</v>
      </c>
      <c r="AT15" s="593">
        <f>'2025'!Df</f>
        <v>0.7</v>
      </c>
      <c r="AU15" s="593">
        <f>'2025'!PousD</f>
        <v>0</v>
      </c>
      <c r="AV15" s="468"/>
      <c r="AW15" s="485" t="s">
        <v>123</v>
      </c>
      <c r="AX15" s="592">
        <f>AX11</f>
        <v>45747</v>
      </c>
      <c r="AY15" s="593">
        <f>'2026'!Dd</f>
        <v>0.7</v>
      </c>
      <c r="AZ15" s="593">
        <f>'2026'!Df</f>
        <v>0.7</v>
      </c>
      <c r="BA15" s="593">
        <f>'2026'!PousD</f>
        <v>0</v>
      </c>
      <c r="BB15" s="468"/>
      <c r="BC15" s="485" t="s">
        <v>123</v>
      </c>
      <c r="BD15" s="592">
        <f>BD11</f>
        <v>45747</v>
      </c>
      <c r="BE15" s="593">
        <f>'2027'!Dd</f>
        <v>0.7</v>
      </c>
      <c r="BF15" s="593">
        <f>'2027'!Df</f>
        <v>0.7</v>
      </c>
      <c r="BG15" s="593">
        <f>'2027'!PousD</f>
        <v>0</v>
      </c>
      <c r="BH15" s="468"/>
      <c r="BI15" s="485" t="s">
        <v>123</v>
      </c>
      <c r="BJ15" s="592" t="e">
        <f>BJ11</f>
        <v>#NAME?</v>
      </c>
      <c r="BK15" s="593">
        <f>'2018'!Dd</f>
        <v>0.7</v>
      </c>
      <c r="BL15" s="593">
        <f>'2018'!Df</f>
        <v>0.7</v>
      </c>
      <c r="BM15" s="593">
        <f>'2018'!PousD</f>
        <v>0</v>
      </c>
      <c r="BN15" s="468"/>
      <c r="BO15" s="485" t="s">
        <v>123</v>
      </c>
      <c r="BP15" s="592" t="e">
        <f>BP11</f>
        <v>#NAME?</v>
      </c>
      <c r="BQ15" s="593">
        <f>'2018'!Dd</f>
        <v>0.7</v>
      </c>
      <c r="BR15" s="593">
        <f>'2018'!Df</f>
        <v>0.7</v>
      </c>
      <c r="BS15" s="593">
        <f>'2018'!PousD</f>
        <v>0</v>
      </c>
      <c r="BT15" s="468"/>
      <c r="BU15" s="485" t="s">
        <v>123</v>
      </c>
      <c r="BV15" s="592" t="e">
        <f>BV11</f>
        <v>#NAME?</v>
      </c>
      <c r="BW15" s="593">
        <f>'2018'!Dd</f>
        <v>0.7</v>
      </c>
      <c r="BX15" s="593">
        <f>'2018'!Df</f>
        <v>0.7</v>
      </c>
      <c r="BY15" s="593">
        <f>'2018'!PousD</f>
        <v>0</v>
      </c>
      <c r="BZ15" s="468"/>
    </row>
    <row r="16" spans="1:78" s="462" customFormat="1" ht="15" customHeight="1" x14ac:dyDescent="0.25">
      <c r="A16" s="473" t="s">
        <v>121</v>
      </c>
      <c r="B16" s="594"/>
      <c r="C16" s="595">
        <f>'2018'!Hdd</f>
        <v>-1.998875338297653</v>
      </c>
      <c r="D16" s="595">
        <f>'2018'!Hdf</f>
        <v>-1.4988754158355946</v>
      </c>
      <c r="E16" s="595">
        <f>'2018'!PousH</f>
        <v>0.5</v>
      </c>
      <c r="F16" s="461"/>
      <c r="G16" s="474" t="s">
        <v>122</v>
      </c>
      <c r="H16" s="594"/>
      <c r="I16" s="595">
        <f>'2019'!Hdd</f>
        <v>-1.4988754158355946</v>
      </c>
      <c r="J16" s="595">
        <f>'2019'!Hdf</f>
        <v>-1.1000000618559576</v>
      </c>
      <c r="K16" s="595">
        <f>'2019'!PousH</f>
        <v>0.39887541583559449</v>
      </c>
      <c r="L16" s="461"/>
      <c r="M16" s="474" t="s">
        <v>122</v>
      </c>
      <c r="N16" s="594"/>
      <c r="O16" s="595">
        <f>'2020'!Hdd</f>
        <v>-1.1000000618559576</v>
      </c>
      <c r="P16" s="595">
        <f>'2020'!Hdf</f>
        <v>-0.80000004652277457</v>
      </c>
      <c r="Q16" s="595">
        <f>'2020'!PousH</f>
        <v>0.30000006185595751</v>
      </c>
      <c r="R16" s="461"/>
      <c r="S16" s="475" t="s">
        <v>122</v>
      </c>
      <c r="T16" s="594"/>
      <c r="U16" s="595">
        <f>'2021'!Hdd</f>
        <v>-0.80000004652277457</v>
      </c>
      <c r="V16" s="595">
        <f>'2021'!Hdf</f>
        <v>-0.50000003118959158</v>
      </c>
      <c r="W16" s="595">
        <f>'2021'!PousH</f>
        <v>0.30000006185595751</v>
      </c>
      <c r="X16" s="461"/>
      <c r="Y16" s="475" t="s">
        <v>122</v>
      </c>
      <c r="Z16" s="594"/>
      <c r="AA16" s="595">
        <f>'2022'!Hdd</f>
        <v>-0.50000003118959158</v>
      </c>
      <c r="AB16" s="595">
        <f>'2022'!Hdf</f>
        <v>-0.20000001585640864</v>
      </c>
      <c r="AC16" s="595">
        <f>'2022'!PousH</f>
        <v>0.30000006185595751</v>
      </c>
      <c r="AD16" s="461"/>
      <c r="AE16" s="475" t="s">
        <v>122</v>
      </c>
      <c r="AF16" s="594"/>
      <c r="AG16" s="595">
        <f>'2023'!Hdd</f>
        <v>-0.20000001585640864</v>
      </c>
      <c r="AH16" s="595">
        <f>'2023'!Hdf</f>
        <v>9.9999999476774293E-2</v>
      </c>
      <c r="AI16" s="595">
        <f>'2023'!PousH</f>
        <v>0.30000006185595751</v>
      </c>
      <c r="AJ16" s="461"/>
      <c r="AK16" s="475" t="s">
        <v>122</v>
      </c>
      <c r="AL16" s="594"/>
      <c r="AM16" s="595">
        <f>'2024'!Hdd</f>
        <v>9.9999999476774293E-2</v>
      </c>
      <c r="AN16" s="595">
        <f>'2024'!Hdf</f>
        <v>0.59999992193883256</v>
      </c>
      <c r="AO16" s="595">
        <f>'2024'!PousH</f>
        <v>0.5</v>
      </c>
      <c r="AP16" s="461"/>
      <c r="AQ16" s="475" t="s">
        <v>122</v>
      </c>
      <c r="AR16" s="594"/>
      <c r="AS16" s="595">
        <f>'2025'!Hdd</f>
        <v>0.59999992193883256</v>
      </c>
      <c r="AT16" s="595">
        <f>'2025'!Hdf</f>
        <v>-1.5238635249751651</v>
      </c>
      <c r="AU16" s="595">
        <f>'2025'!PousH</f>
        <v>0.5</v>
      </c>
      <c r="AV16" s="461"/>
      <c r="AW16" s="475" t="s">
        <v>122</v>
      </c>
      <c r="AX16" s="594"/>
      <c r="AY16" s="595">
        <f>'2026'!Hdd</f>
        <v>-1.5238635249751651</v>
      </c>
      <c r="AZ16" s="595">
        <f>'2026'!Hdf</f>
        <v>-1.0238636025131067</v>
      </c>
      <c r="BA16" s="595">
        <f>'2026'!PousH</f>
        <v>0.5</v>
      </c>
      <c r="BB16" s="461"/>
      <c r="BC16" s="475" t="s">
        <v>122</v>
      </c>
      <c r="BD16" s="594"/>
      <c r="BE16" s="595">
        <f>'2027'!Hdd</f>
        <v>-1.0238636025131067</v>
      </c>
      <c r="BF16" s="595">
        <f>'2027'!Hdf</f>
        <v>-0.52386368005104833</v>
      </c>
      <c r="BG16" s="595">
        <f>'2027'!PousH</f>
        <v>0.5</v>
      </c>
      <c r="BH16" s="461"/>
      <c r="BI16" s="475" t="s">
        <v>122</v>
      </c>
      <c r="BJ16" s="594"/>
      <c r="BK16" s="595">
        <f>'2018'!Hdd</f>
        <v>-1.998875338297653</v>
      </c>
      <c r="BL16" s="595">
        <f>'2018'!Hdf</f>
        <v>-1.4988754158355946</v>
      </c>
      <c r="BM16" s="595">
        <f>'2018'!PousH</f>
        <v>0.5</v>
      </c>
      <c r="BN16" s="461"/>
      <c r="BO16" s="475" t="s">
        <v>122</v>
      </c>
      <c r="BP16" s="594"/>
      <c r="BQ16" s="595">
        <f>'2018'!Hdd</f>
        <v>-1.998875338297653</v>
      </c>
      <c r="BR16" s="595">
        <f>'2018'!Hdf</f>
        <v>-1.4988754158355946</v>
      </c>
      <c r="BS16" s="595">
        <f>'2018'!PousH</f>
        <v>0.5</v>
      </c>
      <c r="BT16" s="461"/>
      <c r="BU16" s="475" t="s">
        <v>122</v>
      </c>
      <c r="BV16" s="594"/>
      <c r="BW16" s="595">
        <f>'2018'!Hdd</f>
        <v>-1.998875338297653</v>
      </c>
      <c r="BX16" s="595">
        <f>'2018'!Hdf</f>
        <v>-1.4988754158355946</v>
      </c>
      <c r="BY16" s="595">
        <f>'2018'!PousH</f>
        <v>0.5</v>
      </c>
      <c r="BZ16" s="461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30" t="s">
        <v>60</v>
      </c>
      <c r="C19" s="431" t="s">
        <v>61</v>
      </c>
      <c r="D19" s="431" t="s">
        <v>62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9" t="s">
        <v>2</v>
      </c>
      <c r="AF19" s="430" t="s">
        <v>60</v>
      </c>
      <c r="AG19" s="431" t="s">
        <v>61</v>
      </c>
      <c r="AH19" s="431" t="s">
        <v>62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1.3508562999586845E-5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0">
        <f>'2023'!A29</f>
        <v>44941</v>
      </c>
      <c r="AF20" s="91">
        <f>'2023'!L29</f>
        <v>3.7225116653148205E-2</v>
      </c>
      <c r="AG20" s="48">
        <f>'2023'!O29</f>
        <v>9.428684801613875E-2</v>
      </c>
      <c r="AH20" s="66">
        <f>'2023'!P29</f>
        <v>4.3538443000898541E-2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5.1715257189448648E-5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0">
        <f>'2023'!A60</f>
        <v>44972</v>
      </c>
      <c r="AF21" s="91">
        <f>'2023'!L60</f>
        <v>3.7878606397629189E-2</v>
      </c>
      <c r="AG21" s="48">
        <f>'2023'!O60</f>
        <v>9.6604704061221722E-2</v>
      </c>
      <c r="AH21" s="66">
        <f>'2023'!P60</f>
        <v>2.9349584849261177E-2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8.0426550946568826E-6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0">
        <f>'2023'!A88</f>
        <v>45000</v>
      </c>
      <c r="AF22" s="91">
        <f>'2023'!L88</f>
        <v>3.8468473941090764E-2</v>
      </c>
      <c r="AG22" s="48">
        <f>'2023'!O88</f>
        <v>9.8659863936389966E-2</v>
      </c>
      <c r="AH22" s="66">
        <f>'2023'!P88</f>
        <v>2.6825300265283119E-3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0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0">
        <f>'2023'!A119</f>
        <v>45031</v>
      </c>
      <c r="AF23" s="91">
        <f>'2023'!L119</f>
        <v>3.9121119748686262E-2</v>
      </c>
      <c r="AG23" s="48">
        <f>'2023'!O119</f>
        <v>0.10123469879455119</v>
      </c>
      <c r="AH23" s="66">
        <f>'2023'!P119</f>
        <v>1.2990389928068296E-11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5.6931084477085392E-4</v>
      </c>
      <c r="C24" s="48">
        <f>'2018'!O149</f>
        <v>4.997148281644619E-3</v>
      </c>
      <c r="D24" s="66">
        <f>'2018'!P149</f>
        <v>0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0">
        <f>'2023'!A149</f>
        <v>45061</v>
      </c>
      <c r="AF24" s="91">
        <f>'2023'!L149</f>
        <v>3.9752290679429536E-2</v>
      </c>
      <c r="AG24" s="48">
        <f>'2023'!O149</f>
        <v>2.0032458469866676E-2</v>
      </c>
      <c r="AH24" s="66">
        <f>'2023'!P149</f>
        <v>0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1.2476809570156622E-3</v>
      </c>
      <c r="C25" s="48">
        <f>'2018'!O180</f>
        <v>1.0945830692732634E-2</v>
      </c>
      <c r="D25" s="66">
        <f>'2018'!P180</f>
        <v>0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0">
        <f>'2023'!A180</f>
        <v>45092</v>
      </c>
      <c r="AF25" s="91">
        <f>'2023'!L180</f>
        <v>4.0404065088023411E-2</v>
      </c>
      <c r="AG25" s="48">
        <f>'2023'!O180</f>
        <v>2.5938118033059072E-2</v>
      </c>
      <c r="AH25" s="66">
        <f>'2023'!P180</f>
        <v>0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1.9037297512481954E-3</v>
      </c>
      <c r="C26" s="48">
        <f>'2018'!O210</f>
        <v>1.6508124562307637E-2</v>
      </c>
      <c r="D26" s="66">
        <f>'2018'!P210</f>
        <v>0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0">
        <f>'2023'!A210</f>
        <v>45122</v>
      </c>
      <c r="AF26" s="91">
        <f>'2023'!L210</f>
        <v>4.1034393292570304E-2</v>
      </c>
      <c r="AG26" s="48">
        <f>'2023'!O210</f>
        <v>3.1297653299310772E-2</v>
      </c>
      <c r="AH26" s="66">
        <f>'2023'!P210</f>
        <v>0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2.5811941179388898E-3</v>
      </c>
      <c r="C27" s="48">
        <f>'2018'!O241</f>
        <v>2.1930568990624469E-2</v>
      </c>
      <c r="D27" s="66">
        <f>'2018'!P241</f>
        <v>0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0">
        <f>'2023'!A241</f>
        <v>45153</v>
      </c>
      <c r="AF27" s="91">
        <f>'2023'!L241</f>
        <v>4.1685297465635873E-2</v>
      </c>
      <c r="AG27" s="48">
        <f>'2023'!O241</f>
        <v>3.6395938546512498E-2</v>
      </c>
      <c r="AH27" s="66">
        <f>'2023'!P241</f>
        <v>2.9957549689320397E-8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3.2581986512629779E-3</v>
      </c>
      <c r="C28" s="48">
        <f>'2018'!O272</f>
        <v>2.7038003124227845E-2</v>
      </c>
      <c r="D28" s="66">
        <f>'2018'!P272</f>
        <v>1.66378882930209E-9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0">
        <f>'2023'!A272</f>
        <v>45184</v>
      </c>
      <c r="AF28" s="91">
        <f>'2023'!L272</f>
        <v>4.2335759833240005E-2</v>
      </c>
      <c r="AG28" s="48">
        <f>'2023'!O272</f>
        <v>4.1146026474973403E-2</v>
      </c>
      <c r="AH28" s="66">
        <f>'2023'!P272</f>
        <v>1.528315896476199E-4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3.9129268000421824E-3</v>
      </c>
      <c r="C29" s="48">
        <f>'2018'!O302</f>
        <v>3.1496164876600008E-2</v>
      </c>
      <c r="D29" s="66">
        <f>'2018'!P302</f>
        <v>3.8529782795542742E-3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0">
        <f>'2023'!A302</f>
        <v>45214</v>
      </c>
      <c r="AF29" s="91">
        <f>'2023'!L302</f>
        <v>4.2964819168634594E-2</v>
      </c>
      <c r="AG29" s="48">
        <f>'2023'!O302</f>
        <v>4.5165224309002397E-2</v>
      </c>
      <c r="AH29" s="66">
        <f>'2023'!P302</f>
        <v>2.5023366252330471E-2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4.5890274111044516E-3</v>
      </c>
      <c r="C30" s="48">
        <f>'2018'!O333</f>
        <v>3.5467800490867105E-2</v>
      </c>
      <c r="D30" s="66">
        <f>'2018'!P333</f>
        <v>1.3987113914097465E-2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0">
        <f>'2023'!A333</f>
        <v>45245</v>
      </c>
      <c r="AF30" s="91">
        <f>'2023'!L333</f>
        <v>4.3614413052520229E-2</v>
      </c>
      <c r="AG30" s="48">
        <f>'2023'!O333</f>
        <v>4.858140977027401E-2</v>
      </c>
      <c r="AH30" s="66">
        <f>'2023'!P333</f>
        <v>5.8011999498856097E-2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5.2428813805835972E-3</v>
      </c>
      <c r="C31" s="49">
        <f>'2018'!O363</f>
        <v>3.9303797950306044E-2</v>
      </c>
      <c r="D31" s="67">
        <f>'2018'!P363</f>
        <v>1.3376998792984159E-2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1">
        <f>'2023'!A363</f>
        <v>45275</v>
      </c>
      <c r="AF31" s="92">
        <f>'2023'!L363</f>
        <v>4.4242632481076294E-2</v>
      </c>
      <c r="AG31" s="49">
        <f>'2023'!O363</f>
        <v>5.2016431053968311E-2</v>
      </c>
      <c r="AH31" s="67">
        <f>'2023'!P363</f>
        <v>4.9518117903426466E-2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5.9180792762821843E-3</v>
      </c>
      <c r="C32" s="48">
        <f>'2019'!O29</f>
        <v>4.3423268339272153E-2</v>
      </c>
      <c r="D32" s="66">
        <f>'2019'!P29</f>
        <v>1.2466927556184748E-2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0">
        <f>'2024'!A29</f>
        <v>45306</v>
      </c>
      <c r="AF32" s="91">
        <f>'2024'!L29</f>
        <v>4.4891359040824641E-2</v>
      </c>
      <c r="AG32" s="48">
        <f>'2024'!O29</f>
        <v>5.5862555664721356E-2</v>
      </c>
      <c r="AH32" s="66">
        <f>'2024'!P29</f>
        <v>4.9955849325762886E-2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6.5928188769961427E-3</v>
      </c>
      <c r="C33" s="48">
        <f>'2019'!O60</f>
        <v>4.7439781196664081E-2</v>
      </c>
      <c r="D33" s="66">
        <f>'2019'!P60</f>
        <v>7.0236600020623903E-3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0">
        <f>'2024'!A60</f>
        <v>45337</v>
      </c>
      <c r="AF33" s="91">
        <f>'2024'!L60</f>
        <v>4.5539645273180773E-2</v>
      </c>
      <c r="AG33" s="48">
        <f>'2024'!O60</f>
        <v>5.9639168220794188E-2</v>
      </c>
      <c r="AH33" s="66">
        <f>'2024'!P60</f>
        <v>3.5283258532077241E-2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7.2018674414315864E-3</v>
      </c>
      <c r="C34" s="48">
        <f>'2019'!O88</f>
        <v>5.0946901579558709E-2</v>
      </c>
      <c r="D34" s="66">
        <f>'2019'!P88</f>
        <v>3.1697398160205237E-4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0">
        <f>'2024'!A88</f>
        <v>45365</v>
      </c>
      <c r="AF34" s="91">
        <f>'2024'!L88</f>
        <v>4.6124815906032124E-2</v>
      </c>
      <c r="AG34" s="48">
        <f>'2024'!O88</f>
        <v>6.2943602733994047E-2</v>
      </c>
      <c r="AH34" s="66">
        <f>'2024'!P88</f>
        <v>3.7305515350760411E-3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7.8757356625379638E-3</v>
      </c>
      <c r="C35" s="48">
        <f>'2019'!O119</f>
        <v>5.4889671931574936E-2</v>
      </c>
      <c r="D35" s="66">
        <f>'2019'!P119</f>
        <v>0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0">
        <f>'2024'!A119</f>
        <v>45396</v>
      </c>
      <c r="AF35" s="91">
        <f>'2024'!L119</f>
        <v>4.6772264921479456E-2</v>
      </c>
      <c r="AG35" s="48">
        <f>'2024'!O119</f>
        <v>6.6715921256044142E-2</v>
      </c>
      <c r="AH35" s="66">
        <f>'2024'!P119</f>
        <v>3.5266355782347206E-7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8.5274306973701641E-3</v>
      </c>
      <c r="C36" s="48">
        <f>'2019'!O149</f>
        <v>5.9225409570533717E-2</v>
      </c>
      <c r="D36" s="66">
        <f>'2019'!P149</f>
        <v>0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0">
        <f>'2024'!A149</f>
        <v>45426</v>
      </c>
      <c r="AF36" s="91">
        <f>'2024'!L149</f>
        <v>4.7398410057068685E-2</v>
      </c>
      <c r="AG36" s="48">
        <f>'2024'!O149</f>
        <v>7.1020714079246094E-2</v>
      </c>
      <c r="AH36" s="66">
        <f>'2024'!P149</f>
        <v>0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9.2003991837530386E-3</v>
      </c>
      <c r="C37" s="48">
        <f>'2019'!O180</f>
        <v>6.3978315375055467E-2</v>
      </c>
      <c r="D37" s="66">
        <f>'2019'!P180</f>
        <v>0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0">
        <f>'2024'!A180</f>
        <v>45457</v>
      </c>
      <c r="AF37" s="91">
        <f>'2024'!L180</f>
        <v>4.8044994612162162E-2</v>
      </c>
      <c r="AG37" s="48">
        <f>'2024'!O180</f>
        <v>7.5802041756846406E-2</v>
      </c>
      <c r="AH37" s="66">
        <f>'2024'!P180</f>
        <v>0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9.8512240890352709E-3</v>
      </c>
      <c r="C38" s="48">
        <f>'2019'!O210</f>
        <v>6.7826873579347371E-2</v>
      </c>
      <c r="D38" s="66">
        <f>'2019'!P210</f>
        <v>0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0">
        <f>'2024'!A210</f>
        <v>45487</v>
      </c>
      <c r="AF38" s="91">
        <f>'2024'!L210</f>
        <v>4.8670303731891407E-2</v>
      </c>
      <c r="AG38" s="48">
        <f>'2024'!O210</f>
        <v>7.9550232862848083E-2</v>
      </c>
      <c r="AH38" s="66">
        <f>'2024'!P210</f>
        <v>0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1.0523294042001807E-2</v>
      </c>
      <c r="C39" s="48">
        <f>'2019'!O241</f>
        <v>7.1115087525068357E-2</v>
      </c>
      <c r="D39" s="66">
        <f>'2019'!P241</f>
        <v>0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0">
        <f>'2024'!A241</f>
        <v>45518</v>
      </c>
      <c r="AF39" s="91">
        <f>'2024'!L241</f>
        <v>4.9316024980840312E-2</v>
      </c>
      <c r="AG39" s="48">
        <f>'2024'!O241</f>
        <v>8.2641802667041089E-2</v>
      </c>
      <c r="AH39" s="66">
        <f>'2024'!P241</f>
        <v>2.0942351762776013E-7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1.1194907823095179E-2</v>
      </c>
      <c r="C40" s="48">
        <f>'2019'!O272</f>
        <v>7.4021642481730751E-2</v>
      </c>
      <c r="D40" s="66">
        <f>'2019'!P272</f>
        <v>3.0214538467494033E-9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0">
        <f>'2024'!A272</f>
        <v>45549</v>
      </c>
      <c r="AF40" s="91">
        <f>'2024'!L272</f>
        <v>4.9961307942271271E-2</v>
      </c>
      <c r="AG40" s="48">
        <f>'2024'!O272</f>
        <v>8.5322508554255883E-2</v>
      </c>
      <c r="AH40" s="66">
        <f>'2024'!P272</f>
        <v>3.0943861914565265E-4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1.1844422598765725E-2</v>
      </c>
      <c r="C41" s="48">
        <f>'2019'!O302</f>
        <v>7.6093123432857374E-2</v>
      </c>
      <c r="D41" s="66">
        <f>'2019'!P302</f>
        <v>6.9462923263834781E-3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0">
        <f>'2024'!A302</f>
        <v>45579</v>
      </c>
      <c r="AF41" s="91">
        <f>'2024'!L302</f>
        <v>5.0585358296413085E-2</v>
      </c>
      <c r="AG41" s="48">
        <f>'2024'!O302</f>
        <v>8.7097623914321437E-2</v>
      </c>
      <c r="AH41" s="66">
        <f>'2024'!P302</f>
        <v>3.465035934376727E-2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1.2515139655216778E-2</v>
      </c>
      <c r="C42" s="48">
        <f>'2019'!O333</f>
        <v>7.7336092000739917E-2</v>
      </c>
      <c r="D42" s="66">
        <f>'2019'!P333</f>
        <v>2.5161908241870423E-2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0">
        <f>'2024'!A333</f>
        <v>45610</v>
      </c>
      <c r="AF42" s="91">
        <f>'2024'!L333</f>
        <v>5.1229779689560107E-2</v>
      </c>
      <c r="AG42" s="48">
        <f>'2024'!O333</f>
        <v>8.7948173496309345E-2</v>
      </c>
      <c r="AH42" s="66">
        <f>'2024'!P333</f>
        <v>6.9650624864668331E-2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1.3163787212373657E-2</v>
      </c>
      <c r="C43" s="49">
        <f>'2019'!O363</f>
        <v>7.9033197807209923E-2</v>
      </c>
      <c r="D43" s="67">
        <f>'2019'!P363</f>
        <v>2.4049987683874733E-2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1">
        <f>'2024'!A363</f>
        <v>45640</v>
      </c>
      <c r="AF43" s="92">
        <f>'2024'!L363</f>
        <v>5.1852996824750197E-2</v>
      </c>
      <c r="AG43" s="49">
        <f>'2024'!O363</f>
        <v>8.9372096660125452E-2</v>
      </c>
      <c r="AH43" s="67">
        <f>'2024'!P363</f>
        <v>5.8199181701100063E-2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1.3833608741470216E-2</v>
      </c>
      <c r="C44" s="48">
        <f>'2020'!O29</f>
        <v>8.1432038097489293E-2</v>
      </c>
      <c r="D44" s="66">
        <f>'2020'!P29</f>
        <v>2.2401161118813934E-2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0">
        <f>'2025'!A29</f>
        <v>45672</v>
      </c>
      <c r="AF44" s="91">
        <f>'2025'!L29</f>
        <v>5.2517310557048891E-2</v>
      </c>
      <c r="AG44" s="48">
        <f>'2025'!O29</f>
        <v>9.1675808235350736E-2</v>
      </c>
      <c r="AH44" s="66">
        <f>'2025'!P29</f>
        <v>5.8725028658003983E-2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1.4502975624826164E-2</v>
      </c>
      <c r="C45" s="48">
        <f>'2020'!O60</f>
        <v>8.3868456627738425E-2</v>
      </c>
      <c r="D45" s="66">
        <f>'2020'!P60</f>
        <v>1.258365196125533E-2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0">
        <f>'2025'!A60</f>
        <v>45703</v>
      </c>
      <c r="AF45" s="91">
        <f>'2025'!L60</f>
        <v>5.3160420624972393E-2</v>
      </c>
      <c r="AG45" s="48">
        <f>'2025'!O60</f>
        <v>9.3963598143825225E-2</v>
      </c>
      <c r="AH45" s="66">
        <f>'2025'!P60</f>
        <v>4.5586080153090215E-2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1.5107174546835744E-2</v>
      </c>
      <c r="C46" s="48">
        <f>'2020'!O88</f>
        <v>8.6020757952482374E-2</v>
      </c>
      <c r="D46" s="66">
        <f>'2020'!P88</f>
        <v>5.6313140121413909E-4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0">
        <f>'2025'!A88</f>
        <v>45731</v>
      </c>
      <c r="AF46" s="91">
        <f>'2025'!L88</f>
        <v>5.3740919032399859E-2</v>
      </c>
      <c r="AG46" s="48">
        <f>'2025'!O88</f>
        <v>9.5991472604550279E-2</v>
      </c>
      <c r="AH46" s="66">
        <f>'2025'!P88</f>
        <v>6.1975353810702054E-3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1.5775676989077669E-2</v>
      </c>
      <c r="C47" s="48">
        <f>'2020'!O119</f>
        <v>8.8650812581417396E-2</v>
      </c>
      <c r="D47" s="66">
        <f>'2020'!P119</f>
        <v>0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0">
        <f>'2025'!A119</f>
        <v>45762</v>
      </c>
      <c r="AF47" s="91">
        <f>'2025'!L119</f>
        <v>5.438319856807361E-2</v>
      </c>
      <c r="AG47" s="48">
        <f>'2025'!O119</f>
        <v>9.8526902375840969E-2</v>
      </c>
      <c r="AH47" s="66">
        <f>'2025'!P119</f>
        <v>0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1.6422182802435126E-2</v>
      </c>
      <c r="C48" s="48">
        <f>'2020'!O149</f>
        <v>9.2116512665152694E-2</v>
      </c>
      <c r="D48" s="66">
        <f>'2020'!P149</f>
        <v>0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0">
        <f>'2025'!A149</f>
        <v>45792</v>
      </c>
      <c r="AF48" s="91">
        <f>'2025'!L149</f>
        <v>5.5004344322187926E-2</v>
      </c>
      <c r="AG48" s="48">
        <f>'2025'!O149</f>
        <v>2.0032458469866676E-2</v>
      </c>
      <c r="AH48" s="66">
        <f>'2025'!P149</f>
        <v>0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1.7089792674229054E-2</v>
      </c>
      <c r="C49" s="48">
        <f>'2020'!O180</f>
        <v>9.6144143295624845E-2</v>
      </c>
      <c r="D49" s="66">
        <f>'2020'!P180</f>
        <v>0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0">
        <f>'2025'!A180</f>
        <v>45823</v>
      </c>
      <c r="AF49" s="91">
        <f>'2025'!L180</f>
        <v>5.564576629968887E-2</v>
      </c>
      <c r="AG49" s="48">
        <f>'2025'!O180</f>
        <v>2.5938118033059072E-2</v>
      </c>
      <c r="AH49" s="66">
        <f>'2025'!P180</f>
        <v>0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1.7735435286576395E-2</v>
      </c>
      <c r="C50" s="48">
        <f>'2020'!O210</f>
        <v>9.8953268276279524E-2</v>
      </c>
      <c r="D50" s="66">
        <f>'2020'!P210</f>
        <v>0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0">
        <f>'2025'!A210</f>
        <v>45853</v>
      </c>
      <c r="AF50" s="91">
        <f>'2025'!L210</f>
        <v>5.6266082713012477E-2</v>
      </c>
      <c r="AG50" s="48">
        <f>'2025'!O210</f>
        <v>3.1297653299310772E-2</v>
      </c>
      <c r="AH50" s="66">
        <f>'2025'!P210</f>
        <v>0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1.8402153779663699E-2</v>
      </c>
      <c r="C51" s="48">
        <f>'2020'!O241</f>
        <v>0.10094700599941284</v>
      </c>
      <c r="D51" s="66">
        <f>'2020'!P241</f>
        <v>0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0">
        <f>'2025'!A241</f>
        <v>45884</v>
      </c>
      <c r="AF51" s="91">
        <f>'2025'!L241</f>
        <v>5.6906648277334271E-2</v>
      </c>
      <c r="AG51" s="48">
        <f>'2025'!O241</f>
        <v>3.6395938546512498E-2</v>
      </c>
      <c r="AH51" s="66">
        <f>'2025'!P241</f>
        <v>0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1.906841973321638E-2</v>
      </c>
      <c r="C52" s="48">
        <f>'2020'!O272</f>
        <v>0.10251866025693741</v>
      </c>
      <c r="D52" s="66">
        <f>'2020'!P272</f>
        <v>2.393738314215848E-5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0">
        <f>'2025'!A272</f>
        <v>45915</v>
      </c>
      <c r="AF52" s="91">
        <f>'2025'!L272</f>
        <v>5.7546779053592734E-2</v>
      </c>
      <c r="AG52" s="48">
        <f>'2025'!O272</f>
        <v>4.1146026474973403E-2</v>
      </c>
      <c r="AH52" s="66">
        <f>'2025'!P272</f>
        <v>1.5791208601070303E-9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1.9712762648059545E-2</v>
      </c>
      <c r="C53" s="48">
        <f>'2020'!O302</f>
        <v>0.10314254612716112</v>
      </c>
      <c r="D53" s="66">
        <f>'2020'!P302</f>
        <v>1.0790463306942076E-2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0">
        <f>'2025'!A302</f>
        <v>45945</v>
      </c>
      <c r="AF53" s="91">
        <f>'2025'!L302</f>
        <v>5.816584675179326E-2</v>
      </c>
      <c r="AG53" s="48">
        <f>'2025'!O302</f>
        <v>4.5165224309002397E-2</v>
      </c>
      <c r="AH53" s="66">
        <f>'2025'!P302</f>
        <v>3.6594415610827847E-3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2.037813901727703E-2</v>
      </c>
      <c r="C54" s="48">
        <f>'2020'!O333</f>
        <v>0.10273049447126391</v>
      </c>
      <c r="D54" s="66">
        <f>'2020'!P333</f>
        <v>3.3509138593405215E-2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0">
        <f>'2025'!A333</f>
        <v>45976</v>
      </c>
      <c r="AF54" s="91">
        <f>'2025'!L333</f>
        <v>5.8805122838857415E-2</v>
      </c>
      <c r="AG54" s="48">
        <f>'2025'!O333</f>
        <v>4.858140977027401E-2</v>
      </c>
      <c r="AH54" s="66">
        <f>'2025'!P333</f>
        <v>1.3287263012881644E-2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2.1021621618966813E-2</v>
      </c>
      <c r="C55" s="49">
        <f>'2020'!O363</f>
        <v>0.10313029691240486</v>
      </c>
      <c r="D55" s="67">
        <f>'2020'!P363</f>
        <v>3.0937272851922923E-2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1">
        <f>'2025'!A363</f>
        <v>46006</v>
      </c>
      <c r="AF55" s="92">
        <f>'2025'!L363</f>
        <v>5.9423363970844023E-2</v>
      </c>
      <c r="AG55" s="49">
        <f>'2025'!O363</f>
        <v>5.2016431053968311E-2</v>
      </c>
      <c r="AH55" s="67">
        <f>'2025'!P363</f>
        <v>1.2708393063900498E-2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2.1707537176579805E-2</v>
      </c>
      <c r="C56" s="48">
        <f>'2021'!O29</f>
        <v>0.10453416952709468</v>
      </c>
      <c r="D56" s="66">
        <f>'2021'!P29</f>
        <v>2.9553513291731365E-2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0">
        <f>'2026'!A29</f>
        <v>46037</v>
      </c>
      <c r="AF56" s="91">
        <f>'2026'!L29</f>
        <v>6.0061786509877035E-2</v>
      </c>
      <c r="AG56" s="48">
        <f>'2026'!O29</f>
        <v>5.5862555664721356E-2</v>
      </c>
      <c r="AH56" s="66">
        <f>'2026'!P29</f>
        <v>1.1847148229547536E-2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2.2371559579548839E-2</v>
      </c>
      <c r="C57" s="48">
        <f>'2021'!O60</f>
        <v>0.10601019004790982</v>
      </c>
      <c r="D57" s="66">
        <f>'2021'!P60</f>
        <v>1.7831215523972557E-2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0">
        <f>'2026'!A60</f>
        <v>46068</v>
      </c>
      <c r="AF57" s="91">
        <f>'2026'!L60</f>
        <v>6.0699775715439053E-2</v>
      </c>
      <c r="AG57" s="48">
        <f>'2026'!O60</f>
        <v>5.9639168220794188E-2</v>
      </c>
      <c r="AH57" s="66">
        <f>'2026'!P60</f>
        <v>6.6851651636585484E-3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2.2970934347019467E-2</v>
      </c>
      <c r="C58" s="48">
        <f>'2021'!O88</f>
        <v>0.10733901804942249</v>
      </c>
      <c r="D58" s="66">
        <f>'2021'!P88</f>
        <v>1.1508207361666427E-3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0">
        <f>'2026'!A88</f>
        <v>46096</v>
      </c>
      <c r="AF58" s="91">
        <f>'2026'!L88</f>
        <v>6.1275651815436261E-2</v>
      </c>
      <c r="AG58" s="48">
        <f>'2026'!O88</f>
        <v>6.2943602733994047E-2</v>
      </c>
      <c r="AH58" s="66">
        <f>'2026'!P88</f>
        <v>3.0308008776107413E-4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2.363409921090176E-2</v>
      </c>
      <c r="C59" s="48">
        <f>'2021'!O119</f>
        <v>0.10917119020656889</v>
      </c>
      <c r="D59" s="66">
        <f>'2021'!P119</f>
        <v>3.5649082074078646E-12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0">
        <f>'2026'!A119</f>
        <v>46127</v>
      </c>
      <c r="AF59" s="91">
        <f>'2026'!L119</f>
        <v>6.1912817101988815E-2</v>
      </c>
      <c r="AG59" s="48">
        <f>'2026'!O119</f>
        <v>6.6715921256044142E-2</v>
      </c>
      <c r="AH59" s="66">
        <f>'2026'!P119</f>
        <v>0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2.4275443075370773E-2</v>
      </c>
      <c r="C60" s="48">
        <f>'2021'!O149</f>
        <v>2.1909992184859204E-2</v>
      </c>
      <c r="D60" s="66">
        <f>'2021'!P149</f>
        <v>0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0">
        <f>'2026'!A149</f>
        <v>46157</v>
      </c>
      <c r="AF60" s="91">
        <f>'2026'!L149</f>
        <v>6.2529016887952649E-2</v>
      </c>
      <c r="AG60" s="48">
        <f>'2026'!O149</f>
        <v>7.1020714079246094E-2</v>
      </c>
      <c r="AH60" s="66">
        <f>'2026'!P149</f>
        <v>0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2.4937722495427916E-2</v>
      </c>
      <c r="C61" s="48">
        <f>'2021'!O180</f>
        <v>2.791850951911478E-2</v>
      </c>
      <c r="D61" s="66">
        <f>'2021'!P180</f>
        <v>0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0">
        <f>'2026'!A180</f>
        <v>46188</v>
      </c>
      <c r="AF61" s="91">
        <f>'2026'!L180</f>
        <v>6.3165331444770545E-2</v>
      </c>
      <c r="AG61" s="48">
        <f>'2026'!O180</f>
        <v>7.5802041756846406E-2</v>
      </c>
      <c r="AH61" s="66">
        <f>'2026'!P180</f>
        <v>0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2.5578210051012684E-2</v>
      </c>
      <c r="C62" s="48">
        <f>'2021'!O210</f>
        <v>3.3354906071438775E-2</v>
      </c>
      <c r="D62" s="66">
        <f>'2021'!P210</f>
        <v>0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0">
        <f>'2026'!A210</f>
        <v>46218</v>
      </c>
      <c r="AF62" s="91">
        <f>'2026'!L210</f>
        <v>6.3780708493696658E-2</v>
      </c>
      <c r="AG62" s="48">
        <f>'2026'!O210</f>
        <v>7.9550232862848083E-2</v>
      </c>
      <c r="AH62" s="66">
        <f>'2026'!P210</f>
        <v>0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2.6239605209470551E-2</v>
      </c>
      <c r="C63" s="48">
        <f>'2021'!O241</f>
        <v>3.851308674049813E-2</v>
      </c>
      <c r="D63" s="66">
        <f>'2021'!P241</f>
        <v>0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0">
        <f>'2026'!A241</f>
        <v>46249</v>
      </c>
      <c r="AF63" s="91">
        <f>'2026'!L241</f>
        <v>6.4416173456656511E-2</v>
      </c>
      <c r="AG63" s="48">
        <f>'2026'!O241</f>
        <v>8.2641802667041089E-2</v>
      </c>
      <c r="AH63" s="66">
        <f>'2026'!P241</f>
        <v>0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2.690055144164194E-2</v>
      </c>
      <c r="C64" s="48">
        <f>'2021'!O272</f>
        <v>4.3313408512760145E-2</v>
      </c>
      <c r="D64" s="66">
        <f>'2021'!P272</f>
        <v>6.083062610301134E-5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0">
        <f>'2026'!A272</f>
        <v>46280</v>
      </c>
      <c r="AF64" s="91">
        <f>'2026'!L272</f>
        <v>6.5051207093619445E-2</v>
      </c>
      <c r="AG64" s="48">
        <f>'2026'!O272</f>
        <v>8.5322508554255883E-2</v>
      </c>
      <c r="AH64" s="66">
        <f>'2026'!P272</f>
        <v>3.273285784555458E-9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2.7539749677003011E-2</v>
      </c>
      <c r="C65" s="48">
        <f>'2021'!O302</f>
        <v>4.7361356012462122E-2</v>
      </c>
      <c r="D65" s="66">
        <f>'2021'!P302</f>
        <v>1.54065365981694E-2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0">
        <f>'2026'!A302</f>
        <v>46310</v>
      </c>
      <c r="AF65" s="91">
        <f>'2026'!L302</f>
        <v>6.5665345370507833E-2</v>
      </c>
      <c r="AG65" s="48">
        <f>'2026'!O302</f>
        <v>8.7097623914321437E-2</v>
      </c>
      <c r="AH65" s="66">
        <f>'2026'!P302</f>
        <v>7.5320172605408148E-3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2.819981342761968E-2</v>
      </c>
      <c r="C66" s="48">
        <f>'2021'!O333</f>
        <v>5.0783617001921105E-2</v>
      </c>
      <c r="D66" s="66">
        <f>'2021'!P333</f>
        <v>4.1823812100589955E-2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0">
        <f>'2026'!A333</f>
        <v>46341</v>
      </c>
      <c r="AF66" s="91">
        <f>'2026'!L333</f>
        <v>6.6299531123870103E-2</v>
      </c>
      <c r="AG66" s="48">
        <f>'2026'!O333</f>
        <v>8.7948173496309345E-2</v>
      </c>
      <c r="AH66" s="66">
        <f>'2026'!P333</f>
        <v>2.7290939497101138E-2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2.8838158218895571E-2</v>
      </c>
      <c r="C67" s="49">
        <f>'2021'!O363</f>
        <v>5.4240610004729378E-2</v>
      </c>
      <c r="D67" s="67">
        <f>'2021'!P363</f>
        <v>3.7253935204048842E-2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1">
        <f>'2026'!A363</f>
        <v>46371</v>
      </c>
      <c r="AF67" s="92">
        <f>'2026'!L363</f>
        <v>6.6912849416204456E-2</v>
      </c>
      <c r="AG67" s="49">
        <f>'2026'!O363</f>
        <v>8.9372096660125452E-2</v>
      </c>
      <c r="AH67" s="67">
        <f>'2026'!P363</f>
        <v>2.6086868835407635E-2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2.9497340666228444E-2</v>
      </c>
      <c r="C68" s="48">
        <f>'2022'!O29</f>
        <v>5.8129019383776341E-2</v>
      </c>
      <c r="D68" s="66">
        <f>'2022'!P29</f>
        <v>3.6545978146314953E-2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0">
        <f>'2027'!A29</f>
        <v>46402</v>
      </c>
      <c r="AF68" s="91">
        <f>'2027'!L29</f>
        <v>6.7546188418042385E-2</v>
      </c>
      <c r="AG68" s="48">
        <f>'2027'!O29</f>
        <v>9.1600394602720028E-2</v>
      </c>
      <c r="AH68" s="66">
        <f>'2027'!P29</f>
        <v>2.4303299318364689E-2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3.0156075689166895E-2</v>
      </c>
      <c r="C69" s="48">
        <f>'2022'!O60</f>
        <v>6.1950022735842249E-2</v>
      </c>
      <c r="D69" s="66">
        <f>'2022'!P60</f>
        <v>2.3590400186616876E-2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0">
        <f>'2027'!A60</f>
        <v>46433</v>
      </c>
      <c r="AF69" s="91">
        <f>'2027'!L60</f>
        <v>6.817909753689344E-2</v>
      </c>
      <c r="AG69" s="48">
        <f>'2027'!O60</f>
        <v>9.3891319594331044E-2</v>
      </c>
      <c r="AH69" s="66">
        <f>'2027'!P60</f>
        <v>1.3667569276287967E-2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3.0750677843300989E-2</v>
      </c>
      <c r="C70" s="48">
        <f>'2022'!O88</f>
        <v>6.5294025045114265E-2</v>
      </c>
      <c r="D70" s="66">
        <f>'2022'!P88</f>
        <v>1.9166753813474773E-3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0">
        <f>'2027'!A88</f>
        <v>46461</v>
      </c>
      <c r="AF70" s="91">
        <f>'2027'!L88</f>
        <v>6.8750388135290885E-2</v>
      </c>
      <c r="AG70" s="48">
        <f>'2027'!O88</f>
        <v>9.5921882166967717E-2</v>
      </c>
      <c r="AH70" s="66">
        <f>'2027'!P88</f>
        <v>6.1363803457251955E-4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3.1408562155439079E-2</v>
      </c>
      <c r="C71" s="48">
        <f>'2022'!O119</f>
        <v>6.9117649339505968E-2</v>
      </c>
      <c r="D71" s="66">
        <f>'2022'!P119</f>
        <v>8.2776490677380815E-12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0">
        <f>'2027'!A119</f>
        <v>46492</v>
      </c>
      <c r="AF71" s="91">
        <f>'2027'!L119</f>
        <v>6.9382479895713556E-2</v>
      </c>
      <c r="AG71" s="48">
        <f>'2027'!O119</f>
        <v>9.845991651246376E-2</v>
      </c>
      <c r="AH71" s="66">
        <f>'2027'!P119</f>
        <v>3.3025972264488628E-13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3.2044799221212061E-2</v>
      </c>
      <c r="C72" s="48">
        <f>'2022'!O149</f>
        <v>7.3497459792666239E-2</v>
      </c>
      <c r="D72" s="66">
        <f>'2022'!P149</f>
        <v>0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0">
        <f>'2027'!A149</f>
        <v>46522</v>
      </c>
      <c r="AF72" s="91">
        <f>'2027'!L149</f>
        <v>6.9993773096555523E-2</v>
      </c>
      <c r="AG72" s="48">
        <f>'2027'!O149</f>
        <v>2.0032458469866676E-2</v>
      </c>
      <c r="AH72" s="66">
        <f>'2027'!P149</f>
        <v>0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3.2701805140006979E-2</v>
      </c>
      <c r="C73" s="48">
        <f>'2022'!O180</f>
        <v>7.8368432136703775E-2</v>
      </c>
      <c r="D73" s="66">
        <f>'2022'!P180</f>
        <v>0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0">
        <f>'2027'!A180</f>
        <v>46553</v>
      </c>
      <c r="AF73" s="91">
        <f>'2027'!L180</f>
        <v>7.0625020901309399E-2</v>
      </c>
      <c r="AG73" s="48">
        <f>'2027'!O180</f>
        <v>2.5938118033059072E-2</v>
      </c>
      <c r="AH73" s="66">
        <f>'2027'!P180</f>
        <v>0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3.3337192715386266E-2</v>
      </c>
      <c r="C74" s="48">
        <f>'2022'!O210</f>
        <v>8.2174548074826173E-2</v>
      </c>
      <c r="D74" s="66">
        <f>'2022'!P210</f>
        <v>0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0">
        <f>'2027'!A210</f>
        <v>46583</v>
      </c>
      <c r="AF74" s="91">
        <f>'2027'!L210</f>
        <v>7.1235497916283141E-2</v>
      </c>
      <c r="AG74" s="48">
        <f>'2027'!O210</f>
        <v>3.1297653299310772E-2</v>
      </c>
      <c r="AH74" s="66">
        <f>'2027'!P210</f>
        <v>0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3.3993321413650301E-2</v>
      </c>
      <c r="C75" s="48">
        <f>'2022'!O241</f>
        <v>8.5302430458975079E-2</v>
      </c>
      <c r="D75" s="66">
        <f>'2022'!P241</f>
        <v>0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0">
        <f>'2027'!A241</f>
        <v>46614</v>
      </c>
      <c r="AF75" s="91">
        <f>'2027'!L241</f>
        <v>7.1865902892200073E-2</v>
      </c>
      <c r="AG75" s="48">
        <f>'2027'!O241</f>
        <v>3.6395938546512498E-2</v>
      </c>
      <c r="AH75" s="66">
        <f>'2027'!P241</f>
        <v>0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3.4649004760272106E-2</v>
      </c>
      <c r="C76" s="48">
        <f>'2022'!O272</f>
        <v>8.8009050892662102E-2</v>
      </c>
      <c r="D76" s="66">
        <f>'2022'!P272</f>
        <v>9.772386906386418E-5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0">
        <f>'2027'!A272</f>
        <v>46645</v>
      </c>
      <c r="AF76" s="91">
        <f>'2027'!L272</f>
        <v>7.2495879976619437E-2</v>
      </c>
      <c r="AG76" s="48">
        <f>'2027'!O272</f>
        <v>4.1146026474973403E-2</v>
      </c>
      <c r="AH76" s="66">
        <f>'2027'!P272</f>
        <v>5.7454942024807006E-5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3.5283113281837308E-2</v>
      </c>
      <c r="C77" s="48">
        <f>'2022'!O302</f>
        <v>8.9786543548375633E-2</v>
      </c>
      <c r="D77" s="66">
        <f>'2022'!P302</f>
        <v>2.0022609889396734E-2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0">
        <f>'2027'!A302</f>
        <v>46675</v>
      </c>
      <c r="AF77" s="91">
        <f>'2027'!L302</f>
        <v>7.3105128083467474E-2</v>
      </c>
      <c r="AG77" s="48">
        <f>'2027'!O302</f>
        <v>4.5165224309002397E-2</v>
      </c>
      <c r="AH77" s="66">
        <f>'2027'!P302</f>
        <v>1.5023775492778623E-2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3.5937921173798903E-2</v>
      </c>
      <c r="C78" s="48">
        <f>'2022'!O333</f>
        <v>9.0613017405402729E-2</v>
      </c>
      <c r="D78" s="66">
        <f>'2022'!P333</f>
        <v>5.0138485607774723E-2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0">
        <f>'2027'!A333</f>
        <v>46706</v>
      </c>
      <c r="AF78" s="91">
        <f>'2027'!L333</f>
        <v>7.3734264035689168E-2</v>
      </c>
      <c r="AG78" s="48">
        <f>'2027'!O333</f>
        <v>4.858140977027401E-2</v>
      </c>
      <c r="AH78" s="66">
        <f>'2027'!P333</f>
        <v>4.1155861297939286E-2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3.6571183046958056E-2</v>
      </c>
      <c r="C79" s="49">
        <f>'2022'!O363</f>
        <v>9.2035277941382845E-2</v>
      </c>
      <c r="D79" s="67">
        <f>'2022'!P363</f>
        <v>4.3570597556174769E-2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1">
        <f>'2027'!A363</f>
        <v>46736</v>
      </c>
      <c r="AF79" s="92">
        <f>'2027'!L363</f>
        <v>7.4342698687235753E-2</v>
      </c>
      <c r="AG79" s="49">
        <f>'2027'!O363</f>
        <v>5.2016431053968311E-2</v>
      </c>
      <c r="AH79" s="67">
        <f>'2027'!P363</f>
        <v>3.67510082840996E-2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J6:K6"/>
    <mergeCell ref="P6:Q6"/>
    <mergeCell ref="V6:W6"/>
    <mergeCell ref="AB6:AC6"/>
    <mergeCell ref="AE3:AJ3"/>
    <mergeCell ref="AM2:AN2"/>
    <mergeCell ref="H1:K1"/>
    <mergeCell ref="B2:F2"/>
    <mergeCell ref="A3:F3"/>
    <mergeCell ref="G3:L3"/>
    <mergeCell ref="Z1:AA1"/>
    <mergeCell ref="M3:R3"/>
    <mergeCell ref="S3:X3"/>
    <mergeCell ref="Y3:AD3"/>
    <mergeCell ref="Q7:R7"/>
    <mergeCell ref="D6:E6"/>
    <mergeCell ref="AB11:AC11"/>
    <mergeCell ref="AT11:AU11"/>
    <mergeCell ref="AN11:AO11"/>
    <mergeCell ref="AH11:AI11"/>
    <mergeCell ref="E7:F7"/>
    <mergeCell ref="AI7:AJ7"/>
    <mergeCell ref="V11:W11"/>
    <mergeCell ref="P11:Q11"/>
    <mergeCell ref="J11:K11"/>
    <mergeCell ref="D11:E11"/>
    <mergeCell ref="AC7:AD7"/>
    <mergeCell ref="W7:X7"/>
    <mergeCell ref="K7:L7"/>
    <mergeCell ref="AH6:AI6"/>
    <mergeCell ref="AW3:BB3"/>
    <mergeCell ref="AQ3:AV3"/>
    <mergeCell ref="AN6:AO6"/>
    <mergeCell ref="AT6:AU6"/>
    <mergeCell ref="AZ11:BA11"/>
    <mergeCell ref="AO7:AP7"/>
    <mergeCell ref="BA7:BB7"/>
    <mergeCell ref="AZ6:BA6"/>
    <mergeCell ref="AU7:AV7"/>
    <mergeCell ref="AK3:AP3"/>
    <mergeCell ref="BX11:BY11"/>
    <mergeCell ref="BR11:BS11"/>
    <mergeCell ref="BL11:BM11"/>
    <mergeCell ref="BO3:BT3"/>
    <mergeCell ref="BF11:BG11"/>
    <mergeCell ref="BX6:BY6"/>
    <mergeCell ref="BL6:BM6"/>
    <mergeCell ref="BR6:BS6"/>
    <mergeCell ref="BC3:BH3"/>
    <mergeCell ref="BM7:BN7"/>
    <mergeCell ref="BG7:BH7"/>
    <mergeCell ref="BS7:BT7"/>
    <mergeCell ref="BI3:BN3"/>
    <mergeCell ref="BY7:BZ7"/>
    <mergeCell ref="BF6:BG6"/>
    <mergeCell ref="BU3:BZ3"/>
  </mergeCells>
  <conditionalFormatting sqref="B5 H5 N5 T5 Z5 AF5 AL5 AR5 AX5 BD5 BJ5 BP5 BV5">
    <cfRule type="expression" dxfId="30" priority="131" stopIfTrue="1">
      <formula>AND(B5="D",C5&lt;&gt;"D")</formula>
    </cfRule>
    <cfRule type="expression" dxfId="29" priority="991" stopIfTrue="1">
      <formula>YEAR(B5)&lt;&gt;A3</formula>
    </cfRule>
  </conditionalFormatting>
  <conditionalFormatting sqref="B4 H4 N4 T4 Z4 AF4 AL4 AR4 AX4 BD4 BJ4 BP4 BV4">
    <cfRule type="expression" dxfId="28" priority="132" stopIfTrue="1">
      <formula>YEAR(B4)&lt;&gt;A3</formula>
    </cfRule>
    <cfRule type="expression" dxfId="27" priority="148" stopIfTrue="1">
      <formula>AND(B4="D",C4&lt;&gt;"D")</formula>
    </cfRule>
  </conditionalFormatting>
  <conditionalFormatting sqref="B6 H6 N6 T6 Z6 AF6 AL6 AR6 AX6 BD6 BJ6 BP6 BV6">
    <cfRule type="expression" dxfId="26" priority="153" stopIfTrue="1">
      <formula>YEAR(B6)&lt;&gt;A3</formula>
    </cfRule>
  </conditionalFormatting>
  <conditionalFormatting sqref="C4:BY6">
    <cfRule type="cellIs" dxfId="0" priority="1161" stopIfTrue="1" operator="equal">
      <formula>"D"</formula>
    </cfRule>
  </conditionalFormatting>
  <conditionalFormatting sqref="B6 H6 N6 T6 Z6 AL6 AR6 BD6 BJ6 BP6 BV6 AF6 AX6">
    <cfRule type="expression" dxfId="25" priority="1162" stopIfTrue="1">
      <formula>AND(B6="D",D6&lt;XFB16)</formula>
    </cfRule>
  </conditionalFormatting>
  <conditionalFormatting sqref="B9:C9 B11:E11 H9:I9 H11:K11 N9:O9 T9:U9 T11:W11 Z9 Z11:AC11 AF9:AG9 AL9 AL11:AO11 AR9:AS9 AR11:AU11 AX9:AY9 AX11:BA11 BD9:BE9 BJ9:BK9 BP9:BQ9 BV9 N11:Q11 AF11:AI11 BD11:BG11 BJ11:BM11 BP11:BS11 BV11:BY11">
    <cfRule type="expression" dxfId="24" priority="3" stopIfTrue="1">
      <formula>B4&lt;&gt;"D"</formula>
    </cfRule>
  </conditionalFormatting>
  <conditionalFormatting sqref="E7 K7 Q7 W7 AC7 AI7 AO7 AU7 BA7 BG7 BM7 BS7 BY7">
    <cfRule type="cellIs" dxfId="23" priority="4" stopIfTrue="1" operator="lessThan">
      <formula>0.01</formula>
    </cfRule>
    <cfRule type="cellIs" dxfId="22" priority="5" stopIfTrue="1" operator="greaterThan">
      <formula>0.05</formula>
    </cfRule>
  </conditionalFormatting>
  <conditionalFormatting sqref="B10:E10 H10:K10 N10:Q10 T10:W10 Z10:AC10 AF10:AI10 AL10:AO10 AR10:AU10 AX10:BA10 BD10:BG10 BJ10:BM10 BP10:BS10 BV10:BY10">
    <cfRule type="expression" dxfId="21" priority="2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AC10" sqref="AC1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39">
        <f>YEAR(E6)</f>
        <v>2018</v>
      </c>
      <c r="K1" s="1240"/>
      <c r="L1" s="113" t="str">
        <f>"Calcul pertes et enveloppes en "&amp;TEXT(An,0)</f>
        <v>Calcul pertes et enveloppes en 2018</v>
      </c>
      <c r="M1" s="243"/>
      <c r="N1" s="243"/>
      <c r="O1" s="458"/>
      <c r="P1" s="458"/>
      <c r="Q1" s="458"/>
      <c r="R1" s="458"/>
      <c r="S1" s="458"/>
      <c r="T1" s="458"/>
      <c r="U1" s="458"/>
      <c r="V1" s="458"/>
      <c r="W1" s="456"/>
      <c r="X1" s="486" t="str">
        <f>"Prévision sans nettoyage ni taille végétation en "&amp;TEXT(An,0)</f>
        <v>Prévision sans nettoyage ni taille végétation en 2018</v>
      </c>
      <c r="Y1" s="487"/>
      <c r="Z1" s="488"/>
      <c r="AA1" s="489"/>
      <c r="AB1" s="490"/>
      <c r="AC1" s="491"/>
      <c r="AD1" s="491"/>
      <c r="AE1" s="491"/>
      <c r="AF1" s="458"/>
      <c r="AG1" s="458"/>
      <c r="AH1" s="458"/>
      <c r="AI1" s="491"/>
      <c r="AL1" s="834" t="s">
        <v>280</v>
      </c>
    </row>
    <row r="2" spans="1:40" s="6" customFormat="1" ht="16.5" thickBot="1" x14ac:dyDescent="0.3">
      <c r="K2" s="190"/>
      <c r="L2" s="17"/>
      <c r="M2" s="17"/>
      <c r="N2" s="17"/>
      <c r="O2" s="493" t="s">
        <v>24</v>
      </c>
      <c r="P2" s="18"/>
      <c r="Q2" s="791"/>
      <c r="R2" s="18"/>
      <c r="S2" s="494"/>
      <c r="T2" s="494"/>
      <c r="U2" s="294" t="s">
        <v>75</v>
      </c>
      <c r="V2" s="495">
        <f>PertePVan</f>
        <v>8.0000000000000002E-3</v>
      </c>
      <c r="W2" s="451" t="s">
        <v>14</v>
      </c>
      <c r="X2" s="496"/>
      <c r="Y2" s="497"/>
      <c r="Z2" s="462"/>
      <c r="AA2" s="462"/>
      <c r="AB2" s="462"/>
      <c r="AC2" s="497"/>
      <c r="AD2" s="497"/>
      <c r="AE2" s="497"/>
      <c r="AF2" s="462"/>
      <c r="AG2" s="498"/>
      <c r="AH2" s="499"/>
      <c r="AI2" s="497"/>
      <c r="AJ2" s="840" t="s">
        <v>272</v>
      </c>
      <c r="AK2" s="840" t="s">
        <v>274</v>
      </c>
      <c r="AL2" s="840" t="s">
        <v>273</v>
      </c>
      <c r="AM2" s="840" t="s">
        <v>275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44">
        <v>44926</v>
      </c>
      <c r="F3" s="1245"/>
      <c r="G3" s="615">
        <f>YEAR(Tmaj)</f>
        <v>2022</v>
      </c>
      <c r="H3" s="564"/>
      <c r="I3" s="564"/>
      <c r="K3" s="191"/>
      <c r="L3" s="54"/>
      <c r="M3" s="34"/>
      <c r="N3" s="34"/>
      <c r="O3" s="500"/>
      <c r="P3" s="34"/>
      <c r="Q3" s="500"/>
      <c r="R3" s="34"/>
      <c r="S3" s="512"/>
      <c r="T3" s="451"/>
      <c r="U3" s="209" t="s">
        <v>164</v>
      </c>
      <c r="V3" s="634">
        <f>Salim_i</f>
        <v>0.14000000000000001</v>
      </c>
      <c r="W3" s="451"/>
      <c r="X3" s="501" t="s">
        <v>92</v>
      </c>
      <c r="Y3" s="502"/>
      <c r="Z3" s="503"/>
      <c r="AA3" s="497"/>
      <c r="AB3" s="497"/>
      <c r="AC3" s="504"/>
      <c r="AD3" s="494"/>
      <c r="AE3" s="504"/>
      <c r="AF3" s="494"/>
      <c r="AG3" s="498"/>
      <c r="AH3" s="499"/>
      <c r="AI3" s="504"/>
      <c r="AJ3" s="838">
        <f>AL11-AJ11</f>
        <v>0</v>
      </c>
      <c r="AK3" s="839">
        <f>AM11-AK11</f>
        <v>0</v>
      </c>
      <c r="AL3" s="838"/>
      <c r="AM3" s="839"/>
      <c r="AN3" s="837" t="s">
        <v>281</v>
      </c>
    </row>
    <row r="4" spans="1:40" s="19" customFormat="1" ht="16.5" customHeight="1" thickBot="1" x14ac:dyDescent="0.3">
      <c r="D4" s="105" t="s">
        <v>128</v>
      </c>
      <c r="E4" s="1246" t="s">
        <v>251</v>
      </c>
      <c r="F4" s="1247"/>
      <c r="G4" s="1247"/>
      <c r="H4" s="1247"/>
      <c r="I4" s="1248"/>
      <c r="K4" s="191"/>
      <c r="L4" s="505"/>
      <c r="M4" s="504"/>
      <c r="N4" s="504"/>
      <c r="O4" s="429"/>
      <c r="P4" s="34"/>
      <c r="Q4" s="504"/>
      <c r="R4" s="34"/>
      <c r="S4" s="494"/>
      <c r="T4" s="409"/>
      <c r="U4" s="295" t="s">
        <v>78</v>
      </c>
      <c r="V4" s="633">
        <f>Persistant</f>
        <v>0.8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504"/>
      <c r="AD4" s="504"/>
      <c r="AE4" s="504"/>
      <c r="AF4" s="494"/>
      <c r="AG4" s="498"/>
      <c r="AH4" s="499"/>
      <c r="AI4" s="504"/>
      <c r="AJ4" s="838">
        <f>AL12-AJ12</f>
        <v>0</v>
      </c>
      <c r="AK4" s="839">
        <f>AM12-AK12</f>
        <v>0</v>
      </c>
      <c r="AL4" s="838"/>
      <c r="AM4" s="839"/>
      <c r="AN4" s="837" t="s">
        <v>282</v>
      </c>
    </row>
    <row r="5" spans="1:40" s="35" customFormat="1" ht="16.5" customHeight="1" thickBot="1" x14ac:dyDescent="0.3">
      <c r="A5" s="19"/>
      <c r="B5" s="19"/>
      <c r="C5" s="19"/>
      <c r="D5" s="106" t="s">
        <v>74</v>
      </c>
      <c r="E5" s="1244">
        <v>43209</v>
      </c>
      <c r="F5" s="1245"/>
      <c r="G5" s="559"/>
      <c r="H5" s="559"/>
      <c r="I5" s="559"/>
      <c r="J5" s="19"/>
      <c r="K5" s="192"/>
      <c r="L5" s="505"/>
      <c r="M5" s="504"/>
      <c r="N5" s="504"/>
      <c r="O5" s="429"/>
      <c r="P5" s="507"/>
      <c r="Q5" s="507"/>
      <c r="R5" s="494"/>
      <c r="S5" s="498"/>
      <c r="T5" s="498"/>
      <c r="U5" s="494"/>
      <c r="V5" s="506"/>
      <c r="W5" s="507"/>
      <c r="X5" s="508"/>
      <c r="Y5" s="509"/>
      <c r="Z5" s="236">
        <f>Wh_Psa_s-Wh_Psa</f>
        <v>0</v>
      </c>
      <c r="AA5" s="237">
        <f>Wh_Pvg_s-Wh_Pvg</f>
        <v>0</v>
      </c>
      <c r="AB5" s="513" t="s">
        <v>6</v>
      </c>
      <c r="AC5" s="494"/>
      <c r="AD5" s="504"/>
      <c r="AE5" s="507"/>
      <c r="AF5" s="494"/>
      <c r="AG5" s="498"/>
      <c r="AH5" s="499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7" t="s">
        <v>278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44">
        <v>43249</v>
      </c>
      <c r="F6" s="1245"/>
      <c r="G6" s="575"/>
      <c r="H6" s="556"/>
      <c r="I6" s="556"/>
      <c r="J6" s="35"/>
      <c r="K6" s="193"/>
      <c r="L6" s="154" t="s">
        <v>79</v>
      </c>
      <c r="M6" s="41"/>
      <c r="N6" s="41"/>
      <c r="O6" s="507"/>
      <c r="P6" s="497"/>
      <c r="Q6" s="497"/>
      <c r="R6" s="514"/>
      <c r="S6" s="498"/>
      <c r="T6" s="498"/>
      <c r="U6" s="514"/>
      <c r="V6" s="499"/>
      <c r="W6" s="462"/>
      <c r="X6" s="496"/>
      <c r="Y6" s="497"/>
      <c r="Z6" s="462"/>
      <c r="AA6" s="462"/>
      <c r="AB6" s="515"/>
      <c r="AC6" s="499"/>
      <c r="AD6" s="514"/>
      <c r="AE6" s="514"/>
      <c r="AF6" s="499"/>
      <c r="AG6" s="498"/>
      <c r="AH6" s="498"/>
      <c r="AI6" s="499"/>
      <c r="AJ6" s="515">
        <f>SUMIF(AJ15:AJ380,"FAUX",Wh)</f>
        <v>4501.9250000000002</v>
      </c>
      <c r="AK6" s="515">
        <f>SUMIF(AK15:AK380,"FAUX",Wh)</f>
        <v>4501.9250000000002</v>
      </c>
      <c r="AL6" s="515">
        <f>SUMIF(AJ15:AJ380,"FAUX",Wh_s)</f>
        <v>4501.9250000000002</v>
      </c>
      <c r="AM6" s="515">
        <f>SUMIF(AK15:AK380,"FAUX",Wh_s)</f>
        <v>4501.9250000000002</v>
      </c>
      <c r="AN6" s="837" t="s">
        <v>279</v>
      </c>
    </row>
    <row r="7" spans="1:40" s="40" customFormat="1" ht="15" customHeight="1" x14ac:dyDescent="0.25">
      <c r="A7" s="183"/>
      <c r="B7" s="178"/>
      <c r="C7" s="178"/>
      <c r="D7" s="22" t="s">
        <v>108</v>
      </c>
      <c r="E7" s="320" t="b">
        <f>AND(YEAR(Tnet)=An,Resal_2018="I")</f>
        <v>0</v>
      </c>
      <c r="F7" s="320" t="b">
        <f>YEAR(Tnet)=An</f>
        <v>1</v>
      </c>
      <c r="J7" s="178"/>
      <c r="K7" s="191"/>
      <c r="L7" s="189" t="s">
        <v>77</v>
      </c>
      <c r="M7" s="848"/>
      <c r="N7" s="848"/>
      <c r="O7" s="497"/>
      <c r="P7" s="248"/>
      <c r="Q7" s="248"/>
      <c r="R7" s="516"/>
      <c r="S7" s="516"/>
      <c r="T7" s="516"/>
      <c r="U7" s="248"/>
      <c r="V7" s="429"/>
      <c r="W7" s="517"/>
      <c r="X7" s="518"/>
      <c r="Y7" s="248"/>
      <c r="Z7" s="517"/>
      <c r="AA7" s="517"/>
      <c r="AB7" s="248"/>
      <c r="AC7" s="497"/>
      <c r="AD7" s="248"/>
      <c r="AE7" s="248"/>
      <c r="AF7" s="492"/>
      <c r="AG7" s="492"/>
      <c r="AH7" s="492"/>
      <c r="AI7" s="492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7" t="s">
        <v>270</v>
      </c>
    </row>
    <row r="8" spans="1:40" s="6" customFormat="1" ht="15" customHeight="1" x14ac:dyDescent="0.2">
      <c r="A8" s="39"/>
      <c r="B8" s="82"/>
      <c r="C8" s="82"/>
      <c r="D8" s="136" t="s">
        <v>80</v>
      </c>
      <c r="E8" s="320" t="b">
        <f>AND(YEAR(Tnet)=An,Tnet&gt;T0,Resal_2018&lt;&gt;"I")</f>
        <v>0</v>
      </c>
      <c r="F8" s="321" t="b">
        <f>AND(YEAR(Ttai)=An,Ttai&gt;DATE(An,1,1))</f>
        <v>0</v>
      </c>
      <c r="H8" s="179" t="s">
        <v>72</v>
      </c>
      <c r="I8" s="98"/>
      <c r="J8" s="158"/>
      <c r="K8" s="191"/>
      <c r="L8" s="114"/>
      <c r="M8" s="114"/>
      <c r="N8" s="114"/>
      <c r="O8" s="519" t="s">
        <v>91</v>
      </c>
      <c r="P8" s="497"/>
      <c r="Q8" s="497"/>
      <c r="R8" s="497"/>
      <c r="S8" s="497"/>
      <c r="T8" s="497"/>
      <c r="U8" s="497"/>
      <c r="W8" s="404"/>
      <c r="X8" s="1237" t="s">
        <v>98</v>
      </c>
      <c r="Y8" s="1238"/>
      <c r="Z8" s="497"/>
      <c r="AA8" s="497"/>
      <c r="AB8" s="462"/>
      <c r="AC8" s="519" t="s">
        <v>91</v>
      </c>
      <c r="AD8" s="462"/>
      <c r="AE8" s="462"/>
      <c r="AF8" s="462"/>
      <c r="AG8" s="462"/>
      <c r="AH8" s="462"/>
      <c r="AI8" s="462"/>
      <c r="AJ8" s="515">
        <f>SUMIF(AJ15:AJ380,"FAUX",Wh_pvt)</f>
        <v>4514.2805793140524</v>
      </c>
      <c r="AK8" s="515">
        <f>SUMIF(AK15:AK380,"FAUX",Wh_sa)</f>
        <v>4619.0269049953258</v>
      </c>
      <c r="AL8" s="515">
        <f>SUMIF(AJ15:AJ380,"FAUX",Wh_pvt_s)</f>
        <v>4514.2805793140524</v>
      </c>
      <c r="AM8" s="515">
        <f>SUMIF(AK15:AK380,"FAUX",Wh_sa_s)</f>
        <v>4619.0269049953258</v>
      </c>
      <c r="AN8" s="837" t="s">
        <v>271</v>
      </c>
    </row>
    <row r="9" spans="1:40" s="19" customFormat="1" ht="15" customHeight="1" x14ac:dyDescent="0.25">
      <c r="A9" s="183"/>
      <c r="D9" s="73">
        <f>SUM(D$15:D$380)</f>
        <v>4514.2805793140524</v>
      </c>
      <c r="E9" s="73">
        <f>SUM(E$15:E$380)</f>
        <v>4619.0269049953258</v>
      </c>
      <c r="F9" s="73">
        <f>SUM(F$15:F$380)</f>
        <v>4624.8060593551318</v>
      </c>
      <c r="H9" s="1241">
        <f>+SUM(Wh)</f>
        <v>4501.9250000000002</v>
      </c>
      <c r="I9" s="1242"/>
      <c r="J9" s="1243"/>
      <c r="K9" s="191"/>
      <c r="L9" s="114"/>
      <c r="M9" s="114"/>
      <c r="N9" s="114"/>
      <c r="O9" s="325">
        <f>MAX(T0,Tnet_2018)</f>
        <v>43209</v>
      </c>
      <c r="P9" s="244" t="s">
        <v>107</v>
      </c>
      <c r="Q9" s="245"/>
      <c r="R9" s="245"/>
      <c r="S9" s="245"/>
      <c r="T9" s="245"/>
      <c r="U9" s="245"/>
      <c r="V9" s="462"/>
      <c r="W9" s="520"/>
      <c r="X9" s="1235">
        <f>+SUM(Wh_s)</f>
        <v>4501.9250000000002</v>
      </c>
      <c r="Y9" s="1236"/>
      <c r="Z9" s="515">
        <f>SUM(Z$15:Z$380)</f>
        <v>4514.2805793140524</v>
      </c>
      <c r="AA9" s="515">
        <f>SUM(AA$15:AA$380)</f>
        <v>4619.0269049953258</v>
      </c>
      <c r="AB9" s="515">
        <f>F9</f>
        <v>4624.8060593551318</v>
      </c>
      <c r="AC9" s="325">
        <f>IF(An_Tnet,Tnet,T0)</f>
        <v>43209</v>
      </c>
      <c r="AD9" s="315" t="s">
        <v>99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7" t="s">
        <v>276</v>
      </c>
    </row>
    <row r="10" spans="1:40" s="19" customFormat="1" ht="15" customHeight="1" x14ac:dyDescent="0.25">
      <c r="A10" s="206"/>
      <c r="B10" s="207"/>
      <c r="C10" s="844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8">
        <f>IF(Inflex,Salim_i*(1-EXP((T0-Tnet)/Tau_j)),IF(Acti_net,Resal_2018,0))</f>
        <v>0</v>
      </c>
      <c r="P10" s="422" t="b">
        <f>NOT(Acti_tai)</f>
        <v>1</v>
      </c>
      <c r="Q10" s="257">
        <f>IF(Acti_tai,0,Dens-Dd)</f>
        <v>0</v>
      </c>
      <c r="R10" s="260"/>
      <c r="S10" s="261"/>
      <c r="T10" s="263"/>
      <c r="U10" s="266">
        <f>IF(Acti_tai,PousHi,Htf_2018-H_i)</f>
        <v>0.5</v>
      </c>
      <c r="V10" s="429"/>
      <c r="W10" s="504"/>
      <c r="X10" s="505"/>
      <c r="Y10" s="521" t="s">
        <v>26</v>
      </c>
      <c r="Z10" s="511" t="s">
        <v>27</v>
      </c>
      <c r="AA10" s="511" t="s">
        <v>28</v>
      </c>
      <c r="AB10" s="429"/>
      <c r="AC10" s="318">
        <f>IF(OR(Inflex,GainD),Salim_i*(1-EXP((T0-Tnet)/Tau_ij)),IF(Acti_net,Salim_i*(1-EXP((T0-Tnet)/Tau_ij)),0))</f>
        <v>0</v>
      </c>
      <c r="AD10" s="429"/>
      <c r="AE10" s="429"/>
      <c r="AF10" s="260"/>
      <c r="AG10" s="261"/>
      <c r="AH10" s="262"/>
      <c r="AI10" s="429"/>
      <c r="AJ10" s="515">
        <f>SUMIF(AJ15:AJ380,"FAUX",Wh_sa)</f>
        <v>4619.0269049953258</v>
      </c>
      <c r="AK10" s="515">
        <f>SUMIF(AK15:AK380,"FAUX",Wh_hp)</f>
        <v>4624.8060593551318</v>
      </c>
      <c r="AL10" s="515">
        <f>SUMIF(AJ15:AJ380,"FAUX",Wh_sa_s)</f>
        <v>4619.0269049953258</v>
      </c>
      <c r="AM10" s="515">
        <f>SUMIF(AK15:AK380,"FAUX",Wh_hp)</f>
        <v>4624.8060593551318</v>
      </c>
      <c r="AN10" s="837" t="s">
        <v>277</v>
      </c>
    </row>
    <row r="11" spans="1:40" s="40" customFormat="1" ht="15" customHeight="1" x14ac:dyDescent="0.25">
      <c r="A11" s="216"/>
      <c r="B11" s="217" t="s">
        <v>43</v>
      </c>
      <c r="C11" s="845"/>
      <c r="D11" s="218">
        <f>D$9-Prod_an</f>
        <v>12.355579314052193</v>
      </c>
      <c r="E11" s="219">
        <f>(E$9-D$9)*Prod_an/D$9</f>
        <v>104.45963514175737</v>
      </c>
      <c r="F11" s="220">
        <f>(F$9-E$9)*Prod_an/E$9</f>
        <v>5.6326408194618862</v>
      </c>
      <c r="G11" s="185" t="s">
        <v>6</v>
      </c>
      <c r="K11" s="194"/>
      <c r="L11" s="182">
        <f>Tvie_2018</f>
        <v>43209</v>
      </c>
      <c r="M11" s="849"/>
      <c r="N11" s="849"/>
      <c r="O11" s="318">
        <f>Salim_2018</f>
        <v>0.14000000000000001</v>
      </c>
      <c r="P11" s="256">
        <f>Ttai_2018</f>
        <v>43101</v>
      </c>
      <c r="Q11" s="272">
        <f>Dens_2018</f>
        <v>0.7</v>
      </c>
      <c r="R11" s="523"/>
      <c r="S11" s="247"/>
      <c r="T11" s="524"/>
      <c r="U11" s="266">
        <f>Htf_2018</f>
        <v>-1.498875338297653</v>
      </c>
      <c r="V11" s="429"/>
      <c r="W11" s="518"/>
      <c r="X11" s="525" t="s">
        <v>43</v>
      </c>
      <c r="Y11" s="50">
        <f>Z$9-Prod_an_s</f>
        <v>12.355579314052193</v>
      </c>
      <c r="Z11" s="51">
        <f>(AA$9-Z$9)*Prod_an_s/Z$9</f>
        <v>104.45963514175737</v>
      </c>
      <c r="AA11" s="186">
        <f>(AB$9-AA$9)*Prod_an_s/AA$9</f>
        <v>5.6326408194618862</v>
      </c>
      <c r="AB11" s="526" t="s">
        <v>6</v>
      </c>
      <c r="AC11" s="472"/>
      <c r="AD11" s="256"/>
      <c r="AE11" s="272" t="str">
        <f>IF(Acti_tai,IF(GainD,Di,Dd)+PousD*Croi_tai,"NA")</f>
        <v>NA</v>
      </c>
      <c r="AF11" s="247"/>
      <c r="AG11" s="247"/>
      <c r="AH11" s="247"/>
      <c r="AI11" s="266" t="str">
        <f>IF(Acti_tai,IF(GainD,H_i,Hdd)+PousH*Croi_tai,"NA")</f>
        <v>NA</v>
      </c>
      <c r="AJ11" s="838">
        <f>IF($AJ7=0,0,($AJ9-$AJ7)*$AJ5/$AJ7)</f>
        <v>0</v>
      </c>
      <c r="AK11" s="839">
        <f>IF($AK7=0,0,($AK9-$AK7)*$AK5/$AK7)</f>
        <v>0</v>
      </c>
      <c r="AL11" s="838">
        <f>IF($AL7=0,0,($AL9-$AL7)*$AL5/$AL7)</f>
        <v>0</v>
      </c>
      <c r="AM11" s="839">
        <f>IF($AM7=0,0,($AM9-$AM7)*$AM5/$AM7)</f>
        <v>0</v>
      </c>
      <c r="AN11" s="837" t="s">
        <v>283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1" t="s">
        <v>17</v>
      </c>
      <c r="G12" s="109">
        <f>G383-1</f>
        <v>4.3042463129113084E-2</v>
      </c>
      <c r="I12" s="102"/>
      <c r="J12" s="99"/>
      <c r="K12" s="191"/>
      <c r="L12" s="204">
        <f>Pspv_2018</f>
        <v>0</v>
      </c>
      <c r="M12" s="212"/>
      <c r="N12" s="212"/>
      <c r="O12" s="527">
        <f>Tau_2018*365</f>
        <v>730</v>
      </c>
      <c r="P12" s="528">
        <f>INDEX(Croivg,MIN(MAX(Ttai-$A$15,0)+1,366))</f>
        <v>2.3909964587625958E-6</v>
      </c>
      <c r="Q12" s="296">
        <f>D_i</f>
        <v>0.7</v>
      </c>
      <c r="R12" s="278"/>
      <c r="S12" s="279"/>
      <c r="T12" s="529"/>
      <c r="U12" s="297">
        <f>H_i</f>
        <v>-1.998875338297653</v>
      </c>
      <c r="V12" s="517"/>
      <c r="W12" s="504"/>
      <c r="X12" s="505"/>
      <c r="Y12" s="504"/>
      <c r="Z12" s="429"/>
      <c r="AA12" s="429"/>
      <c r="AB12" s="504"/>
      <c r="AC12" s="318" t="b">
        <f>NOT(An_Tnet)</f>
        <v>0</v>
      </c>
      <c r="AD12" s="429"/>
      <c r="AE12" s="296">
        <f>D_i</f>
        <v>0.7</v>
      </c>
      <c r="AF12" s="203"/>
      <c r="AG12" s="203"/>
      <c r="AH12" s="203"/>
      <c r="AI12" s="297">
        <f>H_i</f>
        <v>-1.998875338297653</v>
      </c>
      <c r="AJ12" s="838">
        <f>IF($AJ8=0,0,($AJ10-$AJ8)*$AJ6/$AJ8)</f>
        <v>104.45963514175737</v>
      </c>
      <c r="AK12" s="839">
        <f>IF($AK8=0,0,($AK10-$AK8)*$AK6/$AK8)</f>
        <v>5.6326408194618862</v>
      </c>
      <c r="AL12" s="838">
        <f>IF($AL8=0,0,($AL10-$AL8)*$AL6/$AL8)</f>
        <v>104.45963514175737</v>
      </c>
      <c r="AM12" s="839">
        <f>IF($AM8=0,0,($AM10-$AM8)*$AM6/$AM8)</f>
        <v>5.6326408194618862</v>
      </c>
      <c r="AN12" s="837" t="s">
        <v>284</v>
      </c>
    </row>
    <row r="13" spans="1:40" s="37" customFormat="1" ht="11.25" x14ac:dyDescent="0.2">
      <c r="A13" s="130" t="s">
        <v>64</v>
      </c>
      <c r="B13" s="124" t="s">
        <v>34</v>
      </c>
      <c r="C13" s="124"/>
      <c r="D13" s="124" t="s">
        <v>68</v>
      </c>
      <c r="E13" s="124" t="s">
        <v>69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42" t="s">
        <v>46</v>
      </c>
      <c r="X13" s="259"/>
      <c r="Y13" s="124" t="s">
        <v>114</v>
      </c>
      <c r="Z13" s="124" t="s">
        <v>115</v>
      </c>
      <c r="AA13" s="124" t="s">
        <v>116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104.45963514175737</v>
      </c>
      <c r="AK13" s="73">
        <f>+AK11+AK12</f>
        <v>5.6326408194618862</v>
      </c>
      <c r="AL13" s="73">
        <f>+AL11+AL12</f>
        <v>104.45963514175737</v>
      </c>
      <c r="AM13" s="73">
        <f>+AM11+AM12</f>
        <v>5.6326408194618862</v>
      </c>
      <c r="AN13" s="836" t="s">
        <v>285</v>
      </c>
    </row>
    <row r="14" spans="1:40" s="46" customFormat="1" ht="40.5" customHeight="1" thickBot="1" x14ac:dyDescent="0.25">
      <c r="A14" s="45" t="s">
        <v>2</v>
      </c>
      <c r="B14" s="389" t="s">
        <v>187</v>
      </c>
      <c r="C14" s="389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6"/>
      <c r="L14" s="23" t="s">
        <v>63</v>
      </c>
      <c r="M14" s="23"/>
      <c r="N14" s="23"/>
      <c r="O14" s="23" t="s">
        <v>61</v>
      </c>
      <c r="P14" s="23" t="s">
        <v>83</v>
      </c>
      <c r="Q14" s="23" t="s">
        <v>84</v>
      </c>
      <c r="R14" s="172" t="s">
        <v>203</v>
      </c>
      <c r="S14" s="172" t="s">
        <v>204</v>
      </c>
      <c r="T14" s="172" t="s">
        <v>205</v>
      </c>
      <c r="U14" s="108" t="s">
        <v>207</v>
      </c>
      <c r="V14" s="45" t="str">
        <f>"Enveloppe "&amp; TEXT(An,0)</f>
        <v>Enveloppe 2018</v>
      </c>
      <c r="W14" s="436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131</v>
      </c>
      <c r="AD14" s="23" t="s">
        <v>132</v>
      </c>
      <c r="AE14" s="23" t="s">
        <v>84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7" t="s">
        <v>268</v>
      </c>
      <c r="AK14" s="697" t="s">
        <v>269</v>
      </c>
      <c r="AL14" s="265"/>
      <c r="AM14" s="265"/>
      <c r="AN14" s="75"/>
    </row>
    <row r="15" spans="1:40" s="6" customFormat="1" ht="11.25" x14ac:dyDescent="0.2">
      <c r="A15" s="56">
        <f>DATE(An,1,1)</f>
        <v>43101</v>
      </c>
      <c r="B15" s="620"/>
      <c r="C15" s="859"/>
      <c r="D15" s="393"/>
      <c r="E15" s="385"/>
      <c r="F15" s="385"/>
      <c r="G15" s="110"/>
      <c r="I15" s="379">
        <f t="shared" ref="I15:I78" si="0">Wh_hp</f>
        <v>0</v>
      </c>
      <c r="J15" s="84">
        <v>2018</v>
      </c>
      <c r="K15" s="197">
        <f t="shared" ref="K15:K78" si="1">t</f>
        <v>43101</v>
      </c>
      <c r="L15" s="438">
        <f t="shared" ref="L15:L78" si="2">IF(t&lt;T0,0,IF(t&lt;Tvie,1-EXP((T0-t)*PertePVj),1-EXP((T0-t)*PertePVj)+Pspv))</f>
        <v>0</v>
      </c>
      <c r="M15" s="861"/>
      <c r="N15" s="861"/>
      <c r="O15" s="324">
        <f t="shared" ref="O15:O78" si="3">IF(t&lt;T0,0,IF(t&lt;Tnet,Salim_i*(1-EXP((T0-t)/Tau_ij)),Resal+(Salim-Resal)*(1-EXP((Tnet-t)/(Tau_j)))))*Salcycl</f>
        <v>0</v>
      </c>
      <c r="P15" s="302">
        <f>(INDEX(Models!$BJ15:$BT15,,T15)*(1-R15)+INDEX(Models!$BJ15:$BT15,,T15+1)*R15-ERP_i)*Q15*Ramure*Pc/MaxiM</f>
        <v>2.9558210076065749E-8</v>
      </c>
      <c r="Q15" s="303">
        <f>IF(OR(t&lt;Ttai,Notai),Dd+PousD*Croivg,Dens+PousD*(Croivg-Croi_tai))</f>
        <v>0.7</v>
      </c>
      <c r="R15" s="304">
        <f t="shared" ref="R15:R78" si="4">(Hp_vg-S15)/(INDEX(Echel_vg,T15+1)-S15)</f>
        <v>1.1258572005763412E-3</v>
      </c>
      <c r="S15" s="816">
        <f>INDEX(Echel_vg,T15)</f>
        <v>-2</v>
      </c>
      <c r="T15" s="249">
        <f>MIN(MATCH(Hp_vg,Echel_vg),10)</f>
        <v>4</v>
      </c>
      <c r="U15" s="250">
        <f>IF(OR(t&lt;Ttai,Notai),Hdd+PousH*Croivg,Hdtf+PousH*(Croivg-Croi_tai))</f>
        <v>-1.9988741427994237</v>
      </c>
      <c r="V15" s="382">
        <f t="shared" ref="V15:V78" si="5">MaxiM*(1-Ppv)*(1-Pvg)*(1-Psa)</f>
        <v>13.460776979858096</v>
      </c>
      <c r="W15" s="58"/>
      <c r="X15" s="156">
        <f t="shared" ref="X15:X78" si="6">t</f>
        <v>43101</v>
      </c>
      <c r="Y15" s="385">
        <f t="shared" ref="Y15:Y78" si="7">Wh_pvt_s*(1-Ppv)</f>
        <v>0</v>
      </c>
      <c r="Z15" s="385">
        <f t="shared" ref="Z15:Z78" si="8">Wh_sa_s*(1-Psa_s)</f>
        <v>0</v>
      </c>
      <c r="AA15" s="386">
        <f t="shared" ref="AA15:AA78" si="9">Wh_hp*(1-Pvg_s*MEDIAN((-Sdif+Wh/Env_an)/Csdif,0,1))</f>
        <v>0</v>
      </c>
      <c r="AB15" s="197">
        <f t="shared" ref="AB15:AB78" si="10">t</f>
        <v>43101</v>
      </c>
      <c r="AC15" s="455">
        <f t="shared" ref="AC15:AC78" si="11">IF(t&lt;T0,0,IF(OR(t&lt;Tnet,NoTnet),Salim_i*(1-EXP((T0-t)/Tau_ij)),Resal_s+(Salim-Resal_s)*(1-EXP((Tnet_s-t)/Tau_j))))*Salcycl</f>
        <v>0</v>
      </c>
      <c r="AD15" s="302">
        <f>(INDEX(Models!$BJ15:$BT15,,AH15)*(1-AF15)+INDEX(Models!$BJ15:$BT15,,AH15+1)*AF15-ERP_i)*AE15*Ramure*Pc/MaxiM</f>
        <v>2.9558210076065749E-8</v>
      </c>
      <c r="AE15" s="303">
        <f t="shared" ref="AE15:AE78" si="12">Dd+PousD*Croivg</f>
        <v>0.7</v>
      </c>
      <c r="AF15" s="304">
        <f t="shared" ref="AF15:AF78" si="13">(Hp_vg_s-AG15)/(INDEX(Echel_vg,AH15+1)-AG15)</f>
        <v>1.1258572005763412E-3</v>
      </c>
      <c r="AG15" s="816">
        <f>INDEX(Echel_vg,AH15)</f>
        <v>-2</v>
      </c>
      <c r="AH15" s="249">
        <f t="shared" ref="AH15:AH78" si="14">MIN(MATCH(Hp_vg_s,Echel_vg),10)</f>
        <v>4</v>
      </c>
      <c r="AI15" s="224">
        <f t="shared" ref="AI15:AI78" si="15">Hdd+PousH*Croivg</f>
        <v>-1.9988741427994237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customHeight="1" x14ac:dyDescent="0.2">
      <c r="A16" s="56">
        <f>A15+1</f>
        <v>43102</v>
      </c>
      <c r="B16" s="621"/>
      <c r="C16" s="859"/>
      <c r="D16" s="393"/>
      <c r="E16" s="385"/>
      <c r="F16" s="385"/>
      <c r="G16" s="110"/>
      <c r="I16" s="380">
        <f t="shared" si="0"/>
        <v>0</v>
      </c>
      <c r="J16" s="85">
        <v>2018</v>
      </c>
      <c r="K16" s="197">
        <f t="shared" si="1"/>
        <v>43102</v>
      </c>
      <c r="L16" s="438">
        <f t="shared" si="2"/>
        <v>0</v>
      </c>
      <c r="M16" s="861"/>
      <c r="N16" s="861"/>
      <c r="O16" s="324">
        <f t="shared" si="3"/>
        <v>0</v>
      </c>
      <c r="P16" s="169">
        <f>(INDEX(Models!$BJ16:$BT16,,T16)*(1-R16)+INDEX(Models!$BJ16:$BT16,,T16+1)*R16-ERP_i)*Q16*Ramure*Pc/MaxiM</f>
        <v>7.5263887851411872E-7</v>
      </c>
      <c r="Q16" s="305">
        <f t="shared" ref="Q16:Q78" si="18">IF(OR(t&lt;Ttai,Notai),Dd+PousD*Croivg,Dens+PousD*(Croivg-Croi_tai))</f>
        <v>0.7</v>
      </c>
      <c r="R16" s="177">
        <f t="shared" si="4"/>
        <v>1.1550718145707517E-3</v>
      </c>
      <c r="S16" s="817">
        <f t="shared" ref="S16:S79" si="19">INDEX(Echel_vg,T16)</f>
        <v>-2</v>
      </c>
      <c r="T16" s="176">
        <f t="shared" ref="T16:T78" si="20">MIN(MATCH(Hp_vg,Echel_vg),10)</f>
        <v>4</v>
      </c>
      <c r="U16" s="251">
        <f t="shared" ref="U16:U78" si="21">IF(OR(t&lt;Ttai,Notai),Hdd+PousH*Croivg,Hdtf+PousH*(Croivg-Croi_tai))</f>
        <v>-1.9988449281854292</v>
      </c>
      <c r="V16" s="383">
        <f t="shared" si="5"/>
        <v>13.607433876769857</v>
      </c>
      <c r="W16" s="58"/>
      <c r="X16" s="157">
        <f t="shared" si="6"/>
        <v>43102</v>
      </c>
      <c r="Y16" s="385">
        <f t="shared" si="7"/>
        <v>0</v>
      </c>
      <c r="Z16" s="385">
        <f t="shared" si="8"/>
        <v>0</v>
      </c>
      <c r="AA16" s="386">
        <f t="shared" si="9"/>
        <v>0</v>
      </c>
      <c r="AB16" s="197">
        <f t="shared" si="10"/>
        <v>43102</v>
      </c>
      <c r="AC16" s="427">
        <f t="shared" si="11"/>
        <v>0</v>
      </c>
      <c r="AD16" s="169">
        <f>(INDEX(Models!$BJ16:$BT16,,AH16)*(1-AF16)+INDEX(Models!$BJ16:$BT16,,AH16+1)*AF16-ERP_i)*AE16*Ramure*Pc/MaxiM</f>
        <v>7.5263887851411872E-7</v>
      </c>
      <c r="AE16" s="305">
        <f t="shared" si="12"/>
        <v>0.7</v>
      </c>
      <c r="AF16" s="177">
        <f t="shared" si="13"/>
        <v>1.1550718145707517E-3</v>
      </c>
      <c r="AG16" s="817">
        <f t="shared" ref="AG16:AG78" si="22">INDEX(Echel_vg,AH16)</f>
        <v>-2</v>
      </c>
      <c r="AH16" s="176">
        <f t="shared" si="14"/>
        <v>4</v>
      </c>
      <c r="AI16" s="225">
        <f t="shared" si="15"/>
        <v>-1.9988449281854292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customHeight="1" x14ac:dyDescent="0.2">
      <c r="A17" s="56">
        <f t="shared" ref="A17:A47" si="23">A16+1</f>
        <v>43103</v>
      </c>
      <c r="B17" s="621"/>
      <c r="C17" s="859"/>
      <c r="D17" s="393"/>
      <c r="E17" s="385"/>
      <c r="F17" s="385"/>
      <c r="G17" s="110"/>
      <c r="I17" s="380">
        <f t="shared" si="0"/>
        <v>0</v>
      </c>
      <c r="J17" s="85">
        <v>2018</v>
      </c>
      <c r="K17" s="197">
        <f t="shared" si="1"/>
        <v>43103</v>
      </c>
      <c r="L17" s="438">
        <f t="shared" si="2"/>
        <v>0</v>
      </c>
      <c r="M17" s="861"/>
      <c r="N17" s="861"/>
      <c r="O17" s="324">
        <f t="shared" si="3"/>
        <v>0</v>
      </c>
      <c r="P17" s="169">
        <f>(INDEX(Models!$BJ17:$BT17,,T17)*(1-R17)+INDEX(Models!$BJ17:$BT17,,T17+1)*R17-ERP_i)*Q17*Ramure*Pc/MaxiM</f>
        <v>1.5074593908395823E-6</v>
      </c>
      <c r="Q17" s="305">
        <f t="shared" si="18"/>
        <v>0.7</v>
      </c>
      <c r="R17" s="177">
        <f t="shared" si="4"/>
        <v>1.1855084100602653E-3</v>
      </c>
      <c r="S17" s="817">
        <f t="shared" si="19"/>
        <v>-2</v>
      </c>
      <c r="T17" s="176">
        <f t="shared" si="20"/>
        <v>4</v>
      </c>
      <c r="U17" s="251">
        <f t="shared" si="21"/>
        <v>-1.9988144915899397</v>
      </c>
      <c r="V17" s="383">
        <f t="shared" si="5"/>
        <v>13.759510784829221</v>
      </c>
      <c r="W17" s="58"/>
      <c r="X17" s="157">
        <f t="shared" si="6"/>
        <v>43103</v>
      </c>
      <c r="Y17" s="385">
        <f t="shared" si="7"/>
        <v>0</v>
      </c>
      <c r="Z17" s="385">
        <f t="shared" si="8"/>
        <v>0</v>
      </c>
      <c r="AA17" s="386">
        <f t="shared" si="9"/>
        <v>0</v>
      </c>
      <c r="AB17" s="197">
        <f t="shared" si="10"/>
        <v>43103</v>
      </c>
      <c r="AC17" s="427">
        <f t="shared" si="11"/>
        <v>0</v>
      </c>
      <c r="AD17" s="169">
        <f>(INDEX(Models!$BJ17:$BT17,,AH17)*(1-AF17)+INDEX(Models!$BJ17:$BT17,,AH17+1)*AF17-ERP_i)*AE17*Ramure*Pc/MaxiM</f>
        <v>1.5074593908395823E-6</v>
      </c>
      <c r="AE17" s="305">
        <f t="shared" si="12"/>
        <v>0.7</v>
      </c>
      <c r="AF17" s="177">
        <f t="shared" si="13"/>
        <v>1.1855084100602653E-3</v>
      </c>
      <c r="AG17" s="817">
        <f t="shared" si="22"/>
        <v>-2</v>
      </c>
      <c r="AH17" s="176">
        <f t="shared" si="14"/>
        <v>4</v>
      </c>
      <c r="AI17" s="225">
        <f t="shared" si="15"/>
        <v>-1.9988144915899397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3"/>
        <v>43104</v>
      </c>
      <c r="B18" s="621"/>
      <c r="C18" s="859"/>
      <c r="D18" s="393"/>
      <c r="E18" s="385"/>
      <c r="F18" s="385"/>
      <c r="G18" s="110"/>
      <c r="I18" s="380">
        <f t="shared" si="0"/>
        <v>0</v>
      </c>
      <c r="J18" s="85">
        <v>2018</v>
      </c>
      <c r="K18" s="197">
        <f t="shared" si="1"/>
        <v>43104</v>
      </c>
      <c r="L18" s="438">
        <f t="shared" si="2"/>
        <v>0</v>
      </c>
      <c r="M18" s="861"/>
      <c r="N18" s="861"/>
      <c r="O18" s="324">
        <f t="shared" si="3"/>
        <v>0</v>
      </c>
      <c r="P18" s="169">
        <f>(INDEX(Models!$BJ18:$BT18,,T18)*(1-R18)+INDEX(Models!$BJ18:$BT18,,T18+1)*R18-ERP_i)*Q18*Ramure*Pc/MaxiM</f>
        <v>2.2954377487424648E-6</v>
      </c>
      <c r="Q18" s="305">
        <f t="shared" si="18"/>
        <v>0.7</v>
      </c>
      <c r="R18" s="177">
        <f t="shared" si="4"/>
        <v>1.2172179413554307E-3</v>
      </c>
      <c r="S18" s="817">
        <f t="shared" si="19"/>
        <v>-2</v>
      </c>
      <c r="T18" s="176">
        <f t="shared" si="20"/>
        <v>4</v>
      </c>
      <c r="U18" s="251">
        <f t="shared" si="21"/>
        <v>-1.9987827820586446</v>
      </c>
      <c r="V18" s="383">
        <f t="shared" si="5"/>
        <v>13.916602556996999</v>
      </c>
      <c r="W18" s="58"/>
      <c r="X18" s="157">
        <f t="shared" si="6"/>
        <v>43104</v>
      </c>
      <c r="Y18" s="385">
        <f t="shared" si="7"/>
        <v>0</v>
      </c>
      <c r="Z18" s="385">
        <f t="shared" si="8"/>
        <v>0</v>
      </c>
      <c r="AA18" s="386">
        <f t="shared" si="9"/>
        <v>0</v>
      </c>
      <c r="AB18" s="197">
        <f t="shared" si="10"/>
        <v>43104</v>
      </c>
      <c r="AC18" s="427">
        <f t="shared" si="11"/>
        <v>0</v>
      </c>
      <c r="AD18" s="169">
        <f>(INDEX(Models!$BJ18:$BT18,,AH18)*(1-AF18)+INDEX(Models!$BJ18:$BT18,,AH18+1)*AF18-ERP_i)*AE18*Ramure*Pc/MaxiM</f>
        <v>2.2954377487424648E-6</v>
      </c>
      <c r="AE18" s="305">
        <f t="shared" si="12"/>
        <v>0.7</v>
      </c>
      <c r="AF18" s="177">
        <f t="shared" si="13"/>
        <v>1.2172179413554307E-3</v>
      </c>
      <c r="AG18" s="817">
        <f t="shared" si="22"/>
        <v>-2</v>
      </c>
      <c r="AH18" s="176">
        <f t="shared" si="14"/>
        <v>4</v>
      </c>
      <c r="AI18" s="225">
        <f t="shared" si="15"/>
        <v>-1.9987827820586446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3"/>
        <v>43105</v>
      </c>
      <c r="B19" s="621"/>
      <c r="C19" s="859"/>
      <c r="D19" s="393"/>
      <c r="E19" s="385"/>
      <c r="F19" s="385"/>
      <c r="G19" s="110"/>
      <c r="I19" s="380">
        <f t="shared" si="0"/>
        <v>0</v>
      </c>
      <c r="J19" s="85">
        <v>2018</v>
      </c>
      <c r="K19" s="197">
        <f t="shared" si="1"/>
        <v>43105</v>
      </c>
      <c r="L19" s="438">
        <f t="shared" si="2"/>
        <v>0</v>
      </c>
      <c r="M19" s="861"/>
      <c r="N19" s="861"/>
      <c r="O19" s="324">
        <f t="shared" si="3"/>
        <v>0</v>
      </c>
      <c r="P19" s="169">
        <f>(INDEX(Models!$BJ19:$BT19,,T19)*(1-R19)+INDEX(Models!$BJ19:$BT19,,T19+1)*R19-ERP_i)*Q19*Ramure*Pc/MaxiM</f>
        <v>3.1181288739111583E-6</v>
      </c>
      <c r="Q19" s="305">
        <f t="shared" si="18"/>
        <v>0.7</v>
      </c>
      <c r="R19" s="177">
        <f t="shared" si="4"/>
        <v>1.2502534739169402E-3</v>
      </c>
      <c r="S19" s="817">
        <f t="shared" si="19"/>
        <v>-2</v>
      </c>
      <c r="T19" s="176">
        <f t="shared" si="20"/>
        <v>4</v>
      </c>
      <c r="U19" s="251">
        <f t="shared" si="21"/>
        <v>-1.9987497465260831</v>
      </c>
      <c r="V19" s="383">
        <f t="shared" si="5"/>
        <v>14.078304042639758</v>
      </c>
      <c r="W19" s="58"/>
      <c r="X19" s="157">
        <f t="shared" si="6"/>
        <v>43105</v>
      </c>
      <c r="Y19" s="385">
        <f t="shared" si="7"/>
        <v>0</v>
      </c>
      <c r="Z19" s="385">
        <f t="shared" si="8"/>
        <v>0</v>
      </c>
      <c r="AA19" s="386">
        <f t="shared" si="9"/>
        <v>0</v>
      </c>
      <c r="AB19" s="197">
        <f t="shared" si="10"/>
        <v>43105</v>
      </c>
      <c r="AC19" s="427">
        <f t="shared" si="11"/>
        <v>0</v>
      </c>
      <c r="AD19" s="169">
        <f>(INDEX(Models!$BJ19:$BT19,,AH19)*(1-AF19)+INDEX(Models!$BJ19:$BT19,,AH19+1)*AF19-ERP_i)*AE19*Ramure*Pc/MaxiM</f>
        <v>3.1181288739111583E-6</v>
      </c>
      <c r="AE19" s="305">
        <f t="shared" si="12"/>
        <v>0.7</v>
      </c>
      <c r="AF19" s="177">
        <f t="shared" si="13"/>
        <v>1.2502534739169402E-3</v>
      </c>
      <c r="AG19" s="817">
        <f t="shared" si="22"/>
        <v>-2</v>
      </c>
      <c r="AH19" s="176">
        <f t="shared" si="14"/>
        <v>4</v>
      </c>
      <c r="AI19" s="225">
        <f t="shared" si="15"/>
        <v>-1.9987497465260831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3"/>
        <v>43106</v>
      </c>
      <c r="B20" s="621"/>
      <c r="C20" s="859"/>
      <c r="D20" s="393"/>
      <c r="E20" s="385"/>
      <c r="F20" s="385"/>
      <c r="G20" s="110"/>
      <c r="I20" s="380">
        <f t="shared" si="0"/>
        <v>0</v>
      </c>
      <c r="J20" s="85">
        <v>2018</v>
      </c>
      <c r="K20" s="197">
        <f t="shared" si="1"/>
        <v>43106</v>
      </c>
      <c r="L20" s="438">
        <f t="shared" si="2"/>
        <v>0</v>
      </c>
      <c r="M20" s="861"/>
      <c r="N20" s="861"/>
      <c r="O20" s="324">
        <f t="shared" si="3"/>
        <v>0</v>
      </c>
      <c r="P20" s="169">
        <f>(INDEX(Models!$BJ20:$BT20,,T20)*(1-R20)+INDEX(Models!$BJ20:$BT20,,T20+1)*R20-ERP_i)*Q20*Ramure*Pc/MaxiM</f>
        <v>3.9772311438251818E-6</v>
      </c>
      <c r="Q20" s="305">
        <f t="shared" si="18"/>
        <v>0.7</v>
      </c>
      <c r="R20" s="177">
        <f t="shared" si="4"/>
        <v>1.2846702706676982E-3</v>
      </c>
      <c r="S20" s="817">
        <f t="shared" si="19"/>
        <v>-2</v>
      </c>
      <c r="T20" s="176">
        <f t="shared" si="20"/>
        <v>4</v>
      </c>
      <c r="U20" s="251">
        <f t="shared" si="21"/>
        <v>-1.9987153297293323</v>
      </c>
      <c r="V20" s="383">
        <f t="shared" si="5"/>
        <v>14.244210085901953</v>
      </c>
      <c r="W20" s="58"/>
      <c r="X20" s="157">
        <f t="shared" si="6"/>
        <v>43106</v>
      </c>
      <c r="Y20" s="385">
        <f t="shared" si="7"/>
        <v>0</v>
      </c>
      <c r="Z20" s="385">
        <f t="shared" si="8"/>
        <v>0</v>
      </c>
      <c r="AA20" s="386">
        <f t="shared" si="9"/>
        <v>0</v>
      </c>
      <c r="AB20" s="197">
        <f t="shared" si="10"/>
        <v>43106</v>
      </c>
      <c r="AC20" s="427">
        <f t="shared" si="11"/>
        <v>0</v>
      </c>
      <c r="AD20" s="169">
        <f>(INDEX(Models!$BJ20:$BT20,,AH20)*(1-AF20)+INDEX(Models!$BJ20:$BT20,,AH20+1)*AF20-ERP_i)*AE20*Ramure*Pc/MaxiM</f>
        <v>3.9772311438251818E-6</v>
      </c>
      <c r="AE20" s="305">
        <f t="shared" si="12"/>
        <v>0.7</v>
      </c>
      <c r="AF20" s="177">
        <f t="shared" si="13"/>
        <v>1.2846702706676982E-3</v>
      </c>
      <c r="AG20" s="817">
        <f t="shared" si="22"/>
        <v>-2</v>
      </c>
      <c r="AH20" s="176">
        <f t="shared" si="14"/>
        <v>4</v>
      </c>
      <c r="AI20" s="225">
        <f t="shared" si="15"/>
        <v>-1.9987153297293323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3"/>
        <v>43107</v>
      </c>
      <c r="B21" s="621"/>
      <c r="C21" s="859"/>
      <c r="D21" s="393"/>
      <c r="E21" s="385"/>
      <c r="F21" s="385"/>
      <c r="G21" s="110"/>
      <c r="I21" s="380">
        <f t="shared" si="0"/>
        <v>0</v>
      </c>
      <c r="J21" s="85">
        <v>2018</v>
      </c>
      <c r="K21" s="197">
        <f t="shared" si="1"/>
        <v>43107</v>
      </c>
      <c r="L21" s="438">
        <f t="shared" si="2"/>
        <v>0</v>
      </c>
      <c r="M21" s="861"/>
      <c r="N21" s="861"/>
      <c r="O21" s="324">
        <f t="shared" si="3"/>
        <v>0</v>
      </c>
      <c r="P21" s="169">
        <f>(INDEX(Models!$BJ21:$BT21,,T21)*(1-R21)+INDEX(Models!$BJ21:$BT21,,T21+1)*R21-ERP_i)*Q21*Ramure*Pc/MaxiM</f>
        <v>4.8745931609288814E-6</v>
      </c>
      <c r="Q21" s="305">
        <f t="shared" si="18"/>
        <v>0.7</v>
      </c>
      <c r="R21" s="177">
        <f t="shared" si="4"/>
        <v>1.3205258817308163E-3</v>
      </c>
      <c r="S21" s="817">
        <f t="shared" si="19"/>
        <v>-2</v>
      </c>
      <c r="T21" s="176">
        <f t="shared" si="20"/>
        <v>4</v>
      </c>
      <c r="U21" s="251">
        <f t="shared" si="21"/>
        <v>-1.9986794741182692</v>
      </c>
      <c r="V21" s="383">
        <f t="shared" si="5"/>
        <v>14.413915530479251</v>
      </c>
      <c r="W21" s="58"/>
      <c r="X21" s="157">
        <f t="shared" si="6"/>
        <v>43107</v>
      </c>
      <c r="Y21" s="385">
        <f t="shared" si="7"/>
        <v>0</v>
      </c>
      <c r="Z21" s="385">
        <f t="shared" si="8"/>
        <v>0</v>
      </c>
      <c r="AA21" s="386">
        <f t="shared" si="9"/>
        <v>0</v>
      </c>
      <c r="AB21" s="197">
        <f t="shared" si="10"/>
        <v>43107</v>
      </c>
      <c r="AC21" s="427">
        <f t="shared" si="11"/>
        <v>0</v>
      </c>
      <c r="AD21" s="169">
        <f>(INDEX(Models!$BJ21:$BT21,,AH21)*(1-AF21)+INDEX(Models!$BJ21:$BT21,,AH21+1)*AF21-ERP_i)*AE21*Ramure*Pc/MaxiM</f>
        <v>4.8745931609288814E-6</v>
      </c>
      <c r="AE21" s="305">
        <f t="shared" si="12"/>
        <v>0.7</v>
      </c>
      <c r="AF21" s="177">
        <f t="shared" si="13"/>
        <v>1.3205258817308163E-3</v>
      </c>
      <c r="AG21" s="817">
        <f t="shared" si="22"/>
        <v>-2</v>
      </c>
      <c r="AH21" s="176">
        <f t="shared" si="14"/>
        <v>4</v>
      </c>
      <c r="AI21" s="225">
        <f t="shared" si="15"/>
        <v>-1.9986794741182692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3"/>
        <v>43108</v>
      </c>
      <c r="B22" s="621"/>
      <c r="C22" s="859"/>
      <c r="D22" s="393"/>
      <c r="E22" s="385"/>
      <c r="F22" s="385"/>
      <c r="G22" s="110"/>
      <c r="I22" s="380">
        <f t="shared" si="0"/>
        <v>0</v>
      </c>
      <c r="J22" s="85">
        <v>2018</v>
      </c>
      <c r="K22" s="197">
        <f t="shared" si="1"/>
        <v>43108</v>
      </c>
      <c r="L22" s="438">
        <f t="shared" si="2"/>
        <v>0</v>
      </c>
      <c r="M22" s="861"/>
      <c r="N22" s="861"/>
      <c r="O22" s="324">
        <f t="shared" si="3"/>
        <v>0</v>
      </c>
      <c r="P22" s="169">
        <f>(INDEX(Models!$BJ22:$BT22,,T22)*(1-R22)+INDEX(Models!$BJ22:$BT22,,T22+1)*R22-ERP_i)*Q22*Ramure*Pc/MaxiM</f>
        <v>5.8122208530224914E-6</v>
      </c>
      <c r="Q22" s="305">
        <f t="shared" si="18"/>
        <v>0.7</v>
      </c>
      <c r="R22" s="177">
        <f t="shared" si="4"/>
        <v>1.357880237728093E-3</v>
      </c>
      <c r="S22" s="817">
        <f t="shared" si="19"/>
        <v>-2</v>
      </c>
      <c r="T22" s="176">
        <f t="shared" si="20"/>
        <v>4</v>
      </c>
      <c r="U22" s="251">
        <f t="shared" si="21"/>
        <v>-1.9986421197622719</v>
      </c>
      <c r="V22" s="383">
        <f t="shared" si="5"/>
        <v>14.587015215742577</v>
      </c>
      <c r="W22" s="58"/>
      <c r="X22" s="157">
        <f t="shared" si="6"/>
        <v>43108</v>
      </c>
      <c r="Y22" s="385">
        <f t="shared" si="7"/>
        <v>0</v>
      </c>
      <c r="Z22" s="385">
        <f t="shared" si="8"/>
        <v>0</v>
      </c>
      <c r="AA22" s="386">
        <f t="shared" si="9"/>
        <v>0</v>
      </c>
      <c r="AB22" s="197">
        <f t="shared" si="10"/>
        <v>43108</v>
      </c>
      <c r="AC22" s="427">
        <f t="shared" si="11"/>
        <v>0</v>
      </c>
      <c r="AD22" s="169">
        <f>(INDEX(Models!$BJ22:$BT22,,AH22)*(1-AF22)+INDEX(Models!$BJ22:$BT22,,AH22+1)*AF22-ERP_i)*AE22*Ramure*Pc/MaxiM</f>
        <v>5.8122208530224914E-6</v>
      </c>
      <c r="AE22" s="305">
        <f t="shared" si="12"/>
        <v>0.7</v>
      </c>
      <c r="AF22" s="177">
        <f t="shared" si="13"/>
        <v>1.357880237728093E-3</v>
      </c>
      <c r="AG22" s="817">
        <f t="shared" si="22"/>
        <v>-2</v>
      </c>
      <c r="AH22" s="176">
        <f t="shared" si="14"/>
        <v>4</v>
      </c>
      <c r="AI22" s="225">
        <f t="shared" si="15"/>
        <v>-1.9986421197622719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3"/>
        <v>43109</v>
      </c>
      <c r="B23" s="621"/>
      <c r="C23" s="859"/>
      <c r="D23" s="393"/>
      <c r="E23" s="385"/>
      <c r="F23" s="385"/>
      <c r="G23" s="110"/>
      <c r="I23" s="380">
        <f t="shared" si="0"/>
        <v>0</v>
      </c>
      <c r="J23" s="85">
        <v>2018</v>
      </c>
      <c r="K23" s="197">
        <f t="shared" si="1"/>
        <v>43109</v>
      </c>
      <c r="L23" s="438">
        <f t="shared" si="2"/>
        <v>0</v>
      </c>
      <c r="M23" s="861"/>
      <c r="N23" s="861"/>
      <c r="O23" s="324">
        <f>IF(t&lt;T0,0,IF(t&lt;Tnet,Salim_i*(1-EXP((T0-t)/Tau_ij)),Resal+(Salim-Resal)*(1-EXP((Tnet-t)/(Tau_j)))))*Salcycl</f>
        <v>0</v>
      </c>
      <c r="P23" s="169">
        <f>(INDEX(Models!$BJ23:$BT23,,T23)*(1-R23)+INDEX(Models!$BJ23:$BT23,,T23+1)*R23-ERP_i)*Q23*Ramure*Pc/MaxiM</f>
        <v>6.7918902817211392E-6</v>
      </c>
      <c r="Q23" s="305">
        <f t="shared" si="18"/>
        <v>0.7</v>
      </c>
      <c r="R23" s="177">
        <f t="shared" si="4"/>
        <v>1.396795746763102E-3</v>
      </c>
      <c r="S23" s="817">
        <f t="shared" si="19"/>
        <v>-2</v>
      </c>
      <c r="T23" s="176">
        <f t="shared" si="20"/>
        <v>4</v>
      </c>
      <c r="U23" s="251">
        <f t="shared" si="21"/>
        <v>-1.9986032042532369</v>
      </c>
      <c r="V23" s="383">
        <f t="shared" si="5"/>
        <v>14.763961946042967</v>
      </c>
      <c r="W23" s="58"/>
      <c r="X23" s="157">
        <f t="shared" si="6"/>
        <v>43109</v>
      </c>
      <c r="Y23" s="385">
        <f t="shared" si="7"/>
        <v>0</v>
      </c>
      <c r="Z23" s="385">
        <f t="shared" si="8"/>
        <v>0</v>
      </c>
      <c r="AA23" s="386">
        <f t="shared" si="9"/>
        <v>0</v>
      </c>
      <c r="AB23" s="197">
        <f t="shared" si="10"/>
        <v>43109</v>
      </c>
      <c r="AC23" s="427">
        <f t="shared" si="11"/>
        <v>0</v>
      </c>
      <c r="AD23" s="169">
        <f>(INDEX(Models!$BJ23:$BT23,,AH23)*(1-AF23)+INDEX(Models!$BJ23:$BT23,,AH23+1)*AF23-ERP_i)*AE23*Ramure*Pc/MaxiM</f>
        <v>6.7918902817211392E-6</v>
      </c>
      <c r="AE23" s="305">
        <f t="shared" si="12"/>
        <v>0.7</v>
      </c>
      <c r="AF23" s="177">
        <f t="shared" si="13"/>
        <v>1.396795746763102E-3</v>
      </c>
      <c r="AG23" s="817">
        <f t="shared" si="22"/>
        <v>-2</v>
      </c>
      <c r="AH23" s="176">
        <f t="shared" si="14"/>
        <v>4</v>
      </c>
      <c r="AI23" s="225">
        <f t="shared" si="15"/>
        <v>-1.9986032042532369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3"/>
        <v>43110</v>
      </c>
      <c r="B24" s="621"/>
      <c r="C24" s="859"/>
      <c r="D24" s="393"/>
      <c r="E24" s="385"/>
      <c r="F24" s="385"/>
      <c r="G24" s="110"/>
      <c r="I24" s="380">
        <f t="shared" si="0"/>
        <v>0</v>
      </c>
      <c r="J24" s="85">
        <v>2018</v>
      </c>
      <c r="K24" s="197">
        <f t="shared" si="1"/>
        <v>43110</v>
      </c>
      <c r="L24" s="438">
        <f t="shared" si="2"/>
        <v>0</v>
      </c>
      <c r="M24" s="861"/>
      <c r="N24" s="861"/>
      <c r="O24" s="324">
        <f t="shared" si="3"/>
        <v>0</v>
      </c>
      <c r="P24" s="169">
        <f>(INDEX(Models!$BJ24:$BT24,,T24)*(1-R24)+INDEX(Models!$BJ24:$BT24,,T24+1)*R24-ERP_i)*Q24*Ramure*Pc/MaxiM</f>
        <v>7.8133169688924152E-6</v>
      </c>
      <c r="Q24" s="305">
        <f t="shared" si="18"/>
        <v>0.7</v>
      </c>
      <c r="R24" s="177">
        <f t="shared" si="4"/>
        <v>1.4373373952327739E-3</v>
      </c>
      <c r="S24" s="817">
        <f t="shared" si="19"/>
        <v>-2</v>
      </c>
      <c r="T24" s="176">
        <f t="shared" si="20"/>
        <v>4</v>
      </c>
      <c r="U24" s="251">
        <f t="shared" si="21"/>
        <v>-1.9985626626047672</v>
      </c>
      <c r="V24" s="383">
        <f t="shared" si="5"/>
        <v>14.945547018176502</v>
      </c>
      <c r="W24" s="58"/>
      <c r="X24" s="157">
        <f t="shared" si="6"/>
        <v>43110</v>
      </c>
      <c r="Y24" s="385">
        <f t="shared" si="7"/>
        <v>0</v>
      </c>
      <c r="Z24" s="385">
        <f t="shared" si="8"/>
        <v>0</v>
      </c>
      <c r="AA24" s="386">
        <f t="shared" si="9"/>
        <v>0</v>
      </c>
      <c r="AB24" s="197">
        <f t="shared" si="10"/>
        <v>43110</v>
      </c>
      <c r="AC24" s="427">
        <f t="shared" si="11"/>
        <v>0</v>
      </c>
      <c r="AD24" s="169">
        <f>(INDEX(Models!$BJ24:$BT24,,AH24)*(1-AF24)+INDEX(Models!$BJ24:$BT24,,AH24+1)*AF24-ERP_i)*AE24*Ramure*Pc/MaxiM</f>
        <v>7.8133169688924152E-6</v>
      </c>
      <c r="AE24" s="305">
        <f t="shared" si="12"/>
        <v>0.7</v>
      </c>
      <c r="AF24" s="177">
        <f t="shared" si="13"/>
        <v>1.4373373952327739E-3</v>
      </c>
      <c r="AG24" s="817">
        <f t="shared" si="22"/>
        <v>-2</v>
      </c>
      <c r="AH24" s="176">
        <f t="shared" si="14"/>
        <v>4</v>
      </c>
      <c r="AI24" s="225">
        <f t="shared" si="15"/>
        <v>-1.9985626626047672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3"/>
        <v>43111</v>
      </c>
      <c r="B25" s="621"/>
      <c r="C25" s="859"/>
      <c r="D25" s="393"/>
      <c r="E25" s="385"/>
      <c r="F25" s="385"/>
      <c r="G25" s="110"/>
      <c r="I25" s="380">
        <f t="shared" si="0"/>
        <v>0</v>
      </c>
      <c r="J25" s="85">
        <v>2018</v>
      </c>
      <c r="K25" s="197">
        <f t="shared" si="1"/>
        <v>43111</v>
      </c>
      <c r="L25" s="438">
        <f t="shared" si="2"/>
        <v>0</v>
      </c>
      <c r="M25" s="861"/>
      <c r="N25" s="861"/>
      <c r="O25" s="324">
        <f t="shared" si="3"/>
        <v>0</v>
      </c>
      <c r="P25" s="169">
        <f>(INDEX(Models!$BJ25:$BT25,,T25)*(1-R25)+INDEX(Models!$BJ25:$BT25,,T25+1)*R25-ERP_i)*Q25*Ramure*Pc/MaxiM</f>
        <v>8.8740234133683952E-6</v>
      </c>
      <c r="Q25" s="305">
        <f t="shared" si="18"/>
        <v>0.7</v>
      </c>
      <c r="R25" s="177">
        <f t="shared" si="4"/>
        <v>1.4795728525986984E-3</v>
      </c>
      <c r="S25" s="817">
        <f t="shared" si="19"/>
        <v>-2</v>
      </c>
      <c r="T25" s="176">
        <f t="shared" si="20"/>
        <v>4</v>
      </c>
      <c r="U25" s="251">
        <f t="shared" si="21"/>
        <v>-1.9985204271474013</v>
      </c>
      <c r="V25" s="383">
        <f t="shared" si="5"/>
        <v>15.131873038278334</v>
      </c>
      <c r="W25" s="58"/>
      <c r="X25" s="157">
        <f t="shared" si="6"/>
        <v>43111</v>
      </c>
      <c r="Y25" s="385">
        <f t="shared" si="7"/>
        <v>0</v>
      </c>
      <c r="Z25" s="385">
        <f t="shared" si="8"/>
        <v>0</v>
      </c>
      <c r="AA25" s="386">
        <f t="shared" si="9"/>
        <v>0</v>
      </c>
      <c r="AB25" s="197">
        <f t="shared" si="10"/>
        <v>43111</v>
      </c>
      <c r="AC25" s="427">
        <f t="shared" si="11"/>
        <v>0</v>
      </c>
      <c r="AD25" s="169">
        <f>(INDEX(Models!$BJ25:$BT25,,AH25)*(1-AF25)+INDEX(Models!$BJ25:$BT25,,AH25+1)*AF25-ERP_i)*AE25*Ramure*Pc/MaxiM</f>
        <v>8.8740234133683952E-6</v>
      </c>
      <c r="AE25" s="305">
        <f t="shared" si="12"/>
        <v>0.7</v>
      </c>
      <c r="AF25" s="177">
        <f t="shared" si="13"/>
        <v>1.4795728525986984E-3</v>
      </c>
      <c r="AG25" s="817">
        <f t="shared" si="22"/>
        <v>-2</v>
      </c>
      <c r="AH25" s="176">
        <f t="shared" si="14"/>
        <v>4</v>
      </c>
      <c r="AI25" s="225">
        <f t="shared" si="15"/>
        <v>-1.9985204271474013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3"/>
        <v>43112</v>
      </c>
      <c r="B26" s="621"/>
      <c r="C26" s="859"/>
      <c r="D26" s="393"/>
      <c r="E26" s="385"/>
      <c r="F26" s="385"/>
      <c r="G26" s="110"/>
      <c r="I26" s="380">
        <f t="shared" si="0"/>
        <v>0</v>
      </c>
      <c r="J26" s="85">
        <v>2018</v>
      </c>
      <c r="K26" s="197">
        <f t="shared" si="1"/>
        <v>43112</v>
      </c>
      <c r="L26" s="438">
        <f t="shared" si="2"/>
        <v>0</v>
      </c>
      <c r="M26" s="861"/>
      <c r="N26" s="861"/>
      <c r="O26" s="324">
        <f t="shared" si="3"/>
        <v>0</v>
      </c>
      <c r="P26" s="169">
        <f>(INDEX(Models!$BJ26:$BT26,,T26)*(1-R26)+INDEX(Models!$BJ26:$BT26,,T26+1)*R26-ERP_i)*Q26*Ramure*Pc/MaxiM</f>
        <v>9.9739773006176259E-6</v>
      </c>
      <c r="Q26" s="305">
        <f t="shared" si="18"/>
        <v>0.7</v>
      </c>
      <c r="R26" s="177">
        <f t="shared" si="4"/>
        <v>1.5235725802698052E-3</v>
      </c>
      <c r="S26" s="817">
        <f t="shared" si="19"/>
        <v>-2</v>
      </c>
      <c r="T26" s="176">
        <f t="shared" si="20"/>
        <v>4</v>
      </c>
      <c r="U26" s="251">
        <f t="shared" si="21"/>
        <v>-1.9984764274197302</v>
      </c>
      <c r="V26" s="383">
        <f t="shared" si="5"/>
        <v>15.323042572846337</v>
      </c>
      <c r="W26" s="58"/>
      <c r="X26" s="157">
        <f t="shared" si="6"/>
        <v>43112</v>
      </c>
      <c r="Y26" s="385">
        <f t="shared" si="7"/>
        <v>0</v>
      </c>
      <c r="Z26" s="385">
        <f t="shared" si="8"/>
        <v>0</v>
      </c>
      <c r="AA26" s="386">
        <f t="shared" si="9"/>
        <v>0</v>
      </c>
      <c r="AB26" s="197">
        <f t="shared" si="10"/>
        <v>43112</v>
      </c>
      <c r="AC26" s="427">
        <f t="shared" si="11"/>
        <v>0</v>
      </c>
      <c r="AD26" s="169">
        <f>(INDEX(Models!$BJ26:$BT26,,AH26)*(1-AF26)+INDEX(Models!$BJ26:$BT26,,AH26+1)*AF26-ERP_i)*AE26*Ramure*Pc/MaxiM</f>
        <v>9.9739773006176259E-6</v>
      </c>
      <c r="AE26" s="305">
        <f t="shared" si="12"/>
        <v>0.7</v>
      </c>
      <c r="AF26" s="177">
        <f t="shared" si="13"/>
        <v>1.5235725802698052E-3</v>
      </c>
      <c r="AG26" s="817">
        <f t="shared" si="22"/>
        <v>-2</v>
      </c>
      <c r="AH26" s="176">
        <f t="shared" si="14"/>
        <v>4</v>
      </c>
      <c r="AI26" s="225">
        <f t="shared" si="15"/>
        <v>-1.9984764274197302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3"/>
        <v>43113</v>
      </c>
      <c r="B27" s="621"/>
      <c r="C27" s="859"/>
      <c r="D27" s="393"/>
      <c r="E27" s="385"/>
      <c r="F27" s="385"/>
      <c r="G27" s="110"/>
      <c r="I27" s="380">
        <f t="shared" si="0"/>
        <v>0</v>
      </c>
      <c r="J27" s="85">
        <v>2018</v>
      </c>
      <c r="K27" s="197">
        <f t="shared" si="1"/>
        <v>43113</v>
      </c>
      <c r="L27" s="438">
        <f t="shared" si="2"/>
        <v>0</v>
      </c>
      <c r="M27" s="861"/>
      <c r="N27" s="861"/>
      <c r="O27" s="324">
        <f t="shared" si="3"/>
        <v>0</v>
      </c>
      <c r="P27" s="169">
        <f>(INDEX(Models!$BJ27:$BT27,,T27)*(1-R27)+INDEX(Models!$BJ27:$BT27,,T27+1)*R27-ERP_i)*Q27*Ramure*Pc/MaxiM</f>
        <v>1.1113117130717382E-5</v>
      </c>
      <c r="Q27" s="305">
        <f t="shared" si="18"/>
        <v>0.7</v>
      </c>
      <c r="R27" s="177">
        <f t="shared" si="4"/>
        <v>1.5694099447389753E-3</v>
      </c>
      <c r="S27" s="817">
        <f t="shared" si="19"/>
        <v>-2</v>
      </c>
      <c r="T27" s="176">
        <f t="shared" si="20"/>
        <v>4</v>
      </c>
      <c r="U27" s="251">
        <f t="shared" si="21"/>
        <v>-1.998430590055261</v>
      </c>
      <c r="V27" s="383">
        <f t="shared" si="5"/>
        <v>15.519158186579688</v>
      </c>
      <c r="W27" s="58"/>
      <c r="X27" s="157">
        <f t="shared" si="6"/>
        <v>43113</v>
      </c>
      <c r="Y27" s="385">
        <f t="shared" si="7"/>
        <v>0</v>
      </c>
      <c r="Z27" s="385">
        <f t="shared" si="8"/>
        <v>0</v>
      </c>
      <c r="AA27" s="386">
        <f t="shared" si="9"/>
        <v>0</v>
      </c>
      <c r="AB27" s="197">
        <f t="shared" si="10"/>
        <v>43113</v>
      </c>
      <c r="AC27" s="427">
        <f t="shared" si="11"/>
        <v>0</v>
      </c>
      <c r="AD27" s="169">
        <f>(INDEX(Models!$BJ27:$BT27,,AH27)*(1-AF27)+INDEX(Models!$BJ27:$BT27,,AH27+1)*AF27-ERP_i)*AE27*Ramure*Pc/MaxiM</f>
        <v>1.1113117130717382E-5</v>
      </c>
      <c r="AE27" s="305">
        <f t="shared" si="12"/>
        <v>0.7</v>
      </c>
      <c r="AF27" s="177">
        <f t="shared" si="13"/>
        <v>1.5694099447389753E-3</v>
      </c>
      <c r="AG27" s="817">
        <f t="shared" si="22"/>
        <v>-2</v>
      </c>
      <c r="AH27" s="176">
        <f t="shared" si="14"/>
        <v>4</v>
      </c>
      <c r="AI27" s="225">
        <f t="shared" si="15"/>
        <v>-1.998430590055261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3"/>
        <v>43114</v>
      </c>
      <c r="B28" s="621"/>
      <c r="C28" s="859"/>
      <c r="D28" s="393"/>
      <c r="E28" s="385"/>
      <c r="F28" s="385"/>
      <c r="G28" s="110"/>
      <c r="I28" s="380">
        <f t="shared" si="0"/>
        <v>0</v>
      </c>
      <c r="J28" s="85">
        <v>2018</v>
      </c>
      <c r="K28" s="197">
        <f t="shared" si="1"/>
        <v>43114</v>
      </c>
      <c r="L28" s="438">
        <f t="shared" si="2"/>
        <v>0</v>
      </c>
      <c r="M28" s="861"/>
      <c r="N28" s="861"/>
      <c r="O28" s="324">
        <f t="shared" si="3"/>
        <v>0</v>
      </c>
      <c r="P28" s="169">
        <f>(INDEX(Models!$BJ28:$BT28,,T28)*(1-R28)+INDEX(Models!$BJ28:$BT28,,T28+1)*R28-ERP_i)*Q28*Ramure*Pc/MaxiM</f>
        <v>1.2291352268100466E-5</v>
      </c>
      <c r="Q28" s="305">
        <f t="shared" si="18"/>
        <v>0.7</v>
      </c>
      <c r="R28" s="177">
        <f t="shared" si="4"/>
        <v>1.6171613351285696E-3</v>
      </c>
      <c r="S28" s="817">
        <f t="shared" si="19"/>
        <v>-2</v>
      </c>
      <c r="T28" s="176">
        <f t="shared" si="20"/>
        <v>4</v>
      </c>
      <c r="U28" s="251">
        <f t="shared" si="21"/>
        <v>-1.9983828386648714</v>
      </c>
      <c r="V28" s="383">
        <f t="shared" si="5"/>
        <v>15.720322444124976</v>
      </c>
      <c r="W28" s="58"/>
      <c r="X28" s="157">
        <f t="shared" si="6"/>
        <v>43114</v>
      </c>
      <c r="Y28" s="385">
        <f t="shared" si="7"/>
        <v>0</v>
      </c>
      <c r="Z28" s="385">
        <f t="shared" si="8"/>
        <v>0</v>
      </c>
      <c r="AA28" s="386">
        <f t="shared" si="9"/>
        <v>0</v>
      </c>
      <c r="AB28" s="197">
        <f t="shared" si="10"/>
        <v>43114</v>
      </c>
      <c r="AC28" s="427">
        <f t="shared" si="11"/>
        <v>0</v>
      </c>
      <c r="AD28" s="169">
        <f>(INDEX(Models!$BJ28:$BT28,,AH28)*(1-AF28)+INDEX(Models!$BJ28:$BT28,,AH28+1)*AF28-ERP_i)*AE28*Ramure*Pc/MaxiM</f>
        <v>1.2291352268100466E-5</v>
      </c>
      <c r="AE28" s="305">
        <f t="shared" si="12"/>
        <v>0.7</v>
      </c>
      <c r="AF28" s="177">
        <f t="shared" si="13"/>
        <v>1.6171613351285696E-3</v>
      </c>
      <c r="AG28" s="817">
        <f t="shared" si="22"/>
        <v>-2</v>
      </c>
      <c r="AH28" s="176">
        <f t="shared" si="14"/>
        <v>4</v>
      </c>
      <c r="AI28" s="225">
        <f t="shared" si="15"/>
        <v>-1.9983828386648714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3"/>
        <v>43115</v>
      </c>
      <c r="B29" s="621"/>
      <c r="C29" s="859"/>
      <c r="D29" s="393"/>
      <c r="E29" s="385"/>
      <c r="F29" s="385"/>
      <c r="G29" s="110"/>
      <c r="I29" s="380">
        <f t="shared" si="0"/>
        <v>0</v>
      </c>
      <c r="J29" s="85">
        <v>2018</v>
      </c>
      <c r="K29" s="197">
        <f t="shared" si="1"/>
        <v>43115</v>
      </c>
      <c r="L29" s="438">
        <f t="shared" si="2"/>
        <v>0</v>
      </c>
      <c r="M29" s="861"/>
      <c r="N29" s="861"/>
      <c r="O29" s="324">
        <f t="shared" si="3"/>
        <v>0</v>
      </c>
      <c r="P29" s="169">
        <f>(INDEX(Models!$BJ29:$BT29,,T29)*(1-R29)+INDEX(Models!$BJ29:$BT29,,T29+1)*R29-ERP_i)*Q29*Ramure*Pc/MaxiM</f>
        <v>1.3508562999586845E-5</v>
      </c>
      <c r="Q29" s="305">
        <f t="shared" si="18"/>
        <v>0.7</v>
      </c>
      <c r="R29" s="177">
        <f t="shared" si="4"/>
        <v>1.666906285300751E-3</v>
      </c>
      <c r="S29" s="817">
        <f t="shared" si="19"/>
        <v>-2</v>
      </c>
      <c r="T29" s="176">
        <f t="shared" si="20"/>
        <v>4</v>
      </c>
      <c r="U29" s="251">
        <f t="shared" si="21"/>
        <v>-1.9983330937146992</v>
      </c>
      <c r="V29" s="383">
        <f t="shared" si="5"/>
        <v>15.926637911079347</v>
      </c>
      <c r="W29" s="58"/>
      <c r="X29" s="157">
        <f t="shared" si="6"/>
        <v>43115</v>
      </c>
      <c r="Y29" s="385">
        <f t="shared" si="7"/>
        <v>0</v>
      </c>
      <c r="Z29" s="385">
        <f t="shared" si="8"/>
        <v>0</v>
      </c>
      <c r="AA29" s="386">
        <f t="shared" si="9"/>
        <v>0</v>
      </c>
      <c r="AB29" s="197">
        <f t="shared" si="10"/>
        <v>43115</v>
      </c>
      <c r="AC29" s="427">
        <f t="shared" si="11"/>
        <v>0</v>
      </c>
      <c r="AD29" s="169">
        <f>(INDEX(Models!$BJ29:$BT29,,AH29)*(1-AF29)+INDEX(Models!$BJ29:$BT29,,AH29+1)*AF29-ERP_i)*AE29*Ramure*Pc/MaxiM</f>
        <v>1.3508562999586845E-5</v>
      </c>
      <c r="AE29" s="305">
        <f t="shared" si="12"/>
        <v>0.7</v>
      </c>
      <c r="AF29" s="177">
        <f t="shared" si="13"/>
        <v>1.666906285300751E-3</v>
      </c>
      <c r="AG29" s="817">
        <f t="shared" si="22"/>
        <v>-2</v>
      </c>
      <c r="AH29" s="176">
        <f t="shared" si="14"/>
        <v>4</v>
      </c>
      <c r="AI29" s="225">
        <f t="shared" si="15"/>
        <v>-1.9983330937146992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3"/>
        <v>43116</v>
      </c>
      <c r="B30" s="621"/>
      <c r="C30" s="859"/>
      <c r="D30" s="393"/>
      <c r="E30" s="385"/>
      <c r="F30" s="385"/>
      <c r="G30" s="110"/>
      <c r="I30" s="380">
        <f t="shared" si="0"/>
        <v>0</v>
      </c>
      <c r="J30" s="85">
        <v>2018</v>
      </c>
      <c r="K30" s="197">
        <f t="shared" si="1"/>
        <v>43116</v>
      </c>
      <c r="L30" s="438">
        <f t="shared" si="2"/>
        <v>0</v>
      </c>
      <c r="M30" s="861"/>
      <c r="N30" s="861"/>
      <c r="O30" s="324">
        <f t="shared" si="3"/>
        <v>0</v>
      </c>
      <c r="P30" s="169">
        <f>(INDEX(Models!$BJ30:$BT30,,T30)*(1-R30)+INDEX(Models!$BJ30:$BT30,,T30+1)*R30-ERP_i)*Q30*Ramure*Pc/MaxiM</f>
        <v>1.4764431831575542E-5</v>
      </c>
      <c r="Q30" s="305">
        <f t="shared" si="18"/>
        <v>0.7</v>
      </c>
      <c r="R30" s="177">
        <f t="shared" si="4"/>
        <v>1.7187276006940255E-3</v>
      </c>
      <c r="S30" s="817">
        <f t="shared" si="19"/>
        <v>-2</v>
      </c>
      <c r="T30" s="176">
        <f t="shared" si="20"/>
        <v>4</v>
      </c>
      <c r="U30" s="251">
        <f t="shared" si="21"/>
        <v>-1.998281272399306</v>
      </c>
      <c r="V30" s="383">
        <f t="shared" si="5"/>
        <v>16.138207152397801</v>
      </c>
      <c r="W30" s="58"/>
      <c r="X30" s="157">
        <f t="shared" si="6"/>
        <v>43116</v>
      </c>
      <c r="Y30" s="385">
        <f t="shared" si="7"/>
        <v>0</v>
      </c>
      <c r="Z30" s="385">
        <f t="shared" si="8"/>
        <v>0</v>
      </c>
      <c r="AA30" s="386">
        <f t="shared" si="9"/>
        <v>0</v>
      </c>
      <c r="AB30" s="197">
        <f t="shared" si="10"/>
        <v>43116</v>
      </c>
      <c r="AC30" s="427">
        <f t="shared" si="11"/>
        <v>0</v>
      </c>
      <c r="AD30" s="169">
        <f>(INDEX(Models!$BJ30:$BT30,,AH30)*(1-AF30)+INDEX(Models!$BJ30:$BT30,,AH30+1)*AF30-ERP_i)*AE30*Ramure*Pc/MaxiM</f>
        <v>1.4764431831575542E-5</v>
      </c>
      <c r="AE30" s="305">
        <f t="shared" si="12"/>
        <v>0.7</v>
      </c>
      <c r="AF30" s="177">
        <f t="shared" si="13"/>
        <v>1.7187276006940255E-3</v>
      </c>
      <c r="AG30" s="817">
        <f t="shared" si="22"/>
        <v>-2</v>
      </c>
      <c r="AH30" s="176">
        <f t="shared" si="14"/>
        <v>4</v>
      </c>
      <c r="AI30" s="225">
        <f t="shared" si="15"/>
        <v>-1.998281272399306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23"/>
        <v>43117</v>
      </c>
      <c r="B31" s="621"/>
      <c r="C31" s="859"/>
      <c r="D31" s="393"/>
      <c r="E31" s="385"/>
      <c r="F31" s="385"/>
      <c r="G31" s="110"/>
      <c r="I31" s="380">
        <f t="shared" si="0"/>
        <v>0</v>
      </c>
      <c r="J31" s="85">
        <v>2018</v>
      </c>
      <c r="K31" s="197">
        <f t="shared" si="1"/>
        <v>43117</v>
      </c>
      <c r="L31" s="438">
        <f t="shared" si="2"/>
        <v>0</v>
      </c>
      <c r="M31" s="861"/>
      <c r="N31" s="861"/>
      <c r="O31" s="324">
        <f t="shared" si="3"/>
        <v>0</v>
      </c>
      <c r="P31" s="169">
        <f>(INDEX(Models!$BJ31:$BT31,,T31)*(1-R31)+INDEX(Models!$BJ31:$BT31,,T31+1)*R31-ERP_i)*Q31*Ramure*Pc/MaxiM</f>
        <v>1.6059540995745926E-5</v>
      </c>
      <c r="Q31" s="305">
        <f t="shared" si="18"/>
        <v>0.7</v>
      </c>
      <c r="R31" s="177">
        <f t="shared" si="4"/>
        <v>1.7727114900480956E-3</v>
      </c>
      <c r="S31" s="817">
        <f t="shared" si="19"/>
        <v>-2</v>
      </c>
      <c r="T31" s="176">
        <f t="shared" si="20"/>
        <v>4</v>
      </c>
      <c r="U31" s="251">
        <f t="shared" si="21"/>
        <v>-1.9982272885099519</v>
      </c>
      <c r="V31" s="383">
        <f t="shared" si="5"/>
        <v>16.355132715315722</v>
      </c>
      <c r="W31" s="58"/>
      <c r="X31" s="157">
        <f t="shared" si="6"/>
        <v>43117</v>
      </c>
      <c r="Y31" s="385">
        <f t="shared" si="7"/>
        <v>0</v>
      </c>
      <c r="Z31" s="385">
        <f t="shared" si="8"/>
        <v>0</v>
      </c>
      <c r="AA31" s="386">
        <f t="shared" si="9"/>
        <v>0</v>
      </c>
      <c r="AB31" s="197">
        <f t="shared" si="10"/>
        <v>43117</v>
      </c>
      <c r="AC31" s="427">
        <f t="shared" si="11"/>
        <v>0</v>
      </c>
      <c r="AD31" s="169">
        <f>(INDEX(Models!$BJ31:$BT31,,AH31)*(1-AF31)+INDEX(Models!$BJ31:$BT31,,AH31+1)*AF31-ERP_i)*AE31*Ramure*Pc/MaxiM</f>
        <v>1.6059540995745926E-5</v>
      </c>
      <c r="AE31" s="305">
        <f t="shared" si="12"/>
        <v>0.7</v>
      </c>
      <c r="AF31" s="177">
        <f t="shared" si="13"/>
        <v>1.7727114900480956E-3</v>
      </c>
      <c r="AG31" s="817">
        <f t="shared" si="22"/>
        <v>-2</v>
      </c>
      <c r="AH31" s="176">
        <f t="shared" si="14"/>
        <v>4</v>
      </c>
      <c r="AI31" s="225">
        <f t="shared" si="15"/>
        <v>-1.9982272885099519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3"/>
        <v>43118</v>
      </c>
      <c r="B32" s="621"/>
      <c r="C32" s="859"/>
      <c r="D32" s="393"/>
      <c r="E32" s="385"/>
      <c r="F32" s="385"/>
      <c r="G32" s="110"/>
      <c r="I32" s="380">
        <f t="shared" si="0"/>
        <v>0</v>
      </c>
      <c r="J32" s="85">
        <v>2018</v>
      </c>
      <c r="K32" s="197">
        <f t="shared" si="1"/>
        <v>43118</v>
      </c>
      <c r="L32" s="438">
        <f t="shared" si="2"/>
        <v>0</v>
      </c>
      <c r="M32" s="861"/>
      <c r="N32" s="861"/>
      <c r="O32" s="324">
        <f t="shared" si="3"/>
        <v>0</v>
      </c>
      <c r="P32" s="169">
        <f>(INDEX(Models!$BJ32:$BT32,,T32)*(1-R32)+INDEX(Models!$BJ32:$BT32,,T32+1)*R32-ERP_i)*Q32*Ramure*Pc/MaxiM</f>
        <v>1.7393817074062639E-5</v>
      </c>
      <c r="Q32" s="305">
        <f t="shared" si="18"/>
        <v>0.7</v>
      </c>
      <c r="R32" s="177">
        <f t="shared" si="4"/>
        <v>1.828947702189776E-3</v>
      </c>
      <c r="S32" s="817">
        <f t="shared" si="19"/>
        <v>-2</v>
      </c>
      <c r="T32" s="176">
        <f t="shared" si="20"/>
        <v>4</v>
      </c>
      <c r="U32" s="251">
        <f t="shared" si="21"/>
        <v>-1.9981710522978102</v>
      </c>
      <c r="V32" s="383">
        <f t="shared" si="5"/>
        <v>16.577517158421031</v>
      </c>
      <c r="W32" s="58"/>
      <c r="X32" s="157">
        <f t="shared" si="6"/>
        <v>43118</v>
      </c>
      <c r="Y32" s="385">
        <f t="shared" si="7"/>
        <v>0</v>
      </c>
      <c r="Z32" s="385">
        <f t="shared" si="8"/>
        <v>0</v>
      </c>
      <c r="AA32" s="386">
        <f t="shared" si="9"/>
        <v>0</v>
      </c>
      <c r="AB32" s="197">
        <f t="shared" si="10"/>
        <v>43118</v>
      </c>
      <c r="AC32" s="427">
        <f t="shared" si="11"/>
        <v>0</v>
      </c>
      <c r="AD32" s="169">
        <f>(INDEX(Models!$BJ32:$BT32,,AH32)*(1-AF32)+INDEX(Models!$BJ32:$BT32,,AH32+1)*AF32-ERP_i)*AE32*Ramure*Pc/MaxiM</f>
        <v>1.7393817074062639E-5</v>
      </c>
      <c r="AE32" s="305">
        <f t="shared" si="12"/>
        <v>0.7</v>
      </c>
      <c r="AF32" s="177">
        <f t="shared" si="13"/>
        <v>1.828947702189776E-3</v>
      </c>
      <c r="AG32" s="817">
        <f t="shared" si="22"/>
        <v>-2</v>
      </c>
      <c r="AH32" s="176">
        <f t="shared" si="14"/>
        <v>4</v>
      </c>
      <c r="AI32" s="225">
        <f t="shared" si="15"/>
        <v>-1.9981710522978102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3"/>
        <v>43119</v>
      </c>
      <c r="B33" s="621"/>
      <c r="C33" s="859"/>
      <c r="D33" s="393"/>
      <c r="E33" s="385"/>
      <c r="F33" s="385"/>
      <c r="G33" s="110"/>
      <c r="I33" s="380">
        <f t="shared" si="0"/>
        <v>0</v>
      </c>
      <c r="J33" s="85">
        <v>2018</v>
      </c>
      <c r="K33" s="197">
        <f t="shared" si="1"/>
        <v>43119</v>
      </c>
      <c r="L33" s="438">
        <f t="shared" si="2"/>
        <v>0</v>
      </c>
      <c r="M33" s="861"/>
      <c r="N33" s="861"/>
      <c r="O33" s="324">
        <f t="shared" si="3"/>
        <v>0</v>
      </c>
      <c r="P33" s="169">
        <f>(INDEX(Models!$BJ33:$BT33,,T33)*(1-R33)+INDEX(Models!$BJ33:$BT33,,T33+1)*R33-ERP_i)*Q33*Ramure*Pc/MaxiM</f>
        <v>1.876716210785416E-5</v>
      </c>
      <c r="Q33" s="305">
        <f t="shared" si="18"/>
        <v>0.7</v>
      </c>
      <c r="R33" s="177">
        <f t="shared" si="4"/>
        <v>1.8875296680507248E-3</v>
      </c>
      <c r="S33" s="817">
        <f t="shared" si="19"/>
        <v>-2</v>
      </c>
      <c r="T33" s="176">
        <f t="shared" si="20"/>
        <v>4</v>
      </c>
      <c r="U33" s="251">
        <f t="shared" si="21"/>
        <v>-1.9981124703319493</v>
      </c>
      <c r="V33" s="383">
        <f t="shared" si="5"/>
        <v>16.80546303725291</v>
      </c>
      <c r="W33" s="58"/>
      <c r="X33" s="157">
        <f t="shared" si="6"/>
        <v>43119</v>
      </c>
      <c r="Y33" s="385">
        <f t="shared" si="7"/>
        <v>0</v>
      </c>
      <c r="Z33" s="385">
        <f t="shared" si="8"/>
        <v>0</v>
      </c>
      <c r="AA33" s="386">
        <f t="shared" si="9"/>
        <v>0</v>
      </c>
      <c r="AB33" s="197">
        <f t="shared" si="10"/>
        <v>43119</v>
      </c>
      <c r="AC33" s="427">
        <f t="shared" si="11"/>
        <v>0</v>
      </c>
      <c r="AD33" s="169">
        <f>(INDEX(Models!$BJ33:$BT33,,AH33)*(1-AF33)+INDEX(Models!$BJ33:$BT33,,AH33+1)*AF33-ERP_i)*AE33*Ramure*Pc/MaxiM</f>
        <v>1.876716210785416E-5</v>
      </c>
      <c r="AE33" s="305">
        <f t="shared" si="12"/>
        <v>0.7</v>
      </c>
      <c r="AF33" s="177">
        <f t="shared" si="13"/>
        <v>1.8875296680507248E-3</v>
      </c>
      <c r="AG33" s="817">
        <f t="shared" si="22"/>
        <v>-2</v>
      </c>
      <c r="AH33" s="176">
        <f t="shared" si="14"/>
        <v>4</v>
      </c>
      <c r="AI33" s="225">
        <f t="shared" si="15"/>
        <v>-1.9981124703319493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3"/>
        <v>43120</v>
      </c>
      <c r="B34" s="621"/>
      <c r="C34" s="859"/>
      <c r="D34" s="393"/>
      <c r="E34" s="385"/>
      <c r="F34" s="385"/>
      <c r="G34" s="110"/>
      <c r="I34" s="380">
        <f t="shared" si="0"/>
        <v>0</v>
      </c>
      <c r="J34" s="85">
        <v>2018</v>
      </c>
      <c r="K34" s="197">
        <f t="shared" si="1"/>
        <v>43120</v>
      </c>
      <c r="L34" s="438">
        <f t="shared" si="2"/>
        <v>0</v>
      </c>
      <c r="M34" s="861"/>
      <c r="N34" s="861"/>
      <c r="O34" s="324">
        <f t="shared" si="3"/>
        <v>0</v>
      </c>
      <c r="P34" s="169">
        <f>(INDEX(Models!$BJ34:$BT34,,T34)*(1-R34)+INDEX(Models!$BJ34:$BT34,,T34+1)*R34-ERP_i)*Q34*Ramure*Pc/MaxiM</f>
        <v>2.0179566064418925E-5</v>
      </c>
      <c r="Q34" s="305">
        <f t="shared" si="18"/>
        <v>0.7</v>
      </c>
      <c r="R34" s="177">
        <f t="shared" si="4"/>
        <v>1.9485546480935145E-3</v>
      </c>
      <c r="S34" s="817">
        <f t="shared" si="19"/>
        <v>-2</v>
      </c>
      <c r="T34" s="176">
        <f t="shared" si="20"/>
        <v>4</v>
      </c>
      <c r="U34" s="251">
        <f t="shared" si="21"/>
        <v>-1.9980514453519065</v>
      </c>
      <c r="V34" s="383">
        <f t="shared" si="5"/>
        <v>17.039072906209665</v>
      </c>
      <c r="W34" s="58"/>
      <c r="X34" s="157">
        <f t="shared" si="6"/>
        <v>43120</v>
      </c>
      <c r="Y34" s="385">
        <f t="shared" si="7"/>
        <v>0</v>
      </c>
      <c r="Z34" s="385">
        <f t="shared" si="8"/>
        <v>0</v>
      </c>
      <c r="AA34" s="386">
        <f t="shared" si="9"/>
        <v>0</v>
      </c>
      <c r="AB34" s="197">
        <f t="shared" si="10"/>
        <v>43120</v>
      </c>
      <c r="AC34" s="427">
        <f t="shared" si="11"/>
        <v>0</v>
      </c>
      <c r="AD34" s="169">
        <f>(INDEX(Models!$BJ34:$BT34,,AH34)*(1-AF34)+INDEX(Models!$BJ34:$BT34,,AH34+1)*AF34-ERP_i)*AE34*Ramure*Pc/MaxiM</f>
        <v>2.0179566064418925E-5</v>
      </c>
      <c r="AE34" s="305">
        <f t="shared" si="12"/>
        <v>0.7</v>
      </c>
      <c r="AF34" s="177">
        <f t="shared" si="13"/>
        <v>1.9485546480935145E-3</v>
      </c>
      <c r="AG34" s="817">
        <f t="shared" si="22"/>
        <v>-2</v>
      </c>
      <c r="AH34" s="176">
        <f t="shared" si="14"/>
        <v>4</v>
      </c>
      <c r="AI34" s="225">
        <f t="shared" si="15"/>
        <v>-1.9980514453519065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3"/>
        <v>43121</v>
      </c>
      <c r="B35" s="621"/>
      <c r="C35" s="859"/>
      <c r="D35" s="393"/>
      <c r="E35" s="385"/>
      <c r="F35" s="385"/>
      <c r="G35" s="110"/>
      <c r="I35" s="380">
        <f t="shared" si="0"/>
        <v>0</v>
      </c>
      <c r="J35" s="85">
        <v>2018</v>
      </c>
      <c r="K35" s="197">
        <f t="shared" si="1"/>
        <v>43121</v>
      </c>
      <c r="L35" s="438">
        <f t="shared" si="2"/>
        <v>0</v>
      </c>
      <c r="M35" s="861"/>
      <c r="N35" s="861"/>
      <c r="O35" s="324">
        <f t="shared" si="3"/>
        <v>0</v>
      </c>
      <c r="P35" s="169">
        <f>(INDEX(Models!$BJ35:$BT35,,T35)*(1-R35)+INDEX(Models!$BJ35:$BT35,,T35+1)*R35-ERP_i)*Q35*Ramure*Pc/MaxiM</f>
        <v>2.1631080999411283E-5</v>
      </c>
      <c r="Q35" s="305">
        <f t="shared" si="18"/>
        <v>0.7</v>
      </c>
      <c r="R35" s="177">
        <f t="shared" si="4"/>
        <v>2.0121238853296752E-3</v>
      </c>
      <c r="S35" s="817">
        <f t="shared" si="19"/>
        <v>-2</v>
      </c>
      <c r="T35" s="176">
        <f t="shared" si="20"/>
        <v>4</v>
      </c>
      <c r="U35" s="251">
        <f t="shared" si="21"/>
        <v>-1.9979878761146703</v>
      </c>
      <c r="V35" s="383">
        <f t="shared" si="5"/>
        <v>17.27844931662025</v>
      </c>
      <c r="W35" s="58"/>
      <c r="X35" s="157">
        <f t="shared" si="6"/>
        <v>43121</v>
      </c>
      <c r="Y35" s="385">
        <f t="shared" si="7"/>
        <v>0</v>
      </c>
      <c r="Z35" s="385">
        <f t="shared" si="8"/>
        <v>0</v>
      </c>
      <c r="AA35" s="386">
        <f t="shared" si="9"/>
        <v>0</v>
      </c>
      <c r="AB35" s="197">
        <f t="shared" si="10"/>
        <v>43121</v>
      </c>
      <c r="AC35" s="427">
        <f t="shared" si="11"/>
        <v>0</v>
      </c>
      <c r="AD35" s="169">
        <f>(INDEX(Models!$BJ35:$BT35,,AH35)*(1-AF35)+INDEX(Models!$BJ35:$BT35,,AH35+1)*AF35-ERP_i)*AE35*Ramure*Pc/MaxiM</f>
        <v>2.1631080999411283E-5</v>
      </c>
      <c r="AE35" s="305">
        <f t="shared" si="12"/>
        <v>0.7</v>
      </c>
      <c r="AF35" s="177">
        <f t="shared" si="13"/>
        <v>2.0121238853296752E-3</v>
      </c>
      <c r="AG35" s="817">
        <f t="shared" si="22"/>
        <v>-2</v>
      </c>
      <c r="AH35" s="176">
        <f t="shared" si="14"/>
        <v>4</v>
      </c>
      <c r="AI35" s="225">
        <f t="shared" si="15"/>
        <v>-1.9979878761146703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3"/>
        <v>43122</v>
      </c>
      <c r="B36" s="621"/>
      <c r="C36" s="859"/>
      <c r="D36" s="393"/>
      <c r="E36" s="385"/>
      <c r="F36" s="385"/>
      <c r="G36" s="110"/>
      <c r="I36" s="380">
        <f t="shared" si="0"/>
        <v>0</v>
      </c>
      <c r="J36" s="85">
        <v>2018</v>
      </c>
      <c r="K36" s="197">
        <f t="shared" si="1"/>
        <v>43122</v>
      </c>
      <c r="L36" s="438">
        <f t="shared" si="2"/>
        <v>0</v>
      </c>
      <c r="M36" s="861"/>
      <c r="N36" s="861"/>
      <c r="O36" s="324">
        <f t="shared" si="3"/>
        <v>0</v>
      </c>
      <c r="P36" s="169">
        <f>(INDEX(Models!$BJ36:$BT36,,T36)*(1-R36)+INDEX(Models!$BJ36:$BT36,,T36+1)*R36-ERP_i)*Q36*Ramure*Pc/MaxiM</f>
        <v>2.3121683662018779E-5</v>
      </c>
      <c r="Q36" s="305">
        <f t="shared" si="18"/>
        <v>0.7</v>
      </c>
      <c r="R36" s="177">
        <f t="shared" si="4"/>
        <v>2.0783427641117846E-3</v>
      </c>
      <c r="S36" s="817">
        <f t="shared" si="19"/>
        <v>-2</v>
      </c>
      <c r="T36" s="176">
        <f t="shared" si="20"/>
        <v>4</v>
      </c>
      <c r="U36" s="251">
        <f t="shared" si="21"/>
        <v>-1.9979216572358882</v>
      </c>
      <c r="V36" s="383">
        <f t="shared" si="5"/>
        <v>17.523694814459642</v>
      </c>
      <c r="W36" s="58"/>
      <c r="X36" s="157">
        <f t="shared" si="6"/>
        <v>43122</v>
      </c>
      <c r="Y36" s="385">
        <f t="shared" si="7"/>
        <v>0</v>
      </c>
      <c r="Z36" s="385">
        <f t="shared" si="8"/>
        <v>0</v>
      </c>
      <c r="AA36" s="386">
        <f t="shared" si="9"/>
        <v>0</v>
      </c>
      <c r="AB36" s="197">
        <f t="shared" si="10"/>
        <v>43122</v>
      </c>
      <c r="AC36" s="427">
        <f t="shared" si="11"/>
        <v>0</v>
      </c>
      <c r="AD36" s="169">
        <f>(INDEX(Models!$BJ36:$BT36,,AH36)*(1-AF36)+INDEX(Models!$BJ36:$BT36,,AH36+1)*AF36-ERP_i)*AE36*Ramure*Pc/MaxiM</f>
        <v>2.3121683662018779E-5</v>
      </c>
      <c r="AE36" s="305">
        <f t="shared" si="12"/>
        <v>0.7</v>
      </c>
      <c r="AF36" s="177">
        <f t="shared" si="13"/>
        <v>2.0783427641117846E-3</v>
      </c>
      <c r="AG36" s="817">
        <f t="shared" si="22"/>
        <v>-2</v>
      </c>
      <c r="AH36" s="176">
        <f t="shared" si="14"/>
        <v>4</v>
      </c>
      <c r="AI36" s="225">
        <f t="shared" si="15"/>
        <v>-1.9979216572358882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3"/>
        <v>43123</v>
      </c>
      <c r="B37" s="621"/>
      <c r="C37" s="859"/>
      <c r="D37" s="393"/>
      <c r="E37" s="385"/>
      <c r="F37" s="385"/>
      <c r="G37" s="110"/>
      <c r="I37" s="380">
        <f t="shared" si="0"/>
        <v>0</v>
      </c>
      <c r="J37" s="85">
        <v>2018</v>
      </c>
      <c r="K37" s="197">
        <f t="shared" si="1"/>
        <v>43123</v>
      </c>
      <c r="L37" s="438">
        <f t="shared" si="2"/>
        <v>0</v>
      </c>
      <c r="M37" s="861"/>
      <c r="N37" s="861"/>
      <c r="O37" s="324">
        <f t="shared" si="3"/>
        <v>0</v>
      </c>
      <c r="P37" s="169">
        <f>(INDEX(Models!$BJ37:$BT37,,T37)*(1-R37)+INDEX(Models!$BJ37:$BT37,,T37+1)*R37-ERP_i)*Q37*Ramure*Pc/MaxiM</f>
        <v>2.4649777885006657E-5</v>
      </c>
      <c r="Q37" s="305">
        <f t="shared" si="18"/>
        <v>0.7</v>
      </c>
      <c r="R37" s="177">
        <f t="shared" si="4"/>
        <v>2.147320974889011E-3</v>
      </c>
      <c r="S37" s="817">
        <f t="shared" si="19"/>
        <v>-2</v>
      </c>
      <c r="T37" s="176">
        <f t="shared" si="20"/>
        <v>4</v>
      </c>
      <c r="U37" s="251">
        <f t="shared" si="21"/>
        <v>-1.997852679025111</v>
      </c>
      <c r="V37" s="383">
        <f t="shared" si="5"/>
        <v>17.776046872629522</v>
      </c>
      <c r="W37" s="58"/>
      <c r="X37" s="157">
        <f t="shared" si="6"/>
        <v>43123</v>
      </c>
      <c r="Y37" s="385">
        <f t="shared" si="7"/>
        <v>0</v>
      </c>
      <c r="Z37" s="385">
        <f t="shared" si="8"/>
        <v>0</v>
      </c>
      <c r="AA37" s="386">
        <f t="shared" si="9"/>
        <v>0</v>
      </c>
      <c r="AB37" s="197">
        <f t="shared" si="10"/>
        <v>43123</v>
      </c>
      <c r="AC37" s="427">
        <f t="shared" si="11"/>
        <v>0</v>
      </c>
      <c r="AD37" s="169">
        <f>(INDEX(Models!$BJ37:$BT37,,AH37)*(1-AF37)+INDEX(Models!$BJ37:$BT37,,AH37+1)*AF37-ERP_i)*AE37*Ramure*Pc/MaxiM</f>
        <v>2.4649777885006657E-5</v>
      </c>
      <c r="AE37" s="305">
        <f t="shared" si="12"/>
        <v>0.7</v>
      </c>
      <c r="AF37" s="177">
        <f t="shared" si="13"/>
        <v>2.147320974889011E-3</v>
      </c>
      <c r="AG37" s="817">
        <f t="shared" si="22"/>
        <v>-2</v>
      </c>
      <c r="AH37" s="176">
        <f t="shared" si="14"/>
        <v>4</v>
      </c>
      <c r="AI37" s="225">
        <f t="shared" si="15"/>
        <v>-1.997852679025111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3"/>
        <v>43124</v>
      </c>
      <c r="B38" s="621"/>
      <c r="C38" s="859"/>
      <c r="D38" s="393"/>
      <c r="E38" s="385"/>
      <c r="F38" s="385"/>
      <c r="G38" s="110"/>
      <c r="I38" s="380">
        <f t="shared" si="0"/>
        <v>0</v>
      </c>
      <c r="J38" s="85">
        <v>2018</v>
      </c>
      <c r="K38" s="197">
        <f t="shared" si="1"/>
        <v>43124</v>
      </c>
      <c r="L38" s="438">
        <f t="shared" si="2"/>
        <v>0</v>
      </c>
      <c r="M38" s="861"/>
      <c r="N38" s="861"/>
      <c r="O38" s="324">
        <f t="shared" si="3"/>
        <v>0</v>
      </c>
      <c r="P38" s="169">
        <f>(INDEX(Models!$BJ38:$BT38,,T38)*(1-R38)+INDEX(Models!$BJ38:$BT38,,T38+1)*R38-ERP_i)*Q38*Ramure*Pc/MaxiM</f>
        <v>2.6203207461888997E-5</v>
      </c>
      <c r="Q38" s="305">
        <f t="shared" si="18"/>
        <v>0.7</v>
      </c>
      <c r="R38" s="177">
        <f t="shared" si="4"/>
        <v>2.2191726851183979E-3</v>
      </c>
      <c r="S38" s="817">
        <f t="shared" si="19"/>
        <v>-2</v>
      </c>
      <c r="T38" s="176">
        <f t="shared" si="20"/>
        <v>4</v>
      </c>
      <c r="U38" s="251">
        <f t="shared" si="21"/>
        <v>-1.9977808273148816</v>
      </c>
      <c r="V38" s="383">
        <f t="shared" si="5"/>
        <v>18.036246622108184</v>
      </c>
      <c r="W38" s="58"/>
      <c r="X38" s="157">
        <f t="shared" si="6"/>
        <v>43124</v>
      </c>
      <c r="Y38" s="385">
        <f t="shared" si="7"/>
        <v>0</v>
      </c>
      <c r="Z38" s="385">
        <f t="shared" si="8"/>
        <v>0</v>
      </c>
      <c r="AA38" s="386">
        <f t="shared" si="9"/>
        <v>0</v>
      </c>
      <c r="AB38" s="197">
        <f t="shared" si="10"/>
        <v>43124</v>
      </c>
      <c r="AC38" s="427">
        <f t="shared" si="11"/>
        <v>0</v>
      </c>
      <c r="AD38" s="169">
        <f>(INDEX(Models!$BJ38:$BT38,,AH38)*(1-AF38)+INDEX(Models!$BJ38:$BT38,,AH38+1)*AF38-ERP_i)*AE38*Ramure*Pc/MaxiM</f>
        <v>2.6203207461888997E-5</v>
      </c>
      <c r="AE38" s="305">
        <f t="shared" si="12"/>
        <v>0.7</v>
      </c>
      <c r="AF38" s="177">
        <f t="shared" si="13"/>
        <v>2.2191726851183979E-3</v>
      </c>
      <c r="AG38" s="817">
        <f t="shared" si="22"/>
        <v>-2</v>
      </c>
      <c r="AH38" s="176">
        <f t="shared" si="14"/>
        <v>4</v>
      </c>
      <c r="AI38" s="225">
        <f t="shared" si="15"/>
        <v>-1.9977808273148816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3"/>
        <v>43125</v>
      </c>
      <c r="B39" s="621"/>
      <c r="C39" s="859"/>
      <c r="D39" s="393"/>
      <c r="E39" s="385"/>
      <c r="F39" s="385"/>
      <c r="G39" s="110"/>
      <c r="I39" s="380">
        <f t="shared" si="0"/>
        <v>0</v>
      </c>
      <c r="J39" s="85">
        <v>2018</v>
      </c>
      <c r="K39" s="197">
        <f t="shared" si="1"/>
        <v>43125</v>
      </c>
      <c r="L39" s="438">
        <f t="shared" si="2"/>
        <v>0</v>
      </c>
      <c r="M39" s="861"/>
      <c r="N39" s="861"/>
      <c r="O39" s="324">
        <f t="shared" si="3"/>
        <v>0</v>
      </c>
      <c r="P39" s="169">
        <f>(INDEX(Models!$BJ39:$BT39,,T39)*(1-R39)+INDEX(Models!$BJ39:$BT39,,T39+1)*R39-ERP_i)*Q39*Ramure*Pc/MaxiM</f>
        <v>2.7786628587318116E-5</v>
      </c>
      <c r="Q39" s="305">
        <f t="shared" si="18"/>
        <v>0.7</v>
      </c>
      <c r="R39" s="177">
        <f t="shared" si="4"/>
        <v>2.2940167165266256E-3</v>
      </c>
      <c r="S39" s="817">
        <f t="shared" si="19"/>
        <v>-2</v>
      </c>
      <c r="T39" s="176">
        <f t="shared" si="20"/>
        <v>4</v>
      </c>
      <c r="U39" s="251">
        <f t="shared" si="21"/>
        <v>-1.9977059832834734</v>
      </c>
      <c r="V39" s="383">
        <f t="shared" si="5"/>
        <v>18.303651739496228</v>
      </c>
      <c r="W39" s="58"/>
      <c r="X39" s="157">
        <f t="shared" si="6"/>
        <v>43125</v>
      </c>
      <c r="Y39" s="385">
        <f t="shared" si="7"/>
        <v>0</v>
      </c>
      <c r="Z39" s="385">
        <f t="shared" si="8"/>
        <v>0</v>
      </c>
      <c r="AA39" s="386">
        <f t="shared" si="9"/>
        <v>0</v>
      </c>
      <c r="AB39" s="197">
        <f t="shared" si="10"/>
        <v>43125</v>
      </c>
      <c r="AC39" s="427">
        <f t="shared" si="11"/>
        <v>0</v>
      </c>
      <c r="AD39" s="169">
        <f>(INDEX(Models!$BJ39:$BT39,,AH39)*(1-AF39)+INDEX(Models!$BJ39:$BT39,,AH39+1)*AF39-ERP_i)*AE39*Ramure*Pc/MaxiM</f>
        <v>2.7786628587318116E-5</v>
      </c>
      <c r="AE39" s="305">
        <f t="shared" si="12"/>
        <v>0.7</v>
      </c>
      <c r="AF39" s="177">
        <f t="shared" si="13"/>
        <v>2.2940167165266256E-3</v>
      </c>
      <c r="AG39" s="817">
        <f t="shared" si="22"/>
        <v>-2</v>
      </c>
      <c r="AH39" s="176">
        <f t="shared" si="14"/>
        <v>4</v>
      </c>
      <c r="AI39" s="225">
        <f t="shared" si="15"/>
        <v>-1.9977059832834734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23"/>
        <v>43126</v>
      </c>
      <c r="B40" s="621"/>
      <c r="C40" s="859"/>
      <c r="D40" s="393"/>
      <c r="E40" s="385"/>
      <c r="F40" s="385"/>
      <c r="G40" s="110"/>
      <c r="I40" s="380">
        <f t="shared" si="0"/>
        <v>0</v>
      </c>
      <c r="J40" s="85">
        <v>2018</v>
      </c>
      <c r="K40" s="197">
        <f t="shared" si="1"/>
        <v>43126</v>
      </c>
      <c r="L40" s="438">
        <f t="shared" si="2"/>
        <v>0</v>
      </c>
      <c r="M40" s="861"/>
      <c r="N40" s="861"/>
      <c r="O40" s="324">
        <f t="shared" si="3"/>
        <v>0</v>
      </c>
      <c r="P40" s="169">
        <f>(INDEX(Models!$BJ40:$BT40,,T40)*(1-R40)+INDEX(Models!$BJ40:$BT40,,T40+1)*R40-ERP_i)*Q40*Ramure*Pc/MaxiM</f>
        <v>2.9400074412851765E-5</v>
      </c>
      <c r="Q40" s="305">
        <f t="shared" si="18"/>
        <v>0.7</v>
      </c>
      <c r="R40" s="177">
        <f t="shared" si="4"/>
        <v>2.3719767289194227E-3</v>
      </c>
      <c r="S40" s="817">
        <f t="shared" si="19"/>
        <v>-2</v>
      </c>
      <c r="T40" s="176">
        <f t="shared" si="20"/>
        <v>4</v>
      </c>
      <c r="U40" s="251">
        <f t="shared" si="21"/>
        <v>-1.9976280232710806</v>
      </c>
      <c r="V40" s="383">
        <f t="shared" si="5"/>
        <v>18.577619981380902</v>
      </c>
      <c r="W40" s="58"/>
      <c r="X40" s="157">
        <f t="shared" si="6"/>
        <v>43126</v>
      </c>
      <c r="Y40" s="385">
        <f t="shared" si="7"/>
        <v>0</v>
      </c>
      <c r="Z40" s="385">
        <f t="shared" si="8"/>
        <v>0</v>
      </c>
      <c r="AA40" s="386">
        <f t="shared" si="9"/>
        <v>0</v>
      </c>
      <c r="AB40" s="197">
        <f t="shared" si="10"/>
        <v>43126</v>
      </c>
      <c r="AC40" s="427">
        <f t="shared" si="11"/>
        <v>0</v>
      </c>
      <c r="AD40" s="169">
        <f>(INDEX(Models!$BJ40:$BT40,,AH40)*(1-AF40)+INDEX(Models!$BJ40:$BT40,,AH40+1)*AF40-ERP_i)*AE40*Ramure*Pc/MaxiM</f>
        <v>2.9400074412851765E-5</v>
      </c>
      <c r="AE40" s="305">
        <f t="shared" si="12"/>
        <v>0.7</v>
      </c>
      <c r="AF40" s="177">
        <f t="shared" si="13"/>
        <v>2.3719767289194227E-3</v>
      </c>
      <c r="AG40" s="817">
        <f t="shared" si="22"/>
        <v>-2</v>
      </c>
      <c r="AH40" s="176">
        <f t="shared" si="14"/>
        <v>4</v>
      </c>
      <c r="AI40" s="225">
        <f t="shared" si="15"/>
        <v>-1.9976280232710806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3"/>
        <v>43127</v>
      </c>
      <c r="B41" s="621"/>
      <c r="C41" s="859"/>
      <c r="D41" s="393"/>
      <c r="E41" s="385"/>
      <c r="F41" s="385"/>
      <c r="G41" s="110"/>
      <c r="I41" s="380">
        <f t="shared" si="0"/>
        <v>0</v>
      </c>
      <c r="J41" s="85">
        <v>2018</v>
      </c>
      <c r="K41" s="197">
        <f t="shared" si="1"/>
        <v>43127</v>
      </c>
      <c r="L41" s="438">
        <f t="shared" si="2"/>
        <v>0</v>
      </c>
      <c r="M41" s="861"/>
      <c r="N41" s="861"/>
      <c r="O41" s="324">
        <f t="shared" si="3"/>
        <v>0</v>
      </c>
      <c r="P41" s="169">
        <f>(INDEX(Models!$BJ41:$BT41,,T41)*(1-R41)+INDEX(Models!$BJ41:$BT41,,T41+1)*R41-ERP_i)*Q41*Ramure*Pc/MaxiM</f>
        <v>3.1043747928418167E-5</v>
      </c>
      <c r="Q41" s="305">
        <f t="shared" si="18"/>
        <v>0.7</v>
      </c>
      <c r="R41" s="177">
        <f t="shared" si="4"/>
        <v>2.4531814107411343E-3</v>
      </c>
      <c r="S41" s="817">
        <f t="shared" si="19"/>
        <v>-2</v>
      </c>
      <c r="T41" s="176">
        <f t="shared" si="20"/>
        <v>4</v>
      </c>
      <c r="U41" s="251">
        <f t="shared" si="21"/>
        <v>-1.9975468185892589</v>
      </c>
      <c r="V41" s="383">
        <f t="shared" si="5"/>
        <v>18.85750910858426</v>
      </c>
      <c r="W41" s="58"/>
      <c r="X41" s="157">
        <f t="shared" si="6"/>
        <v>43127</v>
      </c>
      <c r="Y41" s="385">
        <f t="shared" si="7"/>
        <v>0</v>
      </c>
      <c r="Z41" s="385">
        <f t="shared" si="8"/>
        <v>0</v>
      </c>
      <c r="AA41" s="386">
        <f t="shared" si="9"/>
        <v>0</v>
      </c>
      <c r="AB41" s="197">
        <f t="shared" si="10"/>
        <v>43127</v>
      </c>
      <c r="AC41" s="427">
        <f t="shared" si="11"/>
        <v>0</v>
      </c>
      <c r="AD41" s="169">
        <f>(INDEX(Models!$BJ41:$BT41,,AH41)*(1-AF41)+INDEX(Models!$BJ41:$BT41,,AH41+1)*AF41-ERP_i)*AE41*Ramure*Pc/MaxiM</f>
        <v>3.1043747928418167E-5</v>
      </c>
      <c r="AE41" s="305">
        <f t="shared" si="12"/>
        <v>0.7</v>
      </c>
      <c r="AF41" s="177">
        <f t="shared" si="13"/>
        <v>2.4531814107411343E-3</v>
      </c>
      <c r="AG41" s="817">
        <f t="shared" si="22"/>
        <v>-2</v>
      </c>
      <c r="AH41" s="176">
        <f t="shared" si="14"/>
        <v>4</v>
      </c>
      <c r="AI41" s="225">
        <f t="shared" si="15"/>
        <v>-1.9975468185892589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23"/>
        <v>43128</v>
      </c>
      <c r="B42" s="621"/>
      <c r="C42" s="859"/>
      <c r="D42" s="393"/>
      <c r="E42" s="385"/>
      <c r="F42" s="385"/>
      <c r="G42" s="110"/>
      <c r="I42" s="380">
        <f t="shared" si="0"/>
        <v>0</v>
      </c>
      <c r="J42" s="85">
        <v>2018</v>
      </c>
      <c r="K42" s="197">
        <f t="shared" si="1"/>
        <v>43128</v>
      </c>
      <c r="L42" s="438">
        <f t="shared" si="2"/>
        <v>0</v>
      </c>
      <c r="M42" s="861"/>
      <c r="N42" s="861"/>
      <c r="O42" s="324">
        <f t="shared" si="3"/>
        <v>0</v>
      </c>
      <c r="P42" s="169">
        <f>(INDEX(Models!$BJ42:$BT42,,T42)*(1-R42)+INDEX(Models!$BJ42:$BT42,,T42+1)*R42-ERP_i)*Q42*Ramure*Pc/MaxiM</f>
        <v>3.2718015587879045E-5</v>
      </c>
      <c r="Q42" s="305">
        <f t="shared" si="18"/>
        <v>0.7</v>
      </c>
      <c r="R42" s="177">
        <f t="shared" si="4"/>
        <v>2.5377646765871731E-3</v>
      </c>
      <c r="S42" s="817">
        <f t="shared" si="19"/>
        <v>-2</v>
      </c>
      <c r="T42" s="176">
        <f t="shared" si="20"/>
        <v>4</v>
      </c>
      <c r="U42" s="251">
        <f t="shared" si="21"/>
        <v>-1.9974622353234128</v>
      </c>
      <c r="V42" s="383">
        <f t="shared" si="5"/>
        <v>19.142676876681392</v>
      </c>
      <c r="W42" s="58"/>
      <c r="X42" s="157">
        <f t="shared" si="6"/>
        <v>43128</v>
      </c>
      <c r="Y42" s="385">
        <f t="shared" si="7"/>
        <v>0</v>
      </c>
      <c r="Z42" s="385">
        <f t="shared" si="8"/>
        <v>0</v>
      </c>
      <c r="AA42" s="386">
        <f t="shared" si="9"/>
        <v>0</v>
      </c>
      <c r="AB42" s="197">
        <f t="shared" si="10"/>
        <v>43128</v>
      </c>
      <c r="AC42" s="427">
        <f t="shared" si="11"/>
        <v>0</v>
      </c>
      <c r="AD42" s="169">
        <f>(INDEX(Models!$BJ42:$BT42,,AH42)*(1-AF42)+INDEX(Models!$BJ42:$BT42,,AH42+1)*AF42-ERP_i)*AE42*Ramure*Pc/MaxiM</f>
        <v>3.2718015587879045E-5</v>
      </c>
      <c r="AE42" s="305">
        <f t="shared" si="12"/>
        <v>0.7</v>
      </c>
      <c r="AF42" s="177">
        <f t="shared" si="13"/>
        <v>2.5377646765871731E-3</v>
      </c>
      <c r="AG42" s="817">
        <f t="shared" si="22"/>
        <v>-2</v>
      </c>
      <c r="AH42" s="176">
        <f t="shared" si="14"/>
        <v>4</v>
      </c>
      <c r="AI42" s="225">
        <f t="shared" si="15"/>
        <v>-1.9974622353234128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3"/>
        <v>43129</v>
      </c>
      <c r="B43" s="621"/>
      <c r="C43" s="859"/>
      <c r="D43" s="393"/>
      <c r="E43" s="385"/>
      <c r="F43" s="385"/>
      <c r="G43" s="110"/>
      <c r="I43" s="380">
        <f t="shared" si="0"/>
        <v>0</v>
      </c>
      <c r="J43" s="85">
        <v>2018</v>
      </c>
      <c r="K43" s="197">
        <f t="shared" si="1"/>
        <v>43129</v>
      </c>
      <c r="L43" s="438">
        <f t="shared" si="2"/>
        <v>0</v>
      </c>
      <c r="M43" s="861"/>
      <c r="N43" s="861"/>
      <c r="O43" s="324">
        <f t="shared" si="3"/>
        <v>0</v>
      </c>
      <c r="P43" s="169">
        <f>(INDEX(Models!$BJ43:$BT43,,T43)*(1-R43)+INDEX(Models!$BJ43:$BT43,,T43+1)*R43-ERP_i)*Q43*Ramure*Pc/MaxiM</f>
        <v>3.4423400456807253E-5</v>
      </c>
      <c r="Q43" s="305">
        <f t="shared" si="18"/>
        <v>0.7</v>
      </c>
      <c r="R43" s="177">
        <f t="shared" si="4"/>
        <v>2.6258658718723016E-3</v>
      </c>
      <c r="S43" s="817">
        <f t="shared" si="19"/>
        <v>-2</v>
      </c>
      <c r="T43" s="176">
        <f t="shared" si="20"/>
        <v>4</v>
      </c>
      <c r="U43" s="251">
        <f t="shared" si="21"/>
        <v>-1.9973741341281277</v>
      </c>
      <c r="V43" s="383">
        <f t="shared" si="5"/>
        <v>19.432481044834322</v>
      </c>
      <c r="W43" s="58"/>
      <c r="X43" s="157">
        <f t="shared" si="6"/>
        <v>43129</v>
      </c>
      <c r="Y43" s="385">
        <f t="shared" si="7"/>
        <v>0</v>
      </c>
      <c r="Z43" s="385">
        <f t="shared" si="8"/>
        <v>0</v>
      </c>
      <c r="AA43" s="386">
        <f t="shared" si="9"/>
        <v>0</v>
      </c>
      <c r="AB43" s="197">
        <f t="shared" si="10"/>
        <v>43129</v>
      </c>
      <c r="AC43" s="427">
        <f t="shared" si="11"/>
        <v>0</v>
      </c>
      <c r="AD43" s="169">
        <f>(INDEX(Models!$BJ43:$BT43,,AH43)*(1-AF43)+INDEX(Models!$BJ43:$BT43,,AH43+1)*AF43-ERP_i)*AE43*Ramure*Pc/MaxiM</f>
        <v>3.4423400456807253E-5</v>
      </c>
      <c r="AE43" s="305">
        <f t="shared" si="12"/>
        <v>0.7</v>
      </c>
      <c r="AF43" s="177">
        <f t="shared" si="13"/>
        <v>2.6258658718723016E-3</v>
      </c>
      <c r="AG43" s="817">
        <f t="shared" si="22"/>
        <v>-2</v>
      </c>
      <c r="AH43" s="176">
        <f t="shared" si="14"/>
        <v>4</v>
      </c>
      <c r="AI43" s="225">
        <f t="shared" si="15"/>
        <v>-1.9973741341281277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23"/>
        <v>43130</v>
      </c>
      <c r="B44" s="621"/>
      <c r="C44" s="859"/>
      <c r="D44" s="393"/>
      <c r="E44" s="385"/>
      <c r="F44" s="385"/>
      <c r="G44" s="110"/>
      <c r="I44" s="380">
        <f t="shared" si="0"/>
        <v>0</v>
      </c>
      <c r="J44" s="85">
        <v>2018</v>
      </c>
      <c r="K44" s="197">
        <f t="shared" si="1"/>
        <v>43130</v>
      </c>
      <c r="L44" s="438">
        <f t="shared" si="2"/>
        <v>0</v>
      </c>
      <c r="M44" s="861"/>
      <c r="N44" s="861"/>
      <c r="O44" s="324">
        <f t="shared" si="3"/>
        <v>0</v>
      </c>
      <c r="P44" s="169">
        <f>(INDEX(Models!$BJ44:$BT44,,T44)*(1-R44)+INDEX(Models!$BJ44:$BT44,,T44+1)*R44-ERP_i)*Q44*Ramure*Pc/MaxiM</f>
        <v>3.6107215428960022E-5</v>
      </c>
      <c r="Q44" s="305">
        <f t="shared" si="18"/>
        <v>0.7</v>
      </c>
      <c r="R44" s="177">
        <f t="shared" si="4"/>
        <v>2.7176299848659102E-3</v>
      </c>
      <c r="S44" s="817">
        <f t="shared" si="19"/>
        <v>-2</v>
      </c>
      <c r="T44" s="176">
        <f t="shared" si="20"/>
        <v>4</v>
      </c>
      <c r="U44" s="251">
        <f t="shared" si="21"/>
        <v>-1.9972823700151341</v>
      </c>
      <c r="V44" s="383">
        <f t="shared" si="5"/>
        <v>19.726280424649229</v>
      </c>
      <c r="W44" s="58"/>
      <c r="X44" s="157">
        <f t="shared" si="6"/>
        <v>43130</v>
      </c>
      <c r="Y44" s="385">
        <f t="shared" si="7"/>
        <v>0</v>
      </c>
      <c r="Z44" s="385">
        <f t="shared" si="8"/>
        <v>0</v>
      </c>
      <c r="AA44" s="386">
        <f t="shared" si="9"/>
        <v>0</v>
      </c>
      <c r="AB44" s="197">
        <f t="shared" si="10"/>
        <v>43130</v>
      </c>
      <c r="AC44" s="427">
        <f t="shared" si="11"/>
        <v>0</v>
      </c>
      <c r="AD44" s="169">
        <f>(INDEX(Models!$BJ44:$BT44,,AH44)*(1-AF44)+INDEX(Models!$BJ44:$BT44,,AH44+1)*AF44-ERP_i)*AE44*Ramure*Pc/MaxiM</f>
        <v>3.6107215428960022E-5</v>
      </c>
      <c r="AE44" s="305">
        <f t="shared" si="12"/>
        <v>0.7</v>
      </c>
      <c r="AF44" s="177">
        <f t="shared" si="13"/>
        <v>2.7176299848659102E-3</v>
      </c>
      <c r="AG44" s="817">
        <f t="shared" si="22"/>
        <v>-2</v>
      </c>
      <c r="AH44" s="176">
        <f t="shared" si="14"/>
        <v>4</v>
      </c>
      <c r="AI44" s="225">
        <f t="shared" si="15"/>
        <v>-1.9972823700151341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23"/>
        <v>43131</v>
      </c>
      <c r="B45" s="621"/>
      <c r="C45" s="859"/>
      <c r="D45" s="393"/>
      <c r="E45" s="385"/>
      <c r="F45" s="385"/>
      <c r="G45" s="110"/>
      <c r="I45" s="380">
        <f t="shared" si="0"/>
        <v>0</v>
      </c>
      <c r="J45" s="85">
        <v>2018</v>
      </c>
      <c r="K45" s="197">
        <f t="shared" si="1"/>
        <v>43131</v>
      </c>
      <c r="L45" s="438">
        <f t="shared" si="2"/>
        <v>0</v>
      </c>
      <c r="M45" s="861"/>
      <c r="N45" s="861"/>
      <c r="O45" s="324">
        <f t="shared" si="3"/>
        <v>0</v>
      </c>
      <c r="P45" s="169">
        <f>(INDEX(Models!$BJ45:$BT45,,T45)*(1-R45)+INDEX(Models!$BJ45:$BT45,,T45+1)*R45-ERP_i)*Q45*Ramure*Pc/MaxiM</f>
        <v>3.7763578978821941E-5</v>
      </c>
      <c r="Q45" s="305">
        <f t="shared" si="18"/>
        <v>0.7</v>
      </c>
      <c r="R45" s="177">
        <f t="shared" si="4"/>
        <v>2.8132078662959081E-3</v>
      </c>
      <c r="S45" s="817">
        <f t="shared" si="19"/>
        <v>-2</v>
      </c>
      <c r="T45" s="176">
        <f t="shared" si="20"/>
        <v>4</v>
      </c>
      <c r="U45" s="251">
        <f t="shared" si="21"/>
        <v>-1.9971867921337041</v>
      </c>
      <c r="V45" s="383">
        <f t="shared" si="5"/>
        <v>20.023432954455402</v>
      </c>
      <c r="W45" s="58"/>
      <c r="X45" s="157">
        <f t="shared" si="6"/>
        <v>43131</v>
      </c>
      <c r="Y45" s="385">
        <f t="shared" si="7"/>
        <v>0</v>
      </c>
      <c r="Z45" s="385">
        <f t="shared" si="8"/>
        <v>0</v>
      </c>
      <c r="AA45" s="386">
        <f t="shared" si="9"/>
        <v>0</v>
      </c>
      <c r="AB45" s="197">
        <f t="shared" si="10"/>
        <v>43131</v>
      </c>
      <c r="AC45" s="427">
        <f t="shared" si="11"/>
        <v>0</v>
      </c>
      <c r="AD45" s="169">
        <f>(INDEX(Models!$BJ45:$BT45,,AH45)*(1-AF45)+INDEX(Models!$BJ45:$BT45,,AH45+1)*AF45-ERP_i)*AE45*Ramure*Pc/MaxiM</f>
        <v>3.7763578978821941E-5</v>
      </c>
      <c r="AE45" s="305">
        <f t="shared" si="12"/>
        <v>0.7</v>
      </c>
      <c r="AF45" s="177">
        <f t="shared" si="13"/>
        <v>2.8132078662959081E-3</v>
      </c>
      <c r="AG45" s="817">
        <f t="shared" si="22"/>
        <v>-2</v>
      </c>
      <c r="AH45" s="176">
        <f t="shared" si="14"/>
        <v>4</v>
      </c>
      <c r="AI45" s="225">
        <f t="shared" si="15"/>
        <v>-1.9971867921337041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23"/>
        <v>43132</v>
      </c>
      <c r="B46" s="621"/>
      <c r="C46" s="859"/>
      <c r="D46" s="393"/>
      <c r="E46" s="385"/>
      <c r="F46" s="385"/>
      <c r="G46" s="110"/>
      <c r="I46" s="380">
        <f t="shared" si="0"/>
        <v>0</v>
      </c>
      <c r="J46" s="85">
        <v>2018</v>
      </c>
      <c r="K46" s="197">
        <f t="shared" si="1"/>
        <v>43132</v>
      </c>
      <c r="L46" s="438">
        <f t="shared" si="2"/>
        <v>0</v>
      </c>
      <c r="M46" s="861"/>
      <c r="N46" s="861"/>
      <c r="O46" s="324">
        <f t="shared" si="3"/>
        <v>0</v>
      </c>
      <c r="P46" s="169">
        <f>(INDEX(Models!$BJ46:$BT46,,T46)*(1-R46)+INDEX(Models!$BJ46:$BT46,,T46+1)*R46-ERP_i)*Q46*Ramure*Pc/MaxiM</f>
        <v>3.9386097015900459E-5</v>
      </c>
      <c r="Q46" s="305">
        <f t="shared" si="18"/>
        <v>0.7</v>
      </c>
      <c r="R46" s="177">
        <f t="shared" si="4"/>
        <v>2.9127564567363873E-3</v>
      </c>
      <c r="S46" s="817">
        <f t="shared" si="19"/>
        <v>-2</v>
      </c>
      <c r="T46" s="176">
        <f t="shared" si="20"/>
        <v>4</v>
      </c>
      <c r="U46" s="251">
        <f t="shared" si="21"/>
        <v>-1.9970872435432636</v>
      </c>
      <c r="V46" s="383">
        <f t="shared" si="5"/>
        <v>20.323296597979887</v>
      </c>
      <c r="W46" s="58"/>
      <c r="X46" s="157">
        <f t="shared" si="6"/>
        <v>43132</v>
      </c>
      <c r="Y46" s="385">
        <f t="shared" si="7"/>
        <v>0</v>
      </c>
      <c r="Z46" s="385">
        <f t="shared" si="8"/>
        <v>0</v>
      </c>
      <c r="AA46" s="386">
        <f t="shared" si="9"/>
        <v>0</v>
      </c>
      <c r="AB46" s="197">
        <f t="shared" si="10"/>
        <v>43132</v>
      </c>
      <c r="AC46" s="427">
        <f t="shared" si="11"/>
        <v>0</v>
      </c>
      <c r="AD46" s="169">
        <f>(INDEX(Models!$BJ46:$BT46,,AH46)*(1-AF46)+INDEX(Models!$BJ46:$BT46,,AH46+1)*AF46-ERP_i)*AE46*Ramure*Pc/MaxiM</f>
        <v>3.9386097015900459E-5</v>
      </c>
      <c r="AE46" s="305">
        <f t="shared" si="12"/>
        <v>0.7</v>
      </c>
      <c r="AF46" s="177">
        <f t="shared" si="13"/>
        <v>2.9127564567363873E-3</v>
      </c>
      <c r="AG46" s="817">
        <f t="shared" si="22"/>
        <v>-2</v>
      </c>
      <c r="AH46" s="176">
        <f t="shared" si="14"/>
        <v>4</v>
      </c>
      <c r="AI46" s="225">
        <f t="shared" si="15"/>
        <v>-1.9970872435432636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23"/>
        <v>43133</v>
      </c>
      <c r="B47" s="621"/>
      <c r="C47" s="859"/>
      <c r="D47" s="393"/>
      <c r="E47" s="385"/>
      <c r="F47" s="385"/>
      <c r="G47" s="110"/>
      <c r="I47" s="380">
        <f t="shared" si="0"/>
        <v>0</v>
      </c>
      <c r="J47" s="85">
        <v>2018</v>
      </c>
      <c r="K47" s="197">
        <f t="shared" si="1"/>
        <v>43133</v>
      </c>
      <c r="L47" s="438">
        <f t="shared" si="2"/>
        <v>0</v>
      </c>
      <c r="M47" s="861"/>
      <c r="N47" s="861"/>
      <c r="O47" s="324">
        <f t="shared" si="3"/>
        <v>0</v>
      </c>
      <c r="P47" s="169">
        <f>(INDEX(Models!$BJ47:$BT47,,T47)*(1-R47)+INDEX(Models!$BJ47:$BT47,,T47+1)*R47-ERP_i)*Q47*Ramure*Pc/MaxiM</f>
        <v>4.0968156248245318E-5</v>
      </c>
      <c r="Q47" s="305">
        <f t="shared" si="18"/>
        <v>0.7</v>
      </c>
      <c r="R47" s="177">
        <f t="shared" si="4"/>
        <v>3.016439021981121E-3</v>
      </c>
      <c r="S47" s="817">
        <f t="shared" si="19"/>
        <v>-2</v>
      </c>
      <c r="T47" s="176">
        <f t="shared" si="20"/>
        <v>4</v>
      </c>
      <c r="U47" s="251">
        <f t="shared" si="21"/>
        <v>-1.9969835609780189</v>
      </c>
      <c r="V47" s="383">
        <f t="shared" si="5"/>
        <v>20.625229331842895</v>
      </c>
      <c r="W47" s="58"/>
      <c r="X47" s="157">
        <f t="shared" si="6"/>
        <v>43133</v>
      </c>
      <c r="Y47" s="385">
        <f t="shared" si="7"/>
        <v>0</v>
      </c>
      <c r="Z47" s="385">
        <f t="shared" si="8"/>
        <v>0</v>
      </c>
      <c r="AA47" s="386">
        <f t="shared" si="9"/>
        <v>0</v>
      </c>
      <c r="AB47" s="197">
        <f t="shared" si="10"/>
        <v>43133</v>
      </c>
      <c r="AC47" s="427">
        <f t="shared" si="11"/>
        <v>0</v>
      </c>
      <c r="AD47" s="169">
        <f>(INDEX(Models!$BJ47:$BT47,,AH47)*(1-AF47)+INDEX(Models!$BJ47:$BT47,,AH47+1)*AF47-ERP_i)*AE47*Ramure*Pc/MaxiM</f>
        <v>4.0968156248245318E-5</v>
      </c>
      <c r="AE47" s="305">
        <f t="shared" si="12"/>
        <v>0.7</v>
      </c>
      <c r="AF47" s="177">
        <f t="shared" si="13"/>
        <v>3.016439021981121E-3</v>
      </c>
      <c r="AG47" s="817">
        <f t="shared" si="22"/>
        <v>-2</v>
      </c>
      <c r="AH47" s="176">
        <f t="shared" si="14"/>
        <v>4</v>
      </c>
      <c r="AI47" s="225">
        <f t="shared" si="15"/>
        <v>-1.9969835609780189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ref="A48:A79" si="24">A47+1</f>
        <v>43134</v>
      </c>
      <c r="B48" s="621"/>
      <c r="C48" s="859"/>
      <c r="D48" s="393"/>
      <c r="E48" s="385"/>
      <c r="F48" s="385"/>
      <c r="G48" s="110"/>
      <c r="I48" s="380">
        <f t="shared" si="0"/>
        <v>0</v>
      </c>
      <c r="J48" s="85">
        <v>2018</v>
      </c>
      <c r="K48" s="197">
        <f t="shared" si="1"/>
        <v>43134</v>
      </c>
      <c r="L48" s="438">
        <f t="shared" si="2"/>
        <v>0</v>
      </c>
      <c r="M48" s="861"/>
      <c r="N48" s="861"/>
      <c r="O48" s="324">
        <f t="shared" si="3"/>
        <v>0</v>
      </c>
      <c r="P48" s="169">
        <f>(INDEX(Models!$BJ48:$BT48,,T48)*(1-R48)+INDEX(Models!$BJ48:$BT48,,T48+1)*R48-ERP_i)*Q48*Ramure*Pc/MaxiM</f>
        <v>4.250287537458248E-5</v>
      </c>
      <c r="Q48" s="305">
        <f t="shared" si="18"/>
        <v>0.7</v>
      </c>
      <c r="R48" s="177">
        <f t="shared" si="4"/>
        <v>3.1244253966142832E-3</v>
      </c>
      <c r="S48" s="817">
        <f t="shared" si="19"/>
        <v>-2</v>
      </c>
      <c r="T48" s="176">
        <f t="shared" si="20"/>
        <v>4</v>
      </c>
      <c r="U48" s="251">
        <f t="shared" si="21"/>
        <v>-1.9968755746033857</v>
      </c>
      <c r="V48" s="383">
        <f t="shared" si="5"/>
        <v>20.92858915361186</v>
      </c>
      <c r="W48" s="58"/>
      <c r="X48" s="157">
        <f t="shared" si="6"/>
        <v>43134</v>
      </c>
      <c r="Y48" s="385">
        <f t="shared" si="7"/>
        <v>0</v>
      </c>
      <c r="Z48" s="385">
        <f t="shared" si="8"/>
        <v>0</v>
      </c>
      <c r="AA48" s="386">
        <f t="shared" si="9"/>
        <v>0</v>
      </c>
      <c r="AB48" s="197">
        <f t="shared" si="10"/>
        <v>43134</v>
      </c>
      <c r="AC48" s="427">
        <f t="shared" si="11"/>
        <v>0</v>
      </c>
      <c r="AD48" s="169">
        <f>(INDEX(Models!$BJ48:$BT48,,AH48)*(1-AF48)+INDEX(Models!$BJ48:$BT48,,AH48+1)*AF48-ERP_i)*AE48*Ramure*Pc/MaxiM</f>
        <v>4.250287537458248E-5</v>
      </c>
      <c r="AE48" s="305">
        <f t="shared" si="12"/>
        <v>0.7</v>
      </c>
      <c r="AF48" s="177">
        <f t="shared" si="13"/>
        <v>3.1244253966142832E-3</v>
      </c>
      <c r="AG48" s="817">
        <f t="shared" si="22"/>
        <v>-2</v>
      </c>
      <c r="AH48" s="176">
        <f t="shared" si="14"/>
        <v>4</v>
      </c>
      <c r="AI48" s="225">
        <f t="shared" si="15"/>
        <v>-1.9968755746033857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24"/>
        <v>43135</v>
      </c>
      <c r="B49" s="621"/>
      <c r="C49" s="859"/>
      <c r="D49" s="393"/>
      <c r="E49" s="385"/>
      <c r="F49" s="385"/>
      <c r="G49" s="110"/>
      <c r="I49" s="380">
        <f t="shared" si="0"/>
        <v>0</v>
      </c>
      <c r="J49" s="85">
        <v>2018</v>
      </c>
      <c r="K49" s="197">
        <f t="shared" si="1"/>
        <v>43135</v>
      </c>
      <c r="L49" s="438">
        <f t="shared" si="2"/>
        <v>0</v>
      </c>
      <c r="M49" s="861"/>
      <c r="N49" s="861"/>
      <c r="O49" s="324">
        <f t="shared" si="3"/>
        <v>0</v>
      </c>
      <c r="P49" s="169">
        <f>(INDEX(Models!$BJ49:$BT49,,T49)*(1-R49)+INDEX(Models!$BJ49:$BT49,,T49+1)*R49-ERP_i)*Q49*Ramure*Pc/MaxiM</f>
        <v>4.3983052896845096E-5</v>
      </c>
      <c r="Q49" s="305">
        <f t="shared" si="18"/>
        <v>0.7</v>
      </c>
      <c r="R49" s="177">
        <f t="shared" si="4"/>
        <v>3.2368922359802266E-3</v>
      </c>
      <c r="S49" s="817">
        <f t="shared" si="19"/>
        <v>-2</v>
      </c>
      <c r="T49" s="176">
        <f t="shared" si="20"/>
        <v>4</v>
      </c>
      <c r="U49" s="251">
        <f t="shared" si="21"/>
        <v>-1.9967631077640198</v>
      </c>
      <c r="V49" s="383">
        <f t="shared" si="5"/>
        <v>21.232734081262578</v>
      </c>
      <c r="W49" s="58"/>
      <c r="X49" s="157">
        <f t="shared" si="6"/>
        <v>43135</v>
      </c>
      <c r="Y49" s="385">
        <f t="shared" si="7"/>
        <v>0</v>
      </c>
      <c r="Z49" s="385">
        <f t="shared" si="8"/>
        <v>0</v>
      </c>
      <c r="AA49" s="386">
        <f t="shared" si="9"/>
        <v>0</v>
      </c>
      <c r="AB49" s="197">
        <f t="shared" si="10"/>
        <v>43135</v>
      </c>
      <c r="AC49" s="427">
        <f t="shared" si="11"/>
        <v>0</v>
      </c>
      <c r="AD49" s="169">
        <f>(INDEX(Models!$BJ49:$BT49,,AH49)*(1-AF49)+INDEX(Models!$BJ49:$BT49,,AH49+1)*AF49-ERP_i)*AE49*Ramure*Pc/MaxiM</f>
        <v>4.3983052896845096E-5</v>
      </c>
      <c r="AE49" s="305">
        <f t="shared" si="12"/>
        <v>0.7</v>
      </c>
      <c r="AF49" s="177">
        <f t="shared" si="13"/>
        <v>3.2368922359802266E-3</v>
      </c>
      <c r="AG49" s="817">
        <f t="shared" si="22"/>
        <v>-2</v>
      </c>
      <c r="AH49" s="176">
        <f t="shared" si="14"/>
        <v>4</v>
      </c>
      <c r="AI49" s="225">
        <f t="shared" si="15"/>
        <v>-1.9967631077640198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24"/>
        <v>43136</v>
      </c>
      <c r="B50" s="621"/>
      <c r="C50" s="859"/>
      <c r="D50" s="393"/>
      <c r="E50" s="385"/>
      <c r="F50" s="385"/>
      <c r="G50" s="110"/>
      <c r="I50" s="380">
        <f t="shared" si="0"/>
        <v>0</v>
      </c>
      <c r="J50" s="85">
        <v>2018</v>
      </c>
      <c r="K50" s="197">
        <f t="shared" si="1"/>
        <v>43136</v>
      </c>
      <c r="L50" s="438">
        <f t="shared" si="2"/>
        <v>0</v>
      </c>
      <c r="M50" s="861"/>
      <c r="N50" s="861"/>
      <c r="O50" s="324">
        <f t="shared" si="3"/>
        <v>0</v>
      </c>
      <c r="P50" s="169">
        <f>(INDEX(Models!$BJ50:$BT50,,T50)*(1-R50)+INDEX(Models!$BJ50:$BT50,,T50+1)*R50-ERP_i)*Q50*Ramure*Pc/MaxiM</f>
        <v>4.5401111453671834E-5</v>
      </c>
      <c r="Q50" s="305">
        <f t="shared" si="18"/>
        <v>0.7</v>
      </c>
      <c r="R50" s="177">
        <f t="shared" si="4"/>
        <v>3.3540232767610423E-3</v>
      </c>
      <c r="S50" s="817">
        <f t="shared" si="19"/>
        <v>-2</v>
      </c>
      <c r="T50" s="176">
        <f t="shared" si="20"/>
        <v>4</v>
      </c>
      <c r="U50" s="251">
        <f t="shared" si="21"/>
        <v>-1.996645976723239</v>
      </c>
      <c r="V50" s="383">
        <f t="shared" si="5"/>
        <v>21.537022150384693</v>
      </c>
      <c r="W50" s="58"/>
      <c r="X50" s="157">
        <f t="shared" si="6"/>
        <v>43136</v>
      </c>
      <c r="Y50" s="385">
        <f t="shared" si="7"/>
        <v>0</v>
      </c>
      <c r="Z50" s="385">
        <f t="shared" si="8"/>
        <v>0</v>
      </c>
      <c r="AA50" s="386">
        <f t="shared" si="9"/>
        <v>0</v>
      </c>
      <c r="AB50" s="197">
        <f t="shared" si="10"/>
        <v>43136</v>
      </c>
      <c r="AC50" s="427">
        <f t="shared" si="11"/>
        <v>0</v>
      </c>
      <c r="AD50" s="169">
        <f>(INDEX(Models!$BJ50:$BT50,,AH50)*(1-AF50)+INDEX(Models!$BJ50:$BT50,,AH50+1)*AF50-ERP_i)*AE50*Ramure*Pc/MaxiM</f>
        <v>4.5401111453671834E-5</v>
      </c>
      <c r="AE50" s="305">
        <f t="shared" si="12"/>
        <v>0.7</v>
      </c>
      <c r="AF50" s="177">
        <f t="shared" si="13"/>
        <v>3.3540232767610423E-3</v>
      </c>
      <c r="AG50" s="817">
        <f t="shared" si="22"/>
        <v>-2</v>
      </c>
      <c r="AH50" s="176">
        <f t="shared" si="14"/>
        <v>4</v>
      </c>
      <c r="AI50" s="225">
        <f t="shared" si="15"/>
        <v>-1.996645976723239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24"/>
        <v>43137</v>
      </c>
      <c r="B51" s="621"/>
      <c r="C51" s="859"/>
      <c r="D51" s="393"/>
      <c r="E51" s="385"/>
      <c r="F51" s="385"/>
      <c r="G51" s="110"/>
      <c r="I51" s="380">
        <f t="shared" si="0"/>
        <v>0</v>
      </c>
      <c r="J51" s="85">
        <v>2018</v>
      </c>
      <c r="K51" s="197">
        <f t="shared" si="1"/>
        <v>43137</v>
      </c>
      <c r="L51" s="438">
        <f t="shared" si="2"/>
        <v>0</v>
      </c>
      <c r="M51" s="861"/>
      <c r="N51" s="861"/>
      <c r="O51" s="324">
        <f t="shared" si="3"/>
        <v>0</v>
      </c>
      <c r="P51" s="169">
        <f>(INDEX(Models!$BJ51:$BT51,,T51)*(1-R51)+INDEX(Models!$BJ51:$BT51,,T51+1)*R51-ERP_i)*Q51*Ramure*Pc/MaxiM</f>
        <v>4.6742128654721846E-5</v>
      </c>
      <c r="Q51" s="305">
        <f t="shared" si="18"/>
        <v>0.7</v>
      </c>
      <c r="R51" s="177">
        <f t="shared" si="4"/>
        <v>3.4760096063550794E-3</v>
      </c>
      <c r="S51" s="817">
        <f t="shared" si="19"/>
        <v>-2</v>
      </c>
      <c r="T51" s="176">
        <f t="shared" si="20"/>
        <v>4</v>
      </c>
      <c r="U51" s="251">
        <f t="shared" si="21"/>
        <v>-1.9965239903936449</v>
      </c>
      <c r="V51" s="383">
        <f t="shared" si="5"/>
        <v>21.844040267475673</v>
      </c>
      <c r="W51" s="58"/>
      <c r="X51" s="157">
        <f t="shared" si="6"/>
        <v>43137</v>
      </c>
      <c r="Y51" s="385">
        <f t="shared" si="7"/>
        <v>0</v>
      </c>
      <c r="Z51" s="385">
        <f t="shared" si="8"/>
        <v>0</v>
      </c>
      <c r="AA51" s="386">
        <f t="shared" si="9"/>
        <v>0</v>
      </c>
      <c r="AB51" s="197">
        <f t="shared" si="10"/>
        <v>43137</v>
      </c>
      <c r="AC51" s="427">
        <f t="shared" si="11"/>
        <v>0</v>
      </c>
      <c r="AD51" s="169">
        <f>(INDEX(Models!$BJ51:$BT51,,AH51)*(1-AF51)+INDEX(Models!$BJ51:$BT51,,AH51+1)*AF51-ERP_i)*AE51*Ramure*Pc/MaxiM</f>
        <v>4.6742128654721846E-5</v>
      </c>
      <c r="AE51" s="305">
        <f t="shared" si="12"/>
        <v>0.7</v>
      </c>
      <c r="AF51" s="177">
        <f t="shared" si="13"/>
        <v>3.4760096063550794E-3</v>
      </c>
      <c r="AG51" s="817">
        <f t="shared" si="22"/>
        <v>-2</v>
      </c>
      <c r="AH51" s="176">
        <f t="shared" si="14"/>
        <v>4</v>
      </c>
      <c r="AI51" s="225">
        <f t="shared" si="15"/>
        <v>-1.9965239903936449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24"/>
        <v>43138</v>
      </c>
      <c r="B52" s="621"/>
      <c r="C52" s="859"/>
      <c r="D52" s="393"/>
      <c r="E52" s="385"/>
      <c r="F52" s="385"/>
      <c r="G52" s="110"/>
      <c r="I52" s="380">
        <f t="shared" si="0"/>
        <v>0</v>
      </c>
      <c r="J52" s="85">
        <v>2018</v>
      </c>
      <c r="K52" s="197">
        <f t="shared" si="1"/>
        <v>43138</v>
      </c>
      <c r="L52" s="438">
        <f t="shared" si="2"/>
        <v>0</v>
      </c>
      <c r="M52" s="861"/>
      <c r="N52" s="861"/>
      <c r="O52" s="324">
        <f t="shared" si="3"/>
        <v>0</v>
      </c>
      <c r="P52" s="169">
        <f>(INDEX(Models!$BJ52:$BT52,,T52)*(1-R52)+INDEX(Models!$BJ52:$BT52,,T52+1)*R52-ERP_i)*Q52*Ramure*Pc/MaxiM</f>
        <v>4.7938319844425089E-5</v>
      </c>
      <c r="Q52" s="305">
        <f t="shared" si="18"/>
        <v>0.7</v>
      </c>
      <c r="R52" s="177">
        <f t="shared" si="4"/>
        <v>3.6030499412567085E-3</v>
      </c>
      <c r="S52" s="817">
        <f t="shared" si="19"/>
        <v>-2</v>
      </c>
      <c r="T52" s="176">
        <f t="shared" si="20"/>
        <v>4</v>
      </c>
      <c r="U52" s="251">
        <f t="shared" si="21"/>
        <v>-1.9963969500587433</v>
      </c>
      <c r="V52" s="383">
        <f t="shared" si="5"/>
        <v>22.156305159393202</v>
      </c>
      <c r="W52" s="58"/>
      <c r="X52" s="157">
        <f t="shared" si="6"/>
        <v>43138</v>
      </c>
      <c r="Y52" s="385">
        <f t="shared" si="7"/>
        <v>0</v>
      </c>
      <c r="Z52" s="385">
        <f t="shared" si="8"/>
        <v>0</v>
      </c>
      <c r="AA52" s="386">
        <f t="shared" si="9"/>
        <v>0</v>
      </c>
      <c r="AB52" s="197">
        <f t="shared" si="10"/>
        <v>43138</v>
      </c>
      <c r="AC52" s="427">
        <f t="shared" si="11"/>
        <v>0</v>
      </c>
      <c r="AD52" s="169">
        <f>(INDEX(Models!$BJ52:$BT52,,AH52)*(1-AF52)+INDEX(Models!$BJ52:$BT52,,AH52+1)*AF52-ERP_i)*AE52*Ramure*Pc/MaxiM</f>
        <v>4.7938319844425089E-5</v>
      </c>
      <c r="AE52" s="305">
        <f t="shared" si="12"/>
        <v>0.7</v>
      </c>
      <c r="AF52" s="177">
        <f t="shared" si="13"/>
        <v>3.6030499412567085E-3</v>
      </c>
      <c r="AG52" s="817">
        <f t="shared" si="22"/>
        <v>-2</v>
      </c>
      <c r="AH52" s="176">
        <f t="shared" si="14"/>
        <v>4</v>
      </c>
      <c r="AI52" s="225">
        <f t="shared" si="15"/>
        <v>-1.9963969500587433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24"/>
        <v>43139</v>
      </c>
      <c r="B53" s="621"/>
      <c r="C53" s="859"/>
      <c r="D53" s="393"/>
      <c r="E53" s="385"/>
      <c r="F53" s="385"/>
      <c r="G53" s="110"/>
      <c r="I53" s="380">
        <f t="shared" si="0"/>
        <v>0</v>
      </c>
      <c r="J53" s="85">
        <v>2018</v>
      </c>
      <c r="K53" s="197">
        <f t="shared" si="1"/>
        <v>43139</v>
      </c>
      <c r="L53" s="438">
        <f t="shared" si="2"/>
        <v>0</v>
      </c>
      <c r="M53" s="861"/>
      <c r="N53" s="861"/>
      <c r="O53" s="324">
        <f t="shared" si="3"/>
        <v>0</v>
      </c>
      <c r="P53" s="169">
        <f>(INDEX(Models!$BJ53:$BT53,,T53)*(1-R53)+INDEX(Models!$BJ53:$BT53,,T53+1)*R53-ERP_i)*Q53*Ramure*Pc/MaxiM</f>
        <v>4.8995458750770154E-5</v>
      </c>
      <c r="Q53" s="305">
        <f t="shared" si="18"/>
        <v>0.7</v>
      </c>
      <c r="R53" s="177">
        <f t="shared" si="4"/>
        <v>3.7353509146229591E-3</v>
      </c>
      <c r="S53" s="817">
        <f t="shared" si="19"/>
        <v>-2</v>
      </c>
      <c r="T53" s="176">
        <f t="shared" si="20"/>
        <v>4</v>
      </c>
      <c r="U53" s="251">
        <f t="shared" si="21"/>
        <v>-1.996264649085377</v>
      </c>
      <c r="V53" s="383">
        <f t="shared" si="5"/>
        <v>22.473067617996719</v>
      </c>
      <c r="W53" s="58"/>
      <c r="X53" s="157">
        <f t="shared" si="6"/>
        <v>43139</v>
      </c>
      <c r="Y53" s="385">
        <f t="shared" si="7"/>
        <v>0</v>
      </c>
      <c r="Z53" s="385">
        <f t="shared" si="8"/>
        <v>0</v>
      </c>
      <c r="AA53" s="386">
        <f t="shared" si="9"/>
        <v>0</v>
      </c>
      <c r="AB53" s="197">
        <f t="shared" si="10"/>
        <v>43139</v>
      </c>
      <c r="AC53" s="427">
        <f t="shared" si="11"/>
        <v>0</v>
      </c>
      <c r="AD53" s="169">
        <f>(INDEX(Models!$BJ53:$BT53,,AH53)*(1-AF53)+INDEX(Models!$BJ53:$BT53,,AH53+1)*AF53-ERP_i)*AE53*Ramure*Pc/MaxiM</f>
        <v>4.8995458750770154E-5</v>
      </c>
      <c r="AE53" s="305">
        <f t="shared" si="12"/>
        <v>0.7</v>
      </c>
      <c r="AF53" s="177">
        <f t="shared" si="13"/>
        <v>3.7353509146229591E-3</v>
      </c>
      <c r="AG53" s="817">
        <f t="shared" si="22"/>
        <v>-2</v>
      </c>
      <c r="AH53" s="176">
        <f t="shared" si="14"/>
        <v>4</v>
      </c>
      <c r="AI53" s="225">
        <f t="shared" si="15"/>
        <v>-1.996264649085377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24"/>
        <v>43140</v>
      </c>
      <c r="B54" s="621"/>
      <c r="C54" s="859"/>
      <c r="D54" s="393"/>
      <c r="E54" s="385"/>
      <c r="F54" s="385"/>
      <c r="G54" s="110"/>
      <c r="I54" s="380">
        <f t="shared" si="0"/>
        <v>0</v>
      </c>
      <c r="J54" s="85">
        <v>2018</v>
      </c>
      <c r="K54" s="197">
        <f t="shared" si="1"/>
        <v>43140</v>
      </c>
      <c r="L54" s="438">
        <f t="shared" si="2"/>
        <v>0</v>
      </c>
      <c r="M54" s="861"/>
      <c r="N54" s="861"/>
      <c r="O54" s="324">
        <f t="shared" si="3"/>
        <v>0</v>
      </c>
      <c r="P54" s="169">
        <f>(INDEX(Models!$BJ54:$BT54,,T54)*(1-R54)+INDEX(Models!$BJ54:$BT54,,T54+1)*R54-ERP_i)*Q54*Ramure*Pc/MaxiM</f>
        <v>4.9899986659348805E-5</v>
      </c>
      <c r="Q54" s="305">
        <f t="shared" si="18"/>
        <v>0.7</v>
      </c>
      <c r="R54" s="177">
        <f t="shared" si="4"/>
        <v>3.8731273732139915E-3</v>
      </c>
      <c r="S54" s="817">
        <f t="shared" si="19"/>
        <v>-2</v>
      </c>
      <c r="T54" s="176">
        <f t="shared" si="20"/>
        <v>4</v>
      </c>
      <c r="U54" s="251">
        <f t="shared" si="21"/>
        <v>-1.996126872626786</v>
      </c>
      <c r="V54" s="383">
        <f t="shared" si="5"/>
        <v>22.793578870638896</v>
      </c>
      <c r="W54" s="58"/>
      <c r="X54" s="157">
        <f t="shared" si="6"/>
        <v>43140</v>
      </c>
      <c r="Y54" s="385">
        <f t="shared" si="7"/>
        <v>0</v>
      </c>
      <c r="Z54" s="385">
        <f t="shared" si="8"/>
        <v>0</v>
      </c>
      <c r="AA54" s="386">
        <f t="shared" si="9"/>
        <v>0</v>
      </c>
      <c r="AB54" s="197">
        <f t="shared" si="10"/>
        <v>43140</v>
      </c>
      <c r="AC54" s="427">
        <f t="shared" si="11"/>
        <v>0</v>
      </c>
      <c r="AD54" s="169">
        <f>(INDEX(Models!$BJ54:$BT54,,AH54)*(1-AF54)+INDEX(Models!$BJ54:$BT54,,AH54+1)*AF54-ERP_i)*AE54*Ramure*Pc/MaxiM</f>
        <v>4.9899986659348805E-5</v>
      </c>
      <c r="AE54" s="305">
        <f t="shared" si="12"/>
        <v>0.7</v>
      </c>
      <c r="AF54" s="177">
        <f t="shared" si="13"/>
        <v>3.8731273732139915E-3</v>
      </c>
      <c r="AG54" s="817">
        <f t="shared" si="22"/>
        <v>-2</v>
      </c>
      <c r="AH54" s="176">
        <f t="shared" si="14"/>
        <v>4</v>
      </c>
      <c r="AI54" s="225">
        <f t="shared" si="15"/>
        <v>-1.996126872626786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4"/>
        <v>43141</v>
      </c>
      <c r="B55" s="621"/>
      <c r="C55" s="859"/>
      <c r="D55" s="393"/>
      <c r="E55" s="385"/>
      <c r="F55" s="385"/>
      <c r="G55" s="110"/>
      <c r="I55" s="380">
        <f t="shared" si="0"/>
        <v>0</v>
      </c>
      <c r="J55" s="85">
        <v>2018</v>
      </c>
      <c r="K55" s="197">
        <f t="shared" si="1"/>
        <v>43141</v>
      </c>
      <c r="L55" s="438">
        <f t="shared" si="2"/>
        <v>0</v>
      </c>
      <c r="M55" s="861"/>
      <c r="N55" s="861"/>
      <c r="O55" s="324">
        <f t="shared" si="3"/>
        <v>0</v>
      </c>
      <c r="P55" s="169">
        <f>(INDEX(Models!$BJ55:$BT55,,T55)*(1-R55)+INDEX(Models!$BJ55:$BT55,,T55+1)*R55-ERP_i)*Q55*Ramure*Pc/MaxiM</f>
        <v>5.0637645694162366E-5</v>
      </c>
      <c r="Q55" s="305">
        <f t="shared" si="18"/>
        <v>0.7</v>
      </c>
      <c r="R55" s="177">
        <f t="shared" si="4"/>
        <v>4.0166026838766022E-3</v>
      </c>
      <c r="S55" s="817">
        <f t="shared" si="19"/>
        <v>-2</v>
      </c>
      <c r="T55" s="176">
        <f t="shared" si="20"/>
        <v>4</v>
      </c>
      <c r="U55" s="251">
        <f t="shared" si="21"/>
        <v>-1.9959833973161234</v>
      </c>
      <c r="V55" s="383">
        <f t="shared" si="5"/>
        <v>23.117090187249012</v>
      </c>
      <c r="W55" s="58"/>
      <c r="X55" s="157">
        <f t="shared" si="6"/>
        <v>43141</v>
      </c>
      <c r="Y55" s="385">
        <f t="shared" si="7"/>
        <v>0</v>
      </c>
      <c r="Z55" s="385">
        <f t="shared" si="8"/>
        <v>0</v>
      </c>
      <c r="AA55" s="386">
        <f t="shared" si="9"/>
        <v>0</v>
      </c>
      <c r="AB55" s="197">
        <f t="shared" si="10"/>
        <v>43141</v>
      </c>
      <c r="AC55" s="427">
        <f t="shared" si="11"/>
        <v>0</v>
      </c>
      <c r="AD55" s="169">
        <f>(INDEX(Models!$BJ55:$BT55,,AH55)*(1-AF55)+INDEX(Models!$BJ55:$BT55,,AH55+1)*AF55-ERP_i)*AE55*Ramure*Pc/MaxiM</f>
        <v>5.0637645694162366E-5</v>
      </c>
      <c r="AE55" s="305">
        <f t="shared" si="12"/>
        <v>0.7</v>
      </c>
      <c r="AF55" s="177">
        <f t="shared" si="13"/>
        <v>4.0166026838766022E-3</v>
      </c>
      <c r="AG55" s="817">
        <f t="shared" si="22"/>
        <v>-2</v>
      </c>
      <c r="AH55" s="176">
        <f t="shared" si="14"/>
        <v>4</v>
      </c>
      <c r="AI55" s="225">
        <f t="shared" si="15"/>
        <v>-1.9959833973161234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4"/>
        <v>43142</v>
      </c>
      <c r="B56" s="621"/>
      <c r="C56" s="859"/>
      <c r="D56" s="393"/>
      <c r="E56" s="385"/>
      <c r="F56" s="385"/>
      <c r="G56" s="110"/>
      <c r="I56" s="380">
        <f t="shared" si="0"/>
        <v>0</v>
      </c>
      <c r="J56" s="85">
        <v>2018</v>
      </c>
      <c r="K56" s="197">
        <f t="shared" si="1"/>
        <v>43142</v>
      </c>
      <c r="L56" s="438">
        <f t="shared" si="2"/>
        <v>0</v>
      </c>
      <c r="M56" s="861"/>
      <c r="N56" s="861"/>
      <c r="O56" s="324">
        <f t="shared" si="3"/>
        <v>0</v>
      </c>
      <c r="P56" s="169">
        <f>(INDEX(Models!$BJ56:$BT56,,T56)*(1-R56)+INDEX(Models!$BJ56:$BT56,,T56+1)*R56-ERP_i)*Q56*Ramure*Pc/MaxiM</f>
        <v>5.1193378500133704E-5</v>
      </c>
      <c r="Q56" s="305">
        <f t="shared" si="18"/>
        <v>0.7</v>
      </c>
      <c r="R56" s="177">
        <f t="shared" si="4"/>
        <v>4.16600904973774E-3</v>
      </c>
      <c r="S56" s="817">
        <f t="shared" si="19"/>
        <v>-2</v>
      </c>
      <c r="T56" s="176">
        <f t="shared" si="20"/>
        <v>4</v>
      </c>
      <c r="U56" s="251">
        <f t="shared" si="21"/>
        <v>-1.9958339909502623</v>
      </c>
      <c r="V56" s="383">
        <f t="shared" si="5"/>
        <v>23.442852881104358</v>
      </c>
      <c r="W56" s="58"/>
      <c r="X56" s="157">
        <f t="shared" si="6"/>
        <v>43142</v>
      </c>
      <c r="Y56" s="385">
        <f t="shared" si="7"/>
        <v>0</v>
      </c>
      <c r="Z56" s="385">
        <f t="shared" si="8"/>
        <v>0</v>
      </c>
      <c r="AA56" s="386">
        <f t="shared" si="9"/>
        <v>0</v>
      </c>
      <c r="AB56" s="197">
        <f t="shared" si="10"/>
        <v>43142</v>
      </c>
      <c r="AC56" s="427">
        <f t="shared" si="11"/>
        <v>0</v>
      </c>
      <c r="AD56" s="169">
        <f>(INDEX(Models!$BJ56:$BT56,,AH56)*(1-AF56)+INDEX(Models!$BJ56:$BT56,,AH56+1)*AF56-ERP_i)*AE56*Ramure*Pc/MaxiM</f>
        <v>5.1193378500133704E-5</v>
      </c>
      <c r="AE56" s="305">
        <f t="shared" si="12"/>
        <v>0.7</v>
      </c>
      <c r="AF56" s="177">
        <f t="shared" si="13"/>
        <v>4.16600904973774E-3</v>
      </c>
      <c r="AG56" s="817">
        <f t="shared" si="22"/>
        <v>-2</v>
      </c>
      <c r="AH56" s="176">
        <f t="shared" si="14"/>
        <v>4</v>
      </c>
      <c r="AI56" s="225">
        <f t="shared" si="15"/>
        <v>-1.9958339909502623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4"/>
        <v>43143</v>
      </c>
      <c r="B57" s="621"/>
      <c r="C57" s="859"/>
      <c r="D57" s="393"/>
      <c r="E57" s="385"/>
      <c r="F57" s="385"/>
      <c r="G57" s="110"/>
      <c r="I57" s="380">
        <f t="shared" si="0"/>
        <v>0</v>
      </c>
      <c r="J57" s="85">
        <v>2018</v>
      </c>
      <c r="K57" s="197">
        <f t="shared" si="1"/>
        <v>43143</v>
      </c>
      <c r="L57" s="438">
        <f t="shared" si="2"/>
        <v>0</v>
      </c>
      <c r="M57" s="861"/>
      <c r="N57" s="861"/>
      <c r="O57" s="324">
        <f t="shared" si="3"/>
        <v>0</v>
      </c>
      <c r="P57" s="169">
        <f>(INDEX(Models!$BJ57:$BT57,,T57)*(1-R57)+INDEX(Models!$BJ57:$BT57,,T57+1)*R57-ERP_i)*Q57*Ramure*Pc/MaxiM</f>
        <v>5.1551221260700627E-5</v>
      </c>
      <c r="Q57" s="305">
        <f t="shared" si="18"/>
        <v>0.7</v>
      </c>
      <c r="R57" s="177">
        <f t="shared" si="4"/>
        <v>4.3215878362605764E-3</v>
      </c>
      <c r="S57" s="817">
        <f t="shared" si="19"/>
        <v>-2</v>
      </c>
      <c r="T57" s="176">
        <f t="shared" si="20"/>
        <v>4</v>
      </c>
      <c r="U57" s="251">
        <f t="shared" si="21"/>
        <v>-1.9956784121637394</v>
      </c>
      <c r="V57" s="383">
        <f t="shared" si="5"/>
        <v>23.770118307960274</v>
      </c>
      <c r="W57" s="58"/>
      <c r="X57" s="157">
        <f t="shared" si="6"/>
        <v>43143</v>
      </c>
      <c r="Y57" s="385">
        <f t="shared" si="7"/>
        <v>0</v>
      </c>
      <c r="Z57" s="385">
        <f t="shared" si="8"/>
        <v>0</v>
      </c>
      <c r="AA57" s="386">
        <f t="shared" si="9"/>
        <v>0</v>
      </c>
      <c r="AB57" s="197">
        <f t="shared" si="10"/>
        <v>43143</v>
      </c>
      <c r="AC57" s="427">
        <f t="shared" si="11"/>
        <v>0</v>
      </c>
      <c r="AD57" s="169">
        <f>(INDEX(Models!$BJ57:$BT57,,AH57)*(1-AF57)+INDEX(Models!$BJ57:$BT57,,AH57+1)*AF57-ERP_i)*AE57*Ramure*Pc/MaxiM</f>
        <v>5.1551221260700627E-5</v>
      </c>
      <c r="AE57" s="305">
        <f t="shared" si="12"/>
        <v>0.7</v>
      </c>
      <c r="AF57" s="177">
        <f t="shared" si="13"/>
        <v>4.3215878362605764E-3</v>
      </c>
      <c r="AG57" s="817">
        <f t="shared" si="22"/>
        <v>-2</v>
      </c>
      <c r="AH57" s="176">
        <f t="shared" si="14"/>
        <v>4</v>
      </c>
      <c r="AI57" s="225">
        <f t="shared" si="15"/>
        <v>-1.9956784121637394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4"/>
        <v>43144</v>
      </c>
      <c r="B58" s="621"/>
      <c r="C58" s="859"/>
      <c r="D58" s="393"/>
      <c r="E58" s="385"/>
      <c r="F58" s="385"/>
      <c r="G58" s="110"/>
      <c r="I58" s="380">
        <f t="shared" si="0"/>
        <v>0</v>
      </c>
      <c r="J58" s="85">
        <v>2018</v>
      </c>
      <c r="K58" s="197">
        <f t="shared" si="1"/>
        <v>43144</v>
      </c>
      <c r="L58" s="438">
        <f t="shared" si="2"/>
        <v>0</v>
      </c>
      <c r="M58" s="861"/>
      <c r="N58" s="861"/>
      <c r="O58" s="324">
        <f t="shared" si="3"/>
        <v>0</v>
      </c>
      <c r="P58" s="169">
        <f>(INDEX(Models!$BJ58:$BT58,,T58)*(1-R58)+INDEX(Models!$BJ58:$BT58,,T58+1)*R58-ERP_i)*Q58*Ramure*Pc/MaxiM</f>
        <v>5.1718579286770206E-5</v>
      </c>
      <c r="Q58" s="305">
        <f t="shared" si="18"/>
        <v>0.7</v>
      </c>
      <c r="R58" s="177">
        <f t="shared" si="4"/>
        <v>4.4835899072996899E-3</v>
      </c>
      <c r="S58" s="817">
        <f t="shared" si="19"/>
        <v>-2</v>
      </c>
      <c r="T58" s="176">
        <f t="shared" si="20"/>
        <v>4</v>
      </c>
      <c r="U58" s="251">
        <f t="shared" si="21"/>
        <v>-1.9955164100927003</v>
      </c>
      <c r="V58" s="383">
        <f t="shared" si="5"/>
        <v>24.098137287771976</v>
      </c>
      <c r="W58" s="58"/>
      <c r="X58" s="157">
        <f t="shared" si="6"/>
        <v>43144</v>
      </c>
      <c r="Y58" s="385">
        <f t="shared" si="7"/>
        <v>0</v>
      </c>
      <c r="Z58" s="385">
        <f t="shared" si="8"/>
        <v>0</v>
      </c>
      <c r="AA58" s="386">
        <f t="shared" si="9"/>
        <v>0</v>
      </c>
      <c r="AB58" s="197">
        <f t="shared" si="10"/>
        <v>43144</v>
      </c>
      <c r="AC58" s="427">
        <f t="shared" si="11"/>
        <v>0</v>
      </c>
      <c r="AD58" s="169">
        <f>(INDEX(Models!$BJ58:$BT58,,AH58)*(1-AF58)+INDEX(Models!$BJ58:$BT58,,AH58+1)*AF58-ERP_i)*AE58*Ramure*Pc/MaxiM</f>
        <v>5.1718579286770206E-5</v>
      </c>
      <c r="AE58" s="305">
        <f t="shared" si="12"/>
        <v>0.7</v>
      </c>
      <c r="AF58" s="177">
        <f t="shared" si="13"/>
        <v>4.4835899072996899E-3</v>
      </c>
      <c r="AG58" s="817">
        <f t="shared" si="22"/>
        <v>-2</v>
      </c>
      <c r="AH58" s="176">
        <f t="shared" si="14"/>
        <v>4</v>
      </c>
      <c r="AI58" s="225">
        <f t="shared" si="15"/>
        <v>-1.9955164100927003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24"/>
        <v>43145</v>
      </c>
      <c r="B59" s="621"/>
      <c r="C59" s="859"/>
      <c r="D59" s="393"/>
      <c r="E59" s="385"/>
      <c r="F59" s="385"/>
      <c r="G59" s="110"/>
      <c r="I59" s="380">
        <f t="shared" si="0"/>
        <v>0</v>
      </c>
      <c r="J59" s="85">
        <v>2018</v>
      </c>
      <c r="K59" s="197">
        <f t="shared" si="1"/>
        <v>43145</v>
      </c>
      <c r="L59" s="438">
        <f t="shared" si="2"/>
        <v>0</v>
      </c>
      <c r="M59" s="861"/>
      <c r="N59" s="861"/>
      <c r="O59" s="324">
        <f t="shared" si="3"/>
        <v>0</v>
      </c>
      <c r="P59" s="169">
        <f>(INDEX(Models!$BJ59:$BT59,,T59)*(1-R59)+INDEX(Models!$BJ59:$BT59,,T59+1)*R59-ERP_i)*Q59*Ramure*Pc/MaxiM</f>
        <v>5.1775364168373372E-5</v>
      </c>
      <c r="Q59" s="305">
        <f t="shared" si="18"/>
        <v>0.7</v>
      </c>
      <c r="R59" s="177">
        <f t="shared" si="4"/>
        <v>4.6522759712814832E-3</v>
      </c>
      <c r="S59" s="817">
        <f t="shared" si="19"/>
        <v>-2</v>
      </c>
      <c r="T59" s="176">
        <f t="shared" si="20"/>
        <v>4</v>
      </c>
      <c r="U59" s="251">
        <f t="shared" si="21"/>
        <v>-1.9953477240287185</v>
      </c>
      <c r="V59" s="383">
        <f t="shared" si="5"/>
        <v>24.426158858148593</v>
      </c>
      <c r="W59" s="58"/>
      <c r="X59" s="157">
        <f t="shared" si="6"/>
        <v>43145</v>
      </c>
      <c r="Y59" s="385">
        <f t="shared" si="7"/>
        <v>0</v>
      </c>
      <c r="Z59" s="385">
        <f t="shared" si="8"/>
        <v>0</v>
      </c>
      <c r="AA59" s="386">
        <f t="shared" si="9"/>
        <v>0</v>
      </c>
      <c r="AB59" s="197">
        <f t="shared" si="10"/>
        <v>43145</v>
      </c>
      <c r="AC59" s="427">
        <f t="shared" si="11"/>
        <v>0</v>
      </c>
      <c r="AD59" s="169">
        <f>(INDEX(Models!$BJ59:$BT59,,AH59)*(1-AF59)+INDEX(Models!$BJ59:$BT59,,AH59+1)*AF59-ERP_i)*AE59*Ramure*Pc/MaxiM</f>
        <v>5.1775364168373372E-5</v>
      </c>
      <c r="AE59" s="305">
        <f t="shared" si="12"/>
        <v>0.7</v>
      </c>
      <c r="AF59" s="177">
        <f t="shared" si="13"/>
        <v>4.6522759712814832E-3</v>
      </c>
      <c r="AG59" s="817">
        <f t="shared" si="22"/>
        <v>-2</v>
      </c>
      <c r="AH59" s="176">
        <f t="shared" si="14"/>
        <v>4</v>
      </c>
      <c r="AI59" s="225">
        <f t="shared" si="15"/>
        <v>-1.9953477240287185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24"/>
        <v>43146</v>
      </c>
      <c r="B60" s="621"/>
      <c r="C60" s="859"/>
      <c r="D60" s="393"/>
      <c r="E60" s="385"/>
      <c r="F60" s="385"/>
      <c r="G60" s="110"/>
      <c r="I60" s="380">
        <f t="shared" si="0"/>
        <v>0</v>
      </c>
      <c r="J60" s="85">
        <v>2018</v>
      </c>
      <c r="K60" s="197">
        <f t="shared" si="1"/>
        <v>43146</v>
      </c>
      <c r="L60" s="438">
        <f t="shared" si="2"/>
        <v>0</v>
      </c>
      <c r="M60" s="861"/>
      <c r="N60" s="861"/>
      <c r="O60" s="324">
        <f t="shared" si="3"/>
        <v>0</v>
      </c>
      <c r="P60" s="169">
        <f>(INDEX(Models!$BJ60:$BT60,,T60)*(1-R60)+INDEX(Models!$BJ60:$BT60,,T60+1)*R60-ERP_i)*Q60*Ramure*Pc/MaxiM</f>
        <v>5.1715257189448648E-5</v>
      </c>
      <c r="Q60" s="305">
        <f t="shared" si="18"/>
        <v>0.7</v>
      </c>
      <c r="R60" s="177">
        <f t="shared" si="4"/>
        <v>4.8279169376119757E-3</v>
      </c>
      <c r="S60" s="817">
        <f t="shared" si="19"/>
        <v>-2</v>
      </c>
      <c r="T60" s="176">
        <f t="shared" si="20"/>
        <v>4</v>
      </c>
      <c r="U60" s="251">
        <f t="shared" si="21"/>
        <v>-1.995172083062388</v>
      </c>
      <c r="V60" s="383">
        <f t="shared" si="5"/>
        <v>24.75343408908655</v>
      </c>
      <c r="W60" s="58"/>
      <c r="X60" s="157">
        <f t="shared" si="6"/>
        <v>43146</v>
      </c>
      <c r="Y60" s="385">
        <f t="shared" si="7"/>
        <v>0</v>
      </c>
      <c r="Z60" s="385">
        <f t="shared" si="8"/>
        <v>0</v>
      </c>
      <c r="AA60" s="386">
        <f t="shared" si="9"/>
        <v>0</v>
      </c>
      <c r="AB60" s="197">
        <f t="shared" si="10"/>
        <v>43146</v>
      </c>
      <c r="AC60" s="427">
        <f t="shared" si="11"/>
        <v>0</v>
      </c>
      <c r="AD60" s="169">
        <f>(INDEX(Models!$BJ60:$BT60,,AH60)*(1-AF60)+INDEX(Models!$BJ60:$BT60,,AH60+1)*AF60-ERP_i)*AE60*Ramure*Pc/MaxiM</f>
        <v>5.1715257189448648E-5</v>
      </c>
      <c r="AE60" s="305">
        <f t="shared" si="12"/>
        <v>0.7</v>
      </c>
      <c r="AF60" s="177">
        <f t="shared" si="13"/>
        <v>4.8279169376119757E-3</v>
      </c>
      <c r="AG60" s="817">
        <f t="shared" si="22"/>
        <v>-2</v>
      </c>
      <c r="AH60" s="176">
        <f t="shared" si="14"/>
        <v>4</v>
      </c>
      <c r="AI60" s="225">
        <f t="shared" si="15"/>
        <v>-1.995172083062388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4"/>
        <v>43147</v>
      </c>
      <c r="B61" s="621"/>
      <c r="C61" s="859"/>
      <c r="D61" s="393"/>
      <c r="E61" s="385"/>
      <c r="F61" s="385"/>
      <c r="G61" s="110"/>
      <c r="I61" s="380">
        <f t="shared" si="0"/>
        <v>0</v>
      </c>
      <c r="J61" s="85">
        <v>2018</v>
      </c>
      <c r="K61" s="197">
        <f t="shared" si="1"/>
        <v>43147</v>
      </c>
      <c r="L61" s="438">
        <f t="shared" si="2"/>
        <v>0</v>
      </c>
      <c r="M61" s="861"/>
      <c r="N61" s="861"/>
      <c r="O61" s="324">
        <f t="shared" si="3"/>
        <v>0</v>
      </c>
      <c r="P61" s="169">
        <f>(INDEX(Models!$BJ61:$BT61,,T61)*(1-R61)+INDEX(Models!$BJ61:$BT61,,T61+1)*R61-ERP_i)*Q61*Ramure*Pc/MaxiM</f>
        <v>5.1531354264854233E-5</v>
      </c>
      <c r="Q61" s="305">
        <f t="shared" si="18"/>
        <v>0.7</v>
      </c>
      <c r="R61" s="177">
        <f t="shared" si="4"/>
        <v>5.0107942833998997E-3</v>
      </c>
      <c r="S61" s="817">
        <f t="shared" si="19"/>
        <v>-2</v>
      </c>
      <c r="T61" s="176">
        <f t="shared" si="20"/>
        <v>4</v>
      </c>
      <c r="U61" s="251">
        <f t="shared" si="21"/>
        <v>-1.9949892057166001</v>
      </c>
      <c r="V61" s="383">
        <f t="shared" si="5"/>
        <v>25.07921407269939</v>
      </c>
      <c r="W61" s="58"/>
      <c r="X61" s="157">
        <f t="shared" si="6"/>
        <v>43147</v>
      </c>
      <c r="Y61" s="385">
        <f t="shared" si="7"/>
        <v>0</v>
      </c>
      <c r="Z61" s="385">
        <f t="shared" si="8"/>
        <v>0</v>
      </c>
      <c r="AA61" s="386">
        <f t="shared" si="9"/>
        <v>0</v>
      </c>
      <c r="AB61" s="197">
        <f t="shared" si="10"/>
        <v>43147</v>
      </c>
      <c r="AC61" s="427">
        <f t="shared" si="11"/>
        <v>0</v>
      </c>
      <c r="AD61" s="169">
        <f>(INDEX(Models!$BJ61:$BT61,,AH61)*(1-AF61)+INDEX(Models!$BJ61:$BT61,,AH61+1)*AF61-ERP_i)*AE61*Ramure*Pc/MaxiM</f>
        <v>5.1531354264854233E-5</v>
      </c>
      <c r="AE61" s="305">
        <f t="shared" si="12"/>
        <v>0.7</v>
      </c>
      <c r="AF61" s="177">
        <f t="shared" si="13"/>
        <v>5.0107942833998997E-3</v>
      </c>
      <c r="AG61" s="817">
        <f t="shared" si="22"/>
        <v>-2</v>
      </c>
      <c r="AH61" s="176">
        <f t="shared" si="14"/>
        <v>4</v>
      </c>
      <c r="AI61" s="225">
        <f t="shared" si="15"/>
        <v>-1.9949892057166001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24"/>
        <v>43148</v>
      </c>
      <c r="B62" s="621"/>
      <c r="C62" s="859"/>
      <c r="D62" s="393"/>
      <c r="E62" s="385"/>
      <c r="F62" s="385"/>
      <c r="G62" s="110"/>
      <c r="I62" s="380">
        <f t="shared" si="0"/>
        <v>0</v>
      </c>
      <c r="J62" s="85">
        <v>2018</v>
      </c>
      <c r="K62" s="197">
        <f t="shared" si="1"/>
        <v>43148</v>
      </c>
      <c r="L62" s="438">
        <f t="shared" si="2"/>
        <v>0</v>
      </c>
      <c r="M62" s="861"/>
      <c r="N62" s="861"/>
      <c r="O62" s="324">
        <f t="shared" si="3"/>
        <v>0</v>
      </c>
      <c r="P62" s="169">
        <f>(INDEX(Models!$BJ62:$BT62,,T62)*(1-R62)+INDEX(Models!$BJ62:$BT62,,T62+1)*R62-ERP_i)*Q62*Ramure*Pc/MaxiM</f>
        <v>5.1216109467959022E-5</v>
      </c>
      <c r="Q62" s="305">
        <f t="shared" si="18"/>
        <v>0.7</v>
      </c>
      <c r="R62" s="177">
        <f t="shared" si="4"/>
        <v>5.2012004305563853E-3</v>
      </c>
      <c r="S62" s="817">
        <f t="shared" si="19"/>
        <v>-2</v>
      </c>
      <c r="T62" s="176">
        <f t="shared" si="20"/>
        <v>4</v>
      </c>
      <c r="U62" s="251">
        <f t="shared" si="21"/>
        <v>-1.9947987995694436</v>
      </c>
      <c r="V62" s="383">
        <f t="shared" si="5"/>
        <v>25.40274992365773</v>
      </c>
      <c r="W62" s="58"/>
      <c r="X62" s="157">
        <f t="shared" si="6"/>
        <v>43148</v>
      </c>
      <c r="Y62" s="385">
        <f t="shared" si="7"/>
        <v>0</v>
      </c>
      <c r="Z62" s="385">
        <f t="shared" si="8"/>
        <v>0</v>
      </c>
      <c r="AA62" s="386">
        <f t="shared" si="9"/>
        <v>0</v>
      </c>
      <c r="AB62" s="197">
        <f t="shared" si="10"/>
        <v>43148</v>
      </c>
      <c r="AC62" s="427">
        <f t="shared" si="11"/>
        <v>0</v>
      </c>
      <c r="AD62" s="169">
        <f>(INDEX(Models!$BJ62:$BT62,,AH62)*(1-AF62)+INDEX(Models!$BJ62:$BT62,,AH62+1)*AF62-ERP_i)*AE62*Ramure*Pc/MaxiM</f>
        <v>5.1216109467959022E-5</v>
      </c>
      <c r="AE62" s="305">
        <f t="shared" si="12"/>
        <v>0.7</v>
      </c>
      <c r="AF62" s="177">
        <f t="shared" si="13"/>
        <v>5.2012004305563853E-3</v>
      </c>
      <c r="AG62" s="817">
        <f t="shared" si="22"/>
        <v>-2</v>
      </c>
      <c r="AH62" s="176">
        <f t="shared" si="14"/>
        <v>4</v>
      </c>
      <c r="AI62" s="225">
        <f t="shared" si="15"/>
        <v>-1.9947987995694436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4"/>
        <v>43149</v>
      </c>
      <c r="B63" s="621"/>
      <c r="C63" s="859"/>
      <c r="D63" s="393"/>
      <c r="E63" s="385"/>
      <c r="F63" s="385"/>
      <c r="G63" s="110"/>
      <c r="I63" s="380">
        <f t="shared" si="0"/>
        <v>0</v>
      </c>
      <c r="J63" s="85">
        <v>2018</v>
      </c>
      <c r="K63" s="197">
        <f t="shared" si="1"/>
        <v>43149</v>
      </c>
      <c r="L63" s="438">
        <f t="shared" si="2"/>
        <v>0</v>
      </c>
      <c r="M63" s="861"/>
      <c r="N63" s="861"/>
      <c r="O63" s="324">
        <f t="shared" si="3"/>
        <v>0</v>
      </c>
      <c r="P63" s="169">
        <f>(INDEX(Models!$BJ63:$BT63,,T63)*(1-R63)+INDEX(Models!$BJ63:$BT63,,T63+1)*R63-ERP_i)*Q63*Ramure*Pc/MaxiM</f>
        <v>5.0761274846553181E-5</v>
      </c>
      <c r="Q63" s="305">
        <f t="shared" si="18"/>
        <v>0.7</v>
      </c>
      <c r="R63" s="177">
        <f t="shared" si="4"/>
        <v>5.39943913330454E-3</v>
      </c>
      <c r="S63" s="817">
        <f t="shared" si="19"/>
        <v>-2</v>
      </c>
      <c r="T63" s="176">
        <f t="shared" si="20"/>
        <v>4</v>
      </c>
      <c r="U63" s="251">
        <f t="shared" si="21"/>
        <v>-1.9946005608666955</v>
      </c>
      <c r="V63" s="383">
        <f t="shared" si="5"/>
        <v>25.723292783716747</v>
      </c>
      <c r="W63" s="58"/>
      <c r="X63" s="157">
        <f t="shared" si="6"/>
        <v>43149</v>
      </c>
      <c r="Y63" s="385">
        <f t="shared" si="7"/>
        <v>0</v>
      </c>
      <c r="Z63" s="385">
        <f t="shared" si="8"/>
        <v>0</v>
      </c>
      <c r="AA63" s="386">
        <f t="shared" si="9"/>
        <v>0</v>
      </c>
      <c r="AB63" s="197">
        <f t="shared" si="10"/>
        <v>43149</v>
      </c>
      <c r="AC63" s="427">
        <f t="shared" si="11"/>
        <v>0</v>
      </c>
      <c r="AD63" s="169">
        <f>(INDEX(Models!$BJ63:$BT63,,AH63)*(1-AF63)+INDEX(Models!$BJ63:$BT63,,AH63+1)*AF63-ERP_i)*AE63*Ramure*Pc/MaxiM</f>
        <v>5.0761274846553181E-5</v>
      </c>
      <c r="AE63" s="305">
        <f t="shared" si="12"/>
        <v>0.7</v>
      </c>
      <c r="AF63" s="177">
        <f t="shared" si="13"/>
        <v>5.39943913330454E-3</v>
      </c>
      <c r="AG63" s="817">
        <f t="shared" si="22"/>
        <v>-2</v>
      </c>
      <c r="AH63" s="176">
        <f t="shared" si="14"/>
        <v>4</v>
      </c>
      <c r="AI63" s="225">
        <f t="shared" si="15"/>
        <v>-1.9946005608666955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24"/>
        <v>43150</v>
      </c>
      <c r="B64" s="621"/>
      <c r="C64" s="859"/>
      <c r="D64" s="393"/>
      <c r="E64" s="385"/>
      <c r="F64" s="385"/>
      <c r="G64" s="110"/>
      <c r="I64" s="380">
        <f t="shared" si="0"/>
        <v>0</v>
      </c>
      <c r="J64" s="85">
        <v>2018</v>
      </c>
      <c r="K64" s="197">
        <f t="shared" si="1"/>
        <v>43150</v>
      </c>
      <c r="L64" s="438">
        <f t="shared" si="2"/>
        <v>0</v>
      </c>
      <c r="M64" s="861"/>
      <c r="N64" s="861"/>
      <c r="O64" s="324">
        <f t="shared" si="3"/>
        <v>0</v>
      </c>
      <c r="P64" s="169">
        <f>(INDEX(Models!$BJ64:$BT64,,T64)*(1-R64)+INDEX(Models!$BJ64:$BT64,,T64+1)*R64-ERP_i)*Q64*Ramure*Pc/MaxiM</f>
        <v>5.0157835900673747E-5</v>
      </c>
      <c r="Q64" s="305">
        <f t="shared" si="18"/>
        <v>0.7</v>
      </c>
      <c r="R64" s="177">
        <f t="shared" si="4"/>
        <v>5.6058258761135793E-3</v>
      </c>
      <c r="S64" s="817">
        <f t="shared" si="19"/>
        <v>-2</v>
      </c>
      <c r="T64" s="176">
        <f t="shared" si="20"/>
        <v>4</v>
      </c>
      <c r="U64" s="251">
        <f t="shared" si="21"/>
        <v>-1.9943941741238864</v>
      </c>
      <c r="V64" s="383">
        <f t="shared" si="5"/>
        <v>26.040093819812636</v>
      </c>
      <c r="W64" s="58"/>
      <c r="X64" s="157">
        <f t="shared" si="6"/>
        <v>43150</v>
      </c>
      <c r="Y64" s="385">
        <f t="shared" si="7"/>
        <v>0</v>
      </c>
      <c r="Z64" s="385">
        <f t="shared" si="8"/>
        <v>0</v>
      </c>
      <c r="AA64" s="386">
        <f t="shared" si="9"/>
        <v>0</v>
      </c>
      <c r="AB64" s="197">
        <f t="shared" si="10"/>
        <v>43150</v>
      </c>
      <c r="AC64" s="427">
        <f t="shared" si="11"/>
        <v>0</v>
      </c>
      <c r="AD64" s="169">
        <f>(INDEX(Models!$BJ64:$BT64,,AH64)*(1-AF64)+INDEX(Models!$BJ64:$BT64,,AH64+1)*AF64-ERP_i)*AE64*Ramure*Pc/MaxiM</f>
        <v>5.0157835900673747E-5</v>
      </c>
      <c r="AE64" s="305">
        <f t="shared" si="12"/>
        <v>0.7</v>
      </c>
      <c r="AF64" s="177">
        <f t="shared" si="13"/>
        <v>5.6058258761135793E-3</v>
      </c>
      <c r="AG64" s="817">
        <f t="shared" si="22"/>
        <v>-2</v>
      </c>
      <c r="AH64" s="176">
        <f t="shared" si="14"/>
        <v>4</v>
      </c>
      <c r="AI64" s="225">
        <f t="shared" si="15"/>
        <v>-1.9943941741238864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4"/>
        <v>43151</v>
      </c>
      <c r="B65" s="621"/>
      <c r="C65" s="859"/>
      <c r="D65" s="393"/>
      <c r="E65" s="385"/>
      <c r="F65" s="385"/>
      <c r="G65" s="110"/>
      <c r="I65" s="380">
        <f t="shared" si="0"/>
        <v>0</v>
      </c>
      <c r="J65" s="85">
        <v>2018</v>
      </c>
      <c r="K65" s="197">
        <f t="shared" si="1"/>
        <v>43151</v>
      </c>
      <c r="L65" s="438">
        <f t="shared" si="2"/>
        <v>0</v>
      </c>
      <c r="M65" s="861"/>
      <c r="N65" s="861"/>
      <c r="O65" s="324">
        <f t="shared" si="3"/>
        <v>0</v>
      </c>
      <c r="P65" s="169">
        <f>(INDEX(Models!$BJ65:$BT65,,T65)*(1-R65)+INDEX(Models!$BJ65:$BT65,,T65+1)*R65-ERP_i)*Q65*Ramure*Pc/MaxiM</f>
        <v>4.9392431423896801E-5</v>
      </c>
      <c r="Q65" s="305">
        <f t="shared" si="18"/>
        <v>0.7</v>
      </c>
      <c r="R65" s="177">
        <f t="shared" si="4"/>
        <v>5.820688282023756E-3</v>
      </c>
      <c r="S65" s="817">
        <f t="shared" si="19"/>
        <v>-2</v>
      </c>
      <c r="T65" s="176">
        <f t="shared" si="20"/>
        <v>4</v>
      </c>
      <c r="U65" s="251">
        <f t="shared" si="21"/>
        <v>-1.9941793117179762</v>
      </c>
      <c r="V65" s="383">
        <f t="shared" si="5"/>
        <v>26.354277315431126</v>
      </c>
      <c r="W65" s="58"/>
      <c r="X65" s="157">
        <f t="shared" si="6"/>
        <v>43151</v>
      </c>
      <c r="Y65" s="385">
        <f t="shared" si="7"/>
        <v>0</v>
      </c>
      <c r="Z65" s="385">
        <f t="shared" si="8"/>
        <v>0</v>
      </c>
      <c r="AA65" s="386">
        <f t="shared" si="9"/>
        <v>0</v>
      </c>
      <c r="AB65" s="197">
        <f t="shared" si="10"/>
        <v>43151</v>
      </c>
      <c r="AC65" s="427">
        <f t="shared" si="11"/>
        <v>0</v>
      </c>
      <c r="AD65" s="169">
        <f>(INDEX(Models!$BJ65:$BT65,,AH65)*(1-AF65)+INDEX(Models!$BJ65:$BT65,,AH65+1)*AF65-ERP_i)*AE65*Ramure*Pc/MaxiM</f>
        <v>4.9392431423896801E-5</v>
      </c>
      <c r="AE65" s="305">
        <f t="shared" si="12"/>
        <v>0.7</v>
      </c>
      <c r="AF65" s="177">
        <f t="shared" si="13"/>
        <v>5.820688282023756E-3</v>
      </c>
      <c r="AG65" s="817">
        <f t="shared" si="22"/>
        <v>-2</v>
      </c>
      <c r="AH65" s="176">
        <f t="shared" si="14"/>
        <v>4</v>
      </c>
      <c r="AI65" s="225">
        <f t="shared" si="15"/>
        <v>-1.9941793117179762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4"/>
        <v>43152</v>
      </c>
      <c r="B66" s="621"/>
      <c r="C66" s="859"/>
      <c r="D66" s="393"/>
      <c r="E66" s="385"/>
      <c r="F66" s="385"/>
      <c r="G66" s="110"/>
      <c r="I66" s="380">
        <f t="shared" si="0"/>
        <v>0</v>
      </c>
      <c r="J66" s="85">
        <v>2018</v>
      </c>
      <c r="K66" s="197">
        <f t="shared" si="1"/>
        <v>43152</v>
      </c>
      <c r="L66" s="438">
        <f t="shared" si="2"/>
        <v>0</v>
      </c>
      <c r="M66" s="861"/>
      <c r="N66" s="861"/>
      <c r="O66" s="324">
        <f t="shared" si="3"/>
        <v>0</v>
      </c>
      <c r="P66" s="169">
        <f>(INDEX(Models!$BJ66:$BT66,,T66)*(1-R66)+INDEX(Models!$BJ66:$BT66,,T66+1)*R66-ERP_i)*Q66*Ramure*Pc/MaxiM</f>
        <v>4.8457856029998345E-5</v>
      </c>
      <c r="Q66" s="305">
        <f t="shared" si="18"/>
        <v>0.7</v>
      </c>
      <c r="R66" s="177">
        <f t="shared" si="4"/>
        <v>6.0443665313105743E-3</v>
      </c>
      <c r="S66" s="817">
        <f t="shared" si="19"/>
        <v>-2</v>
      </c>
      <c r="T66" s="176">
        <f t="shared" si="20"/>
        <v>4</v>
      </c>
      <c r="U66" s="251">
        <f t="shared" si="21"/>
        <v>-1.9939556334686894</v>
      </c>
      <c r="V66" s="383">
        <f t="shared" si="5"/>
        <v>26.66746687287888</v>
      </c>
      <c r="W66" s="58"/>
      <c r="X66" s="157">
        <f t="shared" si="6"/>
        <v>43152</v>
      </c>
      <c r="Y66" s="385">
        <f t="shared" si="7"/>
        <v>0</v>
      </c>
      <c r="Z66" s="385">
        <f t="shared" si="8"/>
        <v>0</v>
      </c>
      <c r="AA66" s="386">
        <f t="shared" si="9"/>
        <v>0</v>
      </c>
      <c r="AB66" s="197">
        <f t="shared" si="10"/>
        <v>43152</v>
      </c>
      <c r="AC66" s="427">
        <f t="shared" si="11"/>
        <v>0</v>
      </c>
      <c r="AD66" s="169">
        <f>(INDEX(Models!$BJ66:$BT66,,AH66)*(1-AF66)+INDEX(Models!$BJ66:$BT66,,AH66+1)*AF66-ERP_i)*AE66*Ramure*Pc/MaxiM</f>
        <v>4.8457856029998345E-5</v>
      </c>
      <c r="AE66" s="305">
        <f t="shared" si="12"/>
        <v>0.7</v>
      </c>
      <c r="AF66" s="177">
        <f t="shared" si="13"/>
        <v>6.0443665313105743E-3</v>
      </c>
      <c r="AG66" s="817">
        <f t="shared" si="22"/>
        <v>-2</v>
      </c>
      <c r="AH66" s="176">
        <f t="shared" si="14"/>
        <v>4</v>
      </c>
      <c r="AI66" s="225">
        <f t="shared" si="15"/>
        <v>-1.9939556334686894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4"/>
        <v>43153</v>
      </c>
      <c r="B67" s="621"/>
      <c r="C67" s="859"/>
      <c r="D67" s="393"/>
      <c r="E67" s="385"/>
      <c r="F67" s="385"/>
      <c r="G67" s="110"/>
      <c r="I67" s="380">
        <f t="shared" si="0"/>
        <v>0</v>
      </c>
      <c r="J67" s="85">
        <v>2018</v>
      </c>
      <c r="K67" s="197">
        <f t="shared" si="1"/>
        <v>43153</v>
      </c>
      <c r="L67" s="438">
        <f t="shared" si="2"/>
        <v>0</v>
      </c>
      <c r="M67" s="861"/>
      <c r="N67" s="861"/>
      <c r="O67" s="324">
        <f t="shared" si="3"/>
        <v>0</v>
      </c>
      <c r="P67" s="169">
        <f>(INDEX(Models!$BJ67:$BT67,,T67)*(1-R67)+INDEX(Models!$BJ67:$BT67,,T67+1)*R67-ERP_i)*Q67*Ramure*Pc/MaxiM</f>
        <v>4.743148101399397E-5</v>
      </c>
      <c r="Q67" s="305">
        <f t="shared" si="18"/>
        <v>0.7</v>
      </c>
      <c r="R67" s="177">
        <f t="shared" si="4"/>
        <v>6.2772137903797098E-3</v>
      </c>
      <c r="S67" s="817">
        <f t="shared" si="19"/>
        <v>-2</v>
      </c>
      <c r="T67" s="176">
        <f t="shared" si="20"/>
        <v>4</v>
      </c>
      <c r="U67" s="251">
        <f t="shared" si="21"/>
        <v>-1.9937227862096203</v>
      </c>
      <c r="V67" s="383">
        <f t="shared" si="5"/>
        <v>26.979660560188886</v>
      </c>
      <c r="W67" s="58"/>
      <c r="X67" s="157">
        <f t="shared" si="6"/>
        <v>43153</v>
      </c>
      <c r="Y67" s="385">
        <f t="shared" si="7"/>
        <v>0</v>
      </c>
      <c r="Z67" s="385">
        <f t="shared" si="8"/>
        <v>0</v>
      </c>
      <c r="AA67" s="386">
        <f t="shared" si="9"/>
        <v>0</v>
      </c>
      <c r="AB67" s="197">
        <f t="shared" si="10"/>
        <v>43153</v>
      </c>
      <c r="AC67" s="427">
        <f t="shared" si="11"/>
        <v>0</v>
      </c>
      <c r="AD67" s="169">
        <f>(INDEX(Models!$BJ67:$BT67,,AH67)*(1-AF67)+INDEX(Models!$BJ67:$BT67,,AH67+1)*AF67-ERP_i)*AE67*Ramure*Pc/MaxiM</f>
        <v>4.743148101399397E-5</v>
      </c>
      <c r="AE67" s="305">
        <f t="shared" si="12"/>
        <v>0.7</v>
      </c>
      <c r="AF67" s="177">
        <f t="shared" si="13"/>
        <v>6.2772137903797098E-3</v>
      </c>
      <c r="AG67" s="817">
        <f t="shared" si="22"/>
        <v>-2</v>
      </c>
      <c r="AH67" s="176">
        <f t="shared" si="14"/>
        <v>4</v>
      </c>
      <c r="AI67" s="225">
        <f t="shared" si="15"/>
        <v>-1.9937227862096203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4"/>
        <v>43154</v>
      </c>
      <c r="B68" s="621"/>
      <c r="C68" s="859"/>
      <c r="D68" s="393"/>
      <c r="E68" s="385"/>
      <c r="F68" s="385"/>
      <c r="G68" s="110"/>
      <c r="I68" s="380">
        <f t="shared" si="0"/>
        <v>0</v>
      </c>
      <c r="J68" s="85">
        <v>2018</v>
      </c>
      <c r="K68" s="197">
        <f t="shared" si="1"/>
        <v>43154</v>
      </c>
      <c r="L68" s="438">
        <f t="shared" si="2"/>
        <v>0</v>
      </c>
      <c r="M68" s="861"/>
      <c r="N68" s="861"/>
      <c r="O68" s="324">
        <f t="shared" si="3"/>
        <v>0</v>
      </c>
      <c r="P68" s="169">
        <f>(INDEX(Models!$BJ68:$BT68,,T68)*(1-R68)+INDEX(Models!$BJ68:$BT68,,T68+1)*R68-ERP_i)*Q68*Ramure*Pc/MaxiM</f>
        <v>4.631029271836039E-5</v>
      </c>
      <c r="Q68" s="305">
        <f t="shared" si="18"/>
        <v>0.7</v>
      </c>
      <c r="R68" s="177">
        <f t="shared" si="4"/>
        <v>6.5195966507576308E-3</v>
      </c>
      <c r="S68" s="817">
        <f t="shared" si="19"/>
        <v>-2</v>
      </c>
      <c r="T68" s="176">
        <f t="shared" si="20"/>
        <v>4</v>
      </c>
      <c r="U68" s="251">
        <f t="shared" si="21"/>
        <v>-1.9934804033492424</v>
      </c>
      <c r="V68" s="383">
        <f t="shared" si="5"/>
        <v>27.29085854293433</v>
      </c>
      <c r="W68" s="58"/>
      <c r="X68" s="157">
        <f t="shared" si="6"/>
        <v>43154</v>
      </c>
      <c r="Y68" s="385">
        <f t="shared" si="7"/>
        <v>0</v>
      </c>
      <c r="Z68" s="385">
        <f t="shared" si="8"/>
        <v>0</v>
      </c>
      <c r="AA68" s="386">
        <f t="shared" si="9"/>
        <v>0</v>
      </c>
      <c r="AB68" s="197">
        <f t="shared" si="10"/>
        <v>43154</v>
      </c>
      <c r="AC68" s="427">
        <f t="shared" si="11"/>
        <v>0</v>
      </c>
      <c r="AD68" s="169">
        <f>(INDEX(Models!$BJ68:$BT68,,AH68)*(1-AF68)+INDEX(Models!$BJ68:$BT68,,AH68+1)*AF68-ERP_i)*AE68*Ramure*Pc/MaxiM</f>
        <v>4.631029271836039E-5</v>
      </c>
      <c r="AE68" s="305">
        <f t="shared" si="12"/>
        <v>0.7</v>
      </c>
      <c r="AF68" s="177">
        <f t="shared" si="13"/>
        <v>6.5195966507576308E-3</v>
      </c>
      <c r="AG68" s="817">
        <f t="shared" si="22"/>
        <v>-2</v>
      </c>
      <c r="AH68" s="176">
        <f t="shared" si="14"/>
        <v>4</v>
      </c>
      <c r="AI68" s="225">
        <f t="shared" si="15"/>
        <v>-1.9934804033492424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4"/>
        <v>43155</v>
      </c>
      <c r="B69" s="621"/>
      <c r="C69" s="859"/>
      <c r="D69" s="393"/>
      <c r="E69" s="385"/>
      <c r="F69" s="385"/>
      <c r="G69" s="110"/>
      <c r="I69" s="380">
        <f t="shared" si="0"/>
        <v>0</v>
      </c>
      <c r="J69" s="85">
        <v>2018</v>
      </c>
      <c r="K69" s="197">
        <f t="shared" si="1"/>
        <v>43155</v>
      </c>
      <c r="L69" s="438">
        <f t="shared" si="2"/>
        <v>0</v>
      </c>
      <c r="M69" s="861"/>
      <c r="N69" s="861"/>
      <c r="O69" s="324">
        <f t="shared" si="3"/>
        <v>0</v>
      </c>
      <c r="P69" s="169">
        <f>(INDEX(Models!$BJ69:$BT69,,T69)*(1-R69)+INDEX(Models!$BJ69:$BT69,,T69+1)*R69-ERP_i)*Q69*Ramure*Pc/MaxiM</f>
        <v>4.5091431754565862E-5</v>
      </c>
      <c r="Q69" s="305">
        <f t="shared" si="18"/>
        <v>0.7</v>
      </c>
      <c r="R69" s="177">
        <f t="shared" si="4"/>
        <v>6.7718955779758616E-3</v>
      </c>
      <c r="S69" s="817">
        <f t="shared" si="19"/>
        <v>-2</v>
      </c>
      <c r="T69" s="176">
        <f t="shared" si="20"/>
        <v>4</v>
      </c>
      <c r="U69" s="251">
        <f t="shared" si="21"/>
        <v>-1.9932281044220241</v>
      </c>
      <c r="V69" s="383">
        <f t="shared" si="5"/>
        <v>27.601060984794259</v>
      </c>
      <c r="W69" s="58"/>
      <c r="X69" s="157">
        <f t="shared" si="6"/>
        <v>43155</v>
      </c>
      <c r="Y69" s="385">
        <f t="shared" si="7"/>
        <v>0</v>
      </c>
      <c r="Z69" s="385">
        <f t="shared" si="8"/>
        <v>0</v>
      </c>
      <c r="AA69" s="386">
        <f t="shared" si="9"/>
        <v>0</v>
      </c>
      <c r="AB69" s="197">
        <f t="shared" si="10"/>
        <v>43155</v>
      </c>
      <c r="AC69" s="427">
        <f t="shared" si="11"/>
        <v>0</v>
      </c>
      <c r="AD69" s="169">
        <f>(INDEX(Models!$BJ69:$BT69,,AH69)*(1-AF69)+INDEX(Models!$BJ69:$BT69,,AH69+1)*AF69-ERP_i)*AE69*Ramure*Pc/MaxiM</f>
        <v>4.5091431754565862E-5</v>
      </c>
      <c r="AE69" s="305">
        <f t="shared" si="12"/>
        <v>0.7</v>
      </c>
      <c r="AF69" s="177">
        <f t="shared" si="13"/>
        <v>6.7718955779758616E-3</v>
      </c>
      <c r="AG69" s="817">
        <f t="shared" si="22"/>
        <v>-2</v>
      </c>
      <c r="AH69" s="176">
        <f t="shared" si="14"/>
        <v>4</v>
      </c>
      <c r="AI69" s="225">
        <f t="shared" si="15"/>
        <v>-1.9932281044220241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4"/>
        <v>43156</v>
      </c>
      <c r="B70" s="621"/>
      <c r="C70" s="859"/>
      <c r="D70" s="393"/>
      <c r="E70" s="385"/>
      <c r="F70" s="385"/>
      <c r="G70" s="110"/>
      <c r="I70" s="380">
        <f t="shared" si="0"/>
        <v>0</v>
      </c>
      <c r="J70" s="85">
        <v>2018</v>
      </c>
      <c r="K70" s="197">
        <f t="shared" si="1"/>
        <v>43156</v>
      </c>
      <c r="L70" s="438">
        <f t="shared" si="2"/>
        <v>0</v>
      </c>
      <c r="M70" s="861"/>
      <c r="N70" s="861"/>
      <c r="O70" s="324">
        <f t="shared" si="3"/>
        <v>0</v>
      </c>
      <c r="P70" s="169">
        <f>(INDEX(Models!$BJ70:$BT70,,T70)*(1-R70)+INDEX(Models!$BJ70:$BT70,,T70+1)*R70-ERP_i)*Q70*Ramure*Pc/MaxiM</f>
        <v>4.3771950349339505E-5</v>
      </c>
      <c r="Q70" s="305">
        <f t="shared" si="18"/>
        <v>0.7</v>
      </c>
      <c r="R70" s="177">
        <f t="shared" si="4"/>
        <v>7.0345053701119653E-3</v>
      </c>
      <c r="S70" s="817">
        <f t="shared" si="19"/>
        <v>-2</v>
      </c>
      <c r="T70" s="176">
        <f t="shared" si="20"/>
        <v>4</v>
      </c>
      <c r="U70" s="251">
        <f t="shared" si="21"/>
        <v>-1.992965494629888</v>
      </c>
      <c r="V70" s="383">
        <f t="shared" si="5"/>
        <v>27.910268055468084</v>
      </c>
      <c r="W70" s="58"/>
      <c r="X70" s="157">
        <f t="shared" si="6"/>
        <v>43156</v>
      </c>
      <c r="Y70" s="385">
        <f t="shared" si="7"/>
        <v>0</v>
      </c>
      <c r="Z70" s="385">
        <f t="shared" si="8"/>
        <v>0</v>
      </c>
      <c r="AA70" s="386">
        <f t="shared" si="9"/>
        <v>0</v>
      </c>
      <c r="AB70" s="197">
        <f t="shared" si="10"/>
        <v>43156</v>
      </c>
      <c r="AC70" s="427">
        <f t="shared" si="11"/>
        <v>0</v>
      </c>
      <c r="AD70" s="169">
        <f>(INDEX(Models!$BJ70:$BT70,,AH70)*(1-AF70)+INDEX(Models!$BJ70:$BT70,,AH70+1)*AF70-ERP_i)*AE70*Ramure*Pc/MaxiM</f>
        <v>4.3771950349339505E-5</v>
      </c>
      <c r="AE70" s="305">
        <f t="shared" si="12"/>
        <v>0.7</v>
      </c>
      <c r="AF70" s="177">
        <f t="shared" si="13"/>
        <v>7.0345053701119653E-3</v>
      </c>
      <c r="AG70" s="817">
        <f t="shared" si="22"/>
        <v>-2</v>
      </c>
      <c r="AH70" s="176">
        <f t="shared" si="14"/>
        <v>4</v>
      </c>
      <c r="AI70" s="225">
        <f t="shared" si="15"/>
        <v>-1.992965494629888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24"/>
        <v>43157</v>
      </c>
      <c r="B71" s="621"/>
      <c r="C71" s="859"/>
      <c r="D71" s="393"/>
      <c r="E71" s="385"/>
      <c r="F71" s="385"/>
      <c r="G71" s="110"/>
      <c r="I71" s="380">
        <f t="shared" si="0"/>
        <v>0</v>
      </c>
      <c r="J71" s="85">
        <v>2018</v>
      </c>
      <c r="K71" s="197">
        <f t="shared" si="1"/>
        <v>43157</v>
      </c>
      <c r="L71" s="438">
        <f t="shared" si="2"/>
        <v>0</v>
      </c>
      <c r="M71" s="861"/>
      <c r="N71" s="861"/>
      <c r="O71" s="324">
        <f t="shared" si="3"/>
        <v>0</v>
      </c>
      <c r="P71" s="169">
        <f>(INDEX(Models!$BJ71:$BT71,,T71)*(1-R71)+INDEX(Models!$BJ71:$BT71,,T71+1)*R71-ERP_i)*Q71*Ramure*Pc/MaxiM</f>
        <v>4.2348814501091317E-5</v>
      </c>
      <c r="Q71" s="305">
        <f t="shared" si="18"/>
        <v>0.7</v>
      </c>
      <c r="R71" s="177">
        <f t="shared" si="4"/>
        <v>7.3078356256772725E-3</v>
      </c>
      <c r="S71" s="817">
        <f t="shared" si="19"/>
        <v>-2</v>
      </c>
      <c r="T71" s="176">
        <f t="shared" si="20"/>
        <v>4</v>
      </c>
      <c r="U71" s="251">
        <f t="shared" si="21"/>
        <v>-1.9926921643743227</v>
      </c>
      <c r="V71" s="383">
        <f t="shared" si="5"/>
        <v>28.218479930323195</v>
      </c>
      <c r="W71" s="58"/>
      <c r="X71" s="157">
        <f t="shared" si="6"/>
        <v>43157</v>
      </c>
      <c r="Y71" s="385">
        <f t="shared" si="7"/>
        <v>0</v>
      </c>
      <c r="Z71" s="385">
        <f t="shared" si="8"/>
        <v>0</v>
      </c>
      <c r="AA71" s="386">
        <f t="shared" si="9"/>
        <v>0</v>
      </c>
      <c r="AB71" s="197">
        <f t="shared" si="10"/>
        <v>43157</v>
      </c>
      <c r="AC71" s="427">
        <f t="shared" si="11"/>
        <v>0</v>
      </c>
      <c r="AD71" s="169">
        <f>(INDEX(Models!$BJ71:$BT71,,AH71)*(1-AF71)+INDEX(Models!$BJ71:$BT71,,AH71+1)*AF71-ERP_i)*AE71*Ramure*Pc/MaxiM</f>
        <v>4.2348814501091317E-5</v>
      </c>
      <c r="AE71" s="305">
        <f t="shared" si="12"/>
        <v>0.7</v>
      </c>
      <c r="AF71" s="177">
        <f t="shared" si="13"/>
        <v>7.3078356256772725E-3</v>
      </c>
      <c r="AG71" s="817">
        <f t="shared" si="22"/>
        <v>-2</v>
      </c>
      <c r="AH71" s="176">
        <f t="shared" si="14"/>
        <v>4</v>
      </c>
      <c r="AI71" s="225">
        <f t="shared" si="15"/>
        <v>-1.9926921643743227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4"/>
        <v>43158</v>
      </c>
      <c r="B72" s="621"/>
      <c r="C72" s="859"/>
      <c r="D72" s="393"/>
      <c r="E72" s="385"/>
      <c r="F72" s="385"/>
      <c r="G72" s="110"/>
      <c r="I72" s="380">
        <f t="shared" si="0"/>
        <v>0</v>
      </c>
      <c r="J72" s="85">
        <v>2018</v>
      </c>
      <c r="K72" s="197">
        <f t="shared" si="1"/>
        <v>43158</v>
      </c>
      <c r="L72" s="438">
        <f t="shared" si="2"/>
        <v>0</v>
      </c>
      <c r="M72" s="861"/>
      <c r="N72" s="861"/>
      <c r="O72" s="324">
        <f t="shared" si="3"/>
        <v>0</v>
      </c>
      <c r="P72" s="169">
        <f>(INDEX(Models!$BJ72:$BT72,,T72)*(1-R72)+INDEX(Models!$BJ72:$BT72,,T72+1)*R72-ERP_i)*Q72*Ramure*Pc/MaxiM</f>
        <v>4.0857009058772875E-5</v>
      </c>
      <c r="Q72" s="305">
        <f t="shared" si="18"/>
        <v>0.7</v>
      </c>
      <c r="R72" s="177">
        <f t="shared" si="4"/>
        <v>7.5923112204874244E-3</v>
      </c>
      <c r="S72" s="817">
        <f t="shared" si="19"/>
        <v>-2</v>
      </c>
      <c r="T72" s="176">
        <f t="shared" si="20"/>
        <v>4</v>
      </c>
      <c r="U72" s="251">
        <f t="shared" si="21"/>
        <v>-1.9924076887795126</v>
      </c>
      <c r="V72" s="383">
        <f t="shared" si="5"/>
        <v>28.525695702282309</v>
      </c>
      <c r="W72" s="58"/>
      <c r="X72" s="157">
        <f t="shared" si="6"/>
        <v>43158</v>
      </c>
      <c r="Y72" s="385">
        <f t="shared" si="7"/>
        <v>0</v>
      </c>
      <c r="Z72" s="385">
        <f t="shared" si="8"/>
        <v>0</v>
      </c>
      <c r="AA72" s="386">
        <f t="shared" si="9"/>
        <v>0</v>
      </c>
      <c r="AB72" s="197">
        <f t="shared" si="10"/>
        <v>43158</v>
      </c>
      <c r="AC72" s="427">
        <f t="shared" si="11"/>
        <v>0</v>
      </c>
      <c r="AD72" s="169">
        <f>(INDEX(Models!$BJ72:$BT72,,AH72)*(1-AF72)+INDEX(Models!$BJ72:$BT72,,AH72+1)*AF72-ERP_i)*AE72*Ramure*Pc/MaxiM</f>
        <v>4.0857009058772875E-5</v>
      </c>
      <c r="AE72" s="305">
        <f t="shared" si="12"/>
        <v>0.7</v>
      </c>
      <c r="AF72" s="177">
        <f t="shared" si="13"/>
        <v>7.5923112204874244E-3</v>
      </c>
      <c r="AG72" s="817">
        <f t="shared" si="22"/>
        <v>-2</v>
      </c>
      <c r="AH72" s="176">
        <f t="shared" si="14"/>
        <v>4</v>
      </c>
      <c r="AI72" s="225">
        <f t="shared" si="15"/>
        <v>-1.9924076887795126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4"/>
        <v>43159</v>
      </c>
      <c r="B73" s="621"/>
      <c r="C73" s="859"/>
      <c r="D73" s="393"/>
      <c r="E73" s="385"/>
      <c r="F73" s="385"/>
      <c r="G73" s="110"/>
      <c r="I73" s="380">
        <f t="shared" si="0"/>
        <v>0</v>
      </c>
      <c r="J73" s="85">
        <v>2018</v>
      </c>
      <c r="K73" s="197">
        <f t="shared" si="1"/>
        <v>43159</v>
      </c>
      <c r="L73" s="438">
        <f t="shared" si="2"/>
        <v>0</v>
      </c>
      <c r="M73" s="861"/>
      <c r="N73" s="861"/>
      <c r="O73" s="324">
        <f t="shared" si="3"/>
        <v>0</v>
      </c>
      <c r="P73" s="169">
        <f>(INDEX(Models!$BJ73:$BT73,,T73)*(1-R73)+INDEX(Models!$BJ73:$BT73,,T73+1)*R73-ERP_i)*Q73*Ramure*Pc/MaxiM</f>
        <v>3.9256228389627426E-5</v>
      </c>
      <c r="Q73" s="305">
        <f t="shared" si="18"/>
        <v>0.7</v>
      </c>
      <c r="R73" s="177">
        <f t="shared" si="4"/>
        <v>7.8883727930749714E-3</v>
      </c>
      <c r="S73" s="817">
        <f t="shared" si="19"/>
        <v>-2</v>
      </c>
      <c r="T73" s="176">
        <f t="shared" si="20"/>
        <v>4</v>
      </c>
      <c r="U73" s="251">
        <f t="shared" si="21"/>
        <v>-1.992111627206925</v>
      </c>
      <c r="V73" s="383">
        <f t="shared" si="5"/>
        <v>28.83191659283737</v>
      </c>
      <c r="W73" s="58"/>
      <c r="X73" s="157">
        <f t="shared" si="6"/>
        <v>43159</v>
      </c>
      <c r="Y73" s="385">
        <f t="shared" si="7"/>
        <v>0</v>
      </c>
      <c r="Z73" s="385">
        <f t="shared" si="8"/>
        <v>0</v>
      </c>
      <c r="AA73" s="386">
        <f t="shared" si="9"/>
        <v>0</v>
      </c>
      <c r="AB73" s="197">
        <f t="shared" si="10"/>
        <v>43159</v>
      </c>
      <c r="AC73" s="427">
        <f t="shared" si="11"/>
        <v>0</v>
      </c>
      <c r="AD73" s="169">
        <f>(INDEX(Models!$BJ73:$BT73,,AH73)*(1-AF73)+INDEX(Models!$BJ73:$BT73,,AH73+1)*AF73-ERP_i)*AE73*Ramure*Pc/MaxiM</f>
        <v>3.9256228389627426E-5</v>
      </c>
      <c r="AE73" s="305">
        <f t="shared" si="12"/>
        <v>0.7</v>
      </c>
      <c r="AF73" s="177">
        <f t="shared" si="13"/>
        <v>7.8883727930749714E-3</v>
      </c>
      <c r="AG73" s="817">
        <f t="shared" si="22"/>
        <v>-2</v>
      </c>
      <c r="AH73" s="176">
        <f t="shared" si="14"/>
        <v>4</v>
      </c>
      <c r="AI73" s="225">
        <f t="shared" si="15"/>
        <v>-1.992111627206925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4"/>
        <v>43160</v>
      </c>
      <c r="B74" s="621"/>
      <c r="C74" s="859"/>
      <c r="D74" s="393"/>
      <c r="E74" s="385"/>
      <c r="F74" s="385"/>
      <c r="G74" s="110"/>
      <c r="I74" s="380">
        <f t="shared" si="0"/>
        <v>0</v>
      </c>
      <c r="J74" s="85">
        <v>2018</v>
      </c>
      <c r="K74" s="197">
        <f t="shared" si="1"/>
        <v>43160</v>
      </c>
      <c r="L74" s="438">
        <f t="shared" si="2"/>
        <v>0</v>
      </c>
      <c r="M74" s="861"/>
      <c r="N74" s="861"/>
      <c r="O74" s="324">
        <f t="shared" si="3"/>
        <v>0</v>
      </c>
      <c r="P74" s="169">
        <f>(INDEX(Models!$BJ74:$BT74,,T74)*(1-R74)+INDEX(Models!$BJ74:$BT74,,T74+1)*R74-ERP_i)*Q74*Ramure*Pc/MaxiM</f>
        <v>3.7543151224310075E-5</v>
      </c>
      <c r="Q74" s="305">
        <f t="shared" si="18"/>
        <v>0.7</v>
      </c>
      <c r="R74" s="177">
        <f t="shared" si="4"/>
        <v>8.1964772381337703E-3</v>
      </c>
      <c r="S74" s="817">
        <f t="shared" si="19"/>
        <v>-2</v>
      </c>
      <c r="T74" s="176">
        <f t="shared" si="20"/>
        <v>4</v>
      </c>
      <c r="U74" s="251">
        <f t="shared" si="21"/>
        <v>-1.9918035227618662</v>
      </c>
      <c r="V74" s="383">
        <f t="shared" si="5"/>
        <v>29.137142793468659</v>
      </c>
      <c r="W74" s="58"/>
      <c r="X74" s="157">
        <f t="shared" si="6"/>
        <v>43160</v>
      </c>
      <c r="Y74" s="385">
        <f t="shared" si="7"/>
        <v>0</v>
      </c>
      <c r="Z74" s="385">
        <f t="shared" si="8"/>
        <v>0</v>
      </c>
      <c r="AA74" s="386">
        <f t="shared" si="9"/>
        <v>0</v>
      </c>
      <c r="AB74" s="197">
        <f t="shared" si="10"/>
        <v>43160</v>
      </c>
      <c r="AC74" s="427">
        <f t="shared" si="11"/>
        <v>0</v>
      </c>
      <c r="AD74" s="169">
        <f>(INDEX(Models!$BJ74:$BT74,,AH74)*(1-AF74)+INDEX(Models!$BJ74:$BT74,,AH74+1)*AF74-ERP_i)*AE74*Ramure*Pc/MaxiM</f>
        <v>3.7543151224310075E-5</v>
      </c>
      <c r="AE74" s="305">
        <f t="shared" si="12"/>
        <v>0.7</v>
      </c>
      <c r="AF74" s="177">
        <f t="shared" si="13"/>
        <v>8.1964772381337703E-3</v>
      </c>
      <c r="AG74" s="817">
        <f t="shared" si="22"/>
        <v>-2</v>
      </c>
      <c r="AH74" s="176">
        <f t="shared" si="14"/>
        <v>4</v>
      </c>
      <c r="AI74" s="225">
        <f t="shared" si="15"/>
        <v>-1.9918035227618662</v>
      </c>
      <c r="AJ74" s="265" t="b">
        <f t="shared" si="16"/>
        <v>1</v>
      </c>
      <c r="AK74" s="265" t="b">
        <f t="shared" si="17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4"/>
        <v>43161</v>
      </c>
      <c r="B75" s="621"/>
      <c r="C75" s="859"/>
      <c r="D75" s="393"/>
      <c r="E75" s="385"/>
      <c r="F75" s="385"/>
      <c r="G75" s="110"/>
      <c r="I75" s="380">
        <f t="shared" si="0"/>
        <v>0</v>
      </c>
      <c r="J75" s="85">
        <v>2018</v>
      </c>
      <c r="K75" s="197">
        <f t="shared" si="1"/>
        <v>43161</v>
      </c>
      <c r="L75" s="438">
        <f t="shared" si="2"/>
        <v>0</v>
      </c>
      <c r="M75" s="861"/>
      <c r="N75" s="861"/>
      <c r="O75" s="324">
        <f t="shared" si="3"/>
        <v>0</v>
      </c>
      <c r="P75" s="169">
        <f>(INDEX(Models!$BJ75:$BT75,,T75)*(1-R75)+INDEX(Models!$BJ75:$BT75,,T75+1)*R75-ERP_i)*Q75*Ramure*Pc/MaxiM</f>
        <v>3.5714373883104188E-5</v>
      </c>
      <c r="Q75" s="305">
        <f t="shared" si="18"/>
        <v>0.7</v>
      </c>
      <c r="R75" s="177">
        <f t="shared" si="4"/>
        <v>8.5170982073954349E-3</v>
      </c>
      <c r="S75" s="817">
        <f t="shared" si="19"/>
        <v>-2</v>
      </c>
      <c r="T75" s="176">
        <f t="shared" si="20"/>
        <v>4</v>
      </c>
      <c r="U75" s="251">
        <f t="shared" si="21"/>
        <v>-1.9914829017926046</v>
      </c>
      <c r="V75" s="383">
        <f t="shared" si="5"/>
        <v>29.441374502468616</v>
      </c>
      <c r="W75" s="58"/>
      <c r="X75" s="157">
        <f t="shared" si="6"/>
        <v>43161</v>
      </c>
      <c r="Y75" s="385">
        <f t="shared" si="7"/>
        <v>0</v>
      </c>
      <c r="Z75" s="385">
        <f t="shared" si="8"/>
        <v>0</v>
      </c>
      <c r="AA75" s="386">
        <f t="shared" si="9"/>
        <v>0</v>
      </c>
      <c r="AB75" s="197">
        <f t="shared" si="10"/>
        <v>43161</v>
      </c>
      <c r="AC75" s="427">
        <f t="shared" si="11"/>
        <v>0</v>
      </c>
      <c r="AD75" s="169">
        <f>(INDEX(Models!$BJ75:$BT75,,AH75)*(1-AF75)+INDEX(Models!$BJ75:$BT75,,AH75+1)*AF75-ERP_i)*AE75*Ramure*Pc/MaxiM</f>
        <v>3.5714373883104188E-5</v>
      </c>
      <c r="AE75" s="305">
        <f t="shared" si="12"/>
        <v>0.7</v>
      </c>
      <c r="AF75" s="177">
        <f t="shared" si="13"/>
        <v>8.5170982073954349E-3</v>
      </c>
      <c r="AG75" s="817">
        <f t="shared" si="22"/>
        <v>-2</v>
      </c>
      <c r="AH75" s="176">
        <f t="shared" si="14"/>
        <v>4</v>
      </c>
      <c r="AI75" s="225">
        <f t="shared" si="15"/>
        <v>-1.9914829017926046</v>
      </c>
      <c r="AJ75" s="265" t="b">
        <f t="shared" si="16"/>
        <v>1</v>
      </c>
      <c r="AK75" s="265" t="b">
        <f t="shared" si="17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4"/>
        <v>43162</v>
      </c>
      <c r="B76" s="621"/>
      <c r="C76" s="859"/>
      <c r="D76" s="393"/>
      <c r="E76" s="385"/>
      <c r="F76" s="385"/>
      <c r="G76" s="110"/>
      <c r="I76" s="380">
        <f t="shared" si="0"/>
        <v>0</v>
      </c>
      <c r="J76" s="85">
        <v>2018</v>
      </c>
      <c r="K76" s="197">
        <f t="shared" si="1"/>
        <v>43162</v>
      </c>
      <c r="L76" s="438">
        <f t="shared" si="2"/>
        <v>0</v>
      </c>
      <c r="M76" s="861"/>
      <c r="N76" s="861"/>
      <c r="O76" s="324">
        <f t="shared" si="3"/>
        <v>0</v>
      </c>
      <c r="P76" s="169">
        <f>(INDEX(Models!$BJ76:$BT76,,T76)*(1-R76)+INDEX(Models!$BJ76:$BT76,,T76+1)*R76-ERP_i)*Q76*Ramure*Pc/MaxiM</f>
        <v>3.3766412329509866E-5</v>
      </c>
      <c r="Q76" s="305">
        <f t="shared" si="18"/>
        <v>0.7</v>
      </c>
      <c r="R76" s="177">
        <f t="shared" si="4"/>
        <v>8.8507266172532795E-3</v>
      </c>
      <c r="S76" s="817">
        <f t="shared" si="19"/>
        <v>-2</v>
      </c>
      <c r="T76" s="176">
        <f t="shared" si="20"/>
        <v>4</v>
      </c>
      <c r="U76" s="251">
        <f t="shared" si="21"/>
        <v>-1.9911492733827467</v>
      </c>
      <c r="V76" s="383">
        <f t="shared" si="5"/>
        <v>29.744611923921486</v>
      </c>
      <c r="W76" s="58"/>
      <c r="X76" s="157">
        <f t="shared" si="6"/>
        <v>43162</v>
      </c>
      <c r="Y76" s="385">
        <f t="shared" si="7"/>
        <v>0</v>
      </c>
      <c r="Z76" s="385">
        <f t="shared" si="8"/>
        <v>0</v>
      </c>
      <c r="AA76" s="386">
        <f t="shared" si="9"/>
        <v>0</v>
      </c>
      <c r="AB76" s="197">
        <f t="shared" si="10"/>
        <v>43162</v>
      </c>
      <c r="AC76" s="427">
        <f t="shared" si="11"/>
        <v>0</v>
      </c>
      <c r="AD76" s="169">
        <f>(INDEX(Models!$BJ76:$BT76,,AH76)*(1-AF76)+INDEX(Models!$BJ76:$BT76,,AH76+1)*AF76-ERP_i)*AE76*Ramure*Pc/MaxiM</f>
        <v>3.3766412329509866E-5</v>
      </c>
      <c r="AE76" s="305">
        <f t="shared" si="12"/>
        <v>0.7</v>
      </c>
      <c r="AF76" s="177">
        <f t="shared" si="13"/>
        <v>8.8507266172532795E-3</v>
      </c>
      <c r="AG76" s="817">
        <f t="shared" si="22"/>
        <v>-2</v>
      </c>
      <c r="AH76" s="176">
        <f t="shared" si="14"/>
        <v>4</v>
      </c>
      <c r="AI76" s="225">
        <f t="shared" si="15"/>
        <v>-1.9911492733827467</v>
      </c>
      <c r="AJ76" s="265" t="b">
        <f t="shared" si="16"/>
        <v>1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24"/>
        <v>43163</v>
      </c>
      <c r="B77" s="621"/>
      <c r="C77" s="859"/>
      <c r="D77" s="393"/>
      <c r="E77" s="385"/>
      <c r="F77" s="385"/>
      <c r="G77" s="110"/>
      <c r="I77" s="380">
        <f t="shared" si="0"/>
        <v>0</v>
      </c>
      <c r="J77" s="85">
        <v>2018</v>
      </c>
      <c r="K77" s="197">
        <f t="shared" si="1"/>
        <v>43163</v>
      </c>
      <c r="L77" s="438">
        <f t="shared" si="2"/>
        <v>0</v>
      </c>
      <c r="M77" s="861"/>
      <c r="N77" s="861"/>
      <c r="O77" s="324">
        <f t="shared" si="3"/>
        <v>0</v>
      </c>
      <c r="P77" s="169">
        <f>(INDEX(Models!$BJ77:$BT77,,T77)*(1-R77)+INDEX(Models!$BJ77:$BT77,,T77+1)*R77-ERP_i)*Q77*Ramure*Pc/MaxiM</f>
        <v>3.1695704336968138E-5</v>
      </c>
      <c r="Q77" s="305">
        <f t="shared" si="18"/>
        <v>0.7</v>
      </c>
      <c r="R77" s="177">
        <f t="shared" si="4"/>
        <v>9.1978711623514897E-3</v>
      </c>
      <c r="S77" s="817">
        <f t="shared" si="19"/>
        <v>-2</v>
      </c>
      <c r="T77" s="176">
        <f t="shared" si="20"/>
        <v>4</v>
      </c>
      <c r="U77" s="251">
        <f t="shared" si="21"/>
        <v>-1.9908021288376485</v>
      </c>
      <c r="V77" s="383">
        <f t="shared" si="5"/>
        <v>30.046855266461748</v>
      </c>
      <c r="W77" s="58"/>
      <c r="X77" s="157">
        <f t="shared" si="6"/>
        <v>43163</v>
      </c>
      <c r="Y77" s="385">
        <f t="shared" si="7"/>
        <v>0</v>
      </c>
      <c r="Z77" s="385">
        <f t="shared" si="8"/>
        <v>0</v>
      </c>
      <c r="AA77" s="386">
        <f t="shared" si="9"/>
        <v>0</v>
      </c>
      <c r="AB77" s="197">
        <f t="shared" si="10"/>
        <v>43163</v>
      </c>
      <c r="AC77" s="427">
        <f t="shared" si="11"/>
        <v>0</v>
      </c>
      <c r="AD77" s="169">
        <f>(INDEX(Models!$BJ77:$BT77,,AH77)*(1-AF77)+INDEX(Models!$BJ77:$BT77,,AH77+1)*AF77-ERP_i)*AE77*Ramure*Pc/MaxiM</f>
        <v>3.1695704336968138E-5</v>
      </c>
      <c r="AE77" s="305">
        <f t="shared" si="12"/>
        <v>0.7</v>
      </c>
      <c r="AF77" s="177">
        <f t="shared" si="13"/>
        <v>9.1978711623514897E-3</v>
      </c>
      <c r="AG77" s="817">
        <f t="shared" si="22"/>
        <v>-2</v>
      </c>
      <c r="AH77" s="176">
        <f t="shared" si="14"/>
        <v>4</v>
      </c>
      <c r="AI77" s="225">
        <f t="shared" si="15"/>
        <v>-1.9908021288376485</v>
      </c>
      <c r="AJ77" s="265" t="b">
        <f t="shared" si="16"/>
        <v>1</v>
      </c>
      <c r="AK77" s="265" t="b">
        <f t="shared" si="17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4"/>
        <v>43164</v>
      </c>
      <c r="B78" s="621"/>
      <c r="C78" s="859"/>
      <c r="D78" s="393"/>
      <c r="E78" s="385"/>
      <c r="F78" s="385"/>
      <c r="G78" s="110"/>
      <c r="I78" s="380">
        <f t="shared" si="0"/>
        <v>0</v>
      </c>
      <c r="J78" s="85">
        <v>2018</v>
      </c>
      <c r="K78" s="197">
        <f t="shared" si="1"/>
        <v>43164</v>
      </c>
      <c r="L78" s="438">
        <f t="shared" si="2"/>
        <v>0</v>
      </c>
      <c r="M78" s="861"/>
      <c r="N78" s="861"/>
      <c r="O78" s="324">
        <f t="shared" si="3"/>
        <v>0</v>
      </c>
      <c r="P78" s="169">
        <f>(INDEX(Models!$BJ78:$BT78,,T78)*(1-R78)+INDEX(Models!$BJ78:$BT78,,T78+1)*R78-ERP_i)*Q78*Ramure*Pc/MaxiM</f>
        <v>2.9498611793806165E-5</v>
      </c>
      <c r="Q78" s="305">
        <f t="shared" si="18"/>
        <v>0.7</v>
      </c>
      <c r="R78" s="177">
        <f t="shared" si="4"/>
        <v>9.559058834247125E-3</v>
      </c>
      <c r="S78" s="817">
        <f t="shared" si="19"/>
        <v>-2</v>
      </c>
      <c r="T78" s="176">
        <f t="shared" si="20"/>
        <v>4</v>
      </c>
      <c r="U78" s="251">
        <f t="shared" si="21"/>
        <v>-1.9904409411657529</v>
      </c>
      <c r="V78" s="383">
        <f t="shared" si="5"/>
        <v>30.348104746466763</v>
      </c>
      <c r="W78" s="58"/>
      <c r="X78" s="157">
        <f t="shared" si="6"/>
        <v>43164</v>
      </c>
      <c r="Y78" s="385">
        <f t="shared" si="7"/>
        <v>0</v>
      </c>
      <c r="Z78" s="385">
        <f t="shared" si="8"/>
        <v>0</v>
      </c>
      <c r="AA78" s="386">
        <f t="shared" si="9"/>
        <v>0</v>
      </c>
      <c r="AB78" s="197">
        <f t="shared" si="10"/>
        <v>43164</v>
      </c>
      <c r="AC78" s="427">
        <f t="shared" si="11"/>
        <v>0</v>
      </c>
      <c r="AD78" s="169">
        <f>(INDEX(Models!$BJ78:$BT78,,AH78)*(1-AF78)+INDEX(Models!$BJ78:$BT78,,AH78+1)*AF78-ERP_i)*AE78*Ramure*Pc/MaxiM</f>
        <v>2.9498611793806165E-5</v>
      </c>
      <c r="AE78" s="305">
        <f t="shared" si="12"/>
        <v>0.7</v>
      </c>
      <c r="AF78" s="177">
        <f t="shared" si="13"/>
        <v>9.559058834247125E-3</v>
      </c>
      <c r="AG78" s="817">
        <f t="shared" si="22"/>
        <v>-2</v>
      </c>
      <c r="AH78" s="176">
        <f t="shared" si="14"/>
        <v>4</v>
      </c>
      <c r="AI78" s="225">
        <f t="shared" si="15"/>
        <v>-1.9904409411657529</v>
      </c>
      <c r="AJ78" s="265" t="b">
        <f t="shared" si="16"/>
        <v>1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24"/>
        <v>43165</v>
      </c>
      <c r="B79" s="621"/>
      <c r="C79" s="859"/>
      <c r="D79" s="393"/>
      <c r="E79" s="385"/>
      <c r="F79" s="385"/>
      <c r="G79" s="110"/>
      <c r="I79" s="380">
        <f t="shared" ref="I79:I142" si="25">Wh_hp</f>
        <v>0</v>
      </c>
      <c r="J79" s="85">
        <v>2018</v>
      </c>
      <c r="K79" s="197">
        <f t="shared" ref="K79:K142" si="26">t</f>
        <v>43165</v>
      </c>
      <c r="L79" s="438">
        <f t="shared" ref="L79:L142" si="27">IF(t&lt;T0,0,IF(t&lt;Tvie,1-EXP((T0-t)*PertePVj),1-EXP((T0-t)*PertePVj)+Pspv))</f>
        <v>0</v>
      </c>
      <c r="M79" s="861"/>
      <c r="N79" s="861"/>
      <c r="O79" s="324">
        <f t="shared" ref="O79:O142" si="28">IF(t&lt;T0,0,IF(t&lt;Tnet,Salim_i*(1-EXP((T0-t)/Tau_ij)),Resal+(Salim-Resal)*(1-EXP((Tnet-t)/(Tau_j)))))*Salcycl</f>
        <v>0</v>
      </c>
      <c r="P79" s="169">
        <f>(INDEX(Models!$BJ79:$BT79,,T79)*(1-R79)+INDEX(Models!$BJ79:$BT79,,T79+1)*R79-ERP_i)*Q79*Ramure*Pc/MaxiM</f>
        <v>2.7170600849357558E-5</v>
      </c>
      <c r="Q79" s="305">
        <f t="shared" ref="Q79:Q142" si="29">IF(OR(t&lt;Ttai,Notai),Dd+PousD*Croivg,Dens+PousD*(Croivg-Croi_tai))</f>
        <v>0.7</v>
      </c>
      <c r="R79" s="177">
        <f t="shared" ref="R79:R142" si="30">(Hp_vg-S79)/(INDEX(Echel_vg,T79+1)-S79)</f>
        <v>9.9348354441453068E-3</v>
      </c>
      <c r="S79" s="817">
        <f t="shared" si="19"/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-1.9900651645558547</v>
      </c>
      <c r="V79" s="383">
        <f t="shared" ref="V79:V142" si="33">MaxiM*(1-Ppv)*(1-Pvg)*(1-Psa)</f>
        <v>30.649288209078726</v>
      </c>
      <c r="W79" s="58"/>
      <c r="X79" s="157">
        <f t="shared" ref="X79:X142" si="34">t</f>
        <v>43165</v>
      </c>
      <c r="Y79" s="385">
        <f t="shared" ref="Y79:Y142" si="35">Wh_pvt_s*(1-Ppv)</f>
        <v>0</v>
      </c>
      <c r="Z79" s="385">
        <f t="shared" ref="Z79:Z142" si="36">Wh_sa_s*(1-Psa_s)</f>
        <v>0</v>
      </c>
      <c r="AA79" s="386">
        <f t="shared" ref="AA79:AA142" si="37">Wh_hp*(1-Pvg_s*MEDIAN((-Sdif+Wh/Env_an)/Csdif,0,1))</f>
        <v>0</v>
      </c>
      <c r="AB79" s="197">
        <f t="shared" ref="AB79:AB142" si="38">t</f>
        <v>43165</v>
      </c>
      <c r="AC79" s="427">
        <f t="shared" ref="AC79:AC142" si="39">IF(t&lt;T0,0,IF(OR(t&lt;Tnet,NoTnet),Salim_i*(1-EXP((T0-t)/Tau_ij)),Resal_s+(Salim-Resal_s)*(1-EXP((Tnet_s-t)/Tau_j))))*Salcycl</f>
        <v>0</v>
      </c>
      <c r="AD79" s="169">
        <f>(INDEX(Models!$BJ79:$BT79,,AH79)*(1-AF79)+INDEX(Models!$BJ79:$BT79,,AH79+1)*AF79-ERP_i)*AE79*Ramure*Pc/MaxiM</f>
        <v>2.7170600849357558E-5</v>
      </c>
      <c r="AE79" s="305">
        <f t="shared" ref="AE79:AE142" si="40">Dd+PousD*Croivg</f>
        <v>0.7</v>
      </c>
      <c r="AF79" s="177">
        <f t="shared" ref="AF79:AF142" si="41">(Hp_vg_s-AG79)/(INDEX(Echel_vg,AH79+1)-AG79)</f>
        <v>9.9348354441453068E-3</v>
      </c>
      <c r="AG79" s="817">
        <f t="shared" ref="AG79:AG142" si="42">INDEX(Echel_vg,AH79)</f>
        <v>-2</v>
      </c>
      <c r="AH79" s="176">
        <f t="shared" ref="AH79:AH142" si="43">MIN(MATCH(Hp_vg_s,Echel_vg),10)</f>
        <v>4</v>
      </c>
      <c r="AI79" s="225">
        <f t="shared" ref="AI79:AI142" si="44">Hdd+PousH*Croivg</f>
        <v>-1.9900651645558547</v>
      </c>
      <c r="AJ79" s="265" t="b">
        <f t="shared" ref="AJ79:AJ142" si="45">t&lt;Tnet</f>
        <v>1</v>
      </c>
      <c r="AK79" s="265" t="b">
        <f t="shared" ref="AK79:AK142" si="46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7">A79+1</f>
        <v>43166</v>
      </c>
      <c r="B80" s="621"/>
      <c r="C80" s="859"/>
      <c r="D80" s="393"/>
      <c r="E80" s="385"/>
      <c r="F80" s="385"/>
      <c r="G80" s="110"/>
      <c r="I80" s="380">
        <f t="shared" si="25"/>
        <v>0</v>
      </c>
      <c r="J80" s="85">
        <v>2018</v>
      </c>
      <c r="K80" s="197">
        <f t="shared" si="26"/>
        <v>43166</v>
      </c>
      <c r="L80" s="438">
        <f t="shared" si="27"/>
        <v>0</v>
      </c>
      <c r="M80" s="861"/>
      <c r="N80" s="861"/>
      <c r="O80" s="324">
        <f t="shared" si="28"/>
        <v>0</v>
      </c>
      <c r="P80" s="169">
        <f>(INDEX(Models!$BJ80:$BT80,,T80)*(1-R80)+INDEX(Models!$BJ80:$BT80,,T80+1)*R80-ERP_i)*Q80*Ramure*Pc/MaxiM</f>
        <v>2.4853996524600537E-5</v>
      </c>
      <c r="Q80" s="305">
        <f t="shared" si="29"/>
        <v>0.7</v>
      </c>
      <c r="R80" s="177">
        <f t="shared" si="30"/>
        <v>1.0325766148580939E-2</v>
      </c>
      <c r="S80" s="817">
        <f t="shared" ref="S80:S143" si="48">INDEX(Echel_vg,T80)</f>
        <v>-2</v>
      </c>
      <c r="T80" s="176">
        <f t="shared" si="31"/>
        <v>4</v>
      </c>
      <c r="U80" s="251">
        <f t="shared" si="32"/>
        <v>-1.9896742338514191</v>
      </c>
      <c r="V80" s="383">
        <f t="shared" si="33"/>
        <v>30.951043551817637</v>
      </c>
      <c r="W80" s="58"/>
      <c r="X80" s="157">
        <f t="shared" si="34"/>
        <v>43166</v>
      </c>
      <c r="Y80" s="385">
        <f t="shared" si="35"/>
        <v>0</v>
      </c>
      <c r="Z80" s="385">
        <f t="shared" si="36"/>
        <v>0</v>
      </c>
      <c r="AA80" s="386">
        <f t="shared" si="37"/>
        <v>0</v>
      </c>
      <c r="AB80" s="197">
        <f t="shared" si="38"/>
        <v>43166</v>
      </c>
      <c r="AC80" s="427">
        <f t="shared" si="39"/>
        <v>0</v>
      </c>
      <c r="AD80" s="169">
        <f>(INDEX(Models!$BJ80:$BT80,,AH80)*(1-AF80)+INDEX(Models!$BJ80:$BT80,,AH80+1)*AF80-ERP_i)*AE80*Ramure*Pc/MaxiM</f>
        <v>2.4853996524600537E-5</v>
      </c>
      <c r="AE80" s="305">
        <f t="shared" si="40"/>
        <v>0.7</v>
      </c>
      <c r="AF80" s="177">
        <f t="shared" si="41"/>
        <v>1.0325766148580939E-2</v>
      </c>
      <c r="AG80" s="817">
        <f t="shared" si="42"/>
        <v>-2</v>
      </c>
      <c r="AH80" s="176">
        <f t="shared" si="43"/>
        <v>4</v>
      </c>
      <c r="AI80" s="225">
        <f t="shared" si="44"/>
        <v>-1.9896742338514191</v>
      </c>
      <c r="AJ80" s="265" t="b">
        <f t="shared" si="45"/>
        <v>1</v>
      </c>
      <c r="AK80" s="265" t="b">
        <f t="shared" si="46"/>
        <v>0</v>
      </c>
      <c r="AL80" s="265"/>
      <c r="AM80" s="265"/>
      <c r="AN80" s="75"/>
    </row>
    <row r="81" spans="1:40" s="6" customFormat="1" ht="11.25" x14ac:dyDescent="0.2">
      <c r="A81" s="56">
        <f t="shared" si="47"/>
        <v>43167</v>
      </c>
      <c r="B81" s="621"/>
      <c r="C81" s="859"/>
      <c r="D81" s="393"/>
      <c r="E81" s="385"/>
      <c r="F81" s="385"/>
      <c r="G81" s="110"/>
      <c r="I81" s="380">
        <f t="shared" si="25"/>
        <v>0</v>
      </c>
      <c r="J81" s="85">
        <v>2018</v>
      </c>
      <c r="K81" s="197">
        <f t="shared" si="26"/>
        <v>43167</v>
      </c>
      <c r="L81" s="438">
        <f t="shared" si="27"/>
        <v>0</v>
      </c>
      <c r="M81" s="861"/>
      <c r="N81" s="861"/>
      <c r="O81" s="324">
        <f t="shared" si="28"/>
        <v>0</v>
      </c>
      <c r="P81" s="169">
        <f>(INDEX(Models!$BJ81:$BT81,,T81)*(1-R81)+INDEX(Models!$BJ81:$BT81,,T81+1)*R81-ERP_i)*Q81*Ramure*Pc/MaxiM</f>
        <v>2.2548111251382931E-5</v>
      </c>
      <c r="Q81" s="305">
        <f t="shared" si="29"/>
        <v>0.7</v>
      </c>
      <c r="R81" s="177">
        <f t="shared" si="30"/>
        <v>1.0732435976791077E-2</v>
      </c>
      <c r="S81" s="817">
        <f t="shared" si="48"/>
        <v>-2</v>
      </c>
      <c r="T81" s="176">
        <f t="shared" si="31"/>
        <v>4</v>
      </c>
      <c r="U81" s="251">
        <f t="shared" si="32"/>
        <v>-1.9892675640232089</v>
      </c>
      <c r="V81" s="383">
        <f t="shared" si="33"/>
        <v>31.252942665639392</v>
      </c>
      <c r="W81" s="58"/>
      <c r="X81" s="157">
        <f t="shared" si="34"/>
        <v>43167</v>
      </c>
      <c r="Y81" s="385">
        <f t="shared" si="35"/>
        <v>0</v>
      </c>
      <c r="Z81" s="385">
        <f t="shared" si="36"/>
        <v>0</v>
      </c>
      <c r="AA81" s="386">
        <f t="shared" si="37"/>
        <v>0</v>
      </c>
      <c r="AB81" s="197">
        <f t="shared" si="38"/>
        <v>43167</v>
      </c>
      <c r="AC81" s="427">
        <f t="shared" si="39"/>
        <v>0</v>
      </c>
      <c r="AD81" s="169">
        <f>(INDEX(Models!$BJ81:$BT81,,AH81)*(1-AF81)+INDEX(Models!$BJ81:$BT81,,AH81+1)*AF81-ERP_i)*AE81*Ramure*Pc/MaxiM</f>
        <v>2.2548111251382931E-5</v>
      </c>
      <c r="AE81" s="305">
        <f t="shared" si="40"/>
        <v>0.7</v>
      </c>
      <c r="AF81" s="177">
        <f t="shared" si="41"/>
        <v>1.0732435976791077E-2</v>
      </c>
      <c r="AG81" s="817">
        <f t="shared" si="42"/>
        <v>-2</v>
      </c>
      <c r="AH81" s="176">
        <f t="shared" si="43"/>
        <v>4</v>
      </c>
      <c r="AI81" s="225">
        <f t="shared" si="44"/>
        <v>-1.9892675640232089</v>
      </c>
      <c r="AJ81" s="265" t="b">
        <f t="shared" si="45"/>
        <v>1</v>
      </c>
      <c r="AK81" s="265" t="b">
        <f t="shared" si="46"/>
        <v>0</v>
      </c>
      <c r="AL81" s="265"/>
      <c r="AM81" s="265"/>
      <c r="AN81" s="75"/>
    </row>
    <row r="82" spans="1:40" s="6" customFormat="1" ht="11.25" x14ac:dyDescent="0.2">
      <c r="A82" s="56">
        <f t="shared" si="47"/>
        <v>43168</v>
      </c>
      <c r="B82" s="621"/>
      <c r="C82" s="859"/>
      <c r="D82" s="393"/>
      <c r="E82" s="385"/>
      <c r="F82" s="385"/>
      <c r="G82" s="110"/>
      <c r="I82" s="380">
        <f t="shared" si="25"/>
        <v>0</v>
      </c>
      <c r="J82" s="85">
        <v>2018</v>
      </c>
      <c r="K82" s="197">
        <f t="shared" si="26"/>
        <v>43168</v>
      </c>
      <c r="L82" s="438">
        <f t="shared" si="27"/>
        <v>0</v>
      </c>
      <c r="M82" s="861"/>
      <c r="N82" s="861"/>
      <c r="O82" s="324">
        <f t="shared" si="28"/>
        <v>0</v>
      </c>
      <c r="P82" s="169">
        <f>(INDEX(Models!$BJ82:$BT82,,T82)*(1-R82)+INDEX(Models!$BJ82:$BT82,,T82+1)*R82-ERP_i)*Q82*Ramure*Pc/MaxiM</f>
        <v>2.02643358619757E-5</v>
      </c>
      <c r="Q82" s="305">
        <f t="shared" si="29"/>
        <v>0.7</v>
      </c>
      <c r="R82" s="177">
        <f t="shared" si="30"/>
        <v>1.115545035837795E-2</v>
      </c>
      <c r="S82" s="817">
        <f t="shared" si="48"/>
        <v>-2</v>
      </c>
      <c r="T82" s="176">
        <f t="shared" si="31"/>
        <v>4</v>
      </c>
      <c r="U82" s="251">
        <f t="shared" si="32"/>
        <v>-1.9888445496416221</v>
      </c>
      <c r="V82" s="383">
        <f t="shared" si="33"/>
        <v>31.554557056693501</v>
      </c>
      <c r="W82" s="58"/>
      <c r="X82" s="157">
        <f t="shared" si="34"/>
        <v>43168</v>
      </c>
      <c r="Y82" s="385">
        <f t="shared" si="35"/>
        <v>0</v>
      </c>
      <c r="Z82" s="385">
        <f t="shared" si="36"/>
        <v>0</v>
      </c>
      <c r="AA82" s="386">
        <f t="shared" si="37"/>
        <v>0</v>
      </c>
      <c r="AB82" s="197">
        <f t="shared" si="38"/>
        <v>43168</v>
      </c>
      <c r="AC82" s="427">
        <f t="shared" si="39"/>
        <v>0</v>
      </c>
      <c r="AD82" s="169">
        <f>(INDEX(Models!$BJ82:$BT82,,AH82)*(1-AF82)+INDEX(Models!$BJ82:$BT82,,AH82+1)*AF82-ERP_i)*AE82*Ramure*Pc/MaxiM</f>
        <v>2.02643358619757E-5</v>
      </c>
      <c r="AE82" s="305">
        <f t="shared" si="40"/>
        <v>0.7</v>
      </c>
      <c r="AF82" s="177">
        <f t="shared" si="41"/>
        <v>1.115545035837795E-2</v>
      </c>
      <c r="AG82" s="817">
        <f t="shared" si="42"/>
        <v>-2</v>
      </c>
      <c r="AH82" s="176">
        <f t="shared" si="43"/>
        <v>4</v>
      </c>
      <c r="AI82" s="225">
        <f t="shared" si="44"/>
        <v>-1.9888445496416221</v>
      </c>
      <c r="AJ82" s="265" t="b">
        <f t="shared" si="45"/>
        <v>1</v>
      </c>
      <c r="AK82" s="265" t="b">
        <f t="shared" si="46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7"/>
        <v>43169</v>
      </c>
      <c r="B83" s="621"/>
      <c r="C83" s="859"/>
      <c r="D83" s="393"/>
      <c r="E83" s="385"/>
      <c r="F83" s="385"/>
      <c r="G83" s="110"/>
      <c r="I83" s="380">
        <f t="shared" si="25"/>
        <v>0</v>
      </c>
      <c r="J83" s="85">
        <v>2018</v>
      </c>
      <c r="K83" s="197">
        <f t="shared" si="26"/>
        <v>43169</v>
      </c>
      <c r="L83" s="438">
        <f t="shared" si="27"/>
        <v>0</v>
      </c>
      <c r="M83" s="861"/>
      <c r="N83" s="861"/>
      <c r="O83" s="324">
        <f t="shared" si="28"/>
        <v>0</v>
      </c>
      <c r="P83" s="169">
        <f>(INDEX(Models!$BJ83:$BT83,,T83)*(1-R83)+INDEX(Models!$BJ83:$BT83,,T83+1)*R83-ERP_i)*Q83*Ramure*Pc/MaxiM</f>
        <v>1.8014820771373254E-5</v>
      </c>
      <c r="Q83" s="305">
        <f t="shared" si="29"/>
        <v>0.7</v>
      </c>
      <c r="R83" s="177">
        <f t="shared" si="30"/>
        <v>1.1595435649714769E-2</v>
      </c>
      <c r="S83" s="817">
        <f t="shared" si="48"/>
        <v>-2</v>
      </c>
      <c r="T83" s="176">
        <f t="shared" si="31"/>
        <v>4</v>
      </c>
      <c r="U83" s="251">
        <f t="shared" si="32"/>
        <v>-1.9884045643502852</v>
      </c>
      <c r="V83" s="383">
        <f t="shared" si="33"/>
        <v>31.855458189210605</v>
      </c>
      <c r="W83" s="58"/>
      <c r="X83" s="157">
        <f t="shared" si="34"/>
        <v>43169</v>
      </c>
      <c r="Y83" s="385">
        <f t="shared" si="35"/>
        <v>0</v>
      </c>
      <c r="Z83" s="385">
        <f t="shared" si="36"/>
        <v>0</v>
      </c>
      <c r="AA83" s="386">
        <f t="shared" si="37"/>
        <v>0</v>
      </c>
      <c r="AB83" s="197">
        <f t="shared" si="38"/>
        <v>43169</v>
      </c>
      <c r="AC83" s="427">
        <f t="shared" si="39"/>
        <v>0</v>
      </c>
      <c r="AD83" s="169">
        <f>(INDEX(Models!$BJ83:$BT83,,AH83)*(1-AF83)+INDEX(Models!$BJ83:$BT83,,AH83+1)*AF83-ERP_i)*AE83*Ramure*Pc/MaxiM</f>
        <v>1.8014820771373254E-5</v>
      </c>
      <c r="AE83" s="305">
        <f t="shared" si="40"/>
        <v>0.7</v>
      </c>
      <c r="AF83" s="177">
        <f t="shared" si="41"/>
        <v>1.1595435649714769E-2</v>
      </c>
      <c r="AG83" s="817">
        <f t="shared" si="42"/>
        <v>-2</v>
      </c>
      <c r="AH83" s="176">
        <f t="shared" si="43"/>
        <v>4</v>
      </c>
      <c r="AI83" s="225">
        <f t="shared" si="44"/>
        <v>-1.9884045643502852</v>
      </c>
      <c r="AJ83" s="265" t="b">
        <f t="shared" si="45"/>
        <v>1</v>
      </c>
      <c r="AK83" s="265" t="b">
        <f t="shared" si="46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7"/>
        <v>43170</v>
      </c>
      <c r="B84" s="621"/>
      <c r="C84" s="859"/>
      <c r="D84" s="393"/>
      <c r="E84" s="385"/>
      <c r="F84" s="385"/>
      <c r="G84" s="110"/>
      <c r="I84" s="380">
        <f t="shared" si="25"/>
        <v>0</v>
      </c>
      <c r="J84" s="85">
        <v>2018</v>
      </c>
      <c r="K84" s="197">
        <f t="shared" si="26"/>
        <v>43170</v>
      </c>
      <c r="L84" s="438">
        <f t="shared" si="27"/>
        <v>0</v>
      </c>
      <c r="M84" s="861"/>
      <c r="N84" s="861"/>
      <c r="O84" s="324">
        <f t="shared" si="28"/>
        <v>0</v>
      </c>
      <c r="P84" s="169">
        <f>(INDEX(Models!$BJ84:$BT84,,T84)*(1-R84)+INDEX(Models!$BJ84:$BT84,,T84+1)*R84-ERP_i)*Q84*Ramure*Pc/MaxiM</f>
        <v>1.5812544284486195E-5</v>
      </c>
      <c r="Q84" s="305">
        <f t="shared" si="29"/>
        <v>0.7</v>
      </c>
      <c r="R84" s="177">
        <f t="shared" si="30"/>
        <v>1.2053039657379472E-2</v>
      </c>
      <c r="S84" s="817">
        <f t="shared" si="48"/>
        <v>-2</v>
      </c>
      <c r="T84" s="176">
        <f t="shared" si="31"/>
        <v>4</v>
      </c>
      <c r="U84" s="251">
        <f t="shared" si="32"/>
        <v>-1.9879469603426205</v>
      </c>
      <c r="V84" s="383">
        <f t="shared" si="33"/>
        <v>32.155217483980159</v>
      </c>
      <c r="W84" s="58"/>
      <c r="X84" s="157">
        <f t="shared" si="34"/>
        <v>43170</v>
      </c>
      <c r="Y84" s="385">
        <f t="shared" si="35"/>
        <v>0</v>
      </c>
      <c r="Z84" s="385">
        <f t="shared" si="36"/>
        <v>0</v>
      </c>
      <c r="AA84" s="386">
        <f t="shared" si="37"/>
        <v>0</v>
      </c>
      <c r="AB84" s="197">
        <f t="shared" si="38"/>
        <v>43170</v>
      </c>
      <c r="AC84" s="427">
        <f t="shared" si="39"/>
        <v>0</v>
      </c>
      <c r="AD84" s="169">
        <f>(INDEX(Models!$BJ84:$BT84,,AH84)*(1-AF84)+INDEX(Models!$BJ84:$BT84,,AH84+1)*AF84-ERP_i)*AE84*Ramure*Pc/MaxiM</f>
        <v>1.5812544284486195E-5</v>
      </c>
      <c r="AE84" s="305">
        <f t="shared" si="40"/>
        <v>0.7</v>
      </c>
      <c r="AF84" s="177">
        <f t="shared" si="41"/>
        <v>1.2053039657379472E-2</v>
      </c>
      <c r="AG84" s="817">
        <f t="shared" si="42"/>
        <v>-2</v>
      </c>
      <c r="AH84" s="176">
        <f t="shared" si="43"/>
        <v>4</v>
      </c>
      <c r="AI84" s="225">
        <f t="shared" si="44"/>
        <v>-1.9879469603426205</v>
      </c>
      <c r="AJ84" s="265" t="b">
        <f t="shared" si="45"/>
        <v>1</v>
      </c>
      <c r="AK84" s="265" t="b">
        <f t="shared" si="46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7"/>
        <v>43171</v>
      </c>
      <c r="B85" s="621"/>
      <c r="C85" s="859"/>
      <c r="D85" s="393"/>
      <c r="E85" s="385"/>
      <c r="F85" s="385"/>
      <c r="G85" s="110"/>
      <c r="I85" s="380">
        <f t="shared" si="25"/>
        <v>0</v>
      </c>
      <c r="J85" s="85">
        <v>2018</v>
      </c>
      <c r="K85" s="197">
        <f t="shared" si="26"/>
        <v>43171</v>
      </c>
      <c r="L85" s="438">
        <f t="shared" si="27"/>
        <v>0</v>
      </c>
      <c r="M85" s="861"/>
      <c r="N85" s="861"/>
      <c r="O85" s="324">
        <f t="shared" si="28"/>
        <v>0</v>
      </c>
      <c r="P85" s="169">
        <f>(INDEX(Models!$BJ85:$BT85,,T85)*(1-R85)+INDEX(Models!$BJ85:$BT85,,T85+1)*R85-ERP_i)*Q85*Ramure*Pc/MaxiM</f>
        <v>1.367138676819992E-5</v>
      </c>
      <c r="Q85" s="305">
        <f t="shared" si="29"/>
        <v>0.7</v>
      </c>
      <c r="R85" s="177">
        <f t="shared" si="30"/>
        <v>1.2528932156734784E-2</v>
      </c>
      <c r="S85" s="817">
        <f t="shared" si="48"/>
        <v>-2</v>
      </c>
      <c r="T85" s="176">
        <f t="shared" si="31"/>
        <v>4</v>
      </c>
      <c r="U85" s="251">
        <f t="shared" si="32"/>
        <v>-1.9874710678432652</v>
      </c>
      <c r="V85" s="383">
        <f t="shared" si="33"/>
        <v>32.453406311216192</v>
      </c>
      <c r="W85" s="58"/>
      <c r="X85" s="157">
        <f t="shared" si="34"/>
        <v>43171</v>
      </c>
      <c r="Y85" s="385">
        <f t="shared" si="35"/>
        <v>0</v>
      </c>
      <c r="Z85" s="385">
        <f t="shared" si="36"/>
        <v>0</v>
      </c>
      <c r="AA85" s="386">
        <f t="shared" si="37"/>
        <v>0</v>
      </c>
      <c r="AB85" s="197">
        <f t="shared" si="38"/>
        <v>43171</v>
      </c>
      <c r="AC85" s="427">
        <f t="shared" si="39"/>
        <v>0</v>
      </c>
      <c r="AD85" s="169">
        <f>(INDEX(Models!$BJ85:$BT85,,AH85)*(1-AF85)+INDEX(Models!$BJ85:$BT85,,AH85+1)*AF85-ERP_i)*AE85*Ramure*Pc/MaxiM</f>
        <v>1.367138676819992E-5</v>
      </c>
      <c r="AE85" s="305">
        <f t="shared" si="40"/>
        <v>0.7</v>
      </c>
      <c r="AF85" s="177">
        <f t="shared" si="41"/>
        <v>1.2528932156734784E-2</v>
      </c>
      <c r="AG85" s="817">
        <f t="shared" si="42"/>
        <v>-2</v>
      </c>
      <c r="AH85" s="176">
        <f t="shared" si="43"/>
        <v>4</v>
      </c>
      <c r="AI85" s="225">
        <f t="shared" si="44"/>
        <v>-1.9874710678432652</v>
      </c>
      <c r="AJ85" s="265" t="b">
        <f t="shared" si="45"/>
        <v>1</v>
      </c>
      <c r="AK85" s="265" t="b">
        <f t="shared" si="46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7"/>
        <v>43172</v>
      </c>
      <c r="B86" s="621"/>
      <c r="C86" s="859"/>
      <c r="D86" s="393"/>
      <c r="E86" s="385"/>
      <c r="F86" s="385"/>
      <c r="G86" s="110"/>
      <c r="I86" s="380">
        <f t="shared" si="25"/>
        <v>0</v>
      </c>
      <c r="J86" s="85">
        <v>2018</v>
      </c>
      <c r="K86" s="197">
        <f t="shared" si="26"/>
        <v>43172</v>
      </c>
      <c r="L86" s="438">
        <f t="shared" si="27"/>
        <v>0</v>
      </c>
      <c r="M86" s="861"/>
      <c r="N86" s="861"/>
      <c r="O86" s="324">
        <f t="shared" si="28"/>
        <v>0</v>
      </c>
      <c r="P86" s="169">
        <f>(INDEX(Models!$BJ86:$BT86,,T86)*(1-R86)+INDEX(Models!$BJ86:$BT86,,T86+1)*R86-ERP_i)*Q86*Ramure*Pc/MaxiM</f>
        <v>1.1679473600891102E-5</v>
      </c>
      <c r="Q86" s="305">
        <f t="shared" si="29"/>
        <v>0.7</v>
      </c>
      <c r="R86" s="177">
        <f t="shared" si="30"/>
        <v>1.3023805403580502E-2</v>
      </c>
      <c r="S86" s="817">
        <f t="shared" si="48"/>
        <v>-2</v>
      </c>
      <c r="T86" s="176">
        <f t="shared" si="31"/>
        <v>4</v>
      </c>
      <c r="U86" s="251">
        <f t="shared" si="32"/>
        <v>-1.9869761945964195</v>
      </c>
      <c r="V86" s="383">
        <f t="shared" si="33"/>
        <v>32.749593591399616</v>
      </c>
      <c r="W86" s="58"/>
      <c r="X86" s="157">
        <f t="shared" si="34"/>
        <v>43172</v>
      </c>
      <c r="Y86" s="385">
        <f t="shared" si="35"/>
        <v>0</v>
      </c>
      <c r="Z86" s="385">
        <f t="shared" si="36"/>
        <v>0</v>
      </c>
      <c r="AA86" s="386">
        <f t="shared" si="37"/>
        <v>0</v>
      </c>
      <c r="AB86" s="197">
        <f t="shared" si="38"/>
        <v>43172</v>
      </c>
      <c r="AC86" s="427">
        <f t="shared" si="39"/>
        <v>0</v>
      </c>
      <c r="AD86" s="169">
        <f>(INDEX(Models!$BJ86:$BT86,,AH86)*(1-AF86)+INDEX(Models!$BJ86:$BT86,,AH86+1)*AF86-ERP_i)*AE86*Ramure*Pc/MaxiM</f>
        <v>1.1679473600891102E-5</v>
      </c>
      <c r="AE86" s="305">
        <f t="shared" si="40"/>
        <v>0.7</v>
      </c>
      <c r="AF86" s="177">
        <f t="shared" si="41"/>
        <v>1.3023805403580502E-2</v>
      </c>
      <c r="AG86" s="817">
        <f t="shared" si="42"/>
        <v>-2</v>
      </c>
      <c r="AH86" s="176">
        <f t="shared" si="43"/>
        <v>4</v>
      </c>
      <c r="AI86" s="225">
        <f t="shared" si="44"/>
        <v>-1.9869761945964195</v>
      </c>
      <c r="AJ86" s="265" t="b">
        <f t="shared" si="45"/>
        <v>1</v>
      </c>
      <c r="AK86" s="265" t="b">
        <f t="shared" si="46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7"/>
        <v>43173</v>
      </c>
      <c r="B87" s="621"/>
      <c r="C87" s="859"/>
      <c r="D87" s="393"/>
      <c r="E87" s="385"/>
      <c r="F87" s="385"/>
      <c r="G87" s="110"/>
      <c r="I87" s="380">
        <f t="shared" si="25"/>
        <v>0</v>
      </c>
      <c r="J87" s="85">
        <v>2018</v>
      </c>
      <c r="K87" s="197">
        <f t="shared" si="26"/>
        <v>43173</v>
      </c>
      <c r="L87" s="438">
        <f t="shared" si="27"/>
        <v>0</v>
      </c>
      <c r="M87" s="861"/>
      <c r="N87" s="861"/>
      <c r="O87" s="324">
        <f t="shared" si="28"/>
        <v>0</v>
      </c>
      <c r="P87" s="169">
        <f>(INDEX(Models!$BJ87:$BT87,,T87)*(1-R87)+INDEX(Models!$BJ87:$BT87,,T87+1)*R87-ERP_i)*Q87*Ramure*Pc/MaxiM</f>
        <v>9.7970148819119458E-6</v>
      </c>
      <c r="Q87" s="305">
        <f t="shared" si="29"/>
        <v>0.7</v>
      </c>
      <c r="R87" s="177">
        <f t="shared" si="30"/>
        <v>1.3538374636618222E-2</v>
      </c>
      <c r="S87" s="817">
        <f t="shared" si="48"/>
        <v>-2</v>
      </c>
      <c r="T87" s="176">
        <f t="shared" si="31"/>
        <v>4</v>
      </c>
      <c r="U87" s="251">
        <f t="shared" si="32"/>
        <v>-1.9864616253633818</v>
      </c>
      <c r="V87" s="383">
        <f t="shared" si="33"/>
        <v>33.043352364419668</v>
      </c>
      <c r="W87" s="58"/>
      <c r="X87" s="157">
        <f t="shared" si="34"/>
        <v>43173</v>
      </c>
      <c r="Y87" s="385">
        <f t="shared" si="35"/>
        <v>0</v>
      </c>
      <c r="Z87" s="385">
        <f t="shared" si="36"/>
        <v>0</v>
      </c>
      <c r="AA87" s="386">
        <f t="shared" si="37"/>
        <v>0</v>
      </c>
      <c r="AB87" s="197">
        <f t="shared" si="38"/>
        <v>43173</v>
      </c>
      <c r="AC87" s="427">
        <f t="shared" si="39"/>
        <v>0</v>
      </c>
      <c r="AD87" s="169">
        <f>(INDEX(Models!$BJ87:$BT87,,AH87)*(1-AF87)+INDEX(Models!$BJ87:$BT87,,AH87+1)*AF87-ERP_i)*AE87*Ramure*Pc/MaxiM</f>
        <v>9.7970148819119458E-6</v>
      </c>
      <c r="AE87" s="305">
        <f t="shared" si="40"/>
        <v>0.7</v>
      </c>
      <c r="AF87" s="177">
        <f t="shared" si="41"/>
        <v>1.3538374636618222E-2</v>
      </c>
      <c r="AG87" s="817">
        <f t="shared" si="42"/>
        <v>-2</v>
      </c>
      <c r="AH87" s="176">
        <f t="shared" si="43"/>
        <v>4</v>
      </c>
      <c r="AI87" s="225">
        <f t="shared" si="44"/>
        <v>-1.9864616253633818</v>
      </c>
      <c r="AJ87" s="265" t="b">
        <f t="shared" si="45"/>
        <v>1</v>
      </c>
      <c r="AK87" s="265" t="b">
        <f t="shared" si="46"/>
        <v>0</v>
      </c>
      <c r="AL87" s="265"/>
      <c r="AM87" s="265"/>
      <c r="AN87" s="75"/>
    </row>
    <row r="88" spans="1:40" s="6" customFormat="1" ht="11.25" x14ac:dyDescent="0.2">
      <c r="A88" s="56">
        <f t="shared" si="47"/>
        <v>43174</v>
      </c>
      <c r="B88" s="621"/>
      <c r="C88" s="859"/>
      <c r="D88" s="393"/>
      <c r="E88" s="385"/>
      <c r="F88" s="385"/>
      <c r="G88" s="110"/>
      <c r="I88" s="380">
        <f t="shared" si="25"/>
        <v>0</v>
      </c>
      <c r="J88" s="85">
        <v>2018</v>
      </c>
      <c r="K88" s="197">
        <f t="shared" si="26"/>
        <v>43174</v>
      </c>
      <c r="L88" s="438">
        <f t="shared" si="27"/>
        <v>0</v>
      </c>
      <c r="M88" s="861"/>
      <c r="N88" s="861"/>
      <c r="O88" s="324">
        <f t="shared" si="28"/>
        <v>0</v>
      </c>
      <c r="P88" s="169">
        <f>(INDEX(Models!$BJ88:$BT88,,T88)*(1-R88)+INDEX(Models!$BJ88:$BT88,,T88+1)*R88-ERP_i)*Q88*Ramure*Pc/MaxiM</f>
        <v>8.0426550946568826E-6</v>
      </c>
      <c r="Q88" s="305">
        <f t="shared" si="29"/>
        <v>0.7</v>
      </c>
      <c r="R88" s="177">
        <f t="shared" si="30"/>
        <v>1.4073378568249861E-2</v>
      </c>
      <c r="S88" s="817">
        <f t="shared" si="48"/>
        <v>-2</v>
      </c>
      <c r="T88" s="176">
        <f t="shared" si="31"/>
        <v>4</v>
      </c>
      <c r="U88" s="251">
        <f t="shared" si="32"/>
        <v>-1.9859266214317501</v>
      </c>
      <c r="V88" s="383">
        <f t="shared" si="33"/>
        <v>33.334253767889045</v>
      </c>
      <c r="W88" s="58"/>
      <c r="X88" s="157">
        <f t="shared" si="34"/>
        <v>43174</v>
      </c>
      <c r="Y88" s="385">
        <f t="shared" si="35"/>
        <v>0</v>
      </c>
      <c r="Z88" s="385">
        <f t="shared" si="36"/>
        <v>0</v>
      </c>
      <c r="AA88" s="386">
        <f t="shared" si="37"/>
        <v>0</v>
      </c>
      <c r="AB88" s="197">
        <f t="shared" si="38"/>
        <v>43174</v>
      </c>
      <c r="AC88" s="427">
        <f t="shared" si="39"/>
        <v>0</v>
      </c>
      <c r="AD88" s="169">
        <f>(INDEX(Models!$BJ88:$BT88,,AH88)*(1-AF88)+INDEX(Models!$BJ88:$BT88,,AH88+1)*AF88-ERP_i)*AE88*Ramure*Pc/MaxiM</f>
        <v>8.0426550946568826E-6</v>
      </c>
      <c r="AE88" s="305">
        <f t="shared" si="40"/>
        <v>0.7</v>
      </c>
      <c r="AF88" s="177">
        <f t="shared" si="41"/>
        <v>1.4073378568249861E-2</v>
      </c>
      <c r="AG88" s="817">
        <f t="shared" si="42"/>
        <v>-2</v>
      </c>
      <c r="AH88" s="176">
        <f t="shared" si="43"/>
        <v>4</v>
      </c>
      <c r="AI88" s="225">
        <f t="shared" si="44"/>
        <v>-1.9859266214317501</v>
      </c>
      <c r="AJ88" s="265" t="b">
        <f t="shared" si="45"/>
        <v>1</v>
      </c>
      <c r="AK88" s="265" t="b">
        <f t="shared" si="46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7"/>
        <v>43175</v>
      </c>
      <c r="B89" s="621"/>
      <c r="C89" s="859"/>
      <c r="D89" s="393"/>
      <c r="E89" s="385"/>
      <c r="F89" s="385"/>
      <c r="G89" s="110"/>
      <c r="I89" s="380">
        <f t="shared" si="25"/>
        <v>0</v>
      </c>
      <c r="J89" s="85">
        <v>2018</v>
      </c>
      <c r="K89" s="197">
        <f t="shared" si="26"/>
        <v>43175</v>
      </c>
      <c r="L89" s="438">
        <f t="shared" si="27"/>
        <v>0</v>
      </c>
      <c r="M89" s="861"/>
      <c r="N89" s="861"/>
      <c r="O89" s="324">
        <f t="shared" si="28"/>
        <v>0</v>
      </c>
      <c r="P89" s="169">
        <f>(INDEX(Models!$BJ89:$BT89,,T89)*(1-R89)+INDEX(Models!$BJ89:$BT89,,T89+1)*R89-ERP_i)*Q89*Ramure*Pc/MaxiM</f>
        <v>6.4364131981259112E-6</v>
      </c>
      <c r="Q89" s="305">
        <f t="shared" si="29"/>
        <v>0.7</v>
      </c>
      <c r="R89" s="177">
        <f t="shared" si="30"/>
        <v>1.4629579861021647E-2</v>
      </c>
      <c r="S89" s="817">
        <f t="shared" si="48"/>
        <v>-2</v>
      </c>
      <c r="T89" s="176">
        <f t="shared" si="31"/>
        <v>4</v>
      </c>
      <c r="U89" s="251">
        <f t="shared" si="32"/>
        <v>-1.9853704201389784</v>
      </c>
      <c r="V89" s="383">
        <f t="shared" si="33"/>
        <v>33.621868871716927</v>
      </c>
      <c r="W89" s="58"/>
      <c r="X89" s="157">
        <f t="shared" si="34"/>
        <v>43175</v>
      </c>
      <c r="Y89" s="385">
        <f t="shared" si="35"/>
        <v>0</v>
      </c>
      <c r="Z89" s="385">
        <f t="shared" si="36"/>
        <v>0</v>
      </c>
      <c r="AA89" s="386">
        <f t="shared" si="37"/>
        <v>0</v>
      </c>
      <c r="AB89" s="197">
        <f t="shared" si="38"/>
        <v>43175</v>
      </c>
      <c r="AC89" s="427">
        <f t="shared" si="39"/>
        <v>0</v>
      </c>
      <c r="AD89" s="169">
        <f>(INDEX(Models!$BJ89:$BT89,,AH89)*(1-AF89)+INDEX(Models!$BJ89:$BT89,,AH89+1)*AF89-ERP_i)*AE89*Ramure*Pc/MaxiM</f>
        <v>6.4364131981259112E-6</v>
      </c>
      <c r="AE89" s="305">
        <f t="shared" si="40"/>
        <v>0.7</v>
      </c>
      <c r="AF89" s="177">
        <f t="shared" si="41"/>
        <v>1.4629579861021647E-2</v>
      </c>
      <c r="AG89" s="817">
        <f t="shared" si="42"/>
        <v>-2</v>
      </c>
      <c r="AH89" s="176">
        <f t="shared" si="43"/>
        <v>4</v>
      </c>
      <c r="AI89" s="225">
        <f t="shared" si="44"/>
        <v>-1.9853704201389784</v>
      </c>
      <c r="AJ89" s="265" t="b">
        <f t="shared" si="45"/>
        <v>1</v>
      </c>
      <c r="AK89" s="265" t="b">
        <f t="shared" si="46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7"/>
        <v>43176</v>
      </c>
      <c r="B90" s="621"/>
      <c r="C90" s="859"/>
      <c r="D90" s="393"/>
      <c r="E90" s="385"/>
      <c r="F90" s="385"/>
      <c r="G90" s="110"/>
      <c r="I90" s="380">
        <f t="shared" si="25"/>
        <v>0</v>
      </c>
      <c r="J90" s="85">
        <v>2018</v>
      </c>
      <c r="K90" s="197">
        <f t="shared" si="26"/>
        <v>43176</v>
      </c>
      <c r="L90" s="438">
        <f t="shared" si="27"/>
        <v>0</v>
      </c>
      <c r="M90" s="861"/>
      <c r="N90" s="861"/>
      <c r="O90" s="324">
        <f t="shared" si="28"/>
        <v>0</v>
      </c>
      <c r="P90" s="169">
        <f>(INDEX(Models!$BJ90:$BT90,,T90)*(1-R90)+INDEX(Models!$BJ90:$BT90,,T90+1)*R90-ERP_i)*Q90*Ramure*Pc/MaxiM</f>
        <v>4.9998014996864588E-6</v>
      </c>
      <c r="Q90" s="305">
        <f t="shared" si="29"/>
        <v>0.7</v>
      </c>
      <c r="R90" s="177">
        <f t="shared" si="30"/>
        <v>1.5207765586785937E-2</v>
      </c>
      <c r="S90" s="817">
        <f t="shared" si="48"/>
        <v>-2</v>
      </c>
      <c r="T90" s="176">
        <f t="shared" si="31"/>
        <v>4</v>
      </c>
      <c r="U90" s="251">
        <f t="shared" si="32"/>
        <v>-1.9847922344132141</v>
      </c>
      <c r="V90" s="383">
        <f t="shared" si="33"/>
        <v>33.905768670108351</v>
      </c>
      <c r="W90" s="58"/>
      <c r="X90" s="157">
        <f t="shared" si="34"/>
        <v>43176</v>
      </c>
      <c r="Y90" s="385">
        <f t="shared" si="35"/>
        <v>0</v>
      </c>
      <c r="Z90" s="385">
        <f t="shared" si="36"/>
        <v>0</v>
      </c>
      <c r="AA90" s="386">
        <f t="shared" si="37"/>
        <v>0</v>
      </c>
      <c r="AB90" s="197">
        <f t="shared" si="38"/>
        <v>43176</v>
      </c>
      <c r="AC90" s="427">
        <f t="shared" si="39"/>
        <v>0</v>
      </c>
      <c r="AD90" s="169">
        <f>(INDEX(Models!$BJ90:$BT90,,AH90)*(1-AF90)+INDEX(Models!$BJ90:$BT90,,AH90+1)*AF90-ERP_i)*AE90*Ramure*Pc/MaxiM</f>
        <v>4.9998014996864588E-6</v>
      </c>
      <c r="AE90" s="305">
        <f t="shared" si="40"/>
        <v>0.7</v>
      </c>
      <c r="AF90" s="177">
        <f t="shared" si="41"/>
        <v>1.5207765586785937E-2</v>
      </c>
      <c r="AG90" s="817">
        <f t="shared" si="42"/>
        <v>-2</v>
      </c>
      <c r="AH90" s="176">
        <f t="shared" si="43"/>
        <v>4</v>
      </c>
      <c r="AI90" s="225">
        <f t="shared" si="44"/>
        <v>-1.9847922344132141</v>
      </c>
      <c r="AJ90" s="265" t="b">
        <f t="shared" si="45"/>
        <v>1</v>
      </c>
      <c r="AK90" s="265" t="b">
        <f t="shared" si="46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7"/>
        <v>43177</v>
      </c>
      <c r="B91" s="621"/>
      <c r="C91" s="859"/>
      <c r="D91" s="393"/>
      <c r="E91" s="385"/>
      <c r="F91" s="385"/>
      <c r="G91" s="110"/>
      <c r="I91" s="380">
        <f t="shared" si="25"/>
        <v>0</v>
      </c>
      <c r="J91" s="85">
        <v>2018</v>
      </c>
      <c r="K91" s="197">
        <f t="shared" si="26"/>
        <v>43177</v>
      </c>
      <c r="L91" s="438">
        <f t="shared" si="27"/>
        <v>0</v>
      </c>
      <c r="M91" s="861"/>
      <c r="N91" s="861"/>
      <c r="O91" s="324">
        <f t="shared" si="28"/>
        <v>0</v>
      </c>
      <c r="P91" s="169">
        <f>(INDEX(Models!$BJ91:$BT91,,T91)*(1-R91)+INDEX(Models!$BJ91:$BT91,,T91+1)*R91-ERP_i)*Q91*Ramure*Pc/MaxiM</f>
        <v>3.7559541610695382E-6</v>
      </c>
      <c r="Q91" s="305">
        <f t="shared" si="29"/>
        <v>0.7</v>
      </c>
      <c r="R91" s="177">
        <f t="shared" si="30"/>
        <v>1.5808747665411405E-2</v>
      </c>
      <c r="S91" s="817">
        <f t="shared" si="48"/>
        <v>-2</v>
      </c>
      <c r="T91" s="176">
        <f t="shared" si="31"/>
        <v>4</v>
      </c>
      <c r="U91" s="251">
        <f t="shared" si="32"/>
        <v>-1.9841912523345886</v>
      </c>
      <c r="V91" s="383">
        <f t="shared" si="33"/>
        <v>34.185524078814467</v>
      </c>
      <c r="W91" s="58"/>
      <c r="X91" s="157">
        <f t="shared" si="34"/>
        <v>43177</v>
      </c>
      <c r="Y91" s="385">
        <f t="shared" si="35"/>
        <v>0</v>
      </c>
      <c r="Z91" s="385">
        <f t="shared" si="36"/>
        <v>0</v>
      </c>
      <c r="AA91" s="386">
        <f t="shared" si="37"/>
        <v>0</v>
      </c>
      <c r="AB91" s="197">
        <f t="shared" si="38"/>
        <v>43177</v>
      </c>
      <c r="AC91" s="427">
        <f t="shared" si="39"/>
        <v>0</v>
      </c>
      <c r="AD91" s="169">
        <f>(INDEX(Models!$BJ91:$BT91,,AH91)*(1-AF91)+INDEX(Models!$BJ91:$BT91,,AH91+1)*AF91-ERP_i)*AE91*Ramure*Pc/MaxiM</f>
        <v>3.7559541610695382E-6</v>
      </c>
      <c r="AE91" s="305">
        <f t="shared" si="40"/>
        <v>0.7</v>
      </c>
      <c r="AF91" s="177">
        <f t="shared" si="41"/>
        <v>1.5808747665411405E-2</v>
      </c>
      <c r="AG91" s="817">
        <f t="shared" si="42"/>
        <v>-2</v>
      </c>
      <c r="AH91" s="176">
        <f t="shared" si="43"/>
        <v>4</v>
      </c>
      <c r="AI91" s="225">
        <f t="shared" si="44"/>
        <v>-1.9841912523345886</v>
      </c>
      <c r="AJ91" s="265" t="b">
        <f t="shared" si="45"/>
        <v>1</v>
      </c>
      <c r="AK91" s="265" t="b">
        <f t="shared" si="46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7"/>
        <v>43178</v>
      </c>
      <c r="B92" s="621"/>
      <c r="C92" s="859"/>
      <c r="D92" s="393"/>
      <c r="E92" s="385"/>
      <c r="F92" s="385"/>
      <c r="G92" s="110"/>
      <c r="I92" s="380">
        <f t="shared" si="25"/>
        <v>0</v>
      </c>
      <c r="J92" s="85">
        <v>2018</v>
      </c>
      <c r="K92" s="197">
        <f t="shared" si="26"/>
        <v>43178</v>
      </c>
      <c r="L92" s="438">
        <f t="shared" si="27"/>
        <v>0</v>
      </c>
      <c r="M92" s="861"/>
      <c r="N92" s="861"/>
      <c r="O92" s="324">
        <f t="shared" si="28"/>
        <v>0</v>
      </c>
      <c r="P92" s="169">
        <f>(INDEX(Models!$BJ92:$BT92,,T92)*(1-R92)+INDEX(Models!$BJ92:$BT92,,T92+1)*R92-ERP_i)*Q92*Ramure*Pc/MaxiM</f>
        <v>2.7297661094253002E-6</v>
      </c>
      <c r="Q92" s="305">
        <f t="shared" si="29"/>
        <v>0.7</v>
      </c>
      <c r="R92" s="177">
        <f t="shared" si="30"/>
        <v>1.6433363279617863E-2</v>
      </c>
      <c r="S92" s="817">
        <f t="shared" si="48"/>
        <v>-2</v>
      </c>
      <c r="T92" s="176">
        <f t="shared" si="31"/>
        <v>4</v>
      </c>
      <c r="U92" s="251">
        <f t="shared" si="32"/>
        <v>-1.9835666367203821</v>
      </c>
      <c r="V92" s="383">
        <f t="shared" si="33"/>
        <v>34.460705930356205</v>
      </c>
      <c r="W92" s="58"/>
      <c r="X92" s="157">
        <f t="shared" si="34"/>
        <v>43178</v>
      </c>
      <c r="Y92" s="385">
        <f t="shared" si="35"/>
        <v>0</v>
      </c>
      <c r="Z92" s="385">
        <f t="shared" si="36"/>
        <v>0</v>
      </c>
      <c r="AA92" s="386">
        <f t="shared" si="37"/>
        <v>0</v>
      </c>
      <c r="AB92" s="197">
        <f t="shared" si="38"/>
        <v>43178</v>
      </c>
      <c r="AC92" s="427">
        <f t="shared" si="39"/>
        <v>0</v>
      </c>
      <c r="AD92" s="169">
        <f>(INDEX(Models!$BJ92:$BT92,,AH92)*(1-AF92)+INDEX(Models!$BJ92:$BT92,,AH92+1)*AF92-ERP_i)*AE92*Ramure*Pc/MaxiM</f>
        <v>2.7297661094253002E-6</v>
      </c>
      <c r="AE92" s="305">
        <f t="shared" si="40"/>
        <v>0.7</v>
      </c>
      <c r="AF92" s="177">
        <f t="shared" si="41"/>
        <v>1.6433363279617863E-2</v>
      </c>
      <c r="AG92" s="817">
        <f t="shared" si="42"/>
        <v>-2</v>
      </c>
      <c r="AH92" s="176">
        <f t="shared" si="43"/>
        <v>4</v>
      </c>
      <c r="AI92" s="225">
        <f t="shared" si="44"/>
        <v>-1.9835666367203821</v>
      </c>
      <c r="AJ92" s="265" t="b">
        <f t="shared" si="45"/>
        <v>1</v>
      </c>
      <c r="AK92" s="265" t="b">
        <f t="shared" si="46"/>
        <v>0</v>
      </c>
      <c r="AL92" s="265"/>
      <c r="AM92" s="265"/>
      <c r="AN92" s="75"/>
    </row>
    <row r="93" spans="1:40" s="6" customFormat="1" ht="11.25" x14ac:dyDescent="0.2">
      <c r="A93" s="56">
        <f t="shared" si="47"/>
        <v>43179</v>
      </c>
      <c r="B93" s="621"/>
      <c r="C93" s="859"/>
      <c r="D93" s="393"/>
      <c r="E93" s="385"/>
      <c r="F93" s="385"/>
      <c r="G93" s="110"/>
      <c r="I93" s="380">
        <f t="shared" si="25"/>
        <v>0</v>
      </c>
      <c r="J93" s="85">
        <v>2018</v>
      </c>
      <c r="K93" s="197">
        <f t="shared" si="26"/>
        <v>43179</v>
      </c>
      <c r="L93" s="438">
        <f t="shared" si="27"/>
        <v>0</v>
      </c>
      <c r="M93" s="861"/>
      <c r="N93" s="861"/>
      <c r="O93" s="324">
        <f t="shared" si="28"/>
        <v>0</v>
      </c>
      <c r="P93" s="169">
        <f>(INDEX(Models!$BJ93:$BT93,,T93)*(1-R93)+INDEX(Models!$BJ93:$BT93,,T93+1)*R93-ERP_i)*Q93*Ramure*Pc/MaxiM</f>
        <v>1.947918196889349E-6</v>
      </c>
      <c r="Q93" s="305">
        <f t="shared" si="29"/>
        <v>0.7</v>
      </c>
      <c r="R93" s="177">
        <f t="shared" si="30"/>
        <v>1.7082475262239383E-2</v>
      </c>
      <c r="S93" s="817">
        <f t="shared" si="48"/>
        <v>-2</v>
      </c>
      <c r="T93" s="176">
        <f t="shared" si="31"/>
        <v>4</v>
      </c>
      <c r="U93" s="251">
        <f t="shared" si="32"/>
        <v>-1.9829175247377606</v>
      </c>
      <c r="V93" s="383">
        <f t="shared" si="33"/>
        <v>34.733114832207676</v>
      </c>
      <c r="W93" s="58"/>
      <c r="X93" s="157">
        <f t="shared" si="34"/>
        <v>43179</v>
      </c>
      <c r="Y93" s="385">
        <f t="shared" si="35"/>
        <v>0</v>
      </c>
      <c r="Z93" s="385">
        <f t="shared" si="36"/>
        <v>0</v>
      </c>
      <c r="AA93" s="386">
        <f t="shared" si="37"/>
        <v>0</v>
      </c>
      <c r="AB93" s="197">
        <f t="shared" si="38"/>
        <v>43179</v>
      </c>
      <c r="AC93" s="427">
        <f t="shared" si="39"/>
        <v>0</v>
      </c>
      <c r="AD93" s="169">
        <f>(INDEX(Models!$BJ93:$BT93,,AH93)*(1-AF93)+INDEX(Models!$BJ93:$BT93,,AH93+1)*AF93-ERP_i)*AE93*Ramure*Pc/MaxiM</f>
        <v>1.947918196889349E-6</v>
      </c>
      <c r="AE93" s="305">
        <f t="shared" si="40"/>
        <v>0.7</v>
      </c>
      <c r="AF93" s="177">
        <f t="shared" si="41"/>
        <v>1.7082475262239383E-2</v>
      </c>
      <c r="AG93" s="817">
        <f t="shared" si="42"/>
        <v>-2</v>
      </c>
      <c r="AH93" s="176">
        <f t="shared" si="43"/>
        <v>4</v>
      </c>
      <c r="AI93" s="225">
        <f t="shared" si="44"/>
        <v>-1.9829175247377606</v>
      </c>
      <c r="AJ93" s="265" t="b">
        <f t="shared" si="45"/>
        <v>1</v>
      </c>
      <c r="AK93" s="265" t="b">
        <f t="shared" si="46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7"/>
        <v>43180</v>
      </c>
      <c r="B94" s="621"/>
      <c r="C94" s="859"/>
      <c r="D94" s="393"/>
      <c r="E94" s="385"/>
      <c r="F94" s="385"/>
      <c r="G94" s="110"/>
      <c r="I94" s="380">
        <f t="shared" si="25"/>
        <v>0</v>
      </c>
      <c r="J94" s="85">
        <v>2018</v>
      </c>
      <c r="K94" s="197">
        <f t="shared" si="26"/>
        <v>43180</v>
      </c>
      <c r="L94" s="438">
        <f t="shared" si="27"/>
        <v>0</v>
      </c>
      <c r="M94" s="861"/>
      <c r="N94" s="861"/>
      <c r="O94" s="324">
        <f t="shared" si="28"/>
        <v>0</v>
      </c>
      <c r="P94" s="169">
        <f>(INDEX(Models!$BJ94:$BT94,,T94)*(1-R94)+INDEX(Models!$BJ94:$BT94,,T94+1)*R94-ERP_i)*Q94*Ramure*Pc/MaxiM</f>
        <v>1.4393095223304328E-6</v>
      </c>
      <c r="Q94" s="305">
        <f t="shared" si="29"/>
        <v>0.7</v>
      </c>
      <c r="R94" s="177">
        <f t="shared" si="30"/>
        <v>1.7756972451939745E-2</v>
      </c>
      <c r="S94" s="817">
        <f t="shared" si="48"/>
        <v>-2</v>
      </c>
      <c r="T94" s="176">
        <f t="shared" si="31"/>
        <v>4</v>
      </c>
      <c r="U94" s="251">
        <f t="shared" si="32"/>
        <v>-1.9822430275480603</v>
      </c>
      <c r="V94" s="383">
        <f t="shared" si="33"/>
        <v>35.004479938920667</v>
      </c>
      <c r="W94" s="58"/>
      <c r="X94" s="157">
        <f t="shared" si="34"/>
        <v>43180</v>
      </c>
      <c r="Y94" s="385">
        <f t="shared" si="35"/>
        <v>0</v>
      </c>
      <c r="Z94" s="385">
        <f t="shared" si="36"/>
        <v>0</v>
      </c>
      <c r="AA94" s="386">
        <f t="shared" si="37"/>
        <v>0</v>
      </c>
      <c r="AB94" s="197">
        <f t="shared" si="38"/>
        <v>43180</v>
      </c>
      <c r="AC94" s="427">
        <f t="shared" si="39"/>
        <v>0</v>
      </c>
      <c r="AD94" s="169">
        <f>(INDEX(Models!$BJ94:$BT94,,AH94)*(1-AF94)+INDEX(Models!$BJ94:$BT94,,AH94+1)*AF94-ERP_i)*AE94*Ramure*Pc/MaxiM</f>
        <v>1.4393095223304328E-6</v>
      </c>
      <c r="AE94" s="305">
        <f t="shared" si="40"/>
        <v>0.7</v>
      </c>
      <c r="AF94" s="177">
        <f t="shared" si="41"/>
        <v>1.7756972451939745E-2</v>
      </c>
      <c r="AG94" s="817">
        <f t="shared" si="42"/>
        <v>-2</v>
      </c>
      <c r="AH94" s="176">
        <f t="shared" si="43"/>
        <v>4</v>
      </c>
      <c r="AI94" s="225">
        <f t="shared" si="44"/>
        <v>-1.9822430275480603</v>
      </c>
      <c r="AJ94" s="265" t="b">
        <f t="shared" si="45"/>
        <v>1</v>
      </c>
      <c r="AK94" s="265" t="b">
        <f t="shared" si="46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7"/>
        <v>43181</v>
      </c>
      <c r="B95" s="621"/>
      <c r="C95" s="859"/>
      <c r="D95" s="393"/>
      <c r="E95" s="385"/>
      <c r="F95" s="385"/>
      <c r="G95" s="110"/>
      <c r="I95" s="380">
        <f t="shared" si="25"/>
        <v>0</v>
      </c>
      <c r="J95" s="85">
        <v>2018</v>
      </c>
      <c r="K95" s="197">
        <f t="shared" si="26"/>
        <v>43181</v>
      </c>
      <c r="L95" s="438">
        <f t="shared" si="27"/>
        <v>0</v>
      </c>
      <c r="M95" s="861"/>
      <c r="N95" s="861"/>
      <c r="O95" s="324">
        <f t="shared" si="28"/>
        <v>0</v>
      </c>
      <c r="P95" s="169">
        <f>(INDEX(Models!$BJ95:$BT95,,T95)*(1-R95)+INDEX(Models!$BJ95:$BT95,,T95+1)*R95-ERP_i)*Q95*Ramure*Pc/MaxiM</f>
        <v>9.926257884031684E-7</v>
      </c>
      <c r="Q95" s="305">
        <f t="shared" si="29"/>
        <v>0.7</v>
      </c>
      <c r="R95" s="177">
        <f t="shared" si="30"/>
        <v>1.8457770013114327E-2</v>
      </c>
      <c r="S95" s="817">
        <f t="shared" si="48"/>
        <v>-2</v>
      </c>
      <c r="T95" s="176">
        <f t="shared" si="31"/>
        <v>4</v>
      </c>
      <c r="U95" s="251">
        <f t="shared" si="32"/>
        <v>-1.9815422299868857</v>
      </c>
      <c r="V95" s="383">
        <f t="shared" si="33"/>
        <v>35.274273313849697</v>
      </c>
      <c r="W95" s="58"/>
      <c r="X95" s="157">
        <f t="shared" si="34"/>
        <v>43181</v>
      </c>
      <c r="Y95" s="385">
        <f t="shared" si="35"/>
        <v>0</v>
      </c>
      <c r="Z95" s="385">
        <f t="shared" si="36"/>
        <v>0</v>
      </c>
      <c r="AA95" s="386">
        <f t="shared" si="37"/>
        <v>0</v>
      </c>
      <c r="AB95" s="197">
        <f t="shared" si="38"/>
        <v>43181</v>
      </c>
      <c r="AC95" s="427">
        <f t="shared" si="39"/>
        <v>0</v>
      </c>
      <c r="AD95" s="169">
        <f>(INDEX(Models!$BJ95:$BT95,,AH95)*(1-AF95)+INDEX(Models!$BJ95:$BT95,,AH95+1)*AF95-ERP_i)*AE95*Ramure*Pc/MaxiM</f>
        <v>9.926257884031684E-7</v>
      </c>
      <c r="AE95" s="305">
        <f t="shared" si="40"/>
        <v>0.7</v>
      </c>
      <c r="AF95" s="177">
        <f t="shared" si="41"/>
        <v>1.8457770013114327E-2</v>
      </c>
      <c r="AG95" s="817">
        <f t="shared" si="42"/>
        <v>-2</v>
      </c>
      <c r="AH95" s="176">
        <f t="shared" si="43"/>
        <v>4</v>
      </c>
      <c r="AI95" s="225">
        <f t="shared" si="44"/>
        <v>-1.9815422299868857</v>
      </c>
      <c r="AJ95" s="265" t="b">
        <f t="shared" si="45"/>
        <v>1</v>
      </c>
      <c r="AK95" s="265" t="b">
        <f t="shared" si="46"/>
        <v>0</v>
      </c>
      <c r="AL95" s="265"/>
      <c r="AM95" s="265"/>
      <c r="AN95" s="75"/>
    </row>
    <row r="96" spans="1:40" s="6" customFormat="1" ht="11.25" x14ac:dyDescent="0.2">
      <c r="A96" s="56">
        <f t="shared" si="47"/>
        <v>43182</v>
      </c>
      <c r="B96" s="621"/>
      <c r="C96" s="859"/>
      <c r="D96" s="393"/>
      <c r="E96" s="385"/>
      <c r="F96" s="385"/>
      <c r="G96" s="110"/>
      <c r="I96" s="380">
        <f t="shared" si="25"/>
        <v>0</v>
      </c>
      <c r="J96" s="85">
        <v>2018</v>
      </c>
      <c r="K96" s="197">
        <f t="shared" si="26"/>
        <v>43182</v>
      </c>
      <c r="L96" s="438">
        <f t="shared" si="27"/>
        <v>0</v>
      </c>
      <c r="M96" s="861"/>
      <c r="N96" s="861"/>
      <c r="O96" s="324">
        <f t="shared" si="28"/>
        <v>0</v>
      </c>
      <c r="P96" s="169">
        <f>(INDEX(Models!$BJ96:$BT96,,T96)*(1-R96)+INDEX(Models!$BJ96:$BT96,,T96+1)*R96-ERP_i)*Q96*Ramure*Pc/MaxiM</f>
        <v>6.1615290462997268E-7</v>
      </c>
      <c r="Q96" s="305">
        <f t="shared" si="29"/>
        <v>0.7</v>
      </c>
      <c r="R96" s="177">
        <f t="shared" si="30"/>
        <v>1.9185809715408952E-2</v>
      </c>
      <c r="S96" s="817">
        <f t="shared" si="48"/>
        <v>-2</v>
      </c>
      <c r="T96" s="176">
        <f t="shared" si="31"/>
        <v>4</v>
      </c>
      <c r="U96" s="251">
        <f t="shared" si="32"/>
        <v>-1.980814190284591</v>
      </c>
      <c r="V96" s="383">
        <f t="shared" si="33"/>
        <v>35.541959442448004</v>
      </c>
      <c r="W96" s="58"/>
      <c r="X96" s="157">
        <f t="shared" si="34"/>
        <v>43182</v>
      </c>
      <c r="Y96" s="385">
        <f t="shared" si="35"/>
        <v>0</v>
      </c>
      <c r="Z96" s="385">
        <f t="shared" si="36"/>
        <v>0</v>
      </c>
      <c r="AA96" s="386">
        <f t="shared" si="37"/>
        <v>0</v>
      </c>
      <c r="AB96" s="197">
        <f t="shared" si="38"/>
        <v>43182</v>
      </c>
      <c r="AC96" s="427">
        <f t="shared" si="39"/>
        <v>0</v>
      </c>
      <c r="AD96" s="169">
        <f>(INDEX(Models!$BJ96:$BT96,,AH96)*(1-AF96)+INDEX(Models!$BJ96:$BT96,,AH96+1)*AF96-ERP_i)*AE96*Ramure*Pc/MaxiM</f>
        <v>6.1615290462997268E-7</v>
      </c>
      <c r="AE96" s="305">
        <f t="shared" si="40"/>
        <v>0.7</v>
      </c>
      <c r="AF96" s="177">
        <f t="shared" si="41"/>
        <v>1.9185809715408952E-2</v>
      </c>
      <c r="AG96" s="817">
        <f t="shared" si="42"/>
        <v>-2</v>
      </c>
      <c r="AH96" s="176">
        <f t="shared" si="43"/>
        <v>4</v>
      </c>
      <c r="AI96" s="225">
        <f t="shared" si="44"/>
        <v>-1.980814190284591</v>
      </c>
      <c r="AJ96" s="265" t="b">
        <f t="shared" si="45"/>
        <v>1</v>
      </c>
      <c r="AK96" s="265" t="b">
        <f t="shared" si="46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7"/>
        <v>43183</v>
      </c>
      <c r="B97" s="621"/>
      <c r="C97" s="859"/>
      <c r="D97" s="393"/>
      <c r="E97" s="385"/>
      <c r="F97" s="385"/>
      <c r="G97" s="110"/>
      <c r="I97" s="380">
        <f t="shared" si="25"/>
        <v>0</v>
      </c>
      <c r="J97" s="85">
        <v>2018</v>
      </c>
      <c r="K97" s="197">
        <f t="shared" si="26"/>
        <v>43183</v>
      </c>
      <c r="L97" s="438">
        <f t="shared" si="27"/>
        <v>0</v>
      </c>
      <c r="M97" s="861"/>
      <c r="N97" s="861"/>
      <c r="O97" s="324">
        <f t="shared" si="28"/>
        <v>0</v>
      </c>
      <c r="P97" s="169">
        <f>(INDEX(Models!$BJ97:$BT97,,T97)*(1-R97)+INDEX(Models!$BJ97:$BT97,,T97+1)*R97-ERP_i)*Q97*Ramure*Pc/MaxiM</f>
        <v>3.1877422067358664E-7</v>
      </c>
      <c r="Q97" s="305">
        <f t="shared" si="29"/>
        <v>0.7</v>
      </c>
      <c r="R97" s="177">
        <f t="shared" si="30"/>
        <v>1.9942060167968734E-2</v>
      </c>
      <c r="S97" s="817">
        <f t="shared" si="48"/>
        <v>-2</v>
      </c>
      <c r="T97" s="176">
        <f t="shared" si="31"/>
        <v>4</v>
      </c>
      <c r="U97" s="251">
        <f t="shared" si="32"/>
        <v>-1.9800579398320313</v>
      </c>
      <c r="V97" s="383">
        <f t="shared" si="33"/>
        <v>35.807002779964115</v>
      </c>
      <c r="W97" s="58"/>
      <c r="X97" s="157">
        <f t="shared" si="34"/>
        <v>43183</v>
      </c>
      <c r="Y97" s="385">
        <f t="shared" si="35"/>
        <v>0</v>
      </c>
      <c r="Z97" s="385">
        <f t="shared" si="36"/>
        <v>0</v>
      </c>
      <c r="AA97" s="386">
        <f t="shared" si="37"/>
        <v>0</v>
      </c>
      <c r="AB97" s="197">
        <f t="shared" si="38"/>
        <v>43183</v>
      </c>
      <c r="AC97" s="427">
        <f t="shared" si="39"/>
        <v>0</v>
      </c>
      <c r="AD97" s="169">
        <f>(INDEX(Models!$BJ97:$BT97,,AH97)*(1-AF97)+INDEX(Models!$BJ97:$BT97,,AH97+1)*AF97-ERP_i)*AE97*Ramure*Pc/MaxiM</f>
        <v>3.1877422067358664E-7</v>
      </c>
      <c r="AE97" s="305">
        <f t="shared" si="40"/>
        <v>0.7</v>
      </c>
      <c r="AF97" s="177">
        <f t="shared" si="41"/>
        <v>1.9942060167968734E-2</v>
      </c>
      <c r="AG97" s="817">
        <f t="shared" si="42"/>
        <v>-2</v>
      </c>
      <c r="AH97" s="176">
        <f t="shared" si="43"/>
        <v>4</v>
      </c>
      <c r="AI97" s="225">
        <f t="shared" si="44"/>
        <v>-1.9800579398320313</v>
      </c>
      <c r="AJ97" s="265" t="b">
        <f t="shared" si="45"/>
        <v>1</v>
      </c>
      <c r="AK97" s="265" t="b">
        <f t="shared" si="46"/>
        <v>0</v>
      </c>
      <c r="AL97" s="265"/>
      <c r="AM97" s="265"/>
      <c r="AN97" s="75"/>
    </row>
    <row r="98" spans="1:40" s="6" customFormat="1" ht="11.25" x14ac:dyDescent="0.2">
      <c r="A98" s="56">
        <f t="shared" si="47"/>
        <v>43184</v>
      </c>
      <c r="B98" s="621"/>
      <c r="C98" s="859"/>
      <c r="D98" s="393"/>
      <c r="E98" s="385"/>
      <c r="F98" s="385"/>
      <c r="G98" s="110"/>
      <c r="I98" s="380">
        <f t="shared" si="25"/>
        <v>0</v>
      </c>
      <c r="J98" s="85">
        <v>2018</v>
      </c>
      <c r="K98" s="197">
        <f t="shared" si="26"/>
        <v>43184</v>
      </c>
      <c r="L98" s="438">
        <f t="shared" si="27"/>
        <v>0</v>
      </c>
      <c r="M98" s="861"/>
      <c r="N98" s="861"/>
      <c r="O98" s="324">
        <f t="shared" si="28"/>
        <v>0</v>
      </c>
      <c r="P98" s="169">
        <f>(INDEX(Models!$BJ98:$BT98,,T98)*(1-R98)+INDEX(Models!$BJ98:$BT98,,T98+1)*R98-ERP_i)*Q98*Ramure*Pc/MaxiM</f>
        <v>1.100218589457957E-7</v>
      </c>
      <c r="Q98" s="305">
        <f t="shared" si="29"/>
        <v>0.7</v>
      </c>
      <c r="R98" s="177">
        <f t="shared" si="30"/>
        <v>2.0727517003215956E-2</v>
      </c>
      <c r="S98" s="817">
        <f t="shared" si="48"/>
        <v>-2</v>
      </c>
      <c r="T98" s="176">
        <f t="shared" si="31"/>
        <v>4</v>
      </c>
      <c r="U98" s="251">
        <f t="shared" si="32"/>
        <v>-1.979272482996784</v>
      </c>
      <c r="V98" s="383">
        <f t="shared" si="33"/>
        <v>36.068867751983767</v>
      </c>
      <c r="W98" s="58"/>
      <c r="X98" s="157">
        <f t="shared" si="34"/>
        <v>43184</v>
      </c>
      <c r="Y98" s="385">
        <f t="shared" si="35"/>
        <v>0</v>
      </c>
      <c r="Z98" s="385">
        <f t="shared" si="36"/>
        <v>0</v>
      </c>
      <c r="AA98" s="386">
        <f t="shared" si="37"/>
        <v>0</v>
      </c>
      <c r="AB98" s="197">
        <f t="shared" si="38"/>
        <v>43184</v>
      </c>
      <c r="AC98" s="427">
        <f t="shared" si="39"/>
        <v>0</v>
      </c>
      <c r="AD98" s="169">
        <f>(INDEX(Models!$BJ98:$BT98,,AH98)*(1-AF98)+INDEX(Models!$BJ98:$BT98,,AH98+1)*AF98-ERP_i)*AE98*Ramure*Pc/MaxiM</f>
        <v>1.100218589457957E-7</v>
      </c>
      <c r="AE98" s="305">
        <f t="shared" si="40"/>
        <v>0.7</v>
      </c>
      <c r="AF98" s="177">
        <f t="shared" si="41"/>
        <v>2.0727517003215956E-2</v>
      </c>
      <c r="AG98" s="817">
        <f t="shared" si="42"/>
        <v>-2</v>
      </c>
      <c r="AH98" s="176">
        <f t="shared" si="43"/>
        <v>4</v>
      </c>
      <c r="AI98" s="225">
        <f t="shared" si="44"/>
        <v>-1.979272482996784</v>
      </c>
      <c r="AJ98" s="265" t="b">
        <f t="shared" si="45"/>
        <v>1</v>
      </c>
      <c r="AK98" s="265" t="b">
        <f t="shared" si="46"/>
        <v>0</v>
      </c>
      <c r="AL98" s="265"/>
      <c r="AM98" s="265"/>
      <c r="AN98" s="75"/>
    </row>
    <row r="99" spans="1:40" s="6" customFormat="1" ht="11.25" x14ac:dyDescent="0.2">
      <c r="A99" s="56">
        <f t="shared" si="47"/>
        <v>43185</v>
      </c>
      <c r="B99" s="621"/>
      <c r="C99" s="859"/>
      <c r="D99" s="393"/>
      <c r="E99" s="385"/>
      <c r="F99" s="385"/>
      <c r="G99" s="110"/>
      <c r="I99" s="380">
        <f t="shared" si="25"/>
        <v>0</v>
      </c>
      <c r="J99" s="85">
        <v>2018</v>
      </c>
      <c r="K99" s="197">
        <f t="shared" si="26"/>
        <v>43185</v>
      </c>
      <c r="L99" s="438">
        <f t="shared" si="27"/>
        <v>0</v>
      </c>
      <c r="M99" s="861"/>
      <c r="N99" s="861"/>
      <c r="O99" s="324">
        <f t="shared" si="28"/>
        <v>0</v>
      </c>
      <c r="P99" s="169">
        <f>(INDEX(Models!$BJ99:$BT99,,T99)*(1-R99)+INDEX(Models!$BJ99:$BT99,,T99+1)*R99-ERP_i)*Q99*Ramure*Pc/MaxiM</f>
        <v>1.3228745910927377E-10</v>
      </c>
      <c r="Q99" s="305">
        <f t="shared" si="29"/>
        <v>0.7</v>
      </c>
      <c r="R99" s="177">
        <f t="shared" si="30"/>
        <v>2.1543203004619649E-2</v>
      </c>
      <c r="S99" s="817">
        <f t="shared" si="48"/>
        <v>-2</v>
      </c>
      <c r="T99" s="176">
        <f t="shared" si="31"/>
        <v>4</v>
      </c>
      <c r="U99" s="251">
        <f t="shared" si="32"/>
        <v>-1.9784567969953804</v>
      </c>
      <c r="V99" s="383">
        <f t="shared" si="33"/>
        <v>36.327018745839609</v>
      </c>
      <c r="W99" s="58"/>
      <c r="X99" s="157">
        <f t="shared" si="34"/>
        <v>43185</v>
      </c>
      <c r="Y99" s="385">
        <f t="shared" si="35"/>
        <v>0</v>
      </c>
      <c r="Z99" s="385">
        <f t="shared" si="36"/>
        <v>0</v>
      </c>
      <c r="AA99" s="386">
        <f t="shared" si="37"/>
        <v>0</v>
      </c>
      <c r="AB99" s="197">
        <f t="shared" si="38"/>
        <v>43185</v>
      </c>
      <c r="AC99" s="427">
        <f t="shared" si="39"/>
        <v>0</v>
      </c>
      <c r="AD99" s="169">
        <f>(INDEX(Models!$BJ99:$BT99,,AH99)*(1-AF99)+INDEX(Models!$BJ99:$BT99,,AH99+1)*AF99-ERP_i)*AE99*Ramure*Pc/MaxiM</f>
        <v>1.3228745910927377E-10</v>
      </c>
      <c r="AE99" s="305">
        <f t="shared" si="40"/>
        <v>0.7</v>
      </c>
      <c r="AF99" s="177">
        <f t="shared" si="41"/>
        <v>2.1543203004619649E-2</v>
      </c>
      <c r="AG99" s="817">
        <f t="shared" si="42"/>
        <v>-2</v>
      </c>
      <c r="AH99" s="176">
        <f t="shared" si="43"/>
        <v>4</v>
      </c>
      <c r="AI99" s="225">
        <f t="shared" si="44"/>
        <v>-1.9784567969953804</v>
      </c>
      <c r="AJ99" s="265" t="b">
        <f t="shared" si="45"/>
        <v>1</v>
      </c>
      <c r="AK99" s="265" t="b">
        <f t="shared" si="46"/>
        <v>0</v>
      </c>
      <c r="AL99" s="265"/>
      <c r="AM99" s="265"/>
      <c r="AN99" s="75"/>
    </row>
    <row r="100" spans="1:40" s="6" customFormat="1" ht="11.25" x14ac:dyDescent="0.2">
      <c r="A100" s="56">
        <f t="shared" si="47"/>
        <v>43186</v>
      </c>
      <c r="B100" s="621"/>
      <c r="C100" s="859"/>
      <c r="D100" s="393"/>
      <c r="E100" s="385"/>
      <c r="F100" s="385"/>
      <c r="G100" s="110"/>
      <c r="I100" s="380">
        <f t="shared" si="25"/>
        <v>0</v>
      </c>
      <c r="J100" s="85">
        <v>2018</v>
      </c>
      <c r="K100" s="197">
        <f t="shared" si="26"/>
        <v>43186</v>
      </c>
      <c r="L100" s="438">
        <f t="shared" si="27"/>
        <v>0</v>
      </c>
      <c r="M100" s="861"/>
      <c r="N100" s="861"/>
      <c r="O100" s="324">
        <f t="shared" si="28"/>
        <v>0</v>
      </c>
      <c r="P100" s="169">
        <f>(INDEX(Models!$BJ100:$BT100,,T100)*(1-R100)+INDEX(Models!$BJ100:$BT100,,T100+1)*R100-ERP_i)*Q100*Ramure*Pc/MaxiM</f>
        <v>1.0645779269066653E-10</v>
      </c>
      <c r="Q100" s="305">
        <f t="shared" si="29"/>
        <v>0.7</v>
      </c>
      <c r="R100" s="177">
        <f t="shared" si="30"/>
        <v>2.2390168172584213E-2</v>
      </c>
      <c r="S100" s="817">
        <f t="shared" si="48"/>
        <v>-2</v>
      </c>
      <c r="T100" s="176">
        <f t="shared" si="31"/>
        <v>4</v>
      </c>
      <c r="U100" s="251">
        <f t="shared" si="32"/>
        <v>-1.9776098318274158</v>
      </c>
      <c r="V100" s="383">
        <f t="shared" si="33"/>
        <v>36.580920112655832</v>
      </c>
      <c r="W100" s="58"/>
      <c r="X100" s="157">
        <f t="shared" si="34"/>
        <v>43186</v>
      </c>
      <c r="Y100" s="385">
        <f t="shared" si="35"/>
        <v>0</v>
      </c>
      <c r="Z100" s="385">
        <f t="shared" si="36"/>
        <v>0</v>
      </c>
      <c r="AA100" s="386">
        <f t="shared" si="37"/>
        <v>0</v>
      </c>
      <c r="AB100" s="197">
        <f t="shared" si="38"/>
        <v>43186</v>
      </c>
      <c r="AC100" s="427">
        <f t="shared" si="39"/>
        <v>0</v>
      </c>
      <c r="AD100" s="169">
        <f>(INDEX(Models!$BJ100:$BT100,,AH100)*(1-AF100)+INDEX(Models!$BJ100:$BT100,,AH100+1)*AF100-ERP_i)*AE100*Ramure*Pc/MaxiM</f>
        <v>1.0645779269066653E-10</v>
      </c>
      <c r="AE100" s="305">
        <f t="shared" si="40"/>
        <v>0.7</v>
      </c>
      <c r="AF100" s="177">
        <f t="shared" si="41"/>
        <v>2.2390168172584213E-2</v>
      </c>
      <c r="AG100" s="817">
        <f t="shared" si="42"/>
        <v>-2</v>
      </c>
      <c r="AH100" s="176">
        <f t="shared" si="43"/>
        <v>4</v>
      </c>
      <c r="AI100" s="225">
        <f t="shared" si="44"/>
        <v>-1.9776098318274158</v>
      </c>
      <c r="AJ100" s="265" t="b">
        <f t="shared" si="45"/>
        <v>1</v>
      </c>
      <c r="AK100" s="265" t="b">
        <f t="shared" si="46"/>
        <v>0</v>
      </c>
      <c r="AL100" s="265"/>
      <c r="AM100" s="265"/>
      <c r="AN100" s="75"/>
    </row>
    <row r="101" spans="1:40" s="6" customFormat="1" ht="11.25" x14ac:dyDescent="0.2">
      <c r="A101" s="56">
        <f t="shared" si="47"/>
        <v>43187</v>
      </c>
      <c r="B101" s="621"/>
      <c r="C101" s="859"/>
      <c r="D101" s="393"/>
      <c r="E101" s="385"/>
      <c r="F101" s="385"/>
      <c r="G101" s="110"/>
      <c r="I101" s="380">
        <f t="shared" si="25"/>
        <v>0</v>
      </c>
      <c r="J101" s="85">
        <v>2018</v>
      </c>
      <c r="K101" s="197">
        <f t="shared" si="26"/>
        <v>43187</v>
      </c>
      <c r="L101" s="438">
        <f t="shared" si="27"/>
        <v>0</v>
      </c>
      <c r="M101" s="861"/>
      <c r="N101" s="861"/>
      <c r="O101" s="324">
        <f t="shared" si="28"/>
        <v>0</v>
      </c>
      <c r="P101" s="169">
        <f>(INDEX(Models!$BJ101:$BT101,,T101)*(1-R101)+INDEX(Models!$BJ101:$BT101,,T101+1)*R101-ERP_i)*Q101*Ramure*Pc/MaxiM</f>
        <v>8.2619111781321001E-11</v>
      </c>
      <c r="Q101" s="305">
        <f t="shared" si="29"/>
        <v>0.7</v>
      </c>
      <c r="R101" s="177">
        <f t="shared" si="30"/>
        <v>2.3269489722248515E-2</v>
      </c>
      <c r="S101" s="817">
        <f t="shared" si="48"/>
        <v>-2</v>
      </c>
      <c r="T101" s="176">
        <f t="shared" si="31"/>
        <v>4</v>
      </c>
      <c r="U101" s="251">
        <f t="shared" si="32"/>
        <v>-1.9767305102777515</v>
      </c>
      <c r="V101" s="383">
        <f t="shared" si="33"/>
        <v>36.830040649448286</v>
      </c>
      <c r="W101" s="58"/>
      <c r="X101" s="157">
        <f t="shared" si="34"/>
        <v>43187</v>
      </c>
      <c r="Y101" s="385">
        <f t="shared" si="35"/>
        <v>0</v>
      </c>
      <c r="Z101" s="385">
        <f t="shared" si="36"/>
        <v>0</v>
      </c>
      <c r="AA101" s="386">
        <f t="shared" si="37"/>
        <v>0</v>
      </c>
      <c r="AB101" s="197">
        <f t="shared" si="38"/>
        <v>43187</v>
      </c>
      <c r="AC101" s="427">
        <f t="shared" si="39"/>
        <v>0</v>
      </c>
      <c r="AD101" s="169">
        <f>(INDEX(Models!$BJ101:$BT101,,AH101)*(1-AF101)+INDEX(Models!$BJ101:$BT101,,AH101+1)*AF101-ERP_i)*AE101*Ramure*Pc/MaxiM</f>
        <v>8.2619111781321001E-11</v>
      </c>
      <c r="AE101" s="305">
        <f t="shared" si="40"/>
        <v>0.7</v>
      </c>
      <c r="AF101" s="177">
        <f t="shared" si="41"/>
        <v>2.3269489722248515E-2</v>
      </c>
      <c r="AG101" s="817">
        <f t="shared" si="42"/>
        <v>-2</v>
      </c>
      <c r="AH101" s="176">
        <f t="shared" si="43"/>
        <v>4</v>
      </c>
      <c r="AI101" s="225">
        <f t="shared" si="44"/>
        <v>-1.9767305102777515</v>
      </c>
      <c r="AJ101" s="265" t="b">
        <f t="shared" si="45"/>
        <v>1</v>
      </c>
      <c r="AK101" s="265" t="b">
        <f t="shared" si="46"/>
        <v>0</v>
      </c>
      <c r="AL101" s="265"/>
      <c r="AM101" s="265"/>
      <c r="AN101" s="75"/>
    </row>
    <row r="102" spans="1:40" s="6" customFormat="1" ht="11.25" x14ac:dyDescent="0.2">
      <c r="A102" s="56">
        <f t="shared" si="47"/>
        <v>43188</v>
      </c>
      <c r="B102" s="621"/>
      <c r="C102" s="859"/>
      <c r="D102" s="393"/>
      <c r="E102" s="385"/>
      <c r="F102" s="385"/>
      <c r="G102" s="110"/>
      <c r="I102" s="380">
        <f t="shared" si="25"/>
        <v>0</v>
      </c>
      <c r="J102" s="85">
        <v>2018</v>
      </c>
      <c r="K102" s="197">
        <f t="shared" si="26"/>
        <v>43188</v>
      </c>
      <c r="L102" s="438">
        <f t="shared" si="27"/>
        <v>0</v>
      </c>
      <c r="M102" s="861"/>
      <c r="N102" s="861"/>
      <c r="O102" s="324">
        <f t="shared" si="28"/>
        <v>0</v>
      </c>
      <c r="P102" s="169">
        <f>(INDEX(Models!$BJ102:$BT102,,T102)*(1-R102)+INDEX(Models!$BJ102:$BT102,,T102+1)*R102-ERP_i)*Q102*Ramure*Pc/MaxiM</f>
        <v>6.1071441254059336E-11</v>
      </c>
      <c r="Q102" s="305">
        <f t="shared" si="29"/>
        <v>0.7</v>
      </c>
      <c r="R102" s="177">
        <f t="shared" si="30"/>
        <v>2.4182272006634919E-2</v>
      </c>
      <c r="S102" s="817">
        <f t="shared" si="48"/>
        <v>-2</v>
      </c>
      <c r="T102" s="176">
        <f t="shared" si="31"/>
        <v>4</v>
      </c>
      <c r="U102" s="251">
        <f t="shared" si="32"/>
        <v>-1.9758177279933651</v>
      </c>
      <c r="V102" s="383">
        <f t="shared" si="33"/>
        <v>37.073845186587711</v>
      </c>
      <c r="W102" s="58"/>
      <c r="X102" s="157">
        <f t="shared" si="34"/>
        <v>43188</v>
      </c>
      <c r="Y102" s="385">
        <f t="shared" si="35"/>
        <v>0</v>
      </c>
      <c r="Z102" s="385">
        <f t="shared" si="36"/>
        <v>0</v>
      </c>
      <c r="AA102" s="386">
        <f t="shared" si="37"/>
        <v>0</v>
      </c>
      <c r="AB102" s="197">
        <f t="shared" si="38"/>
        <v>43188</v>
      </c>
      <c r="AC102" s="427">
        <f t="shared" si="39"/>
        <v>0</v>
      </c>
      <c r="AD102" s="169">
        <f>(INDEX(Models!$BJ102:$BT102,,AH102)*(1-AF102)+INDEX(Models!$BJ102:$BT102,,AH102+1)*AF102-ERP_i)*AE102*Ramure*Pc/MaxiM</f>
        <v>6.1071441254059336E-11</v>
      </c>
      <c r="AE102" s="305">
        <f t="shared" si="40"/>
        <v>0.7</v>
      </c>
      <c r="AF102" s="177">
        <f t="shared" si="41"/>
        <v>2.4182272006634919E-2</v>
      </c>
      <c r="AG102" s="817">
        <f t="shared" si="42"/>
        <v>-2</v>
      </c>
      <c r="AH102" s="176">
        <f t="shared" si="43"/>
        <v>4</v>
      </c>
      <c r="AI102" s="225">
        <f t="shared" si="44"/>
        <v>-1.9758177279933651</v>
      </c>
      <c r="AJ102" s="265" t="b">
        <f t="shared" si="45"/>
        <v>1</v>
      </c>
      <c r="AK102" s="265" t="b">
        <f t="shared" si="46"/>
        <v>0</v>
      </c>
      <c r="AL102" s="265"/>
      <c r="AM102" s="265"/>
      <c r="AN102" s="75"/>
    </row>
    <row r="103" spans="1:40" s="6" customFormat="1" ht="11.25" x14ac:dyDescent="0.2">
      <c r="A103" s="56">
        <f t="shared" si="47"/>
        <v>43189</v>
      </c>
      <c r="B103" s="621"/>
      <c r="C103" s="859"/>
      <c r="D103" s="393"/>
      <c r="E103" s="385"/>
      <c r="F103" s="385"/>
      <c r="G103" s="110"/>
      <c r="I103" s="380">
        <f t="shared" si="25"/>
        <v>0</v>
      </c>
      <c r="J103" s="85">
        <v>2018</v>
      </c>
      <c r="K103" s="197">
        <f t="shared" si="26"/>
        <v>43189</v>
      </c>
      <c r="L103" s="438">
        <f t="shared" si="27"/>
        <v>0</v>
      </c>
      <c r="M103" s="861"/>
      <c r="N103" s="861"/>
      <c r="O103" s="324">
        <f t="shared" si="28"/>
        <v>0</v>
      </c>
      <c r="P103" s="169">
        <f>(INDEX(Models!$BJ103:$BT103,,T103)*(1-R103)+INDEX(Models!$BJ103:$BT103,,T103+1)*R103-ERP_i)*Q103*Ramure*Pc/MaxiM</f>
        <v>4.2138745970741028E-11</v>
      </c>
      <c r="Q103" s="305">
        <f t="shared" si="29"/>
        <v>0.7</v>
      </c>
      <c r="R103" s="177">
        <f t="shared" si="30"/>
        <v>2.5129646358253099E-2</v>
      </c>
      <c r="S103" s="817">
        <f t="shared" si="48"/>
        <v>-2</v>
      </c>
      <c r="T103" s="176">
        <f t="shared" si="31"/>
        <v>4</v>
      </c>
      <c r="U103" s="251">
        <f t="shared" si="32"/>
        <v>-1.9748703536417469</v>
      </c>
      <c r="V103" s="383">
        <f t="shared" si="33"/>
        <v>37.311798559472827</v>
      </c>
      <c r="W103" s="58"/>
      <c r="X103" s="157">
        <f t="shared" si="34"/>
        <v>43189</v>
      </c>
      <c r="Y103" s="385">
        <f t="shared" si="35"/>
        <v>0</v>
      </c>
      <c r="Z103" s="385">
        <f t="shared" si="36"/>
        <v>0</v>
      </c>
      <c r="AA103" s="386">
        <f t="shared" si="37"/>
        <v>0</v>
      </c>
      <c r="AB103" s="197">
        <f t="shared" si="38"/>
        <v>43189</v>
      </c>
      <c r="AC103" s="427">
        <f t="shared" si="39"/>
        <v>0</v>
      </c>
      <c r="AD103" s="169">
        <f>(INDEX(Models!$BJ103:$BT103,,AH103)*(1-AF103)+INDEX(Models!$BJ103:$BT103,,AH103+1)*AF103-ERP_i)*AE103*Ramure*Pc/MaxiM</f>
        <v>4.2138745970741028E-11</v>
      </c>
      <c r="AE103" s="305">
        <f t="shared" si="40"/>
        <v>0.7</v>
      </c>
      <c r="AF103" s="177">
        <f t="shared" si="41"/>
        <v>2.5129646358253099E-2</v>
      </c>
      <c r="AG103" s="817">
        <f t="shared" si="42"/>
        <v>-2</v>
      </c>
      <c r="AH103" s="176">
        <f t="shared" si="43"/>
        <v>4</v>
      </c>
      <c r="AI103" s="225">
        <f t="shared" si="44"/>
        <v>-1.9748703536417469</v>
      </c>
      <c r="AJ103" s="265" t="b">
        <f t="shared" si="45"/>
        <v>1</v>
      </c>
      <c r="AK103" s="265" t="b">
        <f t="shared" si="46"/>
        <v>0</v>
      </c>
      <c r="AL103" s="265"/>
      <c r="AM103" s="265"/>
      <c r="AN103" s="75"/>
    </row>
    <row r="104" spans="1:40" s="6" customFormat="1" ht="11.25" x14ac:dyDescent="0.2">
      <c r="A104" s="56">
        <f t="shared" si="47"/>
        <v>43190</v>
      </c>
      <c r="B104" s="621"/>
      <c r="C104" s="859"/>
      <c r="D104" s="393"/>
      <c r="E104" s="385"/>
      <c r="F104" s="385"/>
      <c r="G104" s="110"/>
      <c r="I104" s="380">
        <f t="shared" si="25"/>
        <v>0</v>
      </c>
      <c r="J104" s="85">
        <v>2018</v>
      </c>
      <c r="K104" s="197">
        <f t="shared" si="26"/>
        <v>43190</v>
      </c>
      <c r="L104" s="438">
        <f t="shared" si="27"/>
        <v>0</v>
      </c>
      <c r="M104" s="861"/>
      <c r="N104" s="861"/>
      <c r="O104" s="324">
        <f t="shared" si="28"/>
        <v>0</v>
      </c>
      <c r="P104" s="169">
        <f>(INDEX(Models!$BJ104:$BT104,,T104)*(1-R104)+INDEX(Models!$BJ104:$BT104,,T104+1)*R104-ERP_i)*Q104*Ramure*Pc/MaxiM</f>
        <v>2.6171071797128397E-11</v>
      </c>
      <c r="Q104" s="305">
        <f t="shared" si="29"/>
        <v>0.7</v>
      </c>
      <c r="R104" s="177">
        <f t="shared" si="30"/>
        <v>2.6112770841917543E-2</v>
      </c>
      <c r="S104" s="817">
        <f t="shared" si="48"/>
        <v>-2</v>
      </c>
      <c r="T104" s="176">
        <f t="shared" si="31"/>
        <v>4</v>
      </c>
      <c r="U104" s="251">
        <f t="shared" si="32"/>
        <v>-1.9738872291580825</v>
      </c>
      <c r="V104" s="383">
        <f t="shared" si="33"/>
        <v>37.543365596316619</v>
      </c>
      <c r="W104" s="58"/>
      <c r="X104" s="157">
        <f t="shared" si="34"/>
        <v>43190</v>
      </c>
      <c r="Y104" s="385">
        <f t="shared" si="35"/>
        <v>0</v>
      </c>
      <c r="Z104" s="385">
        <f t="shared" si="36"/>
        <v>0</v>
      </c>
      <c r="AA104" s="386">
        <f t="shared" si="37"/>
        <v>0</v>
      </c>
      <c r="AB104" s="197">
        <f t="shared" si="38"/>
        <v>43190</v>
      </c>
      <c r="AC104" s="427">
        <f t="shared" si="39"/>
        <v>0</v>
      </c>
      <c r="AD104" s="169">
        <f>(INDEX(Models!$BJ104:$BT104,,AH104)*(1-AF104)+INDEX(Models!$BJ104:$BT104,,AH104+1)*AF104-ERP_i)*AE104*Ramure*Pc/MaxiM</f>
        <v>2.6171071797128397E-11</v>
      </c>
      <c r="AE104" s="305">
        <f t="shared" si="40"/>
        <v>0.7</v>
      </c>
      <c r="AF104" s="177">
        <f t="shared" si="41"/>
        <v>2.6112770841917543E-2</v>
      </c>
      <c r="AG104" s="817">
        <f t="shared" si="42"/>
        <v>-2</v>
      </c>
      <c r="AH104" s="176">
        <f t="shared" si="43"/>
        <v>4</v>
      </c>
      <c r="AI104" s="225">
        <f t="shared" si="44"/>
        <v>-1.9738872291580825</v>
      </c>
      <c r="AJ104" s="265" t="b">
        <f t="shared" si="45"/>
        <v>1</v>
      </c>
      <c r="AK104" s="265" t="b">
        <f t="shared" si="46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7"/>
        <v>43191</v>
      </c>
      <c r="B105" s="621"/>
      <c r="C105" s="859"/>
      <c r="D105" s="393"/>
      <c r="E105" s="385"/>
      <c r="F105" s="385"/>
      <c r="G105" s="110"/>
      <c r="I105" s="380">
        <f t="shared" si="25"/>
        <v>0</v>
      </c>
      <c r="J105" s="85">
        <v>2018</v>
      </c>
      <c r="K105" s="197">
        <f t="shared" si="26"/>
        <v>43191</v>
      </c>
      <c r="L105" s="438">
        <f t="shared" si="27"/>
        <v>0</v>
      </c>
      <c r="M105" s="861"/>
      <c r="N105" s="861"/>
      <c r="O105" s="324">
        <f t="shared" si="28"/>
        <v>0</v>
      </c>
      <c r="P105" s="169">
        <f>(INDEX(Models!$BJ105:$BT105,,T105)*(1-R105)+INDEX(Models!$BJ105:$BT105,,T105+1)*R105-ERP_i)*Q105*Ramure*Pc/MaxiM</f>
        <v>1.3546867415452112E-11</v>
      </c>
      <c r="Q105" s="305">
        <f t="shared" si="29"/>
        <v>0.7</v>
      </c>
      <c r="R105" s="177">
        <f t="shared" si="30"/>
        <v>2.7132829911202805E-2</v>
      </c>
      <c r="S105" s="817">
        <f t="shared" si="48"/>
        <v>-2</v>
      </c>
      <c r="T105" s="176">
        <f t="shared" si="31"/>
        <v>4</v>
      </c>
      <c r="U105" s="251">
        <f t="shared" si="32"/>
        <v>-1.9728671700887972</v>
      </c>
      <c r="V105" s="383">
        <f t="shared" si="33"/>
        <v>37.768011133153848</v>
      </c>
      <c r="W105" s="58"/>
      <c r="X105" s="157">
        <f t="shared" si="34"/>
        <v>43191</v>
      </c>
      <c r="Y105" s="385">
        <f t="shared" si="35"/>
        <v>0</v>
      </c>
      <c r="Z105" s="385">
        <f t="shared" si="36"/>
        <v>0</v>
      </c>
      <c r="AA105" s="386">
        <f t="shared" si="37"/>
        <v>0</v>
      </c>
      <c r="AB105" s="197">
        <f t="shared" si="38"/>
        <v>43191</v>
      </c>
      <c r="AC105" s="427">
        <f t="shared" si="39"/>
        <v>0</v>
      </c>
      <c r="AD105" s="169">
        <f>(INDEX(Models!$BJ105:$BT105,,AH105)*(1-AF105)+INDEX(Models!$BJ105:$BT105,,AH105+1)*AF105-ERP_i)*AE105*Ramure*Pc/MaxiM</f>
        <v>1.3546867415452112E-11</v>
      </c>
      <c r="AE105" s="305">
        <f t="shared" si="40"/>
        <v>0.7</v>
      </c>
      <c r="AF105" s="177">
        <f t="shared" si="41"/>
        <v>2.7132829911202805E-2</v>
      </c>
      <c r="AG105" s="817">
        <f t="shared" si="42"/>
        <v>-2</v>
      </c>
      <c r="AH105" s="176">
        <f t="shared" si="43"/>
        <v>4</v>
      </c>
      <c r="AI105" s="225">
        <f t="shared" si="44"/>
        <v>-1.9728671700887972</v>
      </c>
      <c r="AJ105" s="265" t="b">
        <f t="shared" si="45"/>
        <v>1</v>
      </c>
      <c r="AK105" s="265" t="b">
        <f t="shared" si="46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7"/>
        <v>43192</v>
      </c>
      <c r="B106" s="621"/>
      <c r="C106" s="859"/>
      <c r="D106" s="393"/>
      <c r="E106" s="385"/>
      <c r="F106" s="385"/>
      <c r="G106" s="110"/>
      <c r="I106" s="380">
        <f t="shared" si="25"/>
        <v>0</v>
      </c>
      <c r="J106" s="85">
        <v>2018</v>
      </c>
      <c r="K106" s="197">
        <f t="shared" si="26"/>
        <v>43192</v>
      </c>
      <c r="L106" s="438">
        <f t="shared" si="27"/>
        <v>0</v>
      </c>
      <c r="M106" s="861"/>
      <c r="N106" s="861"/>
      <c r="O106" s="324">
        <f t="shared" si="28"/>
        <v>0</v>
      </c>
      <c r="P106" s="169">
        <f>(INDEX(Models!$BJ106:$BT106,,T106)*(1-R106)+INDEX(Models!$BJ106:$BT106,,T106+1)*R106-ERP_i)*Q106*Ramure*Pc/MaxiM</f>
        <v>4.6755025799239003E-12</v>
      </c>
      <c r="Q106" s="305">
        <f t="shared" si="29"/>
        <v>0.7</v>
      </c>
      <c r="R106" s="177">
        <f t="shared" si="30"/>
        <v>2.8191033960642153E-2</v>
      </c>
      <c r="S106" s="817">
        <f t="shared" si="48"/>
        <v>-2</v>
      </c>
      <c r="T106" s="176">
        <f t="shared" si="31"/>
        <v>4</v>
      </c>
      <c r="U106" s="251">
        <f t="shared" si="32"/>
        <v>-1.9718089660393578</v>
      </c>
      <c r="V106" s="383">
        <f t="shared" si="33"/>
        <v>37.985199998886607</v>
      </c>
      <c r="W106" s="58"/>
      <c r="X106" s="157">
        <f t="shared" si="34"/>
        <v>43192</v>
      </c>
      <c r="Y106" s="385">
        <f t="shared" si="35"/>
        <v>0</v>
      </c>
      <c r="Z106" s="385">
        <f t="shared" si="36"/>
        <v>0</v>
      </c>
      <c r="AA106" s="386">
        <f t="shared" si="37"/>
        <v>0</v>
      </c>
      <c r="AB106" s="197">
        <f t="shared" si="38"/>
        <v>43192</v>
      </c>
      <c r="AC106" s="427">
        <f t="shared" si="39"/>
        <v>0</v>
      </c>
      <c r="AD106" s="169">
        <f>(INDEX(Models!$BJ106:$BT106,,AH106)*(1-AF106)+INDEX(Models!$BJ106:$BT106,,AH106+1)*AF106-ERP_i)*AE106*Ramure*Pc/MaxiM</f>
        <v>4.6755025799239003E-12</v>
      </c>
      <c r="AE106" s="305">
        <f t="shared" si="40"/>
        <v>0.7</v>
      </c>
      <c r="AF106" s="177">
        <f t="shared" si="41"/>
        <v>2.8191033960642153E-2</v>
      </c>
      <c r="AG106" s="817">
        <f t="shared" si="42"/>
        <v>-2</v>
      </c>
      <c r="AH106" s="176">
        <f t="shared" si="43"/>
        <v>4</v>
      </c>
      <c r="AI106" s="225">
        <f t="shared" si="44"/>
        <v>-1.9718089660393578</v>
      </c>
      <c r="AJ106" s="265" t="b">
        <f t="shared" si="45"/>
        <v>1</v>
      </c>
      <c r="AK106" s="265" t="b">
        <f t="shared" si="46"/>
        <v>0</v>
      </c>
      <c r="AL106" s="265"/>
      <c r="AM106" s="265"/>
      <c r="AN106" s="75"/>
    </row>
    <row r="107" spans="1:40" s="6" customFormat="1" ht="11.25" x14ac:dyDescent="0.2">
      <c r="A107" s="56">
        <f t="shared" si="47"/>
        <v>43193</v>
      </c>
      <c r="B107" s="621"/>
      <c r="C107" s="859"/>
      <c r="D107" s="393"/>
      <c r="E107" s="385"/>
      <c r="F107" s="385"/>
      <c r="G107" s="110"/>
      <c r="I107" s="380">
        <f t="shared" si="25"/>
        <v>0</v>
      </c>
      <c r="J107" s="85">
        <v>2018</v>
      </c>
      <c r="K107" s="197">
        <f t="shared" si="26"/>
        <v>43193</v>
      </c>
      <c r="L107" s="438">
        <f t="shared" si="27"/>
        <v>0</v>
      </c>
      <c r="M107" s="861"/>
      <c r="N107" s="861"/>
      <c r="O107" s="324">
        <f t="shared" si="28"/>
        <v>0</v>
      </c>
      <c r="P107" s="169">
        <f>(INDEX(Models!$BJ107:$BT107,,T107)*(1-R107)+INDEX(Models!$BJ107:$BT107,,T107+1)*R107-ERP_i)*Q107*Ramure*Pc/MaxiM</f>
        <v>0</v>
      </c>
      <c r="Q107" s="305">
        <f t="shared" si="29"/>
        <v>0.7</v>
      </c>
      <c r="R107" s="177">
        <f t="shared" si="30"/>
        <v>2.9288618765455521E-2</v>
      </c>
      <c r="S107" s="817">
        <f t="shared" si="48"/>
        <v>-2</v>
      </c>
      <c r="T107" s="176">
        <f t="shared" si="31"/>
        <v>4</v>
      </c>
      <c r="U107" s="251">
        <f t="shared" si="32"/>
        <v>-1.9707113812345445</v>
      </c>
      <c r="V107" s="383">
        <f t="shared" si="33"/>
        <v>38.194575418771379</v>
      </c>
      <c r="W107" s="58"/>
      <c r="X107" s="157">
        <f t="shared" si="34"/>
        <v>43193</v>
      </c>
      <c r="Y107" s="385">
        <f t="shared" si="35"/>
        <v>0</v>
      </c>
      <c r="Z107" s="385">
        <f t="shared" si="36"/>
        <v>0</v>
      </c>
      <c r="AA107" s="386">
        <f t="shared" si="37"/>
        <v>0</v>
      </c>
      <c r="AB107" s="197">
        <f t="shared" si="38"/>
        <v>43193</v>
      </c>
      <c r="AC107" s="427">
        <f t="shared" si="39"/>
        <v>0</v>
      </c>
      <c r="AD107" s="169">
        <f>(INDEX(Models!$BJ107:$BT107,,AH107)*(1-AF107)+INDEX(Models!$BJ107:$BT107,,AH107+1)*AF107-ERP_i)*AE107*Ramure*Pc/MaxiM</f>
        <v>0</v>
      </c>
      <c r="AE107" s="305">
        <f t="shared" si="40"/>
        <v>0.7</v>
      </c>
      <c r="AF107" s="177">
        <f t="shared" si="41"/>
        <v>2.9288618765455521E-2</v>
      </c>
      <c r="AG107" s="817">
        <f t="shared" si="42"/>
        <v>-2</v>
      </c>
      <c r="AH107" s="176">
        <f t="shared" si="43"/>
        <v>4</v>
      </c>
      <c r="AI107" s="225">
        <f t="shared" si="44"/>
        <v>-1.9707113812345445</v>
      </c>
      <c r="AJ107" s="265" t="b">
        <f t="shared" si="45"/>
        <v>1</v>
      </c>
      <c r="AK107" s="265" t="b">
        <f t="shared" si="46"/>
        <v>0</v>
      </c>
      <c r="AL107" s="265"/>
      <c r="AM107" s="265"/>
      <c r="AN107" s="75"/>
    </row>
    <row r="108" spans="1:40" s="6" customFormat="1" ht="11.25" x14ac:dyDescent="0.2">
      <c r="A108" s="56">
        <f t="shared" si="47"/>
        <v>43194</v>
      </c>
      <c r="B108" s="621"/>
      <c r="C108" s="859"/>
      <c r="D108" s="393"/>
      <c r="E108" s="385"/>
      <c r="F108" s="385"/>
      <c r="G108" s="110"/>
      <c r="I108" s="380">
        <f t="shared" si="25"/>
        <v>0</v>
      </c>
      <c r="J108" s="85">
        <v>2018</v>
      </c>
      <c r="K108" s="197">
        <f t="shared" si="26"/>
        <v>43194</v>
      </c>
      <c r="L108" s="438">
        <f t="shared" si="27"/>
        <v>0</v>
      </c>
      <c r="M108" s="861"/>
      <c r="N108" s="861"/>
      <c r="O108" s="324">
        <f t="shared" si="28"/>
        <v>0</v>
      </c>
      <c r="P108" s="169">
        <f>(INDEX(Models!$BJ108:$BT108,,T108)*(1-R108)+INDEX(Models!$BJ108:$BT108,,T108+1)*R108-ERP_i)*Q108*Ramure*Pc/MaxiM</f>
        <v>0</v>
      </c>
      <c r="Q108" s="305">
        <f t="shared" si="29"/>
        <v>0.7</v>
      </c>
      <c r="R108" s="177">
        <f t="shared" si="30"/>
        <v>3.0426844800308217E-2</v>
      </c>
      <c r="S108" s="817">
        <f t="shared" si="48"/>
        <v>-2</v>
      </c>
      <c r="T108" s="176">
        <f t="shared" si="31"/>
        <v>4</v>
      </c>
      <c r="U108" s="251">
        <f t="shared" si="32"/>
        <v>-1.9695731551996918</v>
      </c>
      <c r="V108" s="383">
        <f t="shared" si="33"/>
        <v>38.396494169586475</v>
      </c>
      <c r="W108" s="58"/>
      <c r="X108" s="157">
        <f t="shared" si="34"/>
        <v>43194</v>
      </c>
      <c r="Y108" s="385">
        <f t="shared" si="35"/>
        <v>0</v>
      </c>
      <c r="Z108" s="385">
        <f t="shared" si="36"/>
        <v>0</v>
      </c>
      <c r="AA108" s="386">
        <f t="shared" si="37"/>
        <v>0</v>
      </c>
      <c r="AB108" s="197">
        <f t="shared" si="38"/>
        <v>43194</v>
      </c>
      <c r="AC108" s="427">
        <f t="shared" si="39"/>
        <v>0</v>
      </c>
      <c r="AD108" s="169">
        <f>(INDEX(Models!$BJ108:$BT108,,AH108)*(1-AF108)+INDEX(Models!$BJ108:$BT108,,AH108+1)*AF108-ERP_i)*AE108*Ramure*Pc/MaxiM</f>
        <v>0</v>
      </c>
      <c r="AE108" s="305">
        <f t="shared" si="40"/>
        <v>0.7</v>
      </c>
      <c r="AF108" s="177">
        <f t="shared" si="41"/>
        <v>3.0426844800308217E-2</v>
      </c>
      <c r="AG108" s="817">
        <f t="shared" si="42"/>
        <v>-2</v>
      </c>
      <c r="AH108" s="176">
        <f t="shared" si="43"/>
        <v>4</v>
      </c>
      <c r="AI108" s="225">
        <f t="shared" si="44"/>
        <v>-1.9695731551996918</v>
      </c>
      <c r="AJ108" s="265" t="b">
        <f t="shared" si="45"/>
        <v>1</v>
      </c>
      <c r="AK108" s="265" t="b">
        <f t="shared" si="46"/>
        <v>0</v>
      </c>
      <c r="AL108" s="265"/>
      <c r="AM108" s="265"/>
      <c r="AN108" s="75"/>
    </row>
    <row r="109" spans="1:40" s="6" customFormat="1" ht="11.25" x14ac:dyDescent="0.2">
      <c r="A109" s="56">
        <f t="shared" si="47"/>
        <v>43195</v>
      </c>
      <c r="B109" s="621"/>
      <c r="C109" s="859"/>
      <c r="D109" s="393"/>
      <c r="E109" s="385"/>
      <c r="F109" s="385"/>
      <c r="G109" s="110"/>
      <c r="I109" s="380">
        <f t="shared" si="25"/>
        <v>0</v>
      </c>
      <c r="J109" s="85">
        <v>2018</v>
      </c>
      <c r="K109" s="197">
        <f t="shared" si="26"/>
        <v>43195</v>
      </c>
      <c r="L109" s="438">
        <f t="shared" si="27"/>
        <v>0</v>
      </c>
      <c r="M109" s="861"/>
      <c r="N109" s="861"/>
      <c r="O109" s="324">
        <f t="shared" si="28"/>
        <v>0</v>
      </c>
      <c r="P109" s="169">
        <f>(INDEX(Models!$BJ109:$BT109,,T109)*(1-R109)+INDEX(Models!$BJ109:$BT109,,T109+1)*R109-ERP_i)*Q109*Ramure*Pc/MaxiM</f>
        <v>0</v>
      </c>
      <c r="Q109" s="305">
        <f t="shared" si="29"/>
        <v>0.7</v>
      </c>
      <c r="R109" s="177">
        <f t="shared" si="30"/>
        <v>3.1606996428326983E-2</v>
      </c>
      <c r="S109" s="817">
        <f t="shared" si="48"/>
        <v>-2</v>
      </c>
      <c r="T109" s="176">
        <f t="shared" si="31"/>
        <v>4</v>
      </c>
      <c r="U109" s="251">
        <f t="shared" si="32"/>
        <v>-1.968393003571673</v>
      </c>
      <c r="V109" s="383">
        <f t="shared" si="33"/>
        <v>38.591491417267491</v>
      </c>
      <c r="W109" s="58"/>
      <c r="X109" s="157">
        <f t="shared" si="34"/>
        <v>43195</v>
      </c>
      <c r="Y109" s="385">
        <f t="shared" si="35"/>
        <v>0</v>
      </c>
      <c r="Z109" s="385">
        <f t="shared" si="36"/>
        <v>0</v>
      </c>
      <c r="AA109" s="386">
        <f t="shared" si="37"/>
        <v>0</v>
      </c>
      <c r="AB109" s="197">
        <f t="shared" si="38"/>
        <v>43195</v>
      </c>
      <c r="AC109" s="427">
        <f t="shared" si="39"/>
        <v>0</v>
      </c>
      <c r="AD109" s="169">
        <f>(INDEX(Models!$BJ109:$BT109,,AH109)*(1-AF109)+INDEX(Models!$BJ109:$BT109,,AH109+1)*AF109-ERP_i)*AE109*Ramure*Pc/MaxiM</f>
        <v>0</v>
      </c>
      <c r="AE109" s="305">
        <f t="shared" si="40"/>
        <v>0.7</v>
      </c>
      <c r="AF109" s="177">
        <f t="shared" si="41"/>
        <v>3.1606996428326983E-2</v>
      </c>
      <c r="AG109" s="817">
        <f t="shared" si="42"/>
        <v>-2</v>
      </c>
      <c r="AH109" s="176">
        <f t="shared" si="43"/>
        <v>4</v>
      </c>
      <c r="AI109" s="225">
        <f t="shared" si="44"/>
        <v>-1.968393003571673</v>
      </c>
      <c r="AJ109" s="265" t="b">
        <f t="shared" si="45"/>
        <v>1</v>
      </c>
      <c r="AK109" s="265" t="b">
        <f t="shared" si="46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7"/>
        <v>43196</v>
      </c>
      <c r="B110" s="621"/>
      <c r="C110" s="859"/>
      <c r="D110" s="393"/>
      <c r="E110" s="385"/>
      <c r="F110" s="385"/>
      <c r="G110" s="110"/>
      <c r="I110" s="380">
        <f t="shared" si="25"/>
        <v>0</v>
      </c>
      <c r="J110" s="85">
        <v>2018</v>
      </c>
      <c r="K110" s="197">
        <f t="shared" si="26"/>
        <v>43196</v>
      </c>
      <c r="L110" s="438">
        <f t="shared" si="27"/>
        <v>0</v>
      </c>
      <c r="M110" s="861"/>
      <c r="N110" s="861"/>
      <c r="O110" s="324">
        <f t="shared" si="28"/>
        <v>0</v>
      </c>
      <c r="P110" s="169">
        <f>(INDEX(Models!$BJ110:$BT110,,T110)*(1-R110)+INDEX(Models!$BJ110:$BT110,,T110+1)*R110-ERP_i)*Q110*Ramure*Pc/MaxiM</f>
        <v>0</v>
      </c>
      <c r="Q110" s="305">
        <f t="shared" si="29"/>
        <v>0.7</v>
      </c>
      <c r="R110" s="177">
        <f t="shared" si="30"/>
        <v>3.2830380951367255E-2</v>
      </c>
      <c r="S110" s="817">
        <f t="shared" si="48"/>
        <v>-2</v>
      </c>
      <c r="T110" s="176">
        <f t="shared" si="31"/>
        <v>4</v>
      </c>
      <c r="U110" s="251">
        <f t="shared" si="32"/>
        <v>-1.9671696190486327</v>
      </c>
      <c r="V110" s="383">
        <f t="shared" si="33"/>
        <v>38.780102332574977</v>
      </c>
      <c r="W110" s="58"/>
      <c r="X110" s="157">
        <f t="shared" si="34"/>
        <v>43196</v>
      </c>
      <c r="Y110" s="385">
        <f t="shared" si="35"/>
        <v>0</v>
      </c>
      <c r="Z110" s="385">
        <f t="shared" si="36"/>
        <v>0</v>
      </c>
      <c r="AA110" s="386">
        <f t="shared" si="37"/>
        <v>0</v>
      </c>
      <c r="AB110" s="197">
        <f t="shared" si="38"/>
        <v>43196</v>
      </c>
      <c r="AC110" s="427">
        <f t="shared" si="39"/>
        <v>0</v>
      </c>
      <c r="AD110" s="169">
        <f>(INDEX(Models!$BJ110:$BT110,,AH110)*(1-AF110)+INDEX(Models!$BJ110:$BT110,,AH110+1)*AF110-ERP_i)*AE110*Ramure*Pc/MaxiM</f>
        <v>0</v>
      </c>
      <c r="AE110" s="305">
        <f t="shared" si="40"/>
        <v>0.7</v>
      </c>
      <c r="AF110" s="177">
        <f t="shared" si="41"/>
        <v>3.2830380951367255E-2</v>
      </c>
      <c r="AG110" s="817">
        <f t="shared" si="42"/>
        <v>-2</v>
      </c>
      <c r="AH110" s="176">
        <f t="shared" si="43"/>
        <v>4</v>
      </c>
      <c r="AI110" s="225">
        <f t="shared" si="44"/>
        <v>-1.9671696190486327</v>
      </c>
      <c r="AJ110" s="265" t="b">
        <f t="shared" si="45"/>
        <v>1</v>
      </c>
      <c r="AK110" s="265" t="b">
        <f t="shared" si="46"/>
        <v>0</v>
      </c>
      <c r="AL110" s="265"/>
      <c r="AM110" s="265"/>
      <c r="AN110" s="75"/>
    </row>
    <row r="111" spans="1:40" s="6" customFormat="1" ht="11.25" x14ac:dyDescent="0.2">
      <c r="A111" s="56">
        <f t="shared" si="47"/>
        <v>43197</v>
      </c>
      <c r="B111" s="621"/>
      <c r="C111" s="859"/>
      <c r="D111" s="393"/>
      <c r="E111" s="385"/>
      <c r="F111" s="385"/>
      <c r="G111" s="110"/>
      <c r="I111" s="380">
        <f t="shared" si="25"/>
        <v>0</v>
      </c>
      <c r="J111" s="85">
        <v>2018</v>
      </c>
      <c r="K111" s="197">
        <f t="shared" si="26"/>
        <v>43197</v>
      </c>
      <c r="L111" s="438">
        <f t="shared" si="27"/>
        <v>0</v>
      </c>
      <c r="M111" s="861"/>
      <c r="N111" s="861"/>
      <c r="O111" s="324">
        <f t="shared" si="28"/>
        <v>0</v>
      </c>
      <c r="P111" s="169">
        <f>(INDEX(Models!$BJ111:$BT111,,T111)*(1-R111)+INDEX(Models!$BJ111:$BT111,,T111+1)*R111-ERP_i)*Q111*Ramure*Pc/MaxiM</f>
        <v>0</v>
      </c>
      <c r="Q111" s="305">
        <f t="shared" si="29"/>
        <v>0.7</v>
      </c>
      <c r="R111" s="177">
        <f t="shared" si="30"/>
        <v>3.409832751231634E-2</v>
      </c>
      <c r="S111" s="817">
        <f t="shared" si="48"/>
        <v>-2</v>
      </c>
      <c r="T111" s="176">
        <f t="shared" si="31"/>
        <v>4</v>
      </c>
      <c r="U111" s="251">
        <f t="shared" si="32"/>
        <v>-1.9659016724876837</v>
      </c>
      <c r="V111" s="383">
        <f t="shared" si="33"/>
        <v>38.962862080388831</v>
      </c>
      <c r="W111" s="58"/>
      <c r="X111" s="157">
        <f t="shared" si="34"/>
        <v>43197</v>
      </c>
      <c r="Y111" s="385">
        <f t="shared" si="35"/>
        <v>0</v>
      </c>
      <c r="Z111" s="385">
        <f t="shared" si="36"/>
        <v>0</v>
      </c>
      <c r="AA111" s="386">
        <f t="shared" si="37"/>
        <v>0</v>
      </c>
      <c r="AB111" s="197">
        <f t="shared" si="38"/>
        <v>43197</v>
      </c>
      <c r="AC111" s="427">
        <f t="shared" si="39"/>
        <v>0</v>
      </c>
      <c r="AD111" s="169">
        <f>(INDEX(Models!$BJ111:$BT111,,AH111)*(1-AF111)+INDEX(Models!$BJ111:$BT111,,AH111+1)*AF111-ERP_i)*AE111*Ramure*Pc/MaxiM</f>
        <v>0</v>
      </c>
      <c r="AE111" s="305">
        <f t="shared" si="40"/>
        <v>0.7</v>
      </c>
      <c r="AF111" s="177">
        <f t="shared" si="41"/>
        <v>3.409832751231634E-2</v>
      </c>
      <c r="AG111" s="817">
        <f t="shared" si="42"/>
        <v>-2</v>
      </c>
      <c r="AH111" s="176">
        <f t="shared" si="43"/>
        <v>4</v>
      </c>
      <c r="AI111" s="225">
        <f t="shared" si="44"/>
        <v>-1.9659016724876837</v>
      </c>
      <c r="AJ111" s="265" t="b">
        <f t="shared" si="45"/>
        <v>1</v>
      </c>
      <c r="AK111" s="265" t="b">
        <f t="shared" si="46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7"/>
        <v>43198</v>
      </c>
      <c r="B112" s="621"/>
      <c r="C112" s="859"/>
      <c r="D112" s="393"/>
      <c r="E112" s="385"/>
      <c r="F112" s="385"/>
      <c r="G112" s="110"/>
      <c r="I112" s="380">
        <f t="shared" si="25"/>
        <v>0</v>
      </c>
      <c r="J112" s="85">
        <v>2018</v>
      </c>
      <c r="K112" s="197">
        <f t="shared" si="26"/>
        <v>43198</v>
      </c>
      <c r="L112" s="438">
        <f t="shared" si="27"/>
        <v>0</v>
      </c>
      <c r="M112" s="861"/>
      <c r="N112" s="861"/>
      <c r="O112" s="324">
        <f t="shared" si="28"/>
        <v>0</v>
      </c>
      <c r="P112" s="169">
        <f>(INDEX(Models!$BJ112:$BT112,,T112)*(1-R112)+INDEX(Models!$BJ112:$BT112,,T112+1)*R112-ERP_i)*Q112*Ramure*Pc/MaxiM</f>
        <v>0</v>
      </c>
      <c r="Q112" s="305">
        <f t="shared" si="29"/>
        <v>0.7</v>
      </c>
      <c r="R112" s="177">
        <f t="shared" si="30"/>
        <v>3.5412185840059784E-2</v>
      </c>
      <c r="S112" s="817">
        <f t="shared" si="48"/>
        <v>-2</v>
      </c>
      <c r="T112" s="176">
        <f t="shared" si="31"/>
        <v>4</v>
      </c>
      <c r="U112" s="251">
        <f t="shared" si="32"/>
        <v>-1.9645878141599402</v>
      </c>
      <c r="V112" s="383">
        <f t="shared" si="33"/>
        <v>39.140305830910805</v>
      </c>
      <c r="W112" s="58"/>
      <c r="X112" s="157">
        <f t="shared" si="34"/>
        <v>43198</v>
      </c>
      <c r="Y112" s="385">
        <f t="shared" si="35"/>
        <v>0</v>
      </c>
      <c r="Z112" s="385">
        <f t="shared" si="36"/>
        <v>0</v>
      </c>
      <c r="AA112" s="386">
        <f t="shared" si="37"/>
        <v>0</v>
      </c>
      <c r="AB112" s="197">
        <f t="shared" si="38"/>
        <v>43198</v>
      </c>
      <c r="AC112" s="427">
        <f t="shared" si="39"/>
        <v>0</v>
      </c>
      <c r="AD112" s="169">
        <f>(INDEX(Models!$BJ112:$BT112,,AH112)*(1-AF112)+INDEX(Models!$BJ112:$BT112,,AH112+1)*AF112-ERP_i)*AE112*Ramure*Pc/MaxiM</f>
        <v>0</v>
      </c>
      <c r="AE112" s="305">
        <f t="shared" si="40"/>
        <v>0.7</v>
      </c>
      <c r="AF112" s="177">
        <f t="shared" si="41"/>
        <v>3.5412185840059784E-2</v>
      </c>
      <c r="AG112" s="817">
        <f t="shared" si="42"/>
        <v>-2</v>
      </c>
      <c r="AH112" s="176">
        <f t="shared" si="43"/>
        <v>4</v>
      </c>
      <c r="AI112" s="225">
        <f t="shared" si="44"/>
        <v>-1.9645878141599402</v>
      </c>
      <c r="AJ112" s="265" t="b">
        <f t="shared" si="45"/>
        <v>1</v>
      </c>
      <c r="AK112" s="265" t="b">
        <f t="shared" si="46"/>
        <v>0</v>
      </c>
      <c r="AL112" s="265"/>
      <c r="AM112" s="265"/>
      <c r="AN112" s="75"/>
    </row>
    <row r="113" spans="1:40" s="6" customFormat="1" ht="11.25" x14ac:dyDescent="0.2">
      <c r="A113" s="56">
        <f t="shared" si="47"/>
        <v>43199</v>
      </c>
      <c r="B113" s="621"/>
      <c r="C113" s="859"/>
      <c r="D113" s="393"/>
      <c r="E113" s="385"/>
      <c r="F113" s="385"/>
      <c r="G113" s="110"/>
      <c r="I113" s="380">
        <f t="shared" si="25"/>
        <v>0</v>
      </c>
      <c r="J113" s="85">
        <v>2018</v>
      </c>
      <c r="K113" s="197">
        <f t="shared" si="26"/>
        <v>43199</v>
      </c>
      <c r="L113" s="438">
        <f t="shared" si="27"/>
        <v>0</v>
      </c>
      <c r="M113" s="861"/>
      <c r="N113" s="861"/>
      <c r="O113" s="324">
        <f t="shared" si="28"/>
        <v>0</v>
      </c>
      <c r="P113" s="169">
        <f>(INDEX(Models!$BJ113:$BT113,,T113)*(1-R113)+INDEX(Models!$BJ113:$BT113,,T113+1)*R113-ERP_i)*Q113*Ramure*Pc/MaxiM</f>
        <v>0</v>
      </c>
      <c r="Q113" s="305">
        <f t="shared" si="29"/>
        <v>0.7</v>
      </c>
      <c r="R113" s="177">
        <f t="shared" si="30"/>
        <v>3.6773324827625853E-2</v>
      </c>
      <c r="S113" s="817">
        <f t="shared" si="48"/>
        <v>-2</v>
      </c>
      <c r="T113" s="176">
        <f t="shared" si="31"/>
        <v>4</v>
      </c>
      <c r="U113" s="251">
        <f t="shared" si="32"/>
        <v>-1.9632266751723741</v>
      </c>
      <c r="V113" s="383">
        <f t="shared" si="33"/>
        <v>39.312968749552965</v>
      </c>
      <c r="W113" s="58"/>
      <c r="X113" s="157">
        <f t="shared" si="34"/>
        <v>43199</v>
      </c>
      <c r="Y113" s="385">
        <f t="shared" si="35"/>
        <v>0</v>
      </c>
      <c r="Z113" s="385">
        <f t="shared" si="36"/>
        <v>0</v>
      </c>
      <c r="AA113" s="386">
        <f t="shared" si="37"/>
        <v>0</v>
      </c>
      <c r="AB113" s="197">
        <f t="shared" si="38"/>
        <v>43199</v>
      </c>
      <c r="AC113" s="427">
        <f t="shared" si="39"/>
        <v>0</v>
      </c>
      <c r="AD113" s="169">
        <f>(INDEX(Models!$BJ113:$BT113,,AH113)*(1-AF113)+INDEX(Models!$BJ113:$BT113,,AH113+1)*AF113-ERP_i)*AE113*Ramure*Pc/MaxiM</f>
        <v>0</v>
      </c>
      <c r="AE113" s="305">
        <f t="shared" si="40"/>
        <v>0.7</v>
      </c>
      <c r="AF113" s="177">
        <f t="shared" si="41"/>
        <v>3.6773324827625853E-2</v>
      </c>
      <c r="AG113" s="817">
        <f t="shared" si="42"/>
        <v>-2</v>
      </c>
      <c r="AH113" s="176">
        <f t="shared" si="43"/>
        <v>4</v>
      </c>
      <c r="AI113" s="225">
        <f t="shared" si="44"/>
        <v>-1.9632266751723741</v>
      </c>
      <c r="AJ113" s="265" t="b">
        <f t="shared" si="45"/>
        <v>1</v>
      </c>
      <c r="AK113" s="265" t="b">
        <f t="shared" si="46"/>
        <v>0</v>
      </c>
      <c r="AL113" s="265"/>
      <c r="AM113" s="265"/>
      <c r="AN113" s="75"/>
    </row>
    <row r="114" spans="1:40" s="6" customFormat="1" ht="11.25" x14ac:dyDescent="0.2">
      <c r="A114" s="56">
        <f t="shared" si="47"/>
        <v>43200</v>
      </c>
      <c r="B114" s="621"/>
      <c r="C114" s="859"/>
      <c r="D114" s="393"/>
      <c r="E114" s="385"/>
      <c r="F114" s="385"/>
      <c r="G114" s="110"/>
      <c r="I114" s="380">
        <f t="shared" si="25"/>
        <v>0</v>
      </c>
      <c r="J114" s="85">
        <v>2018</v>
      </c>
      <c r="K114" s="197">
        <f t="shared" si="26"/>
        <v>43200</v>
      </c>
      <c r="L114" s="438">
        <f t="shared" si="27"/>
        <v>0</v>
      </c>
      <c r="M114" s="861"/>
      <c r="N114" s="861"/>
      <c r="O114" s="324">
        <f t="shared" si="28"/>
        <v>0</v>
      </c>
      <c r="P114" s="169">
        <f>(INDEX(Models!$BJ114:$BT114,,T114)*(1-R114)+INDEX(Models!$BJ114:$BT114,,T114+1)*R114-ERP_i)*Q114*Ramure*Pc/MaxiM</f>
        <v>0</v>
      </c>
      <c r="Q114" s="305">
        <f t="shared" si="29"/>
        <v>0.7</v>
      </c>
      <c r="R114" s="177">
        <f t="shared" si="30"/>
        <v>3.8183130933968412E-2</v>
      </c>
      <c r="S114" s="817">
        <f t="shared" si="48"/>
        <v>-2</v>
      </c>
      <c r="T114" s="176">
        <f t="shared" si="31"/>
        <v>4</v>
      </c>
      <c r="U114" s="251">
        <f t="shared" si="32"/>
        <v>-1.9618168690660316</v>
      </c>
      <c r="V114" s="383">
        <f t="shared" si="33"/>
        <v>39.481386005878448</v>
      </c>
      <c r="W114" s="58"/>
      <c r="X114" s="157">
        <f t="shared" si="34"/>
        <v>43200</v>
      </c>
      <c r="Y114" s="385">
        <f t="shared" si="35"/>
        <v>0</v>
      </c>
      <c r="Z114" s="385">
        <f t="shared" si="36"/>
        <v>0</v>
      </c>
      <c r="AA114" s="386">
        <f t="shared" si="37"/>
        <v>0</v>
      </c>
      <c r="AB114" s="197">
        <f t="shared" si="38"/>
        <v>43200</v>
      </c>
      <c r="AC114" s="427">
        <f t="shared" si="39"/>
        <v>0</v>
      </c>
      <c r="AD114" s="169">
        <f>(INDEX(Models!$BJ114:$BT114,,AH114)*(1-AF114)+INDEX(Models!$BJ114:$BT114,,AH114+1)*AF114-ERP_i)*AE114*Ramure*Pc/MaxiM</f>
        <v>0</v>
      </c>
      <c r="AE114" s="305">
        <f t="shared" si="40"/>
        <v>0.7</v>
      </c>
      <c r="AF114" s="177">
        <f t="shared" si="41"/>
        <v>3.8183130933968412E-2</v>
      </c>
      <c r="AG114" s="817">
        <f t="shared" si="42"/>
        <v>-2</v>
      </c>
      <c r="AH114" s="176">
        <f t="shared" si="43"/>
        <v>4</v>
      </c>
      <c r="AI114" s="225">
        <f t="shared" si="44"/>
        <v>-1.9618168690660316</v>
      </c>
      <c r="AJ114" s="265" t="b">
        <f t="shared" si="45"/>
        <v>1</v>
      </c>
      <c r="AK114" s="265" t="b">
        <f t="shared" si="46"/>
        <v>0</v>
      </c>
      <c r="AL114" s="265"/>
      <c r="AM114" s="265"/>
      <c r="AN114" s="75"/>
    </row>
    <row r="115" spans="1:40" s="6" customFormat="1" ht="11.25" x14ac:dyDescent="0.2">
      <c r="A115" s="56">
        <f t="shared" si="47"/>
        <v>43201</v>
      </c>
      <c r="B115" s="621"/>
      <c r="C115" s="859"/>
      <c r="D115" s="393"/>
      <c r="E115" s="385"/>
      <c r="F115" s="385"/>
      <c r="G115" s="110"/>
      <c r="I115" s="380">
        <f t="shared" si="25"/>
        <v>0</v>
      </c>
      <c r="J115" s="85">
        <v>2018</v>
      </c>
      <c r="K115" s="197">
        <f t="shared" si="26"/>
        <v>43201</v>
      </c>
      <c r="L115" s="438">
        <f t="shared" si="27"/>
        <v>0</v>
      </c>
      <c r="M115" s="861"/>
      <c r="N115" s="861"/>
      <c r="O115" s="324">
        <f t="shared" si="28"/>
        <v>0</v>
      </c>
      <c r="P115" s="169">
        <f>(INDEX(Models!$BJ115:$BT115,,T115)*(1-R115)+INDEX(Models!$BJ115:$BT115,,T115+1)*R115-ERP_i)*Q115*Ramure*Pc/MaxiM</f>
        <v>0</v>
      </c>
      <c r="Q115" s="305">
        <f t="shared" si="29"/>
        <v>0.7</v>
      </c>
      <c r="R115" s="177">
        <f t="shared" si="30"/>
        <v>3.9643006399865399E-2</v>
      </c>
      <c r="S115" s="817">
        <f t="shared" si="48"/>
        <v>-2</v>
      </c>
      <c r="T115" s="176">
        <f t="shared" si="31"/>
        <v>4</v>
      </c>
      <c r="U115" s="251">
        <f t="shared" si="32"/>
        <v>-1.9603569936001346</v>
      </c>
      <c r="V115" s="383">
        <f t="shared" si="33"/>
        <v>39.646092765964568</v>
      </c>
      <c r="W115" s="58"/>
      <c r="X115" s="157">
        <f t="shared" si="34"/>
        <v>43201</v>
      </c>
      <c r="Y115" s="385">
        <f t="shared" si="35"/>
        <v>0</v>
      </c>
      <c r="Z115" s="385">
        <f t="shared" si="36"/>
        <v>0</v>
      </c>
      <c r="AA115" s="386">
        <f t="shared" si="37"/>
        <v>0</v>
      </c>
      <c r="AB115" s="197">
        <f t="shared" si="38"/>
        <v>43201</v>
      </c>
      <c r="AC115" s="427">
        <f t="shared" si="39"/>
        <v>0</v>
      </c>
      <c r="AD115" s="169">
        <f>(INDEX(Models!$BJ115:$BT115,,AH115)*(1-AF115)+INDEX(Models!$BJ115:$BT115,,AH115+1)*AF115-ERP_i)*AE115*Ramure*Pc/MaxiM</f>
        <v>0</v>
      </c>
      <c r="AE115" s="305">
        <f t="shared" si="40"/>
        <v>0.7</v>
      </c>
      <c r="AF115" s="177">
        <f t="shared" si="41"/>
        <v>3.9643006399865399E-2</v>
      </c>
      <c r="AG115" s="817">
        <f t="shared" si="42"/>
        <v>-2</v>
      </c>
      <c r="AH115" s="176">
        <f t="shared" si="43"/>
        <v>4</v>
      </c>
      <c r="AI115" s="225">
        <f t="shared" si="44"/>
        <v>-1.9603569936001346</v>
      </c>
      <c r="AJ115" s="265" t="b">
        <f t="shared" si="45"/>
        <v>1</v>
      </c>
      <c r="AK115" s="265" t="b">
        <f t="shared" si="46"/>
        <v>0</v>
      </c>
      <c r="AL115" s="265"/>
      <c r="AM115" s="265"/>
      <c r="AN115" s="75"/>
    </row>
    <row r="116" spans="1:40" s="6" customFormat="1" ht="11.25" x14ac:dyDescent="0.2">
      <c r="A116" s="56">
        <f t="shared" si="47"/>
        <v>43202</v>
      </c>
      <c r="B116" s="621"/>
      <c r="C116" s="859"/>
      <c r="D116" s="393"/>
      <c r="E116" s="385"/>
      <c r="F116" s="385"/>
      <c r="G116" s="110"/>
      <c r="I116" s="380">
        <f t="shared" si="25"/>
        <v>0</v>
      </c>
      <c r="J116" s="85">
        <v>2018</v>
      </c>
      <c r="K116" s="197">
        <f t="shared" si="26"/>
        <v>43202</v>
      </c>
      <c r="L116" s="438">
        <f t="shared" si="27"/>
        <v>0</v>
      </c>
      <c r="M116" s="861"/>
      <c r="N116" s="861"/>
      <c r="O116" s="324">
        <f t="shared" si="28"/>
        <v>0</v>
      </c>
      <c r="P116" s="169">
        <f>(INDEX(Models!$BJ116:$BT116,,T116)*(1-R116)+INDEX(Models!$BJ116:$BT116,,T116+1)*R116-ERP_i)*Q116*Ramure*Pc/MaxiM</f>
        <v>0</v>
      </c>
      <c r="Q116" s="305">
        <f t="shared" si="29"/>
        <v>0.7</v>
      </c>
      <c r="R116" s="177">
        <f t="shared" si="30"/>
        <v>4.1154367268493752E-2</v>
      </c>
      <c r="S116" s="817">
        <f t="shared" si="48"/>
        <v>-2</v>
      </c>
      <c r="T116" s="176">
        <f t="shared" si="31"/>
        <v>4</v>
      </c>
      <c r="U116" s="251">
        <f t="shared" si="32"/>
        <v>-1.9588456327315062</v>
      </c>
      <c r="V116" s="383">
        <f t="shared" si="33"/>
        <v>39.807624198549561</v>
      </c>
      <c r="W116" s="58"/>
      <c r="X116" s="157">
        <f t="shared" si="34"/>
        <v>43202</v>
      </c>
      <c r="Y116" s="385">
        <f t="shared" si="35"/>
        <v>0</v>
      </c>
      <c r="Z116" s="385">
        <f t="shared" si="36"/>
        <v>0</v>
      </c>
      <c r="AA116" s="386">
        <f t="shared" si="37"/>
        <v>0</v>
      </c>
      <c r="AB116" s="197">
        <f t="shared" si="38"/>
        <v>43202</v>
      </c>
      <c r="AC116" s="427">
        <f t="shared" si="39"/>
        <v>0</v>
      </c>
      <c r="AD116" s="169">
        <f>(INDEX(Models!$BJ116:$BT116,,AH116)*(1-AF116)+INDEX(Models!$BJ116:$BT116,,AH116+1)*AF116-ERP_i)*AE116*Ramure*Pc/MaxiM</f>
        <v>0</v>
      </c>
      <c r="AE116" s="305">
        <f t="shared" si="40"/>
        <v>0.7</v>
      </c>
      <c r="AF116" s="177">
        <f t="shared" si="41"/>
        <v>4.1154367268493752E-2</v>
      </c>
      <c r="AG116" s="817">
        <f t="shared" si="42"/>
        <v>-2</v>
      </c>
      <c r="AH116" s="176">
        <f t="shared" si="43"/>
        <v>4</v>
      </c>
      <c r="AI116" s="225">
        <f t="shared" si="44"/>
        <v>-1.9588456327315062</v>
      </c>
      <c r="AJ116" s="265" t="b">
        <f t="shared" si="45"/>
        <v>1</v>
      </c>
      <c r="AK116" s="265" t="b">
        <f t="shared" si="46"/>
        <v>0</v>
      </c>
      <c r="AL116" s="265"/>
      <c r="AM116" s="265"/>
      <c r="AN116" s="75"/>
    </row>
    <row r="117" spans="1:40" s="6" customFormat="1" ht="11.25" x14ac:dyDescent="0.2">
      <c r="A117" s="56">
        <f t="shared" si="47"/>
        <v>43203</v>
      </c>
      <c r="B117" s="621"/>
      <c r="C117" s="859"/>
      <c r="D117" s="393"/>
      <c r="E117" s="385"/>
      <c r="F117" s="385"/>
      <c r="G117" s="110"/>
      <c r="I117" s="380">
        <f t="shared" si="25"/>
        <v>0</v>
      </c>
      <c r="J117" s="85">
        <v>2018</v>
      </c>
      <c r="K117" s="197">
        <f t="shared" si="26"/>
        <v>43203</v>
      </c>
      <c r="L117" s="438">
        <f t="shared" si="27"/>
        <v>0</v>
      </c>
      <c r="M117" s="861"/>
      <c r="N117" s="861"/>
      <c r="O117" s="324">
        <f t="shared" si="28"/>
        <v>0</v>
      </c>
      <c r="P117" s="169">
        <f>(INDEX(Models!$BJ117:$BT117,,T117)*(1-R117)+INDEX(Models!$BJ117:$BT117,,T117+1)*R117-ERP_i)*Q117*Ramure*Pc/MaxiM</f>
        <v>0</v>
      </c>
      <c r="Q117" s="305">
        <f t="shared" si="29"/>
        <v>0.7</v>
      </c>
      <c r="R117" s="177">
        <f t="shared" si="30"/>
        <v>4.271864120141533E-2</v>
      </c>
      <c r="S117" s="817">
        <f t="shared" si="48"/>
        <v>-2</v>
      </c>
      <c r="T117" s="176">
        <f t="shared" si="31"/>
        <v>4</v>
      </c>
      <c r="U117" s="251">
        <f t="shared" si="32"/>
        <v>-1.9572813587985847</v>
      </c>
      <c r="V117" s="383">
        <f t="shared" si="33"/>
        <v>39.966515469737352</v>
      </c>
      <c r="W117" s="58"/>
      <c r="X117" s="157">
        <f t="shared" si="34"/>
        <v>43203</v>
      </c>
      <c r="Y117" s="385">
        <f t="shared" si="35"/>
        <v>0</v>
      </c>
      <c r="Z117" s="385">
        <f t="shared" si="36"/>
        <v>0</v>
      </c>
      <c r="AA117" s="386">
        <f t="shared" si="37"/>
        <v>0</v>
      </c>
      <c r="AB117" s="197">
        <f t="shared" si="38"/>
        <v>43203</v>
      </c>
      <c r="AC117" s="427">
        <f t="shared" si="39"/>
        <v>0</v>
      </c>
      <c r="AD117" s="169">
        <f>(INDEX(Models!$BJ117:$BT117,,AH117)*(1-AF117)+INDEX(Models!$BJ117:$BT117,,AH117+1)*AF117-ERP_i)*AE117*Ramure*Pc/MaxiM</f>
        <v>0</v>
      </c>
      <c r="AE117" s="305">
        <f t="shared" si="40"/>
        <v>0.7</v>
      </c>
      <c r="AF117" s="177">
        <f t="shared" si="41"/>
        <v>4.271864120141533E-2</v>
      </c>
      <c r="AG117" s="817">
        <f t="shared" si="42"/>
        <v>-2</v>
      </c>
      <c r="AH117" s="176">
        <f t="shared" si="43"/>
        <v>4</v>
      </c>
      <c r="AI117" s="225">
        <f t="shared" si="44"/>
        <v>-1.9572813587985847</v>
      </c>
      <c r="AJ117" s="265" t="b">
        <f t="shared" si="45"/>
        <v>1</v>
      </c>
      <c r="AK117" s="265" t="b">
        <f t="shared" si="46"/>
        <v>0</v>
      </c>
      <c r="AL117" s="265"/>
      <c r="AM117" s="265"/>
      <c r="AN117" s="75"/>
    </row>
    <row r="118" spans="1:40" s="6" customFormat="1" ht="11.25" x14ac:dyDescent="0.2">
      <c r="A118" s="56">
        <f t="shared" si="47"/>
        <v>43204</v>
      </c>
      <c r="B118" s="621"/>
      <c r="C118" s="859"/>
      <c r="D118" s="393"/>
      <c r="E118" s="385"/>
      <c r="F118" s="385"/>
      <c r="G118" s="110"/>
      <c r="I118" s="380">
        <f t="shared" si="25"/>
        <v>0</v>
      </c>
      <c r="J118" s="85">
        <v>2018</v>
      </c>
      <c r="K118" s="197">
        <f t="shared" si="26"/>
        <v>43204</v>
      </c>
      <c r="L118" s="438">
        <f t="shared" si="27"/>
        <v>0</v>
      </c>
      <c r="M118" s="861"/>
      <c r="N118" s="861"/>
      <c r="O118" s="324">
        <f t="shared" si="28"/>
        <v>0</v>
      </c>
      <c r="P118" s="169">
        <f>(INDEX(Models!$BJ118:$BT118,,T118)*(1-R118)+INDEX(Models!$BJ118:$BT118,,T118+1)*R118-ERP_i)*Q118*Ramure*Pc/MaxiM</f>
        <v>0</v>
      </c>
      <c r="Q118" s="305">
        <f t="shared" si="29"/>
        <v>0.7</v>
      </c>
      <c r="R118" s="177">
        <f t="shared" si="30"/>
        <v>4.4337265080979016E-2</v>
      </c>
      <c r="S118" s="817">
        <f t="shared" si="48"/>
        <v>-2</v>
      </c>
      <c r="T118" s="176">
        <f t="shared" si="31"/>
        <v>4</v>
      </c>
      <c r="U118" s="251">
        <f t="shared" si="32"/>
        <v>-1.955662734919021</v>
      </c>
      <c r="V118" s="383">
        <f t="shared" si="33"/>
        <v>40.123301748718532</v>
      </c>
      <c r="W118" s="58"/>
      <c r="X118" s="157">
        <f t="shared" si="34"/>
        <v>43204</v>
      </c>
      <c r="Y118" s="385">
        <f t="shared" si="35"/>
        <v>0</v>
      </c>
      <c r="Z118" s="385">
        <f t="shared" si="36"/>
        <v>0</v>
      </c>
      <c r="AA118" s="386">
        <f t="shared" si="37"/>
        <v>0</v>
      </c>
      <c r="AB118" s="197">
        <f t="shared" si="38"/>
        <v>43204</v>
      </c>
      <c r="AC118" s="427">
        <f t="shared" si="39"/>
        <v>0</v>
      </c>
      <c r="AD118" s="169">
        <f>(INDEX(Models!$BJ118:$BT118,,AH118)*(1-AF118)+INDEX(Models!$BJ118:$BT118,,AH118+1)*AF118-ERP_i)*AE118*Ramure*Pc/MaxiM</f>
        <v>0</v>
      </c>
      <c r="AE118" s="305">
        <f t="shared" si="40"/>
        <v>0.7</v>
      </c>
      <c r="AF118" s="177">
        <f t="shared" si="41"/>
        <v>4.4337265080979016E-2</v>
      </c>
      <c r="AG118" s="817">
        <f t="shared" si="42"/>
        <v>-2</v>
      </c>
      <c r="AH118" s="176">
        <f t="shared" si="43"/>
        <v>4</v>
      </c>
      <c r="AI118" s="225">
        <f t="shared" si="44"/>
        <v>-1.955662734919021</v>
      </c>
      <c r="AJ118" s="265" t="b">
        <f t="shared" si="45"/>
        <v>1</v>
      </c>
      <c r="AK118" s="265" t="b">
        <f t="shared" si="46"/>
        <v>0</v>
      </c>
      <c r="AL118" s="265"/>
      <c r="AM118" s="265"/>
      <c r="AN118" s="75"/>
    </row>
    <row r="119" spans="1:40" s="6" customFormat="1" ht="11.25" customHeight="1" x14ac:dyDescent="0.2">
      <c r="A119" s="56">
        <f t="shared" si="47"/>
        <v>43205</v>
      </c>
      <c r="B119" s="621"/>
      <c r="C119" s="859"/>
      <c r="D119" s="393"/>
      <c r="E119" s="385"/>
      <c r="F119" s="385"/>
      <c r="G119" s="110"/>
      <c r="I119" s="380">
        <f t="shared" si="25"/>
        <v>0</v>
      </c>
      <c r="J119" s="85">
        <v>2018</v>
      </c>
      <c r="K119" s="197">
        <f t="shared" si="26"/>
        <v>43205</v>
      </c>
      <c r="L119" s="438">
        <f t="shared" si="27"/>
        <v>0</v>
      </c>
      <c r="M119" s="861"/>
      <c r="N119" s="861"/>
      <c r="O119" s="324">
        <f t="shared" si="28"/>
        <v>0</v>
      </c>
      <c r="P119" s="169">
        <f>(INDEX(Models!$BJ119:$BT119,,T119)*(1-R119)+INDEX(Models!$BJ119:$BT119,,T119+1)*R119-ERP_i)*Q119*Ramure*Pc/MaxiM</f>
        <v>0</v>
      </c>
      <c r="Q119" s="305">
        <f t="shared" si="29"/>
        <v>0.7</v>
      </c>
      <c r="R119" s="177">
        <f t="shared" si="30"/>
        <v>4.6011682390510344E-2</v>
      </c>
      <c r="S119" s="817">
        <f t="shared" si="48"/>
        <v>-2</v>
      </c>
      <c r="T119" s="176">
        <f t="shared" si="31"/>
        <v>4</v>
      </c>
      <c r="U119" s="251">
        <f t="shared" si="32"/>
        <v>-1.9539883176094897</v>
      </c>
      <c r="V119" s="383">
        <f t="shared" si="33"/>
        <v>40.278518203033933</v>
      </c>
      <c r="W119" s="58"/>
      <c r="X119" s="157">
        <f t="shared" si="34"/>
        <v>43205</v>
      </c>
      <c r="Y119" s="385">
        <f t="shared" si="35"/>
        <v>0</v>
      </c>
      <c r="Z119" s="385">
        <f t="shared" si="36"/>
        <v>0</v>
      </c>
      <c r="AA119" s="386">
        <f t="shared" si="37"/>
        <v>0</v>
      </c>
      <c r="AB119" s="197">
        <f t="shared" si="38"/>
        <v>43205</v>
      </c>
      <c r="AC119" s="427">
        <f t="shared" si="39"/>
        <v>0</v>
      </c>
      <c r="AD119" s="169">
        <f>(INDEX(Models!$BJ119:$BT119,,AH119)*(1-AF119)+INDEX(Models!$BJ119:$BT119,,AH119+1)*AF119-ERP_i)*AE119*Ramure*Pc/MaxiM</f>
        <v>0</v>
      </c>
      <c r="AE119" s="305">
        <f t="shared" si="40"/>
        <v>0.7</v>
      </c>
      <c r="AF119" s="177">
        <f t="shared" si="41"/>
        <v>4.6011682390510344E-2</v>
      </c>
      <c r="AG119" s="817">
        <f t="shared" si="42"/>
        <v>-2</v>
      </c>
      <c r="AH119" s="176">
        <f t="shared" si="43"/>
        <v>4</v>
      </c>
      <c r="AI119" s="225">
        <f t="shared" si="44"/>
        <v>-1.9539883176094897</v>
      </c>
      <c r="AJ119" s="265" t="b">
        <f t="shared" si="45"/>
        <v>1</v>
      </c>
      <c r="AK119" s="265" t="b">
        <f t="shared" si="46"/>
        <v>0</v>
      </c>
      <c r="AL119" s="265"/>
      <c r="AM119" s="265"/>
      <c r="AN119" s="75"/>
    </row>
    <row r="120" spans="1:40" s="6" customFormat="1" ht="11.25" x14ac:dyDescent="0.2">
      <c r="A120" s="56">
        <f t="shared" si="47"/>
        <v>43206</v>
      </c>
      <c r="B120" s="621"/>
      <c r="C120" s="859"/>
      <c r="D120" s="393"/>
      <c r="E120" s="385"/>
      <c r="F120" s="385"/>
      <c r="G120" s="110"/>
      <c r="I120" s="380">
        <f t="shared" si="25"/>
        <v>0</v>
      </c>
      <c r="J120" s="85">
        <v>2018</v>
      </c>
      <c r="K120" s="197">
        <f t="shared" si="26"/>
        <v>43206</v>
      </c>
      <c r="L120" s="438">
        <f t="shared" si="27"/>
        <v>0</v>
      </c>
      <c r="M120" s="861"/>
      <c r="N120" s="861"/>
      <c r="O120" s="324">
        <f t="shared" si="28"/>
        <v>0</v>
      </c>
      <c r="P120" s="169">
        <f>(INDEX(Models!$BJ120:$BT120,,T120)*(1-R120)+INDEX(Models!$BJ120:$BT120,,T120+1)*R120-ERP_i)*Q120*Ramure*Pc/MaxiM</f>
        <v>0</v>
      </c>
      <c r="Q120" s="305">
        <f t="shared" si="29"/>
        <v>0.7</v>
      </c>
      <c r="R120" s="177">
        <f t="shared" si="30"/>
        <v>4.7743340364152731E-2</v>
      </c>
      <c r="S120" s="817">
        <f t="shared" si="48"/>
        <v>-2</v>
      </c>
      <c r="T120" s="176">
        <f t="shared" si="31"/>
        <v>4</v>
      </c>
      <c r="U120" s="251">
        <f t="shared" si="32"/>
        <v>-1.9522566596358473</v>
      </c>
      <c r="V120" s="383">
        <f t="shared" si="33"/>
        <v>40.432699999958274</v>
      </c>
      <c r="W120" s="58"/>
      <c r="X120" s="157">
        <f t="shared" si="34"/>
        <v>43206</v>
      </c>
      <c r="Y120" s="385">
        <f t="shared" si="35"/>
        <v>0</v>
      </c>
      <c r="Z120" s="385">
        <f t="shared" si="36"/>
        <v>0</v>
      </c>
      <c r="AA120" s="386">
        <f t="shared" si="37"/>
        <v>0</v>
      </c>
      <c r="AB120" s="197">
        <f t="shared" si="38"/>
        <v>43206</v>
      </c>
      <c r="AC120" s="427">
        <f t="shared" si="39"/>
        <v>0</v>
      </c>
      <c r="AD120" s="169">
        <f>(INDEX(Models!$BJ120:$BT120,,AH120)*(1-AF120)+INDEX(Models!$BJ120:$BT120,,AH120+1)*AF120-ERP_i)*AE120*Ramure*Pc/MaxiM</f>
        <v>0</v>
      </c>
      <c r="AE120" s="305">
        <f t="shared" si="40"/>
        <v>0.7</v>
      </c>
      <c r="AF120" s="177">
        <f t="shared" si="41"/>
        <v>4.7743340364152731E-2</v>
      </c>
      <c r="AG120" s="817">
        <f t="shared" si="42"/>
        <v>-2</v>
      </c>
      <c r="AH120" s="176">
        <f t="shared" si="43"/>
        <v>4</v>
      </c>
      <c r="AI120" s="225">
        <f t="shared" si="44"/>
        <v>-1.9522566596358473</v>
      </c>
      <c r="AJ120" s="265" t="b">
        <f t="shared" si="45"/>
        <v>1</v>
      </c>
      <c r="AK120" s="265" t="b">
        <f t="shared" si="46"/>
        <v>0</v>
      </c>
      <c r="AL120" s="265"/>
      <c r="AM120" s="265"/>
      <c r="AN120" s="75"/>
    </row>
    <row r="121" spans="1:40" s="6" customFormat="1" ht="11.25" x14ac:dyDescent="0.2">
      <c r="A121" s="56">
        <f t="shared" si="47"/>
        <v>43207</v>
      </c>
      <c r="B121" s="621"/>
      <c r="C121" s="859"/>
      <c r="D121" s="393"/>
      <c r="E121" s="385"/>
      <c r="F121" s="385"/>
      <c r="G121" s="110"/>
      <c r="I121" s="380">
        <f t="shared" si="25"/>
        <v>0</v>
      </c>
      <c r="J121" s="85">
        <v>2018</v>
      </c>
      <c r="K121" s="197">
        <f t="shared" si="26"/>
        <v>43207</v>
      </c>
      <c r="L121" s="438">
        <f t="shared" si="27"/>
        <v>0</v>
      </c>
      <c r="M121" s="861"/>
      <c r="N121" s="861"/>
      <c r="O121" s="324">
        <f t="shared" si="28"/>
        <v>0</v>
      </c>
      <c r="P121" s="169">
        <f>(INDEX(Models!$BJ121:$BT121,,T121)*(1-R121)+INDEX(Models!$BJ121:$BT121,,T121+1)*R121-ERP_i)*Q121*Ramure*Pc/MaxiM</f>
        <v>0</v>
      </c>
      <c r="Q121" s="305">
        <f t="shared" si="29"/>
        <v>0.7</v>
      </c>
      <c r="R121" s="177">
        <f t="shared" si="30"/>
        <v>4.9533686898829643E-2</v>
      </c>
      <c r="S121" s="817">
        <f t="shared" si="48"/>
        <v>-2</v>
      </c>
      <c r="T121" s="176">
        <f t="shared" si="31"/>
        <v>4</v>
      </c>
      <c r="U121" s="251">
        <f t="shared" si="32"/>
        <v>-1.9504663131011704</v>
      </c>
      <c r="V121" s="383">
        <f t="shared" si="33"/>
        <v>40.585508199727961</v>
      </c>
      <c r="W121" s="58"/>
      <c r="X121" s="157">
        <f t="shared" si="34"/>
        <v>43207</v>
      </c>
      <c r="Y121" s="385">
        <f t="shared" si="35"/>
        <v>0</v>
      </c>
      <c r="Z121" s="385">
        <f t="shared" si="36"/>
        <v>0</v>
      </c>
      <c r="AA121" s="386">
        <f t="shared" si="37"/>
        <v>0</v>
      </c>
      <c r="AB121" s="197">
        <f t="shared" si="38"/>
        <v>43207</v>
      </c>
      <c r="AC121" s="427">
        <f t="shared" si="39"/>
        <v>0</v>
      </c>
      <c r="AD121" s="169">
        <f>(INDEX(Models!$BJ121:$BT121,,AH121)*(1-AF121)+INDEX(Models!$BJ121:$BT121,,AH121+1)*AF121-ERP_i)*AE121*Ramure*Pc/MaxiM</f>
        <v>0</v>
      </c>
      <c r="AE121" s="305">
        <f t="shared" si="40"/>
        <v>0.7</v>
      </c>
      <c r="AF121" s="177">
        <f t="shared" si="41"/>
        <v>4.9533686898829643E-2</v>
      </c>
      <c r="AG121" s="817">
        <f t="shared" si="42"/>
        <v>-2</v>
      </c>
      <c r="AH121" s="176">
        <f t="shared" si="43"/>
        <v>4</v>
      </c>
      <c r="AI121" s="225">
        <f t="shared" si="44"/>
        <v>-1.9504663131011704</v>
      </c>
      <c r="AJ121" s="265" t="b">
        <f t="shared" si="45"/>
        <v>1</v>
      </c>
      <c r="AK121" s="265" t="b">
        <f t="shared" si="46"/>
        <v>0</v>
      </c>
      <c r="AL121" s="265"/>
      <c r="AM121" s="265"/>
      <c r="AN121" s="75"/>
    </row>
    <row r="122" spans="1:40" s="18" customFormat="1" ht="11.25" x14ac:dyDescent="0.2">
      <c r="A122" s="576">
        <f t="shared" si="47"/>
        <v>43208</v>
      </c>
      <c r="B122" s="622"/>
      <c r="C122" s="859"/>
      <c r="D122" s="393"/>
      <c r="E122" s="385"/>
      <c r="F122" s="385"/>
      <c r="G122" s="110"/>
      <c r="H122" s="17"/>
      <c r="I122" s="380">
        <f t="shared" si="25"/>
        <v>0</v>
      </c>
      <c r="J122" s="85">
        <v>2018</v>
      </c>
      <c r="K122" s="197">
        <f t="shared" si="26"/>
        <v>43208</v>
      </c>
      <c r="L122" s="454">
        <f t="shared" si="27"/>
        <v>0</v>
      </c>
      <c r="M122" s="861"/>
      <c r="N122" s="861"/>
      <c r="O122" s="324">
        <f t="shared" si="28"/>
        <v>0</v>
      </c>
      <c r="P122" s="169">
        <f>(INDEX(Models!$BJ122:$BT122,,T122)*(1-R122)+INDEX(Models!$BJ122:$BT122,,T122+1)*R122-ERP_i)*Q122*Ramure*Pc/MaxiM</f>
        <v>0</v>
      </c>
      <c r="Q122" s="305">
        <f t="shared" si="29"/>
        <v>0.7</v>
      </c>
      <c r="R122" s="177">
        <f t="shared" si="30"/>
        <v>5.1384167221552479E-2</v>
      </c>
      <c r="S122" s="817">
        <f t="shared" si="48"/>
        <v>-2</v>
      </c>
      <c r="T122" s="176">
        <f t="shared" si="31"/>
        <v>4</v>
      </c>
      <c r="U122" s="251">
        <f t="shared" si="32"/>
        <v>-1.9486158327784475</v>
      </c>
      <c r="V122" s="383">
        <f t="shared" si="33"/>
        <v>40.736104372888803</v>
      </c>
      <c r="W122" s="436"/>
      <c r="X122" s="157">
        <f t="shared" si="34"/>
        <v>43208</v>
      </c>
      <c r="Y122" s="385">
        <f t="shared" si="35"/>
        <v>0</v>
      </c>
      <c r="Z122" s="385">
        <f t="shared" si="36"/>
        <v>0</v>
      </c>
      <c r="AA122" s="386">
        <f t="shared" si="37"/>
        <v>0</v>
      </c>
      <c r="AB122" s="197">
        <f t="shared" si="38"/>
        <v>43208</v>
      </c>
      <c r="AC122" s="453">
        <f t="shared" si="39"/>
        <v>0</v>
      </c>
      <c r="AD122" s="169">
        <f>(INDEX(Models!$BJ122:$BT122,,AH122)*(1-AF122)+INDEX(Models!$BJ122:$BT122,,AH122+1)*AF122-ERP_i)*AE122*Ramure*Pc/MaxiM</f>
        <v>0</v>
      </c>
      <c r="AE122" s="305">
        <f t="shared" si="40"/>
        <v>0.7</v>
      </c>
      <c r="AF122" s="177">
        <f t="shared" si="41"/>
        <v>5.1384167221552479E-2</v>
      </c>
      <c r="AG122" s="817">
        <f t="shared" si="42"/>
        <v>-2</v>
      </c>
      <c r="AH122" s="176">
        <f t="shared" si="43"/>
        <v>4</v>
      </c>
      <c r="AI122" s="225">
        <f t="shared" si="44"/>
        <v>-1.9486158327784475</v>
      </c>
      <c r="AJ122" s="265" t="b">
        <f t="shared" si="45"/>
        <v>1</v>
      </c>
      <c r="AK122" s="265" t="b">
        <f t="shared" si="46"/>
        <v>0</v>
      </c>
      <c r="AL122" s="265"/>
      <c r="AM122" s="265"/>
      <c r="AN122" s="265"/>
    </row>
    <row r="123" spans="1:40" s="18" customFormat="1" ht="11.25" x14ac:dyDescent="0.2">
      <c r="A123" s="56">
        <f t="shared" si="47"/>
        <v>43209</v>
      </c>
      <c r="B123" s="621"/>
      <c r="C123" s="859"/>
      <c r="D123" s="393"/>
      <c r="E123" s="385"/>
      <c r="F123" s="385"/>
      <c r="G123" s="110"/>
      <c r="H123" s="437"/>
      <c r="I123" s="380">
        <f t="shared" si="25"/>
        <v>0</v>
      </c>
      <c r="J123" s="85">
        <v>2018</v>
      </c>
      <c r="K123" s="197">
        <f t="shared" si="26"/>
        <v>43209</v>
      </c>
      <c r="L123" s="438">
        <f t="shared" si="27"/>
        <v>0</v>
      </c>
      <c r="M123" s="861"/>
      <c r="N123" s="861"/>
      <c r="O123" s="324">
        <f t="shared" si="28"/>
        <v>0</v>
      </c>
      <c r="P123" s="169">
        <f>(INDEX(Models!$BJ123:$BT123,,T123)*(1-R123)+INDEX(Models!$BJ123:$BT123,,T123+1)*R123-ERP_i)*Q123*Ramure*Pc/MaxiM</f>
        <v>0</v>
      </c>
      <c r="Q123" s="305">
        <f t="shared" si="29"/>
        <v>0.7</v>
      </c>
      <c r="R123" s="177">
        <f t="shared" si="30"/>
        <v>5.3296220306189301E-2</v>
      </c>
      <c r="S123" s="817">
        <f t="shared" si="48"/>
        <v>-2</v>
      </c>
      <c r="T123" s="176">
        <f t="shared" si="31"/>
        <v>4</v>
      </c>
      <c r="U123" s="251">
        <f t="shared" si="32"/>
        <v>-1.9467037796938107</v>
      </c>
      <c r="V123" s="383">
        <f t="shared" si="33"/>
        <v>40.884274453323869</v>
      </c>
      <c r="W123" s="436"/>
      <c r="X123" s="157">
        <f t="shared" si="34"/>
        <v>43209</v>
      </c>
      <c r="Y123" s="385">
        <f t="shared" si="35"/>
        <v>0</v>
      </c>
      <c r="Z123" s="385">
        <f t="shared" si="36"/>
        <v>0</v>
      </c>
      <c r="AA123" s="386">
        <f t="shared" si="37"/>
        <v>0</v>
      </c>
      <c r="AB123" s="197">
        <f t="shared" si="38"/>
        <v>43209</v>
      </c>
      <c r="AC123" s="439">
        <f t="shared" si="39"/>
        <v>0</v>
      </c>
      <c r="AD123" s="169">
        <f>(INDEX(Models!$BJ123:$BT123,,AH123)*(1-AF123)+INDEX(Models!$BJ123:$BT123,,AH123+1)*AF123-ERP_i)*AE123*Ramure*Pc/MaxiM</f>
        <v>0</v>
      </c>
      <c r="AE123" s="305">
        <f t="shared" si="40"/>
        <v>0.7</v>
      </c>
      <c r="AF123" s="177">
        <f t="shared" si="41"/>
        <v>5.3296220306189301E-2</v>
      </c>
      <c r="AG123" s="817">
        <f t="shared" si="42"/>
        <v>-2</v>
      </c>
      <c r="AH123" s="176">
        <f t="shared" si="43"/>
        <v>4</v>
      </c>
      <c r="AI123" s="225">
        <f t="shared" si="44"/>
        <v>-1.9467037796938107</v>
      </c>
      <c r="AJ123" s="265" t="b">
        <f t="shared" si="45"/>
        <v>0</v>
      </c>
      <c r="AK123" s="265" t="b">
        <f t="shared" si="46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7"/>
        <v>43210</v>
      </c>
      <c r="B124" s="621"/>
      <c r="C124" s="859"/>
      <c r="D124" s="393"/>
      <c r="E124" s="385"/>
      <c r="F124" s="385"/>
      <c r="G124" s="110"/>
      <c r="I124" s="380">
        <f t="shared" si="25"/>
        <v>0</v>
      </c>
      <c r="J124" s="85">
        <v>2018</v>
      </c>
      <c r="K124" s="197">
        <f t="shared" si="26"/>
        <v>43210</v>
      </c>
      <c r="L124" s="438">
        <f t="shared" si="27"/>
        <v>2.1902566432308035E-5</v>
      </c>
      <c r="M124" s="861"/>
      <c r="N124" s="861"/>
      <c r="O124" s="324">
        <f t="shared" si="28"/>
        <v>1.9292185759604323E-4</v>
      </c>
      <c r="P124" s="169">
        <f>(INDEX(Models!$BJ124:$BT124,,T124)*(1-R124)+INDEX(Models!$BJ124:$BT124,,T124+1)*R124-ERP_i)*Q124*Ramure*Pc/MaxiM</f>
        <v>0</v>
      </c>
      <c r="Q124" s="305">
        <f t="shared" si="29"/>
        <v>0.7</v>
      </c>
      <c r="R124" s="177">
        <f t="shared" si="30"/>
        <v>5.5271275034858514E-2</v>
      </c>
      <c r="S124" s="817">
        <f t="shared" si="48"/>
        <v>-2</v>
      </c>
      <c r="T124" s="176">
        <f t="shared" si="31"/>
        <v>4</v>
      </c>
      <c r="U124" s="251">
        <f t="shared" si="32"/>
        <v>-1.9447287249651415</v>
      </c>
      <c r="V124" s="383">
        <f t="shared" si="33"/>
        <v>41.020990342757564</v>
      </c>
      <c r="W124" s="58"/>
      <c r="X124" s="157">
        <f t="shared" si="34"/>
        <v>43210</v>
      </c>
      <c r="Y124" s="385">
        <f t="shared" si="35"/>
        <v>0</v>
      </c>
      <c r="Z124" s="385">
        <f t="shared" si="36"/>
        <v>0</v>
      </c>
      <c r="AA124" s="386">
        <f t="shared" si="37"/>
        <v>0</v>
      </c>
      <c r="AB124" s="197">
        <f t="shared" si="38"/>
        <v>43210</v>
      </c>
      <c r="AC124" s="427">
        <f t="shared" si="39"/>
        <v>1.9292185759604323E-4</v>
      </c>
      <c r="AD124" s="169">
        <f>(INDEX(Models!$BJ124:$BT124,,AH124)*(1-AF124)+INDEX(Models!$BJ124:$BT124,,AH124+1)*AF124-ERP_i)*AE124*Ramure*Pc/MaxiM</f>
        <v>0</v>
      </c>
      <c r="AE124" s="305">
        <f t="shared" si="40"/>
        <v>0.7</v>
      </c>
      <c r="AF124" s="177">
        <f t="shared" si="41"/>
        <v>5.5271275034858514E-2</v>
      </c>
      <c r="AG124" s="817">
        <f t="shared" si="42"/>
        <v>-2</v>
      </c>
      <c r="AH124" s="176">
        <f t="shared" si="43"/>
        <v>4</v>
      </c>
      <c r="AI124" s="225">
        <f t="shared" si="44"/>
        <v>-1.9447287249651415</v>
      </c>
      <c r="AJ124" s="265" t="b">
        <f t="shared" si="45"/>
        <v>0</v>
      </c>
      <c r="AK124" s="265" t="b">
        <f t="shared" si="46"/>
        <v>0</v>
      </c>
      <c r="AL124" s="265"/>
      <c r="AM124" s="265"/>
      <c r="AN124" s="75"/>
    </row>
    <row r="125" spans="1:40" s="6" customFormat="1" ht="11.25" x14ac:dyDescent="0.2">
      <c r="A125" s="56">
        <f t="shared" si="47"/>
        <v>43211</v>
      </c>
      <c r="B125" s="621"/>
      <c r="C125" s="859"/>
      <c r="D125" s="393"/>
      <c r="E125" s="385"/>
      <c r="F125" s="385"/>
      <c r="G125" s="110"/>
      <c r="I125" s="380">
        <f t="shared" si="25"/>
        <v>0</v>
      </c>
      <c r="J125" s="85">
        <v>2018</v>
      </c>
      <c r="K125" s="197">
        <f t="shared" si="26"/>
        <v>43211</v>
      </c>
      <c r="L125" s="438">
        <f t="shared" si="27"/>
        <v>4.3804653142243133E-5</v>
      </c>
      <c r="M125" s="861"/>
      <c r="N125" s="861"/>
      <c r="O125" s="324">
        <f t="shared" si="28"/>
        <v>3.8572474496583603E-4</v>
      </c>
      <c r="P125" s="169">
        <f>(INDEX(Models!$BJ125:$BT125,,T125)*(1-R125)+INDEX(Models!$BJ125:$BT125,,T125+1)*R125-ERP_i)*Q125*Ramure*Pc/MaxiM</f>
        <v>0</v>
      </c>
      <c r="Q125" s="305">
        <f t="shared" si="29"/>
        <v>0.7</v>
      </c>
      <c r="R125" s="177">
        <f t="shared" si="30"/>
        <v>5.7310746100331711E-2</v>
      </c>
      <c r="S125" s="817">
        <f t="shared" si="48"/>
        <v>-2</v>
      </c>
      <c r="T125" s="176">
        <f t="shared" si="31"/>
        <v>4</v>
      </c>
      <c r="U125" s="251">
        <f t="shared" si="32"/>
        <v>-1.9426892538996683</v>
      </c>
      <c r="V125" s="383">
        <f t="shared" si="33"/>
        <v>41.154795970573261</v>
      </c>
      <c r="W125" s="58"/>
      <c r="X125" s="157">
        <f t="shared" si="34"/>
        <v>43211</v>
      </c>
      <c r="Y125" s="385">
        <f t="shared" si="35"/>
        <v>0</v>
      </c>
      <c r="Z125" s="385">
        <f t="shared" si="36"/>
        <v>0</v>
      </c>
      <c r="AA125" s="386">
        <f t="shared" si="37"/>
        <v>0</v>
      </c>
      <c r="AB125" s="197">
        <f t="shared" si="38"/>
        <v>43211</v>
      </c>
      <c r="AC125" s="427">
        <f t="shared" si="39"/>
        <v>3.8572474496583603E-4</v>
      </c>
      <c r="AD125" s="169">
        <f>(INDEX(Models!$BJ125:$BT125,,AH125)*(1-AF125)+INDEX(Models!$BJ125:$BT125,,AH125+1)*AF125-ERP_i)*AE125*Ramure*Pc/MaxiM</f>
        <v>0</v>
      </c>
      <c r="AE125" s="305">
        <f t="shared" si="40"/>
        <v>0.7</v>
      </c>
      <c r="AF125" s="177">
        <f t="shared" si="41"/>
        <v>5.7310746100331711E-2</v>
      </c>
      <c r="AG125" s="817">
        <f t="shared" si="42"/>
        <v>-2</v>
      </c>
      <c r="AH125" s="176">
        <f t="shared" si="43"/>
        <v>4</v>
      </c>
      <c r="AI125" s="225">
        <f t="shared" si="44"/>
        <v>-1.9426892538996683</v>
      </c>
      <c r="AJ125" s="265" t="b">
        <f t="shared" si="45"/>
        <v>0</v>
      </c>
      <c r="AK125" s="265" t="b">
        <f t="shared" si="46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7"/>
        <v>43212</v>
      </c>
      <c r="B126" s="621"/>
      <c r="C126" s="859"/>
      <c r="D126" s="393"/>
      <c r="E126" s="385"/>
      <c r="F126" s="385"/>
      <c r="G126" s="110"/>
      <c r="I126" s="380">
        <f t="shared" si="25"/>
        <v>0</v>
      </c>
      <c r="J126" s="85">
        <v>2018</v>
      </c>
      <c r="K126" s="197">
        <f t="shared" si="26"/>
        <v>43212</v>
      </c>
      <c r="L126" s="438">
        <f t="shared" si="27"/>
        <v>6.570626014024139E-5</v>
      </c>
      <c r="M126" s="861"/>
      <c r="N126" s="861"/>
      <c r="O126" s="324">
        <f t="shared" si="28"/>
        <v>5.7841682921976176E-4</v>
      </c>
      <c r="P126" s="169">
        <f>(INDEX(Models!$BJ126:$BT126,,T126)*(1-R126)+INDEX(Models!$BJ126:$BT126,,T126+1)*R126-ERP_i)*Q126*Ramure*Pc/MaxiM</f>
        <v>0</v>
      </c>
      <c r="Q126" s="305">
        <f t="shared" si="29"/>
        <v>0.7</v>
      </c>
      <c r="R126" s="177">
        <f t="shared" si="30"/>
        <v>5.9416029647214152E-2</v>
      </c>
      <c r="S126" s="817">
        <f t="shared" si="48"/>
        <v>-2</v>
      </c>
      <c r="T126" s="176">
        <f t="shared" si="31"/>
        <v>4</v>
      </c>
      <c r="U126" s="251">
        <f t="shared" si="32"/>
        <v>-1.9405839703527858</v>
      </c>
      <c r="V126" s="383">
        <f t="shared" si="33"/>
        <v>41.285478964273516</v>
      </c>
      <c r="W126" s="58"/>
      <c r="X126" s="157">
        <f t="shared" si="34"/>
        <v>43212</v>
      </c>
      <c r="Y126" s="385">
        <f t="shared" si="35"/>
        <v>0</v>
      </c>
      <c r="Z126" s="385">
        <f t="shared" si="36"/>
        <v>0</v>
      </c>
      <c r="AA126" s="386">
        <f t="shared" si="37"/>
        <v>0</v>
      </c>
      <c r="AB126" s="197">
        <f t="shared" si="38"/>
        <v>43212</v>
      </c>
      <c r="AC126" s="427">
        <f t="shared" si="39"/>
        <v>5.7841682921976176E-4</v>
      </c>
      <c r="AD126" s="169">
        <f>(INDEX(Models!$BJ126:$BT126,,AH126)*(1-AF126)+INDEX(Models!$BJ126:$BT126,,AH126+1)*AF126-ERP_i)*AE126*Ramure*Pc/MaxiM</f>
        <v>0</v>
      </c>
      <c r="AE126" s="305">
        <f t="shared" si="40"/>
        <v>0.7</v>
      </c>
      <c r="AF126" s="177">
        <f t="shared" si="41"/>
        <v>5.9416029647214152E-2</v>
      </c>
      <c r="AG126" s="817">
        <f t="shared" si="42"/>
        <v>-2</v>
      </c>
      <c r="AH126" s="176">
        <f t="shared" si="43"/>
        <v>4</v>
      </c>
      <c r="AI126" s="225">
        <f t="shared" si="44"/>
        <v>-1.9405839703527858</v>
      </c>
      <c r="AJ126" s="265" t="b">
        <f t="shared" si="45"/>
        <v>0</v>
      </c>
      <c r="AK126" s="265" t="b">
        <f t="shared" si="46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7"/>
        <v>43213</v>
      </c>
      <c r="B127" s="621"/>
      <c r="C127" s="859"/>
      <c r="D127" s="393"/>
      <c r="E127" s="385"/>
      <c r="F127" s="385"/>
      <c r="G127" s="110"/>
      <c r="I127" s="380">
        <f t="shared" si="25"/>
        <v>0</v>
      </c>
      <c r="J127" s="85">
        <v>2018</v>
      </c>
      <c r="K127" s="197">
        <f t="shared" si="26"/>
        <v>43213</v>
      </c>
      <c r="L127" s="438">
        <f t="shared" si="27"/>
        <v>8.7607387436960948E-5</v>
      </c>
      <c r="M127" s="861"/>
      <c r="N127" s="861"/>
      <c r="O127" s="324">
        <f t="shared" si="28"/>
        <v>7.7100629339612247E-4</v>
      </c>
      <c r="P127" s="169">
        <f>(INDEX(Models!$BJ127:$BT127,,T127)*(1-R127)+INDEX(Models!$BJ127:$BT127,,T127+1)*R127-ERP_i)*Q127*Ramure*Pc/MaxiM</f>
        <v>0</v>
      </c>
      <c r="Q127" s="305">
        <f t="shared" si="29"/>
        <v>0.7</v>
      </c>
      <c r="R127" s="177">
        <f t="shared" si="30"/>
        <v>6.1588498651247603E-2</v>
      </c>
      <c r="S127" s="817">
        <f t="shared" si="48"/>
        <v>-2</v>
      </c>
      <c r="T127" s="176">
        <f t="shared" si="31"/>
        <v>4</v>
      </c>
      <c r="U127" s="251">
        <f t="shared" si="32"/>
        <v>-1.9384115013487524</v>
      </c>
      <c r="V127" s="383">
        <f t="shared" si="33"/>
        <v>41.412827126154511</v>
      </c>
      <c r="W127" s="58"/>
      <c r="X127" s="157">
        <f t="shared" si="34"/>
        <v>43213</v>
      </c>
      <c r="Y127" s="385">
        <f t="shared" si="35"/>
        <v>0</v>
      </c>
      <c r="Z127" s="385">
        <f t="shared" si="36"/>
        <v>0</v>
      </c>
      <c r="AA127" s="386">
        <f t="shared" si="37"/>
        <v>0</v>
      </c>
      <c r="AB127" s="197">
        <f t="shared" si="38"/>
        <v>43213</v>
      </c>
      <c r="AC127" s="427">
        <f t="shared" si="39"/>
        <v>7.7100629339612247E-4</v>
      </c>
      <c r="AD127" s="169">
        <f>(INDEX(Models!$BJ127:$BT127,,AH127)*(1-AF127)+INDEX(Models!$BJ127:$BT127,,AH127+1)*AF127-ERP_i)*AE127*Ramure*Pc/MaxiM</f>
        <v>0</v>
      </c>
      <c r="AE127" s="305">
        <f t="shared" si="40"/>
        <v>0.7</v>
      </c>
      <c r="AF127" s="177">
        <f t="shared" si="41"/>
        <v>6.1588498651247603E-2</v>
      </c>
      <c r="AG127" s="817">
        <f t="shared" si="42"/>
        <v>-2</v>
      </c>
      <c r="AH127" s="176">
        <f t="shared" si="43"/>
        <v>4</v>
      </c>
      <c r="AI127" s="225">
        <f t="shared" si="44"/>
        <v>-1.9384115013487524</v>
      </c>
      <c r="AJ127" s="265" t="b">
        <f t="shared" si="45"/>
        <v>0</v>
      </c>
      <c r="AK127" s="265" t="b">
        <f t="shared" si="46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7"/>
        <v>43214</v>
      </c>
      <c r="B128" s="621"/>
      <c r="C128" s="859"/>
      <c r="D128" s="393"/>
      <c r="E128" s="385"/>
      <c r="F128" s="385"/>
      <c r="G128" s="110"/>
      <c r="I128" s="380">
        <f t="shared" si="25"/>
        <v>0</v>
      </c>
      <c r="J128" s="85">
        <v>2018</v>
      </c>
      <c r="K128" s="197">
        <f t="shared" si="26"/>
        <v>43214</v>
      </c>
      <c r="L128" s="438">
        <f t="shared" si="27"/>
        <v>1.0950803504261586E-4</v>
      </c>
      <c r="M128" s="861"/>
      <c r="N128" s="861"/>
      <c r="O128" s="324">
        <f t="shared" si="28"/>
        <v>9.6350131481671606E-4</v>
      </c>
      <c r="P128" s="169">
        <f>(INDEX(Models!$BJ128:$BT128,,T128)*(1-R128)+INDEX(Models!$BJ128:$BT128,,T128+1)*R128-ERP_i)*Q128*Ramure*Pc/MaxiM</f>
        <v>0</v>
      </c>
      <c r="Q128" s="305">
        <f t="shared" si="29"/>
        <v>0.7</v>
      </c>
      <c r="R128" s="177">
        <f t="shared" si="30"/>
        <v>6.3829498037829113E-2</v>
      </c>
      <c r="S128" s="817">
        <f t="shared" si="48"/>
        <v>-2</v>
      </c>
      <c r="T128" s="176">
        <f t="shared" si="31"/>
        <v>4</v>
      </c>
      <c r="U128" s="251">
        <f t="shared" si="32"/>
        <v>-1.9361705019621709</v>
      </c>
      <c r="V128" s="383">
        <f t="shared" si="33"/>
        <v>41.536628434794494</v>
      </c>
      <c r="W128" s="58"/>
      <c r="X128" s="157">
        <f t="shared" si="34"/>
        <v>43214</v>
      </c>
      <c r="Y128" s="385">
        <f t="shared" si="35"/>
        <v>0</v>
      </c>
      <c r="Z128" s="385">
        <f t="shared" si="36"/>
        <v>0</v>
      </c>
      <c r="AA128" s="386">
        <f t="shared" si="37"/>
        <v>0</v>
      </c>
      <c r="AB128" s="197">
        <f t="shared" si="38"/>
        <v>43214</v>
      </c>
      <c r="AC128" s="427">
        <f t="shared" si="39"/>
        <v>9.6350131481671606E-4</v>
      </c>
      <c r="AD128" s="169">
        <f>(INDEX(Models!$BJ128:$BT128,,AH128)*(1-AF128)+INDEX(Models!$BJ128:$BT128,,AH128+1)*AF128-ERP_i)*AE128*Ramure*Pc/MaxiM</f>
        <v>0</v>
      </c>
      <c r="AE128" s="305">
        <f t="shared" si="40"/>
        <v>0.7</v>
      </c>
      <c r="AF128" s="177">
        <f t="shared" si="41"/>
        <v>6.3829498037829113E-2</v>
      </c>
      <c r="AG128" s="817">
        <f t="shared" si="42"/>
        <v>-2</v>
      </c>
      <c r="AH128" s="176">
        <f t="shared" si="43"/>
        <v>4</v>
      </c>
      <c r="AI128" s="225">
        <f t="shared" si="44"/>
        <v>-1.9361705019621709</v>
      </c>
      <c r="AJ128" s="265" t="b">
        <f t="shared" si="45"/>
        <v>0</v>
      </c>
      <c r="AK128" s="265" t="b">
        <f t="shared" si="46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7"/>
        <v>43215</v>
      </c>
      <c r="B129" s="621"/>
      <c r="C129" s="859"/>
      <c r="D129" s="393"/>
      <c r="E129" s="385"/>
      <c r="F129" s="385"/>
      <c r="G129" s="110"/>
      <c r="I129" s="380">
        <f t="shared" si="25"/>
        <v>0</v>
      </c>
      <c r="J129" s="85">
        <v>2018</v>
      </c>
      <c r="K129" s="197">
        <f t="shared" si="26"/>
        <v>43215</v>
      </c>
      <c r="L129" s="438">
        <f t="shared" si="27"/>
        <v>1.3140820296797528E-4</v>
      </c>
      <c r="M129" s="861"/>
      <c r="N129" s="861"/>
      <c r="O129" s="324">
        <f t="shared" si="28"/>
        <v>1.1559100425108039E-3</v>
      </c>
      <c r="P129" s="169">
        <f>(INDEX(Models!$BJ129:$BT129,,T129)*(1-R129)+INDEX(Models!$BJ129:$BT129,,T129+1)*R129-ERP_i)*Q129*Ramure*Pc/MaxiM</f>
        <v>0</v>
      </c>
      <c r="Q129" s="305">
        <f t="shared" si="29"/>
        <v>0.7</v>
      </c>
      <c r="R129" s="177">
        <f t="shared" si="30"/>
        <v>6.6140339542794857E-2</v>
      </c>
      <c r="S129" s="817">
        <f t="shared" si="48"/>
        <v>-2</v>
      </c>
      <c r="T129" s="176">
        <f t="shared" si="31"/>
        <v>4</v>
      </c>
      <c r="U129" s="251">
        <f t="shared" si="32"/>
        <v>-1.9338596604572051</v>
      </c>
      <c r="V129" s="383">
        <f t="shared" si="33"/>
        <v>41.656671049502677</v>
      </c>
      <c r="W129" s="58"/>
      <c r="X129" s="157">
        <f t="shared" si="34"/>
        <v>43215</v>
      </c>
      <c r="Y129" s="385">
        <f t="shared" si="35"/>
        <v>0</v>
      </c>
      <c r="Z129" s="385">
        <f t="shared" si="36"/>
        <v>0</v>
      </c>
      <c r="AA129" s="386">
        <f t="shared" si="37"/>
        <v>0</v>
      </c>
      <c r="AB129" s="197">
        <f t="shared" si="38"/>
        <v>43215</v>
      </c>
      <c r="AC129" s="427">
        <f t="shared" si="39"/>
        <v>1.1559100425108039E-3</v>
      </c>
      <c r="AD129" s="169">
        <f>(INDEX(Models!$BJ129:$BT129,,AH129)*(1-AF129)+INDEX(Models!$BJ129:$BT129,,AH129+1)*AF129-ERP_i)*AE129*Ramure*Pc/MaxiM</f>
        <v>0</v>
      </c>
      <c r="AE129" s="305">
        <f t="shared" si="40"/>
        <v>0.7</v>
      </c>
      <c r="AF129" s="177">
        <f t="shared" si="41"/>
        <v>6.6140339542794857E-2</v>
      </c>
      <c r="AG129" s="817">
        <f t="shared" si="42"/>
        <v>-2</v>
      </c>
      <c r="AH129" s="176">
        <f t="shared" si="43"/>
        <v>4</v>
      </c>
      <c r="AI129" s="225">
        <f t="shared" si="44"/>
        <v>-1.9338596604572051</v>
      </c>
      <c r="AJ129" s="265" t="b">
        <f t="shared" si="45"/>
        <v>0</v>
      </c>
      <c r="AK129" s="265" t="b">
        <f t="shared" si="46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7"/>
        <v>43216</v>
      </c>
      <c r="B130" s="621"/>
      <c r="C130" s="859"/>
      <c r="D130" s="393"/>
      <c r="E130" s="385"/>
      <c r="F130" s="385"/>
      <c r="G130" s="110"/>
      <c r="I130" s="380">
        <f t="shared" si="25"/>
        <v>0</v>
      </c>
      <c r="J130" s="85">
        <v>2018</v>
      </c>
      <c r="K130" s="197">
        <f t="shared" si="26"/>
        <v>43216</v>
      </c>
      <c r="L130" s="438">
        <f t="shared" si="27"/>
        <v>1.5330789122347532E-4</v>
      </c>
      <c r="M130" s="861"/>
      <c r="N130" s="861"/>
      <c r="O130" s="324">
        <f t="shared" si="28"/>
        <v>1.3482405736955727E-3</v>
      </c>
      <c r="P130" s="169">
        <f>(INDEX(Models!$BJ130:$BT130,,T130)*(1-R130)+INDEX(Models!$BJ130:$BT130,,T130+1)*R130-ERP_i)*Q130*Ramure*Pc/MaxiM</f>
        <v>0</v>
      </c>
      <c r="Q130" s="305">
        <f t="shared" si="29"/>
        <v>0.7</v>
      </c>
      <c r="R130" s="177">
        <f t="shared" si="30"/>
        <v>6.8522296320653764E-2</v>
      </c>
      <c r="S130" s="817">
        <f t="shared" si="48"/>
        <v>-2</v>
      </c>
      <c r="T130" s="176">
        <f t="shared" si="31"/>
        <v>4</v>
      </c>
      <c r="U130" s="251">
        <f t="shared" si="32"/>
        <v>-1.9314777036793462</v>
      </c>
      <c r="V130" s="383">
        <f t="shared" si="33"/>
        <v>41.772743307203001</v>
      </c>
      <c r="W130" s="58"/>
      <c r="X130" s="157">
        <f t="shared" si="34"/>
        <v>43216</v>
      </c>
      <c r="Y130" s="385">
        <f t="shared" si="35"/>
        <v>0</v>
      </c>
      <c r="Z130" s="385">
        <f t="shared" si="36"/>
        <v>0</v>
      </c>
      <c r="AA130" s="386">
        <f t="shared" si="37"/>
        <v>0</v>
      </c>
      <c r="AB130" s="197">
        <f t="shared" si="38"/>
        <v>43216</v>
      </c>
      <c r="AC130" s="427">
        <f t="shared" si="39"/>
        <v>1.3482405736955727E-3</v>
      </c>
      <c r="AD130" s="169">
        <f>(INDEX(Models!$BJ130:$BT130,,AH130)*(1-AF130)+INDEX(Models!$BJ130:$BT130,,AH130+1)*AF130-ERP_i)*AE130*Ramure*Pc/MaxiM</f>
        <v>0</v>
      </c>
      <c r="AE130" s="305">
        <f t="shared" si="40"/>
        <v>0.7</v>
      </c>
      <c r="AF130" s="177">
        <f t="shared" si="41"/>
        <v>6.8522296320653764E-2</v>
      </c>
      <c r="AG130" s="817">
        <f t="shared" si="42"/>
        <v>-2</v>
      </c>
      <c r="AH130" s="176">
        <f t="shared" si="43"/>
        <v>4</v>
      </c>
      <c r="AI130" s="225">
        <f t="shared" si="44"/>
        <v>-1.9314777036793462</v>
      </c>
      <c r="AJ130" s="265" t="b">
        <f t="shared" si="45"/>
        <v>0</v>
      </c>
      <c r="AK130" s="265" t="b">
        <f t="shared" si="46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7"/>
        <v>43217</v>
      </c>
      <c r="B131" s="621"/>
      <c r="C131" s="859"/>
      <c r="D131" s="393"/>
      <c r="E131" s="385"/>
      <c r="F131" s="385"/>
      <c r="G131" s="110"/>
      <c r="I131" s="380">
        <f t="shared" si="25"/>
        <v>0</v>
      </c>
      <c r="J131" s="85">
        <v>2018</v>
      </c>
      <c r="K131" s="197">
        <f t="shared" si="26"/>
        <v>43217</v>
      </c>
      <c r="L131" s="438">
        <f t="shared" si="27"/>
        <v>1.7520709981955207E-4</v>
      </c>
      <c r="M131" s="861"/>
      <c r="N131" s="861"/>
      <c r="O131" s="324">
        <f t="shared" si="28"/>
        <v>1.5405009293105493E-3</v>
      </c>
      <c r="P131" s="169">
        <f>(INDEX(Models!$BJ131:$BT131,,T131)*(1-R131)+INDEX(Models!$BJ131:$BT131,,T131+1)*R131-ERP_i)*Q131*Ramure*Pc/MaxiM</f>
        <v>0</v>
      </c>
      <c r="Q131" s="305">
        <f t="shared" si="29"/>
        <v>0.7</v>
      </c>
      <c r="R131" s="177">
        <f t="shared" si="30"/>
        <v>7.0976597307788714E-2</v>
      </c>
      <c r="S131" s="817">
        <f t="shared" si="48"/>
        <v>-2</v>
      </c>
      <c r="T131" s="176">
        <f t="shared" si="31"/>
        <v>4</v>
      </c>
      <c r="U131" s="251">
        <f t="shared" si="32"/>
        <v>-1.9290234026922113</v>
      </c>
      <c r="V131" s="383">
        <f t="shared" si="33"/>
        <v>41.884633725867843</v>
      </c>
      <c r="W131" s="58"/>
      <c r="X131" s="157">
        <f t="shared" si="34"/>
        <v>43217</v>
      </c>
      <c r="Y131" s="385">
        <f t="shared" si="35"/>
        <v>0</v>
      </c>
      <c r="Z131" s="385">
        <f t="shared" si="36"/>
        <v>0</v>
      </c>
      <c r="AA131" s="386">
        <f t="shared" si="37"/>
        <v>0</v>
      </c>
      <c r="AB131" s="197">
        <f t="shared" si="38"/>
        <v>43217</v>
      </c>
      <c r="AC131" s="427">
        <f t="shared" si="39"/>
        <v>1.5405009293105493E-3</v>
      </c>
      <c r="AD131" s="169">
        <f>(INDEX(Models!$BJ131:$BT131,,AH131)*(1-AF131)+INDEX(Models!$BJ131:$BT131,,AH131+1)*AF131-ERP_i)*AE131*Ramure*Pc/MaxiM</f>
        <v>0</v>
      </c>
      <c r="AE131" s="305">
        <f t="shared" si="40"/>
        <v>0.7</v>
      </c>
      <c r="AF131" s="177">
        <f t="shared" si="41"/>
        <v>7.0976597307788714E-2</v>
      </c>
      <c r="AG131" s="817">
        <f t="shared" si="42"/>
        <v>-2</v>
      </c>
      <c r="AH131" s="176">
        <f t="shared" si="43"/>
        <v>4</v>
      </c>
      <c r="AI131" s="225">
        <f t="shared" si="44"/>
        <v>-1.9290234026922113</v>
      </c>
      <c r="AJ131" s="265" t="b">
        <f t="shared" si="45"/>
        <v>0</v>
      </c>
      <c r="AK131" s="265" t="b">
        <f t="shared" si="46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7"/>
        <v>43218</v>
      </c>
      <c r="B132" s="621"/>
      <c r="C132" s="859"/>
      <c r="D132" s="393"/>
      <c r="E132" s="385"/>
      <c r="F132" s="385"/>
      <c r="G132" s="110"/>
      <c r="I132" s="380">
        <f t="shared" si="25"/>
        <v>0</v>
      </c>
      <c r="J132" s="85">
        <v>2018</v>
      </c>
      <c r="K132" s="197">
        <f t="shared" si="26"/>
        <v>43218</v>
      </c>
      <c r="L132" s="438">
        <f t="shared" si="27"/>
        <v>1.9710582876675264E-4</v>
      </c>
      <c r="M132" s="861"/>
      <c r="N132" s="861"/>
      <c r="O132" s="324">
        <f t="shared" si="28"/>
        <v>1.7326990286142306E-3</v>
      </c>
      <c r="P132" s="169">
        <f>(INDEX(Models!$BJ132:$BT132,,T132)*(1-R132)+INDEX(Models!$BJ132:$BT132,,T132+1)*R132-ERP_i)*Q132*Ramure*Pc/MaxiM</f>
        <v>0</v>
      </c>
      <c r="Q132" s="305">
        <f t="shared" si="29"/>
        <v>0.7</v>
      </c>
      <c r="R132" s="177">
        <f t="shared" si="30"/>
        <v>7.3504421350666149E-2</v>
      </c>
      <c r="S132" s="817">
        <f t="shared" si="48"/>
        <v>-2</v>
      </c>
      <c r="T132" s="176">
        <f t="shared" si="31"/>
        <v>4</v>
      </c>
      <c r="U132" s="251">
        <f t="shared" si="32"/>
        <v>-1.9264955786493339</v>
      </c>
      <c r="V132" s="383">
        <f t="shared" si="33"/>
        <v>41.992131004106419</v>
      </c>
      <c r="W132" s="58"/>
      <c r="X132" s="157">
        <f t="shared" si="34"/>
        <v>43218</v>
      </c>
      <c r="Y132" s="385">
        <f t="shared" si="35"/>
        <v>0</v>
      </c>
      <c r="Z132" s="385">
        <f t="shared" si="36"/>
        <v>0</v>
      </c>
      <c r="AA132" s="386">
        <f t="shared" si="37"/>
        <v>0</v>
      </c>
      <c r="AB132" s="197">
        <f t="shared" si="38"/>
        <v>43218</v>
      </c>
      <c r="AC132" s="427">
        <f t="shared" si="39"/>
        <v>1.7326990286142306E-3</v>
      </c>
      <c r="AD132" s="169">
        <f>(INDEX(Models!$BJ132:$BT132,,AH132)*(1-AF132)+INDEX(Models!$BJ132:$BT132,,AH132+1)*AF132-ERP_i)*AE132*Ramure*Pc/MaxiM</f>
        <v>0</v>
      </c>
      <c r="AE132" s="305">
        <f t="shared" si="40"/>
        <v>0.7</v>
      </c>
      <c r="AF132" s="177">
        <f t="shared" si="41"/>
        <v>7.3504421350666149E-2</v>
      </c>
      <c r="AG132" s="817">
        <f t="shared" si="42"/>
        <v>-2</v>
      </c>
      <c r="AH132" s="176">
        <f t="shared" si="43"/>
        <v>4</v>
      </c>
      <c r="AI132" s="225">
        <f t="shared" si="44"/>
        <v>-1.9264955786493339</v>
      </c>
      <c r="AJ132" s="265" t="b">
        <f t="shared" si="45"/>
        <v>0</v>
      </c>
      <c r="AK132" s="265" t="b">
        <f t="shared" si="46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7"/>
        <v>43219</v>
      </c>
      <c r="B133" s="621"/>
      <c r="C133" s="859"/>
      <c r="D133" s="393"/>
      <c r="E133" s="385"/>
      <c r="F133" s="385"/>
      <c r="G133" s="110"/>
      <c r="I133" s="380">
        <f t="shared" si="25"/>
        <v>0</v>
      </c>
      <c r="J133" s="85">
        <v>2018</v>
      </c>
      <c r="K133" s="197">
        <f t="shared" si="26"/>
        <v>43219</v>
      </c>
      <c r="L133" s="438">
        <f t="shared" si="27"/>
        <v>2.1900407807551314E-4</v>
      </c>
      <c r="M133" s="861"/>
      <c r="N133" s="861"/>
      <c r="O133" s="324">
        <f t="shared" si="28"/>
        <v>1.9248426628640451E-3</v>
      </c>
      <c r="P133" s="169">
        <f>(INDEX(Models!$BJ133:$BT133,,T133)*(1-R133)+INDEX(Models!$BJ133:$BT133,,T133+1)*R133-ERP_i)*Q133*Ramure*Pc/MaxiM</f>
        <v>0</v>
      </c>
      <c r="Q133" s="305">
        <f t="shared" si="29"/>
        <v>0.7</v>
      </c>
      <c r="R133" s="177">
        <f t="shared" si="30"/>
        <v>7.6106891111798136E-2</v>
      </c>
      <c r="S133" s="817">
        <f t="shared" si="48"/>
        <v>-2</v>
      </c>
      <c r="T133" s="176">
        <f t="shared" si="31"/>
        <v>4</v>
      </c>
      <c r="U133" s="251">
        <f t="shared" si="32"/>
        <v>-1.9238931088882019</v>
      </c>
      <c r="V133" s="383">
        <f t="shared" si="33"/>
        <v>42.095024025725714</v>
      </c>
      <c r="W133" s="58"/>
      <c r="X133" s="157">
        <f t="shared" si="34"/>
        <v>43219</v>
      </c>
      <c r="Y133" s="385">
        <f t="shared" si="35"/>
        <v>0</v>
      </c>
      <c r="Z133" s="385">
        <f t="shared" si="36"/>
        <v>0</v>
      </c>
      <c r="AA133" s="386">
        <f t="shared" si="37"/>
        <v>0</v>
      </c>
      <c r="AB133" s="197">
        <f t="shared" si="38"/>
        <v>43219</v>
      </c>
      <c r="AC133" s="427">
        <f t="shared" si="39"/>
        <v>1.9248426628640451E-3</v>
      </c>
      <c r="AD133" s="169">
        <f>(INDEX(Models!$BJ133:$BT133,,AH133)*(1-AF133)+INDEX(Models!$BJ133:$BT133,,AH133+1)*AF133-ERP_i)*AE133*Ramure*Pc/MaxiM</f>
        <v>0</v>
      </c>
      <c r="AE133" s="305">
        <f t="shared" si="40"/>
        <v>0.7</v>
      </c>
      <c r="AF133" s="177">
        <f t="shared" si="41"/>
        <v>7.6106891111798136E-2</v>
      </c>
      <c r="AG133" s="817">
        <f t="shared" si="42"/>
        <v>-2</v>
      </c>
      <c r="AH133" s="176">
        <f t="shared" si="43"/>
        <v>4</v>
      </c>
      <c r="AI133" s="225">
        <f t="shared" si="44"/>
        <v>-1.9238931088882019</v>
      </c>
      <c r="AJ133" s="265" t="b">
        <f t="shared" si="45"/>
        <v>0</v>
      </c>
      <c r="AK133" s="265" t="b">
        <f t="shared" si="46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7"/>
        <v>43220</v>
      </c>
      <c r="B134" s="621"/>
      <c r="C134" s="859"/>
      <c r="D134" s="393"/>
      <c r="E134" s="385"/>
      <c r="F134" s="385"/>
      <c r="G134" s="110"/>
      <c r="I134" s="380">
        <f t="shared" si="25"/>
        <v>0</v>
      </c>
      <c r="J134" s="85">
        <v>2018</v>
      </c>
      <c r="K134" s="197">
        <f t="shared" si="26"/>
        <v>43220</v>
      </c>
      <c r="L134" s="438">
        <f t="shared" si="27"/>
        <v>2.409018477564917E-4</v>
      </c>
      <c r="M134" s="861"/>
      <c r="N134" s="861"/>
      <c r="O134" s="324">
        <f t="shared" si="28"/>
        <v>2.1169394681139837E-3</v>
      </c>
      <c r="P134" s="169">
        <f>(INDEX(Models!$BJ134:$BT134,,T134)*(1-R134)+INDEX(Models!$BJ134:$BT134,,T134+1)*R134-ERP_i)*Q134*Ramure*Pc/MaxiM</f>
        <v>0</v>
      </c>
      <c r="Q134" s="305">
        <f t="shared" si="29"/>
        <v>0.7</v>
      </c>
      <c r="R134" s="177">
        <f t="shared" si="30"/>
        <v>7.8785066769077261E-2</v>
      </c>
      <c r="S134" s="817">
        <f t="shared" si="48"/>
        <v>-2</v>
      </c>
      <c r="T134" s="176">
        <f t="shared" si="31"/>
        <v>4</v>
      </c>
      <c r="U134" s="251">
        <f t="shared" si="32"/>
        <v>-1.9212149332309227</v>
      </c>
      <c r="V134" s="383">
        <f t="shared" si="33"/>
        <v>42.193101858103674</v>
      </c>
      <c r="W134" s="58"/>
      <c r="X134" s="157">
        <f t="shared" si="34"/>
        <v>43220</v>
      </c>
      <c r="Y134" s="385">
        <f t="shared" si="35"/>
        <v>0</v>
      </c>
      <c r="Z134" s="385">
        <f t="shared" si="36"/>
        <v>0</v>
      </c>
      <c r="AA134" s="386">
        <f t="shared" si="37"/>
        <v>0</v>
      </c>
      <c r="AB134" s="197">
        <f t="shared" si="38"/>
        <v>43220</v>
      </c>
      <c r="AC134" s="427">
        <f t="shared" si="39"/>
        <v>2.1169394681139837E-3</v>
      </c>
      <c r="AD134" s="169">
        <f>(INDEX(Models!$BJ134:$BT134,,AH134)*(1-AF134)+INDEX(Models!$BJ134:$BT134,,AH134+1)*AF134-ERP_i)*AE134*Ramure*Pc/MaxiM</f>
        <v>0</v>
      </c>
      <c r="AE134" s="305">
        <f t="shared" si="40"/>
        <v>0.7</v>
      </c>
      <c r="AF134" s="177">
        <f t="shared" si="41"/>
        <v>7.8785066769077261E-2</v>
      </c>
      <c r="AG134" s="817">
        <f t="shared" si="42"/>
        <v>-2</v>
      </c>
      <c r="AH134" s="176">
        <f t="shared" si="43"/>
        <v>4</v>
      </c>
      <c r="AI134" s="225">
        <f t="shared" si="44"/>
        <v>-1.9212149332309227</v>
      </c>
      <c r="AJ134" s="265" t="b">
        <f t="shared" si="45"/>
        <v>0</v>
      </c>
      <c r="AK134" s="265" t="b">
        <f t="shared" si="46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7"/>
        <v>43221</v>
      </c>
      <c r="B135" s="621"/>
      <c r="C135" s="859"/>
      <c r="D135" s="393"/>
      <c r="E135" s="385"/>
      <c r="F135" s="385"/>
      <c r="G135" s="110"/>
      <c r="I135" s="380">
        <f t="shared" si="25"/>
        <v>0</v>
      </c>
      <c r="J135" s="85">
        <v>2018</v>
      </c>
      <c r="K135" s="197">
        <f t="shared" si="26"/>
        <v>43221</v>
      </c>
      <c r="L135" s="438">
        <f t="shared" si="27"/>
        <v>2.6279913782012443E-4</v>
      </c>
      <c r="M135" s="861"/>
      <c r="N135" s="861"/>
      <c r="O135" s="324">
        <f t="shared" si="28"/>
        <v>2.3089968971797023E-3</v>
      </c>
      <c r="P135" s="169">
        <f>(INDEX(Models!$BJ135:$BT135,,T135)*(1-R135)+INDEX(Models!$BJ135:$BT135,,T135+1)*R135-ERP_i)*Q135*Ramure*Pc/MaxiM</f>
        <v>0</v>
      </c>
      <c r="Q135" s="305">
        <f t="shared" si="29"/>
        <v>0.7</v>
      </c>
      <c r="R135" s="177">
        <f t="shared" si="30"/>
        <v>8.1539939527137228E-2</v>
      </c>
      <c r="S135" s="817">
        <f t="shared" si="48"/>
        <v>-2</v>
      </c>
      <c r="T135" s="176">
        <f t="shared" si="31"/>
        <v>4</v>
      </c>
      <c r="U135" s="251">
        <f t="shared" si="32"/>
        <v>-1.9184600604728628</v>
      </c>
      <c r="V135" s="383">
        <f t="shared" si="33"/>
        <v>42.286918853484302</v>
      </c>
      <c r="W135" s="58"/>
      <c r="X135" s="157">
        <f t="shared" si="34"/>
        <v>43221</v>
      </c>
      <c r="Y135" s="385">
        <f t="shared" si="35"/>
        <v>0</v>
      </c>
      <c r="Z135" s="385">
        <f t="shared" si="36"/>
        <v>0</v>
      </c>
      <c r="AA135" s="386">
        <f t="shared" si="37"/>
        <v>0</v>
      </c>
      <c r="AB135" s="197">
        <f t="shared" si="38"/>
        <v>43221</v>
      </c>
      <c r="AC135" s="427">
        <f t="shared" si="39"/>
        <v>2.3089968971797023E-3</v>
      </c>
      <c r="AD135" s="169">
        <f>(INDEX(Models!$BJ135:$BT135,,AH135)*(1-AF135)+INDEX(Models!$BJ135:$BT135,,AH135+1)*AF135-ERP_i)*AE135*Ramure*Pc/MaxiM</f>
        <v>0</v>
      </c>
      <c r="AE135" s="305">
        <f t="shared" si="40"/>
        <v>0.7</v>
      </c>
      <c r="AF135" s="177">
        <f t="shared" si="41"/>
        <v>8.1539939527137228E-2</v>
      </c>
      <c r="AG135" s="817">
        <f t="shared" si="42"/>
        <v>-2</v>
      </c>
      <c r="AH135" s="176">
        <f t="shared" si="43"/>
        <v>4</v>
      </c>
      <c r="AI135" s="225">
        <f t="shared" si="44"/>
        <v>-1.9184600604728628</v>
      </c>
      <c r="AJ135" s="265" t="b">
        <f t="shared" si="45"/>
        <v>0</v>
      </c>
      <c r="AK135" s="265" t="b">
        <f t="shared" si="46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7"/>
        <v>43222</v>
      </c>
      <c r="B136" s="621"/>
      <c r="C136" s="859"/>
      <c r="D136" s="393"/>
      <c r="E136" s="385"/>
      <c r="F136" s="385"/>
      <c r="G136" s="110"/>
      <c r="I136" s="380">
        <f t="shared" si="25"/>
        <v>0</v>
      </c>
      <c r="J136" s="85">
        <v>2018</v>
      </c>
      <c r="K136" s="197">
        <f t="shared" si="26"/>
        <v>43222</v>
      </c>
      <c r="L136" s="438">
        <f t="shared" si="27"/>
        <v>2.8469594827695843E-4</v>
      </c>
      <c r="M136" s="861"/>
      <c r="N136" s="861"/>
      <c r="O136" s="324">
        <f t="shared" si="28"/>
        <v>2.5010221908363952E-3</v>
      </c>
      <c r="P136" s="169">
        <f>(INDEX(Models!$BJ136:$BT136,,T136)*(1-R136)+INDEX(Models!$BJ136:$BT136,,T136+1)*R136-ERP_i)*Q136*Ramure*Pc/MaxiM</f>
        <v>0</v>
      </c>
      <c r="Q136" s="305">
        <f t="shared" si="29"/>
        <v>0.7</v>
      </c>
      <c r="R136" s="177">
        <f t="shared" si="30"/>
        <v>8.4372424962572357E-2</v>
      </c>
      <c r="S136" s="817">
        <f t="shared" si="48"/>
        <v>-2</v>
      </c>
      <c r="T136" s="176">
        <f t="shared" si="31"/>
        <v>4</v>
      </c>
      <c r="U136" s="251">
        <f t="shared" si="32"/>
        <v>-1.9156275750374276</v>
      </c>
      <c r="V136" s="383">
        <f t="shared" si="33"/>
        <v>42.377100057841801</v>
      </c>
      <c r="W136" s="58"/>
      <c r="X136" s="157">
        <f t="shared" si="34"/>
        <v>43222</v>
      </c>
      <c r="Y136" s="385">
        <f t="shared" si="35"/>
        <v>0</v>
      </c>
      <c r="Z136" s="385">
        <f t="shared" si="36"/>
        <v>0</v>
      </c>
      <c r="AA136" s="386">
        <f t="shared" si="37"/>
        <v>0</v>
      </c>
      <c r="AB136" s="197">
        <f t="shared" si="38"/>
        <v>43222</v>
      </c>
      <c r="AC136" s="427">
        <f t="shared" si="39"/>
        <v>2.5010221908363952E-3</v>
      </c>
      <c r="AD136" s="169">
        <f>(INDEX(Models!$BJ136:$BT136,,AH136)*(1-AF136)+INDEX(Models!$BJ136:$BT136,,AH136+1)*AF136-ERP_i)*AE136*Ramure*Pc/MaxiM</f>
        <v>0</v>
      </c>
      <c r="AE136" s="305">
        <f t="shared" si="40"/>
        <v>0.7</v>
      </c>
      <c r="AF136" s="177">
        <f t="shared" si="41"/>
        <v>8.4372424962572357E-2</v>
      </c>
      <c r="AG136" s="817">
        <f t="shared" si="42"/>
        <v>-2</v>
      </c>
      <c r="AH136" s="176">
        <f t="shared" si="43"/>
        <v>4</v>
      </c>
      <c r="AI136" s="225">
        <f t="shared" si="44"/>
        <v>-1.9156275750374276</v>
      </c>
      <c r="AJ136" s="265" t="b">
        <f t="shared" si="45"/>
        <v>0</v>
      </c>
      <c r="AK136" s="265" t="b">
        <f t="shared" si="46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7"/>
        <v>43223</v>
      </c>
      <c r="B137" s="621"/>
      <c r="C137" s="859"/>
      <c r="D137" s="393"/>
      <c r="E137" s="385"/>
      <c r="F137" s="385"/>
      <c r="G137" s="110"/>
      <c r="I137" s="380">
        <f t="shared" si="25"/>
        <v>0</v>
      </c>
      <c r="J137" s="85">
        <v>2018</v>
      </c>
      <c r="K137" s="197">
        <f t="shared" si="26"/>
        <v>43223</v>
      </c>
      <c r="L137" s="438">
        <f t="shared" si="27"/>
        <v>3.0659227913731879E-4</v>
      </c>
      <c r="M137" s="861"/>
      <c r="N137" s="861"/>
      <c r="O137" s="324">
        <f t="shared" si="28"/>
        <v>2.6930223483313744E-3</v>
      </c>
      <c r="P137" s="169">
        <f>(INDEX(Models!$BJ137:$BT137,,T137)*(1-R137)+INDEX(Models!$BJ137:$BT137,,T137+1)*R137-ERP_i)*Q137*Ramure*Pc/MaxiM</f>
        <v>0</v>
      </c>
      <c r="Q137" s="305">
        <f t="shared" si="29"/>
        <v>0.7</v>
      </c>
      <c r="R137" s="177">
        <f t="shared" si="30"/>
        <v>8.72833562281361E-2</v>
      </c>
      <c r="S137" s="817">
        <f t="shared" si="48"/>
        <v>-2</v>
      </c>
      <c r="T137" s="176">
        <f t="shared" si="31"/>
        <v>4</v>
      </c>
      <c r="U137" s="251">
        <f t="shared" si="32"/>
        <v>-1.9127166437718639</v>
      </c>
      <c r="V137" s="383">
        <f t="shared" si="33"/>
        <v>42.463540782999203</v>
      </c>
      <c r="W137" s="58"/>
      <c r="X137" s="157">
        <f t="shared" si="34"/>
        <v>43223</v>
      </c>
      <c r="Y137" s="385">
        <f t="shared" si="35"/>
        <v>0</v>
      </c>
      <c r="Z137" s="385">
        <f t="shared" si="36"/>
        <v>0</v>
      </c>
      <c r="AA137" s="386">
        <f t="shared" si="37"/>
        <v>0</v>
      </c>
      <c r="AB137" s="197">
        <f t="shared" si="38"/>
        <v>43223</v>
      </c>
      <c r="AC137" s="427">
        <f t="shared" si="39"/>
        <v>2.6930223483313744E-3</v>
      </c>
      <c r="AD137" s="169">
        <f>(INDEX(Models!$BJ137:$BT137,,AH137)*(1-AF137)+INDEX(Models!$BJ137:$BT137,,AH137+1)*AF137-ERP_i)*AE137*Ramure*Pc/MaxiM</f>
        <v>0</v>
      </c>
      <c r="AE137" s="305">
        <f t="shared" si="40"/>
        <v>0.7</v>
      </c>
      <c r="AF137" s="177">
        <f t="shared" si="41"/>
        <v>8.72833562281361E-2</v>
      </c>
      <c r="AG137" s="817">
        <f t="shared" si="42"/>
        <v>-2</v>
      </c>
      <c r="AH137" s="176">
        <f t="shared" si="43"/>
        <v>4</v>
      </c>
      <c r="AI137" s="225">
        <f t="shared" si="44"/>
        <v>-1.9127166437718639</v>
      </c>
      <c r="AJ137" s="265" t="b">
        <f t="shared" si="45"/>
        <v>0</v>
      </c>
      <c r="AK137" s="265" t="b">
        <f t="shared" si="46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7"/>
        <v>43224</v>
      </c>
      <c r="B138" s="621"/>
      <c r="C138" s="859"/>
      <c r="D138" s="393"/>
      <c r="E138" s="385"/>
      <c r="F138" s="385"/>
      <c r="G138" s="110"/>
      <c r="I138" s="380">
        <f t="shared" si="25"/>
        <v>0</v>
      </c>
      <c r="J138" s="85">
        <v>2018</v>
      </c>
      <c r="K138" s="197">
        <f t="shared" si="26"/>
        <v>43224</v>
      </c>
      <c r="L138" s="438">
        <f t="shared" si="27"/>
        <v>3.2848813041197467E-4</v>
      </c>
      <c r="M138" s="861"/>
      <c r="N138" s="861"/>
      <c r="O138" s="324">
        <f t="shared" si="28"/>
        <v>2.8850040973106821E-3</v>
      </c>
      <c r="P138" s="169">
        <f>(INDEX(Models!$BJ138:$BT138,,T138)*(1-R138)+INDEX(Models!$BJ138:$BT138,,T138+1)*R138-ERP_i)*Q138*Ramure*Pc/MaxiM</f>
        <v>0</v>
      </c>
      <c r="Q138" s="305">
        <f t="shared" si="29"/>
        <v>0.7</v>
      </c>
      <c r="R138" s="177">
        <f t="shared" si="30"/>
        <v>9.0273477144426462E-2</v>
      </c>
      <c r="S138" s="817">
        <f t="shared" si="48"/>
        <v>-2</v>
      </c>
      <c r="T138" s="176">
        <f t="shared" si="31"/>
        <v>4</v>
      </c>
      <c r="U138" s="251">
        <f t="shared" si="32"/>
        <v>-1.9097265228555735</v>
      </c>
      <c r="V138" s="383">
        <f t="shared" si="33"/>
        <v>42.546136440228281</v>
      </c>
      <c r="W138" s="58"/>
      <c r="X138" s="157">
        <f t="shared" si="34"/>
        <v>43224</v>
      </c>
      <c r="Y138" s="385">
        <f t="shared" si="35"/>
        <v>0</v>
      </c>
      <c r="Z138" s="385">
        <f t="shared" si="36"/>
        <v>0</v>
      </c>
      <c r="AA138" s="386">
        <f t="shared" si="37"/>
        <v>0</v>
      </c>
      <c r="AB138" s="197">
        <f t="shared" si="38"/>
        <v>43224</v>
      </c>
      <c r="AC138" s="427">
        <f t="shared" si="39"/>
        <v>2.8850040973106821E-3</v>
      </c>
      <c r="AD138" s="169">
        <f>(INDEX(Models!$BJ138:$BT138,,AH138)*(1-AF138)+INDEX(Models!$BJ138:$BT138,,AH138+1)*AF138-ERP_i)*AE138*Ramure*Pc/MaxiM</f>
        <v>0</v>
      </c>
      <c r="AE138" s="305">
        <f t="shared" si="40"/>
        <v>0.7</v>
      </c>
      <c r="AF138" s="177">
        <f t="shared" si="41"/>
        <v>9.0273477144426462E-2</v>
      </c>
      <c r="AG138" s="817">
        <f t="shared" si="42"/>
        <v>-2</v>
      </c>
      <c r="AH138" s="176">
        <f t="shared" si="43"/>
        <v>4</v>
      </c>
      <c r="AI138" s="225">
        <f t="shared" si="44"/>
        <v>-1.9097265228555735</v>
      </c>
      <c r="AJ138" s="265" t="b">
        <f t="shared" si="45"/>
        <v>0</v>
      </c>
      <c r="AK138" s="265" t="b">
        <f t="shared" si="46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7"/>
        <v>43225</v>
      </c>
      <c r="B139" s="621"/>
      <c r="C139" s="859"/>
      <c r="D139" s="393"/>
      <c r="E139" s="385"/>
      <c r="F139" s="385"/>
      <c r="G139" s="110"/>
      <c r="I139" s="380">
        <f t="shared" si="25"/>
        <v>0</v>
      </c>
      <c r="J139" s="85">
        <v>2018</v>
      </c>
      <c r="K139" s="197">
        <f t="shared" si="26"/>
        <v>43225</v>
      </c>
      <c r="L139" s="438">
        <f t="shared" si="27"/>
        <v>3.5038350211114011E-4</v>
      </c>
      <c r="M139" s="861"/>
      <c r="N139" s="861"/>
      <c r="O139" s="324">
        <f t="shared" si="28"/>
        <v>3.0769738632761734E-3</v>
      </c>
      <c r="P139" s="169">
        <f>(INDEX(Models!$BJ139:$BT139,,T139)*(1-R139)+INDEX(Models!$BJ139:$BT139,,T139+1)*R139-ERP_i)*Q139*Ramure*Pc/MaxiM</f>
        <v>0</v>
      </c>
      <c r="Q139" s="305">
        <f t="shared" si="29"/>
        <v>0.7</v>
      </c>
      <c r="R139" s="177">
        <f t="shared" si="30"/>
        <v>9.3343435211002967E-2</v>
      </c>
      <c r="S139" s="817">
        <f t="shared" si="48"/>
        <v>-2</v>
      </c>
      <c r="T139" s="176">
        <f t="shared" si="31"/>
        <v>4</v>
      </c>
      <c r="U139" s="251">
        <f t="shared" si="32"/>
        <v>-1.906656564788997</v>
      </c>
      <c r="V139" s="383">
        <f t="shared" si="33"/>
        <v>42.624782546306967</v>
      </c>
      <c r="W139" s="58"/>
      <c r="X139" s="157">
        <f t="shared" si="34"/>
        <v>43225</v>
      </c>
      <c r="Y139" s="385">
        <f t="shared" si="35"/>
        <v>0</v>
      </c>
      <c r="Z139" s="385">
        <f t="shared" si="36"/>
        <v>0</v>
      </c>
      <c r="AA139" s="386">
        <f t="shared" si="37"/>
        <v>0</v>
      </c>
      <c r="AB139" s="197">
        <f t="shared" si="38"/>
        <v>43225</v>
      </c>
      <c r="AC139" s="427">
        <f t="shared" si="39"/>
        <v>3.0769738632761734E-3</v>
      </c>
      <c r="AD139" s="169">
        <f>(INDEX(Models!$BJ139:$BT139,,AH139)*(1-AF139)+INDEX(Models!$BJ139:$BT139,,AH139+1)*AF139-ERP_i)*AE139*Ramure*Pc/MaxiM</f>
        <v>0</v>
      </c>
      <c r="AE139" s="305">
        <f t="shared" si="40"/>
        <v>0.7</v>
      </c>
      <c r="AF139" s="177">
        <f t="shared" si="41"/>
        <v>9.3343435211002967E-2</v>
      </c>
      <c r="AG139" s="817">
        <f t="shared" si="42"/>
        <v>-2</v>
      </c>
      <c r="AH139" s="176">
        <f t="shared" si="43"/>
        <v>4</v>
      </c>
      <c r="AI139" s="225">
        <f t="shared" si="44"/>
        <v>-1.906656564788997</v>
      </c>
      <c r="AJ139" s="265" t="b">
        <f t="shared" si="45"/>
        <v>0</v>
      </c>
      <c r="AK139" s="265" t="b">
        <f t="shared" si="46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7"/>
        <v>43226</v>
      </c>
      <c r="B140" s="621"/>
      <c r="C140" s="859"/>
      <c r="D140" s="393"/>
      <c r="E140" s="385"/>
      <c r="F140" s="385"/>
      <c r="G140" s="110"/>
      <c r="I140" s="380">
        <f t="shared" si="25"/>
        <v>0</v>
      </c>
      <c r="J140" s="85">
        <v>2018</v>
      </c>
      <c r="K140" s="197">
        <f t="shared" si="26"/>
        <v>43226</v>
      </c>
      <c r="L140" s="438">
        <f t="shared" si="27"/>
        <v>3.7227839424558429E-4</v>
      </c>
      <c r="M140" s="861"/>
      <c r="N140" s="861"/>
      <c r="O140" s="324">
        <f t="shared" si="28"/>
        <v>3.2689377387070586E-3</v>
      </c>
      <c r="P140" s="169">
        <f>(INDEX(Models!$BJ140:$BT140,,T140)*(1-R140)+INDEX(Models!$BJ140:$BT140,,T140+1)*R140-ERP_i)*Q140*Ramure*Pc/MaxiM</f>
        <v>0</v>
      </c>
      <c r="Q140" s="305">
        <f t="shared" si="29"/>
        <v>0.7</v>
      </c>
      <c r="R140" s="177">
        <f t="shared" si="30"/>
        <v>9.6493774572344204E-2</v>
      </c>
      <c r="S140" s="817">
        <f t="shared" si="48"/>
        <v>-2</v>
      </c>
      <c r="T140" s="176">
        <f t="shared" si="31"/>
        <v>4</v>
      </c>
      <c r="U140" s="251">
        <f t="shared" si="32"/>
        <v>-1.9035062254276558</v>
      </c>
      <c r="V140" s="383">
        <f t="shared" si="33"/>
        <v>42.69937471666136</v>
      </c>
      <c r="W140" s="58"/>
      <c r="X140" s="157">
        <f t="shared" si="34"/>
        <v>43226</v>
      </c>
      <c r="Y140" s="385">
        <f t="shared" si="35"/>
        <v>0</v>
      </c>
      <c r="Z140" s="385">
        <f t="shared" si="36"/>
        <v>0</v>
      </c>
      <c r="AA140" s="386">
        <f t="shared" si="37"/>
        <v>0</v>
      </c>
      <c r="AB140" s="197">
        <f t="shared" si="38"/>
        <v>43226</v>
      </c>
      <c r="AC140" s="427">
        <f t="shared" si="39"/>
        <v>3.2689377387070586E-3</v>
      </c>
      <c r="AD140" s="169">
        <f>(INDEX(Models!$BJ140:$BT140,,AH140)*(1-AF140)+INDEX(Models!$BJ140:$BT140,,AH140+1)*AF140-ERP_i)*AE140*Ramure*Pc/MaxiM</f>
        <v>0</v>
      </c>
      <c r="AE140" s="305">
        <f t="shared" si="40"/>
        <v>0.7</v>
      </c>
      <c r="AF140" s="177">
        <f t="shared" si="41"/>
        <v>9.6493774572344204E-2</v>
      </c>
      <c r="AG140" s="817">
        <f t="shared" si="42"/>
        <v>-2</v>
      </c>
      <c r="AH140" s="176">
        <f t="shared" si="43"/>
        <v>4</v>
      </c>
      <c r="AI140" s="225">
        <f t="shared" si="44"/>
        <v>-1.9035062254276558</v>
      </c>
      <c r="AJ140" s="265" t="b">
        <f t="shared" si="45"/>
        <v>0</v>
      </c>
      <c r="AK140" s="265" t="b">
        <f t="shared" si="46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7"/>
        <v>43227</v>
      </c>
      <c r="B141" s="621"/>
      <c r="C141" s="859"/>
      <c r="D141" s="393"/>
      <c r="E141" s="385"/>
      <c r="F141" s="385"/>
      <c r="G141" s="110"/>
      <c r="I141" s="380">
        <f t="shared" si="25"/>
        <v>0</v>
      </c>
      <c r="J141" s="85">
        <v>2018</v>
      </c>
      <c r="K141" s="197">
        <f t="shared" si="26"/>
        <v>43227</v>
      </c>
      <c r="L141" s="438">
        <f t="shared" si="27"/>
        <v>3.9417280682563227E-4</v>
      </c>
      <c r="M141" s="861"/>
      <c r="N141" s="861"/>
      <c r="O141" s="324">
        <f t="shared" si="28"/>
        <v>3.4609014519967371E-3</v>
      </c>
      <c r="P141" s="169">
        <f>(INDEX(Models!$BJ141:$BT141,,T141)*(1-R141)+INDEX(Models!$BJ141:$BT141,,T141+1)*R141-ERP_i)*Q141*Ramure*Pc/MaxiM</f>
        <v>0</v>
      </c>
      <c r="Q141" s="305">
        <f t="shared" si="29"/>
        <v>0.7</v>
      </c>
      <c r="R141" s="177">
        <f t="shared" si="30"/>
        <v>9.972492897749663E-2</v>
      </c>
      <c r="S141" s="817">
        <f t="shared" si="48"/>
        <v>-2</v>
      </c>
      <c r="T141" s="176">
        <f t="shared" si="31"/>
        <v>4</v>
      </c>
      <c r="U141" s="251">
        <f t="shared" si="32"/>
        <v>-1.9002750710225034</v>
      </c>
      <c r="V141" s="383">
        <f t="shared" si="33"/>
        <v>42.769808673062279</v>
      </c>
      <c r="W141" s="58"/>
      <c r="X141" s="157">
        <f t="shared" si="34"/>
        <v>43227</v>
      </c>
      <c r="Y141" s="385">
        <f t="shared" si="35"/>
        <v>0</v>
      </c>
      <c r="Z141" s="385">
        <f t="shared" si="36"/>
        <v>0</v>
      </c>
      <c r="AA141" s="386">
        <f t="shared" si="37"/>
        <v>0</v>
      </c>
      <c r="AB141" s="197">
        <f t="shared" si="38"/>
        <v>43227</v>
      </c>
      <c r="AC141" s="427">
        <f t="shared" si="39"/>
        <v>3.4609014519967371E-3</v>
      </c>
      <c r="AD141" s="169">
        <f>(INDEX(Models!$BJ141:$BT141,,AH141)*(1-AF141)+INDEX(Models!$BJ141:$BT141,,AH141+1)*AF141-ERP_i)*AE141*Ramure*Pc/MaxiM</f>
        <v>0</v>
      </c>
      <c r="AE141" s="305">
        <f t="shared" si="40"/>
        <v>0.7</v>
      </c>
      <c r="AF141" s="177">
        <f t="shared" si="41"/>
        <v>9.972492897749663E-2</v>
      </c>
      <c r="AG141" s="817">
        <f t="shared" si="42"/>
        <v>-2</v>
      </c>
      <c r="AH141" s="176">
        <f t="shared" si="43"/>
        <v>4</v>
      </c>
      <c r="AI141" s="225">
        <f t="shared" si="44"/>
        <v>-1.9002750710225034</v>
      </c>
      <c r="AJ141" s="265" t="b">
        <f t="shared" si="45"/>
        <v>0</v>
      </c>
      <c r="AK141" s="265" t="b">
        <f t="shared" si="46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7"/>
        <v>43228</v>
      </c>
      <c r="B142" s="621"/>
      <c r="C142" s="859"/>
      <c r="D142" s="393"/>
      <c r="E142" s="385"/>
      <c r="F142" s="385"/>
      <c r="G142" s="110"/>
      <c r="I142" s="380">
        <f t="shared" si="25"/>
        <v>0</v>
      </c>
      <c r="J142" s="85">
        <v>2018</v>
      </c>
      <c r="K142" s="197">
        <f t="shared" si="26"/>
        <v>43228</v>
      </c>
      <c r="L142" s="438">
        <f t="shared" si="27"/>
        <v>4.160667398619422E-4</v>
      </c>
      <c r="M142" s="861"/>
      <c r="N142" s="861"/>
      <c r="O142" s="324">
        <f t="shared" si="28"/>
        <v>3.6528703363729489E-3</v>
      </c>
      <c r="P142" s="169">
        <f>(INDEX(Models!$BJ142:$BT142,,T142)*(1-R142)+INDEX(Models!$BJ142:$BT142,,T142+1)*R142-ERP_i)*Q142*Ramure*Pc/MaxiM</f>
        <v>0</v>
      </c>
      <c r="Q142" s="305">
        <f t="shared" si="29"/>
        <v>0.7</v>
      </c>
      <c r="R142" s="177">
        <f t="shared" si="30"/>
        <v>0.10303721477562955</v>
      </c>
      <c r="S142" s="817">
        <f t="shared" si="48"/>
        <v>-2</v>
      </c>
      <c r="T142" s="176">
        <f t="shared" si="31"/>
        <v>4</v>
      </c>
      <c r="U142" s="251">
        <f t="shared" si="32"/>
        <v>-1.8969627852243705</v>
      </c>
      <c r="V142" s="383">
        <f t="shared" si="33"/>
        <v>42.835980242735168</v>
      </c>
      <c r="W142" s="58"/>
      <c r="X142" s="157">
        <f t="shared" si="34"/>
        <v>43228</v>
      </c>
      <c r="Y142" s="385">
        <f t="shared" si="35"/>
        <v>0</v>
      </c>
      <c r="Z142" s="385">
        <f t="shared" si="36"/>
        <v>0</v>
      </c>
      <c r="AA142" s="386">
        <f t="shared" si="37"/>
        <v>0</v>
      </c>
      <c r="AB142" s="197">
        <f t="shared" si="38"/>
        <v>43228</v>
      </c>
      <c r="AC142" s="427">
        <f t="shared" si="39"/>
        <v>3.6528703363729489E-3</v>
      </c>
      <c r="AD142" s="169">
        <f>(INDEX(Models!$BJ142:$BT142,,AH142)*(1-AF142)+INDEX(Models!$BJ142:$BT142,,AH142+1)*AF142-ERP_i)*AE142*Ramure*Pc/MaxiM</f>
        <v>0</v>
      </c>
      <c r="AE142" s="305">
        <f t="shared" si="40"/>
        <v>0.7</v>
      </c>
      <c r="AF142" s="177">
        <f t="shared" si="41"/>
        <v>0.10303721477562955</v>
      </c>
      <c r="AG142" s="817">
        <f t="shared" si="42"/>
        <v>-2</v>
      </c>
      <c r="AH142" s="176">
        <f t="shared" si="43"/>
        <v>4</v>
      </c>
      <c r="AI142" s="225">
        <f t="shared" si="44"/>
        <v>-1.8969627852243705</v>
      </c>
      <c r="AJ142" s="265" t="b">
        <f t="shared" si="45"/>
        <v>0</v>
      </c>
      <c r="AK142" s="265" t="b">
        <f t="shared" si="46"/>
        <v>0</v>
      </c>
      <c r="AL142" s="265"/>
      <c r="AM142" s="265"/>
      <c r="AN142" s="75"/>
    </row>
    <row r="143" spans="1:40" s="6" customFormat="1" ht="11.25" customHeight="1" x14ac:dyDescent="0.2">
      <c r="A143" s="56">
        <f t="shared" si="47"/>
        <v>43229</v>
      </c>
      <c r="B143" s="621"/>
      <c r="C143" s="859"/>
      <c r="D143" s="393"/>
      <c r="E143" s="385"/>
      <c r="F143" s="385"/>
      <c r="G143" s="110"/>
      <c r="I143" s="380">
        <f t="shared" ref="I143:I206" si="49">Wh_hp</f>
        <v>0</v>
      </c>
      <c r="J143" s="85">
        <v>2018</v>
      </c>
      <c r="K143" s="197">
        <f t="shared" ref="K143:K206" si="50">t</f>
        <v>43229</v>
      </c>
      <c r="L143" s="438">
        <f t="shared" ref="L143:L206" si="51">IF(t&lt;T0,0,IF(t&lt;Tvie,1-EXP((T0-t)*PertePVj),1-EXP((T0-t)*PertePVj)+Pspv))</f>
        <v>4.3796019336483916E-4</v>
      </c>
      <c r="M143" s="861"/>
      <c r="N143" s="861"/>
      <c r="O143" s="324">
        <f t="shared" ref="O143:O206" si="52">IF(t&lt;T0,0,IF(t&lt;Tnet,Salim_i*(1-EXP((T0-t)/Tau_ij)),Resal+(Salim-Resal)*(1-EXP((Tnet-t)/(Tau_j)))))*Salcycl</f>
        <v>3.8448492989842571E-3</v>
      </c>
      <c r="P143" s="169">
        <f>(INDEX(Models!$BJ143:$BT143,,T143)*(1-R143)+INDEX(Models!$BJ143:$BT143,,T143+1)*R143-ERP_i)*Q143*Ramure*Pc/MaxiM</f>
        <v>0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0.10643082399297499</v>
      </c>
      <c r="S143" s="817">
        <f t="shared" si="48"/>
        <v>-2</v>
      </c>
      <c r="T143" s="176">
        <f t="shared" ref="T143:T206" si="55">MIN(MATCH(Hp_vg,Echel_vg),10)</f>
        <v>4</v>
      </c>
      <c r="U143" s="251">
        <f t="shared" ref="U143:U206" si="56">IF(OR(t&lt;Ttai,Notai),Hdd+PousH*Croivg,Hdtf+PousH*(Croivg-Croi_tai))</f>
        <v>-1.893569176007025</v>
      </c>
      <c r="V143" s="383">
        <f t="shared" ref="V143:V206" si="57">MaxiM*(1-Ppv)*(1-Pvg)*(1-Psa)</f>
        <v>42.897785363244388</v>
      </c>
      <c r="W143" s="58"/>
      <c r="X143" s="157">
        <f t="shared" ref="X143:X206" si="58">t</f>
        <v>43229</v>
      </c>
      <c r="Y143" s="385">
        <f t="shared" ref="Y143:Y206" si="59">Wh_pvt_s*(1-Ppv)</f>
        <v>0</v>
      </c>
      <c r="Z143" s="385">
        <f t="shared" ref="Z143:Z206" si="60">Wh_sa_s*(1-Psa_s)</f>
        <v>0</v>
      </c>
      <c r="AA143" s="386">
        <f t="shared" ref="AA143:AA206" si="61">Wh_hp*(1-Pvg_s*MEDIAN((-Sdif+Wh/Env_an)/Csdif,0,1))</f>
        <v>0</v>
      </c>
      <c r="AB143" s="197">
        <f t="shared" ref="AB143:AB206" si="62">t</f>
        <v>43229</v>
      </c>
      <c r="AC143" s="427">
        <f t="shared" ref="AC143:AC206" si="63">IF(t&lt;T0,0,IF(OR(t&lt;Tnet,NoTnet),Salim_i*(1-EXP((T0-t)/Tau_ij)),Resal_s+(Salim-Resal_s)*(1-EXP((Tnet_s-t)/Tau_j))))*Salcycl</f>
        <v>3.8448492989842571E-3</v>
      </c>
      <c r="AD143" s="169">
        <f>(INDEX(Models!$BJ143:$BT143,,AH143)*(1-AF143)+INDEX(Models!$BJ143:$BT143,,AH143+1)*AF143-ERP_i)*AE143*Ramure*Pc/MaxiM</f>
        <v>0</v>
      </c>
      <c r="AE143" s="305">
        <f t="shared" ref="AE143:AE206" si="64">Dd+PousD*Croivg</f>
        <v>0.7</v>
      </c>
      <c r="AF143" s="177">
        <f t="shared" ref="AF143:AF206" si="65">(Hp_vg_s-AG143)/(INDEX(Echel_vg,AH143+1)-AG143)</f>
        <v>0.10643082399297499</v>
      </c>
      <c r="AG143" s="817">
        <f t="shared" ref="AG143:AG206" si="66">INDEX(Echel_vg,AH143)</f>
        <v>-2</v>
      </c>
      <c r="AH143" s="176">
        <f t="shared" ref="AH143:AH206" si="67">MIN(MATCH(Hp_vg_s,Echel_vg),10)</f>
        <v>4</v>
      </c>
      <c r="AI143" s="225">
        <f t="shared" ref="AI143:AI206" si="68">Hdd+PousH*Croivg</f>
        <v>-1.893569176007025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43230</v>
      </c>
      <c r="B144" s="621"/>
      <c r="C144" s="859"/>
      <c r="D144" s="393"/>
      <c r="E144" s="385"/>
      <c r="F144" s="385"/>
      <c r="G144" s="110"/>
      <c r="I144" s="380">
        <f t="shared" si="49"/>
        <v>0</v>
      </c>
      <c r="J144" s="85">
        <v>2018</v>
      </c>
      <c r="K144" s="197">
        <f t="shared" si="50"/>
        <v>43230</v>
      </c>
      <c r="L144" s="438">
        <f t="shared" si="51"/>
        <v>4.5985316734498127E-4</v>
      </c>
      <c r="M144" s="861"/>
      <c r="N144" s="861"/>
      <c r="O144" s="324">
        <f t="shared" si="52"/>
        <v>4.0368427903509172E-3</v>
      </c>
      <c r="P144" s="169">
        <f>(INDEX(Models!$BJ144:$BT144,,T144)*(1-R144)+INDEX(Models!$BJ144:$BT144,,T144+1)*R144-ERP_i)*Q144*Ramure*Pc/MaxiM</f>
        <v>0</v>
      </c>
      <c r="Q144" s="305">
        <f t="shared" si="53"/>
        <v>0.7</v>
      </c>
      <c r="R144" s="177">
        <f t="shared" si="54"/>
        <v>0.1099058175396932</v>
      </c>
      <c r="S144" s="817">
        <f t="shared" ref="S144:S207" si="72">INDEX(Echel_vg,T144)</f>
        <v>-2</v>
      </c>
      <c r="T144" s="176">
        <f t="shared" si="55"/>
        <v>4</v>
      </c>
      <c r="U144" s="251">
        <f t="shared" si="56"/>
        <v>-1.8900941824603068</v>
      </c>
      <c r="V144" s="383">
        <f t="shared" si="57"/>
        <v>42.955120080892158</v>
      </c>
      <c r="W144" s="58"/>
      <c r="X144" s="157">
        <f t="shared" si="58"/>
        <v>43230</v>
      </c>
      <c r="Y144" s="385">
        <f t="shared" si="59"/>
        <v>0</v>
      </c>
      <c r="Z144" s="385">
        <f t="shared" si="60"/>
        <v>0</v>
      </c>
      <c r="AA144" s="386">
        <f t="shared" si="61"/>
        <v>0</v>
      </c>
      <c r="AB144" s="197">
        <f t="shared" si="62"/>
        <v>43230</v>
      </c>
      <c r="AC144" s="427">
        <f t="shared" si="63"/>
        <v>4.0368427903509172E-3</v>
      </c>
      <c r="AD144" s="169">
        <f>(INDEX(Models!$BJ144:$BT144,,AH144)*(1-AF144)+INDEX(Models!$BJ144:$BT144,,AH144+1)*AF144-ERP_i)*AE144*Ramure*Pc/MaxiM</f>
        <v>0</v>
      </c>
      <c r="AE144" s="305">
        <f t="shared" si="64"/>
        <v>0.7</v>
      </c>
      <c r="AF144" s="177">
        <f t="shared" si="65"/>
        <v>0.1099058175396932</v>
      </c>
      <c r="AG144" s="817">
        <f t="shared" si="66"/>
        <v>-2</v>
      </c>
      <c r="AH144" s="176">
        <f t="shared" si="67"/>
        <v>4</v>
      </c>
      <c r="AI144" s="225">
        <f t="shared" si="68"/>
        <v>-1.8900941824603068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71"/>
        <v>43231</v>
      </c>
      <c r="B145" s="621"/>
      <c r="C145" s="859"/>
      <c r="D145" s="393"/>
      <c r="E145" s="385"/>
      <c r="F145" s="385"/>
      <c r="G145" s="110"/>
      <c r="I145" s="380">
        <f t="shared" si="49"/>
        <v>0</v>
      </c>
      <c r="J145" s="85">
        <v>2018</v>
      </c>
      <c r="K145" s="197">
        <f t="shared" si="50"/>
        <v>43231</v>
      </c>
      <c r="L145" s="438">
        <f t="shared" si="51"/>
        <v>4.8174566181280465E-4</v>
      </c>
      <c r="M145" s="861"/>
      <c r="N145" s="861"/>
      <c r="O145" s="324">
        <f t="shared" si="52"/>
        <v>4.2288547743916591E-3</v>
      </c>
      <c r="P145" s="169">
        <f>(INDEX(Models!$BJ145:$BT145,,T145)*(1-R145)+INDEX(Models!$BJ145:$BT145,,T145+1)*R145-ERP_i)*Q145*Ramure*Pc/MaxiM</f>
        <v>0</v>
      </c>
      <c r="Q145" s="305">
        <f t="shared" si="53"/>
        <v>0.7</v>
      </c>
      <c r="R145" s="177">
        <f t="shared" si="54"/>
        <v>0.11346211859805755</v>
      </c>
      <c r="S145" s="817">
        <f t="shared" si="72"/>
        <v>-2</v>
      </c>
      <c r="T145" s="176">
        <f t="shared" si="55"/>
        <v>4</v>
      </c>
      <c r="U145" s="251">
        <f t="shared" si="56"/>
        <v>-1.8865378814019425</v>
      </c>
      <c r="V145" s="383">
        <f t="shared" si="57"/>
        <v>43.007880551526952</v>
      </c>
      <c r="W145" s="58"/>
      <c r="X145" s="157">
        <f t="shared" si="58"/>
        <v>43231</v>
      </c>
      <c r="Y145" s="385">
        <f t="shared" si="59"/>
        <v>0</v>
      </c>
      <c r="Z145" s="385">
        <f t="shared" si="60"/>
        <v>0</v>
      </c>
      <c r="AA145" s="386">
        <f t="shared" si="61"/>
        <v>0</v>
      </c>
      <c r="AB145" s="197">
        <f t="shared" si="62"/>
        <v>43231</v>
      </c>
      <c r="AC145" s="427">
        <f t="shared" si="63"/>
        <v>4.2288547743916591E-3</v>
      </c>
      <c r="AD145" s="169">
        <f>(INDEX(Models!$BJ145:$BT145,,AH145)*(1-AF145)+INDEX(Models!$BJ145:$BT145,,AH145+1)*AF145-ERP_i)*AE145*Ramure*Pc/MaxiM</f>
        <v>0</v>
      </c>
      <c r="AE145" s="305">
        <f t="shared" si="64"/>
        <v>0.7</v>
      </c>
      <c r="AF145" s="177">
        <f t="shared" si="65"/>
        <v>0.11346211859805755</v>
      </c>
      <c r="AG145" s="817">
        <f t="shared" si="66"/>
        <v>-2</v>
      </c>
      <c r="AH145" s="176">
        <f t="shared" si="67"/>
        <v>4</v>
      </c>
      <c r="AI145" s="225">
        <f t="shared" si="68"/>
        <v>-1.8865378814019425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71"/>
        <v>43232</v>
      </c>
      <c r="B146" s="621"/>
      <c r="C146" s="859"/>
      <c r="D146" s="393"/>
      <c r="E146" s="385"/>
      <c r="F146" s="385"/>
      <c r="G146" s="110"/>
      <c r="I146" s="380">
        <f t="shared" si="49"/>
        <v>0</v>
      </c>
      <c r="J146" s="85">
        <v>2018</v>
      </c>
      <c r="K146" s="197">
        <f t="shared" si="50"/>
        <v>43232</v>
      </c>
      <c r="L146" s="438">
        <f t="shared" si="51"/>
        <v>5.0363767677874538E-4</v>
      </c>
      <c r="M146" s="861"/>
      <c r="N146" s="861"/>
      <c r="O146" s="324">
        <f t="shared" si="52"/>
        <v>4.4208886992490289E-3</v>
      </c>
      <c r="P146" s="169">
        <f>(INDEX(Models!$BJ146:$BT146,,T146)*(1-R146)+INDEX(Models!$BJ146:$BT146,,T146+1)*R146-ERP_i)*Q146*Ramure*Pc/MaxiM</f>
        <v>0</v>
      </c>
      <c r="Q146" s="305">
        <f t="shared" si="53"/>
        <v>0.7</v>
      </c>
      <c r="R146" s="177">
        <f t="shared" si="54"/>
        <v>0.11709950624588616</v>
      </c>
      <c r="S146" s="817">
        <f t="shared" si="72"/>
        <v>-2</v>
      </c>
      <c r="T146" s="176">
        <f t="shared" si="55"/>
        <v>4</v>
      </c>
      <c r="U146" s="251">
        <f t="shared" si="56"/>
        <v>-1.8829004937541138</v>
      </c>
      <c r="V146" s="383">
        <f t="shared" si="57"/>
        <v>43.055963047238116</v>
      </c>
      <c r="W146" s="58"/>
      <c r="X146" s="157">
        <f t="shared" si="58"/>
        <v>43232</v>
      </c>
      <c r="Y146" s="385">
        <f t="shared" si="59"/>
        <v>0</v>
      </c>
      <c r="Z146" s="385">
        <f t="shared" si="60"/>
        <v>0</v>
      </c>
      <c r="AA146" s="386">
        <f t="shared" si="61"/>
        <v>0</v>
      </c>
      <c r="AB146" s="197">
        <f t="shared" si="62"/>
        <v>43232</v>
      </c>
      <c r="AC146" s="427">
        <f t="shared" si="63"/>
        <v>4.4208886992490289E-3</v>
      </c>
      <c r="AD146" s="169">
        <f>(INDEX(Models!$BJ146:$BT146,,AH146)*(1-AF146)+INDEX(Models!$BJ146:$BT146,,AH146+1)*AF146-ERP_i)*AE146*Ramure*Pc/MaxiM</f>
        <v>0</v>
      </c>
      <c r="AE146" s="305">
        <f t="shared" si="64"/>
        <v>0.7</v>
      </c>
      <c r="AF146" s="177">
        <f t="shared" si="65"/>
        <v>0.11709950624588616</v>
      </c>
      <c r="AG146" s="817">
        <f t="shared" si="66"/>
        <v>-2</v>
      </c>
      <c r="AH146" s="176">
        <f t="shared" si="67"/>
        <v>4</v>
      </c>
      <c r="AI146" s="225">
        <f t="shared" si="68"/>
        <v>-1.8829004937541138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71"/>
        <v>43233</v>
      </c>
      <c r="B147" s="621"/>
      <c r="C147" s="859"/>
      <c r="D147" s="393"/>
      <c r="E147" s="385"/>
      <c r="F147" s="385"/>
      <c r="G147" s="110"/>
      <c r="I147" s="380">
        <f t="shared" si="49"/>
        <v>0</v>
      </c>
      <c r="J147" s="85">
        <v>2018</v>
      </c>
      <c r="K147" s="197">
        <f t="shared" si="50"/>
        <v>43233</v>
      </c>
      <c r="L147" s="438">
        <f t="shared" si="51"/>
        <v>5.2552921225346161E-4</v>
      </c>
      <c r="M147" s="861"/>
      <c r="N147" s="861"/>
      <c r="O147" s="324">
        <f t="shared" si="52"/>
        <v>4.6129474691461734E-3</v>
      </c>
      <c r="P147" s="169">
        <f>(INDEX(Models!$BJ147:$BT147,,T147)*(1-R147)+INDEX(Models!$BJ147:$BT147,,T147+1)*R147-ERP_i)*Q147*Ramure*Pc/MaxiM</f>
        <v>0</v>
      </c>
      <c r="Q147" s="305">
        <f t="shared" si="53"/>
        <v>0.7</v>
      </c>
      <c r="R147" s="177">
        <f t="shared" si="54"/>
        <v>0.12081760937133823</v>
      </c>
      <c r="S147" s="817">
        <f t="shared" si="72"/>
        <v>-2</v>
      </c>
      <c r="T147" s="176">
        <f t="shared" si="55"/>
        <v>4</v>
      </c>
      <c r="U147" s="251">
        <f t="shared" si="56"/>
        <v>-1.8791823906286618</v>
      </c>
      <c r="V147" s="383">
        <f t="shared" si="57"/>
        <v>43.099263951440946</v>
      </c>
      <c r="W147" s="58"/>
      <c r="X147" s="157">
        <f t="shared" si="58"/>
        <v>43233</v>
      </c>
      <c r="Y147" s="385">
        <f t="shared" si="59"/>
        <v>0</v>
      </c>
      <c r="Z147" s="385">
        <f t="shared" si="60"/>
        <v>0</v>
      </c>
      <c r="AA147" s="386">
        <f t="shared" si="61"/>
        <v>0</v>
      </c>
      <c r="AB147" s="197">
        <f t="shared" si="62"/>
        <v>43233</v>
      </c>
      <c r="AC147" s="427">
        <f t="shared" si="63"/>
        <v>4.6129474691461734E-3</v>
      </c>
      <c r="AD147" s="169">
        <f>(INDEX(Models!$BJ147:$BT147,,AH147)*(1-AF147)+INDEX(Models!$BJ147:$BT147,,AH147+1)*AF147-ERP_i)*AE147*Ramure*Pc/MaxiM</f>
        <v>0</v>
      </c>
      <c r="AE147" s="305">
        <f t="shared" si="64"/>
        <v>0.7</v>
      </c>
      <c r="AF147" s="177">
        <f t="shared" si="65"/>
        <v>0.12081760937133823</v>
      </c>
      <c r="AG147" s="817">
        <f t="shared" si="66"/>
        <v>-2</v>
      </c>
      <c r="AH147" s="176">
        <f t="shared" si="67"/>
        <v>4</v>
      </c>
      <c r="AI147" s="225">
        <f t="shared" si="68"/>
        <v>-1.8791823906286618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71"/>
        <v>43234</v>
      </c>
      <c r="B148" s="621"/>
      <c r="C148" s="859"/>
      <c r="D148" s="393"/>
      <c r="E148" s="385"/>
      <c r="F148" s="385"/>
      <c r="G148" s="110"/>
      <c r="I148" s="380">
        <f t="shared" si="49"/>
        <v>0</v>
      </c>
      <c r="J148" s="85">
        <v>2018</v>
      </c>
      <c r="K148" s="197">
        <f t="shared" si="50"/>
        <v>43234</v>
      </c>
      <c r="L148" s="438">
        <f t="shared" si="51"/>
        <v>5.4742026824727841E-4</v>
      </c>
      <c r="M148" s="861"/>
      <c r="N148" s="861"/>
      <c r="O148" s="324">
        <f t="shared" si="52"/>
        <v>4.8050334175154946E-3</v>
      </c>
      <c r="P148" s="169">
        <f>(INDEX(Models!$BJ148:$BT148,,T148)*(1-R148)+INDEX(Models!$BJ148:$BT148,,T148+1)*R148-ERP_i)*Q148*Ramure*Pc/MaxiM</f>
        <v>0</v>
      </c>
      <c r="Q148" s="305">
        <f t="shared" si="53"/>
        <v>0.7</v>
      </c>
      <c r="R148" s="177">
        <f t="shared" si="54"/>
        <v>0.12461590093694075</v>
      </c>
      <c r="S148" s="817">
        <f t="shared" si="72"/>
        <v>-2</v>
      </c>
      <c r="T148" s="176">
        <f t="shared" si="55"/>
        <v>4</v>
      </c>
      <c r="U148" s="251">
        <f t="shared" si="56"/>
        <v>-1.8753840990630593</v>
      </c>
      <c r="V148" s="383">
        <f t="shared" si="57"/>
        <v>43.137679767550409</v>
      </c>
      <c r="W148" s="58"/>
      <c r="X148" s="157">
        <f t="shared" si="58"/>
        <v>43234</v>
      </c>
      <c r="Y148" s="385">
        <f t="shared" si="59"/>
        <v>0</v>
      </c>
      <c r="Z148" s="385">
        <f t="shared" si="60"/>
        <v>0</v>
      </c>
      <c r="AA148" s="386">
        <f t="shared" si="61"/>
        <v>0</v>
      </c>
      <c r="AB148" s="197">
        <f t="shared" si="62"/>
        <v>43234</v>
      </c>
      <c r="AC148" s="427">
        <f t="shared" si="63"/>
        <v>4.8050334175154946E-3</v>
      </c>
      <c r="AD148" s="169">
        <f>(INDEX(Models!$BJ148:$BT148,,AH148)*(1-AF148)+INDEX(Models!$BJ148:$BT148,,AH148+1)*AF148-ERP_i)*AE148*Ramure*Pc/MaxiM</f>
        <v>0</v>
      </c>
      <c r="AE148" s="305">
        <f t="shared" si="64"/>
        <v>0.7</v>
      </c>
      <c r="AF148" s="177">
        <f t="shared" si="65"/>
        <v>0.12461590093694075</v>
      </c>
      <c r="AG148" s="817">
        <f t="shared" si="66"/>
        <v>-2</v>
      </c>
      <c r="AH148" s="176">
        <f t="shared" si="67"/>
        <v>4</v>
      </c>
      <c r="AI148" s="225">
        <f t="shared" si="68"/>
        <v>-1.8753840990630593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71"/>
        <v>43235</v>
      </c>
      <c r="B149" s="621"/>
      <c r="C149" s="859"/>
      <c r="D149" s="393"/>
      <c r="E149" s="385"/>
      <c r="F149" s="385"/>
      <c r="G149" s="110"/>
      <c r="I149" s="380">
        <f t="shared" si="49"/>
        <v>0</v>
      </c>
      <c r="J149" s="85">
        <v>2018</v>
      </c>
      <c r="K149" s="197">
        <f t="shared" si="50"/>
        <v>43235</v>
      </c>
      <c r="L149" s="438">
        <f t="shared" si="51"/>
        <v>5.6931084477085392E-4</v>
      </c>
      <c r="M149" s="861"/>
      <c r="N149" s="861"/>
      <c r="O149" s="324">
        <f t="shared" si="52"/>
        <v>4.997148281644619E-3</v>
      </c>
      <c r="P149" s="169">
        <f>(INDEX(Models!$BJ149:$BT149,,T149)*(1-R149)+INDEX(Models!$BJ149:$BT149,,T149+1)*R149-ERP_i)*Q149*Ramure*Pc/MaxiM</f>
        <v>0</v>
      </c>
      <c r="Q149" s="305">
        <f t="shared" si="53"/>
        <v>0.7</v>
      </c>
      <c r="R149" s="177">
        <f t="shared" si="54"/>
        <v>0.12849369265198041</v>
      </c>
      <c r="S149" s="817">
        <f t="shared" si="72"/>
        <v>-2</v>
      </c>
      <c r="T149" s="176">
        <f t="shared" si="55"/>
        <v>4</v>
      </c>
      <c r="U149" s="251">
        <f t="shared" si="56"/>
        <v>-1.8715063073480196</v>
      </c>
      <c r="V149" s="383">
        <f t="shared" si="57"/>
        <v>43.170220129346994</v>
      </c>
      <c r="W149" s="58"/>
      <c r="X149" s="157">
        <f t="shared" si="58"/>
        <v>43235</v>
      </c>
      <c r="Y149" s="385">
        <f t="shared" si="59"/>
        <v>0</v>
      </c>
      <c r="Z149" s="385">
        <f t="shared" si="60"/>
        <v>0</v>
      </c>
      <c r="AA149" s="386">
        <f t="shared" si="61"/>
        <v>0</v>
      </c>
      <c r="AB149" s="197">
        <f t="shared" si="62"/>
        <v>43235</v>
      </c>
      <c r="AC149" s="427">
        <f t="shared" si="63"/>
        <v>4.997148281644619E-3</v>
      </c>
      <c r="AD149" s="169">
        <f>(INDEX(Models!$BJ149:$BT149,,AH149)*(1-AF149)+INDEX(Models!$BJ149:$BT149,,AH149+1)*AF149-ERP_i)*AE149*Ramure*Pc/MaxiM</f>
        <v>0</v>
      </c>
      <c r="AE149" s="305">
        <f t="shared" si="64"/>
        <v>0.7</v>
      </c>
      <c r="AF149" s="177">
        <f t="shared" si="65"/>
        <v>0.12849369265198041</v>
      </c>
      <c r="AG149" s="817">
        <f t="shared" si="66"/>
        <v>-2</v>
      </c>
      <c r="AH149" s="176">
        <f t="shared" si="67"/>
        <v>4</v>
      </c>
      <c r="AI149" s="225">
        <f t="shared" si="68"/>
        <v>-1.8715063073480196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71"/>
        <v>43236</v>
      </c>
      <c r="B150" s="621"/>
      <c r="C150" s="859"/>
      <c r="D150" s="393"/>
      <c r="E150" s="385"/>
      <c r="F150" s="385"/>
      <c r="G150" s="110"/>
      <c r="I150" s="380">
        <f t="shared" si="49"/>
        <v>0</v>
      </c>
      <c r="J150" s="85">
        <v>2018</v>
      </c>
      <c r="K150" s="197">
        <f t="shared" si="50"/>
        <v>43236</v>
      </c>
      <c r="L150" s="438">
        <f t="shared" si="51"/>
        <v>5.9120094183462424E-4</v>
      </c>
      <c r="M150" s="861"/>
      <c r="N150" s="861"/>
      <c r="O150" s="324">
        <f t="shared" si="52"/>
        <v>5.1892931790887917E-3</v>
      </c>
      <c r="P150" s="169">
        <f>(INDEX(Models!$BJ150:$BT150,,T150)*(1-R150)+INDEX(Models!$BJ150:$BT150,,T150+1)*R150-ERP_i)*Q150*Ramure*Pc/MaxiM</f>
        <v>0</v>
      </c>
      <c r="Q150" s="305">
        <f t="shared" si="53"/>
        <v>0.7</v>
      </c>
      <c r="R150" s="177">
        <f t="shared" si="54"/>
        <v>0.13245013011310647</v>
      </c>
      <c r="S150" s="817">
        <f t="shared" si="72"/>
        <v>-2</v>
      </c>
      <c r="T150" s="176">
        <f t="shared" si="55"/>
        <v>4</v>
      </c>
      <c r="U150" s="251">
        <f t="shared" si="56"/>
        <v>-1.8675498698868935</v>
      </c>
      <c r="V150" s="383">
        <f t="shared" si="57"/>
        <v>43.196321213184163</v>
      </c>
      <c r="W150" s="58"/>
      <c r="X150" s="157">
        <f t="shared" si="58"/>
        <v>43236</v>
      </c>
      <c r="Y150" s="385">
        <f t="shared" si="59"/>
        <v>0</v>
      </c>
      <c r="Z150" s="385">
        <f t="shared" si="60"/>
        <v>0</v>
      </c>
      <c r="AA150" s="386">
        <f t="shared" si="61"/>
        <v>0</v>
      </c>
      <c r="AB150" s="197">
        <f t="shared" si="62"/>
        <v>43236</v>
      </c>
      <c r="AC150" s="427">
        <f t="shared" si="63"/>
        <v>5.1892931790887917E-3</v>
      </c>
      <c r="AD150" s="169">
        <f>(INDEX(Models!$BJ150:$BT150,,AH150)*(1-AF150)+INDEX(Models!$BJ150:$BT150,,AH150+1)*AF150-ERP_i)*AE150*Ramure*Pc/MaxiM</f>
        <v>0</v>
      </c>
      <c r="AE150" s="305">
        <f t="shared" si="64"/>
        <v>0.7</v>
      </c>
      <c r="AF150" s="177">
        <f t="shared" si="65"/>
        <v>0.13245013011310647</v>
      </c>
      <c r="AG150" s="817">
        <f t="shared" si="66"/>
        <v>-2</v>
      </c>
      <c r="AH150" s="176">
        <f t="shared" si="67"/>
        <v>4</v>
      </c>
      <c r="AI150" s="225">
        <f t="shared" si="68"/>
        <v>-1.8675498698868935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71"/>
        <v>43237</v>
      </c>
      <c r="B151" s="621"/>
      <c r="C151" s="859"/>
      <c r="D151" s="393"/>
      <c r="E151" s="385"/>
      <c r="F151" s="385"/>
      <c r="G151" s="110"/>
      <c r="I151" s="380">
        <f t="shared" si="49"/>
        <v>0</v>
      </c>
      <c r="J151" s="85">
        <v>2018</v>
      </c>
      <c r="K151" s="197">
        <f t="shared" si="50"/>
        <v>43237</v>
      </c>
      <c r="L151" s="438">
        <f t="shared" si="51"/>
        <v>6.1309055944902546E-4</v>
      </c>
      <c r="M151" s="861"/>
      <c r="N151" s="861"/>
      <c r="O151" s="324">
        <f t="shared" si="52"/>
        <v>5.3814685860980116E-3</v>
      </c>
      <c r="P151" s="169">
        <f>(INDEX(Models!$BJ151:$BT151,,T151)*(1-R151)+INDEX(Models!$BJ151:$BT151,,T151+1)*R151-ERP_i)*Q151*Ramure*Pc/MaxiM</f>
        <v>0</v>
      </c>
      <c r="Q151" s="305">
        <f t="shared" si="53"/>
        <v>0.7</v>
      </c>
      <c r="R151" s="177">
        <f t="shared" si="54"/>
        <v>0.1364841884730803</v>
      </c>
      <c r="S151" s="817">
        <f t="shared" si="72"/>
        <v>-2</v>
      </c>
      <c r="T151" s="176">
        <f t="shared" si="55"/>
        <v>4</v>
      </c>
      <c r="U151" s="251">
        <f t="shared" si="56"/>
        <v>-1.8635158115269197</v>
      </c>
      <c r="V151" s="383">
        <f t="shared" si="57"/>
        <v>43.216519101869558</v>
      </c>
      <c r="W151" s="58"/>
      <c r="X151" s="157">
        <f t="shared" si="58"/>
        <v>43237</v>
      </c>
      <c r="Y151" s="385">
        <f t="shared" si="59"/>
        <v>0</v>
      </c>
      <c r="Z151" s="385">
        <f t="shared" si="60"/>
        <v>0</v>
      </c>
      <c r="AA151" s="386">
        <f t="shared" si="61"/>
        <v>0</v>
      </c>
      <c r="AB151" s="197">
        <f t="shared" si="62"/>
        <v>43237</v>
      </c>
      <c r="AC151" s="427">
        <f t="shared" si="63"/>
        <v>5.3814685860980116E-3</v>
      </c>
      <c r="AD151" s="169">
        <f>(INDEX(Models!$BJ151:$BT151,,AH151)*(1-AF151)+INDEX(Models!$BJ151:$BT151,,AH151+1)*AF151-ERP_i)*AE151*Ramure*Pc/MaxiM</f>
        <v>0</v>
      </c>
      <c r="AE151" s="305">
        <f t="shared" si="64"/>
        <v>0.7</v>
      </c>
      <c r="AF151" s="177">
        <f t="shared" si="65"/>
        <v>0.1364841884730803</v>
      </c>
      <c r="AG151" s="817">
        <f t="shared" si="66"/>
        <v>-2</v>
      </c>
      <c r="AH151" s="176">
        <f t="shared" si="67"/>
        <v>4</v>
      </c>
      <c r="AI151" s="225">
        <f t="shared" si="68"/>
        <v>-1.8635158115269197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71"/>
        <v>43238</v>
      </c>
      <c r="B152" s="621"/>
      <c r="C152" s="859"/>
      <c r="D152" s="393"/>
      <c r="E152" s="385"/>
      <c r="F152" s="385"/>
      <c r="G152" s="110"/>
      <c r="I152" s="380">
        <f t="shared" si="49"/>
        <v>0</v>
      </c>
      <c r="J152" s="85">
        <v>2018</v>
      </c>
      <c r="K152" s="197">
        <f t="shared" si="50"/>
        <v>43238</v>
      </c>
      <c r="L152" s="438">
        <f t="shared" si="51"/>
        <v>6.3497969762471573E-4</v>
      </c>
      <c r="M152" s="861"/>
      <c r="N152" s="861"/>
      <c r="O152" s="324">
        <f t="shared" si="52"/>
        <v>5.5736743183056933E-3</v>
      </c>
      <c r="P152" s="169">
        <f>(INDEX(Models!$BJ152:$BT152,,T152)*(1-R152)+INDEX(Models!$BJ152:$BT152,,T152+1)*R152-ERP_i)*Q152*Ramure*Pc/MaxiM</f>
        <v>0</v>
      </c>
      <c r="Q152" s="305">
        <f t="shared" si="53"/>
        <v>0.7</v>
      </c>
      <c r="R152" s="177">
        <f t="shared" si="54"/>
        <v>0.14059466869703741</v>
      </c>
      <c r="S152" s="817">
        <f t="shared" si="72"/>
        <v>-2</v>
      </c>
      <c r="T152" s="176">
        <f t="shared" si="55"/>
        <v>4</v>
      </c>
      <c r="U152" s="251">
        <f t="shared" si="56"/>
        <v>-1.8594053313029626</v>
      </c>
      <c r="V152" s="383">
        <f t="shared" si="57"/>
        <v>43.231349445785938</v>
      </c>
      <c r="W152" s="58"/>
      <c r="X152" s="157">
        <f t="shared" si="58"/>
        <v>43238</v>
      </c>
      <c r="Y152" s="385">
        <f t="shared" si="59"/>
        <v>0</v>
      </c>
      <c r="Z152" s="385">
        <f t="shared" si="60"/>
        <v>0</v>
      </c>
      <c r="AA152" s="386">
        <f t="shared" si="61"/>
        <v>0</v>
      </c>
      <c r="AB152" s="197">
        <f t="shared" si="62"/>
        <v>43238</v>
      </c>
      <c r="AC152" s="427">
        <f t="shared" si="63"/>
        <v>5.5736743183056933E-3</v>
      </c>
      <c r="AD152" s="169">
        <f>(INDEX(Models!$BJ152:$BT152,,AH152)*(1-AF152)+INDEX(Models!$BJ152:$BT152,,AH152+1)*AF152-ERP_i)*AE152*Ramure*Pc/MaxiM</f>
        <v>0</v>
      </c>
      <c r="AE152" s="305">
        <f t="shared" si="64"/>
        <v>0.7</v>
      </c>
      <c r="AF152" s="177">
        <f t="shared" si="65"/>
        <v>0.14059466869703741</v>
      </c>
      <c r="AG152" s="817">
        <f t="shared" si="66"/>
        <v>-2</v>
      </c>
      <c r="AH152" s="176">
        <f t="shared" si="67"/>
        <v>4</v>
      </c>
      <c r="AI152" s="225">
        <f t="shared" si="68"/>
        <v>-1.8594053313029626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71"/>
        <v>43239</v>
      </c>
      <c r="B153" s="621"/>
      <c r="C153" s="859"/>
      <c r="D153" s="393"/>
      <c r="E153" s="385"/>
      <c r="F153" s="385"/>
      <c r="G153" s="110"/>
      <c r="I153" s="380">
        <f t="shared" si="49"/>
        <v>0</v>
      </c>
      <c r="J153" s="85">
        <v>2018</v>
      </c>
      <c r="K153" s="197">
        <f t="shared" si="50"/>
        <v>43239</v>
      </c>
      <c r="L153" s="438">
        <f t="shared" si="51"/>
        <v>6.5686835637202012E-4</v>
      </c>
      <c r="M153" s="861"/>
      <c r="N153" s="861"/>
      <c r="O153" s="324">
        <f t="shared" si="52"/>
        <v>5.7659095139193399E-3</v>
      </c>
      <c r="P153" s="169">
        <f>(INDEX(Models!$BJ153:$BT153,,T153)*(1-R153)+INDEX(Models!$BJ153:$BT153,,T153+1)*R153-ERP_i)*Q153*Ramure*Pc/MaxiM</f>
        <v>0</v>
      </c>
      <c r="Q153" s="305">
        <f t="shared" si="53"/>
        <v>0.7</v>
      </c>
      <c r="R153" s="177">
        <f t="shared" si="54"/>
        <v>0.14478019446433388</v>
      </c>
      <c r="S153" s="817">
        <f t="shared" si="72"/>
        <v>-2</v>
      </c>
      <c r="T153" s="176">
        <f t="shared" si="55"/>
        <v>4</v>
      </c>
      <c r="U153" s="251">
        <f t="shared" si="56"/>
        <v>-1.8552198055356661</v>
      </c>
      <c r="V153" s="383">
        <f t="shared" si="57"/>
        <v>43.241347469942852</v>
      </c>
      <c r="W153" s="58"/>
      <c r="X153" s="157">
        <f t="shared" si="58"/>
        <v>43239</v>
      </c>
      <c r="Y153" s="385">
        <f t="shared" si="59"/>
        <v>0</v>
      </c>
      <c r="Z153" s="385">
        <f t="shared" si="60"/>
        <v>0</v>
      </c>
      <c r="AA153" s="386">
        <f t="shared" si="61"/>
        <v>0</v>
      </c>
      <c r="AB153" s="197">
        <f t="shared" si="62"/>
        <v>43239</v>
      </c>
      <c r="AC153" s="427">
        <f t="shared" si="63"/>
        <v>5.7659095139193399E-3</v>
      </c>
      <c r="AD153" s="169">
        <f>(INDEX(Models!$BJ153:$BT153,,AH153)*(1-AF153)+INDEX(Models!$BJ153:$BT153,,AH153+1)*AF153-ERP_i)*AE153*Ramure*Pc/MaxiM</f>
        <v>0</v>
      </c>
      <c r="AE153" s="305">
        <f t="shared" si="64"/>
        <v>0.7</v>
      </c>
      <c r="AF153" s="177">
        <f t="shared" si="65"/>
        <v>0.14478019446433388</v>
      </c>
      <c r="AG153" s="817">
        <f t="shared" si="66"/>
        <v>-2</v>
      </c>
      <c r="AH153" s="176">
        <f t="shared" si="67"/>
        <v>4</v>
      </c>
      <c r="AI153" s="225">
        <f t="shared" si="68"/>
        <v>-1.8552198055356661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71"/>
        <v>43240</v>
      </c>
      <c r="B154" s="621"/>
      <c r="C154" s="859"/>
      <c r="D154" s="393"/>
      <c r="E154" s="385"/>
      <c r="F154" s="385"/>
      <c r="G154" s="110"/>
      <c r="I154" s="380">
        <f t="shared" si="49"/>
        <v>0</v>
      </c>
      <c r="J154" s="85">
        <v>2018</v>
      </c>
      <c r="K154" s="197">
        <f t="shared" si="50"/>
        <v>43240</v>
      </c>
      <c r="L154" s="438">
        <f t="shared" si="51"/>
        <v>6.7875653570159677E-4</v>
      </c>
      <c r="M154" s="861"/>
      <c r="N154" s="861"/>
      <c r="O154" s="324">
        <f t="shared" si="52"/>
        <v>5.9581726196461437E-3</v>
      </c>
      <c r="P154" s="169">
        <f>(INDEX(Models!$BJ154:$BT154,,T154)*(1-R154)+INDEX(Models!$BJ154:$BT154,,T154+1)*R154-ERP_i)*Q154*Ramure*Pc/MaxiM</f>
        <v>0</v>
      </c>
      <c r="Q154" s="305">
        <f t="shared" si="53"/>
        <v>0.7</v>
      </c>
      <c r="R154" s="177">
        <f t="shared" si="54"/>
        <v>0.14903920977199459</v>
      </c>
      <c r="S154" s="817">
        <f t="shared" si="72"/>
        <v>-2</v>
      </c>
      <c r="T154" s="176">
        <f t="shared" si="55"/>
        <v>4</v>
      </c>
      <c r="U154" s="251">
        <f t="shared" si="56"/>
        <v>-1.8509607902280054</v>
      </c>
      <c r="V154" s="383">
        <f t="shared" si="57"/>
        <v>43.247047973189126</v>
      </c>
      <c r="W154" s="58"/>
      <c r="X154" s="157">
        <f t="shared" si="58"/>
        <v>43240</v>
      </c>
      <c r="Y154" s="385">
        <f t="shared" si="59"/>
        <v>0</v>
      </c>
      <c r="Z154" s="385">
        <f t="shared" si="60"/>
        <v>0</v>
      </c>
      <c r="AA154" s="386">
        <f t="shared" si="61"/>
        <v>0</v>
      </c>
      <c r="AB154" s="197">
        <f t="shared" si="62"/>
        <v>43240</v>
      </c>
      <c r="AC154" s="427">
        <f t="shared" si="63"/>
        <v>5.9581726196461437E-3</v>
      </c>
      <c r="AD154" s="169">
        <f>(INDEX(Models!$BJ154:$BT154,,AH154)*(1-AF154)+INDEX(Models!$BJ154:$BT154,,AH154+1)*AF154-ERP_i)*AE154*Ramure*Pc/MaxiM</f>
        <v>0</v>
      </c>
      <c r="AE154" s="305">
        <f t="shared" si="64"/>
        <v>0.7</v>
      </c>
      <c r="AF154" s="177">
        <f t="shared" si="65"/>
        <v>0.14903920977199459</v>
      </c>
      <c r="AG154" s="817">
        <f t="shared" si="66"/>
        <v>-2</v>
      </c>
      <c r="AH154" s="176">
        <f t="shared" si="67"/>
        <v>4</v>
      </c>
      <c r="AI154" s="225">
        <f t="shared" si="68"/>
        <v>-1.8509607902280054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43241</v>
      </c>
      <c r="B155" s="621"/>
      <c r="C155" s="859"/>
      <c r="D155" s="393"/>
      <c r="E155" s="385"/>
      <c r="F155" s="385"/>
      <c r="G155" s="110"/>
      <c r="I155" s="380">
        <f t="shared" si="49"/>
        <v>0</v>
      </c>
      <c r="J155" s="85">
        <v>2018</v>
      </c>
      <c r="K155" s="197">
        <f t="shared" si="50"/>
        <v>43241</v>
      </c>
      <c r="L155" s="438">
        <f t="shared" si="51"/>
        <v>7.0064423562377076E-4</v>
      </c>
      <c r="M155" s="861"/>
      <c r="N155" s="861"/>
      <c r="O155" s="324">
        <f t="shared" si="52"/>
        <v>6.1504613795745977E-3</v>
      </c>
      <c r="P155" s="169">
        <f>(INDEX(Models!$BJ155:$BT155,,T155)*(1-R155)+INDEX(Models!$BJ155:$BT155,,T155+1)*R155-ERP_i)*Q155*Ramure*Pc/MaxiM</f>
        <v>0</v>
      </c>
      <c r="Q155" s="305">
        <f t="shared" si="53"/>
        <v>0.7</v>
      </c>
      <c r="R155" s="177">
        <f t="shared" si="54"/>
        <v>0.15336997729293733</v>
      </c>
      <c r="S155" s="817">
        <f t="shared" si="72"/>
        <v>-2</v>
      </c>
      <c r="T155" s="176">
        <f t="shared" si="55"/>
        <v>4</v>
      </c>
      <c r="U155" s="251">
        <f t="shared" si="56"/>
        <v>-1.8466300227070627</v>
      </c>
      <c r="V155" s="383">
        <f t="shared" si="57"/>
        <v>43.2489853260739</v>
      </c>
      <c r="W155" s="58"/>
      <c r="X155" s="157">
        <f t="shared" si="58"/>
        <v>43241</v>
      </c>
      <c r="Y155" s="385">
        <f t="shared" si="59"/>
        <v>0</v>
      </c>
      <c r="Z155" s="385">
        <f t="shared" si="60"/>
        <v>0</v>
      </c>
      <c r="AA155" s="386">
        <f t="shared" si="61"/>
        <v>0</v>
      </c>
      <c r="AB155" s="197">
        <f t="shared" si="62"/>
        <v>43241</v>
      </c>
      <c r="AC155" s="427">
        <f t="shared" si="63"/>
        <v>6.1504613795745977E-3</v>
      </c>
      <c r="AD155" s="169">
        <f>(INDEX(Models!$BJ155:$BT155,,AH155)*(1-AF155)+INDEX(Models!$BJ155:$BT155,,AH155+1)*AF155-ERP_i)*AE155*Ramure*Pc/MaxiM</f>
        <v>0</v>
      </c>
      <c r="AE155" s="305">
        <f t="shared" si="64"/>
        <v>0.7</v>
      </c>
      <c r="AF155" s="177">
        <f t="shared" si="65"/>
        <v>0.15336997729293733</v>
      </c>
      <c r="AG155" s="817">
        <f t="shared" si="66"/>
        <v>-2</v>
      </c>
      <c r="AH155" s="176">
        <f t="shared" si="67"/>
        <v>4</v>
      </c>
      <c r="AI155" s="225">
        <f t="shared" si="68"/>
        <v>-1.8466300227070627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71"/>
        <v>43242</v>
      </c>
      <c r="B156" s="621"/>
      <c r="C156" s="859"/>
      <c r="D156" s="393"/>
      <c r="E156" s="385"/>
      <c r="F156" s="385"/>
      <c r="G156" s="110"/>
      <c r="I156" s="380">
        <f t="shared" si="49"/>
        <v>0</v>
      </c>
      <c r="J156" s="85">
        <v>2018</v>
      </c>
      <c r="K156" s="197">
        <f t="shared" si="50"/>
        <v>43242</v>
      </c>
      <c r="L156" s="438">
        <f t="shared" si="51"/>
        <v>7.2253145614920022E-4</v>
      </c>
      <c r="M156" s="861"/>
      <c r="N156" s="861"/>
      <c r="O156" s="324">
        <f t="shared" si="52"/>
        <v>6.3427728272193225E-3</v>
      </c>
      <c r="P156" s="169">
        <f>(INDEX(Models!$BJ156:$BT156,,T156)*(1-R156)+INDEX(Models!$BJ156:$BT156,,T156+1)*R156-ERP_i)*Q156*Ramure*Pc/MaxiM</f>
        <v>0</v>
      </c>
      <c r="Q156" s="305">
        <f t="shared" si="53"/>
        <v>0.7</v>
      </c>
      <c r="R156" s="177">
        <f t="shared" si="54"/>
        <v>0.157770577538493</v>
      </c>
      <c r="S156" s="817">
        <f t="shared" si="72"/>
        <v>-2</v>
      </c>
      <c r="T156" s="176">
        <f t="shared" si="55"/>
        <v>4</v>
      </c>
      <c r="U156" s="251">
        <f t="shared" si="56"/>
        <v>-1.842229422461507</v>
      </c>
      <c r="V156" s="383">
        <f t="shared" si="57"/>
        <v>43.247693472247974</v>
      </c>
      <c r="W156" s="58"/>
      <c r="X156" s="157">
        <f t="shared" si="58"/>
        <v>43242</v>
      </c>
      <c r="Y156" s="385">
        <f t="shared" si="59"/>
        <v>0</v>
      </c>
      <c r="Z156" s="385">
        <f t="shared" si="60"/>
        <v>0</v>
      </c>
      <c r="AA156" s="386">
        <f t="shared" si="61"/>
        <v>0</v>
      </c>
      <c r="AB156" s="197">
        <f t="shared" si="62"/>
        <v>43242</v>
      </c>
      <c r="AC156" s="427">
        <f t="shared" si="63"/>
        <v>6.3427728272193225E-3</v>
      </c>
      <c r="AD156" s="169">
        <f>(INDEX(Models!$BJ156:$BT156,,AH156)*(1-AF156)+INDEX(Models!$BJ156:$BT156,,AH156+1)*AF156-ERP_i)*AE156*Ramure*Pc/MaxiM</f>
        <v>0</v>
      </c>
      <c r="AE156" s="305">
        <f t="shared" si="64"/>
        <v>0.7</v>
      </c>
      <c r="AF156" s="177">
        <f t="shared" si="65"/>
        <v>0.157770577538493</v>
      </c>
      <c r="AG156" s="817">
        <f t="shared" si="66"/>
        <v>-2</v>
      </c>
      <c r="AH156" s="176">
        <f t="shared" si="67"/>
        <v>4</v>
      </c>
      <c r="AI156" s="225">
        <f t="shared" si="68"/>
        <v>-1.842229422461507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71"/>
        <v>43243</v>
      </c>
      <c r="B157" s="621"/>
      <c r="C157" s="859"/>
      <c r="D157" s="393"/>
      <c r="E157" s="385"/>
      <c r="F157" s="385"/>
      <c r="G157" s="110"/>
      <c r="I157" s="380">
        <f t="shared" si="49"/>
        <v>0</v>
      </c>
      <c r="J157" s="85">
        <v>2018</v>
      </c>
      <c r="K157" s="197">
        <f t="shared" si="50"/>
        <v>43243</v>
      </c>
      <c r="L157" s="438">
        <f t="shared" si="51"/>
        <v>7.4441819728832126E-4</v>
      </c>
      <c r="M157" s="861"/>
      <c r="N157" s="861"/>
      <c r="O157" s="324">
        <f t="shared" si="52"/>
        <v>6.5351032809192232E-3</v>
      </c>
      <c r="P157" s="169">
        <f>(INDEX(Models!$BJ157:$BT157,,T157)*(1-R157)+INDEX(Models!$BJ157:$BT157,,T157+1)*R157-ERP_i)*Q157*Ramure*Pc/MaxiM</f>
        <v>0</v>
      </c>
      <c r="Q157" s="305">
        <f t="shared" si="53"/>
        <v>0.7</v>
      </c>
      <c r="R157" s="177">
        <f t="shared" si="54"/>
        <v>0.16223890887026537</v>
      </c>
      <c r="S157" s="817">
        <f t="shared" si="72"/>
        <v>-2</v>
      </c>
      <c r="T157" s="176">
        <f t="shared" si="55"/>
        <v>4</v>
      </c>
      <c r="U157" s="251">
        <f t="shared" si="56"/>
        <v>-1.8377610911297346</v>
      </c>
      <c r="V157" s="383">
        <f t="shared" si="57"/>
        <v>43.243705930604357</v>
      </c>
      <c r="W157" s="58"/>
      <c r="X157" s="157">
        <f t="shared" si="58"/>
        <v>43243</v>
      </c>
      <c r="Y157" s="385">
        <f t="shared" si="59"/>
        <v>0</v>
      </c>
      <c r="Z157" s="385">
        <f t="shared" si="60"/>
        <v>0</v>
      </c>
      <c r="AA157" s="386">
        <f t="shared" si="61"/>
        <v>0</v>
      </c>
      <c r="AB157" s="197">
        <f t="shared" si="62"/>
        <v>43243</v>
      </c>
      <c r="AC157" s="427">
        <f t="shared" si="63"/>
        <v>6.5351032809192232E-3</v>
      </c>
      <c r="AD157" s="169">
        <f>(INDEX(Models!$BJ157:$BT157,,AH157)*(1-AF157)+INDEX(Models!$BJ157:$BT157,,AH157+1)*AF157-ERP_i)*AE157*Ramure*Pc/MaxiM</f>
        <v>0</v>
      </c>
      <c r="AE157" s="305">
        <f t="shared" si="64"/>
        <v>0.7</v>
      </c>
      <c r="AF157" s="177">
        <f t="shared" si="65"/>
        <v>0.16223890887026537</v>
      </c>
      <c r="AG157" s="817">
        <f t="shared" si="66"/>
        <v>-2</v>
      </c>
      <c r="AH157" s="176">
        <f t="shared" si="67"/>
        <v>4</v>
      </c>
      <c r="AI157" s="225">
        <f t="shared" si="68"/>
        <v>-1.8377610911297346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71"/>
        <v>43244</v>
      </c>
      <c r="B158" s="621"/>
      <c r="C158" s="859"/>
      <c r="D158" s="393"/>
      <c r="E158" s="385"/>
      <c r="F158" s="385"/>
      <c r="G158" s="110"/>
      <c r="I158" s="380">
        <f t="shared" si="49"/>
        <v>0</v>
      </c>
      <c r="J158" s="85">
        <v>2018</v>
      </c>
      <c r="K158" s="197">
        <f t="shared" si="50"/>
        <v>43244</v>
      </c>
      <c r="L158" s="438">
        <f t="shared" si="51"/>
        <v>7.6630445905168099E-4</v>
      </c>
      <c r="M158" s="861"/>
      <c r="N158" s="861"/>
      <c r="O158" s="324">
        <f t="shared" si="52"/>
        <v>6.7274483427590655E-3</v>
      </c>
      <c r="P158" s="169">
        <f>(INDEX(Models!$BJ158:$BT158,,T158)*(1-R158)+INDEX(Models!$BJ158:$BT158,,T158+1)*R158-ERP_i)*Q158*Ramure*Pc/MaxiM</f>
        <v>0</v>
      </c>
      <c r="Q158" s="305">
        <f t="shared" si="53"/>
        <v>0.7</v>
      </c>
      <c r="R158" s="177">
        <f t="shared" si="54"/>
        <v>0.16677268840109472</v>
      </c>
      <c r="S158" s="817">
        <f t="shared" si="72"/>
        <v>-2</v>
      </c>
      <c r="T158" s="176">
        <f t="shared" si="55"/>
        <v>4</v>
      </c>
      <c r="U158" s="251">
        <f t="shared" si="56"/>
        <v>-1.8332273115989053</v>
      </c>
      <c r="V158" s="383">
        <f t="shared" si="57"/>
        <v>43.237555792298544</v>
      </c>
      <c r="W158" s="58"/>
      <c r="X158" s="157">
        <f t="shared" si="58"/>
        <v>43244</v>
      </c>
      <c r="Y158" s="385">
        <f t="shared" si="59"/>
        <v>0</v>
      </c>
      <c r="Z158" s="385">
        <f t="shared" si="60"/>
        <v>0</v>
      </c>
      <c r="AA158" s="386">
        <f t="shared" si="61"/>
        <v>0</v>
      </c>
      <c r="AB158" s="197">
        <f t="shared" si="62"/>
        <v>43244</v>
      </c>
      <c r="AC158" s="427">
        <f t="shared" si="63"/>
        <v>6.7274483427590655E-3</v>
      </c>
      <c r="AD158" s="169">
        <f>(INDEX(Models!$BJ158:$BT158,,AH158)*(1-AF158)+INDEX(Models!$BJ158:$BT158,,AH158+1)*AF158-ERP_i)*AE158*Ramure*Pc/MaxiM</f>
        <v>0</v>
      </c>
      <c r="AE158" s="305">
        <f t="shared" si="64"/>
        <v>0.7</v>
      </c>
      <c r="AF158" s="177">
        <f t="shared" si="65"/>
        <v>0.16677268840109472</v>
      </c>
      <c r="AG158" s="817">
        <f t="shared" si="66"/>
        <v>-2</v>
      </c>
      <c r="AH158" s="176">
        <f t="shared" si="67"/>
        <v>4</v>
      </c>
      <c r="AI158" s="225">
        <f t="shared" si="68"/>
        <v>-1.8332273115989053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71"/>
        <v>43245</v>
      </c>
      <c r="B159" s="621"/>
      <c r="C159" s="859"/>
      <c r="D159" s="393"/>
      <c r="E159" s="385"/>
      <c r="F159" s="385"/>
      <c r="G159" s="110"/>
      <c r="I159" s="380">
        <f t="shared" si="49"/>
        <v>0</v>
      </c>
      <c r="J159" s="85">
        <v>2018</v>
      </c>
      <c r="K159" s="197">
        <f t="shared" si="50"/>
        <v>43245</v>
      </c>
      <c r="L159" s="438">
        <f t="shared" si="51"/>
        <v>7.881902414497155E-4</v>
      </c>
      <c r="M159" s="861"/>
      <c r="N159" s="861"/>
      <c r="O159" s="324">
        <f t="shared" si="52"/>
        <v>6.9198029011623505E-3</v>
      </c>
      <c r="P159" s="169">
        <f>(INDEX(Models!$BJ159:$BT159,,T159)*(1-R159)+INDEX(Models!$BJ159:$BT159,,T159+1)*R159-ERP_i)*Q159*Ramure*Pc/MaxiM</f>
        <v>0</v>
      </c>
      <c r="Q159" s="305">
        <f t="shared" si="53"/>
        <v>0.7</v>
      </c>
      <c r="R159" s="177">
        <f t="shared" si="54"/>
        <v>0.17136945381881197</v>
      </c>
      <c r="S159" s="817">
        <f t="shared" si="72"/>
        <v>-2</v>
      </c>
      <c r="T159" s="176">
        <f t="shared" si="55"/>
        <v>4</v>
      </c>
      <c r="U159" s="251">
        <f t="shared" si="56"/>
        <v>-1.828630546181188</v>
      </c>
      <c r="V159" s="383">
        <f t="shared" si="57"/>
        <v>43.229775722722898</v>
      </c>
      <c r="W159" s="58"/>
      <c r="X159" s="157">
        <f t="shared" si="58"/>
        <v>43245</v>
      </c>
      <c r="Y159" s="385">
        <f t="shared" si="59"/>
        <v>0</v>
      </c>
      <c r="Z159" s="385">
        <f t="shared" si="60"/>
        <v>0</v>
      </c>
      <c r="AA159" s="386">
        <f t="shared" si="61"/>
        <v>0</v>
      </c>
      <c r="AB159" s="197">
        <f t="shared" si="62"/>
        <v>43245</v>
      </c>
      <c r="AC159" s="427">
        <f t="shared" si="63"/>
        <v>6.9198029011623505E-3</v>
      </c>
      <c r="AD159" s="169">
        <f>(INDEX(Models!$BJ159:$BT159,,AH159)*(1-AF159)+INDEX(Models!$BJ159:$BT159,,AH159+1)*AF159-ERP_i)*AE159*Ramure*Pc/MaxiM</f>
        <v>0</v>
      </c>
      <c r="AE159" s="305">
        <f t="shared" si="64"/>
        <v>0.7</v>
      </c>
      <c r="AF159" s="177">
        <f t="shared" si="65"/>
        <v>0.17136945381881197</v>
      </c>
      <c r="AG159" s="817">
        <f t="shared" si="66"/>
        <v>-2</v>
      </c>
      <c r="AH159" s="176">
        <f t="shared" si="67"/>
        <v>4</v>
      </c>
      <c r="AI159" s="225">
        <f t="shared" si="68"/>
        <v>-1.828630546181188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71"/>
        <v>43246</v>
      </c>
      <c r="B160" s="621"/>
      <c r="C160" s="859"/>
      <c r="D160" s="393"/>
      <c r="E160" s="385"/>
      <c r="F160" s="385"/>
      <c r="G160" s="110"/>
      <c r="I160" s="380">
        <f t="shared" si="49"/>
        <v>0</v>
      </c>
      <c r="J160" s="85">
        <v>2018</v>
      </c>
      <c r="K160" s="197">
        <f t="shared" si="50"/>
        <v>43246</v>
      </c>
      <c r="L160" s="438">
        <f t="shared" si="51"/>
        <v>8.100755444928609E-4</v>
      </c>
      <c r="M160" s="861"/>
      <c r="N160" s="861"/>
      <c r="O160" s="324">
        <f t="shared" si="52"/>
        <v>7.1121611372780688E-3</v>
      </c>
      <c r="P160" s="169">
        <f>(INDEX(Models!$BJ160:$BT160,,T160)*(1-R160)+INDEX(Models!$BJ160:$BT160,,T160+1)*R160-ERP_i)*Q160*Ramure*Pc/MaxiM</f>
        <v>0</v>
      </c>
      <c r="Q160" s="305">
        <f t="shared" si="53"/>
        <v>0.7</v>
      </c>
      <c r="R160" s="177">
        <f t="shared" si="54"/>
        <v>0.17602656615964429</v>
      </c>
      <c r="S160" s="817">
        <f t="shared" si="72"/>
        <v>-2</v>
      </c>
      <c r="T160" s="176">
        <f t="shared" si="55"/>
        <v>4</v>
      </c>
      <c r="U160" s="251">
        <f t="shared" si="56"/>
        <v>-1.8239734338403557</v>
      </c>
      <c r="V160" s="383">
        <f t="shared" si="57"/>
        <v>43.220897959064033</v>
      </c>
      <c r="W160" s="58"/>
      <c r="X160" s="157">
        <f t="shared" si="58"/>
        <v>43246</v>
      </c>
      <c r="Y160" s="385">
        <f t="shared" si="59"/>
        <v>0</v>
      </c>
      <c r="Z160" s="385">
        <f t="shared" si="60"/>
        <v>0</v>
      </c>
      <c r="AA160" s="386">
        <f t="shared" si="61"/>
        <v>0</v>
      </c>
      <c r="AB160" s="197">
        <f t="shared" si="62"/>
        <v>43246</v>
      </c>
      <c r="AC160" s="427">
        <f t="shared" si="63"/>
        <v>7.1121611372780688E-3</v>
      </c>
      <c r="AD160" s="169">
        <f>(INDEX(Models!$BJ160:$BT160,,AH160)*(1-AF160)+INDEX(Models!$BJ160:$BT160,,AH160+1)*AF160-ERP_i)*AE160*Ramure*Pc/MaxiM</f>
        <v>0</v>
      </c>
      <c r="AE160" s="305">
        <f t="shared" si="64"/>
        <v>0.7</v>
      </c>
      <c r="AF160" s="177">
        <f t="shared" si="65"/>
        <v>0.17602656615964429</v>
      </c>
      <c r="AG160" s="817">
        <f t="shared" si="66"/>
        <v>-2</v>
      </c>
      <c r="AH160" s="176">
        <f t="shared" si="67"/>
        <v>4</v>
      </c>
      <c r="AI160" s="225">
        <f t="shared" si="68"/>
        <v>-1.8239734338403557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71"/>
        <v>43247</v>
      </c>
      <c r="B161" s="621"/>
      <c r="C161" s="859"/>
      <c r="D161" s="393"/>
      <c r="E161" s="385"/>
      <c r="F161" s="385"/>
      <c r="G161" s="110"/>
      <c r="I161" s="380">
        <f t="shared" si="49"/>
        <v>0</v>
      </c>
      <c r="J161" s="85">
        <v>2018</v>
      </c>
      <c r="K161" s="197">
        <f t="shared" si="50"/>
        <v>43247</v>
      </c>
      <c r="L161" s="438">
        <f t="shared" si="51"/>
        <v>8.3196036819188635E-4</v>
      </c>
      <c r="M161" s="861"/>
      <c r="N161" s="861"/>
      <c r="O161" s="324">
        <f t="shared" si="52"/>
        <v>7.3045165352568853E-3</v>
      </c>
      <c r="P161" s="169">
        <f>(INDEX(Models!$BJ161:$BT161,,T161)*(1-R161)+INDEX(Models!$BJ161:$BT161,,T161+1)*R161-ERP_i)*Q161*Ramure*Pc/MaxiM</f>
        <v>0</v>
      </c>
      <c r="Q161" s="305">
        <f t="shared" si="53"/>
        <v>0.7</v>
      </c>
      <c r="R161" s="177">
        <f t="shared" si="54"/>
        <v>0.18074121355062012</v>
      </c>
      <c r="S161" s="817">
        <f t="shared" si="72"/>
        <v>-2</v>
      </c>
      <c r="T161" s="176">
        <f t="shared" si="55"/>
        <v>4</v>
      </c>
      <c r="U161" s="251">
        <f t="shared" si="56"/>
        <v>-1.8192587864493799</v>
      </c>
      <c r="V161" s="383">
        <f t="shared" si="57"/>
        <v>43.211454310769639</v>
      </c>
      <c r="W161" s="58"/>
      <c r="X161" s="157">
        <f t="shared" si="58"/>
        <v>43247</v>
      </c>
      <c r="Y161" s="385">
        <f t="shared" si="59"/>
        <v>0</v>
      </c>
      <c r="Z161" s="385">
        <f t="shared" si="60"/>
        <v>0</v>
      </c>
      <c r="AA161" s="386">
        <f t="shared" si="61"/>
        <v>0</v>
      </c>
      <c r="AB161" s="197">
        <f t="shared" si="62"/>
        <v>43247</v>
      </c>
      <c r="AC161" s="427">
        <f t="shared" si="63"/>
        <v>7.3045165352568853E-3</v>
      </c>
      <c r="AD161" s="169">
        <f>(INDEX(Models!$BJ161:$BT161,,AH161)*(1-AF161)+INDEX(Models!$BJ161:$BT161,,AH161+1)*AF161-ERP_i)*AE161*Ramure*Pc/MaxiM</f>
        <v>0</v>
      </c>
      <c r="AE161" s="305">
        <f t="shared" si="64"/>
        <v>0.7</v>
      </c>
      <c r="AF161" s="177">
        <f t="shared" si="65"/>
        <v>0.18074121355062012</v>
      </c>
      <c r="AG161" s="817">
        <f t="shared" si="66"/>
        <v>-2</v>
      </c>
      <c r="AH161" s="176">
        <f t="shared" si="67"/>
        <v>4</v>
      </c>
      <c r="AI161" s="225">
        <f t="shared" si="68"/>
        <v>-1.8192587864493799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71"/>
        <v>43248</v>
      </c>
      <c r="B162" s="621"/>
      <c r="C162" s="859"/>
      <c r="D162" s="393"/>
      <c r="E162" s="385"/>
      <c r="F162" s="385"/>
      <c r="G162" s="110"/>
      <c r="I162" s="380">
        <f t="shared" si="49"/>
        <v>0</v>
      </c>
      <c r="J162" s="85">
        <v>2018</v>
      </c>
      <c r="K162" s="197">
        <f t="shared" si="50"/>
        <v>43248</v>
      </c>
      <c r="L162" s="438">
        <f t="shared" si="51"/>
        <v>8.5384471255689487E-4</v>
      </c>
      <c r="M162" s="861"/>
      <c r="N162" s="861"/>
      <c r="O162" s="324">
        <f t="shared" si="52"/>
        <v>7.4968618964828745E-3</v>
      </c>
      <c r="P162" s="169">
        <f>(INDEX(Models!$BJ162:$BT162,,T162)*(1-R162)+INDEX(Models!$BJ162:$BT162,,T162+1)*R162-ERP_i)*Q162*Ramure*Pc/MaxiM</f>
        <v>0</v>
      </c>
      <c r="Q162" s="305">
        <f t="shared" si="53"/>
        <v>0.7</v>
      </c>
      <c r="R162" s="177">
        <f t="shared" si="54"/>
        <v>0.18551041593216233</v>
      </c>
      <c r="S162" s="817">
        <f t="shared" si="72"/>
        <v>-2</v>
      </c>
      <c r="T162" s="176">
        <f t="shared" si="55"/>
        <v>4</v>
      </c>
      <c r="U162" s="251">
        <f t="shared" si="56"/>
        <v>-1.8144895840678377</v>
      </c>
      <c r="V162" s="383">
        <f t="shared" si="57"/>
        <v>43.201976160899065</v>
      </c>
      <c r="W162" s="58"/>
      <c r="X162" s="157">
        <f t="shared" si="58"/>
        <v>43248</v>
      </c>
      <c r="Y162" s="385">
        <f t="shared" si="59"/>
        <v>0</v>
      </c>
      <c r="Z162" s="385">
        <f t="shared" si="60"/>
        <v>0</v>
      </c>
      <c r="AA162" s="386">
        <f t="shared" si="61"/>
        <v>0</v>
      </c>
      <c r="AB162" s="197">
        <f t="shared" si="62"/>
        <v>43248</v>
      </c>
      <c r="AC162" s="427">
        <f t="shared" si="63"/>
        <v>7.4968618964828745E-3</v>
      </c>
      <c r="AD162" s="169">
        <f>(INDEX(Models!$BJ162:$BT162,,AH162)*(1-AF162)+INDEX(Models!$BJ162:$BT162,,AH162+1)*AF162-ERP_i)*AE162*Ramure*Pc/MaxiM</f>
        <v>0</v>
      </c>
      <c r="AE162" s="305">
        <f t="shared" si="64"/>
        <v>0.7</v>
      </c>
      <c r="AF162" s="177">
        <f t="shared" si="65"/>
        <v>0.18551041593216233</v>
      </c>
      <c r="AG162" s="817">
        <f t="shared" si="66"/>
        <v>-2</v>
      </c>
      <c r="AH162" s="176">
        <f t="shared" si="67"/>
        <v>4</v>
      </c>
      <c r="AI162" s="225">
        <f t="shared" si="68"/>
        <v>-1.8144895840678377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43249</v>
      </c>
      <c r="B163" s="621"/>
      <c r="C163" s="859"/>
      <c r="D163" s="393"/>
      <c r="E163" s="385"/>
      <c r="F163" s="385"/>
      <c r="G163" s="110"/>
      <c r="I163" s="380">
        <f t="shared" si="49"/>
        <v>0</v>
      </c>
      <c r="J163" s="85">
        <v>2018</v>
      </c>
      <c r="K163" s="197">
        <f t="shared" si="50"/>
        <v>43249</v>
      </c>
      <c r="L163" s="438">
        <f t="shared" si="51"/>
        <v>8.7572857759876666E-4</v>
      </c>
      <c r="M163" s="861"/>
      <c r="N163" s="861"/>
      <c r="O163" s="324">
        <f t="shared" si="52"/>
        <v>7.6891893577956984E-3</v>
      </c>
      <c r="P163" s="169">
        <f>(INDEX(Models!$BJ163:$BT163,,T163)*(1-R163)+INDEX(Models!$BJ163:$BT163,,T163+1)*R163-ERP_i)*Q163*Ramure*Pc/MaxiM</f>
        <v>0</v>
      </c>
      <c r="Q163" s="305">
        <f t="shared" si="53"/>
        <v>0.7</v>
      </c>
      <c r="R163" s="177">
        <f t="shared" si="54"/>
        <v>0.19033103076338431</v>
      </c>
      <c r="S163" s="817">
        <f t="shared" si="72"/>
        <v>-2</v>
      </c>
      <c r="T163" s="176">
        <f t="shared" si="55"/>
        <v>4</v>
      </c>
      <c r="U163" s="251">
        <f t="shared" si="56"/>
        <v>-1.8096689692366157</v>
      </c>
      <c r="V163" s="383">
        <f t="shared" si="57"/>
        <v>43.191438071031776</v>
      </c>
      <c r="W163" s="58"/>
      <c r="X163" s="157">
        <f t="shared" si="58"/>
        <v>43249</v>
      </c>
      <c r="Y163" s="385">
        <f t="shared" si="59"/>
        <v>0</v>
      </c>
      <c r="Z163" s="385">
        <f t="shared" si="60"/>
        <v>0</v>
      </c>
      <c r="AA163" s="386">
        <f t="shared" si="61"/>
        <v>0</v>
      </c>
      <c r="AB163" s="197">
        <f t="shared" si="62"/>
        <v>43249</v>
      </c>
      <c r="AC163" s="427">
        <f t="shared" si="63"/>
        <v>7.6891893577956984E-3</v>
      </c>
      <c r="AD163" s="169">
        <f>(INDEX(Models!$BJ163:$BT163,,AH163)*(1-AF163)+INDEX(Models!$BJ163:$BT163,,AH163+1)*AF163-ERP_i)*AE163*Ramure*Pc/MaxiM</f>
        <v>0</v>
      </c>
      <c r="AE163" s="305">
        <f t="shared" si="64"/>
        <v>0.7</v>
      </c>
      <c r="AF163" s="177">
        <f t="shared" si="65"/>
        <v>0.19033103076338431</v>
      </c>
      <c r="AG163" s="817">
        <f t="shared" si="66"/>
        <v>-2</v>
      </c>
      <c r="AH163" s="176">
        <f t="shared" si="67"/>
        <v>4</v>
      </c>
      <c r="AI163" s="225">
        <f t="shared" si="68"/>
        <v>-1.8096689692366157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43250</v>
      </c>
      <c r="B164" s="621"/>
      <c r="C164" s="859"/>
      <c r="D164" s="393"/>
      <c r="E164" s="385"/>
      <c r="F164" s="385"/>
      <c r="G164" s="110"/>
      <c r="I164" s="380">
        <f t="shared" si="49"/>
        <v>0</v>
      </c>
      <c r="J164" s="85">
        <v>2018</v>
      </c>
      <c r="K164" s="197">
        <f t="shared" si="50"/>
        <v>43250</v>
      </c>
      <c r="L164" s="438">
        <f t="shared" si="51"/>
        <v>8.9761196332771576E-4</v>
      </c>
      <c r="M164" s="861"/>
      <c r="N164" s="861"/>
      <c r="O164" s="324">
        <f t="shared" si="52"/>
        <v>7.8814904137058193E-3</v>
      </c>
      <c r="P164" s="169">
        <f>(INDEX(Models!$BJ164:$BT164,,T164)*(1-R164)+INDEX(Models!$BJ164:$BT164,,T164+1)*R164-ERP_i)*Q164*Ramure*Pc/MaxiM</f>
        <v>0</v>
      </c>
      <c r="Q164" s="305">
        <f t="shared" si="53"/>
        <v>0.7</v>
      </c>
      <c r="R164" s="177">
        <f t="shared" si="54"/>
        <v>0.19519975970347203</v>
      </c>
      <c r="S164" s="817">
        <f t="shared" si="72"/>
        <v>-2</v>
      </c>
      <c r="T164" s="176">
        <f t="shared" si="55"/>
        <v>4</v>
      </c>
      <c r="U164" s="251">
        <f t="shared" si="56"/>
        <v>-1.804800240296528</v>
      </c>
      <c r="V164" s="383">
        <f t="shared" si="57"/>
        <v>43.17853259727822</v>
      </c>
      <c r="W164" s="58"/>
      <c r="X164" s="157">
        <f t="shared" si="58"/>
        <v>43250</v>
      </c>
      <c r="Y164" s="385">
        <f t="shared" si="59"/>
        <v>0</v>
      </c>
      <c r="Z164" s="385">
        <f t="shared" si="60"/>
        <v>0</v>
      </c>
      <c r="AA164" s="386">
        <f t="shared" si="61"/>
        <v>0</v>
      </c>
      <c r="AB164" s="197">
        <f t="shared" si="62"/>
        <v>43250</v>
      </c>
      <c r="AC164" s="427">
        <f t="shared" si="63"/>
        <v>7.8814904137058193E-3</v>
      </c>
      <c r="AD164" s="169">
        <f>(INDEX(Models!$BJ164:$BT164,,AH164)*(1-AF164)+INDEX(Models!$BJ164:$BT164,,AH164+1)*AF164-ERP_i)*AE164*Ramure*Pc/MaxiM</f>
        <v>0</v>
      </c>
      <c r="AE164" s="305">
        <f t="shared" si="64"/>
        <v>0.7</v>
      </c>
      <c r="AF164" s="177">
        <f t="shared" si="65"/>
        <v>0.19519975970347203</v>
      </c>
      <c r="AG164" s="817">
        <f t="shared" si="66"/>
        <v>-2</v>
      </c>
      <c r="AH164" s="176">
        <f t="shared" si="67"/>
        <v>4</v>
      </c>
      <c r="AI164" s="225">
        <f t="shared" si="68"/>
        <v>-1.804800240296528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43251</v>
      </c>
      <c r="B165" s="621"/>
      <c r="C165" s="859"/>
      <c r="D165" s="393"/>
      <c r="E165" s="385"/>
      <c r="F165" s="385"/>
      <c r="G165" s="110"/>
      <c r="I165" s="380">
        <f t="shared" si="49"/>
        <v>0</v>
      </c>
      <c r="J165" s="85">
        <v>2018</v>
      </c>
      <c r="K165" s="197">
        <f t="shared" si="50"/>
        <v>43251</v>
      </c>
      <c r="L165" s="438">
        <f t="shared" si="51"/>
        <v>9.1949486975440031E-4</v>
      </c>
      <c r="M165" s="861"/>
      <c r="N165" s="861"/>
      <c r="O165" s="324">
        <f t="shared" si="52"/>
        <v>8.0737559425711983E-3</v>
      </c>
      <c r="P165" s="169">
        <f>(INDEX(Models!$BJ165:$BT165,,T165)*(1-R165)+INDEX(Models!$BJ165:$BT165,,T165+1)*R165-ERP_i)*Q165*Ramure*Pc/MaxiM</f>
        <v>0</v>
      </c>
      <c r="Q165" s="305">
        <f t="shared" si="53"/>
        <v>0.7</v>
      </c>
      <c r="R165" s="177">
        <f t="shared" si="54"/>
        <v>0.20011315625309867</v>
      </c>
      <c r="S165" s="817">
        <f t="shared" si="72"/>
        <v>-2</v>
      </c>
      <c r="T165" s="176">
        <f t="shared" si="55"/>
        <v>4</v>
      </c>
      <c r="U165" s="251">
        <f t="shared" si="56"/>
        <v>-1.7998868437469013</v>
      </c>
      <c r="V165" s="383">
        <f t="shared" si="57"/>
        <v>43.163367742411019</v>
      </c>
      <c r="W165" s="58"/>
      <c r="X165" s="157">
        <f t="shared" si="58"/>
        <v>43251</v>
      </c>
      <c r="Y165" s="385">
        <f t="shared" si="59"/>
        <v>0</v>
      </c>
      <c r="Z165" s="385">
        <f t="shared" si="60"/>
        <v>0</v>
      </c>
      <c r="AA165" s="386">
        <f t="shared" si="61"/>
        <v>0</v>
      </c>
      <c r="AB165" s="197">
        <f t="shared" si="62"/>
        <v>43251</v>
      </c>
      <c r="AC165" s="427">
        <f t="shared" si="63"/>
        <v>8.0737559425711983E-3</v>
      </c>
      <c r="AD165" s="169">
        <f>(INDEX(Models!$BJ165:$BT165,,AH165)*(1-AF165)+INDEX(Models!$BJ165:$BT165,,AH165+1)*AF165-ERP_i)*AE165*Ramure*Pc/MaxiM</f>
        <v>0</v>
      </c>
      <c r="AE165" s="305">
        <f t="shared" si="64"/>
        <v>0.7</v>
      </c>
      <c r="AF165" s="177">
        <f t="shared" si="65"/>
        <v>0.20011315625309867</v>
      </c>
      <c r="AG165" s="817">
        <f t="shared" si="66"/>
        <v>-2</v>
      </c>
      <c r="AH165" s="176">
        <f t="shared" si="67"/>
        <v>4</v>
      </c>
      <c r="AI165" s="225">
        <f t="shared" si="68"/>
        <v>-1.7998868437469013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71"/>
        <v>43252</v>
      </c>
      <c r="B166" s="621"/>
      <c r="C166" s="859"/>
      <c r="D166" s="393"/>
      <c r="E166" s="385"/>
      <c r="F166" s="385"/>
      <c r="G166" s="110"/>
      <c r="I166" s="380">
        <f t="shared" si="49"/>
        <v>0</v>
      </c>
      <c r="J166" s="85">
        <v>2018</v>
      </c>
      <c r="K166" s="197">
        <f t="shared" si="50"/>
        <v>43252</v>
      </c>
      <c r="L166" s="438">
        <f t="shared" si="51"/>
        <v>9.4137729688936744E-4</v>
      </c>
      <c r="M166" s="861"/>
      <c r="N166" s="861"/>
      <c r="O166" s="324">
        <f t="shared" si="52"/>
        <v>8.2659762366692566E-3</v>
      </c>
      <c r="P166" s="169">
        <f>(INDEX(Models!$BJ166:$BT166,,T166)*(1-R166)+INDEX(Models!$BJ166:$BT166,,T166+1)*R166-ERP_i)*Q166*Ramure*Pc/MaxiM</f>
        <v>0</v>
      </c>
      <c r="Q166" s="305">
        <f t="shared" si="53"/>
        <v>0.7</v>
      </c>
      <c r="R166" s="177">
        <f t="shared" si="54"/>
        <v>0.20506763433018094</v>
      </c>
      <c r="S166" s="817">
        <f t="shared" si="72"/>
        <v>-2</v>
      </c>
      <c r="T166" s="176">
        <f t="shared" si="55"/>
        <v>4</v>
      </c>
      <c r="U166" s="251">
        <f t="shared" si="56"/>
        <v>-1.7949323656698191</v>
      </c>
      <c r="V166" s="383">
        <f t="shared" si="57"/>
        <v>43.146051440284573</v>
      </c>
      <c r="W166" s="58"/>
      <c r="X166" s="157">
        <f t="shared" si="58"/>
        <v>43252</v>
      </c>
      <c r="Y166" s="385">
        <f t="shared" si="59"/>
        <v>0</v>
      </c>
      <c r="Z166" s="385">
        <f t="shared" si="60"/>
        <v>0</v>
      </c>
      <c r="AA166" s="386">
        <f t="shared" si="61"/>
        <v>0</v>
      </c>
      <c r="AB166" s="197">
        <f t="shared" si="62"/>
        <v>43252</v>
      </c>
      <c r="AC166" s="427">
        <f t="shared" si="63"/>
        <v>8.2659762366692566E-3</v>
      </c>
      <c r="AD166" s="169">
        <f>(INDEX(Models!$BJ166:$BT166,,AH166)*(1-AF166)+INDEX(Models!$BJ166:$BT166,,AH166+1)*AF166-ERP_i)*AE166*Ramure*Pc/MaxiM</f>
        <v>0</v>
      </c>
      <c r="AE166" s="305">
        <f t="shared" si="64"/>
        <v>0.7</v>
      </c>
      <c r="AF166" s="177">
        <f t="shared" si="65"/>
        <v>0.20506763433018094</v>
      </c>
      <c r="AG166" s="817">
        <f t="shared" si="66"/>
        <v>-2</v>
      </c>
      <c r="AH166" s="176">
        <f t="shared" si="67"/>
        <v>4</v>
      </c>
      <c r="AI166" s="225">
        <f t="shared" si="68"/>
        <v>-1.7949323656698191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71"/>
        <v>43253</v>
      </c>
      <c r="B167" s="621"/>
      <c r="C167" s="859"/>
      <c r="D167" s="393"/>
      <c r="E167" s="385"/>
      <c r="F167" s="385"/>
      <c r="G167" s="110"/>
      <c r="I167" s="380">
        <f t="shared" si="49"/>
        <v>0</v>
      </c>
      <c r="J167" s="85">
        <v>2018</v>
      </c>
      <c r="K167" s="197">
        <f t="shared" si="50"/>
        <v>43253</v>
      </c>
      <c r="L167" s="438">
        <f t="shared" si="51"/>
        <v>9.632592447428312E-4</v>
      </c>
      <c r="M167" s="861"/>
      <c r="N167" s="861"/>
      <c r="O167" s="324">
        <f t="shared" si="52"/>
        <v>8.4581410360633717E-3</v>
      </c>
      <c r="P167" s="169">
        <f>(INDEX(Models!$BJ167:$BT167,,T167)*(1-R167)+INDEX(Models!$BJ167:$BT167,,T167+1)*R167-ERP_i)*Q167*Ramure*Pc/MaxiM</f>
        <v>0</v>
      </c>
      <c r="Q167" s="305">
        <f t="shared" si="53"/>
        <v>0.7</v>
      </c>
      <c r="R167" s="177">
        <f t="shared" si="54"/>
        <v>0.21005947774459344</v>
      </c>
      <c r="S167" s="817">
        <f t="shared" si="72"/>
        <v>-2</v>
      </c>
      <c r="T167" s="176">
        <f t="shared" si="55"/>
        <v>4</v>
      </c>
      <c r="U167" s="251">
        <f t="shared" si="56"/>
        <v>-1.7899405222554066</v>
      </c>
      <c r="V167" s="383">
        <f t="shared" si="57"/>
        <v>43.126691557304525</v>
      </c>
      <c r="W167" s="58"/>
      <c r="X167" s="157">
        <f t="shared" si="58"/>
        <v>43253</v>
      </c>
      <c r="Y167" s="385">
        <f t="shared" si="59"/>
        <v>0</v>
      </c>
      <c r="Z167" s="385">
        <f t="shared" si="60"/>
        <v>0</v>
      </c>
      <c r="AA167" s="386">
        <f t="shared" si="61"/>
        <v>0</v>
      </c>
      <c r="AB167" s="197">
        <f t="shared" si="62"/>
        <v>43253</v>
      </c>
      <c r="AC167" s="427">
        <f t="shared" si="63"/>
        <v>8.4581410360633717E-3</v>
      </c>
      <c r="AD167" s="169">
        <f>(INDEX(Models!$BJ167:$BT167,,AH167)*(1-AF167)+INDEX(Models!$BJ167:$BT167,,AH167+1)*AF167-ERP_i)*AE167*Ramure*Pc/MaxiM</f>
        <v>0</v>
      </c>
      <c r="AE167" s="305">
        <f t="shared" si="64"/>
        <v>0.7</v>
      </c>
      <c r="AF167" s="177">
        <f t="shared" si="65"/>
        <v>0.21005947774459344</v>
      </c>
      <c r="AG167" s="817">
        <f t="shared" si="66"/>
        <v>-2</v>
      </c>
      <c r="AH167" s="176">
        <f t="shared" si="67"/>
        <v>4</v>
      </c>
      <c r="AI167" s="225">
        <f t="shared" si="68"/>
        <v>-1.7899405222554066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71"/>
        <v>43254</v>
      </c>
      <c r="B168" s="621"/>
      <c r="C168" s="859"/>
      <c r="D168" s="393"/>
      <c r="E168" s="385"/>
      <c r="F168" s="385"/>
      <c r="G168" s="110"/>
      <c r="I168" s="380">
        <f t="shared" si="49"/>
        <v>0</v>
      </c>
      <c r="J168" s="85">
        <v>2018</v>
      </c>
      <c r="K168" s="197">
        <f t="shared" si="50"/>
        <v>43254</v>
      </c>
      <c r="L168" s="438">
        <f t="shared" si="51"/>
        <v>9.8514071332567177E-4</v>
      </c>
      <c r="M168" s="861"/>
      <c r="N168" s="861"/>
      <c r="O168" s="324">
        <f t="shared" si="52"/>
        <v>8.6502395661269653E-3</v>
      </c>
      <c r="P168" s="169">
        <f>(INDEX(Models!$BJ168:$BT168,,T168)*(1-R168)+INDEX(Models!$BJ168:$BT168,,T168+1)*R168-ERP_i)*Q168*Ramure*Pc/MaxiM</f>
        <v>0</v>
      </c>
      <c r="Q168" s="305">
        <f t="shared" si="53"/>
        <v>0.7</v>
      </c>
      <c r="R168" s="177">
        <f t="shared" si="54"/>
        <v>0.21508485052686543</v>
      </c>
      <c r="S168" s="817">
        <f t="shared" si="72"/>
        <v>-2</v>
      </c>
      <c r="T168" s="176">
        <f t="shared" si="55"/>
        <v>4</v>
      </c>
      <c r="U168" s="251">
        <f t="shared" si="56"/>
        <v>-1.7849151494731346</v>
      </c>
      <c r="V168" s="383">
        <f t="shared" si="57"/>
        <v>43.105395890339523</v>
      </c>
      <c r="W168" s="58"/>
      <c r="X168" s="157">
        <f t="shared" si="58"/>
        <v>43254</v>
      </c>
      <c r="Y168" s="385">
        <f t="shared" si="59"/>
        <v>0</v>
      </c>
      <c r="Z168" s="385">
        <f t="shared" si="60"/>
        <v>0</v>
      </c>
      <c r="AA168" s="386">
        <f t="shared" si="61"/>
        <v>0</v>
      </c>
      <c r="AB168" s="197">
        <f t="shared" si="62"/>
        <v>43254</v>
      </c>
      <c r="AC168" s="427">
        <f t="shared" si="63"/>
        <v>8.6502395661269653E-3</v>
      </c>
      <c r="AD168" s="169">
        <f>(INDEX(Models!$BJ168:$BT168,,AH168)*(1-AF168)+INDEX(Models!$BJ168:$BT168,,AH168+1)*AF168-ERP_i)*AE168*Ramure*Pc/MaxiM</f>
        <v>0</v>
      </c>
      <c r="AE168" s="305">
        <f t="shared" si="64"/>
        <v>0.7</v>
      </c>
      <c r="AF168" s="177">
        <f t="shared" si="65"/>
        <v>0.21508485052686543</v>
      </c>
      <c r="AG168" s="817">
        <f t="shared" si="66"/>
        <v>-2</v>
      </c>
      <c r="AH168" s="176">
        <f t="shared" si="67"/>
        <v>4</v>
      </c>
      <c r="AI168" s="225">
        <f t="shared" si="68"/>
        <v>-1.7849151494731346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71"/>
        <v>43255</v>
      </c>
      <c r="B169" s="617">
        <v>14.737</v>
      </c>
      <c r="C169" s="390"/>
      <c r="D169" s="393">
        <f t="shared" ref="D169:D196" si="73">Wh/(1-Ppv)</f>
        <v>14.751855438580979</v>
      </c>
      <c r="E169" s="385">
        <f t="shared" ref="E169:E196" si="74">Wh_pvt/(1-Psa)</f>
        <v>14.883458860132462</v>
      </c>
      <c r="F169" s="385">
        <f t="shared" ref="F169:F196" si="75">Wh_sa/(1-Pvg*MEDIAN((-Sdif+Wh/Env_an)/Csdif,0,1))</f>
        <v>14.883458860132462</v>
      </c>
      <c r="G169" s="110">
        <f t="shared" ref="G169:G196" si="76">+Wh_hp/MaxiM</f>
        <v>0.34206645240118072</v>
      </c>
      <c r="I169" s="380">
        <f t="shared" si="49"/>
        <v>14.883458860132462</v>
      </c>
      <c r="J169" s="85">
        <v>2018</v>
      </c>
      <c r="K169" s="197">
        <f t="shared" si="50"/>
        <v>43255</v>
      </c>
      <c r="L169" s="438">
        <f t="shared" si="51"/>
        <v>1.0070217026481032E-3</v>
      </c>
      <c r="M169" s="861"/>
      <c r="N169" s="861"/>
      <c r="O169" s="324">
        <f t="shared" si="52"/>
        <v>8.8422605785542889E-3</v>
      </c>
      <c r="P169" s="169">
        <f>(INDEX(Models!$BJ169:$BT169,,T169)*(1-R169)+INDEX(Models!$BJ169:$BT169,,T169+1)*R169-ERP_i)*Q169*Ramure*Pc/MaxiM</f>
        <v>0</v>
      </c>
      <c r="Q169" s="305">
        <f t="shared" si="53"/>
        <v>0.7</v>
      </c>
      <c r="R169" s="177">
        <f t="shared" si="54"/>
        <v>0.22013980805652533</v>
      </c>
      <c r="S169" s="817">
        <f t="shared" si="72"/>
        <v>-2</v>
      </c>
      <c r="T169" s="176">
        <f t="shared" si="55"/>
        <v>4</v>
      </c>
      <c r="U169" s="251">
        <f t="shared" si="56"/>
        <v>-1.7798601919434747</v>
      </c>
      <c r="V169" s="383">
        <f t="shared" si="57"/>
        <v>43.082272162475093</v>
      </c>
      <c r="W169" s="58"/>
      <c r="X169" s="157">
        <f t="shared" si="58"/>
        <v>43255</v>
      </c>
      <c r="Y169" s="385">
        <f t="shared" si="59"/>
        <v>14.737</v>
      </c>
      <c r="Z169" s="385">
        <f t="shared" si="60"/>
        <v>14.751855438580979</v>
      </c>
      <c r="AA169" s="386">
        <f t="shared" si="61"/>
        <v>14.883458860132462</v>
      </c>
      <c r="AB169" s="197">
        <f t="shared" si="62"/>
        <v>43255</v>
      </c>
      <c r="AC169" s="427">
        <f t="shared" si="63"/>
        <v>8.8422605785542889E-3</v>
      </c>
      <c r="AD169" s="169">
        <f>(INDEX(Models!$BJ169:$BT169,,AH169)*(1-AF169)+INDEX(Models!$BJ169:$BT169,,AH169+1)*AF169-ERP_i)*AE169*Ramure*Pc/MaxiM</f>
        <v>0</v>
      </c>
      <c r="AE169" s="305">
        <f t="shared" si="64"/>
        <v>0.7</v>
      </c>
      <c r="AF169" s="177">
        <f t="shared" si="65"/>
        <v>0.22013980805652533</v>
      </c>
      <c r="AG169" s="817">
        <f t="shared" si="66"/>
        <v>-2</v>
      </c>
      <c r="AH169" s="176">
        <f t="shared" si="67"/>
        <v>4</v>
      </c>
      <c r="AI169" s="225">
        <f t="shared" si="68"/>
        <v>-1.7798601919434747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71"/>
        <v>43256</v>
      </c>
      <c r="B170" s="617">
        <v>13.129</v>
      </c>
      <c r="C170" s="390"/>
      <c r="D170" s="393">
        <f t="shared" si="73"/>
        <v>13.142522370347582</v>
      </c>
      <c r="E170" s="385">
        <f t="shared" si="74"/>
        <v>13.262336873276711</v>
      </c>
      <c r="F170" s="385">
        <f t="shared" si="75"/>
        <v>13.262336873276711</v>
      </c>
      <c r="G170" s="110">
        <f t="shared" si="76"/>
        <v>0.30491835213656859</v>
      </c>
      <c r="I170" s="380">
        <f t="shared" si="49"/>
        <v>13.262336873276711</v>
      </c>
      <c r="J170" s="85">
        <v>2018</v>
      </c>
      <c r="K170" s="197">
        <f t="shared" si="50"/>
        <v>43256</v>
      </c>
      <c r="L170" s="438">
        <f t="shared" si="51"/>
        <v>1.0289022127206726E-3</v>
      </c>
      <c r="M170" s="861"/>
      <c r="N170" s="861"/>
      <c r="O170" s="324">
        <f t="shared" si="52"/>
        <v>9.0341923956518844E-3</v>
      </c>
      <c r="P170" s="169">
        <f>(INDEX(Models!$BJ170:$BT170,,T170)*(1-R170)+INDEX(Models!$BJ170:$BT170,,T170+1)*R170-ERP_i)*Q170*Ramure*Pc/MaxiM</f>
        <v>0</v>
      </c>
      <c r="Q170" s="305">
        <f t="shared" si="53"/>
        <v>0.7</v>
      </c>
      <c r="R170" s="177">
        <f t="shared" si="54"/>
        <v>0.22522030892679723</v>
      </c>
      <c r="S170" s="817">
        <f t="shared" si="72"/>
        <v>-2</v>
      </c>
      <c r="T170" s="176">
        <f t="shared" si="55"/>
        <v>4</v>
      </c>
      <c r="U170" s="251">
        <f t="shared" si="56"/>
        <v>-1.7747796910732028</v>
      </c>
      <c r="V170" s="383">
        <f t="shared" si="57"/>
        <v>43.057428022960416</v>
      </c>
      <c r="W170" s="58"/>
      <c r="X170" s="157">
        <f t="shared" si="58"/>
        <v>43256</v>
      </c>
      <c r="Y170" s="385">
        <f t="shared" si="59"/>
        <v>13.129</v>
      </c>
      <c r="Z170" s="385">
        <f t="shared" si="60"/>
        <v>13.142522370347582</v>
      </c>
      <c r="AA170" s="386">
        <f t="shared" si="61"/>
        <v>13.262336873276711</v>
      </c>
      <c r="AB170" s="197">
        <f t="shared" si="62"/>
        <v>43256</v>
      </c>
      <c r="AC170" s="427">
        <f t="shared" si="63"/>
        <v>9.0341923956518844E-3</v>
      </c>
      <c r="AD170" s="169">
        <f>(INDEX(Models!$BJ170:$BT170,,AH170)*(1-AF170)+INDEX(Models!$BJ170:$BT170,,AH170+1)*AF170-ERP_i)*AE170*Ramure*Pc/MaxiM</f>
        <v>0</v>
      </c>
      <c r="AE170" s="305">
        <f t="shared" si="64"/>
        <v>0.7</v>
      </c>
      <c r="AF170" s="177">
        <f t="shared" si="65"/>
        <v>0.22522030892679723</v>
      </c>
      <c r="AG170" s="817">
        <f t="shared" si="66"/>
        <v>-2</v>
      </c>
      <c r="AH170" s="176">
        <f t="shared" si="67"/>
        <v>4</v>
      </c>
      <c r="AI170" s="225">
        <f t="shared" si="68"/>
        <v>-1.7747796910732028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1"/>
        <v>43257</v>
      </c>
      <c r="B171" s="617">
        <v>12.707000000000001</v>
      </c>
      <c r="C171" s="390"/>
      <c r="D171" s="393">
        <f t="shared" si="73"/>
        <v>12.720366335076401</v>
      </c>
      <c r="E171" s="385">
        <f t="shared" si="74"/>
        <v>12.838817560640232</v>
      </c>
      <c r="F171" s="385">
        <f t="shared" si="75"/>
        <v>12.838817560640232</v>
      </c>
      <c r="G171" s="110">
        <f t="shared" si="76"/>
        <v>0.29529893682015523</v>
      </c>
      <c r="I171" s="380">
        <f t="shared" si="49"/>
        <v>12.838817560640232</v>
      </c>
      <c r="J171" s="85">
        <v>2018</v>
      </c>
      <c r="K171" s="197">
        <f t="shared" si="50"/>
        <v>43257</v>
      </c>
      <c r="L171" s="438">
        <f t="shared" si="51"/>
        <v>1.0507822435539271E-3</v>
      </c>
      <c r="M171" s="861"/>
      <c r="N171" s="861"/>
      <c r="O171" s="324">
        <f t="shared" si="52"/>
        <v>9.2260229576721919E-3</v>
      </c>
      <c r="P171" s="169">
        <f>(INDEX(Models!$BJ171:$BT171,,T171)*(1-R171)+INDEX(Models!$BJ171:$BT171,,T171+1)*R171-ERP_i)*Q171*Ramure*Pc/MaxiM</f>
        <v>0</v>
      </c>
      <c r="Q171" s="305">
        <f t="shared" si="53"/>
        <v>0.7</v>
      </c>
      <c r="R171" s="177">
        <f t="shared" si="54"/>
        <v>0.23032222747393716</v>
      </c>
      <c r="S171" s="817">
        <f t="shared" si="72"/>
        <v>-2</v>
      </c>
      <c r="T171" s="176">
        <f t="shared" si="55"/>
        <v>4</v>
      </c>
      <c r="U171" s="251">
        <f t="shared" si="56"/>
        <v>-1.7696777725260628</v>
      </c>
      <c r="V171" s="383">
        <f t="shared" si="57"/>
        <v>43.030971045245913</v>
      </c>
      <c r="W171" s="58"/>
      <c r="X171" s="157">
        <f t="shared" si="58"/>
        <v>43257</v>
      </c>
      <c r="Y171" s="385">
        <f t="shared" si="59"/>
        <v>12.707000000000001</v>
      </c>
      <c r="Z171" s="385">
        <f t="shared" si="60"/>
        <v>12.720366335076401</v>
      </c>
      <c r="AA171" s="386">
        <f t="shared" si="61"/>
        <v>12.838817560640232</v>
      </c>
      <c r="AB171" s="197">
        <f t="shared" si="62"/>
        <v>43257</v>
      </c>
      <c r="AC171" s="427">
        <f t="shared" si="63"/>
        <v>9.2260229576721919E-3</v>
      </c>
      <c r="AD171" s="169">
        <f>(INDEX(Models!$BJ171:$BT171,,AH171)*(1-AF171)+INDEX(Models!$BJ171:$BT171,,AH171+1)*AF171-ERP_i)*AE171*Ramure*Pc/MaxiM</f>
        <v>0</v>
      </c>
      <c r="AE171" s="305">
        <f t="shared" si="64"/>
        <v>0.7</v>
      </c>
      <c r="AF171" s="177">
        <f t="shared" si="65"/>
        <v>0.23032222747393716</v>
      </c>
      <c r="AG171" s="817">
        <f t="shared" si="66"/>
        <v>-2</v>
      </c>
      <c r="AH171" s="176">
        <f t="shared" si="67"/>
        <v>4</v>
      </c>
      <c r="AI171" s="225">
        <f t="shared" si="68"/>
        <v>-1.7696777725260628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1"/>
        <v>43258</v>
      </c>
      <c r="B172" s="617">
        <v>34.430999999999997</v>
      </c>
      <c r="C172" s="390"/>
      <c r="D172" s="393">
        <f t="shared" si="73"/>
        <v>34.467972477232898</v>
      </c>
      <c r="E172" s="385">
        <f t="shared" si="74"/>
        <v>34.795669036926832</v>
      </c>
      <c r="F172" s="385">
        <f t="shared" si="75"/>
        <v>34.795669036926832</v>
      </c>
      <c r="G172" s="110">
        <f t="shared" si="76"/>
        <v>0.80066490747382468</v>
      </c>
      <c r="I172" s="380">
        <f t="shared" si="49"/>
        <v>34.795669036926832</v>
      </c>
      <c r="J172" s="85">
        <v>2018</v>
      </c>
      <c r="K172" s="197">
        <f t="shared" si="50"/>
        <v>43258</v>
      </c>
      <c r="L172" s="438">
        <f t="shared" si="51"/>
        <v>1.0726617951584139E-3</v>
      </c>
      <c r="M172" s="861"/>
      <c r="N172" s="861"/>
      <c r="O172" s="324">
        <f t="shared" si="52"/>
        <v>9.4177398729183119E-3</v>
      </c>
      <c r="P172" s="169">
        <f>(INDEX(Models!$BJ172:$BT172,,T172)*(1-R172)+INDEX(Models!$BJ172:$BT172,,T172+1)*R172-ERP_i)*Q172*Ramure*Pc/MaxiM</f>
        <v>0</v>
      </c>
      <c r="Q172" s="305">
        <f t="shared" si="53"/>
        <v>0.7</v>
      </c>
      <c r="R172" s="177">
        <f t="shared" si="54"/>
        <v>0.2354413668917632</v>
      </c>
      <c r="S172" s="817">
        <f t="shared" si="72"/>
        <v>-2</v>
      </c>
      <c r="T172" s="176">
        <f t="shared" si="55"/>
        <v>4</v>
      </c>
      <c r="U172" s="251">
        <f t="shared" si="56"/>
        <v>-1.7645586331082368</v>
      </c>
      <c r="V172" s="383">
        <f t="shared" si="57"/>
        <v>43.003008722629218</v>
      </c>
      <c r="W172" s="58"/>
      <c r="X172" s="157">
        <f t="shared" si="58"/>
        <v>43258</v>
      </c>
      <c r="Y172" s="385">
        <f t="shared" si="59"/>
        <v>34.430999999999997</v>
      </c>
      <c r="Z172" s="385">
        <f t="shared" si="60"/>
        <v>34.467972477232898</v>
      </c>
      <c r="AA172" s="386">
        <f t="shared" si="61"/>
        <v>34.795669036926832</v>
      </c>
      <c r="AB172" s="197">
        <f t="shared" si="62"/>
        <v>43258</v>
      </c>
      <c r="AC172" s="427">
        <f t="shared" si="63"/>
        <v>9.4177398729183119E-3</v>
      </c>
      <c r="AD172" s="169">
        <f>(INDEX(Models!$BJ172:$BT172,,AH172)*(1-AF172)+INDEX(Models!$BJ172:$BT172,,AH172+1)*AF172-ERP_i)*AE172*Ramure*Pc/MaxiM</f>
        <v>0</v>
      </c>
      <c r="AE172" s="305">
        <f t="shared" si="64"/>
        <v>0.7</v>
      </c>
      <c r="AF172" s="177">
        <f t="shared" si="65"/>
        <v>0.2354413668917632</v>
      </c>
      <c r="AG172" s="817">
        <f t="shared" si="66"/>
        <v>-2</v>
      </c>
      <c r="AH172" s="176">
        <f t="shared" si="67"/>
        <v>4</v>
      </c>
      <c r="AI172" s="225">
        <f t="shared" si="68"/>
        <v>-1.7645586331082368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1"/>
        <v>43259</v>
      </c>
      <c r="B173" s="617">
        <v>32.472000000000001</v>
      </c>
      <c r="C173" s="390"/>
      <c r="D173" s="393">
        <f t="shared" si="73"/>
        <v>32.507580875773542</v>
      </c>
      <c r="E173" s="385">
        <f t="shared" si="74"/>
        <v>32.822987812688936</v>
      </c>
      <c r="F173" s="385">
        <f t="shared" si="75"/>
        <v>32.822987812688936</v>
      </c>
      <c r="G173" s="110">
        <f t="shared" si="76"/>
        <v>0.75562585811039773</v>
      </c>
      <c r="I173" s="380">
        <f t="shared" si="49"/>
        <v>32.822987812688936</v>
      </c>
      <c r="J173" s="85">
        <v>2018</v>
      </c>
      <c r="K173" s="197">
        <f t="shared" si="50"/>
        <v>43259</v>
      </c>
      <c r="L173" s="438">
        <f t="shared" si="51"/>
        <v>1.0945408675444579E-3</v>
      </c>
      <c r="M173" s="861"/>
      <c r="N173" s="861"/>
      <c r="O173" s="324">
        <f t="shared" si="52"/>
        <v>9.6093304703194719E-3</v>
      </c>
      <c r="P173" s="169">
        <f>(INDEX(Models!$BJ173:$BT173,,T173)*(1-R173)+INDEX(Models!$BJ173:$BT173,,T173+1)*R173-ERP_i)*Q173*Ramure*Pc/MaxiM</f>
        <v>0</v>
      </c>
      <c r="Q173" s="305">
        <f t="shared" si="53"/>
        <v>0.7</v>
      </c>
      <c r="R173" s="177">
        <f t="shared" si="54"/>
        <v>0.24057347284502972</v>
      </c>
      <c r="S173" s="817">
        <f t="shared" si="72"/>
        <v>-2</v>
      </c>
      <c r="T173" s="176">
        <f t="shared" si="55"/>
        <v>4</v>
      </c>
      <c r="U173" s="251">
        <f t="shared" si="56"/>
        <v>-1.7594265271549703</v>
      </c>
      <c r="V173" s="383">
        <f t="shared" si="57"/>
        <v>42.973648468308248</v>
      </c>
      <c r="W173" s="58"/>
      <c r="X173" s="157">
        <f t="shared" si="58"/>
        <v>43259</v>
      </c>
      <c r="Y173" s="385">
        <f t="shared" si="59"/>
        <v>32.472000000000001</v>
      </c>
      <c r="Z173" s="385">
        <f t="shared" si="60"/>
        <v>32.507580875773542</v>
      </c>
      <c r="AA173" s="386">
        <f t="shared" si="61"/>
        <v>32.822987812688936</v>
      </c>
      <c r="AB173" s="197">
        <f t="shared" si="62"/>
        <v>43259</v>
      </c>
      <c r="AC173" s="427">
        <f t="shared" si="63"/>
        <v>9.6093304703194719E-3</v>
      </c>
      <c r="AD173" s="169">
        <f>(INDEX(Models!$BJ173:$BT173,,AH173)*(1-AF173)+INDEX(Models!$BJ173:$BT173,,AH173+1)*AF173-ERP_i)*AE173*Ramure*Pc/MaxiM</f>
        <v>0</v>
      </c>
      <c r="AE173" s="305">
        <f t="shared" si="64"/>
        <v>0.7</v>
      </c>
      <c r="AF173" s="177">
        <f t="shared" si="65"/>
        <v>0.24057347284502972</v>
      </c>
      <c r="AG173" s="817">
        <f t="shared" si="66"/>
        <v>-2</v>
      </c>
      <c r="AH173" s="176">
        <f t="shared" si="67"/>
        <v>4</v>
      </c>
      <c r="AI173" s="225">
        <f t="shared" si="68"/>
        <v>-1.7594265271549703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1"/>
        <v>43260</v>
      </c>
      <c r="B174" s="617">
        <v>30.879000000000001</v>
      </c>
      <c r="C174" s="390"/>
      <c r="D174" s="393">
        <f t="shared" si="73"/>
        <v>30.913512446895012</v>
      </c>
      <c r="E174" s="385">
        <f t="shared" si="74"/>
        <v>31.219487836781557</v>
      </c>
      <c r="F174" s="385">
        <f t="shared" si="75"/>
        <v>31.219487836781557</v>
      </c>
      <c r="G174" s="110">
        <f t="shared" si="76"/>
        <v>0.71906950417846871</v>
      </c>
      <c r="I174" s="380">
        <f t="shared" si="49"/>
        <v>31.219487836781557</v>
      </c>
      <c r="J174" s="85">
        <v>2018</v>
      </c>
      <c r="K174" s="197">
        <f t="shared" si="50"/>
        <v>43260</v>
      </c>
      <c r="L174" s="438">
        <f t="shared" si="51"/>
        <v>1.1164194607228284E-3</v>
      </c>
      <c r="M174" s="861"/>
      <c r="N174" s="861"/>
      <c r="O174" s="324">
        <f t="shared" si="52"/>
        <v>9.8007818541486717E-3</v>
      </c>
      <c r="P174" s="169">
        <f>(INDEX(Models!$BJ174:$BT174,,T174)*(1-R174)+INDEX(Models!$BJ174:$BT174,,T174+1)*R174-ERP_i)*Q174*Ramure*Pc/MaxiM</f>
        <v>0</v>
      </c>
      <c r="Q174" s="305">
        <f t="shared" si="53"/>
        <v>0.7</v>
      </c>
      <c r="R174" s="177">
        <f t="shared" si="54"/>
        <v>0.24571424748933546</v>
      </c>
      <c r="S174" s="817">
        <f t="shared" si="72"/>
        <v>-2</v>
      </c>
      <c r="T174" s="176">
        <f t="shared" si="55"/>
        <v>4</v>
      </c>
      <c r="U174" s="251">
        <f t="shared" si="56"/>
        <v>-1.7542857525106645</v>
      </c>
      <c r="V174" s="383">
        <f t="shared" si="57"/>
        <v>42.942997610890231</v>
      </c>
      <c r="W174" s="58"/>
      <c r="X174" s="157">
        <f t="shared" si="58"/>
        <v>43260</v>
      </c>
      <c r="Y174" s="385">
        <f t="shared" si="59"/>
        <v>30.879000000000001</v>
      </c>
      <c r="Z174" s="385">
        <f t="shared" si="60"/>
        <v>30.913512446895012</v>
      </c>
      <c r="AA174" s="386">
        <f t="shared" si="61"/>
        <v>31.219487836781557</v>
      </c>
      <c r="AB174" s="197">
        <f t="shared" si="62"/>
        <v>43260</v>
      </c>
      <c r="AC174" s="427">
        <f t="shared" si="63"/>
        <v>9.8007818541486717E-3</v>
      </c>
      <c r="AD174" s="169">
        <f>(INDEX(Models!$BJ174:$BT174,,AH174)*(1-AF174)+INDEX(Models!$BJ174:$BT174,,AH174+1)*AF174-ERP_i)*AE174*Ramure*Pc/MaxiM</f>
        <v>0</v>
      </c>
      <c r="AE174" s="305">
        <f t="shared" si="64"/>
        <v>0.7</v>
      </c>
      <c r="AF174" s="177">
        <f t="shared" si="65"/>
        <v>0.24571424748933546</v>
      </c>
      <c r="AG174" s="817">
        <f t="shared" si="66"/>
        <v>-2</v>
      </c>
      <c r="AH174" s="176">
        <f t="shared" si="67"/>
        <v>4</v>
      </c>
      <c r="AI174" s="225">
        <f t="shared" si="68"/>
        <v>-1.7542857525106645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1"/>
        <v>43261</v>
      </c>
      <c r="B175" s="617">
        <v>13.007999999999999</v>
      </c>
      <c r="C175" s="390"/>
      <c r="D175" s="393">
        <f t="shared" si="73"/>
        <v>13.022823848802885</v>
      </c>
      <c r="E175" s="385">
        <f t="shared" si="74"/>
        <v>13.154262302707572</v>
      </c>
      <c r="F175" s="385">
        <f t="shared" si="75"/>
        <v>13.154262302707572</v>
      </c>
      <c r="G175" s="110">
        <f t="shared" si="76"/>
        <v>0.30313790099053889</v>
      </c>
      <c r="I175" s="380">
        <f t="shared" si="49"/>
        <v>13.154262302707572</v>
      </c>
      <c r="J175" s="85">
        <v>2018</v>
      </c>
      <c r="K175" s="197">
        <f t="shared" si="50"/>
        <v>43261</v>
      </c>
      <c r="L175" s="438">
        <f t="shared" si="51"/>
        <v>1.1382975747037394E-3</v>
      </c>
      <c r="M175" s="861"/>
      <c r="N175" s="861"/>
      <c r="O175" s="324">
        <f t="shared" si="52"/>
        <v>9.9920809605288773E-3</v>
      </c>
      <c r="P175" s="169">
        <f>(INDEX(Models!$BJ175:$BT175,,T175)*(1-R175)+INDEX(Models!$BJ175:$BT175,,T175+1)*R175-ERP_i)*Q175*Ramure*Pc/MaxiM</f>
        <v>0</v>
      </c>
      <c r="Q175" s="305">
        <f t="shared" si="53"/>
        <v>0.7</v>
      </c>
      <c r="R175" s="177">
        <f t="shared" si="54"/>
        <v>0.25085936380034712</v>
      </c>
      <c r="S175" s="817">
        <f t="shared" si="72"/>
        <v>-2</v>
      </c>
      <c r="T175" s="176">
        <f t="shared" si="55"/>
        <v>4</v>
      </c>
      <c r="U175" s="251">
        <f t="shared" si="56"/>
        <v>-1.7491406361996529</v>
      </c>
      <c r="V175" s="383">
        <f t="shared" si="57"/>
        <v>42.911163392946982</v>
      </c>
      <c r="W175" s="58"/>
      <c r="X175" s="157">
        <f t="shared" si="58"/>
        <v>43261</v>
      </c>
      <c r="Y175" s="385">
        <f t="shared" si="59"/>
        <v>13.007999999999999</v>
      </c>
      <c r="Z175" s="385">
        <f t="shared" si="60"/>
        <v>13.022823848802885</v>
      </c>
      <c r="AA175" s="386">
        <f t="shared" si="61"/>
        <v>13.154262302707572</v>
      </c>
      <c r="AB175" s="197">
        <f t="shared" si="62"/>
        <v>43261</v>
      </c>
      <c r="AC175" s="427">
        <f t="shared" si="63"/>
        <v>9.9920809605288773E-3</v>
      </c>
      <c r="AD175" s="169">
        <f>(INDEX(Models!$BJ175:$BT175,,AH175)*(1-AF175)+INDEX(Models!$BJ175:$BT175,,AH175+1)*AF175-ERP_i)*AE175*Ramure*Pc/MaxiM</f>
        <v>0</v>
      </c>
      <c r="AE175" s="305">
        <f t="shared" si="64"/>
        <v>0.7</v>
      </c>
      <c r="AF175" s="177">
        <f t="shared" si="65"/>
        <v>0.25085936380034712</v>
      </c>
      <c r="AG175" s="817">
        <f t="shared" si="66"/>
        <v>-2</v>
      </c>
      <c r="AH175" s="176">
        <f t="shared" si="67"/>
        <v>4</v>
      </c>
      <c r="AI175" s="225">
        <f t="shared" si="68"/>
        <v>-1.7491406361996529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1"/>
        <v>43262</v>
      </c>
      <c r="B176" s="617">
        <v>15.669</v>
      </c>
      <c r="C176" s="390"/>
      <c r="D176" s="393">
        <f t="shared" si="73"/>
        <v>15.687199900430917</v>
      </c>
      <c r="E176" s="385">
        <f t="shared" si="74"/>
        <v>15.848589488543357</v>
      </c>
      <c r="F176" s="385">
        <f t="shared" si="75"/>
        <v>15.848589488543357</v>
      </c>
      <c r="G176" s="110">
        <f t="shared" si="76"/>
        <v>0.36543000040554935</v>
      </c>
      <c r="I176" s="380">
        <f t="shared" si="49"/>
        <v>15.848589488543357</v>
      </c>
      <c r="J176" s="85">
        <v>2018</v>
      </c>
      <c r="K176" s="197">
        <f t="shared" si="50"/>
        <v>43262</v>
      </c>
      <c r="L176" s="438">
        <f t="shared" si="51"/>
        <v>1.160175209497849E-3</v>
      </c>
      <c r="M176" s="861"/>
      <c r="N176" s="861"/>
      <c r="O176" s="324">
        <f t="shared" si="52"/>
        <v>1.0183214615351457E-2</v>
      </c>
      <c r="P176" s="169">
        <f>(INDEX(Models!$BJ176:$BT176,,T176)*(1-R176)+INDEX(Models!$BJ176:$BT176,,T176+1)*R176-ERP_i)*Q176*Ramure*Pc/MaxiM</f>
        <v>0</v>
      </c>
      <c r="Q176" s="305">
        <f t="shared" si="53"/>
        <v>0.7</v>
      </c>
      <c r="R176" s="177">
        <f t="shared" si="54"/>
        <v>0.25600448011135857</v>
      </c>
      <c r="S176" s="817">
        <f t="shared" si="72"/>
        <v>-2</v>
      </c>
      <c r="T176" s="176">
        <f t="shared" si="55"/>
        <v>4</v>
      </c>
      <c r="U176" s="251">
        <f t="shared" si="56"/>
        <v>-1.7439955198886414</v>
      </c>
      <c r="V176" s="383">
        <f t="shared" si="57"/>
        <v>42.878252969407967</v>
      </c>
      <c r="W176" s="58"/>
      <c r="X176" s="157">
        <f t="shared" si="58"/>
        <v>43262</v>
      </c>
      <c r="Y176" s="385">
        <f t="shared" si="59"/>
        <v>15.669</v>
      </c>
      <c r="Z176" s="385">
        <f t="shared" si="60"/>
        <v>15.687199900430917</v>
      </c>
      <c r="AA176" s="386">
        <f t="shared" si="61"/>
        <v>15.848589488543357</v>
      </c>
      <c r="AB176" s="197">
        <f t="shared" si="62"/>
        <v>43262</v>
      </c>
      <c r="AC176" s="427">
        <f t="shared" si="63"/>
        <v>1.0183214615351457E-2</v>
      </c>
      <c r="AD176" s="169">
        <f>(INDEX(Models!$BJ176:$BT176,,AH176)*(1-AF176)+INDEX(Models!$BJ176:$BT176,,AH176+1)*AF176-ERP_i)*AE176*Ramure*Pc/MaxiM</f>
        <v>0</v>
      </c>
      <c r="AE176" s="305">
        <f t="shared" si="64"/>
        <v>0.7</v>
      </c>
      <c r="AF176" s="177">
        <f t="shared" si="65"/>
        <v>0.25600448011135857</v>
      </c>
      <c r="AG176" s="817">
        <f t="shared" si="66"/>
        <v>-2</v>
      </c>
      <c r="AH176" s="176">
        <f t="shared" si="67"/>
        <v>4</v>
      </c>
      <c r="AI176" s="225">
        <f t="shared" si="68"/>
        <v>-1.7439955198886414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1"/>
        <v>43263</v>
      </c>
      <c r="B177" s="617">
        <v>15.404</v>
      </c>
      <c r="C177" s="390"/>
      <c r="D177" s="393">
        <f t="shared" si="73"/>
        <v>15.422229883308921</v>
      </c>
      <c r="E177" s="385">
        <f t="shared" si="74"/>
        <v>15.583899903834938</v>
      </c>
      <c r="F177" s="385">
        <f t="shared" si="75"/>
        <v>15.583899903834938</v>
      </c>
      <c r="G177" s="110">
        <f t="shared" si="76"/>
        <v>0.35953793436569681</v>
      </c>
      <c r="I177" s="380">
        <f t="shared" si="49"/>
        <v>15.583899903834938</v>
      </c>
      <c r="J177" s="85">
        <v>2018</v>
      </c>
      <c r="K177" s="197">
        <f t="shared" si="50"/>
        <v>43263</v>
      </c>
      <c r="L177" s="438">
        <f t="shared" si="51"/>
        <v>1.1820523651155934E-3</v>
      </c>
      <c r="M177" s="861"/>
      <c r="N177" s="861"/>
      <c r="O177" s="324">
        <f t="shared" si="52"/>
        <v>1.0374169593211599E-2</v>
      </c>
      <c r="P177" s="169">
        <f>(INDEX(Models!$BJ177:$BT177,,T177)*(1-R177)+INDEX(Models!$BJ177:$BT177,,T177+1)*R177-ERP_i)*Q177*Ramure*Pc/MaxiM</f>
        <v>0</v>
      </c>
      <c r="Q177" s="305">
        <f t="shared" si="53"/>
        <v>0.7</v>
      </c>
      <c r="R177" s="177">
        <f t="shared" si="54"/>
        <v>0.26114525475566452</v>
      </c>
      <c r="S177" s="817">
        <f t="shared" si="72"/>
        <v>-2</v>
      </c>
      <c r="T177" s="176">
        <f t="shared" si="55"/>
        <v>4</v>
      </c>
      <c r="U177" s="251">
        <f t="shared" si="56"/>
        <v>-1.7388547452443355</v>
      </c>
      <c r="V177" s="383">
        <f t="shared" si="57"/>
        <v>42.843879678999684</v>
      </c>
      <c r="W177" s="58"/>
      <c r="X177" s="157">
        <f t="shared" si="58"/>
        <v>43263</v>
      </c>
      <c r="Y177" s="385">
        <f t="shared" si="59"/>
        <v>15.404</v>
      </c>
      <c r="Z177" s="385">
        <f t="shared" si="60"/>
        <v>15.422229883308921</v>
      </c>
      <c r="AA177" s="386">
        <f t="shared" si="61"/>
        <v>15.583899903834938</v>
      </c>
      <c r="AB177" s="197">
        <f t="shared" si="62"/>
        <v>43263</v>
      </c>
      <c r="AC177" s="427">
        <f t="shared" si="63"/>
        <v>1.0374169593211599E-2</v>
      </c>
      <c r="AD177" s="169">
        <f>(INDEX(Models!$BJ177:$BT177,,AH177)*(1-AF177)+INDEX(Models!$BJ177:$BT177,,AH177+1)*AF177-ERP_i)*AE177*Ramure*Pc/MaxiM</f>
        <v>0</v>
      </c>
      <c r="AE177" s="305">
        <f t="shared" si="64"/>
        <v>0.7</v>
      </c>
      <c r="AF177" s="177">
        <f t="shared" si="65"/>
        <v>0.26114525475566452</v>
      </c>
      <c r="AG177" s="817">
        <f t="shared" si="66"/>
        <v>-2</v>
      </c>
      <c r="AH177" s="176">
        <f t="shared" si="67"/>
        <v>4</v>
      </c>
      <c r="AI177" s="225">
        <f t="shared" si="68"/>
        <v>-1.7388547452443355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1"/>
        <v>43264</v>
      </c>
      <c r="B178" s="617">
        <v>33.49</v>
      </c>
      <c r="C178" s="390"/>
      <c r="D178" s="393">
        <f t="shared" si="73"/>
        <v>33.530368184031211</v>
      </c>
      <c r="E178" s="385">
        <f t="shared" si="74"/>
        <v>33.888396814910486</v>
      </c>
      <c r="F178" s="385">
        <f t="shared" si="75"/>
        <v>33.888396814910486</v>
      </c>
      <c r="G178" s="110">
        <f t="shared" si="76"/>
        <v>0.78233667053987455</v>
      </c>
      <c r="I178" s="380">
        <f t="shared" si="49"/>
        <v>33.888396814910486</v>
      </c>
      <c r="J178" s="85">
        <v>2018</v>
      </c>
      <c r="K178" s="197">
        <f t="shared" si="50"/>
        <v>43264</v>
      </c>
      <c r="L178" s="438">
        <f t="shared" si="51"/>
        <v>1.2039290415675197E-3</v>
      </c>
      <c r="M178" s="861"/>
      <c r="N178" s="861"/>
      <c r="O178" s="324">
        <f t="shared" si="52"/>
        <v>1.0564932676949385E-2</v>
      </c>
      <c r="P178" s="169">
        <f>(INDEX(Models!$BJ178:$BT178,,T178)*(1-R178)+INDEX(Models!$BJ178:$BT178,,T178+1)*R178-ERP_i)*Q178*Ramure*Pc/MaxiM</f>
        <v>0</v>
      </c>
      <c r="Q178" s="305">
        <f t="shared" si="53"/>
        <v>0.7</v>
      </c>
      <c r="R178" s="177">
        <f t="shared" si="54"/>
        <v>0.26627736070893104</v>
      </c>
      <c r="S178" s="817">
        <f t="shared" si="72"/>
        <v>-2</v>
      </c>
      <c r="T178" s="176">
        <f t="shared" si="55"/>
        <v>4</v>
      </c>
      <c r="U178" s="251">
        <f t="shared" si="56"/>
        <v>-1.733722639291069</v>
      </c>
      <c r="V178" s="383">
        <f t="shared" si="57"/>
        <v>42.807657190464099</v>
      </c>
      <c r="W178" s="58"/>
      <c r="X178" s="157">
        <f t="shared" si="58"/>
        <v>43264</v>
      </c>
      <c r="Y178" s="385">
        <f t="shared" si="59"/>
        <v>33.49</v>
      </c>
      <c r="Z178" s="385">
        <f t="shared" si="60"/>
        <v>33.530368184031211</v>
      </c>
      <c r="AA178" s="386">
        <f t="shared" si="61"/>
        <v>33.888396814910486</v>
      </c>
      <c r="AB178" s="197">
        <f t="shared" si="62"/>
        <v>43264</v>
      </c>
      <c r="AC178" s="427">
        <f t="shared" si="63"/>
        <v>1.0564932676949385E-2</v>
      </c>
      <c r="AD178" s="169">
        <f>(INDEX(Models!$BJ178:$BT178,,AH178)*(1-AF178)+INDEX(Models!$BJ178:$BT178,,AH178+1)*AF178-ERP_i)*AE178*Ramure*Pc/MaxiM</f>
        <v>0</v>
      </c>
      <c r="AE178" s="305">
        <f t="shared" si="64"/>
        <v>0.7</v>
      </c>
      <c r="AF178" s="177">
        <f t="shared" si="65"/>
        <v>0.26627736070893104</v>
      </c>
      <c r="AG178" s="817">
        <f t="shared" si="66"/>
        <v>-2</v>
      </c>
      <c r="AH178" s="176">
        <f t="shared" si="67"/>
        <v>4</v>
      </c>
      <c r="AI178" s="225">
        <f t="shared" si="68"/>
        <v>-1.733722639291069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43265</v>
      </c>
      <c r="B179" s="617">
        <v>31.681000000000001</v>
      </c>
      <c r="C179" s="390"/>
      <c r="D179" s="393">
        <f t="shared" si="73"/>
        <v>31.719882398019642</v>
      </c>
      <c r="E179" s="385">
        <f t="shared" si="74"/>
        <v>32.064754568132031</v>
      </c>
      <c r="F179" s="385">
        <f t="shared" si="75"/>
        <v>32.064754568132031</v>
      </c>
      <c r="G179" s="110">
        <f t="shared" si="76"/>
        <v>0.74073480000922964</v>
      </c>
      <c r="I179" s="380">
        <f t="shared" si="49"/>
        <v>32.064754568132031</v>
      </c>
      <c r="J179" s="85">
        <v>2018</v>
      </c>
      <c r="K179" s="197">
        <f t="shared" si="50"/>
        <v>43265</v>
      </c>
      <c r="L179" s="438">
        <f t="shared" si="51"/>
        <v>1.2258052388639529E-3</v>
      </c>
      <c r="M179" s="861"/>
      <c r="N179" s="861"/>
      <c r="O179" s="324">
        <f t="shared" si="52"/>
        <v>1.0755490717373056E-2</v>
      </c>
      <c r="P179" s="169">
        <f>(INDEX(Models!$BJ179:$BT179,,T179)*(1-R179)+INDEX(Models!$BJ179:$BT179,,T179+1)*R179-ERP_i)*Q179*Ramure*Pc/MaxiM</f>
        <v>0</v>
      </c>
      <c r="Q179" s="305">
        <f t="shared" si="53"/>
        <v>0.7</v>
      </c>
      <c r="R179" s="177">
        <f t="shared" si="54"/>
        <v>0.27139650012675687</v>
      </c>
      <c r="S179" s="817">
        <f t="shared" si="72"/>
        <v>-2</v>
      </c>
      <c r="T179" s="176">
        <f t="shared" si="55"/>
        <v>4</v>
      </c>
      <c r="U179" s="251">
        <f t="shared" si="56"/>
        <v>-1.7286034998732431</v>
      </c>
      <c r="V179" s="383">
        <f t="shared" si="57"/>
        <v>42.76969301240505</v>
      </c>
      <c r="W179" s="58"/>
      <c r="X179" s="157">
        <f t="shared" si="58"/>
        <v>43265</v>
      </c>
      <c r="Y179" s="385">
        <f t="shared" si="59"/>
        <v>31.681000000000001</v>
      </c>
      <c r="Z179" s="385">
        <f t="shared" si="60"/>
        <v>31.719882398019642</v>
      </c>
      <c r="AA179" s="386">
        <f t="shared" si="61"/>
        <v>32.064754568132031</v>
      </c>
      <c r="AB179" s="197">
        <f t="shared" si="62"/>
        <v>43265</v>
      </c>
      <c r="AC179" s="427">
        <f t="shared" si="63"/>
        <v>1.0755490717373056E-2</v>
      </c>
      <c r="AD179" s="169">
        <f>(INDEX(Models!$BJ179:$BT179,,AH179)*(1-AF179)+INDEX(Models!$BJ179:$BT179,,AH179+1)*AF179-ERP_i)*AE179*Ramure*Pc/MaxiM</f>
        <v>0</v>
      </c>
      <c r="AE179" s="305">
        <f t="shared" si="64"/>
        <v>0.7</v>
      </c>
      <c r="AF179" s="177">
        <f t="shared" si="65"/>
        <v>0.27139650012675687</v>
      </c>
      <c r="AG179" s="817">
        <f t="shared" si="66"/>
        <v>-2</v>
      </c>
      <c r="AH179" s="176">
        <f t="shared" si="67"/>
        <v>4</v>
      </c>
      <c r="AI179" s="225">
        <f t="shared" si="68"/>
        <v>-1.7286034998732431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1"/>
        <v>43266</v>
      </c>
      <c r="B180" s="617">
        <v>24.001999999999999</v>
      </c>
      <c r="C180" s="390"/>
      <c r="D180" s="393">
        <f t="shared" si="73"/>
        <v>24.031984249106909</v>
      </c>
      <c r="E180" s="385">
        <f t="shared" si="74"/>
        <v>24.297945446141629</v>
      </c>
      <c r="F180" s="385">
        <f t="shared" si="75"/>
        <v>24.297945446141629</v>
      </c>
      <c r="G180" s="110">
        <f t="shared" si="76"/>
        <v>0.56171183919989087</v>
      </c>
      <c r="I180" s="380">
        <f t="shared" si="49"/>
        <v>24.297945446141629</v>
      </c>
      <c r="J180" s="85">
        <v>2018</v>
      </c>
      <c r="K180" s="197">
        <f t="shared" si="50"/>
        <v>43266</v>
      </c>
      <c r="L180" s="438">
        <f t="shared" si="51"/>
        <v>1.2476809570156622E-3</v>
      </c>
      <c r="M180" s="861"/>
      <c r="N180" s="861"/>
      <c r="O180" s="324">
        <f t="shared" si="52"/>
        <v>1.0945830692732634E-2</v>
      </c>
      <c r="P180" s="169">
        <f>(INDEX(Models!$BJ180:$BT180,,T180)*(1-R180)+INDEX(Models!$BJ180:$BT180,,T180+1)*R180-ERP_i)*Q180*Ramure*Pc/MaxiM</f>
        <v>0</v>
      </c>
      <c r="Q180" s="305">
        <f t="shared" si="53"/>
        <v>0.7</v>
      </c>
      <c r="R180" s="177">
        <f t="shared" si="54"/>
        <v>0.27649841867389702</v>
      </c>
      <c r="S180" s="817">
        <f t="shared" si="72"/>
        <v>-2</v>
      </c>
      <c r="T180" s="176">
        <f t="shared" si="55"/>
        <v>4</v>
      </c>
      <c r="U180" s="251">
        <f t="shared" si="56"/>
        <v>-1.723501581326103</v>
      </c>
      <c r="V180" s="383">
        <f t="shared" si="57"/>
        <v>42.730094552019295</v>
      </c>
      <c r="W180" s="58"/>
      <c r="X180" s="157">
        <f t="shared" si="58"/>
        <v>43266</v>
      </c>
      <c r="Y180" s="385">
        <f t="shared" si="59"/>
        <v>24.001999999999999</v>
      </c>
      <c r="Z180" s="385">
        <f t="shared" si="60"/>
        <v>24.031984249106909</v>
      </c>
      <c r="AA180" s="386">
        <f t="shared" si="61"/>
        <v>24.297945446141629</v>
      </c>
      <c r="AB180" s="197">
        <f t="shared" si="62"/>
        <v>43266</v>
      </c>
      <c r="AC180" s="427">
        <f t="shared" si="63"/>
        <v>1.0945830692732634E-2</v>
      </c>
      <c r="AD180" s="169">
        <f>(INDEX(Models!$BJ180:$BT180,,AH180)*(1-AF180)+INDEX(Models!$BJ180:$BT180,,AH180+1)*AF180-ERP_i)*AE180*Ramure*Pc/MaxiM</f>
        <v>0</v>
      </c>
      <c r="AE180" s="305">
        <f t="shared" si="64"/>
        <v>0.7</v>
      </c>
      <c r="AF180" s="177">
        <f t="shared" si="65"/>
        <v>0.27649841867389702</v>
      </c>
      <c r="AG180" s="817">
        <f t="shared" si="66"/>
        <v>-2</v>
      </c>
      <c r="AH180" s="176">
        <f t="shared" si="67"/>
        <v>4</v>
      </c>
      <c r="AI180" s="225">
        <f t="shared" si="68"/>
        <v>-1.723501581326103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43267</v>
      </c>
      <c r="B181" s="617">
        <v>24.66</v>
      </c>
      <c r="C181" s="390"/>
      <c r="D181" s="393">
        <f t="shared" si="73"/>
        <v>24.691347052639077</v>
      </c>
      <c r="E181" s="385">
        <f t="shared" si="74"/>
        <v>24.969404840978733</v>
      </c>
      <c r="F181" s="385">
        <f t="shared" si="75"/>
        <v>24.969404840978733</v>
      </c>
      <c r="G181" s="110">
        <f t="shared" si="76"/>
        <v>0.57766679570336543</v>
      </c>
      <c r="I181" s="380">
        <f t="shared" si="49"/>
        <v>24.969404840978733</v>
      </c>
      <c r="J181" s="85">
        <v>2018</v>
      </c>
      <c r="K181" s="197">
        <f t="shared" si="50"/>
        <v>43267</v>
      </c>
      <c r="L181" s="438">
        <f t="shared" si="51"/>
        <v>1.2695561960329727E-3</v>
      </c>
      <c r="M181" s="861"/>
      <c r="N181" s="861"/>
      <c r="O181" s="324">
        <f t="shared" si="52"/>
        <v>1.1135939767507673E-2</v>
      </c>
      <c r="P181" s="169">
        <f>(INDEX(Models!$BJ181:$BT181,,T181)*(1-R181)+INDEX(Models!$BJ181:$BT181,,T181+1)*R181-ERP_i)*Q181*Ramure*Pc/MaxiM</f>
        <v>0</v>
      </c>
      <c r="Q181" s="305">
        <f t="shared" si="53"/>
        <v>0.7</v>
      </c>
      <c r="R181" s="177">
        <f t="shared" si="54"/>
        <v>0.28157891954416892</v>
      </c>
      <c r="S181" s="817">
        <f t="shared" si="72"/>
        <v>-2</v>
      </c>
      <c r="T181" s="176">
        <f t="shared" si="55"/>
        <v>4</v>
      </c>
      <c r="U181" s="251">
        <f t="shared" si="56"/>
        <v>-1.7184210804558311</v>
      </c>
      <c r="V181" s="383">
        <f t="shared" si="57"/>
        <v>42.68896911406177</v>
      </c>
      <c r="W181" s="58"/>
      <c r="X181" s="157">
        <f t="shared" si="58"/>
        <v>43267</v>
      </c>
      <c r="Y181" s="385">
        <f t="shared" si="59"/>
        <v>24.66</v>
      </c>
      <c r="Z181" s="385">
        <f t="shared" si="60"/>
        <v>24.691347052639077</v>
      </c>
      <c r="AA181" s="386">
        <f t="shared" si="61"/>
        <v>24.969404840978733</v>
      </c>
      <c r="AB181" s="197">
        <f t="shared" si="62"/>
        <v>43267</v>
      </c>
      <c r="AC181" s="427">
        <f t="shared" si="63"/>
        <v>1.1135939767507673E-2</v>
      </c>
      <c r="AD181" s="169">
        <f>(INDEX(Models!$BJ181:$BT181,,AH181)*(1-AF181)+INDEX(Models!$BJ181:$BT181,,AH181+1)*AF181-ERP_i)*AE181*Ramure*Pc/MaxiM</f>
        <v>0</v>
      </c>
      <c r="AE181" s="305">
        <f t="shared" si="64"/>
        <v>0.7</v>
      </c>
      <c r="AF181" s="177">
        <f t="shared" si="65"/>
        <v>0.28157891954416892</v>
      </c>
      <c r="AG181" s="817">
        <f t="shared" si="66"/>
        <v>-2</v>
      </c>
      <c r="AH181" s="176">
        <f t="shared" si="67"/>
        <v>4</v>
      </c>
      <c r="AI181" s="225">
        <f t="shared" si="68"/>
        <v>-1.7184210804558311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43268</v>
      </c>
      <c r="B182" s="617">
        <v>25.785</v>
      </c>
      <c r="C182" s="390"/>
      <c r="D182" s="393">
        <f t="shared" si="73"/>
        <v>25.81834260687323</v>
      </c>
      <c r="E182" s="385">
        <f t="shared" si="74"/>
        <v>26.114105887041045</v>
      </c>
      <c r="F182" s="385">
        <f t="shared" si="75"/>
        <v>26.114105887041045</v>
      </c>
      <c r="G182" s="110">
        <f t="shared" si="76"/>
        <v>0.60462279466537183</v>
      </c>
      <c r="I182" s="380">
        <f t="shared" si="49"/>
        <v>26.114105887041045</v>
      </c>
      <c r="J182" s="85">
        <v>2018</v>
      </c>
      <c r="K182" s="197">
        <f t="shared" si="50"/>
        <v>43268</v>
      </c>
      <c r="L182" s="438">
        <f t="shared" si="51"/>
        <v>1.2914309559264314E-3</v>
      </c>
      <c r="M182" s="861"/>
      <c r="N182" s="861"/>
      <c r="O182" s="324">
        <f t="shared" si="52"/>
        <v>1.1325805350072764E-2</v>
      </c>
      <c r="P182" s="169">
        <f>(INDEX(Models!$BJ182:$BT182,,T182)*(1-R182)+INDEX(Models!$BJ182:$BT182,,T182+1)*R182-ERP_i)*Q182*Ramure*Pc/MaxiM</f>
        <v>0</v>
      </c>
      <c r="Q182" s="305">
        <f t="shared" si="53"/>
        <v>0.7</v>
      </c>
      <c r="R182" s="177">
        <f t="shared" si="54"/>
        <v>0.28663387707382859</v>
      </c>
      <c r="S182" s="817">
        <f t="shared" si="72"/>
        <v>-2</v>
      </c>
      <c r="T182" s="176">
        <f t="shared" si="55"/>
        <v>4</v>
      </c>
      <c r="U182" s="251">
        <f t="shared" si="56"/>
        <v>-1.7133661229261714</v>
      </c>
      <c r="V182" s="383">
        <f t="shared" si="57"/>
        <v>42.64642389850799</v>
      </c>
      <c r="W182" s="58"/>
      <c r="X182" s="157">
        <f t="shared" si="58"/>
        <v>43268</v>
      </c>
      <c r="Y182" s="385">
        <f t="shared" si="59"/>
        <v>25.785</v>
      </c>
      <c r="Z182" s="385">
        <f t="shared" si="60"/>
        <v>25.81834260687323</v>
      </c>
      <c r="AA182" s="386">
        <f t="shared" si="61"/>
        <v>26.114105887041045</v>
      </c>
      <c r="AB182" s="197">
        <f t="shared" si="62"/>
        <v>43268</v>
      </c>
      <c r="AC182" s="427">
        <f t="shared" si="63"/>
        <v>1.1325805350072764E-2</v>
      </c>
      <c r="AD182" s="169">
        <f>(INDEX(Models!$BJ182:$BT182,,AH182)*(1-AF182)+INDEX(Models!$BJ182:$BT182,,AH182+1)*AF182-ERP_i)*AE182*Ramure*Pc/MaxiM</f>
        <v>0</v>
      </c>
      <c r="AE182" s="305">
        <f t="shared" si="64"/>
        <v>0.7</v>
      </c>
      <c r="AF182" s="177">
        <f t="shared" si="65"/>
        <v>0.28663387707382859</v>
      </c>
      <c r="AG182" s="817">
        <f t="shared" si="66"/>
        <v>-2</v>
      </c>
      <c r="AH182" s="176">
        <f t="shared" si="67"/>
        <v>4</v>
      </c>
      <c r="AI182" s="225">
        <f t="shared" si="68"/>
        <v>-1.7133661229261714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43269</v>
      </c>
      <c r="B183" s="617">
        <v>27.600999999999999</v>
      </c>
      <c r="C183" s="390"/>
      <c r="D183" s="393">
        <f t="shared" si="73"/>
        <v>27.637296205835529</v>
      </c>
      <c r="E183" s="385">
        <f t="shared" si="74"/>
        <v>27.95925867675124</v>
      </c>
      <c r="F183" s="385">
        <f t="shared" si="75"/>
        <v>27.95925867675124</v>
      </c>
      <c r="G183" s="110">
        <f t="shared" si="76"/>
        <v>0.64787177376010052</v>
      </c>
      <c r="I183" s="380">
        <f t="shared" si="49"/>
        <v>27.95925867675124</v>
      </c>
      <c r="J183" s="85">
        <v>2018</v>
      </c>
      <c r="K183" s="197">
        <f t="shared" si="50"/>
        <v>43269</v>
      </c>
      <c r="L183" s="438">
        <f t="shared" si="51"/>
        <v>1.3133052367064746E-3</v>
      </c>
      <c r="M183" s="861"/>
      <c r="N183" s="861"/>
      <c r="O183" s="324">
        <f t="shared" si="52"/>
        <v>1.1515415148808312E-2</v>
      </c>
      <c r="P183" s="169">
        <f>(INDEX(Models!$BJ183:$BT183,,T183)*(1-R183)+INDEX(Models!$BJ183:$BT183,,T183+1)*R183-ERP_i)*Q183*Ramure*Pc/MaxiM</f>
        <v>0</v>
      </c>
      <c r="Q183" s="305">
        <f t="shared" si="53"/>
        <v>0.7</v>
      </c>
      <c r="R183" s="177">
        <f t="shared" si="54"/>
        <v>0.29165924985610059</v>
      </c>
      <c r="S183" s="817">
        <f t="shared" si="72"/>
        <v>-2</v>
      </c>
      <c r="T183" s="176">
        <f t="shared" si="55"/>
        <v>4</v>
      </c>
      <c r="U183" s="251">
        <f t="shared" si="56"/>
        <v>-1.7083407501438994</v>
      </c>
      <c r="V183" s="383">
        <f t="shared" si="57"/>
        <v>42.602565998222246</v>
      </c>
      <c r="W183" s="58"/>
      <c r="X183" s="157">
        <f t="shared" si="58"/>
        <v>43269</v>
      </c>
      <c r="Y183" s="385">
        <f t="shared" si="59"/>
        <v>27.600999999999999</v>
      </c>
      <c r="Z183" s="385">
        <f t="shared" si="60"/>
        <v>27.637296205835529</v>
      </c>
      <c r="AA183" s="386">
        <f t="shared" si="61"/>
        <v>27.95925867675124</v>
      </c>
      <c r="AB183" s="197">
        <f t="shared" si="62"/>
        <v>43269</v>
      </c>
      <c r="AC183" s="427">
        <f t="shared" si="63"/>
        <v>1.1515415148808312E-2</v>
      </c>
      <c r="AD183" s="169">
        <f>(INDEX(Models!$BJ183:$BT183,,AH183)*(1-AF183)+INDEX(Models!$BJ183:$BT183,,AH183+1)*AF183-ERP_i)*AE183*Ramure*Pc/MaxiM</f>
        <v>0</v>
      </c>
      <c r="AE183" s="305">
        <f t="shared" si="64"/>
        <v>0.7</v>
      </c>
      <c r="AF183" s="177">
        <f t="shared" si="65"/>
        <v>0.29165924985610059</v>
      </c>
      <c r="AG183" s="817">
        <f t="shared" si="66"/>
        <v>-2</v>
      </c>
      <c r="AH183" s="176">
        <f t="shared" si="67"/>
        <v>4</v>
      </c>
      <c r="AI183" s="225">
        <f t="shared" si="68"/>
        <v>-1.7083407501438994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43270</v>
      </c>
      <c r="B184" s="617">
        <v>38.831000000000003</v>
      </c>
      <c r="C184" s="390"/>
      <c r="D184" s="393">
        <f t="shared" si="73"/>
        <v>38.882915653932372</v>
      </c>
      <c r="E184" s="385">
        <f t="shared" si="74"/>
        <v>39.3434208433533</v>
      </c>
      <c r="F184" s="385">
        <f t="shared" si="75"/>
        <v>39.3434208433533</v>
      </c>
      <c r="G184" s="110">
        <f t="shared" si="76"/>
        <v>0.91243606447353409</v>
      </c>
      <c r="I184" s="380">
        <f t="shared" si="49"/>
        <v>39.3434208433533</v>
      </c>
      <c r="J184" s="85">
        <v>2018</v>
      </c>
      <c r="K184" s="197">
        <f t="shared" si="50"/>
        <v>43270</v>
      </c>
      <c r="L184" s="438">
        <f t="shared" si="51"/>
        <v>1.3351790383835382E-3</v>
      </c>
      <c r="M184" s="861"/>
      <c r="N184" s="861"/>
      <c r="O184" s="324">
        <f t="shared" si="52"/>
        <v>1.1704757226232152E-2</v>
      </c>
      <c r="P184" s="169">
        <f>(INDEX(Models!$BJ184:$BT184,,T184)*(1-R184)+INDEX(Models!$BJ184:$BT184,,T184+1)*R184-ERP_i)*Q184*Ramure*Pc/MaxiM</f>
        <v>0</v>
      </c>
      <c r="Q184" s="305">
        <f t="shared" si="53"/>
        <v>0.7</v>
      </c>
      <c r="R184" s="177">
        <f t="shared" si="54"/>
        <v>0.29665109327051309</v>
      </c>
      <c r="S184" s="817">
        <f t="shared" si="72"/>
        <v>-2</v>
      </c>
      <c r="T184" s="176">
        <f t="shared" si="55"/>
        <v>4</v>
      </c>
      <c r="U184" s="251">
        <f t="shared" si="56"/>
        <v>-1.7033489067294869</v>
      </c>
      <c r="V184" s="383">
        <f t="shared" si="57"/>
        <v>42.557502395967965</v>
      </c>
      <c r="W184" s="58"/>
      <c r="X184" s="157">
        <f t="shared" si="58"/>
        <v>43270</v>
      </c>
      <c r="Y184" s="385">
        <f t="shared" si="59"/>
        <v>38.831000000000003</v>
      </c>
      <c r="Z184" s="385">
        <f t="shared" si="60"/>
        <v>38.882915653932372</v>
      </c>
      <c r="AA184" s="386">
        <f t="shared" si="61"/>
        <v>39.3434208433533</v>
      </c>
      <c r="AB184" s="197">
        <f t="shared" si="62"/>
        <v>43270</v>
      </c>
      <c r="AC184" s="427">
        <f t="shared" si="63"/>
        <v>1.1704757226232152E-2</v>
      </c>
      <c r="AD184" s="169">
        <f>(INDEX(Models!$BJ184:$BT184,,AH184)*(1-AF184)+INDEX(Models!$BJ184:$BT184,,AH184+1)*AF184-ERP_i)*AE184*Ramure*Pc/MaxiM</f>
        <v>0</v>
      </c>
      <c r="AE184" s="305">
        <f t="shared" si="64"/>
        <v>0.7</v>
      </c>
      <c r="AF184" s="177">
        <f t="shared" si="65"/>
        <v>0.29665109327051309</v>
      </c>
      <c r="AG184" s="817">
        <f t="shared" si="66"/>
        <v>-2</v>
      </c>
      <c r="AH184" s="176">
        <f t="shared" si="67"/>
        <v>4</v>
      </c>
      <c r="AI184" s="225">
        <f t="shared" si="68"/>
        <v>-1.7033489067294869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43271</v>
      </c>
      <c r="B185" s="617">
        <v>6.39</v>
      </c>
      <c r="C185" s="390"/>
      <c r="D185" s="393">
        <f t="shared" si="73"/>
        <v>6.3986833483449601</v>
      </c>
      <c r="E185" s="385">
        <f t="shared" si="74"/>
        <v>6.4757042089075263</v>
      </c>
      <c r="F185" s="385">
        <f t="shared" si="75"/>
        <v>6.4757042089075263</v>
      </c>
      <c r="G185" s="110">
        <f t="shared" si="76"/>
        <v>0.15031283430502917</v>
      </c>
      <c r="I185" s="380">
        <f t="shared" si="49"/>
        <v>6.4757042089075263</v>
      </c>
      <c r="J185" s="85">
        <v>2018</v>
      </c>
      <c r="K185" s="197">
        <f t="shared" si="50"/>
        <v>43271</v>
      </c>
      <c r="L185" s="438">
        <f t="shared" si="51"/>
        <v>1.3570523609683915E-3</v>
      </c>
      <c r="M185" s="861"/>
      <c r="N185" s="861"/>
      <c r="O185" s="324">
        <f t="shared" si="52"/>
        <v>1.1893820050740005E-2</v>
      </c>
      <c r="P185" s="169">
        <f>(INDEX(Models!$BJ185:$BT185,,T185)*(1-R185)+INDEX(Models!$BJ185:$BT185,,T185+1)*R185-ERP_i)*Q185*Ramure*Pc/MaxiM</f>
        <v>0</v>
      </c>
      <c r="Q185" s="305">
        <f t="shared" si="53"/>
        <v>0.7</v>
      </c>
      <c r="R185" s="177">
        <f t="shared" si="54"/>
        <v>0.30160557134759536</v>
      </c>
      <c r="S185" s="817">
        <f t="shared" si="72"/>
        <v>-2</v>
      </c>
      <c r="T185" s="176">
        <f t="shared" si="55"/>
        <v>4</v>
      </c>
      <c r="U185" s="251">
        <f t="shared" si="56"/>
        <v>-1.6983944286524046</v>
      </c>
      <c r="V185" s="383">
        <f t="shared" si="57"/>
        <v>42.511339963377978</v>
      </c>
      <c r="W185" s="58"/>
      <c r="X185" s="157">
        <f t="shared" si="58"/>
        <v>43271</v>
      </c>
      <c r="Y185" s="385">
        <f t="shared" si="59"/>
        <v>6.39</v>
      </c>
      <c r="Z185" s="385">
        <f t="shared" si="60"/>
        <v>6.3986833483449601</v>
      </c>
      <c r="AA185" s="386">
        <f t="shared" si="61"/>
        <v>6.4757042089075263</v>
      </c>
      <c r="AB185" s="197">
        <f t="shared" si="62"/>
        <v>43271</v>
      </c>
      <c r="AC185" s="427">
        <f t="shared" si="63"/>
        <v>1.1893820050740005E-2</v>
      </c>
      <c r="AD185" s="169">
        <f>(INDEX(Models!$BJ185:$BT185,,AH185)*(1-AF185)+INDEX(Models!$BJ185:$BT185,,AH185+1)*AF185-ERP_i)*AE185*Ramure*Pc/MaxiM</f>
        <v>0</v>
      </c>
      <c r="AE185" s="305">
        <f t="shared" si="64"/>
        <v>0.7</v>
      </c>
      <c r="AF185" s="177">
        <f t="shared" si="65"/>
        <v>0.30160557134759536</v>
      </c>
      <c r="AG185" s="817">
        <f t="shared" si="66"/>
        <v>-2</v>
      </c>
      <c r="AH185" s="176">
        <f t="shared" si="67"/>
        <v>4</v>
      </c>
      <c r="AI185" s="225">
        <f t="shared" si="68"/>
        <v>-1.6983944286524046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43272</v>
      </c>
      <c r="B186" s="617">
        <v>30.151</v>
      </c>
      <c r="C186" s="390"/>
      <c r="D186" s="393">
        <f t="shared" si="73"/>
        <v>30.1926333831614</v>
      </c>
      <c r="E186" s="385">
        <f t="shared" si="74"/>
        <v>30.561900372783725</v>
      </c>
      <c r="F186" s="385">
        <f t="shared" si="75"/>
        <v>30.561900372783725</v>
      </c>
      <c r="G186" s="110">
        <f t="shared" si="76"/>
        <v>0.71003363598264702</v>
      </c>
      <c r="I186" s="380">
        <f t="shared" si="49"/>
        <v>30.561900372783725</v>
      </c>
      <c r="J186" s="85">
        <v>2018</v>
      </c>
      <c r="K186" s="197">
        <f t="shared" si="50"/>
        <v>43272</v>
      </c>
      <c r="L186" s="438">
        <f t="shared" si="51"/>
        <v>1.3789252044712486E-3</v>
      </c>
      <c r="M186" s="861"/>
      <c r="N186" s="861"/>
      <c r="O186" s="324">
        <f t="shared" si="52"/>
        <v>1.2082592545559472E-2</v>
      </c>
      <c r="P186" s="169">
        <f>(INDEX(Models!$BJ186:$BT186,,T186)*(1-R186)+INDEX(Models!$BJ186:$BT186,,T186+1)*R186-ERP_i)*Q186*Ramure*Pc/MaxiM</f>
        <v>0</v>
      </c>
      <c r="Q186" s="305">
        <f t="shared" si="53"/>
        <v>0.7</v>
      </c>
      <c r="R186" s="177">
        <f t="shared" si="54"/>
        <v>0.30651896789722199</v>
      </c>
      <c r="S186" s="817">
        <f t="shared" si="72"/>
        <v>-2</v>
      </c>
      <c r="T186" s="176">
        <f t="shared" si="55"/>
        <v>4</v>
      </c>
      <c r="U186" s="251">
        <f t="shared" si="56"/>
        <v>-1.693481032102778</v>
      </c>
      <c r="V186" s="383">
        <f t="shared" si="57"/>
        <v>42.464185458302538</v>
      </c>
      <c r="W186" s="58"/>
      <c r="X186" s="157">
        <f t="shared" si="58"/>
        <v>43272</v>
      </c>
      <c r="Y186" s="385">
        <f t="shared" si="59"/>
        <v>30.151</v>
      </c>
      <c r="Z186" s="385">
        <f t="shared" si="60"/>
        <v>30.1926333831614</v>
      </c>
      <c r="AA186" s="386">
        <f t="shared" si="61"/>
        <v>30.561900372783725</v>
      </c>
      <c r="AB186" s="197">
        <f t="shared" si="62"/>
        <v>43272</v>
      </c>
      <c r="AC186" s="427">
        <f t="shared" si="63"/>
        <v>1.2082592545559472E-2</v>
      </c>
      <c r="AD186" s="169">
        <f>(INDEX(Models!$BJ186:$BT186,,AH186)*(1-AF186)+INDEX(Models!$BJ186:$BT186,,AH186+1)*AF186-ERP_i)*AE186*Ramure*Pc/MaxiM</f>
        <v>0</v>
      </c>
      <c r="AE186" s="305">
        <f t="shared" si="64"/>
        <v>0.7</v>
      </c>
      <c r="AF186" s="177">
        <f t="shared" si="65"/>
        <v>0.30651896789722199</v>
      </c>
      <c r="AG186" s="817">
        <f t="shared" si="66"/>
        <v>-2</v>
      </c>
      <c r="AH186" s="176">
        <f t="shared" si="67"/>
        <v>4</v>
      </c>
      <c r="AI186" s="225">
        <f t="shared" si="68"/>
        <v>-1.693481032102778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43273</v>
      </c>
      <c r="B187" s="617">
        <v>34.847000000000001</v>
      </c>
      <c r="C187" s="390"/>
      <c r="D187" s="393">
        <f t="shared" si="73"/>
        <v>34.895882066763839</v>
      </c>
      <c r="E187" s="385">
        <f t="shared" si="74"/>
        <v>35.329411541626769</v>
      </c>
      <c r="F187" s="385">
        <f t="shared" si="75"/>
        <v>35.329411541626769</v>
      </c>
      <c r="G187" s="110">
        <f t="shared" si="76"/>
        <v>0.82155036883733379</v>
      </c>
      <c r="I187" s="380">
        <f t="shared" si="49"/>
        <v>35.329411541626769</v>
      </c>
      <c r="J187" s="85">
        <v>2018</v>
      </c>
      <c r="K187" s="197">
        <f t="shared" si="50"/>
        <v>43273</v>
      </c>
      <c r="L187" s="438">
        <f t="shared" si="51"/>
        <v>1.4007975689026564E-3</v>
      </c>
      <c r="M187" s="861"/>
      <c r="N187" s="861"/>
      <c r="O187" s="324">
        <f t="shared" si="52"/>
        <v>1.2271064134541994E-2</v>
      </c>
      <c r="P187" s="169">
        <f>(INDEX(Models!$BJ187:$BT187,,T187)*(1-R187)+INDEX(Models!$BJ187:$BT187,,T187+1)*R187-ERP_i)*Q187*Ramure*Pc/MaxiM</f>
        <v>0</v>
      </c>
      <c r="Q187" s="305">
        <f t="shared" si="53"/>
        <v>0.7</v>
      </c>
      <c r="R187" s="177">
        <f t="shared" si="54"/>
        <v>0.31138769683730971</v>
      </c>
      <c r="S187" s="817">
        <f t="shared" si="72"/>
        <v>-2</v>
      </c>
      <c r="T187" s="176">
        <f t="shared" si="55"/>
        <v>4</v>
      </c>
      <c r="U187" s="251">
        <f t="shared" si="56"/>
        <v>-1.6886123031626903</v>
      </c>
      <c r="V187" s="383">
        <f t="shared" si="57"/>
        <v>42.416145524121447</v>
      </c>
      <c r="W187" s="58"/>
      <c r="X187" s="157">
        <f t="shared" si="58"/>
        <v>43273</v>
      </c>
      <c r="Y187" s="385">
        <f t="shared" si="59"/>
        <v>34.847000000000001</v>
      </c>
      <c r="Z187" s="385">
        <f t="shared" si="60"/>
        <v>34.895882066763839</v>
      </c>
      <c r="AA187" s="386">
        <f t="shared" si="61"/>
        <v>35.329411541626769</v>
      </c>
      <c r="AB187" s="197">
        <f t="shared" si="62"/>
        <v>43273</v>
      </c>
      <c r="AC187" s="427">
        <f t="shared" si="63"/>
        <v>1.2271064134541994E-2</v>
      </c>
      <c r="AD187" s="169">
        <f>(INDEX(Models!$BJ187:$BT187,,AH187)*(1-AF187)+INDEX(Models!$BJ187:$BT187,,AH187+1)*AF187-ERP_i)*AE187*Ramure*Pc/MaxiM</f>
        <v>0</v>
      </c>
      <c r="AE187" s="305">
        <f t="shared" si="64"/>
        <v>0.7</v>
      </c>
      <c r="AF187" s="177">
        <f t="shared" si="65"/>
        <v>0.31138769683730971</v>
      </c>
      <c r="AG187" s="817">
        <f t="shared" si="66"/>
        <v>-2</v>
      </c>
      <c r="AH187" s="176">
        <f t="shared" si="67"/>
        <v>4</v>
      </c>
      <c r="AI187" s="225">
        <f t="shared" si="68"/>
        <v>-1.6886123031626903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71"/>
        <v>43274</v>
      </c>
      <c r="B188" s="617">
        <v>42.720999999999997</v>
      </c>
      <c r="C188" s="390"/>
      <c r="D188" s="393">
        <f t="shared" si="73"/>
        <v>42.781864451752362</v>
      </c>
      <c r="E188" s="385">
        <f t="shared" si="74"/>
        <v>43.321618231322205</v>
      </c>
      <c r="F188" s="385">
        <f t="shared" si="75"/>
        <v>43.321618231322205</v>
      </c>
      <c r="G188" s="110">
        <f t="shared" si="76"/>
        <v>1.0083477844996465</v>
      </c>
      <c r="I188" s="380">
        <f t="shared" si="49"/>
        <v>43.321618231322205</v>
      </c>
      <c r="J188" s="85">
        <v>2018</v>
      </c>
      <c r="K188" s="197">
        <f t="shared" si="50"/>
        <v>43274</v>
      </c>
      <c r="L188" s="438">
        <f t="shared" si="51"/>
        <v>1.4226694542731622E-3</v>
      </c>
      <c r="M188" s="861"/>
      <c r="N188" s="861"/>
      <c r="O188" s="324">
        <f t="shared" si="52"/>
        <v>1.2459224784442459E-2</v>
      </c>
      <c r="P188" s="169">
        <f>(INDEX(Models!$BJ188:$BT188,,T188)*(1-R188)+INDEX(Models!$BJ188:$BT188,,T188+1)*R188-ERP_i)*Q188*Ramure*Pc/MaxiM</f>
        <v>0</v>
      </c>
      <c r="Q188" s="305">
        <f t="shared" si="53"/>
        <v>0.7</v>
      </c>
      <c r="R188" s="177">
        <f t="shared" si="54"/>
        <v>0.31620831166853169</v>
      </c>
      <c r="S188" s="817">
        <f t="shared" si="72"/>
        <v>-2</v>
      </c>
      <c r="T188" s="176">
        <f t="shared" si="55"/>
        <v>4</v>
      </c>
      <c r="U188" s="251">
        <f t="shared" si="56"/>
        <v>-1.6837916883314683</v>
      </c>
      <c r="V188" s="383">
        <f t="shared" si="57"/>
        <v>42.367326686990879</v>
      </c>
      <c r="W188" s="58"/>
      <c r="X188" s="157">
        <f t="shared" si="58"/>
        <v>43274</v>
      </c>
      <c r="Y188" s="385">
        <f t="shared" si="59"/>
        <v>42.720999999999997</v>
      </c>
      <c r="Z188" s="385">
        <f t="shared" si="60"/>
        <v>42.781864451752362</v>
      </c>
      <c r="AA188" s="386">
        <f t="shared" si="61"/>
        <v>43.321618231322205</v>
      </c>
      <c r="AB188" s="197">
        <f t="shared" si="62"/>
        <v>43274</v>
      </c>
      <c r="AC188" s="427">
        <f t="shared" si="63"/>
        <v>1.2459224784442459E-2</v>
      </c>
      <c r="AD188" s="169">
        <f>(INDEX(Models!$BJ188:$BT188,,AH188)*(1-AF188)+INDEX(Models!$BJ188:$BT188,,AH188+1)*AF188-ERP_i)*AE188*Ramure*Pc/MaxiM</f>
        <v>0</v>
      </c>
      <c r="AE188" s="305">
        <f t="shared" si="64"/>
        <v>0.7</v>
      </c>
      <c r="AF188" s="177">
        <f t="shared" si="65"/>
        <v>0.31620831166853169</v>
      </c>
      <c r="AG188" s="817">
        <f t="shared" si="66"/>
        <v>-2</v>
      </c>
      <c r="AH188" s="176">
        <f t="shared" si="67"/>
        <v>4</v>
      </c>
      <c r="AI188" s="225">
        <f t="shared" si="68"/>
        <v>-1.6837916883314683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43275</v>
      </c>
      <c r="B189" s="617">
        <v>37.033000000000001</v>
      </c>
      <c r="C189" s="390"/>
      <c r="D189" s="393">
        <f t="shared" si="73"/>
        <v>37.086573070179256</v>
      </c>
      <c r="E189" s="385">
        <f t="shared" si="74"/>
        <v>37.561617287143676</v>
      </c>
      <c r="F189" s="385">
        <f t="shared" si="75"/>
        <v>37.561617287143676</v>
      </c>
      <c r="G189" s="110">
        <f t="shared" si="76"/>
        <v>0.87511565015245429</v>
      </c>
      <c r="I189" s="380">
        <f t="shared" si="49"/>
        <v>37.561617287143676</v>
      </c>
      <c r="J189" s="85">
        <v>2018</v>
      </c>
      <c r="K189" s="197">
        <f t="shared" si="50"/>
        <v>43275</v>
      </c>
      <c r="L189" s="438">
        <f t="shared" si="51"/>
        <v>1.444540860593313E-3</v>
      </c>
      <c r="M189" s="861"/>
      <c r="N189" s="861"/>
      <c r="O189" s="324">
        <f t="shared" si="52"/>
        <v>1.2647065043363217E-2</v>
      </c>
      <c r="P189" s="169">
        <f>(INDEX(Models!$BJ189:$BT189,,T189)*(1-R189)+INDEX(Models!$BJ189:$BT189,,T189+1)*R189-ERP_i)*Q189*Ramure*Pc/MaxiM</f>
        <v>0</v>
      </c>
      <c r="Q189" s="305">
        <f t="shared" si="53"/>
        <v>0.7</v>
      </c>
      <c r="R189" s="177">
        <f t="shared" si="54"/>
        <v>0.32097751405007413</v>
      </c>
      <c r="S189" s="817">
        <f t="shared" si="72"/>
        <v>-2</v>
      </c>
      <c r="T189" s="176">
        <f t="shared" si="55"/>
        <v>4</v>
      </c>
      <c r="U189" s="251">
        <f t="shared" si="56"/>
        <v>-1.6790224859499259</v>
      </c>
      <c r="V189" s="383">
        <f t="shared" si="57"/>
        <v>42.317835355302428</v>
      </c>
      <c r="W189" s="58"/>
      <c r="X189" s="157">
        <f t="shared" si="58"/>
        <v>43275</v>
      </c>
      <c r="Y189" s="385">
        <f t="shared" si="59"/>
        <v>37.033000000000001</v>
      </c>
      <c r="Z189" s="385">
        <f t="shared" si="60"/>
        <v>37.086573070179256</v>
      </c>
      <c r="AA189" s="386">
        <f t="shared" si="61"/>
        <v>37.561617287143676</v>
      </c>
      <c r="AB189" s="197">
        <f t="shared" si="62"/>
        <v>43275</v>
      </c>
      <c r="AC189" s="427">
        <f t="shared" si="63"/>
        <v>1.2647065043363217E-2</v>
      </c>
      <c r="AD189" s="169">
        <f>(INDEX(Models!$BJ189:$BT189,,AH189)*(1-AF189)+INDEX(Models!$BJ189:$BT189,,AH189+1)*AF189-ERP_i)*AE189*Ramure*Pc/MaxiM</f>
        <v>0</v>
      </c>
      <c r="AE189" s="305">
        <f t="shared" si="64"/>
        <v>0.7</v>
      </c>
      <c r="AF189" s="177">
        <f t="shared" si="65"/>
        <v>0.32097751405007413</v>
      </c>
      <c r="AG189" s="817">
        <f t="shared" si="66"/>
        <v>-2</v>
      </c>
      <c r="AH189" s="176">
        <f t="shared" si="67"/>
        <v>4</v>
      </c>
      <c r="AI189" s="225">
        <f t="shared" si="68"/>
        <v>-1.6790224859499259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43276</v>
      </c>
      <c r="B190" s="617">
        <v>41.579000000000001</v>
      </c>
      <c r="C190" s="390"/>
      <c r="D190" s="393">
        <f t="shared" si="73"/>
        <v>41.640061476997644</v>
      </c>
      <c r="E190" s="385">
        <f t="shared" si="74"/>
        <v>42.181442408546353</v>
      </c>
      <c r="F190" s="385">
        <f t="shared" si="75"/>
        <v>42.181442408546353</v>
      </c>
      <c r="G190" s="110">
        <f t="shared" si="76"/>
        <v>0.98370442322580753</v>
      </c>
      <c r="I190" s="380">
        <f t="shared" si="49"/>
        <v>42.181442408546353</v>
      </c>
      <c r="J190" s="85">
        <v>2018</v>
      </c>
      <c r="K190" s="197">
        <f t="shared" si="50"/>
        <v>43276</v>
      </c>
      <c r="L190" s="438">
        <f t="shared" si="51"/>
        <v>1.466411787873434E-3</v>
      </c>
      <c r="M190" s="861"/>
      <c r="N190" s="861"/>
      <c r="O190" s="324">
        <f t="shared" si="52"/>
        <v>1.2834576075070906E-2</v>
      </c>
      <c r="P190" s="169">
        <f>(INDEX(Models!$BJ190:$BT190,,T190)*(1-R190)+INDEX(Models!$BJ190:$BT190,,T190+1)*R190-ERP_i)*Q190*Ramure*Pc/MaxiM</f>
        <v>0</v>
      </c>
      <c r="Q190" s="305">
        <f t="shared" si="53"/>
        <v>0.7</v>
      </c>
      <c r="R190" s="177">
        <f t="shared" si="54"/>
        <v>0.32569216144104995</v>
      </c>
      <c r="S190" s="817">
        <f t="shared" si="72"/>
        <v>-2</v>
      </c>
      <c r="T190" s="176">
        <f t="shared" si="55"/>
        <v>4</v>
      </c>
      <c r="U190" s="251">
        <f t="shared" si="56"/>
        <v>-1.67430783855895</v>
      </c>
      <c r="V190" s="383">
        <f t="shared" si="57"/>
        <v>42.267777818516137</v>
      </c>
      <c r="W190" s="58"/>
      <c r="X190" s="157">
        <f t="shared" si="58"/>
        <v>43276</v>
      </c>
      <c r="Y190" s="385">
        <f t="shared" si="59"/>
        <v>41.579000000000001</v>
      </c>
      <c r="Z190" s="385">
        <f t="shared" si="60"/>
        <v>41.640061476997644</v>
      </c>
      <c r="AA190" s="386">
        <f t="shared" si="61"/>
        <v>42.181442408546353</v>
      </c>
      <c r="AB190" s="197">
        <f t="shared" si="62"/>
        <v>43276</v>
      </c>
      <c r="AC190" s="427">
        <f t="shared" si="63"/>
        <v>1.2834576075070906E-2</v>
      </c>
      <c r="AD190" s="169">
        <f>(INDEX(Models!$BJ190:$BT190,,AH190)*(1-AF190)+INDEX(Models!$BJ190:$BT190,,AH190+1)*AF190-ERP_i)*AE190*Ramure*Pc/MaxiM</f>
        <v>0</v>
      </c>
      <c r="AE190" s="305">
        <f t="shared" si="64"/>
        <v>0.7</v>
      </c>
      <c r="AF190" s="177">
        <f t="shared" si="65"/>
        <v>0.32569216144104995</v>
      </c>
      <c r="AG190" s="817">
        <f t="shared" si="66"/>
        <v>-2</v>
      </c>
      <c r="AH190" s="176">
        <f t="shared" si="67"/>
        <v>4</v>
      </c>
      <c r="AI190" s="225">
        <f t="shared" si="68"/>
        <v>-1.67430783855895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43277</v>
      </c>
      <c r="B191" s="617">
        <v>40.439</v>
      </c>
      <c r="C191" s="390"/>
      <c r="D191" s="393">
        <f t="shared" si="73"/>
        <v>40.499274350591904</v>
      </c>
      <c r="E191" s="385">
        <f t="shared" si="74"/>
        <v>41.033603666370098</v>
      </c>
      <c r="F191" s="385">
        <f t="shared" si="75"/>
        <v>41.033603666370098</v>
      </c>
      <c r="G191" s="110">
        <f t="shared" si="76"/>
        <v>0.95786878659857955</v>
      </c>
      <c r="I191" s="380">
        <f t="shared" si="49"/>
        <v>41.033603666370098</v>
      </c>
      <c r="J191" s="85">
        <v>2018</v>
      </c>
      <c r="K191" s="197">
        <f t="shared" si="50"/>
        <v>43277</v>
      </c>
      <c r="L191" s="438">
        <f t="shared" si="51"/>
        <v>1.4882822361241832E-3</v>
      </c>
      <c r="M191" s="861"/>
      <c r="N191" s="861"/>
      <c r="O191" s="324">
        <f t="shared" si="52"/>
        <v>1.3021749688929109E-2</v>
      </c>
      <c r="P191" s="169">
        <f>(INDEX(Models!$BJ191:$BT191,,T191)*(1-R191)+INDEX(Models!$BJ191:$BT191,,T191+1)*R191-ERP_i)*Q191*Ramure*Pc/MaxiM</f>
        <v>0</v>
      </c>
      <c r="Q191" s="305">
        <f t="shared" si="53"/>
        <v>0.7</v>
      </c>
      <c r="R191" s="177">
        <f t="shared" si="54"/>
        <v>0.33034927378188206</v>
      </c>
      <c r="S191" s="817">
        <f t="shared" si="72"/>
        <v>-2</v>
      </c>
      <c r="T191" s="176">
        <f t="shared" si="55"/>
        <v>4</v>
      </c>
      <c r="U191" s="251">
        <f t="shared" si="56"/>
        <v>-1.6696507262181179</v>
      </c>
      <c r="V191" s="383">
        <f t="shared" si="57"/>
        <v>42.217682177117474</v>
      </c>
      <c r="W191" s="58"/>
      <c r="X191" s="157">
        <f t="shared" si="58"/>
        <v>43277</v>
      </c>
      <c r="Y191" s="385">
        <f t="shared" si="59"/>
        <v>40.439</v>
      </c>
      <c r="Z191" s="385">
        <f t="shared" si="60"/>
        <v>40.499274350591904</v>
      </c>
      <c r="AA191" s="386">
        <f t="shared" si="61"/>
        <v>41.033603666370098</v>
      </c>
      <c r="AB191" s="197">
        <f t="shared" si="62"/>
        <v>43277</v>
      </c>
      <c r="AC191" s="427">
        <f t="shared" si="63"/>
        <v>1.3021749688929109E-2</v>
      </c>
      <c r="AD191" s="169">
        <f>(INDEX(Models!$BJ191:$BT191,,AH191)*(1-AF191)+INDEX(Models!$BJ191:$BT191,,AH191+1)*AF191-ERP_i)*AE191*Ramure*Pc/MaxiM</f>
        <v>0</v>
      </c>
      <c r="AE191" s="305">
        <f t="shared" si="64"/>
        <v>0.7</v>
      </c>
      <c r="AF191" s="177">
        <f t="shared" si="65"/>
        <v>0.33034927378188206</v>
      </c>
      <c r="AG191" s="817">
        <f t="shared" si="66"/>
        <v>-2</v>
      </c>
      <c r="AH191" s="176">
        <f t="shared" si="67"/>
        <v>4</v>
      </c>
      <c r="AI191" s="225">
        <f t="shared" si="68"/>
        <v>-1.6696507262181179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1"/>
        <v>43278</v>
      </c>
      <c r="B192" s="617">
        <v>37.918999999999997</v>
      </c>
      <c r="C192" s="390"/>
      <c r="D192" s="393">
        <f t="shared" si="73"/>
        <v>37.976350068807776</v>
      </c>
      <c r="E192" s="385">
        <f t="shared" si="74"/>
        <v>38.484677953415968</v>
      </c>
      <c r="F192" s="385">
        <f t="shared" si="75"/>
        <v>38.484677953415968</v>
      </c>
      <c r="G192" s="110">
        <f t="shared" si="76"/>
        <v>0.89924076315459101</v>
      </c>
      <c r="I192" s="380">
        <f t="shared" si="49"/>
        <v>38.484677953415968</v>
      </c>
      <c r="J192" s="85">
        <v>2018</v>
      </c>
      <c r="K192" s="197">
        <f t="shared" si="50"/>
        <v>43278</v>
      </c>
      <c r="L192" s="438">
        <f t="shared" si="51"/>
        <v>1.5101522053559968E-3</v>
      </c>
      <c r="M192" s="861"/>
      <c r="N192" s="861"/>
      <c r="O192" s="324">
        <f t="shared" si="52"/>
        <v>1.3208578365226256E-2</v>
      </c>
      <c r="P192" s="169">
        <f>(INDEX(Models!$BJ192:$BT192,,T192)*(1-R192)+INDEX(Models!$BJ192:$BT192,,T192+1)*R192-ERP_i)*Q192*Ramure*Pc/MaxiM</f>
        <v>0</v>
      </c>
      <c r="Q192" s="305">
        <f t="shared" si="53"/>
        <v>0.7</v>
      </c>
      <c r="R192" s="177">
        <f t="shared" si="54"/>
        <v>0.33494603919959931</v>
      </c>
      <c r="S192" s="817">
        <f t="shared" si="72"/>
        <v>-2</v>
      </c>
      <c r="T192" s="176">
        <f t="shared" si="55"/>
        <v>4</v>
      </c>
      <c r="U192" s="251">
        <f t="shared" si="56"/>
        <v>-1.6650539608004007</v>
      </c>
      <c r="V192" s="383">
        <f t="shared" si="57"/>
        <v>42.167794826135157</v>
      </c>
      <c r="W192" s="58"/>
      <c r="X192" s="157">
        <f t="shared" si="58"/>
        <v>43278</v>
      </c>
      <c r="Y192" s="385">
        <f t="shared" si="59"/>
        <v>37.918999999999997</v>
      </c>
      <c r="Z192" s="385">
        <f t="shared" si="60"/>
        <v>37.976350068807776</v>
      </c>
      <c r="AA192" s="386">
        <f t="shared" si="61"/>
        <v>38.484677953415968</v>
      </c>
      <c r="AB192" s="197">
        <f t="shared" si="62"/>
        <v>43278</v>
      </c>
      <c r="AC192" s="427">
        <f t="shared" si="63"/>
        <v>1.3208578365226256E-2</v>
      </c>
      <c r="AD192" s="169">
        <f>(INDEX(Models!$BJ192:$BT192,,AH192)*(1-AF192)+INDEX(Models!$BJ192:$BT192,,AH192+1)*AF192-ERP_i)*AE192*Ramure*Pc/MaxiM</f>
        <v>0</v>
      </c>
      <c r="AE192" s="305">
        <f t="shared" si="64"/>
        <v>0.7</v>
      </c>
      <c r="AF192" s="177">
        <f t="shared" si="65"/>
        <v>0.33494603919959931</v>
      </c>
      <c r="AG192" s="817">
        <f t="shared" si="66"/>
        <v>-2</v>
      </c>
      <c r="AH192" s="176">
        <f t="shared" si="67"/>
        <v>4</v>
      </c>
      <c r="AI192" s="225">
        <f t="shared" si="68"/>
        <v>-1.6650539608004007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43279</v>
      </c>
      <c r="B193" s="617">
        <v>28.207000000000001</v>
      </c>
      <c r="C193" s="390"/>
      <c r="D193" s="393">
        <f t="shared" si="73"/>
        <v>28.250280041930431</v>
      </c>
      <c r="E193" s="385">
        <f t="shared" si="74"/>
        <v>28.63383180166942</v>
      </c>
      <c r="F193" s="385">
        <f t="shared" si="75"/>
        <v>28.63383180166942</v>
      </c>
      <c r="G193" s="110">
        <f t="shared" si="76"/>
        <v>0.66971684838070544</v>
      </c>
      <c r="I193" s="380">
        <f t="shared" si="49"/>
        <v>28.63383180166942</v>
      </c>
      <c r="J193" s="85">
        <v>2018</v>
      </c>
      <c r="K193" s="197">
        <f t="shared" si="50"/>
        <v>43279</v>
      </c>
      <c r="L193" s="438">
        <f t="shared" si="51"/>
        <v>1.5320216955794219E-3</v>
      </c>
      <c r="M193" s="861"/>
      <c r="N193" s="861"/>
      <c r="O193" s="324">
        <f t="shared" si="52"/>
        <v>1.3395055275718536E-2</v>
      </c>
      <c r="P193" s="169">
        <f>(INDEX(Models!$BJ193:$BT193,,T193)*(1-R193)+INDEX(Models!$BJ193:$BT193,,T193+1)*R193-ERP_i)*Q193*Ramure*Pc/MaxiM</f>
        <v>0</v>
      </c>
      <c r="Q193" s="305">
        <f t="shared" si="53"/>
        <v>0.7</v>
      </c>
      <c r="R193" s="177">
        <f t="shared" si="54"/>
        <v>0.33947981873042887</v>
      </c>
      <c r="S193" s="817">
        <f t="shared" si="72"/>
        <v>-2</v>
      </c>
      <c r="T193" s="176">
        <f t="shared" si="55"/>
        <v>4</v>
      </c>
      <c r="U193" s="251">
        <f t="shared" si="56"/>
        <v>-1.6605201812695711</v>
      </c>
      <c r="V193" s="383">
        <f t="shared" si="57"/>
        <v>42.117799586797197</v>
      </c>
      <c r="W193" s="58"/>
      <c r="X193" s="157">
        <f t="shared" si="58"/>
        <v>43279</v>
      </c>
      <c r="Y193" s="385">
        <f t="shared" si="59"/>
        <v>28.207000000000001</v>
      </c>
      <c r="Z193" s="385">
        <f t="shared" si="60"/>
        <v>28.250280041930431</v>
      </c>
      <c r="AA193" s="386">
        <f t="shared" si="61"/>
        <v>28.63383180166942</v>
      </c>
      <c r="AB193" s="197">
        <f t="shared" si="62"/>
        <v>43279</v>
      </c>
      <c r="AC193" s="427">
        <f t="shared" si="63"/>
        <v>1.3395055275718536E-2</v>
      </c>
      <c r="AD193" s="169">
        <f>(INDEX(Models!$BJ193:$BT193,,AH193)*(1-AF193)+INDEX(Models!$BJ193:$BT193,,AH193+1)*AF193-ERP_i)*AE193*Ramure*Pc/MaxiM</f>
        <v>0</v>
      </c>
      <c r="AE193" s="305">
        <f t="shared" si="64"/>
        <v>0.7</v>
      </c>
      <c r="AF193" s="177">
        <f t="shared" si="65"/>
        <v>0.33947981873042887</v>
      </c>
      <c r="AG193" s="817">
        <f t="shared" si="66"/>
        <v>-2</v>
      </c>
      <c r="AH193" s="176">
        <f t="shared" si="67"/>
        <v>4</v>
      </c>
      <c r="AI193" s="225">
        <f t="shared" si="68"/>
        <v>-1.6605201812695711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1"/>
        <v>43280</v>
      </c>
      <c r="B194" s="617">
        <v>35.695999999999998</v>
      </c>
      <c r="C194" s="390"/>
      <c r="D194" s="393">
        <f t="shared" si="73"/>
        <v>35.751554007526124</v>
      </c>
      <c r="E194" s="385">
        <f t="shared" si="74"/>
        <v>36.243787198737039</v>
      </c>
      <c r="F194" s="385">
        <f t="shared" si="75"/>
        <v>36.243787198737039</v>
      </c>
      <c r="G194" s="110">
        <f t="shared" si="76"/>
        <v>0.84854344536337101</v>
      </c>
      <c r="I194" s="380">
        <f t="shared" si="49"/>
        <v>36.243787198737039</v>
      </c>
      <c r="J194" s="85">
        <v>2018</v>
      </c>
      <c r="K194" s="197">
        <f t="shared" si="50"/>
        <v>43280</v>
      </c>
      <c r="L194" s="438">
        <f t="shared" si="51"/>
        <v>1.5538907068047836E-3</v>
      </c>
      <c r="M194" s="861"/>
      <c r="N194" s="861"/>
      <c r="O194" s="324">
        <f t="shared" si="52"/>
        <v>1.3581174299248435E-2</v>
      </c>
      <c r="P194" s="169">
        <f>(INDEX(Models!$BJ194:$BT194,,T194)*(1-R194)+INDEX(Models!$BJ194:$BT194,,T194+1)*R194-ERP_i)*Q194*Ramure*Pc/MaxiM</f>
        <v>0</v>
      </c>
      <c r="Q194" s="305">
        <f t="shared" si="53"/>
        <v>0.7</v>
      </c>
      <c r="R194" s="177">
        <f t="shared" si="54"/>
        <v>0.34394815006220103</v>
      </c>
      <c r="S194" s="817">
        <f t="shared" si="72"/>
        <v>-2</v>
      </c>
      <c r="T194" s="176">
        <f t="shared" si="55"/>
        <v>4</v>
      </c>
      <c r="U194" s="251">
        <f t="shared" si="56"/>
        <v>-1.656051849937799</v>
      </c>
      <c r="V194" s="383">
        <f t="shared" si="57"/>
        <v>42.067380515459561</v>
      </c>
      <c r="W194" s="58"/>
      <c r="X194" s="157">
        <f t="shared" si="58"/>
        <v>43280</v>
      </c>
      <c r="Y194" s="385">
        <f t="shared" si="59"/>
        <v>35.695999999999998</v>
      </c>
      <c r="Z194" s="385">
        <f t="shared" si="60"/>
        <v>35.751554007526124</v>
      </c>
      <c r="AA194" s="386">
        <f t="shared" si="61"/>
        <v>36.243787198737039</v>
      </c>
      <c r="AB194" s="197">
        <f t="shared" si="62"/>
        <v>43280</v>
      </c>
      <c r="AC194" s="427">
        <f t="shared" si="63"/>
        <v>1.3581174299248435E-2</v>
      </c>
      <c r="AD194" s="169">
        <f>(INDEX(Models!$BJ194:$BT194,,AH194)*(1-AF194)+INDEX(Models!$BJ194:$BT194,,AH194+1)*AF194-ERP_i)*AE194*Ramure*Pc/MaxiM</f>
        <v>0</v>
      </c>
      <c r="AE194" s="305">
        <f t="shared" si="64"/>
        <v>0.7</v>
      </c>
      <c r="AF194" s="177">
        <f t="shared" si="65"/>
        <v>0.34394815006220103</v>
      </c>
      <c r="AG194" s="817">
        <f t="shared" si="66"/>
        <v>-2</v>
      </c>
      <c r="AH194" s="176">
        <f t="shared" si="67"/>
        <v>4</v>
      </c>
      <c r="AI194" s="225">
        <f t="shared" si="68"/>
        <v>-1.656051849937799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1"/>
        <v>43281</v>
      </c>
      <c r="B195" s="617">
        <v>39.329000000000001</v>
      </c>
      <c r="C195" s="390"/>
      <c r="D195" s="393">
        <f t="shared" si="73"/>
        <v>39.391070843817928</v>
      </c>
      <c r="E195" s="385">
        <f t="shared" si="74"/>
        <v>39.940934900012763</v>
      </c>
      <c r="F195" s="385">
        <f t="shared" si="75"/>
        <v>39.940934900012763</v>
      </c>
      <c r="G195" s="110">
        <f t="shared" si="76"/>
        <v>0.93604322851408417</v>
      </c>
      <c r="I195" s="380">
        <f t="shared" si="49"/>
        <v>39.940934900012763</v>
      </c>
      <c r="J195" s="85">
        <v>2018</v>
      </c>
      <c r="K195" s="197">
        <f t="shared" si="50"/>
        <v>43281</v>
      </c>
      <c r="L195" s="438">
        <f t="shared" si="51"/>
        <v>1.5757592390426289E-3</v>
      </c>
      <c r="M195" s="861"/>
      <c r="N195" s="861"/>
      <c r="O195" s="324">
        <f t="shared" si="52"/>
        <v>1.376693003234288E-2</v>
      </c>
      <c r="P195" s="169">
        <f>(INDEX(Models!$BJ195:$BT195,,T195)*(1-R195)+INDEX(Models!$BJ195:$BT195,,T195+1)*R195-ERP_i)*Q195*Ramure*Pc/MaxiM</f>
        <v>0</v>
      </c>
      <c r="Q195" s="305">
        <f t="shared" si="53"/>
        <v>0.7</v>
      </c>
      <c r="R195" s="177">
        <f t="shared" si="54"/>
        <v>0.34834875030775669</v>
      </c>
      <c r="S195" s="817">
        <f t="shared" si="72"/>
        <v>-2</v>
      </c>
      <c r="T195" s="176">
        <f t="shared" si="55"/>
        <v>4</v>
      </c>
      <c r="U195" s="251">
        <f t="shared" si="56"/>
        <v>-1.6516512496922433</v>
      </c>
      <c r="V195" s="383">
        <f t="shared" si="57"/>
        <v>42.016221902948402</v>
      </c>
      <c r="W195" s="58"/>
      <c r="X195" s="157">
        <f t="shared" si="58"/>
        <v>43281</v>
      </c>
      <c r="Y195" s="385">
        <f t="shared" si="59"/>
        <v>39.329000000000001</v>
      </c>
      <c r="Z195" s="385">
        <f t="shared" si="60"/>
        <v>39.391070843817928</v>
      </c>
      <c r="AA195" s="386">
        <f t="shared" si="61"/>
        <v>39.940934900012763</v>
      </c>
      <c r="AB195" s="197">
        <f t="shared" si="62"/>
        <v>43281</v>
      </c>
      <c r="AC195" s="427">
        <f t="shared" si="63"/>
        <v>1.376693003234288E-2</v>
      </c>
      <c r="AD195" s="169">
        <f>(INDEX(Models!$BJ195:$BT195,,AH195)*(1-AF195)+INDEX(Models!$BJ195:$BT195,,AH195+1)*AF195-ERP_i)*AE195*Ramure*Pc/MaxiM</f>
        <v>0</v>
      </c>
      <c r="AE195" s="305">
        <f t="shared" si="64"/>
        <v>0.7</v>
      </c>
      <c r="AF195" s="177">
        <f t="shared" si="65"/>
        <v>0.34834875030775669</v>
      </c>
      <c r="AG195" s="817">
        <f t="shared" si="66"/>
        <v>-2</v>
      </c>
      <c r="AH195" s="176">
        <f t="shared" si="67"/>
        <v>4</v>
      </c>
      <c r="AI195" s="225">
        <f t="shared" si="68"/>
        <v>-1.6516512496922433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1"/>
        <v>43282</v>
      </c>
      <c r="B196" s="617">
        <v>35.72</v>
      </c>
      <c r="C196" s="390"/>
      <c r="D196" s="393">
        <f t="shared" si="73"/>
        <v>35.777158564964459</v>
      </c>
      <c r="E196" s="385">
        <f t="shared" si="74"/>
        <v>36.283396037147114</v>
      </c>
      <c r="F196" s="385">
        <f t="shared" si="75"/>
        <v>36.283396037147114</v>
      </c>
      <c r="G196" s="110">
        <f t="shared" si="76"/>
        <v>0.85120562765413355</v>
      </c>
      <c r="I196" s="380">
        <f t="shared" si="49"/>
        <v>36.283396037147114</v>
      </c>
      <c r="J196" s="85">
        <v>2018</v>
      </c>
      <c r="K196" s="197">
        <f t="shared" si="50"/>
        <v>43282</v>
      </c>
      <c r="L196" s="438">
        <f t="shared" si="51"/>
        <v>1.5976272923036161E-3</v>
      </c>
      <c r="M196" s="861"/>
      <c r="N196" s="861"/>
      <c r="O196" s="324">
        <f t="shared" si="52"/>
        <v>1.3952317794739188E-2</v>
      </c>
      <c r="P196" s="169">
        <f>(INDEX(Models!$BJ196:$BT196,,T196)*(1-R196)+INDEX(Models!$BJ196:$BT196,,T196+1)*R196-ERP_i)*Q196*Ramure*Pc/MaxiM</f>
        <v>0</v>
      </c>
      <c r="Q196" s="305">
        <f t="shared" si="53"/>
        <v>0.7</v>
      </c>
      <c r="R196" s="177">
        <f t="shared" si="54"/>
        <v>0.35267951782869966</v>
      </c>
      <c r="S196" s="817">
        <f t="shared" si="72"/>
        <v>-2</v>
      </c>
      <c r="T196" s="176">
        <f t="shared" si="55"/>
        <v>4</v>
      </c>
      <c r="U196" s="251">
        <f t="shared" si="56"/>
        <v>-1.6473204821713003</v>
      </c>
      <c r="V196" s="383">
        <f t="shared" si="57"/>
        <v>41.964008271940067</v>
      </c>
      <c r="W196" s="58"/>
      <c r="X196" s="157">
        <f t="shared" si="58"/>
        <v>43282</v>
      </c>
      <c r="Y196" s="385">
        <f t="shared" si="59"/>
        <v>35.72</v>
      </c>
      <c r="Z196" s="385">
        <f t="shared" si="60"/>
        <v>35.777158564964459</v>
      </c>
      <c r="AA196" s="386">
        <f t="shared" si="61"/>
        <v>36.283396037147114</v>
      </c>
      <c r="AB196" s="197">
        <f t="shared" si="62"/>
        <v>43282</v>
      </c>
      <c r="AC196" s="427">
        <f t="shared" si="63"/>
        <v>1.3952317794739188E-2</v>
      </c>
      <c r="AD196" s="169">
        <f>(INDEX(Models!$BJ196:$BT196,,AH196)*(1-AF196)+INDEX(Models!$BJ196:$BT196,,AH196+1)*AF196-ERP_i)*AE196*Ramure*Pc/MaxiM</f>
        <v>0</v>
      </c>
      <c r="AE196" s="305">
        <f t="shared" si="64"/>
        <v>0.7</v>
      </c>
      <c r="AF196" s="177">
        <f t="shared" si="65"/>
        <v>0.35267951782869966</v>
      </c>
      <c r="AG196" s="817">
        <f t="shared" si="66"/>
        <v>-2</v>
      </c>
      <c r="AH196" s="176">
        <f t="shared" si="67"/>
        <v>4</v>
      </c>
      <c r="AI196" s="225">
        <f t="shared" si="68"/>
        <v>-1.6473204821713003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1"/>
        <v>43283</v>
      </c>
      <c r="B197" s="617">
        <v>32.353000000000002</v>
      </c>
      <c r="C197" s="390"/>
      <c r="D197" s="393">
        <f t="shared" ref="D197:D206" si="77">Wh/(1-Ppv)</f>
        <v>32.40548050933451</v>
      </c>
      <c r="E197" s="385">
        <f t="shared" ref="E197:E232" si="78">Wh_pvt/(1-Psa)</f>
        <v>32.870177170465055</v>
      </c>
      <c r="F197" s="385">
        <f t="shared" ref="F197:F228" si="79">Wh_sa/(1-Pvg*MEDIAN((-Sdif+Wh/Env_an)/Csdif,0,1))</f>
        <v>32.870177170465055</v>
      </c>
      <c r="G197" s="110">
        <f t="shared" ref="G197:G232" si="80">+Wh_hp/MaxiM</f>
        <v>0.77195591503507877</v>
      </c>
      <c r="I197" s="380">
        <f t="shared" si="49"/>
        <v>32.870177170465055</v>
      </c>
      <c r="J197" s="85">
        <v>2018</v>
      </c>
      <c r="K197" s="197">
        <f t="shared" si="50"/>
        <v>43283</v>
      </c>
      <c r="L197" s="438">
        <f t="shared" si="51"/>
        <v>1.6194948665980702E-3</v>
      </c>
      <c r="M197" s="861"/>
      <c r="N197" s="861"/>
      <c r="O197" s="324">
        <f t="shared" si="52"/>
        <v>1.413733362983171E-2</v>
      </c>
      <c r="P197" s="169">
        <f>(INDEX(Models!$BJ197:$BT197,,T197)*(1-R197)+INDEX(Models!$BJ197:$BT197,,T197+1)*R197-ERP_i)*Q197*Ramure*Pc/MaxiM</f>
        <v>0</v>
      </c>
      <c r="Q197" s="305">
        <f t="shared" si="53"/>
        <v>0.7</v>
      </c>
      <c r="R197" s="177">
        <f t="shared" si="54"/>
        <v>0.35693853313636037</v>
      </c>
      <c r="S197" s="817">
        <f t="shared" si="72"/>
        <v>-2</v>
      </c>
      <c r="T197" s="176">
        <f t="shared" si="55"/>
        <v>4</v>
      </c>
      <c r="U197" s="251">
        <f t="shared" si="56"/>
        <v>-1.6430614668636396</v>
      </c>
      <c r="V197" s="383">
        <f t="shared" si="57"/>
        <v>41.910424377705347</v>
      </c>
      <c r="W197" s="58"/>
      <c r="X197" s="157">
        <f t="shared" si="58"/>
        <v>43283</v>
      </c>
      <c r="Y197" s="385">
        <f t="shared" si="59"/>
        <v>32.353000000000002</v>
      </c>
      <c r="Z197" s="385">
        <f t="shared" si="60"/>
        <v>32.40548050933451</v>
      </c>
      <c r="AA197" s="386">
        <f t="shared" si="61"/>
        <v>32.870177170465055</v>
      </c>
      <c r="AB197" s="197">
        <f t="shared" si="62"/>
        <v>43283</v>
      </c>
      <c r="AC197" s="427">
        <f t="shared" si="63"/>
        <v>1.413733362983171E-2</v>
      </c>
      <c r="AD197" s="169">
        <f>(INDEX(Models!$BJ197:$BT197,,AH197)*(1-AF197)+INDEX(Models!$BJ197:$BT197,,AH197+1)*AF197-ERP_i)*AE197*Ramure*Pc/MaxiM</f>
        <v>0</v>
      </c>
      <c r="AE197" s="305">
        <f t="shared" si="64"/>
        <v>0.7</v>
      </c>
      <c r="AF197" s="177">
        <f t="shared" si="65"/>
        <v>0.35693853313636037</v>
      </c>
      <c r="AG197" s="817">
        <f t="shared" si="66"/>
        <v>-2</v>
      </c>
      <c r="AH197" s="176">
        <f t="shared" si="67"/>
        <v>4</v>
      </c>
      <c r="AI197" s="225">
        <f t="shared" si="68"/>
        <v>-1.6430614668636396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1"/>
        <v>43284</v>
      </c>
      <c r="B198" s="617">
        <v>32.554000000000002</v>
      </c>
      <c r="C198" s="390"/>
      <c r="D198" s="393">
        <f t="shared" si="77"/>
        <v>32.607520744222626</v>
      </c>
      <c r="E198" s="385">
        <f t="shared" si="78"/>
        <v>33.081310421897925</v>
      </c>
      <c r="F198" s="385">
        <f t="shared" si="79"/>
        <v>33.081310421897925</v>
      </c>
      <c r="G198" s="110">
        <f t="shared" si="80"/>
        <v>0.77777754831675583</v>
      </c>
      <c r="I198" s="380">
        <f t="shared" si="49"/>
        <v>33.081310421897925</v>
      </c>
      <c r="J198" s="85">
        <v>2018</v>
      </c>
      <c r="K198" s="197">
        <f t="shared" si="50"/>
        <v>43284</v>
      </c>
      <c r="L198" s="438">
        <f t="shared" si="51"/>
        <v>1.6413619619365383E-3</v>
      </c>
      <c r="M198" s="861"/>
      <c r="N198" s="861"/>
      <c r="O198" s="324">
        <f t="shared" si="52"/>
        <v>1.432197430007728E-2</v>
      </c>
      <c r="P198" s="169">
        <f>(INDEX(Models!$BJ198:$BT198,,T198)*(1-R198)+INDEX(Models!$BJ198:$BT198,,T198+1)*R198-ERP_i)*Q198*Ramure*Pc/MaxiM</f>
        <v>0</v>
      </c>
      <c r="Q198" s="305">
        <f t="shared" si="53"/>
        <v>0.7</v>
      </c>
      <c r="R198" s="177">
        <f t="shared" si="54"/>
        <v>0.36112405890365684</v>
      </c>
      <c r="S198" s="817">
        <f t="shared" si="72"/>
        <v>-2</v>
      </c>
      <c r="T198" s="176">
        <f t="shared" si="55"/>
        <v>4</v>
      </c>
      <c r="U198" s="251">
        <f t="shared" si="56"/>
        <v>-1.6388759410963432</v>
      </c>
      <c r="V198" s="383">
        <f t="shared" si="57"/>
        <v>41.855155205305742</v>
      </c>
      <c r="W198" s="58"/>
      <c r="X198" s="157">
        <f t="shared" si="58"/>
        <v>43284</v>
      </c>
      <c r="Y198" s="385">
        <f t="shared" si="59"/>
        <v>32.554000000000002</v>
      </c>
      <c r="Z198" s="385">
        <f t="shared" si="60"/>
        <v>32.607520744222626</v>
      </c>
      <c r="AA198" s="386">
        <f t="shared" si="61"/>
        <v>33.081310421897925</v>
      </c>
      <c r="AB198" s="197">
        <f t="shared" si="62"/>
        <v>43284</v>
      </c>
      <c r="AC198" s="427">
        <f t="shared" si="63"/>
        <v>1.432197430007728E-2</v>
      </c>
      <c r="AD198" s="169">
        <f>(INDEX(Models!$BJ198:$BT198,,AH198)*(1-AF198)+INDEX(Models!$BJ198:$BT198,,AH198+1)*AF198-ERP_i)*AE198*Ramure*Pc/MaxiM</f>
        <v>0</v>
      </c>
      <c r="AE198" s="305">
        <f t="shared" si="64"/>
        <v>0.7</v>
      </c>
      <c r="AF198" s="177">
        <f t="shared" si="65"/>
        <v>0.36112405890365684</v>
      </c>
      <c r="AG198" s="817">
        <f t="shared" si="66"/>
        <v>-2</v>
      </c>
      <c r="AH198" s="176">
        <f t="shared" si="67"/>
        <v>4</v>
      </c>
      <c r="AI198" s="225">
        <f t="shared" si="68"/>
        <v>-1.6388759410963432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1"/>
        <v>43285</v>
      </c>
      <c r="B199" s="617">
        <v>30.202000000000002</v>
      </c>
      <c r="C199" s="390"/>
      <c r="D199" s="393">
        <f t="shared" si="77"/>
        <v>30.252316517392398</v>
      </c>
      <c r="E199" s="385">
        <f t="shared" si="78"/>
        <v>30.697623528145265</v>
      </c>
      <c r="F199" s="385">
        <f t="shared" si="79"/>
        <v>30.697623528145265</v>
      </c>
      <c r="G199" s="110">
        <f t="shared" si="80"/>
        <v>0.72257242918586662</v>
      </c>
      <c r="I199" s="380">
        <f t="shared" si="49"/>
        <v>30.697623528145265</v>
      </c>
      <c r="J199" s="85">
        <v>2018</v>
      </c>
      <c r="K199" s="197">
        <f t="shared" si="50"/>
        <v>43285</v>
      </c>
      <c r="L199" s="438">
        <f t="shared" si="51"/>
        <v>1.6632285783294565E-3</v>
      </c>
      <c r="M199" s="861"/>
      <c r="N199" s="861"/>
      <c r="O199" s="324">
        <f t="shared" si="52"/>
        <v>1.4506237277442198E-2</v>
      </c>
      <c r="P199" s="169">
        <f>(INDEX(Models!$BJ199:$BT199,,T199)*(1-R199)+INDEX(Models!$BJ199:$BT199,,T199+1)*R199-ERP_i)*Q199*Ramure*Pc/MaxiM</f>
        <v>0</v>
      </c>
      <c r="Q199" s="305">
        <f t="shared" si="53"/>
        <v>0.7</v>
      </c>
      <c r="R199" s="177">
        <f t="shared" si="54"/>
        <v>0.36523453912761372</v>
      </c>
      <c r="S199" s="817">
        <f t="shared" si="72"/>
        <v>-2</v>
      </c>
      <c r="T199" s="176">
        <f t="shared" si="55"/>
        <v>4</v>
      </c>
      <c r="U199" s="251">
        <f t="shared" si="56"/>
        <v>-1.6347654608723863</v>
      </c>
      <c r="V199" s="383">
        <f t="shared" si="57"/>
        <v>41.797885969755384</v>
      </c>
      <c r="W199" s="58"/>
      <c r="X199" s="157">
        <f t="shared" si="58"/>
        <v>43285</v>
      </c>
      <c r="Y199" s="385">
        <f t="shared" si="59"/>
        <v>30.202000000000002</v>
      </c>
      <c r="Z199" s="385">
        <f t="shared" si="60"/>
        <v>30.252316517392398</v>
      </c>
      <c r="AA199" s="386">
        <f t="shared" si="61"/>
        <v>30.697623528145265</v>
      </c>
      <c r="AB199" s="197">
        <f t="shared" si="62"/>
        <v>43285</v>
      </c>
      <c r="AC199" s="427">
        <f t="shared" si="63"/>
        <v>1.4506237277442198E-2</v>
      </c>
      <c r="AD199" s="169">
        <f>(INDEX(Models!$BJ199:$BT199,,AH199)*(1-AF199)+INDEX(Models!$BJ199:$BT199,,AH199+1)*AF199-ERP_i)*AE199*Ramure*Pc/MaxiM</f>
        <v>0</v>
      </c>
      <c r="AE199" s="305">
        <f t="shared" si="64"/>
        <v>0.7</v>
      </c>
      <c r="AF199" s="177">
        <f t="shared" si="65"/>
        <v>0.36523453912761372</v>
      </c>
      <c r="AG199" s="817">
        <f t="shared" si="66"/>
        <v>-2</v>
      </c>
      <c r="AH199" s="176">
        <f t="shared" si="67"/>
        <v>4</v>
      </c>
      <c r="AI199" s="225">
        <f t="shared" si="68"/>
        <v>-1.6347654608723863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1"/>
        <v>43286</v>
      </c>
      <c r="B200" s="617">
        <v>26.085000000000001</v>
      </c>
      <c r="C200" s="390"/>
      <c r="D200" s="393">
        <f t="shared" si="77"/>
        <v>26.129029890196623</v>
      </c>
      <c r="E200" s="385">
        <f t="shared" si="78"/>
        <v>26.518591196435732</v>
      </c>
      <c r="F200" s="385">
        <f t="shared" si="79"/>
        <v>26.518591196435732</v>
      </c>
      <c r="G200" s="110">
        <f t="shared" si="80"/>
        <v>0.62496552751088474</v>
      </c>
      <c r="I200" s="380">
        <f t="shared" si="49"/>
        <v>26.518591196435732</v>
      </c>
      <c r="J200" s="85">
        <v>2018</v>
      </c>
      <c r="K200" s="197">
        <f t="shared" si="50"/>
        <v>43286</v>
      </c>
      <c r="L200" s="438">
        <f t="shared" si="51"/>
        <v>1.6850947157873719E-3</v>
      </c>
      <c r="M200" s="861"/>
      <c r="N200" s="861"/>
      <c r="O200" s="324">
        <f t="shared" si="52"/>
        <v>1.469012072901772E-2</v>
      </c>
      <c r="P200" s="169">
        <f>(INDEX(Models!$BJ200:$BT200,,T200)*(1-R200)+INDEX(Models!$BJ200:$BT200,,T200+1)*R200-ERP_i)*Q200*Ramure*Pc/MaxiM</f>
        <v>0</v>
      </c>
      <c r="Q200" s="305">
        <f t="shared" si="53"/>
        <v>0.7</v>
      </c>
      <c r="R200" s="177">
        <f t="shared" si="54"/>
        <v>0.36926859748758778</v>
      </c>
      <c r="S200" s="817">
        <f t="shared" si="72"/>
        <v>-2</v>
      </c>
      <c r="T200" s="176">
        <f t="shared" si="55"/>
        <v>4</v>
      </c>
      <c r="U200" s="251">
        <f t="shared" si="56"/>
        <v>-1.6307314025124122</v>
      </c>
      <c r="V200" s="383">
        <f t="shared" si="57"/>
        <v>41.738302117064677</v>
      </c>
      <c r="W200" s="58"/>
      <c r="X200" s="157">
        <f t="shared" si="58"/>
        <v>43286</v>
      </c>
      <c r="Y200" s="385">
        <f t="shared" si="59"/>
        <v>26.085000000000001</v>
      </c>
      <c r="Z200" s="385">
        <f t="shared" si="60"/>
        <v>26.129029890196623</v>
      </c>
      <c r="AA200" s="386">
        <f t="shared" si="61"/>
        <v>26.518591196435732</v>
      </c>
      <c r="AB200" s="197">
        <f t="shared" si="62"/>
        <v>43286</v>
      </c>
      <c r="AC200" s="427">
        <f t="shared" si="63"/>
        <v>1.469012072901772E-2</v>
      </c>
      <c r="AD200" s="169">
        <f>(INDEX(Models!$BJ200:$BT200,,AH200)*(1-AF200)+INDEX(Models!$BJ200:$BT200,,AH200+1)*AF200-ERP_i)*AE200*Ramure*Pc/MaxiM</f>
        <v>0</v>
      </c>
      <c r="AE200" s="305">
        <f t="shared" si="64"/>
        <v>0.7</v>
      </c>
      <c r="AF200" s="177">
        <f t="shared" si="65"/>
        <v>0.36926859748758778</v>
      </c>
      <c r="AG200" s="817">
        <f t="shared" si="66"/>
        <v>-2</v>
      </c>
      <c r="AH200" s="176">
        <f t="shared" si="67"/>
        <v>4</v>
      </c>
      <c r="AI200" s="225">
        <f t="shared" si="68"/>
        <v>-1.6307314025124122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1"/>
        <v>43287</v>
      </c>
      <c r="B201" s="617">
        <v>34.454999999999998</v>
      </c>
      <c r="C201" s="390"/>
      <c r="D201" s="393">
        <f t="shared" si="77"/>
        <v>34.513913883361617</v>
      </c>
      <c r="E201" s="385">
        <f t="shared" si="78"/>
        <v>35.035011452960141</v>
      </c>
      <c r="F201" s="385">
        <f t="shared" si="79"/>
        <v>35.035011452960141</v>
      </c>
      <c r="G201" s="110">
        <f t="shared" si="80"/>
        <v>0.82673303954519806</v>
      </c>
      <c r="I201" s="380">
        <f t="shared" si="49"/>
        <v>35.035011452960141</v>
      </c>
      <c r="J201" s="85">
        <v>2018</v>
      </c>
      <c r="K201" s="197">
        <f t="shared" si="50"/>
        <v>43287</v>
      </c>
      <c r="L201" s="438">
        <f t="shared" si="51"/>
        <v>1.7069603743207207E-3</v>
      </c>
      <c r="M201" s="861"/>
      <c r="N201" s="861"/>
      <c r="O201" s="324">
        <f t="shared" si="52"/>
        <v>1.4873623497973647E-2</v>
      </c>
      <c r="P201" s="169">
        <f>(INDEX(Models!$BJ201:$BT201,,T201)*(1-R201)+INDEX(Models!$BJ201:$BT201,,T201+1)*R201-ERP_i)*Q201*Ramure*Pc/MaxiM</f>
        <v>0</v>
      </c>
      <c r="Q201" s="305">
        <f t="shared" si="53"/>
        <v>0.7</v>
      </c>
      <c r="R201" s="177">
        <f t="shared" si="54"/>
        <v>0.37322503494871384</v>
      </c>
      <c r="S201" s="817">
        <f t="shared" si="72"/>
        <v>-2</v>
      </c>
      <c r="T201" s="176">
        <f t="shared" si="55"/>
        <v>4</v>
      </c>
      <c r="U201" s="251">
        <f t="shared" si="56"/>
        <v>-1.6267749650512862</v>
      </c>
      <c r="V201" s="383">
        <f t="shared" si="57"/>
        <v>41.676089320144229</v>
      </c>
      <c r="W201" s="58"/>
      <c r="X201" s="157">
        <f t="shared" si="58"/>
        <v>43287</v>
      </c>
      <c r="Y201" s="385">
        <f t="shared" si="59"/>
        <v>34.454999999999998</v>
      </c>
      <c r="Z201" s="385">
        <f t="shared" si="60"/>
        <v>34.513913883361617</v>
      </c>
      <c r="AA201" s="386">
        <f t="shared" si="61"/>
        <v>35.035011452960141</v>
      </c>
      <c r="AB201" s="197">
        <f t="shared" si="62"/>
        <v>43287</v>
      </c>
      <c r="AC201" s="427">
        <f t="shared" si="63"/>
        <v>1.4873623497973647E-2</v>
      </c>
      <c r="AD201" s="169">
        <f>(INDEX(Models!$BJ201:$BT201,,AH201)*(1-AF201)+INDEX(Models!$BJ201:$BT201,,AH201+1)*AF201-ERP_i)*AE201*Ramure*Pc/MaxiM</f>
        <v>0</v>
      </c>
      <c r="AE201" s="305">
        <f t="shared" si="64"/>
        <v>0.7</v>
      </c>
      <c r="AF201" s="177">
        <f t="shared" si="65"/>
        <v>0.37322503494871384</v>
      </c>
      <c r="AG201" s="817">
        <f t="shared" si="66"/>
        <v>-2</v>
      </c>
      <c r="AH201" s="176">
        <f t="shared" si="67"/>
        <v>4</v>
      </c>
      <c r="AI201" s="225">
        <f t="shared" si="68"/>
        <v>-1.6267749650512862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1"/>
        <v>43288</v>
      </c>
      <c r="B202" s="617">
        <v>38.377000000000002</v>
      </c>
      <c r="C202" s="390"/>
      <c r="D202" s="393">
        <f t="shared" si="77"/>
        <v>38.443462039555911</v>
      </c>
      <c r="E202" s="385">
        <f t="shared" si="78"/>
        <v>39.031144025328409</v>
      </c>
      <c r="F202" s="385">
        <f t="shared" si="79"/>
        <v>39.031144025328409</v>
      </c>
      <c r="G202" s="110">
        <f t="shared" si="80"/>
        <v>0.92228164062425677</v>
      </c>
      <c r="I202" s="380">
        <f t="shared" si="49"/>
        <v>39.031144025328409</v>
      </c>
      <c r="J202" s="85">
        <v>2018</v>
      </c>
      <c r="K202" s="197">
        <f t="shared" si="50"/>
        <v>43288</v>
      </c>
      <c r="L202" s="438">
        <f t="shared" si="51"/>
        <v>1.7288255539400499E-3</v>
      </c>
      <c r="M202" s="861"/>
      <c r="N202" s="861"/>
      <c r="O202" s="324">
        <f t="shared" si="52"/>
        <v>1.505674508006054E-2</v>
      </c>
      <c r="P202" s="169">
        <f>(INDEX(Models!$BJ202:$BT202,,T202)*(1-R202)+INDEX(Models!$BJ202:$BT202,,T202+1)*R202-ERP_i)*Q202*Ramure*Pc/MaxiM</f>
        <v>0</v>
      </c>
      <c r="Q202" s="305">
        <f t="shared" si="53"/>
        <v>0.7</v>
      </c>
      <c r="R202" s="177">
        <f t="shared" si="54"/>
        <v>0.37710282666375328</v>
      </c>
      <c r="S202" s="817">
        <f t="shared" si="72"/>
        <v>-2</v>
      </c>
      <c r="T202" s="176">
        <f t="shared" si="55"/>
        <v>4</v>
      </c>
      <c r="U202" s="251">
        <f t="shared" si="56"/>
        <v>-1.6228971733362467</v>
      </c>
      <c r="V202" s="383">
        <f t="shared" si="57"/>
        <v>41.610933482340705</v>
      </c>
      <c r="W202" s="58"/>
      <c r="X202" s="157">
        <f t="shared" si="58"/>
        <v>43288</v>
      </c>
      <c r="Y202" s="385">
        <f t="shared" si="59"/>
        <v>38.377000000000002</v>
      </c>
      <c r="Z202" s="385">
        <f t="shared" si="60"/>
        <v>38.443462039555911</v>
      </c>
      <c r="AA202" s="386">
        <f t="shared" si="61"/>
        <v>39.031144025328409</v>
      </c>
      <c r="AB202" s="197">
        <f t="shared" si="62"/>
        <v>43288</v>
      </c>
      <c r="AC202" s="427">
        <f t="shared" si="63"/>
        <v>1.505674508006054E-2</v>
      </c>
      <c r="AD202" s="169">
        <f>(INDEX(Models!$BJ202:$BT202,,AH202)*(1-AF202)+INDEX(Models!$BJ202:$BT202,,AH202+1)*AF202-ERP_i)*AE202*Ramure*Pc/MaxiM</f>
        <v>0</v>
      </c>
      <c r="AE202" s="305">
        <f t="shared" si="64"/>
        <v>0.7</v>
      </c>
      <c r="AF202" s="177">
        <f t="shared" si="65"/>
        <v>0.37710282666375328</v>
      </c>
      <c r="AG202" s="817">
        <f t="shared" si="66"/>
        <v>-2</v>
      </c>
      <c r="AH202" s="176">
        <f t="shared" si="67"/>
        <v>4</v>
      </c>
      <c r="AI202" s="225">
        <f t="shared" si="68"/>
        <v>-1.6228971733362467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1"/>
        <v>43289</v>
      </c>
      <c r="B203" s="617">
        <v>38.091000000000001</v>
      </c>
      <c r="C203" s="390"/>
      <c r="D203" s="393">
        <f t="shared" si="77"/>
        <v>38.157802492963519</v>
      </c>
      <c r="E203" s="385">
        <f t="shared" si="78"/>
        <v>38.748306755631894</v>
      </c>
      <c r="F203" s="385">
        <f t="shared" si="79"/>
        <v>38.748306755631894</v>
      </c>
      <c r="G203" s="110">
        <f t="shared" si="80"/>
        <v>0.91691595320824804</v>
      </c>
      <c r="I203" s="380">
        <f t="shared" si="49"/>
        <v>38.748306755631894</v>
      </c>
      <c r="J203" s="85">
        <v>2018</v>
      </c>
      <c r="K203" s="197">
        <f t="shared" si="50"/>
        <v>43289</v>
      </c>
      <c r="L203" s="438">
        <f t="shared" si="51"/>
        <v>1.7506902546559067E-3</v>
      </c>
      <c r="M203" s="861"/>
      <c r="N203" s="861"/>
      <c r="O203" s="324">
        <f t="shared" si="52"/>
        <v>1.5239485595910558E-2</v>
      </c>
      <c r="P203" s="169">
        <f>(INDEX(Models!$BJ203:$BT203,,T203)*(1-R203)+INDEX(Models!$BJ203:$BT203,,T203+1)*R203-ERP_i)*Q203*Ramure*Pc/MaxiM</f>
        <v>0</v>
      </c>
      <c r="Q203" s="305">
        <f t="shared" si="53"/>
        <v>0.7</v>
      </c>
      <c r="R203" s="177">
        <f t="shared" si="54"/>
        <v>0.3809011182293558</v>
      </c>
      <c r="S203" s="817">
        <f t="shared" si="72"/>
        <v>-2</v>
      </c>
      <c r="T203" s="176">
        <f t="shared" si="55"/>
        <v>4</v>
      </c>
      <c r="U203" s="251">
        <f t="shared" si="56"/>
        <v>-1.6190988817706442</v>
      </c>
      <c r="V203" s="383">
        <f t="shared" si="57"/>
        <v>41.54252073673851</v>
      </c>
      <c r="W203" s="58"/>
      <c r="X203" s="157">
        <f t="shared" si="58"/>
        <v>43289</v>
      </c>
      <c r="Y203" s="385">
        <f t="shared" si="59"/>
        <v>38.091000000000001</v>
      </c>
      <c r="Z203" s="385">
        <f t="shared" si="60"/>
        <v>38.157802492963519</v>
      </c>
      <c r="AA203" s="386">
        <f t="shared" si="61"/>
        <v>38.748306755631894</v>
      </c>
      <c r="AB203" s="197">
        <f t="shared" si="62"/>
        <v>43289</v>
      </c>
      <c r="AC203" s="427">
        <f t="shared" si="63"/>
        <v>1.5239485595910558E-2</v>
      </c>
      <c r="AD203" s="169">
        <f>(INDEX(Models!$BJ203:$BT203,,AH203)*(1-AF203)+INDEX(Models!$BJ203:$BT203,,AH203+1)*AF203-ERP_i)*AE203*Ramure*Pc/MaxiM</f>
        <v>0</v>
      </c>
      <c r="AE203" s="305">
        <f t="shared" si="64"/>
        <v>0.7</v>
      </c>
      <c r="AF203" s="177">
        <f t="shared" si="65"/>
        <v>0.3809011182293558</v>
      </c>
      <c r="AG203" s="817">
        <f t="shared" si="66"/>
        <v>-2</v>
      </c>
      <c r="AH203" s="176">
        <f t="shared" si="67"/>
        <v>4</v>
      </c>
      <c r="AI203" s="225">
        <f t="shared" si="68"/>
        <v>-1.6190988817706442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1"/>
        <v>43290</v>
      </c>
      <c r="B204" s="617">
        <v>37.137</v>
      </c>
      <c r="C204" s="390"/>
      <c r="D204" s="393">
        <f t="shared" si="77"/>
        <v>37.2029442453603</v>
      </c>
      <c r="E204" s="385">
        <f t="shared" si="78"/>
        <v>37.785669004666858</v>
      </c>
      <c r="F204" s="385">
        <f t="shared" si="79"/>
        <v>37.785669004666858</v>
      </c>
      <c r="G204" s="110">
        <f t="shared" si="80"/>
        <v>0.89550322441608465</v>
      </c>
      <c r="I204" s="380">
        <f t="shared" si="49"/>
        <v>37.785669004666858</v>
      </c>
      <c r="J204" s="85">
        <v>2018</v>
      </c>
      <c r="K204" s="197">
        <f t="shared" si="50"/>
        <v>43290</v>
      </c>
      <c r="L204" s="438">
        <f t="shared" si="51"/>
        <v>1.7725544764786161E-3</v>
      </c>
      <c r="M204" s="861"/>
      <c r="N204" s="861"/>
      <c r="O204" s="324">
        <f t="shared" si="52"/>
        <v>1.5421845759422442E-2</v>
      </c>
      <c r="P204" s="169">
        <f>(INDEX(Models!$BJ204:$BT204,,T204)*(1-R204)+INDEX(Models!$BJ204:$BT204,,T204+1)*R204-ERP_i)*Q204*Ramure*Pc/MaxiM</f>
        <v>0</v>
      </c>
      <c r="Q204" s="305">
        <f t="shared" si="53"/>
        <v>0.7</v>
      </c>
      <c r="R204" s="177">
        <f t="shared" si="54"/>
        <v>0.38461922135480786</v>
      </c>
      <c r="S204" s="817">
        <f t="shared" si="72"/>
        <v>-2</v>
      </c>
      <c r="T204" s="176">
        <f t="shared" si="55"/>
        <v>4</v>
      </c>
      <c r="U204" s="251">
        <f t="shared" si="56"/>
        <v>-1.6153807786451921</v>
      </c>
      <c r="V204" s="383">
        <f t="shared" si="57"/>
        <v>41.470537444703538</v>
      </c>
      <c r="W204" s="58"/>
      <c r="X204" s="157">
        <f t="shared" si="58"/>
        <v>43290</v>
      </c>
      <c r="Y204" s="385">
        <f t="shared" si="59"/>
        <v>37.137</v>
      </c>
      <c r="Z204" s="385">
        <f t="shared" si="60"/>
        <v>37.2029442453603</v>
      </c>
      <c r="AA204" s="386">
        <f t="shared" si="61"/>
        <v>37.785669004666858</v>
      </c>
      <c r="AB204" s="197">
        <f t="shared" si="62"/>
        <v>43290</v>
      </c>
      <c r="AC204" s="427">
        <f t="shared" si="63"/>
        <v>1.5421845759422442E-2</v>
      </c>
      <c r="AD204" s="169">
        <f>(INDEX(Models!$BJ204:$BT204,,AH204)*(1-AF204)+INDEX(Models!$BJ204:$BT204,,AH204+1)*AF204-ERP_i)*AE204*Ramure*Pc/MaxiM</f>
        <v>0</v>
      </c>
      <c r="AE204" s="305">
        <f t="shared" si="64"/>
        <v>0.7</v>
      </c>
      <c r="AF204" s="177">
        <f t="shared" si="65"/>
        <v>0.38461922135480786</v>
      </c>
      <c r="AG204" s="817">
        <f t="shared" si="66"/>
        <v>-2</v>
      </c>
      <c r="AH204" s="176">
        <f t="shared" si="67"/>
        <v>4</v>
      </c>
      <c r="AI204" s="225">
        <f t="shared" si="68"/>
        <v>-1.6153807786451921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1"/>
        <v>43291</v>
      </c>
      <c r="B205" s="617">
        <v>39.478999999999999</v>
      </c>
      <c r="C205" s="390"/>
      <c r="D205" s="393">
        <f t="shared" si="77"/>
        <v>39.549969185283523</v>
      </c>
      <c r="E205" s="385">
        <f t="shared" si="78"/>
        <v>40.176882299762546</v>
      </c>
      <c r="F205" s="385">
        <f t="shared" si="79"/>
        <v>40.176882299762546</v>
      </c>
      <c r="G205" s="110">
        <f t="shared" si="80"/>
        <v>0.95372464226313969</v>
      </c>
      <c r="I205" s="380">
        <f t="shared" si="49"/>
        <v>40.176882299762546</v>
      </c>
      <c r="J205" s="85">
        <v>2018</v>
      </c>
      <c r="K205" s="197">
        <f t="shared" si="50"/>
        <v>43291</v>
      </c>
      <c r="L205" s="438">
        <f t="shared" si="51"/>
        <v>1.7944182194188363E-3</v>
      </c>
      <c r="M205" s="861"/>
      <c r="N205" s="861"/>
      <c r="O205" s="324">
        <f t="shared" si="52"/>
        <v>1.5603826842550393E-2</v>
      </c>
      <c r="P205" s="169">
        <f>(INDEX(Models!$BJ205:$BT205,,T205)*(1-R205)+INDEX(Models!$BJ205:$BT205,,T205+1)*R205-ERP_i)*Q205*Ramure*Pc/MaxiM</f>
        <v>0</v>
      </c>
      <c r="Q205" s="305">
        <f t="shared" si="53"/>
        <v>0.7</v>
      </c>
      <c r="R205" s="177">
        <f t="shared" si="54"/>
        <v>0.38825660900263648</v>
      </c>
      <c r="S205" s="817">
        <f t="shared" si="72"/>
        <v>-2</v>
      </c>
      <c r="T205" s="176">
        <f t="shared" si="55"/>
        <v>4</v>
      </c>
      <c r="U205" s="251">
        <f t="shared" si="56"/>
        <v>-1.6117433909973635</v>
      </c>
      <c r="V205" s="383">
        <f t="shared" si="57"/>
        <v>41.394547493622859</v>
      </c>
      <c r="W205" s="58"/>
      <c r="X205" s="157">
        <f t="shared" si="58"/>
        <v>43291</v>
      </c>
      <c r="Y205" s="385">
        <f t="shared" si="59"/>
        <v>39.478999999999999</v>
      </c>
      <c r="Z205" s="385">
        <f t="shared" si="60"/>
        <v>39.549969185283523</v>
      </c>
      <c r="AA205" s="386">
        <f t="shared" si="61"/>
        <v>40.176882299762546</v>
      </c>
      <c r="AB205" s="197">
        <f t="shared" si="62"/>
        <v>43291</v>
      </c>
      <c r="AC205" s="427">
        <f t="shared" si="63"/>
        <v>1.5603826842550393E-2</v>
      </c>
      <c r="AD205" s="169">
        <f>(INDEX(Models!$BJ205:$BT205,,AH205)*(1-AF205)+INDEX(Models!$BJ205:$BT205,,AH205+1)*AF205-ERP_i)*AE205*Ramure*Pc/MaxiM</f>
        <v>0</v>
      </c>
      <c r="AE205" s="305">
        <f t="shared" si="64"/>
        <v>0.7</v>
      </c>
      <c r="AF205" s="177">
        <f t="shared" si="65"/>
        <v>0.38825660900263648</v>
      </c>
      <c r="AG205" s="817">
        <f t="shared" si="66"/>
        <v>-2</v>
      </c>
      <c r="AH205" s="176">
        <f t="shared" si="67"/>
        <v>4</v>
      </c>
      <c r="AI205" s="225">
        <f t="shared" si="68"/>
        <v>-1.6117433909973635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1"/>
        <v>43292</v>
      </c>
      <c r="B206" s="617">
        <v>38.936999999999998</v>
      </c>
      <c r="C206" s="390"/>
      <c r="D206" s="393">
        <f t="shared" si="77"/>
        <v>39.007849234274858</v>
      </c>
      <c r="E206" s="385">
        <f t="shared" si="78"/>
        <v>39.633480796281326</v>
      </c>
      <c r="F206" s="385">
        <f t="shared" si="79"/>
        <v>39.633480796281326</v>
      </c>
      <c r="G206" s="110">
        <f t="shared" si="80"/>
        <v>0.94245120413930628</v>
      </c>
      <c r="I206" s="380">
        <f t="shared" si="49"/>
        <v>39.633480796281326</v>
      </c>
      <c r="J206" s="85">
        <v>2018</v>
      </c>
      <c r="K206" s="197">
        <f t="shared" si="50"/>
        <v>43292</v>
      </c>
      <c r="L206" s="438">
        <f t="shared" si="51"/>
        <v>1.8162814834868923E-3</v>
      </c>
      <c r="M206" s="861"/>
      <c r="N206" s="861"/>
      <c r="O206" s="324">
        <f t="shared" si="52"/>
        <v>1.5785430636846096E-2</v>
      </c>
      <c r="P206" s="169">
        <f>(INDEX(Models!$BJ206:$BT206,,T206)*(1-R206)+INDEX(Models!$BJ206:$BT206,,T206+1)*R206-ERP_i)*Q206*Ramure*Pc/MaxiM</f>
        <v>0</v>
      </c>
      <c r="Q206" s="305">
        <f t="shared" si="53"/>
        <v>0.7</v>
      </c>
      <c r="R206" s="177">
        <f t="shared" si="54"/>
        <v>0.39181291006100083</v>
      </c>
      <c r="S206" s="817">
        <f t="shared" si="72"/>
        <v>-2</v>
      </c>
      <c r="T206" s="176">
        <f t="shared" si="55"/>
        <v>4</v>
      </c>
      <c r="U206" s="251">
        <f t="shared" si="56"/>
        <v>-1.6081870899389992</v>
      </c>
      <c r="V206" s="383">
        <f t="shared" si="57"/>
        <v>41.314605816180389</v>
      </c>
      <c r="W206" s="58"/>
      <c r="X206" s="157">
        <f t="shared" si="58"/>
        <v>43292</v>
      </c>
      <c r="Y206" s="385">
        <f t="shared" si="59"/>
        <v>38.936999999999998</v>
      </c>
      <c r="Z206" s="385">
        <f t="shared" si="60"/>
        <v>39.007849234274858</v>
      </c>
      <c r="AA206" s="386">
        <f t="shared" si="61"/>
        <v>39.633480796281326</v>
      </c>
      <c r="AB206" s="197">
        <f t="shared" si="62"/>
        <v>43292</v>
      </c>
      <c r="AC206" s="427">
        <f t="shared" si="63"/>
        <v>1.5785430636846096E-2</v>
      </c>
      <c r="AD206" s="169">
        <f>(INDEX(Models!$BJ206:$BT206,,AH206)*(1-AF206)+INDEX(Models!$BJ206:$BT206,,AH206+1)*AF206-ERP_i)*AE206*Ramure*Pc/MaxiM</f>
        <v>0</v>
      </c>
      <c r="AE206" s="305">
        <f t="shared" si="64"/>
        <v>0.7</v>
      </c>
      <c r="AF206" s="177">
        <f t="shared" si="65"/>
        <v>0.39181291006100083</v>
      </c>
      <c r="AG206" s="817">
        <f t="shared" si="66"/>
        <v>-2</v>
      </c>
      <c r="AH206" s="176">
        <f t="shared" si="67"/>
        <v>4</v>
      </c>
      <c r="AI206" s="225">
        <f t="shared" si="68"/>
        <v>-1.6081870899389992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1"/>
        <v>43293</v>
      </c>
      <c r="B207" s="617">
        <v>31.431999999999999</v>
      </c>
      <c r="C207" s="390"/>
      <c r="D207" s="393">
        <f t="shared" ref="D207:D270" si="81">Wh/(1-Ppv)</f>
        <v>31.489882947862437</v>
      </c>
      <c r="E207" s="385">
        <f t="shared" si="78"/>
        <v>32.000829290042233</v>
      </c>
      <c r="F207" s="385">
        <f t="shared" si="79"/>
        <v>32.000829290042233</v>
      </c>
      <c r="G207" s="110">
        <f t="shared" si="80"/>
        <v>0.7623365164203314</v>
      </c>
      <c r="I207" s="380">
        <f t="shared" ref="I207:I270" si="82">Wh_hp</f>
        <v>32.000829290042233</v>
      </c>
      <c r="J207" s="85">
        <v>2018</v>
      </c>
      <c r="K207" s="197">
        <f t="shared" ref="K207:K270" si="83">t</f>
        <v>43293</v>
      </c>
      <c r="L207" s="438">
        <f t="shared" ref="L207:L270" si="84">IF(t&lt;T0,0,IF(t&lt;Tvie,1-EXP((T0-t)*PertePVj),1-EXP((T0-t)*PertePVj)+Pspv))</f>
        <v>1.8381442686933314E-3</v>
      </c>
      <c r="M207" s="861"/>
      <c r="N207" s="861"/>
      <c r="O207" s="324">
        <f t="shared" ref="O207:O270" si="85">IF(t&lt;T0,0,IF(t&lt;Tnet,Salim_i*(1-EXP((T0-t)/Tau_ij)),Resal+(Salim-Resal)*(1-EXP((Tnet-t)/(Tau_j)))))*Salcycl</f>
        <v>1.5966659412129377E-2</v>
      </c>
      <c r="P207" s="169">
        <f>(INDEX(Models!$BJ207:$BT207,,T207)*(1-R207)+INDEX(Models!$BJ207:$BT207,,T207+1)*R207-ERP_i)*Q207*Ramure*Pc/MaxiM</f>
        <v>0</v>
      </c>
      <c r="Q207" s="305">
        <f t="shared" ref="Q207:Q270" si="86">IF(OR(t&lt;Ttai,Notai),Dd+PousD*Croivg,Dens+PousD*(Croivg-Croi_tai))</f>
        <v>0.7</v>
      </c>
      <c r="R207" s="177">
        <f t="shared" ref="R207:R270" si="87">(Hp_vg-S207)/(INDEX(Echel_vg,T207+1)-S207)</f>
        <v>0.39528790360771904</v>
      </c>
      <c r="S207" s="817">
        <f t="shared" si="72"/>
        <v>-2</v>
      </c>
      <c r="T207" s="176">
        <f t="shared" ref="T207:T270" si="88">MIN(MATCH(Hp_vg,Echel_vg),10)</f>
        <v>4</v>
      </c>
      <c r="U207" s="251">
        <f t="shared" ref="U207:U270" si="89">IF(OR(t&lt;Ttai,Notai),Hdd+PousH*Croivg,Hdtf+PousH*(Croivg-Croi_tai))</f>
        <v>-1.604712096392281</v>
      </c>
      <c r="V207" s="383">
        <f t="shared" ref="V207:V270" si="90">MaxiM*(1-Ppv)*(1-Pvg)*(1-Psa)</f>
        <v>41.231135230926363</v>
      </c>
      <c r="W207" s="58"/>
      <c r="X207" s="157">
        <f t="shared" ref="X207:X270" si="91">t</f>
        <v>43293</v>
      </c>
      <c r="Y207" s="385">
        <f t="shared" ref="Y207:Y270" si="92">Wh_pvt_s*(1-Ppv)</f>
        <v>31.431999999999995</v>
      </c>
      <c r="Z207" s="385">
        <f t="shared" ref="Z207:Z270" si="93">Wh_sa_s*(1-Psa_s)</f>
        <v>31.489882947862434</v>
      </c>
      <c r="AA207" s="386">
        <f t="shared" ref="AA207:AA270" si="94">Wh_hp*(1-Pvg_s*MEDIAN((-Sdif+Wh/Env_an)/Csdif,0,1))</f>
        <v>32.000829290042233</v>
      </c>
      <c r="AB207" s="197">
        <f t="shared" ref="AB207:AB270" si="95">t</f>
        <v>43293</v>
      </c>
      <c r="AC207" s="427">
        <f t="shared" ref="AC207:AC270" si="96">IF(t&lt;T0,0,IF(OR(t&lt;Tnet,NoTnet),Salim_i*(1-EXP((T0-t)/Tau_ij)),Resal_s+(Salim-Resal_s)*(1-EXP((Tnet_s-t)/Tau_j))))*Salcycl</f>
        <v>1.5966659412129377E-2</v>
      </c>
      <c r="AD207" s="169">
        <f>(INDEX(Models!$BJ207:$BT207,,AH207)*(1-AF207)+INDEX(Models!$BJ207:$BT207,,AH207+1)*AF207-ERP_i)*AE207*Ramure*Pc/MaxiM</f>
        <v>0</v>
      </c>
      <c r="AE207" s="305">
        <f t="shared" ref="AE207:AE270" si="97">Dd+PousD*Croivg</f>
        <v>0.7</v>
      </c>
      <c r="AF207" s="177">
        <f t="shared" ref="AF207:AF270" si="98">(Hp_vg_s-AG207)/(INDEX(Echel_vg,AH207+1)-AG207)</f>
        <v>0.39528790360771904</v>
      </c>
      <c r="AG207" s="817">
        <f t="shared" ref="AG207:AG270" si="99">INDEX(Echel_vg,AH207)</f>
        <v>-2</v>
      </c>
      <c r="AH207" s="176">
        <f t="shared" ref="AH207:AH270" si="100">MIN(MATCH(Hp_vg_s,Echel_vg),10)</f>
        <v>4</v>
      </c>
      <c r="AI207" s="225">
        <f t="shared" ref="AI207:AI270" si="101">Hdd+PousH*Croivg</f>
        <v>-1.604712096392281</v>
      </c>
      <c r="AJ207" s="265" t="b">
        <f t="shared" ref="AJ207:AJ270" si="102">t&lt;Tnet</f>
        <v>0</v>
      </c>
      <c r="AK207" s="265" t="b">
        <f t="shared" ref="AK207:AK270" si="10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104">A207+1</f>
        <v>43294</v>
      </c>
      <c r="B208" s="617">
        <v>36.786999999999999</v>
      </c>
      <c r="C208" s="390"/>
      <c r="D208" s="393">
        <f t="shared" si="81"/>
        <v>36.855551568243982</v>
      </c>
      <c r="E208" s="385">
        <f t="shared" si="78"/>
        <v>37.46044469353064</v>
      </c>
      <c r="F208" s="385">
        <f t="shared" si="79"/>
        <v>37.46044469353064</v>
      </c>
      <c r="G208" s="110">
        <f t="shared" si="80"/>
        <v>0.89409150624780998</v>
      </c>
      <c r="I208" s="380">
        <f t="shared" si="82"/>
        <v>37.46044469353064</v>
      </c>
      <c r="J208" s="85">
        <v>2018</v>
      </c>
      <c r="K208" s="197">
        <f t="shared" si="83"/>
        <v>43294</v>
      </c>
      <c r="L208" s="438">
        <f t="shared" si="84"/>
        <v>1.8600065750488115E-3</v>
      </c>
      <c r="M208" s="861"/>
      <c r="N208" s="861"/>
      <c r="O208" s="324">
        <f t="shared" si="85"/>
        <v>1.6147515872685939E-2</v>
      </c>
      <c r="P208" s="169">
        <f>(INDEX(Models!$BJ208:$BT208,,T208)*(1-R208)+INDEX(Models!$BJ208:$BT208,,T208+1)*R208-ERP_i)*Q208*Ramure*Pc/MaxiM</f>
        <v>0</v>
      </c>
      <c r="Q208" s="305">
        <f t="shared" si="86"/>
        <v>0.7</v>
      </c>
      <c r="R208" s="177">
        <f t="shared" si="87"/>
        <v>0.39868151282506448</v>
      </c>
      <c r="S208" s="817">
        <f t="shared" ref="S208:S271" si="105">INDEX(Echel_vg,T208)</f>
        <v>-2</v>
      </c>
      <c r="T208" s="176">
        <f t="shared" si="88"/>
        <v>4</v>
      </c>
      <c r="U208" s="251">
        <f t="shared" si="89"/>
        <v>-1.6013184871749355</v>
      </c>
      <c r="V208" s="383">
        <f t="shared" si="90"/>
        <v>41.144558183291778</v>
      </c>
      <c r="W208" s="58"/>
      <c r="X208" s="157">
        <f t="shared" si="91"/>
        <v>43294</v>
      </c>
      <c r="Y208" s="385">
        <f t="shared" si="92"/>
        <v>36.786999999999999</v>
      </c>
      <c r="Z208" s="385">
        <f t="shared" si="93"/>
        <v>36.855551568243982</v>
      </c>
      <c r="AA208" s="386">
        <f t="shared" si="94"/>
        <v>37.46044469353064</v>
      </c>
      <c r="AB208" s="197">
        <f t="shared" si="95"/>
        <v>43294</v>
      </c>
      <c r="AC208" s="427">
        <f t="shared" si="96"/>
        <v>1.6147515872685939E-2</v>
      </c>
      <c r="AD208" s="169">
        <f>(INDEX(Models!$BJ208:$BT208,,AH208)*(1-AF208)+INDEX(Models!$BJ208:$BT208,,AH208+1)*AF208-ERP_i)*AE208*Ramure*Pc/MaxiM</f>
        <v>0</v>
      </c>
      <c r="AE208" s="305">
        <f t="shared" si="97"/>
        <v>0.7</v>
      </c>
      <c r="AF208" s="177">
        <f t="shared" si="98"/>
        <v>0.39868151282506448</v>
      </c>
      <c r="AG208" s="817">
        <f t="shared" si="99"/>
        <v>-2</v>
      </c>
      <c r="AH208" s="176">
        <f t="shared" si="100"/>
        <v>4</v>
      </c>
      <c r="AI208" s="225">
        <f t="shared" si="101"/>
        <v>-1.6013184871749355</v>
      </c>
      <c r="AJ208" s="265" t="b">
        <f t="shared" si="102"/>
        <v>0</v>
      </c>
      <c r="AK208" s="265" t="b">
        <f t="shared" si="10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104"/>
        <v>43295</v>
      </c>
      <c r="B209" s="617">
        <v>37.252000000000002</v>
      </c>
      <c r="C209" s="390"/>
      <c r="D209" s="393">
        <f t="shared" si="81"/>
        <v>37.322235535767796</v>
      </c>
      <c r="E209" s="385">
        <f t="shared" si="78"/>
        <v>37.941748523715276</v>
      </c>
      <c r="F209" s="385">
        <f t="shared" si="79"/>
        <v>37.941748523715276</v>
      </c>
      <c r="G209" s="110">
        <f t="shared" si="80"/>
        <v>0.90736160617555028</v>
      </c>
      <c r="I209" s="380">
        <f t="shared" si="82"/>
        <v>37.941748523715276</v>
      </c>
      <c r="J209" s="85">
        <v>2018</v>
      </c>
      <c r="K209" s="197">
        <f t="shared" si="83"/>
        <v>43295</v>
      </c>
      <c r="L209" s="438">
        <f t="shared" si="84"/>
        <v>1.8818684025635468E-3</v>
      </c>
      <c r="M209" s="861"/>
      <c r="N209" s="861"/>
      <c r="O209" s="324">
        <f t="shared" si="85"/>
        <v>1.632800311140796E-2</v>
      </c>
      <c r="P209" s="169">
        <f>(INDEX(Models!$BJ209:$BT209,,T209)*(1-R209)+INDEX(Models!$BJ209:$BT209,,T209+1)*R209-ERP_i)*Q209*Ramure*Pc/MaxiM</f>
        <v>0</v>
      </c>
      <c r="Q209" s="305">
        <f t="shared" si="86"/>
        <v>0.7</v>
      </c>
      <c r="R209" s="177">
        <f t="shared" si="87"/>
        <v>0.4019937986231974</v>
      </c>
      <c r="S209" s="817">
        <f t="shared" si="105"/>
        <v>-2</v>
      </c>
      <c r="T209" s="176">
        <f t="shared" si="88"/>
        <v>4</v>
      </c>
      <c r="U209" s="251">
        <f t="shared" si="89"/>
        <v>-1.5980062013768026</v>
      </c>
      <c r="V209" s="383">
        <f t="shared" si="90"/>
        <v>41.055296748794468</v>
      </c>
      <c r="W209" s="58"/>
      <c r="X209" s="157">
        <f t="shared" si="91"/>
        <v>43295</v>
      </c>
      <c r="Y209" s="385">
        <f t="shared" si="92"/>
        <v>37.252000000000002</v>
      </c>
      <c r="Z209" s="385">
        <f t="shared" si="93"/>
        <v>37.322235535767796</v>
      </c>
      <c r="AA209" s="386">
        <f t="shared" si="94"/>
        <v>37.941748523715276</v>
      </c>
      <c r="AB209" s="197">
        <f t="shared" si="95"/>
        <v>43295</v>
      </c>
      <c r="AC209" s="427">
        <f t="shared" si="96"/>
        <v>1.632800311140796E-2</v>
      </c>
      <c r="AD209" s="169">
        <f>(INDEX(Models!$BJ209:$BT209,,AH209)*(1-AF209)+INDEX(Models!$BJ209:$BT209,,AH209+1)*AF209-ERP_i)*AE209*Ramure*Pc/MaxiM</f>
        <v>0</v>
      </c>
      <c r="AE209" s="305">
        <f t="shared" si="97"/>
        <v>0.7</v>
      </c>
      <c r="AF209" s="177">
        <f t="shared" si="98"/>
        <v>0.4019937986231974</v>
      </c>
      <c r="AG209" s="817">
        <f t="shared" si="99"/>
        <v>-2</v>
      </c>
      <c r="AH209" s="176">
        <f t="shared" si="100"/>
        <v>4</v>
      </c>
      <c r="AI209" s="225">
        <f t="shared" si="101"/>
        <v>-1.5980062013768026</v>
      </c>
      <c r="AJ209" s="265" t="b">
        <f t="shared" si="102"/>
        <v>0</v>
      </c>
      <c r="AK209" s="265" t="b">
        <f t="shared" si="103"/>
        <v>0</v>
      </c>
      <c r="AL209" s="265"/>
      <c r="AM209" s="265"/>
      <c r="AN209" s="75"/>
    </row>
    <row r="210" spans="1:40" s="6" customFormat="1" ht="11.25" x14ac:dyDescent="0.2">
      <c r="A210" s="56">
        <f t="shared" si="104"/>
        <v>43296</v>
      </c>
      <c r="B210" s="617">
        <v>37.392000000000003</v>
      </c>
      <c r="C210" s="390"/>
      <c r="D210" s="393">
        <f t="shared" si="81"/>
        <v>37.463320036934846</v>
      </c>
      <c r="E210" s="385">
        <f t="shared" si="78"/>
        <v>38.092149993879922</v>
      </c>
      <c r="F210" s="385">
        <f t="shared" si="79"/>
        <v>38.092149993879922</v>
      </c>
      <c r="G210" s="110">
        <f t="shared" si="80"/>
        <v>0.91280655052053428</v>
      </c>
      <c r="I210" s="380">
        <f t="shared" si="82"/>
        <v>38.092149993879922</v>
      </c>
      <c r="J210" s="85">
        <v>2018</v>
      </c>
      <c r="K210" s="197">
        <f t="shared" si="83"/>
        <v>43296</v>
      </c>
      <c r="L210" s="438">
        <f t="shared" si="84"/>
        <v>1.9037297512481954E-3</v>
      </c>
      <c r="M210" s="861"/>
      <c r="N210" s="861"/>
      <c r="O210" s="324">
        <f t="shared" si="85"/>
        <v>1.6508124562307637E-2</v>
      </c>
      <c r="P210" s="169">
        <f>(INDEX(Models!$BJ210:$BT210,,T210)*(1-R210)+INDEX(Models!$BJ210:$BT210,,T210+1)*R210-ERP_i)*Q210*Ramure*Pc/MaxiM</f>
        <v>0</v>
      </c>
      <c r="Q210" s="305">
        <f t="shared" si="86"/>
        <v>0.7</v>
      </c>
      <c r="R210" s="177">
        <f t="shared" si="87"/>
        <v>0.40522495302834982</v>
      </c>
      <c r="S210" s="817">
        <f t="shared" si="105"/>
        <v>-2</v>
      </c>
      <c r="T210" s="176">
        <f t="shared" si="88"/>
        <v>4</v>
      </c>
      <c r="U210" s="251">
        <f t="shared" si="89"/>
        <v>-1.5947750469716502</v>
      </c>
      <c r="V210" s="383">
        <f t="shared" si="90"/>
        <v>40.963772640190797</v>
      </c>
      <c r="W210" s="58"/>
      <c r="X210" s="157">
        <f t="shared" si="91"/>
        <v>43296</v>
      </c>
      <c r="Y210" s="385">
        <f t="shared" si="92"/>
        <v>37.392000000000003</v>
      </c>
      <c r="Z210" s="385">
        <f t="shared" si="93"/>
        <v>37.463320036934846</v>
      </c>
      <c r="AA210" s="386">
        <f t="shared" si="94"/>
        <v>38.092149993879922</v>
      </c>
      <c r="AB210" s="197">
        <f t="shared" si="95"/>
        <v>43296</v>
      </c>
      <c r="AC210" s="427">
        <f t="shared" si="96"/>
        <v>1.6508124562307637E-2</v>
      </c>
      <c r="AD210" s="169">
        <f>(INDEX(Models!$BJ210:$BT210,,AH210)*(1-AF210)+INDEX(Models!$BJ210:$BT210,,AH210+1)*AF210-ERP_i)*AE210*Ramure*Pc/MaxiM</f>
        <v>0</v>
      </c>
      <c r="AE210" s="305">
        <f t="shared" si="97"/>
        <v>0.7</v>
      </c>
      <c r="AF210" s="177">
        <f t="shared" si="98"/>
        <v>0.40522495302834982</v>
      </c>
      <c r="AG210" s="817">
        <f t="shared" si="99"/>
        <v>-2</v>
      </c>
      <c r="AH210" s="176">
        <f t="shared" si="100"/>
        <v>4</v>
      </c>
      <c r="AI210" s="225">
        <f t="shared" si="101"/>
        <v>-1.5947750469716502</v>
      </c>
      <c r="AJ210" s="265" t="b">
        <f t="shared" si="102"/>
        <v>0</v>
      </c>
      <c r="AK210" s="265" t="b">
        <f t="shared" si="103"/>
        <v>0</v>
      </c>
      <c r="AL210" s="265"/>
      <c r="AM210" s="265"/>
      <c r="AN210" s="75"/>
    </row>
    <row r="211" spans="1:40" s="6" customFormat="1" ht="11.25" x14ac:dyDescent="0.2">
      <c r="A211" s="56">
        <f t="shared" si="104"/>
        <v>43297</v>
      </c>
      <c r="B211" s="617">
        <v>18.690999999999999</v>
      </c>
      <c r="C211" s="390"/>
      <c r="D211" s="393">
        <f t="shared" si="81"/>
        <v>18.727060652353188</v>
      </c>
      <c r="E211" s="385">
        <f t="shared" si="78"/>
        <v>19.044879389481693</v>
      </c>
      <c r="F211" s="385">
        <f t="shared" si="79"/>
        <v>19.044879389481693</v>
      </c>
      <c r="G211" s="110">
        <f t="shared" si="80"/>
        <v>0.45732355700776683</v>
      </c>
      <c r="I211" s="380">
        <f t="shared" si="82"/>
        <v>19.044879389481693</v>
      </c>
      <c r="J211" s="85">
        <v>2018</v>
      </c>
      <c r="K211" s="197">
        <f t="shared" si="83"/>
        <v>43297</v>
      </c>
      <c r="L211" s="438">
        <f t="shared" si="84"/>
        <v>1.9255906211131935E-3</v>
      </c>
      <c r="M211" s="861"/>
      <c r="N211" s="861"/>
      <c r="O211" s="324">
        <f t="shared" si="85"/>
        <v>1.6687883951842293E-2</v>
      </c>
      <c r="P211" s="169">
        <f>(INDEX(Models!$BJ211:$BT211,,T211)*(1-R211)+INDEX(Models!$BJ211:$BT211,,T211+1)*R211-ERP_i)*Q211*Ramure*Pc/MaxiM</f>
        <v>0</v>
      </c>
      <c r="Q211" s="305">
        <f t="shared" si="86"/>
        <v>0.7</v>
      </c>
      <c r="R211" s="177">
        <f t="shared" si="87"/>
        <v>0.40837529238969128</v>
      </c>
      <c r="S211" s="817">
        <f t="shared" si="105"/>
        <v>-2</v>
      </c>
      <c r="T211" s="176">
        <f t="shared" si="88"/>
        <v>4</v>
      </c>
      <c r="U211" s="251">
        <f t="shared" si="89"/>
        <v>-1.5916247076103087</v>
      </c>
      <c r="V211" s="383">
        <f t="shared" si="90"/>
        <v>40.870407206429057</v>
      </c>
      <c r="W211" s="58"/>
      <c r="X211" s="157">
        <f t="shared" si="91"/>
        <v>43297</v>
      </c>
      <c r="Y211" s="385">
        <f t="shared" si="92"/>
        <v>18.690999999999999</v>
      </c>
      <c r="Z211" s="385">
        <f t="shared" si="93"/>
        <v>18.727060652353188</v>
      </c>
      <c r="AA211" s="386">
        <f t="shared" si="94"/>
        <v>19.044879389481693</v>
      </c>
      <c r="AB211" s="197">
        <f t="shared" si="95"/>
        <v>43297</v>
      </c>
      <c r="AC211" s="427">
        <f t="shared" si="96"/>
        <v>1.6687883951842293E-2</v>
      </c>
      <c r="AD211" s="169">
        <f>(INDEX(Models!$BJ211:$BT211,,AH211)*(1-AF211)+INDEX(Models!$BJ211:$BT211,,AH211+1)*AF211-ERP_i)*AE211*Ramure*Pc/MaxiM</f>
        <v>0</v>
      </c>
      <c r="AE211" s="305">
        <f t="shared" si="97"/>
        <v>0.7</v>
      </c>
      <c r="AF211" s="177">
        <f t="shared" si="98"/>
        <v>0.40837529238969128</v>
      </c>
      <c r="AG211" s="817">
        <f t="shared" si="99"/>
        <v>-2</v>
      </c>
      <c r="AH211" s="176">
        <f t="shared" si="100"/>
        <v>4</v>
      </c>
      <c r="AI211" s="225">
        <f t="shared" si="101"/>
        <v>-1.5916247076103087</v>
      </c>
      <c r="AJ211" s="265" t="b">
        <f t="shared" si="102"/>
        <v>0</v>
      </c>
      <c r="AK211" s="265" t="b">
        <f t="shared" si="103"/>
        <v>0</v>
      </c>
      <c r="AL211" s="265"/>
      <c r="AM211" s="265"/>
      <c r="AN211" s="75"/>
    </row>
    <row r="212" spans="1:40" s="6" customFormat="1" ht="11.25" x14ac:dyDescent="0.2">
      <c r="A212" s="56">
        <f t="shared" si="104"/>
        <v>43298</v>
      </c>
      <c r="B212" s="617">
        <v>33.862000000000002</v>
      </c>
      <c r="C212" s="390"/>
      <c r="D212" s="393">
        <f t="shared" si="81"/>
        <v>33.928073260612322</v>
      </c>
      <c r="E212" s="385">
        <f t="shared" si="78"/>
        <v>34.510166075820621</v>
      </c>
      <c r="F212" s="385">
        <f t="shared" si="79"/>
        <v>34.510166075820621</v>
      </c>
      <c r="G212" s="110">
        <f t="shared" si="80"/>
        <v>0.83044718398709483</v>
      </c>
      <c r="I212" s="380">
        <f t="shared" si="82"/>
        <v>34.510166075820621</v>
      </c>
      <c r="J212" s="85">
        <v>2018</v>
      </c>
      <c r="K212" s="197">
        <f t="shared" si="83"/>
        <v>43298</v>
      </c>
      <c r="L212" s="438">
        <f t="shared" si="84"/>
        <v>1.947451012168977E-3</v>
      </c>
      <c r="M212" s="861"/>
      <c r="N212" s="861"/>
      <c r="O212" s="324">
        <f t="shared" si="85"/>
        <v>1.6867285249494626E-2</v>
      </c>
      <c r="P212" s="169">
        <f>(INDEX(Models!$BJ212:$BT212,,T212)*(1-R212)+INDEX(Models!$BJ212:$BT212,,T212+1)*R212-ERP_i)*Q212*Ramure*Pc/MaxiM</f>
        <v>0</v>
      </c>
      <c r="Q212" s="305">
        <f t="shared" si="86"/>
        <v>0.7</v>
      </c>
      <c r="R212" s="177">
        <f t="shared" si="87"/>
        <v>0.41144525045626756</v>
      </c>
      <c r="S212" s="817">
        <f t="shared" si="105"/>
        <v>-2</v>
      </c>
      <c r="T212" s="176">
        <f t="shared" si="88"/>
        <v>4</v>
      </c>
      <c r="U212" s="251">
        <f t="shared" si="89"/>
        <v>-1.5885547495437324</v>
      </c>
      <c r="V212" s="383">
        <f t="shared" si="90"/>
        <v>40.775621439793113</v>
      </c>
      <c r="W212" s="58"/>
      <c r="X212" s="157">
        <f t="shared" si="91"/>
        <v>43298</v>
      </c>
      <c r="Y212" s="385">
        <f t="shared" si="92"/>
        <v>33.862000000000002</v>
      </c>
      <c r="Z212" s="385">
        <f t="shared" si="93"/>
        <v>33.928073260612322</v>
      </c>
      <c r="AA212" s="386">
        <f t="shared" si="94"/>
        <v>34.510166075820621</v>
      </c>
      <c r="AB212" s="197">
        <f t="shared" si="95"/>
        <v>43298</v>
      </c>
      <c r="AC212" s="427">
        <f t="shared" si="96"/>
        <v>1.6867285249494626E-2</v>
      </c>
      <c r="AD212" s="169">
        <f>(INDEX(Models!$BJ212:$BT212,,AH212)*(1-AF212)+INDEX(Models!$BJ212:$BT212,,AH212+1)*AF212-ERP_i)*AE212*Ramure*Pc/MaxiM</f>
        <v>0</v>
      </c>
      <c r="AE212" s="305">
        <f t="shared" si="97"/>
        <v>0.7</v>
      </c>
      <c r="AF212" s="177">
        <f t="shared" si="98"/>
        <v>0.41144525045626756</v>
      </c>
      <c r="AG212" s="817">
        <f t="shared" si="99"/>
        <v>-2</v>
      </c>
      <c r="AH212" s="176">
        <f t="shared" si="100"/>
        <v>4</v>
      </c>
      <c r="AI212" s="225">
        <f t="shared" si="101"/>
        <v>-1.5885547495437324</v>
      </c>
      <c r="AJ212" s="265" t="b">
        <f t="shared" si="102"/>
        <v>0</v>
      </c>
      <c r="AK212" s="265" t="b">
        <f t="shared" si="10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104"/>
        <v>43299</v>
      </c>
      <c r="B213" s="617">
        <v>28.032</v>
      </c>
      <c r="C213" s="390"/>
      <c r="D213" s="393">
        <f t="shared" si="81"/>
        <v>28.087312651642655</v>
      </c>
      <c r="E213" s="385">
        <f t="shared" si="78"/>
        <v>28.574401402308087</v>
      </c>
      <c r="F213" s="385">
        <f t="shared" si="79"/>
        <v>28.574401402308087</v>
      </c>
      <c r="G213" s="110">
        <f t="shared" si="80"/>
        <v>0.68908832409921428</v>
      </c>
      <c r="I213" s="380">
        <f t="shared" si="82"/>
        <v>28.574401402308087</v>
      </c>
      <c r="J213" s="85">
        <v>2018</v>
      </c>
      <c r="K213" s="197">
        <f t="shared" si="83"/>
        <v>43299</v>
      </c>
      <c r="L213" s="438">
        <f t="shared" si="84"/>
        <v>1.9693109244262041E-3</v>
      </c>
      <c r="M213" s="861"/>
      <c r="N213" s="861"/>
      <c r="O213" s="324">
        <f t="shared" si="85"/>
        <v>1.7046332618050445E-2</v>
      </c>
      <c r="P213" s="169">
        <f>(INDEX(Models!$BJ213:$BT213,,T213)*(1-R213)+INDEX(Models!$BJ213:$BT213,,T213+1)*R213-ERP_i)*Q213*Ramure*Pc/MaxiM</f>
        <v>0</v>
      </c>
      <c r="Q213" s="305">
        <f t="shared" si="86"/>
        <v>0.7</v>
      </c>
      <c r="R213" s="177">
        <f t="shared" si="87"/>
        <v>0.41443537137255793</v>
      </c>
      <c r="S213" s="817">
        <f t="shared" si="105"/>
        <v>-2</v>
      </c>
      <c r="T213" s="176">
        <f t="shared" si="88"/>
        <v>4</v>
      </c>
      <c r="U213" s="251">
        <f t="shared" si="89"/>
        <v>-1.5855646286274421</v>
      </c>
      <c r="V213" s="383">
        <f t="shared" si="90"/>
        <v>40.679835979870681</v>
      </c>
      <c r="W213" s="58"/>
      <c r="X213" s="157">
        <f t="shared" si="91"/>
        <v>43299</v>
      </c>
      <c r="Y213" s="385">
        <f t="shared" si="92"/>
        <v>28.032</v>
      </c>
      <c r="Z213" s="385">
        <f t="shared" si="93"/>
        <v>28.087312651642655</v>
      </c>
      <c r="AA213" s="386">
        <f t="shared" si="94"/>
        <v>28.574401402308087</v>
      </c>
      <c r="AB213" s="197">
        <f t="shared" si="95"/>
        <v>43299</v>
      </c>
      <c r="AC213" s="427">
        <f t="shared" si="96"/>
        <v>1.7046332618050445E-2</v>
      </c>
      <c r="AD213" s="169">
        <f>(INDEX(Models!$BJ213:$BT213,,AH213)*(1-AF213)+INDEX(Models!$BJ213:$BT213,,AH213+1)*AF213-ERP_i)*AE213*Ramure*Pc/MaxiM</f>
        <v>0</v>
      </c>
      <c r="AE213" s="305">
        <f t="shared" si="97"/>
        <v>0.7</v>
      </c>
      <c r="AF213" s="177">
        <f t="shared" si="98"/>
        <v>0.41443537137255793</v>
      </c>
      <c r="AG213" s="817">
        <f t="shared" si="99"/>
        <v>-2</v>
      </c>
      <c r="AH213" s="176">
        <f t="shared" si="100"/>
        <v>4</v>
      </c>
      <c r="AI213" s="225">
        <f t="shared" si="101"/>
        <v>-1.5855646286274421</v>
      </c>
      <c r="AJ213" s="265" t="b">
        <f t="shared" si="102"/>
        <v>0</v>
      </c>
      <c r="AK213" s="265" t="b">
        <f t="shared" si="10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104"/>
        <v>43300</v>
      </c>
      <c r="B214" s="617">
        <v>38.057000000000002</v>
      </c>
      <c r="C214" s="390"/>
      <c r="D214" s="393">
        <f t="shared" si="81"/>
        <v>38.132929158199524</v>
      </c>
      <c r="E214" s="385">
        <f t="shared" si="78"/>
        <v>38.801282426152611</v>
      </c>
      <c r="F214" s="385">
        <f t="shared" si="79"/>
        <v>38.801282426152611</v>
      </c>
      <c r="G214" s="110">
        <f t="shared" si="80"/>
        <v>0.93774630296411021</v>
      </c>
      <c r="I214" s="380">
        <f t="shared" si="82"/>
        <v>38.801282426152611</v>
      </c>
      <c r="J214" s="85">
        <v>2018</v>
      </c>
      <c r="K214" s="197">
        <f t="shared" si="83"/>
        <v>43300</v>
      </c>
      <c r="L214" s="438">
        <f t="shared" si="84"/>
        <v>1.9911703578952E-3</v>
      </c>
      <c r="M214" s="861"/>
      <c r="N214" s="861"/>
      <c r="O214" s="324">
        <f t="shared" si="85"/>
        <v>1.7225030364012059E-2</v>
      </c>
      <c r="P214" s="169">
        <f>(INDEX(Models!$BJ214:$BT214,,T214)*(1-R214)+INDEX(Models!$BJ214:$BT214,,T214+1)*R214-ERP_i)*Q214*Ramure*Pc/MaxiM</f>
        <v>0</v>
      </c>
      <c r="Q214" s="305">
        <f t="shared" si="86"/>
        <v>0.7</v>
      </c>
      <c r="R214" s="177">
        <f t="shared" si="87"/>
        <v>0.41734630263812167</v>
      </c>
      <c r="S214" s="817">
        <f t="shared" si="105"/>
        <v>-2</v>
      </c>
      <c r="T214" s="176">
        <f t="shared" si="88"/>
        <v>4</v>
      </c>
      <c r="U214" s="251">
        <f t="shared" si="89"/>
        <v>-1.5826536973618783</v>
      </c>
      <c r="V214" s="383">
        <f t="shared" si="90"/>
        <v>40.5834711154884</v>
      </c>
      <c r="W214" s="58"/>
      <c r="X214" s="157">
        <f t="shared" si="91"/>
        <v>43300</v>
      </c>
      <c r="Y214" s="385">
        <f t="shared" si="92"/>
        <v>38.057000000000002</v>
      </c>
      <c r="Z214" s="385">
        <f t="shared" si="93"/>
        <v>38.132929158199524</v>
      </c>
      <c r="AA214" s="386">
        <f t="shared" si="94"/>
        <v>38.801282426152611</v>
      </c>
      <c r="AB214" s="197">
        <f t="shared" si="95"/>
        <v>43300</v>
      </c>
      <c r="AC214" s="427">
        <f t="shared" si="96"/>
        <v>1.7225030364012059E-2</v>
      </c>
      <c r="AD214" s="169">
        <f>(INDEX(Models!$BJ214:$BT214,,AH214)*(1-AF214)+INDEX(Models!$BJ214:$BT214,,AH214+1)*AF214-ERP_i)*AE214*Ramure*Pc/MaxiM</f>
        <v>0</v>
      </c>
      <c r="AE214" s="305">
        <f t="shared" si="97"/>
        <v>0.7</v>
      </c>
      <c r="AF214" s="177">
        <f t="shared" si="98"/>
        <v>0.41734630263812167</v>
      </c>
      <c r="AG214" s="817">
        <f t="shared" si="99"/>
        <v>-2</v>
      </c>
      <c r="AH214" s="176">
        <f t="shared" si="100"/>
        <v>4</v>
      </c>
      <c r="AI214" s="225">
        <f t="shared" si="101"/>
        <v>-1.5826536973618783</v>
      </c>
      <c r="AJ214" s="265" t="b">
        <f t="shared" si="102"/>
        <v>0</v>
      </c>
      <c r="AK214" s="265" t="b">
        <f t="shared" si="10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104"/>
        <v>43301</v>
      </c>
      <c r="B215" s="617">
        <v>18.324999999999999</v>
      </c>
      <c r="C215" s="390"/>
      <c r="D215" s="393">
        <f t="shared" si="81"/>
        <v>18.36196317009804</v>
      </c>
      <c r="E215" s="385">
        <f t="shared" si="78"/>
        <v>18.687183377526136</v>
      </c>
      <c r="F215" s="385">
        <f t="shared" si="79"/>
        <v>18.687183377526136</v>
      </c>
      <c r="G215" s="110">
        <f t="shared" si="80"/>
        <v>0.45261501430418477</v>
      </c>
      <c r="I215" s="380">
        <f t="shared" si="82"/>
        <v>18.687183377526136</v>
      </c>
      <c r="J215" s="85">
        <v>2018</v>
      </c>
      <c r="K215" s="197">
        <f t="shared" si="83"/>
        <v>43301</v>
      </c>
      <c r="L215" s="438">
        <f t="shared" si="84"/>
        <v>2.0130293125865117E-3</v>
      </c>
      <c r="M215" s="861"/>
      <c r="N215" s="861"/>
      <c r="O215" s="324">
        <f t="shared" si="85"/>
        <v>1.7403382888574646E-2</v>
      </c>
      <c r="P215" s="169">
        <f>(INDEX(Models!$BJ215:$BT215,,T215)*(1-R215)+INDEX(Models!$BJ215:$BT215,,T215+1)*R215-ERP_i)*Q215*Ramure*Pc/MaxiM</f>
        <v>0</v>
      </c>
      <c r="Q215" s="305">
        <f t="shared" si="86"/>
        <v>0.7</v>
      </c>
      <c r="R215" s="177">
        <f t="shared" si="87"/>
        <v>0.4201787880735568</v>
      </c>
      <c r="S215" s="817">
        <f t="shared" si="105"/>
        <v>-2</v>
      </c>
      <c r="T215" s="176">
        <f t="shared" si="88"/>
        <v>4</v>
      </c>
      <c r="U215" s="251">
        <f t="shared" si="89"/>
        <v>-1.5798212119264432</v>
      </c>
      <c r="V215" s="383">
        <f t="shared" si="90"/>
        <v>40.486946788920456</v>
      </c>
      <c r="W215" s="58"/>
      <c r="X215" s="157">
        <f t="shared" si="91"/>
        <v>43301</v>
      </c>
      <c r="Y215" s="385">
        <f t="shared" si="92"/>
        <v>18.324999999999999</v>
      </c>
      <c r="Z215" s="385">
        <f t="shared" si="93"/>
        <v>18.36196317009804</v>
      </c>
      <c r="AA215" s="386">
        <f t="shared" si="94"/>
        <v>18.687183377526136</v>
      </c>
      <c r="AB215" s="197">
        <f t="shared" si="95"/>
        <v>43301</v>
      </c>
      <c r="AC215" s="427">
        <f t="shared" si="96"/>
        <v>1.7403382888574646E-2</v>
      </c>
      <c r="AD215" s="169">
        <f>(INDEX(Models!$BJ215:$BT215,,AH215)*(1-AF215)+INDEX(Models!$BJ215:$BT215,,AH215+1)*AF215-ERP_i)*AE215*Ramure*Pc/MaxiM</f>
        <v>0</v>
      </c>
      <c r="AE215" s="305">
        <f t="shared" si="97"/>
        <v>0.7</v>
      </c>
      <c r="AF215" s="177">
        <f t="shared" si="98"/>
        <v>0.4201787880735568</v>
      </c>
      <c r="AG215" s="817">
        <f t="shared" si="99"/>
        <v>-2</v>
      </c>
      <c r="AH215" s="176">
        <f t="shared" si="100"/>
        <v>4</v>
      </c>
      <c r="AI215" s="225">
        <f t="shared" si="101"/>
        <v>-1.5798212119264432</v>
      </c>
      <c r="AJ215" s="265" t="b">
        <f t="shared" si="102"/>
        <v>0</v>
      </c>
      <c r="AK215" s="265" t="b">
        <f t="shared" si="10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104"/>
        <v>43302</v>
      </c>
      <c r="B216" s="617">
        <v>21.617000000000001</v>
      </c>
      <c r="C216" s="390"/>
      <c r="D216" s="393">
        <f t="shared" si="81"/>
        <v>21.66107786282905</v>
      </c>
      <c r="E216" s="385">
        <f t="shared" si="78"/>
        <v>22.048725201903352</v>
      </c>
      <c r="F216" s="385">
        <f t="shared" si="79"/>
        <v>22.048725201903352</v>
      </c>
      <c r="G216" s="110">
        <f t="shared" si="80"/>
        <v>0.53519768936934664</v>
      </c>
      <c r="I216" s="380">
        <f t="shared" si="82"/>
        <v>22.048725201903352</v>
      </c>
      <c r="J216" s="85">
        <v>2018</v>
      </c>
      <c r="K216" s="197">
        <f t="shared" si="83"/>
        <v>43302</v>
      </c>
      <c r="L216" s="438">
        <f t="shared" si="84"/>
        <v>2.0348877885105754E-3</v>
      </c>
      <c r="M216" s="861"/>
      <c r="N216" s="861"/>
      <c r="O216" s="324">
        <f t="shared" si="85"/>
        <v>1.7581394639579265E-2</v>
      </c>
      <c r="P216" s="169">
        <f>(INDEX(Models!$BJ216:$BT216,,T216)*(1-R216)+INDEX(Models!$BJ216:$BT216,,T216+1)*R216-ERP_i)*Q216*Ramure*Pc/MaxiM</f>
        <v>0</v>
      </c>
      <c r="Q216" s="305">
        <f t="shared" si="86"/>
        <v>0.7</v>
      </c>
      <c r="R216" s="177">
        <f t="shared" si="87"/>
        <v>0.42293366083161676</v>
      </c>
      <c r="S216" s="817">
        <f t="shared" si="105"/>
        <v>-2</v>
      </c>
      <c r="T216" s="176">
        <f t="shared" si="88"/>
        <v>4</v>
      </c>
      <c r="U216" s="251">
        <f t="shared" si="89"/>
        <v>-1.5770663391683832</v>
      </c>
      <c r="V216" s="383">
        <f t="shared" si="90"/>
        <v>40.390682600802187</v>
      </c>
      <c r="W216" s="58"/>
      <c r="X216" s="157">
        <f t="shared" si="91"/>
        <v>43302</v>
      </c>
      <c r="Y216" s="385">
        <f t="shared" si="92"/>
        <v>21.617000000000001</v>
      </c>
      <c r="Z216" s="385">
        <f t="shared" si="93"/>
        <v>21.66107786282905</v>
      </c>
      <c r="AA216" s="386">
        <f t="shared" si="94"/>
        <v>22.048725201903352</v>
      </c>
      <c r="AB216" s="197">
        <f t="shared" si="95"/>
        <v>43302</v>
      </c>
      <c r="AC216" s="427">
        <f t="shared" si="96"/>
        <v>1.7581394639579265E-2</v>
      </c>
      <c r="AD216" s="169">
        <f>(INDEX(Models!$BJ216:$BT216,,AH216)*(1-AF216)+INDEX(Models!$BJ216:$BT216,,AH216+1)*AF216-ERP_i)*AE216*Ramure*Pc/MaxiM</f>
        <v>0</v>
      </c>
      <c r="AE216" s="305">
        <f t="shared" si="97"/>
        <v>0.7</v>
      </c>
      <c r="AF216" s="177">
        <f t="shared" si="98"/>
        <v>0.42293366083161676</v>
      </c>
      <c r="AG216" s="817">
        <f t="shared" si="99"/>
        <v>-2</v>
      </c>
      <c r="AH216" s="176">
        <f t="shared" si="100"/>
        <v>4</v>
      </c>
      <c r="AI216" s="225">
        <f t="shared" si="101"/>
        <v>-1.5770663391683832</v>
      </c>
      <c r="AJ216" s="265" t="b">
        <f t="shared" si="102"/>
        <v>0</v>
      </c>
      <c r="AK216" s="265" t="b">
        <f t="shared" si="10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104"/>
        <v>43303</v>
      </c>
      <c r="B217" s="617">
        <v>39.131999999999998</v>
      </c>
      <c r="C217" s="390"/>
      <c r="D217" s="393">
        <f t="shared" si="81"/>
        <v>39.21265045356563</v>
      </c>
      <c r="E217" s="385">
        <f t="shared" si="78"/>
        <v>39.921621323756099</v>
      </c>
      <c r="F217" s="385">
        <f t="shared" si="79"/>
        <v>39.921621323756099</v>
      </c>
      <c r="G217" s="110">
        <f t="shared" si="80"/>
        <v>0.97113550097531398</v>
      </c>
      <c r="I217" s="380">
        <f t="shared" si="82"/>
        <v>39.921621323756099</v>
      </c>
      <c r="J217" s="85">
        <v>2018</v>
      </c>
      <c r="K217" s="197">
        <f t="shared" si="83"/>
        <v>43303</v>
      </c>
      <c r="L217" s="438">
        <f t="shared" si="84"/>
        <v>2.0567457856779381E-3</v>
      </c>
      <c r="M217" s="861"/>
      <c r="N217" s="861"/>
      <c r="O217" s="324">
        <f t="shared" si="85"/>
        <v>1.7759070064836839E-2</v>
      </c>
      <c r="P217" s="169">
        <f>(INDEX(Models!$BJ217:$BT217,,T217)*(1-R217)+INDEX(Models!$BJ217:$BT217,,T217+1)*R217-ERP_i)*Q217*Ramure*Pc/MaxiM</f>
        <v>0</v>
      </c>
      <c r="Q217" s="305">
        <f t="shared" si="86"/>
        <v>0.7</v>
      </c>
      <c r="R217" s="177">
        <f t="shared" si="87"/>
        <v>0.42561183648889589</v>
      </c>
      <c r="S217" s="817">
        <f t="shared" si="105"/>
        <v>-2</v>
      </c>
      <c r="T217" s="176">
        <f t="shared" si="88"/>
        <v>4</v>
      </c>
      <c r="U217" s="251">
        <f t="shared" si="89"/>
        <v>-1.5743881635111041</v>
      </c>
      <c r="V217" s="383">
        <f t="shared" si="90"/>
        <v>40.29509781147906</v>
      </c>
      <c r="W217" s="58"/>
      <c r="X217" s="157">
        <f t="shared" si="91"/>
        <v>43303</v>
      </c>
      <c r="Y217" s="385">
        <f t="shared" si="92"/>
        <v>39.131999999999998</v>
      </c>
      <c r="Z217" s="385">
        <f t="shared" si="93"/>
        <v>39.21265045356563</v>
      </c>
      <c r="AA217" s="386">
        <f t="shared" si="94"/>
        <v>39.921621323756099</v>
      </c>
      <c r="AB217" s="197">
        <f t="shared" si="95"/>
        <v>43303</v>
      </c>
      <c r="AC217" s="427">
        <f t="shared" si="96"/>
        <v>1.7759070064836839E-2</v>
      </c>
      <c r="AD217" s="169">
        <f>(INDEX(Models!$BJ217:$BT217,,AH217)*(1-AF217)+INDEX(Models!$BJ217:$BT217,,AH217+1)*AF217-ERP_i)*AE217*Ramure*Pc/MaxiM</f>
        <v>0</v>
      </c>
      <c r="AE217" s="305">
        <f t="shared" si="97"/>
        <v>0.7</v>
      </c>
      <c r="AF217" s="177">
        <f t="shared" si="98"/>
        <v>0.42561183648889589</v>
      </c>
      <c r="AG217" s="817">
        <f t="shared" si="99"/>
        <v>-2</v>
      </c>
      <c r="AH217" s="176">
        <f t="shared" si="100"/>
        <v>4</v>
      </c>
      <c r="AI217" s="225">
        <f t="shared" si="101"/>
        <v>-1.5743881635111041</v>
      </c>
      <c r="AJ217" s="265" t="b">
        <f t="shared" si="102"/>
        <v>0</v>
      </c>
      <c r="AK217" s="265" t="b">
        <f t="shared" si="103"/>
        <v>0</v>
      </c>
      <c r="AL217" s="265"/>
      <c r="AM217" s="265"/>
      <c r="AN217" s="75"/>
    </row>
    <row r="218" spans="1:40" s="6" customFormat="1" ht="11.25" x14ac:dyDescent="0.2">
      <c r="A218" s="56">
        <f t="shared" si="104"/>
        <v>43304</v>
      </c>
      <c r="B218" s="617">
        <v>39.430999999999997</v>
      </c>
      <c r="C218" s="390"/>
      <c r="D218" s="393">
        <f t="shared" si="81"/>
        <v>39.513132126994478</v>
      </c>
      <c r="E218" s="385">
        <f t="shared" si="78"/>
        <v>40.234800142137267</v>
      </c>
      <c r="F218" s="385">
        <f t="shared" si="79"/>
        <v>40.234800142137267</v>
      </c>
      <c r="G218" s="110">
        <f t="shared" si="80"/>
        <v>0.98085573029528494</v>
      </c>
      <c r="I218" s="380">
        <f t="shared" si="82"/>
        <v>40.234800142137267</v>
      </c>
      <c r="J218" s="85">
        <v>2018</v>
      </c>
      <c r="K218" s="197">
        <f t="shared" si="83"/>
        <v>43304</v>
      </c>
      <c r="L218" s="438">
        <f t="shared" si="84"/>
        <v>2.078603304099147E-3</v>
      </c>
      <c r="M218" s="861"/>
      <c r="N218" s="861"/>
      <c r="O218" s="324">
        <f t="shared" si="85"/>
        <v>1.793641356719456E-2</v>
      </c>
      <c r="P218" s="169">
        <f>(INDEX(Models!$BJ218:$BT218,,T218)*(1-R218)+INDEX(Models!$BJ218:$BT218,,T218+1)*R218-ERP_i)*Q218*Ramure*Pc/MaxiM</f>
        <v>0</v>
      </c>
      <c r="Q218" s="305">
        <f t="shared" si="86"/>
        <v>0.7</v>
      </c>
      <c r="R218" s="177">
        <f t="shared" si="87"/>
        <v>0.4282143062500281</v>
      </c>
      <c r="S218" s="817">
        <f t="shared" si="105"/>
        <v>-2</v>
      </c>
      <c r="T218" s="176">
        <f t="shared" si="88"/>
        <v>4</v>
      </c>
      <c r="U218" s="251">
        <f t="shared" si="89"/>
        <v>-1.5717856937499719</v>
      </c>
      <c r="V218" s="383">
        <f t="shared" si="90"/>
        <v>40.200611345900342</v>
      </c>
      <c r="W218" s="58"/>
      <c r="X218" s="157">
        <f t="shared" si="91"/>
        <v>43304</v>
      </c>
      <c r="Y218" s="385">
        <f t="shared" si="92"/>
        <v>39.430999999999997</v>
      </c>
      <c r="Z218" s="385">
        <f t="shared" si="93"/>
        <v>39.513132126994478</v>
      </c>
      <c r="AA218" s="386">
        <f t="shared" si="94"/>
        <v>40.234800142137267</v>
      </c>
      <c r="AB218" s="197">
        <f t="shared" si="95"/>
        <v>43304</v>
      </c>
      <c r="AC218" s="427">
        <f t="shared" si="96"/>
        <v>1.793641356719456E-2</v>
      </c>
      <c r="AD218" s="169">
        <f>(INDEX(Models!$BJ218:$BT218,,AH218)*(1-AF218)+INDEX(Models!$BJ218:$BT218,,AH218+1)*AF218-ERP_i)*AE218*Ramure*Pc/MaxiM</f>
        <v>0</v>
      </c>
      <c r="AE218" s="305">
        <f t="shared" si="97"/>
        <v>0.7</v>
      </c>
      <c r="AF218" s="177">
        <f t="shared" si="98"/>
        <v>0.4282143062500281</v>
      </c>
      <c r="AG218" s="817">
        <f t="shared" si="99"/>
        <v>-2</v>
      </c>
      <c r="AH218" s="176">
        <f t="shared" si="100"/>
        <v>4</v>
      </c>
      <c r="AI218" s="225">
        <f t="shared" si="101"/>
        <v>-1.5717856937499719</v>
      </c>
      <c r="AJ218" s="265" t="b">
        <f t="shared" si="102"/>
        <v>0</v>
      </c>
      <c r="AK218" s="265" t="b">
        <f t="shared" si="10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104"/>
        <v>43305</v>
      </c>
      <c r="B219" s="617">
        <v>31.189</v>
      </c>
      <c r="C219" s="390"/>
      <c r="D219" s="393">
        <f t="shared" si="81"/>
        <v>31.254649151100786</v>
      </c>
      <c r="E219" s="385">
        <f t="shared" si="78"/>
        <v>31.831221740781817</v>
      </c>
      <c r="F219" s="385">
        <f t="shared" si="79"/>
        <v>31.831221740781817</v>
      </c>
      <c r="G219" s="110">
        <f t="shared" si="80"/>
        <v>0.77764387897169163</v>
      </c>
      <c r="I219" s="380">
        <f t="shared" si="82"/>
        <v>31.831221740781817</v>
      </c>
      <c r="J219" s="85">
        <v>2018</v>
      </c>
      <c r="K219" s="197">
        <f t="shared" si="83"/>
        <v>43305</v>
      </c>
      <c r="L219" s="438">
        <f t="shared" si="84"/>
        <v>2.1004603437845271E-3</v>
      </c>
      <c r="M219" s="861"/>
      <c r="N219" s="861"/>
      <c r="O219" s="324">
        <f t="shared" si="85"/>
        <v>1.8113429461688913E-2</v>
      </c>
      <c r="P219" s="169">
        <f>(INDEX(Models!$BJ219:$BT219,,T219)*(1-R219)+INDEX(Models!$BJ219:$BT219,,T219+1)*R219-ERP_i)*Q219*Ramure*Pc/MaxiM</f>
        <v>0</v>
      </c>
      <c r="Q219" s="305">
        <f t="shared" si="86"/>
        <v>0.7</v>
      </c>
      <c r="R219" s="177">
        <f t="shared" si="87"/>
        <v>0.43074213029290531</v>
      </c>
      <c r="S219" s="817">
        <f t="shared" si="105"/>
        <v>-2</v>
      </c>
      <c r="T219" s="176">
        <f t="shared" si="88"/>
        <v>4</v>
      </c>
      <c r="U219" s="251">
        <f t="shared" si="89"/>
        <v>-1.5692578697070947</v>
      </c>
      <c r="V219" s="383">
        <f t="shared" si="90"/>
        <v>40.107047510285064</v>
      </c>
      <c r="W219" s="58"/>
      <c r="X219" s="157">
        <f t="shared" si="91"/>
        <v>43305</v>
      </c>
      <c r="Y219" s="385">
        <f t="shared" si="92"/>
        <v>31.189</v>
      </c>
      <c r="Z219" s="385">
        <f t="shared" si="93"/>
        <v>31.254649151100786</v>
      </c>
      <c r="AA219" s="386">
        <f t="shared" si="94"/>
        <v>31.831221740781817</v>
      </c>
      <c r="AB219" s="197">
        <f t="shared" si="95"/>
        <v>43305</v>
      </c>
      <c r="AC219" s="427">
        <f t="shared" si="96"/>
        <v>1.8113429461688913E-2</v>
      </c>
      <c r="AD219" s="169">
        <f>(INDEX(Models!$BJ219:$BT219,,AH219)*(1-AF219)+INDEX(Models!$BJ219:$BT219,,AH219+1)*AF219-ERP_i)*AE219*Ramure*Pc/MaxiM</f>
        <v>0</v>
      </c>
      <c r="AE219" s="305">
        <f t="shared" si="97"/>
        <v>0.7</v>
      </c>
      <c r="AF219" s="177">
        <f t="shared" si="98"/>
        <v>0.43074213029290531</v>
      </c>
      <c r="AG219" s="817">
        <f t="shared" si="99"/>
        <v>-2</v>
      </c>
      <c r="AH219" s="176">
        <f t="shared" si="100"/>
        <v>4</v>
      </c>
      <c r="AI219" s="225">
        <f t="shared" si="101"/>
        <v>-1.5692578697070947</v>
      </c>
      <c r="AJ219" s="265" t="b">
        <f t="shared" si="102"/>
        <v>0</v>
      </c>
      <c r="AK219" s="265" t="b">
        <f t="shared" si="10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104"/>
        <v>43306</v>
      </c>
      <c r="B220" s="617">
        <v>37.933999999999997</v>
      </c>
      <c r="C220" s="390"/>
      <c r="D220" s="393">
        <f t="shared" si="81"/>
        <v>38.014679196286721</v>
      </c>
      <c r="E220" s="385">
        <f t="shared" si="78"/>
        <v>38.722926238879687</v>
      </c>
      <c r="F220" s="385">
        <f t="shared" si="79"/>
        <v>38.722926238879687</v>
      </c>
      <c r="G220" s="110">
        <f t="shared" si="80"/>
        <v>0.9480226632104598</v>
      </c>
      <c r="I220" s="380">
        <f t="shared" si="82"/>
        <v>38.722926238879687</v>
      </c>
      <c r="J220" s="85">
        <v>2018</v>
      </c>
      <c r="K220" s="197">
        <f t="shared" si="83"/>
        <v>43306</v>
      </c>
      <c r="L220" s="438">
        <f t="shared" si="84"/>
        <v>2.1223169047446255E-3</v>
      </c>
      <c r="M220" s="861"/>
      <c r="N220" s="861"/>
      <c r="O220" s="324">
        <f t="shared" si="85"/>
        <v>1.8290121935099414E-2</v>
      </c>
      <c r="P220" s="169">
        <f>(INDEX(Models!$BJ220:$BT220,,T220)*(1-R220)+INDEX(Models!$BJ220:$BT220,,T220+1)*R220-ERP_i)*Q220*Ramure*Pc/MaxiM</f>
        <v>0</v>
      </c>
      <c r="Q220" s="305">
        <f t="shared" si="86"/>
        <v>0.7</v>
      </c>
      <c r="R220" s="177">
        <f t="shared" si="87"/>
        <v>0.43319643128004026</v>
      </c>
      <c r="S220" s="817">
        <f t="shared" si="105"/>
        <v>-2</v>
      </c>
      <c r="T220" s="176">
        <f t="shared" si="88"/>
        <v>4</v>
      </c>
      <c r="U220" s="251">
        <f t="shared" si="89"/>
        <v>-1.5668035687199597</v>
      </c>
      <c r="V220" s="383">
        <f t="shared" si="90"/>
        <v>40.013811348704742</v>
      </c>
      <c r="W220" s="58"/>
      <c r="X220" s="157">
        <f t="shared" si="91"/>
        <v>43306</v>
      </c>
      <c r="Y220" s="385">
        <f t="shared" si="92"/>
        <v>37.933999999999997</v>
      </c>
      <c r="Z220" s="385">
        <f t="shared" si="93"/>
        <v>38.014679196286721</v>
      </c>
      <c r="AA220" s="386">
        <f t="shared" si="94"/>
        <v>38.722926238879687</v>
      </c>
      <c r="AB220" s="197">
        <f t="shared" si="95"/>
        <v>43306</v>
      </c>
      <c r="AC220" s="427">
        <f t="shared" si="96"/>
        <v>1.8290121935099414E-2</v>
      </c>
      <c r="AD220" s="169">
        <f>(INDEX(Models!$BJ220:$BT220,,AH220)*(1-AF220)+INDEX(Models!$BJ220:$BT220,,AH220+1)*AF220-ERP_i)*AE220*Ramure*Pc/MaxiM</f>
        <v>0</v>
      </c>
      <c r="AE220" s="305">
        <f t="shared" si="97"/>
        <v>0.7</v>
      </c>
      <c r="AF220" s="177">
        <f t="shared" si="98"/>
        <v>0.43319643128004026</v>
      </c>
      <c r="AG220" s="817">
        <f t="shared" si="99"/>
        <v>-2</v>
      </c>
      <c r="AH220" s="176">
        <f t="shared" si="100"/>
        <v>4</v>
      </c>
      <c r="AI220" s="225">
        <f t="shared" si="101"/>
        <v>-1.5668035687199597</v>
      </c>
      <c r="AJ220" s="265" t="b">
        <f t="shared" si="102"/>
        <v>0</v>
      </c>
      <c r="AK220" s="265" t="b">
        <f t="shared" si="10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104"/>
        <v>43307</v>
      </c>
      <c r="B221" s="617">
        <v>37.122</v>
      </c>
      <c r="C221" s="390"/>
      <c r="D221" s="393">
        <f t="shared" si="81"/>
        <v>37.201767023920986</v>
      </c>
      <c r="E221" s="385">
        <f t="shared" si="78"/>
        <v>37.901678174736496</v>
      </c>
      <c r="F221" s="385">
        <f t="shared" si="79"/>
        <v>37.901678174736496</v>
      </c>
      <c r="G221" s="110">
        <f t="shared" si="80"/>
        <v>0.92989368212547074</v>
      </c>
      <c r="I221" s="380">
        <f t="shared" si="82"/>
        <v>37.901678174736496</v>
      </c>
      <c r="J221" s="85">
        <v>2018</v>
      </c>
      <c r="K221" s="197">
        <f t="shared" si="83"/>
        <v>43307</v>
      </c>
      <c r="L221" s="438">
        <f t="shared" si="84"/>
        <v>2.1441729869899895E-3</v>
      </c>
      <c r="M221" s="861"/>
      <c r="N221" s="861"/>
      <c r="O221" s="324">
        <f t="shared" si="85"/>
        <v>1.8466495008182524E-2</v>
      </c>
      <c r="P221" s="169">
        <f>(INDEX(Models!$BJ221:$BT221,,T221)*(1-R221)+INDEX(Models!$BJ221:$BT221,,T221+1)*R221-ERP_i)*Q221*Ramure*Pc/MaxiM</f>
        <v>0</v>
      </c>
      <c r="Q221" s="305">
        <f t="shared" si="86"/>
        <v>0.7</v>
      </c>
      <c r="R221" s="177">
        <f t="shared" si="87"/>
        <v>0.43557838805789917</v>
      </c>
      <c r="S221" s="817">
        <f t="shared" si="105"/>
        <v>-2</v>
      </c>
      <c r="T221" s="176">
        <f t="shared" si="88"/>
        <v>4</v>
      </c>
      <c r="U221" s="251">
        <f t="shared" si="89"/>
        <v>-1.5644216119421008</v>
      </c>
      <c r="V221" s="383">
        <f t="shared" si="90"/>
        <v>39.920692777640703</v>
      </c>
      <c r="W221" s="58"/>
      <c r="X221" s="157">
        <f t="shared" si="91"/>
        <v>43307</v>
      </c>
      <c r="Y221" s="385">
        <f t="shared" si="92"/>
        <v>37.122</v>
      </c>
      <c r="Z221" s="385">
        <f t="shared" si="93"/>
        <v>37.201767023920986</v>
      </c>
      <c r="AA221" s="386">
        <f t="shared" si="94"/>
        <v>37.901678174736496</v>
      </c>
      <c r="AB221" s="197">
        <f t="shared" si="95"/>
        <v>43307</v>
      </c>
      <c r="AC221" s="427">
        <f t="shared" si="96"/>
        <v>1.8466495008182524E-2</v>
      </c>
      <c r="AD221" s="169">
        <f>(INDEX(Models!$BJ221:$BT221,,AH221)*(1-AF221)+INDEX(Models!$BJ221:$BT221,,AH221+1)*AF221-ERP_i)*AE221*Ramure*Pc/MaxiM</f>
        <v>0</v>
      </c>
      <c r="AE221" s="305">
        <f t="shared" si="97"/>
        <v>0.7</v>
      </c>
      <c r="AF221" s="177">
        <f t="shared" si="98"/>
        <v>0.43557838805789917</v>
      </c>
      <c r="AG221" s="817">
        <f t="shared" si="99"/>
        <v>-2</v>
      </c>
      <c r="AH221" s="176">
        <f t="shared" si="100"/>
        <v>4</v>
      </c>
      <c r="AI221" s="225">
        <f t="shared" si="101"/>
        <v>-1.5644216119421008</v>
      </c>
      <c r="AJ221" s="265" t="b">
        <f t="shared" si="102"/>
        <v>0</v>
      </c>
      <c r="AK221" s="265" t="b">
        <f t="shared" si="10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104"/>
        <v>43308</v>
      </c>
      <c r="B222" s="617">
        <v>33.005000000000003</v>
      </c>
      <c r="C222" s="390"/>
      <c r="D222" s="393">
        <f t="shared" si="81"/>
        <v>33.076644958659301</v>
      </c>
      <c r="E222" s="385">
        <f t="shared" si="78"/>
        <v>33.70499204234882</v>
      </c>
      <c r="F222" s="385">
        <f t="shared" si="79"/>
        <v>33.70499204234882</v>
      </c>
      <c r="G222" s="110">
        <f t="shared" si="80"/>
        <v>0.82869914017765289</v>
      </c>
      <c r="I222" s="380">
        <f t="shared" si="82"/>
        <v>33.70499204234882</v>
      </c>
      <c r="J222" s="85">
        <v>2018</v>
      </c>
      <c r="K222" s="197">
        <f t="shared" si="83"/>
        <v>43308</v>
      </c>
      <c r="L222" s="438">
        <f t="shared" si="84"/>
        <v>2.166028590531055E-3</v>
      </c>
      <c r="M222" s="861"/>
      <c r="N222" s="861"/>
      <c r="O222" s="324">
        <f t="shared" si="85"/>
        <v>1.8642552500829104E-2</v>
      </c>
      <c r="P222" s="169">
        <f>(INDEX(Models!$BJ222:$BT222,,T222)*(1-R222)+INDEX(Models!$BJ222:$BT222,,T222+1)*R222-ERP_i)*Q222*Ramure*Pc/MaxiM</f>
        <v>0</v>
      </c>
      <c r="Q222" s="305">
        <f t="shared" si="86"/>
        <v>0.7</v>
      </c>
      <c r="R222" s="177">
        <f t="shared" si="87"/>
        <v>0.43788922956286513</v>
      </c>
      <c r="S222" s="817">
        <f t="shared" si="105"/>
        <v>-2</v>
      </c>
      <c r="T222" s="176">
        <f t="shared" si="88"/>
        <v>4</v>
      </c>
      <c r="U222" s="251">
        <f t="shared" si="89"/>
        <v>-1.5621107704371349</v>
      </c>
      <c r="V222" s="383">
        <f t="shared" si="90"/>
        <v>39.827481892794694</v>
      </c>
      <c r="W222" s="58"/>
      <c r="X222" s="157">
        <f t="shared" si="91"/>
        <v>43308</v>
      </c>
      <c r="Y222" s="385">
        <f t="shared" si="92"/>
        <v>33.005000000000003</v>
      </c>
      <c r="Z222" s="385">
        <f t="shared" si="93"/>
        <v>33.076644958659301</v>
      </c>
      <c r="AA222" s="386">
        <f t="shared" si="94"/>
        <v>33.70499204234882</v>
      </c>
      <c r="AB222" s="197">
        <f t="shared" si="95"/>
        <v>43308</v>
      </c>
      <c r="AC222" s="427">
        <f t="shared" si="96"/>
        <v>1.8642552500829104E-2</v>
      </c>
      <c r="AD222" s="169">
        <f>(INDEX(Models!$BJ222:$BT222,,AH222)*(1-AF222)+INDEX(Models!$BJ222:$BT222,,AH222+1)*AF222-ERP_i)*AE222*Ramure*Pc/MaxiM</f>
        <v>0</v>
      </c>
      <c r="AE222" s="305">
        <f t="shared" si="97"/>
        <v>0.7</v>
      </c>
      <c r="AF222" s="177">
        <f t="shared" si="98"/>
        <v>0.43788922956286513</v>
      </c>
      <c r="AG222" s="817">
        <f t="shared" si="99"/>
        <v>-2</v>
      </c>
      <c r="AH222" s="176">
        <f t="shared" si="100"/>
        <v>4</v>
      </c>
      <c r="AI222" s="225">
        <f t="shared" si="101"/>
        <v>-1.5621107704371349</v>
      </c>
      <c r="AJ222" s="265" t="b">
        <f t="shared" si="102"/>
        <v>0</v>
      </c>
      <c r="AK222" s="265" t="b">
        <f t="shared" si="10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104"/>
        <v>43309</v>
      </c>
      <c r="B223" s="617">
        <v>18.192</v>
      </c>
      <c r="C223" s="390"/>
      <c r="D223" s="393">
        <f t="shared" si="81"/>
        <v>18.231889253598528</v>
      </c>
      <c r="E223" s="385">
        <f t="shared" si="78"/>
        <v>18.581562636606343</v>
      </c>
      <c r="F223" s="385">
        <f t="shared" si="79"/>
        <v>18.581562636606343</v>
      </c>
      <c r="G223" s="110">
        <f t="shared" si="80"/>
        <v>0.4578450246017059</v>
      </c>
      <c r="I223" s="380">
        <f t="shared" si="82"/>
        <v>18.581562636606343</v>
      </c>
      <c r="J223" s="85">
        <v>2018</v>
      </c>
      <c r="K223" s="197">
        <f t="shared" si="83"/>
        <v>43309</v>
      </c>
      <c r="L223" s="438">
        <f t="shared" si="84"/>
        <v>2.1878837153782582E-3</v>
      </c>
      <c r="M223" s="861"/>
      <c r="N223" s="861"/>
      <c r="O223" s="324">
        <f t="shared" si="85"/>
        <v>1.881829800034927E-2</v>
      </c>
      <c r="P223" s="169">
        <f>(INDEX(Models!$BJ223:$BT223,,T223)*(1-R223)+INDEX(Models!$BJ223:$BT223,,T223+1)*R223-ERP_i)*Q223*Ramure*Pc/MaxiM</f>
        <v>0</v>
      </c>
      <c r="Q223" s="305">
        <f t="shared" si="86"/>
        <v>0.7</v>
      </c>
      <c r="R223" s="177">
        <f t="shared" si="87"/>
        <v>0.44013022894944664</v>
      </c>
      <c r="S223" s="817">
        <f t="shared" si="105"/>
        <v>-2</v>
      </c>
      <c r="T223" s="176">
        <f t="shared" si="88"/>
        <v>4</v>
      </c>
      <c r="U223" s="251">
        <f t="shared" si="89"/>
        <v>-1.5598697710505534</v>
      </c>
      <c r="V223" s="383">
        <f t="shared" si="90"/>
        <v>39.733968968704652</v>
      </c>
      <c r="W223" s="58"/>
      <c r="X223" s="157">
        <f t="shared" si="91"/>
        <v>43309</v>
      </c>
      <c r="Y223" s="385">
        <f t="shared" si="92"/>
        <v>18.192</v>
      </c>
      <c r="Z223" s="385">
        <f t="shared" si="93"/>
        <v>18.231889253598528</v>
      </c>
      <c r="AA223" s="386">
        <f t="shared" si="94"/>
        <v>18.581562636606343</v>
      </c>
      <c r="AB223" s="197">
        <f t="shared" si="95"/>
        <v>43309</v>
      </c>
      <c r="AC223" s="427">
        <f t="shared" si="96"/>
        <v>1.881829800034927E-2</v>
      </c>
      <c r="AD223" s="169">
        <f>(INDEX(Models!$BJ223:$BT223,,AH223)*(1-AF223)+INDEX(Models!$BJ223:$BT223,,AH223+1)*AF223-ERP_i)*AE223*Ramure*Pc/MaxiM</f>
        <v>0</v>
      </c>
      <c r="AE223" s="305">
        <f t="shared" si="97"/>
        <v>0.7</v>
      </c>
      <c r="AF223" s="177">
        <f t="shared" si="98"/>
        <v>0.44013022894944664</v>
      </c>
      <c r="AG223" s="817">
        <f t="shared" si="99"/>
        <v>-2</v>
      </c>
      <c r="AH223" s="176">
        <f t="shared" si="100"/>
        <v>4</v>
      </c>
      <c r="AI223" s="225">
        <f t="shared" si="101"/>
        <v>-1.5598697710505534</v>
      </c>
      <c r="AJ223" s="265" t="b">
        <f t="shared" si="102"/>
        <v>0</v>
      </c>
      <c r="AK223" s="265" t="b">
        <f t="shared" si="10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104"/>
        <v>43310</v>
      </c>
      <c r="B224" s="617">
        <v>35.362000000000002</v>
      </c>
      <c r="C224" s="390"/>
      <c r="D224" s="393">
        <f t="shared" si="81"/>
        <v>35.44031382099535</v>
      </c>
      <c r="E224" s="385">
        <f t="shared" si="78"/>
        <v>36.126490807848135</v>
      </c>
      <c r="F224" s="385">
        <f t="shared" si="79"/>
        <v>36.126490807848135</v>
      </c>
      <c r="G224" s="110">
        <f t="shared" si="80"/>
        <v>0.89207995827960951</v>
      </c>
      <c r="I224" s="380">
        <f t="shared" si="82"/>
        <v>36.126490807848135</v>
      </c>
      <c r="J224" s="85">
        <v>2018</v>
      </c>
      <c r="K224" s="197">
        <f t="shared" si="83"/>
        <v>43310</v>
      </c>
      <c r="L224" s="438">
        <f t="shared" si="84"/>
        <v>2.2097383615422572E-3</v>
      </c>
      <c r="M224" s="861"/>
      <c r="N224" s="861"/>
      <c r="O224" s="324">
        <f t="shared" si="85"/>
        <v>1.8993734833047213E-2</v>
      </c>
      <c r="P224" s="169">
        <f>(INDEX(Models!$BJ224:$BT224,,T224)*(1-R224)+INDEX(Models!$BJ224:$BT224,,T224+1)*R224-ERP_i)*Q224*Ramure*Pc/MaxiM</f>
        <v>0</v>
      </c>
      <c r="Q224" s="305">
        <f t="shared" si="86"/>
        <v>0.7</v>
      </c>
      <c r="R224" s="177">
        <f t="shared" si="87"/>
        <v>0.4423026979534801</v>
      </c>
      <c r="S224" s="817">
        <f t="shared" si="105"/>
        <v>-2</v>
      </c>
      <c r="T224" s="176">
        <f t="shared" si="88"/>
        <v>4</v>
      </c>
      <c r="U224" s="251">
        <f t="shared" si="89"/>
        <v>-1.5576973020465199</v>
      </c>
      <c r="V224" s="383">
        <f t="shared" si="90"/>
        <v>39.639944459907142</v>
      </c>
      <c r="W224" s="58"/>
      <c r="X224" s="157">
        <f t="shared" si="91"/>
        <v>43310</v>
      </c>
      <c r="Y224" s="385">
        <f t="shared" si="92"/>
        <v>35.362000000000002</v>
      </c>
      <c r="Z224" s="385">
        <f t="shared" si="93"/>
        <v>35.44031382099535</v>
      </c>
      <c r="AA224" s="386">
        <f t="shared" si="94"/>
        <v>36.126490807848135</v>
      </c>
      <c r="AB224" s="197">
        <f t="shared" si="95"/>
        <v>43310</v>
      </c>
      <c r="AC224" s="427">
        <f t="shared" si="96"/>
        <v>1.8993734833047213E-2</v>
      </c>
      <c r="AD224" s="169">
        <f>(INDEX(Models!$BJ224:$BT224,,AH224)*(1-AF224)+INDEX(Models!$BJ224:$BT224,,AH224+1)*AF224-ERP_i)*AE224*Ramure*Pc/MaxiM</f>
        <v>0</v>
      </c>
      <c r="AE224" s="305">
        <f t="shared" si="97"/>
        <v>0.7</v>
      </c>
      <c r="AF224" s="177">
        <f t="shared" si="98"/>
        <v>0.4423026979534801</v>
      </c>
      <c r="AG224" s="817">
        <f t="shared" si="99"/>
        <v>-2</v>
      </c>
      <c r="AH224" s="176">
        <f t="shared" si="100"/>
        <v>4</v>
      </c>
      <c r="AI224" s="225">
        <f t="shared" si="101"/>
        <v>-1.5576973020465199</v>
      </c>
      <c r="AJ224" s="265" t="b">
        <f t="shared" si="102"/>
        <v>0</v>
      </c>
      <c r="AK224" s="265" t="b">
        <f t="shared" si="10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104"/>
        <v>43311</v>
      </c>
      <c r="B225" s="617">
        <v>36.561999999999998</v>
      </c>
      <c r="C225" s="390"/>
      <c r="D225" s="393">
        <f t="shared" si="81"/>
        <v>36.643773972232012</v>
      </c>
      <c r="E225" s="385">
        <f t="shared" si="78"/>
        <v>37.359921298844867</v>
      </c>
      <c r="F225" s="385">
        <f t="shared" si="79"/>
        <v>37.359921298844867</v>
      </c>
      <c r="G225" s="110">
        <f t="shared" si="80"/>
        <v>0.92456229638832432</v>
      </c>
      <c r="I225" s="380">
        <f t="shared" si="82"/>
        <v>37.359921298844867</v>
      </c>
      <c r="J225" s="85">
        <v>2018</v>
      </c>
      <c r="K225" s="197">
        <f t="shared" si="83"/>
        <v>43311</v>
      </c>
      <c r="L225" s="438">
        <f t="shared" si="84"/>
        <v>2.2315925290332661E-3</v>
      </c>
      <c r="M225" s="861"/>
      <c r="N225" s="861"/>
      <c r="O225" s="324">
        <f t="shared" si="85"/>
        <v>1.9168866039206468E-2</v>
      </c>
      <c r="P225" s="169">
        <f>(INDEX(Models!$BJ225:$BT225,,T225)*(1-R225)+INDEX(Models!$BJ225:$BT225,,T225+1)*R225-ERP_i)*Q225*Ramure*Pc/MaxiM</f>
        <v>0</v>
      </c>
      <c r="Q225" s="305">
        <f t="shared" si="86"/>
        <v>0.7</v>
      </c>
      <c r="R225" s="177">
        <f t="shared" si="87"/>
        <v>0.44440798150036231</v>
      </c>
      <c r="S225" s="817">
        <f t="shared" si="105"/>
        <v>-2</v>
      </c>
      <c r="T225" s="176">
        <f t="shared" si="88"/>
        <v>4</v>
      </c>
      <c r="U225" s="251">
        <f t="shared" si="89"/>
        <v>-1.5555920184996377</v>
      </c>
      <c r="V225" s="383">
        <f t="shared" si="90"/>
        <v>39.545199001543146</v>
      </c>
      <c r="W225" s="58"/>
      <c r="X225" s="157">
        <f t="shared" si="91"/>
        <v>43311</v>
      </c>
      <c r="Y225" s="385">
        <f t="shared" si="92"/>
        <v>36.561999999999998</v>
      </c>
      <c r="Z225" s="385">
        <f t="shared" si="93"/>
        <v>36.643773972232012</v>
      </c>
      <c r="AA225" s="386">
        <f t="shared" si="94"/>
        <v>37.359921298844867</v>
      </c>
      <c r="AB225" s="197">
        <f t="shared" si="95"/>
        <v>43311</v>
      </c>
      <c r="AC225" s="427">
        <f t="shared" si="96"/>
        <v>1.9168866039206468E-2</v>
      </c>
      <c r="AD225" s="169">
        <f>(INDEX(Models!$BJ225:$BT225,,AH225)*(1-AF225)+INDEX(Models!$BJ225:$BT225,,AH225+1)*AF225-ERP_i)*AE225*Ramure*Pc/MaxiM</f>
        <v>0</v>
      </c>
      <c r="AE225" s="305">
        <f t="shared" si="97"/>
        <v>0.7</v>
      </c>
      <c r="AF225" s="177">
        <f t="shared" si="98"/>
        <v>0.44440798150036231</v>
      </c>
      <c r="AG225" s="817">
        <f t="shared" si="99"/>
        <v>-2</v>
      </c>
      <c r="AH225" s="176">
        <f t="shared" si="100"/>
        <v>4</v>
      </c>
      <c r="AI225" s="225">
        <f t="shared" si="101"/>
        <v>-1.5555920184996377</v>
      </c>
      <c r="AJ225" s="265" t="b">
        <f t="shared" si="102"/>
        <v>0</v>
      </c>
      <c r="AK225" s="265" t="b">
        <f t="shared" si="10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104"/>
        <v>43312</v>
      </c>
      <c r="B226" s="617">
        <v>32.948</v>
      </c>
      <c r="C226" s="390"/>
      <c r="D226" s="393">
        <f t="shared" si="81"/>
        <v>33.022414234461323</v>
      </c>
      <c r="E226" s="385">
        <f t="shared" si="78"/>
        <v>33.673789730670173</v>
      </c>
      <c r="F226" s="385">
        <f t="shared" si="79"/>
        <v>33.673789730670173</v>
      </c>
      <c r="G226" s="110">
        <f t="shared" si="80"/>
        <v>0.83519386683940167</v>
      </c>
      <c r="I226" s="380">
        <f t="shared" si="82"/>
        <v>33.673789730670173</v>
      </c>
      <c r="J226" s="85">
        <v>2018</v>
      </c>
      <c r="K226" s="197">
        <f t="shared" si="83"/>
        <v>43312</v>
      </c>
      <c r="L226" s="438">
        <f t="shared" si="84"/>
        <v>2.253446217862054E-3</v>
      </c>
      <c r="M226" s="861"/>
      <c r="N226" s="861"/>
      <c r="O226" s="324">
        <f t="shared" si="85"/>
        <v>1.9343694351561958E-2</v>
      </c>
      <c r="P226" s="169">
        <f>(INDEX(Models!$BJ226:$BT226,,T226)*(1-R226)+INDEX(Models!$BJ226:$BT226,,T226+1)*R226-ERP_i)*Q226*Ramure*Pc/MaxiM</f>
        <v>0</v>
      </c>
      <c r="Q226" s="305">
        <f t="shared" si="86"/>
        <v>0.7</v>
      </c>
      <c r="R226" s="177">
        <f t="shared" si="87"/>
        <v>0.44644745256583551</v>
      </c>
      <c r="S226" s="817">
        <f t="shared" si="105"/>
        <v>-2</v>
      </c>
      <c r="T226" s="176">
        <f t="shared" si="88"/>
        <v>4</v>
      </c>
      <c r="U226" s="251">
        <f t="shared" si="89"/>
        <v>-1.5535525474341645</v>
      </c>
      <c r="V226" s="383">
        <f t="shared" si="90"/>
        <v>39.449523407881458</v>
      </c>
      <c r="W226" s="58"/>
      <c r="X226" s="157">
        <f t="shared" si="91"/>
        <v>43312</v>
      </c>
      <c r="Y226" s="385">
        <f t="shared" si="92"/>
        <v>32.948</v>
      </c>
      <c r="Z226" s="385">
        <f t="shared" si="93"/>
        <v>33.022414234461323</v>
      </c>
      <c r="AA226" s="386">
        <f t="shared" si="94"/>
        <v>33.673789730670173</v>
      </c>
      <c r="AB226" s="197">
        <f t="shared" si="95"/>
        <v>43312</v>
      </c>
      <c r="AC226" s="427">
        <f t="shared" si="96"/>
        <v>1.9343694351561958E-2</v>
      </c>
      <c r="AD226" s="169">
        <f>(INDEX(Models!$BJ226:$BT226,,AH226)*(1-AF226)+INDEX(Models!$BJ226:$BT226,,AH226+1)*AF226-ERP_i)*AE226*Ramure*Pc/MaxiM</f>
        <v>0</v>
      </c>
      <c r="AE226" s="305">
        <f t="shared" si="97"/>
        <v>0.7</v>
      </c>
      <c r="AF226" s="177">
        <f t="shared" si="98"/>
        <v>0.44644745256583551</v>
      </c>
      <c r="AG226" s="817">
        <f t="shared" si="99"/>
        <v>-2</v>
      </c>
      <c r="AH226" s="176">
        <f t="shared" si="100"/>
        <v>4</v>
      </c>
      <c r="AI226" s="225">
        <f t="shared" si="101"/>
        <v>-1.5535525474341645</v>
      </c>
      <c r="AJ226" s="265" t="b">
        <f t="shared" si="102"/>
        <v>0</v>
      </c>
      <c r="AK226" s="265" t="b">
        <f t="shared" si="10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104"/>
        <v>43313</v>
      </c>
      <c r="B227" s="617">
        <v>35.884999999999998</v>
      </c>
      <c r="C227" s="390"/>
      <c r="D227" s="393">
        <f t="shared" si="81"/>
        <v>35.966835319831574</v>
      </c>
      <c r="E227" s="385">
        <f t="shared" si="78"/>
        <v>36.682818725811266</v>
      </c>
      <c r="F227" s="385">
        <f t="shared" si="79"/>
        <v>36.682818725811266</v>
      </c>
      <c r="G227" s="110">
        <f t="shared" si="80"/>
        <v>0.9118813217498436</v>
      </c>
      <c r="I227" s="380">
        <f t="shared" si="82"/>
        <v>36.682818725811266</v>
      </c>
      <c r="J227" s="85">
        <v>2018</v>
      </c>
      <c r="K227" s="197">
        <f t="shared" si="83"/>
        <v>43313</v>
      </c>
      <c r="L227" s="438">
        <f t="shared" si="84"/>
        <v>2.275299428038835E-3</v>
      </c>
      <c r="M227" s="861"/>
      <c r="N227" s="861"/>
      <c r="O227" s="324">
        <f t="shared" si="85"/>
        <v>1.9518222177291454E-2</v>
      </c>
      <c r="P227" s="169">
        <f>(INDEX(Models!$BJ227:$BT227,,T227)*(1-R227)+INDEX(Models!$BJ227:$BT227,,T227+1)*R227-ERP_i)*Q227*Ramure*Pc/MaxiM</f>
        <v>0</v>
      </c>
      <c r="Q227" s="305">
        <f t="shared" si="86"/>
        <v>0.7</v>
      </c>
      <c r="R227" s="177">
        <f t="shared" si="87"/>
        <v>0.44842250729450472</v>
      </c>
      <c r="S227" s="817">
        <f t="shared" si="105"/>
        <v>-2</v>
      </c>
      <c r="T227" s="176">
        <f t="shared" si="88"/>
        <v>4</v>
      </c>
      <c r="U227" s="251">
        <f t="shared" si="89"/>
        <v>-1.5515774927054953</v>
      </c>
      <c r="V227" s="383">
        <f t="shared" si="90"/>
        <v>39.352708673908253</v>
      </c>
      <c r="W227" s="58"/>
      <c r="X227" s="157">
        <f t="shared" si="91"/>
        <v>43313</v>
      </c>
      <c r="Y227" s="385">
        <f t="shared" si="92"/>
        <v>35.884999999999998</v>
      </c>
      <c r="Z227" s="385">
        <f t="shared" si="93"/>
        <v>35.966835319831574</v>
      </c>
      <c r="AA227" s="386">
        <f t="shared" si="94"/>
        <v>36.682818725811266</v>
      </c>
      <c r="AB227" s="197">
        <f t="shared" si="95"/>
        <v>43313</v>
      </c>
      <c r="AC227" s="427">
        <f t="shared" si="96"/>
        <v>1.9518222177291454E-2</v>
      </c>
      <c r="AD227" s="169">
        <f>(INDEX(Models!$BJ227:$BT227,,AH227)*(1-AF227)+INDEX(Models!$BJ227:$BT227,,AH227+1)*AF227-ERP_i)*AE227*Ramure*Pc/MaxiM</f>
        <v>0</v>
      </c>
      <c r="AE227" s="305">
        <f t="shared" si="97"/>
        <v>0.7</v>
      </c>
      <c r="AF227" s="177">
        <f t="shared" si="98"/>
        <v>0.44842250729450472</v>
      </c>
      <c r="AG227" s="817">
        <f t="shared" si="99"/>
        <v>-2</v>
      </c>
      <c r="AH227" s="176">
        <f t="shared" si="100"/>
        <v>4</v>
      </c>
      <c r="AI227" s="225">
        <f t="shared" si="101"/>
        <v>-1.5515774927054953</v>
      </c>
      <c r="AJ227" s="265" t="b">
        <f t="shared" si="102"/>
        <v>0</v>
      </c>
      <c r="AK227" s="265" t="b">
        <f t="shared" si="10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104"/>
        <v>43314</v>
      </c>
      <c r="B228" s="617">
        <v>36.17</v>
      </c>
      <c r="C228" s="390"/>
      <c r="D228" s="393">
        <f t="shared" si="81"/>
        <v>36.253279298832972</v>
      </c>
      <c r="E228" s="385">
        <f t="shared" si="78"/>
        <v>36.981536414152679</v>
      </c>
      <c r="F228" s="385">
        <f t="shared" si="79"/>
        <v>36.981536414152679</v>
      </c>
      <c r="G228" s="110">
        <f t="shared" si="80"/>
        <v>0.92142194241090225</v>
      </c>
      <c r="I228" s="380">
        <f t="shared" si="82"/>
        <v>36.981536414152679</v>
      </c>
      <c r="J228" s="85">
        <v>2018</v>
      </c>
      <c r="K228" s="197">
        <f t="shared" si="83"/>
        <v>43314</v>
      </c>
      <c r="L228" s="438">
        <f t="shared" si="84"/>
        <v>2.2971521595743782E-3</v>
      </c>
      <c r="M228" s="861"/>
      <c r="N228" s="861"/>
      <c r="O228" s="324">
        <f t="shared" si="85"/>
        <v>1.9692451583515191E-2</v>
      </c>
      <c r="P228" s="169">
        <f>(INDEX(Models!$BJ228:$BT228,,T228)*(1-R228)+INDEX(Models!$BJ228:$BT228,,T228+1)*R228-ERP_i)*Q228*Ramure*Pc/MaxiM</f>
        <v>0</v>
      </c>
      <c r="Q228" s="305">
        <f t="shared" si="86"/>
        <v>0.7</v>
      </c>
      <c r="R228" s="177">
        <f t="shared" si="87"/>
        <v>0.45033456037914155</v>
      </c>
      <c r="S228" s="817">
        <f t="shared" si="105"/>
        <v>-2</v>
      </c>
      <c r="T228" s="176">
        <f t="shared" si="88"/>
        <v>4</v>
      </c>
      <c r="U228" s="251">
        <f t="shared" si="89"/>
        <v>-1.5496654396208585</v>
      </c>
      <c r="V228" s="383">
        <f t="shared" si="90"/>
        <v>39.254545974194116</v>
      </c>
      <c r="W228" s="58"/>
      <c r="X228" s="157">
        <f t="shared" si="91"/>
        <v>43314</v>
      </c>
      <c r="Y228" s="385">
        <f t="shared" si="92"/>
        <v>36.17</v>
      </c>
      <c r="Z228" s="385">
        <f t="shared" si="93"/>
        <v>36.253279298832972</v>
      </c>
      <c r="AA228" s="386">
        <f t="shared" si="94"/>
        <v>36.981536414152679</v>
      </c>
      <c r="AB228" s="197">
        <f t="shared" si="95"/>
        <v>43314</v>
      </c>
      <c r="AC228" s="427">
        <f t="shared" si="96"/>
        <v>1.9692451583515191E-2</v>
      </c>
      <c r="AD228" s="169">
        <f>(INDEX(Models!$BJ228:$BT228,,AH228)*(1-AF228)+INDEX(Models!$BJ228:$BT228,,AH228+1)*AF228-ERP_i)*AE228*Ramure*Pc/MaxiM</f>
        <v>0</v>
      </c>
      <c r="AE228" s="305">
        <f t="shared" si="97"/>
        <v>0.7</v>
      </c>
      <c r="AF228" s="177">
        <f t="shared" si="98"/>
        <v>0.45033456037914155</v>
      </c>
      <c r="AG228" s="817">
        <f t="shared" si="99"/>
        <v>-2</v>
      </c>
      <c r="AH228" s="176">
        <f t="shared" si="100"/>
        <v>4</v>
      </c>
      <c r="AI228" s="225">
        <f t="shared" si="101"/>
        <v>-1.5496654396208585</v>
      </c>
      <c r="AJ228" s="265" t="b">
        <f t="shared" si="102"/>
        <v>0</v>
      </c>
      <c r="AK228" s="265" t="b">
        <f t="shared" si="10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104"/>
        <v>43315</v>
      </c>
      <c r="B229" s="617">
        <v>36.777999999999999</v>
      </c>
      <c r="C229" s="390"/>
      <c r="D229" s="393">
        <f t="shared" si="81"/>
        <v>36.863486588057057</v>
      </c>
      <c r="E229" s="385">
        <f t="shared" si="78"/>
        <v>37.610674705011931</v>
      </c>
      <c r="F229" s="385">
        <f t="shared" ref="F229:F260" si="106">Wh_sa/(1-Pvg*MEDIAN((-Sdif+Wh/Env_an)/Csdif,0,1))</f>
        <v>37.610674705011931</v>
      </c>
      <c r="G229" s="110">
        <f t="shared" si="80"/>
        <v>0.93929671344587418</v>
      </c>
      <c r="I229" s="380">
        <f t="shared" si="82"/>
        <v>37.610674705011931</v>
      </c>
      <c r="J229" s="85">
        <v>2018</v>
      </c>
      <c r="K229" s="197">
        <f t="shared" si="83"/>
        <v>43315</v>
      </c>
      <c r="L229" s="438">
        <f t="shared" si="84"/>
        <v>2.3190044124788978E-3</v>
      </c>
      <c r="M229" s="861"/>
      <c r="N229" s="861"/>
      <c r="O229" s="324">
        <f t="shared" si="85"/>
        <v>1.9866384286249008E-2</v>
      </c>
      <c r="P229" s="169">
        <f>(INDEX(Models!$BJ229:$BT229,,T229)*(1-R229)+INDEX(Models!$BJ229:$BT229,,T229+1)*R229-ERP_i)*Q229*Ramure*Pc/MaxiM</f>
        <v>0</v>
      </c>
      <c r="Q229" s="305">
        <f t="shared" si="86"/>
        <v>0.7</v>
      </c>
      <c r="R229" s="177">
        <f t="shared" si="87"/>
        <v>0.4521850407018646</v>
      </c>
      <c r="S229" s="817">
        <f t="shared" si="105"/>
        <v>-2</v>
      </c>
      <c r="T229" s="176">
        <f t="shared" si="88"/>
        <v>4</v>
      </c>
      <c r="U229" s="251">
        <f t="shared" si="89"/>
        <v>-1.5478149592981354</v>
      </c>
      <c r="V229" s="383">
        <f t="shared" si="90"/>
        <v>39.154826662894834</v>
      </c>
      <c r="W229" s="58"/>
      <c r="X229" s="157">
        <f t="shared" si="91"/>
        <v>43315</v>
      </c>
      <c r="Y229" s="385">
        <f t="shared" si="92"/>
        <v>36.777999999999999</v>
      </c>
      <c r="Z229" s="385">
        <f t="shared" si="93"/>
        <v>36.863486588057057</v>
      </c>
      <c r="AA229" s="386">
        <f t="shared" si="94"/>
        <v>37.610674705011931</v>
      </c>
      <c r="AB229" s="197">
        <f t="shared" si="95"/>
        <v>43315</v>
      </c>
      <c r="AC229" s="427">
        <f t="shared" si="96"/>
        <v>1.9866384286249008E-2</v>
      </c>
      <c r="AD229" s="169">
        <f>(INDEX(Models!$BJ229:$BT229,,AH229)*(1-AF229)+INDEX(Models!$BJ229:$BT229,,AH229+1)*AF229-ERP_i)*AE229*Ramure*Pc/MaxiM</f>
        <v>0</v>
      </c>
      <c r="AE229" s="305">
        <f t="shared" si="97"/>
        <v>0.7</v>
      </c>
      <c r="AF229" s="177">
        <f t="shared" si="98"/>
        <v>0.4521850407018646</v>
      </c>
      <c r="AG229" s="817">
        <f t="shared" si="99"/>
        <v>-2</v>
      </c>
      <c r="AH229" s="176">
        <f t="shared" si="100"/>
        <v>4</v>
      </c>
      <c r="AI229" s="225">
        <f t="shared" si="101"/>
        <v>-1.5478149592981354</v>
      </c>
      <c r="AJ229" s="265" t="b">
        <f t="shared" si="102"/>
        <v>0</v>
      </c>
      <c r="AK229" s="265" t="b">
        <f t="shared" si="10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104"/>
        <v>43316</v>
      </c>
      <c r="B230" s="617">
        <v>35.372</v>
      </c>
      <c r="C230" s="390"/>
      <c r="D230" s="393">
        <f t="shared" si="81"/>
        <v>35.454995044501572</v>
      </c>
      <c r="E230" s="385">
        <f t="shared" si="78"/>
        <v>36.180043907441053</v>
      </c>
      <c r="F230" s="385">
        <f t="shared" si="106"/>
        <v>36.180043907441053</v>
      </c>
      <c r="G230" s="110">
        <f t="shared" si="80"/>
        <v>0.90573553864813361</v>
      </c>
      <c r="I230" s="380">
        <f t="shared" si="82"/>
        <v>36.180043907441053</v>
      </c>
      <c r="J230" s="85">
        <v>2018</v>
      </c>
      <c r="K230" s="197">
        <f t="shared" si="83"/>
        <v>43316</v>
      </c>
      <c r="L230" s="438">
        <f t="shared" si="84"/>
        <v>2.3408561867630517E-3</v>
      </c>
      <c r="M230" s="861"/>
      <c r="N230" s="861"/>
      <c r="O230" s="324">
        <f t="shared" si="85"/>
        <v>2.0040021642714453E-2</v>
      </c>
      <c r="P230" s="169">
        <f>(INDEX(Models!$BJ230:$BT230,,T230)*(1-R230)+INDEX(Models!$BJ230:$BT230,,T230+1)*R230-ERP_i)*Q230*Ramure*Pc/MaxiM</f>
        <v>0</v>
      </c>
      <c r="Q230" s="305">
        <f t="shared" si="86"/>
        <v>0.7</v>
      </c>
      <c r="R230" s="177">
        <f t="shared" si="87"/>
        <v>0.45397538723654129</v>
      </c>
      <c r="S230" s="817">
        <f t="shared" si="105"/>
        <v>-2</v>
      </c>
      <c r="T230" s="176">
        <f t="shared" si="88"/>
        <v>4</v>
      </c>
      <c r="U230" s="251">
        <f t="shared" si="89"/>
        <v>-1.5460246127634587</v>
      </c>
      <c r="V230" s="383">
        <f t="shared" si="90"/>
        <v>39.053342273391301</v>
      </c>
      <c r="W230" s="58"/>
      <c r="X230" s="157">
        <f t="shared" si="91"/>
        <v>43316</v>
      </c>
      <c r="Y230" s="385">
        <f t="shared" si="92"/>
        <v>35.372</v>
      </c>
      <c r="Z230" s="385">
        <f t="shared" si="93"/>
        <v>35.454995044501572</v>
      </c>
      <c r="AA230" s="386">
        <f t="shared" si="94"/>
        <v>36.180043907441053</v>
      </c>
      <c r="AB230" s="197">
        <f t="shared" si="95"/>
        <v>43316</v>
      </c>
      <c r="AC230" s="427">
        <f t="shared" si="96"/>
        <v>2.0040021642714453E-2</v>
      </c>
      <c r="AD230" s="169">
        <f>(INDEX(Models!$BJ230:$BT230,,AH230)*(1-AF230)+INDEX(Models!$BJ230:$BT230,,AH230+1)*AF230-ERP_i)*AE230*Ramure*Pc/MaxiM</f>
        <v>0</v>
      </c>
      <c r="AE230" s="305">
        <f t="shared" si="97"/>
        <v>0.7</v>
      </c>
      <c r="AF230" s="177">
        <f t="shared" si="98"/>
        <v>0.45397538723654129</v>
      </c>
      <c r="AG230" s="817">
        <f t="shared" si="99"/>
        <v>-2</v>
      </c>
      <c r="AH230" s="176">
        <f t="shared" si="100"/>
        <v>4</v>
      </c>
      <c r="AI230" s="225">
        <f t="shared" si="101"/>
        <v>-1.5460246127634587</v>
      </c>
      <c r="AJ230" s="265" t="b">
        <f t="shared" si="102"/>
        <v>0</v>
      </c>
      <c r="AK230" s="265" t="b">
        <f t="shared" si="10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104"/>
        <v>43317</v>
      </c>
      <c r="B231" s="617">
        <v>35.185000000000002</v>
      </c>
      <c r="C231" s="390"/>
      <c r="D231" s="393">
        <f t="shared" si="81"/>
        <v>35.268328744217023</v>
      </c>
      <c r="E231" s="385">
        <f t="shared" si="78"/>
        <v>35.995927553661438</v>
      </c>
      <c r="F231" s="385">
        <f t="shared" si="106"/>
        <v>35.995927553661438</v>
      </c>
      <c r="G231" s="110">
        <f t="shared" si="80"/>
        <v>0.90334029064330945</v>
      </c>
      <c r="I231" s="380">
        <f t="shared" si="82"/>
        <v>35.995927553661438</v>
      </c>
      <c r="J231" s="85">
        <v>2018</v>
      </c>
      <c r="K231" s="197">
        <f t="shared" si="83"/>
        <v>43317</v>
      </c>
      <c r="L231" s="438">
        <f t="shared" si="84"/>
        <v>2.3627074824372762E-3</v>
      </c>
      <c r="M231" s="861"/>
      <c r="N231" s="861"/>
      <c r="O231" s="324">
        <f t="shared" si="85"/>
        <v>2.0213364646868456E-2</v>
      </c>
      <c r="P231" s="169">
        <f>(INDEX(Models!$BJ231:$BT231,,T231)*(1-R231)+INDEX(Models!$BJ231:$BT231,,T231+1)*R231-ERP_i)*Q231*Ramure*Pc/MaxiM</f>
        <v>0</v>
      </c>
      <c r="Q231" s="305">
        <f t="shared" si="86"/>
        <v>0.7</v>
      </c>
      <c r="R231" s="177">
        <f t="shared" si="87"/>
        <v>0.45570704521018368</v>
      </c>
      <c r="S231" s="817">
        <f t="shared" si="105"/>
        <v>-2</v>
      </c>
      <c r="T231" s="176">
        <f t="shared" si="88"/>
        <v>4</v>
      </c>
      <c r="U231" s="251">
        <f t="shared" si="89"/>
        <v>-1.5442929547898163</v>
      </c>
      <c r="V231" s="383">
        <f t="shared" si="90"/>
        <v>38.9498845168781</v>
      </c>
      <c r="W231" s="58"/>
      <c r="X231" s="157">
        <f t="shared" si="91"/>
        <v>43317</v>
      </c>
      <c r="Y231" s="385">
        <f t="shared" si="92"/>
        <v>35.185000000000002</v>
      </c>
      <c r="Z231" s="385">
        <f t="shared" si="93"/>
        <v>35.268328744217023</v>
      </c>
      <c r="AA231" s="386">
        <f t="shared" si="94"/>
        <v>35.995927553661438</v>
      </c>
      <c r="AB231" s="197">
        <f t="shared" si="95"/>
        <v>43317</v>
      </c>
      <c r="AC231" s="427">
        <f t="shared" si="96"/>
        <v>2.0213364646868456E-2</v>
      </c>
      <c r="AD231" s="169">
        <f>(INDEX(Models!$BJ231:$BT231,,AH231)*(1-AF231)+INDEX(Models!$BJ231:$BT231,,AH231+1)*AF231-ERP_i)*AE231*Ramure*Pc/MaxiM</f>
        <v>0</v>
      </c>
      <c r="AE231" s="305">
        <f t="shared" si="97"/>
        <v>0.7</v>
      </c>
      <c r="AF231" s="177">
        <f t="shared" si="98"/>
        <v>0.45570704521018368</v>
      </c>
      <c r="AG231" s="817">
        <f t="shared" si="99"/>
        <v>-2</v>
      </c>
      <c r="AH231" s="176">
        <f t="shared" si="100"/>
        <v>4</v>
      </c>
      <c r="AI231" s="225">
        <f t="shared" si="101"/>
        <v>-1.5442929547898163</v>
      </c>
      <c r="AJ231" s="265" t="b">
        <f t="shared" si="102"/>
        <v>0</v>
      </c>
      <c r="AK231" s="265" t="b">
        <f t="shared" si="10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104"/>
        <v>43318</v>
      </c>
      <c r="B232" s="617">
        <v>34.683999999999997</v>
      </c>
      <c r="C232" s="390"/>
      <c r="D232" s="393">
        <f t="shared" si="81"/>
        <v>34.766903708787119</v>
      </c>
      <c r="E232" s="385">
        <f t="shared" si="78"/>
        <v>35.490426228358807</v>
      </c>
      <c r="F232" s="385">
        <f t="shared" si="106"/>
        <v>35.490426228358807</v>
      </c>
      <c r="G232" s="110">
        <f t="shared" si="80"/>
        <v>0.89289931488365804</v>
      </c>
      <c r="I232" s="380">
        <f t="shared" si="82"/>
        <v>35.490426228358807</v>
      </c>
      <c r="J232" s="85">
        <v>2018</v>
      </c>
      <c r="K232" s="197">
        <f t="shared" si="83"/>
        <v>43318</v>
      </c>
      <c r="L232" s="438">
        <f t="shared" si="84"/>
        <v>2.3845582995120074E-3</v>
      </c>
      <c r="M232" s="861"/>
      <c r="N232" s="861"/>
      <c r="O232" s="324">
        <f t="shared" si="85"/>
        <v>2.0386413927977989E-2</v>
      </c>
      <c r="P232" s="169">
        <f>(INDEX(Models!$BJ232:$BT232,,T232)*(1-R232)+INDEX(Models!$BJ232:$BT232,,T232+1)*R232-ERP_i)*Q232*Ramure*Pc/MaxiM</f>
        <v>0</v>
      </c>
      <c r="Q232" s="305">
        <f t="shared" si="86"/>
        <v>0.7</v>
      </c>
      <c r="R232" s="177">
        <f t="shared" si="87"/>
        <v>0.45738146251971523</v>
      </c>
      <c r="S232" s="817">
        <f t="shared" si="105"/>
        <v>-2</v>
      </c>
      <c r="T232" s="176">
        <f t="shared" si="88"/>
        <v>4</v>
      </c>
      <c r="U232" s="251">
        <f t="shared" si="89"/>
        <v>-1.5426185374802848</v>
      </c>
      <c r="V232" s="383">
        <f t="shared" si="90"/>
        <v>38.844245282592929</v>
      </c>
      <c r="W232" s="58"/>
      <c r="X232" s="157">
        <f t="shared" si="91"/>
        <v>43318</v>
      </c>
      <c r="Y232" s="385">
        <f t="shared" si="92"/>
        <v>34.683999999999997</v>
      </c>
      <c r="Z232" s="385">
        <f t="shared" si="93"/>
        <v>34.766903708787119</v>
      </c>
      <c r="AA232" s="386">
        <f t="shared" si="94"/>
        <v>35.490426228358807</v>
      </c>
      <c r="AB232" s="197">
        <f t="shared" si="95"/>
        <v>43318</v>
      </c>
      <c r="AC232" s="427">
        <f t="shared" si="96"/>
        <v>2.0386413927977989E-2</v>
      </c>
      <c r="AD232" s="169">
        <f>(INDEX(Models!$BJ232:$BT232,,AH232)*(1-AF232)+INDEX(Models!$BJ232:$BT232,,AH232+1)*AF232-ERP_i)*AE232*Ramure*Pc/MaxiM</f>
        <v>0</v>
      </c>
      <c r="AE232" s="305">
        <f t="shared" si="97"/>
        <v>0.7</v>
      </c>
      <c r="AF232" s="177">
        <f t="shared" si="98"/>
        <v>0.45738146251971523</v>
      </c>
      <c r="AG232" s="817">
        <f t="shared" si="99"/>
        <v>-2</v>
      </c>
      <c r="AH232" s="176">
        <f t="shared" si="100"/>
        <v>4</v>
      </c>
      <c r="AI232" s="225">
        <f t="shared" si="101"/>
        <v>-1.5426185374802848</v>
      </c>
      <c r="AJ232" s="265" t="b">
        <f t="shared" si="102"/>
        <v>0</v>
      </c>
      <c r="AK232" s="265" t="b">
        <f t="shared" si="10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104"/>
        <v>43319</v>
      </c>
      <c r="B233" s="617">
        <v>22.65</v>
      </c>
      <c r="C233" s="390"/>
      <c r="D233" s="393">
        <f t="shared" si="81"/>
        <v>22.704636633717978</v>
      </c>
      <c r="E233" s="385">
        <f t="shared" ref="E233:E296" si="107">Wh_pvt/(1-Psa)</f>
        <v>23.181223339412639</v>
      </c>
      <c r="F233" s="385">
        <f t="shared" si="106"/>
        <v>23.181223339412639</v>
      </c>
      <c r="G233" s="110">
        <f t="shared" ref="G233:G296" si="108">+Wh_hp/MaxiM</f>
        <v>0.58471622209201812</v>
      </c>
      <c r="I233" s="380">
        <f t="shared" si="82"/>
        <v>23.181223339412639</v>
      </c>
      <c r="J233" s="85">
        <v>2018</v>
      </c>
      <c r="K233" s="197">
        <f t="shared" si="83"/>
        <v>43319</v>
      </c>
      <c r="L233" s="438">
        <f t="shared" si="84"/>
        <v>2.4064086379977923E-3</v>
      </c>
      <c r="M233" s="861"/>
      <c r="N233" s="861"/>
      <c r="O233" s="324">
        <f t="shared" si="85"/>
        <v>2.055916975202807E-2</v>
      </c>
      <c r="P233" s="169">
        <f>(INDEX(Models!$BJ233:$BT233,,T233)*(1-R233)+INDEX(Models!$BJ233:$BT233,,T233+1)*R233-ERP_i)*Q233*Ramure*Pc/MaxiM</f>
        <v>0</v>
      </c>
      <c r="Q233" s="305">
        <f t="shared" si="86"/>
        <v>0.7</v>
      </c>
      <c r="R233" s="177">
        <f t="shared" si="87"/>
        <v>0.4590000863992787</v>
      </c>
      <c r="S233" s="817">
        <f t="shared" si="105"/>
        <v>-2</v>
      </c>
      <c r="T233" s="176">
        <f t="shared" si="88"/>
        <v>4</v>
      </c>
      <c r="U233" s="251">
        <f t="shared" si="89"/>
        <v>-1.5409999136007213</v>
      </c>
      <c r="V233" s="383">
        <f t="shared" si="90"/>
        <v>38.736739540014874</v>
      </c>
      <c r="W233" s="58"/>
      <c r="X233" s="157">
        <f t="shared" si="91"/>
        <v>43319</v>
      </c>
      <c r="Y233" s="385">
        <f t="shared" si="92"/>
        <v>22.65</v>
      </c>
      <c r="Z233" s="385">
        <f t="shared" si="93"/>
        <v>22.704636633717978</v>
      </c>
      <c r="AA233" s="386">
        <f t="shared" si="94"/>
        <v>23.181223339412639</v>
      </c>
      <c r="AB233" s="197">
        <f t="shared" si="95"/>
        <v>43319</v>
      </c>
      <c r="AC233" s="427">
        <f t="shared" si="96"/>
        <v>2.055916975202807E-2</v>
      </c>
      <c r="AD233" s="169">
        <f>(INDEX(Models!$BJ233:$BT233,,AH233)*(1-AF233)+INDEX(Models!$BJ233:$BT233,,AH233+1)*AF233-ERP_i)*AE233*Ramure*Pc/MaxiM</f>
        <v>0</v>
      </c>
      <c r="AE233" s="305">
        <f t="shared" si="97"/>
        <v>0.7</v>
      </c>
      <c r="AF233" s="177">
        <f t="shared" si="98"/>
        <v>0.4590000863992787</v>
      </c>
      <c r="AG233" s="817">
        <f t="shared" si="99"/>
        <v>-2</v>
      </c>
      <c r="AH233" s="176">
        <f t="shared" si="100"/>
        <v>4</v>
      </c>
      <c r="AI233" s="225">
        <f t="shared" si="101"/>
        <v>-1.5409999136007213</v>
      </c>
      <c r="AJ233" s="265" t="b">
        <f t="shared" si="102"/>
        <v>0</v>
      </c>
      <c r="AK233" s="265" t="b">
        <f t="shared" si="10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104"/>
        <v>43320</v>
      </c>
      <c r="B234" s="617">
        <v>31.251000000000001</v>
      </c>
      <c r="C234" s="390"/>
      <c r="D234" s="393">
        <f t="shared" si="81"/>
        <v>31.32707022448708</v>
      </c>
      <c r="E234" s="385">
        <f t="shared" si="107"/>
        <v>31.990280957701572</v>
      </c>
      <c r="F234" s="385">
        <f t="shared" si="106"/>
        <v>31.990280957701572</v>
      </c>
      <c r="G234" s="110">
        <f t="shared" si="108"/>
        <v>0.80902828167217711</v>
      </c>
      <c r="I234" s="380">
        <f t="shared" si="82"/>
        <v>31.990280957701572</v>
      </c>
      <c r="J234" s="85">
        <v>2018</v>
      </c>
      <c r="K234" s="197">
        <f t="shared" si="83"/>
        <v>43320</v>
      </c>
      <c r="L234" s="438">
        <f t="shared" si="84"/>
        <v>2.428258497905067E-3</v>
      </c>
      <c r="M234" s="861"/>
      <c r="N234" s="861"/>
      <c r="O234" s="324">
        <f t="shared" si="85"/>
        <v>2.0731632025720828E-2</v>
      </c>
      <c r="P234" s="169">
        <f>(INDEX(Models!$BJ234:$BT234,,T234)*(1-R234)+INDEX(Models!$BJ234:$BT234,,T234+1)*R234-ERP_i)*Q234*Ramure*Pc/MaxiM</f>
        <v>0</v>
      </c>
      <c r="Q234" s="305">
        <f t="shared" si="86"/>
        <v>0.7</v>
      </c>
      <c r="R234" s="177">
        <f t="shared" si="87"/>
        <v>0.46056436033220027</v>
      </c>
      <c r="S234" s="817">
        <f t="shared" si="105"/>
        <v>-2</v>
      </c>
      <c r="T234" s="176">
        <f t="shared" si="88"/>
        <v>4</v>
      </c>
      <c r="U234" s="251">
        <f t="shared" si="89"/>
        <v>-1.5394356396677997</v>
      </c>
      <c r="V234" s="383">
        <f t="shared" si="90"/>
        <v>38.627821434631976</v>
      </c>
      <c r="W234" s="58"/>
      <c r="X234" s="157">
        <f t="shared" si="91"/>
        <v>43320</v>
      </c>
      <c r="Y234" s="385">
        <f t="shared" si="92"/>
        <v>31.251000000000001</v>
      </c>
      <c r="Z234" s="385">
        <f t="shared" si="93"/>
        <v>31.32707022448708</v>
      </c>
      <c r="AA234" s="386">
        <f t="shared" si="94"/>
        <v>31.990280957701572</v>
      </c>
      <c r="AB234" s="197">
        <f t="shared" si="95"/>
        <v>43320</v>
      </c>
      <c r="AC234" s="427">
        <f t="shared" si="96"/>
        <v>2.0731632025720828E-2</v>
      </c>
      <c r="AD234" s="169">
        <f>(INDEX(Models!$BJ234:$BT234,,AH234)*(1-AF234)+INDEX(Models!$BJ234:$BT234,,AH234+1)*AF234-ERP_i)*AE234*Ramure*Pc/MaxiM</f>
        <v>0</v>
      </c>
      <c r="AE234" s="305">
        <f t="shared" si="97"/>
        <v>0.7</v>
      </c>
      <c r="AF234" s="177">
        <f t="shared" si="98"/>
        <v>0.46056436033220027</v>
      </c>
      <c r="AG234" s="817">
        <f t="shared" si="99"/>
        <v>-2</v>
      </c>
      <c r="AH234" s="176">
        <f t="shared" si="100"/>
        <v>4</v>
      </c>
      <c r="AI234" s="225">
        <f t="shared" si="101"/>
        <v>-1.5394356396677997</v>
      </c>
      <c r="AJ234" s="265" t="b">
        <f t="shared" si="102"/>
        <v>0</v>
      </c>
      <c r="AK234" s="265" t="b">
        <f t="shared" si="10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104"/>
        <v>43321</v>
      </c>
      <c r="B235" s="617">
        <v>8.41</v>
      </c>
      <c r="C235" s="390"/>
      <c r="D235" s="393">
        <f t="shared" si="81"/>
        <v>8.4306560167337992</v>
      </c>
      <c r="E235" s="385">
        <f t="shared" si="107"/>
        <v>8.6106513530958892</v>
      </c>
      <c r="F235" s="385">
        <f t="shared" si="106"/>
        <v>8.6106513530958892</v>
      </c>
      <c r="G235" s="110">
        <f t="shared" si="108"/>
        <v>0.21834235865233573</v>
      </c>
      <c r="I235" s="380">
        <f t="shared" si="82"/>
        <v>8.6106513530958892</v>
      </c>
      <c r="J235" s="85">
        <v>2018</v>
      </c>
      <c r="K235" s="197">
        <f t="shared" si="83"/>
        <v>43321</v>
      </c>
      <c r="L235" s="438">
        <f t="shared" si="84"/>
        <v>2.4501078792443787E-3</v>
      </c>
      <c r="M235" s="861"/>
      <c r="N235" s="861"/>
      <c r="O235" s="324">
        <f t="shared" si="85"/>
        <v>2.0903800302792812E-2</v>
      </c>
      <c r="P235" s="169">
        <f>(INDEX(Models!$BJ235:$BT235,,T235)*(1-R235)+INDEX(Models!$BJ235:$BT235,,T235+1)*R235-ERP_i)*Q235*Ramure*Pc/MaxiM</f>
        <v>0</v>
      </c>
      <c r="Q235" s="305">
        <f t="shared" si="86"/>
        <v>0.7</v>
      </c>
      <c r="R235" s="177">
        <f t="shared" si="87"/>
        <v>0.46207572120082863</v>
      </c>
      <c r="S235" s="817">
        <f t="shared" si="105"/>
        <v>-2</v>
      </c>
      <c r="T235" s="176">
        <f t="shared" si="88"/>
        <v>4</v>
      </c>
      <c r="U235" s="251">
        <f t="shared" si="89"/>
        <v>-1.5379242787991714</v>
      </c>
      <c r="V235" s="383">
        <f t="shared" si="90"/>
        <v>38.517491758853616</v>
      </c>
      <c r="W235" s="58"/>
      <c r="X235" s="157">
        <f t="shared" si="91"/>
        <v>43321</v>
      </c>
      <c r="Y235" s="385">
        <f t="shared" si="92"/>
        <v>8.41</v>
      </c>
      <c r="Z235" s="385">
        <f t="shared" si="93"/>
        <v>8.4306560167337992</v>
      </c>
      <c r="AA235" s="386">
        <f t="shared" si="94"/>
        <v>8.6106513530958892</v>
      </c>
      <c r="AB235" s="197">
        <f t="shared" si="95"/>
        <v>43321</v>
      </c>
      <c r="AC235" s="427">
        <f t="shared" si="96"/>
        <v>2.0903800302792812E-2</v>
      </c>
      <c r="AD235" s="169">
        <f>(INDEX(Models!$BJ235:$BT235,,AH235)*(1-AF235)+INDEX(Models!$BJ235:$BT235,,AH235+1)*AF235-ERP_i)*AE235*Ramure*Pc/MaxiM</f>
        <v>0</v>
      </c>
      <c r="AE235" s="305">
        <f t="shared" si="97"/>
        <v>0.7</v>
      </c>
      <c r="AF235" s="177">
        <f t="shared" si="98"/>
        <v>0.46207572120082863</v>
      </c>
      <c r="AG235" s="817">
        <f t="shared" si="99"/>
        <v>-2</v>
      </c>
      <c r="AH235" s="176">
        <f t="shared" si="100"/>
        <v>4</v>
      </c>
      <c r="AI235" s="225">
        <f t="shared" si="101"/>
        <v>-1.5379242787991714</v>
      </c>
      <c r="AJ235" s="265" t="b">
        <f t="shared" si="102"/>
        <v>0</v>
      </c>
      <c r="AK235" s="265" t="b">
        <f t="shared" si="10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104"/>
        <v>43322</v>
      </c>
      <c r="B236" s="617">
        <v>35.131</v>
      </c>
      <c r="C236" s="390"/>
      <c r="D236" s="393">
        <f t="shared" si="81"/>
        <v>35.218057516126777</v>
      </c>
      <c r="E236" s="385">
        <f t="shared" si="107"/>
        <v>35.976281897663725</v>
      </c>
      <c r="F236" s="385">
        <f t="shared" si="106"/>
        <v>35.976281897663725</v>
      </c>
      <c r="G236" s="110">
        <f t="shared" si="108"/>
        <v>0.91473278860995688</v>
      </c>
      <c r="I236" s="380">
        <f t="shared" si="82"/>
        <v>35.976281897663725</v>
      </c>
      <c r="J236" s="85">
        <v>2018</v>
      </c>
      <c r="K236" s="197">
        <f t="shared" si="83"/>
        <v>43322</v>
      </c>
      <c r="L236" s="438">
        <f t="shared" si="84"/>
        <v>2.4719567820261634E-3</v>
      </c>
      <c r="M236" s="861"/>
      <c r="N236" s="861"/>
      <c r="O236" s="324">
        <f t="shared" si="85"/>
        <v>2.107567379235439E-2</v>
      </c>
      <c r="P236" s="169">
        <f>(INDEX(Models!$BJ236:$BT236,,T236)*(1-R236)+INDEX(Models!$BJ236:$BT236,,T236+1)*R236-ERP_i)*Q236*Ramure*Pc/MaxiM</f>
        <v>0</v>
      </c>
      <c r="Q236" s="305">
        <f t="shared" si="86"/>
        <v>0.7</v>
      </c>
      <c r="R236" s="177">
        <f t="shared" si="87"/>
        <v>0.46353559666672561</v>
      </c>
      <c r="S236" s="817">
        <f t="shared" si="105"/>
        <v>-2</v>
      </c>
      <c r="T236" s="176">
        <f t="shared" si="88"/>
        <v>4</v>
      </c>
      <c r="U236" s="251">
        <f t="shared" si="89"/>
        <v>-1.5364644033332744</v>
      </c>
      <c r="V236" s="383">
        <f t="shared" si="90"/>
        <v>38.405751316059906</v>
      </c>
      <c r="W236" s="58"/>
      <c r="X236" s="157">
        <f t="shared" si="91"/>
        <v>43322</v>
      </c>
      <c r="Y236" s="385">
        <f t="shared" si="92"/>
        <v>35.131</v>
      </c>
      <c r="Z236" s="385">
        <f t="shared" si="93"/>
        <v>35.218057516126777</v>
      </c>
      <c r="AA236" s="386">
        <f t="shared" si="94"/>
        <v>35.976281897663725</v>
      </c>
      <c r="AB236" s="197">
        <f t="shared" si="95"/>
        <v>43322</v>
      </c>
      <c r="AC236" s="427">
        <f t="shared" si="96"/>
        <v>2.107567379235439E-2</v>
      </c>
      <c r="AD236" s="169">
        <f>(INDEX(Models!$BJ236:$BT236,,AH236)*(1-AF236)+INDEX(Models!$BJ236:$BT236,,AH236+1)*AF236-ERP_i)*AE236*Ramure*Pc/MaxiM</f>
        <v>0</v>
      </c>
      <c r="AE236" s="305">
        <f t="shared" si="97"/>
        <v>0.7</v>
      </c>
      <c r="AF236" s="177">
        <f t="shared" si="98"/>
        <v>0.46353559666672561</v>
      </c>
      <c r="AG236" s="817">
        <f t="shared" si="99"/>
        <v>-2</v>
      </c>
      <c r="AH236" s="176">
        <f t="shared" si="100"/>
        <v>4</v>
      </c>
      <c r="AI236" s="225">
        <f t="shared" si="101"/>
        <v>-1.5364644033332744</v>
      </c>
      <c r="AJ236" s="265" t="b">
        <f t="shared" si="102"/>
        <v>0</v>
      </c>
      <c r="AK236" s="265" t="b">
        <f t="shared" si="10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104"/>
        <v>43323</v>
      </c>
      <c r="B237" s="617">
        <v>35.9</v>
      </c>
      <c r="C237" s="390"/>
      <c r="D237" s="393">
        <f t="shared" si="81"/>
        <v>35.989751429486887</v>
      </c>
      <c r="E237" s="385">
        <f t="shared" si="107"/>
        <v>36.771034850041509</v>
      </c>
      <c r="F237" s="385">
        <f t="shared" si="106"/>
        <v>36.771034850041509</v>
      </c>
      <c r="G237" s="110">
        <f t="shared" si="108"/>
        <v>0.93751793133771988</v>
      </c>
      <c r="I237" s="380">
        <f t="shared" si="82"/>
        <v>36.771034850041509</v>
      </c>
      <c r="J237" s="85">
        <v>2018</v>
      </c>
      <c r="K237" s="197">
        <f t="shared" si="83"/>
        <v>43323</v>
      </c>
      <c r="L237" s="438">
        <f t="shared" si="84"/>
        <v>2.4938052062608573E-3</v>
      </c>
      <c r="M237" s="861"/>
      <c r="N237" s="861"/>
      <c r="O237" s="324">
        <f t="shared" si="85"/>
        <v>2.1247251368932931E-2</v>
      </c>
      <c r="P237" s="169">
        <f>(INDEX(Models!$BJ237:$BT237,,T237)*(1-R237)+INDEX(Models!$BJ237:$BT237,,T237+1)*R237-ERP_i)*Q237*Ramure*Pc/MaxiM</f>
        <v>0</v>
      </c>
      <c r="Q237" s="305">
        <f t="shared" si="86"/>
        <v>0.7</v>
      </c>
      <c r="R237" s="177">
        <f t="shared" si="87"/>
        <v>0.46494540277306817</v>
      </c>
      <c r="S237" s="817">
        <f t="shared" si="105"/>
        <v>-2</v>
      </c>
      <c r="T237" s="176">
        <f t="shared" si="88"/>
        <v>4</v>
      </c>
      <c r="U237" s="251">
        <f t="shared" si="89"/>
        <v>-1.5350545972269318</v>
      </c>
      <c r="V237" s="383">
        <f t="shared" si="90"/>
        <v>38.292600919936774</v>
      </c>
      <c r="W237" s="58"/>
      <c r="X237" s="157">
        <f t="shared" si="91"/>
        <v>43323</v>
      </c>
      <c r="Y237" s="385">
        <f t="shared" si="92"/>
        <v>35.9</v>
      </c>
      <c r="Z237" s="385">
        <f t="shared" si="93"/>
        <v>35.989751429486887</v>
      </c>
      <c r="AA237" s="386">
        <f t="shared" si="94"/>
        <v>36.771034850041509</v>
      </c>
      <c r="AB237" s="197">
        <f t="shared" si="95"/>
        <v>43323</v>
      </c>
      <c r="AC237" s="427">
        <f t="shared" si="96"/>
        <v>2.1247251368932931E-2</v>
      </c>
      <c r="AD237" s="169">
        <f>(INDEX(Models!$BJ237:$BT237,,AH237)*(1-AF237)+INDEX(Models!$BJ237:$BT237,,AH237+1)*AF237-ERP_i)*AE237*Ramure*Pc/MaxiM</f>
        <v>0</v>
      </c>
      <c r="AE237" s="305">
        <f t="shared" si="97"/>
        <v>0.7</v>
      </c>
      <c r="AF237" s="177">
        <f t="shared" si="98"/>
        <v>0.46494540277306817</v>
      </c>
      <c r="AG237" s="817">
        <f t="shared" si="99"/>
        <v>-2</v>
      </c>
      <c r="AH237" s="176">
        <f t="shared" si="100"/>
        <v>4</v>
      </c>
      <c r="AI237" s="225">
        <f t="shared" si="101"/>
        <v>-1.5350545972269318</v>
      </c>
      <c r="AJ237" s="265" t="b">
        <f t="shared" si="102"/>
        <v>0</v>
      </c>
      <c r="AK237" s="265" t="b">
        <f t="shared" si="10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104"/>
        <v>43324</v>
      </c>
      <c r="B238" s="617">
        <v>33.366999999999997</v>
      </c>
      <c r="C238" s="390"/>
      <c r="D238" s="393">
        <f t="shared" si="81"/>
        <v>33.451151494694287</v>
      </c>
      <c r="E238" s="385">
        <f t="shared" si="107"/>
        <v>34.183307751409572</v>
      </c>
      <c r="F238" s="385">
        <f t="shared" si="106"/>
        <v>34.183307751409572</v>
      </c>
      <c r="G238" s="110">
        <f t="shared" si="108"/>
        <v>0.87398406995681555</v>
      </c>
      <c r="I238" s="380">
        <f t="shared" si="82"/>
        <v>34.183307751409572</v>
      </c>
      <c r="J238" s="85">
        <v>2018</v>
      </c>
      <c r="K238" s="197">
        <f t="shared" si="83"/>
        <v>43324</v>
      </c>
      <c r="L238" s="438">
        <f t="shared" si="84"/>
        <v>2.5156531519590075E-3</v>
      </c>
      <c r="M238" s="861"/>
      <c r="N238" s="861"/>
      <c r="O238" s="324">
        <f t="shared" si="85"/>
        <v>2.1418531583886569E-2</v>
      </c>
      <c r="P238" s="169">
        <f>(INDEX(Models!$BJ238:$BT238,,T238)*(1-R238)+INDEX(Models!$BJ238:$BT238,,T238+1)*R238-ERP_i)*Q238*Ramure*Pc/MaxiM</f>
        <v>0</v>
      </c>
      <c r="Q238" s="305">
        <f t="shared" si="86"/>
        <v>0.7</v>
      </c>
      <c r="R238" s="177">
        <f t="shared" si="87"/>
        <v>0.46630654176063424</v>
      </c>
      <c r="S238" s="817">
        <f t="shared" si="105"/>
        <v>-2</v>
      </c>
      <c r="T238" s="176">
        <f t="shared" si="88"/>
        <v>4</v>
      </c>
      <c r="U238" s="251">
        <f t="shared" si="89"/>
        <v>-1.5336934582393658</v>
      </c>
      <c r="V238" s="383">
        <f t="shared" si="90"/>
        <v>38.17804139341888</v>
      </c>
      <c r="W238" s="58"/>
      <c r="X238" s="157">
        <f t="shared" si="91"/>
        <v>43324</v>
      </c>
      <c r="Y238" s="385">
        <f t="shared" si="92"/>
        <v>33.366999999999997</v>
      </c>
      <c r="Z238" s="385">
        <f t="shared" si="93"/>
        <v>33.451151494694287</v>
      </c>
      <c r="AA238" s="386">
        <f t="shared" si="94"/>
        <v>34.183307751409572</v>
      </c>
      <c r="AB238" s="197">
        <f t="shared" si="95"/>
        <v>43324</v>
      </c>
      <c r="AC238" s="427">
        <f t="shared" si="96"/>
        <v>2.1418531583886569E-2</v>
      </c>
      <c r="AD238" s="169">
        <f>(INDEX(Models!$BJ238:$BT238,,AH238)*(1-AF238)+INDEX(Models!$BJ238:$BT238,,AH238+1)*AF238-ERP_i)*AE238*Ramure*Pc/MaxiM</f>
        <v>0</v>
      </c>
      <c r="AE238" s="305">
        <f t="shared" si="97"/>
        <v>0.7</v>
      </c>
      <c r="AF238" s="177">
        <f t="shared" si="98"/>
        <v>0.46630654176063424</v>
      </c>
      <c r="AG238" s="817">
        <f t="shared" si="99"/>
        <v>-2</v>
      </c>
      <c r="AH238" s="176">
        <f t="shared" si="100"/>
        <v>4</v>
      </c>
      <c r="AI238" s="225">
        <f t="shared" si="101"/>
        <v>-1.5336934582393658</v>
      </c>
      <c r="AJ238" s="265" t="b">
        <f t="shared" si="102"/>
        <v>0</v>
      </c>
      <c r="AK238" s="265" t="b">
        <f t="shared" si="10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104"/>
        <v>43325</v>
      </c>
      <c r="B239" s="617">
        <v>19.3</v>
      </c>
      <c r="C239" s="390"/>
      <c r="D239" s="393">
        <f t="shared" si="81"/>
        <v>19.349098349040318</v>
      </c>
      <c r="E239" s="385">
        <f t="shared" si="107"/>
        <v>19.77605371135942</v>
      </c>
      <c r="F239" s="385">
        <f t="shared" si="106"/>
        <v>19.77605371135942</v>
      </c>
      <c r="G239" s="110">
        <f t="shared" si="108"/>
        <v>0.50706643623700398</v>
      </c>
      <c r="I239" s="380">
        <f t="shared" si="82"/>
        <v>19.77605371135942</v>
      </c>
      <c r="J239" s="85">
        <v>2018</v>
      </c>
      <c r="K239" s="197">
        <f t="shared" si="83"/>
        <v>43325</v>
      </c>
      <c r="L239" s="438">
        <f t="shared" si="84"/>
        <v>2.5375006191310501E-3</v>
      </c>
      <c r="M239" s="861"/>
      <c r="N239" s="861"/>
      <c r="O239" s="324">
        <f t="shared" si="85"/>
        <v>2.1589512677843273E-2</v>
      </c>
      <c r="P239" s="169">
        <f>(INDEX(Models!$BJ239:$BT239,,T239)*(1-R239)+INDEX(Models!$BJ239:$BT239,,T239+1)*R239-ERP_i)*Q239*Ramure*Pc/MaxiM</f>
        <v>0</v>
      </c>
      <c r="Q239" s="305">
        <f t="shared" si="86"/>
        <v>0.7</v>
      </c>
      <c r="R239" s="177">
        <f t="shared" si="87"/>
        <v>0.46762040008837791</v>
      </c>
      <c r="S239" s="817">
        <f t="shared" si="105"/>
        <v>-2</v>
      </c>
      <c r="T239" s="176">
        <f t="shared" si="88"/>
        <v>4</v>
      </c>
      <c r="U239" s="251">
        <f t="shared" si="89"/>
        <v>-1.5323795999116221</v>
      </c>
      <c r="V239" s="383">
        <f t="shared" si="90"/>
        <v>38.06207356816482</v>
      </c>
      <c r="W239" s="58"/>
      <c r="X239" s="157">
        <f t="shared" si="91"/>
        <v>43325</v>
      </c>
      <c r="Y239" s="385">
        <f t="shared" si="92"/>
        <v>19.3</v>
      </c>
      <c r="Z239" s="385">
        <f t="shared" si="93"/>
        <v>19.349098349040318</v>
      </c>
      <c r="AA239" s="386">
        <f t="shared" si="94"/>
        <v>19.77605371135942</v>
      </c>
      <c r="AB239" s="197">
        <f t="shared" si="95"/>
        <v>43325</v>
      </c>
      <c r="AC239" s="427">
        <f t="shared" si="96"/>
        <v>2.1589512677843273E-2</v>
      </c>
      <c r="AD239" s="169">
        <f>(INDEX(Models!$BJ239:$BT239,,AH239)*(1-AF239)+INDEX(Models!$BJ239:$BT239,,AH239+1)*AF239-ERP_i)*AE239*Ramure*Pc/MaxiM</f>
        <v>0</v>
      </c>
      <c r="AE239" s="305">
        <f t="shared" si="97"/>
        <v>0.7</v>
      </c>
      <c r="AF239" s="177">
        <f t="shared" si="98"/>
        <v>0.46762040008837791</v>
      </c>
      <c r="AG239" s="817">
        <f t="shared" si="99"/>
        <v>-2</v>
      </c>
      <c r="AH239" s="176">
        <f t="shared" si="100"/>
        <v>4</v>
      </c>
      <c r="AI239" s="225">
        <f t="shared" si="101"/>
        <v>-1.5323795999116221</v>
      </c>
      <c r="AJ239" s="265" t="b">
        <f t="shared" si="102"/>
        <v>0</v>
      </c>
      <c r="AK239" s="265" t="b">
        <f t="shared" si="10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104"/>
        <v>43326</v>
      </c>
      <c r="B240" s="617">
        <v>23.251999999999999</v>
      </c>
      <c r="C240" s="390"/>
      <c r="D240" s="393">
        <f t="shared" si="81"/>
        <v>23.311662648031788</v>
      </c>
      <c r="E240" s="385">
        <f t="shared" si="107"/>
        <v>23.830212665177587</v>
      </c>
      <c r="F240" s="385">
        <f t="shared" si="106"/>
        <v>23.830212665177587</v>
      </c>
      <c r="G240" s="110">
        <f t="shared" si="108"/>
        <v>0.6127865301822879</v>
      </c>
      <c r="I240" s="380">
        <f t="shared" si="82"/>
        <v>23.830212665177587</v>
      </c>
      <c r="J240" s="85">
        <v>2018</v>
      </c>
      <c r="K240" s="197">
        <f t="shared" si="83"/>
        <v>43326</v>
      </c>
      <c r="L240" s="438">
        <f t="shared" si="84"/>
        <v>2.5593476077875321E-3</v>
      </c>
      <c r="M240" s="861"/>
      <c r="N240" s="861"/>
      <c r="O240" s="324">
        <f t="shared" si="85"/>
        <v>2.1760192593813572E-2</v>
      </c>
      <c r="P240" s="169">
        <f>(INDEX(Models!$BJ240:$BT240,,T240)*(1-R240)+INDEX(Models!$BJ240:$BT240,,T240+1)*R240-ERP_i)*Q240*Ramure*Pc/MaxiM</f>
        <v>0</v>
      </c>
      <c r="Q240" s="305">
        <f t="shared" si="86"/>
        <v>0.7</v>
      </c>
      <c r="R240" s="177">
        <f t="shared" si="87"/>
        <v>0.46888834664932677</v>
      </c>
      <c r="S240" s="817">
        <f t="shared" si="105"/>
        <v>-2</v>
      </c>
      <c r="T240" s="176">
        <f t="shared" si="88"/>
        <v>4</v>
      </c>
      <c r="U240" s="251">
        <f t="shared" si="89"/>
        <v>-1.5311116533506732</v>
      </c>
      <c r="V240" s="383">
        <f t="shared" si="90"/>
        <v>37.944698283565629</v>
      </c>
      <c r="W240" s="58"/>
      <c r="X240" s="157">
        <f t="shared" si="91"/>
        <v>43326</v>
      </c>
      <c r="Y240" s="385">
        <f t="shared" si="92"/>
        <v>23.251999999999999</v>
      </c>
      <c r="Z240" s="385">
        <f t="shared" si="93"/>
        <v>23.311662648031788</v>
      </c>
      <c r="AA240" s="386">
        <f t="shared" si="94"/>
        <v>23.830212665177587</v>
      </c>
      <c r="AB240" s="197">
        <f t="shared" si="95"/>
        <v>43326</v>
      </c>
      <c r="AC240" s="427">
        <f t="shared" si="96"/>
        <v>2.1760192593813572E-2</v>
      </c>
      <c r="AD240" s="169">
        <f>(INDEX(Models!$BJ240:$BT240,,AH240)*(1-AF240)+INDEX(Models!$BJ240:$BT240,,AH240+1)*AF240-ERP_i)*AE240*Ramure*Pc/MaxiM</f>
        <v>0</v>
      </c>
      <c r="AE240" s="305">
        <f t="shared" si="97"/>
        <v>0.7</v>
      </c>
      <c r="AF240" s="177">
        <f t="shared" si="98"/>
        <v>0.46888834664932677</v>
      </c>
      <c r="AG240" s="817">
        <f t="shared" si="99"/>
        <v>-2</v>
      </c>
      <c r="AH240" s="176">
        <f t="shared" si="100"/>
        <v>4</v>
      </c>
      <c r="AI240" s="225">
        <f t="shared" si="101"/>
        <v>-1.5311116533506732</v>
      </c>
      <c r="AJ240" s="265" t="b">
        <f t="shared" si="102"/>
        <v>0</v>
      </c>
      <c r="AK240" s="265" t="b">
        <f t="shared" si="10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104"/>
        <v>43327</v>
      </c>
      <c r="B241" s="617">
        <v>37.088000000000001</v>
      </c>
      <c r="C241" s="390"/>
      <c r="D241" s="393">
        <f t="shared" si="81"/>
        <v>37.183979068052018</v>
      </c>
      <c r="E241" s="385">
        <f t="shared" si="107"/>
        <v>38.017729507891737</v>
      </c>
      <c r="F241" s="385">
        <f t="shared" si="106"/>
        <v>38.017729507891737</v>
      </c>
      <c r="G241" s="110">
        <f t="shared" si="108"/>
        <v>0.98049177766303708</v>
      </c>
      <c r="I241" s="380">
        <f t="shared" si="82"/>
        <v>38.017729507891737</v>
      </c>
      <c r="J241" s="85">
        <v>2018</v>
      </c>
      <c r="K241" s="197">
        <f t="shared" si="83"/>
        <v>43327</v>
      </c>
      <c r="L241" s="438">
        <f t="shared" si="84"/>
        <v>2.5811941179388898E-3</v>
      </c>
      <c r="M241" s="861"/>
      <c r="N241" s="861"/>
      <c r="O241" s="324">
        <f t="shared" si="85"/>
        <v>2.1930568990624469E-2</v>
      </c>
      <c r="P241" s="169">
        <f>(INDEX(Models!$BJ241:$BT241,,T241)*(1-R241)+INDEX(Models!$BJ241:$BT241,,T241+1)*R241-ERP_i)*Q241*Ramure*Pc/MaxiM</f>
        <v>0</v>
      </c>
      <c r="Q241" s="305">
        <f t="shared" si="86"/>
        <v>0.7</v>
      </c>
      <c r="R241" s="177">
        <f t="shared" si="87"/>
        <v>0.47011173117236704</v>
      </c>
      <c r="S241" s="817">
        <f t="shared" si="105"/>
        <v>-2</v>
      </c>
      <c r="T241" s="176">
        <f t="shared" si="88"/>
        <v>4</v>
      </c>
      <c r="U241" s="251">
        <f t="shared" si="89"/>
        <v>-1.529888268827633</v>
      </c>
      <c r="V241" s="383">
        <f t="shared" si="90"/>
        <v>37.825916386976502</v>
      </c>
      <c r="W241" s="58"/>
      <c r="X241" s="157">
        <f t="shared" si="91"/>
        <v>43327</v>
      </c>
      <c r="Y241" s="385">
        <f t="shared" si="92"/>
        <v>37.088000000000001</v>
      </c>
      <c r="Z241" s="385">
        <f t="shared" si="93"/>
        <v>37.183979068052018</v>
      </c>
      <c r="AA241" s="386">
        <f t="shared" si="94"/>
        <v>38.017729507891737</v>
      </c>
      <c r="AB241" s="197">
        <f t="shared" si="95"/>
        <v>43327</v>
      </c>
      <c r="AC241" s="427">
        <f t="shared" si="96"/>
        <v>2.1930568990624469E-2</v>
      </c>
      <c r="AD241" s="169">
        <f>(INDEX(Models!$BJ241:$BT241,,AH241)*(1-AF241)+INDEX(Models!$BJ241:$BT241,,AH241+1)*AF241-ERP_i)*AE241*Ramure*Pc/MaxiM</f>
        <v>0</v>
      </c>
      <c r="AE241" s="305">
        <f t="shared" si="97"/>
        <v>0.7</v>
      </c>
      <c r="AF241" s="177">
        <f t="shared" si="98"/>
        <v>0.47011173117236704</v>
      </c>
      <c r="AG241" s="817">
        <f t="shared" si="99"/>
        <v>-2</v>
      </c>
      <c r="AH241" s="176">
        <f t="shared" si="100"/>
        <v>4</v>
      </c>
      <c r="AI241" s="225">
        <f t="shared" si="101"/>
        <v>-1.529888268827633</v>
      </c>
      <c r="AJ241" s="265" t="b">
        <f t="shared" si="102"/>
        <v>0</v>
      </c>
      <c r="AK241" s="265" t="b">
        <f t="shared" si="10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104"/>
        <v>43328</v>
      </c>
      <c r="B242" s="617">
        <v>33.487000000000002</v>
      </c>
      <c r="C242" s="390"/>
      <c r="D242" s="393">
        <f t="shared" si="81"/>
        <v>33.574395499483558</v>
      </c>
      <c r="E242" s="385">
        <f t="shared" si="107"/>
        <v>34.333180741575312</v>
      </c>
      <c r="F242" s="385">
        <f t="shared" si="106"/>
        <v>34.333180741575312</v>
      </c>
      <c r="G242" s="110">
        <f t="shared" si="108"/>
        <v>0.88811438278177635</v>
      </c>
      <c r="I242" s="380">
        <f t="shared" si="82"/>
        <v>34.333180741575312</v>
      </c>
      <c r="J242" s="85">
        <v>2018</v>
      </c>
      <c r="K242" s="197">
        <f t="shared" si="83"/>
        <v>43328</v>
      </c>
      <c r="L242" s="438">
        <f t="shared" si="84"/>
        <v>2.6030401495955591E-3</v>
      </c>
      <c r="M242" s="861"/>
      <c r="N242" s="861"/>
      <c r="O242" s="324">
        <f t="shared" si="85"/>
        <v>2.2100639256324866E-2</v>
      </c>
      <c r="P242" s="169">
        <f>(INDEX(Models!$BJ242:$BT242,,T242)*(1-R242)+INDEX(Models!$BJ242:$BT242,,T242+1)*R242-ERP_i)*Q242*Ramure*Pc/MaxiM</f>
        <v>0</v>
      </c>
      <c r="Q242" s="305">
        <f t="shared" si="86"/>
        <v>0.7</v>
      </c>
      <c r="R242" s="177">
        <f t="shared" si="87"/>
        <v>0.47129188280038581</v>
      </c>
      <c r="S242" s="817">
        <f t="shared" si="105"/>
        <v>-2</v>
      </c>
      <c r="T242" s="176">
        <f t="shared" si="88"/>
        <v>4</v>
      </c>
      <c r="U242" s="251">
        <f t="shared" si="89"/>
        <v>-1.5287081171996142</v>
      </c>
      <c r="V242" s="383">
        <f t="shared" si="90"/>
        <v>37.705728731822916</v>
      </c>
      <c r="W242" s="58"/>
      <c r="X242" s="157">
        <f t="shared" si="91"/>
        <v>43328</v>
      </c>
      <c r="Y242" s="385">
        <f t="shared" si="92"/>
        <v>33.487000000000002</v>
      </c>
      <c r="Z242" s="385">
        <f t="shared" si="93"/>
        <v>33.574395499483558</v>
      </c>
      <c r="AA242" s="386">
        <f t="shared" si="94"/>
        <v>34.333180741575312</v>
      </c>
      <c r="AB242" s="197">
        <f t="shared" si="95"/>
        <v>43328</v>
      </c>
      <c r="AC242" s="427">
        <f t="shared" si="96"/>
        <v>2.2100639256324866E-2</v>
      </c>
      <c r="AD242" s="169">
        <f>(INDEX(Models!$BJ242:$BT242,,AH242)*(1-AF242)+INDEX(Models!$BJ242:$BT242,,AH242+1)*AF242-ERP_i)*AE242*Ramure*Pc/MaxiM</f>
        <v>0</v>
      </c>
      <c r="AE242" s="305">
        <f t="shared" si="97"/>
        <v>0.7</v>
      </c>
      <c r="AF242" s="177">
        <f t="shared" si="98"/>
        <v>0.47129188280038581</v>
      </c>
      <c r="AG242" s="817">
        <f t="shared" si="99"/>
        <v>-2</v>
      </c>
      <c r="AH242" s="176">
        <f t="shared" si="100"/>
        <v>4</v>
      </c>
      <c r="AI242" s="225">
        <f t="shared" si="101"/>
        <v>-1.5287081171996142</v>
      </c>
      <c r="AJ242" s="265" t="b">
        <f t="shared" si="102"/>
        <v>0</v>
      </c>
      <c r="AK242" s="265" t="b">
        <f t="shared" si="103"/>
        <v>0</v>
      </c>
      <c r="AL242" s="265"/>
      <c r="AM242" s="265"/>
      <c r="AN242" s="75"/>
    </row>
    <row r="243" spans="1:40" s="6" customFormat="1" ht="11.25" x14ac:dyDescent="0.2">
      <c r="A243" s="56">
        <f t="shared" si="104"/>
        <v>43329</v>
      </c>
      <c r="B243" s="617">
        <v>22.332000000000001</v>
      </c>
      <c r="C243" s="390"/>
      <c r="D243" s="393">
        <f t="shared" si="81"/>
        <v>22.390773220500414</v>
      </c>
      <c r="E243" s="385">
        <f t="shared" si="107"/>
        <v>22.900782826291469</v>
      </c>
      <c r="F243" s="385">
        <f t="shared" si="106"/>
        <v>22.900782826291469</v>
      </c>
      <c r="G243" s="110">
        <f t="shared" si="108"/>
        <v>0.59418686369448448</v>
      </c>
      <c r="I243" s="380">
        <f t="shared" si="82"/>
        <v>22.900782826291469</v>
      </c>
      <c r="J243" s="85">
        <v>2018</v>
      </c>
      <c r="K243" s="197">
        <f t="shared" si="83"/>
        <v>43329</v>
      </c>
      <c r="L243" s="438">
        <f t="shared" si="84"/>
        <v>2.6248857027680872E-3</v>
      </c>
      <c r="M243" s="861"/>
      <c r="N243" s="861"/>
      <c r="O243" s="324">
        <f t="shared" si="85"/>
        <v>2.2270400521222814E-2</v>
      </c>
      <c r="P243" s="169">
        <f>(INDEX(Models!$BJ243:$BT243,,T243)*(1-R243)+INDEX(Models!$BJ243:$BT243,,T243+1)*R243-ERP_i)*Q243*Ramure*Pc/MaxiM</f>
        <v>0</v>
      </c>
      <c r="Q243" s="305">
        <f t="shared" si="86"/>
        <v>0.7</v>
      </c>
      <c r="R243" s="177">
        <f t="shared" si="87"/>
        <v>0.4724301088352385</v>
      </c>
      <c r="S243" s="817">
        <f t="shared" si="105"/>
        <v>-2</v>
      </c>
      <c r="T243" s="176">
        <f t="shared" si="88"/>
        <v>4</v>
      </c>
      <c r="U243" s="251">
        <f t="shared" si="89"/>
        <v>-1.5275698911647615</v>
      </c>
      <c r="V243" s="383">
        <f t="shared" si="90"/>
        <v>37.584136177541843</v>
      </c>
      <c r="W243" s="58"/>
      <c r="X243" s="157">
        <f t="shared" si="91"/>
        <v>43329</v>
      </c>
      <c r="Y243" s="385">
        <f t="shared" si="92"/>
        <v>22.332000000000001</v>
      </c>
      <c r="Z243" s="385">
        <f t="shared" si="93"/>
        <v>22.390773220500414</v>
      </c>
      <c r="AA243" s="386">
        <f t="shared" si="94"/>
        <v>22.900782826291469</v>
      </c>
      <c r="AB243" s="197">
        <f t="shared" si="95"/>
        <v>43329</v>
      </c>
      <c r="AC243" s="427">
        <f t="shared" si="96"/>
        <v>2.2270400521222814E-2</v>
      </c>
      <c r="AD243" s="169">
        <f>(INDEX(Models!$BJ243:$BT243,,AH243)*(1-AF243)+INDEX(Models!$BJ243:$BT243,,AH243+1)*AF243-ERP_i)*AE243*Ramure*Pc/MaxiM</f>
        <v>0</v>
      </c>
      <c r="AE243" s="305">
        <f t="shared" si="97"/>
        <v>0.7</v>
      </c>
      <c r="AF243" s="177">
        <f t="shared" si="98"/>
        <v>0.4724301088352385</v>
      </c>
      <c r="AG243" s="817">
        <f t="shared" si="99"/>
        <v>-2</v>
      </c>
      <c r="AH243" s="176">
        <f t="shared" si="100"/>
        <v>4</v>
      </c>
      <c r="AI243" s="225">
        <f t="shared" si="101"/>
        <v>-1.5275698911647615</v>
      </c>
      <c r="AJ243" s="265" t="b">
        <f t="shared" si="102"/>
        <v>0</v>
      </c>
      <c r="AK243" s="265" t="b">
        <f t="shared" si="103"/>
        <v>0</v>
      </c>
      <c r="AL243" s="265"/>
      <c r="AM243" s="265"/>
      <c r="AN243" s="75"/>
    </row>
    <row r="244" spans="1:40" s="6" customFormat="1" ht="11.25" x14ac:dyDescent="0.2">
      <c r="A244" s="56">
        <f t="shared" si="104"/>
        <v>43330</v>
      </c>
      <c r="B244" s="617">
        <v>19.54</v>
      </c>
      <c r="C244" s="390"/>
      <c r="D244" s="393">
        <f t="shared" si="81"/>
        <v>19.591854363932669</v>
      </c>
      <c r="E244" s="385">
        <f t="shared" si="107"/>
        <v>20.041584507432621</v>
      </c>
      <c r="F244" s="385">
        <f t="shared" si="106"/>
        <v>20.041584507432621</v>
      </c>
      <c r="G244" s="110">
        <f t="shared" si="108"/>
        <v>0.52160719653640863</v>
      </c>
      <c r="I244" s="380">
        <f t="shared" si="82"/>
        <v>20.041584507432621</v>
      </c>
      <c r="J244" s="85">
        <v>2018</v>
      </c>
      <c r="K244" s="197">
        <f t="shared" si="83"/>
        <v>43330</v>
      </c>
      <c r="L244" s="438">
        <f t="shared" si="84"/>
        <v>2.6467307774669102E-3</v>
      </c>
      <c r="M244" s="861"/>
      <c r="N244" s="861"/>
      <c r="O244" s="324">
        <f t="shared" si="85"/>
        <v>2.2439849670227642E-2</v>
      </c>
      <c r="P244" s="169">
        <f>(INDEX(Models!$BJ244:$BT244,,T244)*(1-R244)+INDEX(Models!$BJ244:$BT244,,T244+1)*R244-ERP_i)*Q244*Ramure*Pc/MaxiM</f>
        <v>0</v>
      </c>
      <c r="Q244" s="305">
        <f t="shared" si="86"/>
        <v>0.7</v>
      </c>
      <c r="R244" s="177">
        <f t="shared" si="87"/>
        <v>0.47352769364005209</v>
      </c>
      <c r="S244" s="817">
        <f t="shared" si="105"/>
        <v>-2</v>
      </c>
      <c r="T244" s="176">
        <f t="shared" si="88"/>
        <v>4</v>
      </c>
      <c r="U244" s="251">
        <f t="shared" si="89"/>
        <v>-1.5264723063599479</v>
      </c>
      <c r="V244" s="383">
        <f t="shared" si="90"/>
        <v>37.461139588851687</v>
      </c>
      <c r="W244" s="58"/>
      <c r="X244" s="157">
        <f t="shared" si="91"/>
        <v>43330</v>
      </c>
      <c r="Y244" s="385">
        <f t="shared" si="92"/>
        <v>19.54</v>
      </c>
      <c r="Z244" s="385">
        <f t="shared" si="93"/>
        <v>19.591854363932669</v>
      </c>
      <c r="AA244" s="386">
        <f t="shared" si="94"/>
        <v>20.041584507432621</v>
      </c>
      <c r="AB244" s="197">
        <f t="shared" si="95"/>
        <v>43330</v>
      </c>
      <c r="AC244" s="427">
        <f t="shared" si="96"/>
        <v>2.2439849670227642E-2</v>
      </c>
      <c r="AD244" s="169">
        <f>(INDEX(Models!$BJ244:$BT244,,AH244)*(1-AF244)+INDEX(Models!$BJ244:$BT244,,AH244+1)*AF244-ERP_i)*AE244*Ramure*Pc/MaxiM</f>
        <v>0</v>
      </c>
      <c r="AE244" s="305">
        <f t="shared" si="97"/>
        <v>0.7</v>
      </c>
      <c r="AF244" s="177">
        <f t="shared" si="98"/>
        <v>0.47352769364005209</v>
      </c>
      <c r="AG244" s="817">
        <f t="shared" si="99"/>
        <v>-2</v>
      </c>
      <c r="AH244" s="176">
        <f t="shared" si="100"/>
        <v>4</v>
      </c>
      <c r="AI244" s="225">
        <f t="shared" si="101"/>
        <v>-1.5264723063599479</v>
      </c>
      <c r="AJ244" s="265" t="b">
        <f t="shared" si="102"/>
        <v>0</v>
      </c>
      <c r="AK244" s="265" t="b">
        <f t="shared" si="10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104"/>
        <v>43331</v>
      </c>
      <c r="B245" s="617">
        <v>34.491999999999997</v>
      </c>
      <c r="C245" s="390"/>
      <c r="D245" s="393">
        <f t="shared" si="81"/>
        <v>34.584290786710383</v>
      </c>
      <c r="E245" s="385">
        <f t="shared" si="107"/>
        <v>35.384293693834039</v>
      </c>
      <c r="F245" s="385">
        <f t="shared" si="106"/>
        <v>35.384293693834039</v>
      </c>
      <c r="G245" s="110">
        <f t="shared" si="108"/>
        <v>0.92380856369146525</v>
      </c>
      <c r="I245" s="380">
        <f t="shared" si="82"/>
        <v>35.384293693834039</v>
      </c>
      <c r="J245" s="85">
        <v>2018</v>
      </c>
      <c r="K245" s="197">
        <f t="shared" si="83"/>
        <v>43331</v>
      </c>
      <c r="L245" s="438">
        <f t="shared" si="84"/>
        <v>2.6685753737025752E-3</v>
      </c>
      <c r="M245" s="861"/>
      <c r="N245" s="861"/>
      <c r="O245" s="324">
        <f t="shared" si="85"/>
        <v>2.260898335418967E-2</v>
      </c>
      <c r="P245" s="169">
        <f>(INDEX(Models!$BJ245:$BT245,,T245)*(1-R245)+INDEX(Models!$BJ245:$BT245,,T245+1)*R245-ERP_i)*Q245*Ramure*Pc/MaxiM</f>
        <v>0</v>
      </c>
      <c r="Q245" s="305">
        <f t="shared" si="86"/>
        <v>0.7</v>
      </c>
      <c r="R245" s="177">
        <f t="shared" si="87"/>
        <v>0.47458589768949144</v>
      </c>
      <c r="S245" s="817">
        <f t="shared" si="105"/>
        <v>-2</v>
      </c>
      <c r="T245" s="176">
        <f t="shared" si="88"/>
        <v>4</v>
      </c>
      <c r="U245" s="251">
        <f t="shared" si="89"/>
        <v>-1.5254141023105086</v>
      </c>
      <c r="V245" s="383">
        <f t="shared" si="90"/>
        <v>37.336739835115544</v>
      </c>
      <c r="W245" s="58"/>
      <c r="X245" s="157">
        <f t="shared" si="91"/>
        <v>43331</v>
      </c>
      <c r="Y245" s="385">
        <f t="shared" si="92"/>
        <v>34.491999999999997</v>
      </c>
      <c r="Z245" s="385">
        <f t="shared" si="93"/>
        <v>34.584290786710383</v>
      </c>
      <c r="AA245" s="386">
        <f t="shared" si="94"/>
        <v>35.384293693834039</v>
      </c>
      <c r="AB245" s="197">
        <f t="shared" si="95"/>
        <v>43331</v>
      </c>
      <c r="AC245" s="427">
        <f t="shared" si="96"/>
        <v>2.260898335418967E-2</v>
      </c>
      <c r="AD245" s="169">
        <f>(INDEX(Models!$BJ245:$BT245,,AH245)*(1-AF245)+INDEX(Models!$BJ245:$BT245,,AH245+1)*AF245-ERP_i)*AE245*Ramure*Pc/MaxiM</f>
        <v>0</v>
      </c>
      <c r="AE245" s="305">
        <f t="shared" si="97"/>
        <v>0.7</v>
      </c>
      <c r="AF245" s="177">
        <f t="shared" si="98"/>
        <v>0.47458589768949144</v>
      </c>
      <c r="AG245" s="817">
        <f t="shared" si="99"/>
        <v>-2</v>
      </c>
      <c r="AH245" s="176">
        <f t="shared" si="100"/>
        <v>4</v>
      </c>
      <c r="AI245" s="225">
        <f t="shared" si="101"/>
        <v>-1.5254141023105086</v>
      </c>
      <c r="AJ245" s="265" t="b">
        <f t="shared" si="102"/>
        <v>0</v>
      </c>
      <c r="AK245" s="265" t="b">
        <f t="shared" si="103"/>
        <v>0</v>
      </c>
      <c r="AL245" s="265"/>
      <c r="AM245" s="265"/>
      <c r="AN245" s="75"/>
    </row>
    <row r="246" spans="1:40" s="6" customFormat="1" ht="11.25" x14ac:dyDescent="0.2">
      <c r="A246" s="56">
        <f t="shared" si="104"/>
        <v>43332</v>
      </c>
      <c r="B246" s="617">
        <v>35.444000000000003</v>
      </c>
      <c r="C246" s="390"/>
      <c r="D246" s="393">
        <f t="shared" si="81"/>
        <v>35.539616476889343</v>
      </c>
      <c r="E246" s="385">
        <f t="shared" si="107"/>
        <v>36.367999421371763</v>
      </c>
      <c r="F246" s="385">
        <f t="shared" si="106"/>
        <v>36.367999421371763</v>
      </c>
      <c r="G246" s="110">
        <f t="shared" si="108"/>
        <v>0.95251563398868777</v>
      </c>
      <c r="I246" s="380">
        <f t="shared" si="82"/>
        <v>36.367999421371763</v>
      </c>
      <c r="J246" s="85">
        <v>2018</v>
      </c>
      <c r="K246" s="197">
        <f t="shared" si="83"/>
        <v>43332</v>
      </c>
      <c r="L246" s="438">
        <f t="shared" si="84"/>
        <v>2.6904194914855184E-3</v>
      </c>
      <c r="M246" s="861"/>
      <c r="N246" s="861"/>
      <c r="O246" s="324">
        <f t="shared" si="85"/>
        <v>2.277779799995314E-2</v>
      </c>
      <c r="P246" s="169">
        <f>(INDEX(Models!$BJ246:$BT246,,T246)*(1-R246)+INDEX(Models!$BJ246:$BT246,,T246+1)*R246-ERP_i)*Q246*Ramure*Pc/MaxiM</f>
        <v>0</v>
      </c>
      <c r="Q246" s="305">
        <f t="shared" si="86"/>
        <v>0.7</v>
      </c>
      <c r="R246" s="177">
        <f t="shared" si="87"/>
        <v>0.4756059567587767</v>
      </c>
      <c r="S246" s="817">
        <f t="shared" si="105"/>
        <v>-2</v>
      </c>
      <c r="T246" s="176">
        <f t="shared" si="88"/>
        <v>4</v>
      </c>
      <c r="U246" s="251">
        <f t="shared" si="89"/>
        <v>-1.5243940432412233</v>
      </c>
      <c r="V246" s="383">
        <f t="shared" si="90"/>
        <v>37.210937789626811</v>
      </c>
      <c r="W246" s="58"/>
      <c r="X246" s="157">
        <f t="shared" si="91"/>
        <v>43332</v>
      </c>
      <c r="Y246" s="385">
        <f t="shared" si="92"/>
        <v>35.444000000000003</v>
      </c>
      <c r="Z246" s="385">
        <f t="shared" si="93"/>
        <v>35.539616476889343</v>
      </c>
      <c r="AA246" s="386">
        <f t="shared" si="94"/>
        <v>36.367999421371763</v>
      </c>
      <c r="AB246" s="197">
        <f t="shared" si="95"/>
        <v>43332</v>
      </c>
      <c r="AC246" s="427">
        <f t="shared" si="96"/>
        <v>2.277779799995314E-2</v>
      </c>
      <c r="AD246" s="169">
        <f>(INDEX(Models!$BJ246:$BT246,,AH246)*(1-AF246)+INDEX(Models!$BJ246:$BT246,,AH246+1)*AF246-ERP_i)*AE246*Ramure*Pc/MaxiM</f>
        <v>0</v>
      </c>
      <c r="AE246" s="305">
        <f t="shared" si="97"/>
        <v>0.7</v>
      </c>
      <c r="AF246" s="177">
        <f t="shared" si="98"/>
        <v>0.4756059567587767</v>
      </c>
      <c r="AG246" s="817">
        <f t="shared" si="99"/>
        <v>-2</v>
      </c>
      <c r="AH246" s="176">
        <f t="shared" si="100"/>
        <v>4</v>
      </c>
      <c r="AI246" s="225">
        <f t="shared" si="101"/>
        <v>-1.5243940432412233</v>
      </c>
      <c r="AJ246" s="265" t="b">
        <f t="shared" si="102"/>
        <v>0</v>
      </c>
      <c r="AK246" s="265" t="b">
        <f t="shared" si="10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104"/>
        <v>43333</v>
      </c>
      <c r="B247" s="617">
        <v>34.524999999999999</v>
      </c>
      <c r="C247" s="390"/>
      <c r="D247" s="393">
        <f t="shared" si="81"/>
        <v>34.618895554041153</v>
      </c>
      <c r="E247" s="385">
        <f t="shared" si="107"/>
        <v>35.43192681559259</v>
      </c>
      <c r="F247" s="385">
        <f t="shared" si="106"/>
        <v>35.43192681559259</v>
      </c>
      <c r="G247" s="110">
        <f t="shared" si="108"/>
        <v>0.9309614589513262</v>
      </c>
      <c r="I247" s="380">
        <f t="shared" si="82"/>
        <v>35.43192681559259</v>
      </c>
      <c r="J247" s="85">
        <v>2018</v>
      </c>
      <c r="K247" s="197">
        <f t="shared" si="83"/>
        <v>43333</v>
      </c>
      <c r="L247" s="438">
        <f t="shared" si="84"/>
        <v>2.7122631308262868E-3</v>
      </c>
      <c r="M247" s="861"/>
      <c r="N247" s="861"/>
      <c r="O247" s="324">
        <f t="shared" si="85"/>
        <v>2.2946289818866043E-2</v>
      </c>
      <c r="P247" s="169">
        <f>(INDEX(Models!$BJ247:$BT247,,T247)*(1-R247)+INDEX(Models!$BJ247:$BT247,,T247+1)*R247-ERP_i)*Q247*Ramure*Pc/MaxiM</f>
        <v>0</v>
      </c>
      <c r="Q247" s="305">
        <f t="shared" si="86"/>
        <v>0.7</v>
      </c>
      <c r="R247" s="177">
        <f t="shared" si="87"/>
        <v>0.47658908124244093</v>
      </c>
      <c r="S247" s="817">
        <f t="shared" si="105"/>
        <v>-2</v>
      </c>
      <c r="T247" s="176">
        <f t="shared" si="88"/>
        <v>4</v>
      </c>
      <c r="U247" s="251">
        <f t="shared" si="89"/>
        <v>-1.5234109187575591</v>
      </c>
      <c r="V247" s="383">
        <f t="shared" si="90"/>
        <v>37.085316119198318</v>
      </c>
      <c r="W247" s="58"/>
      <c r="X247" s="157">
        <f t="shared" si="91"/>
        <v>43333</v>
      </c>
      <c r="Y247" s="385">
        <f t="shared" si="92"/>
        <v>34.524999999999999</v>
      </c>
      <c r="Z247" s="385">
        <f t="shared" si="93"/>
        <v>34.618895554041153</v>
      </c>
      <c r="AA247" s="386">
        <f t="shared" si="94"/>
        <v>35.43192681559259</v>
      </c>
      <c r="AB247" s="197">
        <f t="shared" si="95"/>
        <v>43333</v>
      </c>
      <c r="AC247" s="427">
        <f t="shared" si="96"/>
        <v>2.2946289818866043E-2</v>
      </c>
      <c r="AD247" s="169">
        <f>(INDEX(Models!$BJ247:$BT247,,AH247)*(1-AF247)+INDEX(Models!$BJ247:$BT247,,AH247+1)*AF247-ERP_i)*AE247*Ramure*Pc/MaxiM</f>
        <v>0</v>
      </c>
      <c r="AE247" s="305">
        <f t="shared" si="97"/>
        <v>0.7</v>
      </c>
      <c r="AF247" s="177">
        <f t="shared" si="98"/>
        <v>0.47658908124244093</v>
      </c>
      <c r="AG247" s="817">
        <f t="shared" si="99"/>
        <v>-2</v>
      </c>
      <c r="AH247" s="176">
        <f t="shared" si="100"/>
        <v>4</v>
      </c>
      <c r="AI247" s="225">
        <f t="shared" si="101"/>
        <v>-1.5234109187575591</v>
      </c>
      <c r="AJ247" s="265" t="b">
        <f t="shared" si="102"/>
        <v>0</v>
      </c>
      <c r="AK247" s="265" t="b">
        <f t="shared" si="10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104"/>
        <v>43334</v>
      </c>
      <c r="B248" s="617">
        <v>34.037999999999997</v>
      </c>
      <c r="C248" s="390"/>
      <c r="D248" s="393">
        <f t="shared" si="81"/>
        <v>34.131318653074587</v>
      </c>
      <c r="E248" s="385">
        <f t="shared" si="107"/>
        <v>34.938912568881619</v>
      </c>
      <c r="F248" s="385">
        <f t="shared" si="106"/>
        <v>34.938912568881619</v>
      </c>
      <c r="G248" s="110">
        <f t="shared" si="108"/>
        <v>0.92091739789373461</v>
      </c>
      <c r="I248" s="380">
        <f t="shared" si="82"/>
        <v>34.938912568881619</v>
      </c>
      <c r="J248" s="85">
        <v>2018</v>
      </c>
      <c r="K248" s="197">
        <f t="shared" si="83"/>
        <v>43334</v>
      </c>
      <c r="L248" s="438">
        <f t="shared" si="84"/>
        <v>2.7341062917352055E-3</v>
      </c>
      <c r="M248" s="861"/>
      <c r="N248" s="861"/>
      <c r="O248" s="324">
        <f t="shared" si="85"/>
        <v>2.3114454813522738E-2</v>
      </c>
      <c r="P248" s="169">
        <f>(INDEX(Models!$BJ248:$BT248,,T248)*(1-R248)+INDEX(Models!$BJ248:$BT248,,T248+1)*R248-ERP_i)*Q248*Ramure*Pc/MaxiM</f>
        <v>0</v>
      </c>
      <c r="Q248" s="305">
        <f t="shared" si="86"/>
        <v>0.7</v>
      </c>
      <c r="R248" s="177">
        <f t="shared" si="87"/>
        <v>0.47753645559405933</v>
      </c>
      <c r="S248" s="817">
        <f t="shared" si="105"/>
        <v>-2</v>
      </c>
      <c r="T248" s="176">
        <f t="shared" si="88"/>
        <v>4</v>
      </c>
      <c r="U248" s="251">
        <f t="shared" si="89"/>
        <v>-1.5224635444059407</v>
      </c>
      <c r="V248" s="383">
        <f t="shared" si="90"/>
        <v>36.960969656833072</v>
      </c>
      <c r="W248" s="58"/>
      <c r="X248" s="157">
        <f t="shared" si="91"/>
        <v>43334</v>
      </c>
      <c r="Y248" s="385">
        <f t="shared" si="92"/>
        <v>34.037999999999997</v>
      </c>
      <c r="Z248" s="385">
        <f t="shared" si="93"/>
        <v>34.131318653074587</v>
      </c>
      <c r="AA248" s="386">
        <f t="shared" si="94"/>
        <v>34.938912568881619</v>
      </c>
      <c r="AB248" s="197">
        <f t="shared" si="95"/>
        <v>43334</v>
      </c>
      <c r="AC248" s="427">
        <f t="shared" si="96"/>
        <v>2.3114454813522738E-2</v>
      </c>
      <c r="AD248" s="169">
        <f>(INDEX(Models!$BJ248:$BT248,,AH248)*(1-AF248)+INDEX(Models!$BJ248:$BT248,,AH248+1)*AF248-ERP_i)*AE248*Ramure*Pc/MaxiM</f>
        <v>0</v>
      </c>
      <c r="AE248" s="305">
        <f t="shared" si="97"/>
        <v>0.7</v>
      </c>
      <c r="AF248" s="177">
        <f t="shared" si="98"/>
        <v>0.47753645559405933</v>
      </c>
      <c r="AG248" s="817">
        <f t="shared" si="99"/>
        <v>-2</v>
      </c>
      <c r="AH248" s="176">
        <f t="shared" si="100"/>
        <v>4</v>
      </c>
      <c r="AI248" s="225">
        <f t="shared" si="101"/>
        <v>-1.5224635444059407</v>
      </c>
      <c r="AJ248" s="265" t="b">
        <f t="shared" si="102"/>
        <v>0</v>
      </c>
      <c r="AK248" s="265" t="b">
        <f t="shared" si="10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104"/>
        <v>43335</v>
      </c>
      <c r="B249" s="617">
        <v>30.071999999999999</v>
      </c>
      <c r="C249" s="390"/>
      <c r="D249" s="393">
        <f t="shared" si="81"/>
        <v>30.155105933264359</v>
      </c>
      <c r="E249" s="385">
        <f t="shared" si="107"/>
        <v>30.873921489226319</v>
      </c>
      <c r="F249" s="385">
        <f t="shared" si="106"/>
        <v>30.873921489226319</v>
      </c>
      <c r="G249" s="110">
        <f t="shared" si="108"/>
        <v>0.81634940110315524</v>
      </c>
      <c r="I249" s="380">
        <f t="shared" si="82"/>
        <v>30.873921489226319</v>
      </c>
      <c r="J249" s="85">
        <v>2018</v>
      </c>
      <c r="K249" s="197">
        <f t="shared" si="83"/>
        <v>43335</v>
      </c>
      <c r="L249" s="438">
        <f t="shared" si="84"/>
        <v>2.7559489742228216E-3</v>
      </c>
      <c r="M249" s="861"/>
      <c r="N249" s="861"/>
      <c r="O249" s="324">
        <f t="shared" si="85"/>
        <v>2.3282288782550589E-2</v>
      </c>
      <c r="P249" s="169">
        <f>(INDEX(Models!$BJ249:$BT249,,T249)*(1-R249)+INDEX(Models!$BJ249:$BT249,,T249+1)*R249-ERP_i)*Q249*Ramure*Pc/MaxiM</f>
        <v>0</v>
      </c>
      <c r="Q249" s="305">
        <f t="shared" si="86"/>
        <v>0.7</v>
      </c>
      <c r="R249" s="177">
        <f t="shared" si="87"/>
        <v>0.47844923787844551</v>
      </c>
      <c r="S249" s="817">
        <f t="shared" si="105"/>
        <v>-2</v>
      </c>
      <c r="T249" s="176">
        <f t="shared" si="88"/>
        <v>4</v>
      </c>
      <c r="U249" s="251">
        <f t="shared" si="89"/>
        <v>-1.5215507621215545</v>
      </c>
      <c r="V249" s="383">
        <f t="shared" si="90"/>
        <v>36.83716795695922</v>
      </c>
      <c r="W249" s="58"/>
      <c r="X249" s="157">
        <f t="shared" si="91"/>
        <v>43335</v>
      </c>
      <c r="Y249" s="385">
        <f t="shared" si="92"/>
        <v>30.071999999999999</v>
      </c>
      <c r="Z249" s="385">
        <f t="shared" si="93"/>
        <v>30.155105933264359</v>
      </c>
      <c r="AA249" s="386">
        <f t="shared" si="94"/>
        <v>30.873921489226319</v>
      </c>
      <c r="AB249" s="197">
        <f t="shared" si="95"/>
        <v>43335</v>
      </c>
      <c r="AC249" s="427">
        <f t="shared" si="96"/>
        <v>2.3282288782550589E-2</v>
      </c>
      <c r="AD249" s="169">
        <f>(INDEX(Models!$BJ249:$BT249,,AH249)*(1-AF249)+INDEX(Models!$BJ249:$BT249,,AH249+1)*AF249-ERP_i)*AE249*Ramure*Pc/MaxiM</f>
        <v>0</v>
      </c>
      <c r="AE249" s="305">
        <f t="shared" si="97"/>
        <v>0.7</v>
      </c>
      <c r="AF249" s="177">
        <f t="shared" si="98"/>
        <v>0.47844923787844551</v>
      </c>
      <c r="AG249" s="817">
        <f t="shared" si="99"/>
        <v>-2</v>
      </c>
      <c r="AH249" s="176">
        <f t="shared" si="100"/>
        <v>4</v>
      </c>
      <c r="AI249" s="225">
        <f t="shared" si="101"/>
        <v>-1.5215507621215545</v>
      </c>
      <c r="AJ249" s="265" t="b">
        <f t="shared" si="102"/>
        <v>0</v>
      </c>
      <c r="AK249" s="265" t="b">
        <f t="shared" si="103"/>
        <v>0</v>
      </c>
      <c r="AL249" s="265"/>
      <c r="AM249" s="265"/>
      <c r="AN249" s="75"/>
    </row>
    <row r="250" spans="1:40" s="6" customFormat="1" ht="11.25" x14ac:dyDescent="0.2">
      <c r="A250" s="56">
        <f t="shared" si="104"/>
        <v>43336</v>
      </c>
      <c r="B250" s="617">
        <v>26.347999999999999</v>
      </c>
      <c r="C250" s="390"/>
      <c r="D250" s="393">
        <f t="shared" si="81"/>
        <v>26.421393112706863</v>
      </c>
      <c r="E250" s="385">
        <f t="shared" si="107"/>
        <v>27.055846970004996</v>
      </c>
      <c r="F250" s="385">
        <f t="shared" si="106"/>
        <v>27.055846970004996</v>
      </c>
      <c r="G250" s="110">
        <f t="shared" si="108"/>
        <v>0.71767139693045023</v>
      </c>
      <c r="I250" s="380">
        <f t="shared" si="82"/>
        <v>27.055846970004996</v>
      </c>
      <c r="J250" s="85">
        <v>2018</v>
      </c>
      <c r="K250" s="197">
        <f t="shared" si="83"/>
        <v>43336</v>
      </c>
      <c r="L250" s="438">
        <f t="shared" si="84"/>
        <v>2.7777911782996823E-3</v>
      </c>
      <c r="M250" s="861"/>
      <c r="N250" s="861"/>
      <c r="O250" s="324">
        <f t="shared" si="85"/>
        <v>2.3449787323291352E-2</v>
      </c>
      <c r="P250" s="169">
        <f>(INDEX(Models!$BJ250:$BT250,,T250)*(1-R250)+INDEX(Models!$BJ250:$BT250,,T250+1)*R250-ERP_i)*Q250*Ramure*Pc/MaxiM</f>
        <v>0</v>
      </c>
      <c r="Q250" s="305">
        <f t="shared" si="86"/>
        <v>0.7</v>
      </c>
      <c r="R250" s="177">
        <f t="shared" si="87"/>
        <v>0.47932855942810981</v>
      </c>
      <c r="S250" s="817">
        <f t="shared" si="105"/>
        <v>-2</v>
      </c>
      <c r="T250" s="176">
        <f t="shared" si="88"/>
        <v>4</v>
      </c>
      <c r="U250" s="251">
        <f t="shared" si="89"/>
        <v>-1.5206714405718902</v>
      </c>
      <c r="V250" s="383">
        <f t="shared" si="90"/>
        <v>36.713181147657458</v>
      </c>
      <c r="W250" s="58"/>
      <c r="X250" s="157">
        <f t="shared" si="91"/>
        <v>43336</v>
      </c>
      <c r="Y250" s="385">
        <f t="shared" si="92"/>
        <v>26.347999999999999</v>
      </c>
      <c r="Z250" s="385">
        <f t="shared" si="93"/>
        <v>26.421393112706863</v>
      </c>
      <c r="AA250" s="386">
        <f t="shared" si="94"/>
        <v>27.055846970004996</v>
      </c>
      <c r="AB250" s="197">
        <f t="shared" si="95"/>
        <v>43336</v>
      </c>
      <c r="AC250" s="427">
        <f t="shared" si="96"/>
        <v>2.3449787323291352E-2</v>
      </c>
      <c r="AD250" s="169">
        <f>(INDEX(Models!$BJ250:$BT250,,AH250)*(1-AF250)+INDEX(Models!$BJ250:$BT250,,AH250+1)*AF250-ERP_i)*AE250*Ramure*Pc/MaxiM</f>
        <v>0</v>
      </c>
      <c r="AE250" s="305">
        <f t="shared" si="97"/>
        <v>0.7</v>
      </c>
      <c r="AF250" s="177">
        <f t="shared" si="98"/>
        <v>0.47932855942810981</v>
      </c>
      <c r="AG250" s="817">
        <f t="shared" si="99"/>
        <v>-2</v>
      </c>
      <c r="AH250" s="176">
        <f t="shared" si="100"/>
        <v>4</v>
      </c>
      <c r="AI250" s="225">
        <f t="shared" si="101"/>
        <v>-1.5206714405718902</v>
      </c>
      <c r="AJ250" s="265" t="b">
        <f t="shared" si="102"/>
        <v>0</v>
      </c>
      <c r="AK250" s="265" t="b">
        <f t="shared" si="103"/>
        <v>0</v>
      </c>
      <c r="AL250" s="265"/>
      <c r="AM250" s="265"/>
      <c r="AN250" s="75"/>
    </row>
    <row r="251" spans="1:40" s="6" customFormat="1" ht="11.25" x14ac:dyDescent="0.2">
      <c r="A251" s="56">
        <f t="shared" si="104"/>
        <v>43337</v>
      </c>
      <c r="B251" s="617">
        <v>4.3140000000000001</v>
      </c>
      <c r="C251" s="390"/>
      <c r="D251" s="393">
        <f t="shared" si="81"/>
        <v>4.3261115241693355</v>
      </c>
      <c r="E251" s="385">
        <f t="shared" si="107"/>
        <v>4.430752362715797</v>
      </c>
      <c r="F251" s="385">
        <f t="shared" si="106"/>
        <v>4.430752362715797</v>
      </c>
      <c r="G251" s="110">
        <f t="shared" si="108"/>
        <v>0.11790660858368464</v>
      </c>
      <c r="I251" s="380">
        <f t="shared" si="82"/>
        <v>4.430752362715797</v>
      </c>
      <c r="J251" s="85">
        <v>2018</v>
      </c>
      <c r="K251" s="197">
        <f t="shared" si="83"/>
        <v>43337</v>
      </c>
      <c r="L251" s="438">
        <f t="shared" si="84"/>
        <v>2.7996329039762236E-3</v>
      </c>
      <c r="M251" s="861"/>
      <c r="N251" s="861"/>
      <c r="O251" s="324">
        <f t="shared" si="85"/>
        <v>2.3616945832270024E-2</v>
      </c>
      <c r="P251" s="169">
        <f>(INDEX(Models!$BJ251:$BT251,,T251)*(1-R251)+INDEX(Models!$BJ251:$BT251,,T251+1)*R251-ERP_i)*Q251*Ramure*Pc/MaxiM</f>
        <v>0</v>
      </c>
      <c r="Q251" s="305">
        <f t="shared" si="86"/>
        <v>0.7</v>
      </c>
      <c r="R251" s="177">
        <f t="shared" si="87"/>
        <v>0.48017552459607438</v>
      </c>
      <c r="S251" s="817">
        <f t="shared" si="105"/>
        <v>-2</v>
      </c>
      <c r="T251" s="176">
        <f t="shared" si="88"/>
        <v>4</v>
      </c>
      <c r="U251" s="251">
        <f t="shared" si="89"/>
        <v>-1.5198244754039256</v>
      </c>
      <c r="V251" s="383">
        <f t="shared" si="90"/>
        <v>36.5882799261258</v>
      </c>
      <c r="W251" s="58"/>
      <c r="X251" s="157">
        <f t="shared" si="91"/>
        <v>43337</v>
      </c>
      <c r="Y251" s="385">
        <f t="shared" si="92"/>
        <v>4.3140000000000001</v>
      </c>
      <c r="Z251" s="385">
        <f t="shared" si="93"/>
        <v>4.3261115241693355</v>
      </c>
      <c r="AA251" s="386">
        <f t="shared" si="94"/>
        <v>4.430752362715797</v>
      </c>
      <c r="AB251" s="197">
        <f t="shared" si="95"/>
        <v>43337</v>
      </c>
      <c r="AC251" s="427">
        <f t="shared" si="96"/>
        <v>2.3616945832270024E-2</v>
      </c>
      <c r="AD251" s="169">
        <f>(INDEX(Models!$BJ251:$BT251,,AH251)*(1-AF251)+INDEX(Models!$BJ251:$BT251,,AH251+1)*AF251-ERP_i)*AE251*Ramure*Pc/MaxiM</f>
        <v>0</v>
      </c>
      <c r="AE251" s="305">
        <f t="shared" si="97"/>
        <v>0.7</v>
      </c>
      <c r="AF251" s="177">
        <f t="shared" si="98"/>
        <v>0.48017552459607438</v>
      </c>
      <c r="AG251" s="817">
        <f t="shared" si="99"/>
        <v>-2</v>
      </c>
      <c r="AH251" s="176">
        <f t="shared" si="100"/>
        <v>4</v>
      </c>
      <c r="AI251" s="225">
        <f t="shared" si="101"/>
        <v>-1.5198244754039256</v>
      </c>
      <c r="AJ251" s="265" t="b">
        <f t="shared" si="102"/>
        <v>0</v>
      </c>
      <c r="AK251" s="265" t="b">
        <f t="shared" si="10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104"/>
        <v>43338</v>
      </c>
      <c r="B252" s="617">
        <v>35.313000000000002</v>
      </c>
      <c r="C252" s="390"/>
      <c r="D252" s="393">
        <f t="shared" si="81"/>
        <v>35.412916628889242</v>
      </c>
      <c r="E252" s="385">
        <f t="shared" si="107"/>
        <v>36.275688889250901</v>
      </c>
      <c r="F252" s="385">
        <f t="shared" si="106"/>
        <v>36.275688889250901</v>
      </c>
      <c r="G252" s="110">
        <f t="shared" si="108"/>
        <v>0.96849476470626761</v>
      </c>
      <c r="I252" s="380">
        <f t="shared" si="82"/>
        <v>36.275688889250901</v>
      </c>
      <c r="J252" s="85">
        <v>2018</v>
      </c>
      <c r="K252" s="197">
        <f t="shared" si="83"/>
        <v>43338</v>
      </c>
      <c r="L252" s="438">
        <f t="shared" si="84"/>
        <v>2.8214741512629926E-3</v>
      </c>
      <c r="M252" s="861"/>
      <c r="N252" s="861"/>
      <c r="O252" s="324">
        <f t="shared" si="85"/>
        <v>2.3783759503387788E-2</v>
      </c>
      <c r="P252" s="169">
        <f>(INDEX(Models!$BJ252:$BT252,,T252)*(1-R252)+INDEX(Models!$BJ252:$BT252,,T252+1)*R252-ERP_i)*Q252*Ramure*Pc/MaxiM</f>
        <v>0</v>
      </c>
      <c r="Q252" s="305">
        <f t="shared" si="86"/>
        <v>0.7</v>
      </c>
      <c r="R252" s="177">
        <f t="shared" si="87"/>
        <v>0.48099121059747807</v>
      </c>
      <c r="S252" s="817">
        <f t="shared" si="105"/>
        <v>-2</v>
      </c>
      <c r="T252" s="176">
        <f t="shared" si="88"/>
        <v>4</v>
      </c>
      <c r="U252" s="251">
        <f t="shared" si="89"/>
        <v>-1.5190087894025219</v>
      </c>
      <c r="V252" s="383">
        <f t="shared" si="90"/>
        <v>36.46173555797175</v>
      </c>
      <c r="W252" s="58"/>
      <c r="X252" s="157">
        <f t="shared" si="91"/>
        <v>43338</v>
      </c>
      <c r="Y252" s="385">
        <f t="shared" si="92"/>
        <v>35.313000000000002</v>
      </c>
      <c r="Z252" s="385">
        <f t="shared" si="93"/>
        <v>35.412916628889242</v>
      </c>
      <c r="AA252" s="386">
        <f t="shared" si="94"/>
        <v>36.275688889250901</v>
      </c>
      <c r="AB252" s="197">
        <f t="shared" si="95"/>
        <v>43338</v>
      </c>
      <c r="AC252" s="427">
        <f t="shared" si="96"/>
        <v>2.3783759503387788E-2</v>
      </c>
      <c r="AD252" s="169">
        <f>(INDEX(Models!$BJ252:$BT252,,AH252)*(1-AF252)+INDEX(Models!$BJ252:$BT252,,AH252+1)*AF252-ERP_i)*AE252*Ramure*Pc/MaxiM</f>
        <v>0</v>
      </c>
      <c r="AE252" s="305">
        <f t="shared" si="97"/>
        <v>0.7</v>
      </c>
      <c r="AF252" s="177">
        <f t="shared" si="98"/>
        <v>0.48099121059747807</v>
      </c>
      <c r="AG252" s="817">
        <f t="shared" si="99"/>
        <v>-2</v>
      </c>
      <c r="AH252" s="176">
        <f t="shared" si="100"/>
        <v>4</v>
      </c>
      <c r="AI252" s="225">
        <f t="shared" si="101"/>
        <v>-1.5190087894025219</v>
      </c>
      <c r="AJ252" s="265" t="b">
        <f t="shared" si="102"/>
        <v>0</v>
      </c>
      <c r="AK252" s="265" t="b">
        <f t="shared" si="10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104"/>
        <v>43339</v>
      </c>
      <c r="B253" s="617">
        <v>26.745999999999999</v>
      </c>
      <c r="C253" s="390"/>
      <c r="D253" s="393">
        <f t="shared" si="81"/>
        <v>26.822264143832903</v>
      </c>
      <c r="E253" s="385">
        <f t="shared" si="107"/>
        <v>27.48042649543239</v>
      </c>
      <c r="F253" s="385">
        <f t="shared" si="106"/>
        <v>27.48042649543239</v>
      </c>
      <c r="G253" s="110">
        <f t="shared" si="108"/>
        <v>0.73613884347467684</v>
      </c>
      <c r="I253" s="380">
        <f t="shared" si="82"/>
        <v>27.48042649543239</v>
      </c>
      <c r="J253" s="85">
        <v>2018</v>
      </c>
      <c r="K253" s="197">
        <f t="shared" si="83"/>
        <v>43339</v>
      </c>
      <c r="L253" s="438">
        <f t="shared" si="84"/>
        <v>2.8433149201702035E-3</v>
      </c>
      <c r="M253" s="861"/>
      <c r="N253" s="861"/>
      <c r="O253" s="324">
        <f t="shared" si="85"/>
        <v>2.3950223323822253E-2</v>
      </c>
      <c r="P253" s="169">
        <f>(INDEX(Models!$BJ253:$BT253,,T253)*(1-R253)+INDEX(Models!$BJ253:$BT253,,T253+1)*R253-ERP_i)*Q253*Ramure*Pc/MaxiM</f>
        <v>0</v>
      </c>
      <c r="Q253" s="305">
        <f t="shared" si="86"/>
        <v>0.7</v>
      </c>
      <c r="R253" s="177">
        <f t="shared" si="87"/>
        <v>0.48177666743272529</v>
      </c>
      <c r="S253" s="817">
        <f t="shared" si="105"/>
        <v>-2</v>
      </c>
      <c r="T253" s="176">
        <f t="shared" si="88"/>
        <v>4</v>
      </c>
      <c r="U253" s="251">
        <f t="shared" si="89"/>
        <v>-1.5182233325672747</v>
      </c>
      <c r="V253" s="383">
        <f t="shared" si="90"/>
        <v>36.332819870984103</v>
      </c>
      <c r="W253" s="58"/>
      <c r="X253" s="157">
        <f t="shared" si="91"/>
        <v>43339</v>
      </c>
      <c r="Y253" s="385">
        <f t="shared" si="92"/>
        <v>26.745999999999999</v>
      </c>
      <c r="Z253" s="385">
        <f t="shared" si="93"/>
        <v>26.822264143832903</v>
      </c>
      <c r="AA253" s="386">
        <f t="shared" si="94"/>
        <v>27.48042649543239</v>
      </c>
      <c r="AB253" s="197">
        <f t="shared" si="95"/>
        <v>43339</v>
      </c>
      <c r="AC253" s="427">
        <f t="shared" si="96"/>
        <v>2.3950223323822253E-2</v>
      </c>
      <c r="AD253" s="169">
        <f>(INDEX(Models!$BJ253:$BT253,,AH253)*(1-AF253)+INDEX(Models!$BJ253:$BT253,,AH253+1)*AF253-ERP_i)*AE253*Ramure*Pc/MaxiM</f>
        <v>0</v>
      </c>
      <c r="AE253" s="305">
        <f t="shared" si="97"/>
        <v>0.7</v>
      </c>
      <c r="AF253" s="177">
        <f t="shared" si="98"/>
        <v>0.48177666743272529</v>
      </c>
      <c r="AG253" s="817">
        <f t="shared" si="99"/>
        <v>-2</v>
      </c>
      <c r="AH253" s="176">
        <f t="shared" si="100"/>
        <v>4</v>
      </c>
      <c r="AI253" s="225">
        <f t="shared" si="101"/>
        <v>-1.5182233325672747</v>
      </c>
      <c r="AJ253" s="265" t="b">
        <f t="shared" si="102"/>
        <v>0</v>
      </c>
      <c r="AK253" s="265" t="b">
        <f t="shared" si="103"/>
        <v>0</v>
      </c>
      <c r="AL253" s="265"/>
      <c r="AM253" s="265"/>
      <c r="AN253" s="75"/>
    </row>
    <row r="254" spans="1:40" s="6" customFormat="1" ht="11.25" x14ac:dyDescent="0.2">
      <c r="A254" s="56">
        <f t="shared" si="104"/>
        <v>43340</v>
      </c>
      <c r="B254" s="617">
        <v>27.812999999999999</v>
      </c>
      <c r="C254" s="390"/>
      <c r="D254" s="393">
        <f t="shared" si="81"/>
        <v>27.892917538025941</v>
      </c>
      <c r="E254" s="385">
        <f t="shared" si="107"/>
        <v>28.582215744141312</v>
      </c>
      <c r="F254" s="385">
        <f t="shared" si="106"/>
        <v>28.582215744141312</v>
      </c>
      <c r="G254" s="110">
        <f t="shared" si="108"/>
        <v>0.768297826583627</v>
      </c>
      <c r="I254" s="380">
        <f t="shared" si="82"/>
        <v>28.582215744141312</v>
      </c>
      <c r="J254" s="85">
        <v>2018</v>
      </c>
      <c r="K254" s="197">
        <f t="shared" si="83"/>
        <v>43340</v>
      </c>
      <c r="L254" s="438">
        <f t="shared" si="84"/>
        <v>2.8651552107086253E-3</v>
      </c>
      <c r="M254" s="861"/>
      <c r="N254" s="861"/>
      <c r="O254" s="324">
        <f t="shared" si="85"/>
        <v>2.4116332067665586E-2</v>
      </c>
      <c r="P254" s="169">
        <f>(INDEX(Models!$BJ254:$BT254,,T254)*(1-R254)+INDEX(Models!$BJ254:$BT254,,T254+1)*R254-ERP_i)*Q254*Ramure*Pc/MaxiM</f>
        <v>0</v>
      </c>
      <c r="Q254" s="305">
        <f t="shared" si="86"/>
        <v>0.7</v>
      </c>
      <c r="R254" s="177">
        <f t="shared" si="87"/>
        <v>0.48253291788528507</v>
      </c>
      <c r="S254" s="817">
        <f t="shared" si="105"/>
        <v>-2</v>
      </c>
      <c r="T254" s="176">
        <f t="shared" si="88"/>
        <v>4</v>
      </c>
      <c r="U254" s="251">
        <f t="shared" si="89"/>
        <v>-1.5174670821147149</v>
      </c>
      <c r="V254" s="383">
        <f t="shared" si="90"/>
        <v>36.200805257611428</v>
      </c>
      <c r="W254" s="58"/>
      <c r="X254" s="157">
        <f t="shared" si="91"/>
        <v>43340</v>
      </c>
      <c r="Y254" s="385">
        <f t="shared" si="92"/>
        <v>27.812999999999999</v>
      </c>
      <c r="Z254" s="385">
        <f t="shared" si="93"/>
        <v>27.892917538025941</v>
      </c>
      <c r="AA254" s="386">
        <f t="shared" si="94"/>
        <v>28.582215744141312</v>
      </c>
      <c r="AB254" s="197">
        <f t="shared" si="95"/>
        <v>43340</v>
      </c>
      <c r="AC254" s="427">
        <f t="shared" si="96"/>
        <v>2.4116332067665586E-2</v>
      </c>
      <c r="AD254" s="169">
        <f>(INDEX(Models!$BJ254:$BT254,,AH254)*(1-AF254)+INDEX(Models!$BJ254:$BT254,,AH254+1)*AF254-ERP_i)*AE254*Ramure*Pc/MaxiM</f>
        <v>0</v>
      </c>
      <c r="AE254" s="305">
        <f t="shared" si="97"/>
        <v>0.7</v>
      </c>
      <c r="AF254" s="177">
        <f t="shared" si="98"/>
        <v>0.48253291788528507</v>
      </c>
      <c r="AG254" s="817">
        <f t="shared" si="99"/>
        <v>-2</v>
      </c>
      <c r="AH254" s="176">
        <f t="shared" si="100"/>
        <v>4</v>
      </c>
      <c r="AI254" s="225">
        <f t="shared" si="101"/>
        <v>-1.5174670821147149</v>
      </c>
      <c r="AJ254" s="265" t="b">
        <f t="shared" si="102"/>
        <v>0</v>
      </c>
      <c r="AK254" s="265" t="b">
        <f t="shared" si="103"/>
        <v>0</v>
      </c>
      <c r="AL254" s="265"/>
      <c r="AM254" s="265"/>
      <c r="AN254" s="75"/>
    </row>
    <row r="255" spans="1:40" s="6" customFormat="1" ht="11.25" x14ac:dyDescent="0.2">
      <c r="A255" s="56">
        <f t="shared" si="104"/>
        <v>43341</v>
      </c>
      <c r="B255" s="617">
        <v>23.361999999999998</v>
      </c>
      <c r="C255" s="390"/>
      <c r="D255" s="393">
        <f t="shared" si="81"/>
        <v>23.429641257699043</v>
      </c>
      <c r="E255" s="385">
        <f t="shared" si="107"/>
        <v>24.01272005396784</v>
      </c>
      <c r="F255" s="385">
        <f t="shared" si="106"/>
        <v>24.01272005396784</v>
      </c>
      <c r="G255" s="110">
        <f t="shared" si="108"/>
        <v>0.64777548554308473</v>
      </c>
      <c r="I255" s="380">
        <f t="shared" si="82"/>
        <v>24.01272005396784</v>
      </c>
      <c r="J255" s="85">
        <v>2018</v>
      </c>
      <c r="K255" s="197">
        <f t="shared" si="83"/>
        <v>43341</v>
      </c>
      <c r="L255" s="438">
        <f t="shared" si="84"/>
        <v>2.8869950228886943E-3</v>
      </c>
      <c r="M255" s="861"/>
      <c r="N255" s="861"/>
      <c r="O255" s="324">
        <f t="shared" si="85"/>
        <v>2.4282080287378719E-2</v>
      </c>
      <c r="P255" s="169">
        <f>(INDEX(Models!$BJ255:$BT255,,T255)*(1-R255)+INDEX(Models!$BJ255:$BT255,,T255+1)*R255-ERP_i)*Q255*Ramure*Pc/MaxiM</f>
        <v>0</v>
      </c>
      <c r="Q255" s="305">
        <f t="shared" si="86"/>
        <v>0.7</v>
      </c>
      <c r="R255" s="177">
        <f t="shared" si="87"/>
        <v>0.4832609575875797</v>
      </c>
      <c r="S255" s="817">
        <f t="shared" si="105"/>
        <v>-2</v>
      </c>
      <c r="T255" s="176">
        <f t="shared" si="88"/>
        <v>4</v>
      </c>
      <c r="U255" s="251">
        <f t="shared" si="89"/>
        <v>-1.5167390424124203</v>
      </c>
      <c r="V255" s="383">
        <f t="shared" si="90"/>
        <v>36.064964669685928</v>
      </c>
      <c r="W255" s="58"/>
      <c r="X255" s="157">
        <f t="shared" si="91"/>
        <v>43341</v>
      </c>
      <c r="Y255" s="385">
        <f t="shared" si="92"/>
        <v>23.361999999999998</v>
      </c>
      <c r="Z255" s="385">
        <f t="shared" si="93"/>
        <v>23.429641257699043</v>
      </c>
      <c r="AA255" s="386">
        <f t="shared" si="94"/>
        <v>24.01272005396784</v>
      </c>
      <c r="AB255" s="197">
        <f t="shared" si="95"/>
        <v>43341</v>
      </c>
      <c r="AC255" s="427">
        <f t="shared" si="96"/>
        <v>2.4282080287378719E-2</v>
      </c>
      <c r="AD255" s="169">
        <f>(INDEX(Models!$BJ255:$BT255,,AH255)*(1-AF255)+INDEX(Models!$BJ255:$BT255,,AH255+1)*AF255-ERP_i)*AE255*Ramure*Pc/MaxiM</f>
        <v>0</v>
      </c>
      <c r="AE255" s="305">
        <f t="shared" si="97"/>
        <v>0.7</v>
      </c>
      <c r="AF255" s="177">
        <f t="shared" si="98"/>
        <v>0.4832609575875797</v>
      </c>
      <c r="AG255" s="817">
        <f t="shared" si="99"/>
        <v>-2</v>
      </c>
      <c r="AH255" s="176">
        <f t="shared" si="100"/>
        <v>4</v>
      </c>
      <c r="AI255" s="225">
        <f t="shared" si="101"/>
        <v>-1.5167390424124203</v>
      </c>
      <c r="AJ255" s="265" t="b">
        <f t="shared" si="102"/>
        <v>0</v>
      </c>
      <c r="AK255" s="265" t="b">
        <f t="shared" si="10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104"/>
        <v>43342</v>
      </c>
      <c r="B256" s="617">
        <v>29.515999999999998</v>
      </c>
      <c r="C256" s="390"/>
      <c r="D256" s="393">
        <f t="shared" si="81"/>
        <v>29.602107627698793</v>
      </c>
      <c r="E256" s="385">
        <f t="shared" si="107"/>
        <v>30.343939955900893</v>
      </c>
      <c r="F256" s="385">
        <f t="shared" si="106"/>
        <v>30.343939955900893</v>
      </c>
      <c r="G256" s="110">
        <f t="shared" si="108"/>
        <v>0.82161035400769344</v>
      </c>
      <c r="I256" s="380">
        <f t="shared" si="82"/>
        <v>30.343939955900893</v>
      </c>
      <c r="J256" s="85">
        <v>2018</v>
      </c>
      <c r="K256" s="197">
        <f t="shared" si="83"/>
        <v>43342</v>
      </c>
      <c r="L256" s="438">
        <f t="shared" si="84"/>
        <v>2.9088343567207353E-3</v>
      </c>
      <c r="M256" s="861"/>
      <c r="N256" s="861"/>
      <c r="O256" s="324">
        <f t="shared" si="85"/>
        <v>2.4447462303188415E-2</v>
      </c>
      <c r="P256" s="169">
        <f>(INDEX(Models!$BJ256:$BT256,,T256)*(1-R256)+INDEX(Models!$BJ256:$BT256,,T256+1)*R256-ERP_i)*Q256*Ramure*Pc/MaxiM</f>
        <v>0</v>
      </c>
      <c r="Q256" s="305">
        <f t="shared" si="86"/>
        <v>0.7</v>
      </c>
      <c r="R256" s="177">
        <f t="shared" si="87"/>
        <v>0.4839617551487545</v>
      </c>
      <c r="S256" s="817">
        <f t="shared" si="105"/>
        <v>-2</v>
      </c>
      <c r="T256" s="176">
        <f t="shared" si="88"/>
        <v>4</v>
      </c>
      <c r="U256" s="251">
        <f t="shared" si="89"/>
        <v>-1.5160382448512455</v>
      </c>
      <c r="V256" s="383">
        <f t="shared" si="90"/>
        <v>35.924571612352899</v>
      </c>
      <c r="W256" s="58"/>
      <c r="X256" s="157">
        <f t="shared" si="91"/>
        <v>43342</v>
      </c>
      <c r="Y256" s="385">
        <f t="shared" si="92"/>
        <v>29.515999999999998</v>
      </c>
      <c r="Z256" s="385">
        <f t="shared" si="93"/>
        <v>29.602107627698793</v>
      </c>
      <c r="AA256" s="386">
        <f t="shared" si="94"/>
        <v>30.343939955900893</v>
      </c>
      <c r="AB256" s="197">
        <f t="shared" si="95"/>
        <v>43342</v>
      </c>
      <c r="AC256" s="427">
        <f t="shared" si="96"/>
        <v>2.4447462303188415E-2</v>
      </c>
      <c r="AD256" s="169">
        <f>(INDEX(Models!$BJ256:$BT256,,AH256)*(1-AF256)+INDEX(Models!$BJ256:$BT256,,AH256+1)*AF256-ERP_i)*AE256*Ramure*Pc/MaxiM</f>
        <v>0</v>
      </c>
      <c r="AE256" s="305">
        <f t="shared" si="97"/>
        <v>0.7</v>
      </c>
      <c r="AF256" s="177">
        <f t="shared" si="98"/>
        <v>0.4839617551487545</v>
      </c>
      <c r="AG256" s="817">
        <f t="shared" si="99"/>
        <v>-2</v>
      </c>
      <c r="AH256" s="176">
        <f t="shared" si="100"/>
        <v>4</v>
      </c>
      <c r="AI256" s="225">
        <f t="shared" si="101"/>
        <v>-1.5160382448512455</v>
      </c>
      <c r="AJ256" s="265" t="b">
        <f t="shared" si="102"/>
        <v>0</v>
      </c>
      <c r="AK256" s="265" t="b">
        <f t="shared" si="103"/>
        <v>0</v>
      </c>
      <c r="AL256" s="265"/>
      <c r="AM256" s="265"/>
      <c r="AN256" s="75"/>
    </row>
    <row r="257" spans="1:40" s="6" customFormat="1" ht="11.25" x14ac:dyDescent="0.2">
      <c r="A257" s="56">
        <f t="shared" si="104"/>
        <v>43343</v>
      </c>
      <c r="B257" s="617">
        <v>29.366</v>
      </c>
      <c r="C257" s="390"/>
      <c r="D257" s="393">
        <f t="shared" si="81"/>
        <v>29.452315110933334</v>
      </c>
      <c r="E257" s="385">
        <f t="shared" si="107"/>
        <v>30.19550104057577</v>
      </c>
      <c r="F257" s="385">
        <f t="shared" si="106"/>
        <v>30.19550104057577</v>
      </c>
      <c r="G257" s="110">
        <f t="shared" si="108"/>
        <v>0.82076307204533838</v>
      </c>
      <c r="I257" s="380">
        <f t="shared" si="82"/>
        <v>30.19550104057577</v>
      </c>
      <c r="J257" s="85">
        <v>2018</v>
      </c>
      <c r="K257" s="197">
        <f t="shared" si="83"/>
        <v>43343</v>
      </c>
      <c r="L257" s="438">
        <f t="shared" si="84"/>
        <v>2.9306732122152956E-3</v>
      </c>
      <c r="M257" s="861"/>
      <c r="N257" s="861"/>
      <c r="O257" s="324">
        <f t="shared" si="85"/>
        <v>2.4612472190601073E-2</v>
      </c>
      <c r="P257" s="169">
        <f>(INDEX(Models!$BJ257:$BT257,,T257)*(1-R257)+INDEX(Models!$BJ257:$BT257,,T257+1)*R257-ERP_i)*Q257*Ramure*Pc/MaxiM</f>
        <v>0</v>
      </c>
      <c r="Q257" s="305">
        <f t="shared" si="86"/>
        <v>0.7</v>
      </c>
      <c r="R257" s="177">
        <f t="shared" si="87"/>
        <v>0.48463625233845464</v>
      </c>
      <c r="S257" s="817">
        <f t="shared" si="105"/>
        <v>-2</v>
      </c>
      <c r="T257" s="176">
        <f t="shared" si="88"/>
        <v>4</v>
      </c>
      <c r="U257" s="251">
        <f t="shared" si="89"/>
        <v>-1.5153637476615454</v>
      </c>
      <c r="V257" s="383">
        <f t="shared" si="90"/>
        <v>35.778900148151209</v>
      </c>
      <c r="W257" s="58"/>
      <c r="X257" s="157">
        <f t="shared" si="91"/>
        <v>43343</v>
      </c>
      <c r="Y257" s="385">
        <f t="shared" si="92"/>
        <v>29.366</v>
      </c>
      <c r="Z257" s="385">
        <f t="shared" si="93"/>
        <v>29.452315110933334</v>
      </c>
      <c r="AA257" s="386">
        <f t="shared" si="94"/>
        <v>30.19550104057577</v>
      </c>
      <c r="AB257" s="197">
        <f t="shared" si="95"/>
        <v>43343</v>
      </c>
      <c r="AC257" s="427">
        <f t="shared" si="96"/>
        <v>2.4612472190601073E-2</v>
      </c>
      <c r="AD257" s="169">
        <f>(INDEX(Models!$BJ257:$BT257,,AH257)*(1-AF257)+INDEX(Models!$BJ257:$BT257,,AH257+1)*AF257-ERP_i)*AE257*Ramure*Pc/MaxiM</f>
        <v>0</v>
      </c>
      <c r="AE257" s="305">
        <f t="shared" si="97"/>
        <v>0.7</v>
      </c>
      <c r="AF257" s="177">
        <f t="shared" si="98"/>
        <v>0.48463625233845464</v>
      </c>
      <c r="AG257" s="817">
        <f t="shared" si="99"/>
        <v>-2</v>
      </c>
      <c r="AH257" s="176">
        <f t="shared" si="100"/>
        <v>4</v>
      </c>
      <c r="AI257" s="225">
        <f t="shared" si="101"/>
        <v>-1.5153637476615454</v>
      </c>
      <c r="AJ257" s="265" t="b">
        <f t="shared" si="102"/>
        <v>0</v>
      </c>
      <c r="AK257" s="265" t="b">
        <f t="shared" si="10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104"/>
        <v>43344</v>
      </c>
      <c r="B258" s="617">
        <v>35.783000000000001</v>
      </c>
      <c r="C258" s="390"/>
      <c r="D258" s="393">
        <f t="shared" si="81"/>
        <v>35.888962577942308</v>
      </c>
      <c r="E258" s="385">
        <f t="shared" si="107"/>
        <v>36.800779305473014</v>
      </c>
      <c r="F258" s="385">
        <f t="shared" si="106"/>
        <v>36.800779305473014</v>
      </c>
      <c r="G258" s="110">
        <f t="shared" si="108"/>
        <v>1.004372361591735</v>
      </c>
      <c r="I258" s="380">
        <f t="shared" si="82"/>
        <v>36.800779305473014</v>
      </c>
      <c r="J258" s="85">
        <v>2018</v>
      </c>
      <c r="K258" s="197">
        <f t="shared" si="83"/>
        <v>43344</v>
      </c>
      <c r="L258" s="438">
        <f t="shared" si="84"/>
        <v>2.9525115893829224E-3</v>
      </c>
      <c r="M258" s="861"/>
      <c r="N258" s="861"/>
      <c r="O258" s="324">
        <f t="shared" si="85"/>
        <v>2.47771037662536E-2</v>
      </c>
      <c r="P258" s="169">
        <f>(INDEX(Models!$BJ258:$BT258,,T258)*(1-R258)+INDEX(Models!$BJ258:$BT258,,T258+1)*R258-ERP_i)*Q258*Ramure*Pc/MaxiM</f>
        <v>0</v>
      </c>
      <c r="Q258" s="305">
        <f t="shared" si="86"/>
        <v>0.7</v>
      </c>
      <c r="R258" s="177">
        <f t="shared" si="87"/>
        <v>0.48528536432107616</v>
      </c>
      <c r="S258" s="817">
        <f t="shared" si="105"/>
        <v>-2</v>
      </c>
      <c r="T258" s="176">
        <f t="shared" si="88"/>
        <v>4</v>
      </c>
      <c r="U258" s="251">
        <f t="shared" si="89"/>
        <v>-1.5147146356789238</v>
      </c>
      <c r="V258" s="383">
        <f t="shared" si="90"/>
        <v>35.62722489026968</v>
      </c>
      <c r="W258" s="58"/>
      <c r="X258" s="157">
        <f t="shared" si="91"/>
        <v>43344</v>
      </c>
      <c r="Y258" s="385">
        <f t="shared" si="92"/>
        <v>35.783000000000001</v>
      </c>
      <c r="Z258" s="385">
        <f t="shared" si="93"/>
        <v>35.888962577942308</v>
      </c>
      <c r="AA258" s="386">
        <f t="shared" si="94"/>
        <v>36.800779305473014</v>
      </c>
      <c r="AB258" s="197">
        <f t="shared" si="95"/>
        <v>43344</v>
      </c>
      <c r="AC258" s="427">
        <f t="shared" si="96"/>
        <v>2.47771037662536E-2</v>
      </c>
      <c r="AD258" s="169">
        <f>(INDEX(Models!$BJ258:$BT258,,AH258)*(1-AF258)+INDEX(Models!$BJ258:$BT258,,AH258+1)*AF258-ERP_i)*AE258*Ramure*Pc/MaxiM</f>
        <v>0</v>
      </c>
      <c r="AE258" s="305">
        <f t="shared" si="97"/>
        <v>0.7</v>
      </c>
      <c r="AF258" s="177">
        <f t="shared" si="98"/>
        <v>0.48528536432107616</v>
      </c>
      <c r="AG258" s="817">
        <f t="shared" si="99"/>
        <v>-2</v>
      </c>
      <c r="AH258" s="176">
        <f t="shared" si="100"/>
        <v>4</v>
      </c>
      <c r="AI258" s="225">
        <f t="shared" si="101"/>
        <v>-1.5147146356789238</v>
      </c>
      <c r="AJ258" s="265" t="b">
        <f t="shared" si="102"/>
        <v>0</v>
      </c>
      <c r="AK258" s="265" t="b">
        <f t="shared" si="103"/>
        <v>0</v>
      </c>
      <c r="AL258" s="265"/>
      <c r="AM258" s="265"/>
      <c r="AN258" s="75"/>
    </row>
    <row r="259" spans="1:40" s="6" customFormat="1" ht="11.25" x14ac:dyDescent="0.2">
      <c r="A259" s="56">
        <f t="shared" si="104"/>
        <v>43345</v>
      </c>
      <c r="B259" s="617">
        <v>33.802999999999997</v>
      </c>
      <c r="C259" s="390"/>
      <c r="D259" s="393">
        <f t="shared" si="81"/>
        <v>33.903841874729267</v>
      </c>
      <c r="E259" s="385">
        <f t="shared" si="107"/>
        <v>34.771079559810111</v>
      </c>
      <c r="F259" s="385">
        <f t="shared" si="106"/>
        <v>34.771079559810111</v>
      </c>
      <c r="G259" s="110">
        <f t="shared" si="108"/>
        <v>0.95303421566581259</v>
      </c>
      <c r="I259" s="380">
        <f t="shared" si="82"/>
        <v>34.771079559810111</v>
      </c>
      <c r="J259" s="85">
        <v>2018</v>
      </c>
      <c r="K259" s="197">
        <f t="shared" si="83"/>
        <v>43345</v>
      </c>
      <c r="L259" s="438">
        <f t="shared" si="84"/>
        <v>2.9743494882340515E-3</v>
      </c>
      <c r="M259" s="861"/>
      <c r="N259" s="861"/>
      <c r="O259" s="324">
        <f t="shared" si="85"/>
        <v>2.494135057236577E-2</v>
      </c>
      <c r="P259" s="169">
        <f>(INDEX(Models!$BJ259:$BT259,,T259)*(1-R259)+INDEX(Models!$BJ259:$BT259,,T259+1)*R259-ERP_i)*Q259*Ramure*Pc/MaxiM</f>
        <v>0</v>
      </c>
      <c r="Q259" s="305">
        <f t="shared" si="86"/>
        <v>0.7</v>
      </c>
      <c r="R259" s="177">
        <f t="shared" si="87"/>
        <v>0.48590997993528262</v>
      </c>
      <c r="S259" s="817">
        <f t="shared" si="105"/>
        <v>-2</v>
      </c>
      <c r="T259" s="176">
        <f t="shared" si="88"/>
        <v>4</v>
      </c>
      <c r="U259" s="251">
        <f t="shared" si="89"/>
        <v>-1.5140900200647174</v>
      </c>
      <c r="V259" s="383">
        <f t="shared" si="90"/>
        <v>35.468820997559263</v>
      </c>
      <c r="W259" s="58"/>
      <c r="X259" s="157">
        <f t="shared" si="91"/>
        <v>43345</v>
      </c>
      <c r="Y259" s="385">
        <f t="shared" si="92"/>
        <v>33.802999999999997</v>
      </c>
      <c r="Z259" s="385">
        <f t="shared" si="93"/>
        <v>33.903841874729267</v>
      </c>
      <c r="AA259" s="386">
        <f t="shared" si="94"/>
        <v>34.771079559810111</v>
      </c>
      <c r="AB259" s="197">
        <f t="shared" si="95"/>
        <v>43345</v>
      </c>
      <c r="AC259" s="427">
        <f t="shared" si="96"/>
        <v>2.494135057236577E-2</v>
      </c>
      <c r="AD259" s="169">
        <f>(INDEX(Models!$BJ259:$BT259,,AH259)*(1-AF259)+INDEX(Models!$BJ259:$BT259,,AH259+1)*AF259-ERP_i)*AE259*Ramure*Pc/MaxiM</f>
        <v>0</v>
      </c>
      <c r="AE259" s="305">
        <f t="shared" si="97"/>
        <v>0.7</v>
      </c>
      <c r="AF259" s="177">
        <f t="shared" si="98"/>
        <v>0.48590997993528262</v>
      </c>
      <c r="AG259" s="817">
        <f t="shared" si="99"/>
        <v>-2</v>
      </c>
      <c r="AH259" s="176">
        <f t="shared" si="100"/>
        <v>4</v>
      </c>
      <c r="AI259" s="225">
        <f t="shared" si="101"/>
        <v>-1.5140900200647174</v>
      </c>
      <c r="AJ259" s="265" t="b">
        <f t="shared" si="102"/>
        <v>0</v>
      </c>
      <c r="AK259" s="265" t="b">
        <f t="shared" si="103"/>
        <v>0</v>
      </c>
      <c r="AL259" s="265"/>
      <c r="AM259" s="265"/>
      <c r="AN259" s="75"/>
    </row>
    <row r="260" spans="1:40" s="6" customFormat="1" ht="11.25" x14ac:dyDescent="0.2">
      <c r="A260" s="56">
        <f t="shared" si="104"/>
        <v>43346</v>
      </c>
      <c r="B260" s="617">
        <v>34.161999999999999</v>
      </c>
      <c r="C260" s="390"/>
      <c r="D260" s="393">
        <f t="shared" si="81"/>
        <v>34.264663335720215</v>
      </c>
      <c r="E260" s="385">
        <f t="shared" si="107"/>
        <v>35.147036933303355</v>
      </c>
      <c r="F260" s="385">
        <f t="shared" si="106"/>
        <v>35.147036933303355</v>
      </c>
      <c r="G260" s="110">
        <f t="shared" si="108"/>
        <v>0.96768078248864886</v>
      </c>
      <c r="I260" s="380">
        <f t="shared" si="82"/>
        <v>35.147036933303355</v>
      </c>
      <c r="J260" s="85">
        <v>2018</v>
      </c>
      <c r="K260" s="197">
        <f t="shared" si="83"/>
        <v>43346</v>
      </c>
      <c r="L260" s="438">
        <f t="shared" si="84"/>
        <v>2.9961869087792303E-3</v>
      </c>
      <c r="M260" s="861"/>
      <c r="N260" s="861"/>
      <c r="O260" s="324">
        <f t="shared" si="85"/>
        <v>2.5105205860100645E-2</v>
      </c>
      <c r="P260" s="169">
        <f>(INDEX(Models!$BJ260:$BT260,,T260)*(1-R260)+INDEX(Models!$BJ260:$BT260,,T260+1)*R260-ERP_i)*Q260*Ramure*Pc/MaxiM</f>
        <v>0</v>
      </c>
      <c r="Q260" s="305">
        <f t="shared" si="86"/>
        <v>0.7</v>
      </c>
      <c r="R260" s="177">
        <f t="shared" si="87"/>
        <v>0.48651096201390809</v>
      </c>
      <c r="S260" s="817">
        <f t="shared" si="105"/>
        <v>-2</v>
      </c>
      <c r="T260" s="176">
        <f t="shared" si="88"/>
        <v>4</v>
      </c>
      <c r="U260" s="251">
        <f t="shared" si="89"/>
        <v>-1.5134890379860919</v>
      </c>
      <c r="V260" s="383">
        <f t="shared" si="90"/>
        <v>35.302964178066368</v>
      </c>
      <c r="W260" s="58"/>
      <c r="X260" s="157">
        <f t="shared" si="91"/>
        <v>43346</v>
      </c>
      <c r="Y260" s="385">
        <f t="shared" si="92"/>
        <v>34.161999999999999</v>
      </c>
      <c r="Z260" s="385">
        <f t="shared" si="93"/>
        <v>34.264663335720215</v>
      </c>
      <c r="AA260" s="386">
        <f t="shared" si="94"/>
        <v>35.147036933303355</v>
      </c>
      <c r="AB260" s="197">
        <f t="shared" si="95"/>
        <v>43346</v>
      </c>
      <c r="AC260" s="427">
        <f t="shared" si="96"/>
        <v>2.5105205860100645E-2</v>
      </c>
      <c r="AD260" s="169">
        <f>(INDEX(Models!$BJ260:$BT260,,AH260)*(1-AF260)+INDEX(Models!$BJ260:$BT260,,AH260+1)*AF260-ERP_i)*AE260*Ramure*Pc/MaxiM</f>
        <v>0</v>
      </c>
      <c r="AE260" s="305">
        <f t="shared" si="97"/>
        <v>0.7</v>
      </c>
      <c r="AF260" s="177">
        <f t="shared" si="98"/>
        <v>0.48651096201390809</v>
      </c>
      <c r="AG260" s="817">
        <f t="shared" si="99"/>
        <v>-2</v>
      </c>
      <c r="AH260" s="176">
        <f t="shared" si="100"/>
        <v>4</v>
      </c>
      <c r="AI260" s="225">
        <f t="shared" si="101"/>
        <v>-1.5134890379860919</v>
      </c>
      <c r="AJ260" s="265" t="b">
        <f t="shared" si="102"/>
        <v>0</v>
      </c>
      <c r="AK260" s="265" t="b">
        <f t="shared" si="103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104"/>
        <v>43347</v>
      </c>
      <c r="B261" s="617">
        <v>31.498999999999999</v>
      </c>
      <c r="C261" s="390"/>
      <c r="D261" s="393">
        <f t="shared" si="81"/>
        <v>31.594352509431271</v>
      </c>
      <c r="E261" s="385">
        <f t="shared" si="107"/>
        <v>32.413395667368519</v>
      </c>
      <c r="F261" s="385">
        <f t="shared" ref="F261:F292" si="109">Wh_sa/(1-Pvg*MEDIAN((-Sdif+Wh/Env_an)/Csdif,0,1))</f>
        <v>32.413395667368519</v>
      </c>
      <c r="G261" s="110">
        <f t="shared" si="108"/>
        <v>0.89665639406999142</v>
      </c>
      <c r="I261" s="380">
        <f t="shared" si="82"/>
        <v>32.413395667368519</v>
      </c>
      <c r="J261" s="85">
        <v>2018</v>
      </c>
      <c r="K261" s="197">
        <f t="shared" si="83"/>
        <v>43347</v>
      </c>
      <c r="L261" s="438">
        <f t="shared" si="84"/>
        <v>3.0180238510286728E-3</v>
      </c>
      <c r="M261" s="861"/>
      <c r="N261" s="861"/>
      <c r="O261" s="324">
        <f t="shared" si="85"/>
        <v>2.5268662572178548E-2</v>
      </c>
      <c r="P261" s="169">
        <f>(INDEX(Models!$BJ261:$BT261,,T261)*(1-R261)+INDEX(Models!$BJ261:$BT261,,T261+1)*R261-ERP_i)*Q261*Ramure*Pc/MaxiM</f>
        <v>0</v>
      </c>
      <c r="Q261" s="305">
        <f t="shared" si="86"/>
        <v>0.7</v>
      </c>
      <c r="R261" s="177">
        <f t="shared" si="87"/>
        <v>0.48708914773967238</v>
      </c>
      <c r="S261" s="817">
        <f t="shared" si="105"/>
        <v>-2</v>
      </c>
      <c r="T261" s="176">
        <f t="shared" si="88"/>
        <v>4</v>
      </c>
      <c r="U261" s="251">
        <f t="shared" si="89"/>
        <v>-1.5129108522603276</v>
      </c>
      <c r="V261" s="383">
        <f t="shared" si="90"/>
        <v>35.129398739938324</v>
      </c>
      <c r="W261" s="58"/>
      <c r="X261" s="157">
        <f t="shared" si="91"/>
        <v>43347</v>
      </c>
      <c r="Y261" s="385">
        <f t="shared" si="92"/>
        <v>31.498999999999999</v>
      </c>
      <c r="Z261" s="385">
        <f t="shared" si="93"/>
        <v>31.594352509431271</v>
      </c>
      <c r="AA261" s="386">
        <f t="shared" si="94"/>
        <v>32.413395667368519</v>
      </c>
      <c r="AB261" s="197">
        <f t="shared" si="95"/>
        <v>43347</v>
      </c>
      <c r="AC261" s="427">
        <f t="shared" si="96"/>
        <v>2.5268662572178548E-2</v>
      </c>
      <c r="AD261" s="169">
        <f>(INDEX(Models!$BJ261:$BT261,,AH261)*(1-AF261)+INDEX(Models!$BJ261:$BT261,,AH261+1)*AF261-ERP_i)*AE261*Ramure*Pc/MaxiM</f>
        <v>0</v>
      </c>
      <c r="AE261" s="305">
        <f t="shared" si="97"/>
        <v>0.7</v>
      </c>
      <c r="AF261" s="177">
        <f t="shared" si="98"/>
        <v>0.48708914773967238</v>
      </c>
      <c r="AG261" s="817">
        <f t="shared" si="99"/>
        <v>-2</v>
      </c>
      <c r="AH261" s="176">
        <f t="shared" si="100"/>
        <v>4</v>
      </c>
      <c r="AI261" s="225">
        <f t="shared" si="101"/>
        <v>-1.5129108522603276</v>
      </c>
      <c r="AJ261" s="265" t="b">
        <f t="shared" si="102"/>
        <v>0</v>
      </c>
      <c r="AK261" s="265" t="b">
        <f t="shared" si="103"/>
        <v>0</v>
      </c>
      <c r="AL261" s="265"/>
      <c r="AM261" s="265"/>
      <c r="AN261" s="75"/>
    </row>
    <row r="262" spans="1:40" s="6" customFormat="1" ht="11.25" x14ac:dyDescent="0.2">
      <c r="A262" s="56">
        <f t="shared" si="104"/>
        <v>43348</v>
      </c>
      <c r="B262" s="617">
        <v>28.43</v>
      </c>
      <c r="C262" s="390"/>
      <c r="D262" s="393">
        <f t="shared" si="81"/>
        <v>28.516686744349236</v>
      </c>
      <c r="E262" s="385">
        <f t="shared" si="107"/>
        <v>29.260840039896209</v>
      </c>
      <c r="F262" s="385">
        <f t="shared" si="109"/>
        <v>29.260840039896209</v>
      </c>
      <c r="G262" s="110">
        <f t="shared" si="108"/>
        <v>0.81347640041905311</v>
      </c>
      <c r="I262" s="380">
        <f t="shared" si="82"/>
        <v>29.260840039896209</v>
      </c>
      <c r="J262" s="85">
        <v>2018</v>
      </c>
      <c r="K262" s="197">
        <f t="shared" si="83"/>
        <v>43348</v>
      </c>
      <c r="L262" s="438">
        <f t="shared" si="84"/>
        <v>3.039860314993148E-3</v>
      </c>
      <c r="M262" s="861"/>
      <c r="N262" s="861"/>
      <c r="O262" s="324">
        <f t="shared" si="85"/>
        <v>2.5431713325124779E-2</v>
      </c>
      <c r="P262" s="169">
        <f>(INDEX(Models!$BJ262:$BT262,,T262)*(1-R262)+INDEX(Models!$BJ262:$BT262,,T262+1)*R262-ERP_i)*Q262*Ramure*Pc/MaxiM</f>
        <v>0</v>
      </c>
      <c r="Q262" s="305">
        <f t="shared" si="86"/>
        <v>0.7</v>
      </c>
      <c r="R262" s="177">
        <f t="shared" si="87"/>
        <v>0.48764534903244439</v>
      </c>
      <c r="S262" s="817">
        <f t="shared" si="105"/>
        <v>-2</v>
      </c>
      <c r="T262" s="176">
        <f t="shared" si="88"/>
        <v>4</v>
      </c>
      <c r="U262" s="251">
        <f t="shared" si="89"/>
        <v>-1.5123546509675556</v>
      </c>
      <c r="V262" s="383">
        <f t="shared" si="90"/>
        <v>34.948770468761737</v>
      </c>
      <c r="W262" s="58"/>
      <c r="X262" s="157">
        <f t="shared" si="91"/>
        <v>43348</v>
      </c>
      <c r="Y262" s="385">
        <f t="shared" si="92"/>
        <v>28.43</v>
      </c>
      <c r="Z262" s="385">
        <f t="shared" si="93"/>
        <v>28.516686744349236</v>
      </c>
      <c r="AA262" s="386">
        <f t="shared" si="94"/>
        <v>29.260840039896209</v>
      </c>
      <c r="AB262" s="197">
        <f t="shared" si="95"/>
        <v>43348</v>
      </c>
      <c r="AC262" s="427">
        <f t="shared" si="96"/>
        <v>2.5431713325124779E-2</v>
      </c>
      <c r="AD262" s="169">
        <f>(INDEX(Models!$BJ262:$BT262,,AH262)*(1-AF262)+INDEX(Models!$BJ262:$BT262,,AH262+1)*AF262-ERP_i)*AE262*Ramure*Pc/MaxiM</f>
        <v>0</v>
      </c>
      <c r="AE262" s="305">
        <f t="shared" si="97"/>
        <v>0.7</v>
      </c>
      <c r="AF262" s="177">
        <f t="shared" si="98"/>
        <v>0.48764534903244439</v>
      </c>
      <c r="AG262" s="817">
        <f t="shared" si="99"/>
        <v>-2</v>
      </c>
      <c r="AH262" s="176">
        <f t="shared" si="100"/>
        <v>4</v>
      </c>
      <c r="AI262" s="225">
        <f t="shared" si="101"/>
        <v>-1.5123546509675556</v>
      </c>
      <c r="AJ262" s="265" t="b">
        <f t="shared" si="102"/>
        <v>0</v>
      </c>
      <c r="AK262" s="265" t="b">
        <f t="shared" si="103"/>
        <v>0</v>
      </c>
      <c r="AL262" s="265"/>
      <c r="AM262" s="265"/>
      <c r="AN262" s="75"/>
    </row>
    <row r="263" spans="1:40" s="6" customFormat="1" ht="11.25" x14ac:dyDescent="0.2">
      <c r="A263" s="56">
        <f t="shared" si="104"/>
        <v>43349</v>
      </c>
      <c r="B263" s="617">
        <v>21.053000000000001</v>
      </c>
      <c r="C263" s="390"/>
      <c r="D263" s="393">
        <f t="shared" si="81"/>
        <v>21.11765584879134</v>
      </c>
      <c r="E263" s="385">
        <f t="shared" si="107"/>
        <v>21.672345452099371</v>
      </c>
      <c r="F263" s="385">
        <f t="shared" si="109"/>
        <v>21.672345452099371</v>
      </c>
      <c r="G263" s="110">
        <f t="shared" si="108"/>
        <v>0.60563768652780647</v>
      </c>
      <c r="I263" s="380">
        <f t="shared" si="82"/>
        <v>21.672345452099371</v>
      </c>
      <c r="J263" s="85">
        <v>2018</v>
      </c>
      <c r="K263" s="197">
        <f t="shared" si="83"/>
        <v>43349</v>
      </c>
      <c r="L263" s="438">
        <f t="shared" si="84"/>
        <v>3.0616963006829812E-3</v>
      </c>
      <c r="M263" s="861"/>
      <c r="N263" s="861"/>
      <c r="O263" s="324">
        <f t="shared" si="85"/>
        <v>2.5594350391563152E-2</v>
      </c>
      <c r="P263" s="169">
        <f>(INDEX(Models!$BJ263:$BT263,,T263)*(1-R263)+INDEX(Models!$BJ263:$BT263,,T263+1)*R263-ERP_i)*Q263*Ramure*Pc/MaxiM</f>
        <v>0</v>
      </c>
      <c r="Q263" s="305">
        <f t="shared" si="86"/>
        <v>0.7</v>
      </c>
      <c r="R263" s="177">
        <f t="shared" si="87"/>
        <v>0.48818035296407603</v>
      </c>
      <c r="S263" s="817">
        <f t="shared" si="105"/>
        <v>-2</v>
      </c>
      <c r="T263" s="176">
        <f t="shared" si="88"/>
        <v>4</v>
      </c>
      <c r="U263" s="251">
        <f t="shared" si="89"/>
        <v>-1.511819647035924</v>
      </c>
      <c r="V263" s="383">
        <f t="shared" si="90"/>
        <v>34.761707318280301</v>
      </c>
      <c r="W263" s="58"/>
      <c r="X263" s="157">
        <f t="shared" si="91"/>
        <v>43349</v>
      </c>
      <c r="Y263" s="385">
        <f t="shared" si="92"/>
        <v>21.053000000000001</v>
      </c>
      <c r="Z263" s="385">
        <f t="shared" si="93"/>
        <v>21.11765584879134</v>
      </c>
      <c r="AA263" s="386">
        <f t="shared" si="94"/>
        <v>21.672345452099371</v>
      </c>
      <c r="AB263" s="197">
        <f t="shared" si="95"/>
        <v>43349</v>
      </c>
      <c r="AC263" s="427">
        <f t="shared" si="96"/>
        <v>2.5594350391563152E-2</v>
      </c>
      <c r="AD263" s="169">
        <f>(INDEX(Models!$BJ263:$BT263,,AH263)*(1-AF263)+INDEX(Models!$BJ263:$BT263,,AH263+1)*AF263-ERP_i)*AE263*Ramure*Pc/MaxiM</f>
        <v>0</v>
      </c>
      <c r="AE263" s="305">
        <f t="shared" si="97"/>
        <v>0.7</v>
      </c>
      <c r="AF263" s="177">
        <f t="shared" si="98"/>
        <v>0.48818035296407603</v>
      </c>
      <c r="AG263" s="817">
        <f t="shared" si="99"/>
        <v>-2</v>
      </c>
      <c r="AH263" s="176">
        <f t="shared" si="100"/>
        <v>4</v>
      </c>
      <c r="AI263" s="225">
        <f t="shared" si="101"/>
        <v>-1.511819647035924</v>
      </c>
      <c r="AJ263" s="265" t="b">
        <f t="shared" si="102"/>
        <v>0</v>
      </c>
      <c r="AK263" s="265" t="b">
        <f t="shared" si="10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104"/>
        <v>43350</v>
      </c>
      <c r="B264" s="617">
        <v>25.722000000000001</v>
      </c>
      <c r="C264" s="390"/>
      <c r="D264" s="393">
        <f t="shared" si="81"/>
        <v>25.801559930745277</v>
      </c>
      <c r="E264" s="385">
        <f t="shared" si="107"/>
        <v>26.483688800872905</v>
      </c>
      <c r="F264" s="385">
        <f t="shared" si="109"/>
        <v>26.483688800872905</v>
      </c>
      <c r="G264" s="110">
        <f t="shared" si="108"/>
        <v>0.74408057690482265</v>
      </c>
      <c r="I264" s="380">
        <f t="shared" si="82"/>
        <v>26.483688800872905</v>
      </c>
      <c r="J264" s="85">
        <v>2018</v>
      </c>
      <c r="K264" s="197">
        <f t="shared" si="83"/>
        <v>43350</v>
      </c>
      <c r="L264" s="438">
        <f t="shared" si="84"/>
        <v>3.0835318081087193E-3</v>
      </c>
      <c r="M264" s="861"/>
      <c r="N264" s="861"/>
      <c r="O264" s="324">
        <f t="shared" si="85"/>
        <v>2.5756565682992894E-2</v>
      </c>
      <c r="P264" s="169">
        <f>(INDEX(Models!$BJ264:$BT264,,T264)*(1-R264)+INDEX(Models!$BJ264:$BT264,,T264+1)*R264-ERP_i)*Q264*Ramure*Pc/MaxiM</f>
        <v>0</v>
      </c>
      <c r="Q264" s="305">
        <f t="shared" si="86"/>
        <v>0.7</v>
      </c>
      <c r="R264" s="177">
        <f t="shared" si="87"/>
        <v>0.48869492219711352</v>
      </c>
      <c r="S264" s="817">
        <f t="shared" si="105"/>
        <v>-2</v>
      </c>
      <c r="T264" s="176">
        <f t="shared" si="88"/>
        <v>4</v>
      </c>
      <c r="U264" s="251">
        <f t="shared" si="89"/>
        <v>-1.5113050778028865</v>
      </c>
      <c r="V264" s="383">
        <f t="shared" si="90"/>
        <v>34.568836760928072</v>
      </c>
      <c r="W264" s="58"/>
      <c r="X264" s="157">
        <f t="shared" si="91"/>
        <v>43350</v>
      </c>
      <c r="Y264" s="385">
        <f t="shared" si="92"/>
        <v>25.722000000000001</v>
      </c>
      <c r="Z264" s="385">
        <f t="shared" si="93"/>
        <v>25.801559930745277</v>
      </c>
      <c r="AA264" s="386">
        <f t="shared" si="94"/>
        <v>26.483688800872905</v>
      </c>
      <c r="AB264" s="197">
        <f t="shared" si="95"/>
        <v>43350</v>
      </c>
      <c r="AC264" s="427">
        <f t="shared" si="96"/>
        <v>2.5756565682992894E-2</v>
      </c>
      <c r="AD264" s="169">
        <f>(INDEX(Models!$BJ264:$BT264,,AH264)*(1-AF264)+INDEX(Models!$BJ264:$BT264,,AH264+1)*AF264-ERP_i)*AE264*Ramure*Pc/MaxiM</f>
        <v>0</v>
      </c>
      <c r="AE264" s="305">
        <f t="shared" si="97"/>
        <v>0.7</v>
      </c>
      <c r="AF264" s="177">
        <f t="shared" si="98"/>
        <v>0.48869492219711352</v>
      </c>
      <c r="AG264" s="817">
        <f t="shared" si="99"/>
        <v>-2</v>
      </c>
      <c r="AH264" s="176">
        <f t="shared" si="100"/>
        <v>4</v>
      </c>
      <c r="AI264" s="225">
        <f t="shared" si="101"/>
        <v>-1.5113050778028865</v>
      </c>
      <c r="AJ264" s="265" t="b">
        <f t="shared" si="102"/>
        <v>0</v>
      </c>
      <c r="AK264" s="265" t="b">
        <f t="shared" si="103"/>
        <v>0</v>
      </c>
      <c r="AL264" s="265"/>
      <c r="AM264" s="265"/>
      <c r="AN264" s="75"/>
    </row>
    <row r="265" spans="1:40" s="6" customFormat="1" ht="11.25" x14ac:dyDescent="0.2">
      <c r="A265" s="56">
        <f t="shared" si="104"/>
        <v>43351</v>
      </c>
      <c r="B265" s="617">
        <v>31.077999999999999</v>
      </c>
      <c r="C265" s="390"/>
      <c r="D265" s="393">
        <f t="shared" si="81"/>
        <v>31.174809218706326</v>
      </c>
      <c r="E265" s="385">
        <f t="shared" si="107"/>
        <v>32.004308101052679</v>
      </c>
      <c r="F265" s="385">
        <f t="shared" si="109"/>
        <v>32.004308101052679</v>
      </c>
      <c r="G265" s="110">
        <f t="shared" si="108"/>
        <v>0.9041981229846866</v>
      </c>
      <c r="I265" s="380">
        <f t="shared" si="82"/>
        <v>32.004308101052679</v>
      </c>
      <c r="J265" s="85">
        <v>2018</v>
      </c>
      <c r="K265" s="197">
        <f t="shared" si="83"/>
        <v>43351</v>
      </c>
      <c r="L265" s="438">
        <f t="shared" si="84"/>
        <v>3.1053668372807985E-3</v>
      </c>
      <c r="M265" s="861"/>
      <c r="N265" s="861"/>
      <c r="O265" s="324">
        <f t="shared" si="85"/>
        <v>2.5918350733508674E-2</v>
      </c>
      <c r="P265" s="169">
        <f>(INDEX(Models!$BJ265:$BT265,,T265)*(1-R265)+INDEX(Models!$BJ265:$BT265,,T265+1)*R265-ERP_i)*Q265*Ramure*Pc/MaxiM</f>
        <v>0</v>
      </c>
      <c r="Q265" s="305">
        <f t="shared" si="86"/>
        <v>0.7</v>
      </c>
      <c r="R265" s="177">
        <f t="shared" si="87"/>
        <v>0.48918979544395946</v>
      </c>
      <c r="S265" s="817">
        <f t="shared" si="105"/>
        <v>-2</v>
      </c>
      <c r="T265" s="176">
        <f t="shared" si="88"/>
        <v>4</v>
      </c>
      <c r="U265" s="251">
        <f t="shared" si="89"/>
        <v>-1.5108102045560405</v>
      </c>
      <c r="V265" s="383">
        <f t="shared" si="90"/>
        <v>34.370785793509469</v>
      </c>
      <c r="W265" s="58"/>
      <c r="X265" s="157">
        <f t="shared" si="91"/>
        <v>43351</v>
      </c>
      <c r="Y265" s="385">
        <f t="shared" si="92"/>
        <v>31.077999999999996</v>
      </c>
      <c r="Z265" s="385">
        <f t="shared" si="93"/>
        <v>31.174809218706322</v>
      </c>
      <c r="AA265" s="386">
        <f t="shared" si="94"/>
        <v>32.004308101052679</v>
      </c>
      <c r="AB265" s="197">
        <f t="shared" si="95"/>
        <v>43351</v>
      </c>
      <c r="AC265" s="427">
        <f t="shared" si="96"/>
        <v>2.5918350733508674E-2</v>
      </c>
      <c r="AD265" s="169">
        <f>(INDEX(Models!$BJ265:$BT265,,AH265)*(1-AF265)+INDEX(Models!$BJ265:$BT265,,AH265+1)*AF265-ERP_i)*AE265*Ramure*Pc/MaxiM</f>
        <v>0</v>
      </c>
      <c r="AE265" s="305">
        <f t="shared" si="97"/>
        <v>0.7</v>
      </c>
      <c r="AF265" s="177">
        <f t="shared" si="98"/>
        <v>0.48918979544395946</v>
      </c>
      <c r="AG265" s="817">
        <f t="shared" si="99"/>
        <v>-2</v>
      </c>
      <c r="AH265" s="176">
        <f t="shared" si="100"/>
        <v>4</v>
      </c>
      <c r="AI265" s="225">
        <f t="shared" si="101"/>
        <v>-1.5108102045560405</v>
      </c>
      <c r="AJ265" s="265" t="b">
        <f t="shared" si="102"/>
        <v>0</v>
      </c>
      <c r="AK265" s="265" t="b">
        <f t="shared" si="103"/>
        <v>0</v>
      </c>
      <c r="AL265" s="265"/>
      <c r="AM265" s="265"/>
      <c r="AN265" s="75"/>
    </row>
    <row r="266" spans="1:40" s="6" customFormat="1" ht="11.25" x14ac:dyDescent="0.2">
      <c r="A266" s="56">
        <f t="shared" si="104"/>
        <v>43352</v>
      </c>
      <c r="B266" s="617">
        <v>23.061</v>
      </c>
      <c r="C266" s="390"/>
      <c r="D266" s="393">
        <f t="shared" si="81"/>
        <v>23.133342621158821</v>
      </c>
      <c r="E266" s="385">
        <f t="shared" si="107"/>
        <v>23.752808666599105</v>
      </c>
      <c r="F266" s="385">
        <f t="shared" si="109"/>
        <v>23.752808666599105</v>
      </c>
      <c r="G266" s="110">
        <f t="shared" si="108"/>
        <v>0.67492618484496514</v>
      </c>
      <c r="I266" s="380">
        <f t="shared" si="82"/>
        <v>23.752808666599105</v>
      </c>
      <c r="J266" s="85">
        <v>2018</v>
      </c>
      <c r="K266" s="197">
        <f t="shared" si="83"/>
        <v>43352</v>
      </c>
      <c r="L266" s="438">
        <f t="shared" si="84"/>
        <v>3.127201388209766E-3</v>
      </c>
      <c r="M266" s="861"/>
      <c r="N266" s="861"/>
      <c r="O266" s="324">
        <f t="shared" si="85"/>
        <v>2.6079696684938564E-2</v>
      </c>
      <c r="P266" s="169">
        <f>(INDEX(Models!$BJ266:$BT266,,T266)*(1-R266)+INDEX(Models!$BJ266:$BT266,,T266+1)*R266-ERP_i)*Q266*Ramure*Pc/MaxiM</f>
        <v>0</v>
      </c>
      <c r="Q266" s="305">
        <f t="shared" si="86"/>
        <v>0.7</v>
      </c>
      <c r="R266" s="177">
        <f t="shared" si="87"/>
        <v>0.48966568794331455</v>
      </c>
      <c r="S266" s="817">
        <f t="shared" si="105"/>
        <v>-2</v>
      </c>
      <c r="T266" s="176">
        <f t="shared" si="88"/>
        <v>4</v>
      </c>
      <c r="U266" s="251">
        <f t="shared" si="89"/>
        <v>-1.5103343120566854</v>
      </c>
      <c r="V266" s="383">
        <f t="shared" si="90"/>
        <v>34.168180932700452</v>
      </c>
      <c r="W266" s="58"/>
      <c r="X266" s="157">
        <f t="shared" si="91"/>
        <v>43352</v>
      </c>
      <c r="Y266" s="385">
        <f t="shared" si="92"/>
        <v>23.061</v>
      </c>
      <c r="Z266" s="385">
        <f t="shared" si="93"/>
        <v>23.133342621158821</v>
      </c>
      <c r="AA266" s="386">
        <f t="shared" si="94"/>
        <v>23.752808666599105</v>
      </c>
      <c r="AB266" s="197">
        <f t="shared" si="95"/>
        <v>43352</v>
      </c>
      <c r="AC266" s="427">
        <f t="shared" si="96"/>
        <v>2.6079696684938564E-2</v>
      </c>
      <c r="AD266" s="169">
        <f>(INDEX(Models!$BJ266:$BT266,,AH266)*(1-AF266)+INDEX(Models!$BJ266:$BT266,,AH266+1)*AF266-ERP_i)*AE266*Ramure*Pc/MaxiM</f>
        <v>0</v>
      </c>
      <c r="AE266" s="305">
        <f t="shared" si="97"/>
        <v>0.7</v>
      </c>
      <c r="AF266" s="177">
        <f t="shared" si="98"/>
        <v>0.48966568794331455</v>
      </c>
      <c r="AG266" s="817">
        <f t="shared" si="99"/>
        <v>-2</v>
      </c>
      <c r="AH266" s="176">
        <f t="shared" si="100"/>
        <v>4</v>
      </c>
      <c r="AI266" s="225">
        <f t="shared" si="101"/>
        <v>-1.5103343120566854</v>
      </c>
      <c r="AJ266" s="265" t="b">
        <f t="shared" si="102"/>
        <v>0</v>
      </c>
      <c r="AK266" s="265" t="b">
        <f t="shared" si="103"/>
        <v>0</v>
      </c>
      <c r="AL266" s="265"/>
      <c r="AM266" s="265"/>
      <c r="AN266" s="75"/>
    </row>
    <row r="267" spans="1:40" s="6" customFormat="1" ht="11.25" x14ac:dyDescent="0.2">
      <c r="A267" s="56">
        <f t="shared" si="104"/>
        <v>43353</v>
      </c>
      <c r="B267" s="617">
        <v>26.622</v>
      </c>
      <c r="C267" s="390"/>
      <c r="D267" s="393">
        <f t="shared" si="81"/>
        <v>26.706098451044785</v>
      </c>
      <c r="E267" s="385">
        <f t="shared" si="107"/>
        <v>27.425766872188039</v>
      </c>
      <c r="F267" s="385">
        <f t="shared" si="109"/>
        <v>27.425766872188039</v>
      </c>
      <c r="G267" s="110">
        <f t="shared" si="108"/>
        <v>0.78388421625511617</v>
      </c>
      <c r="I267" s="380">
        <f t="shared" si="82"/>
        <v>27.425766872188039</v>
      </c>
      <c r="J267" s="85">
        <v>2018</v>
      </c>
      <c r="K267" s="197">
        <f t="shared" si="83"/>
        <v>43353</v>
      </c>
      <c r="L267" s="438">
        <f t="shared" si="84"/>
        <v>3.1490354609059468E-3</v>
      </c>
      <c r="M267" s="861"/>
      <c r="N267" s="861"/>
      <c r="O267" s="324">
        <f t="shared" si="85"/>
        <v>2.624059427388541E-2</v>
      </c>
      <c r="P267" s="169">
        <f>(INDEX(Models!$BJ267:$BT267,,T267)*(1-R267)+INDEX(Models!$BJ267:$BT267,,T267+1)*R267-ERP_i)*Q267*Ramure*Pc/MaxiM</f>
        <v>0</v>
      </c>
      <c r="Q267" s="305">
        <f t="shared" si="86"/>
        <v>0.7</v>
      </c>
      <c r="R267" s="177">
        <f t="shared" si="87"/>
        <v>0.49012329195097948</v>
      </c>
      <c r="S267" s="817">
        <f t="shared" si="105"/>
        <v>-2</v>
      </c>
      <c r="T267" s="176">
        <f t="shared" si="88"/>
        <v>4</v>
      </c>
      <c r="U267" s="251">
        <f t="shared" si="89"/>
        <v>-1.5098767080490205</v>
      </c>
      <c r="V267" s="383">
        <f t="shared" si="90"/>
        <v>33.961648222976635</v>
      </c>
      <c r="W267" s="58"/>
      <c r="X267" s="157">
        <f t="shared" si="91"/>
        <v>43353</v>
      </c>
      <c r="Y267" s="385">
        <f t="shared" si="92"/>
        <v>26.622</v>
      </c>
      <c r="Z267" s="385">
        <f t="shared" si="93"/>
        <v>26.706098451044785</v>
      </c>
      <c r="AA267" s="386">
        <f t="shared" si="94"/>
        <v>27.425766872188039</v>
      </c>
      <c r="AB267" s="197">
        <f t="shared" si="95"/>
        <v>43353</v>
      </c>
      <c r="AC267" s="427">
        <f t="shared" si="96"/>
        <v>2.624059427388541E-2</v>
      </c>
      <c r="AD267" s="169">
        <f>(INDEX(Models!$BJ267:$BT267,,AH267)*(1-AF267)+INDEX(Models!$BJ267:$BT267,,AH267+1)*AF267-ERP_i)*AE267*Ramure*Pc/MaxiM</f>
        <v>0</v>
      </c>
      <c r="AE267" s="305">
        <f t="shared" si="97"/>
        <v>0.7</v>
      </c>
      <c r="AF267" s="177">
        <f t="shared" si="98"/>
        <v>0.49012329195097948</v>
      </c>
      <c r="AG267" s="817">
        <f t="shared" si="99"/>
        <v>-2</v>
      </c>
      <c r="AH267" s="176">
        <f t="shared" si="100"/>
        <v>4</v>
      </c>
      <c r="AI267" s="225">
        <f t="shared" si="101"/>
        <v>-1.5098767080490205</v>
      </c>
      <c r="AJ267" s="265" t="b">
        <f t="shared" si="102"/>
        <v>0</v>
      </c>
      <c r="AK267" s="265" t="b">
        <f t="shared" si="103"/>
        <v>0</v>
      </c>
      <c r="AL267" s="265"/>
      <c r="AM267" s="265"/>
      <c r="AN267" s="75"/>
    </row>
    <row r="268" spans="1:40" s="6" customFormat="1" ht="11.25" x14ac:dyDescent="0.2">
      <c r="A268" s="56">
        <f t="shared" si="104"/>
        <v>43354</v>
      </c>
      <c r="B268" s="617">
        <v>30.878</v>
      </c>
      <c r="C268" s="390"/>
      <c r="D268" s="393">
        <f t="shared" si="81"/>
        <v>30.9762215423412</v>
      </c>
      <c r="E268" s="385">
        <f t="shared" si="107"/>
        <v>31.816202171943555</v>
      </c>
      <c r="F268" s="385">
        <f t="shared" si="109"/>
        <v>31.816202174963337</v>
      </c>
      <c r="G268" s="110">
        <f t="shared" si="108"/>
        <v>0.91485455269346405</v>
      </c>
      <c r="I268" s="380">
        <f t="shared" si="82"/>
        <v>31.816202174963337</v>
      </c>
      <c r="J268" s="85">
        <v>2018</v>
      </c>
      <c r="K268" s="197">
        <f t="shared" si="83"/>
        <v>43354</v>
      </c>
      <c r="L268" s="438">
        <f t="shared" si="84"/>
        <v>3.1708690553798879E-3</v>
      </c>
      <c r="M268" s="861"/>
      <c r="N268" s="861"/>
      <c r="O268" s="324">
        <f t="shared" si="85"/>
        <v>2.6401033821160363E-2</v>
      </c>
      <c r="P268" s="169">
        <f>(INDEX(Models!$BJ268:$BT268,,T268)*(1-R268)+INDEX(Models!$BJ268:$BT268,,T268+1)*R268-ERP_i)*Q268*Ramure*Pc/MaxiM</f>
        <v>1.0805689052532862E-10</v>
      </c>
      <c r="Q268" s="305">
        <f t="shared" si="86"/>
        <v>0.7</v>
      </c>
      <c r="R268" s="177">
        <f t="shared" si="87"/>
        <v>0.49056327724231608</v>
      </c>
      <c r="S268" s="817">
        <f t="shared" si="105"/>
        <v>-2</v>
      </c>
      <c r="T268" s="176">
        <f t="shared" si="88"/>
        <v>4</v>
      </c>
      <c r="U268" s="251">
        <f t="shared" si="89"/>
        <v>-1.5094367227576839</v>
      </c>
      <c r="V268" s="383">
        <f t="shared" si="90"/>
        <v>33.751813234885098</v>
      </c>
      <c r="W268" s="58"/>
      <c r="X268" s="157">
        <f t="shared" si="91"/>
        <v>43354</v>
      </c>
      <c r="Y268" s="385">
        <f t="shared" si="92"/>
        <v>30.878</v>
      </c>
      <c r="Z268" s="385">
        <f t="shared" si="93"/>
        <v>30.9762215423412</v>
      </c>
      <c r="AA268" s="386">
        <f t="shared" si="94"/>
        <v>31.816202171943555</v>
      </c>
      <c r="AB268" s="197">
        <f t="shared" si="95"/>
        <v>43354</v>
      </c>
      <c r="AC268" s="427">
        <f t="shared" si="96"/>
        <v>2.6401033821160363E-2</v>
      </c>
      <c r="AD268" s="169">
        <f>(INDEX(Models!$BJ268:$BT268,,AH268)*(1-AF268)+INDEX(Models!$BJ268:$BT268,,AH268+1)*AF268-ERP_i)*AE268*Ramure*Pc/MaxiM</f>
        <v>1.0805689052532862E-10</v>
      </c>
      <c r="AE268" s="305">
        <f t="shared" si="97"/>
        <v>0.7</v>
      </c>
      <c r="AF268" s="177">
        <f t="shared" si="98"/>
        <v>0.49056327724231608</v>
      </c>
      <c r="AG268" s="817">
        <f t="shared" si="99"/>
        <v>-2</v>
      </c>
      <c r="AH268" s="176">
        <f t="shared" si="100"/>
        <v>4</v>
      </c>
      <c r="AI268" s="225">
        <f t="shared" si="101"/>
        <v>-1.5094367227576839</v>
      </c>
      <c r="AJ268" s="265" t="b">
        <f t="shared" si="102"/>
        <v>0</v>
      </c>
      <c r="AK268" s="265" t="b">
        <f t="shared" si="103"/>
        <v>0</v>
      </c>
      <c r="AL268" s="265"/>
      <c r="AM268" s="265"/>
      <c r="AN268" s="75"/>
    </row>
    <row r="269" spans="1:40" s="6" customFormat="1" ht="11.25" x14ac:dyDescent="0.2">
      <c r="A269" s="56">
        <f t="shared" si="104"/>
        <v>43355</v>
      </c>
      <c r="B269" s="617">
        <v>20.341999999999999</v>
      </c>
      <c r="C269" s="390"/>
      <c r="D269" s="393">
        <f t="shared" si="81"/>
        <v>20.407153964780388</v>
      </c>
      <c r="E269" s="385">
        <f t="shared" si="107"/>
        <v>20.963978301977026</v>
      </c>
      <c r="F269" s="385">
        <f t="shared" si="109"/>
        <v>20.963978304972137</v>
      </c>
      <c r="G269" s="110">
        <f t="shared" si="108"/>
        <v>0.60651234065895276</v>
      </c>
      <c r="I269" s="380">
        <f t="shared" si="82"/>
        <v>20.963978304972137</v>
      </c>
      <c r="J269" s="85">
        <v>2018</v>
      </c>
      <c r="K269" s="197">
        <f t="shared" si="83"/>
        <v>43355</v>
      </c>
      <c r="L269" s="438">
        <f t="shared" si="84"/>
        <v>3.1927021716421367E-3</v>
      </c>
      <c r="M269" s="861"/>
      <c r="N269" s="861"/>
      <c r="O269" s="324">
        <f t="shared" si="85"/>
        <v>2.6561005224095529E-2</v>
      </c>
      <c r="P269" s="169">
        <f>(INDEX(Models!$BJ269:$BT269,,T269)*(1-R269)+INDEX(Models!$BJ269:$BT269,,T269+1)*R269-ERP_i)*Q269*Ramure*Pc/MaxiM</f>
        <v>3.2627945776679428E-10</v>
      </c>
      <c r="Q269" s="305">
        <f t="shared" si="86"/>
        <v>0.7</v>
      </c>
      <c r="R269" s="177">
        <f t="shared" si="87"/>
        <v>0.49098629162390317</v>
      </c>
      <c r="S269" s="817">
        <f t="shared" si="105"/>
        <v>-2</v>
      </c>
      <c r="T269" s="176">
        <f t="shared" si="88"/>
        <v>4</v>
      </c>
      <c r="U269" s="251">
        <f t="shared" si="89"/>
        <v>-1.5090137083760968</v>
      </c>
      <c r="V269" s="383">
        <f t="shared" si="90"/>
        <v>33.539301070392497</v>
      </c>
      <c r="W269" s="58"/>
      <c r="X269" s="157">
        <f t="shared" si="91"/>
        <v>43355</v>
      </c>
      <c r="Y269" s="385">
        <f t="shared" si="92"/>
        <v>20.341999999999999</v>
      </c>
      <c r="Z269" s="385">
        <f t="shared" si="93"/>
        <v>20.407153964780388</v>
      </c>
      <c r="AA269" s="386">
        <f t="shared" si="94"/>
        <v>20.963978301977026</v>
      </c>
      <c r="AB269" s="197">
        <f t="shared" si="95"/>
        <v>43355</v>
      </c>
      <c r="AC269" s="427">
        <f t="shared" si="96"/>
        <v>2.6561005224095529E-2</v>
      </c>
      <c r="AD269" s="169">
        <f>(INDEX(Models!$BJ269:$BT269,,AH269)*(1-AF269)+INDEX(Models!$BJ269:$BT269,,AH269+1)*AF269-ERP_i)*AE269*Ramure*Pc/MaxiM</f>
        <v>3.2627945776679428E-10</v>
      </c>
      <c r="AE269" s="305">
        <f t="shared" si="97"/>
        <v>0.7</v>
      </c>
      <c r="AF269" s="177">
        <f t="shared" si="98"/>
        <v>0.49098629162390317</v>
      </c>
      <c r="AG269" s="817">
        <f t="shared" si="99"/>
        <v>-2</v>
      </c>
      <c r="AH269" s="176">
        <f t="shared" si="100"/>
        <v>4</v>
      </c>
      <c r="AI269" s="225">
        <f t="shared" si="101"/>
        <v>-1.5090137083760968</v>
      </c>
      <c r="AJ269" s="265" t="b">
        <f t="shared" si="102"/>
        <v>0</v>
      </c>
      <c r="AK269" s="265" t="b">
        <f t="shared" si="103"/>
        <v>0</v>
      </c>
      <c r="AL269" s="265"/>
      <c r="AM269" s="265"/>
      <c r="AN269" s="75"/>
    </row>
    <row r="270" spans="1:40" s="6" customFormat="1" ht="11.25" x14ac:dyDescent="0.2">
      <c r="A270" s="56">
        <f t="shared" si="104"/>
        <v>43356</v>
      </c>
      <c r="B270" s="617">
        <v>16.475000000000001</v>
      </c>
      <c r="C270" s="390"/>
      <c r="D270" s="393">
        <f t="shared" si="81"/>
        <v>16.52813025002802</v>
      </c>
      <c r="E270" s="385">
        <f t="shared" si="107"/>
        <v>16.981894938969454</v>
      </c>
      <c r="F270" s="385">
        <f t="shared" si="109"/>
        <v>16.981894942066802</v>
      </c>
      <c r="G270" s="110">
        <f t="shared" si="108"/>
        <v>0.49437750418149012</v>
      </c>
      <c r="I270" s="380">
        <f t="shared" si="82"/>
        <v>16.981894942066802</v>
      </c>
      <c r="J270" s="85">
        <v>2018</v>
      </c>
      <c r="K270" s="197">
        <f t="shared" si="83"/>
        <v>43356</v>
      </c>
      <c r="L270" s="438">
        <f t="shared" si="84"/>
        <v>3.214534809703018E-3</v>
      </c>
      <c r="M270" s="861"/>
      <c r="N270" s="861"/>
      <c r="O270" s="324">
        <f t="shared" si="85"/>
        <v>2.67204979522132E-2</v>
      </c>
      <c r="P270" s="169">
        <f>(INDEX(Models!$BJ270:$BT270,,T270)*(1-R270)+INDEX(Models!$BJ270:$BT270,,T270+1)*R270-ERP_i)*Q270*Ramure*Pc/MaxiM</f>
        <v>6.5683419346634766E-10</v>
      </c>
      <c r="Q270" s="305">
        <f t="shared" si="86"/>
        <v>0.7</v>
      </c>
      <c r="R270" s="177">
        <f t="shared" si="87"/>
        <v>0.49139296145211331</v>
      </c>
      <c r="S270" s="817">
        <f t="shared" si="105"/>
        <v>-2</v>
      </c>
      <c r="T270" s="176">
        <f t="shared" si="88"/>
        <v>4</v>
      </c>
      <c r="U270" s="251">
        <f t="shared" si="89"/>
        <v>-1.5086070385478867</v>
      </c>
      <c r="V270" s="383">
        <f t="shared" si="90"/>
        <v>33.324736366109896</v>
      </c>
      <c r="W270" s="58"/>
      <c r="X270" s="157">
        <f t="shared" si="91"/>
        <v>43356</v>
      </c>
      <c r="Y270" s="385">
        <f t="shared" si="92"/>
        <v>16.475000000000001</v>
      </c>
      <c r="Z270" s="385">
        <f t="shared" si="93"/>
        <v>16.52813025002802</v>
      </c>
      <c r="AA270" s="386">
        <f t="shared" si="94"/>
        <v>16.981894938969454</v>
      </c>
      <c r="AB270" s="197">
        <f t="shared" si="95"/>
        <v>43356</v>
      </c>
      <c r="AC270" s="427">
        <f t="shared" si="96"/>
        <v>2.67204979522132E-2</v>
      </c>
      <c r="AD270" s="169">
        <f>(INDEX(Models!$BJ270:$BT270,,AH270)*(1-AF270)+INDEX(Models!$BJ270:$BT270,,AH270+1)*AF270-ERP_i)*AE270*Ramure*Pc/MaxiM</f>
        <v>6.5683419346634766E-10</v>
      </c>
      <c r="AE270" s="305">
        <f t="shared" si="97"/>
        <v>0.7</v>
      </c>
      <c r="AF270" s="177">
        <f t="shared" si="98"/>
        <v>0.49139296145211331</v>
      </c>
      <c r="AG270" s="817">
        <f t="shared" si="99"/>
        <v>-2</v>
      </c>
      <c r="AH270" s="176">
        <f t="shared" si="100"/>
        <v>4</v>
      </c>
      <c r="AI270" s="225">
        <f t="shared" si="101"/>
        <v>-1.5086070385478867</v>
      </c>
      <c r="AJ270" s="265" t="b">
        <f t="shared" si="102"/>
        <v>0</v>
      </c>
      <c r="AK270" s="265" t="b">
        <f t="shared" si="103"/>
        <v>0</v>
      </c>
      <c r="AL270" s="265"/>
      <c r="AM270" s="265"/>
      <c r="AN270" s="75"/>
    </row>
    <row r="271" spans="1:40" s="6" customFormat="1" ht="11.25" x14ac:dyDescent="0.2">
      <c r="A271" s="56">
        <f t="shared" si="104"/>
        <v>43357</v>
      </c>
      <c r="B271" s="617">
        <v>19.248999999999999</v>
      </c>
      <c r="C271" s="390"/>
      <c r="D271" s="393">
        <f t="shared" ref="D271:D334" si="110">Wh/(1-Ppv)</f>
        <v>19.311499097813105</v>
      </c>
      <c r="E271" s="385">
        <f t="shared" si="107"/>
        <v>19.844920663561268</v>
      </c>
      <c r="F271" s="385">
        <f t="shared" si="109"/>
        <v>19.844920672351673</v>
      </c>
      <c r="G271" s="110">
        <f t="shared" si="108"/>
        <v>0.58138721290844397</v>
      </c>
      <c r="I271" s="380">
        <f t="shared" ref="I271:I334" si="111">Wh_hp</f>
        <v>19.844920672351673</v>
      </c>
      <c r="J271" s="85">
        <v>2018</v>
      </c>
      <c r="K271" s="197">
        <f t="shared" ref="K271:K334" si="112">t</f>
        <v>43357</v>
      </c>
      <c r="L271" s="438">
        <f t="shared" ref="L271:L334" si="113">IF(t&lt;T0,0,IF(t&lt;Tvie,1-EXP((T0-t)*PertePVj),1-EXP((T0-t)*PertePVj)+Pspv))</f>
        <v>3.23636696957319E-3</v>
      </c>
      <c r="M271" s="861"/>
      <c r="N271" s="861"/>
      <c r="O271" s="324">
        <f t="shared" ref="O271:O334" si="114">IF(t&lt;T0,0,IF(t&lt;Tnet,Salim_i*(1-EXP((T0-t)/Tau_ij)),Resal+(Salim-Resal)*(1-EXP((Tnet-t)/(Tau_j)))))*Salcycl</f>
        <v>2.6879501046714511E-2</v>
      </c>
      <c r="P271" s="169">
        <f>(INDEX(Models!$BJ271:$BT271,,T271)*(1-R271)+INDEX(Models!$BJ271:$BT271,,T271+1)*R271-ERP_i)*Q271*Ramure*Pc/MaxiM</f>
        <v>1.1019279198019878E-9</v>
      </c>
      <c r="Q271" s="305">
        <f t="shared" ref="Q271:Q334" si="115">IF(OR(t&lt;Ttai,Notai),Dd+PousD*Croivg,Dens+PousD*(Croivg-Croi_tai))</f>
        <v>0.7</v>
      </c>
      <c r="R271" s="177">
        <f t="shared" ref="R271:R334" si="116">(Hp_vg-S271)/(INDEX(Echel_vg,T271+1)-S271)</f>
        <v>0.49178389215654894</v>
      </c>
      <c r="S271" s="817">
        <f t="shared" si="105"/>
        <v>-2</v>
      </c>
      <c r="T271" s="176">
        <f t="shared" ref="T271:T334" si="117">MIN(MATCH(Hp_vg,Echel_vg),10)</f>
        <v>4</v>
      </c>
      <c r="U271" s="251">
        <f t="shared" ref="U271:U334" si="118">IF(OR(t&lt;Ttai,Notai),Hdd+PousH*Croivg,Hdtf+PousH*(Croivg-Croi_tai))</f>
        <v>-1.5082161078434511</v>
      </c>
      <c r="V271" s="383">
        <f t="shared" ref="V271:V334" si="119">MaxiM*(1-Ppv)*(1-Pvg)*(1-Psa)</f>
        <v>33.108743295230916</v>
      </c>
      <c r="W271" s="58"/>
      <c r="X271" s="157">
        <f t="shared" ref="X271:X334" si="120">t</f>
        <v>43357</v>
      </c>
      <c r="Y271" s="385">
        <f t="shared" ref="Y271:Y334" si="121">Wh_pvt_s*(1-Ppv)</f>
        <v>19.248999999999999</v>
      </c>
      <c r="Z271" s="385">
        <f t="shared" ref="Z271:Z334" si="122">Wh_sa_s*(1-Psa_s)</f>
        <v>19.311499097813105</v>
      </c>
      <c r="AA271" s="386">
        <f t="shared" ref="AA271:AA334" si="123">Wh_hp*(1-Pvg_s*MEDIAN((-Sdif+Wh/Env_an)/Csdif,0,1))</f>
        <v>19.844920663561268</v>
      </c>
      <c r="AB271" s="197">
        <f t="shared" ref="AB271:AB334" si="124">t</f>
        <v>43357</v>
      </c>
      <c r="AC271" s="427">
        <f t="shared" ref="AC271:AC334" si="125">IF(t&lt;T0,0,IF(OR(t&lt;Tnet,NoTnet),Salim_i*(1-EXP((T0-t)/Tau_ij)),Resal_s+(Salim-Resal_s)*(1-EXP((Tnet_s-t)/Tau_j))))*Salcycl</f>
        <v>2.6879501046714511E-2</v>
      </c>
      <c r="AD271" s="169">
        <f>(INDEX(Models!$BJ271:$BT271,,AH271)*(1-AF271)+INDEX(Models!$BJ271:$BT271,,AH271+1)*AF271-ERP_i)*AE271*Ramure*Pc/MaxiM</f>
        <v>1.1019279198019878E-9</v>
      </c>
      <c r="AE271" s="305">
        <f t="shared" ref="AE271:AE334" si="126">Dd+PousD*Croivg</f>
        <v>0.7</v>
      </c>
      <c r="AF271" s="177">
        <f t="shared" ref="AF271:AF334" si="127">(Hp_vg_s-AG271)/(INDEX(Echel_vg,AH271+1)-AG271)</f>
        <v>0.49178389215654894</v>
      </c>
      <c r="AG271" s="817">
        <f t="shared" ref="AG271:AG334" si="128">INDEX(Echel_vg,AH271)</f>
        <v>-2</v>
      </c>
      <c r="AH271" s="176">
        <f t="shared" ref="AH271:AH334" si="129">MIN(MATCH(Hp_vg_s,Echel_vg),10)</f>
        <v>4</v>
      </c>
      <c r="AI271" s="225">
        <f t="shared" ref="AI271:AI334" si="130">Hdd+PousH*Croivg</f>
        <v>-1.5082161078434511</v>
      </c>
      <c r="AJ271" s="265" t="b">
        <f t="shared" ref="AJ271:AJ334" si="131">t&lt;Tnet</f>
        <v>0</v>
      </c>
      <c r="AK271" s="265" t="b">
        <f t="shared" ref="AK271:AK334" si="13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33">A271+1</f>
        <v>43358</v>
      </c>
      <c r="B272" s="617">
        <v>25.213999999999999</v>
      </c>
      <c r="C272" s="390"/>
      <c r="D272" s="393">
        <f t="shared" si="110"/>
        <v>25.296420764015092</v>
      </c>
      <c r="E272" s="385">
        <f t="shared" si="107"/>
        <v>25.999392417425469</v>
      </c>
      <c r="F272" s="385">
        <f t="shared" si="109"/>
        <v>25.999392446257868</v>
      </c>
      <c r="G272" s="110">
        <f t="shared" si="108"/>
        <v>0.76657064674248609</v>
      </c>
      <c r="I272" s="380">
        <f t="shared" si="111"/>
        <v>25.999392446257868</v>
      </c>
      <c r="J272" s="85">
        <v>2018</v>
      </c>
      <c r="K272" s="197">
        <f t="shared" si="112"/>
        <v>43358</v>
      </c>
      <c r="L272" s="438">
        <f t="shared" si="113"/>
        <v>3.2581986512629779E-3</v>
      </c>
      <c r="M272" s="861"/>
      <c r="N272" s="861"/>
      <c r="O272" s="324">
        <f t="shared" si="114"/>
        <v>2.7038003124227845E-2</v>
      </c>
      <c r="P272" s="169">
        <f>(INDEX(Models!$BJ272:$BT272,,T272)*(1-R272)+INDEX(Models!$BJ272:$BT272,,T272+1)*R272-ERP_i)*Q272*Ramure*Pc/MaxiM</f>
        <v>1.66378882930209E-9</v>
      </c>
      <c r="Q272" s="305">
        <f t="shared" si="115"/>
        <v>0.7</v>
      </c>
      <c r="R272" s="177">
        <f t="shared" si="116"/>
        <v>0.4921596687664469</v>
      </c>
      <c r="S272" s="817">
        <f t="shared" ref="S272:S335" si="134">INDEX(Echel_vg,T272)</f>
        <v>-2</v>
      </c>
      <c r="T272" s="176">
        <f t="shared" si="117"/>
        <v>4</v>
      </c>
      <c r="U272" s="251">
        <f t="shared" si="118"/>
        <v>-1.5078403312335531</v>
      </c>
      <c r="V272" s="383">
        <f t="shared" si="119"/>
        <v>32.891945567126292</v>
      </c>
      <c r="W272" s="58"/>
      <c r="X272" s="157">
        <f t="shared" si="120"/>
        <v>43358</v>
      </c>
      <c r="Y272" s="385">
        <f t="shared" si="121"/>
        <v>25.213999999999999</v>
      </c>
      <c r="Z272" s="385">
        <f t="shared" si="122"/>
        <v>25.296420764015092</v>
      </c>
      <c r="AA272" s="386">
        <f t="shared" si="123"/>
        <v>25.999392417425469</v>
      </c>
      <c r="AB272" s="197">
        <f t="shared" si="124"/>
        <v>43358</v>
      </c>
      <c r="AC272" s="427">
        <f t="shared" si="125"/>
        <v>2.7038003124227845E-2</v>
      </c>
      <c r="AD272" s="169">
        <f>(INDEX(Models!$BJ272:$BT272,,AH272)*(1-AF272)+INDEX(Models!$BJ272:$BT272,,AH272+1)*AF272-ERP_i)*AE272*Ramure*Pc/MaxiM</f>
        <v>1.66378882930209E-9</v>
      </c>
      <c r="AE272" s="305">
        <f t="shared" si="126"/>
        <v>0.7</v>
      </c>
      <c r="AF272" s="177">
        <f t="shared" si="127"/>
        <v>0.4921596687664469</v>
      </c>
      <c r="AG272" s="817">
        <f t="shared" si="128"/>
        <v>-2</v>
      </c>
      <c r="AH272" s="176">
        <f t="shared" si="129"/>
        <v>4</v>
      </c>
      <c r="AI272" s="225">
        <f t="shared" si="130"/>
        <v>-1.5078403312335531</v>
      </c>
      <c r="AJ272" s="265" t="b">
        <f t="shared" si="131"/>
        <v>0</v>
      </c>
      <c r="AK272" s="265" t="b">
        <f t="shared" si="132"/>
        <v>0</v>
      </c>
      <c r="AL272" s="265"/>
      <c r="AM272" s="265"/>
      <c r="AN272" s="75"/>
    </row>
    <row r="273" spans="1:40" s="6" customFormat="1" ht="11.25" x14ac:dyDescent="0.2">
      <c r="A273" s="56">
        <f t="shared" si="133"/>
        <v>43359</v>
      </c>
      <c r="B273" s="617">
        <v>30.59</v>
      </c>
      <c r="C273" s="390"/>
      <c r="D273" s="393">
        <f t="shared" si="110"/>
        <v>30.690666301732865</v>
      </c>
      <c r="E273" s="385">
        <f t="shared" si="107"/>
        <v>31.548663514435621</v>
      </c>
      <c r="F273" s="385">
        <f t="shared" si="109"/>
        <v>31.548663581663206</v>
      </c>
      <c r="G273" s="110">
        <f t="shared" si="108"/>
        <v>0.93619070908160595</v>
      </c>
      <c r="I273" s="380">
        <f t="shared" si="111"/>
        <v>31.548663581663206</v>
      </c>
      <c r="J273" s="85">
        <v>2018</v>
      </c>
      <c r="K273" s="197">
        <f t="shared" si="112"/>
        <v>43359</v>
      </c>
      <c r="L273" s="438">
        <f t="shared" si="113"/>
        <v>3.2800298547829287E-3</v>
      </c>
      <c r="M273" s="861"/>
      <c r="N273" s="861"/>
      <c r="O273" s="324">
        <f t="shared" si="114"/>
        <v>2.7195992385229413E-2</v>
      </c>
      <c r="P273" s="169">
        <f>(INDEX(Models!$BJ273:$BT273,,T273)*(1-R273)+INDEX(Models!$BJ273:$BT273,,T273+1)*R273-ERP_i)*Q273*Ramure*Pc/MaxiM</f>
        <v>2.3446458340221099E-9</v>
      </c>
      <c r="Q273" s="305">
        <f t="shared" si="115"/>
        <v>0.7</v>
      </c>
      <c r="R273" s="177">
        <f t="shared" si="116"/>
        <v>0.49252085643834254</v>
      </c>
      <c r="S273" s="817">
        <f t="shared" si="134"/>
        <v>-2</v>
      </c>
      <c r="T273" s="176">
        <f t="shared" si="117"/>
        <v>4</v>
      </c>
      <c r="U273" s="251">
        <f t="shared" si="118"/>
        <v>-1.5074791435616575</v>
      </c>
      <c r="V273" s="383">
        <f t="shared" si="119"/>
        <v>32.674966432288706</v>
      </c>
      <c r="W273" s="58"/>
      <c r="X273" s="157">
        <f t="shared" si="120"/>
        <v>43359</v>
      </c>
      <c r="Y273" s="385">
        <f t="shared" si="121"/>
        <v>30.59</v>
      </c>
      <c r="Z273" s="385">
        <f t="shared" si="122"/>
        <v>30.690666301732865</v>
      </c>
      <c r="AA273" s="386">
        <f t="shared" si="123"/>
        <v>31.548663514435621</v>
      </c>
      <c r="AB273" s="197">
        <f t="shared" si="124"/>
        <v>43359</v>
      </c>
      <c r="AC273" s="427">
        <f t="shared" si="125"/>
        <v>2.7195992385229413E-2</v>
      </c>
      <c r="AD273" s="169">
        <f>(INDEX(Models!$BJ273:$BT273,,AH273)*(1-AF273)+INDEX(Models!$BJ273:$BT273,,AH273+1)*AF273-ERP_i)*AE273*Ramure*Pc/MaxiM</f>
        <v>2.3446458340221099E-9</v>
      </c>
      <c r="AE273" s="305">
        <f t="shared" si="126"/>
        <v>0.7</v>
      </c>
      <c r="AF273" s="177">
        <f t="shared" si="127"/>
        <v>0.49252085643834254</v>
      </c>
      <c r="AG273" s="817">
        <f t="shared" si="128"/>
        <v>-2</v>
      </c>
      <c r="AH273" s="176">
        <f t="shared" si="129"/>
        <v>4</v>
      </c>
      <c r="AI273" s="225">
        <f t="shared" si="130"/>
        <v>-1.5074791435616575</v>
      </c>
      <c r="AJ273" s="265" t="b">
        <f t="shared" si="131"/>
        <v>0</v>
      </c>
      <c r="AK273" s="265" t="b">
        <f t="shared" si="132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33"/>
        <v>43360</v>
      </c>
      <c r="B274" s="617">
        <v>27.849</v>
      </c>
      <c r="C274" s="390"/>
      <c r="D274" s="393">
        <f t="shared" si="110"/>
        <v>27.941258138808145</v>
      </c>
      <c r="E274" s="385">
        <f t="shared" si="107"/>
        <v>28.727042037209731</v>
      </c>
      <c r="F274" s="385">
        <f t="shared" si="109"/>
        <v>28.727042109266584</v>
      </c>
      <c r="G274" s="110">
        <f t="shared" si="108"/>
        <v>0.85798977681215283</v>
      </c>
      <c r="I274" s="380">
        <f t="shared" si="111"/>
        <v>28.727042109266584</v>
      </c>
      <c r="J274" s="85">
        <v>2018</v>
      </c>
      <c r="K274" s="197">
        <f t="shared" si="112"/>
        <v>43360</v>
      </c>
      <c r="L274" s="438">
        <f t="shared" si="113"/>
        <v>3.3018605801434786E-3</v>
      </c>
      <c r="M274" s="861"/>
      <c r="N274" s="861"/>
      <c r="O274" s="324">
        <f t="shared" si="114"/>
        <v>2.7353456627514001E-2</v>
      </c>
      <c r="P274" s="169">
        <f>(INDEX(Models!$BJ274:$BT274,,T274)*(1-R274)+INDEX(Models!$BJ274:$BT274,,T274+1)*R274-ERP_i)*Q274*Ramure*Pc/MaxiM</f>
        <v>3.1467061344250107E-9</v>
      </c>
      <c r="Q274" s="305">
        <f t="shared" si="115"/>
        <v>0.7</v>
      </c>
      <c r="R274" s="177">
        <f t="shared" si="116"/>
        <v>0.49286800098344097</v>
      </c>
      <c r="S274" s="817">
        <f t="shared" si="134"/>
        <v>-2</v>
      </c>
      <c r="T274" s="176">
        <f t="shared" si="117"/>
        <v>4</v>
      </c>
      <c r="U274" s="251">
        <f t="shared" si="118"/>
        <v>-1.507131999016559</v>
      </c>
      <c r="V274" s="383">
        <f t="shared" si="119"/>
        <v>32.458428683957429</v>
      </c>
      <c r="W274" s="58"/>
      <c r="X274" s="157">
        <f t="shared" si="120"/>
        <v>43360</v>
      </c>
      <c r="Y274" s="385">
        <f t="shared" si="121"/>
        <v>27.849</v>
      </c>
      <c r="Z274" s="385">
        <f t="shared" si="122"/>
        <v>27.941258138808145</v>
      </c>
      <c r="AA274" s="386">
        <f t="shared" si="123"/>
        <v>28.727042037209731</v>
      </c>
      <c r="AB274" s="197">
        <f t="shared" si="124"/>
        <v>43360</v>
      </c>
      <c r="AC274" s="427">
        <f t="shared" si="125"/>
        <v>2.7353456627514001E-2</v>
      </c>
      <c r="AD274" s="169">
        <f>(INDEX(Models!$BJ274:$BT274,,AH274)*(1-AF274)+INDEX(Models!$BJ274:$BT274,,AH274+1)*AF274-ERP_i)*AE274*Ramure*Pc/MaxiM</f>
        <v>3.1467061344250107E-9</v>
      </c>
      <c r="AE274" s="305">
        <f t="shared" si="126"/>
        <v>0.7</v>
      </c>
      <c r="AF274" s="177">
        <f t="shared" si="127"/>
        <v>0.49286800098344097</v>
      </c>
      <c r="AG274" s="817">
        <f t="shared" si="128"/>
        <v>-2</v>
      </c>
      <c r="AH274" s="176">
        <f t="shared" si="129"/>
        <v>4</v>
      </c>
      <c r="AI274" s="225">
        <f t="shared" si="130"/>
        <v>-1.507131999016559</v>
      </c>
      <c r="AJ274" s="265" t="b">
        <f t="shared" si="131"/>
        <v>0</v>
      </c>
      <c r="AK274" s="265" t="b">
        <f t="shared" si="132"/>
        <v>0</v>
      </c>
      <c r="AL274" s="265"/>
      <c r="AM274" s="265"/>
      <c r="AN274" s="75"/>
    </row>
    <row r="275" spans="1:40" s="6" customFormat="1" ht="11.25" x14ac:dyDescent="0.2">
      <c r="A275" s="56">
        <f t="shared" si="133"/>
        <v>43361</v>
      </c>
      <c r="B275" s="617">
        <v>25.273</v>
      </c>
      <c r="C275" s="390"/>
      <c r="D275" s="393">
        <f t="shared" si="110"/>
        <v>25.357279758138802</v>
      </c>
      <c r="E275" s="385">
        <f t="shared" si="107"/>
        <v>26.074602054131709</v>
      </c>
      <c r="F275" s="385">
        <f t="shared" si="109"/>
        <v>26.074602127527871</v>
      </c>
      <c r="G275" s="110">
        <f t="shared" si="108"/>
        <v>0.78385705171988473</v>
      </c>
      <c r="I275" s="380">
        <f t="shared" si="111"/>
        <v>26.074602127527871</v>
      </c>
      <c r="J275" s="85">
        <v>2018</v>
      </c>
      <c r="K275" s="197">
        <f t="shared" si="112"/>
        <v>43361</v>
      </c>
      <c r="L275" s="438">
        <f t="shared" si="113"/>
        <v>3.3236908273550636E-3</v>
      </c>
      <c r="M275" s="861"/>
      <c r="N275" s="861"/>
      <c r="O275" s="324">
        <f t="shared" si="114"/>
        <v>2.7510383265053198E-2</v>
      </c>
      <c r="P275" s="169">
        <f>(INDEX(Models!$BJ275:$BT275,,T275)*(1-R275)+INDEX(Models!$BJ275:$BT275,,T275+1)*R275-ERP_i)*Q275*Ramure*Pc/MaxiM</f>
        <v>4.0722706998636875E-9</v>
      </c>
      <c r="Q275" s="305">
        <f t="shared" si="115"/>
        <v>0.7</v>
      </c>
      <c r="R275" s="177">
        <f t="shared" si="116"/>
        <v>0.49320162939329881</v>
      </c>
      <c r="S275" s="817">
        <f t="shared" si="134"/>
        <v>-2</v>
      </c>
      <c r="T275" s="176">
        <f t="shared" si="117"/>
        <v>4</v>
      </c>
      <c r="U275" s="251">
        <f t="shared" si="118"/>
        <v>-1.5067983706067012</v>
      </c>
      <c r="V275" s="383">
        <f t="shared" si="119"/>
        <v>32.241848067538605</v>
      </c>
      <c r="W275" s="58"/>
      <c r="X275" s="157">
        <f t="shared" si="120"/>
        <v>43361</v>
      </c>
      <c r="Y275" s="385">
        <f t="shared" si="121"/>
        <v>25.273</v>
      </c>
      <c r="Z275" s="385">
        <f t="shared" si="122"/>
        <v>25.357279758138802</v>
      </c>
      <c r="AA275" s="386">
        <f t="shared" si="123"/>
        <v>26.074602054131709</v>
      </c>
      <c r="AB275" s="197">
        <f t="shared" si="124"/>
        <v>43361</v>
      </c>
      <c r="AC275" s="427">
        <f t="shared" si="125"/>
        <v>2.7510383265053198E-2</v>
      </c>
      <c r="AD275" s="169">
        <f>(INDEX(Models!$BJ275:$BT275,,AH275)*(1-AF275)+INDEX(Models!$BJ275:$BT275,,AH275+1)*AF275-ERP_i)*AE275*Ramure*Pc/MaxiM</f>
        <v>4.0722706998636875E-9</v>
      </c>
      <c r="AE275" s="305">
        <f t="shared" si="126"/>
        <v>0.7</v>
      </c>
      <c r="AF275" s="177">
        <f t="shared" si="127"/>
        <v>0.49320162939329881</v>
      </c>
      <c r="AG275" s="817">
        <f t="shared" si="128"/>
        <v>-2</v>
      </c>
      <c r="AH275" s="176">
        <f t="shared" si="129"/>
        <v>4</v>
      </c>
      <c r="AI275" s="225">
        <f t="shared" si="130"/>
        <v>-1.5067983706067012</v>
      </c>
      <c r="AJ275" s="265" t="b">
        <f t="shared" si="131"/>
        <v>0</v>
      </c>
      <c r="AK275" s="265" t="b">
        <f t="shared" si="132"/>
        <v>0</v>
      </c>
      <c r="AL275" s="265"/>
      <c r="AM275" s="265"/>
      <c r="AN275" s="75"/>
    </row>
    <row r="276" spans="1:40" s="6" customFormat="1" ht="11.25" x14ac:dyDescent="0.2">
      <c r="A276" s="56">
        <f t="shared" si="133"/>
        <v>43362</v>
      </c>
      <c r="B276" s="617">
        <v>25.16</v>
      </c>
      <c r="C276" s="390"/>
      <c r="D276" s="393">
        <f t="shared" si="110"/>
        <v>25.244455846981701</v>
      </c>
      <c r="E276" s="385">
        <f t="shared" si="107"/>
        <v>25.962761316451189</v>
      </c>
      <c r="F276" s="385">
        <f t="shared" si="109"/>
        <v>25.96282484932043</v>
      </c>
      <c r="G276" s="110">
        <f t="shared" si="108"/>
        <v>0.78565807323348424</v>
      </c>
      <c r="I276" s="380">
        <f t="shared" si="111"/>
        <v>25.96282484932043</v>
      </c>
      <c r="J276" s="85">
        <v>2018</v>
      </c>
      <c r="K276" s="197">
        <f t="shared" si="112"/>
        <v>43362</v>
      </c>
      <c r="L276" s="438">
        <f t="shared" si="113"/>
        <v>3.3455205964282309E-3</v>
      </c>
      <c r="M276" s="861"/>
      <c r="N276" s="861"/>
      <c r="O276" s="324">
        <f t="shared" si="114"/>
        <v>2.7666759352532308E-2</v>
      </c>
      <c r="P276" s="169">
        <f>(INDEX(Models!$BJ276:$BT276,,T276)*(1-R276)+INDEX(Models!$BJ276:$BT276,,T276+1)*R276-ERP_i)*Q276*Ramure*Pc/MaxiM</f>
        <v>3.5270628157275644E-6</v>
      </c>
      <c r="Q276" s="305">
        <f t="shared" si="115"/>
        <v>0.7</v>
      </c>
      <c r="R276" s="177">
        <f t="shared" si="116"/>
        <v>0.49352225036256026</v>
      </c>
      <c r="S276" s="817">
        <f t="shared" si="134"/>
        <v>-2</v>
      </c>
      <c r="T276" s="176">
        <f t="shared" si="117"/>
        <v>4</v>
      </c>
      <c r="U276" s="251">
        <f t="shared" si="118"/>
        <v>-1.5064777496374397</v>
      </c>
      <c r="V276" s="383">
        <f t="shared" si="119"/>
        <v>32.024074701840405</v>
      </c>
      <c r="W276" s="58"/>
      <c r="X276" s="157">
        <f t="shared" si="120"/>
        <v>43362</v>
      </c>
      <c r="Y276" s="385">
        <f t="shared" si="121"/>
        <v>25.16</v>
      </c>
      <c r="Z276" s="385">
        <f t="shared" si="122"/>
        <v>25.244455846981701</v>
      </c>
      <c r="AA276" s="386">
        <f t="shared" si="123"/>
        <v>25.962761316451189</v>
      </c>
      <c r="AB276" s="197">
        <f t="shared" si="124"/>
        <v>43362</v>
      </c>
      <c r="AC276" s="427">
        <f t="shared" si="125"/>
        <v>2.7666759352532308E-2</v>
      </c>
      <c r="AD276" s="169">
        <f>(INDEX(Models!$BJ276:$BT276,,AH276)*(1-AF276)+INDEX(Models!$BJ276:$BT276,,AH276+1)*AF276-ERP_i)*AE276*Ramure*Pc/MaxiM</f>
        <v>3.5270628157275644E-6</v>
      </c>
      <c r="AE276" s="305">
        <f t="shared" si="126"/>
        <v>0.7</v>
      </c>
      <c r="AF276" s="177">
        <f t="shared" si="127"/>
        <v>0.49352225036256026</v>
      </c>
      <c r="AG276" s="817">
        <f t="shared" si="128"/>
        <v>-2</v>
      </c>
      <c r="AH276" s="176">
        <f t="shared" si="129"/>
        <v>4</v>
      </c>
      <c r="AI276" s="225">
        <f t="shared" si="130"/>
        <v>-1.5064777496374397</v>
      </c>
      <c r="AJ276" s="265" t="b">
        <f t="shared" si="131"/>
        <v>0</v>
      </c>
      <c r="AK276" s="265" t="b">
        <f t="shared" si="132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33"/>
        <v>43363</v>
      </c>
      <c r="B277" s="617">
        <v>29.643999999999998</v>
      </c>
      <c r="C277" s="390"/>
      <c r="D277" s="393">
        <f t="shared" si="110"/>
        <v>29.744158990426431</v>
      </c>
      <c r="E277" s="385">
        <f t="shared" si="107"/>
        <v>30.595401746636572</v>
      </c>
      <c r="F277" s="385">
        <f t="shared" si="109"/>
        <v>30.595695740753147</v>
      </c>
      <c r="G277" s="110">
        <f t="shared" si="108"/>
        <v>0.93205661804167284</v>
      </c>
      <c r="I277" s="380">
        <f t="shared" si="111"/>
        <v>30.595695740753147</v>
      </c>
      <c r="J277" s="85">
        <v>2018</v>
      </c>
      <c r="K277" s="197">
        <f t="shared" si="112"/>
        <v>43363</v>
      </c>
      <c r="L277" s="438">
        <f t="shared" si="113"/>
        <v>3.3673498873735275E-3</v>
      </c>
      <c r="M277" s="861"/>
      <c r="N277" s="861"/>
      <c r="O277" s="324">
        <f t="shared" si="114"/>
        <v>2.7822571615805602E-2</v>
      </c>
      <c r="P277" s="169">
        <f>(INDEX(Models!$BJ277:$BT277,,T277)*(1-R277)+INDEX(Models!$BJ277:$BT277,,T277+1)*R277-ERP_i)*Q277*Ramure*Pc/MaxiM</f>
        <v>1.0641912933089008E-5</v>
      </c>
      <c r="Q277" s="305">
        <f t="shared" si="115"/>
        <v>0.7</v>
      </c>
      <c r="R277" s="177">
        <f t="shared" si="116"/>
        <v>0.49383035480761905</v>
      </c>
      <c r="S277" s="817">
        <f t="shared" si="134"/>
        <v>-2</v>
      </c>
      <c r="T277" s="176">
        <f t="shared" si="117"/>
        <v>4</v>
      </c>
      <c r="U277" s="251">
        <f t="shared" si="118"/>
        <v>-1.5061696451923809</v>
      </c>
      <c r="V277" s="383">
        <f t="shared" si="119"/>
        <v>31.804901983736805</v>
      </c>
      <c r="W277" s="58"/>
      <c r="X277" s="157">
        <f t="shared" si="120"/>
        <v>43363</v>
      </c>
      <c r="Y277" s="385">
        <f t="shared" si="121"/>
        <v>29.643999999999998</v>
      </c>
      <c r="Z277" s="385">
        <f t="shared" si="122"/>
        <v>29.744158990426431</v>
      </c>
      <c r="AA277" s="386">
        <f t="shared" si="123"/>
        <v>30.595401746636572</v>
      </c>
      <c r="AB277" s="197">
        <f t="shared" si="124"/>
        <v>43363</v>
      </c>
      <c r="AC277" s="427">
        <f t="shared" si="125"/>
        <v>2.7822571615805602E-2</v>
      </c>
      <c r="AD277" s="169">
        <f>(INDEX(Models!$BJ277:$BT277,,AH277)*(1-AF277)+INDEX(Models!$BJ277:$BT277,,AH277+1)*AF277-ERP_i)*AE277*Ramure*Pc/MaxiM</f>
        <v>1.0641912933089008E-5</v>
      </c>
      <c r="AE277" s="305">
        <f t="shared" si="126"/>
        <v>0.7</v>
      </c>
      <c r="AF277" s="177">
        <f t="shared" si="127"/>
        <v>0.49383035480761905</v>
      </c>
      <c r="AG277" s="817">
        <f t="shared" si="128"/>
        <v>-2</v>
      </c>
      <c r="AH277" s="176">
        <f t="shared" si="129"/>
        <v>4</v>
      </c>
      <c r="AI277" s="225">
        <f t="shared" si="130"/>
        <v>-1.5061696451923809</v>
      </c>
      <c r="AJ277" s="265" t="b">
        <f t="shared" si="131"/>
        <v>0</v>
      </c>
      <c r="AK277" s="265" t="b">
        <f t="shared" si="132"/>
        <v>0</v>
      </c>
      <c r="AL277" s="265"/>
      <c r="AM277" s="265"/>
      <c r="AN277" s="75"/>
    </row>
    <row r="278" spans="1:40" s="6" customFormat="1" ht="11.25" x14ac:dyDescent="0.2">
      <c r="A278" s="56">
        <f t="shared" si="133"/>
        <v>43364</v>
      </c>
      <c r="B278" s="617">
        <v>22.997</v>
      </c>
      <c r="C278" s="390"/>
      <c r="D278" s="393">
        <f t="shared" si="110"/>
        <v>23.075205996666661</v>
      </c>
      <c r="E278" s="385">
        <f t="shared" si="107"/>
        <v>23.73938182759461</v>
      </c>
      <c r="F278" s="385">
        <f t="shared" si="109"/>
        <v>23.739692830331293</v>
      </c>
      <c r="G278" s="110">
        <f t="shared" si="108"/>
        <v>0.72811292917858184</v>
      </c>
      <c r="I278" s="380">
        <f t="shared" si="111"/>
        <v>23.739692830331293</v>
      </c>
      <c r="J278" s="85">
        <v>2018</v>
      </c>
      <c r="K278" s="197">
        <f t="shared" si="112"/>
        <v>43364</v>
      </c>
      <c r="L278" s="438">
        <f t="shared" si="113"/>
        <v>3.3891787002012785E-3</v>
      </c>
      <c r="M278" s="861"/>
      <c r="N278" s="861"/>
      <c r="O278" s="324">
        <f t="shared" si="114"/>
        <v>2.7977806488453386E-2</v>
      </c>
      <c r="P278" s="169">
        <f>(INDEX(Models!$BJ278:$BT278,,T278)*(1-R278)+INDEX(Models!$BJ278:$BT278,,T278+1)*R278-ERP_i)*Q278*Ramure*Pc/MaxiM</f>
        <v>2.1420157819029229E-5</v>
      </c>
      <c r="Q278" s="305">
        <f t="shared" si="115"/>
        <v>0.7</v>
      </c>
      <c r="R278" s="177">
        <f t="shared" si="116"/>
        <v>0.49412641638020682</v>
      </c>
      <c r="S278" s="817">
        <f t="shared" si="134"/>
        <v>-2</v>
      </c>
      <c r="T278" s="176">
        <f t="shared" si="117"/>
        <v>4</v>
      </c>
      <c r="U278" s="251">
        <f t="shared" si="118"/>
        <v>-1.5058735836197932</v>
      </c>
      <c r="V278" s="383">
        <f t="shared" si="119"/>
        <v>31.584123491845276</v>
      </c>
      <c r="W278" s="58"/>
      <c r="X278" s="157">
        <f t="shared" si="120"/>
        <v>43364</v>
      </c>
      <c r="Y278" s="385">
        <f t="shared" si="121"/>
        <v>22.997</v>
      </c>
      <c r="Z278" s="385">
        <f t="shared" si="122"/>
        <v>23.075205996666661</v>
      </c>
      <c r="AA278" s="386">
        <f t="shared" si="123"/>
        <v>23.73938182759461</v>
      </c>
      <c r="AB278" s="197">
        <f t="shared" si="124"/>
        <v>43364</v>
      </c>
      <c r="AC278" s="427">
        <f t="shared" si="125"/>
        <v>2.7977806488453386E-2</v>
      </c>
      <c r="AD278" s="169">
        <f>(INDEX(Models!$BJ278:$BT278,,AH278)*(1-AF278)+INDEX(Models!$BJ278:$BT278,,AH278+1)*AF278-ERP_i)*AE278*Ramure*Pc/MaxiM</f>
        <v>2.1420157819029229E-5</v>
      </c>
      <c r="AE278" s="305">
        <f t="shared" si="126"/>
        <v>0.7</v>
      </c>
      <c r="AF278" s="177">
        <f t="shared" si="127"/>
        <v>0.49412641638020682</v>
      </c>
      <c r="AG278" s="817">
        <f t="shared" si="128"/>
        <v>-2</v>
      </c>
      <c r="AH278" s="176">
        <f t="shared" si="129"/>
        <v>4</v>
      </c>
      <c r="AI278" s="225">
        <f t="shared" si="130"/>
        <v>-1.5058735836197932</v>
      </c>
      <c r="AJ278" s="265" t="b">
        <f t="shared" si="131"/>
        <v>0</v>
      </c>
      <c r="AK278" s="265" t="b">
        <f t="shared" si="132"/>
        <v>0</v>
      </c>
      <c r="AL278" s="265"/>
      <c r="AM278" s="265"/>
      <c r="AN278" s="75"/>
    </row>
    <row r="279" spans="1:40" s="6" customFormat="1" ht="11.25" x14ac:dyDescent="0.2">
      <c r="A279" s="56">
        <f t="shared" si="133"/>
        <v>43365</v>
      </c>
      <c r="B279" s="617">
        <v>29.184000000000001</v>
      </c>
      <c r="C279" s="390"/>
      <c r="D279" s="393">
        <f t="shared" si="110"/>
        <v>29.283887546430737</v>
      </c>
      <c r="E279" s="385">
        <f t="shared" si="107"/>
        <v>30.131562218625341</v>
      </c>
      <c r="F279" s="385">
        <f t="shared" si="109"/>
        <v>30.132537637462182</v>
      </c>
      <c r="G279" s="110">
        <f t="shared" si="108"/>
        <v>0.93056343855702006</v>
      </c>
      <c r="I279" s="380">
        <f t="shared" si="111"/>
        <v>30.132537637462182</v>
      </c>
      <c r="J279" s="85">
        <v>2018</v>
      </c>
      <c r="K279" s="197">
        <f t="shared" si="112"/>
        <v>43365</v>
      </c>
      <c r="L279" s="438">
        <f t="shared" si="113"/>
        <v>3.4110070349219201E-3</v>
      </c>
      <c r="M279" s="861"/>
      <c r="N279" s="861"/>
      <c r="O279" s="324">
        <f t="shared" si="114"/>
        <v>2.8132450154563466E-2</v>
      </c>
      <c r="P279" s="169">
        <f>(INDEX(Models!$BJ279:$BT279,,T279)*(1-R279)+INDEX(Models!$BJ279:$BT279,,T279+1)*R279-ERP_i)*Q279*Ramure*Pc/MaxiM</f>
        <v>3.5935393113523342E-5</v>
      </c>
      <c r="Q279" s="305">
        <f t="shared" si="115"/>
        <v>0.7</v>
      </c>
      <c r="R279" s="177">
        <f t="shared" si="116"/>
        <v>0.49441089197501675</v>
      </c>
      <c r="S279" s="817">
        <f t="shared" si="134"/>
        <v>-2</v>
      </c>
      <c r="T279" s="176">
        <f t="shared" si="117"/>
        <v>4</v>
      </c>
      <c r="U279" s="251">
        <f t="shared" si="118"/>
        <v>-1.5055891080249832</v>
      </c>
      <c r="V279" s="383">
        <f t="shared" si="119"/>
        <v>31.361532983874131</v>
      </c>
      <c r="W279" s="58"/>
      <c r="X279" s="157">
        <f t="shared" si="120"/>
        <v>43365</v>
      </c>
      <c r="Y279" s="385">
        <f t="shared" si="121"/>
        <v>29.184000000000001</v>
      </c>
      <c r="Z279" s="385">
        <f t="shared" si="122"/>
        <v>29.283887546430737</v>
      </c>
      <c r="AA279" s="386">
        <f t="shared" si="123"/>
        <v>30.131562218625341</v>
      </c>
      <c r="AB279" s="197">
        <f t="shared" si="124"/>
        <v>43365</v>
      </c>
      <c r="AC279" s="427">
        <f t="shared" si="125"/>
        <v>2.8132450154563466E-2</v>
      </c>
      <c r="AD279" s="169">
        <f>(INDEX(Models!$BJ279:$BT279,,AH279)*(1-AF279)+INDEX(Models!$BJ279:$BT279,,AH279+1)*AF279-ERP_i)*AE279*Ramure*Pc/MaxiM</f>
        <v>3.5935393113523342E-5</v>
      </c>
      <c r="AE279" s="305">
        <f t="shared" si="126"/>
        <v>0.7</v>
      </c>
      <c r="AF279" s="177">
        <f t="shared" si="127"/>
        <v>0.49441089197501675</v>
      </c>
      <c r="AG279" s="817">
        <f t="shared" si="128"/>
        <v>-2</v>
      </c>
      <c r="AH279" s="176">
        <f t="shared" si="129"/>
        <v>4</v>
      </c>
      <c r="AI279" s="225">
        <f t="shared" si="130"/>
        <v>-1.5055891080249832</v>
      </c>
      <c r="AJ279" s="265" t="b">
        <f t="shared" si="131"/>
        <v>0</v>
      </c>
      <c r="AK279" s="265" t="b">
        <f t="shared" si="132"/>
        <v>0</v>
      </c>
      <c r="AL279" s="265"/>
      <c r="AM279" s="265"/>
      <c r="AN279" s="75"/>
    </row>
    <row r="280" spans="1:40" s="6" customFormat="1" ht="11.25" x14ac:dyDescent="0.2">
      <c r="A280" s="56">
        <f t="shared" si="133"/>
        <v>43366</v>
      </c>
      <c r="B280" s="617">
        <v>29.483000000000001</v>
      </c>
      <c r="C280" s="390"/>
      <c r="D280" s="393">
        <f t="shared" si="110"/>
        <v>29.584558906063737</v>
      </c>
      <c r="E280" s="385">
        <f t="shared" si="107"/>
        <v>30.445762623360604</v>
      </c>
      <c r="F280" s="385">
        <f t="shared" si="109"/>
        <v>30.447289439965701</v>
      </c>
      <c r="G280" s="110">
        <f t="shared" si="108"/>
        <v>0.94687831803693612</v>
      </c>
      <c r="I280" s="380">
        <f t="shared" si="111"/>
        <v>30.447289439965701</v>
      </c>
      <c r="J280" s="85">
        <v>2018</v>
      </c>
      <c r="K280" s="197">
        <f t="shared" si="112"/>
        <v>43366</v>
      </c>
      <c r="L280" s="438">
        <f t="shared" si="113"/>
        <v>3.4328348915461104E-3</v>
      </c>
      <c r="M280" s="861"/>
      <c r="N280" s="861"/>
      <c r="O280" s="324">
        <f t="shared" si="114"/>
        <v>2.8286488597795107E-2</v>
      </c>
      <c r="P280" s="169">
        <f>(INDEX(Models!$BJ280:$BT280,,T280)*(1-R280)+INDEX(Models!$BJ280:$BT280,,T280+1)*R280-ERP_i)*Q280*Ramure*Pc/MaxiM</f>
        <v>5.4263907811639025E-5</v>
      </c>
      <c r="Q280" s="305">
        <f t="shared" si="115"/>
        <v>0.7</v>
      </c>
      <c r="R280" s="177">
        <f t="shared" si="116"/>
        <v>0.49468422223058206</v>
      </c>
      <c r="S280" s="817">
        <f t="shared" si="134"/>
        <v>-2</v>
      </c>
      <c r="T280" s="176">
        <f t="shared" si="117"/>
        <v>4</v>
      </c>
      <c r="U280" s="251">
        <f t="shared" si="118"/>
        <v>-1.5053157777694179</v>
      </c>
      <c r="V280" s="383">
        <f t="shared" si="119"/>
        <v>31.136924386833769</v>
      </c>
      <c r="W280" s="58"/>
      <c r="X280" s="157">
        <f t="shared" si="120"/>
        <v>43366</v>
      </c>
      <c r="Y280" s="385">
        <f t="shared" si="121"/>
        <v>29.483000000000001</v>
      </c>
      <c r="Z280" s="385">
        <f t="shared" si="122"/>
        <v>29.584558906063737</v>
      </c>
      <c r="AA280" s="386">
        <f t="shared" si="123"/>
        <v>30.445762623360604</v>
      </c>
      <c r="AB280" s="197">
        <f t="shared" si="124"/>
        <v>43366</v>
      </c>
      <c r="AC280" s="427">
        <f t="shared" si="125"/>
        <v>2.8286488597795107E-2</v>
      </c>
      <c r="AD280" s="169">
        <f>(INDEX(Models!$BJ280:$BT280,,AH280)*(1-AF280)+INDEX(Models!$BJ280:$BT280,,AH280+1)*AF280-ERP_i)*AE280*Ramure*Pc/MaxiM</f>
        <v>5.4263907811639025E-5</v>
      </c>
      <c r="AE280" s="305">
        <f t="shared" si="126"/>
        <v>0.7</v>
      </c>
      <c r="AF280" s="177">
        <f t="shared" si="127"/>
        <v>0.49468422223058206</v>
      </c>
      <c r="AG280" s="817">
        <f t="shared" si="128"/>
        <v>-2</v>
      </c>
      <c r="AH280" s="176">
        <f t="shared" si="129"/>
        <v>4</v>
      </c>
      <c r="AI280" s="225">
        <f t="shared" si="130"/>
        <v>-1.5053157777694179</v>
      </c>
      <c r="AJ280" s="265" t="b">
        <f t="shared" si="131"/>
        <v>0</v>
      </c>
      <c r="AK280" s="265" t="b">
        <f t="shared" si="132"/>
        <v>0</v>
      </c>
      <c r="AL280" s="265"/>
      <c r="AM280" s="265"/>
      <c r="AN280" s="75"/>
    </row>
    <row r="281" spans="1:40" s="6" customFormat="1" ht="11.25" x14ac:dyDescent="0.2">
      <c r="A281" s="56">
        <f t="shared" si="133"/>
        <v>43367</v>
      </c>
      <c r="B281" s="617">
        <v>23.332000000000001</v>
      </c>
      <c r="C281" s="390"/>
      <c r="D281" s="393">
        <f t="shared" si="110"/>
        <v>23.412883605626231</v>
      </c>
      <c r="E281" s="385">
        <f t="shared" si="107"/>
        <v>24.098235189093895</v>
      </c>
      <c r="F281" s="385">
        <f t="shared" si="109"/>
        <v>24.099432862873215</v>
      </c>
      <c r="G281" s="110">
        <f t="shared" si="108"/>
        <v>0.75481415944523822</v>
      </c>
      <c r="I281" s="380">
        <f t="shared" si="111"/>
        <v>24.099432862873215</v>
      </c>
      <c r="J281" s="85">
        <v>2018</v>
      </c>
      <c r="K281" s="197">
        <f t="shared" si="112"/>
        <v>43367</v>
      </c>
      <c r="L281" s="438">
        <f t="shared" si="113"/>
        <v>3.4546622700841745E-3</v>
      </c>
      <c r="M281" s="861"/>
      <c r="N281" s="861"/>
      <c r="O281" s="324">
        <f t="shared" si="114"/>
        <v>2.8439907656716442E-2</v>
      </c>
      <c r="P281" s="169">
        <f>(INDEX(Models!$BJ281:$BT281,,T281)*(1-R281)+INDEX(Models!$BJ281:$BT281,,T281+1)*R281-ERP_i)*Q281*Ramure*Pc/MaxiM</f>
        <v>7.6485035714368471E-5</v>
      </c>
      <c r="Q281" s="305">
        <f t="shared" si="115"/>
        <v>0.7</v>
      </c>
      <c r="R281" s="177">
        <f t="shared" si="116"/>
        <v>0.49494683202271816</v>
      </c>
      <c r="S281" s="817">
        <f t="shared" si="134"/>
        <v>-2</v>
      </c>
      <c r="T281" s="176">
        <f t="shared" si="117"/>
        <v>4</v>
      </c>
      <c r="U281" s="251">
        <f t="shared" si="118"/>
        <v>-1.5050531679772818</v>
      </c>
      <c r="V281" s="383">
        <f t="shared" si="119"/>
        <v>30.910091792347931</v>
      </c>
      <c r="W281" s="58"/>
      <c r="X281" s="157">
        <f t="shared" si="120"/>
        <v>43367</v>
      </c>
      <c r="Y281" s="385">
        <f t="shared" si="121"/>
        <v>23.332000000000001</v>
      </c>
      <c r="Z281" s="385">
        <f t="shared" si="122"/>
        <v>23.412883605626231</v>
      </c>
      <c r="AA281" s="386">
        <f t="shared" si="123"/>
        <v>24.098235189093895</v>
      </c>
      <c r="AB281" s="197">
        <f t="shared" si="124"/>
        <v>43367</v>
      </c>
      <c r="AC281" s="427">
        <f t="shared" si="125"/>
        <v>2.8439907656716442E-2</v>
      </c>
      <c r="AD281" s="169">
        <f>(INDEX(Models!$BJ281:$BT281,,AH281)*(1-AF281)+INDEX(Models!$BJ281:$BT281,,AH281+1)*AF281-ERP_i)*AE281*Ramure*Pc/MaxiM</f>
        <v>7.6485035714368471E-5</v>
      </c>
      <c r="AE281" s="305">
        <f t="shared" si="126"/>
        <v>0.7</v>
      </c>
      <c r="AF281" s="177">
        <f t="shared" si="127"/>
        <v>0.49494683202271816</v>
      </c>
      <c r="AG281" s="817">
        <f t="shared" si="128"/>
        <v>-2</v>
      </c>
      <c r="AH281" s="176">
        <f t="shared" si="129"/>
        <v>4</v>
      </c>
      <c r="AI281" s="225">
        <f t="shared" si="130"/>
        <v>-1.5050531679772818</v>
      </c>
      <c r="AJ281" s="265" t="b">
        <f t="shared" si="131"/>
        <v>0</v>
      </c>
      <c r="AK281" s="265" t="b">
        <f t="shared" si="132"/>
        <v>0</v>
      </c>
      <c r="AL281" s="265"/>
      <c r="AM281" s="265"/>
      <c r="AN281" s="75"/>
    </row>
    <row r="282" spans="1:40" s="6" customFormat="1" ht="11.25" x14ac:dyDescent="0.2">
      <c r="A282" s="56">
        <f t="shared" si="133"/>
        <v>43368</v>
      </c>
      <c r="B282" s="617">
        <v>30.92</v>
      </c>
      <c r="C282" s="390"/>
      <c r="D282" s="393">
        <f t="shared" si="110"/>
        <v>31.02786804725142</v>
      </c>
      <c r="E282" s="385">
        <f t="shared" si="107"/>
        <v>31.941151591532211</v>
      </c>
      <c r="F282" s="385">
        <f t="shared" si="109"/>
        <v>31.944717903389673</v>
      </c>
      <c r="G282" s="110">
        <f t="shared" si="108"/>
        <v>1.0078044687735763</v>
      </c>
      <c r="I282" s="380">
        <f t="shared" si="111"/>
        <v>31.944717903389673</v>
      </c>
      <c r="J282" s="85">
        <v>2018</v>
      </c>
      <c r="K282" s="197">
        <f t="shared" si="112"/>
        <v>43368</v>
      </c>
      <c r="L282" s="438">
        <f t="shared" si="113"/>
        <v>3.4764891705466594E-3</v>
      </c>
      <c r="M282" s="861"/>
      <c r="N282" s="861"/>
      <c r="O282" s="324">
        <f t="shared" si="114"/>
        <v>2.8592693086335309E-2</v>
      </c>
      <c r="P282" s="169">
        <f>(INDEX(Models!$BJ282:$BT282,,T282)*(1-R282)+INDEX(Models!$BJ282:$BT282,,T282+1)*R282-ERP_i)*Q282*Ramure*Pc/MaxiM</f>
        <v>1.116401111523072E-4</v>
      </c>
      <c r="Q282" s="305">
        <f t="shared" si="115"/>
        <v>0.7</v>
      </c>
      <c r="R282" s="177">
        <f t="shared" si="116"/>
        <v>0.49519913094993639</v>
      </c>
      <c r="S282" s="817">
        <f t="shared" si="134"/>
        <v>-2</v>
      </c>
      <c r="T282" s="176">
        <f t="shared" si="117"/>
        <v>4</v>
      </c>
      <c r="U282" s="251">
        <f t="shared" si="118"/>
        <v>-1.5048008690500636</v>
      </c>
      <c r="V282" s="383">
        <f t="shared" si="119"/>
        <v>30.680554569903187</v>
      </c>
      <c r="W282" s="58"/>
      <c r="X282" s="157">
        <f t="shared" si="120"/>
        <v>43368</v>
      </c>
      <c r="Y282" s="385">
        <f t="shared" si="121"/>
        <v>30.92</v>
      </c>
      <c r="Z282" s="385">
        <f t="shared" si="122"/>
        <v>31.02786804725142</v>
      </c>
      <c r="AA282" s="386">
        <f t="shared" si="123"/>
        <v>31.941151591532211</v>
      </c>
      <c r="AB282" s="197">
        <f t="shared" si="124"/>
        <v>43368</v>
      </c>
      <c r="AC282" s="427">
        <f t="shared" si="125"/>
        <v>2.8592693086335309E-2</v>
      </c>
      <c r="AD282" s="169">
        <f>(INDEX(Models!$BJ282:$BT282,,AH282)*(1-AF282)+INDEX(Models!$BJ282:$BT282,,AH282+1)*AF282-ERP_i)*AE282*Ramure*Pc/MaxiM</f>
        <v>1.116401111523072E-4</v>
      </c>
      <c r="AE282" s="305">
        <f t="shared" si="126"/>
        <v>0.7</v>
      </c>
      <c r="AF282" s="177">
        <f t="shared" si="127"/>
        <v>0.49519913094993639</v>
      </c>
      <c r="AG282" s="817">
        <f t="shared" si="128"/>
        <v>-2</v>
      </c>
      <c r="AH282" s="176">
        <f t="shared" si="129"/>
        <v>4</v>
      </c>
      <c r="AI282" s="225">
        <f t="shared" si="130"/>
        <v>-1.5048008690500636</v>
      </c>
      <c r="AJ282" s="265" t="b">
        <f t="shared" si="131"/>
        <v>0</v>
      </c>
      <c r="AK282" s="265" t="b">
        <f t="shared" si="132"/>
        <v>0</v>
      </c>
      <c r="AL282" s="265"/>
      <c r="AM282" s="265"/>
      <c r="AN282" s="75"/>
    </row>
    <row r="283" spans="1:40" s="6" customFormat="1" ht="11.25" x14ac:dyDescent="0.2">
      <c r="A283" s="56">
        <f t="shared" si="133"/>
        <v>43369</v>
      </c>
      <c r="B283" s="617">
        <v>29.907</v>
      </c>
      <c r="C283" s="390"/>
      <c r="D283" s="393">
        <f t="shared" si="110"/>
        <v>30.011991417551322</v>
      </c>
      <c r="E283" s="385">
        <f t="shared" si="107"/>
        <v>30.90021280080779</v>
      </c>
      <c r="F283" s="385">
        <f t="shared" si="109"/>
        <v>30.905032154620368</v>
      </c>
      <c r="G283" s="110">
        <f t="shared" si="108"/>
        <v>0.9822245390119777</v>
      </c>
      <c r="I283" s="380">
        <f t="shared" si="111"/>
        <v>30.905032154620368</v>
      </c>
      <c r="J283" s="85">
        <v>2018</v>
      </c>
      <c r="K283" s="197">
        <f t="shared" si="112"/>
        <v>43369</v>
      </c>
      <c r="L283" s="438">
        <f t="shared" si="113"/>
        <v>3.4983155929440013E-3</v>
      </c>
      <c r="M283" s="861"/>
      <c r="N283" s="861"/>
      <c r="O283" s="324">
        <f t="shared" si="114"/>
        <v>2.8744830625672856E-2</v>
      </c>
      <c r="P283" s="169">
        <f>(INDEX(Models!$BJ283:$BT283,,T283)*(1-R283)+INDEX(Models!$BJ283:$BT283,,T283+1)*R283-ERP_i)*Q283*Ramure*Pc/MaxiM</f>
        <v>1.6000287066325898E-4</v>
      </c>
      <c r="Q283" s="305">
        <f t="shared" si="115"/>
        <v>0.7</v>
      </c>
      <c r="R283" s="177">
        <f t="shared" si="116"/>
        <v>0.49544151381031432</v>
      </c>
      <c r="S283" s="817">
        <f t="shared" si="134"/>
        <v>-2</v>
      </c>
      <c r="T283" s="176">
        <f t="shared" si="117"/>
        <v>4</v>
      </c>
      <c r="U283" s="251">
        <f t="shared" si="118"/>
        <v>-1.5045584861896857</v>
      </c>
      <c r="V283" s="383">
        <f t="shared" si="119"/>
        <v>30.448107644729969</v>
      </c>
      <c r="W283" s="58"/>
      <c r="X283" s="157">
        <f t="shared" si="120"/>
        <v>43369</v>
      </c>
      <c r="Y283" s="385">
        <f t="shared" si="121"/>
        <v>29.907</v>
      </c>
      <c r="Z283" s="385">
        <f t="shared" si="122"/>
        <v>30.011991417551322</v>
      </c>
      <c r="AA283" s="386">
        <f t="shared" si="123"/>
        <v>30.90021280080779</v>
      </c>
      <c r="AB283" s="197">
        <f t="shared" si="124"/>
        <v>43369</v>
      </c>
      <c r="AC283" s="427">
        <f t="shared" si="125"/>
        <v>2.8744830625672856E-2</v>
      </c>
      <c r="AD283" s="169">
        <f>(INDEX(Models!$BJ283:$BT283,,AH283)*(1-AF283)+INDEX(Models!$BJ283:$BT283,,AH283+1)*AF283-ERP_i)*AE283*Ramure*Pc/MaxiM</f>
        <v>1.6000287066325898E-4</v>
      </c>
      <c r="AE283" s="305">
        <f t="shared" si="126"/>
        <v>0.7</v>
      </c>
      <c r="AF283" s="177">
        <f t="shared" si="127"/>
        <v>0.49544151381031432</v>
      </c>
      <c r="AG283" s="817">
        <f t="shared" si="128"/>
        <v>-2</v>
      </c>
      <c r="AH283" s="176">
        <f t="shared" si="129"/>
        <v>4</v>
      </c>
      <c r="AI283" s="225">
        <f t="shared" si="130"/>
        <v>-1.5045584861896857</v>
      </c>
      <c r="AJ283" s="265" t="b">
        <f t="shared" si="131"/>
        <v>0</v>
      </c>
      <c r="AK283" s="265" t="b">
        <f t="shared" si="132"/>
        <v>0</v>
      </c>
      <c r="AL283" s="265"/>
      <c r="AM283" s="265"/>
      <c r="AN283" s="75"/>
    </row>
    <row r="284" spans="1:40" s="6" customFormat="1" ht="11.25" x14ac:dyDescent="0.2">
      <c r="A284" s="56">
        <f t="shared" si="133"/>
        <v>43370</v>
      </c>
      <c r="B284" s="617">
        <v>29.297000000000001</v>
      </c>
      <c r="C284" s="390"/>
      <c r="D284" s="393">
        <f t="shared" si="110"/>
        <v>29.400493899793407</v>
      </c>
      <c r="E284" s="385">
        <f t="shared" si="107"/>
        <v>30.275339372715493</v>
      </c>
      <c r="F284" s="385">
        <f t="shared" si="109"/>
        <v>30.281766812625989</v>
      </c>
      <c r="G284" s="110">
        <f t="shared" si="108"/>
        <v>0.96968717476630262</v>
      </c>
      <c r="I284" s="380">
        <f t="shared" si="111"/>
        <v>30.281766812625989</v>
      </c>
      <c r="J284" s="85">
        <v>2018</v>
      </c>
      <c r="K284" s="197">
        <f t="shared" si="112"/>
        <v>43370</v>
      </c>
      <c r="L284" s="438">
        <f t="shared" si="113"/>
        <v>3.5201415372866363E-3</v>
      </c>
      <c r="M284" s="861"/>
      <c r="N284" s="861"/>
      <c r="O284" s="324">
        <f t="shared" si="114"/>
        <v>2.8896306071155387E-2</v>
      </c>
      <c r="P284" s="169">
        <f>(INDEX(Models!$BJ284:$BT284,,T284)*(1-R284)+INDEX(Models!$BJ284:$BT284,,T284+1)*R284-ERP_i)*Q284*Ramure*Pc/MaxiM</f>
        <v>2.218588878285033E-4</v>
      </c>
      <c r="Q284" s="305">
        <f t="shared" si="115"/>
        <v>0.7</v>
      </c>
      <c r="R284" s="177">
        <f t="shared" si="116"/>
        <v>0.49567436106938367</v>
      </c>
      <c r="S284" s="817">
        <f t="shared" si="134"/>
        <v>-2</v>
      </c>
      <c r="T284" s="176">
        <f t="shared" si="117"/>
        <v>4</v>
      </c>
      <c r="U284" s="251">
        <f t="shared" si="118"/>
        <v>-1.5043256389306163</v>
      </c>
      <c r="V284" s="383">
        <f t="shared" si="119"/>
        <v>30.212546191769757</v>
      </c>
      <c r="W284" s="58"/>
      <c r="X284" s="157">
        <f t="shared" si="120"/>
        <v>43370</v>
      </c>
      <c r="Y284" s="385">
        <f t="shared" si="121"/>
        <v>29.297000000000001</v>
      </c>
      <c r="Z284" s="385">
        <f t="shared" si="122"/>
        <v>29.400493899793407</v>
      </c>
      <c r="AA284" s="386">
        <f t="shared" si="123"/>
        <v>30.275339372715493</v>
      </c>
      <c r="AB284" s="197">
        <f t="shared" si="124"/>
        <v>43370</v>
      </c>
      <c r="AC284" s="427">
        <f t="shared" si="125"/>
        <v>2.8896306071155387E-2</v>
      </c>
      <c r="AD284" s="169">
        <f>(INDEX(Models!$BJ284:$BT284,,AH284)*(1-AF284)+INDEX(Models!$BJ284:$BT284,,AH284+1)*AF284-ERP_i)*AE284*Ramure*Pc/MaxiM</f>
        <v>2.218588878285033E-4</v>
      </c>
      <c r="AE284" s="305">
        <f t="shared" si="126"/>
        <v>0.7</v>
      </c>
      <c r="AF284" s="177">
        <f t="shared" si="127"/>
        <v>0.49567436106938367</v>
      </c>
      <c r="AG284" s="817">
        <f t="shared" si="128"/>
        <v>-2</v>
      </c>
      <c r="AH284" s="176">
        <f t="shared" si="129"/>
        <v>4</v>
      </c>
      <c r="AI284" s="225">
        <f t="shared" si="130"/>
        <v>-1.5043256389306163</v>
      </c>
      <c r="AJ284" s="265" t="b">
        <f t="shared" si="131"/>
        <v>0</v>
      </c>
      <c r="AK284" s="265" t="b">
        <f t="shared" si="132"/>
        <v>0</v>
      </c>
      <c r="AL284" s="265"/>
      <c r="AM284" s="265"/>
      <c r="AN284" s="75"/>
    </row>
    <row r="285" spans="1:40" s="6" customFormat="1" ht="11.25" x14ac:dyDescent="0.2">
      <c r="A285" s="56">
        <f t="shared" si="133"/>
        <v>43371</v>
      </c>
      <c r="B285" s="617">
        <v>28.405999999999999</v>
      </c>
      <c r="C285" s="390"/>
      <c r="D285" s="393">
        <f t="shared" si="110"/>
        <v>28.506970749767842</v>
      </c>
      <c r="E285" s="385">
        <f t="shared" si="107"/>
        <v>29.359787593203539</v>
      </c>
      <c r="F285" s="385">
        <f t="shared" si="109"/>
        <v>29.367871929004963</v>
      </c>
      <c r="G285" s="110">
        <f t="shared" si="108"/>
        <v>0.94767749590679207</v>
      </c>
      <c r="I285" s="380">
        <f t="shared" si="111"/>
        <v>29.367871929004963</v>
      </c>
      <c r="J285" s="85">
        <v>2018</v>
      </c>
      <c r="K285" s="197">
        <f t="shared" si="112"/>
        <v>43371</v>
      </c>
      <c r="L285" s="438">
        <f t="shared" si="113"/>
        <v>3.5419670035851114E-3</v>
      </c>
      <c r="M285" s="861"/>
      <c r="N285" s="861"/>
      <c r="O285" s="324">
        <f t="shared" si="114"/>
        <v>2.9047105355527719E-2</v>
      </c>
      <c r="P285" s="169">
        <f>(INDEX(Models!$BJ285:$BT285,,T285)*(1-R285)+INDEX(Models!$BJ285:$BT285,,T285+1)*R285-ERP_i)*Q285*Ramure*Pc/MaxiM</f>
        <v>2.9750685048370235E-4</v>
      </c>
      <c r="Q285" s="305">
        <f t="shared" si="115"/>
        <v>0.7</v>
      </c>
      <c r="R285" s="177">
        <f t="shared" si="116"/>
        <v>0.49589803931867027</v>
      </c>
      <c r="S285" s="817">
        <f t="shared" si="134"/>
        <v>-2</v>
      </c>
      <c r="T285" s="176">
        <f t="shared" si="117"/>
        <v>4</v>
      </c>
      <c r="U285" s="251">
        <f t="shared" si="118"/>
        <v>-1.5041019606813297</v>
      </c>
      <c r="V285" s="383">
        <f t="shared" si="119"/>
        <v>29.973665643245987</v>
      </c>
      <c r="W285" s="58"/>
      <c r="X285" s="157">
        <f t="shared" si="120"/>
        <v>43371</v>
      </c>
      <c r="Y285" s="385">
        <f t="shared" si="121"/>
        <v>28.405999999999999</v>
      </c>
      <c r="Z285" s="385">
        <f t="shared" si="122"/>
        <v>28.506970749767842</v>
      </c>
      <c r="AA285" s="386">
        <f t="shared" si="123"/>
        <v>29.359787593203539</v>
      </c>
      <c r="AB285" s="197">
        <f t="shared" si="124"/>
        <v>43371</v>
      </c>
      <c r="AC285" s="427">
        <f t="shared" si="125"/>
        <v>2.9047105355527719E-2</v>
      </c>
      <c r="AD285" s="169">
        <f>(INDEX(Models!$BJ285:$BT285,,AH285)*(1-AF285)+INDEX(Models!$BJ285:$BT285,,AH285+1)*AF285-ERP_i)*AE285*Ramure*Pc/MaxiM</f>
        <v>2.9750685048370235E-4</v>
      </c>
      <c r="AE285" s="305">
        <f t="shared" si="126"/>
        <v>0.7</v>
      </c>
      <c r="AF285" s="177">
        <f t="shared" si="127"/>
        <v>0.49589803931867027</v>
      </c>
      <c r="AG285" s="817">
        <f t="shared" si="128"/>
        <v>-2</v>
      </c>
      <c r="AH285" s="176">
        <f t="shared" si="129"/>
        <v>4</v>
      </c>
      <c r="AI285" s="225">
        <f t="shared" si="130"/>
        <v>-1.5041019606813297</v>
      </c>
      <c r="AJ285" s="265" t="b">
        <f t="shared" si="131"/>
        <v>0</v>
      </c>
      <c r="AK285" s="265" t="b">
        <f t="shared" si="132"/>
        <v>0</v>
      </c>
      <c r="AL285" s="265"/>
      <c r="AM285" s="265"/>
      <c r="AN285" s="75"/>
    </row>
    <row r="286" spans="1:40" s="6" customFormat="1" ht="11.25" x14ac:dyDescent="0.2">
      <c r="A286" s="56">
        <f t="shared" si="133"/>
        <v>43372</v>
      </c>
      <c r="B286" s="617">
        <v>28.832000000000001</v>
      </c>
      <c r="C286" s="390"/>
      <c r="D286" s="393">
        <f t="shared" si="110"/>
        <v>28.935118744464749</v>
      </c>
      <c r="E286" s="385">
        <f t="shared" si="107"/>
        <v>29.805352004108581</v>
      </c>
      <c r="F286" s="385">
        <f t="shared" si="109"/>
        <v>29.816399783631852</v>
      </c>
      <c r="G286" s="110">
        <f t="shared" si="108"/>
        <v>0.96973743227532883</v>
      </c>
      <c r="I286" s="380">
        <f t="shared" si="111"/>
        <v>29.816399783631852</v>
      </c>
      <c r="J286" s="85">
        <v>2018</v>
      </c>
      <c r="K286" s="197">
        <f t="shared" si="112"/>
        <v>43372</v>
      </c>
      <c r="L286" s="438">
        <f t="shared" si="113"/>
        <v>3.5637919918498628E-3</v>
      </c>
      <c r="M286" s="861"/>
      <c r="N286" s="861"/>
      <c r="O286" s="324">
        <f t="shared" si="114"/>
        <v>2.9197214631918315E-2</v>
      </c>
      <c r="P286" s="169">
        <f>(INDEX(Models!$BJ286:$BT286,,T286)*(1-R286)+INDEX(Models!$BJ286:$BT286,,T286+1)*R286-ERP_i)*Q286*Ramure*Pc/MaxiM</f>
        <v>3.8726008523002638E-4</v>
      </c>
      <c r="Q286" s="305">
        <f t="shared" si="115"/>
        <v>0.7</v>
      </c>
      <c r="R286" s="177">
        <f t="shared" si="116"/>
        <v>0.49611290172458045</v>
      </c>
      <c r="S286" s="817">
        <f t="shared" si="134"/>
        <v>-2</v>
      </c>
      <c r="T286" s="176">
        <f t="shared" si="117"/>
        <v>4</v>
      </c>
      <c r="U286" s="251">
        <f t="shared" si="118"/>
        <v>-1.5038870982754196</v>
      </c>
      <c r="V286" s="383">
        <f t="shared" si="119"/>
        <v>29.731261691761311</v>
      </c>
      <c r="W286" s="58"/>
      <c r="X286" s="157">
        <f t="shared" si="120"/>
        <v>43372</v>
      </c>
      <c r="Y286" s="385">
        <f t="shared" si="121"/>
        <v>28.832000000000001</v>
      </c>
      <c r="Z286" s="385">
        <f t="shared" si="122"/>
        <v>28.935118744464749</v>
      </c>
      <c r="AA286" s="386">
        <f t="shared" si="123"/>
        <v>29.805352004108581</v>
      </c>
      <c r="AB286" s="197">
        <f t="shared" si="124"/>
        <v>43372</v>
      </c>
      <c r="AC286" s="427">
        <f t="shared" si="125"/>
        <v>2.9197214631918315E-2</v>
      </c>
      <c r="AD286" s="169">
        <f>(INDEX(Models!$BJ286:$BT286,,AH286)*(1-AF286)+INDEX(Models!$BJ286:$BT286,,AH286+1)*AF286-ERP_i)*AE286*Ramure*Pc/MaxiM</f>
        <v>3.8726008523002638E-4</v>
      </c>
      <c r="AE286" s="305">
        <f t="shared" si="126"/>
        <v>0.7</v>
      </c>
      <c r="AF286" s="177">
        <f t="shared" si="127"/>
        <v>0.49611290172458045</v>
      </c>
      <c r="AG286" s="817">
        <f t="shared" si="128"/>
        <v>-2</v>
      </c>
      <c r="AH286" s="176">
        <f t="shared" si="129"/>
        <v>4</v>
      </c>
      <c r="AI286" s="225">
        <f t="shared" si="130"/>
        <v>-1.5038870982754196</v>
      </c>
      <c r="AJ286" s="265" t="b">
        <f t="shared" si="131"/>
        <v>0</v>
      </c>
      <c r="AK286" s="265" t="b">
        <f t="shared" si="132"/>
        <v>0</v>
      </c>
      <c r="AL286" s="265"/>
      <c r="AM286" s="265"/>
      <c r="AN286" s="75"/>
    </row>
    <row r="287" spans="1:40" s="6" customFormat="1" ht="11.25" x14ac:dyDescent="0.2">
      <c r="A287" s="56">
        <f t="shared" si="133"/>
        <v>43373</v>
      </c>
      <c r="B287" s="617">
        <v>26.972000000000001</v>
      </c>
      <c r="C287" s="390"/>
      <c r="D287" s="393">
        <f t="shared" si="110"/>
        <v>27.069059265598824</v>
      </c>
      <c r="E287" s="385">
        <f t="shared" si="107"/>
        <v>27.887462026569427</v>
      </c>
      <c r="F287" s="385">
        <f t="shared" si="109"/>
        <v>27.899503681565321</v>
      </c>
      <c r="G287" s="110">
        <f t="shared" si="108"/>
        <v>0.9147114166759347</v>
      </c>
      <c r="I287" s="380">
        <f t="shared" si="111"/>
        <v>27.899503681565321</v>
      </c>
      <c r="J287" s="85">
        <v>2018</v>
      </c>
      <c r="K287" s="197">
        <f t="shared" si="112"/>
        <v>43373</v>
      </c>
      <c r="L287" s="438">
        <f t="shared" si="113"/>
        <v>3.5856165020914377E-3</v>
      </c>
      <c r="M287" s="861"/>
      <c r="N287" s="861"/>
      <c r="O287" s="324">
        <f t="shared" si="114"/>
        <v>2.9346620362616052E-2</v>
      </c>
      <c r="P287" s="169">
        <f>(INDEX(Models!$BJ287:$BT287,,T287)*(1-R287)+INDEX(Models!$BJ287:$BT287,,T287+1)*R287-ERP_i)*Q287*Ramure*Pc/MaxiM</f>
        <v>4.9144822970987581E-4</v>
      </c>
      <c r="Q287" s="305">
        <f t="shared" si="115"/>
        <v>0.7</v>
      </c>
      <c r="R287" s="177">
        <f t="shared" si="116"/>
        <v>0.49631928846738949</v>
      </c>
      <c r="S287" s="817">
        <f t="shared" si="134"/>
        <v>-2</v>
      </c>
      <c r="T287" s="176">
        <f t="shared" si="117"/>
        <v>4</v>
      </c>
      <c r="U287" s="251">
        <f t="shared" si="118"/>
        <v>-1.5036807115326105</v>
      </c>
      <c r="V287" s="383">
        <f t="shared" si="119"/>
        <v>29.485130289755514</v>
      </c>
      <c r="W287" s="58"/>
      <c r="X287" s="157">
        <f t="shared" si="120"/>
        <v>43373</v>
      </c>
      <c r="Y287" s="385">
        <f t="shared" si="121"/>
        <v>26.972000000000001</v>
      </c>
      <c r="Z287" s="385">
        <f t="shared" si="122"/>
        <v>27.069059265598824</v>
      </c>
      <c r="AA287" s="386">
        <f t="shared" si="123"/>
        <v>27.887462026569427</v>
      </c>
      <c r="AB287" s="197">
        <f t="shared" si="124"/>
        <v>43373</v>
      </c>
      <c r="AC287" s="427">
        <f t="shared" si="125"/>
        <v>2.9346620362616052E-2</v>
      </c>
      <c r="AD287" s="169">
        <f>(INDEX(Models!$BJ287:$BT287,,AH287)*(1-AF287)+INDEX(Models!$BJ287:$BT287,,AH287+1)*AF287-ERP_i)*AE287*Ramure*Pc/MaxiM</f>
        <v>4.9144822970987581E-4</v>
      </c>
      <c r="AE287" s="305">
        <f t="shared" si="126"/>
        <v>0.7</v>
      </c>
      <c r="AF287" s="177">
        <f t="shared" si="127"/>
        <v>0.49631928846738949</v>
      </c>
      <c r="AG287" s="817">
        <f t="shared" si="128"/>
        <v>-2</v>
      </c>
      <c r="AH287" s="176">
        <f t="shared" si="129"/>
        <v>4</v>
      </c>
      <c r="AI287" s="225">
        <f t="shared" si="130"/>
        <v>-1.5036807115326105</v>
      </c>
      <c r="AJ287" s="265" t="b">
        <f t="shared" si="131"/>
        <v>0</v>
      </c>
      <c r="AK287" s="265" t="b">
        <f t="shared" si="132"/>
        <v>0</v>
      </c>
      <c r="AL287" s="265"/>
      <c r="AM287" s="265"/>
      <c r="AN287" s="75"/>
    </row>
    <row r="288" spans="1:40" s="6" customFormat="1" ht="11.25" x14ac:dyDescent="0.2">
      <c r="A288" s="56">
        <f t="shared" si="133"/>
        <v>43374</v>
      </c>
      <c r="B288" s="617">
        <v>17.788</v>
      </c>
      <c r="C288" s="390"/>
      <c r="D288" s="393">
        <f t="shared" si="110"/>
        <v>17.852401476722083</v>
      </c>
      <c r="E288" s="385">
        <f t="shared" si="107"/>
        <v>18.394966711502178</v>
      </c>
      <c r="F288" s="385">
        <f t="shared" si="109"/>
        <v>18.39991581984015</v>
      </c>
      <c r="G288" s="110">
        <f t="shared" si="108"/>
        <v>0.60823956217759356</v>
      </c>
      <c r="I288" s="380">
        <f t="shared" si="111"/>
        <v>18.39991581984015</v>
      </c>
      <c r="J288" s="85">
        <v>2018</v>
      </c>
      <c r="K288" s="197">
        <f t="shared" si="112"/>
        <v>43374</v>
      </c>
      <c r="L288" s="438">
        <f t="shared" si="113"/>
        <v>3.60744053432005E-3</v>
      </c>
      <c r="M288" s="861"/>
      <c r="N288" s="861"/>
      <c r="O288" s="324">
        <f t="shared" si="114"/>
        <v>2.9495309412048809E-2</v>
      </c>
      <c r="P288" s="169">
        <f>(INDEX(Models!$BJ288:$BT288,,T288)*(1-R288)+INDEX(Models!$BJ288:$BT288,,T288+1)*R288-ERP_i)*Q288*Ramure*Pc/MaxiM</f>
        <v>6.104190721325423E-4</v>
      </c>
      <c r="Q288" s="305">
        <f t="shared" si="115"/>
        <v>0.7</v>
      </c>
      <c r="R288" s="177">
        <f t="shared" si="116"/>
        <v>0.49651752717013764</v>
      </c>
      <c r="S288" s="817">
        <f t="shared" si="134"/>
        <v>-2</v>
      </c>
      <c r="T288" s="176">
        <f t="shared" si="117"/>
        <v>4</v>
      </c>
      <c r="U288" s="251">
        <f t="shared" si="118"/>
        <v>-1.5034824728298624</v>
      </c>
      <c r="V288" s="383">
        <f t="shared" si="119"/>
        <v>29.235067653895651</v>
      </c>
      <c r="W288" s="58"/>
      <c r="X288" s="157">
        <f t="shared" si="120"/>
        <v>43374</v>
      </c>
      <c r="Y288" s="385">
        <f t="shared" si="121"/>
        <v>17.788</v>
      </c>
      <c r="Z288" s="385">
        <f t="shared" si="122"/>
        <v>17.852401476722083</v>
      </c>
      <c r="AA288" s="386">
        <f t="shared" si="123"/>
        <v>18.394966711502178</v>
      </c>
      <c r="AB288" s="197">
        <f t="shared" si="124"/>
        <v>43374</v>
      </c>
      <c r="AC288" s="427">
        <f t="shared" si="125"/>
        <v>2.9495309412048809E-2</v>
      </c>
      <c r="AD288" s="169">
        <f>(INDEX(Models!$BJ288:$BT288,,AH288)*(1-AF288)+INDEX(Models!$BJ288:$BT288,,AH288+1)*AF288-ERP_i)*AE288*Ramure*Pc/MaxiM</f>
        <v>6.104190721325423E-4</v>
      </c>
      <c r="AE288" s="305">
        <f t="shared" si="126"/>
        <v>0.7</v>
      </c>
      <c r="AF288" s="177">
        <f t="shared" si="127"/>
        <v>0.49651752717013764</v>
      </c>
      <c r="AG288" s="817">
        <f t="shared" si="128"/>
        <v>-2</v>
      </c>
      <c r="AH288" s="176">
        <f t="shared" si="129"/>
        <v>4</v>
      </c>
      <c r="AI288" s="225">
        <f t="shared" si="130"/>
        <v>-1.5034824728298624</v>
      </c>
      <c r="AJ288" s="265" t="b">
        <f t="shared" si="131"/>
        <v>0</v>
      </c>
      <c r="AK288" s="265" t="b">
        <f t="shared" si="132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33"/>
        <v>43375</v>
      </c>
      <c r="B289" s="617">
        <v>28.652000000000001</v>
      </c>
      <c r="C289" s="390"/>
      <c r="D289" s="393">
        <f t="shared" si="110"/>
        <v>28.756364440782086</v>
      </c>
      <c r="E289" s="385">
        <f t="shared" si="107"/>
        <v>29.634837917181823</v>
      </c>
      <c r="F289" s="385">
        <f t="shared" si="109"/>
        <v>29.656559533352279</v>
      </c>
      <c r="G289" s="110">
        <f t="shared" si="108"/>
        <v>0.98862254987182874</v>
      </c>
      <c r="I289" s="380">
        <f t="shared" si="111"/>
        <v>29.656559533352279</v>
      </c>
      <c r="J289" s="85">
        <v>2018</v>
      </c>
      <c r="K289" s="197">
        <f t="shared" si="112"/>
        <v>43375</v>
      </c>
      <c r="L289" s="438">
        <f t="shared" si="113"/>
        <v>3.6292640885464689E-3</v>
      </c>
      <c r="M289" s="861"/>
      <c r="N289" s="861"/>
      <c r="O289" s="324">
        <f t="shared" si="114"/>
        <v>2.9643269143389217E-2</v>
      </c>
      <c r="P289" s="169">
        <f>(INDEX(Models!$BJ289:$BT289,,T289)*(1-R289)+INDEX(Models!$BJ289:$BT289,,T289+1)*R289-ERP_i)*Q289*Ramure*Pc/MaxiM</f>
        <v>7.4452729759927848E-4</v>
      </c>
      <c r="Q289" s="305">
        <f t="shared" si="115"/>
        <v>0.7</v>
      </c>
      <c r="R289" s="177">
        <f t="shared" si="116"/>
        <v>0.49670793331729413</v>
      </c>
      <c r="S289" s="817">
        <f t="shared" si="134"/>
        <v>-2</v>
      </c>
      <c r="T289" s="176">
        <f t="shared" si="117"/>
        <v>4</v>
      </c>
      <c r="U289" s="251">
        <f t="shared" si="118"/>
        <v>-1.5032920666827059</v>
      </c>
      <c r="V289" s="383">
        <f t="shared" si="119"/>
        <v>28.981387680727071</v>
      </c>
      <c r="W289" s="58"/>
      <c r="X289" s="157">
        <f t="shared" si="120"/>
        <v>43375</v>
      </c>
      <c r="Y289" s="385">
        <f t="shared" si="121"/>
        <v>28.652000000000001</v>
      </c>
      <c r="Z289" s="385">
        <f t="shared" si="122"/>
        <v>28.756364440782086</v>
      </c>
      <c r="AA289" s="386">
        <f t="shared" si="123"/>
        <v>29.634837917181823</v>
      </c>
      <c r="AB289" s="197">
        <f t="shared" si="124"/>
        <v>43375</v>
      </c>
      <c r="AC289" s="427">
        <f t="shared" si="125"/>
        <v>2.9643269143389217E-2</v>
      </c>
      <c r="AD289" s="169">
        <f>(INDEX(Models!$BJ289:$BT289,,AH289)*(1-AF289)+INDEX(Models!$BJ289:$BT289,,AH289+1)*AF289-ERP_i)*AE289*Ramure*Pc/MaxiM</f>
        <v>7.4452729759927848E-4</v>
      </c>
      <c r="AE289" s="305">
        <f t="shared" si="126"/>
        <v>0.7</v>
      </c>
      <c r="AF289" s="177">
        <f t="shared" si="127"/>
        <v>0.49670793331729413</v>
      </c>
      <c r="AG289" s="817">
        <f t="shared" si="128"/>
        <v>-2</v>
      </c>
      <c r="AH289" s="176">
        <f t="shared" si="129"/>
        <v>4</v>
      </c>
      <c r="AI289" s="225">
        <f t="shared" si="130"/>
        <v>-1.5032920666827059</v>
      </c>
      <c r="AJ289" s="265" t="b">
        <f t="shared" si="131"/>
        <v>0</v>
      </c>
      <c r="AK289" s="265" t="b">
        <f t="shared" si="132"/>
        <v>0</v>
      </c>
      <c r="AL289" s="265"/>
      <c r="AM289" s="265"/>
      <c r="AN289" s="75"/>
    </row>
    <row r="290" spans="1:40" s="6" customFormat="1" ht="11.25" x14ac:dyDescent="0.2">
      <c r="A290" s="56">
        <f t="shared" si="133"/>
        <v>43376</v>
      </c>
      <c r="B290" s="617">
        <v>27.609000000000002</v>
      </c>
      <c r="C290" s="390"/>
      <c r="D290" s="393">
        <f t="shared" si="110"/>
        <v>27.710172254251368</v>
      </c>
      <c r="E290" s="385">
        <f t="shared" si="107"/>
        <v>28.561018932258463</v>
      </c>
      <c r="F290" s="385">
        <f t="shared" si="109"/>
        <v>28.585247689548495</v>
      </c>
      <c r="G290" s="110">
        <f t="shared" si="108"/>
        <v>0.96111937739286313</v>
      </c>
      <c r="I290" s="380">
        <f t="shared" si="111"/>
        <v>28.585247689548495</v>
      </c>
      <c r="J290" s="85">
        <v>2018</v>
      </c>
      <c r="K290" s="197">
        <f t="shared" si="112"/>
        <v>43376</v>
      </c>
      <c r="L290" s="438">
        <f t="shared" si="113"/>
        <v>3.6510871647810195E-3</v>
      </c>
      <c r="M290" s="861"/>
      <c r="N290" s="861"/>
      <c r="O290" s="324">
        <f t="shared" si="114"/>
        <v>2.9790487518150003E-2</v>
      </c>
      <c r="P290" s="169">
        <f>(INDEX(Models!$BJ290:$BT290,,T290)*(1-R290)+INDEX(Models!$BJ290:$BT290,,T290+1)*R290-ERP_i)*Q290*Ramure*Pc/MaxiM</f>
        <v>8.9737894424586563E-4</v>
      </c>
      <c r="Q290" s="305">
        <f t="shared" si="115"/>
        <v>0.7</v>
      </c>
      <c r="R290" s="177">
        <f t="shared" si="116"/>
        <v>0.49689081066308227</v>
      </c>
      <c r="S290" s="817">
        <f t="shared" si="134"/>
        <v>-2</v>
      </c>
      <c r="T290" s="176">
        <f t="shared" si="117"/>
        <v>4</v>
      </c>
      <c r="U290" s="251">
        <f t="shared" si="118"/>
        <v>-1.5031091893369177</v>
      </c>
      <c r="V290" s="383">
        <f t="shared" si="119"/>
        <v>28.724448847107556</v>
      </c>
      <c r="W290" s="58"/>
      <c r="X290" s="157">
        <f t="shared" si="120"/>
        <v>43376</v>
      </c>
      <c r="Y290" s="385">
        <f t="shared" si="121"/>
        <v>27.609000000000002</v>
      </c>
      <c r="Z290" s="385">
        <f t="shared" si="122"/>
        <v>27.710172254251368</v>
      </c>
      <c r="AA290" s="386">
        <f t="shared" si="123"/>
        <v>28.561018932258463</v>
      </c>
      <c r="AB290" s="197">
        <f t="shared" si="124"/>
        <v>43376</v>
      </c>
      <c r="AC290" s="427">
        <f t="shared" si="125"/>
        <v>2.9790487518150003E-2</v>
      </c>
      <c r="AD290" s="169">
        <f>(INDEX(Models!$BJ290:$BT290,,AH290)*(1-AF290)+INDEX(Models!$BJ290:$BT290,,AH290+1)*AF290-ERP_i)*AE290*Ramure*Pc/MaxiM</f>
        <v>8.9737894424586563E-4</v>
      </c>
      <c r="AE290" s="305">
        <f t="shared" si="126"/>
        <v>0.7</v>
      </c>
      <c r="AF290" s="177">
        <f t="shared" si="127"/>
        <v>0.49689081066308227</v>
      </c>
      <c r="AG290" s="817">
        <f t="shared" si="128"/>
        <v>-2</v>
      </c>
      <c r="AH290" s="176">
        <f t="shared" si="129"/>
        <v>4</v>
      </c>
      <c r="AI290" s="225">
        <f t="shared" si="130"/>
        <v>-1.5031091893369177</v>
      </c>
      <c r="AJ290" s="265" t="b">
        <f t="shared" si="131"/>
        <v>0</v>
      </c>
      <c r="AK290" s="265" t="b">
        <f t="shared" si="132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33"/>
        <v>43377</v>
      </c>
      <c r="B291" s="617">
        <v>27.457999999999998</v>
      </c>
      <c r="C291" s="390"/>
      <c r="D291" s="393">
        <f t="shared" si="110"/>
        <v>27.559222537519688</v>
      </c>
      <c r="E291" s="385">
        <f t="shared" si="107"/>
        <v>28.409723087974633</v>
      </c>
      <c r="F291" s="385">
        <f t="shared" si="109"/>
        <v>28.438494319444185</v>
      </c>
      <c r="G291" s="110">
        <f t="shared" si="108"/>
        <v>0.96459272619772063</v>
      </c>
      <c r="I291" s="380">
        <f t="shared" si="111"/>
        <v>28.438494319444185</v>
      </c>
      <c r="J291" s="85">
        <v>2018</v>
      </c>
      <c r="K291" s="197">
        <f t="shared" si="112"/>
        <v>43377</v>
      </c>
      <c r="L291" s="438">
        <f t="shared" si="113"/>
        <v>3.6729097630342489E-3</v>
      </c>
      <c r="M291" s="861"/>
      <c r="N291" s="861"/>
      <c r="O291" s="324">
        <f t="shared" si="114"/>
        <v>2.993695319807425E-2</v>
      </c>
      <c r="P291" s="169">
        <f>(INDEX(Models!$BJ291:$BT291,,T291)*(1-R291)+INDEX(Models!$BJ291:$BT291,,T291+1)*R291-ERP_i)*Q291*Ramure*Pc/MaxiM</f>
        <v>1.0655169209668356E-3</v>
      </c>
      <c r="Q291" s="305">
        <f t="shared" si="115"/>
        <v>0.7</v>
      </c>
      <c r="R291" s="177">
        <f t="shared" si="116"/>
        <v>0.49706645162941276</v>
      </c>
      <c r="S291" s="817">
        <f t="shared" si="134"/>
        <v>-2</v>
      </c>
      <c r="T291" s="176">
        <f t="shared" si="117"/>
        <v>4</v>
      </c>
      <c r="U291" s="251">
        <f t="shared" si="118"/>
        <v>-1.5029335483705872</v>
      </c>
      <c r="V291" s="383">
        <f t="shared" si="119"/>
        <v>28.464366420473564</v>
      </c>
      <c r="W291" s="58"/>
      <c r="X291" s="157">
        <f t="shared" si="120"/>
        <v>43377</v>
      </c>
      <c r="Y291" s="385">
        <f t="shared" si="121"/>
        <v>27.457999999999998</v>
      </c>
      <c r="Z291" s="385">
        <f t="shared" si="122"/>
        <v>27.559222537519688</v>
      </c>
      <c r="AA291" s="386">
        <f t="shared" si="123"/>
        <v>28.409723087974633</v>
      </c>
      <c r="AB291" s="197">
        <f t="shared" si="124"/>
        <v>43377</v>
      </c>
      <c r="AC291" s="427">
        <f t="shared" si="125"/>
        <v>2.993695319807425E-2</v>
      </c>
      <c r="AD291" s="169">
        <f>(INDEX(Models!$BJ291:$BT291,,AH291)*(1-AF291)+INDEX(Models!$BJ291:$BT291,,AH291+1)*AF291-ERP_i)*AE291*Ramure*Pc/MaxiM</f>
        <v>1.0655169209668356E-3</v>
      </c>
      <c r="AE291" s="305">
        <f t="shared" si="126"/>
        <v>0.7</v>
      </c>
      <c r="AF291" s="177">
        <f t="shared" si="127"/>
        <v>0.49706645162941276</v>
      </c>
      <c r="AG291" s="817">
        <f t="shared" si="128"/>
        <v>-2</v>
      </c>
      <c r="AH291" s="176">
        <f t="shared" si="129"/>
        <v>4</v>
      </c>
      <c r="AI291" s="225">
        <f t="shared" si="130"/>
        <v>-1.5029335483705872</v>
      </c>
      <c r="AJ291" s="265" t="b">
        <f t="shared" si="131"/>
        <v>0</v>
      </c>
      <c r="AK291" s="265" t="b">
        <f t="shared" si="132"/>
        <v>0</v>
      </c>
      <c r="AL291" s="265"/>
      <c r="AM291" s="265"/>
      <c r="AN291" s="75"/>
    </row>
    <row r="292" spans="1:40" s="6" customFormat="1" ht="11.25" x14ac:dyDescent="0.2">
      <c r="A292" s="56">
        <f t="shared" si="133"/>
        <v>43378</v>
      </c>
      <c r="B292" s="617">
        <v>26.946000000000002</v>
      </c>
      <c r="C292" s="390"/>
      <c r="D292" s="393">
        <f t="shared" si="110"/>
        <v>27.045927450465101</v>
      </c>
      <c r="E292" s="385">
        <f t="shared" si="107"/>
        <v>27.884775551209913</v>
      </c>
      <c r="F292" s="385">
        <f t="shared" si="109"/>
        <v>27.917436042240162</v>
      </c>
      <c r="G292" s="110">
        <f t="shared" si="108"/>
        <v>0.95541717333487597</v>
      </c>
      <c r="I292" s="380">
        <f t="shared" si="111"/>
        <v>27.917436042240162</v>
      </c>
      <c r="J292" s="85">
        <v>2018</v>
      </c>
      <c r="K292" s="197">
        <f t="shared" si="112"/>
        <v>43378</v>
      </c>
      <c r="L292" s="438">
        <f t="shared" si="113"/>
        <v>3.6947318833164822E-3</v>
      </c>
      <c r="M292" s="861"/>
      <c r="N292" s="861"/>
      <c r="O292" s="324">
        <f t="shared" si="114"/>
        <v>3.0082655648573649E-2</v>
      </c>
      <c r="P292" s="169">
        <f>(INDEX(Models!$BJ292:$BT292,,T292)*(1-R292)+INDEX(Models!$BJ292:$BT292,,T292+1)*R292-ERP_i)*Q292*Ramure*Pc/MaxiM</f>
        <v>1.2493296733741418E-3</v>
      </c>
      <c r="Q292" s="305">
        <f t="shared" si="115"/>
        <v>0.7</v>
      </c>
      <c r="R292" s="177">
        <f t="shared" si="116"/>
        <v>0.49723513769339434</v>
      </c>
      <c r="S292" s="817">
        <f t="shared" si="134"/>
        <v>-2</v>
      </c>
      <c r="T292" s="176">
        <f t="shared" si="117"/>
        <v>4</v>
      </c>
      <c r="U292" s="251">
        <f t="shared" si="118"/>
        <v>-1.5027648623066057</v>
      </c>
      <c r="V292" s="383">
        <f t="shared" si="119"/>
        <v>28.20114377226011</v>
      </c>
      <c r="W292" s="58"/>
      <c r="X292" s="157">
        <f t="shared" si="120"/>
        <v>43378</v>
      </c>
      <c r="Y292" s="385">
        <f t="shared" si="121"/>
        <v>26.946000000000002</v>
      </c>
      <c r="Z292" s="385">
        <f t="shared" si="122"/>
        <v>27.045927450465101</v>
      </c>
      <c r="AA292" s="386">
        <f t="shared" si="123"/>
        <v>27.884775551209913</v>
      </c>
      <c r="AB292" s="197">
        <f t="shared" si="124"/>
        <v>43378</v>
      </c>
      <c r="AC292" s="427">
        <f t="shared" si="125"/>
        <v>3.0082655648573649E-2</v>
      </c>
      <c r="AD292" s="169">
        <f>(INDEX(Models!$BJ292:$BT292,,AH292)*(1-AF292)+INDEX(Models!$BJ292:$BT292,,AH292+1)*AF292-ERP_i)*AE292*Ramure*Pc/MaxiM</f>
        <v>1.2493296733741418E-3</v>
      </c>
      <c r="AE292" s="305">
        <f t="shared" si="126"/>
        <v>0.7</v>
      </c>
      <c r="AF292" s="177">
        <f t="shared" si="127"/>
        <v>0.49723513769339434</v>
      </c>
      <c r="AG292" s="817">
        <f t="shared" si="128"/>
        <v>-2</v>
      </c>
      <c r="AH292" s="176">
        <f t="shared" si="129"/>
        <v>4</v>
      </c>
      <c r="AI292" s="225">
        <f t="shared" si="130"/>
        <v>-1.5027648623066057</v>
      </c>
      <c r="AJ292" s="265" t="b">
        <f t="shared" si="131"/>
        <v>0</v>
      </c>
      <c r="AK292" s="265" t="b">
        <f t="shared" si="132"/>
        <v>0</v>
      </c>
      <c r="AL292" s="265"/>
      <c r="AM292" s="265"/>
      <c r="AN292" s="75"/>
    </row>
    <row r="293" spans="1:40" s="6" customFormat="1" ht="11.25" x14ac:dyDescent="0.2">
      <c r="A293" s="56">
        <f t="shared" si="133"/>
        <v>43379</v>
      </c>
      <c r="B293" s="617">
        <v>24.920999999999999</v>
      </c>
      <c r="C293" s="390"/>
      <c r="D293" s="393">
        <f t="shared" si="110"/>
        <v>25.013965742570747</v>
      </c>
      <c r="E293" s="385">
        <f t="shared" si="107"/>
        <v>25.793645356304108</v>
      </c>
      <c r="F293" s="385">
        <f t="shared" ref="F293:F324" si="135">Wh_sa/(1-Pvg*MEDIAN((-Sdif+Wh/Env_an)/Csdif,0,1))</f>
        <v>25.825303664148674</v>
      </c>
      <c r="G293" s="110">
        <f t="shared" si="108"/>
        <v>0.89191405516889966</v>
      </c>
      <c r="I293" s="380">
        <f t="shared" si="111"/>
        <v>25.825303664148674</v>
      </c>
      <c r="J293" s="85">
        <v>2018</v>
      </c>
      <c r="K293" s="197">
        <f t="shared" si="112"/>
        <v>43379</v>
      </c>
      <c r="L293" s="438">
        <f t="shared" si="113"/>
        <v>3.7165535256382665E-3</v>
      </c>
      <c r="M293" s="861"/>
      <c r="N293" s="861"/>
      <c r="O293" s="324">
        <f t="shared" si="114"/>
        <v>3.0227585242921275E-2</v>
      </c>
      <c r="P293" s="169">
        <f>(INDEX(Models!$BJ293:$BT293,,T293)*(1-R293)+INDEX(Models!$BJ293:$BT293,,T293+1)*R293-ERP_i)*Q293*Ramure*Pc/MaxiM</f>
        <v>1.4492232500718562E-3</v>
      </c>
      <c r="Q293" s="305">
        <f t="shared" si="115"/>
        <v>0.7</v>
      </c>
      <c r="R293" s="177">
        <f t="shared" si="116"/>
        <v>0.49739713976443345</v>
      </c>
      <c r="S293" s="817">
        <f t="shared" si="134"/>
        <v>-2</v>
      </c>
      <c r="T293" s="176">
        <f t="shared" si="117"/>
        <v>4</v>
      </c>
      <c r="U293" s="251">
        <f t="shared" si="118"/>
        <v>-1.5026028602355666</v>
      </c>
      <c r="V293" s="383">
        <f t="shared" si="119"/>
        <v>27.934784395043227</v>
      </c>
      <c r="W293" s="58"/>
      <c r="X293" s="157">
        <f t="shared" si="120"/>
        <v>43379</v>
      </c>
      <c r="Y293" s="385">
        <f t="shared" si="121"/>
        <v>24.920999999999999</v>
      </c>
      <c r="Z293" s="385">
        <f t="shared" si="122"/>
        <v>25.013965742570747</v>
      </c>
      <c r="AA293" s="386">
        <f t="shared" si="123"/>
        <v>25.793645356304108</v>
      </c>
      <c r="AB293" s="197">
        <f t="shared" si="124"/>
        <v>43379</v>
      </c>
      <c r="AC293" s="427">
        <f t="shared" si="125"/>
        <v>3.0227585242921275E-2</v>
      </c>
      <c r="AD293" s="169">
        <f>(INDEX(Models!$BJ293:$BT293,,AH293)*(1-AF293)+INDEX(Models!$BJ293:$BT293,,AH293+1)*AF293-ERP_i)*AE293*Ramure*Pc/MaxiM</f>
        <v>1.4492232500718562E-3</v>
      </c>
      <c r="AE293" s="305">
        <f t="shared" si="126"/>
        <v>0.7</v>
      </c>
      <c r="AF293" s="177">
        <f t="shared" si="127"/>
        <v>0.49739713976443345</v>
      </c>
      <c r="AG293" s="817">
        <f t="shared" si="128"/>
        <v>-2</v>
      </c>
      <c r="AH293" s="176">
        <f t="shared" si="129"/>
        <v>4</v>
      </c>
      <c r="AI293" s="225">
        <f t="shared" si="130"/>
        <v>-1.5026028602355666</v>
      </c>
      <c r="AJ293" s="265" t="b">
        <f t="shared" si="131"/>
        <v>0</v>
      </c>
      <c r="AK293" s="265" t="b">
        <f t="shared" si="132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33"/>
        <v>43380</v>
      </c>
      <c r="B294" s="617">
        <v>9.3979999999999997</v>
      </c>
      <c r="C294" s="390"/>
      <c r="D294" s="393">
        <f t="shared" si="110"/>
        <v>9.4332650794170494</v>
      </c>
      <c r="E294" s="385">
        <f t="shared" si="107"/>
        <v>9.7287438949851968</v>
      </c>
      <c r="F294" s="385">
        <f t="shared" si="135"/>
        <v>9.7296630875973111</v>
      </c>
      <c r="G294" s="110">
        <f t="shared" si="108"/>
        <v>0.33916985152227719</v>
      </c>
      <c r="I294" s="380">
        <f t="shared" si="111"/>
        <v>9.7296630875973111</v>
      </c>
      <c r="J294" s="85">
        <v>2018</v>
      </c>
      <c r="K294" s="197">
        <f t="shared" si="112"/>
        <v>43380</v>
      </c>
      <c r="L294" s="438">
        <f t="shared" si="113"/>
        <v>3.7383746900101489E-3</v>
      </c>
      <c r="M294" s="861"/>
      <c r="N294" s="861"/>
      <c r="O294" s="324">
        <f t="shared" si="114"/>
        <v>3.0371733366365703E-2</v>
      </c>
      <c r="P294" s="169">
        <f>(INDEX(Models!$BJ294:$BT294,,T294)*(1-R294)+INDEX(Models!$BJ294:$BT294,,T294+1)*R294-ERP_i)*Q294*Ramure*Pc/MaxiM</f>
        <v>1.6656225052323521E-3</v>
      </c>
      <c r="Q294" s="305">
        <f t="shared" si="115"/>
        <v>0.7</v>
      </c>
      <c r="R294" s="177">
        <f t="shared" si="116"/>
        <v>0.49755271855095629</v>
      </c>
      <c r="S294" s="817">
        <f t="shared" si="134"/>
        <v>-2</v>
      </c>
      <c r="T294" s="176">
        <f t="shared" si="117"/>
        <v>4</v>
      </c>
      <c r="U294" s="251">
        <f t="shared" si="118"/>
        <v>-1.5024472814490437</v>
      </c>
      <c r="V294" s="383">
        <f t="shared" si="119"/>
        <v>27.665291893787543</v>
      </c>
      <c r="W294" s="58"/>
      <c r="X294" s="157">
        <f t="shared" si="120"/>
        <v>43380</v>
      </c>
      <c r="Y294" s="385">
        <f t="shared" si="121"/>
        <v>9.3979999999999997</v>
      </c>
      <c r="Z294" s="385">
        <f t="shared" si="122"/>
        <v>9.4332650794170494</v>
      </c>
      <c r="AA294" s="386">
        <f t="shared" si="123"/>
        <v>9.7287438949851968</v>
      </c>
      <c r="AB294" s="197">
        <f t="shared" si="124"/>
        <v>43380</v>
      </c>
      <c r="AC294" s="427">
        <f t="shared" si="125"/>
        <v>3.0371733366365703E-2</v>
      </c>
      <c r="AD294" s="169">
        <f>(INDEX(Models!$BJ294:$BT294,,AH294)*(1-AF294)+INDEX(Models!$BJ294:$BT294,,AH294+1)*AF294-ERP_i)*AE294*Ramure*Pc/MaxiM</f>
        <v>1.6656225052323521E-3</v>
      </c>
      <c r="AE294" s="305">
        <f t="shared" si="126"/>
        <v>0.7</v>
      </c>
      <c r="AF294" s="177">
        <f t="shared" si="127"/>
        <v>0.49755271855095629</v>
      </c>
      <c r="AG294" s="817">
        <f t="shared" si="128"/>
        <v>-2</v>
      </c>
      <c r="AH294" s="176">
        <f t="shared" si="129"/>
        <v>4</v>
      </c>
      <c r="AI294" s="225">
        <f t="shared" si="130"/>
        <v>-1.5024472814490437</v>
      </c>
      <c r="AJ294" s="265" t="b">
        <f t="shared" si="131"/>
        <v>0</v>
      </c>
      <c r="AK294" s="265" t="b">
        <f t="shared" si="132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33"/>
        <v>43381</v>
      </c>
      <c r="B295" s="617">
        <v>10.336</v>
      </c>
      <c r="C295" s="390"/>
      <c r="D295" s="393">
        <f t="shared" si="110"/>
        <v>10.375012072425269</v>
      </c>
      <c r="E295" s="385">
        <f t="shared" si="107"/>
        <v>10.701571517380035</v>
      </c>
      <c r="F295" s="385">
        <f t="shared" si="135"/>
        <v>10.703816906878595</v>
      </c>
      <c r="G295" s="110">
        <f t="shared" si="108"/>
        <v>0.3766897054106178</v>
      </c>
      <c r="I295" s="380">
        <f t="shared" si="111"/>
        <v>10.703816906878595</v>
      </c>
      <c r="J295" s="85">
        <v>2018</v>
      </c>
      <c r="K295" s="197">
        <f t="shared" si="112"/>
        <v>43381</v>
      </c>
      <c r="L295" s="438">
        <f t="shared" si="113"/>
        <v>3.7601953764424545E-3</v>
      </c>
      <c r="M295" s="861"/>
      <c r="N295" s="861"/>
      <c r="O295" s="324">
        <f t="shared" si="114"/>
        <v>3.0515092519300728E-2</v>
      </c>
      <c r="P295" s="169">
        <f>(INDEX(Models!$BJ295:$BT295,,T295)*(1-R295)+INDEX(Models!$BJ295:$BT295,,T295+1)*R295-ERP_i)*Q295*Ramure*Pc/MaxiM</f>
        <v>1.8989724385733891E-3</v>
      </c>
      <c r="Q295" s="305">
        <f t="shared" si="115"/>
        <v>0.7</v>
      </c>
      <c r="R295" s="177">
        <f t="shared" si="116"/>
        <v>0.49770212491681765</v>
      </c>
      <c r="S295" s="817">
        <f t="shared" si="134"/>
        <v>-2</v>
      </c>
      <c r="T295" s="176">
        <f t="shared" si="117"/>
        <v>4</v>
      </c>
      <c r="U295" s="251">
        <f t="shared" si="118"/>
        <v>-1.5022978750831824</v>
      </c>
      <c r="V295" s="383">
        <f t="shared" si="119"/>
        <v>27.392669988476644</v>
      </c>
      <c r="W295" s="58"/>
      <c r="X295" s="157">
        <f t="shared" si="120"/>
        <v>43381</v>
      </c>
      <c r="Y295" s="385">
        <f t="shared" si="121"/>
        <v>10.336</v>
      </c>
      <c r="Z295" s="385">
        <f t="shared" si="122"/>
        <v>10.375012072425269</v>
      </c>
      <c r="AA295" s="386">
        <f t="shared" si="123"/>
        <v>10.701571517380035</v>
      </c>
      <c r="AB295" s="197">
        <f t="shared" si="124"/>
        <v>43381</v>
      </c>
      <c r="AC295" s="427">
        <f t="shared" si="125"/>
        <v>3.0515092519300728E-2</v>
      </c>
      <c r="AD295" s="169">
        <f>(INDEX(Models!$BJ295:$BT295,,AH295)*(1-AF295)+INDEX(Models!$BJ295:$BT295,,AH295+1)*AF295-ERP_i)*AE295*Ramure*Pc/MaxiM</f>
        <v>1.8989724385733891E-3</v>
      </c>
      <c r="AE295" s="305">
        <f t="shared" si="126"/>
        <v>0.7</v>
      </c>
      <c r="AF295" s="177">
        <f t="shared" si="127"/>
        <v>0.49770212491681765</v>
      </c>
      <c r="AG295" s="817">
        <f t="shared" si="128"/>
        <v>-2</v>
      </c>
      <c r="AH295" s="176">
        <f t="shared" si="129"/>
        <v>4</v>
      </c>
      <c r="AI295" s="225">
        <f t="shared" si="130"/>
        <v>-1.5022978750831824</v>
      </c>
      <c r="AJ295" s="265" t="b">
        <f t="shared" si="131"/>
        <v>0</v>
      </c>
      <c r="AK295" s="265" t="b">
        <f t="shared" si="132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33"/>
        <v>43382</v>
      </c>
      <c r="B296" s="617">
        <v>23.795999999999999</v>
      </c>
      <c r="C296" s="390"/>
      <c r="D296" s="393">
        <f t="shared" si="110"/>
        <v>23.886338504491277</v>
      </c>
      <c r="E296" s="385">
        <f t="shared" si="107"/>
        <v>24.641798290002619</v>
      </c>
      <c r="F296" s="385">
        <f t="shared" si="135"/>
        <v>24.685598541559333</v>
      </c>
      <c r="G296" s="110">
        <f t="shared" si="108"/>
        <v>0.8772031827245208</v>
      </c>
      <c r="I296" s="380">
        <f t="shared" si="111"/>
        <v>24.685598541559333</v>
      </c>
      <c r="J296" s="85">
        <v>2018</v>
      </c>
      <c r="K296" s="197">
        <f t="shared" si="112"/>
        <v>43382</v>
      </c>
      <c r="L296" s="438">
        <f t="shared" si="113"/>
        <v>3.7820155849458414E-3</v>
      </c>
      <c r="M296" s="861"/>
      <c r="N296" s="861"/>
      <c r="O296" s="324">
        <f t="shared" si="114"/>
        <v>3.0657656418599907E-2</v>
      </c>
      <c r="P296" s="169">
        <f>(INDEX(Models!$BJ296:$BT296,,T296)*(1-R296)+INDEX(Models!$BJ296:$BT296,,T296+1)*R296-ERP_i)*Q296*Ramure*Pc/MaxiM</f>
        <v>2.1505694550605771E-3</v>
      </c>
      <c r="Q296" s="305">
        <f t="shared" si="115"/>
        <v>0.7</v>
      </c>
      <c r="R296" s="177">
        <f t="shared" si="116"/>
        <v>0.49784560022748003</v>
      </c>
      <c r="S296" s="817">
        <f t="shared" si="134"/>
        <v>-2</v>
      </c>
      <c r="T296" s="176">
        <f t="shared" si="117"/>
        <v>4</v>
      </c>
      <c r="U296" s="251">
        <f t="shared" si="118"/>
        <v>-1.50215439977252</v>
      </c>
      <c r="V296" s="383">
        <f t="shared" si="119"/>
        <v>27.116899960192629</v>
      </c>
      <c r="W296" s="58"/>
      <c r="X296" s="157">
        <f t="shared" si="120"/>
        <v>43382</v>
      </c>
      <c r="Y296" s="385">
        <f t="shared" si="121"/>
        <v>23.795999999999999</v>
      </c>
      <c r="Z296" s="385">
        <f t="shared" si="122"/>
        <v>23.886338504491277</v>
      </c>
      <c r="AA296" s="386">
        <f t="shared" si="123"/>
        <v>24.641798290002619</v>
      </c>
      <c r="AB296" s="197">
        <f t="shared" si="124"/>
        <v>43382</v>
      </c>
      <c r="AC296" s="427">
        <f t="shared" si="125"/>
        <v>3.0657656418599907E-2</v>
      </c>
      <c r="AD296" s="169">
        <f>(INDEX(Models!$BJ296:$BT296,,AH296)*(1-AF296)+INDEX(Models!$BJ296:$BT296,,AH296+1)*AF296-ERP_i)*AE296*Ramure*Pc/MaxiM</f>
        <v>2.1505694550605771E-3</v>
      </c>
      <c r="AE296" s="305">
        <f t="shared" si="126"/>
        <v>0.7</v>
      </c>
      <c r="AF296" s="177">
        <f t="shared" si="127"/>
        <v>0.49784560022748003</v>
      </c>
      <c r="AG296" s="817">
        <f t="shared" si="128"/>
        <v>-2</v>
      </c>
      <c r="AH296" s="176">
        <f t="shared" si="129"/>
        <v>4</v>
      </c>
      <c r="AI296" s="225">
        <f t="shared" si="130"/>
        <v>-1.50215439977252</v>
      </c>
      <c r="AJ296" s="265" t="b">
        <f t="shared" si="131"/>
        <v>0</v>
      </c>
      <c r="AK296" s="265" t="b">
        <f t="shared" si="132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33"/>
        <v>43383</v>
      </c>
      <c r="B297" s="617">
        <v>12.503</v>
      </c>
      <c r="C297" s="390"/>
      <c r="D297" s="393">
        <f t="shared" si="110"/>
        <v>12.550740951668031</v>
      </c>
      <c r="E297" s="385">
        <f t="shared" ref="E297:E360" si="136">Wh_pvt/(1-Psa)</f>
        <v>12.949580522242243</v>
      </c>
      <c r="F297" s="385">
        <f t="shared" si="135"/>
        <v>12.956982246955164</v>
      </c>
      <c r="G297" s="110">
        <f t="shared" ref="G297:G360" si="137">+Wh_hp/MaxiM</f>
        <v>0.46500733754014212</v>
      </c>
      <c r="I297" s="380">
        <f t="shared" si="111"/>
        <v>12.956982246955164</v>
      </c>
      <c r="J297" s="85">
        <v>2018</v>
      </c>
      <c r="K297" s="197">
        <f t="shared" si="112"/>
        <v>43383</v>
      </c>
      <c r="L297" s="438">
        <f t="shared" si="113"/>
        <v>3.8038353155305238E-3</v>
      </c>
      <c r="M297" s="861"/>
      <c r="N297" s="861"/>
      <c r="O297" s="324">
        <f t="shared" si="114"/>
        <v>3.0799420096208029E-2</v>
      </c>
      <c r="P297" s="169">
        <f>(INDEX(Models!$BJ297:$BT297,,T297)*(1-R297)+INDEX(Models!$BJ297:$BT297,,T297+1)*R297-ERP_i)*Q297*Ramure*Pc/MaxiM</f>
        <v>2.4108643663100639E-3</v>
      </c>
      <c r="Q297" s="305">
        <f t="shared" si="115"/>
        <v>0.7</v>
      </c>
      <c r="R297" s="177">
        <f t="shared" si="116"/>
        <v>0.49798337668607129</v>
      </c>
      <c r="S297" s="817">
        <f t="shared" si="134"/>
        <v>-2</v>
      </c>
      <c r="T297" s="176">
        <f t="shared" si="117"/>
        <v>4</v>
      </c>
      <c r="U297" s="251">
        <f t="shared" si="118"/>
        <v>-1.5020166233139287</v>
      </c>
      <c r="V297" s="383">
        <f t="shared" si="119"/>
        <v>26.838256505325518</v>
      </c>
      <c r="W297" s="58"/>
      <c r="X297" s="157">
        <f t="shared" si="120"/>
        <v>43383</v>
      </c>
      <c r="Y297" s="385">
        <f t="shared" si="121"/>
        <v>12.503</v>
      </c>
      <c r="Z297" s="385">
        <f t="shared" si="122"/>
        <v>12.550740951668031</v>
      </c>
      <c r="AA297" s="386">
        <f t="shared" si="123"/>
        <v>12.949580522242243</v>
      </c>
      <c r="AB297" s="197">
        <f t="shared" si="124"/>
        <v>43383</v>
      </c>
      <c r="AC297" s="427">
        <f t="shared" si="125"/>
        <v>3.0799420096208029E-2</v>
      </c>
      <c r="AD297" s="169">
        <f>(INDEX(Models!$BJ297:$BT297,,AH297)*(1-AF297)+INDEX(Models!$BJ297:$BT297,,AH297+1)*AF297-ERP_i)*AE297*Ramure*Pc/MaxiM</f>
        <v>2.4108643663100639E-3</v>
      </c>
      <c r="AE297" s="305">
        <f t="shared" si="126"/>
        <v>0.7</v>
      </c>
      <c r="AF297" s="177">
        <f t="shared" si="127"/>
        <v>0.49798337668607129</v>
      </c>
      <c r="AG297" s="817">
        <f t="shared" si="128"/>
        <v>-2</v>
      </c>
      <c r="AH297" s="176">
        <f t="shared" si="129"/>
        <v>4</v>
      </c>
      <c r="AI297" s="225">
        <f t="shared" si="130"/>
        <v>-1.5020166233139287</v>
      </c>
      <c r="AJ297" s="265" t="b">
        <f t="shared" si="131"/>
        <v>0</v>
      </c>
      <c r="AK297" s="265" t="b">
        <f t="shared" si="132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33"/>
        <v>43384</v>
      </c>
      <c r="B298" s="617">
        <v>18.47</v>
      </c>
      <c r="C298" s="390"/>
      <c r="D298" s="393">
        <f t="shared" si="110"/>
        <v>18.540931198136967</v>
      </c>
      <c r="E298" s="385">
        <f t="shared" si="136"/>
        <v>19.13291072640461</v>
      </c>
      <c r="F298" s="385">
        <f t="shared" si="135"/>
        <v>19.161926547634632</v>
      </c>
      <c r="G298" s="110">
        <f t="shared" si="137"/>
        <v>0.69467983146009649</v>
      </c>
      <c r="I298" s="380">
        <f t="shared" si="111"/>
        <v>19.161926547634632</v>
      </c>
      <c r="J298" s="85">
        <v>2018</v>
      </c>
      <c r="K298" s="197">
        <f t="shared" si="112"/>
        <v>43384</v>
      </c>
      <c r="L298" s="438">
        <f t="shared" si="113"/>
        <v>3.8256545682071597E-3</v>
      </c>
      <c r="M298" s="861"/>
      <c r="N298" s="861"/>
      <c r="O298" s="324">
        <f t="shared" si="114"/>
        <v>3.0940379994073421E-2</v>
      </c>
      <c r="P298" s="169">
        <f>(INDEX(Models!$BJ298:$BT298,,T298)*(1-R298)+INDEX(Models!$BJ298:$BT298,,T298+1)*R298-ERP_i)*Q298*Ramure*Pc/MaxiM</f>
        <v>2.6801315608130719E-3</v>
      </c>
      <c r="Q298" s="305">
        <f t="shared" si="115"/>
        <v>0.7</v>
      </c>
      <c r="R298" s="177">
        <f t="shared" si="116"/>
        <v>0.49811567765943754</v>
      </c>
      <c r="S298" s="817">
        <f t="shared" si="134"/>
        <v>-2</v>
      </c>
      <c r="T298" s="176">
        <f t="shared" si="117"/>
        <v>4</v>
      </c>
      <c r="U298" s="251">
        <f t="shared" si="118"/>
        <v>-1.5018843223405625</v>
      </c>
      <c r="V298" s="383">
        <f t="shared" si="119"/>
        <v>26.55674247833592</v>
      </c>
      <c r="W298" s="58"/>
      <c r="X298" s="157">
        <f t="shared" si="120"/>
        <v>43384</v>
      </c>
      <c r="Y298" s="385">
        <f t="shared" si="121"/>
        <v>18.47</v>
      </c>
      <c r="Z298" s="385">
        <f t="shared" si="122"/>
        <v>18.540931198136967</v>
      </c>
      <c r="AA298" s="386">
        <f t="shared" si="123"/>
        <v>19.13291072640461</v>
      </c>
      <c r="AB298" s="197">
        <f t="shared" si="124"/>
        <v>43384</v>
      </c>
      <c r="AC298" s="427">
        <f t="shared" si="125"/>
        <v>3.0940379994073421E-2</v>
      </c>
      <c r="AD298" s="169">
        <f>(INDEX(Models!$BJ298:$BT298,,AH298)*(1-AF298)+INDEX(Models!$BJ298:$BT298,,AH298+1)*AF298-ERP_i)*AE298*Ramure*Pc/MaxiM</f>
        <v>2.6801315608130719E-3</v>
      </c>
      <c r="AE298" s="305">
        <f t="shared" si="126"/>
        <v>0.7</v>
      </c>
      <c r="AF298" s="177">
        <f t="shared" si="127"/>
        <v>0.49811567765943754</v>
      </c>
      <c r="AG298" s="817">
        <f t="shared" si="128"/>
        <v>-2</v>
      </c>
      <c r="AH298" s="176">
        <f t="shared" si="129"/>
        <v>4</v>
      </c>
      <c r="AI298" s="225">
        <f t="shared" si="130"/>
        <v>-1.5018843223405625</v>
      </c>
      <c r="AJ298" s="265" t="b">
        <f t="shared" si="131"/>
        <v>0</v>
      </c>
      <c r="AK298" s="265" t="b">
        <f t="shared" si="132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33"/>
        <v>43385</v>
      </c>
      <c r="B299" s="617">
        <v>23.02</v>
      </c>
      <c r="C299" s="390"/>
      <c r="D299" s="393">
        <f t="shared" si="110"/>
        <v>23.108910918745316</v>
      </c>
      <c r="E299" s="385">
        <f t="shared" si="136"/>
        <v>23.850187483017567</v>
      </c>
      <c r="F299" s="385">
        <f t="shared" si="135"/>
        <v>23.90841465362735</v>
      </c>
      <c r="G299" s="110">
        <f t="shared" si="137"/>
        <v>0.875746415446788</v>
      </c>
      <c r="I299" s="380">
        <f t="shared" si="111"/>
        <v>23.90841465362735</v>
      </c>
      <c r="J299" s="85">
        <v>2018</v>
      </c>
      <c r="K299" s="197">
        <f t="shared" si="112"/>
        <v>43385</v>
      </c>
      <c r="L299" s="438">
        <f t="shared" si="113"/>
        <v>3.8474733429861852E-3</v>
      </c>
      <c r="M299" s="861"/>
      <c r="N299" s="861"/>
      <c r="O299" s="324">
        <f t="shared" si="114"/>
        <v>3.1080534054504831E-2</v>
      </c>
      <c r="P299" s="169">
        <f>(INDEX(Models!$BJ299:$BT299,,T299)*(1-R299)+INDEX(Models!$BJ299:$BT299,,T299+1)*R299-ERP_i)*Q299*Ramure*Pc/MaxiM</f>
        <v>2.9586607777786532E-3</v>
      </c>
      <c r="Q299" s="305">
        <f t="shared" si="115"/>
        <v>0.7</v>
      </c>
      <c r="R299" s="177">
        <f t="shared" si="116"/>
        <v>0.49824271799433895</v>
      </c>
      <c r="S299" s="817">
        <f t="shared" si="134"/>
        <v>-2</v>
      </c>
      <c r="T299" s="176">
        <f t="shared" si="117"/>
        <v>4</v>
      </c>
      <c r="U299" s="251">
        <f t="shared" si="118"/>
        <v>-1.5017572820056611</v>
      </c>
      <c r="V299" s="383">
        <f t="shared" si="119"/>
        <v>26.27236071959447</v>
      </c>
      <c r="W299" s="58"/>
      <c r="X299" s="157">
        <f t="shared" si="120"/>
        <v>43385</v>
      </c>
      <c r="Y299" s="385">
        <f t="shared" si="121"/>
        <v>23.02</v>
      </c>
      <c r="Z299" s="385">
        <f t="shared" si="122"/>
        <v>23.108910918745316</v>
      </c>
      <c r="AA299" s="386">
        <f t="shared" si="123"/>
        <v>23.850187483017567</v>
      </c>
      <c r="AB299" s="197">
        <f t="shared" si="124"/>
        <v>43385</v>
      </c>
      <c r="AC299" s="427">
        <f t="shared" si="125"/>
        <v>3.1080534054504831E-2</v>
      </c>
      <c r="AD299" s="169">
        <f>(INDEX(Models!$BJ299:$BT299,,AH299)*(1-AF299)+INDEX(Models!$BJ299:$BT299,,AH299+1)*AF299-ERP_i)*AE299*Ramure*Pc/MaxiM</f>
        <v>2.9586607777786532E-3</v>
      </c>
      <c r="AE299" s="305">
        <f t="shared" si="126"/>
        <v>0.7</v>
      </c>
      <c r="AF299" s="177">
        <f t="shared" si="127"/>
        <v>0.49824271799433895</v>
      </c>
      <c r="AG299" s="817">
        <f t="shared" si="128"/>
        <v>-2</v>
      </c>
      <c r="AH299" s="176">
        <f t="shared" si="129"/>
        <v>4</v>
      </c>
      <c r="AI299" s="225">
        <f t="shared" si="130"/>
        <v>-1.5017572820056611</v>
      </c>
      <c r="AJ299" s="265" t="b">
        <f t="shared" si="131"/>
        <v>0</v>
      </c>
      <c r="AK299" s="265" t="b">
        <f t="shared" si="132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33"/>
        <v>43386</v>
      </c>
      <c r="B300" s="617">
        <v>15.071</v>
      </c>
      <c r="C300" s="390"/>
      <c r="D300" s="393">
        <f t="shared" si="110"/>
        <v>15.129540604978036</v>
      </c>
      <c r="E300" s="385">
        <f t="shared" si="136"/>
        <v>15.617104770035571</v>
      </c>
      <c r="F300" s="385">
        <f t="shared" si="135"/>
        <v>15.637412108263614</v>
      </c>
      <c r="G300" s="110">
        <f t="shared" si="137"/>
        <v>0.57885455772275807</v>
      </c>
      <c r="I300" s="380">
        <f t="shared" si="111"/>
        <v>15.637412108263614</v>
      </c>
      <c r="J300" s="85">
        <v>2018</v>
      </c>
      <c r="K300" s="197">
        <f t="shared" si="112"/>
        <v>43386</v>
      </c>
      <c r="L300" s="438">
        <f t="shared" si="113"/>
        <v>3.8692916398780364E-3</v>
      </c>
      <c r="M300" s="861"/>
      <c r="N300" s="861"/>
      <c r="O300" s="324">
        <f t="shared" si="114"/>
        <v>3.1219881805046271E-2</v>
      </c>
      <c r="P300" s="169">
        <f>(INDEX(Models!$BJ300:$BT300,,T300)*(1-R300)+INDEX(Models!$BJ300:$BT300,,T300+1)*R300-ERP_i)*Q300*Ramure*Pc/MaxiM</f>
        <v>3.2467584917942414E-3</v>
      </c>
      <c r="Q300" s="305">
        <f t="shared" si="115"/>
        <v>0.7</v>
      </c>
      <c r="R300" s="177">
        <f t="shared" si="116"/>
        <v>0.49836470432393298</v>
      </c>
      <c r="S300" s="817">
        <f t="shared" si="134"/>
        <v>-2</v>
      </c>
      <c r="T300" s="176">
        <f t="shared" si="117"/>
        <v>4</v>
      </c>
      <c r="U300" s="251">
        <f t="shared" si="118"/>
        <v>-1.501635295676067</v>
      </c>
      <c r="V300" s="383">
        <f t="shared" si="119"/>
        <v>25.9851140467992</v>
      </c>
      <c r="W300" s="58"/>
      <c r="X300" s="157">
        <f t="shared" si="120"/>
        <v>43386</v>
      </c>
      <c r="Y300" s="385">
        <f t="shared" si="121"/>
        <v>15.071</v>
      </c>
      <c r="Z300" s="385">
        <f t="shared" si="122"/>
        <v>15.129540604978036</v>
      </c>
      <c r="AA300" s="386">
        <f t="shared" si="123"/>
        <v>15.617104770035571</v>
      </c>
      <c r="AB300" s="197">
        <f t="shared" si="124"/>
        <v>43386</v>
      </c>
      <c r="AC300" s="427">
        <f t="shared" si="125"/>
        <v>3.1219881805046271E-2</v>
      </c>
      <c r="AD300" s="169">
        <f>(INDEX(Models!$BJ300:$BT300,,AH300)*(1-AF300)+INDEX(Models!$BJ300:$BT300,,AH300+1)*AF300-ERP_i)*AE300*Ramure*Pc/MaxiM</f>
        <v>3.2467584917942414E-3</v>
      </c>
      <c r="AE300" s="305">
        <f t="shared" si="126"/>
        <v>0.7</v>
      </c>
      <c r="AF300" s="177">
        <f t="shared" si="127"/>
        <v>0.49836470432393298</v>
      </c>
      <c r="AG300" s="817">
        <f t="shared" si="128"/>
        <v>-2</v>
      </c>
      <c r="AH300" s="176">
        <f t="shared" si="129"/>
        <v>4</v>
      </c>
      <c r="AI300" s="225">
        <f t="shared" si="130"/>
        <v>-1.501635295676067</v>
      </c>
      <c r="AJ300" s="265" t="b">
        <f t="shared" si="131"/>
        <v>0</v>
      </c>
      <c r="AK300" s="265" t="b">
        <f t="shared" si="132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33"/>
        <v>43387</v>
      </c>
      <c r="B301" s="617">
        <v>22.053000000000001</v>
      </c>
      <c r="C301" s="390"/>
      <c r="D301" s="393">
        <f t="shared" si="110"/>
        <v>22.13914583978902</v>
      </c>
      <c r="E301" s="385">
        <f t="shared" si="136"/>
        <v>22.855869909280656</v>
      </c>
      <c r="F301" s="385">
        <f t="shared" si="135"/>
        <v>22.920666386979544</v>
      </c>
      <c r="G301" s="110">
        <f t="shared" si="137"/>
        <v>0.85764241516610473</v>
      </c>
      <c r="I301" s="380">
        <f t="shared" si="111"/>
        <v>22.920666386979544</v>
      </c>
      <c r="J301" s="85">
        <v>2018</v>
      </c>
      <c r="K301" s="197">
        <f t="shared" si="112"/>
        <v>43387</v>
      </c>
      <c r="L301" s="438">
        <f t="shared" si="113"/>
        <v>3.8911094588932604E-3</v>
      </c>
      <c r="M301" s="861"/>
      <c r="N301" s="861"/>
      <c r="O301" s="324">
        <f t="shared" si="114"/>
        <v>3.1358424436980524E-2</v>
      </c>
      <c r="P301" s="169">
        <f>(INDEX(Models!$BJ301:$BT301,,T301)*(1-R301)+INDEX(Models!$BJ301:$BT301,,T301+1)*R301-ERP_i)*Q301*Ramure*Pc/MaxiM</f>
        <v>3.544749436342573E-3</v>
      </c>
      <c r="Q301" s="305">
        <f t="shared" si="115"/>
        <v>0.7</v>
      </c>
      <c r="R301" s="177">
        <f t="shared" si="116"/>
        <v>0.4984818353647138</v>
      </c>
      <c r="S301" s="817">
        <f t="shared" si="134"/>
        <v>-2</v>
      </c>
      <c r="T301" s="176">
        <f t="shared" si="117"/>
        <v>4</v>
      </c>
      <c r="U301" s="251">
        <f t="shared" si="118"/>
        <v>-1.5015181646352862</v>
      </c>
      <c r="V301" s="383">
        <f t="shared" si="119"/>
        <v>25.695005249880357</v>
      </c>
      <c r="W301" s="58"/>
      <c r="X301" s="157">
        <f t="shared" si="120"/>
        <v>43387</v>
      </c>
      <c r="Y301" s="385">
        <f t="shared" si="121"/>
        <v>22.053000000000001</v>
      </c>
      <c r="Z301" s="385">
        <f t="shared" si="122"/>
        <v>22.13914583978902</v>
      </c>
      <c r="AA301" s="386">
        <f t="shared" si="123"/>
        <v>22.855869909280656</v>
      </c>
      <c r="AB301" s="197">
        <f t="shared" si="124"/>
        <v>43387</v>
      </c>
      <c r="AC301" s="427">
        <f t="shared" si="125"/>
        <v>3.1358424436980524E-2</v>
      </c>
      <c r="AD301" s="169">
        <f>(INDEX(Models!$BJ301:$BT301,,AH301)*(1-AF301)+INDEX(Models!$BJ301:$BT301,,AH301+1)*AF301-ERP_i)*AE301*Ramure*Pc/MaxiM</f>
        <v>3.544749436342573E-3</v>
      </c>
      <c r="AE301" s="305">
        <f t="shared" si="126"/>
        <v>0.7</v>
      </c>
      <c r="AF301" s="177">
        <f t="shared" si="127"/>
        <v>0.4984818353647138</v>
      </c>
      <c r="AG301" s="817">
        <f t="shared" si="128"/>
        <v>-2</v>
      </c>
      <c r="AH301" s="176">
        <f t="shared" si="129"/>
        <v>4</v>
      </c>
      <c r="AI301" s="225">
        <f t="shared" si="130"/>
        <v>-1.5015181646352862</v>
      </c>
      <c r="AJ301" s="265" t="b">
        <f t="shared" si="131"/>
        <v>0</v>
      </c>
      <c r="AK301" s="265" t="b">
        <f t="shared" si="132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33"/>
        <v>43388</v>
      </c>
      <c r="B302" s="617">
        <v>7.1040000000000001</v>
      </c>
      <c r="C302" s="390"/>
      <c r="D302" s="393">
        <f t="shared" si="110"/>
        <v>7.1319066285823789</v>
      </c>
      <c r="E302" s="385">
        <f t="shared" si="136"/>
        <v>7.363839326122732</v>
      </c>
      <c r="F302" s="385">
        <f t="shared" si="135"/>
        <v>7.363839326122732</v>
      </c>
      <c r="G302" s="110">
        <f t="shared" si="137"/>
        <v>0.27858507646005998</v>
      </c>
      <c r="I302" s="380">
        <f t="shared" si="111"/>
        <v>7.363839326122732</v>
      </c>
      <c r="J302" s="85">
        <v>2018</v>
      </c>
      <c r="K302" s="197">
        <f t="shared" si="112"/>
        <v>43388</v>
      </c>
      <c r="L302" s="438">
        <f t="shared" si="113"/>
        <v>3.9129268000421824E-3</v>
      </c>
      <c r="M302" s="861"/>
      <c r="N302" s="861"/>
      <c r="O302" s="324">
        <f t="shared" si="114"/>
        <v>3.1496164876600008E-2</v>
      </c>
      <c r="P302" s="169">
        <f>(INDEX(Models!$BJ302:$BT302,,T302)*(1-R302)+INDEX(Models!$BJ302:$BT302,,T302+1)*R302-ERP_i)*Q302*Ramure*Pc/MaxiM</f>
        <v>3.8529782795542742E-3</v>
      </c>
      <c r="Q302" s="305">
        <f t="shared" si="115"/>
        <v>0.7</v>
      </c>
      <c r="R302" s="177">
        <f t="shared" si="116"/>
        <v>0.49859430220407996</v>
      </c>
      <c r="S302" s="817">
        <f t="shared" si="134"/>
        <v>-2</v>
      </c>
      <c r="T302" s="176">
        <f t="shared" si="117"/>
        <v>4</v>
      </c>
      <c r="U302" s="251">
        <f t="shared" si="118"/>
        <v>-1.50140569779592</v>
      </c>
      <c r="V302" s="383">
        <f t="shared" si="119"/>
        <v>25.402037080462939</v>
      </c>
      <c r="W302" s="58"/>
      <c r="X302" s="157">
        <f t="shared" si="120"/>
        <v>43388</v>
      </c>
      <c r="Y302" s="385">
        <f t="shared" si="121"/>
        <v>7.1040000000000001</v>
      </c>
      <c r="Z302" s="385">
        <f t="shared" si="122"/>
        <v>7.1319066285823789</v>
      </c>
      <c r="AA302" s="386">
        <f t="shared" si="123"/>
        <v>7.363839326122732</v>
      </c>
      <c r="AB302" s="197">
        <f t="shared" si="124"/>
        <v>43388</v>
      </c>
      <c r="AC302" s="427">
        <f t="shared" si="125"/>
        <v>3.1496164876600008E-2</v>
      </c>
      <c r="AD302" s="169">
        <f>(INDEX(Models!$BJ302:$BT302,,AH302)*(1-AF302)+INDEX(Models!$BJ302:$BT302,,AH302+1)*AF302-ERP_i)*AE302*Ramure*Pc/MaxiM</f>
        <v>3.8529782795542742E-3</v>
      </c>
      <c r="AE302" s="305">
        <f t="shared" si="126"/>
        <v>0.7</v>
      </c>
      <c r="AF302" s="177">
        <f t="shared" si="127"/>
        <v>0.49859430220407996</v>
      </c>
      <c r="AG302" s="817">
        <f t="shared" si="128"/>
        <v>-2</v>
      </c>
      <c r="AH302" s="176">
        <f t="shared" si="129"/>
        <v>4</v>
      </c>
      <c r="AI302" s="225">
        <f t="shared" si="130"/>
        <v>-1.50140569779592</v>
      </c>
      <c r="AJ302" s="265" t="b">
        <f t="shared" si="131"/>
        <v>0</v>
      </c>
      <c r="AK302" s="265" t="b">
        <f t="shared" si="132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33"/>
        <v>43389</v>
      </c>
      <c r="B303" s="617">
        <v>13.923999999999999</v>
      </c>
      <c r="C303" s="390"/>
      <c r="D303" s="393">
        <f t="shared" si="110"/>
        <v>13.979003796608445</v>
      </c>
      <c r="E303" s="385">
        <f t="shared" si="136"/>
        <v>14.435648213404921</v>
      </c>
      <c r="F303" s="385">
        <f t="shared" si="135"/>
        <v>14.457587582961729</v>
      </c>
      <c r="G303" s="110">
        <f t="shared" si="137"/>
        <v>0.55314416547121015</v>
      </c>
      <c r="I303" s="380">
        <f t="shared" si="111"/>
        <v>14.457587582961729</v>
      </c>
      <c r="J303" s="85">
        <v>2018</v>
      </c>
      <c r="K303" s="197">
        <f t="shared" si="112"/>
        <v>43389</v>
      </c>
      <c r="L303" s="438">
        <f t="shared" si="113"/>
        <v>3.9347436633353494E-3</v>
      </c>
      <c r="M303" s="861"/>
      <c r="N303" s="861"/>
      <c r="O303" s="324">
        <f t="shared" si="114"/>
        <v>3.1633107848418981E-2</v>
      </c>
      <c r="P303" s="169">
        <f>(INDEX(Models!$BJ303:$BT303,,T303)*(1-R303)+INDEX(Models!$BJ303:$BT303,,T303+1)*R303-ERP_i)*Q303*Ramure*Pc/MaxiM</f>
        <v>4.1719225096493165E-3</v>
      </c>
      <c r="Q303" s="305">
        <f t="shared" si="115"/>
        <v>0.7</v>
      </c>
      <c r="R303" s="177">
        <f t="shared" si="116"/>
        <v>0.4987022885787129</v>
      </c>
      <c r="S303" s="817">
        <f t="shared" si="134"/>
        <v>-2</v>
      </c>
      <c r="T303" s="176">
        <f t="shared" si="117"/>
        <v>4</v>
      </c>
      <c r="U303" s="251">
        <f t="shared" si="118"/>
        <v>-1.5012977114212871</v>
      </c>
      <c r="V303" s="383">
        <f t="shared" si="119"/>
        <v>25.105541189207212</v>
      </c>
      <c r="W303" s="58"/>
      <c r="X303" s="157">
        <f t="shared" si="120"/>
        <v>43389</v>
      </c>
      <c r="Y303" s="385">
        <f t="shared" si="121"/>
        <v>13.923999999999999</v>
      </c>
      <c r="Z303" s="385">
        <f t="shared" si="122"/>
        <v>13.979003796608445</v>
      </c>
      <c r="AA303" s="386">
        <f t="shared" si="123"/>
        <v>14.435648213404921</v>
      </c>
      <c r="AB303" s="197">
        <f t="shared" si="124"/>
        <v>43389</v>
      </c>
      <c r="AC303" s="427">
        <f t="shared" si="125"/>
        <v>3.1633107848418981E-2</v>
      </c>
      <c r="AD303" s="169">
        <f>(INDEX(Models!$BJ303:$BT303,,AH303)*(1-AF303)+INDEX(Models!$BJ303:$BT303,,AH303+1)*AF303-ERP_i)*AE303*Ramure*Pc/MaxiM</f>
        <v>4.1719225096493165E-3</v>
      </c>
      <c r="AE303" s="305">
        <f t="shared" si="126"/>
        <v>0.7</v>
      </c>
      <c r="AF303" s="177">
        <f t="shared" si="127"/>
        <v>0.4987022885787129</v>
      </c>
      <c r="AG303" s="817">
        <f t="shared" si="128"/>
        <v>-2</v>
      </c>
      <c r="AH303" s="176">
        <f t="shared" si="129"/>
        <v>4</v>
      </c>
      <c r="AI303" s="225">
        <f t="shared" si="130"/>
        <v>-1.5012977114212871</v>
      </c>
      <c r="AJ303" s="265" t="b">
        <f t="shared" si="131"/>
        <v>0</v>
      </c>
      <c r="AK303" s="265" t="b">
        <f t="shared" si="132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33"/>
        <v>43390</v>
      </c>
      <c r="B304" s="617">
        <v>14.38</v>
      </c>
      <c r="C304" s="390"/>
      <c r="D304" s="393">
        <f t="shared" si="110"/>
        <v>14.437121337503402</v>
      </c>
      <c r="E304" s="385">
        <f t="shared" si="136"/>
        <v>14.910827285294493</v>
      </c>
      <c r="F304" s="385">
        <f t="shared" si="135"/>
        <v>14.937723797625093</v>
      </c>
      <c r="G304" s="110">
        <f t="shared" si="137"/>
        <v>0.57815157417549135</v>
      </c>
      <c r="I304" s="380">
        <f t="shared" si="111"/>
        <v>14.937723797625093</v>
      </c>
      <c r="J304" s="85">
        <v>2018</v>
      </c>
      <c r="K304" s="197">
        <f t="shared" si="112"/>
        <v>43390</v>
      </c>
      <c r="L304" s="438">
        <f t="shared" si="113"/>
        <v>3.9565600487831976E-3</v>
      </c>
      <c r="M304" s="861"/>
      <c r="N304" s="861"/>
      <c r="O304" s="324">
        <f t="shared" si="114"/>
        <v>3.1769259929546267E-2</v>
      </c>
      <c r="P304" s="169">
        <f>(INDEX(Models!$BJ304:$BT304,,T304)*(1-R304)+INDEX(Models!$BJ304:$BT304,,T304+1)*R304-ERP_i)*Q304*Ramure*Pc/MaxiM</f>
        <v>4.5059026690914628E-3</v>
      </c>
      <c r="Q304" s="305">
        <f t="shared" si="115"/>
        <v>0.7</v>
      </c>
      <c r="R304" s="177">
        <f t="shared" si="116"/>
        <v>0.49880597114395764</v>
      </c>
      <c r="S304" s="817">
        <f t="shared" si="134"/>
        <v>-2</v>
      </c>
      <c r="T304" s="176">
        <f t="shared" si="117"/>
        <v>4</v>
      </c>
      <c r="U304" s="251">
        <f t="shared" si="118"/>
        <v>-1.5011940288560424</v>
      </c>
      <c r="V304" s="383">
        <f t="shared" si="119"/>
        <v>24.804960973556597</v>
      </c>
      <c r="W304" s="58"/>
      <c r="X304" s="157">
        <f t="shared" si="120"/>
        <v>43390</v>
      </c>
      <c r="Y304" s="385">
        <f t="shared" si="121"/>
        <v>14.38</v>
      </c>
      <c r="Z304" s="385">
        <f t="shared" si="122"/>
        <v>14.437121337503402</v>
      </c>
      <c r="AA304" s="386">
        <f t="shared" si="123"/>
        <v>14.910827285294493</v>
      </c>
      <c r="AB304" s="197">
        <f t="shared" si="124"/>
        <v>43390</v>
      </c>
      <c r="AC304" s="427">
        <f t="shared" si="125"/>
        <v>3.1769259929546267E-2</v>
      </c>
      <c r="AD304" s="169">
        <f>(INDEX(Models!$BJ304:$BT304,,AH304)*(1-AF304)+INDEX(Models!$BJ304:$BT304,,AH304+1)*AF304-ERP_i)*AE304*Ramure*Pc/MaxiM</f>
        <v>4.5059026690914628E-3</v>
      </c>
      <c r="AE304" s="305">
        <f t="shared" si="126"/>
        <v>0.7</v>
      </c>
      <c r="AF304" s="177">
        <f t="shared" si="127"/>
        <v>0.49880597114395764</v>
      </c>
      <c r="AG304" s="817">
        <f t="shared" si="128"/>
        <v>-2</v>
      </c>
      <c r="AH304" s="176">
        <f t="shared" si="129"/>
        <v>4</v>
      </c>
      <c r="AI304" s="225">
        <f t="shared" si="130"/>
        <v>-1.5011940288560424</v>
      </c>
      <c r="AJ304" s="265" t="b">
        <f t="shared" si="131"/>
        <v>0</v>
      </c>
      <c r="AK304" s="265" t="b">
        <f t="shared" si="132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33"/>
        <v>43391</v>
      </c>
      <c r="B305" s="617">
        <v>6.4189999999999996</v>
      </c>
      <c r="C305" s="390"/>
      <c r="D305" s="393">
        <f t="shared" si="110"/>
        <v>6.4446391976315054</v>
      </c>
      <c r="E305" s="385">
        <f t="shared" si="136"/>
        <v>6.6570292500541752</v>
      </c>
      <c r="F305" s="385">
        <f t="shared" si="135"/>
        <v>6.6570292500541752</v>
      </c>
      <c r="G305" s="110">
        <f t="shared" si="137"/>
        <v>0.26072138434509129</v>
      </c>
      <c r="I305" s="380">
        <f t="shared" si="111"/>
        <v>6.6570292500541752</v>
      </c>
      <c r="J305" s="85">
        <v>2018</v>
      </c>
      <c r="K305" s="197">
        <f t="shared" si="112"/>
        <v>43391</v>
      </c>
      <c r="L305" s="438">
        <f t="shared" si="113"/>
        <v>3.9783759563962739E-3</v>
      </c>
      <c r="M305" s="861"/>
      <c r="N305" s="861"/>
      <c r="O305" s="324">
        <f t="shared" si="114"/>
        <v>3.1904629594490974E-2</v>
      </c>
      <c r="P305" s="169">
        <f>(INDEX(Models!$BJ305:$BT305,,T305)*(1-R305)+INDEX(Models!$BJ305:$BT305,,T305+1)*R305-ERP_i)*Q305*Ramure*Pc/MaxiM</f>
        <v>4.8517449957402297E-3</v>
      </c>
      <c r="Q305" s="305">
        <f t="shared" si="115"/>
        <v>0.7</v>
      </c>
      <c r="R305" s="177">
        <f t="shared" si="116"/>
        <v>0.49890551973439834</v>
      </c>
      <c r="S305" s="817">
        <f t="shared" si="134"/>
        <v>-2</v>
      </c>
      <c r="T305" s="176">
        <f t="shared" si="117"/>
        <v>4</v>
      </c>
      <c r="U305" s="251">
        <f t="shared" si="118"/>
        <v>-1.5010944802656017</v>
      </c>
      <c r="V305" s="383">
        <f t="shared" si="119"/>
        <v>24.500700872381699</v>
      </c>
      <c r="W305" s="58"/>
      <c r="X305" s="157">
        <f t="shared" si="120"/>
        <v>43391</v>
      </c>
      <c r="Y305" s="385">
        <f t="shared" si="121"/>
        <v>6.4189999999999996</v>
      </c>
      <c r="Z305" s="385">
        <f t="shared" si="122"/>
        <v>6.4446391976315054</v>
      </c>
      <c r="AA305" s="386">
        <f t="shared" si="123"/>
        <v>6.6570292500541752</v>
      </c>
      <c r="AB305" s="197">
        <f t="shared" si="124"/>
        <v>43391</v>
      </c>
      <c r="AC305" s="427">
        <f t="shared" si="125"/>
        <v>3.1904629594490974E-2</v>
      </c>
      <c r="AD305" s="169">
        <f>(INDEX(Models!$BJ305:$BT305,,AH305)*(1-AF305)+INDEX(Models!$BJ305:$BT305,,AH305+1)*AF305-ERP_i)*AE305*Ramure*Pc/MaxiM</f>
        <v>4.8517449957402297E-3</v>
      </c>
      <c r="AE305" s="305">
        <f t="shared" si="126"/>
        <v>0.7</v>
      </c>
      <c r="AF305" s="177">
        <f t="shared" si="127"/>
        <v>0.49890551973439834</v>
      </c>
      <c r="AG305" s="817">
        <f t="shared" si="128"/>
        <v>-2</v>
      </c>
      <c r="AH305" s="176">
        <f t="shared" si="129"/>
        <v>4</v>
      </c>
      <c r="AI305" s="225">
        <f t="shared" si="130"/>
        <v>-1.5010944802656017</v>
      </c>
      <c r="AJ305" s="265" t="b">
        <f t="shared" si="131"/>
        <v>0</v>
      </c>
      <c r="AK305" s="265" t="b">
        <f t="shared" si="132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33"/>
        <v>43392</v>
      </c>
      <c r="B306" s="617">
        <v>14.715999999999999</v>
      </c>
      <c r="C306" s="390"/>
      <c r="D306" s="393">
        <f t="shared" si="110"/>
        <v>14.775103240713493</v>
      </c>
      <c r="E306" s="385">
        <f t="shared" si="136"/>
        <v>15.26415497059144</v>
      </c>
      <c r="F306" s="385">
        <f t="shared" si="135"/>
        <v>15.299257318425393</v>
      </c>
      <c r="G306" s="110">
        <f t="shared" si="137"/>
        <v>0.60649577540586941</v>
      </c>
      <c r="I306" s="380">
        <f t="shared" si="111"/>
        <v>15.299257318425393</v>
      </c>
      <c r="J306" s="85">
        <v>2018</v>
      </c>
      <c r="K306" s="197">
        <f t="shared" si="112"/>
        <v>43392</v>
      </c>
      <c r="L306" s="438">
        <f t="shared" si="113"/>
        <v>4.0001913861849037E-3</v>
      </c>
      <c r="M306" s="861"/>
      <c r="N306" s="861"/>
      <c r="O306" s="324">
        <f t="shared" si="114"/>
        <v>3.2039227249734722E-2</v>
      </c>
      <c r="P306" s="169">
        <f>(INDEX(Models!$BJ306:$BT306,,T306)*(1-R306)+INDEX(Models!$BJ306:$BT306,,T306+1)*R306-ERP_i)*Q306*Ramure*Pc/MaxiM</f>
        <v>5.2098831201843479E-3</v>
      </c>
      <c r="Q306" s="305">
        <f t="shared" si="115"/>
        <v>0.7</v>
      </c>
      <c r="R306" s="177">
        <f t="shared" si="116"/>
        <v>0.49900109761582834</v>
      </c>
      <c r="S306" s="817">
        <f t="shared" si="134"/>
        <v>-2</v>
      </c>
      <c r="T306" s="176">
        <f t="shared" si="117"/>
        <v>4</v>
      </c>
      <c r="U306" s="251">
        <f t="shared" si="118"/>
        <v>-1.5009989023841717</v>
      </c>
      <c r="V306" s="383">
        <f t="shared" si="119"/>
        <v>24.193073425652045</v>
      </c>
      <c r="W306" s="58"/>
      <c r="X306" s="157">
        <f t="shared" si="120"/>
        <v>43392</v>
      </c>
      <c r="Y306" s="385">
        <f t="shared" si="121"/>
        <v>14.715999999999999</v>
      </c>
      <c r="Z306" s="385">
        <f t="shared" si="122"/>
        <v>14.775103240713493</v>
      </c>
      <c r="AA306" s="386">
        <f t="shared" si="123"/>
        <v>15.26415497059144</v>
      </c>
      <c r="AB306" s="197">
        <f t="shared" si="124"/>
        <v>43392</v>
      </c>
      <c r="AC306" s="427">
        <f t="shared" si="125"/>
        <v>3.2039227249734722E-2</v>
      </c>
      <c r="AD306" s="169">
        <f>(INDEX(Models!$BJ306:$BT306,,AH306)*(1-AF306)+INDEX(Models!$BJ306:$BT306,,AH306+1)*AF306-ERP_i)*AE306*Ramure*Pc/MaxiM</f>
        <v>5.2098831201843479E-3</v>
      </c>
      <c r="AE306" s="305">
        <f t="shared" si="126"/>
        <v>0.7</v>
      </c>
      <c r="AF306" s="177">
        <f t="shared" si="127"/>
        <v>0.49900109761582834</v>
      </c>
      <c r="AG306" s="817">
        <f t="shared" si="128"/>
        <v>-2</v>
      </c>
      <c r="AH306" s="176">
        <f t="shared" si="129"/>
        <v>4</v>
      </c>
      <c r="AI306" s="225">
        <f t="shared" si="130"/>
        <v>-1.5009989023841717</v>
      </c>
      <c r="AJ306" s="265" t="b">
        <f t="shared" si="131"/>
        <v>0</v>
      </c>
      <c r="AK306" s="265" t="b">
        <f t="shared" si="132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33"/>
        <v>43393</v>
      </c>
      <c r="B307" s="617">
        <v>6.1379999999999999</v>
      </c>
      <c r="C307" s="390"/>
      <c r="D307" s="393">
        <f t="shared" si="110"/>
        <v>6.1627867674393677</v>
      </c>
      <c r="E307" s="385">
        <f t="shared" si="136"/>
        <v>6.3676537056481788</v>
      </c>
      <c r="F307" s="385">
        <f t="shared" si="135"/>
        <v>6.3676537056481788</v>
      </c>
      <c r="G307" s="110">
        <f t="shared" si="137"/>
        <v>0.25557513441634977</v>
      </c>
      <c r="I307" s="380">
        <f t="shared" si="111"/>
        <v>6.3676537056481788</v>
      </c>
      <c r="J307" s="85">
        <v>2018</v>
      </c>
      <c r="K307" s="197">
        <f t="shared" si="112"/>
        <v>43393</v>
      </c>
      <c r="L307" s="438">
        <f t="shared" si="113"/>
        <v>4.0220063381596338E-3</v>
      </c>
      <c r="M307" s="861"/>
      <c r="N307" s="861"/>
      <c r="O307" s="324">
        <f t="shared" si="114"/>
        <v>3.2173065257473397E-2</v>
      </c>
      <c r="P307" s="169">
        <f>(INDEX(Models!$BJ307:$BT307,,T307)*(1-R307)+INDEX(Models!$BJ307:$BT307,,T307+1)*R307-ERP_i)*Q307*Ramure*Pc/MaxiM</f>
        <v>5.5807651830165755E-3</v>
      </c>
      <c r="Q307" s="305">
        <f t="shared" si="115"/>
        <v>0.7</v>
      </c>
      <c r="R307" s="177">
        <f t="shared" si="116"/>
        <v>0.49909286172882172</v>
      </c>
      <c r="S307" s="817">
        <f t="shared" si="134"/>
        <v>-2</v>
      </c>
      <c r="T307" s="176">
        <f t="shared" si="117"/>
        <v>4</v>
      </c>
      <c r="U307" s="251">
        <f t="shared" si="118"/>
        <v>-1.5009071382711783</v>
      </c>
      <c r="V307" s="383">
        <f t="shared" si="119"/>
        <v>23.882390895521219</v>
      </c>
      <c r="W307" s="58"/>
      <c r="X307" s="157">
        <f t="shared" si="120"/>
        <v>43393</v>
      </c>
      <c r="Y307" s="385">
        <f t="shared" si="121"/>
        <v>6.1379999999999999</v>
      </c>
      <c r="Z307" s="385">
        <f t="shared" si="122"/>
        <v>6.1627867674393677</v>
      </c>
      <c r="AA307" s="386">
        <f t="shared" si="123"/>
        <v>6.3676537056481788</v>
      </c>
      <c r="AB307" s="197">
        <f t="shared" si="124"/>
        <v>43393</v>
      </c>
      <c r="AC307" s="427">
        <f t="shared" si="125"/>
        <v>3.2173065257473397E-2</v>
      </c>
      <c r="AD307" s="169">
        <f>(INDEX(Models!$BJ307:$BT307,,AH307)*(1-AF307)+INDEX(Models!$BJ307:$BT307,,AH307+1)*AF307-ERP_i)*AE307*Ramure*Pc/MaxiM</f>
        <v>5.5807651830165755E-3</v>
      </c>
      <c r="AE307" s="305">
        <f t="shared" si="126"/>
        <v>0.7</v>
      </c>
      <c r="AF307" s="177">
        <f t="shared" si="127"/>
        <v>0.49909286172882172</v>
      </c>
      <c r="AG307" s="817">
        <f t="shared" si="128"/>
        <v>-2</v>
      </c>
      <c r="AH307" s="176">
        <f t="shared" si="129"/>
        <v>4</v>
      </c>
      <c r="AI307" s="225">
        <f t="shared" si="130"/>
        <v>-1.5009071382711783</v>
      </c>
      <c r="AJ307" s="265" t="b">
        <f t="shared" si="131"/>
        <v>0</v>
      </c>
      <c r="AK307" s="265" t="b">
        <f t="shared" si="132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33"/>
        <v>43394</v>
      </c>
      <c r="B308" s="617">
        <v>11.42</v>
      </c>
      <c r="C308" s="390"/>
      <c r="D308" s="393">
        <f t="shared" si="110"/>
        <v>11.466367937306726</v>
      </c>
      <c r="E308" s="385">
        <f t="shared" si="136"/>
        <v>11.84916906466235</v>
      </c>
      <c r="F308" s="385">
        <f t="shared" si="135"/>
        <v>11.867830842968816</v>
      </c>
      <c r="G308" s="110">
        <f t="shared" si="137"/>
        <v>0.48240386521707435</v>
      </c>
      <c r="I308" s="380">
        <f t="shared" si="111"/>
        <v>11.867830842968816</v>
      </c>
      <c r="J308" s="85">
        <v>2018</v>
      </c>
      <c r="K308" s="197">
        <f t="shared" si="112"/>
        <v>43394</v>
      </c>
      <c r="L308" s="438">
        <f t="shared" si="113"/>
        <v>4.0438208123310115E-3</v>
      </c>
      <c r="M308" s="861"/>
      <c r="N308" s="861"/>
      <c r="O308" s="324">
        <f t="shared" si="114"/>
        <v>3.2306157948007279E-2</v>
      </c>
      <c r="P308" s="169">
        <f>(INDEX(Models!$BJ308:$BT308,,T308)*(1-R308)+INDEX(Models!$BJ308:$BT308,,T308+1)*R308-ERP_i)*Q308*Ramure*Pc/MaxiM</f>
        <v>5.9648541563907097E-3</v>
      </c>
      <c r="Q308" s="305">
        <f t="shared" si="115"/>
        <v>0.7</v>
      </c>
      <c r="R308" s="177">
        <f t="shared" si="116"/>
        <v>0.49918096292410707</v>
      </c>
      <c r="S308" s="817">
        <f t="shared" si="134"/>
        <v>-2</v>
      </c>
      <c r="T308" s="176">
        <f t="shared" si="117"/>
        <v>4</v>
      </c>
      <c r="U308" s="251">
        <f t="shared" si="118"/>
        <v>-1.5008190370758929</v>
      </c>
      <c r="V308" s="383">
        <f t="shared" si="119"/>
        <v>23.568965266109092</v>
      </c>
      <c r="W308" s="58"/>
      <c r="X308" s="157">
        <f t="shared" si="120"/>
        <v>43394</v>
      </c>
      <c r="Y308" s="385">
        <f t="shared" si="121"/>
        <v>11.42</v>
      </c>
      <c r="Z308" s="385">
        <f t="shared" si="122"/>
        <v>11.466367937306726</v>
      </c>
      <c r="AA308" s="386">
        <f t="shared" si="123"/>
        <v>11.84916906466235</v>
      </c>
      <c r="AB308" s="197">
        <f t="shared" si="124"/>
        <v>43394</v>
      </c>
      <c r="AC308" s="427">
        <f t="shared" si="125"/>
        <v>3.2306157948007279E-2</v>
      </c>
      <c r="AD308" s="169">
        <f>(INDEX(Models!$BJ308:$BT308,,AH308)*(1-AF308)+INDEX(Models!$BJ308:$BT308,,AH308+1)*AF308-ERP_i)*AE308*Ramure*Pc/MaxiM</f>
        <v>5.9648541563907097E-3</v>
      </c>
      <c r="AE308" s="305">
        <f t="shared" si="126"/>
        <v>0.7</v>
      </c>
      <c r="AF308" s="177">
        <f t="shared" si="127"/>
        <v>0.49918096292410707</v>
      </c>
      <c r="AG308" s="817">
        <f t="shared" si="128"/>
        <v>-2</v>
      </c>
      <c r="AH308" s="176">
        <f t="shared" si="129"/>
        <v>4</v>
      </c>
      <c r="AI308" s="225">
        <f t="shared" si="130"/>
        <v>-1.5008190370758929</v>
      </c>
      <c r="AJ308" s="265" t="b">
        <f t="shared" si="131"/>
        <v>0</v>
      </c>
      <c r="AK308" s="265" t="b">
        <f t="shared" si="132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33"/>
        <v>43395</v>
      </c>
      <c r="B309" s="617">
        <v>13.683999999999999</v>
      </c>
      <c r="C309" s="390"/>
      <c r="D309" s="393">
        <f t="shared" si="110"/>
        <v>13.739861258198166</v>
      </c>
      <c r="E309" s="385">
        <f t="shared" si="136"/>
        <v>14.200504634814351</v>
      </c>
      <c r="F309" s="385">
        <f t="shared" si="135"/>
        <v>14.237838156940267</v>
      </c>
      <c r="G309" s="110">
        <f t="shared" si="137"/>
        <v>0.58627347260395335</v>
      </c>
      <c r="I309" s="380">
        <f t="shared" si="111"/>
        <v>14.237838156940267</v>
      </c>
      <c r="J309" s="85">
        <v>2018</v>
      </c>
      <c r="K309" s="197">
        <f t="shared" si="112"/>
        <v>43395</v>
      </c>
      <c r="L309" s="438">
        <f t="shared" si="113"/>
        <v>4.0656348087093619E-3</v>
      </c>
      <c r="M309" s="861"/>
      <c r="N309" s="861"/>
      <c r="O309" s="324">
        <f t="shared" si="114"/>
        <v>3.2438521620341478E-2</v>
      </c>
      <c r="P309" s="169">
        <f>(INDEX(Models!$BJ309:$BT309,,T309)*(1-R309)+INDEX(Models!$BJ309:$BT309,,T309+1)*R309-ERP_i)*Q309*Ramure*Pc/MaxiM</f>
        <v>6.3626281034693706E-3</v>
      </c>
      <c r="Q309" s="305">
        <f t="shared" si="115"/>
        <v>0.7</v>
      </c>
      <c r="R309" s="177">
        <f t="shared" si="116"/>
        <v>0.49926554618995289</v>
      </c>
      <c r="S309" s="817">
        <f t="shared" si="134"/>
        <v>-2</v>
      </c>
      <c r="T309" s="176">
        <f t="shared" si="117"/>
        <v>4</v>
      </c>
      <c r="U309" s="251">
        <f t="shared" si="118"/>
        <v>-1.5007344538100471</v>
      </c>
      <c r="V309" s="383">
        <f t="shared" si="119"/>
        <v>23.25310823644789</v>
      </c>
      <c r="W309" s="58"/>
      <c r="X309" s="157">
        <f t="shared" si="120"/>
        <v>43395</v>
      </c>
      <c r="Y309" s="385">
        <f t="shared" si="121"/>
        <v>13.683999999999999</v>
      </c>
      <c r="Z309" s="385">
        <f t="shared" si="122"/>
        <v>13.739861258198166</v>
      </c>
      <c r="AA309" s="386">
        <f t="shared" si="123"/>
        <v>14.200504634814351</v>
      </c>
      <c r="AB309" s="197">
        <f t="shared" si="124"/>
        <v>43395</v>
      </c>
      <c r="AC309" s="427">
        <f t="shared" si="125"/>
        <v>3.2438521620341478E-2</v>
      </c>
      <c r="AD309" s="169">
        <f>(INDEX(Models!$BJ309:$BT309,,AH309)*(1-AF309)+INDEX(Models!$BJ309:$BT309,,AH309+1)*AF309-ERP_i)*AE309*Ramure*Pc/MaxiM</f>
        <v>6.3626281034693706E-3</v>
      </c>
      <c r="AE309" s="305">
        <f t="shared" si="126"/>
        <v>0.7</v>
      </c>
      <c r="AF309" s="177">
        <f t="shared" si="127"/>
        <v>0.49926554618995289</v>
      </c>
      <c r="AG309" s="817">
        <f t="shared" si="128"/>
        <v>-2</v>
      </c>
      <c r="AH309" s="176">
        <f t="shared" si="129"/>
        <v>4</v>
      </c>
      <c r="AI309" s="225">
        <f t="shared" si="130"/>
        <v>-1.5007344538100471</v>
      </c>
      <c r="AJ309" s="265" t="b">
        <f t="shared" si="131"/>
        <v>0</v>
      </c>
      <c r="AK309" s="265" t="b">
        <f t="shared" si="132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33"/>
        <v>43396</v>
      </c>
      <c r="B310" s="617">
        <v>22.841999999999999</v>
      </c>
      <c r="C310" s="390"/>
      <c r="D310" s="393">
        <f t="shared" si="110"/>
        <v>22.935748687608658</v>
      </c>
      <c r="E310" s="385">
        <f t="shared" si="136"/>
        <v>23.70791977235276</v>
      </c>
      <c r="F310" s="385">
        <f t="shared" si="135"/>
        <v>23.868421011205619</v>
      </c>
      <c r="G310" s="110">
        <f t="shared" si="137"/>
        <v>0.99588906718595449</v>
      </c>
      <c r="I310" s="380">
        <f t="shared" si="111"/>
        <v>23.868421011205619</v>
      </c>
      <c r="J310" s="85">
        <v>2018</v>
      </c>
      <c r="K310" s="197">
        <f t="shared" si="112"/>
        <v>43396</v>
      </c>
      <c r="L310" s="438">
        <f t="shared" si="113"/>
        <v>4.087448327305232E-3</v>
      </c>
      <c r="M310" s="861"/>
      <c r="N310" s="861"/>
      <c r="O310" s="324">
        <f t="shared" si="114"/>
        <v>3.2570174530646763E-2</v>
      </c>
      <c r="P310" s="169">
        <f>(INDEX(Models!$BJ310:$BT310,,T310)*(1-R310)+INDEX(Models!$BJ310:$BT310,,T310+1)*R310-ERP_i)*Q310*Ramure*Pc/MaxiM</f>
        <v>6.7637587505025654E-3</v>
      </c>
      <c r="Q310" s="305">
        <f t="shared" si="115"/>
        <v>0.7</v>
      </c>
      <c r="R310" s="177">
        <f t="shared" si="116"/>
        <v>0.4993467508717746</v>
      </c>
      <c r="S310" s="817">
        <f t="shared" si="134"/>
        <v>-2</v>
      </c>
      <c r="T310" s="176">
        <f t="shared" si="117"/>
        <v>4</v>
      </c>
      <c r="U310" s="251">
        <f t="shared" si="118"/>
        <v>-1.5006532491282254</v>
      </c>
      <c r="V310" s="383">
        <f t="shared" si="119"/>
        <v>22.935381104759433</v>
      </c>
      <c r="W310" s="58"/>
      <c r="X310" s="157">
        <f t="shared" si="120"/>
        <v>43396</v>
      </c>
      <c r="Y310" s="385">
        <f t="shared" si="121"/>
        <v>22.841999999999999</v>
      </c>
      <c r="Z310" s="385">
        <f t="shared" si="122"/>
        <v>22.935748687608658</v>
      </c>
      <c r="AA310" s="386">
        <f t="shared" si="123"/>
        <v>23.70791977235276</v>
      </c>
      <c r="AB310" s="197">
        <f t="shared" si="124"/>
        <v>43396</v>
      </c>
      <c r="AC310" s="427">
        <f t="shared" si="125"/>
        <v>3.2570174530646763E-2</v>
      </c>
      <c r="AD310" s="169">
        <f>(INDEX(Models!$BJ310:$BT310,,AH310)*(1-AF310)+INDEX(Models!$BJ310:$BT310,,AH310+1)*AF310-ERP_i)*AE310*Ramure*Pc/MaxiM</f>
        <v>6.7637587505025654E-3</v>
      </c>
      <c r="AE310" s="305">
        <f t="shared" si="126"/>
        <v>0.7</v>
      </c>
      <c r="AF310" s="177">
        <f t="shared" si="127"/>
        <v>0.4993467508717746</v>
      </c>
      <c r="AG310" s="817">
        <f t="shared" si="128"/>
        <v>-2</v>
      </c>
      <c r="AH310" s="176">
        <f t="shared" si="129"/>
        <v>4</v>
      </c>
      <c r="AI310" s="225">
        <f t="shared" si="130"/>
        <v>-1.5006532491282254</v>
      </c>
      <c r="AJ310" s="265" t="b">
        <f t="shared" si="131"/>
        <v>0</v>
      </c>
      <c r="AK310" s="265" t="b">
        <f t="shared" si="132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33"/>
        <v>43397</v>
      </c>
      <c r="B311" s="617">
        <v>22.079000000000001</v>
      </c>
      <c r="C311" s="390"/>
      <c r="D311" s="393">
        <f t="shared" si="110"/>
        <v>22.17010274674465</v>
      </c>
      <c r="E311" s="385">
        <f t="shared" si="136"/>
        <v>22.919599713958014</v>
      </c>
      <c r="F311" s="385">
        <f t="shared" si="135"/>
        <v>23.079409525247385</v>
      </c>
      <c r="G311" s="110">
        <f t="shared" si="137"/>
        <v>0.9760118167961721</v>
      </c>
      <c r="I311" s="380">
        <f t="shared" si="111"/>
        <v>23.079409525247385</v>
      </c>
      <c r="J311" s="85">
        <v>2018</v>
      </c>
      <c r="K311" s="197">
        <f t="shared" si="112"/>
        <v>43397</v>
      </c>
      <c r="L311" s="438">
        <f t="shared" si="113"/>
        <v>4.109261368129058E-3</v>
      </c>
      <c r="M311" s="861"/>
      <c r="N311" s="861"/>
      <c r="O311" s="324">
        <f t="shared" si="114"/>
        <v>3.2701136868325098E-2</v>
      </c>
      <c r="P311" s="169">
        <f>(INDEX(Models!$BJ311:$BT311,,T311)*(1-R311)+INDEX(Models!$BJ311:$BT311,,T311+1)*R311-ERP_i)*Q311*Ramure*Pc/MaxiM</f>
        <v>7.1675205588342594E-3</v>
      </c>
      <c r="Q311" s="305">
        <f t="shared" si="115"/>
        <v>0.7</v>
      </c>
      <c r="R311" s="177">
        <f t="shared" si="116"/>
        <v>0.4994247108841674</v>
      </c>
      <c r="S311" s="817">
        <f t="shared" si="134"/>
        <v>-2</v>
      </c>
      <c r="T311" s="176">
        <f t="shared" si="117"/>
        <v>4</v>
      </c>
      <c r="U311" s="251">
        <f t="shared" si="118"/>
        <v>-1.5005752891158326</v>
      </c>
      <c r="V311" s="383">
        <f t="shared" si="119"/>
        <v>22.616112968238866</v>
      </c>
      <c r="W311" s="58"/>
      <c r="X311" s="157">
        <f t="shared" si="120"/>
        <v>43397</v>
      </c>
      <c r="Y311" s="385">
        <f t="shared" si="121"/>
        <v>22.079000000000001</v>
      </c>
      <c r="Z311" s="385">
        <f t="shared" si="122"/>
        <v>22.17010274674465</v>
      </c>
      <c r="AA311" s="386">
        <f t="shared" si="123"/>
        <v>22.919599713958014</v>
      </c>
      <c r="AB311" s="197">
        <f t="shared" si="124"/>
        <v>43397</v>
      </c>
      <c r="AC311" s="427">
        <f t="shared" si="125"/>
        <v>3.2701136868325098E-2</v>
      </c>
      <c r="AD311" s="169">
        <f>(INDEX(Models!$BJ311:$BT311,,AH311)*(1-AF311)+INDEX(Models!$BJ311:$BT311,,AH311+1)*AF311-ERP_i)*AE311*Ramure*Pc/MaxiM</f>
        <v>7.1675205588342594E-3</v>
      </c>
      <c r="AE311" s="305">
        <f t="shared" si="126"/>
        <v>0.7</v>
      </c>
      <c r="AF311" s="177">
        <f t="shared" si="127"/>
        <v>0.4994247108841674</v>
      </c>
      <c r="AG311" s="817">
        <f t="shared" si="128"/>
        <v>-2</v>
      </c>
      <c r="AH311" s="176">
        <f t="shared" si="129"/>
        <v>4</v>
      </c>
      <c r="AI311" s="225">
        <f t="shared" si="130"/>
        <v>-1.5005752891158326</v>
      </c>
      <c r="AJ311" s="265" t="b">
        <f t="shared" si="131"/>
        <v>0</v>
      </c>
      <c r="AK311" s="265" t="b">
        <f t="shared" si="132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33"/>
        <v>43398</v>
      </c>
      <c r="B312" s="617">
        <v>21.965</v>
      </c>
      <c r="C312" s="390"/>
      <c r="D312" s="393">
        <f t="shared" si="110"/>
        <v>22.056115443532121</v>
      </c>
      <c r="E312" s="385">
        <f t="shared" si="136"/>
        <v>22.804830661464404</v>
      </c>
      <c r="F312" s="385">
        <f t="shared" si="135"/>
        <v>22.975160579894975</v>
      </c>
      <c r="G312" s="110">
        <f t="shared" si="137"/>
        <v>0.98501223675847283</v>
      </c>
      <c r="I312" s="380">
        <f t="shared" si="111"/>
        <v>22.975160579894975</v>
      </c>
      <c r="J312" s="85">
        <v>2018</v>
      </c>
      <c r="K312" s="197">
        <f t="shared" si="112"/>
        <v>43398</v>
      </c>
      <c r="L312" s="438">
        <f t="shared" si="113"/>
        <v>4.1310739311912759E-3</v>
      </c>
      <c r="M312" s="861"/>
      <c r="N312" s="861"/>
      <c r="O312" s="324">
        <f t="shared" si="114"/>
        <v>3.2831430719521375E-2</v>
      </c>
      <c r="P312" s="169">
        <f>(INDEX(Models!$BJ312:$BT312,,T312)*(1-R312)+INDEX(Models!$BJ312:$BT312,,T312+1)*R312-ERP_i)*Q312*Ramure*Pc/MaxiM</f>
        <v>7.5741018799385593E-3</v>
      </c>
      <c r="Q312" s="305">
        <f t="shared" si="115"/>
        <v>0.7</v>
      </c>
      <c r="R312" s="177">
        <f t="shared" si="116"/>
        <v>0.49949955491557563</v>
      </c>
      <c r="S312" s="817">
        <f t="shared" si="134"/>
        <v>-2</v>
      </c>
      <c r="T312" s="176">
        <f t="shared" si="117"/>
        <v>4</v>
      </c>
      <c r="U312" s="251">
        <f t="shared" si="118"/>
        <v>-1.5005004450844244</v>
      </c>
      <c r="V312" s="383">
        <f t="shared" si="119"/>
        <v>22.295610802004482</v>
      </c>
      <c r="W312" s="58"/>
      <c r="X312" s="157">
        <f t="shared" si="120"/>
        <v>43398</v>
      </c>
      <c r="Y312" s="385">
        <f t="shared" si="121"/>
        <v>21.965</v>
      </c>
      <c r="Z312" s="385">
        <f t="shared" si="122"/>
        <v>22.056115443532121</v>
      </c>
      <c r="AA312" s="386">
        <f t="shared" si="123"/>
        <v>22.804830661464404</v>
      </c>
      <c r="AB312" s="197">
        <f t="shared" si="124"/>
        <v>43398</v>
      </c>
      <c r="AC312" s="427">
        <f t="shared" si="125"/>
        <v>3.2831430719521375E-2</v>
      </c>
      <c r="AD312" s="169">
        <f>(INDEX(Models!$BJ312:$BT312,,AH312)*(1-AF312)+INDEX(Models!$BJ312:$BT312,,AH312+1)*AF312-ERP_i)*AE312*Ramure*Pc/MaxiM</f>
        <v>7.5741018799385593E-3</v>
      </c>
      <c r="AE312" s="305">
        <f t="shared" si="126"/>
        <v>0.7</v>
      </c>
      <c r="AF312" s="177">
        <f t="shared" si="127"/>
        <v>0.49949955491557563</v>
      </c>
      <c r="AG312" s="817">
        <f t="shared" si="128"/>
        <v>-2</v>
      </c>
      <c r="AH312" s="176">
        <f t="shared" si="129"/>
        <v>4</v>
      </c>
      <c r="AI312" s="225">
        <f t="shared" si="130"/>
        <v>-1.5005004450844244</v>
      </c>
      <c r="AJ312" s="265" t="b">
        <f t="shared" si="131"/>
        <v>0</v>
      </c>
      <c r="AK312" s="265" t="b">
        <f t="shared" si="132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33"/>
        <v>43399</v>
      </c>
      <c r="B313" s="617">
        <v>2.3780000000000001</v>
      </c>
      <c r="C313" s="390"/>
      <c r="D313" s="393">
        <f t="shared" si="110"/>
        <v>2.3879167460632984</v>
      </c>
      <c r="E313" s="385">
        <f t="shared" si="136"/>
        <v>2.4693077979817066</v>
      </c>
      <c r="F313" s="385">
        <f t="shared" si="135"/>
        <v>2.4693077979817066</v>
      </c>
      <c r="G313" s="110">
        <f t="shared" si="137"/>
        <v>0.10735393365722021</v>
      </c>
      <c r="I313" s="380">
        <f t="shared" si="111"/>
        <v>2.4693077979817066</v>
      </c>
      <c r="J313" s="85">
        <v>2018</v>
      </c>
      <c r="K313" s="197">
        <f t="shared" si="112"/>
        <v>43399</v>
      </c>
      <c r="L313" s="438">
        <f t="shared" si="113"/>
        <v>4.1528860165024328E-3</v>
      </c>
      <c r="M313" s="861"/>
      <c r="N313" s="861"/>
      <c r="O313" s="324">
        <f t="shared" si="114"/>
        <v>3.2961080018025023E-2</v>
      </c>
      <c r="P313" s="169">
        <f>(INDEX(Models!$BJ313:$BT313,,T313)*(1-R313)+INDEX(Models!$BJ313:$BT313,,T313+1)*R313-ERP_i)*Q313*Ramure*Pc/MaxiM</f>
        <v>7.9836313273456781E-3</v>
      </c>
      <c r="Q313" s="305">
        <f t="shared" si="115"/>
        <v>0.7</v>
      </c>
      <c r="R313" s="177">
        <f t="shared" si="116"/>
        <v>0.49957140662580501</v>
      </c>
      <c r="S313" s="817">
        <f t="shared" si="134"/>
        <v>-2</v>
      </c>
      <c r="T313" s="176">
        <f t="shared" si="117"/>
        <v>4</v>
      </c>
      <c r="U313" s="251">
        <f t="shared" si="118"/>
        <v>-1.500428593374195</v>
      </c>
      <c r="V313" s="383">
        <f t="shared" si="119"/>
        <v>21.974182448086886</v>
      </c>
      <c r="W313" s="58"/>
      <c r="X313" s="157">
        <f t="shared" si="120"/>
        <v>43399</v>
      </c>
      <c r="Y313" s="385">
        <f t="shared" si="121"/>
        <v>2.3780000000000001</v>
      </c>
      <c r="Z313" s="385">
        <f t="shared" si="122"/>
        <v>2.3879167460632984</v>
      </c>
      <c r="AA313" s="386">
        <f t="shared" si="123"/>
        <v>2.4693077979817066</v>
      </c>
      <c r="AB313" s="197">
        <f t="shared" si="124"/>
        <v>43399</v>
      </c>
      <c r="AC313" s="427">
        <f t="shared" si="125"/>
        <v>3.2961080018025023E-2</v>
      </c>
      <c r="AD313" s="169">
        <f>(INDEX(Models!$BJ313:$BT313,,AH313)*(1-AF313)+INDEX(Models!$BJ313:$BT313,,AH313+1)*AF313-ERP_i)*AE313*Ramure*Pc/MaxiM</f>
        <v>7.9836313273456781E-3</v>
      </c>
      <c r="AE313" s="305">
        <f t="shared" si="126"/>
        <v>0.7</v>
      </c>
      <c r="AF313" s="177">
        <f t="shared" si="127"/>
        <v>0.49957140662580501</v>
      </c>
      <c r="AG313" s="817">
        <f t="shared" si="128"/>
        <v>-2</v>
      </c>
      <c r="AH313" s="176">
        <f t="shared" si="129"/>
        <v>4</v>
      </c>
      <c r="AI313" s="225">
        <f t="shared" si="130"/>
        <v>-1.500428593374195</v>
      </c>
      <c r="AJ313" s="265" t="b">
        <f t="shared" si="131"/>
        <v>0</v>
      </c>
      <c r="AK313" s="265" t="b">
        <f t="shared" si="132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33"/>
        <v>43400</v>
      </c>
      <c r="B314" s="617">
        <v>5.5140000000000002</v>
      </c>
      <c r="C314" s="390"/>
      <c r="D314" s="393">
        <f t="shared" si="110"/>
        <v>5.5371157841081331</v>
      </c>
      <c r="E314" s="385">
        <f t="shared" si="136"/>
        <v>5.7266099397096539</v>
      </c>
      <c r="F314" s="385">
        <f t="shared" si="135"/>
        <v>5.7266099397096539</v>
      </c>
      <c r="G314" s="110">
        <f>+Wh_hp/MaxiM</f>
        <v>0.25252489374928161</v>
      </c>
      <c r="I314" s="380">
        <f t="shared" si="111"/>
        <v>5.7266099397096539</v>
      </c>
      <c r="J314" s="85">
        <v>2018</v>
      </c>
      <c r="K314" s="197">
        <f t="shared" si="112"/>
        <v>43400</v>
      </c>
      <c r="L314" s="438">
        <f t="shared" si="113"/>
        <v>4.1746976240728539E-3</v>
      </c>
      <c r="M314" s="861"/>
      <c r="N314" s="861"/>
      <c r="O314" s="324">
        <f t="shared" si="114"/>
        <v>3.3090110483608104E-2</v>
      </c>
      <c r="P314" s="169">
        <f>(INDEX(Models!$BJ314:$BT314,,T314)*(1-R314)+INDEX(Models!$BJ314:$BT314,,T314+1)*R314-ERP_i)*Q314*Ramure*Pc/MaxiM</f>
        <v>8.3962296213940992E-3</v>
      </c>
      <c r="Q314" s="305">
        <f t="shared" si="115"/>
        <v>0.7</v>
      </c>
      <c r="R314" s="177">
        <f t="shared" si="116"/>
        <v>0.49964038483658246</v>
      </c>
      <c r="S314" s="817">
        <f t="shared" si="134"/>
        <v>-2</v>
      </c>
      <c r="T314" s="176">
        <f t="shared" si="117"/>
        <v>4</v>
      </c>
      <c r="U314" s="251">
        <f t="shared" si="118"/>
        <v>-1.5003596151634175</v>
      </c>
      <c r="V314" s="383">
        <f t="shared" si="119"/>
        <v>21.652135394208784</v>
      </c>
      <c r="W314" s="58"/>
      <c r="X314" s="157">
        <f t="shared" si="120"/>
        <v>43400</v>
      </c>
      <c r="Y314" s="385">
        <f t="shared" si="121"/>
        <v>5.5140000000000002</v>
      </c>
      <c r="Z314" s="385">
        <f t="shared" si="122"/>
        <v>5.5371157841081331</v>
      </c>
      <c r="AA314" s="386">
        <f t="shared" si="123"/>
        <v>5.7266099397096539</v>
      </c>
      <c r="AB314" s="197">
        <f t="shared" si="124"/>
        <v>43400</v>
      </c>
      <c r="AC314" s="427">
        <f t="shared" si="125"/>
        <v>3.3090110483608104E-2</v>
      </c>
      <c r="AD314" s="169">
        <f>(INDEX(Models!$BJ314:$BT314,,AH314)*(1-AF314)+INDEX(Models!$BJ314:$BT314,,AH314+1)*AF314-ERP_i)*AE314*Ramure*Pc/MaxiM</f>
        <v>8.3962296213940992E-3</v>
      </c>
      <c r="AE314" s="305">
        <f t="shared" si="126"/>
        <v>0.7</v>
      </c>
      <c r="AF314" s="177">
        <f t="shared" si="127"/>
        <v>0.49964038483658246</v>
      </c>
      <c r="AG314" s="817">
        <f t="shared" si="128"/>
        <v>-2</v>
      </c>
      <c r="AH314" s="176">
        <f t="shared" si="129"/>
        <v>4</v>
      </c>
      <c r="AI314" s="225">
        <f t="shared" si="130"/>
        <v>-1.5003596151634175</v>
      </c>
      <c r="AJ314" s="265" t="b">
        <f t="shared" si="131"/>
        <v>0</v>
      </c>
      <c r="AK314" s="265" t="b">
        <f t="shared" si="132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33"/>
        <v>43401</v>
      </c>
      <c r="B315" s="617">
        <v>2.4580000000000002</v>
      </c>
      <c r="C315" s="390"/>
      <c r="D315" s="393">
        <f t="shared" si="110"/>
        <v>2.4683584880026994</v>
      </c>
      <c r="E315" s="385">
        <f t="shared" si="136"/>
        <v>2.5531711296783208</v>
      </c>
      <c r="F315" s="385">
        <f t="shared" si="135"/>
        <v>2.5531711296783208</v>
      </c>
      <c r="G315" s="110">
        <f t="shared" si="137"/>
        <v>0.11422248381215311</v>
      </c>
      <c r="I315" s="380">
        <f t="shared" si="111"/>
        <v>2.5531711296783208</v>
      </c>
      <c r="J315" s="85">
        <v>2018</v>
      </c>
      <c r="K315" s="197">
        <f t="shared" si="112"/>
        <v>43401</v>
      </c>
      <c r="L315" s="438">
        <f t="shared" si="113"/>
        <v>4.1965087539131973E-3</v>
      </c>
      <c r="M315" s="861"/>
      <c r="N315" s="861"/>
      <c r="O315" s="324">
        <f t="shared" si="114"/>
        <v>3.3218549547952531E-2</v>
      </c>
      <c r="P315" s="169">
        <f>(INDEX(Models!$BJ315:$BT315,,T315)*(1-R315)+INDEX(Models!$BJ315:$BT315,,T315+1)*R315-ERP_i)*Q315*Ramure*Pc/MaxiM</f>
        <v>8.8120086164055391E-3</v>
      </c>
      <c r="Q315" s="305">
        <f t="shared" si="115"/>
        <v>0.7</v>
      </c>
      <c r="R315" s="177">
        <f t="shared" si="116"/>
        <v>0.49970660371536457</v>
      </c>
      <c r="S315" s="817">
        <f t="shared" si="134"/>
        <v>-2</v>
      </c>
      <c r="T315" s="176">
        <f t="shared" si="117"/>
        <v>4</v>
      </c>
      <c r="U315" s="251">
        <f t="shared" si="118"/>
        <v>-1.5002933962846354</v>
      </c>
      <c r="V315" s="383">
        <f t="shared" si="119"/>
        <v>21.329776778691031</v>
      </c>
      <c r="W315" s="58"/>
      <c r="X315" s="157">
        <f t="shared" si="120"/>
        <v>43401</v>
      </c>
      <c r="Y315" s="385">
        <f t="shared" si="121"/>
        <v>2.4580000000000002</v>
      </c>
      <c r="Z315" s="385">
        <f t="shared" si="122"/>
        <v>2.4683584880026994</v>
      </c>
      <c r="AA315" s="386">
        <f t="shared" si="123"/>
        <v>2.5531711296783208</v>
      </c>
      <c r="AB315" s="197">
        <f t="shared" si="124"/>
        <v>43401</v>
      </c>
      <c r="AC315" s="427">
        <f t="shared" si="125"/>
        <v>3.3218549547952531E-2</v>
      </c>
      <c r="AD315" s="169">
        <f>(INDEX(Models!$BJ315:$BT315,,AH315)*(1-AF315)+INDEX(Models!$BJ315:$BT315,,AH315+1)*AF315-ERP_i)*AE315*Ramure*Pc/MaxiM</f>
        <v>8.8120086164055391E-3</v>
      </c>
      <c r="AE315" s="305">
        <f t="shared" si="126"/>
        <v>0.7</v>
      </c>
      <c r="AF315" s="177">
        <f t="shared" si="127"/>
        <v>0.49970660371536457</v>
      </c>
      <c r="AG315" s="817">
        <f t="shared" si="128"/>
        <v>-2</v>
      </c>
      <c r="AH315" s="176">
        <f t="shared" si="129"/>
        <v>4</v>
      </c>
      <c r="AI315" s="225">
        <f t="shared" si="130"/>
        <v>-1.5002933962846354</v>
      </c>
      <c r="AJ315" s="265" t="b">
        <f t="shared" si="131"/>
        <v>0</v>
      </c>
      <c r="AK315" s="265" t="b">
        <f t="shared" si="132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33"/>
        <v>43402</v>
      </c>
      <c r="B316" s="617">
        <v>3.29</v>
      </c>
      <c r="C316" s="390"/>
      <c r="D316" s="393">
        <f t="shared" si="110"/>
        <v>3.3039370618242074</v>
      </c>
      <c r="E316" s="385">
        <f t="shared" si="136"/>
        <v>3.417912219648668</v>
      </c>
      <c r="F316" s="385">
        <f t="shared" si="135"/>
        <v>3.417912219648668</v>
      </c>
      <c r="G316" s="110">
        <f t="shared" si="137"/>
        <v>0.15516568923585916</v>
      </c>
      <c r="I316" s="380">
        <f t="shared" si="111"/>
        <v>3.417912219648668</v>
      </c>
      <c r="J316" s="85">
        <v>2018</v>
      </c>
      <c r="K316" s="197">
        <f t="shared" si="112"/>
        <v>43402</v>
      </c>
      <c r="L316" s="438">
        <f t="shared" si="113"/>
        <v>4.2183194060337881E-3</v>
      </c>
      <c r="M316" s="861"/>
      <c r="N316" s="861"/>
      <c r="O316" s="324">
        <f t="shared" si="114"/>
        <v>3.334642626842426E-2</v>
      </c>
      <c r="P316" s="169">
        <f>(INDEX(Models!$BJ316:$BT316,,T316)*(1-R316)+INDEX(Models!$BJ316:$BT316,,T316+1)*R316-ERP_i)*Q316*Ramure*Pc/MaxiM</f>
        <v>9.2310701448960787E-3</v>
      </c>
      <c r="Q316" s="305">
        <f t="shared" si="115"/>
        <v>0.7</v>
      </c>
      <c r="R316" s="177">
        <f t="shared" si="116"/>
        <v>0.49977017295260073</v>
      </c>
      <c r="S316" s="817">
        <f t="shared" si="134"/>
        <v>-2</v>
      </c>
      <c r="T316" s="176">
        <f t="shared" si="117"/>
        <v>4</v>
      </c>
      <c r="U316" s="251">
        <f t="shared" si="118"/>
        <v>-1.5002298270473993</v>
      </c>
      <c r="V316" s="383">
        <f t="shared" si="119"/>
        <v>21.007413399675631</v>
      </c>
      <c r="W316" s="58"/>
      <c r="X316" s="157">
        <f t="shared" si="120"/>
        <v>43402</v>
      </c>
      <c r="Y316" s="385">
        <f t="shared" si="121"/>
        <v>3.29</v>
      </c>
      <c r="Z316" s="385">
        <f t="shared" si="122"/>
        <v>3.3039370618242074</v>
      </c>
      <c r="AA316" s="386">
        <f t="shared" si="123"/>
        <v>3.417912219648668</v>
      </c>
      <c r="AB316" s="197">
        <f t="shared" si="124"/>
        <v>43402</v>
      </c>
      <c r="AC316" s="427">
        <f t="shared" si="125"/>
        <v>3.334642626842426E-2</v>
      </c>
      <c r="AD316" s="169">
        <f>(INDEX(Models!$BJ316:$BT316,,AH316)*(1-AF316)+INDEX(Models!$BJ316:$BT316,,AH316+1)*AF316-ERP_i)*AE316*Ramure*Pc/MaxiM</f>
        <v>9.2310701448960787E-3</v>
      </c>
      <c r="AE316" s="305">
        <f t="shared" si="126"/>
        <v>0.7</v>
      </c>
      <c r="AF316" s="177">
        <f t="shared" si="127"/>
        <v>0.49977017295260073</v>
      </c>
      <c r="AG316" s="817">
        <f t="shared" si="128"/>
        <v>-2</v>
      </c>
      <c r="AH316" s="176">
        <f t="shared" si="129"/>
        <v>4</v>
      </c>
      <c r="AI316" s="225">
        <f t="shared" si="130"/>
        <v>-1.5002298270473993</v>
      </c>
      <c r="AJ316" s="265" t="b">
        <f t="shared" si="131"/>
        <v>0</v>
      </c>
      <c r="AK316" s="265" t="b">
        <f t="shared" si="132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33"/>
        <v>43403</v>
      </c>
      <c r="B317" s="617">
        <v>19.004000000000001</v>
      </c>
      <c r="C317" s="390"/>
      <c r="D317" s="393">
        <f t="shared" si="110"/>
        <v>19.084922544621957</v>
      </c>
      <c r="E317" s="385">
        <f t="shared" si="136"/>
        <v>19.745892016723182</v>
      </c>
      <c r="F317" s="385">
        <f t="shared" si="135"/>
        <v>19.915918764671726</v>
      </c>
      <c r="G317" s="110">
        <f t="shared" si="137"/>
        <v>0.91788407861113253</v>
      </c>
      <c r="I317" s="380">
        <f t="shared" si="111"/>
        <v>19.915918764671726</v>
      </c>
      <c r="J317" s="85">
        <v>2018</v>
      </c>
      <c r="K317" s="197">
        <f t="shared" si="112"/>
        <v>43403</v>
      </c>
      <c r="L317" s="438">
        <f t="shared" si="113"/>
        <v>4.2401295804450623E-3</v>
      </c>
      <c r="M317" s="861"/>
      <c r="N317" s="861"/>
      <c r="O317" s="324">
        <f t="shared" si="114"/>
        <v>3.3473771230058243E-2</v>
      </c>
      <c r="P317" s="169">
        <f>(INDEX(Models!$BJ317:$BT317,,T317)*(1-R317)+INDEX(Models!$BJ317:$BT317,,T317+1)*R317-ERP_i)*Q317*Ramure*Pc/MaxiM</f>
        <v>9.6556158316110502E-3</v>
      </c>
      <c r="Q317" s="305">
        <f t="shared" si="115"/>
        <v>0.7</v>
      </c>
      <c r="R317" s="177">
        <f t="shared" si="116"/>
        <v>0.4998311979326433</v>
      </c>
      <c r="S317" s="817">
        <f t="shared" si="134"/>
        <v>-2</v>
      </c>
      <c r="T317" s="176">
        <f t="shared" si="117"/>
        <v>4</v>
      </c>
      <c r="U317" s="251">
        <f t="shared" si="118"/>
        <v>-1.5001688020673567</v>
      </c>
      <c r="V317" s="383">
        <f t="shared" si="119"/>
        <v>20.680784858318145</v>
      </c>
      <c r="W317" s="58"/>
      <c r="X317" s="157">
        <f t="shared" si="120"/>
        <v>43403</v>
      </c>
      <c r="Y317" s="385">
        <f t="shared" si="121"/>
        <v>19.004000000000001</v>
      </c>
      <c r="Z317" s="385">
        <f t="shared" si="122"/>
        <v>19.084922544621957</v>
      </c>
      <c r="AA317" s="386">
        <f t="shared" si="123"/>
        <v>19.745892016723182</v>
      </c>
      <c r="AB317" s="197">
        <f t="shared" si="124"/>
        <v>43403</v>
      </c>
      <c r="AC317" s="427">
        <f t="shared" si="125"/>
        <v>3.3473771230058243E-2</v>
      </c>
      <c r="AD317" s="169">
        <f>(INDEX(Models!$BJ317:$BT317,,AH317)*(1-AF317)+INDEX(Models!$BJ317:$BT317,,AH317+1)*AF317-ERP_i)*AE317*Ramure*Pc/MaxiM</f>
        <v>9.6556158316110502E-3</v>
      </c>
      <c r="AE317" s="305">
        <f t="shared" si="126"/>
        <v>0.7</v>
      </c>
      <c r="AF317" s="177">
        <f t="shared" si="127"/>
        <v>0.4998311979326433</v>
      </c>
      <c r="AG317" s="817">
        <f t="shared" si="128"/>
        <v>-2</v>
      </c>
      <c r="AH317" s="176">
        <f t="shared" si="129"/>
        <v>4</v>
      </c>
      <c r="AI317" s="225">
        <f t="shared" si="130"/>
        <v>-1.5001688020673567</v>
      </c>
      <c r="AJ317" s="265" t="b">
        <f t="shared" si="131"/>
        <v>0</v>
      </c>
      <c r="AK317" s="265" t="b">
        <f t="shared" si="132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33"/>
        <v>43404</v>
      </c>
      <c r="B318" s="617">
        <v>6.5739999999999998</v>
      </c>
      <c r="C318" s="390"/>
      <c r="D318" s="393">
        <f t="shared" si="110"/>
        <v>6.6021379108755722</v>
      </c>
      <c r="E318" s="385">
        <f t="shared" si="136"/>
        <v>6.8316867986079961</v>
      </c>
      <c r="F318" s="385">
        <f t="shared" si="135"/>
        <v>6.8339575531307792</v>
      </c>
      <c r="G318" s="110">
        <f t="shared" si="137"/>
        <v>0.3199476629607455</v>
      </c>
      <c r="I318" s="380">
        <f t="shared" si="111"/>
        <v>6.8339575531307792</v>
      </c>
      <c r="J318" s="85">
        <v>2018</v>
      </c>
      <c r="K318" s="197">
        <f t="shared" si="112"/>
        <v>43404</v>
      </c>
      <c r="L318" s="438">
        <f t="shared" si="113"/>
        <v>4.2619392771576781E-3</v>
      </c>
      <c r="M318" s="861"/>
      <c r="N318" s="861"/>
      <c r="O318" s="324">
        <f t="shared" si="114"/>
        <v>3.3600616436221281E-2</v>
      </c>
      <c r="P318" s="169">
        <f>(INDEX(Models!$BJ318:$BT318,,T318)*(1-R318)+INDEX(Models!$BJ318:$BT318,,T318+1)*R318-ERP_i)*Q318*Ramure*Pc/MaxiM</f>
        <v>1.0071016050131295E-2</v>
      </c>
      <c r="Q318" s="305">
        <f t="shared" si="115"/>
        <v>0.7</v>
      </c>
      <c r="R318" s="177">
        <f t="shared" si="116"/>
        <v>0.49988977989850425</v>
      </c>
      <c r="S318" s="817">
        <f t="shared" si="134"/>
        <v>-2</v>
      </c>
      <c r="T318" s="176">
        <f t="shared" si="117"/>
        <v>4</v>
      </c>
      <c r="U318" s="251">
        <f t="shared" si="118"/>
        <v>-1.5001102201014958</v>
      </c>
      <c r="V318" s="383">
        <f t="shared" si="119"/>
        <v>20.346941050199867</v>
      </c>
      <c r="W318" s="58"/>
      <c r="X318" s="157">
        <f t="shared" si="120"/>
        <v>43404</v>
      </c>
      <c r="Y318" s="385">
        <f t="shared" si="121"/>
        <v>6.5739999999999998</v>
      </c>
      <c r="Z318" s="385">
        <f t="shared" si="122"/>
        <v>6.6021379108755722</v>
      </c>
      <c r="AA318" s="386">
        <f t="shared" si="123"/>
        <v>6.8316867986079961</v>
      </c>
      <c r="AB318" s="197">
        <f t="shared" si="124"/>
        <v>43404</v>
      </c>
      <c r="AC318" s="427">
        <f t="shared" si="125"/>
        <v>3.3600616436221281E-2</v>
      </c>
      <c r="AD318" s="169">
        <f>(INDEX(Models!$BJ318:$BT318,,AH318)*(1-AF318)+INDEX(Models!$BJ318:$BT318,,AH318+1)*AF318-ERP_i)*AE318*Ramure*Pc/MaxiM</f>
        <v>1.0071016050131295E-2</v>
      </c>
      <c r="AE318" s="305">
        <f t="shared" si="126"/>
        <v>0.7</v>
      </c>
      <c r="AF318" s="177">
        <f t="shared" si="127"/>
        <v>0.49988977989850425</v>
      </c>
      <c r="AG318" s="817">
        <f t="shared" si="128"/>
        <v>-2</v>
      </c>
      <c r="AH318" s="176">
        <f t="shared" si="129"/>
        <v>4</v>
      </c>
      <c r="AI318" s="225">
        <f t="shared" si="130"/>
        <v>-1.5001102201014958</v>
      </c>
      <c r="AJ318" s="265" t="b">
        <f t="shared" si="131"/>
        <v>0</v>
      </c>
      <c r="AK318" s="265" t="b">
        <f t="shared" si="132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33"/>
        <v>43405</v>
      </c>
      <c r="B319" s="617">
        <v>13.843999999999999</v>
      </c>
      <c r="C319" s="390"/>
      <c r="D319" s="393">
        <f t="shared" si="110"/>
        <v>13.903559351463405</v>
      </c>
      <c r="E319" s="385">
        <f t="shared" si="136"/>
        <v>14.38885209690404</v>
      </c>
      <c r="F319" s="385">
        <f t="shared" si="135"/>
        <v>14.473716862596207</v>
      </c>
      <c r="G319" s="110">
        <f t="shared" si="137"/>
        <v>0.68872510930528508</v>
      </c>
      <c r="I319" s="380">
        <f t="shared" si="111"/>
        <v>14.473716862596207</v>
      </c>
      <c r="J319" s="85">
        <v>2018</v>
      </c>
      <c r="K319" s="197">
        <f t="shared" si="112"/>
        <v>43405</v>
      </c>
      <c r="L319" s="438">
        <f t="shared" si="113"/>
        <v>4.2837484961818495E-3</v>
      </c>
      <c r="M319" s="861"/>
      <c r="N319" s="861"/>
      <c r="O319" s="324">
        <f t="shared" si="114"/>
        <v>3.3726995188521861E-2</v>
      </c>
      <c r="P319" s="169">
        <f>(INDEX(Models!$BJ319:$BT319,,T319)*(1-R319)+INDEX(Models!$BJ319:$BT319,,T319+1)*R319-ERP_i)*Q319*Ramure*Pc/MaxiM</f>
        <v>1.0472098555837941E-2</v>
      </c>
      <c r="Q319" s="305">
        <f t="shared" si="115"/>
        <v>0.7</v>
      </c>
      <c r="R319" s="177">
        <f t="shared" si="116"/>
        <v>0.49994601611064593</v>
      </c>
      <c r="S319" s="817">
        <f t="shared" si="134"/>
        <v>-2</v>
      </c>
      <c r="T319" s="176">
        <f t="shared" si="117"/>
        <v>4</v>
      </c>
      <c r="U319" s="251">
        <f t="shared" si="118"/>
        <v>-1.5000539838893541</v>
      </c>
      <c r="V319" s="383">
        <f t="shared" si="119"/>
        <v>20.007721913084538</v>
      </c>
      <c r="W319" s="58"/>
      <c r="X319" s="157">
        <f t="shared" si="120"/>
        <v>43405</v>
      </c>
      <c r="Y319" s="385">
        <f t="shared" si="121"/>
        <v>13.843999999999999</v>
      </c>
      <c r="Z319" s="385">
        <f t="shared" si="122"/>
        <v>13.903559351463405</v>
      </c>
      <c r="AA319" s="386">
        <f t="shared" si="123"/>
        <v>14.38885209690404</v>
      </c>
      <c r="AB319" s="197">
        <f t="shared" si="124"/>
        <v>43405</v>
      </c>
      <c r="AC319" s="427">
        <f t="shared" si="125"/>
        <v>3.3726995188521861E-2</v>
      </c>
      <c r="AD319" s="169">
        <f>(INDEX(Models!$BJ319:$BT319,,AH319)*(1-AF319)+INDEX(Models!$BJ319:$BT319,,AH319+1)*AF319-ERP_i)*AE319*Ramure*Pc/MaxiM</f>
        <v>1.0472098555837941E-2</v>
      </c>
      <c r="AE319" s="305">
        <f t="shared" si="126"/>
        <v>0.7</v>
      </c>
      <c r="AF319" s="177">
        <f t="shared" si="127"/>
        <v>0.49994601611064593</v>
      </c>
      <c r="AG319" s="817">
        <f t="shared" si="128"/>
        <v>-2</v>
      </c>
      <c r="AH319" s="176">
        <f t="shared" si="129"/>
        <v>4</v>
      </c>
      <c r="AI319" s="225">
        <f t="shared" si="130"/>
        <v>-1.5000539838893541</v>
      </c>
      <c r="AJ319" s="265" t="b">
        <f t="shared" si="131"/>
        <v>0</v>
      </c>
      <c r="AK319" s="265" t="b">
        <f t="shared" si="132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33"/>
        <v>43406</v>
      </c>
      <c r="B320" s="617">
        <v>6.4859999999999998</v>
      </c>
      <c r="C320" s="390"/>
      <c r="D320" s="393">
        <f t="shared" si="110"/>
        <v>6.5140466004863189</v>
      </c>
      <c r="E320" s="385">
        <f t="shared" si="136"/>
        <v>6.7422930559644971</v>
      </c>
      <c r="F320" s="385">
        <f t="shared" si="135"/>
        <v>6.7454138017583301</v>
      </c>
      <c r="G320" s="110">
        <f t="shared" si="137"/>
        <v>0.32639648202000593</v>
      </c>
      <c r="I320" s="380">
        <f t="shared" si="111"/>
        <v>6.7454138017583301</v>
      </c>
      <c r="J320" s="85">
        <v>2018</v>
      </c>
      <c r="K320" s="197">
        <f t="shared" si="112"/>
        <v>43406</v>
      </c>
      <c r="L320" s="438">
        <f t="shared" si="113"/>
        <v>4.3055572375281237E-3</v>
      </c>
      <c r="M320" s="861"/>
      <c r="N320" s="861"/>
      <c r="O320" s="324">
        <f t="shared" si="114"/>
        <v>3.3852941956633319E-2</v>
      </c>
      <c r="P320" s="169">
        <f>(INDEX(Models!$BJ320:$BT320,,T320)*(1-R320)+INDEX(Models!$BJ320:$BT320,,T320+1)*R320-ERP_i)*Q320*Ramure*Pc/MaxiM</f>
        <v>1.0857828187825248E-2</v>
      </c>
      <c r="Q320" s="305">
        <f t="shared" si="115"/>
        <v>0.7</v>
      </c>
      <c r="R320" s="177">
        <f t="shared" si="116"/>
        <v>0.5</v>
      </c>
      <c r="S320" s="817">
        <f t="shared" si="134"/>
        <v>-2</v>
      </c>
      <c r="T320" s="176">
        <f t="shared" si="117"/>
        <v>4</v>
      </c>
      <c r="U320" s="251">
        <f t="shared" si="118"/>
        <v>-1.5</v>
      </c>
      <c r="V320" s="383">
        <f t="shared" si="119"/>
        <v>19.664873860947559</v>
      </c>
      <c r="W320" s="58"/>
      <c r="X320" s="157">
        <f t="shared" si="120"/>
        <v>43406</v>
      </c>
      <c r="Y320" s="385">
        <f t="shared" si="121"/>
        <v>6.4859999999999998</v>
      </c>
      <c r="Z320" s="385">
        <f t="shared" si="122"/>
        <v>6.5140466004863189</v>
      </c>
      <c r="AA320" s="386">
        <f t="shared" si="123"/>
        <v>6.7422930559644971</v>
      </c>
      <c r="AB320" s="197">
        <f t="shared" si="124"/>
        <v>43406</v>
      </c>
      <c r="AC320" s="427">
        <f t="shared" si="125"/>
        <v>3.3852941956633319E-2</v>
      </c>
      <c r="AD320" s="169">
        <f>(INDEX(Models!$BJ320:$BT320,,AH320)*(1-AF320)+INDEX(Models!$BJ320:$BT320,,AH320+1)*AF320-ERP_i)*AE320*Ramure*Pc/MaxiM</f>
        <v>1.0857828187825248E-2</v>
      </c>
      <c r="AE320" s="305">
        <f t="shared" si="126"/>
        <v>0.7</v>
      </c>
      <c r="AF320" s="177">
        <f t="shared" si="127"/>
        <v>0.5</v>
      </c>
      <c r="AG320" s="817">
        <f t="shared" si="128"/>
        <v>-2</v>
      </c>
      <c r="AH320" s="176">
        <f t="shared" si="129"/>
        <v>4</v>
      </c>
      <c r="AI320" s="225">
        <f t="shared" si="130"/>
        <v>-1.5</v>
      </c>
      <c r="AJ320" s="265" t="b">
        <f t="shared" si="131"/>
        <v>0</v>
      </c>
      <c r="AK320" s="265" t="b">
        <f t="shared" si="132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33"/>
        <v>43407</v>
      </c>
      <c r="B321" s="617">
        <v>16.398</v>
      </c>
      <c r="C321" s="390"/>
      <c r="D321" s="393">
        <f t="shared" si="110"/>
        <v>16.469268544529712</v>
      </c>
      <c r="E321" s="385">
        <f t="shared" si="136"/>
        <v>17.048552658726884</v>
      </c>
      <c r="F321" s="385">
        <f t="shared" si="135"/>
        <v>17.199931787500212</v>
      </c>
      <c r="G321" s="110">
        <f t="shared" si="137"/>
        <v>0.84667433911387258</v>
      </c>
      <c r="I321" s="380">
        <f t="shared" si="111"/>
        <v>17.199931787500212</v>
      </c>
      <c r="J321" s="85">
        <v>2018</v>
      </c>
      <c r="K321" s="197">
        <f t="shared" si="112"/>
        <v>43407</v>
      </c>
      <c r="L321" s="438">
        <f t="shared" si="113"/>
        <v>4.3273655012070478E-3</v>
      </c>
      <c r="M321" s="861"/>
      <c r="N321" s="861"/>
      <c r="O321" s="324">
        <f t="shared" si="114"/>
        <v>3.3978492238790993E-2</v>
      </c>
      <c r="P321" s="169">
        <f>(INDEX(Models!$BJ321:$BT321,,T321)*(1-R321)+INDEX(Models!$BJ321:$BT321,,T321+1)*R321-ERP_i)*Q321*Ramure*Pc/MaxiM</f>
        <v>1.1226944626074849E-2</v>
      </c>
      <c r="Q321" s="305">
        <f t="shared" si="115"/>
        <v>0.7</v>
      </c>
      <c r="R321" s="177">
        <f t="shared" si="116"/>
        <v>0.50005182131539327</v>
      </c>
      <c r="S321" s="817">
        <f t="shared" si="134"/>
        <v>-2</v>
      </c>
      <c r="T321" s="176">
        <f t="shared" si="117"/>
        <v>4</v>
      </c>
      <c r="U321" s="251">
        <f t="shared" si="118"/>
        <v>-1.4999481786846067</v>
      </c>
      <c r="V321" s="383">
        <f t="shared" si="119"/>
        <v>19.32014212891675</v>
      </c>
      <c r="W321" s="58"/>
      <c r="X321" s="157">
        <f t="shared" si="120"/>
        <v>43407</v>
      </c>
      <c r="Y321" s="385">
        <f t="shared" si="121"/>
        <v>16.398</v>
      </c>
      <c r="Z321" s="385">
        <f t="shared" si="122"/>
        <v>16.469268544529712</v>
      </c>
      <c r="AA321" s="386">
        <f t="shared" si="123"/>
        <v>17.048552658726884</v>
      </c>
      <c r="AB321" s="197">
        <f t="shared" si="124"/>
        <v>43407</v>
      </c>
      <c r="AC321" s="427">
        <f t="shared" si="125"/>
        <v>3.3978492238790993E-2</v>
      </c>
      <c r="AD321" s="169">
        <f>(INDEX(Models!$BJ321:$BT321,,AH321)*(1-AF321)+INDEX(Models!$BJ321:$BT321,,AH321+1)*AF321-ERP_i)*AE321*Ramure*Pc/MaxiM</f>
        <v>1.1226944626074849E-2</v>
      </c>
      <c r="AE321" s="305">
        <f t="shared" si="126"/>
        <v>0.7</v>
      </c>
      <c r="AF321" s="177">
        <f t="shared" si="127"/>
        <v>0.50005182131539327</v>
      </c>
      <c r="AG321" s="817">
        <f t="shared" si="128"/>
        <v>-2</v>
      </c>
      <c r="AH321" s="176">
        <f t="shared" si="129"/>
        <v>4</v>
      </c>
      <c r="AI321" s="225">
        <f t="shared" si="130"/>
        <v>-1.4999481786846067</v>
      </c>
      <c r="AJ321" s="265" t="b">
        <f t="shared" si="131"/>
        <v>0</v>
      </c>
      <c r="AK321" s="265" t="b">
        <f t="shared" si="132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33"/>
        <v>43408</v>
      </c>
      <c r="B322" s="617">
        <v>13.548999999999999</v>
      </c>
      <c r="C322" s="390"/>
      <c r="D322" s="393">
        <f t="shared" si="110"/>
        <v>13.608184351870845</v>
      </c>
      <c r="E322" s="385">
        <f t="shared" si="136"/>
        <v>14.088659521839993</v>
      </c>
      <c r="F322" s="385">
        <f t="shared" si="135"/>
        <v>14.185805406628766</v>
      </c>
      <c r="G322" s="110">
        <f t="shared" si="137"/>
        <v>0.71063404199996094</v>
      </c>
      <c r="I322" s="380">
        <f t="shared" si="111"/>
        <v>14.185805406628766</v>
      </c>
      <c r="J322" s="85">
        <v>2018</v>
      </c>
      <c r="K322" s="197">
        <f t="shared" si="112"/>
        <v>43408</v>
      </c>
      <c r="L322" s="438">
        <f t="shared" si="113"/>
        <v>4.3491732872290578E-3</v>
      </c>
      <c r="M322" s="861"/>
      <c r="N322" s="861"/>
      <c r="O322" s="324">
        <f t="shared" si="114"/>
        <v>3.410368241381119E-2</v>
      </c>
      <c r="P322" s="169">
        <f>(INDEX(Models!$BJ322:$BT322,,T322)*(1-R322)+INDEX(Models!$BJ322:$BT322,,T322+1)*R322-ERP_i)*Q322*Ramure*Pc/MaxiM</f>
        <v>1.1577953712173612E-2</v>
      </c>
      <c r="Q322" s="305">
        <f t="shared" si="115"/>
        <v>0.7</v>
      </c>
      <c r="R322" s="177">
        <f t="shared" si="116"/>
        <v>0.50010156626556568</v>
      </c>
      <c r="S322" s="817">
        <f t="shared" si="134"/>
        <v>-2</v>
      </c>
      <c r="T322" s="176">
        <f t="shared" si="117"/>
        <v>4</v>
      </c>
      <c r="U322" s="251">
        <f t="shared" si="118"/>
        <v>-1.4998984337344343</v>
      </c>
      <c r="V322" s="383">
        <f t="shared" si="119"/>
        <v>18.97527081131987</v>
      </c>
      <c r="W322" s="58"/>
      <c r="X322" s="157">
        <f t="shared" si="120"/>
        <v>43408</v>
      </c>
      <c r="Y322" s="385">
        <f t="shared" si="121"/>
        <v>13.548999999999999</v>
      </c>
      <c r="Z322" s="385">
        <f t="shared" si="122"/>
        <v>13.608184351870845</v>
      </c>
      <c r="AA322" s="386">
        <f t="shared" si="123"/>
        <v>14.088659521839993</v>
      </c>
      <c r="AB322" s="197">
        <f t="shared" si="124"/>
        <v>43408</v>
      </c>
      <c r="AC322" s="427">
        <f t="shared" si="125"/>
        <v>3.410368241381119E-2</v>
      </c>
      <c r="AD322" s="169">
        <f>(INDEX(Models!$BJ322:$BT322,,AH322)*(1-AF322)+INDEX(Models!$BJ322:$BT322,,AH322+1)*AF322-ERP_i)*AE322*Ramure*Pc/MaxiM</f>
        <v>1.1577953712173612E-2</v>
      </c>
      <c r="AE322" s="305">
        <f t="shared" si="126"/>
        <v>0.7</v>
      </c>
      <c r="AF322" s="177">
        <f t="shared" si="127"/>
        <v>0.50010156626556568</v>
      </c>
      <c r="AG322" s="817">
        <f t="shared" si="128"/>
        <v>-2</v>
      </c>
      <c r="AH322" s="176">
        <f t="shared" si="129"/>
        <v>4</v>
      </c>
      <c r="AI322" s="225">
        <f t="shared" si="130"/>
        <v>-1.4998984337344343</v>
      </c>
      <c r="AJ322" s="265" t="b">
        <f t="shared" si="131"/>
        <v>0</v>
      </c>
      <c r="AK322" s="265" t="b">
        <f t="shared" si="132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33"/>
        <v>43409</v>
      </c>
      <c r="B323" s="617">
        <v>5.3979999999999997</v>
      </c>
      <c r="C323" s="390"/>
      <c r="D323" s="393">
        <f t="shared" si="110"/>
        <v>5.421698137353598</v>
      </c>
      <c r="E323" s="385">
        <f t="shared" si="136"/>
        <v>5.613852154178927</v>
      </c>
      <c r="F323" s="385">
        <f t="shared" si="135"/>
        <v>5.613852154178927</v>
      </c>
      <c r="G323" s="110">
        <f t="shared" si="137"/>
        <v>0.28626630205957432</v>
      </c>
      <c r="I323" s="380">
        <f t="shared" si="111"/>
        <v>5.613852154178927</v>
      </c>
      <c r="J323" s="85">
        <v>2018</v>
      </c>
      <c r="K323" s="197">
        <f t="shared" si="112"/>
        <v>43409</v>
      </c>
      <c r="L323" s="438">
        <f t="shared" si="113"/>
        <v>4.37098059560459E-3</v>
      </c>
      <c r="M323" s="861"/>
      <c r="N323" s="861"/>
      <c r="O323" s="324">
        <f t="shared" si="114"/>
        <v>3.4228549585562346E-2</v>
      </c>
      <c r="P323" s="169">
        <f>(INDEX(Models!$BJ323:$BT323,,T323)*(1-R323)+INDEX(Models!$BJ323:$BT323,,T323+1)*R323-ERP_i)*Q323*Ramure*Pc/MaxiM</f>
        <v>1.1909119855308356E-2</v>
      </c>
      <c r="Q323" s="305">
        <f t="shared" si="115"/>
        <v>0.7</v>
      </c>
      <c r="R323" s="177">
        <f t="shared" si="116"/>
        <v>0.50014931765595505</v>
      </c>
      <c r="S323" s="817">
        <f t="shared" si="134"/>
        <v>-2</v>
      </c>
      <c r="T323" s="176">
        <f t="shared" si="117"/>
        <v>4</v>
      </c>
      <c r="U323" s="251">
        <f t="shared" si="118"/>
        <v>-1.4998506823440449</v>
      </c>
      <c r="V323" s="383">
        <f t="shared" si="119"/>
        <v>18.632002903055831</v>
      </c>
      <c r="W323" s="58"/>
      <c r="X323" s="157">
        <f t="shared" si="120"/>
        <v>43409</v>
      </c>
      <c r="Y323" s="385">
        <f t="shared" si="121"/>
        <v>5.3979999999999997</v>
      </c>
      <c r="Z323" s="385">
        <f t="shared" si="122"/>
        <v>5.421698137353598</v>
      </c>
      <c r="AA323" s="386">
        <f t="shared" si="123"/>
        <v>5.613852154178927</v>
      </c>
      <c r="AB323" s="197">
        <f t="shared" si="124"/>
        <v>43409</v>
      </c>
      <c r="AC323" s="427">
        <f t="shared" si="125"/>
        <v>3.4228549585562346E-2</v>
      </c>
      <c r="AD323" s="169">
        <f>(INDEX(Models!$BJ323:$BT323,,AH323)*(1-AF323)+INDEX(Models!$BJ323:$BT323,,AH323+1)*AF323-ERP_i)*AE323*Ramure*Pc/MaxiM</f>
        <v>1.1909119855308356E-2</v>
      </c>
      <c r="AE323" s="305">
        <f t="shared" si="126"/>
        <v>0.7</v>
      </c>
      <c r="AF323" s="177">
        <f t="shared" si="127"/>
        <v>0.50014931765595505</v>
      </c>
      <c r="AG323" s="817">
        <f t="shared" si="128"/>
        <v>-2</v>
      </c>
      <c r="AH323" s="176">
        <f t="shared" si="129"/>
        <v>4</v>
      </c>
      <c r="AI323" s="225">
        <f t="shared" si="130"/>
        <v>-1.4998506823440449</v>
      </c>
      <c r="AJ323" s="265" t="b">
        <f t="shared" si="131"/>
        <v>0</v>
      </c>
      <c r="AK323" s="265" t="b">
        <f t="shared" si="132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33"/>
        <v>43410</v>
      </c>
      <c r="B324" s="617">
        <v>13.414999999999999</v>
      </c>
      <c r="C324" s="390"/>
      <c r="D324" s="393">
        <f t="shared" si="110"/>
        <v>13.474189249113687</v>
      </c>
      <c r="E324" s="385">
        <f t="shared" si="136"/>
        <v>13.953536937307289</v>
      </c>
      <c r="F324" s="385">
        <f t="shared" si="135"/>
        <v>14.059849014806639</v>
      </c>
      <c r="G324" s="110">
        <f t="shared" si="137"/>
        <v>0.72993608339027871</v>
      </c>
      <c r="I324" s="380">
        <f t="shared" si="111"/>
        <v>14.059849014806639</v>
      </c>
      <c r="J324" s="85">
        <v>2018</v>
      </c>
      <c r="K324" s="197">
        <f t="shared" si="112"/>
        <v>43410</v>
      </c>
      <c r="L324" s="438">
        <f t="shared" si="113"/>
        <v>4.3927874263440803E-3</v>
      </c>
      <c r="M324" s="861"/>
      <c r="N324" s="861"/>
      <c r="O324" s="324">
        <f t="shared" si="114"/>
        <v>3.4353131420893072E-2</v>
      </c>
      <c r="P324" s="169">
        <f>(INDEX(Models!$BJ324:$BT324,,T324)*(1-R324)+INDEX(Models!$BJ324:$BT324,,T324+1)*R324-ERP_i)*Q324*Ramure*Pc/MaxiM</f>
        <v>1.2213422599111505E-2</v>
      </c>
      <c r="Q324" s="305">
        <f t="shared" si="115"/>
        <v>0.7</v>
      </c>
      <c r="R324" s="177">
        <f t="shared" si="116"/>
        <v>0.50019515502042422</v>
      </c>
      <c r="S324" s="817">
        <f t="shared" si="134"/>
        <v>-2</v>
      </c>
      <c r="T324" s="176">
        <f t="shared" si="117"/>
        <v>4</v>
      </c>
      <c r="U324" s="251">
        <f t="shared" si="118"/>
        <v>-1.4998048449795758</v>
      </c>
      <c r="V324" s="383">
        <f t="shared" si="119"/>
        <v>18.292173629888179</v>
      </c>
      <c r="W324" s="58"/>
      <c r="X324" s="157">
        <f t="shared" si="120"/>
        <v>43410</v>
      </c>
      <c r="Y324" s="385">
        <f t="shared" si="121"/>
        <v>13.414999999999999</v>
      </c>
      <c r="Z324" s="385">
        <f t="shared" si="122"/>
        <v>13.474189249113687</v>
      </c>
      <c r="AA324" s="386">
        <f t="shared" si="123"/>
        <v>13.953536937307289</v>
      </c>
      <c r="AB324" s="197">
        <f t="shared" si="124"/>
        <v>43410</v>
      </c>
      <c r="AC324" s="427">
        <f t="shared" si="125"/>
        <v>3.4353131420893072E-2</v>
      </c>
      <c r="AD324" s="169">
        <f>(INDEX(Models!$BJ324:$BT324,,AH324)*(1-AF324)+INDEX(Models!$BJ324:$BT324,,AH324+1)*AF324-ERP_i)*AE324*Ramure*Pc/MaxiM</f>
        <v>1.2213422599111505E-2</v>
      </c>
      <c r="AE324" s="305">
        <f t="shared" si="126"/>
        <v>0.7</v>
      </c>
      <c r="AF324" s="177">
        <f t="shared" si="127"/>
        <v>0.50019515502042422</v>
      </c>
      <c r="AG324" s="817">
        <f t="shared" si="128"/>
        <v>-2</v>
      </c>
      <c r="AH324" s="176">
        <f t="shared" si="129"/>
        <v>4</v>
      </c>
      <c r="AI324" s="225">
        <f t="shared" si="130"/>
        <v>-1.4998048449795758</v>
      </c>
      <c r="AJ324" s="265" t="b">
        <f t="shared" si="131"/>
        <v>0</v>
      </c>
      <c r="AK324" s="265" t="b">
        <f t="shared" si="132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33"/>
        <v>43411</v>
      </c>
      <c r="B325" s="617">
        <v>6.7949999999999999</v>
      </c>
      <c r="C325" s="390"/>
      <c r="D325" s="393">
        <f t="shared" si="110"/>
        <v>6.8251301772243655</v>
      </c>
      <c r="E325" s="385">
        <f t="shared" si="136"/>
        <v>7.068846077390206</v>
      </c>
      <c r="F325" s="385">
        <f t="shared" ref="F325:F356" si="138">Wh_sa/(1-Pvg*MEDIAN((-Sdif+Wh/Env_an)/Csdif,0,1))</f>
        <v>7.0787573404742279</v>
      </c>
      <c r="G325" s="110">
        <f t="shared" si="137"/>
        <v>0.37419134192366799</v>
      </c>
      <c r="I325" s="380">
        <f t="shared" si="111"/>
        <v>7.0787573404742279</v>
      </c>
      <c r="J325" s="85">
        <v>2018</v>
      </c>
      <c r="K325" s="197">
        <f t="shared" si="112"/>
        <v>43411</v>
      </c>
      <c r="L325" s="438">
        <f t="shared" si="113"/>
        <v>4.4145937794579648E-3</v>
      </c>
      <c r="M325" s="861"/>
      <c r="N325" s="861"/>
      <c r="O325" s="324">
        <f t="shared" si="114"/>
        <v>3.4477465982088486E-2</v>
      </c>
      <c r="P325" s="169">
        <f>(INDEX(Models!$BJ325:$BT325,,T325)*(1-R325)+INDEX(Models!$BJ325:$BT325,,T325+1)*R325-ERP_i)*Q325*Ramure*Pc/MaxiM</f>
        <v>1.2501584488080588E-2</v>
      </c>
      <c r="Q325" s="305">
        <f t="shared" si="115"/>
        <v>0.7</v>
      </c>
      <c r="R325" s="177">
        <f t="shared" si="116"/>
        <v>0.50023915474809533</v>
      </c>
      <c r="S325" s="817">
        <f t="shared" si="134"/>
        <v>-2</v>
      </c>
      <c r="T325" s="176">
        <f t="shared" si="117"/>
        <v>4</v>
      </c>
      <c r="U325" s="251">
        <f t="shared" si="118"/>
        <v>-1.4997608452519047</v>
      </c>
      <c r="V325" s="383">
        <f t="shared" si="119"/>
        <v>17.95728328364914</v>
      </c>
      <c r="W325" s="58"/>
      <c r="X325" s="157">
        <f t="shared" si="120"/>
        <v>43411</v>
      </c>
      <c r="Y325" s="385">
        <f t="shared" si="121"/>
        <v>6.7949999999999999</v>
      </c>
      <c r="Z325" s="385">
        <f t="shared" si="122"/>
        <v>6.8251301772243655</v>
      </c>
      <c r="AA325" s="386">
        <f t="shared" si="123"/>
        <v>7.068846077390206</v>
      </c>
      <c r="AB325" s="197">
        <f t="shared" si="124"/>
        <v>43411</v>
      </c>
      <c r="AC325" s="427">
        <f t="shared" si="125"/>
        <v>3.4477465982088486E-2</v>
      </c>
      <c r="AD325" s="169">
        <f>(INDEX(Models!$BJ325:$BT325,,AH325)*(1-AF325)+INDEX(Models!$BJ325:$BT325,,AH325+1)*AF325-ERP_i)*AE325*Ramure*Pc/MaxiM</f>
        <v>1.2501584488080588E-2</v>
      </c>
      <c r="AE325" s="305">
        <f t="shared" si="126"/>
        <v>0.7</v>
      </c>
      <c r="AF325" s="177">
        <f t="shared" si="127"/>
        <v>0.50023915474809533</v>
      </c>
      <c r="AG325" s="817">
        <f t="shared" si="128"/>
        <v>-2</v>
      </c>
      <c r="AH325" s="176">
        <f t="shared" si="129"/>
        <v>4</v>
      </c>
      <c r="AI325" s="225">
        <f t="shared" si="130"/>
        <v>-1.4997608452519047</v>
      </c>
      <c r="AJ325" s="265" t="b">
        <f t="shared" si="131"/>
        <v>0</v>
      </c>
      <c r="AK325" s="265" t="b">
        <f t="shared" si="132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33"/>
        <v>43412</v>
      </c>
      <c r="B326" s="617">
        <v>9.66</v>
      </c>
      <c r="C326" s="390"/>
      <c r="D326" s="393">
        <f t="shared" si="110"/>
        <v>9.7030465925552427</v>
      </c>
      <c r="E326" s="385">
        <f t="shared" si="136"/>
        <v>10.050820995431426</v>
      </c>
      <c r="F326" s="385">
        <f t="shared" si="138"/>
        <v>10.096497562421627</v>
      </c>
      <c r="G326" s="110">
        <f t="shared" si="137"/>
        <v>0.54341865303439874</v>
      </c>
      <c r="I326" s="380">
        <f t="shared" si="111"/>
        <v>10.096497562421627</v>
      </c>
      <c r="J326" s="85">
        <v>2018</v>
      </c>
      <c r="K326" s="197">
        <f t="shared" si="112"/>
        <v>43412</v>
      </c>
      <c r="L326" s="438">
        <f t="shared" si="113"/>
        <v>4.4363996549567908E-3</v>
      </c>
      <c r="M326" s="861"/>
      <c r="N326" s="861"/>
      <c r="O326" s="324">
        <f t="shared" si="114"/>
        <v>3.4601591554984629E-2</v>
      </c>
      <c r="P326" s="169">
        <f>(INDEX(Models!$BJ326:$BT326,,T326)*(1-R326)+INDEX(Models!$BJ326:$BT326,,T326+1)*R326-ERP_i)*Q326*Ramure*Pc/MaxiM</f>
        <v>1.2771496589245618E-2</v>
      </c>
      <c r="Q326" s="305">
        <f t="shared" si="115"/>
        <v>0.7</v>
      </c>
      <c r="R326" s="177">
        <f t="shared" si="116"/>
        <v>0.50028139020546147</v>
      </c>
      <c r="S326" s="817">
        <f t="shared" si="134"/>
        <v>-2</v>
      </c>
      <c r="T326" s="176">
        <f t="shared" si="117"/>
        <v>4</v>
      </c>
      <c r="U326" s="251">
        <f t="shared" si="118"/>
        <v>-1.4997186097945385</v>
      </c>
      <c r="V326" s="383">
        <f t="shared" si="119"/>
        <v>17.629073039973086</v>
      </c>
      <c r="W326" s="58"/>
      <c r="X326" s="157">
        <f t="shared" si="120"/>
        <v>43412</v>
      </c>
      <c r="Y326" s="385">
        <f t="shared" si="121"/>
        <v>9.66</v>
      </c>
      <c r="Z326" s="385">
        <f t="shared" si="122"/>
        <v>9.7030465925552427</v>
      </c>
      <c r="AA326" s="386">
        <f t="shared" si="123"/>
        <v>10.050820995431426</v>
      </c>
      <c r="AB326" s="197">
        <f t="shared" si="124"/>
        <v>43412</v>
      </c>
      <c r="AC326" s="427">
        <f t="shared" si="125"/>
        <v>3.4601591554984629E-2</v>
      </c>
      <c r="AD326" s="169">
        <f>(INDEX(Models!$BJ326:$BT326,,AH326)*(1-AF326)+INDEX(Models!$BJ326:$BT326,,AH326+1)*AF326-ERP_i)*AE326*Ramure*Pc/MaxiM</f>
        <v>1.2771496589245618E-2</v>
      </c>
      <c r="AE326" s="305">
        <f t="shared" si="126"/>
        <v>0.7</v>
      </c>
      <c r="AF326" s="177">
        <f t="shared" si="127"/>
        <v>0.50028139020546147</v>
      </c>
      <c r="AG326" s="817">
        <f t="shared" si="128"/>
        <v>-2</v>
      </c>
      <c r="AH326" s="176">
        <f t="shared" si="129"/>
        <v>4</v>
      </c>
      <c r="AI326" s="225">
        <f t="shared" si="130"/>
        <v>-1.4997186097945385</v>
      </c>
      <c r="AJ326" s="265" t="b">
        <f t="shared" si="131"/>
        <v>0</v>
      </c>
      <c r="AK326" s="265" t="b">
        <f t="shared" si="132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33"/>
        <v>43413</v>
      </c>
      <c r="B327" s="617">
        <v>3.18</v>
      </c>
      <c r="C327" s="390"/>
      <c r="D327" s="393">
        <f t="shared" si="110"/>
        <v>3.194240579491511</v>
      </c>
      <c r="E327" s="385">
        <f t="shared" si="136"/>
        <v>3.309152715917397</v>
      </c>
      <c r="F327" s="385">
        <f t="shared" si="138"/>
        <v>3.309152715917397</v>
      </c>
      <c r="G327" s="110">
        <f t="shared" si="137"/>
        <v>0.18132430892003124</v>
      </c>
      <c r="I327" s="380">
        <f t="shared" si="111"/>
        <v>3.309152715917397</v>
      </c>
      <c r="J327" s="85">
        <v>2018</v>
      </c>
      <c r="K327" s="197">
        <f t="shared" si="112"/>
        <v>43413</v>
      </c>
      <c r="L327" s="438">
        <f t="shared" si="113"/>
        <v>4.4582050528509942E-3</v>
      </c>
      <c r="M327" s="861"/>
      <c r="N327" s="861"/>
      <c r="O327" s="324">
        <f t="shared" si="114"/>
        <v>3.4725546473919351E-2</v>
      </c>
      <c r="P327" s="169">
        <f>(INDEX(Models!$BJ327:$BT327,,T327)*(1-R327)+INDEX(Models!$BJ327:$BT327,,T327+1)*R327-ERP_i)*Q327*Ramure*Pc/MaxiM</f>
        <v>1.3020818410922411E-2</v>
      </c>
      <c r="Q327" s="305">
        <f t="shared" si="115"/>
        <v>0.7</v>
      </c>
      <c r="R327" s="177">
        <f t="shared" si="116"/>
        <v>0.50032193185393092</v>
      </c>
      <c r="S327" s="817">
        <f t="shared" si="134"/>
        <v>-2</v>
      </c>
      <c r="T327" s="176">
        <f t="shared" si="117"/>
        <v>4</v>
      </c>
      <c r="U327" s="251">
        <f t="shared" si="118"/>
        <v>-1.4996780681460691</v>
      </c>
      <c r="V327" s="383">
        <f t="shared" si="119"/>
        <v>17.309283107966891</v>
      </c>
      <c r="W327" s="58"/>
      <c r="X327" s="157">
        <f t="shared" si="120"/>
        <v>43413</v>
      </c>
      <c r="Y327" s="385">
        <f t="shared" si="121"/>
        <v>3.18</v>
      </c>
      <c r="Z327" s="385">
        <f t="shared" si="122"/>
        <v>3.194240579491511</v>
      </c>
      <c r="AA327" s="386">
        <f t="shared" si="123"/>
        <v>3.309152715917397</v>
      </c>
      <c r="AB327" s="197">
        <f t="shared" si="124"/>
        <v>43413</v>
      </c>
      <c r="AC327" s="427">
        <f t="shared" si="125"/>
        <v>3.4725546473919351E-2</v>
      </c>
      <c r="AD327" s="169">
        <f>(INDEX(Models!$BJ327:$BT327,,AH327)*(1-AF327)+INDEX(Models!$BJ327:$BT327,,AH327+1)*AF327-ERP_i)*AE327*Ramure*Pc/MaxiM</f>
        <v>1.3020818410922411E-2</v>
      </c>
      <c r="AE327" s="305">
        <f t="shared" si="126"/>
        <v>0.7</v>
      </c>
      <c r="AF327" s="177">
        <f t="shared" si="127"/>
        <v>0.50032193185393092</v>
      </c>
      <c r="AG327" s="817">
        <f t="shared" si="128"/>
        <v>-2</v>
      </c>
      <c r="AH327" s="176">
        <f t="shared" si="129"/>
        <v>4</v>
      </c>
      <c r="AI327" s="225">
        <f t="shared" si="130"/>
        <v>-1.4996780681460691</v>
      </c>
      <c r="AJ327" s="265" t="b">
        <f t="shared" si="131"/>
        <v>0</v>
      </c>
      <c r="AK327" s="265" t="b">
        <f t="shared" si="132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33"/>
        <v>43414</v>
      </c>
      <c r="B328" s="617">
        <v>11.167</v>
      </c>
      <c r="C328" s="390"/>
      <c r="D328" s="393">
        <f t="shared" si="110"/>
        <v>11.217253407135328</v>
      </c>
      <c r="E328" s="385">
        <f t="shared" si="136"/>
        <v>11.622282622216977</v>
      </c>
      <c r="F328" s="385">
        <f t="shared" si="138"/>
        <v>11.701313167615766</v>
      </c>
      <c r="G328" s="110">
        <f t="shared" si="137"/>
        <v>0.65260154688299621</v>
      </c>
      <c r="I328" s="380">
        <f t="shared" si="111"/>
        <v>11.701313167615766</v>
      </c>
      <c r="J328" s="85">
        <v>2018</v>
      </c>
      <c r="K328" s="197">
        <f t="shared" si="112"/>
        <v>43414</v>
      </c>
      <c r="L328" s="438">
        <f t="shared" si="113"/>
        <v>4.4800099731510112E-3</v>
      </c>
      <c r="M328" s="861"/>
      <c r="N328" s="861"/>
      <c r="O328" s="324">
        <f t="shared" si="114"/>
        <v>3.4849368944737474E-2</v>
      </c>
      <c r="P328" s="169">
        <f>(INDEX(Models!$BJ328:$BT328,,T328)*(1-R328)+INDEX(Models!$BJ328:$BT328,,T328+1)*R328-ERP_i)*Q328*Ramure*Pc/MaxiM</f>
        <v>1.3246984092227278E-2</v>
      </c>
      <c r="Q328" s="305">
        <f t="shared" si="115"/>
        <v>0.7</v>
      </c>
      <c r="R328" s="177">
        <f t="shared" si="116"/>
        <v>0.50036084736296615</v>
      </c>
      <c r="S328" s="817">
        <f t="shared" si="134"/>
        <v>-2</v>
      </c>
      <c r="T328" s="176">
        <f t="shared" si="117"/>
        <v>4</v>
      </c>
      <c r="U328" s="251">
        <f t="shared" si="118"/>
        <v>-1.4996391526370338</v>
      </c>
      <c r="V328" s="383">
        <f t="shared" si="119"/>
        <v>16.999652756250228</v>
      </c>
      <c r="W328" s="58"/>
      <c r="X328" s="157">
        <f t="shared" si="120"/>
        <v>43414</v>
      </c>
      <c r="Y328" s="385">
        <f t="shared" si="121"/>
        <v>11.167</v>
      </c>
      <c r="Z328" s="385">
        <f t="shared" si="122"/>
        <v>11.217253407135328</v>
      </c>
      <c r="AA328" s="386">
        <f t="shared" si="123"/>
        <v>11.622282622216977</v>
      </c>
      <c r="AB328" s="197">
        <f t="shared" si="124"/>
        <v>43414</v>
      </c>
      <c r="AC328" s="427">
        <f t="shared" si="125"/>
        <v>3.4849368944737474E-2</v>
      </c>
      <c r="AD328" s="169">
        <f>(INDEX(Models!$BJ328:$BT328,,AH328)*(1-AF328)+INDEX(Models!$BJ328:$BT328,,AH328+1)*AF328-ERP_i)*AE328*Ramure*Pc/MaxiM</f>
        <v>1.3246984092227278E-2</v>
      </c>
      <c r="AE328" s="305">
        <f t="shared" si="126"/>
        <v>0.7</v>
      </c>
      <c r="AF328" s="177">
        <f t="shared" si="127"/>
        <v>0.50036084736296615</v>
      </c>
      <c r="AG328" s="817">
        <f t="shared" si="128"/>
        <v>-2</v>
      </c>
      <c r="AH328" s="176">
        <f t="shared" si="129"/>
        <v>4</v>
      </c>
      <c r="AI328" s="225">
        <f t="shared" si="130"/>
        <v>-1.4996391526370338</v>
      </c>
      <c r="AJ328" s="265" t="b">
        <f t="shared" si="131"/>
        <v>0</v>
      </c>
      <c r="AK328" s="265" t="b">
        <f t="shared" si="132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33"/>
        <v>43415</v>
      </c>
      <c r="B329" s="617">
        <v>15.058</v>
      </c>
      <c r="C329" s="390"/>
      <c r="D329" s="393">
        <f t="shared" si="110"/>
        <v>15.126094871950322</v>
      </c>
      <c r="E329" s="385">
        <f t="shared" si="136"/>
        <v>15.674272730474495</v>
      </c>
      <c r="F329" s="385">
        <f t="shared" si="138"/>
        <v>15.857528713865515</v>
      </c>
      <c r="G329" s="110">
        <f t="shared" si="137"/>
        <v>0.8998483375679045</v>
      </c>
      <c r="I329" s="380">
        <f t="shared" si="111"/>
        <v>15.857528713865515</v>
      </c>
      <c r="J329" s="85">
        <v>2018</v>
      </c>
      <c r="K329" s="197">
        <f t="shared" si="112"/>
        <v>43415</v>
      </c>
      <c r="L329" s="438">
        <f t="shared" si="113"/>
        <v>4.5018144158672779E-3</v>
      </c>
      <c r="M329" s="861"/>
      <c r="N329" s="861"/>
      <c r="O329" s="324">
        <f t="shared" si="114"/>
        <v>3.4973096867096508E-2</v>
      </c>
      <c r="P329" s="169">
        <f>(INDEX(Models!$BJ329:$BT329,,T329)*(1-R329)+INDEX(Models!$BJ329:$BT329,,T329+1)*R329-ERP_i)*Q329*Ramure*Pc/MaxiM</f>
        <v>1.3447215956513558E-2</v>
      </c>
      <c r="Q329" s="305">
        <f t="shared" si="115"/>
        <v>0.7</v>
      </c>
      <c r="R329" s="177">
        <f t="shared" si="116"/>
        <v>0.50039820171896321</v>
      </c>
      <c r="S329" s="817">
        <f t="shared" si="134"/>
        <v>-2</v>
      </c>
      <c r="T329" s="176">
        <f t="shared" si="117"/>
        <v>4</v>
      </c>
      <c r="U329" s="251">
        <f t="shared" si="118"/>
        <v>-1.4996017982810368</v>
      </c>
      <c r="V329" s="383">
        <f t="shared" si="119"/>
        <v>16.701920338365124</v>
      </c>
      <c r="W329" s="58"/>
      <c r="X329" s="157">
        <f t="shared" si="120"/>
        <v>43415</v>
      </c>
      <c r="Y329" s="385">
        <f t="shared" si="121"/>
        <v>15.058</v>
      </c>
      <c r="Z329" s="385">
        <f t="shared" si="122"/>
        <v>15.126094871950322</v>
      </c>
      <c r="AA329" s="386">
        <f t="shared" si="123"/>
        <v>15.674272730474495</v>
      </c>
      <c r="AB329" s="197">
        <f t="shared" si="124"/>
        <v>43415</v>
      </c>
      <c r="AC329" s="427">
        <f t="shared" si="125"/>
        <v>3.4973096867096508E-2</v>
      </c>
      <c r="AD329" s="169">
        <f>(INDEX(Models!$BJ329:$BT329,,AH329)*(1-AF329)+INDEX(Models!$BJ329:$BT329,,AH329+1)*AF329-ERP_i)*AE329*Ramure*Pc/MaxiM</f>
        <v>1.3447215956513558E-2</v>
      </c>
      <c r="AE329" s="305">
        <f t="shared" si="126"/>
        <v>0.7</v>
      </c>
      <c r="AF329" s="177">
        <f t="shared" si="127"/>
        <v>0.50039820171896321</v>
      </c>
      <c r="AG329" s="817">
        <f t="shared" si="128"/>
        <v>-2</v>
      </c>
      <c r="AH329" s="176">
        <f t="shared" si="129"/>
        <v>4</v>
      </c>
      <c r="AI329" s="225">
        <f t="shared" si="130"/>
        <v>-1.4996017982810368</v>
      </c>
      <c r="AJ329" s="265" t="b">
        <f t="shared" si="131"/>
        <v>0</v>
      </c>
      <c r="AK329" s="265" t="b">
        <f t="shared" si="132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33"/>
        <v>43416</v>
      </c>
      <c r="B330" s="617">
        <v>14.494999999999999</v>
      </c>
      <c r="C330" s="390"/>
      <c r="D330" s="393">
        <f t="shared" si="110"/>
        <v>14.560867809265455</v>
      </c>
      <c r="E330" s="385">
        <f t="shared" si="136"/>
        <v>15.09049542088642</v>
      </c>
      <c r="F330" s="385">
        <f t="shared" si="138"/>
        <v>15.263584587544319</v>
      </c>
      <c r="G330" s="110">
        <f t="shared" si="137"/>
        <v>0.88084720291358665</v>
      </c>
      <c r="I330" s="380">
        <f t="shared" si="111"/>
        <v>15.263584587544319</v>
      </c>
      <c r="J330" s="85">
        <v>2018</v>
      </c>
      <c r="K330" s="197">
        <f t="shared" si="112"/>
        <v>43416</v>
      </c>
      <c r="L330" s="438">
        <f t="shared" si="113"/>
        <v>4.5236183810103414E-3</v>
      </c>
      <c r="M330" s="861"/>
      <c r="N330" s="861"/>
      <c r="O330" s="324">
        <f t="shared" si="114"/>
        <v>3.5096767657337408E-2</v>
      </c>
      <c r="P330" s="169">
        <f>(INDEX(Models!$BJ330:$BT330,,T330)*(1-R330)+INDEX(Models!$BJ330:$BT330,,T330+1)*R330-ERP_i)*Q330*Ramure*Pc/MaxiM</f>
        <v>1.3618547069079298E-2</v>
      </c>
      <c r="Q330" s="305">
        <f t="shared" si="115"/>
        <v>0.7</v>
      </c>
      <c r="R330" s="177">
        <f t="shared" si="116"/>
        <v>0.50043405733002633</v>
      </c>
      <c r="S330" s="817">
        <f t="shared" si="134"/>
        <v>-2</v>
      </c>
      <c r="T330" s="176">
        <f t="shared" si="117"/>
        <v>4</v>
      </c>
      <c r="U330" s="251">
        <f t="shared" si="118"/>
        <v>-1.4995659426699737</v>
      </c>
      <c r="V330" s="383">
        <f t="shared" si="119"/>
        <v>16.417823314562451</v>
      </c>
      <c r="W330" s="58"/>
      <c r="X330" s="157">
        <f t="shared" si="120"/>
        <v>43416</v>
      </c>
      <c r="Y330" s="385">
        <f t="shared" si="121"/>
        <v>14.494999999999999</v>
      </c>
      <c r="Z330" s="385">
        <f t="shared" si="122"/>
        <v>14.560867809265455</v>
      </c>
      <c r="AA330" s="386">
        <f t="shared" si="123"/>
        <v>15.09049542088642</v>
      </c>
      <c r="AB330" s="197">
        <f t="shared" si="124"/>
        <v>43416</v>
      </c>
      <c r="AC330" s="427">
        <f t="shared" si="125"/>
        <v>3.5096767657337408E-2</v>
      </c>
      <c r="AD330" s="169">
        <f>(INDEX(Models!$BJ330:$BT330,,AH330)*(1-AF330)+INDEX(Models!$BJ330:$BT330,,AH330+1)*AF330-ERP_i)*AE330*Ramure*Pc/MaxiM</f>
        <v>1.3618547069079298E-2</v>
      </c>
      <c r="AE330" s="305">
        <f t="shared" si="126"/>
        <v>0.7</v>
      </c>
      <c r="AF330" s="177">
        <f t="shared" si="127"/>
        <v>0.50043405733002633</v>
      </c>
      <c r="AG330" s="817">
        <f t="shared" si="128"/>
        <v>-2</v>
      </c>
      <c r="AH330" s="176">
        <f t="shared" si="129"/>
        <v>4</v>
      </c>
      <c r="AI330" s="225">
        <f t="shared" si="130"/>
        <v>-1.4995659426699737</v>
      </c>
      <c r="AJ330" s="265" t="b">
        <f t="shared" si="131"/>
        <v>0</v>
      </c>
      <c r="AK330" s="265" t="b">
        <f t="shared" si="132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33"/>
        <v>43417</v>
      </c>
      <c r="B331" s="617">
        <v>5.2210000000000001</v>
      </c>
      <c r="C331" s="390"/>
      <c r="D331" s="393">
        <f t="shared" si="110"/>
        <v>5.2448400104808988</v>
      </c>
      <c r="E331" s="385">
        <f t="shared" si="136"/>
        <v>5.4363090893841033</v>
      </c>
      <c r="F331" s="385">
        <f t="shared" si="138"/>
        <v>5.4388097338605199</v>
      </c>
      <c r="G331" s="110">
        <f t="shared" si="137"/>
        <v>0.31908367519825231</v>
      </c>
      <c r="I331" s="380">
        <f t="shared" si="111"/>
        <v>5.4388097338605199</v>
      </c>
      <c r="J331" s="85">
        <v>2018</v>
      </c>
      <c r="K331" s="197">
        <f t="shared" si="112"/>
        <v>43417</v>
      </c>
      <c r="L331" s="438">
        <f t="shared" si="113"/>
        <v>4.5454218685905268E-3</v>
      </c>
      <c r="M331" s="861"/>
      <c r="N331" s="861"/>
      <c r="O331" s="324">
        <f t="shared" si="114"/>
        <v>3.5220418073192497E-2</v>
      </c>
      <c r="P331" s="169">
        <f>(INDEX(Models!$BJ331:$BT331,,T331)*(1-R331)+INDEX(Models!$BJ331:$BT331,,T331+1)*R331-ERP_i)*Q331*Ramure*Pc/MaxiM</f>
        <v>1.3761526065928854E-2</v>
      </c>
      <c r="Q331" s="305">
        <f t="shared" si="115"/>
        <v>0.7</v>
      </c>
      <c r="R331" s="177">
        <f t="shared" si="116"/>
        <v>0.50046847412677709</v>
      </c>
      <c r="S331" s="817">
        <f t="shared" si="134"/>
        <v>-2</v>
      </c>
      <c r="T331" s="176">
        <f t="shared" si="117"/>
        <v>4</v>
      </c>
      <c r="U331" s="251">
        <f t="shared" si="118"/>
        <v>-1.4995315258732229</v>
      </c>
      <c r="V331" s="383">
        <f t="shared" si="119"/>
        <v>16.144729510357294</v>
      </c>
      <c r="W331" s="58"/>
      <c r="X331" s="157">
        <f t="shared" si="120"/>
        <v>43417</v>
      </c>
      <c r="Y331" s="385">
        <f t="shared" si="121"/>
        <v>5.2210000000000001</v>
      </c>
      <c r="Z331" s="385">
        <f t="shared" si="122"/>
        <v>5.2448400104808988</v>
      </c>
      <c r="AA331" s="386">
        <f t="shared" si="123"/>
        <v>5.4363090893841033</v>
      </c>
      <c r="AB331" s="197">
        <f t="shared" si="124"/>
        <v>43417</v>
      </c>
      <c r="AC331" s="427">
        <f t="shared" si="125"/>
        <v>3.5220418073192497E-2</v>
      </c>
      <c r="AD331" s="169">
        <f>(INDEX(Models!$BJ331:$BT331,,AH331)*(1-AF331)+INDEX(Models!$BJ331:$BT331,,AH331+1)*AF331-ERP_i)*AE331*Ramure*Pc/MaxiM</f>
        <v>1.3761526065928854E-2</v>
      </c>
      <c r="AE331" s="305">
        <f t="shared" si="126"/>
        <v>0.7</v>
      </c>
      <c r="AF331" s="177">
        <f t="shared" si="127"/>
        <v>0.50046847412677709</v>
      </c>
      <c r="AG331" s="817">
        <f t="shared" si="128"/>
        <v>-2</v>
      </c>
      <c r="AH331" s="176">
        <f t="shared" si="129"/>
        <v>4</v>
      </c>
      <c r="AI331" s="225">
        <f t="shared" si="130"/>
        <v>-1.4995315258732229</v>
      </c>
      <c r="AJ331" s="265" t="b">
        <f t="shared" si="131"/>
        <v>0</v>
      </c>
      <c r="AK331" s="265" t="b">
        <f t="shared" si="132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33"/>
        <v>43418</v>
      </c>
      <c r="B332" s="617">
        <v>10.917</v>
      </c>
      <c r="C332" s="390"/>
      <c r="D332" s="393">
        <f t="shared" si="110"/>
        <v>10.967089162468854</v>
      </c>
      <c r="E332" s="385">
        <f t="shared" si="136"/>
        <v>11.368912978233144</v>
      </c>
      <c r="F332" s="385">
        <f t="shared" si="138"/>
        <v>11.456933418030181</v>
      </c>
      <c r="G332" s="110">
        <f t="shared" si="137"/>
        <v>0.68322626634228545</v>
      </c>
      <c r="I332" s="380">
        <f t="shared" si="111"/>
        <v>11.456933418030181</v>
      </c>
      <c r="J332" s="85">
        <v>2018</v>
      </c>
      <c r="K332" s="197">
        <f t="shared" si="112"/>
        <v>43418</v>
      </c>
      <c r="L332" s="438">
        <f t="shared" si="113"/>
        <v>4.5672248786184921E-3</v>
      </c>
      <c r="M332" s="861"/>
      <c r="N332" s="861"/>
      <c r="O332" s="324">
        <f t="shared" si="114"/>
        <v>3.534408404159841E-2</v>
      </c>
      <c r="P332" s="169">
        <f>(INDEX(Models!$BJ332:$BT332,,T332)*(1-R332)+INDEX(Models!$BJ332:$BT332,,T332+1)*R332-ERP_i)*Q332*Ramure*Pc/MaxiM</f>
        <v>1.3877804712828882E-2</v>
      </c>
      <c r="Q332" s="305">
        <f t="shared" si="115"/>
        <v>0.7</v>
      </c>
      <c r="R332" s="177">
        <f t="shared" si="116"/>
        <v>0.50050150965933882</v>
      </c>
      <c r="S332" s="817">
        <f t="shared" si="134"/>
        <v>-2</v>
      </c>
      <c r="T332" s="176">
        <f t="shared" si="117"/>
        <v>4</v>
      </c>
      <c r="U332" s="251">
        <f t="shared" si="118"/>
        <v>-1.4994984903406612</v>
      </c>
      <c r="V332" s="383">
        <f t="shared" si="119"/>
        <v>15.878846003285741</v>
      </c>
      <c r="W332" s="58"/>
      <c r="X332" s="157">
        <f t="shared" si="120"/>
        <v>43418</v>
      </c>
      <c r="Y332" s="385">
        <f t="shared" si="121"/>
        <v>10.917</v>
      </c>
      <c r="Z332" s="385">
        <f t="shared" si="122"/>
        <v>10.967089162468854</v>
      </c>
      <c r="AA332" s="386">
        <f t="shared" si="123"/>
        <v>11.368912978233144</v>
      </c>
      <c r="AB332" s="197">
        <f t="shared" si="124"/>
        <v>43418</v>
      </c>
      <c r="AC332" s="427">
        <f t="shared" si="125"/>
        <v>3.534408404159841E-2</v>
      </c>
      <c r="AD332" s="169">
        <f>(INDEX(Models!$BJ332:$BT332,,AH332)*(1-AF332)+INDEX(Models!$BJ332:$BT332,,AH332+1)*AF332-ERP_i)*AE332*Ramure*Pc/MaxiM</f>
        <v>1.3877804712828882E-2</v>
      </c>
      <c r="AE332" s="305">
        <f t="shared" si="126"/>
        <v>0.7</v>
      </c>
      <c r="AF332" s="177">
        <f t="shared" si="127"/>
        <v>0.50050150965933882</v>
      </c>
      <c r="AG332" s="817">
        <f t="shared" si="128"/>
        <v>-2</v>
      </c>
      <c r="AH332" s="176">
        <f t="shared" si="129"/>
        <v>4</v>
      </c>
      <c r="AI332" s="225">
        <f t="shared" si="130"/>
        <v>-1.4994984903406612</v>
      </c>
      <c r="AJ332" s="265" t="b">
        <f t="shared" si="131"/>
        <v>0</v>
      </c>
      <c r="AK332" s="265" t="b">
        <f t="shared" si="132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33"/>
        <v>43419</v>
      </c>
      <c r="B333" s="617">
        <v>11.087999999999999</v>
      </c>
      <c r="C333" s="390"/>
      <c r="D333" s="393">
        <f t="shared" si="110"/>
        <v>11.139117716536706</v>
      </c>
      <c r="E333" s="385">
        <f t="shared" si="136"/>
        <v>11.548725612484057</v>
      </c>
      <c r="F333" s="385">
        <f t="shared" si="138"/>
        <v>11.644088248707675</v>
      </c>
      <c r="G333" s="110">
        <f t="shared" si="137"/>
        <v>0.70571744057105901</v>
      </c>
      <c r="I333" s="380">
        <f t="shared" si="111"/>
        <v>11.644088248707675</v>
      </c>
      <c r="J333" s="85">
        <v>2018</v>
      </c>
      <c r="K333" s="197">
        <f t="shared" si="112"/>
        <v>43419</v>
      </c>
      <c r="L333" s="438">
        <f t="shared" si="113"/>
        <v>4.5890274111044516E-3</v>
      </c>
      <c r="M333" s="861"/>
      <c r="N333" s="861"/>
      <c r="O333" s="324">
        <f t="shared" si="114"/>
        <v>3.5467800490867105E-2</v>
      </c>
      <c r="P333" s="169">
        <f>(INDEX(Models!$BJ333:$BT333,,T333)*(1-R333)+INDEX(Models!$BJ333:$BT333,,T333+1)*R333-ERP_i)*Q333*Ramure*Pc/MaxiM</f>
        <v>1.3987113914097465E-2</v>
      </c>
      <c r="Q333" s="305">
        <f t="shared" si="115"/>
        <v>0.7</v>
      </c>
      <c r="R333" s="177">
        <f t="shared" si="116"/>
        <v>0.50053321919063398</v>
      </c>
      <c r="S333" s="817">
        <f t="shared" si="134"/>
        <v>-2</v>
      </c>
      <c r="T333" s="176">
        <f t="shared" si="117"/>
        <v>4</v>
      </c>
      <c r="U333" s="251">
        <f t="shared" si="118"/>
        <v>-1.499466780809366</v>
      </c>
      <c r="V333" s="383">
        <f t="shared" si="119"/>
        <v>15.61983287470272</v>
      </c>
      <c r="W333" s="58"/>
      <c r="X333" s="157">
        <f t="shared" si="120"/>
        <v>43419</v>
      </c>
      <c r="Y333" s="385">
        <f t="shared" si="121"/>
        <v>11.087999999999999</v>
      </c>
      <c r="Z333" s="385">
        <f t="shared" si="122"/>
        <v>11.139117716536706</v>
      </c>
      <c r="AA333" s="386">
        <f t="shared" si="123"/>
        <v>11.548725612484057</v>
      </c>
      <c r="AB333" s="197">
        <f t="shared" si="124"/>
        <v>43419</v>
      </c>
      <c r="AC333" s="427">
        <f t="shared" si="125"/>
        <v>3.5467800490867105E-2</v>
      </c>
      <c r="AD333" s="169">
        <f>(INDEX(Models!$BJ333:$BT333,,AH333)*(1-AF333)+INDEX(Models!$BJ333:$BT333,,AH333+1)*AF333-ERP_i)*AE333*Ramure*Pc/MaxiM</f>
        <v>1.3987113914097465E-2</v>
      </c>
      <c r="AE333" s="305">
        <f t="shared" si="126"/>
        <v>0.7</v>
      </c>
      <c r="AF333" s="177">
        <f t="shared" si="127"/>
        <v>0.50053321919063398</v>
      </c>
      <c r="AG333" s="817">
        <f t="shared" si="128"/>
        <v>-2</v>
      </c>
      <c r="AH333" s="176">
        <f t="shared" si="129"/>
        <v>4</v>
      </c>
      <c r="AI333" s="225">
        <f t="shared" si="130"/>
        <v>-1.499466780809366</v>
      </c>
      <c r="AJ333" s="265" t="b">
        <f t="shared" si="131"/>
        <v>0</v>
      </c>
      <c r="AK333" s="265" t="b">
        <f t="shared" si="132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33"/>
        <v>43420</v>
      </c>
      <c r="B334" s="617">
        <v>12.146000000000001</v>
      </c>
      <c r="C334" s="390"/>
      <c r="D334" s="393">
        <f t="shared" si="110"/>
        <v>12.202262551726088</v>
      </c>
      <c r="E334" s="385">
        <f t="shared" si="136"/>
        <v>12.652588433243595</v>
      </c>
      <c r="F334" s="385">
        <f t="shared" si="138"/>
        <v>12.77870882362072</v>
      </c>
      <c r="G334" s="110">
        <f t="shared" si="137"/>
        <v>0.7869916107267757</v>
      </c>
      <c r="I334" s="380">
        <f t="shared" si="111"/>
        <v>12.77870882362072</v>
      </c>
      <c r="J334" s="85">
        <v>2018</v>
      </c>
      <c r="K334" s="197">
        <f t="shared" si="112"/>
        <v>43420</v>
      </c>
      <c r="L334" s="438">
        <f t="shared" si="113"/>
        <v>4.6108294660590632E-3</v>
      </c>
      <c r="M334" s="861"/>
      <c r="N334" s="861"/>
      <c r="O334" s="324">
        <f t="shared" si="114"/>
        <v>3.559160118844254E-2</v>
      </c>
      <c r="P334" s="169">
        <f>(INDEX(Models!$BJ334:$BT334,,T334)*(1-R334)+INDEX(Models!$BJ334:$BT334,,T334+1)*R334-ERP_i)*Q334*Ramure*Pc/MaxiM</f>
        <v>1.4089044903393884E-2</v>
      </c>
      <c r="Q334" s="305">
        <f t="shared" si="115"/>
        <v>0.7</v>
      </c>
      <c r="R334" s="177">
        <f t="shared" si="116"/>
        <v>0.5005636557861235</v>
      </c>
      <c r="S334" s="817">
        <f t="shared" si="134"/>
        <v>-2</v>
      </c>
      <c r="T334" s="176">
        <f t="shared" si="117"/>
        <v>4</v>
      </c>
      <c r="U334" s="251">
        <f t="shared" si="118"/>
        <v>-1.4994363442138765</v>
      </c>
      <c r="V334" s="383">
        <f t="shared" si="119"/>
        <v>15.367685329791813</v>
      </c>
      <c r="W334" s="58"/>
      <c r="X334" s="157">
        <f t="shared" si="120"/>
        <v>43420</v>
      </c>
      <c r="Y334" s="385">
        <f t="shared" si="121"/>
        <v>12.146000000000001</v>
      </c>
      <c r="Z334" s="385">
        <f t="shared" si="122"/>
        <v>12.202262551726088</v>
      </c>
      <c r="AA334" s="386">
        <f t="shared" si="123"/>
        <v>12.652588433243595</v>
      </c>
      <c r="AB334" s="197">
        <f t="shared" si="124"/>
        <v>43420</v>
      </c>
      <c r="AC334" s="427">
        <f t="shared" si="125"/>
        <v>3.559160118844254E-2</v>
      </c>
      <c r="AD334" s="169">
        <f>(INDEX(Models!$BJ334:$BT334,,AH334)*(1-AF334)+INDEX(Models!$BJ334:$BT334,,AH334+1)*AF334-ERP_i)*AE334*Ramure*Pc/MaxiM</f>
        <v>1.4089044903393884E-2</v>
      </c>
      <c r="AE334" s="305">
        <f t="shared" si="126"/>
        <v>0.7</v>
      </c>
      <c r="AF334" s="177">
        <f t="shared" si="127"/>
        <v>0.5005636557861235</v>
      </c>
      <c r="AG334" s="817">
        <f t="shared" si="128"/>
        <v>-2</v>
      </c>
      <c r="AH334" s="176">
        <f t="shared" si="129"/>
        <v>4</v>
      </c>
      <c r="AI334" s="225">
        <f t="shared" si="130"/>
        <v>-1.4994363442138765</v>
      </c>
      <c r="AJ334" s="265" t="b">
        <f t="shared" si="131"/>
        <v>0</v>
      </c>
      <c r="AK334" s="265" t="b">
        <f t="shared" si="132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33"/>
        <v>43421</v>
      </c>
      <c r="B335" s="617">
        <v>15.441000000000001</v>
      </c>
      <c r="C335" s="390"/>
      <c r="D335" s="393">
        <f t="shared" ref="D335:D379" si="139">Wh/(1-Ppv)</f>
        <v>15.512865381740978</v>
      </c>
      <c r="E335" s="385">
        <f t="shared" si="136"/>
        <v>16.087436519754231</v>
      </c>
      <c r="F335" s="385">
        <f t="shared" si="138"/>
        <v>16.318890198291346</v>
      </c>
      <c r="G335" s="110">
        <f t="shared" si="137"/>
        <v>1.021068171073672</v>
      </c>
      <c r="I335" s="380">
        <f t="shared" ref="I335:I380" si="140">Wh_hp</f>
        <v>16.318890198291346</v>
      </c>
      <c r="J335" s="85">
        <v>2018</v>
      </c>
      <c r="K335" s="197">
        <f t="shared" ref="K335:K379" si="141">t</f>
        <v>43421</v>
      </c>
      <c r="L335" s="438">
        <f t="shared" ref="L335:L378" si="142">IF(t&lt;T0,0,IF(t&lt;Tvie,1-EXP((T0-t)*PertePVj),1-EXP((T0-t)*PertePVj)+Pspv))</f>
        <v>4.6326310434927631E-3</v>
      </c>
      <c r="M335" s="861"/>
      <c r="N335" s="861"/>
      <c r="O335" s="324">
        <f t="shared" ref="O335:O379" si="143">IF(t&lt;T0,0,IF(t&lt;Tnet,Salim_i*(1-EXP((T0-t)/Tau_ij)),Resal+(Salim-Resal)*(1-EXP((Tnet-t)/(Tau_j)))))*Salcycl</f>
        <v>3.5715518585432836E-2</v>
      </c>
      <c r="P335" s="169">
        <f>(INDEX(Models!$BJ335:$BT335,,T335)*(1-R335)+INDEX(Models!$BJ335:$BT335,,T335+1)*R335-ERP_i)*Q335*Ramure*Pc/MaxiM</f>
        <v>1.4183175186836575E-2</v>
      </c>
      <c r="Q335" s="305">
        <f t="shared" ref="Q335:Q379" si="144">IF(OR(t&lt;Ttai,Notai),Dd+PousD*Croivg,Dens+PousD*(Croivg-Croi_tai))</f>
        <v>0.7</v>
      </c>
      <c r="R335" s="177">
        <f t="shared" ref="R335:R379" si="145">(Hp_vg-S335)/(INDEX(Echel_vg,T335+1)-S335)</f>
        <v>0.50059287040011768</v>
      </c>
      <c r="S335" s="817">
        <f t="shared" si="134"/>
        <v>-2</v>
      </c>
      <c r="T335" s="176">
        <f t="shared" ref="T335:T379" si="146">MIN(MATCH(Hp_vg,Echel_vg),10)</f>
        <v>4</v>
      </c>
      <c r="U335" s="251">
        <f t="shared" ref="U335:U379" si="147">IF(OR(t&lt;Ttai,Notai),Hdd+PousH*Croivg,Hdtf+PousH*(Croivg-Croi_tai))</f>
        <v>-1.4994071295998823</v>
      </c>
      <c r="V335" s="383">
        <f t="shared" ref="V335:V379" si="148">MaxiM*(1-Ppv)*(1-Pvg)*(1-Psa)</f>
        <v>15.122398716790382</v>
      </c>
      <c r="W335" s="58"/>
      <c r="X335" s="157">
        <f t="shared" ref="X335:X379" si="149">t</f>
        <v>43421</v>
      </c>
      <c r="Y335" s="385">
        <f t="shared" ref="Y335:Y379" si="150">Wh_pvt_s*(1-Ppv)</f>
        <v>15.441000000000001</v>
      </c>
      <c r="Z335" s="385">
        <f t="shared" ref="Z335:Z379" si="151">Wh_sa_s*(1-Psa_s)</f>
        <v>15.512865381740978</v>
      </c>
      <c r="AA335" s="386">
        <f t="shared" ref="AA335:AA379" si="152">Wh_hp*(1-Pvg_s*MEDIAN((-Sdif+Wh/Env_an)/Csdif,0,1))</f>
        <v>16.087436519754231</v>
      </c>
      <c r="AB335" s="197">
        <f t="shared" ref="AB335:AB379" si="153">t</f>
        <v>43421</v>
      </c>
      <c r="AC335" s="427">
        <f t="shared" ref="AC335:AC379" si="154">IF(t&lt;T0,0,IF(OR(t&lt;Tnet,NoTnet),Salim_i*(1-EXP((T0-t)/Tau_ij)),Resal_s+(Salim-Resal_s)*(1-EXP((Tnet_s-t)/Tau_j))))*Salcycl</f>
        <v>3.5715518585432836E-2</v>
      </c>
      <c r="AD335" s="169">
        <f>(INDEX(Models!$BJ335:$BT335,,AH335)*(1-AF335)+INDEX(Models!$BJ335:$BT335,,AH335+1)*AF335-ERP_i)*AE335*Ramure*Pc/MaxiM</f>
        <v>1.4183175186836575E-2</v>
      </c>
      <c r="AE335" s="305">
        <f t="shared" ref="AE335:AE379" si="155">Dd+PousD*Croivg</f>
        <v>0.7</v>
      </c>
      <c r="AF335" s="177">
        <f t="shared" ref="AF335:AF379" si="156">(Hp_vg_s-AG335)/(INDEX(Echel_vg,AH335+1)-AG335)</f>
        <v>0.50059287040011768</v>
      </c>
      <c r="AG335" s="817">
        <f t="shared" ref="AG335:AG379" si="157">INDEX(Echel_vg,AH335)</f>
        <v>-2</v>
      </c>
      <c r="AH335" s="176">
        <f t="shared" ref="AH335:AH379" si="158">MIN(MATCH(Hp_vg_s,Echel_vg),10)</f>
        <v>4</v>
      </c>
      <c r="AI335" s="225">
        <f t="shared" ref="AI335:AI379" si="159">Hdd+PousH*Croivg</f>
        <v>-1.4994071295998823</v>
      </c>
      <c r="AJ335" s="265" t="b">
        <f t="shared" ref="AJ335:AJ380" si="160">t&lt;Tnet</f>
        <v>0</v>
      </c>
      <c r="AK335" s="265" t="b">
        <f t="shared" ref="AK335:AK380" si="16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62">A335+1</f>
        <v>43422</v>
      </c>
      <c r="B336" s="617">
        <v>13.757999999999999</v>
      </c>
      <c r="C336" s="390"/>
      <c r="D336" s="393">
        <f t="shared" si="139"/>
        <v>13.822335120883706</v>
      </c>
      <c r="E336" s="385">
        <f t="shared" si="136"/>
        <v>14.336136276454768</v>
      </c>
      <c r="F336" s="385">
        <f t="shared" si="138"/>
        <v>14.520944266694507</v>
      </c>
      <c r="G336" s="110">
        <f t="shared" si="137"/>
        <v>0.92290645654679371</v>
      </c>
      <c r="I336" s="380">
        <f t="shared" si="140"/>
        <v>14.520944266694507</v>
      </c>
      <c r="J336" s="85">
        <v>2018</v>
      </c>
      <c r="K336" s="197">
        <f t="shared" si="141"/>
        <v>43422</v>
      </c>
      <c r="L336" s="438">
        <f t="shared" si="142"/>
        <v>4.6544321434158764E-3</v>
      </c>
      <c r="M336" s="861"/>
      <c r="N336" s="861"/>
      <c r="O336" s="324">
        <f t="shared" si="143"/>
        <v>3.5839583669061148E-2</v>
      </c>
      <c r="P336" s="169">
        <f>(INDEX(Models!$BJ336:$BT336,,T336)*(1-R336)+INDEX(Models!$BJ336:$BT336,,T336+1)*R336-ERP_i)*Q336*Ramure*Pc/MaxiM</f>
        <v>1.4269068972463394E-2</v>
      </c>
      <c r="Q336" s="305">
        <f t="shared" si="144"/>
        <v>0.7</v>
      </c>
      <c r="R336" s="177">
        <f t="shared" si="145"/>
        <v>0.500620911958781</v>
      </c>
      <c r="S336" s="817">
        <f t="shared" ref="S336:S379" si="163">INDEX(Echel_vg,T336)</f>
        <v>-2</v>
      </c>
      <c r="T336" s="176">
        <f t="shared" si="146"/>
        <v>4</v>
      </c>
      <c r="U336" s="251">
        <f t="shared" si="147"/>
        <v>-1.499379088041219</v>
      </c>
      <c r="V336" s="383">
        <f t="shared" si="148"/>
        <v>14.883968531111051</v>
      </c>
      <c r="W336" s="58"/>
      <c r="X336" s="157">
        <f t="shared" si="149"/>
        <v>43422</v>
      </c>
      <c r="Y336" s="385">
        <f t="shared" si="150"/>
        <v>13.757999999999999</v>
      </c>
      <c r="Z336" s="385">
        <f t="shared" si="151"/>
        <v>13.822335120883706</v>
      </c>
      <c r="AA336" s="386">
        <f t="shared" si="152"/>
        <v>14.336136276454768</v>
      </c>
      <c r="AB336" s="197">
        <f t="shared" si="153"/>
        <v>43422</v>
      </c>
      <c r="AC336" s="427">
        <f t="shared" si="154"/>
        <v>3.5839583669061148E-2</v>
      </c>
      <c r="AD336" s="169">
        <f>(INDEX(Models!$BJ336:$BT336,,AH336)*(1-AF336)+INDEX(Models!$BJ336:$BT336,,AH336+1)*AF336-ERP_i)*AE336*Ramure*Pc/MaxiM</f>
        <v>1.4269068972463394E-2</v>
      </c>
      <c r="AE336" s="305">
        <f t="shared" si="155"/>
        <v>0.7</v>
      </c>
      <c r="AF336" s="177">
        <f t="shared" si="156"/>
        <v>0.500620911958781</v>
      </c>
      <c r="AG336" s="817">
        <f t="shared" si="157"/>
        <v>-2</v>
      </c>
      <c r="AH336" s="176">
        <f t="shared" si="158"/>
        <v>4</v>
      </c>
      <c r="AI336" s="225">
        <f t="shared" si="159"/>
        <v>-1.499379088041219</v>
      </c>
      <c r="AJ336" s="265" t="b">
        <f t="shared" si="160"/>
        <v>0</v>
      </c>
      <c r="AK336" s="265" t="b">
        <f t="shared" si="16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62"/>
        <v>43423</v>
      </c>
      <c r="B337" s="617">
        <v>10.821999999999999</v>
      </c>
      <c r="C337" s="390"/>
      <c r="D337" s="393">
        <f t="shared" si="139"/>
        <v>10.87284394913279</v>
      </c>
      <c r="E337" s="385">
        <f t="shared" si="136"/>
        <v>11.278460539541054</v>
      </c>
      <c r="F337" s="385">
        <f t="shared" si="138"/>
        <v>11.380757735848544</v>
      </c>
      <c r="G337" s="110">
        <f t="shared" si="137"/>
        <v>0.73458958738932734</v>
      </c>
      <c r="I337" s="380">
        <f t="shared" si="140"/>
        <v>11.380757735848544</v>
      </c>
      <c r="J337" s="85">
        <v>2018</v>
      </c>
      <c r="K337" s="197">
        <f t="shared" si="141"/>
        <v>43423</v>
      </c>
      <c r="L337" s="438">
        <f t="shared" si="142"/>
        <v>4.6762327658390612E-3</v>
      </c>
      <c r="M337" s="861"/>
      <c r="N337" s="861"/>
      <c r="O337" s="324">
        <f t="shared" si="143"/>
        <v>3.5963825824119972E-2</v>
      </c>
      <c r="P337" s="169">
        <f>(INDEX(Models!$BJ337:$BT337,,T337)*(1-R337)+INDEX(Models!$BJ337:$BT337,,T337+1)*R337-ERP_i)*Q337*Ramure*Pc/MaxiM</f>
        <v>1.4346277788885517E-2</v>
      </c>
      <c r="Q337" s="305">
        <f t="shared" si="144"/>
        <v>0.7</v>
      </c>
      <c r="R337" s="177">
        <f t="shared" si="145"/>
        <v>0.50064782743995151</v>
      </c>
      <c r="S337" s="817">
        <f t="shared" si="163"/>
        <v>-2</v>
      </c>
      <c r="T337" s="176">
        <f t="shared" si="146"/>
        <v>4</v>
      </c>
      <c r="U337" s="251">
        <f t="shared" si="147"/>
        <v>-1.4993521725600485</v>
      </c>
      <c r="V337" s="383">
        <f t="shared" si="148"/>
        <v>14.652390415747446</v>
      </c>
      <c r="W337" s="58"/>
      <c r="X337" s="157">
        <f t="shared" si="149"/>
        <v>43423</v>
      </c>
      <c r="Y337" s="385">
        <f t="shared" si="150"/>
        <v>10.821999999999999</v>
      </c>
      <c r="Z337" s="385">
        <f t="shared" si="151"/>
        <v>10.87284394913279</v>
      </c>
      <c r="AA337" s="386">
        <f t="shared" si="152"/>
        <v>11.278460539541054</v>
      </c>
      <c r="AB337" s="197">
        <f t="shared" si="153"/>
        <v>43423</v>
      </c>
      <c r="AC337" s="427">
        <f t="shared" si="154"/>
        <v>3.5963825824119972E-2</v>
      </c>
      <c r="AD337" s="169">
        <f>(INDEX(Models!$BJ337:$BT337,,AH337)*(1-AF337)+INDEX(Models!$BJ337:$BT337,,AH337+1)*AF337-ERP_i)*AE337*Ramure*Pc/MaxiM</f>
        <v>1.4346277788885517E-2</v>
      </c>
      <c r="AE337" s="305">
        <f t="shared" si="155"/>
        <v>0.7</v>
      </c>
      <c r="AF337" s="177">
        <f t="shared" si="156"/>
        <v>0.50064782743995151</v>
      </c>
      <c r="AG337" s="817">
        <f t="shared" si="157"/>
        <v>-2</v>
      </c>
      <c r="AH337" s="176">
        <f t="shared" si="158"/>
        <v>4</v>
      </c>
      <c r="AI337" s="225">
        <f t="shared" si="159"/>
        <v>-1.4993521725600485</v>
      </c>
      <c r="AJ337" s="265" t="b">
        <f t="shared" si="160"/>
        <v>0</v>
      </c>
      <c r="AK337" s="265" t="b">
        <f t="shared" si="16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62"/>
        <v>43424</v>
      </c>
      <c r="B338" s="617">
        <v>5.6879999999999997</v>
      </c>
      <c r="C338" s="390"/>
      <c r="D338" s="393">
        <f t="shared" si="139"/>
        <v>5.7148485465517807</v>
      </c>
      <c r="E338" s="385">
        <f t="shared" si="136"/>
        <v>5.9288090234008539</v>
      </c>
      <c r="F338" s="385">
        <f t="shared" si="138"/>
        <v>5.9403345252492832</v>
      </c>
      <c r="G338" s="110">
        <f t="shared" si="137"/>
        <v>0.38931532555905479</v>
      </c>
      <c r="I338" s="380">
        <f t="shared" si="140"/>
        <v>5.9403345252492832</v>
      </c>
      <c r="J338" s="85">
        <v>2018</v>
      </c>
      <c r="K338" s="197">
        <f t="shared" si="141"/>
        <v>43424</v>
      </c>
      <c r="L338" s="438">
        <f t="shared" si="142"/>
        <v>4.6980329107725316E-3</v>
      </c>
      <c r="M338" s="861"/>
      <c r="N338" s="861"/>
      <c r="O338" s="324">
        <f t="shared" si="143"/>
        <v>3.6088272704446638E-2</v>
      </c>
      <c r="P338" s="169">
        <f>(INDEX(Models!$BJ338:$BT338,,T338)*(1-R338)+INDEX(Models!$BJ338:$BT338,,T338+1)*R338-ERP_i)*Q338*Ramure*Pc/MaxiM</f>
        <v>1.441135044883338E-2</v>
      </c>
      <c r="Q338" s="305">
        <f t="shared" si="144"/>
        <v>0.7</v>
      </c>
      <c r="R338" s="177">
        <f t="shared" si="145"/>
        <v>0.5006736619498906</v>
      </c>
      <c r="S338" s="817">
        <f t="shared" si="163"/>
        <v>-2</v>
      </c>
      <c r="T338" s="176">
        <f t="shared" si="146"/>
        <v>4</v>
      </c>
      <c r="U338" s="251">
        <f t="shared" si="147"/>
        <v>-1.4993263380501094</v>
      </c>
      <c r="V338" s="383">
        <f t="shared" si="148"/>
        <v>14.427703949711738</v>
      </c>
      <c r="W338" s="58"/>
      <c r="X338" s="157">
        <f t="shared" si="149"/>
        <v>43424</v>
      </c>
      <c r="Y338" s="385">
        <f t="shared" si="150"/>
        <v>5.6879999999999997</v>
      </c>
      <c r="Z338" s="385">
        <f t="shared" si="151"/>
        <v>5.7148485465517807</v>
      </c>
      <c r="AA338" s="386">
        <f t="shared" si="152"/>
        <v>5.9288090234008539</v>
      </c>
      <c r="AB338" s="197">
        <f t="shared" si="153"/>
        <v>43424</v>
      </c>
      <c r="AC338" s="427">
        <f t="shared" si="154"/>
        <v>3.6088272704446638E-2</v>
      </c>
      <c r="AD338" s="169">
        <f>(INDEX(Models!$BJ338:$BT338,,AH338)*(1-AF338)+INDEX(Models!$BJ338:$BT338,,AH338+1)*AF338-ERP_i)*AE338*Ramure*Pc/MaxiM</f>
        <v>1.441135044883338E-2</v>
      </c>
      <c r="AE338" s="305">
        <f t="shared" si="155"/>
        <v>0.7</v>
      </c>
      <c r="AF338" s="177">
        <f t="shared" si="156"/>
        <v>0.5006736619498906</v>
      </c>
      <c r="AG338" s="817">
        <f t="shared" si="157"/>
        <v>-2</v>
      </c>
      <c r="AH338" s="176">
        <f t="shared" si="158"/>
        <v>4</v>
      </c>
      <c r="AI338" s="225">
        <f t="shared" si="159"/>
        <v>-1.4993263380501094</v>
      </c>
      <c r="AJ338" s="265" t="b">
        <f t="shared" si="160"/>
        <v>0</v>
      </c>
      <c r="AK338" s="265" t="b">
        <f t="shared" si="16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62"/>
        <v>43425</v>
      </c>
      <c r="B339" s="617">
        <v>13.824</v>
      </c>
      <c r="C339" s="390"/>
      <c r="D339" s="393">
        <f t="shared" si="139"/>
        <v>13.889556380702761</v>
      </c>
      <c r="E339" s="385">
        <f t="shared" si="136"/>
        <v>14.411437030996909</v>
      </c>
      <c r="F339" s="385">
        <f t="shared" si="138"/>
        <v>14.614708080024094</v>
      </c>
      <c r="G339" s="110">
        <f t="shared" si="137"/>
        <v>0.97229497091634942</v>
      </c>
      <c r="I339" s="380">
        <f t="shared" si="140"/>
        <v>14.614708080024094</v>
      </c>
      <c r="J339" s="85">
        <v>2018</v>
      </c>
      <c r="K339" s="197">
        <f t="shared" si="141"/>
        <v>43425</v>
      </c>
      <c r="L339" s="438">
        <f t="shared" si="142"/>
        <v>4.7198325782269457E-3</v>
      </c>
      <c r="M339" s="861"/>
      <c r="N339" s="861"/>
      <c r="O339" s="324">
        <f t="shared" si="143"/>
        <v>3.6212950115360361E-2</v>
      </c>
      <c r="P339" s="169">
        <f>(INDEX(Models!$BJ339:$BT339,,T339)*(1-R339)+INDEX(Models!$BJ339:$BT339,,T339+1)*R339-ERP_i)*Q339*Ramure*Pc/MaxiM</f>
        <v>1.4469916144972252E-2</v>
      </c>
      <c r="Q339" s="305">
        <f t="shared" si="144"/>
        <v>0.7</v>
      </c>
      <c r="R339" s="177">
        <f t="shared" si="145"/>
        <v>0.50069845879707575</v>
      </c>
      <c r="S339" s="817">
        <f t="shared" si="163"/>
        <v>-2</v>
      </c>
      <c r="T339" s="176">
        <f t="shared" si="146"/>
        <v>4</v>
      </c>
      <c r="U339" s="251">
        <f t="shared" si="147"/>
        <v>-1.4993015412029242</v>
      </c>
      <c r="V339" s="383">
        <f t="shared" si="148"/>
        <v>14.209815141680073</v>
      </c>
      <c r="W339" s="58"/>
      <c r="X339" s="157">
        <f t="shared" si="149"/>
        <v>43425</v>
      </c>
      <c r="Y339" s="385">
        <f t="shared" si="150"/>
        <v>13.824</v>
      </c>
      <c r="Z339" s="385">
        <f t="shared" si="151"/>
        <v>13.889556380702761</v>
      </c>
      <c r="AA339" s="386">
        <f t="shared" si="152"/>
        <v>14.411437030996909</v>
      </c>
      <c r="AB339" s="197">
        <f t="shared" si="153"/>
        <v>43425</v>
      </c>
      <c r="AC339" s="427">
        <f t="shared" si="154"/>
        <v>3.6212950115360361E-2</v>
      </c>
      <c r="AD339" s="169">
        <f>(INDEX(Models!$BJ339:$BT339,,AH339)*(1-AF339)+INDEX(Models!$BJ339:$BT339,,AH339+1)*AF339-ERP_i)*AE339*Ramure*Pc/MaxiM</f>
        <v>1.4469916144972252E-2</v>
      </c>
      <c r="AE339" s="305">
        <f t="shared" si="155"/>
        <v>0.7</v>
      </c>
      <c r="AF339" s="177">
        <f t="shared" si="156"/>
        <v>0.50069845879707575</v>
      </c>
      <c r="AG339" s="817">
        <f t="shared" si="157"/>
        <v>-2</v>
      </c>
      <c r="AH339" s="176">
        <f t="shared" si="158"/>
        <v>4</v>
      </c>
      <c r="AI339" s="225">
        <f t="shared" si="159"/>
        <v>-1.4993015412029242</v>
      </c>
      <c r="AJ339" s="265" t="b">
        <f t="shared" si="160"/>
        <v>0</v>
      </c>
      <c r="AK339" s="265" t="b">
        <f t="shared" si="16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62"/>
        <v>43426</v>
      </c>
      <c r="B340" s="617">
        <v>12.664</v>
      </c>
      <c r="C340" s="390"/>
      <c r="D340" s="393">
        <f t="shared" si="139"/>
        <v>12.7243341068303</v>
      </c>
      <c r="E340" s="385">
        <f t="shared" si="136"/>
        <v>13.204144759807209</v>
      </c>
      <c r="F340" s="385">
        <f t="shared" si="138"/>
        <v>13.37187688158404</v>
      </c>
      <c r="G340" s="110">
        <f t="shared" si="137"/>
        <v>0.90284200666361536</v>
      </c>
      <c r="I340" s="380">
        <f t="shared" si="140"/>
        <v>13.37187688158404</v>
      </c>
      <c r="J340" s="85">
        <v>2018</v>
      </c>
      <c r="K340" s="197">
        <f t="shared" si="141"/>
        <v>43426</v>
      </c>
      <c r="L340" s="438">
        <f t="shared" si="142"/>
        <v>4.7416317682127396E-3</v>
      </c>
      <c r="M340" s="861"/>
      <c r="N340" s="861"/>
      <c r="O340" s="324">
        <f t="shared" si="143"/>
        <v>3.6337881907916571E-2</v>
      </c>
      <c r="P340" s="169">
        <f>(INDEX(Models!$BJ340:$BT340,,T340)*(1-R340)+INDEX(Models!$BJ340:$BT340,,T340+1)*R340-ERP_i)*Q340*Ramure*Pc/MaxiM</f>
        <v>1.4521614405383458E-2</v>
      </c>
      <c r="Q340" s="305">
        <f t="shared" si="144"/>
        <v>0.7</v>
      </c>
      <c r="R340" s="177">
        <f t="shared" si="145"/>
        <v>0.50072225956314442</v>
      </c>
      <c r="S340" s="817">
        <f t="shared" si="163"/>
        <v>-2</v>
      </c>
      <c r="T340" s="176">
        <f t="shared" si="146"/>
        <v>4</v>
      </c>
      <c r="U340" s="251">
        <f t="shared" si="147"/>
        <v>-1.4992777404368556</v>
      </c>
      <c r="V340" s="383">
        <f t="shared" si="148"/>
        <v>13.99872042755009</v>
      </c>
      <c r="W340" s="58"/>
      <c r="X340" s="157">
        <f t="shared" si="149"/>
        <v>43426</v>
      </c>
      <c r="Y340" s="385">
        <f t="shared" si="150"/>
        <v>12.664</v>
      </c>
      <c r="Z340" s="385">
        <f t="shared" si="151"/>
        <v>12.7243341068303</v>
      </c>
      <c r="AA340" s="386">
        <f t="shared" si="152"/>
        <v>13.204144759807209</v>
      </c>
      <c r="AB340" s="197">
        <f t="shared" si="153"/>
        <v>43426</v>
      </c>
      <c r="AC340" s="427">
        <f t="shared" si="154"/>
        <v>3.6337881907916571E-2</v>
      </c>
      <c r="AD340" s="169">
        <f>(INDEX(Models!$BJ340:$BT340,,AH340)*(1-AF340)+INDEX(Models!$BJ340:$BT340,,AH340+1)*AF340-ERP_i)*AE340*Ramure*Pc/MaxiM</f>
        <v>1.4521614405383458E-2</v>
      </c>
      <c r="AE340" s="305">
        <f t="shared" si="155"/>
        <v>0.7</v>
      </c>
      <c r="AF340" s="177">
        <f t="shared" si="156"/>
        <v>0.50072225956314442</v>
      </c>
      <c r="AG340" s="817">
        <f t="shared" si="157"/>
        <v>-2</v>
      </c>
      <c r="AH340" s="176">
        <f t="shared" si="158"/>
        <v>4</v>
      </c>
      <c r="AI340" s="225">
        <f t="shared" si="159"/>
        <v>-1.4992777404368556</v>
      </c>
      <c r="AJ340" s="265" t="b">
        <f t="shared" si="160"/>
        <v>0</v>
      </c>
      <c r="AK340" s="265" t="b">
        <f t="shared" si="16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62"/>
        <v>43427</v>
      </c>
      <c r="B341" s="617">
        <v>7.5780000000000003</v>
      </c>
      <c r="C341" s="390"/>
      <c r="D341" s="393">
        <f t="shared" si="139"/>
        <v>7.614270046025827</v>
      </c>
      <c r="E341" s="385">
        <f t="shared" si="136"/>
        <v>7.9024165717978558</v>
      </c>
      <c r="F341" s="385">
        <f t="shared" si="138"/>
        <v>7.9436334438215832</v>
      </c>
      <c r="G341" s="110">
        <f t="shared" si="137"/>
        <v>0.5441743351096876</v>
      </c>
      <c r="I341" s="380">
        <f t="shared" si="140"/>
        <v>7.9436334438215832</v>
      </c>
      <c r="J341" s="85">
        <v>2018</v>
      </c>
      <c r="K341" s="197">
        <f t="shared" si="141"/>
        <v>43427</v>
      </c>
      <c r="L341" s="438">
        <f t="shared" si="142"/>
        <v>4.7634304807402383E-3</v>
      </c>
      <c r="M341" s="861"/>
      <c r="N341" s="861"/>
      <c r="O341" s="324">
        <f t="shared" si="143"/>
        <v>3.6463089885740263E-2</v>
      </c>
      <c r="P341" s="169">
        <f>(INDEX(Models!$BJ341:$BT341,,T341)*(1-R341)+INDEX(Models!$BJ341:$BT341,,T341+1)*R341-ERP_i)*Q341*Ramure*Pc/MaxiM</f>
        <v>1.4565985447486067E-2</v>
      </c>
      <c r="Q341" s="305">
        <f t="shared" si="144"/>
        <v>0.7</v>
      </c>
      <c r="R341" s="177">
        <f t="shared" si="145"/>
        <v>0.50074510417109397</v>
      </c>
      <c r="S341" s="817">
        <f t="shared" si="163"/>
        <v>-2</v>
      </c>
      <c r="T341" s="176">
        <f t="shared" si="146"/>
        <v>4</v>
      </c>
      <c r="U341" s="251">
        <f t="shared" si="147"/>
        <v>-1.499254895828906</v>
      </c>
      <c r="V341" s="383">
        <f t="shared" si="148"/>
        <v>13.794417639721312</v>
      </c>
      <c r="W341" s="58"/>
      <c r="X341" s="157">
        <f t="shared" si="149"/>
        <v>43427</v>
      </c>
      <c r="Y341" s="385">
        <f t="shared" si="150"/>
        <v>7.5780000000000003</v>
      </c>
      <c r="Z341" s="385">
        <f t="shared" si="151"/>
        <v>7.614270046025827</v>
      </c>
      <c r="AA341" s="386">
        <f t="shared" si="152"/>
        <v>7.9024165717978558</v>
      </c>
      <c r="AB341" s="197">
        <f t="shared" si="153"/>
        <v>43427</v>
      </c>
      <c r="AC341" s="427">
        <f t="shared" si="154"/>
        <v>3.6463089885740263E-2</v>
      </c>
      <c r="AD341" s="169">
        <f>(INDEX(Models!$BJ341:$BT341,,AH341)*(1-AF341)+INDEX(Models!$BJ341:$BT341,,AH341+1)*AF341-ERP_i)*AE341*Ramure*Pc/MaxiM</f>
        <v>1.4565985447486067E-2</v>
      </c>
      <c r="AE341" s="305">
        <f t="shared" si="155"/>
        <v>0.7</v>
      </c>
      <c r="AF341" s="177">
        <f t="shared" si="156"/>
        <v>0.50074510417109397</v>
      </c>
      <c r="AG341" s="817">
        <f t="shared" si="157"/>
        <v>-2</v>
      </c>
      <c r="AH341" s="176">
        <f t="shared" si="158"/>
        <v>4</v>
      </c>
      <c r="AI341" s="225">
        <f t="shared" si="159"/>
        <v>-1.499254895828906</v>
      </c>
      <c r="AJ341" s="265" t="b">
        <f t="shared" si="160"/>
        <v>0</v>
      </c>
      <c r="AK341" s="265" t="b">
        <f t="shared" si="161"/>
        <v>0</v>
      </c>
      <c r="AL341" s="265"/>
      <c r="AM341" s="265"/>
      <c r="AN341" s="75"/>
    </row>
    <row r="342" spans="1:40" s="6" customFormat="1" ht="11.25" x14ac:dyDescent="0.2">
      <c r="A342" s="56">
        <f t="shared" si="162"/>
        <v>43428</v>
      </c>
      <c r="B342" s="617">
        <v>12.462999999999999</v>
      </c>
      <c r="C342" s="390"/>
      <c r="D342" s="393">
        <f t="shared" si="139"/>
        <v>12.522925060606074</v>
      </c>
      <c r="E342" s="385">
        <f t="shared" si="136"/>
        <v>12.998522727717001</v>
      </c>
      <c r="F342" s="385">
        <f t="shared" si="138"/>
        <v>13.167900685670887</v>
      </c>
      <c r="G342" s="110">
        <f t="shared" si="137"/>
        <v>0.91499035426573261</v>
      </c>
      <c r="I342" s="380">
        <f t="shared" si="140"/>
        <v>13.167900685670887</v>
      </c>
      <c r="J342" s="85">
        <v>2018</v>
      </c>
      <c r="K342" s="197">
        <f t="shared" si="141"/>
        <v>43428</v>
      </c>
      <c r="L342" s="438">
        <f t="shared" si="142"/>
        <v>4.7852287158201001E-3</v>
      </c>
      <c r="M342" s="861"/>
      <c r="N342" s="861"/>
      <c r="O342" s="324">
        <f t="shared" si="143"/>
        <v>3.6588593725100794E-2</v>
      </c>
      <c r="P342" s="169">
        <f>(INDEX(Models!$BJ342:$BT342,,T342)*(1-R342)+INDEX(Models!$BJ342:$BT342,,T342+1)*R342-ERP_i)*Q342*Ramure*Pc/MaxiM</f>
        <v>1.4602621640542324E-2</v>
      </c>
      <c r="Q342" s="305">
        <f t="shared" si="144"/>
        <v>0.7</v>
      </c>
      <c r="R342" s="177">
        <f t="shared" si="145"/>
        <v>0.50076703095084207</v>
      </c>
      <c r="S342" s="817">
        <f t="shared" si="163"/>
        <v>-2</v>
      </c>
      <c r="T342" s="176">
        <f t="shared" si="146"/>
        <v>4</v>
      </c>
      <c r="U342" s="251">
        <f t="shared" si="147"/>
        <v>-1.4992329690491579</v>
      </c>
      <c r="V342" s="383">
        <f t="shared" si="148"/>
        <v>13.596903842276488</v>
      </c>
      <c r="W342" s="58"/>
      <c r="X342" s="157">
        <f t="shared" si="149"/>
        <v>43428</v>
      </c>
      <c r="Y342" s="385">
        <f t="shared" si="150"/>
        <v>12.462999999999999</v>
      </c>
      <c r="Z342" s="385">
        <f t="shared" si="151"/>
        <v>12.522925060606074</v>
      </c>
      <c r="AA342" s="386">
        <f t="shared" si="152"/>
        <v>12.998522727717001</v>
      </c>
      <c r="AB342" s="197">
        <f t="shared" si="153"/>
        <v>43428</v>
      </c>
      <c r="AC342" s="427">
        <f t="shared" si="154"/>
        <v>3.6588593725100794E-2</v>
      </c>
      <c r="AD342" s="169">
        <f>(INDEX(Models!$BJ342:$BT342,,AH342)*(1-AF342)+INDEX(Models!$BJ342:$BT342,,AH342+1)*AF342-ERP_i)*AE342*Ramure*Pc/MaxiM</f>
        <v>1.4602621640542324E-2</v>
      </c>
      <c r="AE342" s="305">
        <f t="shared" si="155"/>
        <v>0.7</v>
      </c>
      <c r="AF342" s="177">
        <f t="shared" si="156"/>
        <v>0.50076703095084207</v>
      </c>
      <c r="AG342" s="817">
        <f t="shared" si="157"/>
        <v>-2</v>
      </c>
      <c r="AH342" s="176">
        <f t="shared" si="158"/>
        <v>4</v>
      </c>
      <c r="AI342" s="225">
        <f t="shared" si="159"/>
        <v>-1.4992329690491579</v>
      </c>
      <c r="AJ342" s="265" t="b">
        <f t="shared" si="160"/>
        <v>0</v>
      </c>
      <c r="AK342" s="265" t="b">
        <f t="shared" si="16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62"/>
        <v>43429</v>
      </c>
      <c r="B343" s="617">
        <v>6.024</v>
      </c>
      <c r="C343" s="390"/>
      <c r="D343" s="393">
        <f t="shared" si="139"/>
        <v>6.0530973994455826</v>
      </c>
      <c r="E343" s="385">
        <f t="shared" si="136"/>
        <v>6.2838035448617058</v>
      </c>
      <c r="F343" s="385">
        <f t="shared" si="138"/>
        <v>6.3034802785725716</v>
      </c>
      <c r="G343" s="110">
        <f t="shared" si="137"/>
        <v>0.44415717956119505</v>
      </c>
      <c r="I343" s="380">
        <f t="shared" si="140"/>
        <v>6.3034802785725716</v>
      </c>
      <c r="J343" s="85">
        <v>2018</v>
      </c>
      <c r="K343" s="197">
        <f t="shared" si="141"/>
        <v>43429</v>
      </c>
      <c r="L343" s="438">
        <f t="shared" si="142"/>
        <v>4.807026473462539E-3</v>
      </c>
      <c r="M343" s="861"/>
      <c r="N343" s="861"/>
      <c r="O343" s="324">
        <f t="shared" si="143"/>
        <v>3.6714410908783454E-2</v>
      </c>
      <c r="P343" s="169">
        <f>(INDEX(Models!$BJ343:$BT343,,T343)*(1-R343)+INDEX(Models!$BJ343:$BT343,,T343+1)*R343-ERP_i)*Q343*Ramure*Pc/MaxiM</f>
        <v>1.4631184338977487E-2</v>
      </c>
      <c r="Q343" s="305">
        <f t="shared" si="144"/>
        <v>0.7</v>
      </c>
      <c r="R343" s="177">
        <f t="shared" si="145"/>
        <v>0.50078807670223924</v>
      </c>
      <c r="S343" s="817">
        <f t="shared" si="163"/>
        <v>-2</v>
      </c>
      <c r="T343" s="176">
        <f t="shared" si="146"/>
        <v>4</v>
      </c>
      <c r="U343" s="251">
        <f t="shared" si="147"/>
        <v>-1.4992119232977608</v>
      </c>
      <c r="V343" s="383">
        <f t="shared" si="148"/>
        <v>13.406175175646299</v>
      </c>
      <c r="W343" s="58"/>
      <c r="X343" s="157">
        <f t="shared" si="149"/>
        <v>43429</v>
      </c>
      <c r="Y343" s="385">
        <f t="shared" si="150"/>
        <v>6.024</v>
      </c>
      <c r="Z343" s="385">
        <f t="shared" si="151"/>
        <v>6.0530973994455826</v>
      </c>
      <c r="AA343" s="386">
        <f t="shared" si="152"/>
        <v>6.2838035448617058</v>
      </c>
      <c r="AB343" s="197">
        <f t="shared" si="153"/>
        <v>43429</v>
      </c>
      <c r="AC343" s="427">
        <f t="shared" si="154"/>
        <v>3.6714410908783454E-2</v>
      </c>
      <c r="AD343" s="169">
        <f>(INDEX(Models!$BJ343:$BT343,,AH343)*(1-AF343)+INDEX(Models!$BJ343:$BT343,,AH343+1)*AF343-ERP_i)*AE343*Ramure*Pc/MaxiM</f>
        <v>1.4631184338977487E-2</v>
      </c>
      <c r="AE343" s="305">
        <f t="shared" si="155"/>
        <v>0.7</v>
      </c>
      <c r="AF343" s="177">
        <f t="shared" si="156"/>
        <v>0.50078807670223924</v>
      </c>
      <c r="AG343" s="817">
        <f t="shared" si="157"/>
        <v>-2</v>
      </c>
      <c r="AH343" s="176">
        <f t="shared" si="158"/>
        <v>4</v>
      </c>
      <c r="AI343" s="225">
        <f t="shared" si="159"/>
        <v>-1.4992119232977608</v>
      </c>
      <c r="AJ343" s="265" t="b">
        <f t="shared" si="160"/>
        <v>0</v>
      </c>
      <c r="AK343" s="265" t="b">
        <f t="shared" si="161"/>
        <v>0</v>
      </c>
      <c r="AL343" s="265"/>
      <c r="AM343" s="265"/>
      <c r="AN343" s="75"/>
    </row>
    <row r="344" spans="1:40" s="6" customFormat="1" ht="11.25" x14ac:dyDescent="0.2">
      <c r="A344" s="56">
        <f t="shared" si="162"/>
        <v>43430</v>
      </c>
      <c r="B344" s="617">
        <v>2.798</v>
      </c>
      <c r="C344" s="390"/>
      <c r="D344" s="393">
        <f t="shared" si="139"/>
        <v>2.8115766079095597</v>
      </c>
      <c r="E344" s="385">
        <f t="shared" si="136"/>
        <v>2.9191185606831231</v>
      </c>
      <c r="F344" s="385">
        <f t="shared" si="138"/>
        <v>2.9191185606831231</v>
      </c>
      <c r="G344" s="110">
        <f t="shared" si="137"/>
        <v>0.20851293675254026</v>
      </c>
      <c r="I344" s="380">
        <f t="shared" si="140"/>
        <v>2.9191185606831231</v>
      </c>
      <c r="J344" s="85">
        <v>2018</v>
      </c>
      <c r="K344" s="197">
        <f t="shared" si="141"/>
        <v>43430</v>
      </c>
      <c r="L344" s="438">
        <f t="shared" si="142"/>
        <v>4.828823753678213E-3</v>
      </c>
      <c r="M344" s="861"/>
      <c r="N344" s="861"/>
      <c r="O344" s="324">
        <f t="shared" si="143"/>
        <v>3.6840556674202656E-2</v>
      </c>
      <c r="P344" s="169">
        <f>(INDEX(Models!$BJ344:$BT344,,T344)*(1-R344)+INDEX(Models!$BJ344:$BT344,,T344+1)*R344-ERP_i)*Q344*Ramure*Pc/MaxiM</f>
        <v>1.4651331072304871E-2</v>
      </c>
      <c r="Q344" s="305">
        <f t="shared" si="144"/>
        <v>0.7</v>
      </c>
      <c r="R344" s="177">
        <f t="shared" si="145"/>
        <v>0.50080827675563766</v>
      </c>
      <c r="S344" s="817">
        <f t="shared" si="163"/>
        <v>-2</v>
      </c>
      <c r="T344" s="176">
        <f t="shared" si="146"/>
        <v>4</v>
      </c>
      <c r="U344" s="251">
        <f t="shared" si="147"/>
        <v>-1.4991917232443623</v>
      </c>
      <c r="V344" s="383">
        <f t="shared" si="148"/>
        <v>13.222227927908666</v>
      </c>
      <c r="W344" s="58"/>
      <c r="X344" s="157">
        <f t="shared" si="149"/>
        <v>43430</v>
      </c>
      <c r="Y344" s="385">
        <f t="shared" si="150"/>
        <v>2.798</v>
      </c>
      <c r="Z344" s="385">
        <f t="shared" si="151"/>
        <v>2.8115766079095597</v>
      </c>
      <c r="AA344" s="386">
        <f t="shared" si="152"/>
        <v>2.9191185606831231</v>
      </c>
      <c r="AB344" s="197">
        <f t="shared" si="153"/>
        <v>43430</v>
      </c>
      <c r="AC344" s="427">
        <f t="shared" si="154"/>
        <v>3.6840556674202656E-2</v>
      </c>
      <c r="AD344" s="169">
        <f>(INDEX(Models!$BJ344:$BT344,,AH344)*(1-AF344)+INDEX(Models!$BJ344:$BT344,,AH344+1)*AF344-ERP_i)*AE344*Ramure*Pc/MaxiM</f>
        <v>1.4651331072304871E-2</v>
      </c>
      <c r="AE344" s="305">
        <f t="shared" si="155"/>
        <v>0.7</v>
      </c>
      <c r="AF344" s="177">
        <f t="shared" si="156"/>
        <v>0.50080827675563766</v>
      </c>
      <c r="AG344" s="817">
        <f t="shared" si="157"/>
        <v>-2</v>
      </c>
      <c r="AH344" s="176">
        <f t="shared" si="158"/>
        <v>4</v>
      </c>
      <c r="AI344" s="225">
        <f t="shared" si="159"/>
        <v>-1.4991917232443623</v>
      </c>
      <c r="AJ344" s="265" t="b">
        <f t="shared" si="160"/>
        <v>0</v>
      </c>
      <c r="AK344" s="265" t="b">
        <f t="shared" si="16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62"/>
        <v>43431</v>
      </c>
      <c r="B345" s="617">
        <v>13.603999999999999</v>
      </c>
      <c r="C345" s="390"/>
      <c r="D345" s="393">
        <f t="shared" si="139"/>
        <v>13.670309484197457</v>
      </c>
      <c r="E345" s="385">
        <f t="shared" si="136"/>
        <v>14.195058848908163</v>
      </c>
      <c r="F345" s="385">
        <f t="shared" si="138"/>
        <v>14.406333862137721</v>
      </c>
      <c r="G345" s="110">
        <f t="shared" si="137"/>
        <v>1.0430424631291131</v>
      </c>
      <c r="I345" s="380">
        <f t="shared" si="140"/>
        <v>14.406333862137721</v>
      </c>
      <c r="J345" s="85">
        <v>2018</v>
      </c>
      <c r="K345" s="197">
        <f t="shared" si="141"/>
        <v>43431</v>
      </c>
      <c r="L345" s="438">
        <f t="shared" si="142"/>
        <v>4.8506205564775584E-3</v>
      </c>
      <c r="M345" s="861"/>
      <c r="N345" s="861"/>
      <c r="O345" s="324">
        <f t="shared" si="143"/>
        <v>3.6967043976085134E-2</v>
      </c>
      <c r="P345" s="169">
        <f>(INDEX(Models!$BJ345:$BT345,,T345)*(1-R345)+INDEX(Models!$BJ345:$BT345,,T345+1)*R345-ERP_i)*Q345*Ramure*Pc/MaxiM</f>
        <v>1.4665425308851532E-2</v>
      </c>
      <c r="Q345" s="305">
        <f t="shared" si="144"/>
        <v>0.7</v>
      </c>
      <c r="R345" s="177">
        <f t="shared" si="145"/>
        <v>0.50082766503009823</v>
      </c>
      <c r="S345" s="817">
        <f t="shared" si="163"/>
        <v>-2</v>
      </c>
      <c r="T345" s="176">
        <f t="shared" si="146"/>
        <v>4</v>
      </c>
      <c r="U345" s="251">
        <f t="shared" si="147"/>
        <v>-1.4991723349699018</v>
      </c>
      <c r="V345" s="383">
        <f t="shared" si="148"/>
        <v>13.042613777379863</v>
      </c>
      <c r="W345" s="58"/>
      <c r="X345" s="157">
        <f t="shared" si="149"/>
        <v>43431</v>
      </c>
      <c r="Y345" s="385">
        <f t="shared" si="150"/>
        <v>13.603999999999999</v>
      </c>
      <c r="Z345" s="385">
        <f t="shared" si="151"/>
        <v>13.670309484197457</v>
      </c>
      <c r="AA345" s="386">
        <f t="shared" si="152"/>
        <v>14.195058848908163</v>
      </c>
      <c r="AB345" s="197">
        <f t="shared" si="153"/>
        <v>43431</v>
      </c>
      <c r="AC345" s="427">
        <f t="shared" si="154"/>
        <v>3.6967043976085134E-2</v>
      </c>
      <c r="AD345" s="169">
        <f>(INDEX(Models!$BJ345:$BT345,,AH345)*(1-AF345)+INDEX(Models!$BJ345:$BT345,,AH345+1)*AF345-ERP_i)*AE345*Ramure*Pc/MaxiM</f>
        <v>1.4665425308851532E-2</v>
      </c>
      <c r="AE345" s="305">
        <f t="shared" si="155"/>
        <v>0.7</v>
      </c>
      <c r="AF345" s="177">
        <f t="shared" si="156"/>
        <v>0.50082766503009823</v>
      </c>
      <c r="AG345" s="817">
        <f t="shared" si="157"/>
        <v>-2</v>
      </c>
      <c r="AH345" s="176">
        <f t="shared" si="158"/>
        <v>4</v>
      </c>
      <c r="AI345" s="225">
        <f t="shared" si="159"/>
        <v>-1.4991723349699018</v>
      </c>
      <c r="AJ345" s="265" t="b">
        <f t="shared" si="160"/>
        <v>0</v>
      </c>
      <c r="AK345" s="265" t="b">
        <f t="shared" si="16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62"/>
        <v>43432</v>
      </c>
      <c r="B346" s="617">
        <v>11.055</v>
      </c>
      <c r="C346" s="390"/>
      <c r="D346" s="393">
        <f t="shared" si="139"/>
        <v>11.109128304292705</v>
      </c>
      <c r="E346" s="385">
        <f t="shared" si="136"/>
        <v>11.537083536509664</v>
      </c>
      <c r="F346" s="385">
        <f t="shared" si="138"/>
        <v>11.673950035161885</v>
      </c>
      <c r="G346" s="110">
        <f t="shared" si="137"/>
        <v>0.8566997693747348</v>
      </c>
      <c r="I346" s="380">
        <f t="shared" si="140"/>
        <v>11.673950035161885</v>
      </c>
      <c r="J346" s="85">
        <v>2018</v>
      </c>
      <c r="K346" s="197">
        <f t="shared" si="141"/>
        <v>43432</v>
      </c>
      <c r="L346" s="438">
        <f t="shared" si="142"/>
        <v>4.8724168818709002E-3</v>
      </c>
      <c r="M346" s="861"/>
      <c r="N346" s="861"/>
      <c r="O346" s="324">
        <f t="shared" si="143"/>
        <v>3.7093883463933885E-2</v>
      </c>
      <c r="P346" s="169">
        <f>(INDEX(Models!$BJ346:$BT346,,T346)*(1-R346)+INDEX(Models!$BJ346:$BT346,,T346+1)*R346-ERP_i)*Q346*Ramure*Pc/MaxiM</f>
        <v>1.4674380891105371E-2</v>
      </c>
      <c r="Q346" s="305">
        <f t="shared" si="144"/>
        <v>0.7</v>
      </c>
      <c r="R346" s="177">
        <f t="shared" si="145"/>
        <v>0.50084627408933313</v>
      </c>
      <c r="S346" s="817">
        <f t="shared" si="163"/>
        <v>-2</v>
      </c>
      <c r="T346" s="176">
        <f t="shared" si="146"/>
        <v>4</v>
      </c>
      <c r="U346" s="251">
        <f t="shared" si="147"/>
        <v>-1.4991537259106669</v>
      </c>
      <c r="V346" s="383">
        <f t="shared" si="148"/>
        <v>12.865647990627634</v>
      </c>
      <c r="W346" s="58"/>
      <c r="X346" s="157">
        <f t="shared" si="149"/>
        <v>43432</v>
      </c>
      <c r="Y346" s="385">
        <f t="shared" si="150"/>
        <v>11.055</v>
      </c>
      <c r="Z346" s="385">
        <f t="shared" si="151"/>
        <v>11.109128304292705</v>
      </c>
      <c r="AA346" s="386">
        <f t="shared" si="152"/>
        <v>11.537083536509664</v>
      </c>
      <c r="AB346" s="197">
        <f t="shared" si="153"/>
        <v>43432</v>
      </c>
      <c r="AC346" s="427">
        <f t="shared" si="154"/>
        <v>3.7093883463933885E-2</v>
      </c>
      <c r="AD346" s="169">
        <f>(INDEX(Models!$BJ346:$BT346,,AH346)*(1-AF346)+INDEX(Models!$BJ346:$BT346,,AH346+1)*AF346-ERP_i)*AE346*Ramure*Pc/MaxiM</f>
        <v>1.4674380891105371E-2</v>
      </c>
      <c r="AE346" s="305">
        <f t="shared" si="155"/>
        <v>0.7</v>
      </c>
      <c r="AF346" s="177">
        <f t="shared" si="156"/>
        <v>0.50084627408933313</v>
      </c>
      <c r="AG346" s="817">
        <f t="shared" si="157"/>
        <v>-2</v>
      </c>
      <c r="AH346" s="176">
        <f t="shared" si="158"/>
        <v>4</v>
      </c>
      <c r="AI346" s="225">
        <f t="shared" si="159"/>
        <v>-1.4991537259106669</v>
      </c>
      <c r="AJ346" s="265" t="b">
        <f t="shared" si="160"/>
        <v>0</v>
      </c>
      <c r="AK346" s="265" t="b">
        <f t="shared" si="16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62"/>
        <v>43433</v>
      </c>
      <c r="B347" s="617">
        <v>12.989000000000001</v>
      </c>
      <c r="C347" s="390"/>
      <c r="D347" s="393">
        <f t="shared" si="139"/>
        <v>13.052883589022892</v>
      </c>
      <c r="E347" s="385">
        <f t="shared" si="136"/>
        <v>13.557508754062242</v>
      </c>
      <c r="F347" s="385">
        <f t="shared" si="138"/>
        <v>13.75945482004663</v>
      </c>
      <c r="G347" s="110">
        <f t="shared" si="137"/>
        <v>1.0233638902091413</v>
      </c>
      <c r="I347" s="380">
        <f t="shared" si="140"/>
        <v>13.75945482004663</v>
      </c>
      <c r="J347" s="85">
        <v>2018</v>
      </c>
      <c r="K347" s="197">
        <f t="shared" si="141"/>
        <v>43433</v>
      </c>
      <c r="L347" s="438">
        <f t="shared" si="142"/>
        <v>4.8942127298687854E-3</v>
      </c>
      <c r="M347" s="861"/>
      <c r="N347" s="861"/>
      <c r="O347" s="324">
        <f t="shared" si="143"/>
        <v>3.7221083474362322E-2</v>
      </c>
      <c r="P347" s="169">
        <f>(INDEX(Models!$BJ347:$BT347,,T347)*(1-R347)+INDEX(Models!$BJ347:$BT347,,T347+1)*R347-ERP_i)*Q347*Ramure*Pc/MaxiM</f>
        <v>1.4676894442806411E-2</v>
      </c>
      <c r="Q347" s="305">
        <f t="shared" si="144"/>
        <v>0.7</v>
      </c>
      <c r="R347" s="177">
        <f t="shared" si="145"/>
        <v>0.50086413519546213</v>
      </c>
      <c r="S347" s="817">
        <f t="shared" si="163"/>
        <v>-2</v>
      </c>
      <c r="T347" s="176">
        <f t="shared" si="146"/>
        <v>4</v>
      </c>
      <c r="U347" s="251">
        <f t="shared" si="147"/>
        <v>-1.4991358648045379</v>
      </c>
      <c r="V347" s="383">
        <f t="shared" si="148"/>
        <v>12.692454877751729</v>
      </c>
      <c r="W347" s="58"/>
      <c r="X347" s="157">
        <f t="shared" si="149"/>
        <v>43433</v>
      </c>
      <c r="Y347" s="385">
        <f t="shared" si="150"/>
        <v>12.989000000000001</v>
      </c>
      <c r="Z347" s="385">
        <f t="shared" si="151"/>
        <v>13.052883589022892</v>
      </c>
      <c r="AA347" s="386">
        <f t="shared" si="152"/>
        <v>13.557508754062242</v>
      </c>
      <c r="AB347" s="197">
        <f t="shared" si="153"/>
        <v>43433</v>
      </c>
      <c r="AC347" s="427">
        <f t="shared" si="154"/>
        <v>3.7221083474362322E-2</v>
      </c>
      <c r="AD347" s="169">
        <f>(INDEX(Models!$BJ347:$BT347,,AH347)*(1-AF347)+INDEX(Models!$BJ347:$BT347,,AH347+1)*AF347-ERP_i)*AE347*Ramure*Pc/MaxiM</f>
        <v>1.4676894442806411E-2</v>
      </c>
      <c r="AE347" s="305">
        <f t="shared" si="155"/>
        <v>0.7</v>
      </c>
      <c r="AF347" s="177">
        <f t="shared" si="156"/>
        <v>0.50086413519546213</v>
      </c>
      <c r="AG347" s="817">
        <f t="shared" si="157"/>
        <v>-2</v>
      </c>
      <c r="AH347" s="176">
        <f t="shared" si="158"/>
        <v>4</v>
      </c>
      <c r="AI347" s="225">
        <f t="shared" si="159"/>
        <v>-1.4991358648045379</v>
      </c>
      <c r="AJ347" s="265" t="b">
        <f t="shared" si="160"/>
        <v>0</v>
      </c>
      <c r="AK347" s="265" t="b">
        <f t="shared" si="16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62"/>
        <v>43434</v>
      </c>
      <c r="B348" s="617">
        <v>6.7910000000000004</v>
      </c>
      <c r="C348" s="390"/>
      <c r="D348" s="393">
        <f t="shared" si="139"/>
        <v>6.824549540824834</v>
      </c>
      <c r="E348" s="385">
        <f t="shared" si="136"/>
        <v>7.0893263081136508</v>
      </c>
      <c r="F348" s="385">
        <f t="shared" si="138"/>
        <v>7.1255023369392116</v>
      </c>
      <c r="G348" s="110">
        <f t="shared" si="137"/>
        <v>0.53700299849302369</v>
      </c>
      <c r="I348" s="380">
        <f t="shared" si="140"/>
        <v>7.1255023369392116</v>
      </c>
      <c r="J348" s="85">
        <v>2018</v>
      </c>
      <c r="K348" s="197">
        <f t="shared" si="141"/>
        <v>43434</v>
      </c>
      <c r="L348" s="438">
        <f t="shared" si="142"/>
        <v>4.9160081004816503E-3</v>
      </c>
      <c r="M348" s="861"/>
      <c r="N348" s="861"/>
      <c r="O348" s="324">
        <f t="shared" si="143"/>
        <v>3.7348650038267192E-2</v>
      </c>
      <c r="P348" s="169">
        <f>(INDEX(Models!$BJ348:$BT348,,T348)*(1-R348)+INDEX(Models!$BJ348:$BT348,,T348+1)*R348-ERP_i)*Q348*Ramure*Pc/MaxiM</f>
        <v>1.4671415243277664E-2</v>
      </c>
      <c r="Q348" s="305">
        <f t="shared" si="144"/>
        <v>0.7</v>
      </c>
      <c r="R348" s="177">
        <f t="shared" si="145"/>
        <v>0.50088127836067131</v>
      </c>
      <c r="S348" s="817">
        <f t="shared" si="163"/>
        <v>-2</v>
      </c>
      <c r="T348" s="176">
        <f t="shared" si="146"/>
        <v>4</v>
      </c>
      <c r="U348" s="251">
        <f t="shared" si="147"/>
        <v>-1.4991187216393287</v>
      </c>
      <c r="V348" s="383">
        <f t="shared" si="148"/>
        <v>12.524160428457662</v>
      </c>
      <c r="W348" s="58"/>
      <c r="X348" s="157">
        <f t="shared" si="149"/>
        <v>43434</v>
      </c>
      <c r="Y348" s="385">
        <f t="shared" si="150"/>
        <v>6.7910000000000004</v>
      </c>
      <c r="Z348" s="385">
        <f t="shared" si="151"/>
        <v>6.824549540824834</v>
      </c>
      <c r="AA348" s="386">
        <f t="shared" si="152"/>
        <v>7.0893263081136508</v>
      </c>
      <c r="AB348" s="197">
        <f t="shared" si="153"/>
        <v>43434</v>
      </c>
      <c r="AC348" s="427">
        <f t="shared" si="154"/>
        <v>3.7348650038267192E-2</v>
      </c>
      <c r="AD348" s="169">
        <f>(INDEX(Models!$BJ348:$BT348,,AH348)*(1-AF348)+INDEX(Models!$BJ348:$BT348,,AH348+1)*AF348-ERP_i)*AE348*Ramure*Pc/MaxiM</f>
        <v>1.4671415243277664E-2</v>
      </c>
      <c r="AE348" s="305">
        <f t="shared" si="155"/>
        <v>0.7</v>
      </c>
      <c r="AF348" s="177">
        <f t="shared" si="156"/>
        <v>0.50088127836067131</v>
      </c>
      <c r="AG348" s="817">
        <f t="shared" si="157"/>
        <v>-2</v>
      </c>
      <c r="AH348" s="176">
        <f t="shared" si="158"/>
        <v>4</v>
      </c>
      <c r="AI348" s="225">
        <f t="shared" si="159"/>
        <v>-1.4991187216393287</v>
      </c>
      <c r="AJ348" s="265" t="b">
        <f t="shared" si="160"/>
        <v>0</v>
      </c>
      <c r="AK348" s="265" t="b">
        <f t="shared" si="16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62"/>
        <v>43435</v>
      </c>
      <c r="B349" s="617">
        <v>10.698</v>
      </c>
      <c r="C349" s="390"/>
      <c r="D349" s="393">
        <f t="shared" si="139"/>
        <v>10.751086748331657</v>
      </c>
      <c r="E349" s="385">
        <f t="shared" si="136"/>
        <v>11.169688552027672</v>
      </c>
      <c r="F349" s="385">
        <f t="shared" si="138"/>
        <v>11.303501126847083</v>
      </c>
      <c r="G349" s="110">
        <f t="shared" si="137"/>
        <v>0.86293358232813333</v>
      </c>
      <c r="I349" s="380">
        <f t="shared" si="140"/>
        <v>11.303501126847083</v>
      </c>
      <c r="J349" s="85">
        <v>2018</v>
      </c>
      <c r="K349" s="197">
        <f t="shared" si="141"/>
        <v>43435</v>
      </c>
      <c r="L349" s="438">
        <f t="shared" si="142"/>
        <v>4.9378029937200418E-3</v>
      </c>
      <c r="M349" s="861"/>
      <c r="N349" s="861"/>
      <c r="O349" s="324">
        <f t="shared" si="143"/>
        <v>3.747658690268723E-2</v>
      </c>
      <c r="P349" s="169">
        <f>(INDEX(Models!$BJ349:$BT349,,T349)*(1-R349)+INDEX(Models!$BJ349:$BT349,,T349+1)*R349-ERP_i)*Q349*Ramure*Pc/MaxiM</f>
        <v>1.4656319286423197E-2</v>
      </c>
      <c r="Q349" s="305">
        <f t="shared" si="144"/>
        <v>0.7</v>
      </c>
      <c r="R349" s="177">
        <f t="shared" si="145"/>
        <v>0.50089773239684687</v>
      </c>
      <c r="S349" s="817">
        <f t="shared" si="163"/>
        <v>-2</v>
      </c>
      <c r="T349" s="176">
        <f t="shared" si="146"/>
        <v>4</v>
      </c>
      <c r="U349" s="251">
        <f t="shared" si="147"/>
        <v>-1.4991022676031531</v>
      </c>
      <c r="V349" s="383">
        <f t="shared" si="148"/>
        <v>12.361890061371263</v>
      </c>
      <c r="W349" s="58"/>
      <c r="X349" s="157">
        <f t="shared" si="149"/>
        <v>43435</v>
      </c>
      <c r="Y349" s="385">
        <f t="shared" si="150"/>
        <v>10.698</v>
      </c>
      <c r="Z349" s="385">
        <f t="shared" si="151"/>
        <v>10.751086748331657</v>
      </c>
      <c r="AA349" s="386">
        <f t="shared" si="152"/>
        <v>11.169688552027672</v>
      </c>
      <c r="AB349" s="197">
        <f t="shared" si="153"/>
        <v>43435</v>
      </c>
      <c r="AC349" s="427">
        <f t="shared" si="154"/>
        <v>3.747658690268723E-2</v>
      </c>
      <c r="AD349" s="169">
        <f>(INDEX(Models!$BJ349:$BT349,,AH349)*(1-AF349)+INDEX(Models!$BJ349:$BT349,,AH349+1)*AF349-ERP_i)*AE349*Ramure*Pc/MaxiM</f>
        <v>1.4656319286423197E-2</v>
      </c>
      <c r="AE349" s="305">
        <f t="shared" si="155"/>
        <v>0.7</v>
      </c>
      <c r="AF349" s="177">
        <f t="shared" si="156"/>
        <v>0.50089773239684687</v>
      </c>
      <c r="AG349" s="817">
        <f t="shared" si="157"/>
        <v>-2</v>
      </c>
      <c r="AH349" s="176">
        <f t="shared" si="158"/>
        <v>4</v>
      </c>
      <c r="AI349" s="225">
        <f t="shared" si="159"/>
        <v>-1.4991022676031531</v>
      </c>
      <c r="AJ349" s="265" t="b">
        <f t="shared" si="160"/>
        <v>0</v>
      </c>
      <c r="AK349" s="265" t="b">
        <f t="shared" si="16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62"/>
        <v>43436</v>
      </c>
      <c r="B350" s="617">
        <v>5.01</v>
      </c>
      <c r="C350" s="390"/>
      <c r="D350" s="393">
        <f t="shared" si="139"/>
        <v>5.0349714312678975</v>
      </c>
      <c r="E350" s="385">
        <f t="shared" si="136"/>
        <v>5.2317093136448056</v>
      </c>
      <c r="F350" s="385">
        <f t="shared" si="138"/>
        <v>5.2438116806521187</v>
      </c>
      <c r="G350" s="110">
        <f t="shared" si="137"/>
        <v>0.40535904312339222</v>
      </c>
      <c r="I350" s="380">
        <f t="shared" si="140"/>
        <v>5.2438116806521187</v>
      </c>
      <c r="J350" s="85">
        <v>2018</v>
      </c>
      <c r="K350" s="197">
        <f t="shared" si="141"/>
        <v>43436</v>
      </c>
      <c r="L350" s="438">
        <f t="shared" si="142"/>
        <v>4.9595974095942852E-3</v>
      </c>
      <c r="M350" s="861"/>
      <c r="N350" s="861"/>
      <c r="O350" s="324">
        <f t="shared" si="143"/>
        <v>3.7604895567075372E-2</v>
      </c>
      <c r="P350" s="169">
        <f>(INDEX(Models!$BJ350:$BT350,,T350)*(1-R350)+INDEX(Models!$BJ350:$BT350,,T350+1)*R350-ERP_i)*Q350*Ramure*Pc/MaxiM</f>
        <v>1.4629919786220908E-2</v>
      </c>
      <c r="Q350" s="305">
        <f t="shared" si="144"/>
        <v>0.7</v>
      </c>
      <c r="R350" s="177">
        <f t="shared" si="145"/>
        <v>0.50091352496326857</v>
      </c>
      <c r="S350" s="817">
        <f t="shared" si="163"/>
        <v>-2</v>
      </c>
      <c r="T350" s="176">
        <f t="shared" si="146"/>
        <v>4</v>
      </c>
      <c r="U350" s="251">
        <f t="shared" si="147"/>
        <v>-1.4990864750367314</v>
      </c>
      <c r="V350" s="383">
        <f t="shared" si="148"/>
        <v>12.20676860552167</v>
      </c>
      <c r="W350" s="58"/>
      <c r="X350" s="157">
        <f t="shared" si="149"/>
        <v>43436</v>
      </c>
      <c r="Y350" s="385">
        <f t="shared" si="150"/>
        <v>5.01</v>
      </c>
      <c r="Z350" s="385">
        <f t="shared" si="151"/>
        <v>5.0349714312678975</v>
      </c>
      <c r="AA350" s="386">
        <f t="shared" si="152"/>
        <v>5.2317093136448056</v>
      </c>
      <c r="AB350" s="197">
        <f t="shared" si="153"/>
        <v>43436</v>
      </c>
      <c r="AC350" s="427">
        <f t="shared" si="154"/>
        <v>3.7604895567075372E-2</v>
      </c>
      <c r="AD350" s="169">
        <f>(INDEX(Models!$BJ350:$BT350,,AH350)*(1-AF350)+INDEX(Models!$BJ350:$BT350,,AH350+1)*AF350-ERP_i)*AE350*Ramure*Pc/MaxiM</f>
        <v>1.4629919786220908E-2</v>
      </c>
      <c r="AE350" s="305">
        <f t="shared" si="155"/>
        <v>0.7</v>
      </c>
      <c r="AF350" s="177">
        <f t="shared" si="156"/>
        <v>0.50091352496326857</v>
      </c>
      <c r="AG350" s="817">
        <f t="shared" si="157"/>
        <v>-2</v>
      </c>
      <c r="AH350" s="176">
        <f t="shared" si="158"/>
        <v>4</v>
      </c>
      <c r="AI350" s="225">
        <f t="shared" si="159"/>
        <v>-1.4990864750367314</v>
      </c>
      <c r="AJ350" s="265" t="b">
        <f t="shared" si="160"/>
        <v>0</v>
      </c>
      <c r="AK350" s="265" t="b">
        <f t="shared" si="16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62"/>
        <v>43437</v>
      </c>
      <c r="B351" s="617">
        <v>6.2050000000000001</v>
      </c>
      <c r="C351" s="390"/>
      <c r="D351" s="393">
        <f t="shared" si="139"/>
        <v>6.2360642766339129</v>
      </c>
      <c r="E351" s="385">
        <f t="shared" si="136"/>
        <v>6.480600503956901</v>
      </c>
      <c r="F351" s="385">
        <f t="shared" si="138"/>
        <v>6.5097069408321904</v>
      </c>
      <c r="G351" s="110">
        <f t="shared" si="137"/>
        <v>0.50928430037576078</v>
      </c>
      <c r="I351" s="380">
        <f t="shared" si="140"/>
        <v>6.5097069408321904</v>
      </c>
      <c r="J351" s="85">
        <v>2018</v>
      </c>
      <c r="K351" s="197">
        <f t="shared" si="141"/>
        <v>43437</v>
      </c>
      <c r="L351" s="438">
        <f t="shared" si="142"/>
        <v>4.9813913481149275E-3</v>
      </c>
      <c r="M351" s="861"/>
      <c r="N351" s="861"/>
      <c r="O351" s="324">
        <f t="shared" si="143"/>
        <v>3.7733575333594421E-2</v>
      </c>
      <c r="P351" s="169">
        <f>(INDEX(Models!$BJ351:$BT351,,T351)*(1-R351)+INDEX(Models!$BJ351:$BT351,,T351+1)*R351-ERP_i)*Q351*Ramure*Pc/MaxiM</f>
        <v>1.4590482050260844E-2</v>
      </c>
      <c r="Q351" s="305">
        <f t="shared" si="144"/>
        <v>0.7</v>
      </c>
      <c r="R351" s="177">
        <f t="shared" si="145"/>
        <v>0.50092868261243129</v>
      </c>
      <c r="S351" s="817">
        <f t="shared" si="163"/>
        <v>-2</v>
      </c>
      <c r="T351" s="176">
        <f t="shared" si="146"/>
        <v>4</v>
      </c>
      <c r="U351" s="251">
        <f t="shared" si="147"/>
        <v>-1.4990713173875687</v>
      </c>
      <c r="V351" s="383">
        <f t="shared" si="148"/>
        <v>12.059920294115569</v>
      </c>
      <c r="W351" s="58"/>
      <c r="X351" s="157">
        <f t="shared" si="149"/>
        <v>43437</v>
      </c>
      <c r="Y351" s="385">
        <f t="shared" si="150"/>
        <v>6.2050000000000001</v>
      </c>
      <c r="Z351" s="385">
        <f t="shared" si="151"/>
        <v>6.2360642766339129</v>
      </c>
      <c r="AA351" s="386">
        <f t="shared" si="152"/>
        <v>6.480600503956901</v>
      </c>
      <c r="AB351" s="197">
        <f t="shared" si="153"/>
        <v>43437</v>
      </c>
      <c r="AC351" s="427">
        <f t="shared" si="154"/>
        <v>3.7733575333594421E-2</v>
      </c>
      <c r="AD351" s="169">
        <f>(INDEX(Models!$BJ351:$BT351,,AH351)*(1-AF351)+INDEX(Models!$BJ351:$BT351,,AH351+1)*AF351-ERP_i)*AE351*Ramure*Pc/MaxiM</f>
        <v>1.4590482050260844E-2</v>
      </c>
      <c r="AE351" s="305">
        <f t="shared" si="155"/>
        <v>0.7</v>
      </c>
      <c r="AF351" s="177">
        <f t="shared" si="156"/>
        <v>0.50092868261243129</v>
      </c>
      <c r="AG351" s="817">
        <f t="shared" si="157"/>
        <v>-2</v>
      </c>
      <c r="AH351" s="176">
        <f t="shared" si="158"/>
        <v>4</v>
      </c>
      <c r="AI351" s="225">
        <f t="shared" si="159"/>
        <v>-1.4990713173875687</v>
      </c>
      <c r="AJ351" s="265" t="b">
        <f t="shared" si="160"/>
        <v>0</v>
      </c>
      <c r="AK351" s="265" t="b">
        <f t="shared" si="16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62"/>
        <v>43438</v>
      </c>
      <c r="B352" s="617">
        <v>3.569</v>
      </c>
      <c r="C352" s="390"/>
      <c r="D352" s="393">
        <f t="shared" si="139"/>
        <v>3.5869461545120038</v>
      </c>
      <c r="E352" s="385">
        <f t="shared" si="136"/>
        <v>3.7281018715634811</v>
      </c>
      <c r="F352" s="385">
        <f t="shared" si="138"/>
        <v>3.7281018715634811</v>
      </c>
      <c r="G352" s="110">
        <f t="shared" si="137"/>
        <v>0.29499931792795803</v>
      </c>
      <c r="I352" s="380">
        <f t="shared" si="140"/>
        <v>3.7281018715634811</v>
      </c>
      <c r="J352" s="85">
        <v>2018</v>
      </c>
      <c r="K352" s="197">
        <f t="shared" si="141"/>
        <v>43438</v>
      </c>
      <c r="L352" s="438">
        <f t="shared" si="142"/>
        <v>5.0031848092922937E-3</v>
      </c>
      <c r="M352" s="861"/>
      <c r="N352" s="861"/>
      <c r="O352" s="324">
        <f t="shared" si="143"/>
        <v>3.7862623370932651E-2</v>
      </c>
      <c r="P352" s="169">
        <f>(INDEX(Models!$BJ352:$BT352,,T352)*(1-R352)+INDEX(Models!$BJ352:$BT352,,T352+1)*R352-ERP_i)*Q352*Ramure*Pc/MaxiM</f>
        <v>1.4542434215605492E-2</v>
      </c>
      <c r="Q352" s="305">
        <f t="shared" si="144"/>
        <v>0.7</v>
      </c>
      <c r="R352" s="177">
        <f t="shared" si="145"/>
        <v>0.50094323083406622</v>
      </c>
      <c r="S352" s="817">
        <f t="shared" si="163"/>
        <v>-2</v>
      </c>
      <c r="T352" s="176">
        <f t="shared" si="146"/>
        <v>4</v>
      </c>
      <c r="U352" s="251">
        <f t="shared" si="147"/>
        <v>-1.4990567691659338</v>
      </c>
      <c r="V352" s="383">
        <f t="shared" si="148"/>
        <v>11.922393844800066</v>
      </c>
      <c r="W352" s="58"/>
      <c r="X352" s="157">
        <f t="shared" si="149"/>
        <v>43438</v>
      </c>
      <c r="Y352" s="385">
        <f t="shared" si="150"/>
        <v>3.569</v>
      </c>
      <c r="Z352" s="385">
        <f t="shared" si="151"/>
        <v>3.5869461545120038</v>
      </c>
      <c r="AA352" s="386">
        <f t="shared" si="152"/>
        <v>3.7281018715634811</v>
      </c>
      <c r="AB352" s="197">
        <f t="shared" si="153"/>
        <v>43438</v>
      </c>
      <c r="AC352" s="427">
        <f t="shared" si="154"/>
        <v>3.7862623370932651E-2</v>
      </c>
      <c r="AD352" s="169">
        <f>(INDEX(Models!$BJ352:$BT352,,AH352)*(1-AF352)+INDEX(Models!$BJ352:$BT352,,AH352+1)*AF352-ERP_i)*AE352*Ramure*Pc/MaxiM</f>
        <v>1.4542434215605492E-2</v>
      </c>
      <c r="AE352" s="305">
        <f t="shared" si="155"/>
        <v>0.7</v>
      </c>
      <c r="AF352" s="177">
        <f t="shared" si="156"/>
        <v>0.50094323083406622</v>
      </c>
      <c r="AG352" s="817">
        <f t="shared" si="157"/>
        <v>-2</v>
      </c>
      <c r="AH352" s="176">
        <f t="shared" si="158"/>
        <v>4</v>
      </c>
      <c r="AI352" s="225">
        <f t="shared" si="159"/>
        <v>-1.4990567691659338</v>
      </c>
      <c r="AJ352" s="265" t="b">
        <f t="shared" si="160"/>
        <v>0</v>
      </c>
      <c r="AK352" s="265" t="b">
        <f t="shared" si="16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62"/>
        <v>43439</v>
      </c>
      <c r="B353" s="617">
        <v>10.295</v>
      </c>
      <c r="C353" s="390"/>
      <c r="D353" s="393">
        <f t="shared" si="139"/>
        <v>10.346993412121646</v>
      </c>
      <c r="E353" s="385">
        <f t="shared" si="136"/>
        <v>10.755621352754613</v>
      </c>
      <c r="F353" s="385">
        <f t="shared" si="138"/>
        <v>10.884661828669035</v>
      </c>
      <c r="G353" s="110">
        <f t="shared" si="137"/>
        <v>0.87048227247578902</v>
      </c>
      <c r="I353" s="380">
        <f t="shared" si="140"/>
        <v>10.884661828669035</v>
      </c>
      <c r="J353" s="85">
        <v>2018</v>
      </c>
      <c r="K353" s="197">
        <f t="shared" si="141"/>
        <v>43439</v>
      </c>
      <c r="L353" s="438">
        <f t="shared" si="142"/>
        <v>5.0249777931370421E-3</v>
      </c>
      <c r="M353" s="861"/>
      <c r="N353" s="861"/>
      <c r="O353" s="324">
        <f t="shared" si="143"/>
        <v>3.7992034791027023E-2</v>
      </c>
      <c r="P353" s="169">
        <f>(INDEX(Models!$BJ353:$BT353,,T353)*(1-R353)+INDEX(Models!$BJ353:$BT353,,T353+1)*R353-ERP_i)*Q353*Ramure*Pc/MaxiM</f>
        <v>1.4487731030641791E-2</v>
      </c>
      <c r="Q353" s="305">
        <f t="shared" si="144"/>
        <v>0.7</v>
      </c>
      <c r="R353" s="177">
        <f t="shared" si="145"/>
        <v>0.50095719409743511</v>
      </c>
      <c r="S353" s="817">
        <f t="shared" si="163"/>
        <v>-2</v>
      </c>
      <c r="T353" s="176">
        <f t="shared" si="146"/>
        <v>4</v>
      </c>
      <c r="U353" s="251">
        <f t="shared" si="147"/>
        <v>-1.4990428059025649</v>
      </c>
      <c r="V353" s="383">
        <f t="shared" si="148"/>
        <v>11.795270126331554</v>
      </c>
      <c r="W353" s="58"/>
      <c r="X353" s="157">
        <f t="shared" si="149"/>
        <v>43439</v>
      </c>
      <c r="Y353" s="385">
        <f t="shared" si="150"/>
        <v>10.295</v>
      </c>
      <c r="Z353" s="385">
        <f t="shared" si="151"/>
        <v>10.346993412121646</v>
      </c>
      <c r="AA353" s="386">
        <f t="shared" si="152"/>
        <v>10.755621352754613</v>
      </c>
      <c r="AB353" s="197">
        <f t="shared" si="153"/>
        <v>43439</v>
      </c>
      <c r="AC353" s="427">
        <f t="shared" si="154"/>
        <v>3.7992034791027023E-2</v>
      </c>
      <c r="AD353" s="169">
        <f>(INDEX(Models!$BJ353:$BT353,,AH353)*(1-AF353)+INDEX(Models!$BJ353:$BT353,,AH353+1)*AF353-ERP_i)*AE353*Ramure*Pc/MaxiM</f>
        <v>1.4487731030641791E-2</v>
      </c>
      <c r="AE353" s="305">
        <f t="shared" si="155"/>
        <v>0.7</v>
      </c>
      <c r="AF353" s="177">
        <f t="shared" si="156"/>
        <v>0.50095719409743511</v>
      </c>
      <c r="AG353" s="817">
        <f t="shared" si="157"/>
        <v>-2</v>
      </c>
      <c r="AH353" s="176">
        <f t="shared" si="158"/>
        <v>4</v>
      </c>
      <c r="AI353" s="225">
        <f t="shared" si="159"/>
        <v>-1.4990428059025649</v>
      </c>
      <c r="AJ353" s="265" t="b">
        <f t="shared" si="160"/>
        <v>0</v>
      </c>
      <c r="AK353" s="265" t="b">
        <f t="shared" si="161"/>
        <v>0</v>
      </c>
      <c r="AL353" s="265"/>
      <c r="AM353" s="265"/>
      <c r="AN353" s="75"/>
    </row>
    <row r="354" spans="1:40" s="6" customFormat="1" ht="11.25" x14ac:dyDescent="0.2">
      <c r="A354" s="56">
        <f t="shared" si="162"/>
        <v>43440</v>
      </c>
      <c r="B354" s="617">
        <v>7.2279999999999998</v>
      </c>
      <c r="C354" s="390"/>
      <c r="D354" s="393">
        <f t="shared" si="139"/>
        <v>7.2646630858989463</v>
      </c>
      <c r="E354" s="385">
        <f t="shared" si="136"/>
        <v>7.5525810924686159</v>
      </c>
      <c r="F354" s="385">
        <f t="shared" si="138"/>
        <v>7.6025342213353948</v>
      </c>
      <c r="G354" s="110">
        <f t="shared" si="137"/>
        <v>0.61396020234059523</v>
      </c>
      <c r="I354" s="380">
        <f t="shared" si="140"/>
        <v>7.6025342213353948</v>
      </c>
      <c r="J354" s="85">
        <v>2018</v>
      </c>
      <c r="K354" s="197">
        <f t="shared" si="141"/>
        <v>43440</v>
      </c>
      <c r="L354" s="438">
        <f t="shared" si="142"/>
        <v>5.0467702996593866E-3</v>
      </c>
      <c r="M354" s="861"/>
      <c r="N354" s="861"/>
      <c r="O354" s="324">
        <f t="shared" si="143"/>
        <v>3.8121802737977863E-2</v>
      </c>
      <c r="P354" s="169">
        <f>(INDEX(Models!$BJ354:$BT354,,T354)*(1-R354)+INDEX(Models!$BJ354:$BT354,,T354+1)*R354-ERP_i)*Q354*Ramure*Pc/MaxiM</f>
        <v>1.4424868130269648E-2</v>
      </c>
      <c r="Q354" s="305">
        <f t="shared" si="144"/>
        <v>0.7</v>
      </c>
      <c r="R354" s="177">
        <f t="shared" si="145"/>
        <v>0.50097059589195814</v>
      </c>
      <c r="S354" s="817">
        <f t="shared" si="163"/>
        <v>-2</v>
      </c>
      <c r="T354" s="176">
        <f t="shared" si="146"/>
        <v>4</v>
      </c>
      <c r="U354" s="251">
        <f t="shared" si="147"/>
        <v>-1.4990294041080419</v>
      </c>
      <c r="V354" s="383">
        <f t="shared" si="148"/>
        <v>11.679672004646759</v>
      </c>
      <c r="W354" s="58"/>
      <c r="X354" s="157">
        <f t="shared" si="149"/>
        <v>43440</v>
      </c>
      <c r="Y354" s="385">
        <f t="shared" si="150"/>
        <v>7.2279999999999998</v>
      </c>
      <c r="Z354" s="385">
        <f t="shared" si="151"/>
        <v>7.2646630858989463</v>
      </c>
      <c r="AA354" s="386">
        <f t="shared" si="152"/>
        <v>7.5525810924686159</v>
      </c>
      <c r="AB354" s="197">
        <f t="shared" si="153"/>
        <v>43440</v>
      </c>
      <c r="AC354" s="427">
        <f t="shared" si="154"/>
        <v>3.8121802737977863E-2</v>
      </c>
      <c r="AD354" s="169">
        <f>(INDEX(Models!$BJ354:$BT354,,AH354)*(1-AF354)+INDEX(Models!$BJ354:$BT354,,AH354+1)*AF354-ERP_i)*AE354*Ramure*Pc/MaxiM</f>
        <v>1.4424868130269648E-2</v>
      </c>
      <c r="AE354" s="305">
        <f t="shared" si="155"/>
        <v>0.7</v>
      </c>
      <c r="AF354" s="177">
        <f t="shared" si="156"/>
        <v>0.50097059589195814</v>
      </c>
      <c r="AG354" s="817">
        <f t="shared" si="157"/>
        <v>-2</v>
      </c>
      <c r="AH354" s="176">
        <f t="shared" si="158"/>
        <v>4</v>
      </c>
      <c r="AI354" s="225">
        <f t="shared" si="159"/>
        <v>-1.4990294041080419</v>
      </c>
      <c r="AJ354" s="265" t="b">
        <f t="shared" si="160"/>
        <v>0</v>
      </c>
      <c r="AK354" s="265" t="b">
        <f t="shared" si="161"/>
        <v>0</v>
      </c>
      <c r="AL354" s="265"/>
      <c r="AM354" s="265"/>
      <c r="AN354" s="75"/>
    </row>
    <row r="355" spans="1:40" s="6" customFormat="1" ht="11.25" x14ac:dyDescent="0.2">
      <c r="A355" s="56">
        <f t="shared" si="162"/>
        <v>43441</v>
      </c>
      <c r="B355" s="617">
        <v>11.061999999999999</v>
      </c>
      <c r="C355" s="390"/>
      <c r="D355" s="393">
        <f t="shared" si="139"/>
        <v>11.118354070601287</v>
      </c>
      <c r="E355" s="385">
        <f t="shared" si="136"/>
        <v>11.560567974438447</v>
      </c>
      <c r="F355" s="385">
        <f t="shared" si="138"/>
        <v>11.718067390953806</v>
      </c>
      <c r="G355" s="110">
        <f t="shared" si="137"/>
        <v>0.95465526941482626</v>
      </c>
      <c r="I355" s="380">
        <f t="shared" si="140"/>
        <v>11.718067390953806</v>
      </c>
      <c r="J355" s="85">
        <v>2018</v>
      </c>
      <c r="K355" s="197">
        <f t="shared" si="141"/>
        <v>43441</v>
      </c>
      <c r="L355" s="438">
        <f t="shared" si="142"/>
        <v>5.0685623288699855E-3</v>
      </c>
      <c r="M355" s="861"/>
      <c r="N355" s="861"/>
      <c r="O355" s="324">
        <f t="shared" si="143"/>
        <v>3.8251918488342362E-2</v>
      </c>
      <c r="P355" s="169">
        <f>(INDEX(Models!$BJ355:$BT355,,T355)*(1-R355)+INDEX(Models!$BJ355:$BT355,,T355+1)*R355-ERP_i)*Q355*Ramure*Pc/MaxiM</f>
        <v>1.4352348789312514E-2</v>
      </c>
      <c r="Q355" s="305">
        <f t="shared" si="144"/>
        <v>0.7</v>
      </c>
      <c r="R355" s="177">
        <f t="shared" si="145"/>
        <v>0.50098345876624317</v>
      </c>
      <c r="S355" s="817">
        <f t="shared" si="163"/>
        <v>-2</v>
      </c>
      <c r="T355" s="176">
        <f t="shared" si="146"/>
        <v>4</v>
      </c>
      <c r="U355" s="251">
        <f t="shared" si="147"/>
        <v>-1.4990165412337568</v>
      </c>
      <c r="V355" s="383">
        <f t="shared" si="148"/>
        <v>11.576721644668252</v>
      </c>
      <c r="W355" s="58"/>
      <c r="X355" s="157">
        <f t="shared" si="149"/>
        <v>43441</v>
      </c>
      <c r="Y355" s="385">
        <f t="shared" si="150"/>
        <v>11.061999999999999</v>
      </c>
      <c r="Z355" s="385">
        <f t="shared" si="151"/>
        <v>11.118354070601287</v>
      </c>
      <c r="AA355" s="386">
        <f t="shared" si="152"/>
        <v>11.560567974438447</v>
      </c>
      <c r="AB355" s="197">
        <f t="shared" si="153"/>
        <v>43441</v>
      </c>
      <c r="AC355" s="427">
        <f t="shared" si="154"/>
        <v>3.8251918488342362E-2</v>
      </c>
      <c r="AD355" s="169">
        <f>(INDEX(Models!$BJ355:$BT355,,AH355)*(1-AF355)+INDEX(Models!$BJ355:$BT355,,AH355+1)*AF355-ERP_i)*AE355*Ramure*Pc/MaxiM</f>
        <v>1.4352348789312514E-2</v>
      </c>
      <c r="AE355" s="305">
        <f t="shared" si="155"/>
        <v>0.7</v>
      </c>
      <c r="AF355" s="177">
        <f t="shared" si="156"/>
        <v>0.50098345876624317</v>
      </c>
      <c r="AG355" s="817">
        <f t="shared" si="157"/>
        <v>-2</v>
      </c>
      <c r="AH355" s="176">
        <f t="shared" si="158"/>
        <v>4</v>
      </c>
      <c r="AI355" s="225">
        <f t="shared" si="159"/>
        <v>-1.4990165412337568</v>
      </c>
      <c r="AJ355" s="265" t="b">
        <f t="shared" si="160"/>
        <v>0</v>
      </c>
      <c r="AK355" s="265" t="b">
        <f t="shared" si="16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62"/>
        <v>43442</v>
      </c>
      <c r="B356" s="617">
        <v>9.8000000000000007</v>
      </c>
      <c r="C356" s="390"/>
      <c r="D356" s="393">
        <f t="shared" si="139"/>
        <v>9.8501407019483853</v>
      </c>
      <c r="E356" s="385">
        <f t="shared" si="136"/>
        <v>10.24330296226729</v>
      </c>
      <c r="F356" s="385">
        <f t="shared" si="138"/>
        <v>10.360105711351219</v>
      </c>
      <c r="G356" s="110">
        <f t="shared" si="137"/>
        <v>0.85051451985003279</v>
      </c>
      <c r="I356" s="380">
        <f t="shared" si="140"/>
        <v>10.360105711351219</v>
      </c>
      <c r="J356" s="85">
        <v>2018</v>
      </c>
      <c r="K356" s="197">
        <f t="shared" si="141"/>
        <v>43442</v>
      </c>
      <c r="L356" s="438">
        <f t="shared" si="142"/>
        <v>5.0903538807792748E-3</v>
      </c>
      <c r="M356" s="861"/>
      <c r="N356" s="861"/>
      <c r="O356" s="324">
        <f t="shared" si="143"/>
        <v>3.8382371561904917E-2</v>
      </c>
      <c r="P356" s="169">
        <f>(INDEX(Models!$BJ356:$BT356,,T356)*(1-R356)+INDEX(Models!$BJ356:$BT356,,T356+1)*R356-ERP_i)*Q356*Ramure*Pc/MaxiM</f>
        <v>1.4268708997281396E-2</v>
      </c>
      <c r="Q356" s="305">
        <f t="shared" si="144"/>
        <v>0.7</v>
      </c>
      <c r="R356" s="177">
        <f t="shared" si="145"/>
        <v>0.50099580436557734</v>
      </c>
      <c r="S356" s="817">
        <f t="shared" si="163"/>
        <v>-2</v>
      </c>
      <c r="T356" s="176">
        <f t="shared" si="146"/>
        <v>4</v>
      </c>
      <c r="U356" s="251">
        <f t="shared" si="147"/>
        <v>-1.4990041956344227</v>
      </c>
      <c r="V356" s="383">
        <f t="shared" si="148"/>
        <v>11.487540497651317</v>
      </c>
      <c r="W356" s="58"/>
      <c r="X356" s="157">
        <f t="shared" si="149"/>
        <v>43442</v>
      </c>
      <c r="Y356" s="385">
        <f t="shared" si="150"/>
        <v>9.8000000000000007</v>
      </c>
      <c r="Z356" s="385">
        <f t="shared" si="151"/>
        <v>9.8501407019483853</v>
      </c>
      <c r="AA356" s="386">
        <f t="shared" si="152"/>
        <v>10.24330296226729</v>
      </c>
      <c r="AB356" s="197">
        <f t="shared" si="153"/>
        <v>43442</v>
      </c>
      <c r="AC356" s="427">
        <f t="shared" si="154"/>
        <v>3.8382371561904917E-2</v>
      </c>
      <c r="AD356" s="169">
        <f>(INDEX(Models!$BJ356:$BT356,,AH356)*(1-AF356)+INDEX(Models!$BJ356:$BT356,,AH356+1)*AF356-ERP_i)*AE356*Ramure*Pc/MaxiM</f>
        <v>1.4268708997281396E-2</v>
      </c>
      <c r="AE356" s="305">
        <f t="shared" si="155"/>
        <v>0.7</v>
      </c>
      <c r="AF356" s="177">
        <f t="shared" si="156"/>
        <v>0.50099580436557734</v>
      </c>
      <c r="AG356" s="817">
        <f t="shared" si="157"/>
        <v>-2</v>
      </c>
      <c r="AH356" s="176">
        <f t="shared" si="158"/>
        <v>4</v>
      </c>
      <c r="AI356" s="225">
        <f t="shared" si="159"/>
        <v>-1.4990041956344227</v>
      </c>
      <c r="AJ356" s="265" t="b">
        <f t="shared" si="160"/>
        <v>0</v>
      </c>
      <c r="AK356" s="265" t="b">
        <f t="shared" si="161"/>
        <v>0</v>
      </c>
      <c r="AL356" s="265"/>
      <c r="AM356" s="265"/>
      <c r="AN356" s="75"/>
    </row>
    <row r="357" spans="1:40" s="6" customFormat="1" ht="11.25" x14ac:dyDescent="0.2">
      <c r="A357" s="56">
        <f t="shared" si="162"/>
        <v>43443</v>
      </c>
      <c r="B357" s="617">
        <v>3.4849999999999999</v>
      </c>
      <c r="C357" s="390"/>
      <c r="D357" s="393">
        <f t="shared" si="139"/>
        <v>3.5029073702420077</v>
      </c>
      <c r="E357" s="385">
        <f t="shared" si="136"/>
        <v>3.6432192178875509</v>
      </c>
      <c r="F357" s="385">
        <f t="shared" ref="F357:F379" si="164">Wh_sa/(1-Pvg*MEDIAN((-Sdif+Wh/Env_an)/Csdif,0,1))</f>
        <v>3.6436136589852426</v>
      </c>
      <c r="G357" s="110">
        <f t="shared" si="137"/>
        <v>0.30105192236169309</v>
      </c>
      <c r="I357" s="380">
        <f t="shared" si="140"/>
        <v>3.6436136589852426</v>
      </c>
      <c r="J357" s="85">
        <v>2018</v>
      </c>
      <c r="K357" s="197">
        <f t="shared" si="141"/>
        <v>43443</v>
      </c>
      <c r="L357" s="438">
        <f t="shared" si="142"/>
        <v>5.1121449553975795E-3</v>
      </c>
      <c r="M357" s="861"/>
      <c r="N357" s="861"/>
      <c r="O357" s="324">
        <f t="shared" si="143"/>
        <v>3.8513149841941222E-2</v>
      </c>
      <c r="P357" s="169">
        <f>(INDEX(Models!$BJ357:$BT357,,T357)*(1-R357)+INDEX(Models!$BJ357:$BT357,,T357+1)*R357-ERP_i)*Q357*Ramure*Pc/MaxiM</f>
        <v>1.4172546248617208E-2</v>
      </c>
      <c r="Q357" s="305">
        <f t="shared" si="144"/>
        <v>0.7</v>
      </c>
      <c r="R357" s="177">
        <f t="shared" si="145"/>
        <v>0.5010076534679373</v>
      </c>
      <c r="S357" s="817">
        <f t="shared" si="163"/>
        <v>-2</v>
      </c>
      <c r="T357" s="176">
        <f t="shared" si="146"/>
        <v>4</v>
      </c>
      <c r="U357" s="251">
        <f t="shared" si="147"/>
        <v>-1.4989923465320627</v>
      </c>
      <c r="V357" s="383">
        <f t="shared" si="148"/>
        <v>11.413249292870363</v>
      </c>
      <c r="W357" s="58"/>
      <c r="X357" s="157">
        <f t="shared" si="149"/>
        <v>43443</v>
      </c>
      <c r="Y357" s="385">
        <f t="shared" si="150"/>
        <v>3.4849999999999999</v>
      </c>
      <c r="Z357" s="385">
        <f t="shared" si="151"/>
        <v>3.5029073702420077</v>
      </c>
      <c r="AA357" s="386">
        <f t="shared" si="152"/>
        <v>3.6432192178875509</v>
      </c>
      <c r="AB357" s="197">
        <f t="shared" si="153"/>
        <v>43443</v>
      </c>
      <c r="AC357" s="427">
        <f t="shared" si="154"/>
        <v>3.8513149841941222E-2</v>
      </c>
      <c r="AD357" s="169">
        <f>(INDEX(Models!$BJ357:$BT357,,AH357)*(1-AF357)+INDEX(Models!$BJ357:$BT357,,AH357+1)*AF357-ERP_i)*AE357*Ramure*Pc/MaxiM</f>
        <v>1.4172546248617208E-2</v>
      </c>
      <c r="AE357" s="305">
        <f t="shared" si="155"/>
        <v>0.7</v>
      </c>
      <c r="AF357" s="177">
        <f t="shared" si="156"/>
        <v>0.5010076534679373</v>
      </c>
      <c r="AG357" s="817">
        <f t="shared" si="157"/>
        <v>-2</v>
      </c>
      <c r="AH357" s="176">
        <f t="shared" si="158"/>
        <v>4</v>
      </c>
      <c r="AI357" s="225">
        <f t="shared" si="159"/>
        <v>-1.4989923465320627</v>
      </c>
      <c r="AJ357" s="265" t="b">
        <f t="shared" si="160"/>
        <v>0</v>
      </c>
      <c r="AK357" s="265" t="b">
        <f t="shared" si="16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62"/>
        <v>43444</v>
      </c>
      <c r="B358" s="617">
        <v>7.81</v>
      </c>
      <c r="C358" s="390"/>
      <c r="D358" s="393">
        <f t="shared" si="139"/>
        <v>7.8503029494117271</v>
      </c>
      <c r="E358" s="385">
        <f t="shared" si="136"/>
        <v>8.1658666579310761</v>
      </c>
      <c r="F358" s="385">
        <f t="shared" si="164"/>
        <v>8.2299843860925534</v>
      </c>
      <c r="G358" s="110">
        <f t="shared" si="137"/>
        <v>0.68345701914217194</v>
      </c>
      <c r="I358" s="380">
        <f t="shared" si="140"/>
        <v>8.2299843860925534</v>
      </c>
      <c r="J358" s="85">
        <v>2018</v>
      </c>
      <c r="K358" s="197">
        <f t="shared" si="141"/>
        <v>43444</v>
      </c>
      <c r="L358" s="438">
        <f t="shared" si="142"/>
        <v>5.1339355527353359E-3</v>
      </c>
      <c r="M358" s="861"/>
      <c r="N358" s="861"/>
      <c r="O358" s="324">
        <f t="shared" si="143"/>
        <v>3.8644239703921501E-2</v>
      </c>
      <c r="P358" s="169">
        <f>(INDEX(Models!$BJ358:$BT358,,T358)*(1-R358)+INDEX(Models!$BJ358:$BT358,,T358+1)*R358-ERP_i)*Q358*Ramure*Pc/MaxiM</f>
        <v>1.4062551426703375E-2</v>
      </c>
      <c r="Q358" s="305">
        <f t="shared" si="144"/>
        <v>0.7</v>
      </c>
      <c r="R358" s="177">
        <f t="shared" si="145"/>
        <v>0.50101902601858184</v>
      </c>
      <c r="S358" s="817">
        <f t="shared" si="163"/>
        <v>-2</v>
      </c>
      <c r="T358" s="176">
        <f t="shared" si="146"/>
        <v>4</v>
      </c>
      <c r="U358" s="251">
        <f t="shared" si="147"/>
        <v>-1.4989809739814182</v>
      </c>
      <c r="V358" s="383">
        <f t="shared" si="148"/>
        <v>11.35496802729353</v>
      </c>
      <c r="W358" s="58"/>
      <c r="X358" s="157">
        <f t="shared" si="149"/>
        <v>43444</v>
      </c>
      <c r="Y358" s="385">
        <f t="shared" si="150"/>
        <v>7.81</v>
      </c>
      <c r="Z358" s="385">
        <f t="shared" si="151"/>
        <v>7.8503029494117271</v>
      </c>
      <c r="AA358" s="386">
        <f t="shared" si="152"/>
        <v>8.1658666579310761</v>
      </c>
      <c r="AB358" s="197">
        <f t="shared" si="153"/>
        <v>43444</v>
      </c>
      <c r="AC358" s="427">
        <f t="shared" si="154"/>
        <v>3.8644239703921501E-2</v>
      </c>
      <c r="AD358" s="169">
        <f>(INDEX(Models!$BJ358:$BT358,,AH358)*(1-AF358)+INDEX(Models!$BJ358:$BT358,,AH358+1)*AF358-ERP_i)*AE358*Ramure*Pc/MaxiM</f>
        <v>1.4062551426703375E-2</v>
      </c>
      <c r="AE358" s="305">
        <f t="shared" si="155"/>
        <v>0.7</v>
      </c>
      <c r="AF358" s="177">
        <f t="shared" si="156"/>
        <v>0.50101902601858184</v>
      </c>
      <c r="AG358" s="817">
        <f t="shared" si="157"/>
        <v>-2</v>
      </c>
      <c r="AH358" s="176">
        <f t="shared" si="158"/>
        <v>4</v>
      </c>
      <c r="AI358" s="225">
        <f t="shared" si="159"/>
        <v>-1.4989809739814182</v>
      </c>
      <c r="AJ358" s="265" t="b">
        <f t="shared" si="160"/>
        <v>0</v>
      </c>
      <c r="AK358" s="265" t="b">
        <f t="shared" si="16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62"/>
        <v>43445</v>
      </c>
      <c r="B359" s="617">
        <v>8.27</v>
      </c>
      <c r="C359" s="390"/>
      <c r="D359" s="393">
        <f t="shared" si="139"/>
        <v>8.3128588196307582</v>
      </c>
      <c r="E359" s="385">
        <f t="shared" si="136"/>
        <v>8.6481981166878636</v>
      </c>
      <c r="F359" s="385">
        <f t="shared" si="164"/>
        <v>8.7230563178868117</v>
      </c>
      <c r="G359" s="110">
        <f t="shared" si="137"/>
        <v>0.72704097215959995</v>
      </c>
      <c r="I359" s="380">
        <f t="shared" si="140"/>
        <v>8.7230563178868117</v>
      </c>
      <c r="J359" s="85">
        <v>2018</v>
      </c>
      <c r="K359" s="197">
        <f t="shared" si="141"/>
        <v>43445</v>
      </c>
      <c r="L359" s="438">
        <f t="shared" si="142"/>
        <v>5.1557256728032019E-3</v>
      </c>
      <c r="M359" s="861"/>
      <c r="N359" s="861"/>
      <c r="O359" s="324">
        <f t="shared" si="143"/>
        <v>3.8775626151535847E-2</v>
      </c>
      <c r="P359" s="169">
        <f>(INDEX(Models!$BJ359:$BT359,,T359)*(1-R359)+INDEX(Models!$BJ359:$BT359,,T359+1)*R359-ERP_i)*Q359*Ramure*Pc/MaxiM</f>
        <v>1.3938024742174678E-2</v>
      </c>
      <c r="Q359" s="305">
        <f t="shared" si="144"/>
        <v>0.7</v>
      </c>
      <c r="R359" s="177">
        <f t="shared" si="145"/>
        <v>0.50102994116327326</v>
      </c>
      <c r="S359" s="817">
        <f t="shared" si="163"/>
        <v>-2</v>
      </c>
      <c r="T359" s="176">
        <f t="shared" si="146"/>
        <v>4</v>
      </c>
      <c r="U359" s="251">
        <f t="shared" si="147"/>
        <v>-1.4989700588367267</v>
      </c>
      <c r="V359" s="383">
        <f t="shared" si="148"/>
        <v>11.313419253951851</v>
      </c>
      <c r="W359" s="58"/>
      <c r="X359" s="157">
        <f t="shared" si="149"/>
        <v>43445</v>
      </c>
      <c r="Y359" s="385">
        <f t="shared" si="150"/>
        <v>8.27</v>
      </c>
      <c r="Z359" s="385">
        <f t="shared" si="151"/>
        <v>8.3128588196307582</v>
      </c>
      <c r="AA359" s="386">
        <f t="shared" si="152"/>
        <v>8.6481981166878636</v>
      </c>
      <c r="AB359" s="197">
        <f t="shared" si="153"/>
        <v>43445</v>
      </c>
      <c r="AC359" s="427">
        <f t="shared" si="154"/>
        <v>3.8775626151535847E-2</v>
      </c>
      <c r="AD359" s="169">
        <f>(INDEX(Models!$BJ359:$BT359,,AH359)*(1-AF359)+INDEX(Models!$BJ359:$BT359,,AH359+1)*AF359-ERP_i)*AE359*Ramure*Pc/MaxiM</f>
        <v>1.3938024742174678E-2</v>
      </c>
      <c r="AE359" s="305">
        <f t="shared" si="155"/>
        <v>0.7</v>
      </c>
      <c r="AF359" s="177">
        <f t="shared" si="156"/>
        <v>0.50102994116327326</v>
      </c>
      <c r="AG359" s="817">
        <f t="shared" si="157"/>
        <v>-2</v>
      </c>
      <c r="AH359" s="176">
        <f t="shared" si="158"/>
        <v>4</v>
      </c>
      <c r="AI359" s="225">
        <f t="shared" si="159"/>
        <v>-1.4989700588367267</v>
      </c>
      <c r="AJ359" s="265" t="b">
        <f t="shared" si="160"/>
        <v>0</v>
      </c>
      <c r="AK359" s="265" t="b">
        <f t="shared" si="16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62"/>
        <v>43446</v>
      </c>
      <c r="B360" s="617">
        <v>2.0659999999999998</v>
      </c>
      <c r="C360" s="390"/>
      <c r="D360" s="393">
        <f t="shared" si="139"/>
        <v>2.0767524174480703</v>
      </c>
      <c r="E360" s="385">
        <f t="shared" si="136"/>
        <v>2.1608242391534467</v>
      </c>
      <c r="F360" s="385">
        <f t="shared" si="164"/>
        <v>2.1608242391534467</v>
      </c>
      <c r="G360" s="110">
        <f t="shared" si="137"/>
        <v>0.18050312889251505</v>
      </c>
      <c r="I360" s="380">
        <f t="shared" si="140"/>
        <v>2.1608242391534467</v>
      </c>
      <c r="J360" s="85">
        <v>2018</v>
      </c>
      <c r="K360" s="197">
        <f t="shared" si="141"/>
        <v>43446</v>
      </c>
      <c r="L360" s="438">
        <f t="shared" si="142"/>
        <v>5.1775153156115028E-3</v>
      </c>
      <c r="M360" s="861"/>
      <c r="N360" s="861"/>
      <c r="O360" s="324">
        <f t="shared" si="143"/>
        <v>3.8907292958872686E-2</v>
      </c>
      <c r="P360" s="169">
        <f>(INDEX(Models!$BJ360:$BT360,,T360)*(1-R360)+INDEX(Models!$BJ360:$BT360,,T360+1)*R360-ERP_i)*Q360*Ramure*Pc/MaxiM</f>
        <v>1.3800214794192999E-2</v>
      </c>
      <c r="Q360" s="305">
        <f t="shared" si="144"/>
        <v>0.7</v>
      </c>
      <c r="R360" s="177">
        <f t="shared" si="145"/>
        <v>0.50104041728018789</v>
      </c>
      <c r="S360" s="817">
        <f t="shared" si="163"/>
        <v>-2</v>
      </c>
      <c r="T360" s="176">
        <f t="shared" si="146"/>
        <v>4</v>
      </c>
      <c r="U360" s="251">
        <f t="shared" si="147"/>
        <v>-1.4989595827198121</v>
      </c>
      <c r="V360" s="383">
        <f t="shared" si="148"/>
        <v>11.287830680477949</v>
      </c>
      <c r="W360" s="58"/>
      <c r="X360" s="157">
        <f t="shared" si="149"/>
        <v>43446</v>
      </c>
      <c r="Y360" s="385">
        <f t="shared" si="150"/>
        <v>2.0659999999999998</v>
      </c>
      <c r="Z360" s="385">
        <f t="shared" si="151"/>
        <v>2.0767524174480703</v>
      </c>
      <c r="AA360" s="386">
        <f t="shared" si="152"/>
        <v>2.1608242391534467</v>
      </c>
      <c r="AB360" s="197">
        <f t="shared" si="153"/>
        <v>43446</v>
      </c>
      <c r="AC360" s="427">
        <f t="shared" si="154"/>
        <v>3.8907292958872686E-2</v>
      </c>
      <c r="AD360" s="169">
        <f>(INDEX(Models!$BJ360:$BT360,,AH360)*(1-AF360)+INDEX(Models!$BJ360:$BT360,,AH360+1)*AF360-ERP_i)*AE360*Ramure*Pc/MaxiM</f>
        <v>1.3800214794192999E-2</v>
      </c>
      <c r="AE360" s="305">
        <f t="shared" si="155"/>
        <v>0.7</v>
      </c>
      <c r="AF360" s="177">
        <f t="shared" si="156"/>
        <v>0.50104041728018789</v>
      </c>
      <c r="AG360" s="817">
        <f t="shared" si="157"/>
        <v>-2</v>
      </c>
      <c r="AH360" s="176">
        <f t="shared" si="158"/>
        <v>4</v>
      </c>
      <c r="AI360" s="225">
        <f t="shared" si="159"/>
        <v>-1.4989595827198121</v>
      </c>
      <c r="AJ360" s="265" t="b">
        <f t="shared" si="160"/>
        <v>0</v>
      </c>
      <c r="AK360" s="265" t="b">
        <f t="shared" si="16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62"/>
        <v>43447</v>
      </c>
      <c r="B361" s="617">
        <v>0.96699999999999997</v>
      </c>
      <c r="C361" s="390"/>
      <c r="D361" s="393">
        <f t="shared" si="139"/>
        <v>0.97205400474279913</v>
      </c>
      <c r="E361" s="385">
        <f t="shared" ref="E361:E379" si="165">Wh_pvt/(1-Psa)</f>
        <v>1.0115438921376847</v>
      </c>
      <c r="F361" s="385">
        <f t="shared" si="164"/>
        <v>1.0115438921376847</v>
      </c>
      <c r="G361" s="110">
        <f t="shared" ref="G361:G379" si="166">+Wh_hp/MaxiM</f>
        <v>8.4578596478428109E-2</v>
      </c>
      <c r="I361" s="380">
        <f t="shared" si="140"/>
        <v>1.0115438921376847</v>
      </c>
      <c r="J361" s="85">
        <v>2018</v>
      </c>
      <c r="K361" s="197">
        <f t="shared" si="141"/>
        <v>43447</v>
      </c>
      <c r="L361" s="438">
        <f t="shared" si="142"/>
        <v>5.1993044811706746E-3</v>
      </c>
      <c r="M361" s="861"/>
      <c r="N361" s="861"/>
      <c r="O361" s="324">
        <f t="shared" si="143"/>
        <v>3.9039222817540832E-2</v>
      </c>
      <c r="P361" s="169">
        <f>(INDEX(Models!$BJ361:$BT361,,T361)*(1-R361)+INDEX(Models!$BJ361:$BT361,,T361+1)*R361-ERP_i)*Q361*Ramure*Pc/MaxiM</f>
        <v>1.3659592376379908E-2</v>
      </c>
      <c r="Q361" s="305">
        <f t="shared" si="144"/>
        <v>0.7</v>
      </c>
      <c r="R361" s="177">
        <f t="shared" si="145"/>
        <v>0.50105047201056374</v>
      </c>
      <c r="S361" s="817">
        <f t="shared" si="163"/>
        <v>-2</v>
      </c>
      <c r="T361" s="176">
        <f t="shared" si="146"/>
        <v>4</v>
      </c>
      <c r="U361" s="251">
        <f t="shared" si="147"/>
        <v>-1.4989495279894363</v>
      </c>
      <c r="V361" s="383">
        <f t="shared" si="148"/>
        <v>11.276980393205111</v>
      </c>
      <c r="W361" s="58"/>
      <c r="X361" s="157">
        <f t="shared" si="149"/>
        <v>43447</v>
      </c>
      <c r="Y361" s="385">
        <f t="shared" si="150"/>
        <v>0.96699999999999997</v>
      </c>
      <c r="Z361" s="385">
        <f t="shared" si="151"/>
        <v>0.97205400474279913</v>
      </c>
      <c r="AA361" s="386">
        <f t="shared" si="152"/>
        <v>1.0115438921376847</v>
      </c>
      <c r="AB361" s="197">
        <f t="shared" si="153"/>
        <v>43447</v>
      </c>
      <c r="AC361" s="427">
        <f t="shared" si="154"/>
        <v>3.9039222817540832E-2</v>
      </c>
      <c r="AD361" s="169">
        <f>(INDEX(Models!$BJ361:$BT361,,AH361)*(1-AF361)+INDEX(Models!$BJ361:$BT361,,AH361+1)*AF361-ERP_i)*AE361*Ramure*Pc/MaxiM</f>
        <v>1.3659592376379908E-2</v>
      </c>
      <c r="AE361" s="305">
        <f t="shared" si="155"/>
        <v>0.7</v>
      </c>
      <c r="AF361" s="177">
        <f t="shared" si="156"/>
        <v>0.50105047201056374</v>
      </c>
      <c r="AG361" s="817">
        <f t="shared" si="157"/>
        <v>-2</v>
      </c>
      <c r="AH361" s="176">
        <f t="shared" si="158"/>
        <v>4</v>
      </c>
      <c r="AI361" s="225">
        <f t="shared" si="159"/>
        <v>-1.4989495279894363</v>
      </c>
      <c r="AJ361" s="265" t="b">
        <f t="shared" si="160"/>
        <v>0</v>
      </c>
      <c r="AK361" s="265" t="b">
        <f t="shared" si="16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62"/>
        <v>43448</v>
      </c>
      <c r="B362" s="617">
        <v>1.4139999999999999</v>
      </c>
      <c r="C362" s="390"/>
      <c r="D362" s="393">
        <f t="shared" si="139"/>
        <v>1.4214213734237515</v>
      </c>
      <c r="E362" s="385">
        <f t="shared" si="165"/>
        <v>1.4793703785532883</v>
      </c>
      <c r="F362" s="385">
        <f t="shared" si="164"/>
        <v>1.4793703785532883</v>
      </c>
      <c r="G362" s="110">
        <f t="shared" si="166"/>
        <v>0.12366284739578946</v>
      </c>
      <c r="I362" s="380">
        <f t="shared" si="140"/>
        <v>1.4793703785532883</v>
      </c>
      <c r="J362" s="85">
        <v>2018</v>
      </c>
      <c r="K362" s="197">
        <f t="shared" si="141"/>
        <v>43448</v>
      </c>
      <c r="L362" s="438">
        <f t="shared" si="142"/>
        <v>5.2210931694912643E-3</v>
      </c>
      <c r="M362" s="861"/>
      <c r="N362" s="861"/>
      <c r="O362" s="324">
        <f t="shared" si="143"/>
        <v>3.917139748749493E-2</v>
      </c>
      <c r="P362" s="169">
        <f>(INDEX(Models!$BJ362:$BT362,,T362)*(1-R362)+INDEX(Models!$BJ362:$BT362,,T362+1)*R362-ERP_i)*Q362*Ramure*Pc/MaxiM</f>
        <v>1.351793935196296E-2</v>
      </c>
      <c r="Q362" s="305">
        <f t="shared" si="144"/>
        <v>0.7</v>
      </c>
      <c r="R362" s="177">
        <f t="shared" si="145"/>
        <v>0.50106012228813324</v>
      </c>
      <c r="S362" s="817">
        <f t="shared" si="163"/>
        <v>-2</v>
      </c>
      <c r="T362" s="176">
        <f t="shared" si="146"/>
        <v>4</v>
      </c>
      <c r="U362" s="251">
        <f t="shared" si="147"/>
        <v>-1.4989398777118668</v>
      </c>
      <c r="V362" s="383">
        <f t="shared" si="148"/>
        <v>11.279747014816174</v>
      </c>
      <c r="W362" s="58"/>
      <c r="X362" s="157">
        <f t="shared" si="149"/>
        <v>43448</v>
      </c>
      <c r="Y362" s="385">
        <f t="shared" si="150"/>
        <v>1.4139999999999999</v>
      </c>
      <c r="Z362" s="385">
        <f t="shared" si="151"/>
        <v>1.4214213734237515</v>
      </c>
      <c r="AA362" s="386">
        <f t="shared" si="152"/>
        <v>1.4793703785532883</v>
      </c>
      <c r="AB362" s="197">
        <f t="shared" si="153"/>
        <v>43448</v>
      </c>
      <c r="AC362" s="427">
        <f t="shared" si="154"/>
        <v>3.917139748749493E-2</v>
      </c>
      <c r="AD362" s="169">
        <f>(INDEX(Models!$BJ362:$BT362,,AH362)*(1-AF362)+INDEX(Models!$BJ362:$BT362,,AH362+1)*AF362-ERP_i)*AE362*Ramure*Pc/MaxiM</f>
        <v>1.351793935196296E-2</v>
      </c>
      <c r="AE362" s="305">
        <f t="shared" si="155"/>
        <v>0.7</v>
      </c>
      <c r="AF362" s="177">
        <f t="shared" si="156"/>
        <v>0.50106012228813324</v>
      </c>
      <c r="AG362" s="817">
        <f t="shared" si="157"/>
        <v>-2</v>
      </c>
      <c r="AH362" s="176">
        <f t="shared" si="158"/>
        <v>4</v>
      </c>
      <c r="AI362" s="225">
        <f t="shared" si="159"/>
        <v>-1.4989398777118668</v>
      </c>
      <c r="AJ362" s="265" t="b">
        <f t="shared" si="160"/>
        <v>0</v>
      </c>
      <c r="AK362" s="265" t="b">
        <f t="shared" si="161"/>
        <v>0</v>
      </c>
      <c r="AL362" s="265"/>
      <c r="AM362" s="265"/>
      <c r="AN362" s="75"/>
    </row>
    <row r="363" spans="1:40" s="6" customFormat="1" ht="11.25" x14ac:dyDescent="0.2">
      <c r="A363" s="56">
        <f t="shared" si="162"/>
        <v>43449</v>
      </c>
      <c r="B363" s="617">
        <v>3.61</v>
      </c>
      <c r="C363" s="390"/>
      <c r="D363" s="393">
        <f t="shared" si="139"/>
        <v>3.6290265557588315</v>
      </c>
      <c r="E363" s="385">
        <f t="shared" si="165"/>
        <v>3.7774965155645663</v>
      </c>
      <c r="F363" s="385">
        <f t="shared" si="164"/>
        <v>3.7789126642675637</v>
      </c>
      <c r="G363" s="110">
        <f t="shared" si="166"/>
        <v>0.31545296113010823</v>
      </c>
      <c r="I363" s="380">
        <f t="shared" si="140"/>
        <v>3.7789126642675637</v>
      </c>
      <c r="J363" s="85">
        <v>2018</v>
      </c>
      <c r="K363" s="197">
        <f t="shared" si="141"/>
        <v>43449</v>
      </c>
      <c r="L363" s="438">
        <f t="shared" si="142"/>
        <v>5.2428813805835972E-3</v>
      </c>
      <c r="M363" s="861"/>
      <c r="N363" s="861"/>
      <c r="O363" s="324">
        <f t="shared" si="143"/>
        <v>3.9303797950306044E-2</v>
      </c>
      <c r="P363" s="169">
        <f>(INDEX(Models!$BJ363:$BT363,,T363)*(1-R363)+INDEX(Models!$BJ363:$BT363,,T363+1)*R363-ERP_i)*Q363*Ramure*Pc/MaxiM</f>
        <v>1.3376998792984159E-2</v>
      </c>
      <c r="Q363" s="305">
        <f t="shared" si="144"/>
        <v>0.7</v>
      </c>
      <c r="R363" s="177">
        <f t="shared" si="145"/>
        <v>0.50106938436738968</v>
      </c>
      <c r="S363" s="817">
        <f t="shared" si="163"/>
        <v>-2</v>
      </c>
      <c r="T363" s="176">
        <f t="shared" si="146"/>
        <v>4</v>
      </c>
      <c r="U363" s="251">
        <f t="shared" si="147"/>
        <v>-1.4989306156326103</v>
      </c>
      <c r="V363" s="383">
        <f t="shared" si="148"/>
        <v>11.295009796559144</v>
      </c>
      <c r="W363" s="58"/>
      <c r="X363" s="157">
        <f t="shared" si="149"/>
        <v>43449</v>
      </c>
      <c r="Y363" s="385">
        <f t="shared" si="150"/>
        <v>3.61</v>
      </c>
      <c r="Z363" s="385">
        <f t="shared" si="151"/>
        <v>3.6290265557588315</v>
      </c>
      <c r="AA363" s="386">
        <f t="shared" si="152"/>
        <v>3.7774965155645663</v>
      </c>
      <c r="AB363" s="197">
        <f t="shared" si="153"/>
        <v>43449</v>
      </c>
      <c r="AC363" s="427">
        <f t="shared" si="154"/>
        <v>3.9303797950306044E-2</v>
      </c>
      <c r="AD363" s="169">
        <f>(INDEX(Models!$BJ363:$BT363,,AH363)*(1-AF363)+INDEX(Models!$BJ363:$BT363,,AH363+1)*AF363-ERP_i)*AE363*Ramure*Pc/MaxiM</f>
        <v>1.3376998792984159E-2</v>
      </c>
      <c r="AE363" s="305">
        <f t="shared" si="155"/>
        <v>0.7</v>
      </c>
      <c r="AF363" s="177">
        <f t="shared" si="156"/>
        <v>0.50106938436738968</v>
      </c>
      <c r="AG363" s="817">
        <f t="shared" si="157"/>
        <v>-2</v>
      </c>
      <c r="AH363" s="176">
        <f t="shared" si="158"/>
        <v>4</v>
      </c>
      <c r="AI363" s="225">
        <f t="shared" si="159"/>
        <v>-1.4989306156326103</v>
      </c>
      <c r="AJ363" s="265" t="b">
        <f t="shared" si="160"/>
        <v>0</v>
      </c>
      <c r="AK363" s="265" t="b">
        <f t="shared" si="16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62"/>
        <v>43450</v>
      </c>
      <c r="B364" s="617">
        <v>1.98</v>
      </c>
      <c r="C364" s="390"/>
      <c r="D364" s="393">
        <f t="shared" si="139"/>
        <v>1.9904792144432504</v>
      </c>
      <c r="E364" s="385">
        <f t="shared" si="165"/>
        <v>2.0721993045540792</v>
      </c>
      <c r="F364" s="385">
        <f t="shared" si="164"/>
        <v>2.0721993045540792</v>
      </c>
      <c r="G364" s="110">
        <f t="shared" si="166"/>
        <v>0.1725709677332449</v>
      </c>
      <c r="I364" s="380">
        <f t="shared" si="140"/>
        <v>2.0721993045540792</v>
      </c>
      <c r="J364" s="85">
        <v>2018</v>
      </c>
      <c r="K364" s="197">
        <f t="shared" si="141"/>
        <v>43450</v>
      </c>
      <c r="L364" s="438">
        <f t="shared" si="142"/>
        <v>5.2646691144582203E-3</v>
      </c>
      <c r="M364" s="861"/>
      <c r="N364" s="861"/>
      <c r="O364" s="324">
        <f t="shared" si="143"/>
        <v>3.943640456361136E-2</v>
      </c>
      <c r="P364" s="169">
        <f>(INDEX(Models!$BJ364:$BT364,,T364)*(1-R364)+INDEX(Models!$BJ364:$BT364,,T364+1)*R364-ERP_i)*Q364*Ramure*Pc/MaxiM</f>
        <v>1.3238454924844611E-2</v>
      </c>
      <c r="Q364" s="305">
        <f t="shared" si="144"/>
        <v>0.7</v>
      </c>
      <c r="R364" s="177">
        <f t="shared" si="145"/>
        <v>0.50107827385073489</v>
      </c>
      <c r="S364" s="817">
        <f t="shared" si="163"/>
        <v>-2</v>
      </c>
      <c r="T364" s="176">
        <f t="shared" si="146"/>
        <v>4</v>
      </c>
      <c r="U364" s="251">
        <f t="shared" si="147"/>
        <v>-1.4989217261492651</v>
      </c>
      <c r="V364" s="383">
        <f t="shared" si="148"/>
        <v>11.32164862324302</v>
      </c>
      <c r="W364" s="58"/>
      <c r="X364" s="157">
        <f t="shared" si="149"/>
        <v>43450</v>
      </c>
      <c r="Y364" s="385">
        <f t="shared" si="150"/>
        <v>1.9800000000000002</v>
      </c>
      <c r="Z364" s="385">
        <f t="shared" si="151"/>
        <v>1.9904792144432506</v>
      </c>
      <c r="AA364" s="386">
        <f t="shared" si="152"/>
        <v>2.0721993045540792</v>
      </c>
      <c r="AB364" s="197">
        <f t="shared" si="153"/>
        <v>43450</v>
      </c>
      <c r="AC364" s="427">
        <f t="shared" si="154"/>
        <v>3.943640456361136E-2</v>
      </c>
      <c r="AD364" s="169">
        <f>(INDEX(Models!$BJ364:$BT364,,AH364)*(1-AF364)+INDEX(Models!$BJ364:$BT364,,AH364+1)*AF364-ERP_i)*AE364*Ramure*Pc/MaxiM</f>
        <v>1.3238454924844611E-2</v>
      </c>
      <c r="AE364" s="305">
        <f t="shared" si="155"/>
        <v>0.7</v>
      </c>
      <c r="AF364" s="177">
        <f t="shared" si="156"/>
        <v>0.50107827385073489</v>
      </c>
      <c r="AG364" s="817">
        <f t="shared" si="157"/>
        <v>-2</v>
      </c>
      <c r="AH364" s="176">
        <f t="shared" si="158"/>
        <v>4</v>
      </c>
      <c r="AI364" s="225">
        <f t="shared" si="159"/>
        <v>-1.4989217261492651</v>
      </c>
      <c r="AJ364" s="265" t="b">
        <f t="shared" si="160"/>
        <v>0</v>
      </c>
      <c r="AK364" s="265" t="b">
        <f t="shared" si="16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62"/>
        <v>43451</v>
      </c>
      <c r="B365" s="617">
        <v>11.335000000000001</v>
      </c>
      <c r="C365" s="390"/>
      <c r="D365" s="393">
        <f t="shared" si="139"/>
        <v>11.395240441432117</v>
      </c>
      <c r="E365" s="385">
        <f t="shared" si="165"/>
        <v>11.864717799964971</v>
      </c>
      <c r="F365" s="385">
        <f t="shared" si="164"/>
        <v>12.021783785395716</v>
      </c>
      <c r="G365" s="110">
        <f t="shared" si="166"/>
        <v>0.99788796329085139</v>
      </c>
      <c r="I365" s="380">
        <f t="shared" si="140"/>
        <v>12.021783785395716</v>
      </c>
      <c r="J365" s="85">
        <v>2018</v>
      </c>
      <c r="K365" s="197">
        <f t="shared" si="141"/>
        <v>43451</v>
      </c>
      <c r="L365" s="438">
        <f t="shared" si="142"/>
        <v>5.2864563711255697E-3</v>
      </c>
      <c r="M365" s="861"/>
      <c r="N365" s="861"/>
      <c r="O365" s="324">
        <f t="shared" si="143"/>
        <v>3.956919721548216E-2</v>
      </c>
      <c r="P365" s="169">
        <f>(INDEX(Models!$BJ365:$BT365,,T365)*(1-R365)+INDEX(Models!$BJ365:$BT365,,T365+1)*R365-ERP_i)*Q365*Ramure*Pc/MaxiM</f>
        <v>1.3103917421961259E-2</v>
      </c>
      <c r="Q365" s="305">
        <f t="shared" si="144"/>
        <v>0.7</v>
      </c>
      <c r="R365" s="177">
        <f t="shared" si="145"/>
        <v>0.50108680571454745</v>
      </c>
      <c r="S365" s="817">
        <f t="shared" si="163"/>
        <v>-2</v>
      </c>
      <c r="T365" s="176">
        <f t="shared" si="146"/>
        <v>4</v>
      </c>
      <c r="U365" s="251">
        <f t="shared" si="147"/>
        <v>-1.4989131942854526</v>
      </c>
      <c r="V365" s="383">
        <f t="shared" si="148"/>
        <v>11.358544011890764</v>
      </c>
      <c r="W365" s="58"/>
      <c r="X365" s="157">
        <f t="shared" si="149"/>
        <v>43451</v>
      </c>
      <c r="Y365" s="385">
        <f t="shared" si="150"/>
        <v>11.335000000000001</v>
      </c>
      <c r="Z365" s="385">
        <f t="shared" si="151"/>
        <v>11.395240441432117</v>
      </c>
      <c r="AA365" s="386">
        <f t="shared" si="152"/>
        <v>11.864717799964971</v>
      </c>
      <c r="AB365" s="197">
        <f t="shared" si="153"/>
        <v>43451</v>
      </c>
      <c r="AC365" s="427">
        <f t="shared" si="154"/>
        <v>3.956919721548216E-2</v>
      </c>
      <c r="AD365" s="169">
        <f>(INDEX(Models!$BJ365:$BT365,,AH365)*(1-AF365)+INDEX(Models!$BJ365:$BT365,,AH365+1)*AF365-ERP_i)*AE365*Ramure*Pc/MaxiM</f>
        <v>1.3103917421961259E-2</v>
      </c>
      <c r="AE365" s="305">
        <f t="shared" si="155"/>
        <v>0.7</v>
      </c>
      <c r="AF365" s="177">
        <f t="shared" si="156"/>
        <v>0.50108680571454745</v>
      </c>
      <c r="AG365" s="817">
        <f t="shared" si="157"/>
        <v>-2</v>
      </c>
      <c r="AH365" s="176">
        <f t="shared" si="158"/>
        <v>4</v>
      </c>
      <c r="AI365" s="225">
        <f t="shared" si="159"/>
        <v>-1.4989131942854526</v>
      </c>
      <c r="AJ365" s="265" t="b">
        <f t="shared" si="160"/>
        <v>0</v>
      </c>
      <c r="AK365" s="265" t="b">
        <f t="shared" si="16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62"/>
        <v>43452</v>
      </c>
      <c r="B366" s="617">
        <v>7.84</v>
      </c>
      <c r="C366" s="390"/>
      <c r="D366" s="393">
        <f t="shared" si="139"/>
        <v>7.8818387163803285</v>
      </c>
      <c r="E366" s="385">
        <f t="shared" si="165"/>
        <v>8.2077021846271165</v>
      </c>
      <c r="F366" s="385">
        <f t="shared" si="164"/>
        <v>8.2671086521788713</v>
      </c>
      <c r="G366" s="110">
        <f t="shared" si="166"/>
        <v>0.68343485632024603</v>
      </c>
      <c r="I366" s="380">
        <f t="shared" si="140"/>
        <v>8.2671086521788713</v>
      </c>
      <c r="J366" s="85">
        <v>2018</v>
      </c>
      <c r="K366" s="197">
        <f t="shared" si="141"/>
        <v>43452</v>
      </c>
      <c r="L366" s="438">
        <f t="shared" si="142"/>
        <v>5.3082431505960814E-3</v>
      </c>
      <c r="M366" s="861"/>
      <c r="N366" s="861"/>
      <c r="O366" s="324">
        <f t="shared" si="143"/>
        <v>3.9702155477464217E-2</v>
      </c>
      <c r="P366" s="169">
        <f>(INDEX(Models!$BJ366:$BT366,,T366)*(1-R366)+INDEX(Models!$BJ366:$BT366,,T366+1)*R366-ERP_i)*Q366*Ramure*Pc/MaxiM</f>
        <v>1.2982667211026207E-2</v>
      </c>
      <c r="Q366" s="305">
        <f t="shared" si="144"/>
        <v>0.7</v>
      </c>
      <c r="R366" s="177">
        <f t="shared" si="145"/>
        <v>0.50109499433421667</v>
      </c>
      <c r="S366" s="817">
        <f t="shared" si="163"/>
        <v>-2</v>
      </c>
      <c r="T366" s="176">
        <f t="shared" si="146"/>
        <v>4</v>
      </c>
      <c r="U366" s="251">
        <f t="shared" si="147"/>
        <v>-1.4989050056657833</v>
      </c>
      <c r="V366" s="383">
        <f t="shared" si="148"/>
        <v>11.404487484237462</v>
      </c>
      <c r="W366" s="58"/>
      <c r="X366" s="157">
        <f t="shared" si="149"/>
        <v>43452</v>
      </c>
      <c r="Y366" s="385">
        <f t="shared" si="150"/>
        <v>7.839999999999999</v>
      </c>
      <c r="Z366" s="385">
        <f t="shared" si="151"/>
        <v>7.8818387163803276</v>
      </c>
      <c r="AA366" s="386">
        <f t="shared" si="152"/>
        <v>8.2077021846271165</v>
      </c>
      <c r="AB366" s="197">
        <f t="shared" si="153"/>
        <v>43452</v>
      </c>
      <c r="AC366" s="427">
        <f t="shared" si="154"/>
        <v>3.9702155477464217E-2</v>
      </c>
      <c r="AD366" s="169">
        <f>(INDEX(Models!$BJ366:$BT366,,AH366)*(1-AF366)+INDEX(Models!$BJ366:$BT366,,AH366+1)*AF366-ERP_i)*AE366*Ramure*Pc/MaxiM</f>
        <v>1.2982667211026207E-2</v>
      </c>
      <c r="AE366" s="305">
        <f t="shared" si="155"/>
        <v>0.7</v>
      </c>
      <c r="AF366" s="177">
        <f t="shared" si="156"/>
        <v>0.50109499433421667</v>
      </c>
      <c r="AG366" s="817">
        <f t="shared" si="157"/>
        <v>-2</v>
      </c>
      <c r="AH366" s="176">
        <f t="shared" si="158"/>
        <v>4</v>
      </c>
      <c r="AI366" s="225">
        <f t="shared" si="159"/>
        <v>-1.4989050056657833</v>
      </c>
      <c r="AJ366" s="265" t="b">
        <f t="shared" si="160"/>
        <v>0</v>
      </c>
      <c r="AK366" s="265" t="b">
        <f t="shared" si="16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62"/>
        <v>43453</v>
      </c>
      <c r="B367" s="617">
        <v>11.18</v>
      </c>
      <c r="C367" s="390"/>
      <c r="D367" s="393">
        <f t="shared" si="139"/>
        <v>11.239909046264282</v>
      </c>
      <c r="E367" s="385">
        <f t="shared" si="165"/>
        <v>11.706229736879187</v>
      </c>
      <c r="F367" s="385">
        <f t="shared" si="164"/>
        <v>11.853484514263302</v>
      </c>
      <c r="G367" s="110">
        <f t="shared" si="166"/>
        <v>0.97525907799806388</v>
      </c>
      <c r="I367" s="380">
        <f t="shared" si="140"/>
        <v>11.853484514263302</v>
      </c>
      <c r="J367" s="85">
        <v>2018</v>
      </c>
      <c r="K367" s="197">
        <f t="shared" si="141"/>
        <v>43453</v>
      </c>
      <c r="L367" s="438">
        <f t="shared" si="142"/>
        <v>5.3300294528800807E-3</v>
      </c>
      <c r="M367" s="861"/>
      <c r="N367" s="861"/>
      <c r="O367" s="324">
        <f t="shared" si="143"/>
        <v>3.9835258755072468E-2</v>
      </c>
      <c r="P367" s="169">
        <f>(INDEX(Models!$BJ367:$BT367,,T367)*(1-R367)+INDEX(Models!$BJ367:$BT367,,T367+1)*R367-ERP_i)*Q367*Ramure*Pc/MaxiM</f>
        <v>1.2869663258128546E-2</v>
      </c>
      <c r="Q367" s="305">
        <f t="shared" si="144"/>
        <v>0.7</v>
      </c>
      <c r="R367" s="177">
        <f t="shared" si="145"/>
        <v>0.50110285350818273</v>
      </c>
      <c r="S367" s="817">
        <f t="shared" si="163"/>
        <v>-2</v>
      </c>
      <c r="T367" s="176">
        <f t="shared" si="146"/>
        <v>4</v>
      </c>
      <c r="U367" s="251">
        <f t="shared" si="147"/>
        <v>-1.4988971464918173</v>
      </c>
      <c r="V367" s="383">
        <f t="shared" si="148"/>
        <v>11.458434714666803</v>
      </c>
      <c r="W367" s="58"/>
      <c r="X367" s="157">
        <f t="shared" si="149"/>
        <v>43453</v>
      </c>
      <c r="Y367" s="385">
        <f t="shared" si="150"/>
        <v>11.18</v>
      </c>
      <c r="Z367" s="385">
        <f t="shared" si="151"/>
        <v>11.239909046264282</v>
      </c>
      <c r="AA367" s="386">
        <f t="shared" si="152"/>
        <v>11.706229736879187</v>
      </c>
      <c r="AB367" s="197">
        <f t="shared" si="153"/>
        <v>43453</v>
      </c>
      <c r="AC367" s="427">
        <f t="shared" si="154"/>
        <v>3.9835258755072468E-2</v>
      </c>
      <c r="AD367" s="169">
        <f>(INDEX(Models!$BJ367:$BT367,,AH367)*(1-AF367)+INDEX(Models!$BJ367:$BT367,,AH367+1)*AF367-ERP_i)*AE367*Ramure*Pc/MaxiM</f>
        <v>1.2869663258128546E-2</v>
      </c>
      <c r="AE367" s="305">
        <f t="shared" si="155"/>
        <v>0.7</v>
      </c>
      <c r="AF367" s="177">
        <f t="shared" si="156"/>
        <v>0.50110285350818273</v>
      </c>
      <c r="AG367" s="817">
        <f t="shared" si="157"/>
        <v>-2</v>
      </c>
      <c r="AH367" s="176">
        <f t="shared" si="158"/>
        <v>4</v>
      </c>
      <c r="AI367" s="225">
        <f t="shared" si="159"/>
        <v>-1.4988971464918173</v>
      </c>
      <c r="AJ367" s="265" t="b">
        <f t="shared" si="160"/>
        <v>0</v>
      </c>
      <c r="AK367" s="265" t="b">
        <f t="shared" si="16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62"/>
        <v>43454</v>
      </c>
      <c r="B368" s="617">
        <v>8.7530000000000001</v>
      </c>
      <c r="C368" s="390"/>
      <c r="D368" s="393">
        <f t="shared" si="139"/>
        <v>8.8000964908474888</v>
      </c>
      <c r="E368" s="385">
        <f t="shared" si="165"/>
        <v>9.1664662737632376</v>
      </c>
      <c r="F368" s="385">
        <f t="shared" si="164"/>
        <v>9.2439921132216334</v>
      </c>
      <c r="G368" s="110">
        <f t="shared" si="166"/>
        <v>0.75650129438126501</v>
      </c>
      <c r="I368" s="380">
        <f t="shared" si="140"/>
        <v>9.2439921132216334</v>
      </c>
      <c r="J368" s="85">
        <v>2018</v>
      </c>
      <c r="K368" s="197">
        <f t="shared" si="141"/>
        <v>43454</v>
      </c>
      <c r="L368" s="438">
        <f t="shared" si="142"/>
        <v>5.3518152779883366E-3</v>
      </c>
      <c r="M368" s="861"/>
      <c r="N368" s="861"/>
      <c r="O368" s="324">
        <f t="shared" si="143"/>
        <v>3.996848643455906E-2</v>
      </c>
      <c r="P368" s="169">
        <f>(INDEX(Models!$BJ368:$BT368,,T368)*(1-R368)+INDEX(Models!$BJ368:$BT368,,T368+1)*R368-ERP_i)*Q368*Ramure*Pc/MaxiM</f>
        <v>1.2766206490458206E-2</v>
      </c>
      <c r="Q368" s="305">
        <f t="shared" si="144"/>
        <v>0.7</v>
      </c>
      <c r="R368" s="177">
        <f t="shared" si="145"/>
        <v>0.50111039648102107</v>
      </c>
      <c r="S368" s="817">
        <f t="shared" si="163"/>
        <v>-2</v>
      </c>
      <c r="T368" s="176">
        <f t="shared" si="146"/>
        <v>4</v>
      </c>
      <c r="U368" s="251">
        <f t="shared" si="147"/>
        <v>-1.4988896035189789</v>
      </c>
      <c r="V368" s="383">
        <f t="shared" si="148"/>
        <v>11.519268134552641</v>
      </c>
      <c r="W368" s="58"/>
      <c r="X368" s="157">
        <f t="shared" si="149"/>
        <v>43454</v>
      </c>
      <c r="Y368" s="385">
        <f t="shared" si="150"/>
        <v>8.7530000000000001</v>
      </c>
      <c r="Z368" s="385">
        <f t="shared" si="151"/>
        <v>8.8000964908474888</v>
      </c>
      <c r="AA368" s="386">
        <f t="shared" si="152"/>
        <v>9.1664662737632376</v>
      </c>
      <c r="AB368" s="197">
        <f t="shared" si="153"/>
        <v>43454</v>
      </c>
      <c r="AC368" s="427">
        <f t="shared" si="154"/>
        <v>3.996848643455906E-2</v>
      </c>
      <c r="AD368" s="169">
        <f>(INDEX(Models!$BJ368:$BT368,,AH368)*(1-AF368)+INDEX(Models!$BJ368:$BT368,,AH368+1)*AF368-ERP_i)*AE368*Ramure*Pc/MaxiM</f>
        <v>1.2766206490458206E-2</v>
      </c>
      <c r="AE368" s="305">
        <f t="shared" si="155"/>
        <v>0.7</v>
      </c>
      <c r="AF368" s="177">
        <f t="shared" si="156"/>
        <v>0.50111039648102107</v>
      </c>
      <c r="AG368" s="817">
        <f t="shared" si="157"/>
        <v>-2</v>
      </c>
      <c r="AH368" s="176">
        <f t="shared" si="158"/>
        <v>4</v>
      </c>
      <c r="AI368" s="225">
        <f t="shared" si="159"/>
        <v>-1.4988896035189789</v>
      </c>
      <c r="AJ368" s="265" t="b">
        <f t="shared" si="160"/>
        <v>0</v>
      </c>
      <c r="AK368" s="265" t="b">
        <f t="shared" si="16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62"/>
        <v>43455</v>
      </c>
      <c r="B369" s="617">
        <v>5.2709999999999999</v>
      </c>
      <c r="C369" s="390"/>
      <c r="D369" s="393">
        <f t="shared" si="139"/>
        <v>5.2994772743988161</v>
      </c>
      <c r="E369" s="385">
        <f t="shared" si="165"/>
        <v>5.5208743738779802</v>
      </c>
      <c r="F369" s="385">
        <f t="shared" si="164"/>
        <v>5.5364061140446461</v>
      </c>
      <c r="G369" s="110">
        <f t="shared" si="166"/>
        <v>0.45044855872975803</v>
      </c>
      <c r="I369" s="380">
        <f t="shared" si="140"/>
        <v>5.5364061140446461</v>
      </c>
      <c r="J369" s="85">
        <v>2018</v>
      </c>
      <c r="K369" s="197">
        <f t="shared" si="141"/>
        <v>43455</v>
      </c>
      <c r="L369" s="438">
        <f t="shared" si="142"/>
        <v>5.3736006259309521E-3</v>
      </c>
      <c r="M369" s="861"/>
      <c r="N369" s="861"/>
      <c r="O369" s="324">
        <f t="shared" si="143"/>
        <v>4.0101818024823134E-2</v>
      </c>
      <c r="P369" s="169">
        <f>(INDEX(Models!$BJ369:$BT369,,T369)*(1-R369)+INDEX(Models!$BJ369:$BT369,,T369+1)*R369-ERP_i)*Q369*Ramure*Pc/MaxiM</f>
        <v>1.267350330776471E-2</v>
      </c>
      <c r="Q369" s="305">
        <f t="shared" si="144"/>
        <v>0.7</v>
      </c>
      <c r="R369" s="177">
        <f t="shared" si="145"/>
        <v>0.50111763596560799</v>
      </c>
      <c r="S369" s="817">
        <f t="shared" si="163"/>
        <v>-2</v>
      </c>
      <c r="T369" s="176">
        <f t="shared" si="146"/>
        <v>4</v>
      </c>
      <c r="U369" s="251">
        <f t="shared" si="147"/>
        <v>-1.498882364034392</v>
      </c>
      <c r="V369" s="383">
        <f t="shared" si="148"/>
        <v>11.585870806177812</v>
      </c>
      <c r="W369" s="58"/>
      <c r="X369" s="157">
        <f t="shared" si="149"/>
        <v>43455</v>
      </c>
      <c r="Y369" s="385">
        <f t="shared" si="150"/>
        <v>5.2709999999999999</v>
      </c>
      <c r="Z369" s="385">
        <f t="shared" si="151"/>
        <v>5.2994772743988161</v>
      </c>
      <c r="AA369" s="386">
        <f t="shared" si="152"/>
        <v>5.5208743738779802</v>
      </c>
      <c r="AB369" s="197">
        <f t="shared" si="153"/>
        <v>43455</v>
      </c>
      <c r="AC369" s="427">
        <f t="shared" si="154"/>
        <v>4.0101818024823134E-2</v>
      </c>
      <c r="AD369" s="169">
        <f>(INDEX(Models!$BJ369:$BT369,,AH369)*(1-AF369)+INDEX(Models!$BJ369:$BT369,,AH369+1)*AF369-ERP_i)*AE369*Ramure*Pc/MaxiM</f>
        <v>1.267350330776471E-2</v>
      </c>
      <c r="AE369" s="305">
        <f t="shared" si="155"/>
        <v>0.7</v>
      </c>
      <c r="AF369" s="177">
        <f t="shared" si="156"/>
        <v>0.50111763596560799</v>
      </c>
      <c r="AG369" s="817">
        <f t="shared" si="157"/>
        <v>-2</v>
      </c>
      <c r="AH369" s="176">
        <f t="shared" si="158"/>
        <v>4</v>
      </c>
      <c r="AI369" s="225">
        <f t="shared" si="159"/>
        <v>-1.498882364034392</v>
      </c>
      <c r="AJ369" s="265" t="b">
        <f t="shared" si="160"/>
        <v>0</v>
      </c>
      <c r="AK369" s="265" t="b">
        <f t="shared" si="16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62"/>
        <v>43456</v>
      </c>
      <c r="B370" s="617">
        <v>4.3520000000000003</v>
      </c>
      <c r="C370" s="390"/>
      <c r="D370" s="393">
        <f t="shared" si="139"/>
        <v>4.3756080924412828</v>
      </c>
      <c r="E370" s="385">
        <f t="shared" si="165"/>
        <v>4.5590422197472202</v>
      </c>
      <c r="F370" s="385">
        <f>Wh_sa/(1-Pvg*MEDIAN((-Sdif+Wh/Env_an)/Csdif,0,1))</f>
        <v>4.565064643227867</v>
      </c>
      <c r="G370" s="110">
        <f t="shared" si="166"/>
        <v>0.36911954703036709</v>
      </c>
      <c r="I370" s="380">
        <f t="shared" si="140"/>
        <v>4.565064643227867</v>
      </c>
      <c r="J370" s="85">
        <v>2018</v>
      </c>
      <c r="K370" s="197">
        <f t="shared" si="141"/>
        <v>43456</v>
      </c>
      <c r="L370" s="438">
        <f t="shared" si="142"/>
        <v>5.3953854967185855E-3</v>
      </c>
      <c r="M370" s="861"/>
      <c r="N370" s="861"/>
      <c r="O370" s="324">
        <f t="shared" si="143"/>
        <v>4.0235233293388489E-2</v>
      </c>
      <c r="P370" s="169">
        <f>(INDEX(Models!$BJ370:$BT370,,T370)*(1-R370)+INDEX(Models!$BJ370:$BT370,,T370+1)*R370-ERP_i)*Q370*Ramure*Pc/MaxiM</f>
        <v>1.2592670977336202E-2</v>
      </c>
      <c r="Q370" s="305">
        <f t="shared" si="144"/>
        <v>0.7</v>
      </c>
      <c r="R370" s="177">
        <f t="shared" si="145"/>
        <v>0.50112458416440542</v>
      </c>
      <c r="S370" s="817">
        <f t="shared" si="163"/>
        <v>-2</v>
      </c>
      <c r="T370" s="176">
        <f t="shared" si="146"/>
        <v>4</v>
      </c>
      <c r="U370" s="251">
        <f t="shared" si="147"/>
        <v>-1.4988754158355946</v>
      </c>
      <c r="V370" s="383">
        <f t="shared" si="148"/>
        <v>11.657126424656351</v>
      </c>
      <c r="W370" s="58"/>
      <c r="X370" s="157">
        <f t="shared" si="149"/>
        <v>43456</v>
      </c>
      <c r="Y370" s="385">
        <f t="shared" si="150"/>
        <v>4.3520000000000003</v>
      </c>
      <c r="Z370" s="385">
        <f t="shared" si="151"/>
        <v>4.3756080924412828</v>
      </c>
      <c r="AA370" s="386">
        <f t="shared" si="152"/>
        <v>4.5590422197472202</v>
      </c>
      <c r="AB370" s="197">
        <f t="shared" si="153"/>
        <v>43456</v>
      </c>
      <c r="AC370" s="427">
        <f t="shared" si="154"/>
        <v>4.0235233293388489E-2</v>
      </c>
      <c r="AD370" s="169">
        <f>(INDEX(Models!$BJ370:$BT370,,AH370)*(1-AF370)+INDEX(Models!$BJ370:$BT370,,AH370+1)*AF370-ERP_i)*AE370*Ramure*Pc/MaxiM</f>
        <v>1.2592670977336202E-2</v>
      </c>
      <c r="AE370" s="305">
        <f t="shared" si="155"/>
        <v>0.7</v>
      </c>
      <c r="AF370" s="177">
        <f t="shared" si="156"/>
        <v>0.50112458416440542</v>
      </c>
      <c r="AG370" s="817">
        <f t="shared" si="157"/>
        <v>-2</v>
      </c>
      <c r="AH370" s="176">
        <f t="shared" si="158"/>
        <v>4</v>
      </c>
      <c r="AI370" s="225">
        <f t="shared" si="159"/>
        <v>-1.4988754158355946</v>
      </c>
      <c r="AJ370" s="265" t="b">
        <f t="shared" si="160"/>
        <v>0</v>
      </c>
      <c r="AK370" s="265" t="b">
        <f t="shared" si="16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62"/>
        <v>43457</v>
      </c>
      <c r="B371" s="617">
        <v>2.9209999999999998</v>
      </c>
      <c r="C371" s="390"/>
      <c r="D371" s="393">
        <f t="shared" si="139"/>
        <v>2.9369097390088688</v>
      </c>
      <c r="E371" s="385">
        <f t="shared" si="165"/>
        <v>3.0604564241960248</v>
      </c>
      <c r="F371" s="385">
        <f t="shared" si="164"/>
        <v>3.0604564241960248</v>
      </c>
      <c r="G371" s="110">
        <f t="shared" si="166"/>
        <v>0.24586047176028616</v>
      </c>
      <c r="I371" s="380">
        <f t="shared" si="140"/>
        <v>3.0604564241960248</v>
      </c>
      <c r="J371" s="85">
        <v>2018</v>
      </c>
      <c r="K371" s="197">
        <f t="shared" si="141"/>
        <v>43457</v>
      </c>
      <c r="L371" s="438">
        <f t="shared" si="142"/>
        <v>5.4171698903616727E-3</v>
      </c>
      <c r="M371" s="861"/>
      <c r="N371" s="861"/>
      <c r="O371" s="324">
        <f t="shared" si="143"/>
        <v>4.0368712395443318E-2</v>
      </c>
      <c r="P371" s="169">
        <f>(INDEX(Models!$BJ371:$BT371,,T371)*(1-R371)+INDEX(Models!$BJ371:$BT371,,T371+1)*R371-ERP_i)*Q371*Ramure*Pc/MaxiM</f>
        <v>1.2524587320813923E-2</v>
      </c>
      <c r="Q371" s="305">
        <f t="shared" si="144"/>
        <v>0.7</v>
      </c>
      <c r="R371" s="177">
        <f t="shared" si="145"/>
        <v>0.50112458416440542</v>
      </c>
      <c r="S371" s="817">
        <f t="shared" si="163"/>
        <v>-2</v>
      </c>
      <c r="T371" s="176">
        <f t="shared" si="146"/>
        <v>4</v>
      </c>
      <c r="U371" s="251">
        <f t="shared" si="147"/>
        <v>-1.4988754158355946</v>
      </c>
      <c r="V371" s="383">
        <f t="shared" si="148"/>
        <v>11.731921198167253</v>
      </c>
      <c r="W371" s="58"/>
      <c r="X371" s="157">
        <f t="shared" si="149"/>
        <v>43457</v>
      </c>
      <c r="Y371" s="385">
        <f t="shared" si="150"/>
        <v>2.9209999999999998</v>
      </c>
      <c r="Z371" s="385">
        <f t="shared" si="151"/>
        <v>2.9369097390088688</v>
      </c>
      <c r="AA371" s="386">
        <f t="shared" si="152"/>
        <v>3.0604564241960248</v>
      </c>
      <c r="AB371" s="197">
        <f t="shared" si="153"/>
        <v>43457</v>
      </c>
      <c r="AC371" s="427">
        <f t="shared" si="154"/>
        <v>4.0368712395443318E-2</v>
      </c>
      <c r="AD371" s="169">
        <f>(INDEX(Models!$BJ371:$BT371,,AH371)*(1-AF371)+INDEX(Models!$BJ371:$BT371,,AH371+1)*AF371-ERP_i)*AE371*Ramure*Pc/MaxiM</f>
        <v>1.2524587320813923E-2</v>
      </c>
      <c r="AE371" s="305">
        <f t="shared" si="155"/>
        <v>0.7</v>
      </c>
      <c r="AF371" s="177">
        <f t="shared" si="156"/>
        <v>0.50112458416440542</v>
      </c>
      <c r="AG371" s="817">
        <f t="shared" si="157"/>
        <v>-2</v>
      </c>
      <c r="AH371" s="176">
        <f t="shared" si="158"/>
        <v>4</v>
      </c>
      <c r="AI371" s="225">
        <f t="shared" si="159"/>
        <v>-1.4988754158355946</v>
      </c>
      <c r="AJ371" s="265" t="b">
        <f t="shared" si="160"/>
        <v>0</v>
      </c>
      <c r="AK371" s="265" t="b">
        <f t="shared" si="16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62"/>
        <v>43458</v>
      </c>
      <c r="B372" s="617">
        <v>3.2210000000000001</v>
      </c>
      <c r="C372" s="390"/>
      <c r="D372" s="393">
        <f t="shared" si="139"/>
        <v>3.2386146756189449</v>
      </c>
      <c r="E372" s="385">
        <f t="shared" si="165"/>
        <v>3.3753227960644958</v>
      </c>
      <c r="F372" s="385">
        <f t="shared" si="164"/>
        <v>3.3753227960644958</v>
      </c>
      <c r="G372" s="110">
        <f t="shared" si="166"/>
        <v>0.269353517308142</v>
      </c>
      <c r="I372" s="380">
        <f t="shared" si="140"/>
        <v>3.3753227960644958</v>
      </c>
      <c r="J372" s="85">
        <v>2018</v>
      </c>
      <c r="K372" s="197">
        <f t="shared" si="141"/>
        <v>43458</v>
      </c>
      <c r="L372" s="438">
        <f t="shared" si="142"/>
        <v>5.43895380687065E-3</v>
      </c>
      <c r="M372" s="861"/>
      <c r="N372" s="861"/>
      <c r="O372" s="324">
        <f t="shared" si="143"/>
        <v>4.0502235995012938E-2</v>
      </c>
      <c r="P372" s="169">
        <f>(INDEX(Models!$BJ372:$BT372,,T372)*(1-R372)+INDEX(Models!$BJ372:$BT372,,T372+1)*R372-ERP_i)*Q372*Ramure*Pc/MaxiM</f>
        <v>1.247036506522051E-2</v>
      </c>
      <c r="Q372" s="305">
        <f t="shared" si="144"/>
        <v>0.7</v>
      </c>
      <c r="R372" s="177">
        <f t="shared" si="145"/>
        <v>0.50112458416440542</v>
      </c>
      <c r="S372" s="817">
        <f t="shared" si="163"/>
        <v>-2</v>
      </c>
      <c r="T372" s="176">
        <f t="shared" si="146"/>
        <v>4</v>
      </c>
      <c r="U372" s="251">
        <f t="shared" si="147"/>
        <v>-1.4988754158355946</v>
      </c>
      <c r="V372" s="383">
        <f t="shared" si="148"/>
        <v>11.809138361783608</v>
      </c>
      <c r="W372" s="58"/>
      <c r="X372" s="157">
        <f t="shared" si="149"/>
        <v>43458</v>
      </c>
      <c r="Y372" s="385">
        <f t="shared" si="150"/>
        <v>3.2210000000000001</v>
      </c>
      <c r="Z372" s="385">
        <f t="shared" si="151"/>
        <v>3.2386146756189449</v>
      </c>
      <c r="AA372" s="386">
        <f t="shared" si="152"/>
        <v>3.3753227960644958</v>
      </c>
      <c r="AB372" s="197">
        <f t="shared" si="153"/>
        <v>43458</v>
      </c>
      <c r="AC372" s="427">
        <f t="shared" si="154"/>
        <v>4.0502235995012938E-2</v>
      </c>
      <c r="AD372" s="169">
        <f>(INDEX(Models!$BJ372:$BT372,,AH372)*(1-AF372)+INDEX(Models!$BJ372:$BT372,,AH372+1)*AF372-ERP_i)*AE372*Ramure*Pc/MaxiM</f>
        <v>1.247036506522051E-2</v>
      </c>
      <c r="AE372" s="305">
        <f t="shared" si="155"/>
        <v>0.7</v>
      </c>
      <c r="AF372" s="177">
        <f t="shared" si="156"/>
        <v>0.50112458416440542</v>
      </c>
      <c r="AG372" s="817">
        <f t="shared" si="157"/>
        <v>-2</v>
      </c>
      <c r="AH372" s="176">
        <f t="shared" si="158"/>
        <v>4</v>
      </c>
      <c r="AI372" s="225">
        <f t="shared" si="159"/>
        <v>-1.4988754158355946</v>
      </c>
      <c r="AJ372" s="265" t="b">
        <f t="shared" si="160"/>
        <v>0</v>
      </c>
      <c r="AK372" s="265" t="b">
        <f t="shared" si="16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62"/>
        <v>43459</v>
      </c>
      <c r="B373" s="617">
        <v>6.8970000000000002</v>
      </c>
      <c r="C373" s="390"/>
      <c r="D373" s="393">
        <f t="shared" si="139"/>
        <v>6.9348695001775438</v>
      </c>
      <c r="E373" s="385">
        <f t="shared" si="165"/>
        <v>7.2286097339014983</v>
      </c>
      <c r="F373" s="385">
        <f t="shared" si="164"/>
        <v>7.2647215358617787</v>
      </c>
      <c r="G373" s="110">
        <f t="shared" si="166"/>
        <v>0.57565522494428101</v>
      </c>
      <c r="I373" s="380">
        <f t="shared" si="140"/>
        <v>7.2647215358617787</v>
      </c>
      <c r="J373" s="85">
        <v>2018</v>
      </c>
      <c r="K373" s="197">
        <f t="shared" si="141"/>
        <v>43459</v>
      </c>
      <c r="L373" s="438">
        <f t="shared" si="142"/>
        <v>5.4607372462559534E-3</v>
      </c>
      <c r="M373" s="861"/>
      <c r="N373" s="861"/>
      <c r="O373" s="324">
        <f t="shared" si="143"/>
        <v>4.0635785377420471E-2</v>
      </c>
      <c r="P373" s="169">
        <f>(INDEX(Models!$BJ373:$BT373,,T373)*(1-R373)+INDEX(Models!$BJ373:$BT373,,T373+1)*R373-ERP_i)*Q373*Ramure*Pc/MaxiM</f>
        <v>1.2427047735470308E-2</v>
      </c>
      <c r="Q373" s="305">
        <f t="shared" si="144"/>
        <v>0.7</v>
      </c>
      <c r="R373" s="177">
        <f t="shared" si="145"/>
        <v>0.50112458416440542</v>
      </c>
      <c r="S373" s="817">
        <f t="shared" si="163"/>
        <v>-2</v>
      </c>
      <c r="T373" s="176">
        <f t="shared" si="146"/>
        <v>4</v>
      </c>
      <c r="U373" s="251">
        <f t="shared" si="147"/>
        <v>-1.4988754158355946</v>
      </c>
      <c r="V373" s="383">
        <f t="shared" si="148"/>
        <v>11.891349831668139</v>
      </c>
      <c r="W373" s="58"/>
      <c r="X373" s="157">
        <f t="shared" si="149"/>
        <v>43459</v>
      </c>
      <c r="Y373" s="385">
        <f t="shared" si="150"/>
        <v>6.8970000000000002</v>
      </c>
      <c r="Z373" s="385">
        <f t="shared" si="151"/>
        <v>6.9348695001775438</v>
      </c>
      <c r="AA373" s="386">
        <f t="shared" si="152"/>
        <v>7.2286097339014983</v>
      </c>
      <c r="AB373" s="197">
        <f t="shared" si="153"/>
        <v>43459</v>
      </c>
      <c r="AC373" s="427">
        <f t="shared" si="154"/>
        <v>4.0635785377420471E-2</v>
      </c>
      <c r="AD373" s="169">
        <f>(INDEX(Models!$BJ373:$BT373,,AH373)*(1-AF373)+INDEX(Models!$BJ373:$BT373,,AH373+1)*AF373-ERP_i)*AE373*Ramure*Pc/MaxiM</f>
        <v>1.2427047735470308E-2</v>
      </c>
      <c r="AE373" s="305">
        <f t="shared" si="155"/>
        <v>0.7</v>
      </c>
      <c r="AF373" s="177">
        <f t="shared" si="156"/>
        <v>0.50112458416440542</v>
      </c>
      <c r="AG373" s="817">
        <f t="shared" si="157"/>
        <v>-2</v>
      </c>
      <c r="AH373" s="176">
        <f t="shared" si="158"/>
        <v>4</v>
      </c>
      <c r="AI373" s="225">
        <f t="shared" si="159"/>
        <v>-1.4988754158355946</v>
      </c>
      <c r="AJ373" s="265" t="b">
        <f t="shared" si="160"/>
        <v>0</v>
      </c>
      <c r="AK373" s="265" t="b">
        <f t="shared" si="16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62"/>
        <v>43460</v>
      </c>
      <c r="B374" s="617">
        <v>12.209</v>
      </c>
      <c r="C374" s="390"/>
      <c r="D374" s="393">
        <f t="shared" si="139"/>
        <v>12.276305090746071</v>
      </c>
      <c r="E374" s="385">
        <f t="shared" si="165"/>
        <v>12.798074160192467</v>
      </c>
      <c r="F374" s="385">
        <f t="shared" si="164"/>
        <v>12.958648457601393</v>
      </c>
      <c r="G374" s="110">
        <f t="shared" si="166"/>
        <v>1.0189782195060653</v>
      </c>
      <c r="I374" s="380">
        <f t="shared" si="140"/>
        <v>12.958648457601393</v>
      </c>
      <c r="J374" s="85">
        <v>2018</v>
      </c>
      <c r="K374" s="197">
        <f t="shared" si="141"/>
        <v>43460</v>
      </c>
      <c r="L374" s="438">
        <f t="shared" si="142"/>
        <v>5.4825202085280189E-3</v>
      </c>
      <c r="M374" s="861"/>
      <c r="N374" s="861"/>
      <c r="O374" s="324">
        <f t="shared" si="143"/>
        <v>4.0769342552282054E-2</v>
      </c>
      <c r="P374" s="169">
        <f>(INDEX(Models!$BJ374:$BT374,,T374)*(1-R374)+INDEX(Models!$BJ374:$BT374,,T374+1)*R374-ERP_i)*Q374*Ramure*Pc/MaxiM</f>
        <v>1.2391284317519667E-2</v>
      </c>
      <c r="Q374" s="305">
        <f t="shared" si="144"/>
        <v>0.7</v>
      </c>
      <c r="R374" s="177">
        <f t="shared" si="145"/>
        <v>0.50112458416440542</v>
      </c>
      <c r="S374" s="817">
        <f t="shared" si="163"/>
        <v>-2</v>
      </c>
      <c r="T374" s="176">
        <f t="shared" si="146"/>
        <v>4</v>
      </c>
      <c r="U374" s="251">
        <f t="shared" si="147"/>
        <v>-1.4988754158355946</v>
      </c>
      <c r="V374" s="383">
        <f t="shared" si="148"/>
        <v>11.9816103683925</v>
      </c>
      <c r="W374" s="58"/>
      <c r="X374" s="157">
        <f t="shared" si="149"/>
        <v>43460</v>
      </c>
      <c r="Y374" s="385">
        <f t="shared" si="150"/>
        <v>12.209</v>
      </c>
      <c r="Z374" s="385">
        <f t="shared" si="151"/>
        <v>12.276305090746071</v>
      </c>
      <c r="AA374" s="386">
        <f t="shared" si="152"/>
        <v>12.798074160192467</v>
      </c>
      <c r="AB374" s="197">
        <f t="shared" si="153"/>
        <v>43460</v>
      </c>
      <c r="AC374" s="427">
        <f t="shared" si="154"/>
        <v>4.0769342552282054E-2</v>
      </c>
      <c r="AD374" s="169">
        <f>(INDEX(Models!$BJ374:$BT374,,AH374)*(1-AF374)+INDEX(Models!$BJ374:$BT374,,AH374+1)*AF374-ERP_i)*AE374*Ramure*Pc/MaxiM</f>
        <v>1.2391284317519667E-2</v>
      </c>
      <c r="AE374" s="305">
        <f t="shared" si="155"/>
        <v>0.7</v>
      </c>
      <c r="AF374" s="177">
        <f t="shared" si="156"/>
        <v>0.50112458416440542</v>
      </c>
      <c r="AG374" s="817">
        <f t="shared" si="157"/>
        <v>-2</v>
      </c>
      <c r="AH374" s="176">
        <f t="shared" si="158"/>
        <v>4</v>
      </c>
      <c r="AI374" s="225">
        <f t="shared" si="159"/>
        <v>-1.4988754158355946</v>
      </c>
      <c r="AJ374" s="265" t="b">
        <f t="shared" si="160"/>
        <v>0</v>
      </c>
      <c r="AK374" s="265" t="b">
        <f t="shared" si="16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62"/>
        <v>43461</v>
      </c>
      <c r="B375" s="617">
        <v>12.43</v>
      </c>
      <c r="C375" s="390"/>
      <c r="D375" s="393">
        <f t="shared" si="139"/>
        <v>12.49879716289168</v>
      </c>
      <c r="E375" s="385">
        <f t="shared" si="165"/>
        <v>13.031836961124466</v>
      </c>
      <c r="F375" s="385">
        <f t="shared" si="164"/>
        <v>13.195050919032267</v>
      </c>
      <c r="G375" s="110">
        <f t="shared" si="166"/>
        <v>1.0290197713274918</v>
      </c>
      <c r="I375" s="380">
        <f t="shared" si="140"/>
        <v>13.195050919032267</v>
      </c>
      <c r="J375" s="85">
        <v>2018</v>
      </c>
      <c r="K375" s="197">
        <f t="shared" si="141"/>
        <v>43461</v>
      </c>
      <c r="L375" s="438">
        <f t="shared" si="142"/>
        <v>5.5043026936972828E-3</v>
      </c>
      <c r="M375" s="861"/>
      <c r="N375" s="861"/>
      <c r="O375" s="324">
        <f t="shared" si="143"/>
        <v>4.0902890346380706E-2</v>
      </c>
      <c r="P375" s="169">
        <f>(INDEX(Models!$BJ375:$BT375,,T375)*(1-R375)+INDEX(Models!$BJ375:$BT375,,T375+1)*R375-ERP_i)*Q375*Ramure*Pc/MaxiM</f>
        <v>1.2369331418978065E-2</v>
      </c>
      <c r="Q375" s="305">
        <f t="shared" si="144"/>
        <v>0.7</v>
      </c>
      <c r="R375" s="177">
        <f t="shared" si="145"/>
        <v>0.50112458416440542</v>
      </c>
      <c r="S375" s="817">
        <f t="shared" si="163"/>
        <v>-2</v>
      </c>
      <c r="T375" s="176">
        <f t="shared" si="146"/>
        <v>4</v>
      </c>
      <c r="U375" s="251">
        <f t="shared" si="147"/>
        <v>-1.4988754158355946</v>
      </c>
      <c r="V375" s="383">
        <f t="shared" si="148"/>
        <v>12.079456922353026</v>
      </c>
      <c r="W375" s="58"/>
      <c r="X375" s="157">
        <f t="shared" si="149"/>
        <v>43461</v>
      </c>
      <c r="Y375" s="385">
        <f t="shared" si="150"/>
        <v>12.43</v>
      </c>
      <c r="Z375" s="385">
        <f t="shared" si="151"/>
        <v>12.49879716289168</v>
      </c>
      <c r="AA375" s="386">
        <f t="shared" si="152"/>
        <v>13.031836961124466</v>
      </c>
      <c r="AB375" s="197">
        <f t="shared" si="153"/>
        <v>43461</v>
      </c>
      <c r="AC375" s="427">
        <f t="shared" si="154"/>
        <v>4.0902890346380706E-2</v>
      </c>
      <c r="AD375" s="169">
        <f>(INDEX(Models!$BJ375:$BT375,,AH375)*(1-AF375)+INDEX(Models!$BJ375:$BT375,,AH375+1)*AF375-ERP_i)*AE375*Ramure*Pc/MaxiM</f>
        <v>1.2369331418978065E-2</v>
      </c>
      <c r="AE375" s="305">
        <f t="shared" si="155"/>
        <v>0.7</v>
      </c>
      <c r="AF375" s="177">
        <f t="shared" si="156"/>
        <v>0.50112458416440542</v>
      </c>
      <c r="AG375" s="817">
        <f t="shared" si="157"/>
        <v>-2</v>
      </c>
      <c r="AH375" s="176">
        <f t="shared" si="158"/>
        <v>4</v>
      </c>
      <c r="AI375" s="225">
        <f t="shared" si="159"/>
        <v>-1.4988754158355946</v>
      </c>
      <c r="AJ375" s="265" t="b">
        <f t="shared" si="160"/>
        <v>0</v>
      </c>
      <c r="AK375" s="265" t="b">
        <f t="shared" si="16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62"/>
        <v>43462</v>
      </c>
      <c r="B376" s="617">
        <v>1.881</v>
      </c>
      <c r="C376" s="390"/>
      <c r="D376" s="393">
        <f t="shared" si="139"/>
        <v>1.8914523257615259</v>
      </c>
      <c r="E376" s="385">
        <f t="shared" si="165"/>
        <v>1.9723922267628828</v>
      </c>
      <c r="F376" s="385">
        <f t="shared" si="164"/>
        <v>1.9723922267628828</v>
      </c>
      <c r="G376" s="110">
        <f t="shared" si="166"/>
        <v>0.15246817511887917</v>
      </c>
      <c r="I376" s="380">
        <f t="shared" si="140"/>
        <v>1.9723922267628828</v>
      </c>
      <c r="J376" s="85">
        <v>2018</v>
      </c>
      <c r="K376" s="197">
        <f t="shared" si="141"/>
        <v>43462</v>
      </c>
      <c r="L376" s="438">
        <f t="shared" si="142"/>
        <v>5.526084701774181E-3</v>
      </c>
      <c r="M376" s="861"/>
      <c r="N376" s="861"/>
      <c r="O376" s="324">
        <f t="shared" si="143"/>
        <v>4.103641248586571E-2</v>
      </c>
      <c r="P376" s="169">
        <f>(INDEX(Models!$BJ376:$BT376,,T376)*(1-R376)+INDEX(Models!$BJ376:$BT376,,T376+1)*R376-ERP_i)*Q376*Ramure*Pc/MaxiM</f>
        <v>1.2353991570136917E-2</v>
      </c>
      <c r="Q376" s="305">
        <f t="shared" si="144"/>
        <v>0.7</v>
      </c>
      <c r="R376" s="177">
        <f t="shared" si="145"/>
        <v>0.50112458416440542</v>
      </c>
      <c r="S376" s="817">
        <f t="shared" si="163"/>
        <v>-2</v>
      </c>
      <c r="T376" s="176">
        <f t="shared" si="146"/>
        <v>4</v>
      </c>
      <c r="U376" s="251">
        <f t="shared" si="147"/>
        <v>-1.4988754158355946</v>
      </c>
      <c r="V376" s="383">
        <f t="shared" si="148"/>
        <v>12.184589606375747</v>
      </c>
      <c r="W376" s="58"/>
      <c r="X376" s="157">
        <f t="shared" si="149"/>
        <v>43462</v>
      </c>
      <c r="Y376" s="385">
        <f t="shared" si="150"/>
        <v>1.881</v>
      </c>
      <c r="Z376" s="385">
        <f t="shared" si="151"/>
        <v>1.8914523257615259</v>
      </c>
      <c r="AA376" s="386">
        <f t="shared" si="152"/>
        <v>1.9723922267628828</v>
      </c>
      <c r="AB376" s="197">
        <f t="shared" si="153"/>
        <v>43462</v>
      </c>
      <c r="AC376" s="427">
        <f t="shared" si="154"/>
        <v>4.103641248586571E-2</v>
      </c>
      <c r="AD376" s="169">
        <f>(INDEX(Models!$BJ376:$BT376,,AH376)*(1-AF376)+INDEX(Models!$BJ376:$BT376,,AH376+1)*AF376-ERP_i)*AE376*Ramure*Pc/MaxiM</f>
        <v>1.2353991570136917E-2</v>
      </c>
      <c r="AE376" s="305">
        <f t="shared" si="155"/>
        <v>0.7</v>
      </c>
      <c r="AF376" s="177">
        <f t="shared" si="156"/>
        <v>0.50112458416440542</v>
      </c>
      <c r="AG376" s="817">
        <f t="shared" si="157"/>
        <v>-2</v>
      </c>
      <c r="AH376" s="176">
        <f t="shared" si="158"/>
        <v>4</v>
      </c>
      <c r="AI376" s="225">
        <f t="shared" si="159"/>
        <v>-1.4988754158355946</v>
      </c>
      <c r="AJ376" s="265" t="b">
        <f t="shared" si="160"/>
        <v>0</v>
      </c>
      <c r="AK376" s="265" t="b">
        <f t="shared" si="16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62"/>
        <v>43463</v>
      </c>
      <c r="B377" s="617">
        <v>2.0870000000000002</v>
      </c>
      <c r="C377" s="390"/>
      <c r="D377" s="393">
        <f t="shared" si="139"/>
        <v>2.0986429905820883</v>
      </c>
      <c r="E377" s="385">
        <f t="shared" si="165"/>
        <v>2.1887537497221197</v>
      </c>
      <c r="F377" s="385">
        <f t="shared" si="164"/>
        <v>2.1887537497221197</v>
      </c>
      <c r="G377" s="110">
        <f t="shared" si="166"/>
        <v>0.16762615524373209</v>
      </c>
      <c r="I377" s="380">
        <f t="shared" si="140"/>
        <v>2.1887537497221197</v>
      </c>
      <c r="J377" s="85">
        <v>2018</v>
      </c>
      <c r="K377" s="197">
        <f t="shared" si="141"/>
        <v>43463</v>
      </c>
      <c r="L377" s="438">
        <f t="shared" si="142"/>
        <v>5.5478662327692607E-3</v>
      </c>
      <c r="M377" s="861"/>
      <c r="N377" s="861"/>
      <c r="O377" s="324">
        <f t="shared" si="143"/>
        <v>4.116989366733087E-2</v>
      </c>
      <c r="P377" s="169">
        <f>(INDEX(Models!$BJ377:$BT377,,T377)*(1-R377)+INDEX(Models!$BJ377:$BT377,,T377+1)*R377-ERP_i)*Q377*Ramure*Pc/MaxiM</f>
        <v>1.2345462183697769E-2</v>
      </c>
      <c r="Q377" s="305">
        <f t="shared" si="144"/>
        <v>0.7</v>
      </c>
      <c r="R377" s="177">
        <f t="shared" si="145"/>
        <v>0.50112458416440542</v>
      </c>
      <c r="S377" s="817">
        <f t="shared" si="163"/>
        <v>-2</v>
      </c>
      <c r="T377" s="176">
        <f t="shared" si="146"/>
        <v>4</v>
      </c>
      <c r="U377" s="251">
        <f t="shared" si="147"/>
        <v>-1.4988754158355946</v>
      </c>
      <c r="V377" s="383">
        <f t="shared" si="148"/>
        <v>12.296619327846196</v>
      </c>
      <c r="W377" s="58"/>
      <c r="X377" s="157">
        <f t="shared" si="149"/>
        <v>43463</v>
      </c>
      <c r="Y377" s="385">
        <f t="shared" si="150"/>
        <v>2.0870000000000002</v>
      </c>
      <c r="Z377" s="385">
        <f t="shared" si="151"/>
        <v>2.0986429905820883</v>
      </c>
      <c r="AA377" s="386">
        <f t="shared" si="152"/>
        <v>2.1887537497221197</v>
      </c>
      <c r="AB377" s="197">
        <f t="shared" si="153"/>
        <v>43463</v>
      </c>
      <c r="AC377" s="427">
        <f t="shared" si="154"/>
        <v>4.116989366733087E-2</v>
      </c>
      <c r="AD377" s="169">
        <f>(INDEX(Models!$BJ377:$BT377,,AH377)*(1-AF377)+INDEX(Models!$BJ377:$BT377,,AH377+1)*AF377-ERP_i)*AE377*Ramure*Pc/MaxiM</f>
        <v>1.2345462183697769E-2</v>
      </c>
      <c r="AE377" s="305">
        <f t="shared" si="155"/>
        <v>0.7</v>
      </c>
      <c r="AF377" s="177">
        <f t="shared" si="156"/>
        <v>0.50112458416440542</v>
      </c>
      <c r="AG377" s="817">
        <f t="shared" si="157"/>
        <v>-2</v>
      </c>
      <c r="AH377" s="176">
        <f t="shared" si="158"/>
        <v>4</v>
      </c>
      <c r="AI377" s="225">
        <f t="shared" si="159"/>
        <v>-1.4988754158355946</v>
      </c>
      <c r="AJ377" s="265" t="b">
        <f t="shared" si="160"/>
        <v>0</v>
      </c>
      <c r="AK377" s="265" t="b">
        <f t="shared" si="161"/>
        <v>0</v>
      </c>
      <c r="AL377" s="265"/>
      <c r="AM377" s="265"/>
      <c r="AN377" s="75"/>
    </row>
    <row r="378" spans="1:40" s="6" customFormat="1" ht="11.25" x14ac:dyDescent="0.2">
      <c r="A378" s="56">
        <f t="shared" si="162"/>
        <v>43464</v>
      </c>
      <c r="B378" s="617">
        <v>1.9770000000000001</v>
      </c>
      <c r="C378" s="390"/>
      <c r="D378" s="393">
        <f t="shared" si="139"/>
        <v>1.9880728646362691</v>
      </c>
      <c r="E378" s="385">
        <f t="shared" si="165"/>
        <v>2.0737245734938137</v>
      </c>
      <c r="F378" s="385">
        <f t="shared" si="164"/>
        <v>2.0737245734938137</v>
      </c>
      <c r="G378" s="110">
        <f t="shared" si="166"/>
        <v>0.15727518017625147</v>
      </c>
      <c r="I378" s="380">
        <f t="shared" si="140"/>
        <v>2.0737245734938137</v>
      </c>
      <c r="J378" s="85">
        <v>2018</v>
      </c>
      <c r="K378" s="197">
        <f t="shared" si="141"/>
        <v>43464</v>
      </c>
      <c r="L378" s="438">
        <f t="shared" si="142"/>
        <v>5.569647286692847E-3</v>
      </c>
      <c r="M378" s="861"/>
      <c r="N378" s="861"/>
      <c r="O378" s="324">
        <f t="shared" si="143"/>
        <v>4.1303319617435323E-2</v>
      </c>
      <c r="P378" s="169">
        <f>(INDEX(Models!$BJ378:$BT378,,T378)*(1-R378)+INDEX(Models!$BJ378:$BT378,,T378+1)*R378-ERP_i)*Q378*Ramure*Pc/MaxiM</f>
        <v>1.2343912182465383E-2</v>
      </c>
      <c r="Q378" s="305">
        <f t="shared" si="144"/>
        <v>0.7</v>
      </c>
      <c r="R378" s="177">
        <f t="shared" si="145"/>
        <v>0.50112458416440542</v>
      </c>
      <c r="S378" s="817">
        <f t="shared" si="163"/>
        <v>-2</v>
      </c>
      <c r="T378" s="176">
        <f t="shared" si="146"/>
        <v>4</v>
      </c>
      <c r="U378" s="251">
        <f t="shared" si="147"/>
        <v>-1.4988754158355946</v>
      </c>
      <c r="V378" s="383">
        <f t="shared" si="148"/>
        <v>12.415157200437324</v>
      </c>
      <c r="W378" s="58"/>
      <c r="X378" s="157">
        <f t="shared" si="149"/>
        <v>43464</v>
      </c>
      <c r="Y378" s="385">
        <f t="shared" si="150"/>
        <v>1.9770000000000001</v>
      </c>
      <c r="Z378" s="385">
        <f t="shared" si="151"/>
        <v>1.9880728646362691</v>
      </c>
      <c r="AA378" s="386">
        <f t="shared" si="152"/>
        <v>2.0737245734938137</v>
      </c>
      <c r="AB378" s="197">
        <f t="shared" si="153"/>
        <v>43464</v>
      </c>
      <c r="AC378" s="427">
        <f t="shared" si="154"/>
        <v>4.1303319617435323E-2</v>
      </c>
      <c r="AD378" s="169">
        <f>(INDEX(Models!$BJ378:$BT378,,AH378)*(1-AF378)+INDEX(Models!$BJ378:$BT378,,AH378+1)*AF378-ERP_i)*AE378*Ramure*Pc/MaxiM</f>
        <v>1.2343912182465383E-2</v>
      </c>
      <c r="AE378" s="305">
        <f t="shared" si="155"/>
        <v>0.7</v>
      </c>
      <c r="AF378" s="177">
        <f t="shared" si="156"/>
        <v>0.50112458416440542</v>
      </c>
      <c r="AG378" s="817">
        <f t="shared" si="157"/>
        <v>-2</v>
      </c>
      <c r="AH378" s="176">
        <f t="shared" si="158"/>
        <v>4</v>
      </c>
      <c r="AI378" s="225">
        <f t="shared" si="159"/>
        <v>-1.4988754158355946</v>
      </c>
      <c r="AJ378" s="265" t="b">
        <f t="shared" si="160"/>
        <v>0</v>
      </c>
      <c r="AK378" s="265" t="b">
        <f t="shared" si="161"/>
        <v>0</v>
      </c>
      <c r="AL378" s="265"/>
      <c r="AM378" s="265"/>
      <c r="AN378" s="75"/>
    </row>
    <row r="379" spans="1:40" s="18" customFormat="1" ht="12.75" x14ac:dyDescent="0.2">
      <c r="A379" s="56">
        <f t="shared" si="162"/>
        <v>43465</v>
      </c>
      <c r="B379" s="617">
        <v>3.0169999999999999</v>
      </c>
      <c r="C379" s="390"/>
      <c r="D379" s="393">
        <f t="shared" si="139"/>
        <v>3.0339641919197295</v>
      </c>
      <c r="E379" s="385">
        <f t="shared" si="165"/>
        <v>3.1651160852578437</v>
      </c>
      <c r="F379" s="385">
        <f t="shared" si="164"/>
        <v>3.1651160852578437</v>
      </c>
      <c r="G379" s="110">
        <f t="shared" si="166"/>
        <v>0.23762246208530166</v>
      </c>
      <c r="I379" s="380">
        <f t="shared" si="140"/>
        <v>3.1651160852578437</v>
      </c>
      <c r="J379" s="85">
        <v>2018</v>
      </c>
      <c r="K379" s="197">
        <f t="shared" si="141"/>
        <v>43465</v>
      </c>
      <c r="L379" s="438">
        <f>IF(t&lt;T0,0,IF(t&lt;Tvie,1-EXP((T0-t)*PertePVj),1-EXP((T0-t)*PertePVj)+Pspv))</f>
        <v>5.591427863555487E-3</v>
      </c>
      <c r="M379" s="861"/>
      <c r="N379" s="861"/>
      <c r="O379" s="324">
        <f t="shared" si="143"/>
        <v>4.1436677140841767E-2</v>
      </c>
      <c r="P379" s="169">
        <f>(INDEX(Models!$BJ379:$BT379,,T379)*(1-R379)+INDEX(Models!$BJ379:$BT379,,T379+1)*R379-ERP_i)*Q379*Ramure*Pc/MaxiM</f>
        <v>1.2349484004259829E-2</v>
      </c>
      <c r="Q379" s="306">
        <f t="shared" si="144"/>
        <v>0.7</v>
      </c>
      <c r="R379" s="177">
        <f t="shared" si="145"/>
        <v>0.50112458416440542</v>
      </c>
      <c r="S379" s="817">
        <f t="shared" si="163"/>
        <v>-2</v>
      </c>
      <c r="T379" s="176">
        <f t="shared" si="146"/>
        <v>4</v>
      </c>
      <c r="U379" s="307">
        <f t="shared" si="147"/>
        <v>-1.4988754158355946</v>
      </c>
      <c r="V379" s="383">
        <f t="shared" si="148"/>
        <v>12.539814547033355</v>
      </c>
      <c r="W379" s="392"/>
      <c r="X379" s="157">
        <f t="shared" si="149"/>
        <v>43465</v>
      </c>
      <c r="Y379" s="385">
        <f t="shared" si="150"/>
        <v>3.0169999999999999</v>
      </c>
      <c r="Z379" s="385">
        <f t="shared" si="151"/>
        <v>3.0339641919197295</v>
      </c>
      <c r="AA379" s="386">
        <f t="shared" si="152"/>
        <v>3.1651160852578437</v>
      </c>
      <c r="AB379" s="197">
        <f t="shared" si="153"/>
        <v>43465</v>
      </c>
      <c r="AC379" s="427">
        <f t="shared" si="154"/>
        <v>4.1436677140841767E-2</v>
      </c>
      <c r="AD379" s="169">
        <f>(INDEX(Models!$BJ379:$BT379,,AH379)*(1-AF379)+INDEX(Models!$BJ379:$BT379,,AH379+1)*AF379-ERP_i)*AE379*Ramure*Pc/MaxiM</f>
        <v>1.2349484004259829E-2</v>
      </c>
      <c r="AE379" s="306">
        <f t="shared" si="155"/>
        <v>0.7</v>
      </c>
      <c r="AF379" s="177">
        <f t="shared" si="156"/>
        <v>0.50112458416440542</v>
      </c>
      <c r="AG379" s="817">
        <f t="shared" si="157"/>
        <v>-2</v>
      </c>
      <c r="AH379" s="176">
        <f t="shared" si="158"/>
        <v>4</v>
      </c>
      <c r="AI379" s="222">
        <f t="shared" si="159"/>
        <v>-1.4988754158355946</v>
      </c>
      <c r="AJ379" s="265" t="b">
        <f t="shared" si="160"/>
        <v>0</v>
      </c>
      <c r="AK379" s="265" t="b">
        <f t="shared" si="161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3"/>
      <c r="C380" s="860"/>
      <c r="D380" s="394"/>
      <c r="E380" s="395"/>
      <c r="F380" s="395"/>
      <c r="G380" s="97"/>
      <c r="I380" s="381">
        <f t="shared" si="140"/>
        <v>0</v>
      </c>
      <c r="J380" s="151">
        <v>2018</v>
      </c>
      <c r="K380" s="199"/>
      <c r="L380" s="469"/>
      <c r="M380" s="862"/>
      <c r="N380" s="862"/>
      <c r="O380" s="470"/>
      <c r="P380" s="228"/>
      <c r="Q380" s="229"/>
      <c r="R380" s="229"/>
      <c r="S380" s="229"/>
      <c r="T380" s="229"/>
      <c r="U380" s="308"/>
      <c r="V380" s="384"/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60"/>
        <v>1</v>
      </c>
      <c r="AK380" s="265" t="b">
        <f t="shared" si="161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0.96699999999999997</v>
      </c>
      <c r="C381" s="375"/>
      <c r="D381" s="373">
        <f>MIN(D15:D380)</f>
        <v>0.97205400474279913</v>
      </c>
      <c r="E381" s="373">
        <f>MIN(E15:E380)</f>
        <v>1.0115438921376847</v>
      </c>
      <c r="F381" s="374">
        <f>MIN(F15:F380)</f>
        <v>1.0115438921376847</v>
      </c>
      <c r="G381" s="125">
        <f>+MIN(G15:G380)</f>
        <v>8.4578596478428109E-2</v>
      </c>
      <c r="H381" s="93"/>
      <c r="I381" s="374">
        <f>MIN(I15:I380)</f>
        <v>0</v>
      </c>
      <c r="J381" s="165">
        <f>MIN(J15:J380)</f>
        <v>2018</v>
      </c>
      <c r="K381" s="200" t="s">
        <v>7</v>
      </c>
      <c r="L381" s="146">
        <f t="shared" ref="L381:T381" si="167">MIN(L15:L380)</f>
        <v>0</v>
      </c>
      <c r="M381" s="852"/>
      <c r="N381" s="852"/>
      <c r="O381" s="47">
        <f t="shared" si="167"/>
        <v>0</v>
      </c>
      <c r="P381" s="168">
        <f t="shared" si="167"/>
        <v>0</v>
      </c>
      <c r="Q381" s="310">
        <f t="shared" si="167"/>
        <v>0.7</v>
      </c>
      <c r="R381" s="311">
        <f t="shared" si="167"/>
        <v>1.1258572005763412E-3</v>
      </c>
      <c r="S381" s="817">
        <f t="shared" si="167"/>
        <v>-2</v>
      </c>
      <c r="T381" s="176">
        <f t="shared" si="167"/>
        <v>4</v>
      </c>
      <c r="U381" s="252">
        <f>+MIN(U15:U380)</f>
        <v>-1.9988741427994237</v>
      </c>
      <c r="V381" s="373">
        <f>MIN(V15:V380)</f>
        <v>11.276980393205111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68">MIN(AC15:AC380)</f>
        <v>0</v>
      </c>
      <c r="AD381" s="168">
        <f t="shared" si="168"/>
        <v>0</v>
      </c>
      <c r="AE381" s="310">
        <f t="shared" si="168"/>
        <v>0.7</v>
      </c>
      <c r="AF381" s="311">
        <f t="shared" si="168"/>
        <v>1.1258572005763412E-3</v>
      </c>
      <c r="AG381" s="817">
        <f t="shared" si="168"/>
        <v>-2</v>
      </c>
      <c r="AH381" s="176">
        <f t="shared" si="168"/>
        <v>4</v>
      </c>
      <c r="AI381" s="226">
        <f>MIN(AI15:AI380)</f>
        <v>-1.9988741427994237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21.336137440758296</v>
      </c>
      <c r="C382" s="375"/>
      <c r="D382" s="375">
        <f>AVERAGE(D15:D380)</f>
        <v>21.394694688692191</v>
      </c>
      <c r="E382" s="375">
        <f>AVERAGE(E15:E380)</f>
        <v>21.891122772489695</v>
      </c>
      <c r="F382" s="376">
        <f>AVERAGE(F15:F380)</f>
        <v>21.918512129645173</v>
      </c>
      <c r="G382" s="126">
        <f>AVERAGE(G15:G380)</f>
        <v>0.698164627040885</v>
      </c>
      <c r="H382" s="94"/>
      <c r="I382" s="376">
        <f>AVERAGE(I15:I380)</f>
        <v>12.636082129385606</v>
      </c>
      <c r="J382" s="166">
        <f>AVERAGE(J15:J380)</f>
        <v>2018</v>
      </c>
      <c r="K382" s="200" t="s">
        <v>8</v>
      </c>
      <c r="L382" s="147">
        <f t="shared" ref="L382:V382" si="169">AVERAGE(L15:L380)</f>
        <v>1.9703213925225047E-3</v>
      </c>
      <c r="M382" s="850"/>
      <c r="N382" s="850"/>
      <c r="O382" s="48">
        <f t="shared" si="169"/>
        <v>1.5856234773287643E-2</v>
      </c>
      <c r="P382" s="169">
        <f t="shared" si="169"/>
        <v>2.64929559982305E-3</v>
      </c>
      <c r="Q382" s="312">
        <f t="shared" si="169"/>
        <v>0.69999999999999529</v>
      </c>
      <c r="R382" s="177">
        <f t="shared" si="169"/>
        <v>0.28100945419972001</v>
      </c>
      <c r="S382" s="817">
        <f t="shared" si="169"/>
        <v>-2</v>
      </c>
      <c r="T382" s="176">
        <f t="shared" si="169"/>
        <v>4</v>
      </c>
      <c r="U382" s="251">
        <f t="shared" si="169"/>
        <v>-1.718990545800281</v>
      </c>
      <c r="V382" s="375">
        <f t="shared" si="169"/>
        <v>30.356945777574264</v>
      </c>
      <c r="X382" s="112" t="s">
        <v>8</v>
      </c>
      <c r="Y382" s="375">
        <f>AVERAGE(Y15:Y380)</f>
        <v>12.334041095890411</v>
      </c>
      <c r="Z382" s="375">
        <f>AVERAGE(Z15:Z380)</f>
        <v>12.367891998120692</v>
      </c>
      <c r="AA382" s="375">
        <f>AVERAGE(AA15:AA380)</f>
        <v>12.654868232863906</v>
      </c>
      <c r="AB382" s="200" t="s">
        <v>8</v>
      </c>
      <c r="AC382" s="48">
        <f t="shared" ref="AC382:AH382" si="170">AVERAGE(AC15:AC380)</f>
        <v>1.5856234773287643E-2</v>
      </c>
      <c r="AD382" s="169">
        <f t="shared" si="170"/>
        <v>2.64929559982305E-3</v>
      </c>
      <c r="AE382" s="312">
        <f t="shared" si="170"/>
        <v>0.69999999999999529</v>
      </c>
      <c r="AF382" s="177">
        <f t="shared" si="170"/>
        <v>0.28100945419972001</v>
      </c>
      <c r="AG382" s="817">
        <f t="shared" si="170"/>
        <v>-2</v>
      </c>
      <c r="AH382" s="176">
        <f t="shared" si="170"/>
        <v>4</v>
      </c>
      <c r="AI382" s="225">
        <f>AVERAGE(AI15:AI380)</f>
        <v>-1.718990545800281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42.720999999999997</v>
      </c>
      <c r="C383" s="377"/>
      <c r="D383" s="377">
        <f>MAX(D15:D380)</f>
        <v>42.781864451752362</v>
      </c>
      <c r="E383" s="377">
        <f>MAX(E15:E380)</f>
        <v>43.321618231322205</v>
      </c>
      <c r="F383" s="378">
        <f>MAX(F15:F380)</f>
        <v>43.321618231322205</v>
      </c>
      <c r="G383" s="127">
        <f>+MAX(G15:G380)</f>
        <v>1.0430424631291131</v>
      </c>
      <c r="H383" s="94"/>
      <c r="I383" s="378">
        <f>MAX(I15:I380)</f>
        <v>43.321618231322205</v>
      </c>
      <c r="J383" s="167">
        <f>MAX(J15:J380)</f>
        <v>2018</v>
      </c>
      <c r="K383" s="200" t="s">
        <v>9</v>
      </c>
      <c r="L383" s="148">
        <f t="shared" ref="L383:T383" si="171">MAX(L15:L380)</f>
        <v>5.591427863555487E-3</v>
      </c>
      <c r="M383" s="853"/>
      <c r="N383" s="853"/>
      <c r="O383" s="49">
        <f t="shared" si="171"/>
        <v>4.1436677140841767E-2</v>
      </c>
      <c r="P383" s="170">
        <f t="shared" si="171"/>
        <v>1.4676894442806411E-2</v>
      </c>
      <c r="Q383" s="313">
        <f t="shared" si="171"/>
        <v>0.7</v>
      </c>
      <c r="R383" s="314">
        <f t="shared" si="171"/>
        <v>0.50112458416440542</v>
      </c>
      <c r="S383" s="818">
        <f t="shared" si="171"/>
        <v>-2</v>
      </c>
      <c r="T383" s="233">
        <f t="shared" si="171"/>
        <v>4</v>
      </c>
      <c r="U383" s="253">
        <f>+MAX(U15:U380)</f>
        <v>-1.4988754158355946</v>
      </c>
      <c r="V383" s="377">
        <f>MAX(V15:V380)</f>
        <v>43.2489853260739</v>
      </c>
      <c r="X383" s="112" t="s">
        <v>9</v>
      </c>
      <c r="Y383" s="377">
        <f>MAX(Y15:Y380)</f>
        <v>42.720999999999997</v>
      </c>
      <c r="Z383" s="377">
        <f>MAX(Z15:Z380)</f>
        <v>42.781864451752362</v>
      </c>
      <c r="AA383" s="377">
        <f>MAX(AA15:AA380)</f>
        <v>43.321618231322205</v>
      </c>
      <c r="AB383" s="200" t="s">
        <v>9</v>
      </c>
      <c r="AC383" s="49">
        <f t="shared" ref="AC383:AH383" si="172">MAX(AC15:AC380)</f>
        <v>4.1436677140841767E-2</v>
      </c>
      <c r="AD383" s="170">
        <f t="shared" si="172"/>
        <v>1.4676894442806411E-2</v>
      </c>
      <c r="AE383" s="313">
        <f t="shared" si="172"/>
        <v>0.7</v>
      </c>
      <c r="AF383" s="314">
        <f t="shared" si="172"/>
        <v>0.50112458416440542</v>
      </c>
      <c r="AG383" s="818">
        <f t="shared" si="172"/>
        <v>-2</v>
      </c>
      <c r="AH383" s="233">
        <f t="shared" si="172"/>
        <v>4</v>
      </c>
      <c r="AI383" s="227">
        <f>MAX(AI15:AI380)</f>
        <v>-1.4988754158355946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65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67</v>
      </c>
      <c r="H384" s="404"/>
      <c r="I384" s="405" t="s">
        <v>6</v>
      </c>
      <c r="J384" s="405" t="s">
        <v>113</v>
      </c>
      <c r="K384" s="406"/>
      <c r="L384" s="405" t="s">
        <v>66</v>
      </c>
      <c r="M384" s="407"/>
      <c r="N384" s="407"/>
      <c r="O384" s="407" t="s">
        <v>66</v>
      </c>
      <c r="P384" s="407" t="s">
        <v>66</v>
      </c>
      <c r="Q384" s="405" t="s">
        <v>66</v>
      </c>
      <c r="R384" s="405" t="s">
        <v>67</v>
      </c>
      <c r="S384" s="405" t="s">
        <v>81</v>
      </c>
      <c r="T384" s="405" t="s">
        <v>67</v>
      </c>
      <c r="U384" s="408" t="s">
        <v>81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66</v>
      </c>
      <c r="AD384" s="405" t="s">
        <v>66</v>
      </c>
      <c r="AE384" s="405" t="s">
        <v>66</v>
      </c>
      <c r="AF384" s="405" t="s">
        <v>67</v>
      </c>
      <c r="AG384" s="405" t="s">
        <v>81</v>
      </c>
      <c r="AH384" s="405" t="s">
        <v>67</v>
      </c>
      <c r="AI384" s="408" t="s">
        <v>81</v>
      </c>
      <c r="AJ384" s="835"/>
      <c r="AK384" s="835"/>
      <c r="AL384" s="835"/>
      <c r="AM384" s="835"/>
      <c r="AN384" s="404"/>
    </row>
    <row r="385" spans="6:6" x14ac:dyDescent="0.25">
      <c r="F385" s="403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20" priority="4" stopIfTrue="1" operator="lessThan">
      <formula>0.01</formula>
    </cfRule>
    <cfRule type="cellIs" dxfId="19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pane="topRight"/>
      <selection pane="bottomLeft"/>
      <selection pane="bottomRight" activeCell="AC10" sqref="AC1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39">
        <f>'2018'!An+1</f>
        <v>2019</v>
      </c>
      <c r="K1" s="1240"/>
      <c r="L1" s="113" t="str">
        <f>"Calcul pertes et enveloppes en "&amp;TEXT(An,0)</f>
        <v>Calcul pertes et enveloppes en 2019</v>
      </c>
      <c r="M1" s="243"/>
      <c r="N1" s="243"/>
      <c r="V1" s="458"/>
      <c r="W1" s="456"/>
      <c r="X1" s="486" t="str">
        <f>"Prévision sans nettoyage ni taille végétation en "&amp;TEXT(An,0)</f>
        <v>Prévision sans nettoyage ni taille végétation en 2019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4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91"/>
      <c r="R2" s="18"/>
      <c r="S2" s="494"/>
      <c r="T2" s="494"/>
      <c r="U2" s="294" t="s">
        <v>75</v>
      </c>
      <c r="V2" s="495">
        <f>PertePVan</f>
        <v>8.0000000000000002E-3</v>
      </c>
      <c r="W2" s="451" t="s">
        <v>14</v>
      </c>
      <c r="X2" s="496"/>
      <c r="Y2" s="497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40" t="s">
        <v>272</v>
      </c>
      <c r="AK2" s="840" t="s">
        <v>274</v>
      </c>
      <c r="AL2" s="840" t="s">
        <v>273</v>
      </c>
      <c r="AM2" s="840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49">
        <f>Tmaj</f>
        <v>44926</v>
      </c>
      <c r="F3" s="1249"/>
      <c r="G3" s="471"/>
      <c r="H3" s="75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51"/>
      <c r="U3" s="209" t="s">
        <v>164</v>
      </c>
      <c r="V3" s="634">
        <f>Salim_i</f>
        <v>0.14000000000000001</v>
      </c>
      <c r="W3" s="451"/>
      <c r="X3" s="501" t="s">
        <v>92</v>
      </c>
      <c r="Y3" s="502"/>
      <c r="Z3" s="503"/>
      <c r="AA3" s="497"/>
      <c r="AB3" s="497"/>
      <c r="AC3" s="429"/>
      <c r="AD3" s="429"/>
      <c r="AE3" s="429"/>
      <c r="AF3" s="429"/>
      <c r="AG3" s="429"/>
      <c r="AH3" s="429"/>
      <c r="AI3" s="429"/>
      <c r="AJ3" s="838">
        <f>AL11-AJ11</f>
        <v>0</v>
      </c>
      <c r="AK3" s="839">
        <f>AM11-AK11</f>
        <v>0</v>
      </c>
      <c r="AL3" s="838"/>
      <c r="AM3" s="839"/>
      <c r="AN3" s="837" t="s">
        <v>281</v>
      </c>
    </row>
    <row r="4" spans="1:40" s="19" customFormat="1" ht="16.5" customHeight="1" x14ac:dyDescent="0.3">
      <c r="A4" s="35"/>
      <c r="B4" s="28"/>
      <c r="C4" s="28"/>
      <c r="D4" s="83" t="s">
        <v>128</v>
      </c>
      <c r="E4" s="1188" t="str">
        <f>Station</f>
        <v>Donneville</v>
      </c>
      <c r="F4" s="1189"/>
      <c r="G4" s="1189"/>
      <c r="H4" s="1189"/>
      <c r="I4" s="1190"/>
      <c r="J4" s="158"/>
      <c r="K4" s="191"/>
      <c r="L4" s="505"/>
      <c r="M4" s="504"/>
      <c r="N4" s="504"/>
      <c r="O4" s="429"/>
      <c r="P4" s="34"/>
      <c r="Q4" s="504"/>
      <c r="R4" s="34"/>
      <c r="S4" s="494"/>
      <c r="T4" s="409"/>
      <c r="U4" s="295" t="s">
        <v>78</v>
      </c>
      <c r="V4" s="633">
        <f>Persistant</f>
        <v>0.8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9"/>
      <c r="AD4" s="429"/>
      <c r="AE4" s="429"/>
      <c r="AF4" s="429"/>
      <c r="AG4" s="429"/>
      <c r="AH4" s="429"/>
      <c r="AI4" s="429"/>
      <c r="AJ4" s="838">
        <f>AL12-AJ12</f>
        <v>0</v>
      </c>
      <c r="AK4" s="839">
        <f>AM12-AK12</f>
        <v>0</v>
      </c>
      <c r="AL4" s="838"/>
      <c r="AM4" s="839"/>
      <c r="AN4" s="837" t="s">
        <v>282</v>
      </c>
    </row>
    <row r="5" spans="1:40" s="35" customFormat="1" ht="16.5" customHeight="1" x14ac:dyDescent="0.25">
      <c r="D5" s="161" t="s">
        <v>20</v>
      </c>
      <c r="E5" s="1250">
        <f>T0</f>
        <v>43209</v>
      </c>
      <c r="F5" s="1250"/>
      <c r="G5" s="34"/>
      <c r="H5" s="334"/>
      <c r="I5" s="158"/>
      <c r="K5" s="192"/>
      <c r="L5" s="505"/>
      <c r="M5" s="504"/>
      <c r="N5" s="504"/>
      <c r="O5" s="429"/>
      <c r="P5" s="507"/>
      <c r="Q5" s="507"/>
      <c r="R5" s="494"/>
      <c r="S5" s="498"/>
      <c r="T5" s="498"/>
      <c r="U5" s="512"/>
      <c r="V5" s="506"/>
      <c r="W5" s="507"/>
      <c r="X5" s="508"/>
      <c r="Y5" s="509"/>
      <c r="Z5" s="236">
        <f>Wh_Psa_s-Wh_Psa</f>
        <v>0</v>
      </c>
      <c r="AA5" s="237">
        <f>Wh_Pvg_s-Wh_Pvg</f>
        <v>0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7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51">
        <f>Tservice</f>
        <v>43249</v>
      </c>
      <c r="F6" s="1251"/>
      <c r="G6" s="95"/>
      <c r="H6" s="35"/>
      <c r="I6" s="35"/>
      <c r="J6" s="8"/>
      <c r="K6" s="193"/>
      <c r="L6" s="154" t="s">
        <v>79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2"/>
      <c r="X6" s="496"/>
      <c r="Y6" s="497"/>
      <c r="Z6" s="462"/>
      <c r="AA6" s="462"/>
      <c r="AB6" s="515"/>
      <c r="AC6" s="530"/>
      <c r="AD6" s="462"/>
      <c r="AE6" s="462"/>
      <c r="AF6" s="462"/>
      <c r="AG6" s="462"/>
      <c r="AH6" s="462"/>
      <c r="AI6" s="462"/>
      <c r="AJ6" s="515">
        <f>SUMIF(AJ15:AJ380,"FAUX",Wh)</f>
        <v>7466.1250000000009</v>
      </c>
      <c r="AK6" s="515">
        <f>SUMIF(AK15:AK380,"FAUX",Wh)</f>
        <v>7466.1250000000009</v>
      </c>
      <c r="AL6" s="515">
        <f>SUMIF(AJ15:AJ380,"FAUX",Wh_s)</f>
        <v>7466.1250000000009</v>
      </c>
      <c r="AM6" s="515">
        <f>SUMIF(AK15:AK380,"FAUX",Wh_s)</f>
        <v>7466.1250000000009</v>
      </c>
      <c r="AN6" s="837" t="s">
        <v>279</v>
      </c>
    </row>
    <row r="7" spans="1:40" s="40" customFormat="1" ht="15" customHeight="1" x14ac:dyDescent="0.25">
      <c r="A7" s="183"/>
      <c r="B7" s="178"/>
      <c r="C7" s="178"/>
      <c r="D7" s="22" t="s">
        <v>108</v>
      </c>
      <c r="E7" s="320" t="b">
        <f>AND(YEAR(Tnet)=An,Resal_2019="I")</f>
        <v>0</v>
      </c>
      <c r="F7" s="320" t="b">
        <f>YEAR(Tnet)=An</f>
        <v>0</v>
      </c>
      <c r="H7" s="335"/>
      <c r="J7" s="178"/>
      <c r="K7" s="191"/>
      <c r="L7" s="189" t="s">
        <v>77</v>
      </c>
      <c r="M7" s="848"/>
      <c r="N7" s="848"/>
      <c r="O7" s="18"/>
      <c r="P7" s="118"/>
      <c r="Q7" s="118"/>
      <c r="R7" s="141"/>
      <c r="S7" s="141"/>
      <c r="T7" s="141"/>
      <c r="U7" s="141"/>
      <c r="V7" s="429"/>
      <c r="W7" s="517"/>
      <c r="X7" s="518"/>
      <c r="Y7" s="248"/>
      <c r="Z7" s="517"/>
      <c r="AA7" s="517"/>
      <c r="AB7" s="517"/>
      <c r="AC7" s="530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7" t="s">
        <v>270</v>
      </c>
    </row>
    <row r="8" spans="1:40" s="6" customFormat="1" ht="15" customHeight="1" x14ac:dyDescent="0.25">
      <c r="A8" s="34"/>
      <c r="B8" s="210"/>
      <c r="C8" s="210"/>
      <c r="D8" s="22" t="s">
        <v>80</v>
      </c>
      <c r="E8" s="320" t="b">
        <f>AND(YEAR(Tnet)=An,Resal_2019&lt;&gt;"I")</f>
        <v>0</v>
      </c>
      <c r="F8" s="321" t="b">
        <f>YEAR(Ttai)=An</f>
        <v>0</v>
      </c>
      <c r="H8" s="336" t="s">
        <v>72</v>
      </c>
      <c r="I8" s="98"/>
      <c r="J8" s="158"/>
      <c r="K8" s="191"/>
      <c r="L8" s="114"/>
      <c r="M8" s="114"/>
      <c r="N8" s="114"/>
      <c r="O8" s="115" t="s">
        <v>59</v>
      </c>
      <c r="P8" s="18"/>
      <c r="Q8" s="18"/>
      <c r="R8" s="18"/>
      <c r="S8" s="18"/>
      <c r="T8" s="18"/>
      <c r="U8" s="18"/>
      <c r="V8" s="517"/>
      <c r="W8" s="404"/>
      <c r="X8" s="1237" t="s">
        <v>98</v>
      </c>
      <c r="Y8" s="1238"/>
      <c r="Z8" s="497"/>
      <c r="AA8" s="497"/>
      <c r="AB8" s="462"/>
      <c r="AC8" s="519" t="s">
        <v>59</v>
      </c>
      <c r="AD8" s="462"/>
      <c r="AE8" s="462"/>
      <c r="AF8" s="462"/>
      <c r="AG8" s="462"/>
      <c r="AH8" s="462"/>
      <c r="AI8" s="462"/>
      <c r="AJ8" s="515">
        <f>SUMIF(AJ15:AJ380,"FAUX",Wh_pvt)</f>
        <v>7536.5685934282792</v>
      </c>
      <c r="AK8" s="515">
        <f>SUMIF(AK15:AK380,"FAUX",Wh_sa)</f>
        <v>8048.4256972867379</v>
      </c>
      <c r="AL8" s="515">
        <f>SUMIF(AJ15:AJ380,"FAUX",Wh_pvt_s)</f>
        <v>7536.5685934282792</v>
      </c>
      <c r="AM8" s="515">
        <f>SUMIF(AK15:AK380,"FAUX",Wh_sa_s)</f>
        <v>8048.4256972867379</v>
      </c>
      <c r="AN8" s="837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7536.5685934282792</v>
      </c>
      <c r="E9" s="184">
        <f>SUM(E$15:E$380)</f>
        <v>8048.4256972867379</v>
      </c>
      <c r="F9" s="184">
        <f>SUM(F$15:F$380)</f>
        <v>8061.4591059419599</v>
      </c>
      <c r="H9" s="1241">
        <f>+SUM(Wh)</f>
        <v>7466.1250000000009</v>
      </c>
      <c r="I9" s="1242"/>
      <c r="J9" s="1243"/>
      <c r="K9" s="191"/>
      <c r="L9" s="114"/>
      <c r="M9" s="114"/>
      <c r="N9" s="114"/>
      <c r="O9" s="223">
        <f>Tnet_2019</f>
        <v>43209</v>
      </c>
      <c r="P9" s="244" t="s">
        <v>87</v>
      </c>
      <c r="Q9" s="245"/>
      <c r="R9" s="245"/>
      <c r="S9" s="245"/>
      <c r="T9" s="245"/>
      <c r="U9" s="246"/>
      <c r="V9" s="462"/>
      <c r="W9" s="520"/>
      <c r="X9" s="1235">
        <f>+SUM(Wh_s)</f>
        <v>7466.1250000000009</v>
      </c>
      <c r="Y9" s="1236"/>
      <c r="Z9" s="515">
        <f>SUM(Z$15:Z$380)</f>
        <v>7536.5685934282792</v>
      </c>
      <c r="AA9" s="515">
        <f>SUM(AA$15:AA$380)</f>
        <v>8048.4256972867379</v>
      </c>
      <c r="AB9" s="515">
        <f>F9</f>
        <v>8061.4591059419599</v>
      </c>
      <c r="AC9" s="325">
        <f>IF(An_Tnet,Tnet,'2018'!Tnet_s)</f>
        <v>43209</v>
      </c>
      <c r="AD9" s="316" t="s">
        <v>87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7" t="s">
        <v>276</v>
      </c>
    </row>
    <row r="10" spans="1:40" s="19" customFormat="1" ht="15" customHeight="1" x14ac:dyDescent="0.25">
      <c r="A10" s="206"/>
      <c r="B10" s="207"/>
      <c r="C10" s="844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IF(Inflex,'2018'!Resal+('2018'!Salim-'2018'!Resal)*(1-EXP(('2018'!Tnet-Tnet)/('2018'!Tau_j))),IF(An_Tnet,Resal_2019,'2018'!Resal))</f>
        <v>0</v>
      </c>
      <c r="P10" s="422" t="b">
        <f>NOT(Acti_tai)</f>
        <v>1</v>
      </c>
      <c r="Q10" s="257">
        <f>IF(Acti_tai,'2018'!PousD,Dens-Dd)</f>
        <v>0</v>
      </c>
      <c r="R10" s="274"/>
      <c r="S10" s="275"/>
      <c r="T10" s="276"/>
      <c r="U10" s="266">
        <f>IF(Acti_tai,'2018'!PousH,Hdtf-Hdd)</f>
        <v>0.39887541583559449</v>
      </c>
      <c r="V10" s="429"/>
      <c r="W10" s="504"/>
      <c r="X10" s="505"/>
      <c r="Y10" s="521" t="s">
        <v>26</v>
      </c>
      <c r="Z10" s="511" t="s">
        <v>27</v>
      </c>
      <c r="AA10" s="511" t="s">
        <v>28</v>
      </c>
      <c r="AB10" s="429"/>
      <c r="AC10" s="318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9"/>
      <c r="AE10" s="429"/>
      <c r="AF10" s="260"/>
      <c r="AG10" s="261"/>
      <c r="AH10" s="262"/>
      <c r="AI10" s="522"/>
      <c r="AJ10" s="515">
        <f>SUMIF(AJ15:AJ380,"FAUX",Wh_sa)</f>
        <v>8048.4256972867379</v>
      </c>
      <c r="AK10" s="515">
        <f>SUMIF(AK15:AK380,"FAUX",Wh_hp)</f>
        <v>8061.4591059419599</v>
      </c>
      <c r="AL10" s="515">
        <f>SUMIF(AJ15:AJ380,"FAUX",Wh_sa_s)</f>
        <v>8048.4256972867379</v>
      </c>
      <c r="AM10" s="515">
        <f>SUMIF(AK15:AK380,"FAUX",Wh_hp)</f>
        <v>8061.4591059419599</v>
      </c>
      <c r="AN10" s="837" t="s">
        <v>277</v>
      </c>
    </row>
    <row r="11" spans="1:40" s="40" customFormat="1" ht="15" customHeight="1" x14ac:dyDescent="0.25">
      <c r="A11" s="216"/>
      <c r="B11" s="217" t="s">
        <v>43</v>
      </c>
      <c r="C11" s="845"/>
      <c r="D11" s="50">
        <f>D$9-Prod_an</f>
        <v>70.443593428278291</v>
      </c>
      <c r="E11" s="51">
        <f>(E$9-D$9)*Prod_an/D$9</f>
        <v>507.07282394770164</v>
      </c>
      <c r="F11" s="186">
        <f>(F$9-E$9)*Prod_an/E$9</f>
        <v>12.090446238296549</v>
      </c>
      <c r="G11" s="185" t="s">
        <v>6</v>
      </c>
      <c r="H11" s="335"/>
      <c r="K11" s="194"/>
      <c r="L11" s="182">
        <f>Tvie_2019</f>
        <v>43209</v>
      </c>
      <c r="M11" s="849"/>
      <c r="N11" s="849"/>
      <c r="O11" s="202">
        <f>IF(An_Tnet,Salim_2019,'2018'!Salim)</f>
        <v>0.14000000000000001</v>
      </c>
      <c r="P11" s="256">
        <f>Ttai_2019</f>
        <v>43101</v>
      </c>
      <c r="Q11" s="272">
        <f>Dens_2019</f>
        <v>0.7</v>
      </c>
      <c r="R11" s="277"/>
      <c r="S11" s="230"/>
      <c r="T11" s="230"/>
      <c r="U11" s="266">
        <f>Htf_2019</f>
        <v>-1.1000000000000001</v>
      </c>
      <c r="V11" s="429"/>
      <c r="W11" s="518"/>
      <c r="X11" s="525" t="s">
        <v>43</v>
      </c>
      <c r="Y11" s="50">
        <f>Z$9-Prod_an_s</f>
        <v>70.443593428278291</v>
      </c>
      <c r="Z11" s="51">
        <f>(AA$9-Z$9)*Prod_an_s/Z$9</f>
        <v>507.07282394770164</v>
      </c>
      <c r="AA11" s="186">
        <f>(AB$9-AA$9)*Prod_an_s/AA$9</f>
        <v>12.090446238296549</v>
      </c>
      <c r="AB11" s="526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8">
        <f>IF($AJ7=0,0,($AJ9-$AJ7)*$AJ5/$AJ7)</f>
        <v>0</v>
      </c>
      <c r="AK11" s="839">
        <f>IF($AK7=0,0,($AK9-$AK7)*$AK5/$AK7)</f>
        <v>0</v>
      </c>
      <c r="AL11" s="838">
        <f>IF($AL7=0,0,($AL9-$AL7)*$AL5/$AL7)</f>
        <v>0</v>
      </c>
      <c r="AM11" s="839">
        <f>IF($AM7=0,0,($AM9-$AM7)*$AM5/$AM7)</f>
        <v>0</v>
      </c>
      <c r="AN11" s="837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4.5482611965049102E-2</v>
      </c>
      <c r="H12" s="28"/>
      <c r="K12" s="191"/>
      <c r="L12" s="204">
        <f>Pspv_2019</f>
        <v>0</v>
      </c>
      <c r="M12" s="212"/>
      <c r="N12" s="212"/>
      <c r="O12" s="205">
        <f>IF(An_Tnet,Tau_2019*365,'2018'!Tau_j)</f>
        <v>730</v>
      </c>
      <c r="P12" s="281">
        <f>INDEX(Croivg,MIN(MAX(Ttai-$A$15,0)+1,366))</f>
        <v>2.3909964587625958E-6</v>
      </c>
      <c r="Q12" s="280">
        <f>'2018'!Df</f>
        <v>0.7</v>
      </c>
      <c r="R12" s="278"/>
      <c r="S12" s="279"/>
      <c r="T12" s="279"/>
      <c r="U12" s="267">
        <f>'2018'!Hdf</f>
        <v>-1.4988754158355946</v>
      </c>
      <c r="V12" s="517"/>
      <c r="W12" s="504"/>
      <c r="X12" s="505"/>
      <c r="Y12" s="504"/>
      <c r="Z12" s="429"/>
      <c r="AA12" s="429"/>
      <c r="AB12" s="531"/>
      <c r="AC12" s="318" t="b">
        <f>NOT(An_Tnet)</f>
        <v>1</v>
      </c>
      <c r="AD12" s="429"/>
      <c r="AE12" s="296">
        <f>'2018'!Df_s</f>
        <v>0.7</v>
      </c>
      <c r="AF12" s="203"/>
      <c r="AG12" s="203"/>
      <c r="AH12" s="203"/>
      <c r="AI12" s="297">
        <f>'2018'!Hdf_s</f>
        <v>-1.4988754158355946</v>
      </c>
      <c r="AJ12" s="838">
        <f>IF($AJ8=0,0,($AJ10-$AJ8)*$AJ6/$AJ8)</f>
        <v>507.07282394770164</v>
      </c>
      <c r="AK12" s="839">
        <f>IF($AK8=0,0,($AK10-$AK8)*$AK6/$AK8)</f>
        <v>12.090446238296549</v>
      </c>
      <c r="AL12" s="838">
        <f>IF($AL8=0,0,($AL10-$AL8)*$AL6/$AL8)</f>
        <v>507.07282394770164</v>
      </c>
      <c r="AM12" s="839">
        <f>IF($AM8=0,0,($AM10-$AM8)*$AM6/$AM8)</f>
        <v>12.090446238296549</v>
      </c>
      <c r="AN12" s="837" t="s">
        <v>284</v>
      </c>
    </row>
    <row r="13" spans="1:40" s="37" customFormat="1" ht="11.25" x14ac:dyDescent="0.2">
      <c r="A13" s="130" t="s">
        <v>64</v>
      </c>
      <c r="B13" s="124" t="s">
        <v>34</v>
      </c>
      <c r="C13" s="124"/>
      <c r="D13" s="124" t="s">
        <v>68</v>
      </c>
      <c r="E13" s="124" t="s">
        <v>69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733" t="s">
        <v>202</v>
      </c>
      <c r="V13" s="124" t="s">
        <v>41</v>
      </c>
      <c r="W13" s="842" t="s">
        <v>46</v>
      </c>
      <c r="X13" s="259"/>
      <c r="Y13" s="124" t="s">
        <v>96</v>
      </c>
      <c r="Z13" s="124" t="s">
        <v>97</v>
      </c>
      <c r="AA13" s="124" t="s">
        <v>70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507.07282394770164</v>
      </c>
      <c r="AK13" s="73">
        <f>+AK11+AK12</f>
        <v>12.090446238296549</v>
      </c>
      <c r="AL13" s="73">
        <f>+AL11+AL12</f>
        <v>507.07282394770164</v>
      </c>
      <c r="AM13" s="73">
        <f>+AM11+AM12</f>
        <v>12.090446238296549</v>
      </c>
      <c r="AN13" s="836" t="s">
        <v>285</v>
      </c>
    </row>
    <row r="14" spans="1:40" s="46" customFormat="1" ht="40.5" customHeight="1" thickBot="1" x14ac:dyDescent="0.25">
      <c r="A14" s="45" t="s">
        <v>2</v>
      </c>
      <c r="B14" s="389" t="s">
        <v>187</v>
      </c>
      <c r="C14" s="389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3" t="s">
        <v>112</v>
      </c>
      <c r="I14" s="415" t="s">
        <v>3</v>
      </c>
      <c r="J14" s="79" t="s">
        <v>31</v>
      </c>
      <c r="K14" s="196"/>
      <c r="L14" s="23" t="s">
        <v>63</v>
      </c>
      <c r="M14" s="23"/>
      <c r="N14" s="23"/>
      <c r="O14" s="23" t="s">
        <v>61</v>
      </c>
      <c r="P14" s="23" t="s">
        <v>83</v>
      </c>
      <c r="Q14" s="23" t="s">
        <v>84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2019</v>
      </c>
      <c r="W14" s="120"/>
      <c r="X14" s="258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131</v>
      </c>
      <c r="AD14" s="23" t="s">
        <v>132</v>
      </c>
      <c r="AE14" s="331" t="s">
        <v>95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7" t="s">
        <v>268</v>
      </c>
      <c r="AK14" s="697" t="s">
        <v>269</v>
      </c>
      <c r="AL14" s="265"/>
      <c r="AM14" s="265"/>
      <c r="AN14" s="75"/>
    </row>
    <row r="15" spans="1:40" s="6" customFormat="1" ht="11.25" x14ac:dyDescent="0.2">
      <c r="A15" s="56">
        <f>DATE(An,1,1)</f>
        <v>43466</v>
      </c>
      <c r="B15" s="616">
        <v>1.129</v>
      </c>
      <c r="C15" s="390"/>
      <c r="D15" s="393">
        <f t="shared" ref="D15:D78" si="0">Wh/(1-Ppv)</f>
        <v>1.135373085243482</v>
      </c>
      <c r="E15" s="385">
        <f t="shared" ref="E15:E79" si="1">Wh_pvt/(1-Psa)</f>
        <v>1.184617583898981</v>
      </c>
      <c r="F15" s="385">
        <f t="shared" ref="F15:F78" si="2">Wh_sa/(1-Pvg*MEDIAN((-Sdif+Wh/Env_an)/Csdif,0,1))</f>
        <v>1.184617583898981</v>
      </c>
      <c r="G15" s="110">
        <f>+Wh_hp/MaxiM</f>
        <v>8.8005138979450934E-2</v>
      </c>
      <c r="H15" s="414" t="b">
        <f>Wh_hp&gt;='2018'!Maxi_hp</f>
        <v>1</v>
      </c>
      <c r="I15" s="396">
        <f>IF(H15,Wh_hp,'2018'!Maxi_hp)</f>
        <v>1.184617583898981</v>
      </c>
      <c r="J15" s="84">
        <f>IF(H15,An,'2018'!An_max)</f>
        <v>2019</v>
      </c>
      <c r="K15" s="197">
        <f t="shared" ref="K15:K78" si="3">t</f>
        <v>43466</v>
      </c>
      <c r="L15" s="146">
        <f>IF(t&lt;Tvie,1-EXP((T0-t)*PertePVj)+'2018'!Pspv,1-EXP((T0-t)*PertePVj)+Pspv)</f>
        <v>5.6132079633676168E-3</v>
      </c>
      <c r="M15" s="852"/>
      <c r="N15" s="852"/>
      <c r="O15" s="423">
        <f>IF(t&lt;Tnet,'2018'!Resal+('2018'!Salim-'2018'!Resal)*(1-EXP(('2018'!Tnet-t)/('2018'!Tau_j))),Resal+(Salim-Resal)*(1-EXP((Tnet-t)/(Tau_j))))*Salcycl</f>
        <v>4.1569954156360278E-2</v>
      </c>
      <c r="P15" s="302">
        <f>(INDEX(Models!$BJ15:$BT15,,T15)*(1-R15)+INDEX(Models!$BJ15:$BT15,,T15+1)*R15-ERP_i)*Q15*Ramure*Pc/MaxiM</f>
        <v>1.2362319384913827E-2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0.50112553787411218</v>
      </c>
      <c r="S15" s="816">
        <f t="shared" ref="S15:S78" si="6">INDEX(Echel_vg,T15)</f>
        <v>-2</v>
      </c>
      <c r="T15" s="249">
        <f t="shared" ref="T15:T78" si="7">MIN(MATCH(Hp_vg,Echel_vg),10)</f>
        <v>4</v>
      </c>
      <c r="U15" s="250">
        <f>IF(OR(t&lt;Ttai,Notai),Hdd+PousH*Croivg,Hdtf+PousH*(Croivg-Croi_tai))</f>
        <v>-1.4988744621258878</v>
      </c>
      <c r="V15" s="382">
        <f t="shared" ref="V15:V78" si="8">MaxiM*(1-Ppv)*(1-Pvg)*(1-Psa)</f>
        <v>12.670202607995348</v>
      </c>
      <c r="W15" s="424"/>
      <c r="X15" s="425">
        <f t="shared" ref="X15:X78" si="9">t</f>
        <v>43466</v>
      </c>
      <c r="Y15" s="385">
        <f t="shared" ref="Y15:Y78" si="10">Wh_pvt_s*(1-Ppv)</f>
        <v>1.129</v>
      </c>
      <c r="Z15" s="385">
        <f t="shared" ref="Z15:Z78" si="11">Wh_sa_s*(1-Psa_s)</f>
        <v>1.135373085243482</v>
      </c>
      <c r="AA15" s="386">
        <f t="shared" ref="AA15:AA78" si="12">Wh_hp*(1-Pvg_s*MEDIAN((-Sdif+Wh/Env_an)/Csdif,0,1))</f>
        <v>1.184617583898981</v>
      </c>
      <c r="AB15" s="426">
        <f t="shared" ref="AB15:AB78" si="13">t</f>
        <v>43466</v>
      </c>
      <c r="AC15" s="427">
        <f>IF(OR(t&lt;Tnet,NoTnet),'2018'!Resal_s+('2018'!Salim-'2018'!Resal_s)*(1-EXP(('2018'!Tnet_s-t)/'2018'!Tau_j)),Resal_s+(Salim-Resal_s)*(1-EXP((Tnet_s-t)/Tau_j)))*Salcycl</f>
        <v>4.1569954156360278E-2</v>
      </c>
      <c r="AD15" s="231">
        <f>(INDEX(Models!$BJ15:$BT15,,AH15)*(1-AF15)+INDEX(Models!$BJ15:$BT15,,AH15+1)*AF15-ERP_i)*AE15*Ramure*Pc/MaxiM</f>
        <v>1.2362319384913827E-2</v>
      </c>
      <c r="AE15" s="303">
        <f t="shared" ref="AE15:AE78" si="14">IF(OR(t&lt;Ttai,Notai),Dd_s+PousD*Croivg,Dens_s+PousD*(Croivg-Croi_tai))</f>
        <v>0.7</v>
      </c>
      <c r="AF15" s="304">
        <f t="shared" ref="AF15:AF78" si="15">(Hp_vg_s-AG15)/(INDEX(Echel_vg,AH15+1)-AG15)</f>
        <v>0.50112553787411218</v>
      </c>
      <c r="AG15" s="249">
        <f t="shared" ref="AG15:AG78" si="16">INDEX(Echel_vg,AH15)</f>
        <v>-2</v>
      </c>
      <c r="AH15" s="249">
        <f t="shared" ref="AH15:AH78" si="17">MIN(MATCH(Hp_vg_s,Echel_vg),10)</f>
        <v>4</v>
      </c>
      <c r="AI15" s="224">
        <f>IF(OR(t&lt;Ttai,Notai),Hdd_s+PousH*Croivg,Hdtai_s+PousH*(Croivg-Croi_tai))</f>
        <v>-1.4988744621258878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20">A15+1</f>
        <v>43467</v>
      </c>
      <c r="B16" s="617">
        <v>4.5839999999999996</v>
      </c>
      <c r="C16" s="390"/>
      <c r="D16" s="393">
        <f t="shared" si="0"/>
        <v>4.6099771640920455</v>
      </c>
      <c r="E16" s="385">
        <f t="shared" si="1"/>
        <v>4.8105940394621785</v>
      </c>
      <c r="F16" s="385">
        <f t="shared" si="2"/>
        <v>4.8155281364652964</v>
      </c>
      <c r="G16" s="110">
        <f>+Wh_hp/MaxiM</f>
        <v>0.35388924581382669</v>
      </c>
      <c r="H16" s="414" t="b">
        <f>Wh_hp&gt;='2018'!Maxi_hp</f>
        <v>1</v>
      </c>
      <c r="I16" s="390">
        <f>IF(H16,Wh_hp,'2018'!Maxi_hp)</f>
        <v>4.8155281364652964</v>
      </c>
      <c r="J16" s="85">
        <f>IF(H16,An,'2018'!An_max)</f>
        <v>2019</v>
      </c>
      <c r="K16" s="197">
        <f t="shared" si="3"/>
        <v>43467</v>
      </c>
      <c r="L16" s="147">
        <f>IF(t&lt;Tvie,1-EXP((T0-t)*PertePVj)+'2018'!Pspv,1-EXP((T0-t)*PertePVj)+Pspv)</f>
        <v>5.6349875861396725E-3</v>
      </c>
      <c r="M16" s="850"/>
      <c r="N16" s="850"/>
      <c r="O16" s="48">
        <f>IF(t&lt;Tnet,'2018'!Resal+('2018'!Salim-'2018'!Resal)*(1-EXP(('2018'!Tnet-t)/('2018'!Tau_j))),Resal+(Salim-Resal)*(1-EXP((Tnet-t)/(Tau_j))))*Salcycl</f>
        <v>4.1703139721297661E-2</v>
      </c>
      <c r="P16" s="169">
        <f>(INDEX(Models!$BJ16:$BT16,,T16)*(1-R16)+INDEX(Models!$BJ16:$BT16,,T16+1)*R16-ERP_i)*Q16*Ramure*Pc/MaxiM</f>
        <v>1.2375411077707316E-2</v>
      </c>
      <c r="Q16" s="305">
        <f t="shared" si="4"/>
        <v>0.7</v>
      </c>
      <c r="R16" s="177">
        <f t="shared" si="5"/>
        <v>0.50114884385672309</v>
      </c>
      <c r="S16" s="817">
        <f t="shared" si="6"/>
        <v>-2</v>
      </c>
      <c r="T16" s="176">
        <f t="shared" si="7"/>
        <v>4</v>
      </c>
      <c r="U16" s="251">
        <f t="shared" ref="U16:U78" si="21">IF(OR(t&lt;Ttai,Notai),Hdd+PousH*Croivg,Hdtf+PousH*(Croivg-Croi_tai))</f>
        <v>-1.4988511561432769</v>
      </c>
      <c r="V16" s="383">
        <f t="shared" si="8"/>
        <v>12.806025245252725</v>
      </c>
      <c r="W16" s="58"/>
      <c r="X16" s="157">
        <f t="shared" si="9"/>
        <v>43467</v>
      </c>
      <c r="Y16" s="385">
        <f t="shared" si="10"/>
        <v>4.5839999999999996</v>
      </c>
      <c r="Z16" s="385">
        <f t="shared" si="11"/>
        <v>4.6099771640920455</v>
      </c>
      <c r="AA16" s="386">
        <f t="shared" si="12"/>
        <v>4.8105940394621785</v>
      </c>
      <c r="AB16" s="197">
        <f t="shared" si="13"/>
        <v>43467</v>
      </c>
      <c r="AC16" s="427">
        <f>IF(OR(t&lt;Tnet,NoTnet),'2018'!Resal_s+('2018'!Salim-'2018'!Resal_s)*(1-EXP(('2018'!Tnet_s-t)/'2018'!Tau_j)),Resal_s+(Salim-Resal_s)*(1-EXP((Tnet_s-t)/Tau_j)))*Salcycl</f>
        <v>4.1703139721297661E-2</v>
      </c>
      <c r="AD16" s="231">
        <f>(INDEX(Models!$BJ16:$BT16,,AH16)*(1-AF16)+INDEX(Models!$BJ16:$BT16,,AH16+1)*AF16-ERP_i)*AE16*Ramure*Pc/MaxiM</f>
        <v>1.2375411077707316E-2</v>
      </c>
      <c r="AE16" s="305">
        <f t="shared" si="14"/>
        <v>0.7</v>
      </c>
      <c r="AF16" s="177">
        <f t="shared" si="15"/>
        <v>0.50114884385672309</v>
      </c>
      <c r="AG16" s="176">
        <f t="shared" si="16"/>
        <v>-2</v>
      </c>
      <c r="AH16" s="176">
        <f t="shared" si="17"/>
        <v>4</v>
      </c>
      <c r="AI16" s="225">
        <f t="shared" ref="AI16:AI78" si="22">IF(OR(t&lt;Ttai,Notai),Hdd_s+PousH*Croivg,Hdtai_s+PousH*(Croivg-Croi_tai))</f>
        <v>-1.4988511561432769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20"/>
        <v>43468</v>
      </c>
      <c r="B17" s="617">
        <v>13.29</v>
      </c>
      <c r="C17" s="390"/>
      <c r="D17" s="393">
        <f t="shared" si="0"/>
        <v>13.365606116028587</v>
      </c>
      <c r="E17" s="385">
        <f>Wh_pvt/(1-Psa)</f>
        <v>13.949187447307628</v>
      </c>
      <c r="F17" s="385">
        <f t="shared" si="2"/>
        <v>14.124165439868252</v>
      </c>
      <c r="G17" s="110">
        <f t="shared" ref="G17:G79" si="23">+Wh_hp/MaxiM</f>
        <v>1.0265004598735612</v>
      </c>
      <c r="H17" s="414" t="b">
        <f>Wh_hp&gt;='2018'!Maxi_hp</f>
        <v>1</v>
      </c>
      <c r="I17" s="390">
        <f>IF(H17,Wh_hp,'2018'!Maxi_hp)</f>
        <v>14.124165439868252</v>
      </c>
      <c r="J17" s="85">
        <f>IF(H17,An,'2018'!An_max)</f>
        <v>2019</v>
      </c>
      <c r="K17" s="197">
        <f t="shared" si="3"/>
        <v>43468</v>
      </c>
      <c r="L17" s="147">
        <f>IF(t&lt;Tvie,1-EXP((T0-t)*PertePVj)+'2018'!Pspv,1-EXP((T0-t)*PertePVj)+Pspv)</f>
        <v>5.6567667318819792E-3</v>
      </c>
      <c r="M17" s="850"/>
      <c r="N17" s="850"/>
      <c r="O17" s="48">
        <f>IF(t&lt;Tnet,'2018'!Resal+('2018'!Salim-'2018'!Resal)*(1-EXP(('2018'!Tnet-t)/('2018'!Tau_j))),Resal+(Salim-Resal)*(1-EXP((Tnet-t)/(Tau_j))))*Salcycl</f>
        <v>4.1836224044123835E-2</v>
      </c>
      <c r="P17" s="169">
        <f>(INDEX(Models!$BJ17:$BT17,,T17)*(1-R17)+INDEX(Models!$BJ17:$BT17,,T17+1)*R17-ERP_i)*Q17*Ramure*Pc/MaxiM</f>
        <v>1.2388554446318882E-2</v>
      </c>
      <c r="Q17" s="305">
        <f t="shared" si="4"/>
        <v>0.7</v>
      </c>
      <c r="R17" s="177">
        <f t="shared" si="5"/>
        <v>0.50117312467608799</v>
      </c>
      <c r="S17" s="817">
        <f t="shared" si="6"/>
        <v>-2</v>
      </c>
      <c r="T17" s="176">
        <f t="shared" si="7"/>
        <v>4</v>
      </c>
      <c r="U17" s="251">
        <f t="shared" si="21"/>
        <v>-1.498826875323912</v>
      </c>
      <c r="V17" s="383">
        <f t="shared" si="8"/>
        <v>12.946901165185048</v>
      </c>
      <c r="W17" s="58"/>
      <c r="X17" s="157">
        <f t="shared" si="9"/>
        <v>43468</v>
      </c>
      <c r="Y17" s="385">
        <f t="shared" si="10"/>
        <v>13.29</v>
      </c>
      <c r="Z17" s="385">
        <f t="shared" si="11"/>
        <v>13.365606116028587</v>
      </c>
      <c r="AA17" s="386">
        <f t="shared" si="12"/>
        <v>13.949187447307628</v>
      </c>
      <c r="AB17" s="197">
        <f t="shared" si="13"/>
        <v>43468</v>
      </c>
      <c r="AC17" s="427">
        <f>IF(OR(t&lt;Tnet,NoTnet),'2018'!Resal_s+('2018'!Salim-'2018'!Resal_s)*(1-EXP(('2018'!Tnet_s-t)/'2018'!Tau_j)),Resal_s+(Salim-Resal_s)*(1-EXP((Tnet_s-t)/Tau_j)))*Salcycl</f>
        <v>4.1836224044123835E-2</v>
      </c>
      <c r="AD17" s="231">
        <f>(INDEX(Models!$BJ17:$BT17,,AH17)*(1-AF17)+INDEX(Models!$BJ17:$BT17,,AH17+1)*AF17-ERP_i)*AE17*Ramure*Pc/MaxiM</f>
        <v>1.2388554446318882E-2</v>
      </c>
      <c r="AE17" s="305">
        <f t="shared" si="14"/>
        <v>0.7</v>
      </c>
      <c r="AF17" s="177">
        <f t="shared" si="15"/>
        <v>0.50117312467608799</v>
      </c>
      <c r="AG17" s="176">
        <f t="shared" si="16"/>
        <v>-2</v>
      </c>
      <c r="AH17" s="176">
        <f t="shared" si="17"/>
        <v>4</v>
      </c>
      <c r="AI17" s="225">
        <f t="shared" si="22"/>
        <v>-1.498826875323912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0"/>
        <v>43469</v>
      </c>
      <c r="B18" s="617">
        <v>13.297000000000001</v>
      </c>
      <c r="C18" s="390"/>
      <c r="D18" s="393">
        <f t="shared" si="0"/>
        <v>13.372938840344412</v>
      </c>
      <c r="E18" s="385">
        <f>Wh_pvt/(1-Psa)</f>
        <v>13.958777545780666</v>
      </c>
      <c r="F18" s="385">
        <f t="shared" si="2"/>
        <v>14.134069142951605</v>
      </c>
      <c r="G18" s="110">
        <f>+Wh_hp/MaxiM</f>
        <v>1.0156240821844431</v>
      </c>
      <c r="H18" s="414" t="b">
        <f>Wh_hp&gt;='2018'!Maxi_hp</f>
        <v>1</v>
      </c>
      <c r="I18" s="390">
        <f>IF(H18,Wh_hp,'2018'!Maxi_hp)</f>
        <v>14.134069142951605</v>
      </c>
      <c r="J18" s="85">
        <f>IF(H18,An,'2018'!An_max)</f>
        <v>2019</v>
      </c>
      <c r="K18" s="197">
        <f>t</f>
        <v>43469</v>
      </c>
      <c r="L18" s="147">
        <f>IF(t&lt;Tvie,1-EXP((T0-t)*PertePVj)+'2018'!Pspv,1-EXP((T0-t)*PertePVj)+Pspv)</f>
        <v>5.678545400605195E-3</v>
      </c>
      <c r="M18" s="850"/>
      <c r="N18" s="850"/>
      <c r="O18" s="48">
        <f>IF(t&lt;Tnet,'2018'!Resal+('2018'!Salim-'2018'!Resal)*(1-EXP(('2018'!Tnet-t)/('2018'!Tau_j))),Resal+(Salim-Resal)*(1-EXP((Tnet-t)/(Tau_j))))*Salcycl</f>
        <v>4.1969198485675117E-2</v>
      </c>
      <c r="P18" s="169">
        <f>(INDEX(Models!$BJ18:$BT18,,T18)*(1-R18)+INDEX(Models!$BJ18:$BT18,,T18+1)*R18-ERP_i)*Q18*Ramure*Pc/MaxiM</f>
        <v>1.2402061670849536E-2</v>
      </c>
      <c r="Q18" s="305">
        <f>IF(OR(t&lt;Ttai,Notai),Dd+PousD*Croivg,Dens+PousD*(Croivg-Croi_tai))</f>
        <v>0.7</v>
      </c>
      <c r="R18" s="177">
        <f t="shared" si="5"/>
        <v>0.50119842098105072</v>
      </c>
      <c r="S18" s="817">
        <f t="shared" si="6"/>
        <v>-2</v>
      </c>
      <c r="T18" s="176">
        <f t="shared" si="7"/>
        <v>4</v>
      </c>
      <c r="U18" s="251">
        <f t="shared" si="21"/>
        <v>-1.4988015790189493</v>
      </c>
      <c r="V18" s="383">
        <f t="shared" si="8"/>
        <v>13.092442600809845</v>
      </c>
      <c r="W18" s="58"/>
      <c r="X18" s="157">
        <f t="shared" si="9"/>
        <v>43469</v>
      </c>
      <c r="Y18" s="385">
        <f t="shared" si="10"/>
        <v>13.297000000000001</v>
      </c>
      <c r="Z18" s="385">
        <f>Wh_sa_s*(1-Psa_s)</f>
        <v>13.372938840344412</v>
      </c>
      <c r="AA18" s="386">
        <f t="shared" si="12"/>
        <v>13.958777545780666</v>
      </c>
      <c r="AB18" s="197">
        <f>t</f>
        <v>43469</v>
      </c>
      <c r="AC18" s="427">
        <f>IF(OR(t&lt;Tnet,NoTnet),'2018'!Resal_s+('2018'!Salim-'2018'!Resal_s)*(1-EXP(('2018'!Tnet_s-t)/'2018'!Tau_j)),Resal_s+(Salim-Resal_s)*(1-EXP((Tnet_s-t)/Tau_j)))*Salcycl</f>
        <v>4.1969198485675117E-2</v>
      </c>
      <c r="AD18" s="231">
        <f>(INDEX(Models!$BJ18:$BT18,,AH18)*(1-AF18)+INDEX(Models!$BJ18:$BT18,,AH18+1)*AF18-ERP_i)*AE18*Ramure*Pc/MaxiM</f>
        <v>1.2402061670849536E-2</v>
      </c>
      <c r="AE18" s="305">
        <f t="shared" si="14"/>
        <v>0.7</v>
      </c>
      <c r="AF18" s="177">
        <f t="shared" si="15"/>
        <v>0.50119842098105072</v>
      </c>
      <c r="AG18" s="176">
        <f t="shared" si="16"/>
        <v>-2</v>
      </c>
      <c r="AH18" s="176">
        <f t="shared" si="17"/>
        <v>4</v>
      </c>
      <c r="AI18" s="225">
        <f t="shared" si="22"/>
        <v>-1.4988015790189493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0"/>
        <v>43470</v>
      </c>
      <c r="B19" s="617">
        <v>13.435</v>
      </c>
      <c r="C19" s="390"/>
      <c r="D19" s="393">
        <f t="shared" si="0"/>
        <v>13.512022902933557</v>
      </c>
      <c r="E19" s="385">
        <f>Wh_pvt/(1-Psa)</f>
        <v>14.105910740502528</v>
      </c>
      <c r="F19" s="385">
        <f t="shared" si="2"/>
        <v>14.283254951142144</v>
      </c>
      <c r="G19" s="110">
        <f>+Wh_hp/MaxiM</f>
        <v>1.0145547624807716</v>
      </c>
      <c r="H19" s="414" t="b">
        <f>Wh_hp&gt;='2018'!Maxi_hp</f>
        <v>1</v>
      </c>
      <c r="I19" s="390">
        <f>IF(H19,Wh_hp,'2018'!Maxi_hp)</f>
        <v>14.283254951142144</v>
      </c>
      <c r="J19" s="85">
        <f>IF(H19,An,'2018'!An_max)</f>
        <v>2019</v>
      </c>
      <c r="K19" s="197">
        <f t="shared" si="3"/>
        <v>43470</v>
      </c>
      <c r="L19" s="147">
        <f>IF(t&lt;Tvie,1-EXP((T0-t)*PertePVj)+'2018'!Pspv,1-EXP((T0-t)*PertePVj)+Pspv)</f>
        <v>5.7003235923197559E-3</v>
      </c>
      <c r="M19" s="850"/>
      <c r="N19" s="850"/>
      <c r="O19" s="48">
        <f>IF(t&lt;Tnet,'2018'!Resal+('2018'!Salim-'2018'!Resal)*(1-EXP(('2018'!Tnet-t)/('2018'!Tau_j))),Resal+(Salim-Resal)*(1-EXP((Tnet-t)/(Tau_j))))*Salcycl</f>
        <v>4.2102055549219614E-2</v>
      </c>
      <c r="P19" s="169">
        <f>(INDEX(Models!$BJ19:$BT19,,T19)*(1-R19)+INDEX(Models!$BJ19:$BT19,,T19+1)*R19-ERP_i)*Q19*Ramure*Pc/MaxiM</f>
        <v>1.2416232241617555E-2</v>
      </c>
      <c r="Q19" s="305">
        <f t="shared" si="4"/>
        <v>0.7</v>
      </c>
      <c r="R19" s="177">
        <f t="shared" si="5"/>
        <v>0.50122477510462637</v>
      </c>
      <c r="S19" s="817">
        <f t="shared" si="6"/>
        <v>-2</v>
      </c>
      <c r="T19" s="176">
        <f t="shared" si="7"/>
        <v>4</v>
      </c>
      <c r="U19" s="251">
        <f t="shared" si="21"/>
        <v>-1.4987752248953736</v>
      </c>
      <c r="V19" s="383">
        <f t="shared" si="8"/>
        <v>13.242262021567937</v>
      </c>
      <c r="W19" s="58"/>
      <c r="X19" s="157">
        <f t="shared" si="9"/>
        <v>43470</v>
      </c>
      <c r="Y19" s="385">
        <f t="shared" si="10"/>
        <v>13.435</v>
      </c>
      <c r="Z19" s="385">
        <f t="shared" si="11"/>
        <v>13.512022902933557</v>
      </c>
      <c r="AA19" s="386">
        <f t="shared" si="12"/>
        <v>14.105910740502528</v>
      </c>
      <c r="AB19" s="197">
        <f t="shared" si="13"/>
        <v>43470</v>
      </c>
      <c r="AC19" s="427">
        <f>IF(OR(t&lt;Tnet,NoTnet),'2018'!Resal_s+('2018'!Salim-'2018'!Resal_s)*(1-EXP(('2018'!Tnet_s-t)/'2018'!Tau_j)),Resal_s+(Salim-Resal_s)*(1-EXP((Tnet_s-t)/Tau_j)))*Salcycl</f>
        <v>4.2102055549219614E-2</v>
      </c>
      <c r="AD19" s="231">
        <f>(INDEX(Models!$BJ19:$BT19,,AH19)*(1-AF19)+INDEX(Models!$BJ19:$BT19,,AH19+1)*AF19-ERP_i)*AE19*Ramure*Pc/MaxiM</f>
        <v>1.2416232241617555E-2</v>
      </c>
      <c r="AE19" s="305">
        <f t="shared" si="14"/>
        <v>0.7</v>
      </c>
      <c r="AF19" s="177">
        <f t="shared" si="15"/>
        <v>0.50122477510462637</v>
      </c>
      <c r="AG19" s="176">
        <f t="shared" si="16"/>
        <v>-2</v>
      </c>
      <c r="AH19" s="176">
        <f t="shared" si="17"/>
        <v>4</v>
      </c>
      <c r="AI19" s="225">
        <f t="shared" si="22"/>
        <v>-1.4987752248953736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0"/>
        <v>43471</v>
      </c>
      <c r="B20" s="617">
        <v>3.4</v>
      </c>
      <c r="C20" s="390"/>
      <c r="D20" s="393">
        <f t="shared" si="0"/>
        <v>3.4195671094263451</v>
      </c>
      <c r="E20" s="385">
        <f t="shared" si="1"/>
        <v>3.5703605326773751</v>
      </c>
      <c r="F20" s="385">
        <f t="shared" si="2"/>
        <v>3.5703605326773751</v>
      </c>
      <c r="G20" s="110">
        <f t="shared" si="23"/>
        <v>0.2506524623686911</v>
      </c>
      <c r="H20" s="414" t="b">
        <f>Wh_hp&gt;='2018'!Maxi_hp</f>
        <v>1</v>
      </c>
      <c r="I20" s="390">
        <f>IF(H20,Wh_hp,'2018'!Maxi_hp)</f>
        <v>3.5703605326773751</v>
      </c>
      <c r="J20" s="85">
        <f>IF(H20,An,'2018'!An_max)</f>
        <v>2019</v>
      </c>
      <c r="K20" s="197">
        <f t="shared" si="3"/>
        <v>43471</v>
      </c>
      <c r="L20" s="147">
        <f>IF(t&lt;Tvie,1-EXP((T0-t)*PertePVj)+'2018'!Pspv,1-EXP((T0-t)*PertePVj)+Pspv)</f>
        <v>5.7221013070358762E-3</v>
      </c>
      <c r="M20" s="850"/>
      <c r="N20" s="850"/>
      <c r="O20" s="48">
        <f>IF(t&lt;Tnet,'2018'!Resal+('2018'!Salim-'2018'!Resal)*(1-EXP(('2018'!Tnet-t)/('2018'!Tau_j))),Resal+(Salim-Resal)*(1-EXP((Tnet-t)/(Tau_j))))*Salcycl</f>
        <v>4.2234788859810579E-2</v>
      </c>
      <c r="P20" s="169">
        <f>(INDEX(Models!$BJ20:$BT20,,T20)*(1-R20)+INDEX(Models!$BJ20:$BT20,,T20+1)*R20-ERP_i)*Q20*Ramure*Pc/MaxiM</f>
        <v>1.2431352682528487E-2</v>
      </c>
      <c r="Q20" s="305">
        <f t="shared" si="4"/>
        <v>0.7</v>
      </c>
      <c r="R20" s="177">
        <f t="shared" si="5"/>
        <v>0.50125223113285777</v>
      </c>
      <c r="S20" s="817">
        <f t="shared" si="6"/>
        <v>-2</v>
      </c>
      <c r="T20" s="176">
        <f t="shared" si="7"/>
        <v>4</v>
      </c>
      <c r="U20" s="251">
        <f t="shared" si="21"/>
        <v>-1.4987477688671422</v>
      </c>
      <c r="V20" s="383">
        <f t="shared" si="8"/>
        <v>13.39597213268317</v>
      </c>
      <c r="W20" s="58"/>
      <c r="X20" s="157">
        <f t="shared" si="9"/>
        <v>43471</v>
      </c>
      <c r="Y20" s="385">
        <f t="shared" si="10"/>
        <v>3.4</v>
      </c>
      <c r="Z20" s="385">
        <f t="shared" si="11"/>
        <v>3.4195671094263451</v>
      </c>
      <c r="AA20" s="386">
        <f t="shared" si="12"/>
        <v>3.5703605326773751</v>
      </c>
      <c r="AB20" s="197">
        <f t="shared" si="13"/>
        <v>43471</v>
      </c>
      <c r="AC20" s="427">
        <f>IF(OR(t&lt;Tnet,NoTnet),'2018'!Resal_s+('2018'!Salim-'2018'!Resal_s)*(1-EXP(('2018'!Tnet_s-t)/'2018'!Tau_j)),Resal_s+(Salim-Resal_s)*(1-EXP((Tnet_s-t)/Tau_j)))*Salcycl</f>
        <v>4.2234788859810579E-2</v>
      </c>
      <c r="AD20" s="231">
        <f>(INDEX(Models!$BJ20:$BT20,,AH20)*(1-AF20)+INDEX(Models!$BJ20:$BT20,,AH20+1)*AF20-ERP_i)*AE20*Ramure*Pc/MaxiM</f>
        <v>1.2431352682528487E-2</v>
      </c>
      <c r="AE20" s="305">
        <f>IF(OR(t&lt;Ttai,Notai),Dd_s+PousD*Croivg,Dens_s+PousD*(Croivg-Croi_tai))</f>
        <v>0.7</v>
      </c>
      <c r="AF20" s="177">
        <f t="shared" si="15"/>
        <v>0.50125223113285777</v>
      </c>
      <c r="AG20" s="176">
        <f t="shared" si="16"/>
        <v>-2</v>
      </c>
      <c r="AH20" s="176">
        <f t="shared" si="17"/>
        <v>4</v>
      </c>
      <c r="AI20" s="225">
        <f>IF(OR(t&lt;Ttai,Notai),Hdd_s+PousH*Croivg,Hdtai_s+PousH*(Croivg-Croi_tai))</f>
        <v>-1.4987477688671422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0"/>
        <v>43472</v>
      </c>
      <c r="B21" s="617">
        <v>1.6919999999999999</v>
      </c>
      <c r="C21" s="390"/>
      <c r="D21" s="393">
        <f t="shared" si="0"/>
        <v>1.7017747876910392</v>
      </c>
      <c r="E21" s="385">
        <f t="shared" si="1"/>
        <v>1.7770643725879176</v>
      </c>
      <c r="F21" s="385">
        <f t="shared" si="2"/>
        <v>1.7770643725879176</v>
      </c>
      <c r="G21" s="110">
        <f t="shared" si="23"/>
        <v>0.12328750687933265</v>
      </c>
      <c r="H21" s="414" t="b">
        <f>Wh_hp&gt;='2018'!Maxi_hp</f>
        <v>1</v>
      </c>
      <c r="I21" s="390">
        <f>IF(H21,Wh_hp,'2018'!Maxi_hp)</f>
        <v>1.7770643725879176</v>
      </c>
      <c r="J21" s="85">
        <f>IF(H21,An,'2018'!An_max)</f>
        <v>2019</v>
      </c>
      <c r="K21" s="197">
        <f t="shared" si="3"/>
        <v>43472</v>
      </c>
      <c r="L21" s="147">
        <f>IF(t&lt;Tvie,1-EXP((T0-t)*PertePVj)+'2018'!Pspv,1-EXP((T0-t)*PertePVj)+Pspv)</f>
        <v>5.7438785447642138E-3</v>
      </c>
      <c r="M21" s="850"/>
      <c r="N21" s="850"/>
      <c r="O21" s="48">
        <f>IF(t&lt;Tnet,'2018'!Resal+('2018'!Salim-'2018'!Resal)*(1-EXP(('2018'!Tnet-t)/('2018'!Tau_j))),Resal+(Salim-Resal)*(1-EXP((Tnet-t)/(Tau_j))))*Salcycl</f>
        <v>4.2367393133449199E-2</v>
      </c>
      <c r="P21" s="169">
        <f>(INDEX(Models!$BJ21:$BT21,,T21)*(1-R21)+INDEX(Models!$BJ21:$BT21,,T21+1)*R21-ERP_i)*Q21*Ramure*Pc/MaxiM</f>
        <v>1.2447696507414386E-2</v>
      </c>
      <c r="Q21" s="305">
        <f t="shared" si="4"/>
        <v>0.7</v>
      </c>
      <c r="R21" s="177">
        <f t="shared" si="5"/>
        <v>0.50128083497640352</v>
      </c>
      <c r="S21" s="817">
        <f t="shared" si="6"/>
        <v>-2</v>
      </c>
      <c r="T21" s="176">
        <f t="shared" si="7"/>
        <v>4</v>
      </c>
      <c r="U21" s="251">
        <f t="shared" si="21"/>
        <v>-1.4987191650235965</v>
      </c>
      <c r="V21" s="383">
        <f t="shared" si="8"/>
        <v>13.553185880746875</v>
      </c>
      <c r="W21" s="58"/>
      <c r="X21" s="157">
        <f t="shared" si="9"/>
        <v>43472</v>
      </c>
      <c r="Y21" s="385">
        <f t="shared" si="10"/>
        <v>1.6919999999999999</v>
      </c>
      <c r="Z21" s="385">
        <f t="shared" si="11"/>
        <v>1.7017747876910392</v>
      </c>
      <c r="AA21" s="386">
        <f t="shared" si="12"/>
        <v>1.7770643725879176</v>
      </c>
      <c r="AB21" s="197">
        <f t="shared" si="13"/>
        <v>43472</v>
      </c>
      <c r="AC21" s="427">
        <f>IF(OR(t&lt;Tnet,NoTnet),'2018'!Resal_s+('2018'!Salim-'2018'!Resal_s)*(1-EXP(('2018'!Tnet_s-t)/'2018'!Tau_j)),Resal_s+(Salim-Resal_s)*(1-EXP((Tnet_s-t)/Tau_j)))*Salcycl</f>
        <v>4.2367393133449199E-2</v>
      </c>
      <c r="AD21" s="231">
        <f>(INDEX(Models!$BJ21:$BT21,,AH21)*(1-AF21)+INDEX(Models!$BJ21:$BT21,,AH21+1)*AF21-ERP_i)*AE21*Ramure*Pc/MaxiM</f>
        <v>1.2447696507414386E-2</v>
      </c>
      <c r="AE21" s="305">
        <f t="shared" si="14"/>
        <v>0.7</v>
      </c>
      <c r="AF21" s="177">
        <f t="shared" si="15"/>
        <v>0.50128083497640352</v>
      </c>
      <c r="AG21" s="176">
        <f t="shared" si="16"/>
        <v>-2</v>
      </c>
      <c r="AH21" s="176">
        <f t="shared" si="17"/>
        <v>4</v>
      </c>
      <c r="AI21" s="225">
        <f t="shared" si="22"/>
        <v>-1.4987191650235965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0"/>
        <v>43473</v>
      </c>
      <c r="B22" s="617">
        <v>3.899</v>
      </c>
      <c r="C22" s="390"/>
      <c r="D22" s="393">
        <f t="shared" si="0"/>
        <v>3.9216106552807846</v>
      </c>
      <c r="E22" s="385">
        <f t="shared" si="1"/>
        <v>4.0956763434240679</v>
      </c>
      <c r="F22" s="385">
        <f t="shared" si="2"/>
        <v>4.0956763434240679</v>
      </c>
      <c r="G22" s="110">
        <f t="shared" si="23"/>
        <v>0.28077385797394067</v>
      </c>
      <c r="H22" s="414" t="b">
        <f>Wh_hp&gt;='2018'!Maxi_hp</f>
        <v>1</v>
      </c>
      <c r="I22" s="390">
        <f>IF(H22,Wh_hp,'2018'!Maxi_hp)</f>
        <v>4.0956763434240679</v>
      </c>
      <c r="J22" s="85">
        <f>IF(H22,An,'2018'!An_max)</f>
        <v>2019</v>
      </c>
      <c r="K22" s="197">
        <f t="shared" si="3"/>
        <v>43473</v>
      </c>
      <c r="L22" s="147">
        <f>IF(t&lt;Tvie,1-EXP((T0-t)*PertePVj)+'2018'!Pspv,1-EXP((T0-t)*PertePVj)+Pspv)</f>
        <v>5.7656553055152049E-3</v>
      </c>
      <c r="M22" s="850"/>
      <c r="N22" s="850"/>
      <c r="O22" s="48">
        <f>IF(t&lt;Tnet,'2018'!Resal+('2018'!Salim-'2018'!Resal)*(1-EXP(('2018'!Tnet-t)/('2018'!Tau_j))),Resal+(Salim-Resal)*(1-EXP((Tnet-t)/(Tau_j))))*Salcycl</f>
        <v>4.2499864136666857E-2</v>
      </c>
      <c r="P22" s="169">
        <f>(INDEX(Models!$BJ22:$BT22,,T22)*(1-R22)+INDEX(Models!$BJ22:$BT22,,T22+1)*R22-ERP_i)*Q22*Ramure*Pc/MaxiM</f>
        <v>1.2465524390726962E-2</v>
      </c>
      <c r="Q22" s="305">
        <f t="shared" si="4"/>
        <v>0.7</v>
      </c>
      <c r="R22" s="177">
        <f t="shared" si="5"/>
        <v>0.50131063444496671</v>
      </c>
      <c r="S22" s="817">
        <f t="shared" si="6"/>
        <v>-2</v>
      </c>
      <c r="T22" s="176">
        <f t="shared" si="7"/>
        <v>4</v>
      </c>
      <c r="U22" s="251">
        <f t="shared" si="21"/>
        <v>-1.4986893655550333</v>
      </c>
      <c r="V22" s="383">
        <f t="shared" si="8"/>
        <v>13.713516451228593</v>
      </c>
      <c r="W22" s="58"/>
      <c r="X22" s="157">
        <f t="shared" si="9"/>
        <v>43473</v>
      </c>
      <c r="Y22" s="385">
        <f t="shared" si="10"/>
        <v>3.899</v>
      </c>
      <c r="Z22" s="385">
        <f t="shared" si="11"/>
        <v>3.9216106552807846</v>
      </c>
      <c r="AA22" s="386">
        <f t="shared" si="12"/>
        <v>4.0956763434240679</v>
      </c>
      <c r="AB22" s="197">
        <f t="shared" si="13"/>
        <v>43473</v>
      </c>
      <c r="AC22" s="427">
        <f>IF(OR(t&lt;Tnet,NoTnet),'2018'!Resal_s+('2018'!Salim-'2018'!Resal_s)*(1-EXP(('2018'!Tnet_s-t)/'2018'!Tau_j)),Resal_s+(Salim-Resal_s)*(1-EXP((Tnet_s-t)/Tau_j)))*Salcycl</f>
        <v>4.2499864136666857E-2</v>
      </c>
      <c r="AD22" s="231">
        <f>(INDEX(Models!$BJ22:$BT22,,AH22)*(1-AF22)+INDEX(Models!$BJ22:$BT22,,AH22+1)*AF22-ERP_i)*AE22*Ramure*Pc/MaxiM</f>
        <v>1.2465524390726962E-2</v>
      </c>
      <c r="AE22" s="305">
        <f t="shared" si="14"/>
        <v>0.7</v>
      </c>
      <c r="AF22" s="177">
        <f t="shared" si="15"/>
        <v>0.50131063444496671</v>
      </c>
      <c r="AG22" s="176">
        <f t="shared" si="16"/>
        <v>-2</v>
      </c>
      <c r="AH22" s="176">
        <f t="shared" si="17"/>
        <v>4</v>
      </c>
      <c r="AI22" s="225">
        <f t="shared" si="22"/>
        <v>-1.4986893655550333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0"/>
        <v>43474</v>
      </c>
      <c r="B23" s="617">
        <v>6.0350000000000001</v>
      </c>
      <c r="C23" s="390"/>
      <c r="D23" s="393">
        <f t="shared" si="0"/>
        <v>6.0701304648031691</v>
      </c>
      <c r="E23" s="385">
        <f t="shared" si="1"/>
        <v>6.3404372448734376</v>
      </c>
      <c r="F23" s="385">
        <f t="shared" si="2"/>
        <v>6.3557263020740065</v>
      </c>
      <c r="G23" s="110">
        <f t="shared" si="23"/>
        <v>0.43048628531461036</v>
      </c>
      <c r="H23" s="414" t="b">
        <f>Wh_hp&gt;='2018'!Maxi_hp</f>
        <v>1</v>
      </c>
      <c r="I23" s="390">
        <f>IF(H23,Wh_hp,'2018'!Maxi_hp)</f>
        <v>6.3557263020740065</v>
      </c>
      <c r="J23" s="85">
        <f>IF(H23,An,'2018'!An_max)</f>
        <v>2019</v>
      </c>
      <c r="K23" s="197">
        <f t="shared" si="3"/>
        <v>43474</v>
      </c>
      <c r="L23" s="147">
        <f>IF(t&lt;Tvie,1-EXP((T0-t)*PertePVj)+'2018'!Pspv,1-EXP((T0-t)*PertePVj)+Pspv)</f>
        <v>5.7874315892991746E-3</v>
      </c>
      <c r="M23" s="850"/>
      <c r="N23" s="850"/>
      <c r="O23" s="48">
        <f>IF(t&lt;Tnet,'2018'!Resal+('2018'!Salim-'2018'!Resal)*(1-EXP(('2018'!Tnet-t)/('2018'!Tau_j))),Resal+(Salim-Resal)*(1-EXP((Tnet-t)/(Tau_j))))*Salcycl</f>
        <v>4.2632198637219468E-2</v>
      </c>
      <c r="P23" s="169">
        <f>(INDEX(Models!$BJ23:$BT23,,T23)*(1-R23)+INDEX(Models!$BJ23:$BT23,,T23+1)*R23-ERP_i)*Q23*Ramure*Pc/MaxiM</f>
        <v>1.2484358978409289E-2</v>
      </c>
      <c r="Q23" s="305">
        <f t="shared" si="4"/>
        <v>0.7</v>
      </c>
      <c r="R23" s="177">
        <f t="shared" si="5"/>
        <v>0.50134167932466456</v>
      </c>
      <c r="S23" s="817">
        <f t="shared" si="6"/>
        <v>-2</v>
      </c>
      <c r="T23" s="176">
        <f t="shared" si="7"/>
        <v>4</v>
      </c>
      <c r="U23" s="251">
        <f t="shared" si="21"/>
        <v>-1.4986583206753354</v>
      </c>
      <c r="V23" s="383">
        <f t="shared" si="8"/>
        <v>13.877393908301428</v>
      </c>
      <c r="W23" s="58"/>
      <c r="X23" s="157">
        <f t="shared" si="9"/>
        <v>43474</v>
      </c>
      <c r="Y23" s="385">
        <f t="shared" si="10"/>
        <v>6.0350000000000001</v>
      </c>
      <c r="Z23" s="385">
        <f t="shared" si="11"/>
        <v>6.0701304648031691</v>
      </c>
      <c r="AA23" s="386">
        <f t="shared" si="12"/>
        <v>6.3404372448734376</v>
      </c>
      <c r="AB23" s="197">
        <f t="shared" si="13"/>
        <v>43474</v>
      </c>
      <c r="AC23" s="427">
        <f>IF(OR(t&lt;Tnet,NoTnet),'2018'!Resal_s+('2018'!Salim-'2018'!Resal_s)*(1-EXP(('2018'!Tnet_s-t)/'2018'!Tau_j)),Resal_s+(Salim-Resal_s)*(1-EXP((Tnet_s-t)/Tau_j)))*Salcycl</f>
        <v>4.2632198637219468E-2</v>
      </c>
      <c r="AD23" s="231">
        <f>(INDEX(Models!$BJ23:$BT23,,AH23)*(1-AF23)+INDEX(Models!$BJ23:$BT23,,AH23+1)*AF23-ERP_i)*AE23*Ramure*Pc/MaxiM</f>
        <v>1.2484358978409289E-2</v>
      </c>
      <c r="AE23" s="305">
        <f t="shared" si="14"/>
        <v>0.7</v>
      </c>
      <c r="AF23" s="177">
        <f t="shared" si="15"/>
        <v>0.50134167932466456</v>
      </c>
      <c r="AG23" s="176">
        <f t="shared" si="16"/>
        <v>-2</v>
      </c>
      <c r="AH23" s="176">
        <f t="shared" si="17"/>
        <v>4</v>
      </c>
      <c r="AI23" s="225">
        <f t="shared" si="22"/>
        <v>-1.4986583206753354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0"/>
        <v>43475</v>
      </c>
      <c r="B24" s="617">
        <v>9.6760000000000002</v>
      </c>
      <c r="C24" s="390"/>
      <c r="D24" s="393">
        <f t="shared" si="0"/>
        <v>9.732538333671048</v>
      </c>
      <c r="E24" s="385">
        <f t="shared" si="1"/>
        <v>10.167338402574691</v>
      </c>
      <c r="F24" s="385">
        <f t="shared" si="2"/>
        <v>10.238443369739281</v>
      </c>
      <c r="G24" s="110">
        <f t="shared" si="23"/>
        <v>0.68504440560685098</v>
      </c>
      <c r="H24" s="414" t="b">
        <f>Wh_hp&gt;='2018'!Maxi_hp</f>
        <v>1</v>
      </c>
      <c r="I24" s="390">
        <f>IF(H24,Wh_hp,'2018'!Maxi_hp)</f>
        <v>10.238443369739281</v>
      </c>
      <c r="J24" s="85">
        <f>IF(H24,An,'2018'!An_max)</f>
        <v>2019</v>
      </c>
      <c r="K24" s="197">
        <f t="shared" si="3"/>
        <v>43475</v>
      </c>
      <c r="L24" s="147">
        <f>IF(t&lt;Tvie,1-EXP((T0-t)*PertePVj)+'2018'!Pspv,1-EXP((T0-t)*PertePVj)+Pspv)</f>
        <v>5.8092073961266699E-3</v>
      </c>
      <c r="M24" s="850"/>
      <c r="N24" s="850"/>
      <c r="O24" s="48">
        <f>IF(t&lt;Tnet,'2018'!Resal+('2018'!Salim-'2018'!Resal)*(1-EXP(('2018'!Tnet-t)/('2018'!Tau_j))),Resal+(Salim-Resal)*(1-EXP((Tnet-t)/(Tau_j))))*Salcycl</f>
        <v>4.2764394346659955E-2</v>
      </c>
      <c r="P24" s="169">
        <f>(INDEX(Models!$BJ24:$BT24,,T24)*(1-R24)+INDEX(Models!$BJ24:$BT24,,T24+1)*R24-ERP_i)*Q24*Ramure*Pc/MaxiM</f>
        <v>1.2500513791745178E-2</v>
      </c>
      <c r="Q24" s="305">
        <f t="shared" si="4"/>
        <v>0.7</v>
      </c>
      <c r="R24" s="177">
        <f t="shared" si="5"/>
        <v>0.50137402145844834</v>
      </c>
      <c r="S24" s="817">
        <f t="shared" si="6"/>
        <v>-2</v>
      </c>
      <c r="T24" s="176">
        <f t="shared" si="7"/>
        <v>4</v>
      </c>
      <c r="U24" s="251">
        <f t="shared" si="21"/>
        <v>-1.4986259785415517</v>
      </c>
      <c r="V24" s="383">
        <f t="shared" si="8"/>
        <v>14.045612024796604</v>
      </c>
      <c r="W24" s="58"/>
      <c r="X24" s="157">
        <f t="shared" si="9"/>
        <v>43475</v>
      </c>
      <c r="Y24" s="385">
        <f t="shared" si="10"/>
        <v>9.6760000000000002</v>
      </c>
      <c r="Z24" s="385">
        <f t="shared" si="11"/>
        <v>9.732538333671048</v>
      </c>
      <c r="AA24" s="386">
        <f t="shared" si="12"/>
        <v>10.167338402574691</v>
      </c>
      <c r="AB24" s="197">
        <f t="shared" si="13"/>
        <v>43475</v>
      </c>
      <c r="AC24" s="427">
        <f>IF(OR(t&lt;Tnet,NoTnet),'2018'!Resal_s+('2018'!Salim-'2018'!Resal_s)*(1-EXP(('2018'!Tnet_s-t)/'2018'!Tau_j)),Resal_s+(Salim-Resal_s)*(1-EXP((Tnet_s-t)/Tau_j)))*Salcycl</f>
        <v>4.2764394346659955E-2</v>
      </c>
      <c r="AD24" s="231">
        <f>(INDEX(Models!$BJ24:$BT24,,AH24)*(1-AF24)+INDEX(Models!$BJ24:$BT24,,AH24+1)*AF24-ERP_i)*AE24*Ramure*Pc/MaxiM</f>
        <v>1.2500513791745178E-2</v>
      </c>
      <c r="AE24" s="305">
        <f t="shared" si="14"/>
        <v>0.7</v>
      </c>
      <c r="AF24" s="177">
        <f t="shared" si="15"/>
        <v>0.50137402145844834</v>
      </c>
      <c r="AG24" s="176">
        <f t="shared" si="16"/>
        <v>-2</v>
      </c>
      <c r="AH24" s="176">
        <f t="shared" si="17"/>
        <v>4</v>
      </c>
      <c r="AI24" s="225">
        <f t="shared" si="22"/>
        <v>-1.4986259785415517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0"/>
        <v>43476</v>
      </c>
      <c r="B25" s="617">
        <v>13.946999999999999</v>
      </c>
      <c r="C25" s="390"/>
      <c r="D25" s="393">
        <f t="shared" si="0"/>
        <v>14.028801700381518</v>
      </c>
      <c r="E25" s="385">
        <f t="shared" si="1"/>
        <v>14.657558942567162</v>
      </c>
      <c r="F25" s="385">
        <f t="shared" si="2"/>
        <v>14.83810615534277</v>
      </c>
      <c r="G25" s="110">
        <f t="shared" si="23"/>
        <v>0.98057751635283119</v>
      </c>
      <c r="H25" s="414" t="b">
        <f>Wh_hp&gt;='2018'!Maxi_hp</f>
        <v>1</v>
      </c>
      <c r="I25" s="390">
        <f>IF(H25,Wh_hp,'2018'!Maxi_hp)</f>
        <v>14.83810615534277</v>
      </c>
      <c r="J25" s="85">
        <f>IF(H25,An,'2018'!An_max)</f>
        <v>2019</v>
      </c>
      <c r="K25" s="197">
        <f t="shared" si="3"/>
        <v>43476</v>
      </c>
      <c r="L25" s="147">
        <f>IF(t&lt;Tvie,1-EXP((T0-t)*PertePVj)+'2018'!Pspv,1-EXP((T0-t)*PertePVj)+Pspv)</f>
        <v>5.8309827260081271E-3</v>
      </c>
      <c r="M25" s="850"/>
      <c r="N25" s="850"/>
      <c r="O25" s="48">
        <f>IF(t&lt;Tnet,'2018'!Resal+('2018'!Salim-'2018'!Resal)*(1-EXP(('2018'!Tnet-t)/('2018'!Tau_j))),Resal+(Salim-Resal)*(1-EXP((Tnet-t)/(Tau_j))))*Salcycl</f>
        <v>4.2896449855621271E-2</v>
      </c>
      <c r="P25" s="169">
        <f>(INDEX(Models!$BJ25:$BT25,,T25)*(1-R25)+INDEX(Models!$BJ25:$BT25,,T25+1)*R25-ERP_i)*Q25*Ramure*Pc/MaxiM</f>
        <v>1.2508830797831912E-2</v>
      </c>
      <c r="Q25" s="305">
        <f t="shared" si="4"/>
        <v>0.7</v>
      </c>
      <c r="R25" s="177">
        <f t="shared" si="5"/>
        <v>0.50140771482968804</v>
      </c>
      <c r="S25" s="817">
        <f t="shared" si="6"/>
        <v>-2</v>
      </c>
      <c r="T25" s="176">
        <f t="shared" si="7"/>
        <v>4</v>
      </c>
      <c r="U25" s="251">
        <f t="shared" si="21"/>
        <v>-1.498592285170312</v>
      </c>
      <c r="V25" s="383">
        <f t="shared" si="8"/>
        <v>14.21834064443447</v>
      </c>
      <c r="W25" s="58"/>
      <c r="X25" s="157">
        <f t="shared" si="9"/>
        <v>43476</v>
      </c>
      <c r="Y25" s="385">
        <f t="shared" si="10"/>
        <v>13.946999999999999</v>
      </c>
      <c r="Z25" s="385">
        <f t="shared" si="11"/>
        <v>14.028801700381518</v>
      </c>
      <c r="AA25" s="386">
        <f t="shared" si="12"/>
        <v>14.657558942567162</v>
      </c>
      <c r="AB25" s="197">
        <f t="shared" si="13"/>
        <v>43476</v>
      </c>
      <c r="AC25" s="427">
        <f>IF(OR(t&lt;Tnet,NoTnet),'2018'!Resal_s+('2018'!Salim-'2018'!Resal_s)*(1-EXP(('2018'!Tnet_s-t)/'2018'!Tau_j)),Resal_s+(Salim-Resal_s)*(1-EXP((Tnet_s-t)/Tau_j)))*Salcycl</f>
        <v>4.2896449855621271E-2</v>
      </c>
      <c r="AD25" s="231">
        <f>(INDEX(Models!$BJ25:$BT25,,AH25)*(1-AF25)+INDEX(Models!$BJ25:$BT25,,AH25+1)*AF25-ERP_i)*AE25*Ramure*Pc/MaxiM</f>
        <v>1.2508830797831912E-2</v>
      </c>
      <c r="AE25" s="305">
        <f t="shared" si="14"/>
        <v>0.7</v>
      </c>
      <c r="AF25" s="177">
        <f t="shared" si="15"/>
        <v>0.50140771482968804</v>
      </c>
      <c r="AG25" s="176">
        <f t="shared" si="16"/>
        <v>-2</v>
      </c>
      <c r="AH25" s="176">
        <f t="shared" si="17"/>
        <v>4</v>
      </c>
      <c r="AI25" s="225">
        <f t="shared" si="22"/>
        <v>-1.498592285170312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0"/>
        <v>43477</v>
      </c>
      <c r="B26" s="617">
        <v>6.6040000000000001</v>
      </c>
      <c r="C26" s="390"/>
      <c r="D26" s="393">
        <f t="shared" si="0"/>
        <v>6.6428791613577109</v>
      </c>
      <c r="E26" s="385">
        <f t="shared" si="1"/>
        <v>6.9415632766609132</v>
      </c>
      <c r="F26" s="385">
        <f t="shared" si="2"/>
        <v>6.9613121563238218</v>
      </c>
      <c r="G26" s="110">
        <f t="shared" si="23"/>
        <v>0.4542989873754103</v>
      </c>
      <c r="H26" s="414" t="b">
        <f>Wh_hp&gt;='2018'!Maxi_hp</f>
        <v>1</v>
      </c>
      <c r="I26" s="390">
        <f>IF(H26,Wh_hp,'2018'!Maxi_hp)</f>
        <v>6.9613121563238218</v>
      </c>
      <c r="J26" s="85">
        <f>IF(H26,An,'2018'!An_max)</f>
        <v>2019</v>
      </c>
      <c r="K26" s="197">
        <f t="shared" si="3"/>
        <v>43477</v>
      </c>
      <c r="L26" s="147">
        <f>IF(t&lt;Tvie,1-EXP((T0-t)*PertePVj)+'2018'!Pspv,1-EXP((T0-t)*PertePVj)+Pspv)</f>
        <v>5.8527575789538711E-3</v>
      </c>
      <c r="M26" s="850"/>
      <c r="N26" s="850"/>
      <c r="O26" s="48">
        <f>IF(t&lt;Tnet,'2018'!Resal+('2018'!Salim-'2018'!Resal)*(1-EXP(('2018'!Tnet-t)/('2018'!Tau_j))),Resal+(Salim-Resal)*(1-EXP((Tnet-t)/(Tau_j))))*Salcycl</f>
        <v>4.302836456269795E-2</v>
      </c>
      <c r="P26" s="169">
        <f>(INDEX(Models!$BJ26:$BT26,,T26)*(1-R26)+INDEX(Models!$BJ26:$BT26,,T26+1)*R26-ERP_i)*Q26*Ramure*Pc/MaxiM</f>
        <v>1.2509465614309857E-2</v>
      </c>
      <c r="Q26" s="305">
        <f t="shared" si="4"/>
        <v>0.7</v>
      </c>
      <c r="R26" s="177">
        <f t="shared" si="5"/>
        <v>0.50144281564903115</v>
      </c>
      <c r="S26" s="817">
        <f t="shared" si="6"/>
        <v>-2</v>
      </c>
      <c r="T26" s="176">
        <f t="shared" si="7"/>
        <v>4</v>
      </c>
      <c r="U26" s="251">
        <f t="shared" si="21"/>
        <v>-1.4985571843509689</v>
      </c>
      <c r="V26" s="383">
        <f t="shared" si="8"/>
        <v>14.395675848662023</v>
      </c>
      <c r="W26" s="58"/>
      <c r="X26" s="157">
        <f t="shared" si="9"/>
        <v>43477</v>
      </c>
      <c r="Y26" s="385">
        <f t="shared" si="10"/>
        <v>6.6040000000000001</v>
      </c>
      <c r="Z26" s="385">
        <f t="shared" si="11"/>
        <v>6.6428791613577109</v>
      </c>
      <c r="AA26" s="386">
        <f t="shared" si="12"/>
        <v>6.9415632766609132</v>
      </c>
      <c r="AB26" s="197">
        <f t="shared" si="13"/>
        <v>43477</v>
      </c>
      <c r="AC26" s="427">
        <f>IF(OR(t&lt;Tnet,NoTnet),'2018'!Resal_s+('2018'!Salim-'2018'!Resal_s)*(1-EXP(('2018'!Tnet_s-t)/'2018'!Tau_j)),Resal_s+(Salim-Resal_s)*(1-EXP((Tnet_s-t)/Tau_j)))*Salcycl</f>
        <v>4.302836456269795E-2</v>
      </c>
      <c r="AD26" s="231">
        <f>(INDEX(Models!$BJ26:$BT26,,AH26)*(1-AF26)+INDEX(Models!$BJ26:$BT26,,AH26+1)*AF26-ERP_i)*AE26*Ramure*Pc/MaxiM</f>
        <v>1.2509465614309857E-2</v>
      </c>
      <c r="AE26" s="305">
        <f t="shared" si="14"/>
        <v>0.7</v>
      </c>
      <c r="AF26" s="177">
        <f t="shared" si="15"/>
        <v>0.50144281564903115</v>
      </c>
      <c r="AG26" s="176">
        <f t="shared" si="16"/>
        <v>-2</v>
      </c>
      <c r="AH26" s="176">
        <f t="shared" si="17"/>
        <v>4</v>
      </c>
      <c r="AI26" s="225">
        <f t="shared" si="22"/>
        <v>-1.4985571843509689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0"/>
        <v>43478</v>
      </c>
      <c r="B27" s="617">
        <v>3.3239999999999998</v>
      </c>
      <c r="C27" s="390"/>
      <c r="D27" s="393">
        <f t="shared" si="0"/>
        <v>3.3436423337355348</v>
      </c>
      <c r="E27" s="385">
        <f t="shared" si="1"/>
        <v>3.494463879081934</v>
      </c>
      <c r="F27" s="385">
        <f t="shared" si="2"/>
        <v>3.494463879081934</v>
      </c>
      <c r="G27" s="110">
        <f t="shared" si="23"/>
        <v>0.22516846614253649</v>
      </c>
      <c r="H27" s="414" t="b">
        <f>Wh_hp&gt;='2018'!Maxi_hp</f>
        <v>1</v>
      </c>
      <c r="I27" s="390">
        <f>IF(H27,Wh_hp,'2018'!Maxi_hp)</f>
        <v>3.494463879081934</v>
      </c>
      <c r="J27" s="85">
        <f>IF(H27,An,'2018'!An_max)</f>
        <v>2019</v>
      </c>
      <c r="K27" s="197">
        <f t="shared" si="3"/>
        <v>43478</v>
      </c>
      <c r="L27" s="147">
        <f>IF(t&lt;Tvie,1-EXP((T0-t)*PertePVj)+'2018'!Pspv,1-EXP((T0-t)*PertePVj)+Pspv)</f>
        <v>5.87453195497456E-3</v>
      </c>
      <c r="M27" s="850"/>
      <c r="N27" s="850"/>
      <c r="O27" s="48">
        <f>IF(t&lt;Tnet,'2018'!Resal+('2018'!Salim-'2018'!Resal)*(1-EXP(('2018'!Tnet-t)/('2018'!Tau_j))),Resal+(Salim-Resal)*(1-EXP((Tnet-t)/(Tau_j))))*Salcycl</f>
        <v>4.3160138597862115E-2</v>
      </c>
      <c r="P27" s="169">
        <f>(INDEX(Models!$BJ27:$BT27,,T27)*(1-R27)+INDEX(Models!$BJ27:$BT27,,T27+1)*R27-ERP_i)*Q27*Ramure*Pc/MaxiM</f>
        <v>1.2502580310616429E-2</v>
      </c>
      <c r="Q27" s="305">
        <f t="shared" si="4"/>
        <v>0.7</v>
      </c>
      <c r="R27" s="177">
        <f t="shared" si="5"/>
        <v>0.50147938244465795</v>
      </c>
      <c r="S27" s="817">
        <f t="shared" si="6"/>
        <v>-2</v>
      </c>
      <c r="T27" s="176">
        <f t="shared" si="7"/>
        <v>4</v>
      </c>
      <c r="U27" s="251">
        <f t="shared" si="21"/>
        <v>-1.498520617555342</v>
      </c>
      <c r="V27" s="383">
        <f t="shared" si="8"/>
        <v>14.57771365271749</v>
      </c>
      <c r="W27" s="58"/>
      <c r="X27" s="157">
        <f t="shared" si="9"/>
        <v>43478</v>
      </c>
      <c r="Y27" s="385">
        <f t="shared" si="10"/>
        <v>3.3239999999999998</v>
      </c>
      <c r="Z27" s="385">
        <f t="shared" si="11"/>
        <v>3.3436423337355348</v>
      </c>
      <c r="AA27" s="386">
        <f t="shared" si="12"/>
        <v>3.494463879081934</v>
      </c>
      <c r="AB27" s="197">
        <f t="shared" si="13"/>
        <v>43478</v>
      </c>
      <c r="AC27" s="427">
        <f>IF(OR(t&lt;Tnet,NoTnet),'2018'!Resal_s+('2018'!Salim-'2018'!Resal_s)*(1-EXP(('2018'!Tnet_s-t)/'2018'!Tau_j)),Resal_s+(Salim-Resal_s)*(1-EXP((Tnet_s-t)/Tau_j)))*Salcycl</f>
        <v>4.3160138597862115E-2</v>
      </c>
      <c r="AD27" s="231">
        <f>(INDEX(Models!$BJ27:$BT27,,AH27)*(1-AF27)+INDEX(Models!$BJ27:$BT27,,AH27+1)*AF27-ERP_i)*AE27*Ramure*Pc/MaxiM</f>
        <v>1.2502580310616429E-2</v>
      </c>
      <c r="AE27" s="305">
        <f t="shared" si="14"/>
        <v>0.7</v>
      </c>
      <c r="AF27" s="177">
        <f t="shared" si="15"/>
        <v>0.50147938244465795</v>
      </c>
      <c r="AG27" s="176">
        <f t="shared" si="16"/>
        <v>-2</v>
      </c>
      <c r="AH27" s="300">
        <f t="shared" si="17"/>
        <v>4</v>
      </c>
      <c r="AI27" s="225">
        <f t="shared" si="22"/>
        <v>-1.498520617555342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0"/>
        <v>43479</v>
      </c>
      <c r="B28" s="617">
        <v>4.33</v>
      </c>
      <c r="C28" s="390"/>
      <c r="D28" s="393">
        <f t="shared" si="0"/>
        <v>4.3556824358449884</v>
      </c>
      <c r="E28" s="385">
        <f t="shared" si="1"/>
        <v>4.552780368917615</v>
      </c>
      <c r="F28" s="385">
        <f t="shared" si="2"/>
        <v>4.552780368917615</v>
      </c>
      <c r="G28" s="110">
        <f t="shared" si="23"/>
        <v>0.28960757168131451</v>
      </c>
      <c r="H28" s="414" t="b">
        <f>Wh_hp&gt;='2018'!Maxi_hp</f>
        <v>1</v>
      </c>
      <c r="I28" s="390">
        <f>IF(H28,Wh_hp,'2018'!Maxi_hp)</f>
        <v>4.552780368917615</v>
      </c>
      <c r="J28" s="85">
        <f>IF(H28,An,'2018'!An_max)</f>
        <v>2019</v>
      </c>
      <c r="K28" s="197">
        <f t="shared" si="3"/>
        <v>43479</v>
      </c>
      <c r="L28" s="147">
        <f>IF(t&lt;Tvie,1-EXP((T0-t)*PertePVj)+'2018'!Pspv,1-EXP((T0-t)*PertePVj)+Pspv)</f>
        <v>5.8963058540805191E-3</v>
      </c>
      <c r="M28" s="850"/>
      <c r="N28" s="850"/>
      <c r="O28" s="48">
        <f>IF(t&lt;Tnet,'2018'!Resal+('2018'!Salim-'2018'!Resal)*(1-EXP(('2018'!Tnet-t)/('2018'!Tau_j))),Resal+(Salim-Resal)*(1-EXP((Tnet-t)/(Tau_j))))*Salcycl</f>
        <v>4.3291772741386257E-2</v>
      </c>
      <c r="P28" s="169">
        <f>(INDEX(Models!$BJ28:$BT28,,T28)*(1-R28)+INDEX(Models!$BJ28:$BT28,,T28+1)*R28-ERP_i)*Q28*Ramure*Pc/MaxiM</f>
        <v>1.2488343027058165E-2</v>
      </c>
      <c r="Q28" s="305">
        <f t="shared" si="4"/>
        <v>0.7</v>
      </c>
      <c r="R28" s="177">
        <f t="shared" si="5"/>
        <v>0.50151747615605458</v>
      </c>
      <c r="S28" s="817">
        <f t="shared" si="6"/>
        <v>-2</v>
      </c>
      <c r="T28" s="176">
        <f t="shared" si="7"/>
        <v>4</v>
      </c>
      <c r="U28" s="251">
        <f t="shared" si="21"/>
        <v>-1.4984825238439454</v>
      </c>
      <c r="V28" s="383">
        <f t="shared" si="8"/>
        <v>14.764550007684489</v>
      </c>
      <c r="W28" s="58"/>
      <c r="X28" s="157">
        <f t="shared" si="9"/>
        <v>43479</v>
      </c>
      <c r="Y28" s="385">
        <f t="shared" si="10"/>
        <v>4.33</v>
      </c>
      <c r="Z28" s="385">
        <f t="shared" si="11"/>
        <v>4.3556824358449884</v>
      </c>
      <c r="AA28" s="386">
        <f t="shared" si="12"/>
        <v>4.552780368917615</v>
      </c>
      <c r="AB28" s="197">
        <f t="shared" si="13"/>
        <v>43479</v>
      </c>
      <c r="AC28" s="427">
        <f>IF(OR(t&lt;Tnet,NoTnet),'2018'!Resal_s+('2018'!Salim-'2018'!Resal_s)*(1-EXP(('2018'!Tnet_s-t)/'2018'!Tau_j)),Resal_s+(Salim-Resal_s)*(1-EXP((Tnet_s-t)/Tau_j)))*Salcycl</f>
        <v>4.3291772741386257E-2</v>
      </c>
      <c r="AD28" s="231">
        <f>(INDEX(Models!$BJ28:$BT28,,AH28)*(1-AF28)+INDEX(Models!$BJ28:$BT28,,AH28+1)*AF28-ERP_i)*AE28*Ramure*Pc/MaxiM</f>
        <v>1.2488343027058165E-2</v>
      </c>
      <c r="AE28" s="305">
        <f t="shared" si="14"/>
        <v>0.7</v>
      </c>
      <c r="AF28" s="177">
        <f t="shared" si="15"/>
        <v>0.50151747615605458</v>
      </c>
      <c r="AG28" s="176">
        <f t="shared" si="16"/>
        <v>-2</v>
      </c>
      <c r="AH28" s="176">
        <f t="shared" si="17"/>
        <v>4</v>
      </c>
      <c r="AI28" s="225">
        <f t="shared" si="22"/>
        <v>-1.4984825238439454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0"/>
        <v>43480</v>
      </c>
      <c r="B29" s="617">
        <v>14.978</v>
      </c>
      <c r="C29" s="390"/>
      <c r="D29" s="393">
        <f t="shared" si="0"/>
        <v>15.067168698828786</v>
      </c>
      <c r="E29" s="385">
        <f t="shared" si="1"/>
        <v>15.751134436095303</v>
      </c>
      <c r="F29" s="385">
        <f t="shared" si="2"/>
        <v>15.949981702502878</v>
      </c>
      <c r="G29" s="110">
        <f t="shared" si="23"/>
        <v>1.0014521790612676</v>
      </c>
      <c r="H29" s="414" t="b">
        <f>Wh_hp&gt;='2018'!Maxi_hp</f>
        <v>1</v>
      </c>
      <c r="I29" s="390">
        <f>IF(H29,Wh_hp,'2018'!Maxi_hp)</f>
        <v>15.949981702502878</v>
      </c>
      <c r="J29" s="85">
        <f>IF(H29,An,'2018'!An_max)</f>
        <v>2019</v>
      </c>
      <c r="K29" s="197">
        <f t="shared" si="3"/>
        <v>43480</v>
      </c>
      <c r="L29" s="147">
        <f>IF(t&lt;Tvie,1-EXP((T0-t)*PertePVj)+'2018'!Pspv,1-EXP((T0-t)*PertePVj)+Pspv)</f>
        <v>5.9180792762821843E-3</v>
      </c>
      <c r="M29" s="850"/>
      <c r="N29" s="850"/>
      <c r="O29" s="48">
        <f>IF(t&lt;Tnet,'2018'!Resal+('2018'!Salim-'2018'!Resal)*(1-EXP(('2018'!Tnet-t)/('2018'!Tau_j))),Resal+(Salim-Resal)*(1-EXP((Tnet-t)/(Tau_j))))*Salcycl</f>
        <v>4.3423268339272153E-2</v>
      </c>
      <c r="P29" s="169">
        <f>(INDEX(Models!$BJ29:$BT29,,T29)*(1-R29)+INDEX(Models!$BJ29:$BT29,,T29+1)*R29-ERP_i)*Q29*Ramure*Pc/MaxiM</f>
        <v>1.2466927556184748E-2</v>
      </c>
      <c r="Q29" s="305">
        <f t="shared" si="4"/>
        <v>0.7</v>
      </c>
      <c r="R29" s="177">
        <f t="shared" si="5"/>
        <v>0.50155716023142594</v>
      </c>
      <c r="S29" s="817">
        <f t="shared" si="6"/>
        <v>-2</v>
      </c>
      <c r="T29" s="176">
        <f t="shared" si="7"/>
        <v>4</v>
      </c>
      <c r="U29" s="251">
        <f t="shared" si="21"/>
        <v>-1.4984428397685741</v>
      </c>
      <c r="V29" s="383">
        <f t="shared" si="8"/>
        <v>14.956280802184629</v>
      </c>
      <c r="W29" s="58"/>
      <c r="X29" s="157">
        <f t="shared" si="9"/>
        <v>43480</v>
      </c>
      <c r="Y29" s="385">
        <f t="shared" si="10"/>
        <v>14.978</v>
      </c>
      <c r="Z29" s="385">
        <f t="shared" si="11"/>
        <v>15.067168698828786</v>
      </c>
      <c r="AA29" s="386">
        <f t="shared" si="12"/>
        <v>15.751134436095303</v>
      </c>
      <c r="AB29" s="197">
        <f t="shared" si="13"/>
        <v>43480</v>
      </c>
      <c r="AC29" s="427">
        <f>IF(OR(t&lt;Tnet,NoTnet),'2018'!Resal_s+('2018'!Salim-'2018'!Resal_s)*(1-EXP(('2018'!Tnet_s-t)/'2018'!Tau_j)),Resal_s+(Salim-Resal_s)*(1-EXP((Tnet_s-t)/Tau_j)))*Salcycl</f>
        <v>4.3423268339272153E-2</v>
      </c>
      <c r="AD29" s="231">
        <f>(INDEX(Models!$BJ29:$BT29,,AH29)*(1-AF29)+INDEX(Models!$BJ29:$BT29,,AH29+1)*AF29-ERP_i)*AE29*Ramure*Pc/MaxiM</f>
        <v>1.2466927556184748E-2</v>
      </c>
      <c r="AE29" s="305">
        <f t="shared" si="14"/>
        <v>0.7</v>
      </c>
      <c r="AF29" s="177">
        <f t="shared" si="15"/>
        <v>0.50155716023142594</v>
      </c>
      <c r="AG29" s="176">
        <f t="shared" si="16"/>
        <v>-2</v>
      </c>
      <c r="AH29" s="176">
        <f t="shared" si="17"/>
        <v>4</v>
      </c>
      <c r="AI29" s="225">
        <f t="shared" si="22"/>
        <v>-1.4984428397685741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0"/>
        <v>43481</v>
      </c>
      <c r="B30" s="617">
        <v>15.042999999999999</v>
      </c>
      <c r="C30" s="390"/>
      <c r="D30" s="393">
        <f t="shared" si="0"/>
        <v>15.132887113138043</v>
      </c>
      <c r="E30" s="385">
        <f t="shared" si="1"/>
        <v>15.822008808608452</v>
      </c>
      <c r="F30" s="385">
        <f t="shared" si="2"/>
        <v>16.019195087991264</v>
      </c>
      <c r="G30" s="110">
        <f t="shared" si="23"/>
        <v>0.99261079142222486</v>
      </c>
      <c r="H30" s="414" t="b">
        <f>Wh_hp&gt;='2018'!Maxi_hp</f>
        <v>1</v>
      </c>
      <c r="I30" s="390">
        <f>IF(H30,Wh_hp,'2018'!Maxi_hp)</f>
        <v>16.019195087991264</v>
      </c>
      <c r="J30" s="85">
        <f>IF(H30,An,'2018'!An_max)</f>
        <v>2019</v>
      </c>
      <c r="K30" s="197">
        <f t="shared" si="3"/>
        <v>43481</v>
      </c>
      <c r="L30" s="147">
        <f>IF(t&lt;Tvie,1-EXP((T0-t)*PertePVj)+'2018'!Pspv,1-EXP((T0-t)*PertePVj)+Pspv)</f>
        <v>5.9398522215899918E-3</v>
      </c>
      <c r="M30" s="850"/>
      <c r="N30" s="850"/>
      <c r="O30" s="48">
        <f>IF(t&lt;Tnet,'2018'!Resal+('2018'!Salim-'2018'!Resal)*(1-EXP(('2018'!Tnet-t)/('2018'!Tau_j))),Resal+(Salim-Resal)*(1-EXP((Tnet-t)/(Tau_j))))*Salcycl</f>
        <v>4.3554627216202166E-2</v>
      </c>
      <c r="P30" s="169">
        <f>(INDEX(Models!$BJ30:$BT30,,T30)*(1-R30)+INDEX(Models!$BJ30:$BT30,,T30+1)*R30-ERP_i)*Q30*Ramure*Pc/MaxiM</f>
        <v>1.2438370726815303E-2</v>
      </c>
      <c r="Q30" s="305">
        <f t="shared" si="4"/>
        <v>0.7</v>
      </c>
      <c r="R30" s="177">
        <f t="shared" si="5"/>
        <v>0.50159850072887924</v>
      </c>
      <c r="S30" s="817">
        <f t="shared" si="6"/>
        <v>-2</v>
      </c>
      <c r="T30" s="176">
        <f t="shared" si="7"/>
        <v>4</v>
      </c>
      <c r="U30" s="251">
        <f t="shared" si="21"/>
        <v>-1.4984014992711208</v>
      </c>
      <c r="V30" s="383">
        <f t="shared" si="8"/>
        <v>15.153004040755537</v>
      </c>
      <c r="W30" s="58"/>
      <c r="X30" s="157">
        <f t="shared" si="9"/>
        <v>43481</v>
      </c>
      <c r="Y30" s="385">
        <f t="shared" si="10"/>
        <v>15.042999999999999</v>
      </c>
      <c r="Z30" s="385">
        <f t="shared" si="11"/>
        <v>15.132887113138043</v>
      </c>
      <c r="AA30" s="386">
        <f t="shared" si="12"/>
        <v>15.822008808608452</v>
      </c>
      <c r="AB30" s="197">
        <f t="shared" si="13"/>
        <v>43481</v>
      </c>
      <c r="AC30" s="427">
        <f>IF(OR(t&lt;Tnet,NoTnet),'2018'!Resal_s+('2018'!Salim-'2018'!Resal_s)*(1-EXP(('2018'!Tnet_s-t)/'2018'!Tau_j)),Resal_s+(Salim-Resal_s)*(1-EXP((Tnet_s-t)/Tau_j)))*Salcycl</f>
        <v>4.3554627216202166E-2</v>
      </c>
      <c r="AD30" s="231">
        <f>(INDEX(Models!$BJ30:$BT30,,AH30)*(1-AF30)+INDEX(Models!$BJ30:$BT30,,AH30+1)*AF30-ERP_i)*AE30*Ramure*Pc/MaxiM</f>
        <v>1.2438370726815303E-2</v>
      </c>
      <c r="AE30" s="305">
        <f t="shared" si="14"/>
        <v>0.7</v>
      </c>
      <c r="AF30" s="177">
        <f t="shared" si="15"/>
        <v>0.50159850072887924</v>
      </c>
      <c r="AG30" s="176">
        <f t="shared" si="16"/>
        <v>-2</v>
      </c>
      <c r="AH30" s="176">
        <f t="shared" si="17"/>
        <v>4</v>
      </c>
      <c r="AI30" s="225">
        <f t="shared" si="22"/>
        <v>-1.4984014992711208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43482</v>
      </c>
      <c r="B31" s="617">
        <v>6.59</v>
      </c>
      <c r="C31" s="390"/>
      <c r="D31" s="393">
        <f t="shared" si="0"/>
        <v>6.6295227263685303</v>
      </c>
      <c r="E31" s="385">
        <f t="shared" si="1"/>
        <v>6.9323691773989147</v>
      </c>
      <c r="F31" s="385">
        <f t="shared" si="2"/>
        <v>6.9482737869840507</v>
      </c>
      <c r="G31" s="110">
        <f t="shared" si="23"/>
        <v>0.42483068293232074</v>
      </c>
      <c r="H31" s="414" t="b">
        <f>Wh_hp&gt;='2018'!Maxi_hp</f>
        <v>1</v>
      </c>
      <c r="I31" s="390">
        <f>IF(H31,Wh_hp,'2018'!Maxi_hp)</f>
        <v>6.9482737869840507</v>
      </c>
      <c r="J31" s="85">
        <f>IF(H31,An,'2018'!An_max)</f>
        <v>2019</v>
      </c>
      <c r="K31" s="197">
        <f t="shared" si="3"/>
        <v>43482</v>
      </c>
      <c r="L31" s="147">
        <f>IF(t&lt;Tvie,1-EXP((T0-t)*PertePVj)+'2018'!Pspv,1-EXP((T0-t)*PertePVj)+Pspv)</f>
        <v>5.9616246900144887E-3</v>
      </c>
      <c r="M31" s="850"/>
      <c r="N31" s="850"/>
      <c r="O31" s="48">
        <f>IF(t&lt;Tnet,'2018'!Resal+('2018'!Salim-'2018'!Resal)*(1-EXP(('2018'!Tnet-t)/('2018'!Tau_j))),Resal+(Salim-Resal)*(1-EXP((Tnet-t)/(Tau_j))))*Salcycl</f>
        <v>4.3685851587034891E-2</v>
      </c>
      <c r="P31" s="169">
        <f>(INDEX(Models!$BJ31:$BT31,,T31)*(1-R31)+INDEX(Models!$BJ31:$BT31,,T31+1)*R31-ERP_i)*Q31*Ramure*Pc/MaxiM</f>
        <v>1.240347871868437E-2</v>
      </c>
      <c r="Q31" s="305">
        <f t="shared" si="4"/>
        <v>0.7</v>
      </c>
      <c r="R31" s="177">
        <f t="shared" si="5"/>
        <v>0.50164156642150837</v>
      </c>
      <c r="S31" s="817">
        <f t="shared" si="6"/>
        <v>-2</v>
      </c>
      <c r="T31" s="176">
        <f t="shared" si="7"/>
        <v>4</v>
      </c>
      <c r="U31" s="251">
        <f t="shared" si="21"/>
        <v>-1.4983584335784916</v>
      </c>
      <c r="V31" s="383">
        <f t="shared" si="8"/>
        <v>15.354805892241549</v>
      </c>
      <c r="W31" s="58"/>
      <c r="X31" s="157">
        <f t="shared" si="9"/>
        <v>43482</v>
      </c>
      <c r="Y31" s="385">
        <f t="shared" si="10"/>
        <v>6.59</v>
      </c>
      <c r="Z31" s="385">
        <f t="shared" si="11"/>
        <v>6.6295227263685303</v>
      </c>
      <c r="AA31" s="386">
        <f t="shared" si="12"/>
        <v>6.9323691773989147</v>
      </c>
      <c r="AB31" s="197">
        <f t="shared" si="13"/>
        <v>43482</v>
      </c>
      <c r="AC31" s="427">
        <f>IF(OR(t&lt;Tnet,NoTnet),'2018'!Resal_s+('2018'!Salim-'2018'!Resal_s)*(1-EXP(('2018'!Tnet_s-t)/'2018'!Tau_j)),Resal_s+(Salim-Resal_s)*(1-EXP((Tnet_s-t)/Tau_j)))*Salcycl</f>
        <v>4.3685851587034891E-2</v>
      </c>
      <c r="AD31" s="231">
        <f>(INDEX(Models!$BJ31:$BT31,,AH31)*(1-AF31)+INDEX(Models!$BJ31:$BT31,,AH31+1)*AF31-ERP_i)*AE31*Ramure*Pc/MaxiM</f>
        <v>1.240347871868437E-2</v>
      </c>
      <c r="AE31" s="305">
        <f t="shared" si="14"/>
        <v>0.7</v>
      </c>
      <c r="AF31" s="177">
        <f t="shared" si="15"/>
        <v>0.50164156642150837</v>
      </c>
      <c r="AG31" s="176">
        <f t="shared" si="16"/>
        <v>-2</v>
      </c>
      <c r="AH31" s="176">
        <f t="shared" si="17"/>
        <v>4</v>
      </c>
      <c r="AI31" s="225">
        <f t="shared" si="22"/>
        <v>-1.4983584335784916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0"/>
        <v>43483</v>
      </c>
      <c r="B32" s="617">
        <v>8.5739999999999998</v>
      </c>
      <c r="C32" s="390"/>
      <c r="D32" s="393">
        <f t="shared" si="0"/>
        <v>8.6256104489366479</v>
      </c>
      <c r="E32" s="385">
        <f t="shared" si="1"/>
        <v>9.0208777435674872</v>
      </c>
      <c r="F32" s="385">
        <f t="shared" si="2"/>
        <v>9.0610380387161129</v>
      </c>
      <c r="G32" s="110">
        <f t="shared" si="23"/>
        <v>0.54657644725013765</v>
      </c>
      <c r="H32" s="414" t="b">
        <f>Wh_hp&gt;='2018'!Maxi_hp</f>
        <v>1</v>
      </c>
      <c r="I32" s="390">
        <f>IF(H32,Wh_hp,'2018'!Maxi_hp)</f>
        <v>9.0610380387161129</v>
      </c>
      <c r="J32" s="85">
        <f>IF(H32,An,'2018'!An_max)</f>
        <v>2019</v>
      </c>
      <c r="K32" s="197">
        <f t="shared" si="3"/>
        <v>43483</v>
      </c>
      <c r="L32" s="147">
        <f>IF(t&lt;Tvie,1-EXP((T0-t)*PertePVj)+'2018'!Pspv,1-EXP((T0-t)*PertePVj)+Pspv)</f>
        <v>5.983396681566E-3</v>
      </c>
      <c r="M32" s="850"/>
      <c r="N32" s="850"/>
      <c r="O32" s="48">
        <f>IF(t&lt;Tnet,'2018'!Resal+('2018'!Salim-'2018'!Resal)*(1-EXP(('2018'!Tnet-t)/('2018'!Tau_j))),Resal+(Salim-Resal)*(1-EXP((Tnet-t)/(Tau_j))))*Salcycl</f>
        <v>4.3816943967862947E-2</v>
      </c>
      <c r="P32" s="169">
        <f>(INDEX(Models!$BJ32:$BT32,,T32)*(1-R32)+INDEX(Models!$BJ32:$BT32,,T32+1)*R32-ERP_i)*Q32*Ramure*Pc/MaxiM</f>
        <v>1.2362420685575788E-2</v>
      </c>
      <c r="Q32" s="305">
        <f t="shared" si="4"/>
        <v>0.7</v>
      </c>
      <c r="R32" s="177">
        <f t="shared" si="5"/>
        <v>0.50168642890651438</v>
      </c>
      <c r="S32" s="817">
        <f t="shared" si="6"/>
        <v>-2</v>
      </c>
      <c r="T32" s="176">
        <f t="shared" si="7"/>
        <v>4</v>
      </c>
      <c r="U32" s="251">
        <f t="shared" si="21"/>
        <v>-1.4983135710934856</v>
      </c>
      <c r="V32" s="383">
        <f t="shared" si="8"/>
        <v>15.561782055858982</v>
      </c>
      <c r="W32" s="58"/>
      <c r="X32" s="157">
        <f t="shared" si="9"/>
        <v>43483</v>
      </c>
      <c r="Y32" s="385">
        <f t="shared" si="10"/>
        <v>8.5739999999999998</v>
      </c>
      <c r="Z32" s="385">
        <f t="shared" si="11"/>
        <v>8.6256104489366479</v>
      </c>
      <c r="AA32" s="386">
        <f t="shared" si="12"/>
        <v>9.0208777435674872</v>
      </c>
      <c r="AB32" s="197">
        <f t="shared" si="13"/>
        <v>43483</v>
      </c>
      <c r="AC32" s="427">
        <f>IF(OR(t&lt;Tnet,NoTnet),'2018'!Resal_s+('2018'!Salim-'2018'!Resal_s)*(1-EXP(('2018'!Tnet_s-t)/'2018'!Tau_j)),Resal_s+(Salim-Resal_s)*(1-EXP((Tnet_s-t)/Tau_j)))*Salcycl</f>
        <v>4.3816943967862947E-2</v>
      </c>
      <c r="AD32" s="231">
        <f>(INDEX(Models!$BJ32:$BT32,,AH32)*(1-AF32)+INDEX(Models!$BJ32:$BT32,,AH32+1)*AF32-ERP_i)*AE32*Ramure*Pc/MaxiM</f>
        <v>1.2362420685575788E-2</v>
      </c>
      <c r="AE32" s="305">
        <f t="shared" si="14"/>
        <v>0.7</v>
      </c>
      <c r="AF32" s="177">
        <f t="shared" si="15"/>
        <v>0.50168642890651438</v>
      </c>
      <c r="AG32" s="176">
        <f t="shared" si="16"/>
        <v>-2</v>
      </c>
      <c r="AH32" s="176">
        <f t="shared" si="17"/>
        <v>4</v>
      </c>
      <c r="AI32" s="225">
        <f t="shared" si="22"/>
        <v>-1.4983135710934856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0"/>
        <v>43484</v>
      </c>
      <c r="B33" s="617">
        <v>9.8710000000000004</v>
      </c>
      <c r="C33" s="390"/>
      <c r="D33" s="393">
        <f t="shared" si="0"/>
        <v>9.9306351342769741</v>
      </c>
      <c r="E33" s="385">
        <f t="shared" si="1"/>
        <v>10.38712765538318</v>
      </c>
      <c r="F33" s="385">
        <f t="shared" si="2"/>
        <v>10.447004593209309</v>
      </c>
      <c r="G33" s="110">
        <f t="shared" si="23"/>
        <v>0.6216316985389202</v>
      </c>
      <c r="H33" s="414" t="b">
        <f>Wh_hp&gt;='2018'!Maxi_hp</f>
        <v>1</v>
      </c>
      <c r="I33" s="390">
        <f>IF(H33,Wh_hp,'2018'!Maxi_hp)</f>
        <v>10.447004593209309</v>
      </c>
      <c r="J33" s="85">
        <f>IF(H33,An,'2018'!An_max)</f>
        <v>2019</v>
      </c>
      <c r="K33" s="197">
        <f t="shared" si="3"/>
        <v>43484</v>
      </c>
      <c r="L33" s="147">
        <f>IF(t&lt;Tvie,1-EXP((T0-t)*PertePVj)+'2018'!Pspv,1-EXP((T0-t)*PertePVj)+Pspv)</f>
        <v>6.0051681962550729E-3</v>
      </c>
      <c r="M33" s="850"/>
      <c r="N33" s="850"/>
      <c r="O33" s="48">
        <f>IF(t&lt;Tnet,'2018'!Resal+('2018'!Salim-'2018'!Resal)*(1-EXP(('2018'!Tnet-t)/('2018'!Tau_j))),Resal+(Salim-Resal)*(1-EXP((Tnet-t)/(Tau_j))))*Salcycl</f>
        <v>4.3947907087637177E-2</v>
      </c>
      <c r="P33" s="169">
        <f>(INDEX(Models!$BJ33:$BT33,,T33)*(1-R33)+INDEX(Models!$BJ33:$BT33,,T33+1)*R33-ERP_i)*Q33*Ramure*Pc/MaxiM</f>
        <v>1.2315369518070388E-2</v>
      </c>
      <c r="Q33" s="305">
        <f t="shared" si="4"/>
        <v>0.7</v>
      </c>
      <c r="R33" s="177">
        <f t="shared" si="5"/>
        <v>0.50173316271850088</v>
      </c>
      <c r="S33" s="817">
        <f t="shared" si="6"/>
        <v>-2</v>
      </c>
      <c r="T33" s="176">
        <f t="shared" si="7"/>
        <v>4</v>
      </c>
      <c r="U33" s="251">
        <f t="shared" si="21"/>
        <v>-1.4982668372814991</v>
      </c>
      <c r="V33" s="383">
        <f t="shared" si="8"/>
        <v>15.774028171463529</v>
      </c>
      <c r="W33" s="58"/>
      <c r="X33" s="157">
        <f t="shared" si="9"/>
        <v>43484</v>
      </c>
      <c r="Y33" s="385">
        <f t="shared" si="10"/>
        <v>9.8710000000000004</v>
      </c>
      <c r="Z33" s="385">
        <f t="shared" si="11"/>
        <v>9.9306351342769741</v>
      </c>
      <c r="AA33" s="386">
        <f t="shared" si="12"/>
        <v>10.38712765538318</v>
      </c>
      <c r="AB33" s="197">
        <f t="shared" si="13"/>
        <v>43484</v>
      </c>
      <c r="AC33" s="427">
        <f>IF(OR(t&lt;Tnet,NoTnet),'2018'!Resal_s+('2018'!Salim-'2018'!Resal_s)*(1-EXP(('2018'!Tnet_s-t)/'2018'!Tau_j)),Resal_s+(Salim-Resal_s)*(1-EXP((Tnet_s-t)/Tau_j)))*Salcycl</f>
        <v>4.3947907087637177E-2</v>
      </c>
      <c r="AD33" s="231">
        <f>(INDEX(Models!$BJ33:$BT33,,AH33)*(1-AF33)+INDEX(Models!$BJ33:$BT33,,AH33+1)*AF33-ERP_i)*AE33*Ramure*Pc/MaxiM</f>
        <v>1.2315369518070388E-2</v>
      </c>
      <c r="AE33" s="305">
        <f t="shared" si="14"/>
        <v>0.7</v>
      </c>
      <c r="AF33" s="177">
        <f t="shared" si="15"/>
        <v>0.50173316271850088</v>
      </c>
      <c r="AG33" s="176">
        <f t="shared" si="16"/>
        <v>-2</v>
      </c>
      <c r="AH33" s="176">
        <f t="shared" si="17"/>
        <v>4</v>
      </c>
      <c r="AI33" s="225">
        <f t="shared" si="22"/>
        <v>-1.4982668372814991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0"/>
        <v>43485</v>
      </c>
      <c r="B34" s="617">
        <v>4.8070000000000004</v>
      </c>
      <c r="C34" s="390"/>
      <c r="D34" s="393">
        <f t="shared" si="0"/>
        <v>4.8361471650911314</v>
      </c>
      <c r="E34" s="385">
        <f t="shared" si="1"/>
        <v>5.0591480561094047</v>
      </c>
      <c r="F34" s="385">
        <f t="shared" si="2"/>
        <v>5.0592007522896774</v>
      </c>
      <c r="G34" s="110">
        <f t="shared" si="23"/>
        <v>0.29691161530097931</v>
      </c>
      <c r="H34" s="414" t="b">
        <f>Wh_hp&gt;='2018'!Maxi_hp</f>
        <v>1</v>
      </c>
      <c r="I34" s="390">
        <f>IF(H34,Wh_hp,'2018'!Maxi_hp)</f>
        <v>5.0592007522896774</v>
      </c>
      <c r="J34" s="85">
        <f>IF(H34,An,'2018'!An_max)</f>
        <v>2019</v>
      </c>
      <c r="K34" s="197">
        <f t="shared" si="3"/>
        <v>43485</v>
      </c>
      <c r="L34" s="147">
        <f>IF(t&lt;Tvie,1-EXP((T0-t)*PertePVj)+'2018'!Pspv,1-EXP((T0-t)*PertePVj)+Pspv)</f>
        <v>6.0269392340920325E-3</v>
      </c>
      <c r="M34" s="850"/>
      <c r="N34" s="850"/>
      <c r="O34" s="48">
        <f>IF(t&lt;Tnet,'2018'!Resal+('2018'!Salim-'2018'!Resal)*(1-EXP(('2018'!Tnet-t)/('2018'!Tau_j))),Resal+(Salim-Resal)*(1-EXP((Tnet-t)/(Tau_j))))*Salcycl</f>
        <v>4.4078743801335959E-2</v>
      </c>
      <c r="P34" s="169">
        <f>(INDEX(Models!$BJ34:$BT34,,T34)*(1-R34)+INDEX(Models!$BJ34:$BT34,,T34+1)*R34-ERP_i)*Q34*Ramure*Pc/MaxiM</f>
        <v>1.2262569751525133E-2</v>
      </c>
      <c r="Q34" s="305">
        <f t="shared" si="4"/>
        <v>0.7</v>
      </c>
      <c r="R34" s="177">
        <f t="shared" si="5"/>
        <v>0.5017818454470826</v>
      </c>
      <c r="S34" s="817">
        <f t="shared" si="6"/>
        <v>-2</v>
      </c>
      <c r="T34" s="176">
        <f t="shared" si="7"/>
        <v>4</v>
      </c>
      <c r="U34" s="251">
        <f t="shared" si="21"/>
        <v>-1.4982181545529174</v>
      </c>
      <c r="V34" s="383">
        <f t="shared" si="8"/>
        <v>15.991638717832794</v>
      </c>
      <c r="W34" s="58"/>
      <c r="X34" s="157">
        <f t="shared" si="9"/>
        <v>43485</v>
      </c>
      <c r="Y34" s="385">
        <f t="shared" si="10"/>
        <v>4.8070000000000004</v>
      </c>
      <c r="Z34" s="385">
        <f t="shared" si="11"/>
        <v>4.8361471650911314</v>
      </c>
      <c r="AA34" s="386">
        <f t="shared" si="12"/>
        <v>5.0591480561094047</v>
      </c>
      <c r="AB34" s="197">
        <f t="shared" si="13"/>
        <v>43485</v>
      </c>
      <c r="AC34" s="427">
        <f>IF(OR(t&lt;Tnet,NoTnet),'2018'!Resal_s+('2018'!Salim-'2018'!Resal_s)*(1-EXP(('2018'!Tnet_s-t)/'2018'!Tau_j)),Resal_s+(Salim-Resal_s)*(1-EXP((Tnet_s-t)/Tau_j)))*Salcycl</f>
        <v>4.4078743801335959E-2</v>
      </c>
      <c r="AD34" s="231">
        <f>(INDEX(Models!$BJ34:$BT34,,AH34)*(1-AF34)+INDEX(Models!$BJ34:$BT34,,AH34+1)*AF34-ERP_i)*AE34*Ramure*Pc/MaxiM</f>
        <v>1.2262569751525133E-2</v>
      </c>
      <c r="AE34" s="305">
        <f t="shared" si="14"/>
        <v>0.7</v>
      </c>
      <c r="AF34" s="177">
        <f t="shared" si="15"/>
        <v>0.5017818454470826</v>
      </c>
      <c r="AG34" s="176">
        <f t="shared" si="16"/>
        <v>-2</v>
      </c>
      <c r="AH34" s="176">
        <f t="shared" si="17"/>
        <v>4</v>
      </c>
      <c r="AI34" s="225">
        <f t="shared" si="22"/>
        <v>-1.4982181545529174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0"/>
        <v>43486</v>
      </c>
      <c r="B35" s="617">
        <v>6.1950000000000003</v>
      </c>
      <c r="C35" s="390"/>
      <c r="D35" s="393">
        <f t="shared" si="0"/>
        <v>6.232699792283424</v>
      </c>
      <c r="E35" s="385">
        <f t="shared" si="1"/>
        <v>6.5209891832128219</v>
      </c>
      <c r="F35" s="385">
        <f t="shared" si="2"/>
        <v>6.5303321419637701</v>
      </c>
      <c r="G35" s="110">
        <f t="shared" si="23"/>
        <v>0.37793848071417052</v>
      </c>
      <c r="H35" s="414" t="b">
        <f>Wh_hp&gt;='2018'!Maxi_hp</f>
        <v>1</v>
      </c>
      <c r="I35" s="390">
        <f>IF(H35,Wh_hp,'2018'!Maxi_hp)</f>
        <v>6.5303321419637701</v>
      </c>
      <c r="J35" s="85">
        <f>IF(H35,An,'2018'!An_max)</f>
        <v>2019</v>
      </c>
      <c r="K35" s="197">
        <f t="shared" si="3"/>
        <v>43486</v>
      </c>
      <c r="L35" s="147">
        <f>IF(t&lt;Tvie,1-EXP((T0-t)*PertePVj)+'2018'!Pspv,1-EXP((T0-t)*PertePVj)+Pspv)</f>
        <v>6.0487097950874258E-3</v>
      </c>
      <c r="M35" s="850"/>
      <c r="N35" s="850"/>
      <c r="O35" s="48">
        <f>IF(t&lt;Tnet,'2018'!Resal+('2018'!Salim-'2018'!Resal)*(1-EXP(('2018'!Tnet-t)/('2018'!Tau_j))),Resal+(Salim-Resal)*(1-EXP((Tnet-t)/(Tau_j))))*Salcycl</f>
        <v>4.4209457005625764E-2</v>
      </c>
      <c r="P35" s="169">
        <f>(INDEX(Models!$BJ35:$BT35,,T35)*(1-R35)+INDEX(Models!$BJ35:$BT35,,T35+1)*R35-ERP_i)*Q35*Ramure*Pc/MaxiM</f>
        <v>1.2204298128406135E-2</v>
      </c>
      <c r="Q35" s="305">
        <f t="shared" si="4"/>
        <v>0.7</v>
      </c>
      <c r="R35" s="177">
        <f t="shared" si="5"/>
        <v>0.50183255785895642</v>
      </c>
      <c r="S35" s="817">
        <f t="shared" si="6"/>
        <v>-2</v>
      </c>
      <c r="T35" s="176">
        <f t="shared" si="7"/>
        <v>4</v>
      </c>
      <c r="U35" s="251">
        <f t="shared" si="21"/>
        <v>-1.4981674421410436</v>
      </c>
      <c r="V35" s="383">
        <f t="shared" si="8"/>
        <v>16.214707575140437</v>
      </c>
      <c r="W35" s="58"/>
      <c r="X35" s="157">
        <f t="shared" si="9"/>
        <v>43486</v>
      </c>
      <c r="Y35" s="385">
        <f t="shared" si="10"/>
        <v>6.1950000000000003</v>
      </c>
      <c r="Z35" s="385">
        <f t="shared" si="11"/>
        <v>6.232699792283424</v>
      </c>
      <c r="AA35" s="386">
        <f t="shared" si="12"/>
        <v>6.5209891832128219</v>
      </c>
      <c r="AB35" s="197">
        <f t="shared" si="13"/>
        <v>43486</v>
      </c>
      <c r="AC35" s="427">
        <f>IF(OR(t&lt;Tnet,NoTnet),'2018'!Resal_s+('2018'!Salim-'2018'!Resal_s)*(1-EXP(('2018'!Tnet_s-t)/'2018'!Tau_j)),Resal_s+(Salim-Resal_s)*(1-EXP((Tnet_s-t)/Tau_j)))*Salcycl</f>
        <v>4.4209457005625764E-2</v>
      </c>
      <c r="AD35" s="231">
        <f>(INDEX(Models!$BJ35:$BT35,,AH35)*(1-AF35)+INDEX(Models!$BJ35:$BT35,,AH35+1)*AF35-ERP_i)*AE35*Ramure*Pc/MaxiM</f>
        <v>1.2204298128406135E-2</v>
      </c>
      <c r="AE35" s="305">
        <f t="shared" si="14"/>
        <v>0.7</v>
      </c>
      <c r="AF35" s="177">
        <f t="shared" si="15"/>
        <v>0.50183255785895642</v>
      </c>
      <c r="AG35" s="176">
        <f t="shared" si="16"/>
        <v>-2</v>
      </c>
      <c r="AH35" s="176">
        <f t="shared" si="17"/>
        <v>4</v>
      </c>
      <c r="AI35" s="225">
        <f t="shared" si="22"/>
        <v>-1.4981674421410436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0"/>
        <v>43487</v>
      </c>
      <c r="B36" s="617">
        <v>7.0650000000000004</v>
      </c>
      <c r="C36" s="390"/>
      <c r="D36" s="393">
        <f t="shared" si="0"/>
        <v>7.1081498808302861</v>
      </c>
      <c r="E36" s="385">
        <f t="shared" si="1"/>
        <v>7.4379489038356015</v>
      </c>
      <c r="F36" s="385">
        <f t="shared" si="2"/>
        <v>7.454712883307038</v>
      </c>
      <c r="G36" s="110">
        <f t="shared" si="23"/>
        <v>0.42539775981734512</v>
      </c>
      <c r="H36" s="414" t="b">
        <f>Wh_hp&gt;='2018'!Maxi_hp</f>
        <v>1</v>
      </c>
      <c r="I36" s="390">
        <f>IF(H36,Wh_hp,'2018'!Maxi_hp)</f>
        <v>7.454712883307038</v>
      </c>
      <c r="J36" s="85">
        <f>IF(H36,An,'2018'!An_max)</f>
        <v>2019</v>
      </c>
      <c r="K36" s="197">
        <f t="shared" si="3"/>
        <v>43487</v>
      </c>
      <c r="L36" s="147">
        <f>IF(t&lt;Tvie,1-EXP((T0-t)*PertePVj)+'2018'!Pspv,1-EXP((T0-t)*PertePVj)+Pspv)</f>
        <v>6.070479879251689E-3</v>
      </c>
      <c r="M36" s="850"/>
      <c r="N36" s="850"/>
      <c r="O36" s="48">
        <f>IF(t&lt;Tnet,'2018'!Resal+('2018'!Salim-'2018'!Resal)*(1-EXP(('2018'!Tnet-t)/('2018'!Tau_j))),Resal+(Salim-Resal)*(1-EXP((Tnet-t)/(Tau_j))))*Salcycl</f>
        <v>4.434004955791572E-2</v>
      </c>
      <c r="P36" s="169">
        <f>(INDEX(Models!$BJ36:$BT36,,T36)*(1-R36)+INDEX(Models!$BJ36:$BT36,,T36+1)*R36-ERP_i)*Q36*Ramure*Pc/MaxiM</f>
        <v>1.2140779004745273E-2</v>
      </c>
      <c r="Q36" s="305">
        <f t="shared" si="4"/>
        <v>0.7</v>
      </c>
      <c r="R36" s="177">
        <f t="shared" si="5"/>
        <v>0.50188538402457716</v>
      </c>
      <c r="S36" s="817">
        <f t="shared" si="6"/>
        <v>-2</v>
      </c>
      <c r="T36" s="176">
        <f t="shared" si="7"/>
        <v>4</v>
      </c>
      <c r="U36" s="251">
        <f t="shared" si="21"/>
        <v>-1.4981146159754228</v>
      </c>
      <c r="V36" s="383">
        <f t="shared" si="8"/>
        <v>16.443329385182064</v>
      </c>
      <c r="W36" s="58"/>
      <c r="X36" s="157">
        <f t="shared" si="9"/>
        <v>43487</v>
      </c>
      <c r="Y36" s="385">
        <f t="shared" si="10"/>
        <v>7.0650000000000004</v>
      </c>
      <c r="Z36" s="385">
        <f t="shared" si="11"/>
        <v>7.1081498808302861</v>
      </c>
      <c r="AA36" s="386">
        <f t="shared" si="12"/>
        <v>7.4379489038356015</v>
      </c>
      <c r="AB36" s="197">
        <f t="shared" si="13"/>
        <v>43487</v>
      </c>
      <c r="AC36" s="427">
        <f>IF(OR(t&lt;Tnet,NoTnet),'2018'!Resal_s+('2018'!Salim-'2018'!Resal_s)*(1-EXP(('2018'!Tnet_s-t)/'2018'!Tau_j)),Resal_s+(Salim-Resal_s)*(1-EXP((Tnet_s-t)/Tau_j)))*Salcycl</f>
        <v>4.434004955791572E-2</v>
      </c>
      <c r="AD36" s="231">
        <f>(INDEX(Models!$BJ36:$BT36,,AH36)*(1-AF36)+INDEX(Models!$BJ36:$BT36,,AH36+1)*AF36-ERP_i)*AE36*Ramure*Pc/MaxiM</f>
        <v>1.2140779004745273E-2</v>
      </c>
      <c r="AE36" s="305">
        <f t="shared" si="14"/>
        <v>0.7</v>
      </c>
      <c r="AF36" s="177">
        <f t="shared" si="15"/>
        <v>0.50188538402457716</v>
      </c>
      <c r="AG36" s="176">
        <f t="shared" si="16"/>
        <v>-2</v>
      </c>
      <c r="AH36" s="176">
        <f t="shared" si="17"/>
        <v>4</v>
      </c>
      <c r="AI36" s="225">
        <f t="shared" si="22"/>
        <v>-1.4981146159754228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0"/>
        <v>43488</v>
      </c>
      <c r="B37" s="617">
        <v>5.7969999999999997</v>
      </c>
      <c r="C37" s="390"/>
      <c r="D37" s="393">
        <f t="shared" si="0"/>
        <v>5.8325332476837506</v>
      </c>
      <c r="E37" s="385">
        <f t="shared" si="1"/>
        <v>6.1039804583720167</v>
      </c>
      <c r="F37" s="385">
        <f t="shared" si="2"/>
        <v>6.1089918751008456</v>
      </c>
      <c r="G37" s="110">
        <f t="shared" si="23"/>
        <v>0.3436557820520853</v>
      </c>
      <c r="H37" s="414" t="b">
        <f>Wh_hp&gt;='2018'!Maxi_hp</f>
        <v>1</v>
      </c>
      <c r="I37" s="390">
        <f>IF(H37,Wh_hp,'2018'!Maxi_hp)</f>
        <v>6.1089918751008456</v>
      </c>
      <c r="J37" s="85">
        <f>IF(H37,An,'2018'!An_max)</f>
        <v>2019</v>
      </c>
      <c r="K37" s="197">
        <f t="shared" si="3"/>
        <v>43488</v>
      </c>
      <c r="L37" s="147">
        <f>IF(t&lt;Tvie,1-EXP((T0-t)*PertePVj)+'2018'!Pspv,1-EXP((T0-t)*PertePVj)+Pspv)</f>
        <v>6.0922494865951471E-3</v>
      </c>
      <c r="M37" s="850"/>
      <c r="N37" s="850"/>
      <c r="O37" s="48">
        <f>IF(t&lt;Tnet,'2018'!Resal+('2018'!Salim-'2018'!Resal)*(1-EXP(('2018'!Tnet-t)/('2018'!Tau_j))),Resal+(Salim-Resal)*(1-EXP((Tnet-t)/(Tau_j))))*Salcycl</f>
        <v>4.4470524199657059E-2</v>
      </c>
      <c r="P37" s="169">
        <f>(INDEX(Models!$BJ37:$BT37,,T37)*(1-R37)+INDEX(Models!$BJ37:$BT37,,T37+1)*R37-ERP_i)*Q37*Ramure*Pc/MaxiM</f>
        <v>1.2071466346652121E-2</v>
      </c>
      <c r="Q37" s="305">
        <f t="shared" si="4"/>
        <v>0.7</v>
      </c>
      <c r="R37" s="177">
        <f t="shared" si="5"/>
        <v>0.50194041144959201</v>
      </c>
      <c r="S37" s="817">
        <f t="shared" si="6"/>
        <v>-2</v>
      </c>
      <c r="T37" s="176">
        <f t="shared" si="7"/>
        <v>4</v>
      </c>
      <c r="U37" s="251">
        <f t="shared" si="21"/>
        <v>-1.498059588550408</v>
      </c>
      <c r="V37" s="383">
        <f t="shared" si="8"/>
        <v>16.678676569753787</v>
      </c>
      <c r="W37" s="58"/>
      <c r="X37" s="157">
        <f t="shared" si="9"/>
        <v>43488</v>
      </c>
      <c r="Y37" s="385">
        <f t="shared" si="10"/>
        <v>5.7969999999999997</v>
      </c>
      <c r="Z37" s="385">
        <f t="shared" si="11"/>
        <v>5.8325332476837506</v>
      </c>
      <c r="AA37" s="386">
        <f t="shared" si="12"/>
        <v>6.1039804583720167</v>
      </c>
      <c r="AB37" s="197">
        <f t="shared" si="13"/>
        <v>43488</v>
      </c>
      <c r="AC37" s="427">
        <f>IF(OR(t&lt;Tnet,NoTnet),'2018'!Resal_s+('2018'!Salim-'2018'!Resal_s)*(1-EXP(('2018'!Tnet_s-t)/'2018'!Tau_j)),Resal_s+(Salim-Resal_s)*(1-EXP((Tnet_s-t)/Tau_j)))*Salcycl</f>
        <v>4.4470524199657059E-2</v>
      </c>
      <c r="AD37" s="231">
        <f>(INDEX(Models!$BJ37:$BT37,,AH37)*(1-AF37)+INDEX(Models!$BJ37:$BT37,,AH37+1)*AF37-ERP_i)*AE37*Ramure*Pc/MaxiM</f>
        <v>1.2071466346652121E-2</v>
      </c>
      <c r="AE37" s="305">
        <f t="shared" si="14"/>
        <v>0.7</v>
      </c>
      <c r="AF37" s="177">
        <f t="shared" si="15"/>
        <v>0.50194041144959201</v>
      </c>
      <c r="AG37" s="176">
        <f t="shared" si="16"/>
        <v>-2</v>
      </c>
      <c r="AH37" s="176">
        <f t="shared" si="17"/>
        <v>4</v>
      </c>
      <c r="AI37" s="225">
        <f t="shared" si="22"/>
        <v>-1.498059588550408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0"/>
        <v>43489</v>
      </c>
      <c r="B38" s="617">
        <v>7.01</v>
      </c>
      <c r="C38" s="390"/>
      <c r="D38" s="393">
        <f t="shared" si="0"/>
        <v>7.0531229248715599</v>
      </c>
      <c r="E38" s="385">
        <f t="shared" si="1"/>
        <v>7.382383762920786</v>
      </c>
      <c r="F38" s="385">
        <f t="shared" si="2"/>
        <v>7.3968623027539406</v>
      </c>
      <c r="G38" s="110">
        <f t="shared" si="23"/>
        <v>0.41010020744393033</v>
      </c>
      <c r="H38" s="414" t="b">
        <f>Wh_hp&gt;='2018'!Maxi_hp</f>
        <v>1</v>
      </c>
      <c r="I38" s="390">
        <f>IF(H38,Wh_hp,'2018'!Maxi_hp)</f>
        <v>7.3968623027539406</v>
      </c>
      <c r="J38" s="85">
        <f>IF(H38,An,'2018'!An_max)</f>
        <v>2019</v>
      </c>
      <c r="K38" s="197">
        <f t="shared" si="3"/>
        <v>43489</v>
      </c>
      <c r="L38" s="147">
        <f>IF(t&lt;Tvie,1-EXP((T0-t)*PertePVj)+'2018'!Pspv,1-EXP((T0-t)*PertePVj)+Pspv)</f>
        <v>6.1140186171284583E-3</v>
      </c>
      <c r="M38" s="850"/>
      <c r="N38" s="850"/>
      <c r="O38" s="48">
        <f>IF(t&lt;Tnet,'2018'!Resal+('2018'!Salim-'2018'!Resal)*(1-EXP(('2018'!Tnet-t)/('2018'!Tau_j))),Resal+(Salim-Resal)*(1-EXP((Tnet-t)/(Tau_j))))*Salcycl</f>
        <v>4.4600883484680387E-2</v>
      </c>
      <c r="P38" s="169">
        <f>(INDEX(Models!$BJ38:$BT38,,T38)*(1-R38)+INDEX(Models!$BJ38:$BT38,,T38+1)*R38-ERP_i)*Q38*Ramure*Pc/MaxiM</f>
        <v>1.1991182508905948E-2</v>
      </c>
      <c r="Q38" s="305">
        <f t="shared" si="4"/>
        <v>0.7</v>
      </c>
      <c r="R38" s="177">
        <f t="shared" si="5"/>
        <v>0.50199773121118452</v>
      </c>
      <c r="S38" s="817">
        <f t="shared" si="6"/>
        <v>-2</v>
      </c>
      <c r="T38" s="176">
        <f t="shared" si="7"/>
        <v>4</v>
      </c>
      <c r="U38" s="251">
        <f t="shared" si="21"/>
        <v>-1.4980022687888155</v>
      </c>
      <c r="V38" s="383">
        <f t="shared" si="8"/>
        <v>16.921535365299732</v>
      </c>
      <c r="W38" s="58"/>
      <c r="X38" s="157">
        <f t="shared" si="9"/>
        <v>43489</v>
      </c>
      <c r="Y38" s="385">
        <f t="shared" si="10"/>
        <v>7.01</v>
      </c>
      <c r="Z38" s="385">
        <f t="shared" si="11"/>
        <v>7.0531229248715599</v>
      </c>
      <c r="AA38" s="386">
        <f t="shared" si="12"/>
        <v>7.382383762920786</v>
      </c>
      <c r="AB38" s="197">
        <f t="shared" si="13"/>
        <v>43489</v>
      </c>
      <c r="AC38" s="427">
        <f>IF(OR(t&lt;Tnet,NoTnet),'2018'!Resal_s+('2018'!Salim-'2018'!Resal_s)*(1-EXP(('2018'!Tnet_s-t)/'2018'!Tau_j)),Resal_s+(Salim-Resal_s)*(1-EXP((Tnet_s-t)/Tau_j)))*Salcycl</f>
        <v>4.4600883484680387E-2</v>
      </c>
      <c r="AD38" s="231">
        <f>(INDEX(Models!$BJ38:$BT38,,AH38)*(1-AF38)+INDEX(Models!$BJ38:$BT38,,AH38+1)*AF38-ERP_i)*AE38*Ramure*Pc/MaxiM</f>
        <v>1.1991182508905948E-2</v>
      </c>
      <c r="AE38" s="305">
        <f t="shared" si="14"/>
        <v>0.7</v>
      </c>
      <c r="AF38" s="177">
        <f t="shared" si="15"/>
        <v>0.50199773121118452</v>
      </c>
      <c r="AG38" s="176">
        <f t="shared" si="16"/>
        <v>-2</v>
      </c>
      <c r="AH38" s="176">
        <f t="shared" si="17"/>
        <v>4</v>
      </c>
      <c r="AI38" s="225">
        <f t="shared" si="22"/>
        <v>-1.4980022687888155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0"/>
        <v>43490</v>
      </c>
      <c r="B39" s="617">
        <v>2.61</v>
      </c>
      <c r="C39" s="390"/>
      <c r="D39" s="393">
        <f t="shared" si="0"/>
        <v>2.626113272388563</v>
      </c>
      <c r="E39" s="385">
        <f t="shared" si="1"/>
        <v>2.7490828541292136</v>
      </c>
      <c r="F39" s="385">
        <f t="shared" si="2"/>
        <v>2.7490828541292136</v>
      </c>
      <c r="G39" s="110">
        <f t="shared" si="23"/>
        <v>0.15018896259116934</v>
      </c>
      <c r="H39" s="414" t="b">
        <f>Wh_hp&gt;='2018'!Maxi_hp</f>
        <v>1</v>
      </c>
      <c r="I39" s="390">
        <f>IF(H39,Wh_hp,'2018'!Maxi_hp)</f>
        <v>2.7490828541292136</v>
      </c>
      <c r="J39" s="85">
        <f>IF(H39,An,'2018'!An_max)</f>
        <v>2019</v>
      </c>
      <c r="K39" s="197">
        <f t="shared" si="3"/>
        <v>43490</v>
      </c>
      <c r="L39" s="147">
        <f>IF(t&lt;Tvie,1-EXP((T0-t)*PertePVj)+'2018'!Pspv,1-EXP((T0-t)*PertePVj)+Pspv)</f>
        <v>6.1357872708618366E-3</v>
      </c>
      <c r="M39" s="850"/>
      <c r="N39" s="850"/>
      <c r="O39" s="48">
        <f>IF(t&lt;Tnet,'2018'!Resal+('2018'!Salim-'2018'!Resal)*(1-EXP(('2018'!Tnet-t)/('2018'!Tau_j))),Resal+(Salim-Resal)*(1-EXP((Tnet-t)/(Tau_j))))*Salcycl</f>
        <v>4.4731129713295563E-2</v>
      </c>
      <c r="P39" s="169">
        <f>(INDEX(Models!$BJ39:$BT39,,T39)*(1-R39)+INDEX(Models!$BJ39:$BT39,,T39+1)*R39-ERP_i)*Q39*Ramure*Pc/MaxiM</f>
        <v>1.1903342300819372E-2</v>
      </c>
      <c r="Q39" s="305">
        <f t="shared" si="4"/>
        <v>0.7</v>
      </c>
      <c r="R39" s="177">
        <f t="shared" si="5"/>
        <v>0.50205743809948622</v>
      </c>
      <c r="S39" s="817">
        <f t="shared" si="6"/>
        <v>-2</v>
      </c>
      <c r="T39" s="176">
        <f t="shared" si="7"/>
        <v>4</v>
      </c>
      <c r="U39" s="251">
        <f t="shared" si="21"/>
        <v>-1.4979425619005138</v>
      </c>
      <c r="V39" s="383">
        <f t="shared" si="8"/>
        <v>17.171250350899591</v>
      </c>
      <c r="W39" s="58"/>
      <c r="X39" s="157">
        <f t="shared" si="9"/>
        <v>43490</v>
      </c>
      <c r="Y39" s="385">
        <f t="shared" si="10"/>
        <v>2.61</v>
      </c>
      <c r="Z39" s="385">
        <f t="shared" si="11"/>
        <v>2.626113272388563</v>
      </c>
      <c r="AA39" s="386">
        <f t="shared" si="12"/>
        <v>2.7490828541292136</v>
      </c>
      <c r="AB39" s="197">
        <f t="shared" si="13"/>
        <v>43490</v>
      </c>
      <c r="AC39" s="427">
        <f>IF(OR(t&lt;Tnet,NoTnet),'2018'!Resal_s+('2018'!Salim-'2018'!Resal_s)*(1-EXP(('2018'!Tnet_s-t)/'2018'!Tau_j)),Resal_s+(Salim-Resal_s)*(1-EXP((Tnet_s-t)/Tau_j)))*Salcycl</f>
        <v>4.4731129713295563E-2</v>
      </c>
      <c r="AD39" s="231">
        <f>(INDEX(Models!$BJ39:$BT39,,AH39)*(1-AF39)+INDEX(Models!$BJ39:$BT39,,AH39+1)*AF39-ERP_i)*AE39*Ramure*Pc/MaxiM</f>
        <v>1.1903342300819372E-2</v>
      </c>
      <c r="AE39" s="305">
        <f t="shared" si="14"/>
        <v>0.7</v>
      </c>
      <c r="AF39" s="177">
        <f t="shared" si="15"/>
        <v>0.50205743809948622</v>
      </c>
      <c r="AG39" s="176">
        <f t="shared" si="16"/>
        <v>-2</v>
      </c>
      <c r="AH39" s="176">
        <f t="shared" si="17"/>
        <v>4</v>
      </c>
      <c r="AI39" s="225">
        <f t="shared" si="22"/>
        <v>-1.4979425619005138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43491</v>
      </c>
      <c r="B40" s="617">
        <v>11.548</v>
      </c>
      <c r="C40" s="390"/>
      <c r="D40" s="393">
        <f t="shared" si="0"/>
        <v>11.619548011157143</v>
      </c>
      <c r="E40" s="385">
        <f t="shared" si="1"/>
        <v>12.16529869831926</v>
      </c>
      <c r="F40" s="385">
        <f t="shared" si="2"/>
        <v>12.240180017935243</v>
      </c>
      <c r="G40" s="110">
        <f t="shared" si="23"/>
        <v>0.65884759016488859</v>
      </c>
      <c r="H40" s="414" t="b">
        <f>Wh_hp&gt;='2018'!Maxi_hp</f>
        <v>1</v>
      </c>
      <c r="I40" s="390">
        <f>IF(H40,Wh_hp,'2018'!Maxi_hp)</f>
        <v>12.240180017935243</v>
      </c>
      <c r="J40" s="85">
        <f>IF(H40,An,'2018'!An_max)</f>
        <v>2019</v>
      </c>
      <c r="K40" s="197">
        <f t="shared" si="3"/>
        <v>43491</v>
      </c>
      <c r="L40" s="147">
        <f>IF(t&lt;Tvie,1-EXP((T0-t)*PertePVj)+'2018'!Pspv,1-EXP((T0-t)*PertePVj)+Pspv)</f>
        <v>6.1575554478058292E-3</v>
      </c>
      <c r="M40" s="850"/>
      <c r="N40" s="850"/>
      <c r="O40" s="48">
        <f>IF(t&lt;Tnet,'2018'!Resal+('2018'!Salim-'2018'!Resal)*(1-EXP(('2018'!Tnet-t)/('2018'!Tau_j))),Resal+(Salim-Resal)*(1-EXP((Tnet-t)/(Tau_j))))*Salcycl</f>
        <v>4.4861264872807269E-2</v>
      </c>
      <c r="P40" s="169">
        <f>(INDEX(Models!$BJ40:$BT40,,T40)*(1-R40)+INDEX(Models!$BJ40:$BT40,,T40+1)*R40-ERP_i)*Q40*Ramure*Pc/MaxiM</f>
        <v>1.1808796540647291E-2</v>
      </c>
      <c r="Q40" s="305">
        <f t="shared" si="4"/>
        <v>0.7</v>
      </c>
      <c r="R40" s="177">
        <f t="shared" si="5"/>
        <v>0.50211963076420951</v>
      </c>
      <c r="S40" s="817">
        <f t="shared" si="6"/>
        <v>-2</v>
      </c>
      <c r="T40" s="176">
        <f t="shared" si="7"/>
        <v>4</v>
      </c>
      <c r="U40" s="251">
        <f t="shared" si="21"/>
        <v>-1.4978803692357905</v>
      </c>
      <c r="V40" s="383">
        <f t="shared" si="8"/>
        <v>17.427208429005248</v>
      </c>
      <c r="W40" s="58"/>
      <c r="X40" s="157">
        <f t="shared" si="9"/>
        <v>43491</v>
      </c>
      <c r="Y40" s="385">
        <f t="shared" si="10"/>
        <v>11.548</v>
      </c>
      <c r="Z40" s="385">
        <f t="shared" si="11"/>
        <v>11.619548011157143</v>
      </c>
      <c r="AA40" s="386">
        <f t="shared" si="12"/>
        <v>12.16529869831926</v>
      </c>
      <c r="AB40" s="197">
        <f t="shared" si="13"/>
        <v>43491</v>
      </c>
      <c r="AC40" s="427">
        <f>IF(OR(t&lt;Tnet,NoTnet),'2018'!Resal_s+('2018'!Salim-'2018'!Resal_s)*(1-EXP(('2018'!Tnet_s-t)/'2018'!Tau_j)),Resal_s+(Salim-Resal_s)*(1-EXP((Tnet_s-t)/Tau_j)))*Salcycl</f>
        <v>4.4861264872807269E-2</v>
      </c>
      <c r="AD40" s="231">
        <f>(INDEX(Models!$BJ40:$BT40,,AH40)*(1-AF40)+INDEX(Models!$BJ40:$BT40,,AH40+1)*AF40-ERP_i)*AE40*Ramure*Pc/MaxiM</f>
        <v>1.1808796540647291E-2</v>
      </c>
      <c r="AE40" s="305">
        <f t="shared" si="14"/>
        <v>0.7</v>
      </c>
      <c r="AF40" s="177">
        <f t="shared" si="15"/>
        <v>0.50211963076420951</v>
      </c>
      <c r="AG40" s="176">
        <f t="shared" si="16"/>
        <v>-2</v>
      </c>
      <c r="AH40" s="176">
        <f t="shared" si="17"/>
        <v>4</v>
      </c>
      <c r="AI40" s="225">
        <f t="shared" si="22"/>
        <v>-1.4978803692357905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0"/>
        <v>43492</v>
      </c>
      <c r="B41" s="617">
        <v>8.6059999999999999</v>
      </c>
      <c r="C41" s="390"/>
      <c r="D41" s="393">
        <f t="shared" si="0"/>
        <v>8.6595099100371762</v>
      </c>
      <c r="E41" s="385">
        <f t="shared" si="1"/>
        <v>9.0674669504761169</v>
      </c>
      <c r="F41" s="385">
        <f t="shared" si="2"/>
        <v>9.0958443225918373</v>
      </c>
      <c r="G41" s="110">
        <f t="shared" si="23"/>
        <v>0.48233103858626991</v>
      </c>
      <c r="H41" s="414" t="b">
        <f>Wh_hp&gt;='2018'!Maxi_hp</f>
        <v>1</v>
      </c>
      <c r="I41" s="390">
        <f>IF(H41,Wh_hp,'2018'!Maxi_hp)</f>
        <v>9.0958443225918373</v>
      </c>
      <c r="J41" s="85">
        <f>IF(H41,An,'2018'!An_max)</f>
        <v>2019</v>
      </c>
      <c r="K41" s="197">
        <f t="shared" si="3"/>
        <v>43492</v>
      </c>
      <c r="L41" s="147">
        <f>IF(t&lt;Tvie,1-EXP((T0-t)*PertePVj)+'2018'!Pspv,1-EXP((T0-t)*PertePVj)+Pspv)</f>
        <v>6.1793231479709831E-3</v>
      </c>
      <c r="M41" s="850"/>
      <c r="N41" s="850"/>
      <c r="O41" s="48">
        <f>IF(t&lt;Tnet,'2018'!Resal+('2018'!Salim-'2018'!Resal)*(1-EXP(('2018'!Tnet-t)/('2018'!Tau_j))),Resal+(Salim-Resal)*(1-EXP((Tnet-t)/(Tau_j))))*Salcycl</f>
        <v>4.4991290585020452E-2</v>
      </c>
      <c r="P41" s="169">
        <f>(INDEX(Models!$BJ41:$BT41,,T41)*(1-R41)+INDEX(Models!$BJ41:$BT41,,T41+1)*R41-ERP_i)*Q41*Ramure*Pc/MaxiM</f>
        <v>1.170834913693196E-2</v>
      </c>
      <c r="Q41" s="305">
        <f t="shared" si="4"/>
        <v>0.7</v>
      </c>
      <c r="R41" s="177">
        <f t="shared" si="5"/>
        <v>0.50218441186666829</v>
      </c>
      <c r="S41" s="817">
        <f t="shared" si="6"/>
        <v>-2</v>
      </c>
      <c r="T41" s="176">
        <f t="shared" si="7"/>
        <v>4</v>
      </c>
      <c r="U41" s="251">
        <f t="shared" si="21"/>
        <v>-1.4978155881333317</v>
      </c>
      <c r="V41" s="383">
        <f t="shared" si="8"/>
        <v>17.688796896121683</v>
      </c>
      <c r="W41" s="58"/>
      <c r="X41" s="157">
        <f t="shared" si="9"/>
        <v>43492</v>
      </c>
      <c r="Y41" s="385">
        <f t="shared" si="10"/>
        <v>8.6059999999999999</v>
      </c>
      <c r="Z41" s="385">
        <f t="shared" si="11"/>
        <v>8.6595099100371762</v>
      </c>
      <c r="AA41" s="386">
        <f t="shared" si="12"/>
        <v>9.0674669504761169</v>
      </c>
      <c r="AB41" s="197">
        <f t="shared" si="13"/>
        <v>43492</v>
      </c>
      <c r="AC41" s="427">
        <f>IF(OR(t&lt;Tnet,NoTnet),'2018'!Resal_s+('2018'!Salim-'2018'!Resal_s)*(1-EXP(('2018'!Tnet_s-t)/'2018'!Tau_j)),Resal_s+(Salim-Resal_s)*(1-EXP((Tnet_s-t)/Tau_j)))*Salcycl</f>
        <v>4.4991290585020452E-2</v>
      </c>
      <c r="AD41" s="231">
        <f>(INDEX(Models!$BJ41:$BT41,,AH41)*(1-AF41)+INDEX(Models!$BJ41:$BT41,,AH41+1)*AF41-ERP_i)*AE41*Ramure*Pc/MaxiM</f>
        <v>1.170834913693196E-2</v>
      </c>
      <c r="AE41" s="305">
        <f t="shared" si="14"/>
        <v>0.7</v>
      </c>
      <c r="AF41" s="177">
        <f t="shared" si="15"/>
        <v>0.50218441186666829</v>
      </c>
      <c r="AG41" s="176">
        <f t="shared" si="16"/>
        <v>-2</v>
      </c>
      <c r="AH41" s="176">
        <f t="shared" si="17"/>
        <v>4</v>
      </c>
      <c r="AI41" s="225">
        <f t="shared" si="22"/>
        <v>-1.4978155881333317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43493</v>
      </c>
      <c r="B42" s="617">
        <v>7.8659999999999997</v>
      </c>
      <c r="C42" s="390"/>
      <c r="D42" s="393">
        <f t="shared" si="0"/>
        <v>7.9150821396447339</v>
      </c>
      <c r="E42" s="385">
        <f t="shared" si="1"/>
        <v>8.2890961726922985</v>
      </c>
      <c r="F42" s="385">
        <f t="shared" si="2"/>
        <v>8.3081119107614008</v>
      </c>
      <c r="G42" s="110">
        <f t="shared" si="23"/>
        <v>0.43399573316449669</v>
      </c>
      <c r="H42" s="414" t="b">
        <f>Wh_hp&gt;='2018'!Maxi_hp</f>
        <v>1</v>
      </c>
      <c r="I42" s="390">
        <f>IF(H42,Wh_hp,'2018'!Maxi_hp)</f>
        <v>8.3081119107614008</v>
      </c>
      <c r="J42" s="85">
        <f>IF(H42,An,'2018'!An_max)</f>
        <v>2019</v>
      </c>
      <c r="K42" s="197">
        <f t="shared" si="3"/>
        <v>43493</v>
      </c>
      <c r="L42" s="147">
        <f>IF(t&lt;Tvie,1-EXP((T0-t)*PertePVj)+'2018'!Pspv,1-EXP((T0-t)*PertePVj)+Pspv)</f>
        <v>6.2010903713675125E-3</v>
      </c>
      <c r="M42" s="850"/>
      <c r="N42" s="850"/>
      <c r="O42" s="48">
        <f>IF(t&lt;Tnet,'2018'!Resal+('2018'!Salim-'2018'!Resal)*(1-EXP(('2018'!Tnet-t)/('2018'!Tau_j))),Resal+(Salim-Resal)*(1-EXP((Tnet-t)/(Tau_j))))*Salcycl</f>
        <v>4.5121208061226305E-2</v>
      </c>
      <c r="P42" s="169">
        <f>(INDEX(Models!$BJ42:$BT42,,T42)*(1-R42)+INDEX(Models!$BJ42:$BT42,,T42+1)*R42-ERP_i)*Q42*Ramure*Pc/MaxiM</f>
        <v>1.1602755572783494E-2</v>
      </c>
      <c r="Q42" s="305">
        <f t="shared" si="4"/>
        <v>0.7</v>
      </c>
      <c r="R42" s="177">
        <f t="shared" si="5"/>
        <v>0.50225188823734235</v>
      </c>
      <c r="S42" s="817">
        <f t="shared" si="6"/>
        <v>-2</v>
      </c>
      <c r="T42" s="176">
        <f t="shared" si="7"/>
        <v>4</v>
      </c>
      <c r="U42" s="251">
        <f t="shared" si="21"/>
        <v>-1.4977481117626577</v>
      </c>
      <c r="V42" s="383">
        <f t="shared" si="8"/>
        <v>17.955403436676498</v>
      </c>
      <c r="W42" s="58"/>
      <c r="X42" s="157">
        <f t="shared" si="9"/>
        <v>43493</v>
      </c>
      <c r="Y42" s="385">
        <f t="shared" si="10"/>
        <v>7.8660000000000005</v>
      </c>
      <c r="Z42" s="385">
        <f t="shared" si="11"/>
        <v>7.9150821396447348</v>
      </c>
      <c r="AA42" s="386">
        <f t="shared" si="12"/>
        <v>8.2890961726922985</v>
      </c>
      <c r="AB42" s="197">
        <f t="shared" si="13"/>
        <v>43493</v>
      </c>
      <c r="AC42" s="427">
        <f>IF(OR(t&lt;Tnet,NoTnet),'2018'!Resal_s+('2018'!Salim-'2018'!Resal_s)*(1-EXP(('2018'!Tnet_s-t)/'2018'!Tau_j)),Resal_s+(Salim-Resal_s)*(1-EXP((Tnet_s-t)/Tau_j)))*Salcycl</f>
        <v>4.5121208061226305E-2</v>
      </c>
      <c r="AD42" s="231">
        <f>(INDEX(Models!$BJ42:$BT42,,AH42)*(1-AF42)+INDEX(Models!$BJ42:$BT42,,AH42+1)*AF42-ERP_i)*AE42*Ramure*Pc/MaxiM</f>
        <v>1.1602755572783494E-2</v>
      </c>
      <c r="AE42" s="305">
        <f t="shared" si="14"/>
        <v>0.7</v>
      </c>
      <c r="AF42" s="177">
        <f t="shared" si="15"/>
        <v>0.50225188823734235</v>
      </c>
      <c r="AG42" s="176">
        <f t="shared" si="16"/>
        <v>-2</v>
      </c>
      <c r="AH42" s="176">
        <f t="shared" si="17"/>
        <v>4</v>
      </c>
      <c r="AI42" s="225">
        <f t="shared" si="22"/>
        <v>-1.4977481117626577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0"/>
        <v>43494</v>
      </c>
      <c r="B43" s="617">
        <v>3.427</v>
      </c>
      <c r="C43" s="390"/>
      <c r="D43" s="393">
        <f t="shared" si="0"/>
        <v>3.448459269310181</v>
      </c>
      <c r="E43" s="385">
        <f t="shared" si="1"/>
        <v>3.6119014888305143</v>
      </c>
      <c r="F43" s="385">
        <f t="shared" si="2"/>
        <v>3.6119014888305143</v>
      </c>
      <c r="G43" s="110">
        <f t="shared" si="23"/>
        <v>0.18586289350114982</v>
      </c>
      <c r="H43" s="414" t="b">
        <f>Wh_hp&gt;='2018'!Maxi_hp</f>
        <v>1</v>
      </c>
      <c r="I43" s="390">
        <f>IF(H43,Wh_hp,'2018'!Maxi_hp)</f>
        <v>3.6119014888305143</v>
      </c>
      <c r="J43" s="85">
        <f>IF(H43,An,'2018'!An_max)</f>
        <v>2019</v>
      </c>
      <c r="K43" s="197">
        <f t="shared" si="3"/>
        <v>43494</v>
      </c>
      <c r="L43" s="147">
        <f>IF(t&lt;Tvie,1-EXP((T0-t)*PertePVj)+'2018'!Pspv,1-EXP((T0-t)*PertePVj)+Pspv)</f>
        <v>6.2228571180060754E-3</v>
      </c>
      <c r="M43" s="850"/>
      <c r="N43" s="850"/>
      <c r="O43" s="48">
        <f>IF(t&lt;Tnet,'2018'!Resal+('2018'!Salim-'2018'!Resal)*(1-EXP(('2018'!Tnet-t)/('2018'!Tau_j))),Resal+(Salim-Resal)*(1-EXP((Tnet-t)/(Tau_j))))*Salcycl</f>
        <v>4.5251018065072965E-2</v>
      </c>
      <c r="P43" s="169">
        <f>(INDEX(Models!$BJ43:$BT43,,T43)*(1-R43)+INDEX(Models!$BJ43:$BT43,,T43+1)*R43-ERP_i)*Q43*Ramure*Pc/MaxiM</f>
        <v>1.1492722257302315E-2</v>
      </c>
      <c r="Q43" s="305">
        <f t="shared" si="4"/>
        <v>0.7</v>
      </c>
      <c r="R43" s="177">
        <f t="shared" si="5"/>
        <v>0.50232217103915255</v>
      </c>
      <c r="S43" s="817">
        <f t="shared" si="6"/>
        <v>-2</v>
      </c>
      <c r="T43" s="176">
        <f t="shared" si="7"/>
        <v>4</v>
      </c>
      <c r="U43" s="251">
        <f t="shared" si="21"/>
        <v>-1.4976778289608474</v>
      </c>
      <c r="V43" s="383">
        <f t="shared" si="8"/>
        <v>18.226416134015839</v>
      </c>
      <c r="W43" s="58"/>
      <c r="X43" s="157">
        <f t="shared" si="9"/>
        <v>43494</v>
      </c>
      <c r="Y43" s="385">
        <f t="shared" si="10"/>
        <v>3.427</v>
      </c>
      <c r="Z43" s="385">
        <f t="shared" si="11"/>
        <v>3.448459269310181</v>
      </c>
      <c r="AA43" s="386">
        <f t="shared" si="12"/>
        <v>3.6119014888305143</v>
      </c>
      <c r="AB43" s="197">
        <f t="shared" si="13"/>
        <v>43494</v>
      </c>
      <c r="AC43" s="427">
        <f>IF(OR(t&lt;Tnet,NoTnet),'2018'!Resal_s+('2018'!Salim-'2018'!Resal_s)*(1-EXP(('2018'!Tnet_s-t)/'2018'!Tau_j)),Resal_s+(Salim-Resal_s)*(1-EXP((Tnet_s-t)/Tau_j)))*Salcycl</f>
        <v>4.5251018065072965E-2</v>
      </c>
      <c r="AD43" s="231">
        <f>(INDEX(Models!$BJ43:$BT43,,AH43)*(1-AF43)+INDEX(Models!$BJ43:$BT43,,AH43+1)*AF43-ERP_i)*AE43*Ramure*Pc/MaxiM</f>
        <v>1.1492722257302315E-2</v>
      </c>
      <c r="AE43" s="305">
        <f t="shared" si="14"/>
        <v>0.7</v>
      </c>
      <c r="AF43" s="177">
        <f t="shared" si="15"/>
        <v>0.50232217103915255</v>
      </c>
      <c r="AG43" s="176">
        <f t="shared" si="16"/>
        <v>-2</v>
      </c>
      <c r="AH43" s="176">
        <f t="shared" si="17"/>
        <v>4</v>
      </c>
      <c r="AI43" s="225">
        <f t="shared" si="22"/>
        <v>-1.4976778289608474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43495</v>
      </c>
      <c r="B44" s="617">
        <v>5.8650000000000002</v>
      </c>
      <c r="C44" s="390"/>
      <c r="D44" s="393">
        <f t="shared" si="0"/>
        <v>5.9018548608963268</v>
      </c>
      <c r="E44" s="385">
        <f t="shared" si="1"/>
        <v>6.1824174202299034</v>
      </c>
      <c r="F44" s="385">
        <f t="shared" si="2"/>
        <v>6.1841239174803206</v>
      </c>
      <c r="G44" s="110">
        <f t="shared" si="23"/>
        <v>0.31348538563096867</v>
      </c>
      <c r="H44" s="414" t="b">
        <f>Wh_hp&gt;='2018'!Maxi_hp</f>
        <v>1</v>
      </c>
      <c r="I44" s="390">
        <f>IF(H44,Wh_hp,'2018'!Maxi_hp)</f>
        <v>6.1841239174803206</v>
      </c>
      <c r="J44" s="85">
        <f>IF(H44,An,'2018'!An_max)</f>
        <v>2019</v>
      </c>
      <c r="K44" s="197">
        <f t="shared" si="3"/>
        <v>43495</v>
      </c>
      <c r="L44" s="147">
        <f>IF(t&lt;Tvie,1-EXP((T0-t)*PertePVj)+'2018'!Pspv,1-EXP((T0-t)*PertePVj)+Pspv)</f>
        <v>6.244623387896997E-3</v>
      </c>
      <c r="M44" s="850"/>
      <c r="N44" s="850"/>
      <c r="O44" s="48">
        <f>IF(t&lt;Tnet,'2018'!Resal+('2018'!Salim-'2018'!Resal)*(1-EXP(('2018'!Tnet-t)/('2018'!Tau_j))),Resal+(Salim-Resal)*(1-EXP((Tnet-t)/(Tau_j))))*Salcycl</f>
        <v>4.5380720883635088E-2</v>
      </c>
      <c r="P44" s="169">
        <f>(INDEX(Models!$BJ44:$BT44,,T44)*(1-R44)+INDEX(Models!$BJ44:$BT44,,T44+1)*R44-ERP_i)*Q44*Ramure*Pc/MaxiM</f>
        <v>1.1362115533439738E-2</v>
      </c>
      <c r="Q44" s="305">
        <f t="shared" si="4"/>
        <v>0.7</v>
      </c>
      <c r="R44" s="177">
        <f t="shared" si="5"/>
        <v>0.50239537593661066</v>
      </c>
      <c r="S44" s="817">
        <f t="shared" si="6"/>
        <v>-2</v>
      </c>
      <c r="T44" s="176">
        <f t="shared" si="7"/>
        <v>4</v>
      </c>
      <c r="U44" s="251">
        <f t="shared" si="21"/>
        <v>-1.4976046240633893</v>
      </c>
      <c r="V44" s="383">
        <f t="shared" si="8"/>
        <v>18.501537700500062</v>
      </c>
      <c r="W44" s="58"/>
      <c r="X44" s="157">
        <f t="shared" si="9"/>
        <v>43495</v>
      </c>
      <c r="Y44" s="385">
        <f t="shared" si="10"/>
        <v>5.8650000000000002</v>
      </c>
      <c r="Z44" s="385">
        <f t="shared" si="11"/>
        <v>5.9018548608963268</v>
      </c>
      <c r="AA44" s="386">
        <f t="shared" si="12"/>
        <v>6.1824174202299034</v>
      </c>
      <c r="AB44" s="197">
        <f t="shared" si="13"/>
        <v>43495</v>
      </c>
      <c r="AC44" s="427">
        <f>IF(OR(t&lt;Tnet,NoTnet),'2018'!Resal_s+('2018'!Salim-'2018'!Resal_s)*(1-EXP(('2018'!Tnet_s-t)/'2018'!Tau_j)),Resal_s+(Salim-Resal_s)*(1-EXP((Tnet_s-t)/Tau_j)))*Salcycl</f>
        <v>4.5380720883635088E-2</v>
      </c>
      <c r="AD44" s="231">
        <f>(INDEX(Models!$BJ44:$BT44,,AH44)*(1-AF44)+INDEX(Models!$BJ44:$BT44,,AH44+1)*AF44-ERP_i)*AE44*Ramure*Pc/MaxiM</f>
        <v>1.1362115533439738E-2</v>
      </c>
      <c r="AE44" s="305">
        <f t="shared" si="14"/>
        <v>0.7</v>
      </c>
      <c r="AF44" s="177">
        <f t="shared" si="15"/>
        <v>0.50239537593661066</v>
      </c>
      <c r="AG44" s="176">
        <f t="shared" si="16"/>
        <v>-2</v>
      </c>
      <c r="AH44" s="176">
        <f t="shared" si="17"/>
        <v>4</v>
      </c>
      <c r="AI44" s="225">
        <f t="shared" si="22"/>
        <v>-1.4976046240633893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43496</v>
      </c>
      <c r="B45" s="617">
        <v>4.9720000000000004</v>
      </c>
      <c r="C45" s="390"/>
      <c r="D45" s="393">
        <f t="shared" si="0"/>
        <v>5.0033529568377064</v>
      </c>
      <c r="E45" s="385">
        <f t="shared" si="1"/>
        <v>5.2419141268021008</v>
      </c>
      <c r="F45" s="385">
        <f t="shared" si="2"/>
        <v>5.2419141268021008</v>
      </c>
      <c r="G45" s="110">
        <f t="shared" si="23"/>
        <v>0.26177909578675135</v>
      </c>
      <c r="H45" s="414" t="b">
        <f>Wh_hp&gt;='2018'!Maxi_hp</f>
        <v>1</v>
      </c>
      <c r="I45" s="390">
        <f>IF(H45,Wh_hp,'2018'!Maxi_hp)</f>
        <v>5.2419141268021008</v>
      </c>
      <c r="J45" s="85">
        <f>IF(H45,An,'2018'!An_max)</f>
        <v>2019</v>
      </c>
      <c r="K45" s="197">
        <f t="shared" si="3"/>
        <v>43496</v>
      </c>
      <c r="L45" s="147">
        <f>IF(t&lt;Tvie,1-EXP((T0-t)*PertePVj)+'2018'!Pspv,1-EXP((T0-t)*PertePVj)+Pspv)</f>
        <v>6.2663891810507133E-3</v>
      </c>
      <c r="M45" s="850"/>
      <c r="N45" s="850"/>
      <c r="O45" s="48">
        <f>IF(t&lt;Tnet,'2018'!Resal+('2018'!Salim-'2018'!Resal)*(1-EXP(('2018'!Tnet-t)/('2018'!Tau_j))),Resal+(Salim-Resal)*(1-EXP((Tnet-t)/(Tau_j))))*Salcycl</f>
        <v>4.5510316306904497E-2</v>
      </c>
      <c r="P45" s="169">
        <f>(INDEX(Models!$BJ45:$BT45,,T45)*(1-R45)+INDEX(Models!$BJ45:$BT45,,T45+1)*R45-ERP_i)*Q45*Ramure*Pc/MaxiM</f>
        <v>1.1212400337764659E-2</v>
      </c>
      <c r="Q45" s="305">
        <f t="shared" si="4"/>
        <v>0.7</v>
      </c>
      <c r="R45" s="177">
        <f t="shared" si="5"/>
        <v>0.50247162327101069</v>
      </c>
      <c r="S45" s="817">
        <f t="shared" si="6"/>
        <v>-2</v>
      </c>
      <c r="T45" s="176">
        <f t="shared" si="7"/>
        <v>4</v>
      </c>
      <c r="U45" s="251">
        <f t="shared" si="21"/>
        <v>-1.4975283767289893</v>
      </c>
      <c r="V45" s="383">
        <f t="shared" si="8"/>
        <v>18.780154812382261</v>
      </c>
      <c r="W45" s="58"/>
      <c r="X45" s="157">
        <f t="shared" si="9"/>
        <v>43496</v>
      </c>
      <c r="Y45" s="385">
        <f t="shared" si="10"/>
        <v>4.9720000000000004</v>
      </c>
      <c r="Z45" s="385">
        <f t="shared" si="11"/>
        <v>5.0033529568377064</v>
      </c>
      <c r="AA45" s="386">
        <f t="shared" si="12"/>
        <v>5.2419141268021008</v>
      </c>
      <c r="AB45" s="197">
        <f t="shared" si="13"/>
        <v>43496</v>
      </c>
      <c r="AC45" s="427">
        <f>IF(OR(t&lt;Tnet,NoTnet),'2018'!Resal_s+('2018'!Salim-'2018'!Resal_s)*(1-EXP(('2018'!Tnet_s-t)/'2018'!Tau_j)),Resal_s+(Salim-Resal_s)*(1-EXP((Tnet_s-t)/Tau_j)))*Salcycl</f>
        <v>4.5510316306904497E-2</v>
      </c>
      <c r="AD45" s="231">
        <f>(INDEX(Models!$BJ45:$BT45,,AH45)*(1-AF45)+INDEX(Models!$BJ45:$BT45,,AH45+1)*AF45-ERP_i)*AE45*Ramure*Pc/MaxiM</f>
        <v>1.1212400337764659E-2</v>
      </c>
      <c r="AE45" s="305">
        <f t="shared" si="14"/>
        <v>0.7</v>
      </c>
      <c r="AF45" s="177">
        <f t="shared" si="15"/>
        <v>0.50247162327101069</v>
      </c>
      <c r="AG45" s="176">
        <f t="shared" si="16"/>
        <v>-2</v>
      </c>
      <c r="AH45" s="176">
        <f t="shared" si="17"/>
        <v>4</v>
      </c>
      <c r="AI45" s="225">
        <f t="shared" si="22"/>
        <v>-1.4975283767289893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43497</v>
      </c>
      <c r="B46" s="617">
        <v>15.436</v>
      </c>
      <c r="C46" s="390"/>
      <c r="D46" s="393">
        <f t="shared" si="0"/>
        <v>15.533678168235966</v>
      </c>
      <c r="E46" s="385">
        <f t="shared" si="1"/>
        <v>16.276536078400156</v>
      </c>
      <c r="F46" s="385">
        <f t="shared" si="2"/>
        <v>16.408521217221892</v>
      </c>
      <c r="G46" s="110">
        <f t="shared" si="23"/>
        <v>0.80734318226917323</v>
      </c>
      <c r="H46" s="414" t="b">
        <f>Wh_hp&gt;='2018'!Maxi_hp</f>
        <v>1</v>
      </c>
      <c r="I46" s="390">
        <f>IF(H46,Wh_hp,'2018'!Maxi_hp)</f>
        <v>16.408521217221892</v>
      </c>
      <c r="J46" s="85">
        <f>IF(H46,An,'2018'!An_max)</f>
        <v>2019</v>
      </c>
      <c r="K46" s="197">
        <f t="shared" si="3"/>
        <v>43497</v>
      </c>
      <c r="L46" s="147">
        <f>IF(t&lt;Tvie,1-EXP((T0-t)*PertePVj)+'2018'!Pspv,1-EXP((T0-t)*PertePVj)+Pspv)</f>
        <v>6.2881544974777714E-3</v>
      </c>
      <c r="M46" s="850"/>
      <c r="N46" s="850"/>
      <c r="O46" s="48">
        <f>IF(t&lt;Tnet,'2018'!Resal+('2018'!Salim-'2018'!Resal)*(1-EXP(('2018'!Tnet-t)/('2018'!Tau_j))),Resal+(Salim-Resal)*(1-EXP((Tnet-t)/(Tau_j))))*Salcycl</f>
        <v>4.5639803615832121E-2</v>
      </c>
      <c r="P46" s="169">
        <f>(INDEX(Models!$BJ46:$BT46,,T46)*(1-R46)+INDEX(Models!$BJ46:$BT46,,T46+1)*R46-ERP_i)*Q46*Ramure*Pc/MaxiM</f>
        <v>1.1044844164009747E-2</v>
      </c>
      <c r="Q46" s="305">
        <f t="shared" si="4"/>
        <v>0.7</v>
      </c>
      <c r="R46" s="177">
        <f t="shared" si="5"/>
        <v>0.50255103824182634</v>
      </c>
      <c r="S46" s="817">
        <f t="shared" si="6"/>
        <v>-2</v>
      </c>
      <c r="T46" s="176">
        <f t="shared" si="7"/>
        <v>4</v>
      </c>
      <c r="U46" s="251">
        <f t="shared" si="21"/>
        <v>-1.4974489617581737</v>
      </c>
      <c r="V46" s="383">
        <f t="shared" si="8"/>
        <v>19.061656736022179</v>
      </c>
      <c r="W46" s="58"/>
      <c r="X46" s="157">
        <f t="shared" si="9"/>
        <v>43497</v>
      </c>
      <c r="Y46" s="385">
        <f t="shared" si="10"/>
        <v>15.436000000000002</v>
      </c>
      <c r="Z46" s="385">
        <f t="shared" si="11"/>
        <v>15.533678168235967</v>
      </c>
      <c r="AA46" s="386">
        <f t="shared" si="12"/>
        <v>16.276536078400156</v>
      </c>
      <c r="AB46" s="197">
        <f t="shared" si="13"/>
        <v>43497</v>
      </c>
      <c r="AC46" s="427">
        <f>IF(OR(t&lt;Tnet,NoTnet),'2018'!Resal_s+('2018'!Salim-'2018'!Resal_s)*(1-EXP(('2018'!Tnet_s-t)/'2018'!Tau_j)),Resal_s+(Salim-Resal_s)*(1-EXP((Tnet_s-t)/Tau_j)))*Salcycl</f>
        <v>4.5639803615832121E-2</v>
      </c>
      <c r="AD46" s="231">
        <f>(INDEX(Models!$BJ46:$BT46,,AH46)*(1-AF46)+INDEX(Models!$BJ46:$BT46,,AH46+1)*AF46-ERP_i)*AE46*Ramure*Pc/MaxiM</f>
        <v>1.1044844164009747E-2</v>
      </c>
      <c r="AE46" s="305">
        <f t="shared" si="14"/>
        <v>0.7</v>
      </c>
      <c r="AF46" s="177">
        <f t="shared" si="15"/>
        <v>0.50255103824182634</v>
      </c>
      <c r="AG46" s="176">
        <f t="shared" si="16"/>
        <v>-2</v>
      </c>
      <c r="AH46" s="176">
        <f t="shared" si="17"/>
        <v>4</v>
      </c>
      <c r="AI46" s="225">
        <f t="shared" si="22"/>
        <v>-1.4974489617581737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43498</v>
      </c>
      <c r="B47" s="617">
        <v>2.1440000000000001</v>
      </c>
      <c r="C47" s="390"/>
      <c r="D47" s="393">
        <f t="shared" si="0"/>
        <v>2.1576143726521941</v>
      </c>
      <c r="E47" s="385">
        <f t="shared" si="1"/>
        <v>2.2611032163291287</v>
      </c>
      <c r="F47" s="385">
        <f t="shared" si="2"/>
        <v>2.2611032163291287</v>
      </c>
      <c r="G47" s="110">
        <f t="shared" si="23"/>
        <v>0.10962353662698616</v>
      </c>
      <c r="H47" s="414" t="b">
        <f>Wh_hp&gt;='2018'!Maxi_hp</f>
        <v>1</v>
      </c>
      <c r="I47" s="390">
        <f>IF(H47,Wh_hp,'2018'!Maxi_hp)</f>
        <v>2.2611032163291287</v>
      </c>
      <c r="J47" s="85">
        <f>IF(H47,An,'2018'!An_max)</f>
        <v>2019</v>
      </c>
      <c r="K47" s="197">
        <f t="shared" si="3"/>
        <v>43498</v>
      </c>
      <c r="L47" s="147">
        <f>IF(t&lt;Tvie,1-EXP((T0-t)*PertePVj)+'2018'!Pspv,1-EXP((T0-t)*PertePVj)+Pspv)</f>
        <v>6.3099193371884965E-3</v>
      </c>
      <c r="M47" s="850"/>
      <c r="N47" s="850"/>
      <c r="O47" s="48">
        <f>IF(t&lt;Tnet,'2018'!Resal+('2018'!Salim-'2018'!Resal)*(1-EXP(('2018'!Tnet-t)/('2018'!Tau_j))),Resal+(Salim-Resal)*(1-EXP((Tnet-t)/(Tau_j))))*Salcycl</f>
        <v>4.5769181578958415E-2</v>
      </c>
      <c r="P47" s="169">
        <f>(INDEX(Models!$BJ47:$BT47,,T47)*(1-R47)+INDEX(Models!$BJ47:$BT47,,T47+1)*R47-ERP_i)*Q47*Ramure*Pc/MaxiM</f>
        <v>1.0860634875411933E-2</v>
      </c>
      <c r="Q47" s="305">
        <f t="shared" si="4"/>
        <v>0.7</v>
      </c>
      <c r="R47" s="177">
        <f t="shared" si="5"/>
        <v>0.50263375109448027</v>
      </c>
      <c r="S47" s="817">
        <f t="shared" si="6"/>
        <v>-2</v>
      </c>
      <c r="T47" s="176">
        <f t="shared" si="7"/>
        <v>4</v>
      </c>
      <c r="U47" s="251">
        <f t="shared" si="21"/>
        <v>-1.4973662489055197</v>
      </c>
      <c r="V47" s="383">
        <f t="shared" si="8"/>
        <v>19.3454331440084</v>
      </c>
      <c r="W47" s="58"/>
      <c r="X47" s="157">
        <f t="shared" si="9"/>
        <v>43498</v>
      </c>
      <c r="Y47" s="385">
        <f t="shared" si="10"/>
        <v>2.1440000000000001</v>
      </c>
      <c r="Z47" s="385">
        <f t="shared" si="11"/>
        <v>2.1576143726521941</v>
      </c>
      <c r="AA47" s="386">
        <f t="shared" si="12"/>
        <v>2.2611032163291287</v>
      </c>
      <c r="AB47" s="197">
        <f t="shared" si="13"/>
        <v>43498</v>
      </c>
      <c r="AC47" s="427">
        <f>IF(OR(t&lt;Tnet,NoTnet),'2018'!Resal_s+('2018'!Salim-'2018'!Resal_s)*(1-EXP(('2018'!Tnet_s-t)/'2018'!Tau_j)),Resal_s+(Salim-Resal_s)*(1-EXP((Tnet_s-t)/Tau_j)))*Salcycl</f>
        <v>4.5769181578958415E-2</v>
      </c>
      <c r="AD47" s="231">
        <f>(INDEX(Models!$BJ47:$BT47,,AH47)*(1-AF47)+INDEX(Models!$BJ47:$BT47,,AH47+1)*AF47-ERP_i)*AE47*Ramure*Pc/MaxiM</f>
        <v>1.0860634875411933E-2</v>
      </c>
      <c r="AE47" s="305">
        <f t="shared" si="14"/>
        <v>0.7</v>
      </c>
      <c r="AF47" s="177">
        <f t="shared" si="15"/>
        <v>0.50263375109448027</v>
      </c>
      <c r="AG47" s="176">
        <f t="shared" si="16"/>
        <v>-2</v>
      </c>
      <c r="AH47" s="176">
        <f t="shared" si="17"/>
        <v>4</v>
      </c>
      <c r="AI47" s="225">
        <f t="shared" si="22"/>
        <v>-1.4973662489055197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43499</v>
      </c>
      <c r="B48" s="617">
        <v>8.2629999999999999</v>
      </c>
      <c r="C48" s="390"/>
      <c r="D48" s="393">
        <f t="shared" si="0"/>
        <v>8.3156520787233319</v>
      </c>
      <c r="E48" s="385">
        <f t="shared" si="1"/>
        <v>8.7156886657191439</v>
      </c>
      <c r="F48" s="385">
        <f t="shared" si="2"/>
        <v>8.7317688241865827</v>
      </c>
      <c r="G48" s="110">
        <f t="shared" si="23"/>
        <v>0.41719953671113003</v>
      </c>
      <c r="H48" s="414" t="b">
        <f>Wh_hp&gt;='2018'!Maxi_hp</f>
        <v>1</v>
      </c>
      <c r="I48" s="390">
        <f>IF(H48,Wh_hp,'2018'!Maxi_hp)</f>
        <v>8.7317688241865827</v>
      </c>
      <c r="J48" s="85">
        <f>IF(H48,An,'2018'!An_max)</f>
        <v>2019</v>
      </c>
      <c r="K48" s="197">
        <f t="shared" si="3"/>
        <v>43499</v>
      </c>
      <c r="L48" s="147">
        <f>IF(t&lt;Tvie,1-EXP((T0-t)*PertePVj)+'2018'!Pspv,1-EXP((T0-t)*PertePVj)+Pspv)</f>
        <v>6.3316837001933246E-3</v>
      </c>
      <c r="M48" s="850"/>
      <c r="N48" s="850"/>
      <c r="O48" s="48">
        <f>IF(t&lt;Tnet,'2018'!Resal+('2018'!Salim-'2018'!Resal)*(1-EXP(('2018'!Tnet-t)/('2018'!Tau_j))),Resal+(Salim-Resal)*(1-EXP((Tnet-t)/(Tau_j))))*Salcycl</f>
        <v>4.5898448457578643E-2</v>
      </c>
      <c r="P48" s="169">
        <f>(INDEX(Models!$BJ48:$BT48,,T48)*(1-R48)+INDEX(Models!$BJ48:$BT48,,T48+1)*R48-ERP_i)*Q48*Ramure*Pc/MaxiM</f>
        <v>1.0660879507328335E-2</v>
      </c>
      <c r="Q48" s="305">
        <f t="shared" si="4"/>
        <v>0.7</v>
      </c>
      <c r="R48" s="177">
        <f t="shared" si="5"/>
        <v>0.50271989731465294</v>
      </c>
      <c r="S48" s="817">
        <f t="shared" si="6"/>
        <v>-2</v>
      </c>
      <c r="T48" s="176">
        <f t="shared" si="7"/>
        <v>4</v>
      </c>
      <c r="U48" s="251">
        <f t="shared" si="21"/>
        <v>-1.4972801026853471</v>
      </c>
      <c r="V48" s="383">
        <f t="shared" si="8"/>
        <v>19.630874126263475</v>
      </c>
      <c r="W48" s="58"/>
      <c r="X48" s="157">
        <f t="shared" si="9"/>
        <v>43499</v>
      </c>
      <c r="Y48" s="385">
        <f t="shared" si="10"/>
        <v>8.2629999999999999</v>
      </c>
      <c r="Z48" s="385">
        <f t="shared" si="11"/>
        <v>8.3156520787233319</v>
      </c>
      <c r="AA48" s="386">
        <f t="shared" si="12"/>
        <v>8.7156886657191439</v>
      </c>
      <c r="AB48" s="197">
        <f t="shared" si="13"/>
        <v>43499</v>
      </c>
      <c r="AC48" s="427">
        <f>IF(OR(t&lt;Tnet,NoTnet),'2018'!Resal_s+('2018'!Salim-'2018'!Resal_s)*(1-EXP(('2018'!Tnet_s-t)/'2018'!Tau_j)),Resal_s+(Salim-Resal_s)*(1-EXP((Tnet_s-t)/Tau_j)))*Salcycl</f>
        <v>4.5898448457578643E-2</v>
      </c>
      <c r="AD48" s="231">
        <f>(INDEX(Models!$BJ48:$BT48,,AH48)*(1-AF48)+INDEX(Models!$BJ48:$BT48,,AH48+1)*AF48-ERP_i)*AE48*Ramure*Pc/MaxiM</f>
        <v>1.0660879507328335E-2</v>
      </c>
      <c r="AE48" s="305">
        <f t="shared" si="14"/>
        <v>0.7</v>
      </c>
      <c r="AF48" s="177">
        <f t="shared" si="15"/>
        <v>0.50271989731465294</v>
      </c>
      <c r="AG48" s="176">
        <f t="shared" si="16"/>
        <v>-2</v>
      </c>
      <c r="AH48" s="176">
        <f t="shared" si="17"/>
        <v>4</v>
      </c>
      <c r="AI48" s="225">
        <f t="shared" si="22"/>
        <v>-1.4972801026853471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43500</v>
      </c>
      <c r="B49" s="617">
        <v>16.890999999999998</v>
      </c>
      <c r="C49" s="390"/>
      <c r="D49" s="393">
        <f t="shared" si="0"/>
        <v>16.999002269944935</v>
      </c>
      <c r="E49" s="385">
        <f t="shared" si="1"/>
        <v>17.819176221374107</v>
      </c>
      <c r="F49" s="385">
        <f t="shared" si="2"/>
        <v>17.966121132529384</v>
      </c>
      <c r="G49" s="110">
        <f t="shared" si="23"/>
        <v>0.84611481775807995</v>
      </c>
      <c r="H49" s="414" t="b">
        <f>Wh_hp&gt;='2018'!Maxi_hp</f>
        <v>1</v>
      </c>
      <c r="I49" s="390">
        <f>IF(H49,Wh_hp,'2018'!Maxi_hp)</f>
        <v>17.966121132529384</v>
      </c>
      <c r="J49" s="85">
        <f>IF(H49,An,'2018'!An_max)</f>
        <v>2019</v>
      </c>
      <c r="K49" s="197">
        <f t="shared" si="3"/>
        <v>43500</v>
      </c>
      <c r="L49" s="147">
        <f>IF(t&lt;Tvie,1-EXP((T0-t)*PertePVj)+'2018'!Pspv,1-EXP((T0-t)*PertePVj)+Pspv)</f>
        <v>6.3534475865028028E-3</v>
      </c>
      <c r="M49" s="850"/>
      <c r="N49" s="850"/>
      <c r="O49" s="48">
        <f>IF(t&lt;Tnet,'2018'!Resal+('2018'!Salim-'2018'!Resal)*(1-EXP(('2018'!Tnet-t)/('2018'!Tau_j))),Resal+(Salim-Resal)*(1-EXP((Tnet-t)/(Tau_j))))*Salcycl</f>
        <v>4.6027602019299417E-2</v>
      </c>
      <c r="P49" s="169">
        <f>(INDEX(Models!$BJ49:$BT49,,T49)*(1-R49)+INDEX(Models!$BJ49:$BT49,,T49+1)*R49-ERP_i)*Q49*Ramure*Pc/MaxiM</f>
        <v>1.0446604010089133E-2</v>
      </c>
      <c r="Q49" s="305">
        <f t="shared" si="4"/>
        <v>0.7</v>
      </c>
      <c r="R49" s="177">
        <f t="shared" si="5"/>
        <v>0.50280961782929245</v>
      </c>
      <c r="S49" s="817">
        <f t="shared" si="6"/>
        <v>-2</v>
      </c>
      <c r="T49" s="176">
        <f t="shared" si="7"/>
        <v>4</v>
      </c>
      <c r="U49" s="251">
        <f t="shared" si="21"/>
        <v>-1.4971903821707075</v>
      </c>
      <c r="V49" s="383">
        <f t="shared" si="8"/>
        <v>19.917370192291813</v>
      </c>
      <c r="W49" s="58"/>
      <c r="X49" s="157">
        <f t="shared" si="9"/>
        <v>43500</v>
      </c>
      <c r="Y49" s="385">
        <f t="shared" si="10"/>
        <v>16.890999999999998</v>
      </c>
      <c r="Z49" s="385">
        <f t="shared" si="11"/>
        <v>16.999002269944935</v>
      </c>
      <c r="AA49" s="386">
        <f t="shared" si="12"/>
        <v>17.819176221374107</v>
      </c>
      <c r="AB49" s="197">
        <f t="shared" si="13"/>
        <v>43500</v>
      </c>
      <c r="AC49" s="427">
        <f>IF(OR(t&lt;Tnet,NoTnet),'2018'!Resal_s+('2018'!Salim-'2018'!Resal_s)*(1-EXP(('2018'!Tnet_s-t)/'2018'!Tau_j)),Resal_s+(Salim-Resal_s)*(1-EXP((Tnet_s-t)/Tau_j)))*Salcycl</f>
        <v>4.6027602019299417E-2</v>
      </c>
      <c r="AD49" s="231">
        <f>(INDEX(Models!$BJ49:$BT49,,AH49)*(1-AF49)+INDEX(Models!$BJ49:$BT49,,AH49+1)*AF49-ERP_i)*AE49*Ramure*Pc/MaxiM</f>
        <v>1.0446604010089133E-2</v>
      </c>
      <c r="AE49" s="305">
        <f t="shared" si="14"/>
        <v>0.7</v>
      </c>
      <c r="AF49" s="177">
        <f t="shared" si="15"/>
        <v>0.50280961782929245</v>
      </c>
      <c r="AG49" s="176">
        <f t="shared" si="16"/>
        <v>-2</v>
      </c>
      <c r="AH49" s="176">
        <f t="shared" si="17"/>
        <v>4</v>
      </c>
      <c r="AI49" s="225">
        <f t="shared" si="22"/>
        <v>-1.4971903821707075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43501</v>
      </c>
      <c r="B50" s="617">
        <v>3.0249999999999999</v>
      </c>
      <c r="C50" s="390"/>
      <c r="D50" s="393">
        <f t="shared" si="0"/>
        <v>3.0444087481277706</v>
      </c>
      <c r="E50" s="385">
        <f t="shared" si="1"/>
        <v>3.1917281960453501</v>
      </c>
      <c r="F50" s="385">
        <f t="shared" si="2"/>
        <v>3.1917281960453501</v>
      </c>
      <c r="G50" s="110">
        <f t="shared" si="23"/>
        <v>0.148190556045873</v>
      </c>
      <c r="H50" s="414" t="b">
        <f>Wh_hp&gt;='2018'!Maxi_hp</f>
        <v>1</v>
      </c>
      <c r="I50" s="390">
        <f>IF(H50,Wh_hp,'2018'!Maxi_hp)</f>
        <v>3.1917281960453501</v>
      </c>
      <c r="J50" s="85">
        <f>IF(H50,An,'2018'!An_max)</f>
        <v>2019</v>
      </c>
      <c r="K50" s="197">
        <f t="shared" si="3"/>
        <v>43501</v>
      </c>
      <c r="L50" s="147">
        <f>IF(t&lt;Tvie,1-EXP((T0-t)*PertePVj)+'2018'!Pspv,1-EXP((T0-t)*PertePVj)+Pspv)</f>
        <v>6.3752109961273673E-3</v>
      </c>
      <c r="M50" s="850"/>
      <c r="N50" s="850"/>
      <c r="O50" s="48">
        <f>IF(t&lt;Tnet,'2018'!Resal+('2018'!Salim-'2018'!Resal)*(1-EXP(('2018'!Tnet-t)/('2018'!Tau_j))),Resal+(Salim-Resal)*(1-EXP((Tnet-t)/(Tau_j))))*Salcycl</f>
        <v>4.6156639559757205E-2</v>
      </c>
      <c r="P50" s="169">
        <f>(INDEX(Models!$BJ50:$BT50,,T50)*(1-R50)+INDEX(Models!$BJ50:$BT50,,T50+1)*R50-ERP_i)*Q50*Ramure*Pc/MaxiM</f>
        <v>1.0218753750826778E-2</v>
      </c>
      <c r="Q50" s="305">
        <f t="shared" si="4"/>
        <v>0.7</v>
      </c>
      <c r="R50" s="177">
        <f t="shared" si="5"/>
        <v>0.50290305921448986</v>
      </c>
      <c r="S50" s="817">
        <f t="shared" si="6"/>
        <v>-2</v>
      </c>
      <c r="T50" s="176">
        <f t="shared" si="7"/>
        <v>4</v>
      </c>
      <c r="U50" s="251">
        <f t="shared" si="21"/>
        <v>-1.4970969407855101</v>
      </c>
      <c r="V50" s="383">
        <f t="shared" si="8"/>
        <v>20.204312270593789</v>
      </c>
      <c r="W50" s="58"/>
      <c r="X50" s="157">
        <f t="shared" si="9"/>
        <v>43501</v>
      </c>
      <c r="Y50" s="385">
        <f t="shared" si="10"/>
        <v>3.0249999999999999</v>
      </c>
      <c r="Z50" s="385">
        <f t="shared" si="11"/>
        <v>3.0444087481277706</v>
      </c>
      <c r="AA50" s="386">
        <f t="shared" si="12"/>
        <v>3.1917281960453501</v>
      </c>
      <c r="AB50" s="197">
        <f t="shared" si="13"/>
        <v>43501</v>
      </c>
      <c r="AC50" s="427">
        <f>IF(OR(t&lt;Tnet,NoTnet),'2018'!Resal_s+('2018'!Salim-'2018'!Resal_s)*(1-EXP(('2018'!Tnet_s-t)/'2018'!Tau_j)),Resal_s+(Salim-Resal_s)*(1-EXP((Tnet_s-t)/Tau_j)))*Salcycl</f>
        <v>4.6156639559757205E-2</v>
      </c>
      <c r="AD50" s="231">
        <f>(INDEX(Models!$BJ50:$BT50,,AH50)*(1-AF50)+INDEX(Models!$BJ50:$BT50,,AH50+1)*AF50-ERP_i)*AE50*Ramure*Pc/MaxiM</f>
        <v>1.0218753750826778E-2</v>
      </c>
      <c r="AE50" s="305">
        <f t="shared" si="14"/>
        <v>0.7</v>
      </c>
      <c r="AF50" s="177">
        <f t="shared" si="15"/>
        <v>0.50290305921448986</v>
      </c>
      <c r="AG50" s="176">
        <f t="shared" si="16"/>
        <v>-2</v>
      </c>
      <c r="AH50" s="176">
        <f t="shared" si="17"/>
        <v>4</v>
      </c>
      <c r="AI50" s="225">
        <f t="shared" si="22"/>
        <v>-1.4970969407855101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43502</v>
      </c>
      <c r="B51" s="617">
        <v>7.7279999999999998</v>
      </c>
      <c r="C51" s="390"/>
      <c r="D51" s="393">
        <f t="shared" si="0"/>
        <v>7.7777540901414088</v>
      </c>
      <c r="E51" s="385">
        <f t="shared" si="1"/>
        <v>8.1552231433949203</v>
      </c>
      <c r="F51" s="385">
        <f t="shared" si="2"/>
        <v>8.1641925281180967</v>
      </c>
      <c r="G51" s="110">
        <f t="shared" si="23"/>
        <v>0.37373172803274668</v>
      </c>
      <c r="H51" s="414" t="b">
        <f>Wh_hp&gt;='2018'!Maxi_hp</f>
        <v>1</v>
      </c>
      <c r="I51" s="390">
        <f>IF(H51,Wh_hp,'2018'!Maxi_hp)</f>
        <v>8.1641925281180967</v>
      </c>
      <c r="J51" s="85">
        <f>IF(H51,An,'2018'!An_max)</f>
        <v>2019</v>
      </c>
      <c r="K51" s="197">
        <f t="shared" si="3"/>
        <v>43502</v>
      </c>
      <c r="L51" s="147">
        <f>IF(t&lt;Tvie,1-EXP((T0-t)*PertePVj)+'2018'!Pspv,1-EXP((T0-t)*PertePVj)+Pspv)</f>
        <v>6.3969739290773431E-3</v>
      </c>
      <c r="M51" s="850"/>
      <c r="N51" s="850"/>
      <c r="O51" s="48">
        <f>IF(t&lt;Tnet,'2018'!Resal+('2018'!Salim-'2018'!Resal)*(1-EXP(('2018'!Tnet-t)/('2018'!Tau_j))),Resal+(Salim-Resal)*(1-EXP((Tnet-t)/(Tau_j))))*Salcycl</f>
        <v>4.6285557932186243E-2</v>
      </c>
      <c r="P51" s="169">
        <f>(INDEX(Models!$BJ51:$BT51,,T51)*(1-R51)+INDEX(Models!$BJ51:$BT51,,T51+1)*R51-ERP_i)*Q51*Ramure*Pc/MaxiM</f>
        <v>9.9767197651700022E-3</v>
      </c>
      <c r="Q51" s="305">
        <f t="shared" si="4"/>
        <v>0.7</v>
      </c>
      <c r="R51" s="177">
        <f t="shared" si="5"/>
        <v>0.50300037391037611</v>
      </c>
      <c r="S51" s="817">
        <f t="shared" si="6"/>
        <v>-2</v>
      </c>
      <c r="T51" s="176">
        <f t="shared" si="7"/>
        <v>4</v>
      </c>
      <c r="U51" s="251">
        <f t="shared" si="21"/>
        <v>-1.4969996260896239</v>
      </c>
      <c r="V51" s="383">
        <f t="shared" si="8"/>
        <v>20.494151415205089</v>
      </c>
      <c r="W51" s="58"/>
      <c r="X51" s="157">
        <f t="shared" si="9"/>
        <v>43502</v>
      </c>
      <c r="Y51" s="385">
        <f t="shared" si="10"/>
        <v>7.7279999999999998</v>
      </c>
      <c r="Z51" s="385">
        <f t="shared" si="11"/>
        <v>7.7777540901414088</v>
      </c>
      <c r="AA51" s="386">
        <f t="shared" si="12"/>
        <v>8.1552231433949203</v>
      </c>
      <c r="AB51" s="197">
        <f t="shared" si="13"/>
        <v>43502</v>
      </c>
      <c r="AC51" s="427">
        <f>IF(OR(t&lt;Tnet,NoTnet),'2018'!Resal_s+('2018'!Salim-'2018'!Resal_s)*(1-EXP(('2018'!Tnet_s-t)/'2018'!Tau_j)),Resal_s+(Salim-Resal_s)*(1-EXP((Tnet_s-t)/Tau_j)))*Salcycl</f>
        <v>4.6285557932186243E-2</v>
      </c>
      <c r="AD51" s="231">
        <f>(INDEX(Models!$BJ51:$BT51,,AH51)*(1-AF51)+INDEX(Models!$BJ51:$BT51,,AH51+1)*AF51-ERP_i)*AE51*Ramure*Pc/MaxiM</f>
        <v>9.9767197651700022E-3</v>
      </c>
      <c r="AE51" s="305">
        <f t="shared" si="14"/>
        <v>0.7</v>
      </c>
      <c r="AF51" s="177">
        <f t="shared" si="15"/>
        <v>0.50300037391037611</v>
      </c>
      <c r="AG51" s="176">
        <f t="shared" si="16"/>
        <v>-2</v>
      </c>
      <c r="AH51" s="176">
        <f t="shared" si="17"/>
        <v>4</v>
      </c>
      <c r="AI51" s="225">
        <f t="shared" si="22"/>
        <v>-1.4969996260896239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43503</v>
      </c>
      <c r="B52" s="617">
        <v>3.9590000000000001</v>
      </c>
      <c r="C52" s="390"/>
      <c r="D52" s="393">
        <f t="shared" si="0"/>
        <v>3.9845759425829002</v>
      </c>
      <c r="E52" s="385">
        <f t="shared" si="1"/>
        <v>4.1785192106871314</v>
      </c>
      <c r="F52" s="385">
        <f t="shared" si="2"/>
        <v>4.1785192106871314</v>
      </c>
      <c r="G52" s="110">
        <f t="shared" si="23"/>
        <v>0.18858374035913331</v>
      </c>
      <c r="H52" s="414" t="b">
        <f>Wh_hp&gt;='2018'!Maxi_hp</f>
        <v>1</v>
      </c>
      <c r="I52" s="390">
        <f>IF(H52,Wh_hp,'2018'!Maxi_hp)</f>
        <v>4.1785192106871314</v>
      </c>
      <c r="J52" s="85">
        <f>IF(H52,An,'2018'!An_max)</f>
        <v>2019</v>
      </c>
      <c r="K52" s="197">
        <f t="shared" si="3"/>
        <v>43503</v>
      </c>
      <c r="L52" s="147">
        <f>IF(t&lt;Tvie,1-EXP((T0-t)*PertePVj)+'2018'!Pspv,1-EXP((T0-t)*PertePVj)+Pspv)</f>
        <v>6.4187363853632773E-3</v>
      </c>
      <c r="M52" s="850"/>
      <c r="N52" s="850"/>
      <c r="O52" s="48">
        <f>IF(t&lt;Tnet,'2018'!Resal+('2018'!Salim-'2018'!Resal)*(1-EXP(('2018'!Tnet-t)/('2018'!Tau_j))),Resal+(Salim-Resal)*(1-EXP((Tnet-t)/(Tau_j))))*Salcycl</f>
        <v>4.6414353584445713E-2</v>
      </c>
      <c r="P52" s="169">
        <f>(INDEX(Models!$BJ52:$BT52,,T52)*(1-R52)+INDEX(Models!$BJ52:$BT52,,T52+1)*R52-ERP_i)*Q52*Ramure*Pc/MaxiM</f>
        <v>9.7095105676699607E-3</v>
      </c>
      <c r="Q52" s="305">
        <f t="shared" si="4"/>
        <v>0.7</v>
      </c>
      <c r="R52" s="177">
        <f t="shared" si="5"/>
        <v>0.50310172044319956</v>
      </c>
      <c r="S52" s="817">
        <f t="shared" si="6"/>
        <v>-2</v>
      </c>
      <c r="T52" s="176">
        <f t="shared" si="7"/>
        <v>4</v>
      </c>
      <c r="U52" s="251">
        <f t="shared" si="21"/>
        <v>-1.4968982795568004</v>
      </c>
      <c r="V52" s="383">
        <f t="shared" si="8"/>
        <v>20.789491396216853</v>
      </c>
      <c r="W52" s="58"/>
      <c r="X52" s="157">
        <f t="shared" si="9"/>
        <v>43503</v>
      </c>
      <c r="Y52" s="385">
        <f t="shared" si="10"/>
        <v>3.9590000000000001</v>
      </c>
      <c r="Z52" s="385">
        <f t="shared" si="11"/>
        <v>3.9845759425829002</v>
      </c>
      <c r="AA52" s="386">
        <f t="shared" si="12"/>
        <v>4.1785192106871314</v>
      </c>
      <c r="AB52" s="197">
        <f t="shared" si="13"/>
        <v>43503</v>
      </c>
      <c r="AC52" s="427">
        <f>IF(OR(t&lt;Tnet,NoTnet),'2018'!Resal_s+('2018'!Salim-'2018'!Resal_s)*(1-EXP(('2018'!Tnet_s-t)/'2018'!Tau_j)),Resal_s+(Salim-Resal_s)*(1-EXP((Tnet_s-t)/Tau_j)))*Salcycl</f>
        <v>4.6414353584445713E-2</v>
      </c>
      <c r="AD52" s="231">
        <f>(INDEX(Models!$BJ52:$BT52,,AH52)*(1-AF52)+INDEX(Models!$BJ52:$BT52,,AH52+1)*AF52-ERP_i)*AE52*Ramure*Pc/MaxiM</f>
        <v>9.7095105676699607E-3</v>
      </c>
      <c r="AE52" s="305">
        <f t="shared" si="14"/>
        <v>0.7</v>
      </c>
      <c r="AF52" s="177">
        <f t="shared" si="15"/>
        <v>0.50310172044319956</v>
      </c>
      <c r="AG52" s="176">
        <f t="shared" si="16"/>
        <v>-2</v>
      </c>
      <c r="AH52" s="176">
        <f t="shared" si="17"/>
        <v>4</v>
      </c>
      <c r="AI52" s="225">
        <f t="shared" si="22"/>
        <v>-1.4968982795568004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43504</v>
      </c>
      <c r="B53" s="617">
        <v>18.582999999999998</v>
      </c>
      <c r="C53" s="390"/>
      <c r="D53" s="393">
        <f t="shared" si="0"/>
        <v>18.703459600979869</v>
      </c>
      <c r="E53" s="385">
        <f t="shared" si="1"/>
        <v>19.616469378662881</v>
      </c>
      <c r="F53" s="385">
        <f t="shared" si="2"/>
        <v>19.771135830891151</v>
      </c>
      <c r="G53" s="110">
        <f t="shared" si="23"/>
        <v>0.87972712364327554</v>
      </c>
      <c r="H53" s="414" t="b">
        <f>Wh_hp&gt;='2018'!Maxi_hp</f>
        <v>1</v>
      </c>
      <c r="I53" s="390">
        <f>IF(H53,Wh_hp,'2018'!Maxi_hp)</f>
        <v>19.771135830891151</v>
      </c>
      <c r="J53" s="85">
        <f>IF(H53,An,'2018'!An_max)</f>
        <v>2019</v>
      </c>
      <c r="K53" s="197">
        <f t="shared" si="3"/>
        <v>43504</v>
      </c>
      <c r="L53" s="147">
        <f>IF(t&lt;Tvie,1-EXP((T0-t)*PertePVj)+'2018'!Pspv,1-EXP((T0-t)*PertePVj)+Pspv)</f>
        <v>6.440498364995495E-3</v>
      </c>
      <c r="M53" s="850"/>
      <c r="N53" s="850"/>
      <c r="O53" s="48">
        <f>IF(t&lt;Tnet,'2018'!Resal+('2018'!Salim-'2018'!Resal)*(1-EXP(('2018'!Tnet-t)/('2018'!Tau_j))),Resal+(Salim-Resal)*(1-EXP((Tnet-t)/(Tau_j))))*Salcycl</f>
        <v>4.6543022603043258E-2</v>
      </c>
      <c r="P53" s="169">
        <f>(INDEX(Models!$BJ53:$BT53,,T53)*(1-R53)+INDEX(Models!$BJ53:$BT53,,T53+1)*R53-ERP_i)*Q53*Ramure*Pc/MaxiM</f>
        <v>9.4227100252931781E-3</v>
      </c>
      <c r="Q53" s="305">
        <f t="shared" si="4"/>
        <v>0.7</v>
      </c>
      <c r="R53" s="177">
        <f t="shared" si="5"/>
        <v>0.50320726365473356</v>
      </c>
      <c r="S53" s="817">
        <f t="shared" si="6"/>
        <v>-2</v>
      </c>
      <c r="T53" s="176">
        <f t="shared" si="7"/>
        <v>4</v>
      </c>
      <c r="U53" s="251">
        <f t="shared" si="21"/>
        <v>-1.4967927363452664</v>
      </c>
      <c r="V53" s="383">
        <f t="shared" si="8"/>
        <v>21.089534158743049</v>
      </c>
      <c r="W53" s="58"/>
      <c r="X53" s="157">
        <f t="shared" si="9"/>
        <v>43504</v>
      </c>
      <c r="Y53" s="385">
        <f t="shared" si="10"/>
        <v>18.582999999999998</v>
      </c>
      <c r="Z53" s="385">
        <f t="shared" si="11"/>
        <v>18.703459600979869</v>
      </c>
      <c r="AA53" s="386">
        <f t="shared" si="12"/>
        <v>19.616469378662881</v>
      </c>
      <c r="AB53" s="197">
        <f t="shared" si="13"/>
        <v>43504</v>
      </c>
      <c r="AC53" s="427">
        <f>IF(OR(t&lt;Tnet,NoTnet),'2018'!Resal_s+('2018'!Salim-'2018'!Resal_s)*(1-EXP(('2018'!Tnet_s-t)/'2018'!Tau_j)),Resal_s+(Salim-Resal_s)*(1-EXP((Tnet_s-t)/Tau_j)))*Salcycl</f>
        <v>4.6543022603043258E-2</v>
      </c>
      <c r="AD53" s="231">
        <f>(INDEX(Models!$BJ53:$BT53,,AH53)*(1-AF53)+INDEX(Models!$BJ53:$BT53,,AH53+1)*AF53-ERP_i)*AE53*Ramure*Pc/MaxiM</f>
        <v>9.4227100252931781E-3</v>
      </c>
      <c r="AE53" s="305">
        <f t="shared" si="14"/>
        <v>0.7</v>
      </c>
      <c r="AF53" s="177">
        <f t="shared" si="15"/>
        <v>0.50320726365473356</v>
      </c>
      <c r="AG53" s="176">
        <f t="shared" si="16"/>
        <v>-2</v>
      </c>
      <c r="AH53" s="176">
        <f t="shared" si="17"/>
        <v>4</v>
      </c>
      <c r="AI53" s="225">
        <f t="shared" si="22"/>
        <v>-1.4967927363452664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43505</v>
      </c>
      <c r="B54" s="617">
        <v>18.152999999999999</v>
      </c>
      <c r="C54" s="390"/>
      <c r="D54" s="393">
        <f t="shared" si="0"/>
        <v>18.271072418032087</v>
      </c>
      <c r="E54" s="385">
        <f t="shared" si="1"/>
        <v>19.165558967974764</v>
      </c>
      <c r="F54" s="385">
        <f t="shared" si="2"/>
        <v>19.303475099472632</v>
      </c>
      <c r="G54" s="110">
        <f t="shared" si="23"/>
        <v>0.84683989143920013</v>
      </c>
      <c r="H54" s="414" t="b">
        <f>Wh_hp&gt;='2018'!Maxi_hp</f>
        <v>1</v>
      </c>
      <c r="I54" s="390">
        <f>IF(H54,Wh_hp,'2018'!Maxi_hp)</f>
        <v>19.303475099472632</v>
      </c>
      <c r="J54" s="85">
        <f>IF(H54,An,'2018'!An_max)</f>
        <v>2019</v>
      </c>
      <c r="K54" s="197">
        <f t="shared" si="3"/>
        <v>43505</v>
      </c>
      <c r="L54" s="147">
        <f>IF(t&lt;Tvie,1-EXP((T0-t)*PertePVj)+'2018'!Pspv,1-EXP((T0-t)*PertePVj)+Pspv)</f>
        <v>6.4622598679845433E-3</v>
      </c>
      <c r="M54" s="850"/>
      <c r="N54" s="850"/>
      <c r="O54" s="48">
        <f>IF(t&lt;Tnet,'2018'!Resal+('2018'!Salim-'2018'!Resal)*(1-EXP(('2018'!Tnet-t)/('2018'!Tau_j))),Resal+(Salim-Resal)*(1-EXP((Tnet-t)/(Tau_j))))*Salcycl</f>
        <v>4.6671560763625233E-2</v>
      </c>
      <c r="P54" s="169">
        <f>(INDEX(Models!$BJ54:$BT54,,T54)*(1-R54)+INDEX(Models!$BJ54:$BT54,,T54+1)*R54-ERP_i)*Q54*Ramure*Pc/MaxiM</f>
        <v>9.117596037878822E-3</v>
      </c>
      <c r="Q54" s="305">
        <f t="shared" si="4"/>
        <v>0.7</v>
      </c>
      <c r="R54" s="177">
        <f t="shared" si="5"/>
        <v>0.50331717493915917</v>
      </c>
      <c r="S54" s="817">
        <f t="shared" si="6"/>
        <v>-2</v>
      </c>
      <c r="T54" s="176">
        <f t="shared" si="7"/>
        <v>4</v>
      </c>
      <c r="U54" s="251">
        <f t="shared" si="21"/>
        <v>-1.4966828250608408</v>
      </c>
      <c r="V54" s="383">
        <f t="shared" si="8"/>
        <v>21.393568193719105</v>
      </c>
      <c r="W54" s="58"/>
      <c r="X54" s="157">
        <f t="shared" si="9"/>
        <v>43505</v>
      </c>
      <c r="Y54" s="385">
        <f t="shared" si="10"/>
        <v>18.152999999999999</v>
      </c>
      <c r="Z54" s="385">
        <f t="shared" si="11"/>
        <v>18.271072418032087</v>
      </c>
      <c r="AA54" s="386">
        <f t="shared" si="12"/>
        <v>19.165558967974764</v>
      </c>
      <c r="AB54" s="197">
        <f t="shared" si="13"/>
        <v>43505</v>
      </c>
      <c r="AC54" s="427">
        <f>IF(OR(t&lt;Tnet,NoTnet),'2018'!Resal_s+('2018'!Salim-'2018'!Resal_s)*(1-EXP(('2018'!Tnet_s-t)/'2018'!Tau_j)),Resal_s+(Salim-Resal_s)*(1-EXP((Tnet_s-t)/Tau_j)))*Salcycl</f>
        <v>4.6671560763625233E-2</v>
      </c>
      <c r="AD54" s="231">
        <f>(INDEX(Models!$BJ54:$BT54,,AH54)*(1-AF54)+INDEX(Models!$BJ54:$BT54,,AH54+1)*AF54-ERP_i)*AE54*Ramure*Pc/MaxiM</f>
        <v>9.117596037878822E-3</v>
      </c>
      <c r="AE54" s="305">
        <f t="shared" si="14"/>
        <v>0.7</v>
      </c>
      <c r="AF54" s="177">
        <f t="shared" si="15"/>
        <v>0.50331717493915917</v>
      </c>
      <c r="AG54" s="176">
        <f t="shared" si="16"/>
        <v>-2</v>
      </c>
      <c r="AH54" s="176">
        <f t="shared" si="17"/>
        <v>4</v>
      </c>
      <c r="AI54" s="225">
        <f t="shared" si="22"/>
        <v>-1.4966828250608408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0"/>
        <v>43506</v>
      </c>
      <c r="B55" s="617">
        <v>6.0519999999999996</v>
      </c>
      <c r="C55" s="390"/>
      <c r="D55" s="393">
        <f t="shared" si="0"/>
        <v>6.0914973963960541</v>
      </c>
      <c r="E55" s="385">
        <f t="shared" si="1"/>
        <v>6.3905761264144036</v>
      </c>
      <c r="F55" s="385">
        <f t="shared" si="2"/>
        <v>6.3905761264144036</v>
      </c>
      <c r="G55" s="110">
        <f t="shared" si="23"/>
        <v>0.27642979591823741</v>
      </c>
      <c r="H55" s="414" t="b">
        <f>Wh_hp&gt;='2018'!Maxi_hp</f>
        <v>1</v>
      </c>
      <c r="I55" s="390">
        <f>IF(H55,Wh_hp,'2018'!Maxi_hp)</f>
        <v>6.3905761264144036</v>
      </c>
      <c r="J55" s="85">
        <f>IF(H55,An,'2018'!An_max)</f>
        <v>2019</v>
      </c>
      <c r="K55" s="197">
        <f t="shared" si="3"/>
        <v>43506</v>
      </c>
      <c r="L55" s="147">
        <f>IF(t&lt;Tvie,1-EXP((T0-t)*PertePVj)+'2018'!Pspv,1-EXP((T0-t)*PertePVj)+Pspv)</f>
        <v>6.4840208943408584E-3</v>
      </c>
      <c r="M55" s="850"/>
      <c r="N55" s="850"/>
      <c r="O55" s="48">
        <f>IF(t&lt;Tnet,'2018'!Resal+('2018'!Salim-'2018'!Resal)*(1-EXP(('2018'!Tnet-t)/('2018'!Tau_j))),Resal+(Salim-Resal)*(1-EXP((Tnet-t)/(Tau_j))))*Salcycl</f>
        <v>4.6799963587344853E-2</v>
      </c>
      <c r="P55" s="169">
        <f>(INDEX(Models!$BJ55:$BT55,,T55)*(1-R55)+INDEX(Models!$BJ55:$BT55,,T55+1)*R55-ERP_i)*Q55*Ramure*Pc/MaxiM</f>
        <v>8.795353217365437E-3</v>
      </c>
      <c r="Q55" s="305">
        <f t="shared" si="4"/>
        <v>0.7</v>
      </c>
      <c r="R55" s="177">
        <f t="shared" si="5"/>
        <v>0.50343163248756451</v>
      </c>
      <c r="S55" s="817">
        <f t="shared" si="6"/>
        <v>-2</v>
      </c>
      <c r="T55" s="176">
        <f t="shared" si="7"/>
        <v>4</v>
      </c>
      <c r="U55" s="251">
        <f t="shared" si="21"/>
        <v>-1.4965683675124355</v>
      </c>
      <c r="V55" s="383">
        <f t="shared" si="8"/>
        <v>21.700882505816502</v>
      </c>
      <c r="W55" s="58"/>
      <c r="X55" s="157">
        <f t="shared" si="9"/>
        <v>43506</v>
      </c>
      <c r="Y55" s="385">
        <f t="shared" si="10"/>
        <v>6.0519999999999996</v>
      </c>
      <c r="Z55" s="385">
        <f t="shared" si="11"/>
        <v>6.0914973963960541</v>
      </c>
      <c r="AA55" s="386">
        <f t="shared" si="12"/>
        <v>6.3905761264144036</v>
      </c>
      <c r="AB55" s="197">
        <f t="shared" si="13"/>
        <v>43506</v>
      </c>
      <c r="AC55" s="427">
        <f>IF(OR(t&lt;Tnet,NoTnet),'2018'!Resal_s+('2018'!Salim-'2018'!Resal_s)*(1-EXP(('2018'!Tnet_s-t)/'2018'!Tau_j)),Resal_s+(Salim-Resal_s)*(1-EXP((Tnet_s-t)/Tau_j)))*Salcycl</f>
        <v>4.6799963587344853E-2</v>
      </c>
      <c r="AD55" s="231">
        <f>(INDEX(Models!$BJ55:$BT55,,AH55)*(1-AF55)+INDEX(Models!$BJ55:$BT55,,AH55+1)*AF55-ERP_i)*AE55*Ramure*Pc/MaxiM</f>
        <v>8.795353217365437E-3</v>
      </c>
      <c r="AE55" s="305">
        <f t="shared" si="14"/>
        <v>0.7</v>
      </c>
      <c r="AF55" s="177">
        <f t="shared" si="15"/>
        <v>0.50343163248756451</v>
      </c>
      <c r="AG55" s="176">
        <f t="shared" si="16"/>
        <v>-2</v>
      </c>
      <c r="AH55" s="176">
        <f t="shared" si="17"/>
        <v>4</v>
      </c>
      <c r="AI55" s="225">
        <f t="shared" si="22"/>
        <v>-1.4965683675124355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0"/>
        <v>43507</v>
      </c>
      <c r="B56" s="617">
        <v>13.84</v>
      </c>
      <c r="C56" s="390"/>
      <c r="D56" s="393">
        <f t="shared" si="0"/>
        <v>13.930629631762599</v>
      </c>
      <c r="E56" s="385">
        <f t="shared" si="1"/>
        <v>14.616558812962245</v>
      </c>
      <c r="F56" s="385">
        <f t="shared" si="2"/>
        <v>14.674850316125779</v>
      </c>
      <c r="G56" s="110">
        <f t="shared" si="23"/>
        <v>0.62595193236002755</v>
      </c>
      <c r="H56" s="414" t="b">
        <f>Wh_hp&gt;='2018'!Maxi_hp</f>
        <v>1</v>
      </c>
      <c r="I56" s="390">
        <f>IF(H56,Wh_hp,'2018'!Maxi_hp)</f>
        <v>14.674850316125779</v>
      </c>
      <c r="J56" s="85">
        <f>IF(H56,An,'2018'!An_max)</f>
        <v>2019</v>
      </c>
      <c r="K56" s="197">
        <f t="shared" si="3"/>
        <v>43507</v>
      </c>
      <c r="L56" s="147">
        <f>IF(t&lt;Tvie,1-EXP((T0-t)*PertePVj)+'2018'!Pspv,1-EXP((T0-t)*PertePVj)+Pspv)</f>
        <v>6.5057814440747652E-3</v>
      </c>
      <c r="M56" s="850"/>
      <c r="N56" s="850"/>
      <c r="O56" s="48">
        <f>IF(t&lt;Tnet,'2018'!Resal+('2018'!Salim-'2018'!Resal)*(1-EXP(('2018'!Tnet-t)/('2018'!Tau_j))),Resal+(Salim-Resal)*(1-EXP((Tnet-t)/(Tau_j))))*Salcycl</f>
        <v>4.6928226402465502E-2</v>
      </c>
      <c r="P56" s="169">
        <f>(INDEX(Models!$BJ56:$BT56,,T56)*(1-R56)+INDEX(Models!$BJ56:$BT56,,T56+1)*R56-ERP_i)*Q56*Ramure*Pc/MaxiM</f>
        <v>8.4570716958764346E-3</v>
      </c>
      <c r="Q56" s="305">
        <f t="shared" si="4"/>
        <v>0.7</v>
      </c>
      <c r="R56" s="177">
        <f t="shared" si="5"/>
        <v>0.50355082154018738</v>
      </c>
      <c r="S56" s="817">
        <f t="shared" si="6"/>
        <v>-2</v>
      </c>
      <c r="T56" s="176">
        <f t="shared" si="7"/>
        <v>4</v>
      </c>
      <c r="U56" s="251">
        <f t="shared" si="21"/>
        <v>-1.4964491784598126</v>
      </c>
      <c r="V56" s="383">
        <f t="shared" si="8"/>
        <v>22.010766613831269</v>
      </c>
      <c r="W56" s="58"/>
      <c r="X56" s="157">
        <f t="shared" si="9"/>
        <v>43507</v>
      </c>
      <c r="Y56" s="385">
        <f t="shared" si="10"/>
        <v>13.84</v>
      </c>
      <c r="Z56" s="385">
        <f t="shared" si="11"/>
        <v>13.930629631762599</v>
      </c>
      <c r="AA56" s="386">
        <f t="shared" si="12"/>
        <v>14.616558812962245</v>
      </c>
      <c r="AB56" s="197">
        <f t="shared" si="13"/>
        <v>43507</v>
      </c>
      <c r="AC56" s="427">
        <f>IF(OR(t&lt;Tnet,NoTnet),'2018'!Resal_s+('2018'!Salim-'2018'!Resal_s)*(1-EXP(('2018'!Tnet_s-t)/'2018'!Tau_j)),Resal_s+(Salim-Resal_s)*(1-EXP((Tnet_s-t)/Tau_j)))*Salcycl</f>
        <v>4.6928226402465502E-2</v>
      </c>
      <c r="AD56" s="231">
        <f>(INDEX(Models!$BJ56:$BT56,,AH56)*(1-AF56)+INDEX(Models!$BJ56:$BT56,,AH56+1)*AF56-ERP_i)*AE56*Ramure*Pc/MaxiM</f>
        <v>8.4570716958764346E-3</v>
      </c>
      <c r="AE56" s="305">
        <f t="shared" si="14"/>
        <v>0.7</v>
      </c>
      <c r="AF56" s="177">
        <f t="shared" si="15"/>
        <v>0.50355082154018738</v>
      </c>
      <c r="AG56" s="176">
        <f t="shared" si="16"/>
        <v>-2</v>
      </c>
      <c r="AH56" s="176">
        <f t="shared" si="17"/>
        <v>4</v>
      </c>
      <c r="AI56" s="225">
        <f t="shared" si="22"/>
        <v>-1.4964491784598126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0"/>
        <v>43508</v>
      </c>
      <c r="B57" s="617">
        <v>22.841000000000001</v>
      </c>
      <c r="C57" s="390"/>
      <c r="D57" s="393">
        <f t="shared" si="0"/>
        <v>22.991075197879152</v>
      </c>
      <c r="E57" s="385">
        <f t="shared" si="1"/>
        <v>24.126374170209434</v>
      </c>
      <c r="F57" s="385">
        <f t="shared" si="2"/>
        <v>24.323485541278668</v>
      </c>
      <c r="G57" s="110">
        <f t="shared" si="23"/>
        <v>1.0232272015132768</v>
      </c>
      <c r="H57" s="414" t="b">
        <f>Wh_hp&gt;='2018'!Maxi_hp</f>
        <v>1</v>
      </c>
      <c r="I57" s="390">
        <f>IF(H57,Wh_hp,'2018'!Maxi_hp)</f>
        <v>24.323485541278668</v>
      </c>
      <c r="J57" s="85">
        <f>IF(H57,An,'2018'!An_max)</f>
        <v>2019</v>
      </c>
      <c r="K57" s="197">
        <f t="shared" si="3"/>
        <v>43508</v>
      </c>
      <c r="L57" s="147">
        <f>IF(t&lt;Tvie,1-EXP((T0-t)*PertePVj)+'2018'!Pspv,1-EXP((T0-t)*PertePVj)+Pspv)</f>
        <v>6.527541517196811E-3</v>
      </c>
      <c r="M57" s="850"/>
      <c r="N57" s="850"/>
      <c r="O57" s="48">
        <f>IF(t&lt;Tnet,'2018'!Resal+('2018'!Salim-'2018'!Resal)*(1-EXP(('2018'!Tnet-t)/('2018'!Tau_j))),Resal+(Salim-Resal)*(1-EXP((Tnet-t)/(Tau_j))))*Salcycl</f>
        <v>4.7056344410513054E-2</v>
      </c>
      <c r="P57" s="169">
        <f>(INDEX(Models!$BJ57:$BT57,,T57)*(1-R57)+INDEX(Models!$BJ57:$BT57,,T57+1)*R57-ERP_i)*Q57*Ramure*Pc/MaxiM</f>
        <v>8.1037469212511346E-3</v>
      </c>
      <c r="Q57" s="305">
        <f t="shared" si="4"/>
        <v>0.7</v>
      </c>
      <c r="R57" s="177">
        <f t="shared" si="5"/>
        <v>0.50367493464652635</v>
      </c>
      <c r="S57" s="817">
        <f t="shared" si="6"/>
        <v>-2</v>
      </c>
      <c r="T57" s="176">
        <f t="shared" si="7"/>
        <v>4</v>
      </c>
      <c r="U57" s="251">
        <f t="shared" si="21"/>
        <v>-1.4963250653534736</v>
      </c>
      <c r="V57" s="383">
        <f t="shared" si="8"/>
        <v>22.322510549191676</v>
      </c>
      <c r="W57" s="58"/>
      <c r="X57" s="157">
        <f t="shared" si="9"/>
        <v>43508</v>
      </c>
      <c r="Y57" s="385">
        <f t="shared" si="10"/>
        <v>22.841000000000001</v>
      </c>
      <c r="Z57" s="385">
        <f t="shared" si="11"/>
        <v>22.991075197879152</v>
      </c>
      <c r="AA57" s="386">
        <f t="shared" si="12"/>
        <v>24.126374170209434</v>
      </c>
      <c r="AB57" s="197">
        <f t="shared" si="13"/>
        <v>43508</v>
      </c>
      <c r="AC57" s="427">
        <f>IF(OR(t&lt;Tnet,NoTnet),'2018'!Resal_s+('2018'!Salim-'2018'!Resal_s)*(1-EXP(('2018'!Tnet_s-t)/'2018'!Tau_j)),Resal_s+(Salim-Resal_s)*(1-EXP((Tnet_s-t)/Tau_j)))*Salcycl</f>
        <v>4.7056344410513054E-2</v>
      </c>
      <c r="AD57" s="231">
        <f>(INDEX(Models!$BJ57:$BT57,,AH57)*(1-AF57)+INDEX(Models!$BJ57:$BT57,,AH57+1)*AF57-ERP_i)*AE57*Ramure*Pc/MaxiM</f>
        <v>8.1037469212511346E-3</v>
      </c>
      <c r="AE57" s="305">
        <f t="shared" si="14"/>
        <v>0.7</v>
      </c>
      <c r="AF57" s="177">
        <f t="shared" si="15"/>
        <v>0.50367493464652635</v>
      </c>
      <c r="AG57" s="176">
        <f t="shared" si="16"/>
        <v>-2</v>
      </c>
      <c r="AH57" s="176">
        <f t="shared" si="17"/>
        <v>4</v>
      </c>
      <c r="AI57" s="225">
        <f t="shared" si="22"/>
        <v>-1.4963250653534736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0"/>
        <v>43509</v>
      </c>
      <c r="B58" s="617">
        <v>23.423999999999999</v>
      </c>
      <c r="C58" s="390"/>
      <c r="D58" s="393">
        <f t="shared" si="0"/>
        <v>23.578422186686971</v>
      </c>
      <c r="E58" s="385">
        <f t="shared" si="1"/>
        <v>24.746047428011327</v>
      </c>
      <c r="F58" s="385">
        <f t="shared" si="2"/>
        <v>24.939074122850123</v>
      </c>
      <c r="G58" s="110">
        <f t="shared" si="23"/>
        <v>1.0348428184124356</v>
      </c>
      <c r="H58" s="414" t="b">
        <f>Wh_hp&gt;='2018'!Maxi_hp</f>
        <v>1</v>
      </c>
      <c r="I58" s="390">
        <f>IF(H58,Wh_hp,'2018'!Maxi_hp)</f>
        <v>24.939074122850123</v>
      </c>
      <c r="J58" s="85">
        <f>IF(H58,An,'2018'!An_max)</f>
        <v>2019</v>
      </c>
      <c r="K58" s="197">
        <f t="shared" si="3"/>
        <v>43509</v>
      </c>
      <c r="L58" s="147">
        <f>IF(t&lt;Tvie,1-EXP((T0-t)*PertePVj)+'2018'!Pspv,1-EXP((T0-t)*PertePVj)+Pspv)</f>
        <v>6.5493011137175428E-3</v>
      </c>
      <c r="M58" s="850"/>
      <c r="N58" s="850"/>
      <c r="O58" s="48">
        <f>IF(t&lt;Tnet,'2018'!Resal+('2018'!Salim-'2018'!Resal)*(1-EXP(('2018'!Tnet-t)/('2018'!Tau_j))),Resal+(Salim-Resal)*(1-EXP((Tnet-t)/(Tau_j))))*Salcycl</f>
        <v>4.7184312756252948E-2</v>
      </c>
      <c r="P58" s="169">
        <f>(INDEX(Models!$BJ58:$BT58,,T58)*(1-R58)+INDEX(Models!$BJ58:$BT58,,T58+1)*R58-ERP_i)*Q58*Ramure*Pc/MaxiM</f>
        <v>7.739930275195696E-3</v>
      </c>
      <c r="Q58" s="305">
        <f t="shared" si="4"/>
        <v>0.7</v>
      </c>
      <c r="R58" s="177">
        <f t="shared" si="5"/>
        <v>0.5038041719334303</v>
      </c>
      <c r="S58" s="817">
        <f t="shared" si="6"/>
        <v>-2</v>
      </c>
      <c r="T58" s="176">
        <f t="shared" si="7"/>
        <v>4</v>
      </c>
      <c r="U58" s="251">
        <f t="shared" si="21"/>
        <v>-1.4961958280665697</v>
      </c>
      <c r="V58" s="383">
        <f t="shared" si="8"/>
        <v>22.635321599791386</v>
      </c>
      <c r="W58" s="58"/>
      <c r="X58" s="157">
        <f t="shared" si="9"/>
        <v>43509</v>
      </c>
      <c r="Y58" s="385">
        <f t="shared" si="10"/>
        <v>23.423999999999999</v>
      </c>
      <c r="Z58" s="385">
        <f t="shared" si="11"/>
        <v>23.578422186686971</v>
      </c>
      <c r="AA58" s="386">
        <f t="shared" si="12"/>
        <v>24.746047428011327</v>
      </c>
      <c r="AB58" s="197">
        <f t="shared" si="13"/>
        <v>43509</v>
      </c>
      <c r="AC58" s="427">
        <f>IF(OR(t&lt;Tnet,NoTnet),'2018'!Resal_s+('2018'!Salim-'2018'!Resal_s)*(1-EXP(('2018'!Tnet_s-t)/'2018'!Tau_j)),Resal_s+(Salim-Resal_s)*(1-EXP((Tnet_s-t)/Tau_j)))*Salcycl</f>
        <v>4.7184312756252948E-2</v>
      </c>
      <c r="AD58" s="231">
        <f>(INDEX(Models!$BJ58:$BT58,,AH58)*(1-AF58)+INDEX(Models!$BJ58:$BT58,,AH58+1)*AF58-ERP_i)*AE58*Ramure*Pc/MaxiM</f>
        <v>7.739930275195696E-3</v>
      </c>
      <c r="AE58" s="305">
        <f t="shared" si="14"/>
        <v>0.7</v>
      </c>
      <c r="AF58" s="177">
        <f t="shared" si="15"/>
        <v>0.5038041719334303</v>
      </c>
      <c r="AG58" s="176">
        <f t="shared" si="16"/>
        <v>-2</v>
      </c>
      <c r="AH58" s="176">
        <f t="shared" si="17"/>
        <v>4</v>
      </c>
      <c r="AI58" s="225">
        <f t="shared" si="22"/>
        <v>-1.4961958280665697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43510</v>
      </c>
      <c r="B59" s="617">
        <v>23.527000000000001</v>
      </c>
      <c r="C59" s="390"/>
      <c r="D59" s="393">
        <f t="shared" si="0"/>
        <v>23.682619921998018</v>
      </c>
      <c r="E59" s="385">
        <f t="shared" si="1"/>
        <v>24.85873976488929</v>
      </c>
      <c r="F59" s="385">
        <f t="shared" si="2"/>
        <v>25.04355830581331</v>
      </c>
      <c r="G59" s="110">
        <f t="shared" si="23"/>
        <v>1.0252230738320867</v>
      </c>
      <c r="H59" s="414" t="b">
        <f>Wh_hp&gt;='2018'!Maxi_hp</f>
        <v>1</v>
      </c>
      <c r="I59" s="390">
        <f>IF(H59,Wh_hp,'2018'!Maxi_hp)</f>
        <v>25.04355830581331</v>
      </c>
      <c r="J59" s="85">
        <f>IF(H59,An,'2018'!An_max)</f>
        <v>2019</v>
      </c>
      <c r="K59" s="197">
        <f t="shared" si="3"/>
        <v>43510</v>
      </c>
      <c r="L59" s="147">
        <f>IF(t&lt;Tvie,1-EXP((T0-t)*PertePVj)+'2018'!Pspv,1-EXP((T0-t)*PertePVj)+Pspv)</f>
        <v>6.5710602336470636E-3</v>
      </c>
      <c r="M59" s="850"/>
      <c r="N59" s="850"/>
      <c r="O59" s="48">
        <f>IF(t&lt;Tnet,'2018'!Resal+('2018'!Salim-'2018'!Resal)*(1-EXP(('2018'!Tnet-t)/('2018'!Tau_j))),Resal+(Salim-Resal)*(1-EXP((Tnet-t)/(Tau_j))))*Salcycl</f>
        <v>4.7312126600739302E-2</v>
      </c>
      <c r="P59" s="169">
        <f>(INDEX(Models!$BJ59:$BT59,,T59)*(1-R59)+INDEX(Models!$BJ59:$BT59,,T59+1)*R59-ERP_i)*Q59*Ramure*Pc/MaxiM</f>
        <v>7.3798834281914895E-3</v>
      </c>
      <c r="Q59" s="305">
        <f t="shared" si="4"/>
        <v>0.7</v>
      </c>
      <c r="R59" s="177">
        <f t="shared" si="5"/>
        <v>0.50393874138126304</v>
      </c>
      <c r="S59" s="817">
        <f t="shared" si="6"/>
        <v>-2</v>
      </c>
      <c r="T59" s="176">
        <f t="shared" si="7"/>
        <v>4</v>
      </c>
      <c r="U59" s="251">
        <f t="shared" si="21"/>
        <v>-1.496061258618737</v>
      </c>
      <c r="V59" s="383">
        <f t="shared" si="8"/>
        <v>22.94817645106308</v>
      </c>
      <c r="W59" s="58"/>
      <c r="X59" s="157">
        <f t="shared" si="9"/>
        <v>43510</v>
      </c>
      <c r="Y59" s="385">
        <f t="shared" si="10"/>
        <v>23.527000000000001</v>
      </c>
      <c r="Z59" s="385">
        <f t="shared" si="11"/>
        <v>23.682619921998018</v>
      </c>
      <c r="AA59" s="386">
        <f t="shared" si="12"/>
        <v>24.85873976488929</v>
      </c>
      <c r="AB59" s="197">
        <f t="shared" si="13"/>
        <v>43510</v>
      </c>
      <c r="AC59" s="427">
        <f>IF(OR(t&lt;Tnet,NoTnet),'2018'!Resal_s+('2018'!Salim-'2018'!Resal_s)*(1-EXP(('2018'!Tnet_s-t)/'2018'!Tau_j)),Resal_s+(Salim-Resal_s)*(1-EXP((Tnet_s-t)/Tau_j)))*Salcycl</f>
        <v>4.7312126600739302E-2</v>
      </c>
      <c r="AD59" s="231">
        <f>(INDEX(Models!$BJ59:$BT59,,AH59)*(1-AF59)+INDEX(Models!$BJ59:$BT59,,AH59+1)*AF59-ERP_i)*AE59*Ramure*Pc/MaxiM</f>
        <v>7.3798834281914895E-3</v>
      </c>
      <c r="AE59" s="305">
        <f t="shared" si="14"/>
        <v>0.7</v>
      </c>
      <c r="AF59" s="177">
        <f t="shared" si="15"/>
        <v>0.50393874138126304</v>
      </c>
      <c r="AG59" s="176">
        <f t="shared" si="16"/>
        <v>-2</v>
      </c>
      <c r="AH59" s="176">
        <f t="shared" si="17"/>
        <v>4</v>
      </c>
      <c r="AI59" s="225">
        <f t="shared" si="22"/>
        <v>-1.496061258618737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43511</v>
      </c>
      <c r="B60" s="617">
        <v>23.829000000000001</v>
      </c>
      <c r="C60" s="390"/>
      <c r="D60" s="393">
        <f t="shared" si="0"/>
        <v>23.987142888440111</v>
      </c>
      <c r="E60" s="385">
        <f t="shared" si="1"/>
        <v>25.181760076621945</v>
      </c>
      <c r="F60" s="385">
        <f t="shared" si="2"/>
        <v>25.359879246140192</v>
      </c>
      <c r="G60" s="110">
        <f t="shared" si="23"/>
        <v>1.0244464530536768</v>
      </c>
      <c r="H60" s="414" t="b">
        <f>Wh_hp&gt;='2018'!Maxi_hp</f>
        <v>1</v>
      </c>
      <c r="I60" s="390">
        <f>IF(H60,Wh_hp,'2018'!Maxi_hp)</f>
        <v>25.359879246140192</v>
      </c>
      <c r="J60" s="85">
        <f>IF(H60,An,'2018'!An_max)</f>
        <v>2019</v>
      </c>
      <c r="K60" s="197">
        <f t="shared" si="3"/>
        <v>43511</v>
      </c>
      <c r="L60" s="147">
        <f>IF(t&lt;Tvie,1-EXP((T0-t)*PertePVj)+'2018'!Pspv,1-EXP((T0-t)*PertePVj)+Pspv)</f>
        <v>6.5928188769961427E-3</v>
      </c>
      <c r="M60" s="850"/>
      <c r="N60" s="850"/>
      <c r="O60" s="48">
        <f>IF(t&lt;Tnet,'2018'!Resal+('2018'!Salim-'2018'!Resal)*(1-EXP(('2018'!Tnet-t)/('2018'!Tau_j))),Resal+(Salim-Resal)*(1-EXP((Tnet-t)/(Tau_j))))*Salcycl</f>
        <v>4.7439781196664081E-2</v>
      </c>
      <c r="P60" s="169">
        <f>(INDEX(Models!$BJ60:$BT60,,T60)*(1-R60)+INDEX(Models!$BJ60:$BT60,,T60+1)*R60-ERP_i)*Q60*Ramure*Pc/MaxiM</f>
        <v>7.0236600020623903E-3</v>
      </c>
      <c r="Q60" s="305">
        <f t="shared" si="4"/>
        <v>0.7</v>
      </c>
      <c r="R60" s="177">
        <f t="shared" si="5"/>
        <v>0.50407885910822858</v>
      </c>
      <c r="S60" s="817">
        <f t="shared" si="6"/>
        <v>-2</v>
      </c>
      <c r="T60" s="176">
        <f t="shared" si="7"/>
        <v>4</v>
      </c>
      <c r="U60" s="251">
        <f t="shared" si="21"/>
        <v>-1.4959211408917714</v>
      </c>
      <c r="V60" s="383">
        <f t="shared" si="8"/>
        <v>23.26036654133592</v>
      </c>
      <c r="W60" s="58"/>
      <c r="X60" s="157">
        <f t="shared" si="9"/>
        <v>43511</v>
      </c>
      <c r="Y60" s="385">
        <f t="shared" si="10"/>
        <v>23.829000000000001</v>
      </c>
      <c r="Z60" s="385">
        <f t="shared" si="11"/>
        <v>23.987142888440111</v>
      </c>
      <c r="AA60" s="386">
        <f t="shared" si="12"/>
        <v>25.181760076621945</v>
      </c>
      <c r="AB60" s="197">
        <f t="shared" si="13"/>
        <v>43511</v>
      </c>
      <c r="AC60" s="427">
        <f>IF(OR(t&lt;Tnet,NoTnet),'2018'!Resal_s+('2018'!Salim-'2018'!Resal_s)*(1-EXP(('2018'!Tnet_s-t)/'2018'!Tau_j)),Resal_s+(Salim-Resal_s)*(1-EXP((Tnet_s-t)/Tau_j)))*Salcycl</f>
        <v>4.7439781196664081E-2</v>
      </c>
      <c r="AD60" s="231">
        <f>(INDEX(Models!$BJ60:$BT60,,AH60)*(1-AF60)+INDEX(Models!$BJ60:$BT60,,AH60+1)*AF60-ERP_i)*AE60*Ramure*Pc/MaxiM</f>
        <v>7.0236600020623903E-3</v>
      </c>
      <c r="AE60" s="305">
        <f t="shared" si="14"/>
        <v>0.7</v>
      </c>
      <c r="AF60" s="177">
        <f t="shared" si="15"/>
        <v>0.50407885910822858</v>
      </c>
      <c r="AG60" s="176">
        <f t="shared" si="16"/>
        <v>-2</v>
      </c>
      <c r="AH60" s="176">
        <f t="shared" si="17"/>
        <v>4</v>
      </c>
      <c r="AI60" s="225">
        <f t="shared" si="22"/>
        <v>-1.4959211408917714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0"/>
        <v>43512</v>
      </c>
      <c r="B61" s="617">
        <v>24.277999999999999</v>
      </c>
      <c r="C61" s="390"/>
      <c r="D61" s="393">
        <f t="shared" si="0"/>
        <v>24.439658000769604</v>
      </c>
      <c r="E61" s="385">
        <f t="shared" si="1"/>
        <v>25.660245895999044</v>
      </c>
      <c r="F61" s="385">
        <f t="shared" si="2"/>
        <v>25.832581952942551</v>
      </c>
      <c r="G61" s="110">
        <f t="shared" si="23"/>
        <v>1.0299864537274164</v>
      </c>
      <c r="H61" s="414" t="b">
        <f>Wh_hp&gt;='2018'!Maxi_hp</f>
        <v>1</v>
      </c>
      <c r="I61" s="390">
        <f>IF(H61,Wh_hp,'2018'!Maxi_hp)</f>
        <v>25.832581952942551</v>
      </c>
      <c r="J61" s="85">
        <f>IF(H61,An,'2018'!An_max)</f>
        <v>2019</v>
      </c>
      <c r="K61" s="197">
        <f t="shared" si="3"/>
        <v>43512</v>
      </c>
      <c r="L61" s="147">
        <f>IF(t&lt;Tvie,1-EXP((T0-t)*PertePVj)+'2018'!Pspv,1-EXP((T0-t)*PertePVj)+Pspv)</f>
        <v>6.614577043775105E-3</v>
      </c>
      <c r="M61" s="850"/>
      <c r="N61" s="850"/>
      <c r="O61" s="48">
        <f>IF(t&lt;Tnet,'2018'!Resal+('2018'!Salim-'2018'!Resal)*(1-EXP(('2018'!Tnet-t)/('2018'!Tau_j))),Resal+(Salim-Resal)*(1-EXP((Tnet-t)/(Tau_j))))*Salcycl</f>
        <v>4.7567271965221279E-2</v>
      </c>
      <c r="P61" s="169">
        <f>(INDEX(Models!$BJ61:$BT61,,T61)*(1-R61)+INDEX(Models!$BJ61:$BT61,,T61+1)*R61-ERP_i)*Q61*Ramure*Pc/MaxiM</f>
        <v>6.6712672104337137E-3</v>
      </c>
      <c r="Q61" s="305">
        <f t="shared" si="4"/>
        <v>0.7</v>
      </c>
      <c r="R61" s="177">
        <f t="shared" si="5"/>
        <v>0.50422474966292485</v>
      </c>
      <c r="S61" s="817">
        <f t="shared" si="6"/>
        <v>-2</v>
      </c>
      <c r="T61" s="176">
        <f t="shared" si="7"/>
        <v>4</v>
      </c>
      <c r="U61" s="251">
        <f t="shared" si="21"/>
        <v>-1.4957752503370751</v>
      </c>
      <c r="V61" s="383">
        <f t="shared" si="8"/>
        <v>23.571183788039527</v>
      </c>
      <c r="W61" s="58"/>
      <c r="X61" s="157">
        <f t="shared" si="9"/>
        <v>43512</v>
      </c>
      <c r="Y61" s="385">
        <f t="shared" si="10"/>
        <v>24.277999999999999</v>
      </c>
      <c r="Z61" s="385">
        <f t="shared" si="11"/>
        <v>24.439658000769604</v>
      </c>
      <c r="AA61" s="386">
        <f t="shared" si="12"/>
        <v>25.660245895999044</v>
      </c>
      <c r="AB61" s="197">
        <f t="shared" si="13"/>
        <v>43512</v>
      </c>
      <c r="AC61" s="427">
        <f>IF(OR(t&lt;Tnet,NoTnet),'2018'!Resal_s+('2018'!Salim-'2018'!Resal_s)*(1-EXP(('2018'!Tnet_s-t)/'2018'!Tau_j)),Resal_s+(Salim-Resal_s)*(1-EXP((Tnet_s-t)/Tau_j)))*Salcycl</f>
        <v>4.7567271965221279E-2</v>
      </c>
      <c r="AD61" s="231">
        <f>(INDEX(Models!$BJ61:$BT61,,AH61)*(1-AF61)+INDEX(Models!$BJ61:$BT61,,AH61+1)*AF61-ERP_i)*AE61*Ramure*Pc/MaxiM</f>
        <v>6.6712672104337137E-3</v>
      </c>
      <c r="AE61" s="305">
        <f t="shared" si="14"/>
        <v>0.7</v>
      </c>
      <c r="AF61" s="177">
        <f t="shared" si="15"/>
        <v>0.50422474966292485</v>
      </c>
      <c r="AG61" s="176">
        <f t="shared" si="16"/>
        <v>-2</v>
      </c>
      <c r="AH61" s="176">
        <f t="shared" si="17"/>
        <v>4</v>
      </c>
      <c r="AI61" s="225">
        <f t="shared" si="22"/>
        <v>-1.4957752503370751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43513</v>
      </c>
      <c r="B62" s="617">
        <v>24.494</v>
      </c>
      <c r="C62" s="390"/>
      <c r="D62" s="393">
        <f t="shared" si="0"/>
        <v>24.657636328424523</v>
      </c>
      <c r="E62" s="385">
        <f t="shared" si="1"/>
        <v>25.892572055060949</v>
      </c>
      <c r="F62" s="385">
        <f t="shared" si="2"/>
        <v>26.057323912775445</v>
      </c>
      <c r="G62" s="110">
        <f t="shared" si="23"/>
        <v>1.0257153039071329</v>
      </c>
      <c r="H62" s="414" t="b">
        <f>Wh_hp&gt;='2018'!Maxi_hp</f>
        <v>1</v>
      </c>
      <c r="I62" s="390">
        <f>IF(H62,Wh_hp,'2018'!Maxi_hp)</f>
        <v>26.057323912775445</v>
      </c>
      <c r="J62" s="85">
        <f>IF(H62,An,'2018'!An_max)</f>
        <v>2019</v>
      </c>
      <c r="K62" s="197">
        <f t="shared" si="3"/>
        <v>43513</v>
      </c>
      <c r="L62" s="147">
        <f>IF(t&lt;Tvie,1-EXP((T0-t)*PertePVj)+'2018'!Pspv,1-EXP((T0-t)*PertePVj)+Pspv)</f>
        <v>6.6363347339942758E-3</v>
      </c>
      <c r="M62" s="850"/>
      <c r="N62" s="850"/>
      <c r="O62" s="48">
        <f>IF(t&lt;Tnet,'2018'!Resal+('2018'!Salim-'2018'!Resal)*(1-EXP(('2018'!Tnet-t)/('2018'!Tau_j))),Resal+(Salim-Resal)*(1-EXP((Tnet-t)/(Tau_j))))*Salcycl</f>
        <v>4.7694594573699192E-2</v>
      </c>
      <c r="P62" s="169">
        <f>(INDEX(Models!$BJ62:$BT62,,T62)*(1-R62)+INDEX(Models!$BJ62:$BT62,,T62+1)*R62-ERP_i)*Q62*Ramure*Pc/MaxiM</f>
        <v>6.3226699052438187E-3</v>
      </c>
      <c r="Q62" s="305">
        <f t="shared" si="4"/>
        <v>0.7</v>
      </c>
      <c r="R62" s="177">
        <f t="shared" si="5"/>
        <v>0.5043766463251742</v>
      </c>
      <c r="S62" s="817">
        <f t="shared" si="6"/>
        <v>-2</v>
      </c>
      <c r="T62" s="176">
        <f t="shared" si="7"/>
        <v>4</v>
      </c>
      <c r="U62" s="251">
        <f t="shared" si="21"/>
        <v>-1.4956233536748258</v>
      </c>
      <c r="V62" s="383">
        <f t="shared" si="8"/>
        <v>23.879920584881575</v>
      </c>
      <c r="W62" s="58"/>
      <c r="X62" s="157">
        <f t="shared" si="9"/>
        <v>43513</v>
      </c>
      <c r="Y62" s="385">
        <f t="shared" si="10"/>
        <v>24.494</v>
      </c>
      <c r="Z62" s="385">
        <f t="shared" si="11"/>
        <v>24.657636328424523</v>
      </c>
      <c r="AA62" s="386">
        <f t="shared" si="12"/>
        <v>25.892572055060949</v>
      </c>
      <c r="AB62" s="197">
        <f t="shared" si="13"/>
        <v>43513</v>
      </c>
      <c r="AC62" s="427">
        <f>IF(OR(t&lt;Tnet,NoTnet),'2018'!Resal_s+('2018'!Salim-'2018'!Resal_s)*(1-EXP(('2018'!Tnet_s-t)/'2018'!Tau_j)),Resal_s+(Salim-Resal_s)*(1-EXP((Tnet_s-t)/Tau_j)))*Salcycl</f>
        <v>4.7694594573699192E-2</v>
      </c>
      <c r="AD62" s="231">
        <f>(INDEX(Models!$BJ62:$BT62,,AH62)*(1-AF62)+INDEX(Models!$BJ62:$BT62,,AH62+1)*AF62-ERP_i)*AE62*Ramure*Pc/MaxiM</f>
        <v>6.3226699052438187E-3</v>
      </c>
      <c r="AE62" s="305">
        <f t="shared" si="14"/>
        <v>0.7</v>
      </c>
      <c r="AF62" s="177">
        <f t="shared" si="15"/>
        <v>0.5043766463251742</v>
      </c>
      <c r="AG62" s="176">
        <f t="shared" si="16"/>
        <v>-2</v>
      </c>
      <c r="AH62" s="176">
        <f t="shared" si="17"/>
        <v>4</v>
      </c>
      <c r="AI62" s="225">
        <f t="shared" si="22"/>
        <v>-1.4956233536748258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0"/>
        <v>43514</v>
      </c>
      <c r="B63" s="617">
        <v>24.164999999999999</v>
      </c>
      <c r="C63" s="390"/>
      <c r="D63" s="393">
        <f t="shared" si="0"/>
        <v>24.326971211131898</v>
      </c>
      <c r="E63" s="385">
        <f t="shared" si="1"/>
        <v>25.548757371553826</v>
      </c>
      <c r="F63" s="385">
        <f t="shared" si="2"/>
        <v>25.702210502087123</v>
      </c>
      <c r="G63" s="110">
        <f t="shared" si="23"/>
        <v>0.9991297008983524</v>
      </c>
      <c r="H63" s="414" t="b">
        <f>Wh_hp&gt;='2018'!Maxi_hp</f>
        <v>1</v>
      </c>
      <c r="I63" s="390">
        <f>IF(H63,Wh_hp,'2018'!Maxi_hp)</f>
        <v>25.702210502087123</v>
      </c>
      <c r="J63" s="85">
        <f>IF(H63,An,'2018'!An_max)</f>
        <v>2019</v>
      </c>
      <c r="K63" s="197">
        <f t="shared" si="3"/>
        <v>43514</v>
      </c>
      <c r="L63" s="147">
        <f>IF(t&lt;Tvie,1-EXP((T0-t)*PertePVj)+'2018'!Pspv,1-EXP((T0-t)*PertePVj)+Pspv)</f>
        <v>6.658091947664313E-3</v>
      </c>
      <c r="M63" s="850"/>
      <c r="N63" s="850"/>
      <c r="O63" s="48">
        <f>IF(t&lt;Tnet,'2018'!Resal+('2018'!Salim-'2018'!Resal)*(1-EXP(('2018'!Tnet-t)/('2018'!Tau_j))),Resal+(Salim-Resal)*(1-EXP((Tnet-t)/(Tau_j))))*Salcycl</f>
        <v>4.7821745013018696E-2</v>
      </c>
      <c r="P63" s="169">
        <f>(INDEX(Models!$BJ63:$BT63,,T63)*(1-R63)+INDEX(Models!$BJ63:$BT63,,T63+1)*R63-ERP_i)*Q63*Ramure*Pc/MaxiM</f>
        <v>5.9777942518908977E-3</v>
      </c>
      <c r="Q63" s="305">
        <f t="shared" si="4"/>
        <v>0.7</v>
      </c>
      <c r="R63" s="177">
        <f t="shared" si="5"/>
        <v>0.504534791415161</v>
      </c>
      <c r="S63" s="817">
        <f t="shared" si="6"/>
        <v>-2</v>
      </c>
      <c r="T63" s="176">
        <f t="shared" si="7"/>
        <v>4</v>
      </c>
      <c r="U63" s="251">
        <f t="shared" si="21"/>
        <v>-1.495465208584839</v>
      </c>
      <c r="V63" s="383">
        <f t="shared" si="8"/>
        <v>24.185869803036354</v>
      </c>
      <c r="W63" s="58"/>
      <c r="X63" s="157">
        <f t="shared" si="9"/>
        <v>43514</v>
      </c>
      <c r="Y63" s="385">
        <f t="shared" si="10"/>
        <v>24.164999999999999</v>
      </c>
      <c r="Z63" s="385">
        <f t="shared" si="11"/>
        <v>24.326971211131898</v>
      </c>
      <c r="AA63" s="386">
        <f t="shared" si="12"/>
        <v>25.548757371553826</v>
      </c>
      <c r="AB63" s="197">
        <f t="shared" si="13"/>
        <v>43514</v>
      </c>
      <c r="AC63" s="427">
        <f>IF(OR(t&lt;Tnet,NoTnet),'2018'!Resal_s+('2018'!Salim-'2018'!Resal_s)*(1-EXP(('2018'!Tnet_s-t)/'2018'!Tau_j)),Resal_s+(Salim-Resal_s)*(1-EXP((Tnet_s-t)/Tau_j)))*Salcycl</f>
        <v>4.7821745013018696E-2</v>
      </c>
      <c r="AD63" s="231">
        <f>(INDEX(Models!$BJ63:$BT63,,AH63)*(1-AF63)+INDEX(Models!$BJ63:$BT63,,AH63+1)*AF63-ERP_i)*AE63*Ramure*Pc/MaxiM</f>
        <v>5.9777942518908977E-3</v>
      </c>
      <c r="AE63" s="305">
        <f t="shared" si="14"/>
        <v>0.7</v>
      </c>
      <c r="AF63" s="177">
        <f t="shared" si="15"/>
        <v>0.504534791415161</v>
      </c>
      <c r="AG63" s="176">
        <f t="shared" si="16"/>
        <v>-2</v>
      </c>
      <c r="AH63" s="176">
        <f t="shared" si="17"/>
        <v>4</v>
      </c>
      <c r="AI63" s="225">
        <f t="shared" si="22"/>
        <v>-1.495465208584839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43515</v>
      </c>
      <c r="B64" s="617">
        <v>17.352</v>
      </c>
      <c r="C64" s="390"/>
      <c r="D64" s="393">
        <f t="shared" si="0"/>
        <v>17.468688193856835</v>
      </c>
      <c r="E64" s="385">
        <f t="shared" si="1"/>
        <v>18.348474031654543</v>
      </c>
      <c r="F64" s="385">
        <f t="shared" si="2"/>
        <v>18.409039464033899</v>
      </c>
      <c r="G64" s="110">
        <f t="shared" si="23"/>
        <v>0.70691435421970472</v>
      </c>
      <c r="H64" s="414" t="b">
        <f>Wh_hp&gt;='2018'!Maxi_hp</f>
        <v>1</v>
      </c>
      <c r="I64" s="390">
        <f>IF(H64,Wh_hp,'2018'!Maxi_hp)</f>
        <v>18.409039464033899</v>
      </c>
      <c r="J64" s="85">
        <f>IF(H64,An,'2018'!An_max)</f>
        <v>2019</v>
      </c>
      <c r="K64" s="197">
        <f t="shared" si="3"/>
        <v>43515</v>
      </c>
      <c r="L64" s="147">
        <f>IF(t&lt;Tvie,1-EXP((T0-t)*PertePVj)+'2018'!Pspv,1-EXP((T0-t)*PertePVj)+Pspv)</f>
        <v>6.6798486847954308E-3</v>
      </c>
      <c r="M64" s="850"/>
      <c r="N64" s="850"/>
      <c r="O64" s="48">
        <f>IF(t&lt;Tnet,'2018'!Resal+('2018'!Salim-'2018'!Resal)*(1-EXP(('2018'!Tnet-t)/('2018'!Tau_j))),Resal+(Salim-Resal)*(1-EXP((Tnet-t)/(Tau_j))))*Salcycl</f>
        <v>4.7948719674448907E-2</v>
      </c>
      <c r="P64" s="169">
        <f>(INDEX(Models!$BJ64:$BT64,,T64)*(1-R64)+INDEX(Models!$BJ64:$BT64,,T64+1)*R64-ERP_i)*Q64*Ramure*Pc/MaxiM</f>
        <v>5.6365310317005512E-3</v>
      </c>
      <c r="Q64" s="305">
        <f t="shared" si="4"/>
        <v>0.7</v>
      </c>
      <c r="R64" s="177">
        <f t="shared" si="5"/>
        <v>0.50469943661088279</v>
      </c>
      <c r="S64" s="817">
        <f t="shared" si="6"/>
        <v>-2</v>
      </c>
      <c r="T64" s="176">
        <f t="shared" si="7"/>
        <v>4</v>
      </c>
      <c r="U64" s="251">
        <f t="shared" si="21"/>
        <v>-1.4953005633891172</v>
      </c>
      <c r="V64" s="383">
        <f t="shared" si="8"/>
        <v>24.48832478644427</v>
      </c>
      <c r="W64" s="58"/>
      <c r="X64" s="157">
        <f t="shared" si="9"/>
        <v>43515</v>
      </c>
      <c r="Y64" s="385">
        <f t="shared" si="10"/>
        <v>17.352</v>
      </c>
      <c r="Z64" s="385">
        <f t="shared" si="11"/>
        <v>17.468688193856835</v>
      </c>
      <c r="AA64" s="386">
        <f t="shared" si="12"/>
        <v>18.348474031654543</v>
      </c>
      <c r="AB64" s="197">
        <f t="shared" si="13"/>
        <v>43515</v>
      </c>
      <c r="AC64" s="427">
        <f>IF(OR(t&lt;Tnet,NoTnet),'2018'!Resal_s+('2018'!Salim-'2018'!Resal_s)*(1-EXP(('2018'!Tnet_s-t)/'2018'!Tau_j)),Resal_s+(Salim-Resal_s)*(1-EXP((Tnet_s-t)/Tau_j)))*Salcycl</f>
        <v>4.7948719674448907E-2</v>
      </c>
      <c r="AD64" s="231">
        <f>(INDEX(Models!$BJ64:$BT64,,AH64)*(1-AF64)+INDEX(Models!$BJ64:$BT64,,AH64+1)*AF64-ERP_i)*AE64*Ramure*Pc/MaxiM</f>
        <v>5.6365310317005512E-3</v>
      </c>
      <c r="AE64" s="305">
        <f t="shared" si="14"/>
        <v>0.7</v>
      </c>
      <c r="AF64" s="177">
        <f t="shared" si="15"/>
        <v>0.50469943661088279</v>
      </c>
      <c r="AG64" s="176">
        <f t="shared" si="16"/>
        <v>-2</v>
      </c>
      <c r="AH64" s="176">
        <f t="shared" si="17"/>
        <v>4</v>
      </c>
      <c r="AI64" s="225">
        <f t="shared" si="22"/>
        <v>-1.4953005633891172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0"/>
        <v>43516</v>
      </c>
      <c r="B65" s="617">
        <v>24.658999999999999</v>
      </c>
      <c r="C65" s="390"/>
      <c r="D65" s="393">
        <f t="shared" si="0"/>
        <v>24.825369821164855</v>
      </c>
      <c r="E65" s="385">
        <f t="shared" si="1"/>
        <v>26.079137813376086</v>
      </c>
      <c r="F65" s="385">
        <f t="shared" si="2"/>
        <v>26.217009527453879</v>
      </c>
      <c r="G65" s="110">
        <f t="shared" si="23"/>
        <v>0.99474230660305996</v>
      </c>
      <c r="H65" s="414" t="b">
        <f>Wh_hp&gt;='2018'!Maxi_hp</f>
        <v>1</v>
      </c>
      <c r="I65" s="390">
        <f>IF(H65,Wh_hp,'2018'!Maxi_hp)</f>
        <v>26.217009527453879</v>
      </c>
      <c r="J65" s="85">
        <f>IF(H65,An,'2018'!An_max)</f>
        <v>2019</v>
      </c>
      <c r="K65" s="197">
        <f t="shared" si="3"/>
        <v>43516</v>
      </c>
      <c r="L65" s="147">
        <f>IF(t&lt;Tvie,1-EXP((T0-t)*PertePVj)+'2018'!Pspv,1-EXP((T0-t)*PertePVj)+Pspv)</f>
        <v>6.7016049453981763E-3</v>
      </c>
      <c r="M65" s="850"/>
      <c r="N65" s="850"/>
      <c r="O65" s="48">
        <f>IF(t&lt;Tnet,'2018'!Resal+('2018'!Salim-'2018'!Resal)*(1-EXP(('2018'!Tnet-t)/('2018'!Tau_j))),Resal+(Salim-Resal)*(1-EXP((Tnet-t)/(Tau_j))))*Salcycl</f>
        <v>4.8075515424753308E-2</v>
      </c>
      <c r="P65" s="169">
        <f>(INDEX(Models!$BJ65:$BT65,,T65)*(1-R65)+INDEX(Models!$BJ65:$BT65,,T65+1)*R65-ERP_i)*Q65*Ramure*Pc/MaxiM</f>
        <v>5.2983619888358419E-3</v>
      </c>
      <c r="Q65" s="305">
        <f t="shared" si="4"/>
        <v>0.7</v>
      </c>
      <c r="R65" s="177">
        <f t="shared" si="5"/>
        <v>0.50487084327389264</v>
      </c>
      <c r="S65" s="817">
        <f t="shared" si="6"/>
        <v>-2</v>
      </c>
      <c r="T65" s="176">
        <f t="shared" si="7"/>
        <v>4</v>
      </c>
      <c r="U65" s="251">
        <f t="shared" si="21"/>
        <v>-1.4951291567261074</v>
      </c>
      <c r="V65" s="383">
        <f t="shared" si="8"/>
        <v>24.788350441461713</v>
      </c>
      <c r="W65" s="58"/>
      <c r="X65" s="157">
        <f t="shared" si="9"/>
        <v>43516</v>
      </c>
      <c r="Y65" s="385">
        <f t="shared" si="10"/>
        <v>24.658999999999999</v>
      </c>
      <c r="Z65" s="385">
        <f t="shared" si="11"/>
        <v>24.825369821164855</v>
      </c>
      <c r="AA65" s="386">
        <f t="shared" si="12"/>
        <v>26.079137813376086</v>
      </c>
      <c r="AB65" s="197">
        <f t="shared" si="13"/>
        <v>43516</v>
      </c>
      <c r="AC65" s="427">
        <f>IF(OR(t&lt;Tnet,NoTnet),'2018'!Resal_s+('2018'!Salim-'2018'!Resal_s)*(1-EXP(('2018'!Tnet_s-t)/'2018'!Tau_j)),Resal_s+(Salim-Resal_s)*(1-EXP((Tnet_s-t)/Tau_j)))*Salcycl</f>
        <v>4.8075515424753308E-2</v>
      </c>
      <c r="AD65" s="231">
        <f>(INDEX(Models!$BJ65:$BT65,,AH65)*(1-AF65)+INDEX(Models!$BJ65:$BT65,,AH65+1)*AF65-ERP_i)*AE65*Ramure*Pc/MaxiM</f>
        <v>5.2983619888358419E-3</v>
      </c>
      <c r="AE65" s="305">
        <f t="shared" si="14"/>
        <v>0.7</v>
      </c>
      <c r="AF65" s="177">
        <f t="shared" si="15"/>
        <v>0.50487084327389264</v>
      </c>
      <c r="AG65" s="176">
        <f t="shared" si="16"/>
        <v>-2</v>
      </c>
      <c r="AH65" s="176">
        <f t="shared" si="17"/>
        <v>4</v>
      </c>
      <c r="AI65" s="225">
        <f t="shared" si="22"/>
        <v>-1.4951291567261074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0"/>
        <v>43517</v>
      </c>
      <c r="B66" s="617">
        <v>23.658999999999999</v>
      </c>
      <c r="C66" s="390"/>
      <c r="D66" s="393">
        <f t="shared" si="0"/>
        <v>23.819144702099969</v>
      </c>
      <c r="E66" s="385">
        <f t="shared" si="1"/>
        <v>25.025423406408777</v>
      </c>
      <c r="F66" s="385">
        <f t="shared" si="2"/>
        <v>25.140056728294933</v>
      </c>
      <c r="G66" s="110">
        <f t="shared" si="23"/>
        <v>0.94267815592983428</v>
      </c>
      <c r="H66" s="414" t="b">
        <f>Wh_hp&gt;='2018'!Maxi_hp</f>
        <v>1</v>
      </c>
      <c r="I66" s="390">
        <f>IF(H66,Wh_hp,'2018'!Maxi_hp)</f>
        <v>25.140056728294933</v>
      </c>
      <c r="J66" s="85">
        <f>IF(H66,An,'2018'!An_max)</f>
        <v>2019</v>
      </c>
      <c r="K66" s="197">
        <f t="shared" si="3"/>
        <v>43517</v>
      </c>
      <c r="L66" s="147">
        <f>IF(t&lt;Tvie,1-EXP((T0-t)*PertePVj)+'2018'!Pspv,1-EXP((T0-t)*PertePVj)+Pspv)</f>
        <v>6.7233607294829856E-3</v>
      </c>
      <c r="M66" s="850"/>
      <c r="N66" s="850"/>
      <c r="O66" s="48">
        <f>IF(t&lt;Tnet,'2018'!Resal+('2018'!Salim-'2018'!Resal)*(1-EXP(('2018'!Tnet-t)/('2018'!Tau_j))),Resal+(Salim-Resal)*(1-EXP((Tnet-t)/(Tau_j))))*Salcycl</f>
        <v>4.8202129679048307E-2</v>
      </c>
      <c r="P66" s="169">
        <f>(INDEX(Models!$BJ66:$BT66,,T66)*(1-R66)+INDEX(Models!$BJ66:$BT66,,T66+1)*R66-ERP_i)*Q66*Ramure*Pc/MaxiM</f>
        <v>4.9635308595243352E-3</v>
      </c>
      <c r="Q66" s="305">
        <f t="shared" si="4"/>
        <v>0.7</v>
      </c>
      <c r="R66" s="177">
        <f t="shared" si="5"/>
        <v>0.50504928278328776</v>
      </c>
      <c r="S66" s="817">
        <f t="shared" si="6"/>
        <v>-2</v>
      </c>
      <c r="T66" s="176">
        <f t="shared" si="7"/>
        <v>4</v>
      </c>
      <c r="U66" s="251">
        <f t="shared" si="21"/>
        <v>-1.4949507172167122</v>
      </c>
      <c r="V66" s="383">
        <f t="shared" si="8"/>
        <v>25.087463772131887</v>
      </c>
      <c r="W66" s="58"/>
      <c r="X66" s="157">
        <f t="shared" si="9"/>
        <v>43517</v>
      </c>
      <c r="Y66" s="385">
        <f t="shared" si="10"/>
        <v>23.658999999999999</v>
      </c>
      <c r="Z66" s="385">
        <f t="shared" si="11"/>
        <v>23.819144702099969</v>
      </c>
      <c r="AA66" s="386">
        <f t="shared" si="12"/>
        <v>25.025423406408777</v>
      </c>
      <c r="AB66" s="197">
        <f t="shared" si="13"/>
        <v>43517</v>
      </c>
      <c r="AC66" s="427">
        <f>IF(OR(t&lt;Tnet,NoTnet),'2018'!Resal_s+('2018'!Salim-'2018'!Resal_s)*(1-EXP(('2018'!Tnet_s-t)/'2018'!Tau_j)),Resal_s+(Salim-Resal_s)*(1-EXP((Tnet_s-t)/Tau_j)))*Salcycl</f>
        <v>4.8202129679048307E-2</v>
      </c>
      <c r="AD66" s="231">
        <f>(INDEX(Models!$BJ66:$BT66,,AH66)*(1-AF66)+INDEX(Models!$BJ66:$BT66,,AH66+1)*AF66-ERP_i)*AE66*Ramure*Pc/MaxiM</f>
        <v>4.9635308595243352E-3</v>
      </c>
      <c r="AE66" s="305">
        <f t="shared" si="14"/>
        <v>0.7</v>
      </c>
      <c r="AF66" s="177">
        <f t="shared" si="15"/>
        <v>0.50504928278328776</v>
      </c>
      <c r="AG66" s="176">
        <f t="shared" si="16"/>
        <v>-2</v>
      </c>
      <c r="AH66" s="176">
        <f t="shared" si="17"/>
        <v>4</v>
      </c>
      <c r="AI66" s="225">
        <f t="shared" si="22"/>
        <v>-1.4949507172167122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0"/>
        <v>43518</v>
      </c>
      <c r="B67" s="617">
        <v>24.986000000000001</v>
      </c>
      <c r="C67" s="390"/>
      <c r="D67" s="393">
        <f t="shared" si="0"/>
        <v>25.155677966877512</v>
      </c>
      <c r="E67" s="385">
        <f t="shared" si="1"/>
        <v>26.433154261011961</v>
      </c>
      <c r="F67" s="385">
        <f t="shared" si="2"/>
        <v>26.553607822777124</v>
      </c>
      <c r="G67" s="110">
        <f t="shared" si="23"/>
        <v>0.98416169049259261</v>
      </c>
      <c r="H67" s="414" t="b">
        <f>Wh_hp&gt;='2018'!Maxi_hp</f>
        <v>1</v>
      </c>
      <c r="I67" s="390">
        <f>IF(H67,Wh_hp,'2018'!Maxi_hp)</f>
        <v>26.553607822777124</v>
      </c>
      <c r="J67" s="85">
        <f>IF(H67,An,'2018'!An_max)</f>
        <v>2019</v>
      </c>
      <c r="K67" s="197">
        <f t="shared" si="3"/>
        <v>43518</v>
      </c>
      <c r="L67" s="147">
        <f>IF(t&lt;Tvie,1-EXP((T0-t)*PertePVj)+'2018'!Pspv,1-EXP((T0-t)*PertePVj)+Pspv)</f>
        <v>6.7451160370602947E-3</v>
      </c>
      <c r="M67" s="850"/>
      <c r="N67" s="850"/>
      <c r="O67" s="48">
        <f>IF(t&lt;Tnet,'2018'!Resal+('2018'!Salim-'2018'!Resal)*(1-EXP(('2018'!Tnet-t)/('2018'!Tau_j))),Resal+(Salim-Resal)*(1-EXP((Tnet-t)/(Tau_j))))*Salcycl</f>
        <v>4.8328560470692117E-2</v>
      </c>
      <c r="P67" s="169">
        <f>(INDEX(Models!$BJ67:$BT67,,T67)*(1-R67)+INDEX(Models!$BJ67:$BT67,,T67+1)*R67-ERP_i)*Q67*Ramure*Pc/MaxiM</f>
        <v>4.6405550648637864E-3</v>
      </c>
      <c r="Q67" s="305">
        <f t="shared" si="4"/>
        <v>0.7</v>
      </c>
      <c r="R67" s="177">
        <f t="shared" si="5"/>
        <v>0.50523503687786264</v>
      </c>
      <c r="S67" s="817">
        <f t="shared" si="6"/>
        <v>-2</v>
      </c>
      <c r="T67" s="176">
        <f t="shared" si="7"/>
        <v>4</v>
      </c>
      <c r="U67" s="251">
        <f t="shared" si="21"/>
        <v>-1.4947649631221374</v>
      </c>
      <c r="V67" s="383">
        <f t="shared" si="8"/>
        <v>25.385444252139386</v>
      </c>
      <c r="W67" s="58"/>
      <c r="X67" s="157">
        <f t="shared" si="9"/>
        <v>43518</v>
      </c>
      <c r="Y67" s="385">
        <f t="shared" si="10"/>
        <v>24.986000000000001</v>
      </c>
      <c r="Z67" s="385">
        <f t="shared" si="11"/>
        <v>25.155677966877512</v>
      </c>
      <c r="AA67" s="386">
        <f t="shared" si="12"/>
        <v>26.433154261011961</v>
      </c>
      <c r="AB67" s="197">
        <f t="shared" si="13"/>
        <v>43518</v>
      </c>
      <c r="AC67" s="427">
        <f>IF(OR(t&lt;Tnet,NoTnet),'2018'!Resal_s+('2018'!Salim-'2018'!Resal_s)*(1-EXP(('2018'!Tnet_s-t)/'2018'!Tau_j)),Resal_s+(Salim-Resal_s)*(1-EXP((Tnet_s-t)/Tau_j)))*Salcycl</f>
        <v>4.8328560470692117E-2</v>
      </c>
      <c r="AD67" s="231">
        <f>(INDEX(Models!$BJ67:$BT67,,AH67)*(1-AF67)+INDEX(Models!$BJ67:$BT67,,AH67+1)*AF67-ERP_i)*AE67*Ramure*Pc/MaxiM</f>
        <v>4.6405550648637864E-3</v>
      </c>
      <c r="AE67" s="305">
        <f t="shared" si="14"/>
        <v>0.7</v>
      </c>
      <c r="AF67" s="177">
        <f t="shared" si="15"/>
        <v>0.50523503687786264</v>
      </c>
      <c r="AG67" s="176">
        <f t="shared" si="16"/>
        <v>-2</v>
      </c>
      <c r="AH67" s="176">
        <f t="shared" si="17"/>
        <v>4</v>
      </c>
      <c r="AI67" s="225">
        <f t="shared" si="22"/>
        <v>-1.4947649631221374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0"/>
        <v>43519</v>
      </c>
      <c r="B68" s="617">
        <v>25.654</v>
      </c>
      <c r="C68" s="390"/>
      <c r="D68" s="393">
        <f t="shared" si="0"/>
        <v>25.82878001907066</v>
      </c>
      <c r="E68" s="385">
        <f t="shared" si="1"/>
        <v>27.144039185930104</v>
      </c>
      <c r="F68" s="385">
        <f t="shared" si="2"/>
        <v>27.261868971635646</v>
      </c>
      <c r="G68" s="110">
        <f t="shared" si="23"/>
        <v>0.9988914941469057</v>
      </c>
      <c r="H68" s="414" t="b">
        <f>Wh_hp&gt;='2018'!Maxi_hp</f>
        <v>1</v>
      </c>
      <c r="I68" s="390">
        <f>IF(H68,Wh_hp,'2018'!Maxi_hp)</f>
        <v>27.261868971635646</v>
      </c>
      <c r="J68" s="85">
        <f>IF(H68,An,'2018'!An_max)</f>
        <v>2019</v>
      </c>
      <c r="K68" s="197">
        <f t="shared" si="3"/>
        <v>43519</v>
      </c>
      <c r="L68" s="147">
        <f>IF(t&lt;Tvie,1-EXP((T0-t)*PertePVj)+'2018'!Pspv,1-EXP((T0-t)*PertePVj)+Pspv)</f>
        <v>6.7668708681405398E-3</v>
      </c>
      <c r="M68" s="850"/>
      <c r="N68" s="850"/>
      <c r="O68" s="48">
        <f>IF(t&lt;Tnet,'2018'!Resal+('2018'!Salim-'2018'!Resal)*(1-EXP(('2018'!Tnet-t)/('2018'!Tau_j))),Resal+(Salim-Resal)*(1-EXP((Tnet-t)/(Tau_j))))*Salcycl</f>
        <v>4.8454806517564897E-2</v>
      </c>
      <c r="P68" s="169">
        <f>(INDEX(Models!$BJ68:$BT68,,T68)*(1-R68)+INDEX(Models!$BJ68:$BT68,,T68+1)*R68-ERP_i)*Q68*Ramure*Pc/MaxiM</f>
        <v>4.32895926837448E-3</v>
      </c>
      <c r="Q68" s="305">
        <f t="shared" si="4"/>
        <v>0.7</v>
      </c>
      <c r="R68" s="177">
        <f t="shared" si="5"/>
        <v>0.5054283980063119</v>
      </c>
      <c r="S68" s="817">
        <f t="shared" si="6"/>
        <v>-2</v>
      </c>
      <c r="T68" s="176">
        <f t="shared" si="7"/>
        <v>4</v>
      </c>
      <c r="U68" s="251">
        <f t="shared" si="21"/>
        <v>-1.4945716019936881</v>
      </c>
      <c r="V68" s="383">
        <f t="shared" si="8"/>
        <v>25.682293433618621</v>
      </c>
      <c r="W68" s="58"/>
      <c r="X68" s="157">
        <f t="shared" si="9"/>
        <v>43519</v>
      </c>
      <c r="Y68" s="385">
        <f t="shared" si="10"/>
        <v>25.654</v>
      </c>
      <c r="Z68" s="385">
        <f t="shared" si="11"/>
        <v>25.82878001907066</v>
      </c>
      <c r="AA68" s="386">
        <f t="shared" si="12"/>
        <v>27.144039185930104</v>
      </c>
      <c r="AB68" s="197">
        <f t="shared" si="13"/>
        <v>43519</v>
      </c>
      <c r="AC68" s="427">
        <f>IF(OR(t&lt;Tnet,NoTnet),'2018'!Resal_s+('2018'!Salim-'2018'!Resal_s)*(1-EXP(('2018'!Tnet_s-t)/'2018'!Tau_j)),Resal_s+(Salim-Resal_s)*(1-EXP((Tnet_s-t)/Tau_j)))*Salcycl</f>
        <v>4.8454806517564897E-2</v>
      </c>
      <c r="AD68" s="231">
        <f>(INDEX(Models!$BJ68:$BT68,,AH68)*(1-AF68)+INDEX(Models!$BJ68:$BT68,,AH68+1)*AF68-ERP_i)*AE68*Ramure*Pc/MaxiM</f>
        <v>4.32895926837448E-3</v>
      </c>
      <c r="AE68" s="305">
        <f t="shared" si="14"/>
        <v>0.7</v>
      </c>
      <c r="AF68" s="177">
        <f t="shared" si="15"/>
        <v>0.5054283980063119</v>
      </c>
      <c r="AG68" s="176">
        <f t="shared" si="16"/>
        <v>-2</v>
      </c>
      <c r="AH68" s="176">
        <f t="shared" si="17"/>
        <v>4</v>
      </c>
      <c r="AI68" s="225">
        <f t="shared" si="22"/>
        <v>-1.4945716019936881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0"/>
        <v>43520</v>
      </c>
      <c r="B69" s="617">
        <v>25.532</v>
      </c>
      <c r="C69" s="390"/>
      <c r="D69" s="393">
        <f t="shared" si="0"/>
        <v>25.706511874902478</v>
      </c>
      <c r="E69" s="385">
        <f t="shared" si="1"/>
        <v>27.01912437005819</v>
      </c>
      <c r="F69" s="385">
        <f t="shared" si="2"/>
        <v>27.125715294135134</v>
      </c>
      <c r="G69" s="110">
        <f t="shared" si="23"/>
        <v>0.98273367722126148</v>
      </c>
      <c r="H69" s="414" t="b">
        <f>Wh_hp&gt;='2018'!Maxi_hp</f>
        <v>1</v>
      </c>
      <c r="I69" s="390">
        <f>IF(H69,Wh_hp,'2018'!Maxi_hp)</f>
        <v>27.125715294135134</v>
      </c>
      <c r="J69" s="85">
        <f>IF(H69,An,'2018'!An_max)</f>
        <v>2019</v>
      </c>
      <c r="K69" s="197">
        <f t="shared" si="3"/>
        <v>43520</v>
      </c>
      <c r="L69" s="147">
        <f>IF(t&lt;Tvie,1-EXP((T0-t)*PertePVj)+'2018'!Pspv,1-EXP((T0-t)*PertePVj)+Pspv)</f>
        <v>6.788625222734157E-3</v>
      </c>
      <c r="M69" s="850"/>
      <c r="N69" s="850"/>
      <c r="O69" s="48">
        <f>IF(t&lt;Tnet,'2018'!Resal+('2018'!Salim-'2018'!Resal)*(1-EXP(('2018'!Tnet-t)/('2018'!Tau_j))),Resal+(Salim-Resal)*(1-EXP((Tnet-t)/(Tau_j))))*Salcycl</f>
        <v>4.8580867284148933E-2</v>
      </c>
      <c r="P69" s="169">
        <f>(INDEX(Models!$BJ69:$BT69,,T69)*(1-R69)+INDEX(Models!$BJ69:$BT69,,T69+1)*R69-ERP_i)*Q69*Ramure*Pc/MaxiM</f>
        <v>4.0283178700064566E-3</v>
      </c>
      <c r="Q69" s="305">
        <f t="shared" si="4"/>
        <v>0.7</v>
      </c>
      <c r="R69" s="177">
        <f t="shared" si="5"/>
        <v>0.50562966968532996</v>
      </c>
      <c r="S69" s="817">
        <f t="shared" si="6"/>
        <v>-2</v>
      </c>
      <c r="T69" s="176">
        <f t="shared" si="7"/>
        <v>4</v>
      </c>
      <c r="U69" s="251">
        <f t="shared" si="21"/>
        <v>-1.49437033031467</v>
      </c>
      <c r="V69" s="383">
        <f t="shared" si="8"/>
        <v>25.978012174539636</v>
      </c>
      <c r="W69" s="58"/>
      <c r="X69" s="157">
        <f t="shared" si="9"/>
        <v>43520</v>
      </c>
      <c r="Y69" s="385">
        <f t="shared" si="10"/>
        <v>25.532</v>
      </c>
      <c r="Z69" s="385">
        <f t="shared" si="11"/>
        <v>25.706511874902478</v>
      </c>
      <c r="AA69" s="386">
        <f t="shared" si="12"/>
        <v>27.01912437005819</v>
      </c>
      <c r="AB69" s="197">
        <f t="shared" si="13"/>
        <v>43520</v>
      </c>
      <c r="AC69" s="427">
        <f>IF(OR(t&lt;Tnet,NoTnet),'2018'!Resal_s+('2018'!Salim-'2018'!Resal_s)*(1-EXP(('2018'!Tnet_s-t)/'2018'!Tau_j)),Resal_s+(Salim-Resal_s)*(1-EXP((Tnet_s-t)/Tau_j)))*Salcycl</f>
        <v>4.8580867284148933E-2</v>
      </c>
      <c r="AD69" s="231">
        <f>(INDEX(Models!$BJ69:$BT69,,AH69)*(1-AF69)+INDEX(Models!$BJ69:$BT69,,AH69+1)*AF69-ERP_i)*AE69*Ramure*Pc/MaxiM</f>
        <v>4.0283178700064566E-3</v>
      </c>
      <c r="AE69" s="305">
        <f t="shared" si="14"/>
        <v>0.7</v>
      </c>
      <c r="AF69" s="177">
        <f t="shared" si="15"/>
        <v>0.50562966968532996</v>
      </c>
      <c r="AG69" s="176">
        <f t="shared" si="16"/>
        <v>-2</v>
      </c>
      <c r="AH69" s="176">
        <f t="shared" si="17"/>
        <v>4</v>
      </c>
      <c r="AI69" s="225">
        <f t="shared" si="22"/>
        <v>-1.49437033031467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0"/>
        <v>43521</v>
      </c>
      <c r="B70" s="617">
        <v>25.907</v>
      </c>
      <c r="C70" s="390"/>
      <c r="D70" s="393">
        <f t="shared" si="0"/>
        <v>26.084646330220437</v>
      </c>
      <c r="E70" s="385">
        <f t="shared" si="1"/>
        <v>27.42019470793571</v>
      </c>
      <c r="F70" s="385">
        <f t="shared" si="2"/>
        <v>27.521029362463523</v>
      </c>
      <c r="G70" s="110">
        <f t="shared" si="23"/>
        <v>0.98601076344521588</v>
      </c>
      <c r="H70" s="414" t="b">
        <f>Wh_hp&gt;='2018'!Maxi_hp</f>
        <v>1</v>
      </c>
      <c r="I70" s="390">
        <f>IF(H70,Wh_hp,'2018'!Maxi_hp)</f>
        <v>27.521029362463523</v>
      </c>
      <c r="J70" s="85">
        <f>IF(H70,An,'2018'!An_max)</f>
        <v>2019</v>
      </c>
      <c r="K70" s="197">
        <f t="shared" si="3"/>
        <v>43521</v>
      </c>
      <c r="L70" s="147">
        <f>IF(t&lt;Tvie,1-EXP((T0-t)*PertePVj)+'2018'!Pspv,1-EXP((T0-t)*PertePVj)+Pspv)</f>
        <v>6.8103791008515824E-3</v>
      </c>
      <c r="M70" s="850"/>
      <c r="N70" s="850"/>
      <c r="O70" s="48">
        <f>IF(t&lt;Tnet,'2018'!Resal+('2018'!Salim-'2018'!Resal)*(1-EXP(('2018'!Tnet-t)/('2018'!Tau_j))),Resal+(Salim-Resal)*(1-EXP((Tnet-t)/(Tau_j))))*Salcycl</f>
        <v>4.8706743038872298E-2</v>
      </c>
      <c r="P70" s="169">
        <f>(INDEX(Models!$BJ70:$BT70,,T70)*(1-R70)+INDEX(Models!$BJ70:$BT70,,T70+1)*R70-ERP_i)*Q70*Ramure*Pc/MaxiM</f>
        <v>3.7382271854484316E-3</v>
      </c>
      <c r="Q70" s="305">
        <f t="shared" si="4"/>
        <v>0.7</v>
      </c>
      <c r="R70" s="177">
        <f t="shared" si="5"/>
        <v>0.50583916686541164</v>
      </c>
      <c r="S70" s="817">
        <f t="shared" si="6"/>
        <v>-2</v>
      </c>
      <c r="T70" s="176">
        <f t="shared" si="7"/>
        <v>4</v>
      </c>
      <c r="U70" s="251">
        <f t="shared" si="21"/>
        <v>-1.4941608331345884</v>
      </c>
      <c r="V70" s="383">
        <f t="shared" si="8"/>
        <v>26.272601294320776</v>
      </c>
      <c r="W70" s="58"/>
      <c r="X70" s="157">
        <f t="shared" si="9"/>
        <v>43521</v>
      </c>
      <c r="Y70" s="385">
        <f t="shared" si="10"/>
        <v>25.907</v>
      </c>
      <c r="Z70" s="385">
        <f t="shared" si="11"/>
        <v>26.084646330220437</v>
      </c>
      <c r="AA70" s="386">
        <f t="shared" si="12"/>
        <v>27.42019470793571</v>
      </c>
      <c r="AB70" s="197">
        <f t="shared" si="13"/>
        <v>43521</v>
      </c>
      <c r="AC70" s="427">
        <f>IF(OR(t&lt;Tnet,NoTnet),'2018'!Resal_s+('2018'!Salim-'2018'!Resal_s)*(1-EXP(('2018'!Tnet_s-t)/'2018'!Tau_j)),Resal_s+(Salim-Resal_s)*(1-EXP((Tnet_s-t)/Tau_j)))*Salcycl</f>
        <v>4.8706743038872298E-2</v>
      </c>
      <c r="AD70" s="231">
        <f>(INDEX(Models!$BJ70:$BT70,,AH70)*(1-AF70)+INDEX(Models!$BJ70:$BT70,,AH70+1)*AF70-ERP_i)*AE70*Ramure*Pc/MaxiM</f>
        <v>3.7382271854484316E-3</v>
      </c>
      <c r="AE70" s="305">
        <f t="shared" si="14"/>
        <v>0.7</v>
      </c>
      <c r="AF70" s="177">
        <f t="shared" si="15"/>
        <v>0.50583916686541164</v>
      </c>
      <c r="AG70" s="176">
        <f t="shared" si="16"/>
        <v>-2</v>
      </c>
      <c r="AH70" s="176">
        <f t="shared" si="17"/>
        <v>4</v>
      </c>
      <c r="AI70" s="225">
        <f t="shared" si="22"/>
        <v>-1.4941608331345884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43522</v>
      </c>
      <c r="B71" s="617">
        <v>23.702999999999999</v>
      </c>
      <c r="C71" s="390"/>
      <c r="D71" s="393">
        <f t="shared" si="0"/>
        <v>23.866056057295612</v>
      </c>
      <c r="E71" s="385">
        <f t="shared" si="1"/>
        <v>25.091326631751762</v>
      </c>
      <c r="F71" s="385">
        <f t="shared" si="2"/>
        <v>25.164955933074054</v>
      </c>
      <c r="G71" s="110">
        <f t="shared" si="23"/>
        <v>0.89175215281467179</v>
      </c>
      <c r="H71" s="414" t="b">
        <f>Wh_hp&gt;='2018'!Maxi_hp</f>
        <v>1</v>
      </c>
      <c r="I71" s="390">
        <f>IF(H71,Wh_hp,'2018'!Maxi_hp)</f>
        <v>25.164955933074054</v>
      </c>
      <c r="J71" s="85">
        <f>IF(H71,An,'2018'!An_max)</f>
        <v>2019</v>
      </c>
      <c r="K71" s="197">
        <f t="shared" si="3"/>
        <v>43522</v>
      </c>
      <c r="L71" s="147">
        <f>IF(t&lt;Tvie,1-EXP((T0-t)*PertePVj)+'2018'!Pspv,1-EXP((T0-t)*PertePVj)+Pspv)</f>
        <v>6.832132502503252E-3</v>
      </c>
      <c r="M71" s="850"/>
      <c r="N71" s="850"/>
      <c r="O71" s="48">
        <f>IF(t&lt;Tnet,'2018'!Resal+('2018'!Salim-'2018'!Resal)*(1-EXP(('2018'!Tnet-t)/('2018'!Tau_j))),Resal+(Salim-Resal)*(1-EXP((Tnet-t)/(Tau_j))))*Salcycl</f>
        <v>4.8832434906236968E-2</v>
      </c>
      <c r="P71" s="169">
        <f>(INDEX(Models!$BJ71:$BT71,,T71)*(1-R71)+INDEX(Models!$BJ71:$BT71,,T71+1)*R71-ERP_i)*Q71*Ramure*Pc/MaxiM</f>
        <v>3.4583039965460222E-3</v>
      </c>
      <c r="Q71" s="305">
        <f t="shared" si="4"/>
        <v>0.7</v>
      </c>
      <c r="R71" s="177">
        <f t="shared" si="5"/>
        <v>0.50605721630410971</v>
      </c>
      <c r="S71" s="817">
        <f t="shared" si="6"/>
        <v>-2</v>
      </c>
      <c r="T71" s="176">
        <f t="shared" si="7"/>
        <v>4</v>
      </c>
      <c r="U71" s="251">
        <f t="shared" si="21"/>
        <v>-1.4939427836958903</v>
      </c>
      <c r="V71" s="383">
        <f t="shared" si="8"/>
        <v>26.566061573474489</v>
      </c>
      <c r="W71" s="58"/>
      <c r="X71" s="157">
        <f t="shared" si="9"/>
        <v>43522</v>
      </c>
      <c r="Y71" s="385">
        <f t="shared" si="10"/>
        <v>23.702999999999999</v>
      </c>
      <c r="Z71" s="385">
        <f t="shared" si="11"/>
        <v>23.866056057295612</v>
      </c>
      <c r="AA71" s="386">
        <f t="shared" si="12"/>
        <v>25.091326631751762</v>
      </c>
      <c r="AB71" s="197">
        <f t="shared" si="13"/>
        <v>43522</v>
      </c>
      <c r="AC71" s="427">
        <f>IF(OR(t&lt;Tnet,NoTnet),'2018'!Resal_s+('2018'!Salim-'2018'!Resal_s)*(1-EXP(('2018'!Tnet_s-t)/'2018'!Tau_j)),Resal_s+(Salim-Resal_s)*(1-EXP((Tnet_s-t)/Tau_j)))*Salcycl</f>
        <v>4.8832434906236968E-2</v>
      </c>
      <c r="AD71" s="231">
        <f>(INDEX(Models!$BJ71:$BT71,,AH71)*(1-AF71)+INDEX(Models!$BJ71:$BT71,,AH71+1)*AF71-ERP_i)*AE71*Ramure*Pc/MaxiM</f>
        <v>3.4583039965460222E-3</v>
      </c>
      <c r="AE71" s="305">
        <f t="shared" si="14"/>
        <v>0.7</v>
      </c>
      <c r="AF71" s="177">
        <f t="shared" si="15"/>
        <v>0.50605721630410971</v>
      </c>
      <c r="AG71" s="176">
        <f t="shared" si="16"/>
        <v>-2</v>
      </c>
      <c r="AH71" s="176">
        <f t="shared" si="17"/>
        <v>4</v>
      </c>
      <c r="AI71" s="225">
        <f t="shared" si="22"/>
        <v>-1.4939427836958903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0"/>
        <v>43523</v>
      </c>
      <c r="B72" s="617">
        <v>26.765999999999998</v>
      </c>
      <c r="C72" s="390"/>
      <c r="D72" s="393">
        <f t="shared" si="0"/>
        <v>26.950717127385438</v>
      </c>
      <c r="E72" s="385">
        <f t="shared" si="1"/>
        <v>28.33809186800783</v>
      </c>
      <c r="F72" s="385">
        <f t="shared" si="2"/>
        <v>28.428365899284628</v>
      </c>
      <c r="G72" s="110">
        <f t="shared" si="23"/>
        <v>0.99654727786383579</v>
      </c>
      <c r="H72" s="414" t="b">
        <f>Wh_hp&gt;='2018'!Maxi_hp</f>
        <v>1</v>
      </c>
      <c r="I72" s="390">
        <f>IF(H72,Wh_hp,'2018'!Maxi_hp)</f>
        <v>28.428365899284628</v>
      </c>
      <c r="J72" s="85">
        <f>IF(H72,An,'2018'!An_max)</f>
        <v>2019</v>
      </c>
      <c r="K72" s="197">
        <f t="shared" si="3"/>
        <v>43523</v>
      </c>
      <c r="L72" s="147">
        <f>IF(t&lt;Tvie,1-EXP((T0-t)*PertePVj)+'2018'!Pspv,1-EXP((T0-t)*PertePVj)+Pspv)</f>
        <v>6.853885427699602E-3</v>
      </c>
      <c r="M72" s="850"/>
      <c r="N72" s="850"/>
      <c r="O72" s="48">
        <f>IF(t&lt;Tnet,'2018'!Resal+('2018'!Salim-'2018'!Resal)*(1-EXP(('2018'!Tnet-t)/('2018'!Tau_j))),Resal+(Salim-Resal)*(1-EXP((Tnet-t)/(Tau_j))))*Salcycl</f>
        <v>4.8957944913315218E-2</v>
      </c>
      <c r="P72" s="169">
        <f>(INDEX(Models!$BJ72:$BT72,,T72)*(1-R72)+INDEX(Models!$BJ72:$BT72,,T72+1)*R72-ERP_i)*Q72*Ramure*Pc/MaxiM</f>
        <v>3.1911602531066396E-3</v>
      </c>
      <c r="Q72" s="305">
        <f t="shared" si="4"/>
        <v>0.7</v>
      </c>
      <c r="R72" s="177">
        <f t="shared" si="5"/>
        <v>0.50628415694645956</v>
      </c>
      <c r="S72" s="817">
        <f t="shared" si="6"/>
        <v>-2</v>
      </c>
      <c r="T72" s="176">
        <f t="shared" si="7"/>
        <v>4</v>
      </c>
      <c r="U72" s="251">
        <f t="shared" si="21"/>
        <v>-1.4937158430535404</v>
      </c>
      <c r="V72" s="383">
        <f t="shared" si="8"/>
        <v>26.858313565100161</v>
      </c>
      <c r="W72" s="58"/>
      <c r="X72" s="157">
        <f t="shared" si="9"/>
        <v>43523</v>
      </c>
      <c r="Y72" s="385">
        <f t="shared" si="10"/>
        <v>26.765999999999998</v>
      </c>
      <c r="Z72" s="385">
        <f t="shared" si="11"/>
        <v>26.950717127385438</v>
      </c>
      <c r="AA72" s="386">
        <f t="shared" si="12"/>
        <v>28.33809186800783</v>
      </c>
      <c r="AB72" s="197">
        <f t="shared" si="13"/>
        <v>43523</v>
      </c>
      <c r="AC72" s="427">
        <f>IF(OR(t&lt;Tnet,NoTnet),'2018'!Resal_s+('2018'!Salim-'2018'!Resal_s)*(1-EXP(('2018'!Tnet_s-t)/'2018'!Tau_j)),Resal_s+(Salim-Resal_s)*(1-EXP((Tnet_s-t)/Tau_j)))*Salcycl</f>
        <v>4.8957944913315218E-2</v>
      </c>
      <c r="AD72" s="231">
        <f>(INDEX(Models!$BJ72:$BT72,,AH72)*(1-AF72)+INDEX(Models!$BJ72:$BT72,,AH72+1)*AF72-ERP_i)*AE72*Ramure*Pc/MaxiM</f>
        <v>3.1911602531066396E-3</v>
      </c>
      <c r="AE72" s="305">
        <f t="shared" si="14"/>
        <v>0.7</v>
      </c>
      <c r="AF72" s="177">
        <f t="shared" si="15"/>
        <v>0.50628415694645956</v>
      </c>
      <c r="AG72" s="176">
        <f t="shared" si="16"/>
        <v>-2</v>
      </c>
      <c r="AH72" s="176">
        <f t="shared" si="17"/>
        <v>4</v>
      </c>
      <c r="AI72" s="225">
        <f t="shared" si="22"/>
        <v>-1.4937158430535404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0"/>
        <v>43524</v>
      </c>
      <c r="B73" s="617">
        <v>20.788</v>
      </c>
      <c r="C73" s="390"/>
      <c r="D73" s="393">
        <f t="shared" si="0"/>
        <v>20.931920304069514</v>
      </c>
      <c r="E73" s="385">
        <f t="shared" si="1"/>
        <v>22.012358996786009</v>
      </c>
      <c r="F73" s="385">
        <f t="shared" si="2"/>
        <v>22.055398466334733</v>
      </c>
      <c r="G73" s="110">
        <f t="shared" si="23"/>
        <v>0.76493467173993768</v>
      </c>
      <c r="H73" s="414" t="b">
        <f>Wh_hp&gt;='2018'!Maxi_hp</f>
        <v>1</v>
      </c>
      <c r="I73" s="390">
        <f>IF(H73,Wh_hp,'2018'!Maxi_hp)</f>
        <v>22.055398466334733</v>
      </c>
      <c r="J73" s="85">
        <f>IF(H73,An,'2018'!An_max)</f>
        <v>2019</v>
      </c>
      <c r="K73" s="197">
        <f t="shared" si="3"/>
        <v>43524</v>
      </c>
      <c r="L73" s="147">
        <f>IF(t&lt;Tvie,1-EXP((T0-t)*PertePVj)+'2018'!Pspv,1-EXP((T0-t)*PertePVj)+Pspv)</f>
        <v>6.8756378764510684E-3</v>
      </c>
      <c r="M73" s="850"/>
      <c r="N73" s="850"/>
      <c r="O73" s="48">
        <f>IF(t&lt;Tnet,'2018'!Resal+('2018'!Salim-'2018'!Resal)*(1-EXP(('2018'!Tnet-t)/('2018'!Tau_j))),Resal+(Salim-Resal)*(1-EXP((Tnet-t)/(Tau_j))))*Salcycl</f>
        <v>4.9083276030263155E-2</v>
      </c>
      <c r="P73" s="169">
        <f>(INDEX(Models!$BJ73:$BT73,,T73)*(1-R73)+INDEX(Models!$BJ73:$BT73,,T73+1)*R73-ERP_i)*Q73*Ramure*Pc/MaxiM</f>
        <v>2.9332903077184174E-3</v>
      </c>
      <c r="Q73" s="305">
        <f t="shared" si="4"/>
        <v>0.7</v>
      </c>
      <c r="R73" s="177">
        <f t="shared" si="5"/>
        <v>0.50652034031221738</v>
      </c>
      <c r="S73" s="817">
        <f t="shared" si="6"/>
        <v>-2</v>
      </c>
      <c r="T73" s="176">
        <f t="shared" si="7"/>
        <v>4</v>
      </c>
      <c r="U73" s="251">
        <f t="shared" si="21"/>
        <v>-1.4934796596877826</v>
      </c>
      <c r="V73" s="383">
        <f t="shared" si="8"/>
        <v>27.14944145638896</v>
      </c>
      <c r="W73" s="58"/>
      <c r="X73" s="157">
        <f t="shared" si="9"/>
        <v>43524</v>
      </c>
      <c r="Y73" s="385">
        <f t="shared" si="10"/>
        <v>20.788</v>
      </c>
      <c r="Z73" s="385">
        <f t="shared" si="11"/>
        <v>20.931920304069514</v>
      </c>
      <c r="AA73" s="386">
        <f t="shared" si="12"/>
        <v>22.012358996786009</v>
      </c>
      <c r="AB73" s="197">
        <f t="shared" si="13"/>
        <v>43524</v>
      </c>
      <c r="AC73" s="427">
        <f>IF(OR(t&lt;Tnet,NoTnet),'2018'!Resal_s+('2018'!Salim-'2018'!Resal_s)*(1-EXP(('2018'!Tnet_s-t)/'2018'!Tau_j)),Resal_s+(Salim-Resal_s)*(1-EXP((Tnet_s-t)/Tau_j)))*Salcycl</f>
        <v>4.9083276030263155E-2</v>
      </c>
      <c r="AD73" s="231">
        <f>(INDEX(Models!$BJ73:$BT73,,AH73)*(1-AF73)+INDEX(Models!$BJ73:$BT73,,AH73+1)*AF73-ERP_i)*AE73*Ramure*Pc/MaxiM</f>
        <v>2.9332903077184174E-3</v>
      </c>
      <c r="AE73" s="305">
        <f t="shared" si="14"/>
        <v>0.7</v>
      </c>
      <c r="AF73" s="177">
        <f t="shared" si="15"/>
        <v>0.50652034031221738</v>
      </c>
      <c r="AG73" s="176">
        <f t="shared" si="16"/>
        <v>-2</v>
      </c>
      <c r="AH73" s="176">
        <f t="shared" si="17"/>
        <v>4</v>
      </c>
      <c r="AI73" s="225">
        <f t="shared" si="22"/>
        <v>-1.4934796596877826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0"/>
        <v>43525</v>
      </c>
      <c r="B74" s="617">
        <v>9.5329999999999995</v>
      </c>
      <c r="C74" s="390"/>
      <c r="D74" s="393">
        <f t="shared" si="0"/>
        <v>9.5992094900931662</v>
      </c>
      <c r="E74" s="385">
        <f t="shared" si="1"/>
        <v>10.096018743992984</v>
      </c>
      <c r="F74" s="385">
        <f t="shared" si="2"/>
        <v>10.097854990649608</v>
      </c>
      <c r="G74" s="110">
        <f t="shared" si="23"/>
        <v>0.34654996740504324</v>
      </c>
      <c r="H74" s="414" t="b">
        <f>Wh_hp&gt;='2018'!Maxi_hp</f>
        <v>1</v>
      </c>
      <c r="I74" s="390">
        <f>IF(H74,Wh_hp,'2018'!Maxi_hp)</f>
        <v>10.097854990649608</v>
      </c>
      <c r="J74" s="85">
        <f>IF(H74,An,'2018'!An_max)</f>
        <v>2019</v>
      </c>
      <c r="K74" s="197">
        <f t="shared" si="3"/>
        <v>43525</v>
      </c>
      <c r="L74" s="147">
        <f>IF(t&lt;Tvie,1-EXP((T0-t)*PertePVj)+'2018'!Pspv,1-EXP((T0-t)*PertePVj)+Pspv)</f>
        <v>6.8973898487680874E-3</v>
      </c>
      <c r="M74" s="850"/>
      <c r="N74" s="850"/>
      <c r="O74" s="48">
        <f>IF(t&lt;Tnet,'2018'!Resal+('2018'!Salim-'2018'!Resal)*(1-EXP(('2018'!Tnet-t)/('2018'!Tau_j))),Resal+(Salim-Resal)*(1-EXP((Tnet-t)/(Tau_j))))*Salcycl</f>
        <v>4.9208432204567186E-2</v>
      </c>
      <c r="P74" s="169">
        <f>(INDEX(Models!$BJ74:$BT74,,T74)*(1-R74)+INDEX(Models!$BJ74:$BT74,,T74+1)*R74-ERP_i)*Q74*Ramure*Pc/MaxiM</f>
        <v>2.6843706608169946E-3</v>
      </c>
      <c r="Q74" s="305">
        <f t="shared" si="4"/>
        <v>0.7</v>
      </c>
      <c r="R74" s="177">
        <f t="shared" si="5"/>
        <v>0.50676613088950462</v>
      </c>
      <c r="S74" s="817">
        <f t="shared" si="6"/>
        <v>-2</v>
      </c>
      <c r="T74" s="176">
        <f t="shared" si="7"/>
        <v>4</v>
      </c>
      <c r="U74" s="251">
        <f t="shared" si="21"/>
        <v>-1.4932338691104954</v>
      </c>
      <c r="V74" s="383">
        <f t="shared" si="8"/>
        <v>27.439445910724963</v>
      </c>
      <c r="W74" s="58"/>
      <c r="X74" s="157">
        <f t="shared" si="9"/>
        <v>43525</v>
      </c>
      <c r="Y74" s="385">
        <f t="shared" si="10"/>
        <v>9.5329999999999995</v>
      </c>
      <c r="Z74" s="385">
        <f t="shared" si="11"/>
        <v>9.5992094900931662</v>
      </c>
      <c r="AA74" s="386">
        <f t="shared" si="12"/>
        <v>10.096018743992984</v>
      </c>
      <c r="AB74" s="197">
        <f t="shared" si="13"/>
        <v>43525</v>
      </c>
      <c r="AC74" s="427">
        <f>IF(OR(t&lt;Tnet,NoTnet),'2018'!Resal_s+('2018'!Salim-'2018'!Resal_s)*(1-EXP(('2018'!Tnet_s-t)/'2018'!Tau_j)),Resal_s+(Salim-Resal_s)*(1-EXP((Tnet_s-t)/Tau_j)))*Salcycl</f>
        <v>4.9208432204567186E-2</v>
      </c>
      <c r="AD74" s="231">
        <f>(INDEX(Models!$BJ74:$BT74,,AH74)*(1-AF74)+INDEX(Models!$BJ74:$BT74,,AH74+1)*AF74-ERP_i)*AE74*Ramure*Pc/MaxiM</f>
        <v>2.6843706608169946E-3</v>
      </c>
      <c r="AE74" s="305">
        <f t="shared" si="14"/>
        <v>0.7</v>
      </c>
      <c r="AF74" s="177">
        <f t="shared" si="15"/>
        <v>0.50676613088950462</v>
      </c>
      <c r="AG74" s="176">
        <f t="shared" si="16"/>
        <v>-2</v>
      </c>
      <c r="AH74" s="176">
        <f t="shared" si="17"/>
        <v>4</v>
      </c>
      <c r="AI74" s="225">
        <f t="shared" si="22"/>
        <v>-1.4932338691104954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0"/>
        <v>43526</v>
      </c>
      <c r="B75" s="617">
        <v>14.63</v>
      </c>
      <c r="C75" s="390"/>
      <c r="D75" s="393">
        <f t="shared" si="0"/>
        <v>14.731932322016009</v>
      </c>
      <c r="E75" s="385">
        <f t="shared" si="1"/>
        <v>15.496423885068422</v>
      </c>
      <c r="F75" s="385">
        <f t="shared" si="2"/>
        <v>15.508749412736243</v>
      </c>
      <c r="G75" s="110">
        <f t="shared" si="23"/>
        <v>0.5267483529398711</v>
      </c>
      <c r="H75" s="414" t="b">
        <f>Wh_hp&gt;='2018'!Maxi_hp</f>
        <v>1</v>
      </c>
      <c r="I75" s="390">
        <f>IF(H75,Wh_hp,'2018'!Maxi_hp)</f>
        <v>15.508749412736243</v>
      </c>
      <c r="J75" s="85">
        <f>IF(H75,An,'2018'!An_max)</f>
        <v>2019</v>
      </c>
      <c r="K75" s="197">
        <f t="shared" si="3"/>
        <v>43526</v>
      </c>
      <c r="L75" s="147">
        <f>IF(t&lt;Tvie,1-EXP((T0-t)*PertePVj)+'2018'!Pspv,1-EXP((T0-t)*PertePVj)+Pspv)</f>
        <v>6.919141344660984E-3</v>
      </c>
      <c r="M75" s="850"/>
      <c r="N75" s="850"/>
      <c r="O75" s="48">
        <f>IF(t&lt;Tnet,'2018'!Resal+('2018'!Salim-'2018'!Resal)*(1-EXP(('2018'!Tnet-t)/('2018'!Tau_j))),Resal+(Salim-Resal)*(1-EXP((Tnet-t)/(Tau_j))))*Salcycl</f>
        <v>4.9333418388808982E-2</v>
      </c>
      <c r="P75" s="169">
        <f>(INDEX(Models!$BJ75:$BT75,,T75)*(1-R75)+INDEX(Models!$BJ75:$BT75,,T75+1)*R75-ERP_i)*Q75*Ramure*Pc/MaxiM</f>
        <v>2.4440931397956668E-3</v>
      </c>
      <c r="Q75" s="305">
        <f t="shared" si="4"/>
        <v>0.7</v>
      </c>
      <c r="R75" s="177">
        <f t="shared" si="5"/>
        <v>0.50702190653438417</v>
      </c>
      <c r="S75" s="817">
        <f t="shared" si="6"/>
        <v>-2</v>
      </c>
      <c r="T75" s="176">
        <f t="shared" si="7"/>
        <v>4</v>
      </c>
      <c r="U75" s="251">
        <f t="shared" si="21"/>
        <v>-1.4929780934656158</v>
      </c>
      <c r="V75" s="383">
        <f t="shared" si="8"/>
        <v>27.7283275550128</v>
      </c>
      <c r="W75" s="58"/>
      <c r="X75" s="157">
        <f t="shared" si="9"/>
        <v>43526</v>
      </c>
      <c r="Y75" s="385">
        <f t="shared" si="10"/>
        <v>14.63</v>
      </c>
      <c r="Z75" s="385">
        <f t="shared" si="11"/>
        <v>14.731932322016009</v>
      </c>
      <c r="AA75" s="386">
        <f t="shared" si="12"/>
        <v>15.496423885068422</v>
      </c>
      <c r="AB75" s="197">
        <f t="shared" si="13"/>
        <v>43526</v>
      </c>
      <c r="AC75" s="427">
        <f>IF(OR(t&lt;Tnet,NoTnet),'2018'!Resal_s+('2018'!Salim-'2018'!Resal_s)*(1-EXP(('2018'!Tnet_s-t)/'2018'!Tau_j)),Resal_s+(Salim-Resal_s)*(1-EXP((Tnet_s-t)/Tau_j)))*Salcycl</f>
        <v>4.9333418388808982E-2</v>
      </c>
      <c r="AD75" s="231">
        <f>(INDEX(Models!$BJ75:$BT75,,AH75)*(1-AF75)+INDEX(Models!$BJ75:$BT75,,AH75+1)*AF75-ERP_i)*AE75*Ramure*Pc/MaxiM</f>
        <v>2.4440931397956668E-3</v>
      </c>
      <c r="AE75" s="305">
        <f t="shared" si="14"/>
        <v>0.7</v>
      </c>
      <c r="AF75" s="177">
        <f t="shared" si="15"/>
        <v>0.50702190653438417</v>
      </c>
      <c r="AG75" s="176">
        <f t="shared" si="16"/>
        <v>-2</v>
      </c>
      <c r="AH75" s="176">
        <f t="shared" si="17"/>
        <v>4</v>
      </c>
      <c r="AI75" s="225">
        <f t="shared" si="22"/>
        <v>-1.4929780934656158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0"/>
        <v>43527</v>
      </c>
      <c r="B76" s="617">
        <v>24.257000000000001</v>
      </c>
      <c r="C76" s="390"/>
      <c r="D76" s="393">
        <f t="shared" si="0"/>
        <v>24.426541998842119</v>
      </c>
      <c r="E76" s="385">
        <f t="shared" si="1"/>
        <v>25.697494882580482</v>
      </c>
      <c r="F76" s="385">
        <f t="shared" si="2"/>
        <v>25.743527818559492</v>
      </c>
      <c r="G76" s="110">
        <f t="shared" si="23"/>
        <v>0.86545619145500963</v>
      </c>
      <c r="H76" s="414" t="b">
        <f>Wh_hp&gt;='2018'!Maxi_hp</f>
        <v>1</v>
      </c>
      <c r="I76" s="390">
        <f>IF(H76,Wh_hp,'2018'!Maxi_hp)</f>
        <v>25.743527818559492</v>
      </c>
      <c r="J76" s="85">
        <f>IF(H76,An,'2018'!An_max)</f>
        <v>2019</v>
      </c>
      <c r="K76" s="197">
        <f t="shared" si="3"/>
        <v>43527</v>
      </c>
      <c r="L76" s="147">
        <f>IF(t&lt;Tvie,1-EXP((T0-t)*PertePVj)+'2018'!Pspv,1-EXP((T0-t)*PertePVj)+Pspv)</f>
        <v>6.9408923641404163E-3</v>
      </c>
      <c r="M76" s="850"/>
      <c r="N76" s="850"/>
      <c r="O76" s="48">
        <f>IF(t&lt;Tnet,'2018'!Resal+('2018'!Salim-'2018'!Resal)*(1-EXP(('2018'!Tnet-t)/('2018'!Tau_j))),Resal+(Salim-Resal)*(1-EXP((Tnet-t)/(Tau_j))))*Salcycl</f>
        <v>4.9458240561802827E-2</v>
      </c>
      <c r="P76" s="169">
        <f>(INDEX(Models!$BJ76:$BT76,,T76)*(1-R76)+INDEX(Models!$BJ76:$BT76,,T76+1)*R76-ERP_i)*Q76*Ramure*Pc/MaxiM</f>
        <v>2.2121639105166895E-3</v>
      </c>
      <c r="Q76" s="305">
        <f t="shared" si="4"/>
        <v>0.7</v>
      </c>
      <c r="R76" s="177">
        <f t="shared" si="5"/>
        <v>0.50728805887581752</v>
      </c>
      <c r="S76" s="817">
        <f t="shared" si="6"/>
        <v>-2</v>
      </c>
      <c r="T76" s="176">
        <f t="shared" si="7"/>
        <v>4</v>
      </c>
      <c r="U76" s="251">
        <f t="shared" si="21"/>
        <v>-1.4927119411241825</v>
      </c>
      <c r="V76" s="383">
        <f t="shared" si="8"/>
        <v>28.016086979341971</v>
      </c>
      <c r="W76" s="58"/>
      <c r="X76" s="157">
        <f t="shared" si="9"/>
        <v>43527</v>
      </c>
      <c r="Y76" s="385">
        <f t="shared" si="10"/>
        <v>24.257000000000001</v>
      </c>
      <c r="Z76" s="385">
        <f t="shared" si="11"/>
        <v>24.426541998842119</v>
      </c>
      <c r="AA76" s="386">
        <f t="shared" si="12"/>
        <v>25.697494882580482</v>
      </c>
      <c r="AB76" s="197">
        <f t="shared" si="13"/>
        <v>43527</v>
      </c>
      <c r="AC76" s="427">
        <f>IF(OR(t&lt;Tnet,NoTnet),'2018'!Resal_s+('2018'!Salim-'2018'!Resal_s)*(1-EXP(('2018'!Tnet_s-t)/'2018'!Tau_j)),Resal_s+(Salim-Resal_s)*(1-EXP((Tnet_s-t)/Tau_j)))*Salcycl</f>
        <v>4.9458240561802827E-2</v>
      </c>
      <c r="AD76" s="231">
        <f>(INDEX(Models!$BJ76:$BT76,,AH76)*(1-AF76)+INDEX(Models!$BJ76:$BT76,,AH76+1)*AF76-ERP_i)*AE76*Ramure*Pc/MaxiM</f>
        <v>2.2121639105166895E-3</v>
      </c>
      <c r="AE76" s="305">
        <f t="shared" si="14"/>
        <v>0.7</v>
      </c>
      <c r="AF76" s="177">
        <f t="shared" si="15"/>
        <v>0.50728805887581752</v>
      </c>
      <c r="AG76" s="176">
        <f t="shared" si="16"/>
        <v>-2</v>
      </c>
      <c r="AH76" s="176">
        <f t="shared" si="17"/>
        <v>4</v>
      </c>
      <c r="AI76" s="225">
        <f t="shared" si="22"/>
        <v>-1.4927119411241825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43528</v>
      </c>
      <c r="B77" s="617">
        <v>6.8570000000000002</v>
      </c>
      <c r="C77" s="390"/>
      <c r="D77" s="393">
        <f t="shared" si="0"/>
        <v>6.9050775895023291</v>
      </c>
      <c r="E77" s="385">
        <f t="shared" si="1"/>
        <v>7.2653129149583195</v>
      </c>
      <c r="F77" s="385">
        <f t="shared" si="2"/>
        <v>7.2653129149583195</v>
      </c>
      <c r="G77" s="110">
        <f t="shared" si="23"/>
        <v>0.24179178058136172</v>
      </c>
      <c r="H77" s="414" t="b">
        <f>Wh_hp&gt;='2018'!Maxi_hp</f>
        <v>1</v>
      </c>
      <c r="I77" s="390">
        <f>IF(H77,Wh_hp,'2018'!Maxi_hp)</f>
        <v>7.2653129149583195</v>
      </c>
      <c r="J77" s="85">
        <f>IF(H77,An,'2018'!An_max)</f>
        <v>2019</v>
      </c>
      <c r="K77" s="197">
        <f t="shared" si="3"/>
        <v>43528</v>
      </c>
      <c r="L77" s="147">
        <f>IF(t&lt;Tvie,1-EXP((T0-t)*PertePVj)+'2018'!Pspv,1-EXP((T0-t)*PertePVj)+Pspv)</f>
        <v>6.9626429072165985E-3</v>
      </c>
      <c r="M77" s="850"/>
      <c r="N77" s="850"/>
      <c r="O77" s="48">
        <f>IF(t&lt;Tnet,'2018'!Resal+('2018'!Salim-'2018'!Resal)*(1-EXP(('2018'!Tnet-t)/('2018'!Tau_j))),Resal+(Salim-Resal)*(1-EXP((Tnet-t)/(Tau_j))))*Salcycl</f>
        <v>4.9582905743029128E-2</v>
      </c>
      <c r="P77" s="169">
        <f>(INDEX(Models!$BJ77:$BT77,,T77)*(1-R77)+INDEX(Models!$BJ77:$BT77,,T77+1)*R77-ERP_i)*Q77*Ramure*Pc/MaxiM</f>
        <v>1.9883025589316444E-3</v>
      </c>
      <c r="Q77" s="305">
        <f t="shared" si="4"/>
        <v>0.7</v>
      </c>
      <c r="R77" s="177">
        <f t="shared" si="5"/>
        <v>0.50756499372537967</v>
      </c>
      <c r="S77" s="817">
        <f t="shared" si="6"/>
        <v>-2</v>
      </c>
      <c r="T77" s="176">
        <f t="shared" si="7"/>
        <v>4</v>
      </c>
      <c r="U77" s="251">
        <f t="shared" si="21"/>
        <v>-1.4924350062746203</v>
      </c>
      <c r="V77" s="383">
        <f t="shared" si="8"/>
        <v>28.302724736545162</v>
      </c>
      <c r="W77" s="58"/>
      <c r="X77" s="157">
        <f t="shared" si="9"/>
        <v>43528</v>
      </c>
      <c r="Y77" s="385">
        <f t="shared" si="10"/>
        <v>6.8570000000000002</v>
      </c>
      <c r="Z77" s="385">
        <f t="shared" si="11"/>
        <v>6.9050775895023291</v>
      </c>
      <c r="AA77" s="386">
        <f t="shared" si="12"/>
        <v>7.2653129149583195</v>
      </c>
      <c r="AB77" s="197">
        <f t="shared" si="13"/>
        <v>43528</v>
      </c>
      <c r="AC77" s="427">
        <f>IF(OR(t&lt;Tnet,NoTnet),'2018'!Resal_s+('2018'!Salim-'2018'!Resal_s)*(1-EXP(('2018'!Tnet_s-t)/'2018'!Tau_j)),Resal_s+(Salim-Resal_s)*(1-EXP((Tnet_s-t)/Tau_j)))*Salcycl</f>
        <v>4.9582905743029128E-2</v>
      </c>
      <c r="AD77" s="231">
        <f>(INDEX(Models!$BJ77:$BT77,,AH77)*(1-AF77)+INDEX(Models!$BJ77:$BT77,,AH77+1)*AF77-ERP_i)*AE77*Ramure*Pc/MaxiM</f>
        <v>1.9883025589316444E-3</v>
      </c>
      <c r="AE77" s="305">
        <f t="shared" si="14"/>
        <v>0.7</v>
      </c>
      <c r="AF77" s="177">
        <f t="shared" si="15"/>
        <v>0.50756499372537967</v>
      </c>
      <c r="AG77" s="176">
        <f t="shared" si="16"/>
        <v>-2</v>
      </c>
      <c r="AH77" s="176">
        <f t="shared" si="17"/>
        <v>4</v>
      </c>
      <c r="AI77" s="225">
        <f t="shared" si="22"/>
        <v>-1.4924350062746203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0"/>
        <v>43529</v>
      </c>
      <c r="B78" s="617">
        <v>28.045999999999999</v>
      </c>
      <c r="C78" s="390"/>
      <c r="D78" s="393">
        <f t="shared" si="0"/>
        <v>28.243262040958893</v>
      </c>
      <c r="E78" s="385">
        <f t="shared" si="1"/>
        <v>29.720596261427865</v>
      </c>
      <c r="F78" s="385">
        <f t="shared" si="2"/>
        <v>29.771929629009751</v>
      </c>
      <c r="G78" s="110">
        <f t="shared" si="23"/>
        <v>0.98098552272465467</v>
      </c>
      <c r="H78" s="414" t="b">
        <f>Wh_hp&gt;='2018'!Maxi_hp</f>
        <v>1</v>
      </c>
      <c r="I78" s="390">
        <f>IF(H78,Wh_hp,'2018'!Maxi_hp)</f>
        <v>29.771929629009751</v>
      </c>
      <c r="J78" s="85">
        <f>IF(H78,An,'2018'!An_max)</f>
        <v>2019</v>
      </c>
      <c r="K78" s="197">
        <f t="shared" si="3"/>
        <v>43529</v>
      </c>
      <c r="L78" s="147">
        <f>IF(t&lt;Tvie,1-EXP((T0-t)*PertePVj)+'2018'!Pspv,1-EXP((T0-t)*PertePVj)+Pspv)</f>
        <v>6.9843929739001887E-3</v>
      </c>
      <c r="M78" s="850"/>
      <c r="N78" s="850"/>
      <c r="O78" s="48">
        <f>IF(t&lt;Tnet,'2018'!Resal+('2018'!Salim-'2018'!Resal)*(1-EXP(('2018'!Tnet-t)/('2018'!Tau_j))),Resal+(Salim-Resal)*(1-EXP((Tnet-t)/(Tau_j))))*Salcycl</f>
        <v>4.9707422000355161E-2</v>
      </c>
      <c r="P78" s="169">
        <f>(INDEX(Models!$BJ78:$BT78,,T78)*(1-R78)+INDEX(Models!$BJ78:$BT78,,T78+1)*R78-ERP_i)*Q78*Ramure*Pc/MaxiM</f>
        <v>1.7722412380407151E-3</v>
      </c>
      <c r="Q78" s="305">
        <f t="shared" si="4"/>
        <v>0.7</v>
      </c>
      <c r="R78" s="177">
        <f t="shared" si="5"/>
        <v>0.50785313149102396</v>
      </c>
      <c r="S78" s="817">
        <f t="shared" si="6"/>
        <v>-2</v>
      </c>
      <c r="T78" s="176">
        <f t="shared" si="7"/>
        <v>4</v>
      </c>
      <c r="U78" s="251">
        <f t="shared" si="21"/>
        <v>-1.492146868508976</v>
      </c>
      <c r="V78" s="383">
        <f t="shared" si="8"/>
        <v>28.588241346029751</v>
      </c>
      <c r="W78" s="58"/>
      <c r="X78" s="157">
        <f t="shared" si="9"/>
        <v>43529</v>
      </c>
      <c r="Y78" s="385">
        <f t="shared" si="10"/>
        <v>28.045999999999999</v>
      </c>
      <c r="Z78" s="385">
        <f t="shared" si="11"/>
        <v>28.243262040958893</v>
      </c>
      <c r="AA78" s="386">
        <f t="shared" si="12"/>
        <v>29.720596261427865</v>
      </c>
      <c r="AB78" s="197">
        <f t="shared" si="13"/>
        <v>43529</v>
      </c>
      <c r="AC78" s="427">
        <f>IF(OR(t&lt;Tnet,NoTnet),'2018'!Resal_s+('2018'!Salim-'2018'!Resal_s)*(1-EXP(('2018'!Tnet_s-t)/'2018'!Tau_j)),Resal_s+(Salim-Resal_s)*(1-EXP((Tnet_s-t)/Tau_j)))*Salcycl</f>
        <v>4.9707422000355161E-2</v>
      </c>
      <c r="AD78" s="231">
        <f>(INDEX(Models!$BJ78:$BT78,,AH78)*(1-AF78)+INDEX(Models!$BJ78:$BT78,,AH78+1)*AF78-ERP_i)*AE78*Ramure*Pc/MaxiM</f>
        <v>1.7722412380407151E-3</v>
      </c>
      <c r="AE78" s="305">
        <f t="shared" si="14"/>
        <v>0.7</v>
      </c>
      <c r="AF78" s="177">
        <f t="shared" si="15"/>
        <v>0.50785313149102396</v>
      </c>
      <c r="AG78" s="176">
        <f t="shared" si="16"/>
        <v>-2</v>
      </c>
      <c r="AH78" s="176">
        <f t="shared" si="17"/>
        <v>4</v>
      </c>
      <c r="AI78" s="225">
        <f t="shared" si="22"/>
        <v>-1.492146868508976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43530</v>
      </c>
      <c r="B79" s="617">
        <v>15.073</v>
      </c>
      <c r="C79" s="390"/>
      <c r="D79" s="393">
        <f t="shared" ref="D79:D142" si="24">Wh/(1-Ppv)</f>
        <v>15.179348680890039</v>
      </c>
      <c r="E79" s="385">
        <f t="shared" si="1"/>
        <v>15.975433250813598</v>
      </c>
      <c r="F79" s="385">
        <f t="shared" ref="F79:F142" si="25">Wh_sa/(1-Pvg*MEDIAN((-Sdif+Wh/Env_an)/Csdif,0,1))</f>
        <v>15.983360810169867</v>
      </c>
      <c r="G79" s="110">
        <f t="shared" si="23"/>
        <v>0.5214779026391454</v>
      </c>
      <c r="H79" s="414" t="b">
        <f>Wh_hp&gt;='2018'!Maxi_hp</f>
        <v>1</v>
      </c>
      <c r="I79" s="390">
        <f>IF(H79,Wh_hp,'2018'!Maxi_hp)</f>
        <v>15.983360810169867</v>
      </c>
      <c r="J79" s="85">
        <f>IF(H79,An,'2018'!An_max)</f>
        <v>2019</v>
      </c>
      <c r="K79" s="197">
        <f t="shared" ref="K79:K142" si="26">t</f>
        <v>43530</v>
      </c>
      <c r="L79" s="147">
        <f>IF(t&lt;Tvie,1-EXP((T0-t)*PertePVj)+'2018'!Pspv,1-EXP((T0-t)*PertePVj)+Pspv)</f>
        <v>7.0061425642014008E-3</v>
      </c>
      <c r="M79" s="850"/>
      <c r="N79" s="850"/>
      <c r="O79" s="48">
        <f>IF(t&lt;Tnet,'2018'!Resal+('2018'!Salim-'2018'!Resal)*(1-EXP(('2018'!Tnet-t)/('2018'!Tau_j))),Resal+(Salim-Resal)*(1-EXP((Tnet-t)/(Tau_j))))*Salcycl</f>
        <v>4.9831798451100986E-2</v>
      </c>
      <c r="P79" s="169">
        <f>(INDEX(Models!$BJ79:$BT79,,T79)*(1-R79)+INDEX(Models!$BJ79:$BT79,,T79+1)*R79-ERP_i)*Q79*Ramure*Pc/MaxiM</f>
        <v>1.5636765507944048E-3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0.50815290759409271</v>
      </c>
      <c r="S79" s="817">
        <f t="shared" ref="S79:S142" si="29">INDEX(Echel_vg,T79)</f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-1.4918470924059073</v>
      </c>
      <c r="V79" s="383">
        <f t="shared" ref="V79:V142" si="32">MaxiM*(1-Ppv)*(1-Pvg)*(1-Psa)</f>
        <v>28.873512515480538</v>
      </c>
      <c r="W79" s="58"/>
      <c r="X79" s="157">
        <f t="shared" ref="X79:X142" si="33">t</f>
        <v>43530</v>
      </c>
      <c r="Y79" s="385">
        <f t="shared" ref="Y79:Y142" si="34">Wh_pvt_s*(1-Ppv)</f>
        <v>15.073</v>
      </c>
      <c r="Z79" s="385">
        <f t="shared" ref="Z79:Z142" si="35">Wh_sa_s*(1-Psa_s)</f>
        <v>15.179348680890039</v>
      </c>
      <c r="AA79" s="386">
        <f t="shared" ref="AA79:AA142" si="36">Wh_hp*(1-Pvg_s*MEDIAN((-Sdif+Wh/Env_an)/Csdif,0,1))</f>
        <v>15.975433250813598</v>
      </c>
      <c r="AB79" s="197">
        <f t="shared" ref="AB79:AB142" si="37">t</f>
        <v>43530</v>
      </c>
      <c r="AC79" s="427">
        <f>IF(OR(t&lt;Tnet,NoTnet),'2018'!Resal_s+('2018'!Salim-'2018'!Resal_s)*(1-EXP(('2018'!Tnet_s-t)/'2018'!Tau_j)),Resal_s+(Salim-Resal_s)*(1-EXP((Tnet_s-t)/Tau_j)))*Salcycl</f>
        <v>4.9831798451100986E-2</v>
      </c>
      <c r="AD79" s="231">
        <f>(INDEX(Models!$BJ79:$BT79,,AH79)*(1-AF79)+INDEX(Models!$BJ79:$BT79,,AH79+1)*AF79-ERP_i)*AE79*Ramure*Pc/MaxiM</f>
        <v>1.5636765507944048E-3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0.50815290759409271</v>
      </c>
      <c r="AG79" s="176">
        <f t="shared" ref="AG79:AG142" si="40">INDEX(Echel_vg,AH79)</f>
        <v>-2</v>
      </c>
      <c r="AH79" s="176">
        <f t="shared" ref="AH79:AH142" si="41">MIN(MATCH(Hp_vg_s,Echel_vg),10)</f>
        <v>4</v>
      </c>
      <c r="AI79" s="225">
        <f t="shared" ref="AI79:AI142" si="42">IF(OR(t&lt;Ttai,Notai),Hdd_s+PousH*Croivg,Hdtai_s+PousH*(Croivg-Croi_tai))</f>
        <v>-1.4918470924059073</v>
      </c>
      <c r="AJ79" s="265" t="b">
        <f t="shared" ref="AJ79:AJ142" si="43">t&lt;Tnet</f>
        <v>0</v>
      </c>
      <c r="AK79" s="265" t="b">
        <f t="shared" ref="AK79:AK142" si="44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5">A79+1</f>
        <v>43531</v>
      </c>
      <c r="B80" s="617">
        <v>27.812000000000001</v>
      </c>
      <c r="C80" s="390"/>
      <c r="D80" s="393">
        <f t="shared" si="24"/>
        <v>28.00884311544511</v>
      </c>
      <c r="E80" s="385">
        <f t="shared" ref="E80:E143" si="46">Wh_pvt/(1-Psa)</f>
        <v>29.481628692652698</v>
      </c>
      <c r="F80" s="385">
        <f t="shared" si="25"/>
        <v>29.519413340694289</v>
      </c>
      <c r="G80" s="110">
        <f t="shared" ref="G80:G143" si="47">+Wh_hp/MaxiM</f>
        <v>0.95372162867071375</v>
      </c>
      <c r="H80" s="414" t="b">
        <f>Wh_hp&gt;='2018'!Maxi_hp</f>
        <v>1</v>
      </c>
      <c r="I80" s="390">
        <f>IF(H80,Wh_hp,'2018'!Maxi_hp)</f>
        <v>29.519413340694289</v>
      </c>
      <c r="J80" s="85">
        <f>IF(H80,An,'2018'!An_max)</f>
        <v>2019</v>
      </c>
      <c r="K80" s="197">
        <f t="shared" si="26"/>
        <v>43531</v>
      </c>
      <c r="L80" s="147">
        <f>IF(t&lt;Tvie,1-EXP((T0-t)*PertePVj)+'2018'!Pspv,1-EXP((T0-t)*PertePVj)+Pspv)</f>
        <v>7.0278916781307821E-3</v>
      </c>
      <c r="M80" s="850"/>
      <c r="N80" s="850"/>
      <c r="O80" s="48">
        <f>IF(t&lt;Tnet,'2018'!Resal+('2018'!Salim-'2018'!Resal)*(1-EXP(('2018'!Tnet-t)/('2018'!Tau_j))),Resal+(Salim-Resal)*(1-EXP((Tnet-t)/(Tau_j))))*Salcycl</f>
        <v>4.9956045256571213E-2</v>
      </c>
      <c r="P80" s="169">
        <f>(INDEX(Models!$BJ80:$BT80,,T80)*(1-R80)+INDEX(Models!$BJ80:$BT80,,T80+1)*R80-ERP_i)*Q80*Ramure*Pc/MaxiM</f>
        <v>1.3704256303031966E-3</v>
      </c>
      <c r="Q80" s="305">
        <f t="shared" si="27"/>
        <v>0.7</v>
      </c>
      <c r="R80" s="177">
        <f t="shared" si="28"/>
        <v>0.50846477288868197</v>
      </c>
      <c r="S80" s="817">
        <f t="shared" si="29"/>
        <v>-2</v>
      </c>
      <c r="T80" s="176">
        <f t="shared" si="30"/>
        <v>4</v>
      </c>
      <c r="U80" s="251">
        <f t="shared" si="31"/>
        <v>-1.491535227111318</v>
      </c>
      <c r="V80" s="383">
        <f t="shared" si="32"/>
        <v>29.158908462921289</v>
      </c>
      <c r="W80" s="58"/>
      <c r="X80" s="157">
        <f t="shared" si="33"/>
        <v>43531</v>
      </c>
      <c r="Y80" s="385">
        <f t="shared" si="34"/>
        <v>27.812000000000001</v>
      </c>
      <c r="Z80" s="385">
        <f t="shared" si="35"/>
        <v>28.00884311544511</v>
      </c>
      <c r="AA80" s="386">
        <f t="shared" si="36"/>
        <v>29.481628692652698</v>
      </c>
      <c r="AB80" s="197">
        <f t="shared" si="37"/>
        <v>43531</v>
      </c>
      <c r="AC80" s="427">
        <f>IF(OR(t&lt;Tnet,NoTnet),'2018'!Resal_s+('2018'!Salim-'2018'!Resal_s)*(1-EXP(('2018'!Tnet_s-t)/'2018'!Tau_j)),Resal_s+(Salim-Resal_s)*(1-EXP((Tnet_s-t)/Tau_j)))*Salcycl</f>
        <v>4.9956045256571213E-2</v>
      </c>
      <c r="AD80" s="231">
        <f>(INDEX(Models!$BJ80:$BT80,,AH80)*(1-AF80)+INDEX(Models!$BJ80:$BT80,,AH80+1)*AF80-ERP_i)*AE80*Ramure*Pc/MaxiM</f>
        <v>1.3704256303031966E-3</v>
      </c>
      <c r="AE80" s="305">
        <f t="shared" si="38"/>
        <v>0.7</v>
      </c>
      <c r="AF80" s="177">
        <f t="shared" si="39"/>
        <v>0.50846477288868197</v>
      </c>
      <c r="AG80" s="176">
        <f t="shared" si="40"/>
        <v>-2</v>
      </c>
      <c r="AH80" s="176">
        <f t="shared" si="41"/>
        <v>4</v>
      </c>
      <c r="AI80" s="225">
        <f t="shared" si="42"/>
        <v>-1.491535227111318</v>
      </c>
      <c r="AJ80" s="265" t="b">
        <f t="shared" si="43"/>
        <v>0</v>
      </c>
      <c r="AK80" s="265" t="b">
        <f t="shared" si="44"/>
        <v>0</v>
      </c>
      <c r="AL80" s="265"/>
      <c r="AM80" s="265"/>
      <c r="AN80" s="75"/>
    </row>
    <row r="81" spans="1:40" s="6" customFormat="1" ht="11.25" x14ac:dyDescent="0.2">
      <c r="A81" s="56">
        <f t="shared" si="45"/>
        <v>43532</v>
      </c>
      <c r="B81" s="617">
        <v>17.599</v>
      </c>
      <c r="C81" s="390"/>
      <c r="D81" s="393">
        <f t="shared" si="24"/>
        <v>17.723947454528773</v>
      </c>
      <c r="E81" s="385">
        <f t="shared" si="46"/>
        <v>18.658361434448445</v>
      </c>
      <c r="F81" s="385">
        <f t="shared" si="25"/>
        <v>18.667820608474351</v>
      </c>
      <c r="G81" s="110">
        <f t="shared" si="47"/>
        <v>0.5973005449148332</v>
      </c>
      <c r="H81" s="414" t="b">
        <f>Wh_hp&gt;='2018'!Maxi_hp</f>
        <v>1</v>
      </c>
      <c r="I81" s="390">
        <f>IF(H81,Wh_hp,'2018'!Maxi_hp)</f>
        <v>18.667820608474351</v>
      </c>
      <c r="J81" s="85">
        <f>IF(H81,An,'2018'!An_max)</f>
        <v>2019</v>
      </c>
      <c r="K81" s="197">
        <f t="shared" si="26"/>
        <v>43532</v>
      </c>
      <c r="L81" s="147">
        <f>IF(t&lt;Tvie,1-EXP((T0-t)*PertePVj)+'2018'!Pspv,1-EXP((T0-t)*PertePVj)+Pspv)</f>
        <v>7.0496403156987686E-3</v>
      </c>
      <c r="M81" s="850"/>
      <c r="N81" s="850"/>
      <c r="O81" s="48">
        <f>IF(t&lt;Tnet,'2018'!Resal+('2018'!Salim-'2018'!Resal)*(1-EXP(('2018'!Tnet-t)/('2018'!Tau_j))),Resal+(Salim-Resal)*(1-EXP((Tnet-t)/(Tau_j))))*Salcycl</f>
        <v>5.0080173610234015E-2</v>
      </c>
      <c r="P81" s="169">
        <f>(INDEX(Models!$BJ81:$BT81,,T81)*(1-R81)+INDEX(Models!$BJ81:$BT81,,T81+1)*R81-ERP_i)*Q81*Ramure*Pc/MaxiM</f>
        <v>1.1914181190677488E-3</v>
      </c>
      <c r="Q81" s="305">
        <f t="shared" si="27"/>
        <v>0.7</v>
      </c>
      <c r="R81" s="177">
        <f t="shared" si="28"/>
        <v>0.50878919408235213</v>
      </c>
      <c r="S81" s="817">
        <f t="shared" si="29"/>
        <v>-2</v>
      </c>
      <c r="T81" s="176">
        <f t="shared" si="30"/>
        <v>4</v>
      </c>
      <c r="U81" s="251">
        <f t="shared" si="31"/>
        <v>-1.4912108059176479</v>
      </c>
      <c r="V81" s="383">
        <f t="shared" si="32"/>
        <v>29.444044317375198</v>
      </c>
      <c r="W81" s="58"/>
      <c r="X81" s="157">
        <f t="shared" si="33"/>
        <v>43532</v>
      </c>
      <c r="Y81" s="385">
        <f t="shared" si="34"/>
        <v>17.599</v>
      </c>
      <c r="Z81" s="385">
        <f t="shared" si="35"/>
        <v>17.723947454528773</v>
      </c>
      <c r="AA81" s="386">
        <f t="shared" si="36"/>
        <v>18.658361434448445</v>
      </c>
      <c r="AB81" s="197">
        <f t="shared" si="37"/>
        <v>43532</v>
      </c>
      <c r="AC81" s="427">
        <f>IF(OR(t&lt;Tnet,NoTnet),'2018'!Resal_s+('2018'!Salim-'2018'!Resal_s)*(1-EXP(('2018'!Tnet_s-t)/'2018'!Tau_j)),Resal_s+(Salim-Resal_s)*(1-EXP((Tnet_s-t)/Tau_j)))*Salcycl</f>
        <v>5.0080173610234015E-2</v>
      </c>
      <c r="AD81" s="231">
        <f>(INDEX(Models!$BJ81:$BT81,,AH81)*(1-AF81)+INDEX(Models!$BJ81:$BT81,,AH81+1)*AF81-ERP_i)*AE81*Ramure*Pc/MaxiM</f>
        <v>1.1914181190677488E-3</v>
      </c>
      <c r="AE81" s="305">
        <f t="shared" si="38"/>
        <v>0.7</v>
      </c>
      <c r="AF81" s="177">
        <f t="shared" si="39"/>
        <v>0.50878919408235213</v>
      </c>
      <c r="AG81" s="176">
        <f t="shared" si="40"/>
        <v>-2</v>
      </c>
      <c r="AH81" s="176">
        <f t="shared" si="41"/>
        <v>4</v>
      </c>
      <c r="AI81" s="225">
        <f t="shared" si="42"/>
        <v>-1.4912108059176479</v>
      </c>
      <c r="AJ81" s="265" t="b">
        <f t="shared" si="43"/>
        <v>0</v>
      </c>
      <c r="AK81" s="265" t="b">
        <f t="shared" si="44"/>
        <v>0</v>
      </c>
      <c r="AL81" s="265"/>
      <c r="AM81" s="265"/>
      <c r="AN81" s="75"/>
    </row>
    <row r="82" spans="1:40" s="6" customFormat="1" ht="11.25" x14ac:dyDescent="0.2">
      <c r="A82" s="56">
        <f t="shared" si="45"/>
        <v>43533</v>
      </c>
      <c r="B82" s="617">
        <v>14.430999999999999</v>
      </c>
      <c r="C82" s="390"/>
      <c r="D82" s="393">
        <f t="shared" si="24"/>
        <v>14.533773961718998</v>
      </c>
      <c r="E82" s="385">
        <f t="shared" si="46"/>
        <v>15.301998488752163</v>
      </c>
      <c r="F82" s="385">
        <f t="shared" si="25"/>
        <v>15.306159529493861</v>
      </c>
      <c r="G82" s="110">
        <f t="shared" si="47"/>
        <v>0.48505987052319122</v>
      </c>
      <c r="H82" s="414" t="b">
        <f>Wh_hp&gt;='2018'!Maxi_hp</f>
        <v>1</v>
      </c>
      <c r="I82" s="390">
        <f>IF(H82,Wh_hp,'2018'!Maxi_hp)</f>
        <v>15.306159529493861</v>
      </c>
      <c r="J82" s="85">
        <f>IF(H82,An,'2018'!An_max)</f>
        <v>2019</v>
      </c>
      <c r="K82" s="197">
        <f t="shared" si="26"/>
        <v>43533</v>
      </c>
      <c r="L82" s="147">
        <f>IF(t&lt;Tvie,1-EXP((T0-t)*PertePVj)+'2018'!Pspv,1-EXP((T0-t)*PertePVj)+Pspv)</f>
        <v>7.0713884769157964E-3</v>
      </c>
      <c r="M82" s="850"/>
      <c r="N82" s="850"/>
      <c r="O82" s="48">
        <f>IF(t&lt;Tnet,'2018'!Resal+('2018'!Salim-'2018'!Resal)*(1-EXP(('2018'!Tnet-t)/('2018'!Tau_j))),Resal+(Salim-Resal)*(1-EXP((Tnet-t)/(Tau_j))))*Salcycl</f>
        <v>5.0204195719784808E-2</v>
      </c>
      <c r="P82" s="169">
        <f>(INDEX(Models!$BJ82:$BT82,,T82)*(1-R82)+INDEX(Models!$BJ82:$BT82,,T82+1)*R82-ERP_i)*Q82*Ramure*Pc/MaxiM</f>
        <v>1.0262725441300222E-3</v>
      </c>
      <c r="Q82" s="305">
        <f t="shared" si="27"/>
        <v>0.7</v>
      </c>
      <c r="R82" s="177">
        <f t="shared" si="28"/>
        <v>0.50912665415707203</v>
      </c>
      <c r="S82" s="817">
        <f t="shared" si="29"/>
        <v>-2</v>
      </c>
      <c r="T82" s="176">
        <f t="shared" si="30"/>
        <v>4</v>
      </c>
      <c r="U82" s="251">
        <f t="shared" si="31"/>
        <v>-1.490873345842928</v>
      </c>
      <c r="V82" s="383">
        <f t="shared" si="32"/>
        <v>29.728515801562764</v>
      </c>
      <c r="W82" s="58"/>
      <c r="X82" s="157">
        <f t="shared" si="33"/>
        <v>43533</v>
      </c>
      <c r="Y82" s="385">
        <f t="shared" si="34"/>
        <v>14.430999999999999</v>
      </c>
      <c r="Z82" s="385">
        <f t="shared" si="35"/>
        <v>14.533773961718998</v>
      </c>
      <c r="AA82" s="386">
        <f t="shared" si="36"/>
        <v>15.301998488752163</v>
      </c>
      <c r="AB82" s="197">
        <f t="shared" si="37"/>
        <v>43533</v>
      </c>
      <c r="AC82" s="427">
        <f>IF(OR(t&lt;Tnet,NoTnet),'2018'!Resal_s+('2018'!Salim-'2018'!Resal_s)*(1-EXP(('2018'!Tnet_s-t)/'2018'!Tau_j)),Resal_s+(Salim-Resal_s)*(1-EXP((Tnet_s-t)/Tau_j)))*Salcycl</f>
        <v>5.0204195719784808E-2</v>
      </c>
      <c r="AD82" s="231">
        <f>(INDEX(Models!$BJ82:$BT82,,AH82)*(1-AF82)+INDEX(Models!$BJ82:$BT82,,AH82+1)*AF82-ERP_i)*AE82*Ramure*Pc/MaxiM</f>
        <v>1.0262725441300222E-3</v>
      </c>
      <c r="AE82" s="305">
        <f t="shared" si="38"/>
        <v>0.7</v>
      </c>
      <c r="AF82" s="177">
        <f t="shared" si="39"/>
        <v>0.50912665415707203</v>
      </c>
      <c r="AG82" s="176">
        <f t="shared" si="40"/>
        <v>-2</v>
      </c>
      <c r="AH82" s="176">
        <f t="shared" si="41"/>
        <v>4</v>
      </c>
      <c r="AI82" s="225">
        <f t="shared" si="42"/>
        <v>-1.490873345842928</v>
      </c>
      <c r="AJ82" s="265" t="b">
        <f t="shared" si="43"/>
        <v>0</v>
      </c>
      <c r="AK82" s="265" t="b">
        <f t="shared" si="44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5"/>
        <v>43534</v>
      </c>
      <c r="B83" s="617">
        <v>10.278</v>
      </c>
      <c r="C83" s="390"/>
      <c r="D83" s="393">
        <f t="shared" si="24"/>
        <v>10.351424060328362</v>
      </c>
      <c r="E83" s="385">
        <f t="shared" si="46"/>
        <v>10.900000653349073</v>
      </c>
      <c r="F83" s="385">
        <f t="shared" si="25"/>
        <v>10.900579000195696</v>
      </c>
      <c r="G83" s="110">
        <f t="shared" si="47"/>
        <v>0.34218257240169431</v>
      </c>
      <c r="H83" s="414" t="b">
        <f>Wh_hp&gt;='2018'!Maxi_hp</f>
        <v>1</v>
      </c>
      <c r="I83" s="390">
        <f>IF(H83,Wh_hp,'2018'!Maxi_hp)</f>
        <v>10.900579000195696</v>
      </c>
      <c r="J83" s="85">
        <f>IF(H83,An,'2018'!An_max)</f>
        <v>2019</v>
      </c>
      <c r="K83" s="197">
        <f t="shared" si="26"/>
        <v>43534</v>
      </c>
      <c r="L83" s="147">
        <f>IF(t&lt;Tvie,1-EXP((T0-t)*PertePVj)+'2018'!Pspv,1-EXP((T0-t)*PertePVj)+Pspv)</f>
        <v>7.0931361617923017E-3</v>
      </c>
      <c r="M83" s="850"/>
      <c r="N83" s="850"/>
      <c r="O83" s="48">
        <f>IF(t&lt;Tnet,'2018'!Resal+('2018'!Salim-'2018'!Resal)*(1-EXP(('2018'!Tnet-t)/('2018'!Tau_j))),Resal+(Salim-Resal)*(1-EXP((Tnet-t)/(Tau_j))))*Salcycl</f>
        <v>5.0328124783383187E-2</v>
      </c>
      <c r="P83" s="169">
        <f>(INDEX(Models!$BJ83:$BT83,,T83)*(1-R83)+INDEX(Models!$BJ83:$BT83,,T83+1)*R83-ERP_i)*Q83*Ramure*Pc/MaxiM</f>
        <v>8.7461424237151458E-4</v>
      </c>
      <c r="Q83" s="305">
        <f t="shared" si="27"/>
        <v>0.7</v>
      </c>
      <c r="R83" s="177">
        <f t="shared" si="28"/>
        <v>0.50947765278915891</v>
      </c>
      <c r="S83" s="817">
        <f t="shared" si="29"/>
        <v>-2</v>
      </c>
      <c r="T83" s="176">
        <f t="shared" si="30"/>
        <v>4</v>
      </c>
      <c r="U83" s="251">
        <f t="shared" si="31"/>
        <v>-1.4905223472108411</v>
      </c>
      <c r="V83" s="383">
        <f t="shared" si="32"/>
        <v>30.011918811861296</v>
      </c>
      <c r="W83" s="58"/>
      <c r="X83" s="157">
        <f t="shared" si="33"/>
        <v>43534</v>
      </c>
      <c r="Y83" s="385">
        <f t="shared" si="34"/>
        <v>10.278</v>
      </c>
      <c r="Z83" s="385">
        <f t="shared" si="35"/>
        <v>10.351424060328362</v>
      </c>
      <c r="AA83" s="386">
        <f t="shared" si="36"/>
        <v>10.900000653349073</v>
      </c>
      <c r="AB83" s="197">
        <f t="shared" si="37"/>
        <v>43534</v>
      </c>
      <c r="AC83" s="427">
        <f>IF(OR(t&lt;Tnet,NoTnet),'2018'!Resal_s+('2018'!Salim-'2018'!Resal_s)*(1-EXP(('2018'!Tnet_s-t)/'2018'!Tau_j)),Resal_s+(Salim-Resal_s)*(1-EXP((Tnet_s-t)/Tau_j)))*Salcycl</f>
        <v>5.0328124783383187E-2</v>
      </c>
      <c r="AD83" s="231">
        <f>(INDEX(Models!$BJ83:$BT83,,AH83)*(1-AF83)+INDEX(Models!$BJ83:$BT83,,AH83+1)*AF83-ERP_i)*AE83*Ramure*Pc/MaxiM</f>
        <v>8.7461424237151458E-4</v>
      </c>
      <c r="AE83" s="305">
        <f t="shared" si="38"/>
        <v>0.7</v>
      </c>
      <c r="AF83" s="177">
        <f t="shared" si="39"/>
        <v>0.50947765278915891</v>
      </c>
      <c r="AG83" s="176">
        <f t="shared" si="40"/>
        <v>-2</v>
      </c>
      <c r="AH83" s="176">
        <f t="shared" si="41"/>
        <v>4</v>
      </c>
      <c r="AI83" s="225">
        <f t="shared" si="42"/>
        <v>-1.4905223472108411</v>
      </c>
      <c r="AJ83" s="265" t="b">
        <f t="shared" si="43"/>
        <v>0</v>
      </c>
      <c r="AK83" s="265" t="b">
        <f t="shared" si="44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5"/>
        <v>43535</v>
      </c>
      <c r="B84" s="617">
        <v>21.521999999999998</v>
      </c>
      <c r="C84" s="390"/>
      <c r="D84" s="393">
        <f t="shared" si="24"/>
        <v>21.676223804276784</v>
      </c>
      <c r="E84" s="385">
        <f t="shared" si="46"/>
        <v>22.827938379812622</v>
      </c>
      <c r="F84" s="385">
        <f t="shared" si="25"/>
        <v>22.837795052055615</v>
      </c>
      <c r="G84" s="110">
        <f t="shared" si="47"/>
        <v>0.71022483178002704</v>
      </c>
      <c r="H84" s="414" t="b">
        <f>Wh_hp&gt;='2018'!Maxi_hp</f>
        <v>1</v>
      </c>
      <c r="I84" s="390">
        <f>IF(H84,Wh_hp,'2018'!Maxi_hp)</f>
        <v>22.837795052055615</v>
      </c>
      <c r="J84" s="85">
        <f>IF(H84,An,'2018'!An_max)</f>
        <v>2019</v>
      </c>
      <c r="K84" s="197">
        <f t="shared" si="26"/>
        <v>43535</v>
      </c>
      <c r="L84" s="147">
        <f>IF(t&lt;Tvie,1-EXP((T0-t)*PertePVj)+'2018'!Pspv,1-EXP((T0-t)*PertePVj)+Pspv)</f>
        <v>7.1148833703386094E-3</v>
      </c>
      <c r="M84" s="850"/>
      <c r="N84" s="850"/>
      <c r="O84" s="48">
        <f>IF(t&lt;Tnet,'2018'!Resal+('2018'!Salim-'2018'!Resal)*(1-EXP(('2018'!Tnet-t)/('2018'!Tau_j))),Resal+(Salim-Resal)*(1-EXP((Tnet-t)/(Tau_j))))*Salcycl</f>
        <v>5.0451974960398958E-2</v>
      </c>
      <c r="P84" s="169">
        <f>(INDEX(Models!$BJ84:$BT84,,T84)*(1-R84)+INDEX(Models!$BJ84:$BT84,,T84+1)*R84-ERP_i)*Q84*Ramure*Pc/MaxiM</f>
        <v>7.3607690445913075E-4</v>
      </c>
      <c r="Q84" s="305">
        <f t="shared" si="27"/>
        <v>0.7</v>
      </c>
      <c r="R84" s="177">
        <f t="shared" si="28"/>
        <v>0.50984270676684962</v>
      </c>
      <c r="S84" s="817">
        <f t="shared" si="29"/>
        <v>-2</v>
      </c>
      <c r="T84" s="176">
        <f t="shared" si="30"/>
        <v>4</v>
      </c>
      <c r="U84" s="251">
        <f t="shared" si="31"/>
        <v>-1.4901572932331504</v>
      </c>
      <c r="V84" s="383">
        <f t="shared" si="32"/>
        <v>30.293849415919283</v>
      </c>
      <c r="W84" s="58"/>
      <c r="X84" s="157">
        <f t="shared" si="33"/>
        <v>43535</v>
      </c>
      <c r="Y84" s="385">
        <f t="shared" si="34"/>
        <v>21.521999999999998</v>
      </c>
      <c r="Z84" s="385">
        <f t="shared" si="35"/>
        <v>21.676223804276784</v>
      </c>
      <c r="AA84" s="386">
        <f t="shared" si="36"/>
        <v>22.827938379812622</v>
      </c>
      <c r="AB84" s="197">
        <f t="shared" si="37"/>
        <v>43535</v>
      </c>
      <c r="AC84" s="427">
        <f>IF(OR(t&lt;Tnet,NoTnet),'2018'!Resal_s+('2018'!Salim-'2018'!Resal_s)*(1-EXP(('2018'!Tnet_s-t)/'2018'!Tau_j)),Resal_s+(Salim-Resal_s)*(1-EXP((Tnet_s-t)/Tau_j)))*Salcycl</f>
        <v>5.0451974960398958E-2</v>
      </c>
      <c r="AD84" s="231">
        <f>(INDEX(Models!$BJ84:$BT84,,AH84)*(1-AF84)+INDEX(Models!$BJ84:$BT84,,AH84+1)*AF84-ERP_i)*AE84*Ramure*Pc/MaxiM</f>
        <v>7.3607690445913075E-4</v>
      </c>
      <c r="AE84" s="305">
        <f t="shared" si="38"/>
        <v>0.7</v>
      </c>
      <c r="AF84" s="177">
        <f t="shared" si="39"/>
        <v>0.50984270676684962</v>
      </c>
      <c r="AG84" s="176">
        <f t="shared" si="40"/>
        <v>-2</v>
      </c>
      <c r="AH84" s="176">
        <f t="shared" si="41"/>
        <v>4</v>
      </c>
      <c r="AI84" s="225">
        <f t="shared" si="42"/>
        <v>-1.4901572932331504</v>
      </c>
      <c r="AJ84" s="265" t="b">
        <f t="shared" si="43"/>
        <v>0</v>
      </c>
      <c r="AK84" s="265" t="b">
        <f t="shared" si="44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5"/>
        <v>43536</v>
      </c>
      <c r="B85" s="617">
        <v>25.991</v>
      </c>
      <c r="C85" s="390"/>
      <c r="D85" s="393">
        <f t="shared" si="24"/>
        <v>26.17782142842568</v>
      </c>
      <c r="E85" s="385">
        <f t="shared" si="46"/>
        <v>27.572312104956424</v>
      </c>
      <c r="F85" s="385">
        <f t="shared" si="25"/>
        <v>27.585542552425984</v>
      </c>
      <c r="G85" s="110">
        <f t="shared" si="47"/>
        <v>0.84999291461959281</v>
      </c>
      <c r="H85" s="414" t="b">
        <f>Wh_hp&gt;='2018'!Maxi_hp</f>
        <v>1</v>
      </c>
      <c r="I85" s="390">
        <f>IF(H85,Wh_hp,'2018'!Maxi_hp)</f>
        <v>27.585542552425984</v>
      </c>
      <c r="J85" s="85">
        <f>IF(H85,An,'2018'!An_max)</f>
        <v>2019</v>
      </c>
      <c r="K85" s="197">
        <f t="shared" si="26"/>
        <v>43536</v>
      </c>
      <c r="L85" s="147">
        <f>IF(t&lt;Tvie,1-EXP((T0-t)*PertePVj)+'2018'!Pspv,1-EXP((T0-t)*PertePVj)+Pspv)</f>
        <v>7.1366301025652668E-3</v>
      </c>
      <c r="M85" s="850"/>
      <c r="N85" s="850"/>
      <c r="O85" s="48">
        <f>IF(t&lt;Tnet,'2018'!Resal+('2018'!Salim-'2018'!Resal)*(1-EXP(('2018'!Tnet-t)/('2018'!Tau_j))),Resal+(Salim-Resal)*(1-EXP((Tnet-t)/(Tau_j))))*Salcycl</f>
        <v>5.0575761337043175E-2</v>
      </c>
      <c r="P85" s="169">
        <f>(INDEX(Models!$BJ85:$BT85,,T85)*(1-R85)+INDEX(Models!$BJ85:$BT85,,T85+1)*R85-ERP_i)*Q85*Ramure*Pc/MaxiM</f>
        <v>6.1030395875599894E-4</v>
      </c>
      <c r="Q85" s="305">
        <f t="shared" si="27"/>
        <v>0.7</v>
      </c>
      <c r="R85" s="177">
        <f t="shared" si="28"/>
        <v>0.51022235040399644</v>
      </c>
      <c r="S85" s="817">
        <f t="shared" si="29"/>
        <v>-2</v>
      </c>
      <c r="T85" s="176">
        <f t="shared" si="30"/>
        <v>4</v>
      </c>
      <c r="U85" s="251">
        <f t="shared" si="31"/>
        <v>-1.4897776495960036</v>
      </c>
      <c r="V85" s="383">
        <f t="shared" si="32"/>
        <v>30.573903844885994</v>
      </c>
      <c r="W85" s="58"/>
      <c r="X85" s="157">
        <f t="shared" si="33"/>
        <v>43536</v>
      </c>
      <c r="Y85" s="385">
        <f t="shared" si="34"/>
        <v>25.991</v>
      </c>
      <c r="Z85" s="385">
        <f t="shared" si="35"/>
        <v>26.17782142842568</v>
      </c>
      <c r="AA85" s="386">
        <f t="shared" si="36"/>
        <v>27.572312104956424</v>
      </c>
      <c r="AB85" s="197">
        <f t="shared" si="37"/>
        <v>43536</v>
      </c>
      <c r="AC85" s="427">
        <f>IF(OR(t&lt;Tnet,NoTnet),'2018'!Resal_s+('2018'!Salim-'2018'!Resal_s)*(1-EXP(('2018'!Tnet_s-t)/'2018'!Tau_j)),Resal_s+(Salim-Resal_s)*(1-EXP((Tnet_s-t)/Tau_j)))*Salcycl</f>
        <v>5.0575761337043175E-2</v>
      </c>
      <c r="AD85" s="231">
        <f>(INDEX(Models!$BJ85:$BT85,,AH85)*(1-AF85)+INDEX(Models!$BJ85:$BT85,,AH85+1)*AF85-ERP_i)*AE85*Ramure*Pc/MaxiM</f>
        <v>6.1030395875599894E-4</v>
      </c>
      <c r="AE85" s="305">
        <f t="shared" si="38"/>
        <v>0.7</v>
      </c>
      <c r="AF85" s="177">
        <f t="shared" si="39"/>
        <v>0.51022235040399644</v>
      </c>
      <c r="AG85" s="176">
        <f t="shared" si="40"/>
        <v>-2</v>
      </c>
      <c r="AH85" s="176">
        <f t="shared" si="41"/>
        <v>4</v>
      </c>
      <c r="AI85" s="225">
        <f t="shared" si="42"/>
        <v>-1.4897776495960036</v>
      </c>
      <c r="AJ85" s="265" t="b">
        <f t="shared" si="43"/>
        <v>0</v>
      </c>
      <c r="AK85" s="265" t="b">
        <f t="shared" si="44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5"/>
        <v>43537</v>
      </c>
      <c r="B86" s="617">
        <v>15.943</v>
      </c>
      <c r="C86" s="390"/>
      <c r="D86" s="393">
        <f t="shared" si="24"/>
        <v>16.057948841351656</v>
      </c>
      <c r="E86" s="385">
        <f t="shared" si="46"/>
        <v>16.915559234873669</v>
      </c>
      <c r="F86" s="385">
        <f t="shared" si="25"/>
        <v>16.91817916030363</v>
      </c>
      <c r="G86" s="110">
        <f t="shared" si="47"/>
        <v>0.51658600030137747</v>
      </c>
      <c r="H86" s="414" t="b">
        <f>Wh_hp&gt;='2018'!Maxi_hp</f>
        <v>1</v>
      </c>
      <c r="I86" s="390">
        <f>IF(H86,Wh_hp,'2018'!Maxi_hp)</f>
        <v>16.91817916030363</v>
      </c>
      <c r="J86" s="85">
        <f>IF(H86,An,'2018'!An_max)</f>
        <v>2019</v>
      </c>
      <c r="K86" s="197">
        <f t="shared" si="26"/>
        <v>43537</v>
      </c>
      <c r="L86" s="147">
        <f>IF(t&lt;Tvie,1-EXP((T0-t)*PertePVj)+'2018'!Pspv,1-EXP((T0-t)*PertePVj)+Pspv)</f>
        <v>7.1583763584827098E-3</v>
      </c>
      <c r="M86" s="850"/>
      <c r="N86" s="850"/>
      <c r="O86" s="48">
        <f>IF(t&lt;Tnet,'2018'!Resal+('2018'!Salim-'2018'!Resal)*(1-EXP(('2018'!Tnet-t)/('2018'!Tau_j))),Resal+(Salim-Resal)*(1-EXP((Tnet-t)/(Tau_j))))*Salcycl</f>
        <v>5.0699499887295267E-2</v>
      </c>
      <c r="P86" s="169">
        <f>(INDEX(Models!$BJ86:$BT86,,T86)*(1-R86)+INDEX(Models!$BJ86:$BT86,,T86+1)*R86-ERP_i)*Q86*Ramure*Pc/MaxiM</f>
        <v>5.0008673331600846E-4</v>
      </c>
      <c r="Q86" s="305">
        <f t="shared" si="27"/>
        <v>0.7</v>
      </c>
      <c r="R86" s="177">
        <f t="shared" si="28"/>
        <v>0.51061713594823943</v>
      </c>
      <c r="S86" s="817">
        <f t="shared" si="29"/>
        <v>-2</v>
      </c>
      <c r="T86" s="176">
        <f t="shared" si="30"/>
        <v>4</v>
      </c>
      <c r="U86" s="251">
        <f t="shared" si="31"/>
        <v>-1.4893828640517606</v>
      </c>
      <c r="V86" s="383">
        <f t="shared" si="32"/>
        <v>30.851581665008556</v>
      </c>
      <c r="W86" s="58"/>
      <c r="X86" s="157">
        <f t="shared" si="33"/>
        <v>43537</v>
      </c>
      <c r="Y86" s="385">
        <f t="shared" si="34"/>
        <v>15.943</v>
      </c>
      <c r="Z86" s="385">
        <f t="shared" si="35"/>
        <v>16.057948841351656</v>
      </c>
      <c r="AA86" s="386">
        <f t="shared" si="36"/>
        <v>16.915559234873669</v>
      </c>
      <c r="AB86" s="197">
        <f t="shared" si="37"/>
        <v>43537</v>
      </c>
      <c r="AC86" s="427">
        <f>IF(OR(t&lt;Tnet,NoTnet),'2018'!Resal_s+('2018'!Salim-'2018'!Resal_s)*(1-EXP(('2018'!Tnet_s-t)/'2018'!Tau_j)),Resal_s+(Salim-Resal_s)*(1-EXP((Tnet_s-t)/Tau_j)))*Salcycl</f>
        <v>5.0699499887295267E-2</v>
      </c>
      <c r="AD86" s="231">
        <f>(INDEX(Models!$BJ86:$BT86,,AH86)*(1-AF86)+INDEX(Models!$BJ86:$BT86,,AH86+1)*AF86-ERP_i)*AE86*Ramure*Pc/MaxiM</f>
        <v>5.0008673331600846E-4</v>
      </c>
      <c r="AE86" s="305">
        <f t="shared" si="38"/>
        <v>0.7</v>
      </c>
      <c r="AF86" s="177">
        <f t="shared" si="39"/>
        <v>0.51061713594823943</v>
      </c>
      <c r="AG86" s="176">
        <f t="shared" si="40"/>
        <v>-2</v>
      </c>
      <c r="AH86" s="176">
        <f t="shared" si="41"/>
        <v>4</v>
      </c>
      <c r="AI86" s="225">
        <f t="shared" si="42"/>
        <v>-1.4893828640517606</v>
      </c>
      <c r="AJ86" s="265" t="b">
        <f t="shared" si="43"/>
        <v>0</v>
      </c>
      <c r="AK86" s="265" t="b">
        <f t="shared" si="44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5"/>
        <v>43538</v>
      </c>
      <c r="B87" s="617">
        <v>16.559000000000001</v>
      </c>
      <c r="C87" s="390"/>
      <c r="D87" s="393">
        <f t="shared" si="24"/>
        <v>16.678755501613114</v>
      </c>
      <c r="E87" s="385">
        <f t="shared" si="46"/>
        <v>17.571811312880854</v>
      </c>
      <c r="F87" s="385">
        <f t="shared" si="25"/>
        <v>17.574155132417463</v>
      </c>
      <c r="G87" s="110">
        <f t="shared" si="47"/>
        <v>0.53184624744919529</v>
      </c>
      <c r="H87" s="414" t="b">
        <f>Wh_hp&gt;='2018'!Maxi_hp</f>
        <v>1</v>
      </c>
      <c r="I87" s="390">
        <f>IF(H87,Wh_hp,'2018'!Maxi_hp)</f>
        <v>17.574155132417463</v>
      </c>
      <c r="J87" s="85">
        <f>IF(H87,An,'2018'!An_max)</f>
        <v>2019</v>
      </c>
      <c r="K87" s="197">
        <f t="shared" si="26"/>
        <v>43538</v>
      </c>
      <c r="L87" s="147">
        <f>IF(t&lt;Tvie,1-EXP((T0-t)*PertePVj)+'2018'!Pspv,1-EXP((T0-t)*PertePVj)+Pspv)</f>
        <v>7.1801221381013747E-3</v>
      </c>
      <c r="M87" s="850"/>
      <c r="N87" s="850"/>
      <c r="O87" s="48">
        <f>IF(t&lt;Tnet,'2018'!Resal+('2018'!Salim-'2018'!Resal)*(1-EXP(('2018'!Tnet-t)/('2018'!Tau_j))),Resal+(Salim-Resal)*(1-EXP((Tnet-t)/(Tau_j))))*Salcycl</f>
        <v>5.0823207429566183E-2</v>
      </c>
      <c r="P87" s="169">
        <f>(INDEX(Models!$BJ87:$BT87,,T87)*(1-R87)+INDEX(Models!$BJ87:$BT87,,T87+1)*R87-ERP_i)*Q87*Ramure*Pc/MaxiM</f>
        <v>4.0242005226027116E-4</v>
      </c>
      <c r="Q87" s="305">
        <f t="shared" si="27"/>
        <v>0.7</v>
      </c>
      <c r="R87" s="177">
        <f t="shared" si="28"/>
        <v>0.51102763398184758</v>
      </c>
      <c r="S87" s="817">
        <f t="shared" si="29"/>
        <v>-2</v>
      </c>
      <c r="T87" s="176">
        <f t="shared" si="30"/>
        <v>4</v>
      </c>
      <c r="U87" s="251">
        <f t="shared" si="31"/>
        <v>-1.4889723660181524</v>
      </c>
      <c r="V87" s="383">
        <f t="shared" si="32"/>
        <v>31.126560058317157</v>
      </c>
      <c r="W87" s="58"/>
      <c r="X87" s="157">
        <f t="shared" si="33"/>
        <v>43538</v>
      </c>
      <c r="Y87" s="385">
        <f t="shared" si="34"/>
        <v>16.559000000000001</v>
      </c>
      <c r="Z87" s="385">
        <f t="shared" si="35"/>
        <v>16.678755501613114</v>
      </c>
      <c r="AA87" s="386">
        <f t="shared" si="36"/>
        <v>17.571811312880854</v>
      </c>
      <c r="AB87" s="197">
        <f t="shared" si="37"/>
        <v>43538</v>
      </c>
      <c r="AC87" s="427">
        <f>IF(OR(t&lt;Tnet,NoTnet),'2018'!Resal_s+('2018'!Salim-'2018'!Resal_s)*(1-EXP(('2018'!Tnet_s-t)/'2018'!Tau_j)),Resal_s+(Salim-Resal_s)*(1-EXP((Tnet_s-t)/Tau_j)))*Salcycl</f>
        <v>5.0823207429566183E-2</v>
      </c>
      <c r="AD87" s="231">
        <f>(INDEX(Models!$BJ87:$BT87,,AH87)*(1-AF87)+INDEX(Models!$BJ87:$BT87,,AH87+1)*AF87-ERP_i)*AE87*Ramure*Pc/MaxiM</f>
        <v>4.0242005226027116E-4</v>
      </c>
      <c r="AE87" s="305">
        <f t="shared" si="38"/>
        <v>0.7</v>
      </c>
      <c r="AF87" s="177">
        <f t="shared" si="39"/>
        <v>0.51102763398184758</v>
      </c>
      <c r="AG87" s="176">
        <f t="shared" si="40"/>
        <v>-2</v>
      </c>
      <c r="AH87" s="176">
        <f t="shared" si="41"/>
        <v>4</v>
      </c>
      <c r="AI87" s="225">
        <f t="shared" si="42"/>
        <v>-1.4889723660181524</v>
      </c>
      <c r="AJ87" s="265" t="b">
        <f t="shared" si="43"/>
        <v>0</v>
      </c>
      <c r="AK87" s="265" t="b">
        <f t="shared" si="44"/>
        <v>0</v>
      </c>
      <c r="AL87" s="265"/>
      <c r="AM87" s="265"/>
      <c r="AN87" s="75"/>
    </row>
    <row r="88" spans="1:40" s="6" customFormat="1" ht="11.25" x14ac:dyDescent="0.2">
      <c r="A88" s="56">
        <f t="shared" si="45"/>
        <v>43539</v>
      </c>
      <c r="B88" s="617">
        <v>9.4689999999999994</v>
      </c>
      <c r="C88" s="390"/>
      <c r="D88" s="393">
        <f t="shared" si="24"/>
        <v>9.5376891731224038</v>
      </c>
      <c r="E88" s="385">
        <f t="shared" si="46"/>
        <v>10.049689726524763</v>
      </c>
      <c r="F88" s="385">
        <f t="shared" si="25"/>
        <v>10.049696896312058</v>
      </c>
      <c r="G88" s="110">
        <f t="shared" si="47"/>
        <v>0.30148015731934369</v>
      </c>
      <c r="H88" s="414" t="b">
        <f>Wh_hp&gt;='2018'!Maxi_hp</f>
        <v>1</v>
      </c>
      <c r="I88" s="390">
        <f>IF(H88,Wh_hp,'2018'!Maxi_hp)</f>
        <v>10.049696896312058</v>
      </c>
      <c r="J88" s="85">
        <f>IF(H88,An,'2018'!An_max)</f>
        <v>2019</v>
      </c>
      <c r="K88" s="197">
        <f t="shared" si="26"/>
        <v>43539</v>
      </c>
      <c r="L88" s="147">
        <f>IF(t&lt;Tvie,1-EXP((T0-t)*PertePVj)+'2018'!Pspv,1-EXP((T0-t)*PertePVj)+Pspv)</f>
        <v>7.2018674414315864E-3</v>
      </c>
      <c r="M88" s="850"/>
      <c r="N88" s="850"/>
      <c r="O88" s="48">
        <f>IF(t&lt;Tnet,'2018'!Resal+('2018'!Salim-'2018'!Resal)*(1-EXP(('2018'!Tnet-t)/('2018'!Tau_j))),Resal+(Salim-Resal)*(1-EXP((Tnet-t)/(Tau_j))))*Salcycl</f>
        <v>5.0946901579558709E-2</v>
      </c>
      <c r="P88" s="169">
        <f>(INDEX(Models!$BJ88:$BT88,,T88)*(1-R88)+INDEX(Models!$BJ88:$BT88,,T88+1)*R88-ERP_i)*Q88*Ramure*Pc/MaxiM</f>
        <v>3.1697398160205237E-4</v>
      </c>
      <c r="Q88" s="305">
        <f t="shared" si="27"/>
        <v>0.7</v>
      </c>
      <c r="R88" s="177">
        <f t="shared" si="28"/>
        <v>0.51145443381325406</v>
      </c>
      <c r="S88" s="817">
        <f t="shared" si="29"/>
        <v>-2</v>
      </c>
      <c r="T88" s="176">
        <f t="shared" si="30"/>
        <v>4</v>
      </c>
      <c r="U88" s="251">
        <f t="shared" si="31"/>
        <v>-1.4885455661867459</v>
      </c>
      <c r="V88" s="383">
        <f t="shared" si="32"/>
        <v>31.398435674503364</v>
      </c>
      <c r="W88" s="58"/>
      <c r="X88" s="157">
        <f t="shared" si="33"/>
        <v>43539</v>
      </c>
      <c r="Y88" s="385">
        <f t="shared" si="34"/>
        <v>9.4689999999999994</v>
      </c>
      <c r="Z88" s="385">
        <f t="shared" si="35"/>
        <v>9.5376891731224038</v>
      </c>
      <c r="AA88" s="386">
        <f t="shared" si="36"/>
        <v>10.049689726524763</v>
      </c>
      <c r="AB88" s="197">
        <f t="shared" si="37"/>
        <v>43539</v>
      </c>
      <c r="AC88" s="427">
        <f>IF(OR(t&lt;Tnet,NoTnet),'2018'!Resal_s+('2018'!Salim-'2018'!Resal_s)*(1-EXP(('2018'!Tnet_s-t)/'2018'!Tau_j)),Resal_s+(Salim-Resal_s)*(1-EXP((Tnet_s-t)/Tau_j)))*Salcycl</f>
        <v>5.0946901579558709E-2</v>
      </c>
      <c r="AD88" s="231">
        <f>(INDEX(Models!$BJ88:$BT88,,AH88)*(1-AF88)+INDEX(Models!$BJ88:$BT88,,AH88+1)*AF88-ERP_i)*AE88*Ramure*Pc/MaxiM</f>
        <v>3.1697398160205237E-4</v>
      </c>
      <c r="AE88" s="305">
        <f t="shared" si="38"/>
        <v>0.7</v>
      </c>
      <c r="AF88" s="177">
        <f t="shared" si="39"/>
        <v>0.51145443381325406</v>
      </c>
      <c r="AG88" s="176">
        <f t="shared" si="40"/>
        <v>-2</v>
      </c>
      <c r="AH88" s="176">
        <f t="shared" si="41"/>
        <v>4</v>
      </c>
      <c r="AI88" s="225">
        <f t="shared" si="42"/>
        <v>-1.4885455661867459</v>
      </c>
      <c r="AJ88" s="265" t="b">
        <f t="shared" si="43"/>
        <v>0</v>
      </c>
      <c r="AK88" s="265" t="b">
        <f t="shared" si="44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5"/>
        <v>43540</v>
      </c>
      <c r="B89" s="617">
        <v>31.241</v>
      </c>
      <c r="C89" s="390"/>
      <c r="D89" s="393">
        <f t="shared" si="24"/>
        <v>31.468314905620751</v>
      </c>
      <c r="E89" s="385">
        <f t="shared" si="46"/>
        <v>33.161913761790437</v>
      </c>
      <c r="F89" s="385">
        <f t="shared" si="25"/>
        <v>33.169833302291202</v>
      </c>
      <c r="G89" s="110">
        <f t="shared" si="47"/>
        <v>0.98654896115667723</v>
      </c>
      <c r="H89" s="414" t="b">
        <f>Wh_hp&gt;='2018'!Maxi_hp</f>
        <v>1</v>
      </c>
      <c r="I89" s="390">
        <f>IF(H89,Wh_hp,'2018'!Maxi_hp)</f>
        <v>33.169833302291202</v>
      </c>
      <c r="J89" s="85">
        <f>IF(H89,An,'2018'!An_max)</f>
        <v>2019</v>
      </c>
      <c r="K89" s="197">
        <f t="shared" si="26"/>
        <v>43540</v>
      </c>
      <c r="L89" s="147">
        <f>IF(t&lt;Tvie,1-EXP((T0-t)*PertePVj)+'2018'!Pspv,1-EXP((T0-t)*PertePVj)+Pspv)</f>
        <v>7.2236122684837811E-3</v>
      </c>
      <c r="M89" s="850"/>
      <c r="N89" s="850"/>
      <c r="O89" s="48">
        <f>IF(t&lt;Tnet,'2018'!Resal+('2018'!Salim-'2018'!Resal)*(1-EXP(('2018'!Tnet-t)/('2018'!Tau_j))),Resal+(Salim-Resal)*(1-EXP((Tnet-t)/(Tau_j))))*Salcycl</f>
        <v>5.1070600699802668E-2</v>
      </c>
      <c r="P89" s="169">
        <f>(INDEX(Models!$BJ89:$BT89,,T89)*(1-R89)+INDEX(Models!$BJ89:$BT89,,T89+1)*R89-ERP_i)*Q89*Ramure*Pc/MaxiM</f>
        <v>2.4343347683911318E-4</v>
      </c>
      <c r="Q89" s="305">
        <f t="shared" si="27"/>
        <v>0.7</v>
      </c>
      <c r="R89" s="177">
        <f t="shared" si="28"/>
        <v>0.5118981438571395</v>
      </c>
      <c r="S89" s="817">
        <f t="shared" si="29"/>
        <v>-2</v>
      </c>
      <c r="T89" s="176">
        <f t="shared" si="30"/>
        <v>4</v>
      </c>
      <c r="U89" s="251">
        <f t="shared" si="31"/>
        <v>-1.4881018561428605</v>
      </c>
      <c r="V89" s="383">
        <f t="shared" si="32"/>
        <v>31.66680530550142</v>
      </c>
      <c r="W89" s="58"/>
      <c r="X89" s="157">
        <f t="shared" si="33"/>
        <v>43540</v>
      </c>
      <c r="Y89" s="385">
        <f t="shared" si="34"/>
        <v>31.240999999999996</v>
      </c>
      <c r="Z89" s="385">
        <f t="shared" si="35"/>
        <v>31.468314905620748</v>
      </c>
      <c r="AA89" s="386">
        <f t="shared" si="36"/>
        <v>33.161913761790437</v>
      </c>
      <c r="AB89" s="197">
        <f t="shared" si="37"/>
        <v>43540</v>
      </c>
      <c r="AC89" s="427">
        <f>IF(OR(t&lt;Tnet,NoTnet),'2018'!Resal_s+('2018'!Salim-'2018'!Resal_s)*(1-EXP(('2018'!Tnet_s-t)/'2018'!Tau_j)),Resal_s+(Salim-Resal_s)*(1-EXP((Tnet_s-t)/Tau_j)))*Salcycl</f>
        <v>5.1070600699802668E-2</v>
      </c>
      <c r="AD89" s="231">
        <f>(INDEX(Models!$BJ89:$BT89,,AH89)*(1-AF89)+INDEX(Models!$BJ89:$BT89,,AH89+1)*AF89-ERP_i)*AE89*Ramure*Pc/MaxiM</f>
        <v>2.4343347683911318E-4</v>
      </c>
      <c r="AE89" s="305">
        <f t="shared" si="38"/>
        <v>0.7</v>
      </c>
      <c r="AF89" s="177">
        <f t="shared" si="39"/>
        <v>0.5118981438571395</v>
      </c>
      <c r="AG89" s="176">
        <f t="shared" si="40"/>
        <v>-2</v>
      </c>
      <c r="AH89" s="176">
        <f t="shared" si="41"/>
        <v>4</v>
      </c>
      <c r="AI89" s="225">
        <f t="shared" si="42"/>
        <v>-1.4881018561428605</v>
      </c>
      <c r="AJ89" s="265" t="b">
        <f t="shared" si="43"/>
        <v>0</v>
      </c>
      <c r="AK89" s="265" t="b">
        <f t="shared" si="44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5"/>
        <v>43541</v>
      </c>
      <c r="B90" s="617">
        <v>11.262</v>
      </c>
      <c r="C90" s="390"/>
      <c r="D90" s="393">
        <f t="shared" si="24"/>
        <v>11.344192721827351</v>
      </c>
      <c r="E90" s="385">
        <f t="shared" si="46"/>
        <v>11.956286737043367</v>
      </c>
      <c r="F90" s="385">
        <f t="shared" si="25"/>
        <v>11.956450098244028</v>
      </c>
      <c r="G90" s="110">
        <f t="shared" si="47"/>
        <v>0.35263587251769829</v>
      </c>
      <c r="H90" s="414" t="b">
        <f>Wh_hp&gt;='2018'!Maxi_hp</f>
        <v>1</v>
      </c>
      <c r="I90" s="390">
        <f>IF(H90,Wh_hp,'2018'!Maxi_hp)</f>
        <v>11.956450098244028</v>
      </c>
      <c r="J90" s="85">
        <f>IF(H90,An,'2018'!An_max)</f>
        <v>2019</v>
      </c>
      <c r="K90" s="197">
        <f t="shared" si="26"/>
        <v>43541</v>
      </c>
      <c r="L90" s="147">
        <f>IF(t&lt;Tvie,1-EXP((T0-t)*PertePVj)+'2018'!Pspv,1-EXP((T0-t)*PertePVj)+Pspv)</f>
        <v>7.245356619268617E-3</v>
      </c>
      <c r="M90" s="850"/>
      <c r="N90" s="850"/>
      <c r="O90" s="48">
        <f>IF(t&lt;Tnet,'2018'!Resal+('2018'!Salim-'2018'!Resal)*(1-EXP(('2018'!Tnet-t)/('2018'!Tau_j))),Resal+(Salim-Resal)*(1-EXP((Tnet-t)/(Tau_j))))*Salcycl</f>
        <v>5.1194323846349928E-2</v>
      </c>
      <c r="P90" s="169">
        <f>(INDEX(Models!$BJ90:$BT90,,T90)*(1-R90)+INDEX(Models!$BJ90:$BT90,,T90+1)*R90-ERP_i)*Q90*Ramure*Pc/MaxiM</f>
        <v>1.8149920587193672E-4</v>
      </c>
      <c r="Q90" s="305">
        <f t="shared" si="27"/>
        <v>0.7</v>
      </c>
      <c r="R90" s="177">
        <f t="shared" si="28"/>
        <v>0.51235939200072833</v>
      </c>
      <c r="S90" s="817">
        <f t="shared" si="29"/>
        <v>-2</v>
      </c>
      <c r="T90" s="176">
        <f t="shared" si="30"/>
        <v>4</v>
      </c>
      <c r="U90" s="251">
        <f t="shared" si="31"/>
        <v>-1.4876406079992717</v>
      </c>
      <c r="V90" s="383">
        <f t="shared" si="32"/>
        <v>31.931265876725476</v>
      </c>
      <c r="W90" s="58"/>
      <c r="X90" s="157">
        <f t="shared" si="33"/>
        <v>43541</v>
      </c>
      <c r="Y90" s="385">
        <f t="shared" si="34"/>
        <v>11.262</v>
      </c>
      <c r="Z90" s="385">
        <f t="shared" si="35"/>
        <v>11.344192721827351</v>
      </c>
      <c r="AA90" s="386">
        <f t="shared" si="36"/>
        <v>11.956286737043367</v>
      </c>
      <c r="AB90" s="197">
        <f t="shared" si="37"/>
        <v>43541</v>
      </c>
      <c r="AC90" s="427">
        <f>IF(OR(t&lt;Tnet,NoTnet),'2018'!Resal_s+('2018'!Salim-'2018'!Resal_s)*(1-EXP(('2018'!Tnet_s-t)/'2018'!Tau_j)),Resal_s+(Salim-Resal_s)*(1-EXP((Tnet_s-t)/Tau_j)))*Salcycl</f>
        <v>5.1194323846349928E-2</v>
      </c>
      <c r="AD90" s="231">
        <f>(INDEX(Models!$BJ90:$BT90,,AH90)*(1-AF90)+INDEX(Models!$BJ90:$BT90,,AH90+1)*AF90-ERP_i)*AE90*Ramure*Pc/MaxiM</f>
        <v>1.8149920587193672E-4</v>
      </c>
      <c r="AE90" s="305">
        <f t="shared" si="38"/>
        <v>0.7</v>
      </c>
      <c r="AF90" s="177">
        <f t="shared" si="39"/>
        <v>0.51235939200072833</v>
      </c>
      <c r="AG90" s="176">
        <f t="shared" si="40"/>
        <v>-2</v>
      </c>
      <c r="AH90" s="176">
        <f t="shared" si="41"/>
        <v>4</v>
      </c>
      <c r="AI90" s="225">
        <f t="shared" si="42"/>
        <v>-1.4876406079992717</v>
      </c>
      <c r="AJ90" s="265" t="b">
        <f t="shared" si="43"/>
        <v>0</v>
      </c>
      <c r="AK90" s="265" t="b">
        <f t="shared" si="44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5"/>
        <v>43542</v>
      </c>
      <c r="B91" s="617">
        <v>21.297999999999998</v>
      </c>
      <c r="C91" s="390"/>
      <c r="D91" s="393">
        <f t="shared" si="24"/>
        <v>21.45390770326425</v>
      </c>
      <c r="E91" s="385">
        <f t="shared" si="46"/>
        <v>22.614437456060486</v>
      </c>
      <c r="F91" s="385">
        <f t="shared" si="25"/>
        <v>22.615966613904025</v>
      </c>
      <c r="G91" s="110">
        <f t="shared" si="47"/>
        <v>0.66156311125227663</v>
      </c>
      <c r="H91" s="414" t="b">
        <f>Wh_hp&gt;='2018'!Maxi_hp</f>
        <v>1</v>
      </c>
      <c r="I91" s="390">
        <f>IF(H91,Wh_hp,'2018'!Maxi_hp)</f>
        <v>22.615966613904025</v>
      </c>
      <c r="J91" s="85">
        <f>IF(H91,An,'2018'!An_max)</f>
        <v>2019</v>
      </c>
      <c r="K91" s="197">
        <f t="shared" si="26"/>
        <v>43542</v>
      </c>
      <c r="L91" s="147">
        <f>IF(t&lt;Tvie,1-EXP((T0-t)*PertePVj)+'2018'!Pspv,1-EXP((T0-t)*PertePVj)+Pspv)</f>
        <v>7.2671004937961969E-3</v>
      </c>
      <c r="M91" s="850"/>
      <c r="N91" s="850"/>
      <c r="O91" s="48">
        <f>IF(t&lt;Tnet,'2018'!Resal+('2018'!Salim-'2018'!Resal)*(1-EXP(('2018'!Tnet-t)/('2018'!Tau_j))),Resal+(Salim-Resal)*(1-EXP((Tnet-t)/(Tau_j))))*Salcycl</f>
        <v>5.1318090713117562E-2</v>
      </c>
      <c r="P91" s="169">
        <f>(INDEX(Models!$BJ91:$BT91,,T91)*(1-R91)+INDEX(Models!$BJ91:$BT91,,T91+1)*R91-ERP_i)*Q91*Ramure*Pc/MaxiM</f>
        <v>1.3088829289972833E-4</v>
      </c>
      <c r="Q91" s="305">
        <f t="shared" si="27"/>
        <v>0.7</v>
      </c>
      <c r="R91" s="177">
        <f t="shared" si="28"/>
        <v>0.51283882595377128</v>
      </c>
      <c r="S91" s="817">
        <f t="shared" si="29"/>
        <v>-2</v>
      </c>
      <c r="T91" s="176">
        <f t="shared" si="30"/>
        <v>4</v>
      </c>
      <c r="U91" s="251">
        <f t="shared" si="31"/>
        <v>-1.4871611740462287</v>
      </c>
      <c r="V91" s="383">
        <f t="shared" si="32"/>
        <v>32.191414443349082</v>
      </c>
      <c r="W91" s="58"/>
      <c r="X91" s="157">
        <f t="shared" si="33"/>
        <v>43542</v>
      </c>
      <c r="Y91" s="385">
        <f t="shared" si="34"/>
        <v>21.297999999999998</v>
      </c>
      <c r="Z91" s="385">
        <f t="shared" si="35"/>
        <v>21.45390770326425</v>
      </c>
      <c r="AA91" s="386">
        <f t="shared" si="36"/>
        <v>22.614437456060486</v>
      </c>
      <c r="AB91" s="197">
        <f t="shared" si="37"/>
        <v>43542</v>
      </c>
      <c r="AC91" s="427">
        <f>IF(OR(t&lt;Tnet,NoTnet),'2018'!Resal_s+('2018'!Salim-'2018'!Resal_s)*(1-EXP(('2018'!Tnet_s-t)/'2018'!Tau_j)),Resal_s+(Salim-Resal_s)*(1-EXP((Tnet_s-t)/Tau_j)))*Salcycl</f>
        <v>5.1318090713117562E-2</v>
      </c>
      <c r="AD91" s="231">
        <f>(INDEX(Models!$BJ91:$BT91,,AH91)*(1-AF91)+INDEX(Models!$BJ91:$BT91,,AH91+1)*AF91-ERP_i)*AE91*Ramure*Pc/MaxiM</f>
        <v>1.3088829289972833E-4</v>
      </c>
      <c r="AE91" s="305">
        <f t="shared" si="38"/>
        <v>0.7</v>
      </c>
      <c r="AF91" s="177">
        <f t="shared" si="39"/>
        <v>0.51283882595377128</v>
      </c>
      <c r="AG91" s="176">
        <f t="shared" si="40"/>
        <v>-2</v>
      </c>
      <c r="AH91" s="176">
        <f t="shared" si="41"/>
        <v>4</v>
      </c>
      <c r="AI91" s="225">
        <f t="shared" si="42"/>
        <v>-1.4871611740462287</v>
      </c>
      <c r="AJ91" s="265" t="b">
        <f t="shared" si="43"/>
        <v>0</v>
      </c>
      <c r="AK91" s="265" t="b">
        <f t="shared" si="44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5"/>
        <v>43543</v>
      </c>
      <c r="B92" s="617">
        <v>8.6110000000000007</v>
      </c>
      <c r="C92" s="390"/>
      <c r="D92" s="393">
        <f t="shared" si="24"/>
        <v>8.6742250724377428</v>
      </c>
      <c r="E92" s="385">
        <f t="shared" si="46"/>
        <v>9.144643084833266</v>
      </c>
      <c r="F92" s="385">
        <f t="shared" si="25"/>
        <v>9.144643084833266</v>
      </c>
      <c r="G92" s="110">
        <f t="shared" si="47"/>
        <v>0.26536363301951565</v>
      </c>
      <c r="H92" s="414" t="b">
        <f>Wh_hp&gt;='2018'!Maxi_hp</f>
        <v>1</v>
      </c>
      <c r="I92" s="390">
        <f>IF(H92,Wh_hp,'2018'!Maxi_hp)</f>
        <v>9.144643084833266</v>
      </c>
      <c r="J92" s="85">
        <f>IF(H92,An,'2018'!An_max)</f>
        <v>2019</v>
      </c>
      <c r="K92" s="197">
        <f t="shared" si="26"/>
        <v>43543</v>
      </c>
      <c r="L92" s="147">
        <f>IF(t&lt;Tvie,1-EXP((T0-t)*PertePVj)+'2018'!Pspv,1-EXP((T0-t)*PertePVj)+Pspv)</f>
        <v>7.2888438920772902E-3</v>
      </c>
      <c r="M92" s="850"/>
      <c r="N92" s="850"/>
      <c r="O92" s="48">
        <f>IF(t&lt;Tnet,'2018'!Resal+('2018'!Salim-'2018'!Resal)*(1-EXP(('2018'!Tnet-t)/('2018'!Tau_j))),Resal+(Salim-Resal)*(1-EXP((Tnet-t)/(Tau_j))))*Salcycl</f>
        <v>5.144192157436181E-2</v>
      </c>
      <c r="P92" s="169">
        <f>(INDEX(Models!$BJ92:$BT92,,T92)*(1-R92)+INDEX(Models!$BJ92:$BT92,,T92+1)*R92-ERP_i)*Q92*Ramure*Pc/MaxiM</f>
        <v>9.133499564952019E-5</v>
      </c>
      <c r="Q92" s="305">
        <f t="shared" si="27"/>
        <v>0.7</v>
      </c>
      <c r="R92" s="177">
        <f t="shared" si="28"/>
        <v>0.51333711357947931</v>
      </c>
      <c r="S92" s="817">
        <f t="shared" si="29"/>
        <v>-2</v>
      </c>
      <c r="T92" s="176">
        <f t="shared" si="30"/>
        <v>4</v>
      </c>
      <c r="U92" s="251">
        <f t="shared" si="31"/>
        <v>-1.4866628864205207</v>
      </c>
      <c r="V92" s="383">
        <f t="shared" si="32"/>
        <v>32.446848184804743</v>
      </c>
      <c r="W92" s="58"/>
      <c r="X92" s="157">
        <f t="shared" si="33"/>
        <v>43543</v>
      </c>
      <c r="Y92" s="385">
        <f t="shared" si="34"/>
        <v>8.6110000000000007</v>
      </c>
      <c r="Z92" s="385">
        <f t="shared" si="35"/>
        <v>8.6742250724377428</v>
      </c>
      <c r="AA92" s="386">
        <f t="shared" si="36"/>
        <v>9.144643084833266</v>
      </c>
      <c r="AB92" s="197">
        <f t="shared" si="37"/>
        <v>43543</v>
      </c>
      <c r="AC92" s="427">
        <f>IF(OR(t&lt;Tnet,NoTnet),'2018'!Resal_s+('2018'!Salim-'2018'!Resal_s)*(1-EXP(('2018'!Tnet_s-t)/'2018'!Tau_j)),Resal_s+(Salim-Resal_s)*(1-EXP((Tnet_s-t)/Tau_j)))*Salcycl</f>
        <v>5.144192157436181E-2</v>
      </c>
      <c r="AD92" s="231">
        <f>(INDEX(Models!$BJ92:$BT92,,AH92)*(1-AF92)+INDEX(Models!$BJ92:$BT92,,AH92+1)*AF92-ERP_i)*AE92*Ramure*Pc/MaxiM</f>
        <v>9.133499564952019E-5</v>
      </c>
      <c r="AE92" s="305">
        <f t="shared" si="38"/>
        <v>0.7</v>
      </c>
      <c r="AF92" s="177">
        <f t="shared" si="39"/>
        <v>0.51333711357947931</v>
      </c>
      <c r="AG92" s="176">
        <f t="shared" si="40"/>
        <v>-2</v>
      </c>
      <c r="AH92" s="176">
        <f t="shared" si="41"/>
        <v>4</v>
      </c>
      <c r="AI92" s="225">
        <f t="shared" si="42"/>
        <v>-1.4866628864205207</v>
      </c>
      <c r="AJ92" s="265" t="b">
        <f t="shared" si="43"/>
        <v>0</v>
      </c>
      <c r="AK92" s="265" t="b">
        <f t="shared" si="44"/>
        <v>0</v>
      </c>
      <c r="AL92" s="265"/>
      <c r="AM92" s="265"/>
      <c r="AN92" s="75"/>
    </row>
    <row r="93" spans="1:40" s="6" customFormat="1" ht="11.25" x14ac:dyDescent="0.2">
      <c r="A93" s="56">
        <f t="shared" si="45"/>
        <v>43544</v>
      </c>
      <c r="B93" s="617">
        <v>33.223999999999997</v>
      </c>
      <c r="C93" s="390"/>
      <c r="D93" s="393">
        <f t="shared" si="24"/>
        <v>33.468675658958503</v>
      </c>
      <c r="E93" s="385">
        <f t="shared" si="46"/>
        <v>35.288348915079112</v>
      </c>
      <c r="F93" s="385">
        <f t="shared" si="25"/>
        <v>35.290557656198175</v>
      </c>
      <c r="G93" s="110">
        <f t="shared" si="47"/>
        <v>1.0160473393637077</v>
      </c>
      <c r="H93" s="414" t="b">
        <f>Wh_hp&gt;='2018'!Maxi_hp</f>
        <v>1</v>
      </c>
      <c r="I93" s="390">
        <f>IF(H93,Wh_hp,'2018'!Maxi_hp)</f>
        <v>35.290557656198175</v>
      </c>
      <c r="J93" s="85">
        <f>IF(H93,An,'2018'!An_max)</f>
        <v>2019</v>
      </c>
      <c r="K93" s="197">
        <f t="shared" si="26"/>
        <v>43544</v>
      </c>
      <c r="L93" s="147">
        <f>IF(t&lt;Tvie,1-EXP((T0-t)*PertePVj)+'2018'!Pspv,1-EXP((T0-t)*PertePVj)+Pspv)</f>
        <v>7.3105868141219998E-3</v>
      </c>
      <c r="M93" s="850"/>
      <c r="N93" s="850"/>
      <c r="O93" s="48">
        <f>IF(t&lt;Tnet,'2018'!Resal+('2018'!Salim-'2018'!Resal)*(1-EXP(('2018'!Tnet-t)/('2018'!Tau_j))),Resal+(Salim-Resal)*(1-EXP((Tnet-t)/(Tau_j))))*Salcycl</f>
        <v>5.1565837225754842E-2</v>
      </c>
      <c r="P93" s="169">
        <f>(INDEX(Models!$BJ93:$BT93,,T93)*(1-R93)+INDEX(Models!$BJ93:$BT93,,T93+1)*R93-ERP_i)*Q93*Ramure*Pc/MaxiM</f>
        <v>6.2587311330823754E-5</v>
      </c>
      <c r="Q93" s="305">
        <f t="shared" si="27"/>
        <v>0.7</v>
      </c>
      <c r="R93" s="177">
        <f t="shared" si="28"/>
        <v>0.51385494320346337</v>
      </c>
      <c r="S93" s="817">
        <f t="shared" si="29"/>
        <v>-2</v>
      </c>
      <c r="T93" s="176">
        <f t="shared" si="30"/>
        <v>4</v>
      </c>
      <c r="U93" s="251">
        <f t="shared" si="31"/>
        <v>-1.4861450567965366</v>
      </c>
      <c r="V93" s="383">
        <f t="shared" si="32"/>
        <v>32.699263816591738</v>
      </c>
      <c r="W93" s="58"/>
      <c r="X93" s="157">
        <f t="shared" si="33"/>
        <v>43544</v>
      </c>
      <c r="Y93" s="385">
        <f t="shared" si="34"/>
        <v>33.223999999999997</v>
      </c>
      <c r="Z93" s="385">
        <f t="shared" si="35"/>
        <v>33.468675658958503</v>
      </c>
      <c r="AA93" s="386">
        <f t="shared" si="36"/>
        <v>35.288348915079112</v>
      </c>
      <c r="AB93" s="197">
        <f t="shared" si="37"/>
        <v>43544</v>
      </c>
      <c r="AC93" s="427">
        <f>IF(OR(t&lt;Tnet,NoTnet),'2018'!Resal_s+('2018'!Salim-'2018'!Resal_s)*(1-EXP(('2018'!Tnet_s-t)/'2018'!Tau_j)),Resal_s+(Salim-Resal_s)*(1-EXP((Tnet_s-t)/Tau_j)))*Salcycl</f>
        <v>5.1565837225754842E-2</v>
      </c>
      <c r="AD93" s="231">
        <f>(INDEX(Models!$BJ93:$BT93,,AH93)*(1-AF93)+INDEX(Models!$BJ93:$BT93,,AH93+1)*AF93-ERP_i)*AE93*Ramure*Pc/MaxiM</f>
        <v>6.2587311330823754E-5</v>
      </c>
      <c r="AE93" s="305">
        <f t="shared" si="38"/>
        <v>0.7</v>
      </c>
      <c r="AF93" s="177">
        <f t="shared" si="39"/>
        <v>0.51385494320346337</v>
      </c>
      <c r="AG93" s="176">
        <f t="shared" si="40"/>
        <v>-2</v>
      </c>
      <c r="AH93" s="176">
        <f t="shared" si="41"/>
        <v>4</v>
      </c>
      <c r="AI93" s="225">
        <f t="shared" si="42"/>
        <v>-1.4861450567965366</v>
      </c>
      <c r="AJ93" s="265" t="b">
        <f t="shared" si="43"/>
        <v>0</v>
      </c>
      <c r="AK93" s="265" t="b">
        <f t="shared" si="44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5"/>
        <v>43545</v>
      </c>
      <c r="B94" s="617">
        <v>33.164999999999999</v>
      </c>
      <c r="C94" s="390"/>
      <c r="D94" s="393">
        <f t="shared" si="24"/>
        <v>33.409972922030036</v>
      </c>
      <c r="E94" s="385">
        <f t="shared" si="46"/>
        <v>35.231061521855835</v>
      </c>
      <c r="F94" s="385">
        <f t="shared" si="25"/>
        <v>35.232626438185896</v>
      </c>
      <c r="G94" s="110">
        <f t="shared" si="47"/>
        <v>1.0065161884709757</v>
      </c>
      <c r="H94" s="414" t="b">
        <f>Wh_hp&gt;='2018'!Maxi_hp</f>
        <v>1</v>
      </c>
      <c r="I94" s="390">
        <f>IF(H94,Wh_hp,'2018'!Maxi_hp)</f>
        <v>35.232626438185896</v>
      </c>
      <c r="J94" s="85">
        <f>IF(H94,An,'2018'!An_max)</f>
        <v>2019</v>
      </c>
      <c r="K94" s="197">
        <f t="shared" si="26"/>
        <v>43545</v>
      </c>
      <c r="L94" s="147">
        <f>IF(t&lt;Tvie,1-EXP((T0-t)*PertePVj)+'2018'!Pspv,1-EXP((T0-t)*PertePVj)+Pspv)</f>
        <v>7.3323292599409839E-3</v>
      </c>
      <c r="M94" s="850"/>
      <c r="N94" s="850"/>
      <c r="O94" s="48">
        <f>IF(t&lt;Tnet,'2018'!Resal+('2018'!Salim-'2018'!Resal)*(1-EXP(('2018'!Tnet-t)/('2018'!Tau_j))),Resal+(Salim-Resal)*(1-EXP((Tnet-t)/(Tau_j))))*Salcycl</f>
        <v>5.1689858924519612E-2</v>
      </c>
      <c r="P94" s="169">
        <f>(INDEX(Models!$BJ94:$BT94,,T94)*(1-R94)+INDEX(Models!$BJ94:$BT94,,T94+1)*R94-ERP_i)*Q94*Ramure*Pc/MaxiM</f>
        <v>4.4416681021699221E-5</v>
      </c>
      <c r="Q94" s="305">
        <f t="shared" si="27"/>
        <v>0.7</v>
      </c>
      <c r="R94" s="177">
        <f t="shared" si="28"/>
        <v>0.51439302389750652</v>
      </c>
      <c r="S94" s="817">
        <f t="shared" si="29"/>
        <v>-2</v>
      </c>
      <c r="T94" s="176">
        <f t="shared" si="30"/>
        <v>4</v>
      </c>
      <c r="U94" s="251">
        <f t="shared" si="31"/>
        <v>-1.4856069761024935</v>
      </c>
      <c r="V94" s="383">
        <f t="shared" si="32"/>
        <v>32.950289702127684</v>
      </c>
      <c r="W94" s="58"/>
      <c r="X94" s="157">
        <f t="shared" si="33"/>
        <v>43545</v>
      </c>
      <c r="Y94" s="385">
        <f t="shared" si="34"/>
        <v>33.164999999999999</v>
      </c>
      <c r="Z94" s="385">
        <f t="shared" si="35"/>
        <v>33.409972922030036</v>
      </c>
      <c r="AA94" s="386">
        <f t="shared" si="36"/>
        <v>35.231061521855835</v>
      </c>
      <c r="AB94" s="197">
        <f t="shared" si="37"/>
        <v>43545</v>
      </c>
      <c r="AC94" s="427">
        <f>IF(OR(t&lt;Tnet,NoTnet),'2018'!Resal_s+('2018'!Salim-'2018'!Resal_s)*(1-EXP(('2018'!Tnet_s-t)/'2018'!Tau_j)),Resal_s+(Salim-Resal_s)*(1-EXP((Tnet_s-t)/Tau_j)))*Salcycl</f>
        <v>5.1689858924519612E-2</v>
      </c>
      <c r="AD94" s="231">
        <f>(INDEX(Models!$BJ94:$BT94,,AH94)*(1-AF94)+INDEX(Models!$BJ94:$BT94,,AH94+1)*AF94-ERP_i)*AE94*Ramure*Pc/MaxiM</f>
        <v>4.4416681021699221E-5</v>
      </c>
      <c r="AE94" s="305">
        <f t="shared" si="38"/>
        <v>0.7</v>
      </c>
      <c r="AF94" s="177">
        <f t="shared" si="39"/>
        <v>0.51439302389750652</v>
      </c>
      <c r="AG94" s="176">
        <f t="shared" si="40"/>
        <v>-2</v>
      </c>
      <c r="AH94" s="176">
        <f t="shared" si="41"/>
        <v>4</v>
      </c>
      <c r="AI94" s="225">
        <f t="shared" si="42"/>
        <v>-1.4856069761024935</v>
      </c>
      <c r="AJ94" s="265" t="b">
        <f t="shared" si="43"/>
        <v>0</v>
      </c>
      <c r="AK94" s="265" t="b">
        <f t="shared" si="44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5"/>
        <v>43546</v>
      </c>
      <c r="B95" s="617">
        <v>32.317999999999998</v>
      </c>
      <c r="C95" s="390"/>
      <c r="D95" s="393">
        <f t="shared" si="24"/>
        <v>32.557429656746599</v>
      </c>
      <c r="E95" s="385">
        <f t="shared" si="46"/>
        <v>34.336543613528939</v>
      </c>
      <c r="F95" s="385">
        <f t="shared" si="25"/>
        <v>34.33751568572859</v>
      </c>
      <c r="G95" s="110">
        <f t="shared" si="47"/>
        <v>0.97344263610791737</v>
      </c>
      <c r="H95" s="414" t="b">
        <f>Wh_hp&gt;='2018'!Maxi_hp</f>
        <v>1</v>
      </c>
      <c r="I95" s="390">
        <f>IF(H95,Wh_hp,'2018'!Maxi_hp)</f>
        <v>34.33751568572859</v>
      </c>
      <c r="J95" s="85">
        <f>IF(H95,An,'2018'!An_max)</f>
        <v>2019</v>
      </c>
      <c r="K95" s="197">
        <f t="shared" si="26"/>
        <v>43546</v>
      </c>
      <c r="L95" s="147">
        <f>IF(t&lt;Tvie,1-EXP((T0-t)*PertePVj)+'2018'!Pspv,1-EXP((T0-t)*PertePVj)+Pspv)</f>
        <v>7.3540712295446786E-3</v>
      </c>
      <c r="M95" s="850"/>
      <c r="N95" s="850"/>
      <c r="O95" s="48">
        <f>IF(t&lt;Tnet,'2018'!Resal+('2018'!Salim-'2018'!Resal)*(1-EXP(('2018'!Tnet-t)/('2018'!Tau_j))),Resal+(Salim-Resal)*(1-EXP((Tnet-t)/(Tau_j))))*Salcycl</f>
        <v>5.1814008329054695E-2</v>
      </c>
      <c r="P95" s="169">
        <f>(INDEX(Models!$BJ95:$BT95,,T95)*(1-R95)+INDEX(Models!$BJ95:$BT95,,T95+1)*R95-ERP_i)*Q95*Ramure*Pc/MaxiM</f>
        <v>2.9425671537892321E-5</v>
      </c>
      <c r="Q95" s="305">
        <f t="shared" si="27"/>
        <v>0.7</v>
      </c>
      <c r="R95" s="177">
        <f t="shared" si="28"/>
        <v>0.51495208573476692</v>
      </c>
      <c r="S95" s="817">
        <f t="shared" si="29"/>
        <v>-2</v>
      </c>
      <c r="T95" s="176">
        <f t="shared" si="30"/>
        <v>4</v>
      </c>
      <c r="U95" s="251">
        <f t="shared" si="31"/>
        <v>-1.4850479142652331</v>
      </c>
      <c r="V95" s="383">
        <f t="shared" si="32"/>
        <v>33.199659355786288</v>
      </c>
      <c r="W95" s="58"/>
      <c r="X95" s="157">
        <f t="shared" si="33"/>
        <v>43546</v>
      </c>
      <c r="Y95" s="385">
        <f t="shared" si="34"/>
        <v>32.317999999999998</v>
      </c>
      <c r="Z95" s="385">
        <f t="shared" si="35"/>
        <v>32.557429656746599</v>
      </c>
      <c r="AA95" s="386">
        <f t="shared" si="36"/>
        <v>34.336543613528939</v>
      </c>
      <c r="AB95" s="197">
        <f t="shared" si="37"/>
        <v>43546</v>
      </c>
      <c r="AC95" s="427">
        <f>IF(OR(t&lt;Tnet,NoTnet),'2018'!Resal_s+('2018'!Salim-'2018'!Resal_s)*(1-EXP(('2018'!Tnet_s-t)/'2018'!Tau_j)),Resal_s+(Salim-Resal_s)*(1-EXP((Tnet_s-t)/Tau_j)))*Salcycl</f>
        <v>5.1814008329054695E-2</v>
      </c>
      <c r="AD95" s="231">
        <f>(INDEX(Models!$BJ95:$BT95,,AH95)*(1-AF95)+INDEX(Models!$BJ95:$BT95,,AH95+1)*AF95-ERP_i)*AE95*Ramure*Pc/MaxiM</f>
        <v>2.9425671537892321E-5</v>
      </c>
      <c r="AE95" s="305">
        <f t="shared" si="38"/>
        <v>0.7</v>
      </c>
      <c r="AF95" s="177">
        <f t="shared" si="39"/>
        <v>0.51495208573476692</v>
      </c>
      <c r="AG95" s="176">
        <f t="shared" si="40"/>
        <v>-2</v>
      </c>
      <c r="AH95" s="176">
        <f t="shared" si="41"/>
        <v>4</v>
      </c>
      <c r="AI95" s="225">
        <f t="shared" si="42"/>
        <v>-1.4850479142652331</v>
      </c>
      <c r="AJ95" s="265" t="b">
        <f t="shared" si="43"/>
        <v>0</v>
      </c>
      <c r="AK95" s="265" t="b">
        <f t="shared" si="44"/>
        <v>0</v>
      </c>
      <c r="AL95" s="265"/>
      <c r="AM95" s="265"/>
      <c r="AN95" s="75"/>
    </row>
    <row r="96" spans="1:40" s="6" customFormat="1" ht="11.25" x14ac:dyDescent="0.2">
      <c r="A96" s="56">
        <f t="shared" si="45"/>
        <v>43547</v>
      </c>
      <c r="B96" s="617">
        <v>30.632000000000001</v>
      </c>
      <c r="C96" s="390"/>
      <c r="D96" s="393">
        <f t="shared" si="24"/>
        <v>30.859614739017172</v>
      </c>
      <c r="E96" s="385">
        <f t="shared" si="46"/>
        <v>32.550217966974564</v>
      </c>
      <c r="F96" s="385">
        <f t="shared" si="25"/>
        <v>32.55072052003672</v>
      </c>
      <c r="G96" s="110">
        <f t="shared" si="47"/>
        <v>0.91583865871334613</v>
      </c>
      <c r="H96" s="414" t="b">
        <f>Wh_hp&gt;='2018'!Maxi_hp</f>
        <v>1</v>
      </c>
      <c r="I96" s="390">
        <f>IF(H96,Wh_hp,'2018'!Maxi_hp)</f>
        <v>32.55072052003672</v>
      </c>
      <c r="J96" s="85">
        <f>IF(H96,An,'2018'!An_max)</f>
        <v>2019</v>
      </c>
      <c r="K96" s="197">
        <f t="shared" si="26"/>
        <v>43547</v>
      </c>
      <c r="L96" s="147">
        <f>IF(t&lt;Tvie,1-EXP((T0-t)*PertePVj)+'2018'!Pspv,1-EXP((T0-t)*PertePVj)+Pspv)</f>
        <v>7.3758127229432979E-3</v>
      </c>
      <c r="M96" s="850"/>
      <c r="N96" s="850"/>
      <c r="O96" s="48">
        <f>IF(t&lt;Tnet,'2018'!Resal+('2018'!Salim-'2018'!Resal)*(1-EXP(('2018'!Tnet-t)/('2018'!Tau_j))),Resal+(Salim-Resal)*(1-EXP((Tnet-t)/(Tau_j))))*Salcycl</f>
        <v>5.1938307438453409E-2</v>
      </c>
      <c r="P96" s="169">
        <f>(INDEX(Models!$BJ96:$BT96,,T96)*(1-R96)+INDEX(Models!$BJ96:$BT96,,T96+1)*R96-ERP_i)*Q96*Ramure*Pc/MaxiM</f>
        <v>1.7548946370865715E-5</v>
      </c>
      <c r="Q96" s="305">
        <f t="shared" si="27"/>
        <v>0.7</v>
      </c>
      <c r="R96" s="177">
        <f t="shared" si="28"/>
        <v>0.5155328800127621</v>
      </c>
      <c r="S96" s="817">
        <f t="shared" si="29"/>
        <v>-2</v>
      </c>
      <c r="T96" s="176">
        <f t="shared" si="30"/>
        <v>4</v>
      </c>
      <c r="U96" s="251">
        <f t="shared" si="31"/>
        <v>-1.4844671199872379</v>
      </c>
      <c r="V96" s="383">
        <f t="shared" si="32"/>
        <v>33.446868701197729</v>
      </c>
      <c r="W96" s="58"/>
      <c r="X96" s="157">
        <f t="shared" si="33"/>
        <v>43547</v>
      </c>
      <c r="Y96" s="385">
        <f t="shared" si="34"/>
        <v>30.632000000000001</v>
      </c>
      <c r="Z96" s="385">
        <f t="shared" si="35"/>
        <v>30.859614739017172</v>
      </c>
      <c r="AA96" s="386">
        <f t="shared" si="36"/>
        <v>32.550217966974564</v>
      </c>
      <c r="AB96" s="197">
        <f t="shared" si="37"/>
        <v>43547</v>
      </c>
      <c r="AC96" s="427">
        <f>IF(OR(t&lt;Tnet,NoTnet),'2018'!Resal_s+('2018'!Salim-'2018'!Resal_s)*(1-EXP(('2018'!Tnet_s-t)/'2018'!Tau_j)),Resal_s+(Salim-Resal_s)*(1-EXP((Tnet_s-t)/Tau_j)))*Salcycl</f>
        <v>5.1938307438453409E-2</v>
      </c>
      <c r="AD96" s="231">
        <f>(INDEX(Models!$BJ96:$BT96,,AH96)*(1-AF96)+INDEX(Models!$BJ96:$BT96,,AH96+1)*AF96-ERP_i)*AE96*Ramure*Pc/MaxiM</f>
        <v>1.7548946370865715E-5</v>
      </c>
      <c r="AE96" s="305">
        <f t="shared" si="38"/>
        <v>0.7</v>
      </c>
      <c r="AF96" s="177">
        <f t="shared" si="39"/>
        <v>0.5155328800127621</v>
      </c>
      <c r="AG96" s="176">
        <f t="shared" si="40"/>
        <v>-2</v>
      </c>
      <c r="AH96" s="176">
        <f t="shared" si="41"/>
        <v>4</v>
      </c>
      <c r="AI96" s="225">
        <f t="shared" si="42"/>
        <v>-1.4844671199872379</v>
      </c>
      <c r="AJ96" s="265" t="b">
        <f t="shared" si="43"/>
        <v>0</v>
      </c>
      <c r="AK96" s="265" t="b">
        <f t="shared" si="44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5"/>
        <v>43548</v>
      </c>
      <c r="B97" s="617">
        <v>33.322000000000003</v>
      </c>
      <c r="C97" s="390"/>
      <c r="D97" s="393">
        <f t="shared" si="24"/>
        <v>33.570338382257688</v>
      </c>
      <c r="E97" s="385">
        <f t="shared" si="46"/>
        <v>35.414094543391812</v>
      </c>
      <c r="F97" s="385">
        <f t="shared" si="25"/>
        <v>35.41439867664031</v>
      </c>
      <c r="G97" s="110">
        <f t="shared" si="47"/>
        <v>0.98903523439440633</v>
      </c>
      <c r="H97" s="414" t="b">
        <f>Wh_hp&gt;='2018'!Maxi_hp</f>
        <v>1</v>
      </c>
      <c r="I97" s="390">
        <f>IF(H97,Wh_hp,'2018'!Maxi_hp)</f>
        <v>35.41439867664031</v>
      </c>
      <c r="J97" s="85">
        <f>IF(H97,An,'2018'!An_max)</f>
        <v>2019</v>
      </c>
      <c r="K97" s="197">
        <f t="shared" si="26"/>
        <v>43548</v>
      </c>
      <c r="L97" s="147">
        <f>IF(t&lt;Tvie,1-EXP((T0-t)*PertePVj)+'2018'!Pspv,1-EXP((T0-t)*PertePVj)+Pspv)</f>
        <v>7.3975537401475E-3</v>
      </c>
      <c r="M97" s="850"/>
      <c r="N97" s="850"/>
      <c r="O97" s="48">
        <f>IF(t&lt;Tnet,'2018'!Resal+('2018'!Salim-'2018'!Resal)*(1-EXP(('2018'!Tnet-t)/('2018'!Tau_j))),Resal+(Salim-Resal)*(1-EXP((Tnet-t)/(Tau_j))))*Salcycl</f>
        <v>5.2062778532288204E-2</v>
      </c>
      <c r="P97" s="169">
        <f>(INDEX(Models!$BJ97:$BT97,,T97)*(1-R97)+INDEX(Models!$BJ97:$BT97,,T97+1)*R97-ERP_i)*Q97*Ramure*Pc/MaxiM</f>
        <v>8.7245001217757305E-6</v>
      </c>
      <c r="Q97" s="305">
        <f t="shared" si="27"/>
        <v>0.7</v>
      </c>
      <c r="R97" s="177">
        <f t="shared" si="28"/>
        <v>0.51613617944024326</v>
      </c>
      <c r="S97" s="817">
        <f t="shared" si="29"/>
        <v>-2</v>
      </c>
      <c r="T97" s="176">
        <f t="shared" si="30"/>
        <v>4</v>
      </c>
      <c r="U97" s="251">
        <f t="shared" si="31"/>
        <v>-1.4838638205597567</v>
      </c>
      <c r="V97" s="383">
        <f t="shared" si="32"/>
        <v>33.691413902590739</v>
      </c>
      <c r="W97" s="58"/>
      <c r="X97" s="157">
        <f t="shared" si="33"/>
        <v>43548</v>
      </c>
      <c r="Y97" s="385">
        <f t="shared" si="34"/>
        <v>33.322000000000003</v>
      </c>
      <c r="Z97" s="385">
        <f t="shared" si="35"/>
        <v>33.570338382257688</v>
      </c>
      <c r="AA97" s="386">
        <f t="shared" si="36"/>
        <v>35.414094543391812</v>
      </c>
      <c r="AB97" s="197">
        <f t="shared" si="37"/>
        <v>43548</v>
      </c>
      <c r="AC97" s="427">
        <f>IF(OR(t&lt;Tnet,NoTnet),'2018'!Resal_s+('2018'!Salim-'2018'!Resal_s)*(1-EXP(('2018'!Tnet_s-t)/'2018'!Tau_j)),Resal_s+(Salim-Resal_s)*(1-EXP((Tnet_s-t)/Tau_j)))*Salcycl</f>
        <v>5.2062778532288204E-2</v>
      </c>
      <c r="AD97" s="231">
        <f>(INDEX(Models!$BJ97:$BT97,,AH97)*(1-AF97)+INDEX(Models!$BJ97:$BT97,,AH97+1)*AF97-ERP_i)*AE97*Ramure*Pc/MaxiM</f>
        <v>8.7245001217757305E-6</v>
      </c>
      <c r="AE97" s="305">
        <f t="shared" si="38"/>
        <v>0.7</v>
      </c>
      <c r="AF97" s="177">
        <f t="shared" si="39"/>
        <v>0.51613617944024326</v>
      </c>
      <c r="AG97" s="176">
        <f t="shared" si="40"/>
        <v>-2</v>
      </c>
      <c r="AH97" s="176">
        <f t="shared" si="41"/>
        <v>4</v>
      </c>
      <c r="AI97" s="225">
        <f t="shared" si="42"/>
        <v>-1.4838638205597567</v>
      </c>
      <c r="AJ97" s="265" t="b">
        <f t="shared" si="43"/>
        <v>0</v>
      </c>
      <c r="AK97" s="265" t="b">
        <f t="shared" si="44"/>
        <v>0</v>
      </c>
      <c r="AL97" s="265"/>
      <c r="AM97" s="265"/>
      <c r="AN97" s="75"/>
    </row>
    <row r="98" spans="1:40" s="6" customFormat="1" ht="11.25" x14ac:dyDescent="0.2">
      <c r="A98" s="56">
        <f t="shared" si="45"/>
        <v>43549</v>
      </c>
      <c r="B98" s="617">
        <v>28.57</v>
      </c>
      <c r="C98" s="390"/>
      <c r="D98" s="393">
        <f t="shared" si="24"/>
        <v>28.783553655024402</v>
      </c>
      <c r="E98" s="385">
        <f t="shared" si="46"/>
        <v>30.368402988739401</v>
      </c>
      <c r="F98" s="385">
        <f t="shared" si="25"/>
        <v>30.368471033631042</v>
      </c>
      <c r="G98" s="110">
        <f t="shared" si="47"/>
        <v>0.84195788737408195</v>
      </c>
      <c r="H98" s="414" t="b">
        <f>Wh_hp&gt;='2018'!Maxi_hp</f>
        <v>1</v>
      </c>
      <c r="I98" s="390">
        <f>IF(H98,Wh_hp,'2018'!Maxi_hp)</f>
        <v>30.368471033631042</v>
      </c>
      <c r="J98" s="85">
        <f>IF(H98,An,'2018'!An_max)</f>
        <v>2019</v>
      </c>
      <c r="K98" s="197">
        <f t="shared" si="26"/>
        <v>43549</v>
      </c>
      <c r="L98" s="147">
        <f>IF(t&lt;Tvie,1-EXP((T0-t)*PertePVj)+'2018'!Pspv,1-EXP((T0-t)*PertePVj)+Pspv)</f>
        <v>7.4192942811676099E-3</v>
      </c>
      <c r="M98" s="850"/>
      <c r="N98" s="850"/>
      <c r="O98" s="48">
        <f>IF(t&lt;Tnet,'2018'!Resal+('2018'!Salim-'2018'!Resal)*(1-EXP(('2018'!Tnet-t)/('2018'!Tau_j))),Resal+(Salim-Resal)*(1-EXP((Tnet-t)/(Tau_j))))*Salcycl</f>
        <v>5.2187444110994685E-2</v>
      </c>
      <c r="P98" s="169">
        <f>(INDEX(Models!$BJ98:$BT98,,T98)*(1-R98)+INDEX(Models!$BJ98:$BT98,,T98+1)*R98-ERP_i)*Q98*Ramure*Pc/MaxiM</f>
        <v>2.8940408557260582E-6</v>
      </c>
      <c r="Q98" s="305">
        <f t="shared" si="27"/>
        <v>0.7</v>
      </c>
      <c r="R98" s="177">
        <f t="shared" si="28"/>
        <v>0.51676277828380357</v>
      </c>
      <c r="S98" s="817">
        <f t="shared" si="29"/>
        <v>-2</v>
      </c>
      <c r="T98" s="176">
        <f t="shared" si="30"/>
        <v>4</v>
      </c>
      <c r="U98" s="251">
        <f t="shared" si="31"/>
        <v>-1.4832372217161964</v>
      </c>
      <c r="V98" s="383">
        <f t="shared" si="32"/>
        <v>33.93279136736443</v>
      </c>
      <c r="W98" s="58"/>
      <c r="X98" s="157">
        <f t="shared" si="33"/>
        <v>43549</v>
      </c>
      <c r="Y98" s="385">
        <f t="shared" si="34"/>
        <v>28.57</v>
      </c>
      <c r="Z98" s="385">
        <f t="shared" si="35"/>
        <v>28.783553655024402</v>
      </c>
      <c r="AA98" s="386">
        <f t="shared" si="36"/>
        <v>30.368402988739401</v>
      </c>
      <c r="AB98" s="197">
        <f t="shared" si="37"/>
        <v>43549</v>
      </c>
      <c r="AC98" s="427">
        <f>IF(OR(t&lt;Tnet,NoTnet),'2018'!Resal_s+('2018'!Salim-'2018'!Resal_s)*(1-EXP(('2018'!Tnet_s-t)/'2018'!Tau_j)),Resal_s+(Salim-Resal_s)*(1-EXP((Tnet_s-t)/Tau_j)))*Salcycl</f>
        <v>5.2187444110994685E-2</v>
      </c>
      <c r="AD98" s="231">
        <f>(INDEX(Models!$BJ98:$BT98,,AH98)*(1-AF98)+INDEX(Models!$BJ98:$BT98,,AH98+1)*AF98-ERP_i)*AE98*Ramure*Pc/MaxiM</f>
        <v>2.8940408557260582E-6</v>
      </c>
      <c r="AE98" s="305">
        <f t="shared" si="38"/>
        <v>0.7</v>
      </c>
      <c r="AF98" s="177">
        <f t="shared" si="39"/>
        <v>0.51676277828380357</v>
      </c>
      <c r="AG98" s="176">
        <f t="shared" si="40"/>
        <v>-2</v>
      </c>
      <c r="AH98" s="176">
        <f t="shared" si="41"/>
        <v>4</v>
      </c>
      <c r="AI98" s="225">
        <f t="shared" si="42"/>
        <v>-1.4832372217161964</v>
      </c>
      <c r="AJ98" s="265" t="b">
        <f t="shared" si="43"/>
        <v>0</v>
      </c>
      <c r="AK98" s="265" t="b">
        <f t="shared" si="44"/>
        <v>0</v>
      </c>
      <c r="AL98" s="265"/>
      <c r="AM98" s="265"/>
      <c r="AN98" s="75"/>
    </row>
    <row r="99" spans="1:40" s="6" customFormat="1" ht="11.25" x14ac:dyDescent="0.2">
      <c r="A99" s="56">
        <f t="shared" si="45"/>
        <v>43550</v>
      </c>
      <c r="B99" s="617">
        <v>35.716999999999999</v>
      </c>
      <c r="C99" s="390"/>
      <c r="D99" s="393">
        <f t="shared" si="24"/>
        <v>35.984763863844073</v>
      </c>
      <c r="E99" s="385">
        <f t="shared" si="46"/>
        <v>37.971121586658448</v>
      </c>
      <c r="F99" s="385">
        <f t="shared" si="25"/>
        <v>37.971121713669092</v>
      </c>
      <c r="G99" s="110">
        <f t="shared" si="47"/>
        <v>1.0452584059900227</v>
      </c>
      <c r="H99" s="414" t="b">
        <f>Wh_hp&gt;='2018'!Maxi_hp</f>
        <v>1</v>
      </c>
      <c r="I99" s="390">
        <f>IF(H99,Wh_hp,'2018'!Maxi_hp)</f>
        <v>37.971121713669092</v>
      </c>
      <c r="J99" s="85">
        <f>IF(H99,An,'2018'!An_max)</f>
        <v>2019</v>
      </c>
      <c r="K99" s="197">
        <f t="shared" si="26"/>
        <v>43550</v>
      </c>
      <c r="L99" s="147">
        <f>IF(t&lt;Tvie,1-EXP((T0-t)*PertePVj)+'2018'!Pspv,1-EXP((T0-t)*PertePVj)+Pspv)</f>
        <v>7.4410343460141748E-3</v>
      </c>
      <c r="M99" s="850"/>
      <c r="N99" s="850"/>
      <c r="O99" s="48">
        <f>IF(t&lt;Tnet,'2018'!Resal+('2018'!Salim-'2018'!Resal)*(1-EXP(('2018'!Tnet-t)/('2018'!Tau_j))),Resal+(Salim-Resal)*(1-EXP((Tnet-t)/(Tau_j))))*Salcycl</f>
        <v>5.2312326837148336E-2</v>
      </c>
      <c r="P99" s="169">
        <f>(INDEX(Models!$BJ99:$BT99,,T99)*(1-R99)+INDEX(Models!$BJ99:$BT99,,T99+1)*R99-ERP_i)*Q99*Ramure*Pc/MaxiM</f>
        <v>3.3449273666343283E-9</v>
      </c>
      <c r="Q99" s="305">
        <f t="shared" si="27"/>
        <v>0.7</v>
      </c>
      <c r="R99" s="177">
        <f t="shared" si="28"/>
        <v>0.51741349246980595</v>
      </c>
      <c r="S99" s="817">
        <f t="shared" si="29"/>
        <v>-2</v>
      </c>
      <c r="T99" s="176">
        <f t="shared" si="30"/>
        <v>4</v>
      </c>
      <c r="U99" s="251">
        <f t="shared" si="31"/>
        <v>-1.4825865075301941</v>
      </c>
      <c r="V99" s="383">
        <f t="shared" si="32"/>
        <v>34.170497740384526</v>
      </c>
      <c r="W99" s="58"/>
      <c r="X99" s="157">
        <f t="shared" si="33"/>
        <v>43550</v>
      </c>
      <c r="Y99" s="385">
        <f t="shared" si="34"/>
        <v>35.716999999999999</v>
      </c>
      <c r="Z99" s="385">
        <f t="shared" si="35"/>
        <v>35.984763863844073</v>
      </c>
      <c r="AA99" s="386">
        <f t="shared" si="36"/>
        <v>37.971121586658448</v>
      </c>
      <c r="AB99" s="197">
        <f t="shared" si="37"/>
        <v>43550</v>
      </c>
      <c r="AC99" s="427">
        <f>IF(OR(t&lt;Tnet,NoTnet),'2018'!Resal_s+('2018'!Salim-'2018'!Resal_s)*(1-EXP(('2018'!Tnet_s-t)/'2018'!Tau_j)),Resal_s+(Salim-Resal_s)*(1-EXP((Tnet_s-t)/Tau_j)))*Salcycl</f>
        <v>5.2312326837148336E-2</v>
      </c>
      <c r="AD99" s="231">
        <f>(INDEX(Models!$BJ99:$BT99,,AH99)*(1-AF99)+INDEX(Models!$BJ99:$BT99,,AH99+1)*AF99-ERP_i)*AE99*Ramure*Pc/MaxiM</f>
        <v>3.3449273666343283E-9</v>
      </c>
      <c r="AE99" s="305">
        <f t="shared" si="38"/>
        <v>0.7</v>
      </c>
      <c r="AF99" s="177">
        <f t="shared" si="39"/>
        <v>0.51741349246980595</v>
      </c>
      <c r="AG99" s="176">
        <f t="shared" si="40"/>
        <v>-2</v>
      </c>
      <c r="AH99" s="176">
        <f t="shared" si="41"/>
        <v>4</v>
      </c>
      <c r="AI99" s="225">
        <f t="shared" si="42"/>
        <v>-1.4825865075301941</v>
      </c>
      <c r="AJ99" s="265" t="b">
        <f t="shared" si="43"/>
        <v>0</v>
      </c>
      <c r="AK99" s="265" t="b">
        <f t="shared" si="44"/>
        <v>0</v>
      </c>
      <c r="AL99" s="265"/>
      <c r="AM99" s="265"/>
      <c r="AN99" s="75"/>
    </row>
    <row r="100" spans="1:40" s="6" customFormat="1" ht="11.25" x14ac:dyDescent="0.2">
      <c r="A100" s="56">
        <f t="shared" si="45"/>
        <v>43551</v>
      </c>
      <c r="B100" s="617">
        <v>35.116999999999997</v>
      </c>
      <c r="C100" s="390"/>
      <c r="D100" s="393">
        <f t="shared" si="24"/>
        <v>35.381040708380972</v>
      </c>
      <c r="E100" s="385">
        <f t="shared" si="46"/>
        <v>37.339002780223495</v>
      </c>
      <c r="F100" s="385">
        <f t="shared" si="25"/>
        <v>37.339002876856433</v>
      </c>
      <c r="G100" s="110">
        <f t="shared" si="47"/>
        <v>1.020723447028969</v>
      </c>
      <c r="H100" s="414" t="b">
        <f>Wh_hp&gt;='2018'!Maxi_hp</f>
        <v>1</v>
      </c>
      <c r="I100" s="390">
        <f>IF(H100,Wh_hp,'2018'!Maxi_hp)</f>
        <v>37.339002876856433</v>
      </c>
      <c r="J100" s="85">
        <f>IF(H100,An,'2018'!An_max)</f>
        <v>2019</v>
      </c>
      <c r="K100" s="197">
        <f t="shared" si="26"/>
        <v>43551</v>
      </c>
      <c r="L100" s="147">
        <f>IF(t&lt;Tvie,1-EXP((T0-t)*PertePVj)+'2018'!Pspv,1-EXP((T0-t)*PertePVj)+Pspv)</f>
        <v>7.4627739346974087E-3</v>
      </c>
      <c r="M100" s="850"/>
      <c r="N100" s="850"/>
      <c r="O100" s="48">
        <f>IF(t&lt;Tnet,'2018'!Resal+('2018'!Salim-'2018'!Resal)*(1-EXP(('2018'!Tnet-t)/('2018'!Tau_j))),Resal+(Salim-Resal)*(1-EXP((Tnet-t)/(Tau_j))))*Salcycl</f>
        <v>5.2437449477883667E-2</v>
      </c>
      <c r="P100" s="169">
        <f>(INDEX(Models!$BJ100:$BT100,,T100)*(1-R100)+INDEX(Models!$BJ100:$BT100,,T100+1)*R100-ERP_i)*Q100*Ramure*Pc/MaxiM</f>
        <v>2.5879891187441E-9</v>
      </c>
      <c r="Q100" s="305">
        <f t="shared" si="27"/>
        <v>0.7</v>
      </c>
      <c r="R100" s="177">
        <f t="shared" si="28"/>
        <v>0.51808915963694613</v>
      </c>
      <c r="S100" s="817">
        <f t="shared" si="29"/>
        <v>-2</v>
      </c>
      <c r="T100" s="176">
        <f t="shared" si="30"/>
        <v>4</v>
      </c>
      <c r="U100" s="251">
        <f t="shared" si="31"/>
        <v>-1.4819108403630539</v>
      </c>
      <c r="V100" s="383">
        <f t="shared" si="32"/>
        <v>34.404029908605942</v>
      </c>
      <c r="W100" s="58"/>
      <c r="X100" s="157">
        <f t="shared" si="33"/>
        <v>43551</v>
      </c>
      <c r="Y100" s="385">
        <f t="shared" si="34"/>
        <v>35.116999999999997</v>
      </c>
      <c r="Z100" s="385">
        <f t="shared" si="35"/>
        <v>35.381040708380972</v>
      </c>
      <c r="AA100" s="386">
        <f t="shared" si="36"/>
        <v>37.339002780223495</v>
      </c>
      <c r="AB100" s="197">
        <f t="shared" si="37"/>
        <v>43551</v>
      </c>
      <c r="AC100" s="427">
        <f>IF(OR(t&lt;Tnet,NoTnet),'2018'!Resal_s+('2018'!Salim-'2018'!Resal_s)*(1-EXP(('2018'!Tnet_s-t)/'2018'!Tau_j)),Resal_s+(Salim-Resal_s)*(1-EXP((Tnet_s-t)/Tau_j)))*Salcycl</f>
        <v>5.2437449477883667E-2</v>
      </c>
      <c r="AD100" s="231">
        <f>(INDEX(Models!$BJ100:$BT100,,AH100)*(1-AF100)+INDEX(Models!$BJ100:$BT100,,AH100+1)*AF100-ERP_i)*AE100*Ramure*Pc/MaxiM</f>
        <v>2.5879891187441E-9</v>
      </c>
      <c r="AE100" s="305">
        <f t="shared" si="38"/>
        <v>0.7</v>
      </c>
      <c r="AF100" s="177">
        <f t="shared" si="39"/>
        <v>0.51808915963694613</v>
      </c>
      <c r="AG100" s="176">
        <f t="shared" si="40"/>
        <v>-2</v>
      </c>
      <c r="AH100" s="176">
        <f t="shared" si="41"/>
        <v>4</v>
      </c>
      <c r="AI100" s="225">
        <f t="shared" si="42"/>
        <v>-1.4819108403630539</v>
      </c>
      <c r="AJ100" s="265" t="b">
        <f t="shared" si="43"/>
        <v>0</v>
      </c>
      <c r="AK100" s="265" t="b">
        <f t="shared" si="44"/>
        <v>0</v>
      </c>
      <c r="AL100" s="265"/>
      <c r="AM100" s="265"/>
      <c r="AN100" s="75"/>
    </row>
    <row r="101" spans="1:40" s="6" customFormat="1" ht="11.25" x14ac:dyDescent="0.2">
      <c r="A101" s="56">
        <f t="shared" si="45"/>
        <v>43552</v>
      </c>
      <c r="B101" s="617">
        <v>34.354999999999997</v>
      </c>
      <c r="C101" s="390"/>
      <c r="D101" s="393">
        <f t="shared" si="24"/>
        <v>34.614069454449478</v>
      </c>
      <c r="E101" s="385">
        <f t="shared" si="46"/>
        <v>36.534422257881701</v>
      </c>
      <c r="F101" s="385">
        <f t="shared" si="25"/>
        <v>36.534422327632868</v>
      </c>
      <c r="G101" s="110">
        <f t="shared" si="47"/>
        <v>0.99197344559981404</v>
      </c>
      <c r="H101" s="414" t="b">
        <f>Wh_hp&gt;='2018'!Maxi_hp</f>
        <v>1</v>
      </c>
      <c r="I101" s="390">
        <f>IF(H101,Wh_hp,'2018'!Maxi_hp)</f>
        <v>36.534422327632868</v>
      </c>
      <c r="J101" s="85">
        <f>IF(H101,An,'2018'!An_max)</f>
        <v>2019</v>
      </c>
      <c r="K101" s="197">
        <f t="shared" si="26"/>
        <v>43552</v>
      </c>
      <c r="L101" s="147">
        <f>IF(t&lt;Tvie,1-EXP((T0-t)*PertePVj)+'2018'!Pspv,1-EXP((T0-t)*PertePVj)+Pspv)</f>
        <v>7.4845130472278587E-3</v>
      </c>
      <c r="M101" s="850"/>
      <c r="N101" s="850"/>
      <c r="O101" s="48">
        <f>IF(t&lt;Tnet,'2018'!Resal+('2018'!Salim-'2018'!Resal)*(1-EXP(('2018'!Tnet-t)/('2018'!Tau_j))),Resal+(Salim-Resal)*(1-EXP((Tnet-t)/(Tau_j))))*Salcycl</f>
        <v>5.2562834848659444E-2</v>
      </c>
      <c r="P101" s="169">
        <f>(INDEX(Models!$BJ101:$BT101,,T101)*(1-R101)+INDEX(Models!$BJ101:$BT101,,T101+1)*R101-ERP_i)*Q101*Ramure*Pc/MaxiM</f>
        <v>1.9313359858300624E-9</v>
      </c>
      <c r="Q101" s="305">
        <f t="shared" si="27"/>
        <v>0.7</v>
      </c>
      <c r="R101" s="177">
        <f t="shared" si="28"/>
        <v>0.51879063913449719</v>
      </c>
      <c r="S101" s="817">
        <f t="shared" si="29"/>
        <v>-2</v>
      </c>
      <c r="T101" s="176">
        <f t="shared" si="30"/>
        <v>4</v>
      </c>
      <c r="U101" s="251">
        <f t="shared" si="31"/>
        <v>-1.4812093608655028</v>
      </c>
      <c r="V101" s="383">
        <f t="shared" si="32"/>
        <v>34.632983525547736</v>
      </c>
      <c r="W101" s="58"/>
      <c r="X101" s="157">
        <f t="shared" si="33"/>
        <v>43552</v>
      </c>
      <c r="Y101" s="385">
        <f t="shared" si="34"/>
        <v>34.354999999999997</v>
      </c>
      <c r="Z101" s="385">
        <f t="shared" si="35"/>
        <v>34.614069454449478</v>
      </c>
      <c r="AA101" s="386">
        <f t="shared" si="36"/>
        <v>36.534422257881701</v>
      </c>
      <c r="AB101" s="197">
        <f t="shared" si="37"/>
        <v>43552</v>
      </c>
      <c r="AC101" s="427">
        <f>IF(OR(t&lt;Tnet,NoTnet),'2018'!Resal_s+('2018'!Salim-'2018'!Resal_s)*(1-EXP(('2018'!Tnet_s-t)/'2018'!Tau_j)),Resal_s+(Salim-Resal_s)*(1-EXP((Tnet_s-t)/Tau_j)))*Salcycl</f>
        <v>5.2562834848659444E-2</v>
      </c>
      <c r="AD101" s="231">
        <f>(INDEX(Models!$BJ101:$BT101,,AH101)*(1-AF101)+INDEX(Models!$BJ101:$BT101,,AH101+1)*AF101-ERP_i)*AE101*Ramure*Pc/MaxiM</f>
        <v>1.9313359858300624E-9</v>
      </c>
      <c r="AE101" s="305">
        <f t="shared" si="38"/>
        <v>0.7</v>
      </c>
      <c r="AF101" s="177">
        <f t="shared" si="39"/>
        <v>0.51879063913449719</v>
      </c>
      <c r="AG101" s="176">
        <f t="shared" si="40"/>
        <v>-2</v>
      </c>
      <c r="AH101" s="176">
        <f t="shared" si="41"/>
        <v>4</v>
      </c>
      <c r="AI101" s="225">
        <f t="shared" si="42"/>
        <v>-1.4812093608655028</v>
      </c>
      <c r="AJ101" s="265" t="b">
        <f t="shared" si="43"/>
        <v>0</v>
      </c>
      <c r="AK101" s="265" t="b">
        <f t="shared" si="44"/>
        <v>0</v>
      </c>
      <c r="AL101" s="265"/>
      <c r="AM101" s="265"/>
      <c r="AN101" s="75"/>
    </row>
    <row r="102" spans="1:40" s="6" customFormat="1" ht="11.25" x14ac:dyDescent="0.2">
      <c r="A102" s="56">
        <f t="shared" si="45"/>
        <v>43553</v>
      </c>
      <c r="B102" s="617">
        <v>33.619999999999997</v>
      </c>
      <c r="C102" s="390"/>
      <c r="D102" s="393">
        <f t="shared" si="24"/>
        <v>33.874268787114538</v>
      </c>
      <c r="E102" s="385">
        <f t="shared" si="46"/>
        <v>35.758321305114272</v>
      </c>
      <c r="F102" s="385">
        <f t="shared" si="25"/>
        <v>35.75832135172314</v>
      </c>
      <c r="G102" s="110">
        <f t="shared" si="47"/>
        <v>0.96451612098967543</v>
      </c>
      <c r="H102" s="414" t="b">
        <f>Wh_hp&gt;='2018'!Maxi_hp</f>
        <v>1</v>
      </c>
      <c r="I102" s="390">
        <f>IF(H102,Wh_hp,'2018'!Maxi_hp)</f>
        <v>35.75832135172314</v>
      </c>
      <c r="J102" s="85">
        <f>IF(H102,An,'2018'!An_max)</f>
        <v>2019</v>
      </c>
      <c r="K102" s="197">
        <f t="shared" si="26"/>
        <v>43553</v>
      </c>
      <c r="L102" s="147">
        <f>IF(t&lt;Tvie,1-EXP((T0-t)*PertePVj)+'2018'!Pspv,1-EXP((T0-t)*PertePVj)+Pspv)</f>
        <v>7.506251683615961E-3</v>
      </c>
      <c r="M102" s="850"/>
      <c r="N102" s="850"/>
      <c r="O102" s="48">
        <f>IF(t&lt;Tnet,'2018'!Resal+('2018'!Salim-'2018'!Resal)*(1-EXP(('2018'!Tnet-t)/('2018'!Tau_j))),Resal+(Salim-Resal)*(1-EXP((Tnet-t)/(Tau_j))))*Salcycl</f>
        <v>5.2688505758525905E-2</v>
      </c>
      <c r="P102" s="169">
        <f>(INDEX(Models!$BJ102:$BT102,,T102)*(1-R102)+INDEX(Models!$BJ102:$BT102,,T102+1)*R102-ERP_i)*Q102*Ramure*Pc/MaxiM</f>
        <v>1.3730424565325389E-9</v>
      </c>
      <c r="Q102" s="305">
        <f t="shared" si="27"/>
        <v>0.7</v>
      </c>
      <c r="R102" s="177">
        <f t="shared" si="28"/>
        <v>0.51951881196100125</v>
      </c>
      <c r="S102" s="817">
        <f t="shared" si="29"/>
        <v>-2</v>
      </c>
      <c r="T102" s="176">
        <f t="shared" si="30"/>
        <v>4</v>
      </c>
      <c r="U102" s="251">
        <f t="shared" si="31"/>
        <v>-1.4804811880389988</v>
      </c>
      <c r="V102" s="383">
        <f t="shared" si="32"/>
        <v>34.856856475517517</v>
      </c>
      <c r="W102" s="58"/>
      <c r="X102" s="157">
        <f t="shared" si="33"/>
        <v>43553</v>
      </c>
      <c r="Y102" s="385">
        <f t="shared" si="34"/>
        <v>33.619999999999997</v>
      </c>
      <c r="Z102" s="385">
        <f t="shared" si="35"/>
        <v>33.874268787114538</v>
      </c>
      <c r="AA102" s="386">
        <f t="shared" si="36"/>
        <v>35.758321305114272</v>
      </c>
      <c r="AB102" s="197">
        <f t="shared" si="37"/>
        <v>43553</v>
      </c>
      <c r="AC102" s="427">
        <f>IF(OR(t&lt;Tnet,NoTnet),'2018'!Resal_s+('2018'!Salim-'2018'!Resal_s)*(1-EXP(('2018'!Tnet_s-t)/'2018'!Tau_j)),Resal_s+(Salim-Resal_s)*(1-EXP((Tnet_s-t)/Tau_j)))*Salcycl</f>
        <v>5.2688505758525905E-2</v>
      </c>
      <c r="AD102" s="231">
        <f>(INDEX(Models!$BJ102:$BT102,,AH102)*(1-AF102)+INDEX(Models!$BJ102:$BT102,,AH102+1)*AF102-ERP_i)*AE102*Ramure*Pc/MaxiM</f>
        <v>1.3730424565325389E-9</v>
      </c>
      <c r="AE102" s="305">
        <f t="shared" si="38"/>
        <v>0.7</v>
      </c>
      <c r="AF102" s="177">
        <f t="shared" si="39"/>
        <v>0.51951881196100125</v>
      </c>
      <c r="AG102" s="176">
        <f t="shared" si="40"/>
        <v>-2</v>
      </c>
      <c r="AH102" s="176">
        <f t="shared" si="41"/>
        <v>4</v>
      </c>
      <c r="AI102" s="225">
        <f t="shared" si="42"/>
        <v>-1.4804811880389988</v>
      </c>
      <c r="AJ102" s="265" t="b">
        <f t="shared" si="43"/>
        <v>0</v>
      </c>
      <c r="AK102" s="265" t="b">
        <f t="shared" si="44"/>
        <v>0</v>
      </c>
      <c r="AL102" s="265"/>
      <c r="AM102" s="265"/>
      <c r="AN102" s="75"/>
    </row>
    <row r="103" spans="1:40" s="6" customFormat="1" ht="11.25" x14ac:dyDescent="0.2">
      <c r="A103" s="56">
        <f t="shared" si="45"/>
        <v>43554</v>
      </c>
      <c r="B103" s="617">
        <v>34.277000000000001</v>
      </c>
      <c r="C103" s="390"/>
      <c r="D103" s="393">
        <f t="shared" si="24"/>
        <v>34.536994141132318</v>
      </c>
      <c r="E103" s="385">
        <f t="shared" si="46"/>
        <v>36.462755809314167</v>
      </c>
      <c r="F103" s="385">
        <f t="shared" si="25"/>
        <v>36.462755841463355</v>
      </c>
      <c r="G103" s="110">
        <f t="shared" si="47"/>
        <v>0.97724465846392683</v>
      </c>
      <c r="H103" s="414" t="b">
        <f>Wh_hp&gt;='2018'!Maxi_hp</f>
        <v>1</v>
      </c>
      <c r="I103" s="390">
        <f>IF(H103,Wh_hp,'2018'!Maxi_hp)</f>
        <v>36.462755841463355</v>
      </c>
      <c r="J103" s="85">
        <f>IF(H103,An,'2018'!An_max)</f>
        <v>2019</v>
      </c>
      <c r="K103" s="197">
        <f t="shared" si="26"/>
        <v>43554</v>
      </c>
      <c r="L103" s="147">
        <f>IF(t&lt;Tvie,1-EXP((T0-t)*PertePVj)+'2018'!Pspv,1-EXP((T0-t)*PertePVj)+Pspv)</f>
        <v>7.5279898438721515E-3</v>
      </c>
      <c r="M103" s="850"/>
      <c r="N103" s="850"/>
      <c r="O103" s="48">
        <f>IF(t&lt;Tnet,'2018'!Resal+('2018'!Salim-'2018'!Resal)*(1-EXP(('2018'!Tnet-t)/('2018'!Tau_j))),Resal+(Salim-Resal)*(1-EXP((Tnet-t)/(Tau_j))))*Salcycl</f>
        <v>5.281448495700166E-2</v>
      </c>
      <c r="P103" s="169">
        <f>(INDEX(Models!$BJ103:$BT103,,T103)*(1-R103)+INDEX(Models!$BJ103:$BT103,,T103+1)*R103-ERP_i)*Q103*Ramure*Pc/MaxiM</f>
        <v>9.1132432985638673E-10</v>
      </c>
      <c r="Q103" s="305">
        <f t="shared" si="27"/>
        <v>0.7</v>
      </c>
      <c r="R103" s="177">
        <f t="shared" si="28"/>
        <v>0.52027458063790877</v>
      </c>
      <c r="S103" s="817">
        <f t="shared" si="29"/>
        <v>-2</v>
      </c>
      <c r="T103" s="176">
        <f t="shared" si="30"/>
        <v>4</v>
      </c>
      <c r="U103" s="251">
        <f t="shared" si="31"/>
        <v>-1.4797254193620912</v>
      </c>
      <c r="V103" s="383">
        <f t="shared" si="32"/>
        <v>35.07514694719594</v>
      </c>
      <c r="W103" s="58"/>
      <c r="X103" s="157">
        <f t="shared" si="33"/>
        <v>43554</v>
      </c>
      <c r="Y103" s="385">
        <f t="shared" si="34"/>
        <v>34.277000000000001</v>
      </c>
      <c r="Z103" s="385">
        <f t="shared" si="35"/>
        <v>34.536994141132318</v>
      </c>
      <c r="AA103" s="386">
        <f t="shared" si="36"/>
        <v>36.462755809314167</v>
      </c>
      <c r="AB103" s="197">
        <f t="shared" si="37"/>
        <v>43554</v>
      </c>
      <c r="AC103" s="427">
        <f>IF(OR(t&lt;Tnet,NoTnet),'2018'!Resal_s+('2018'!Salim-'2018'!Resal_s)*(1-EXP(('2018'!Tnet_s-t)/'2018'!Tau_j)),Resal_s+(Salim-Resal_s)*(1-EXP((Tnet_s-t)/Tau_j)))*Salcycl</f>
        <v>5.281448495700166E-2</v>
      </c>
      <c r="AD103" s="231">
        <f>(INDEX(Models!$BJ103:$BT103,,AH103)*(1-AF103)+INDEX(Models!$BJ103:$BT103,,AH103+1)*AF103-ERP_i)*AE103*Ramure*Pc/MaxiM</f>
        <v>9.1132432985638673E-10</v>
      </c>
      <c r="AE103" s="305">
        <f t="shared" si="38"/>
        <v>0.7</v>
      </c>
      <c r="AF103" s="177">
        <f t="shared" si="39"/>
        <v>0.52027458063790877</v>
      </c>
      <c r="AG103" s="176">
        <f t="shared" si="40"/>
        <v>-2</v>
      </c>
      <c r="AH103" s="176">
        <f t="shared" si="41"/>
        <v>4</v>
      </c>
      <c r="AI103" s="225">
        <f t="shared" si="42"/>
        <v>-1.4797254193620912</v>
      </c>
      <c r="AJ103" s="265" t="b">
        <f t="shared" si="43"/>
        <v>0</v>
      </c>
      <c r="AK103" s="265" t="b">
        <f t="shared" si="44"/>
        <v>0</v>
      </c>
      <c r="AL103" s="265"/>
      <c r="AM103" s="265"/>
      <c r="AN103" s="75"/>
    </row>
    <row r="104" spans="1:40" s="6" customFormat="1" ht="11.25" x14ac:dyDescent="0.2">
      <c r="A104" s="56">
        <f t="shared" si="45"/>
        <v>43555</v>
      </c>
      <c r="B104" s="617">
        <v>29.190999999999999</v>
      </c>
      <c r="C104" s="390"/>
      <c r="D104" s="393">
        <f t="shared" si="24"/>
        <v>29.413060593243745</v>
      </c>
      <c r="E104" s="385">
        <f t="shared" si="46"/>
        <v>31.057256442388606</v>
      </c>
      <c r="F104" s="385">
        <f t="shared" si="25"/>
        <v>31.057256455126787</v>
      </c>
      <c r="G104" s="110">
        <f t="shared" si="47"/>
        <v>0.82723687557092673</v>
      </c>
      <c r="H104" s="414" t="b">
        <f>Wh_hp&gt;='2018'!Maxi_hp</f>
        <v>1</v>
      </c>
      <c r="I104" s="390">
        <f>IF(H104,Wh_hp,'2018'!Maxi_hp)</f>
        <v>31.057256455126787</v>
      </c>
      <c r="J104" s="85">
        <f>IF(H104,An,'2018'!An_max)</f>
        <v>2019</v>
      </c>
      <c r="K104" s="197">
        <f t="shared" si="26"/>
        <v>43555</v>
      </c>
      <c r="L104" s="147">
        <f>IF(t&lt;Tvie,1-EXP((T0-t)*PertePVj)+'2018'!Pspv,1-EXP((T0-t)*PertePVj)+Pspv)</f>
        <v>7.5497275280068665E-3</v>
      </c>
      <c r="M104" s="850"/>
      <c r="N104" s="850"/>
      <c r="O104" s="48">
        <f>IF(t&lt;Tnet,'2018'!Resal+('2018'!Salim-'2018'!Resal)*(1-EXP(('2018'!Tnet-t)/('2018'!Tau_j))),Resal+(Salim-Resal)*(1-EXP((Tnet-t)/(Tau_j))))*Salcycl</f>
        <v>5.2940795082619563E-2</v>
      </c>
      <c r="P104" s="169">
        <f>(INDEX(Models!$BJ104:$BT104,,T104)*(1-R104)+INDEX(Models!$BJ104:$BT104,,T104+1)*R104-ERP_i)*Q104*Ramure*Pc/MaxiM</f>
        <v>5.4454842474439453E-10</v>
      </c>
      <c r="Q104" s="305">
        <f t="shared" si="27"/>
        <v>0.7</v>
      </c>
      <c r="R104" s="177">
        <f t="shared" si="28"/>
        <v>0.52105886901238807</v>
      </c>
      <c r="S104" s="817">
        <f t="shared" si="29"/>
        <v>-2</v>
      </c>
      <c r="T104" s="176">
        <f t="shared" si="30"/>
        <v>4</v>
      </c>
      <c r="U104" s="251">
        <f t="shared" si="31"/>
        <v>-1.4789411309876119</v>
      </c>
      <c r="V104" s="383">
        <f t="shared" si="32"/>
        <v>35.287353426949601</v>
      </c>
      <c r="W104" s="58"/>
      <c r="X104" s="157">
        <f t="shared" si="33"/>
        <v>43555</v>
      </c>
      <c r="Y104" s="385">
        <f t="shared" si="34"/>
        <v>29.190999999999999</v>
      </c>
      <c r="Z104" s="385">
        <f t="shared" si="35"/>
        <v>29.413060593243745</v>
      </c>
      <c r="AA104" s="386">
        <f t="shared" si="36"/>
        <v>31.057256442388606</v>
      </c>
      <c r="AB104" s="197">
        <f t="shared" si="37"/>
        <v>43555</v>
      </c>
      <c r="AC104" s="427">
        <f>IF(OR(t&lt;Tnet,NoTnet),'2018'!Resal_s+('2018'!Salim-'2018'!Resal_s)*(1-EXP(('2018'!Tnet_s-t)/'2018'!Tau_j)),Resal_s+(Salim-Resal_s)*(1-EXP((Tnet_s-t)/Tau_j)))*Salcycl</f>
        <v>5.2940795082619563E-2</v>
      </c>
      <c r="AD104" s="231">
        <f>(INDEX(Models!$BJ104:$BT104,,AH104)*(1-AF104)+INDEX(Models!$BJ104:$BT104,,AH104+1)*AF104-ERP_i)*AE104*Ramure*Pc/MaxiM</f>
        <v>5.4454842474439453E-10</v>
      </c>
      <c r="AE104" s="305">
        <f t="shared" si="38"/>
        <v>0.7</v>
      </c>
      <c r="AF104" s="177">
        <f t="shared" si="39"/>
        <v>0.52105886901238807</v>
      </c>
      <c r="AG104" s="176">
        <f t="shared" si="40"/>
        <v>-2</v>
      </c>
      <c r="AH104" s="176">
        <f t="shared" si="41"/>
        <v>4</v>
      </c>
      <c r="AI104" s="225">
        <f t="shared" si="42"/>
        <v>-1.4789411309876119</v>
      </c>
      <c r="AJ104" s="265" t="b">
        <f t="shared" si="43"/>
        <v>0</v>
      </c>
      <c r="AK104" s="265" t="b">
        <f t="shared" si="44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5"/>
        <v>43556</v>
      </c>
      <c r="B105" s="617">
        <v>25.111999999999998</v>
      </c>
      <c r="C105" s="390"/>
      <c r="D105" s="393">
        <f t="shared" si="24"/>
        <v>25.303585203060109</v>
      </c>
      <c r="E105" s="385">
        <f t="shared" si="46"/>
        <v>26.721634432376025</v>
      </c>
      <c r="F105" s="385">
        <f t="shared" si="25"/>
        <v>26.721634436595622</v>
      </c>
      <c r="G105" s="110">
        <f t="shared" si="47"/>
        <v>0.70752029652884241</v>
      </c>
      <c r="H105" s="414" t="b">
        <f>Wh_hp&gt;='2018'!Maxi_hp</f>
        <v>1</v>
      </c>
      <c r="I105" s="390">
        <f>IF(H105,Wh_hp,'2018'!Maxi_hp)</f>
        <v>26.721634436595622</v>
      </c>
      <c r="J105" s="85">
        <f>IF(H105,An,'2018'!An_max)</f>
        <v>2019</v>
      </c>
      <c r="K105" s="197">
        <f t="shared" si="26"/>
        <v>43556</v>
      </c>
      <c r="L105" s="147">
        <f>IF(t&lt;Tvie,1-EXP((T0-t)*PertePVj)+'2018'!Pspv,1-EXP((T0-t)*PertePVj)+Pspv)</f>
        <v>7.571464736030431E-3</v>
      </c>
      <c r="M105" s="850"/>
      <c r="N105" s="850"/>
      <c r="O105" s="48">
        <f>IF(t&lt;Tnet,'2018'!Resal+('2018'!Salim-'2018'!Resal)*(1-EXP(('2018'!Tnet-t)/('2018'!Tau_j))),Resal+(Salim-Resal)*(1-EXP((Tnet-t)/(Tau_j))))*Salcycl</f>
        <v>5.3067458613152867E-2</v>
      </c>
      <c r="P105" s="169">
        <f>(INDEX(Models!$BJ105:$BT105,,T105)*(1-R105)+INDEX(Models!$BJ105:$BT105,,T105+1)*R105-ERP_i)*Q105*Ramure*Pc/MaxiM</f>
        <v>2.7124184672070265E-10</v>
      </c>
      <c r="Q105" s="305">
        <f t="shared" si="27"/>
        <v>0.7</v>
      </c>
      <c r="R105" s="177">
        <f t="shared" si="28"/>
        <v>0.52187262198326412</v>
      </c>
      <c r="S105" s="817">
        <f t="shared" si="29"/>
        <v>-2</v>
      </c>
      <c r="T105" s="176">
        <f t="shared" si="30"/>
        <v>4</v>
      </c>
      <c r="U105" s="251">
        <f t="shared" si="31"/>
        <v>-1.4781273780167359</v>
      </c>
      <c r="V105" s="383">
        <f t="shared" si="32"/>
        <v>35.492974717977283</v>
      </c>
      <c r="W105" s="58"/>
      <c r="X105" s="157">
        <f t="shared" si="33"/>
        <v>43556</v>
      </c>
      <c r="Y105" s="385">
        <f t="shared" si="34"/>
        <v>25.111999999999998</v>
      </c>
      <c r="Z105" s="385">
        <f t="shared" si="35"/>
        <v>25.303585203060109</v>
      </c>
      <c r="AA105" s="386">
        <f t="shared" si="36"/>
        <v>26.721634432376025</v>
      </c>
      <c r="AB105" s="197">
        <f t="shared" si="37"/>
        <v>43556</v>
      </c>
      <c r="AC105" s="427">
        <f>IF(OR(t&lt;Tnet,NoTnet),'2018'!Resal_s+('2018'!Salim-'2018'!Resal_s)*(1-EXP(('2018'!Tnet_s-t)/'2018'!Tau_j)),Resal_s+(Salim-Resal_s)*(1-EXP((Tnet_s-t)/Tau_j)))*Salcycl</f>
        <v>5.3067458613152867E-2</v>
      </c>
      <c r="AD105" s="231">
        <f>(INDEX(Models!$BJ105:$BT105,,AH105)*(1-AF105)+INDEX(Models!$BJ105:$BT105,,AH105+1)*AF105-ERP_i)*AE105*Ramure*Pc/MaxiM</f>
        <v>2.7124184672070265E-10</v>
      </c>
      <c r="AE105" s="305">
        <f t="shared" si="38"/>
        <v>0.7</v>
      </c>
      <c r="AF105" s="177">
        <f t="shared" si="39"/>
        <v>0.52187262198326412</v>
      </c>
      <c r="AG105" s="176">
        <f t="shared" si="40"/>
        <v>-2</v>
      </c>
      <c r="AH105" s="176">
        <f t="shared" si="41"/>
        <v>4</v>
      </c>
      <c r="AI105" s="225">
        <f t="shared" si="42"/>
        <v>-1.4781273780167359</v>
      </c>
      <c r="AJ105" s="265" t="b">
        <f t="shared" si="43"/>
        <v>0</v>
      </c>
      <c r="AK105" s="265" t="b">
        <f t="shared" si="44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5"/>
        <v>43557</v>
      </c>
      <c r="B106" s="617">
        <v>11.843</v>
      </c>
      <c r="C106" s="390"/>
      <c r="D106" s="393">
        <f t="shared" si="24"/>
        <v>11.933614337908597</v>
      </c>
      <c r="E106" s="385">
        <f t="shared" si="46"/>
        <v>12.6040821587961</v>
      </c>
      <c r="F106" s="385">
        <f t="shared" si="25"/>
        <v>12.604082158847715</v>
      </c>
      <c r="G106" s="110">
        <f t="shared" si="47"/>
        <v>0.33181560605599619</v>
      </c>
      <c r="H106" s="414" t="b">
        <f>Wh_hp&gt;='2018'!Maxi_hp</f>
        <v>1</v>
      </c>
      <c r="I106" s="390">
        <f>IF(H106,Wh_hp,'2018'!Maxi_hp)</f>
        <v>12.604082158847715</v>
      </c>
      <c r="J106" s="85">
        <f>IF(H106,An,'2018'!An_max)</f>
        <v>2019</v>
      </c>
      <c r="K106" s="197">
        <f t="shared" si="26"/>
        <v>43557</v>
      </c>
      <c r="L106" s="147">
        <f>IF(t&lt;Tvie,1-EXP((T0-t)*PertePVj)+'2018'!Pspv,1-EXP((T0-t)*PertePVj)+Pspv)</f>
        <v>7.5932014679533921E-3</v>
      </c>
      <c r="M106" s="850"/>
      <c r="N106" s="850"/>
      <c r="O106" s="48">
        <f>IF(t&lt;Tnet,'2018'!Resal+('2018'!Salim-'2018'!Resal)*(1-EXP(('2018'!Tnet-t)/('2018'!Tau_j))),Resal+(Salim-Resal)*(1-EXP((Tnet-t)/(Tau_j))))*Salcycl</f>
        <v>5.3194497817486794E-2</v>
      </c>
      <c r="P106" s="169">
        <f>(INDEX(Models!$BJ106:$BT106,,T106)*(1-R106)+INDEX(Models!$BJ106:$BT106,,T106+1)*R106-ERP_i)*Q106*Ramure*Pc/MaxiM</f>
        <v>9.0100933699419963E-11</v>
      </c>
      <c r="Q106" s="305">
        <f t="shared" si="27"/>
        <v>0.7</v>
      </c>
      <c r="R106" s="177">
        <f t="shared" si="28"/>
        <v>0.52271680514378227</v>
      </c>
      <c r="S106" s="817">
        <f t="shared" si="29"/>
        <v>-2</v>
      </c>
      <c r="T106" s="176">
        <f t="shared" si="30"/>
        <v>4</v>
      </c>
      <c r="U106" s="251">
        <f t="shared" si="31"/>
        <v>-1.4772831948562177</v>
      </c>
      <c r="V106" s="383">
        <f t="shared" si="32"/>
        <v>35.691509931521566</v>
      </c>
      <c r="W106" s="58"/>
      <c r="X106" s="157">
        <f t="shared" si="33"/>
        <v>43557</v>
      </c>
      <c r="Y106" s="385">
        <f t="shared" si="34"/>
        <v>11.843</v>
      </c>
      <c r="Z106" s="385">
        <f t="shared" si="35"/>
        <v>11.933614337908597</v>
      </c>
      <c r="AA106" s="386">
        <f t="shared" si="36"/>
        <v>12.6040821587961</v>
      </c>
      <c r="AB106" s="197">
        <f t="shared" si="37"/>
        <v>43557</v>
      </c>
      <c r="AC106" s="427">
        <f>IF(OR(t&lt;Tnet,NoTnet),'2018'!Resal_s+('2018'!Salim-'2018'!Resal_s)*(1-EXP(('2018'!Tnet_s-t)/'2018'!Tau_j)),Resal_s+(Salim-Resal_s)*(1-EXP((Tnet_s-t)/Tau_j)))*Salcycl</f>
        <v>5.3194497817486794E-2</v>
      </c>
      <c r="AD106" s="231">
        <f>(INDEX(Models!$BJ106:$BT106,,AH106)*(1-AF106)+INDEX(Models!$BJ106:$BT106,,AH106+1)*AF106-ERP_i)*AE106*Ramure*Pc/MaxiM</f>
        <v>9.0100933699419963E-11</v>
      </c>
      <c r="AE106" s="305">
        <f t="shared" si="38"/>
        <v>0.7</v>
      </c>
      <c r="AF106" s="177">
        <f t="shared" si="39"/>
        <v>0.52271680514378227</v>
      </c>
      <c r="AG106" s="176">
        <f t="shared" si="40"/>
        <v>-2</v>
      </c>
      <c r="AH106" s="176">
        <f t="shared" si="41"/>
        <v>4</v>
      </c>
      <c r="AI106" s="225">
        <f t="shared" si="42"/>
        <v>-1.4772831948562177</v>
      </c>
      <c r="AJ106" s="265" t="b">
        <f t="shared" si="43"/>
        <v>0</v>
      </c>
      <c r="AK106" s="265" t="b">
        <f t="shared" si="44"/>
        <v>0</v>
      </c>
      <c r="AL106" s="265"/>
      <c r="AM106" s="265"/>
      <c r="AN106" s="75"/>
    </row>
    <row r="107" spans="1:40" s="6" customFormat="1" ht="11.25" x14ac:dyDescent="0.2">
      <c r="A107" s="56">
        <f t="shared" si="45"/>
        <v>43558</v>
      </c>
      <c r="B107" s="617">
        <v>10.494</v>
      </c>
      <c r="C107" s="390"/>
      <c r="D107" s="393">
        <f t="shared" si="24"/>
        <v>10.574524344340816</v>
      </c>
      <c r="E107" s="385">
        <f t="shared" si="46"/>
        <v>11.170137697328958</v>
      </c>
      <c r="F107" s="385">
        <f t="shared" si="25"/>
        <v>11.170137697328958</v>
      </c>
      <c r="G107" s="110">
        <f t="shared" si="47"/>
        <v>0.29245351139154702</v>
      </c>
      <c r="H107" s="414" t="b">
        <f>Wh_hp&gt;='2018'!Maxi_hp</f>
        <v>1</v>
      </c>
      <c r="I107" s="390">
        <f>IF(H107,Wh_hp,'2018'!Maxi_hp)</f>
        <v>11.170137697328958</v>
      </c>
      <c r="J107" s="85">
        <f>IF(H107,An,'2018'!An_max)</f>
        <v>2019</v>
      </c>
      <c r="K107" s="197">
        <f t="shared" si="26"/>
        <v>43558</v>
      </c>
      <c r="L107" s="147">
        <f>IF(t&lt;Tvie,1-EXP((T0-t)*PertePVj)+'2018'!Pspv,1-EXP((T0-t)*PertePVj)+Pspv)</f>
        <v>7.6149377237861859E-3</v>
      </c>
      <c r="M107" s="850"/>
      <c r="N107" s="850"/>
      <c r="O107" s="48">
        <f>IF(t&lt;Tnet,'2018'!Resal+('2018'!Salim-'2018'!Resal)*(1-EXP(('2018'!Tnet-t)/('2018'!Tau_j))),Resal+(Salim-Resal)*(1-EXP((Tnet-t)/(Tau_j))))*Salcycl</f>
        <v>5.3321934709056204E-2</v>
      </c>
      <c r="P107" s="169">
        <f>(INDEX(Models!$BJ107:$BT107,,T107)*(1-R107)+INDEX(Models!$BJ107:$BT107,,T107+1)*R107-ERP_i)*Q107*Ramure*Pc/MaxiM</f>
        <v>0</v>
      </c>
      <c r="Q107" s="305">
        <f t="shared" si="27"/>
        <v>0.7</v>
      </c>
      <c r="R107" s="177">
        <f t="shared" si="28"/>
        <v>0.52359240433465204</v>
      </c>
      <c r="S107" s="817">
        <f t="shared" si="29"/>
        <v>-2</v>
      </c>
      <c r="T107" s="176">
        <f t="shared" si="30"/>
        <v>4</v>
      </c>
      <c r="U107" s="251">
        <f t="shared" si="31"/>
        <v>-1.476407595665348</v>
      </c>
      <c r="V107" s="383">
        <f t="shared" si="32"/>
        <v>35.882626096939774</v>
      </c>
      <c r="W107" s="58"/>
      <c r="X107" s="157">
        <f t="shared" si="33"/>
        <v>43558</v>
      </c>
      <c r="Y107" s="385">
        <f t="shared" si="34"/>
        <v>10.494</v>
      </c>
      <c r="Z107" s="385">
        <f t="shared" si="35"/>
        <v>10.574524344340816</v>
      </c>
      <c r="AA107" s="386">
        <f t="shared" si="36"/>
        <v>11.170137697328958</v>
      </c>
      <c r="AB107" s="197">
        <f t="shared" si="37"/>
        <v>43558</v>
      </c>
      <c r="AC107" s="427">
        <f>IF(OR(t&lt;Tnet,NoTnet),'2018'!Resal_s+('2018'!Salim-'2018'!Resal_s)*(1-EXP(('2018'!Tnet_s-t)/'2018'!Tau_j)),Resal_s+(Salim-Resal_s)*(1-EXP((Tnet_s-t)/Tau_j)))*Salcycl</f>
        <v>5.3321934709056204E-2</v>
      </c>
      <c r="AD107" s="231">
        <f>(INDEX(Models!$BJ107:$BT107,,AH107)*(1-AF107)+INDEX(Models!$BJ107:$BT107,,AH107+1)*AF107-ERP_i)*AE107*Ramure*Pc/MaxiM</f>
        <v>0</v>
      </c>
      <c r="AE107" s="305">
        <f t="shared" si="38"/>
        <v>0.7</v>
      </c>
      <c r="AF107" s="177">
        <f t="shared" si="39"/>
        <v>0.52359240433465204</v>
      </c>
      <c r="AG107" s="176">
        <f t="shared" si="40"/>
        <v>-2</v>
      </c>
      <c r="AH107" s="176">
        <f t="shared" si="41"/>
        <v>4</v>
      </c>
      <c r="AI107" s="225">
        <f t="shared" si="42"/>
        <v>-1.476407595665348</v>
      </c>
      <c r="AJ107" s="265" t="b">
        <f t="shared" si="43"/>
        <v>0</v>
      </c>
      <c r="AK107" s="265" t="b">
        <f t="shared" si="44"/>
        <v>0</v>
      </c>
      <c r="AL107" s="265"/>
      <c r="AM107" s="265"/>
      <c r="AN107" s="75"/>
    </row>
    <row r="108" spans="1:40" s="6" customFormat="1" ht="11.25" x14ac:dyDescent="0.2">
      <c r="A108" s="56">
        <f t="shared" si="45"/>
        <v>43559</v>
      </c>
      <c r="B108" s="617">
        <v>26.510999999999999</v>
      </c>
      <c r="C108" s="390"/>
      <c r="D108" s="393">
        <f t="shared" si="24"/>
        <v>26.715013838325824</v>
      </c>
      <c r="E108" s="385">
        <f t="shared" si="46"/>
        <v>28.223557064732944</v>
      </c>
      <c r="F108" s="385">
        <f t="shared" si="25"/>
        <v>28.223557064732944</v>
      </c>
      <c r="G108" s="110">
        <f t="shared" si="47"/>
        <v>0.73505557408646371</v>
      </c>
      <c r="H108" s="414" t="b">
        <f>Wh_hp&gt;='2018'!Maxi_hp</f>
        <v>1</v>
      </c>
      <c r="I108" s="390">
        <f>IF(H108,Wh_hp,'2018'!Maxi_hp)</f>
        <v>28.223557064732944</v>
      </c>
      <c r="J108" s="85">
        <f>IF(H108,An,'2018'!An_max)</f>
        <v>2019</v>
      </c>
      <c r="K108" s="197">
        <f t="shared" si="26"/>
        <v>43559</v>
      </c>
      <c r="L108" s="147">
        <f>IF(t&lt;Tvie,1-EXP((T0-t)*PertePVj)+'2018'!Pspv,1-EXP((T0-t)*PertePVj)+Pspv)</f>
        <v>7.6366735035391375E-3</v>
      </c>
      <c r="M108" s="850"/>
      <c r="N108" s="850"/>
      <c r="O108" s="48">
        <f>IF(t&lt;Tnet,'2018'!Resal+('2018'!Salim-'2018'!Resal)*(1-EXP(('2018'!Tnet-t)/('2018'!Tau_j))),Resal+(Salim-Resal)*(1-EXP((Tnet-t)/(Tau_j))))*Salcycl</f>
        <v>5.3449791000728927E-2</v>
      </c>
      <c r="P108" s="169">
        <f>(INDEX(Models!$BJ108:$BT108,,T108)*(1-R108)+INDEX(Models!$BJ108:$BT108,,T108+1)*R108-ERP_i)*Q108*Ramure*Pc/MaxiM</f>
        <v>0</v>
      </c>
      <c r="Q108" s="305">
        <f t="shared" si="27"/>
        <v>0.7</v>
      </c>
      <c r="R108" s="177">
        <f t="shared" si="28"/>
        <v>0.52450042510058537</v>
      </c>
      <c r="S108" s="817">
        <f t="shared" si="29"/>
        <v>-2</v>
      </c>
      <c r="T108" s="176">
        <f t="shared" si="30"/>
        <v>4</v>
      </c>
      <c r="U108" s="251">
        <f t="shared" si="31"/>
        <v>-1.4754995748994146</v>
      </c>
      <c r="V108" s="383">
        <f t="shared" si="32"/>
        <v>36.066660718746611</v>
      </c>
      <c r="W108" s="58"/>
      <c r="X108" s="157">
        <f t="shared" si="33"/>
        <v>43559</v>
      </c>
      <c r="Y108" s="385">
        <f t="shared" si="34"/>
        <v>26.510999999999999</v>
      </c>
      <c r="Z108" s="385">
        <f t="shared" si="35"/>
        <v>26.715013838325824</v>
      </c>
      <c r="AA108" s="386">
        <f t="shared" si="36"/>
        <v>28.223557064732944</v>
      </c>
      <c r="AB108" s="197">
        <f t="shared" si="37"/>
        <v>43559</v>
      </c>
      <c r="AC108" s="427">
        <f>IF(OR(t&lt;Tnet,NoTnet),'2018'!Resal_s+('2018'!Salim-'2018'!Resal_s)*(1-EXP(('2018'!Tnet_s-t)/'2018'!Tau_j)),Resal_s+(Salim-Resal_s)*(1-EXP((Tnet_s-t)/Tau_j)))*Salcycl</f>
        <v>5.3449791000728927E-2</v>
      </c>
      <c r="AD108" s="231">
        <f>(INDEX(Models!$BJ108:$BT108,,AH108)*(1-AF108)+INDEX(Models!$BJ108:$BT108,,AH108+1)*AF108-ERP_i)*AE108*Ramure*Pc/MaxiM</f>
        <v>0</v>
      </c>
      <c r="AE108" s="305">
        <f t="shared" si="38"/>
        <v>0.7</v>
      </c>
      <c r="AF108" s="177">
        <f t="shared" si="39"/>
        <v>0.52450042510058537</v>
      </c>
      <c r="AG108" s="176">
        <f t="shared" si="40"/>
        <v>-2</v>
      </c>
      <c r="AH108" s="176">
        <f t="shared" si="41"/>
        <v>4</v>
      </c>
      <c r="AI108" s="225">
        <f t="shared" si="42"/>
        <v>-1.4754995748994146</v>
      </c>
      <c r="AJ108" s="265" t="b">
        <f t="shared" si="43"/>
        <v>0</v>
      </c>
      <c r="AK108" s="265" t="b">
        <f t="shared" si="44"/>
        <v>0</v>
      </c>
      <c r="AL108" s="265"/>
      <c r="AM108" s="265"/>
      <c r="AN108" s="75"/>
    </row>
    <row r="109" spans="1:40" s="6" customFormat="1" ht="11.25" x14ac:dyDescent="0.2">
      <c r="A109" s="56">
        <f t="shared" si="45"/>
        <v>43560</v>
      </c>
      <c r="B109" s="617">
        <v>33.000999999999998</v>
      </c>
      <c r="C109" s="390"/>
      <c r="D109" s="393">
        <f t="shared" si="24"/>
        <v>33.255685635763157</v>
      </c>
      <c r="E109" s="385">
        <f t="shared" si="46"/>
        <v>35.138330184715493</v>
      </c>
      <c r="F109" s="385">
        <f t="shared" si="25"/>
        <v>35.138330184715493</v>
      </c>
      <c r="G109" s="110">
        <f t="shared" si="47"/>
        <v>0.91052014043160545</v>
      </c>
      <c r="H109" s="414" t="b">
        <f>Wh_hp&gt;='2018'!Maxi_hp</f>
        <v>1</v>
      </c>
      <c r="I109" s="390">
        <f>IF(H109,Wh_hp,'2018'!Maxi_hp)</f>
        <v>35.138330184715493</v>
      </c>
      <c r="J109" s="85">
        <f>IF(H109,An,'2018'!An_max)</f>
        <v>2019</v>
      </c>
      <c r="K109" s="197">
        <f t="shared" si="26"/>
        <v>43560</v>
      </c>
      <c r="L109" s="147">
        <f>IF(t&lt;Tvie,1-EXP((T0-t)*PertePVj)+'2018'!Pspv,1-EXP((T0-t)*PertePVj)+Pspv)</f>
        <v>7.658408807222794E-3</v>
      </c>
      <c r="M109" s="850"/>
      <c r="N109" s="850"/>
      <c r="O109" s="48">
        <f>IF(t&lt;Tnet,'2018'!Resal+('2018'!Salim-'2018'!Resal)*(1-EXP(('2018'!Tnet-t)/('2018'!Tau_j))),Resal+(Salim-Resal)*(1-EXP((Tnet-t)/(Tau_j))))*Salcycl</f>
        <v>5.3578088060975998E-2</v>
      </c>
      <c r="P109" s="169">
        <f>(INDEX(Models!$BJ109:$BT109,,T109)*(1-R109)+INDEX(Models!$BJ109:$BT109,,T109+1)*R109-ERP_i)*Q109*Ramure*Pc/MaxiM</f>
        <v>0</v>
      </c>
      <c r="Q109" s="305">
        <f t="shared" si="27"/>
        <v>0.7</v>
      </c>
      <c r="R109" s="177">
        <f t="shared" si="28"/>
        <v>0.52544189204333547</v>
      </c>
      <c r="S109" s="817">
        <f t="shared" si="29"/>
        <v>-2</v>
      </c>
      <c r="T109" s="176">
        <f t="shared" si="30"/>
        <v>4</v>
      </c>
      <c r="U109" s="251">
        <f t="shared" si="31"/>
        <v>-1.4745581079566645</v>
      </c>
      <c r="V109" s="383">
        <f t="shared" si="32"/>
        <v>36.244118646685664</v>
      </c>
      <c r="W109" s="58"/>
      <c r="X109" s="157">
        <f t="shared" si="33"/>
        <v>43560</v>
      </c>
      <c r="Y109" s="385">
        <f t="shared" si="34"/>
        <v>33.000999999999998</v>
      </c>
      <c r="Z109" s="385">
        <f t="shared" si="35"/>
        <v>33.255685635763157</v>
      </c>
      <c r="AA109" s="386">
        <f t="shared" si="36"/>
        <v>35.138330184715493</v>
      </c>
      <c r="AB109" s="197">
        <f t="shared" si="37"/>
        <v>43560</v>
      </c>
      <c r="AC109" s="427">
        <f>IF(OR(t&lt;Tnet,NoTnet),'2018'!Resal_s+('2018'!Salim-'2018'!Resal_s)*(1-EXP(('2018'!Tnet_s-t)/'2018'!Tau_j)),Resal_s+(Salim-Resal_s)*(1-EXP((Tnet_s-t)/Tau_j)))*Salcycl</f>
        <v>5.3578088060975998E-2</v>
      </c>
      <c r="AD109" s="231">
        <f>(INDEX(Models!$BJ109:$BT109,,AH109)*(1-AF109)+INDEX(Models!$BJ109:$BT109,,AH109+1)*AF109-ERP_i)*AE109*Ramure*Pc/MaxiM</f>
        <v>0</v>
      </c>
      <c r="AE109" s="305">
        <f t="shared" si="38"/>
        <v>0.7</v>
      </c>
      <c r="AF109" s="177">
        <f t="shared" si="39"/>
        <v>0.52544189204333547</v>
      </c>
      <c r="AG109" s="176">
        <f t="shared" si="40"/>
        <v>-2</v>
      </c>
      <c r="AH109" s="176">
        <f t="shared" si="41"/>
        <v>4</v>
      </c>
      <c r="AI109" s="225">
        <f t="shared" si="42"/>
        <v>-1.4745581079566645</v>
      </c>
      <c r="AJ109" s="265" t="b">
        <f t="shared" si="43"/>
        <v>0</v>
      </c>
      <c r="AK109" s="265" t="b">
        <f t="shared" si="44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5"/>
        <v>43561</v>
      </c>
      <c r="B110" s="617">
        <v>14.321999999999999</v>
      </c>
      <c r="C110" s="390"/>
      <c r="D110" s="393">
        <f t="shared" si="24"/>
        <v>14.432846332896325</v>
      </c>
      <c r="E110" s="385">
        <f t="shared" si="46"/>
        <v>15.251982205699102</v>
      </c>
      <c r="F110" s="385">
        <f t="shared" si="25"/>
        <v>15.251982205699102</v>
      </c>
      <c r="G110" s="110">
        <f t="shared" si="47"/>
        <v>0.39329401647523654</v>
      </c>
      <c r="H110" s="414" t="b">
        <f>Wh_hp&gt;='2018'!Maxi_hp</f>
        <v>1</v>
      </c>
      <c r="I110" s="390">
        <f>IF(H110,Wh_hp,'2018'!Maxi_hp)</f>
        <v>15.251982205699102</v>
      </c>
      <c r="J110" s="85">
        <f>IF(H110,An,'2018'!An_max)</f>
        <v>2019</v>
      </c>
      <c r="K110" s="197">
        <f t="shared" si="26"/>
        <v>43561</v>
      </c>
      <c r="L110" s="147">
        <f>IF(t&lt;Tvie,1-EXP((T0-t)*PertePVj)+'2018'!Pspv,1-EXP((T0-t)*PertePVj)+Pspv)</f>
        <v>7.6801436348474805E-3</v>
      </c>
      <c r="M110" s="850"/>
      <c r="N110" s="850"/>
      <c r="O110" s="48">
        <f>IF(t&lt;Tnet,'2018'!Resal+('2018'!Salim-'2018'!Resal)*(1-EXP(('2018'!Tnet-t)/('2018'!Tau_j))),Resal+(Salim-Resal)*(1-EXP((Tnet-t)/(Tau_j))))*Salcycl</f>
        <v>5.3706846871136284E-2</v>
      </c>
      <c r="P110" s="169">
        <f>(INDEX(Models!$BJ110:$BT110,,T110)*(1-R110)+INDEX(Models!$BJ110:$BT110,,T110+1)*R110-ERP_i)*Q110*Ramure*Pc/MaxiM</f>
        <v>0</v>
      </c>
      <c r="Q110" s="305">
        <f t="shared" si="27"/>
        <v>0.7</v>
      </c>
      <c r="R110" s="177">
        <f t="shared" si="28"/>
        <v>0.52641784806404446</v>
      </c>
      <c r="S110" s="817">
        <f t="shared" si="29"/>
        <v>-2</v>
      </c>
      <c r="T110" s="176">
        <f t="shared" si="30"/>
        <v>4</v>
      </c>
      <c r="U110" s="251">
        <f t="shared" si="31"/>
        <v>-1.4735821519359555</v>
      </c>
      <c r="V110" s="383">
        <f t="shared" si="32"/>
        <v>36.415504431915949</v>
      </c>
      <c r="W110" s="58"/>
      <c r="X110" s="157">
        <f t="shared" si="33"/>
        <v>43561</v>
      </c>
      <c r="Y110" s="385">
        <f t="shared" si="34"/>
        <v>14.321999999999999</v>
      </c>
      <c r="Z110" s="385">
        <f t="shared" si="35"/>
        <v>14.432846332896325</v>
      </c>
      <c r="AA110" s="386">
        <f t="shared" si="36"/>
        <v>15.251982205699102</v>
      </c>
      <c r="AB110" s="197">
        <f t="shared" si="37"/>
        <v>43561</v>
      </c>
      <c r="AC110" s="427">
        <f>IF(OR(t&lt;Tnet,NoTnet),'2018'!Resal_s+('2018'!Salim-'2018'!Resal_s)*(1-EXP(('2018'!Tnet_s-t)/'2018'!Tau_j)),Resal_s+(Salim-Resal_s)*(1-EXP((Tnet_s-t)/Tau_j)))*Salcycl</f>
        <v>5.3706846871136284E-2</v>
      </c>
      <c r="AD110" s="231">
        <f>(INDEX(Models!$BJ110:$BT110,,AH110)*(1-AF110)+INDEX(Models!$BJ110:$BT110,,AH110+1)*AF110-ERP_i)*AE110*Ramure*Pc/MaxiM</f>
        <v>0</v>
      </c>
      <c r="AE110" s="305">
        <f t="shared" si="38"/>
        <v>0.7</v>
      </c>
      <c r="AF110" s="177">
        <f t="shared" si="39"/>
        <v>0.52641784806404446</v>
      </c>
      <c r="AG110" s="176">
        <f t="shared" si="40"/>
        <v>-2</v>
      </c>
      <c r="AH110" s="176">
        <f t="shared" si="41"/>
        <v>4</v>
      </c>
      <c r="AI110" s="225">
        <f t="shared" si="42"/>
        <v>-1.4735821519359555</v>
      </c>
      <c r="AJ110" s="265" t="b">
        <f t="shared" si="43"/>
        <v>0</v>
      </c>
      <c r="AK110" s="265" t="b">
        <f t="shared" si="44"/>
        <v>0</v>
      </c>
      <c r="AL110" s="265"/>
      <c r="AM110" s="265"/>
      <c r="AN110" s="75"/>
    </row>
    <row r="111" spans="1:40" s="6" customFormat="1" ht="11.25" x14ac:dyDescent="0.2">
      <c r="A111" s="56">
        <f t="shared" si="45"/>
        <v>43562</v>
      </c>
      <c r="B111" s="617">
        <v>22.914999999999999</v>
      </c>
      <c r="C111" s="390"/>
      <c r="D111" s="393">
        <f t="shared" si="24"/>
        <v>23.092858377581894</v>
      </c>
      <c r="E111" s="385">
        <f t="shared" si="46"/>
        <v>24.406826432818441</v>
      </c>
      <c r="F111" s="385">
        <f t="shared" si="25"/>
        <v>24.406826432818441</v>
      </c>
      <c r="G111" s="110">
        <f t="shared" si="47"/>
        <v>0.62641256647065269</v>
      </c>
      <c r="H111" s="414" t="b">
        <f>Wh_hp&gt;='2018'!Maxi_hp</f>
        <v>1</v>
      </c>
      <c r="I111" s="390">
        <f>IF(H111,Wh_hp,'2018'!Maxi_hp)</f>
        <v>24.406826432818441</v>
      </c>
      <c r="J111" s="85">
        <f>IF(H111,An,'2018'!An_max)</f>
        <v>2019</v>
      </c>
      <c r="K111" s="197">
        <f t="shared" si="26"/>
        <v>43562</v>
      </c>
      <c r="L111" s="147">
        <f>IF(t&lt;Tvie,1-EXP((T0-t)*PertePVj)+'2018'!Pspv,1-EXP((T0-t)*PertePVj)+Pspv)</f>
        <v>7.7018779864236331E-3</v>
      </c>
      <c r="M111" s="850"/>
      <c r="N111" s="850"/>
      <c r="O111" s="48">
        <f>IF(t&lt;Tnet,'2018'!Resal+('2018'!Salim-'2018'!Resal)*(1-EXP(('2018'!Tnet-t)/('2018'!Tau_j))),Resal+(Salim-Resal)*(1-EXP((Tnet-t)/(Tau_j))))*Salcycl</f>
        <v>5.3836087983554111E-2</v>
      </c>
      <c r="P111" s="169">
        <f>(INDEX(Models!$BJ111:$BT111,,T111)*(1-R111)+INDEX(Models!$BJ111:$BT111,,T111+1)*R111-ERP_i)*Q111*Ramure*Pc/MaxiM</f>
        <v>0</v>
      </c>
      <c r="Q111" s="305">
        <f t="shared" si="27"/>
        <v>0.7</v>
      </c>
      <c r="R111" s="177">
        <f t="shared" si="28"/>
        <v>0.52742935348755626</v>
      </c>
      <c r="S111" s="817">
        <f t="shared" si="29"/>
        <v>-2</v>
      </c>
      <c r="T111" s="176">
        <f t="shared" si="30"/>
        <v>4</v>
      </c>
      <c r="U111" s="251">
        <f t="shared" si="31"/>
        <v>-1.4725706465124437</v>
      </c>
      <c r="V111" s="383">
        <f t="shared" si="32"/>
        <v>36.581322321019499</v>
      </c>
      <c r="W111" s="58"/>
      <c r="X111" s="157">
        <f t="shared" si="33"/>
        <v>43562</v>
      </c>
      <c r="Y111" s="385">
        <f t="shared" si="34"/>
        <v>22.914999999999999</v>
      </c>
      <c r="Z111" s="385">
        <f t="shared" si="35"/>
        <v>23.092858377581894</v>
      </c>
      <c r="AA111" s="386">
        <f t="shared" si="36"/>
        <v>24.406826432818441</v>
      </c>
      <c r="AB111" s="197">
        <f t="shared" si="37"/>
        <v>43562</v>
      </c>
      <c r="AC111" s="427">
        <f>IF(OR(t&lt;Tnet,NoTnet),'2018'!Resal_s+('2018'!Salim-'2018'!Resal_s)*(1-EXP(('2018'!Tnet_s-t)/'2018'!Tau_j)),Resal_s+(Salim-Resal_s)*(1-EXP((Tnet_s-t)/Tau_j)))*Salcycl</f>
        <v>5.3836087983554111E-2</v>
      </c>
      <c r="AD111" s="231">
        <f>(INDEX(Models!$BJ111:$BT111,,AH111)*(1-AF111)+INDEX(Models!$BJ111:$BT111,,AH111+1)*AF111-ERP_i)*AE111*Ramure*Pc/MaxiM</f>
        <v>0</v>
      </c>
      <c r="AE111" s="305">
        <f t="shared" si="38"/>
        <v>0.7</v>
      </c>
      <c r="AF111" s="177">
        <f t="shared" si="39"/>
        <v>0.52742935348755626</v>
      </c>
      <c r="AG111" s="176">
        <f t="shared" si="40"/>
        <v>-2</v>
      </c>
      <c r="AH111" s="176">
        <f t="shared" si="41"/>
        <v>4</v>
      </c>
      <c r="AI111" s="225">
        <f t="shared" si="42"/>
        <v>-1.4725706465124437</v>
      </c>
      <c r="AJ111" s="265" t="b">
        <f t="shared" si="43"/>
        <v>0</v>
      </c>
      <c r="AK111" s="265" t="b">
        <f t="shared" si="44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5"/>
        <v>43563</v>
      </c>
      <c r="B112" s="617">
        <v>21.114999999999998</v>
      </c>
      <c r="C112" s="390"/>
      <c r="D112" s="393">
        <f t="shared" si="24"/>
        <v>21.279353466851447</v>
      </c>
      <c r="E112" s="385">
        <f t="shared" si="46"/>
        <v>22.493218717616863</v>
      </c>
      <c r="F112" s="385">
        <f t="shared" si="25"/>
        <v>22.493218717616863</v>
      </c>
      <c r="G112" s="110">
        <f t="shared" si="47"/>
        <v>0.57468173127694333</v>
      </c>
      <c r="H112" s="414" t="b">
        <f>Wh_hp&gt;='2018'!Maxi_hp</f>
        <v>1</v>
      </c>
      <c r="I112" s="390">
        <f>IF(H112,Wh_hp,'2018'!Maxi_hp)</f>
        <v>22.493218717616863</v>
      </c>
      <c r="J112" s="85">
        <f>IF(H112,An,'2018'!An_max)</f>
        <v>2019</v>
      </c>
      <c r="K112" s="197">
        <f t="shared" si="26"/>
        <v>43563</v>
      </c>
      <c r="L112" s="147">
        <f>IF(t&lt;Tvie,1-EXP((T0-t)*PertePVj)+'2018'!Pspv,1-EXP((T0-t)*PertePVj)+Pspv)</f>
        <v>7.7236118619616878E-3</v>
      </c>
      <c r="M112" s="850"/>
      <c r="N112" s="850"/>
      <c r="O112" s="48">
        <f>IF(t&lt;Tnet,'2018'!Resal+('2018'!Salim-'2018'!Resal)*(1-EXP(('2018'!Tnet-t)/('2018'!Tau_j))),Resal+(Salim-Resal)*(1-EXP((Tnet-t)/(Tau_j))))*Salcycl</f>
        <v>5.3965831480343243E-2</v>
      </c>
      <c r="P112" s="169">
        <f>(INDEX(Models!$BJ112:$BT112,,T112)*(1-R112)+INDEX(Models!$BJ112:$BT112,,T112+1)*R112-ERP_i)*Q112*Ramure*Pc/MaxiM</f>
        <v>0</v>
      </c>
      <c r="Q112" s="305">
        <f t="shared" si="27"/>
        <v>0.7</v>
      </c>
      <c r="R112" s="177">
        <f t="shared" si="28"/>
        <v>0.52847748506121173</v>
      </c>
      <c r="S112" s="817">
        <f t="shared" si="29"/>
        <v>-2</v>
      </c>
      <c r="T112" s="176">
        <f t="shared" si="30"/>
        <v>4</v>
      </c>
      <c r="U112" s="251">
        <f t="shared" si="31"/>
        <v>-1.4715225149387883</v>
      </c>
      <c r="V112" s="383">
        <f t="shared" si="32"/>
        <v>36.742076267297456</v>
      </c>
      <c r="W112" s="58"/>
      <c r="X112" s="157">
        <f t="shared" si="33"/>
        <v>43563</v>
      </c>
      <c r="Y112" s="385">
        <f t="shared" si="34"/>
        <v>21.114999999999998</v>
      </c>
      <c r="Z112" s="385">
        <f t="shared" si="35"/>
        <v>21.279353466851447</v>
      </c>
      <c r="AA112" s="386">
        <f t="shared" si="36"/>
        <v>22.493218717616863</v>
      </c>
      <c r="AB112" s="197">
        <f t="shared" si="37"/>
        <v>43563</v>
      </c>
      <c r="AC112" s="427">
        <f>IF(OR(t&lt;Tnet,NoTnet),'2018'!Resal_s+('2018'!Salim-'2018'!Resal_s)*(1-EXP(('2018'!Tnet_s-t)/'2018'!Tau_j)),Resal_s+(Salim-Resal_s)*(1-EXP((Tnet_s-t)/Tau_j)))*Salcycl</f>
        <v>5.3965831480343243E-2</v>
      </c>
      <c r="AD112" s="231">
        <f>(INDEX(Models!$BJ112:$BT112,,AH112)*(1-AF112)+INDEX(Models!$BJ112:$BT112,,AH112+1)*AF112-ERP_i)*AE112*Ramure*Pc/MaxiM</f>
        <v>0</v>
      </c>
      <c r="AE112" s="305">
        <f t="shared" si="38"/>
        <v>0.7</v>
      </c>
      <c r="AF112" s="177">
        <f t="shared" si="39"/>
        <v>0.52847748506121173</v>
      </c>
      <c r="AG112" s="176">
        <f t="shared" si="40"/>
        <v>-2</v>
      </c>
      <c r="AH112" s="176">
        <f t="shared" si="41"/>
        <v>4</v>
      </c>
      <c r="AI112" s="225">
        <f t="shared" si="42"/>
        <v>-1.4715225149387883</v>
      </c>
      <c r="AJ112" s="265" t="b">
        <f t="shared" si="43"/>
        <v>0</v>
      </c>
      <c r="AK112" s="265" t="b">
        <f t="shared" si="44"/>
        <v>0</v>
      </c>
      <c r="AL112" s="265"/>
      <c r="AM112" s="265"/>
      <c r="AN112" s="75"/>
    </row>
    <row r="113" spans="1:40" s="6" customFormat="1" ht="11.25" x14ac:dyDescent="0.2">
      <c r="A113" s="56">
        <f t="shared" si="45"/>
        <v>43564</v>
      </c>
      <c r="B113" s="617">
        <v>29.337</v>
      </c>
      <c r="C113" s="390"/>
      <c r="D113" s="393">
        <f t="shared" si="24"/>
        <v>29.565998869242581</v>
      </c>
      <c r="E113" s="385">
        <f t="shared" si="46"/>
        <v>31.256873740939795</v>
      </c>
      <c r="F113" s="385">
        <f t="shared" si="25"/>
        <v>31.256873740939795</v>
      </c>
      <c r="G113" s="110">
        <f t="shared" si="47"/>
        <v>0.7950779281021666</v>
      </c>
      <c r="H113" s="414" t="b">
        <f>Wh_hp&gt;='2018'!Maxi_hp</f>
        <v>1</v>
      </c>
      <c r="I113" s="390">
        <f>IF(H113,Wh_hp,'2018'!Maxi_hp)</f>
        <v>31.256873740939795</v>
      </c>
      <c r="J113" s="85">
        <f>IF(H113,An,'2018'!An_max)</f>
        <v>2019</v>
      </c>
      <c r="K113" s="197">
        <f t="shared" si="26"/>
        <v>43564</v>
      </c>
      <c r="L113" s="147">
        <f>IF(t&lt;Tvie,1-EXP((T0-t)*PertePVj)+'2018'!Pspv,1-EXP((T0-t)*PertePVj)+Pspv)</f>
        <v>7.7453452614721918E-3</v>
      </c>
      <c r="M113" s="850"/>
      <c r="N113" s="850"/>
      <c r="O113" s="48">
        <f>IF(t&lt;Tnet,'2018'!Resal+('2018'!Salim-'2018'!Resal)*(1-EXP(('2018'!Tnet-t)/('2018'!Tau_j))),Resal+(Salim-Resal)*(1-EXP((Tnet-t)/(Tau_j))))*Salcycl</f>
        <v>5.4096096932513445E-2</v>
      </c>
      <c r="P113" s="169">
        <f>(INDEX(Models!$BJ113:$BT113,,T113)*(1-R113)+INDEX(Models!$BJ113:$BT113,,T113+1)*R113-ERP_i)*Q113*Ramure*Pc/MaxiM</f>
        <v>0</v>
      </c>
      <c r="Q113" s="305">
        <f t="shared" si="27"/>
        <v>0.7</v>
      </c>
      <c r="R113" s="177">
        <f t="shared" si="28"/>
        <v>0.52956333482056261</v>
      </c>
      <c r="S113" s="817">
        <f t="shared" si="29"/>
        <v>-2</v>
      </c>
      <c r="T113" s="176">
        <f t="shared" si="30"/>
        <v>4</v>
      </c>
      <c r="U113" s="251">
        <f t="shared" si="31"/>
        <v>-1.4704366651794374</v>
      </c>
      <c r="V113" s="383">
        <f t="shared" si="32"/>
        <v>36.89826992182612</v>
      </c>
      <c r="W113" s="58"/>
      <c r="X113" s="157">
        <f t="shared" si="33"/>
        <v>43564</v>
      </c>
      <c r="Y113" s="385">
        <f t="shared" si="34"/>
        <v>29.337</v>
      </c>
      <c r="Z113" s="385">
        <f t="shared" si="35"/>
        <v>29.565998869242581</v>
      </c>
      <c r="AA113" s="386">
        <f t="shared" si="36"/>
        <v>31.256873740939795</v>
      </c>
      <c r="AB113" s="197">
        <f t="shared" si="37"/>
        <v>43564</v>
      </c>
      <c r="AC113" s="427">
        <f>IF(OR(t&lt;Tnet,NoTnet),'2018'!Resal_s+('2018'!Salim-'2018'!Resal_s)*(1-EXP(('2018'!Tnet_s-t)/'2018'!Tau_j)),Resal_s+(Salim-Resal_s)*(1-EXP((Tnet_s-t)/Tau_j)))*Salcycl</f>
        <v>5.4096096932513445E-2</v>
      </c>
      <c r="AD113" s="231">
        <f>(INDEX(Models!$BJ113:$BT113,,AH113)*(1-AF113)+INDEX(Models!$BJ113:$BT113,,AH113+1)*AF113-ERP_i)*AE113*Ramure*Pc/MaxiM</f>
        <v>0</v>
      </c>
      <c r="AE113" s="305">
        <f t="shared" si="38"/>
        <v>0.7</v>
      </c>
      <c r="AF113" s="177">
        <f t="shared" si="39"/>
        <v>0.52956333482056261</v>
      </c>
      <c r="AG113" s="176">
        <f t="shared" si="40"/>
        <v>-2</v>
      </c>
      <c r="AH113" s="176">
        <f t="shared" si="41"/>
        <v>4</v>
      </c>
      <c r="AI113" s="225">
        <f t="shared" si="42"/>
        <v>-1.4704366651794374</v>
      </c>
      <c r="AJ113" s="265" t="b">
        <f t="shared" si="43"/>
        <v>0</v>
      </c>
      <c r="AK113" s="265" t="b">
        <f t="shared" si="44"/>
        <v>0</v>
      </c>
      <c r="AL113" s="265"/>
      <c r="AM113" s="265"/>
      <c r="AN113" s="75"/>
    </row>
    <row r="114" spans="1:40" s="6" customFormat="1" ht="11.25" x14ac:dyDescent="0.2">
      <c r="A114" s="56">
        <f t="shared" si="45"/>
        <v>43565</v>
      </c>
      <c r="B114" s="617">
        <v>22.381</v>
      </c>
      <c r="C114" s="390"/>
      <c r="D114" s="393">
        <f t="shared" si="24"/>
        <v>22.556195735835619</v>
      </c>
      <c r="E114" s="385">
        <f t="shared" si="46"/>
        <v>23.849479136116631</v>
      </c>
      <c r="F114" s="385">
        <f t="shared" si="25"/>
        <v>23.849479136116631</v>
      </c>
      <c r="G114" s="110">
        <f t="shared" si="47"/>
        <v>0.60406894359194085</v>
      </c>
      <c r="H114" s="414" t="b">
        <f>Wh_hp&gt;='2018'!Maxi_hp</f>
        <v>1</v>
      </c>
      <c r="I114" s="390">
        <f>IF(H114,Wh_hp,'2018'!Maxi_hp)</f>
        <v>23.849479136116631</v>
      </c>
      <c r="J114" s="85">
        <f>IF(H114,An,'2018'!An_max)</f>
        <v>2019</v>
      </c>
      <c r="K114" s="197">
        <f t="shared" si="26"/>
        <v>43565</v>
      </c>
      <c r="L114" s="147">
        <f>IF(t&lt;Tvie,1-EXP((T0-t)*PertePVj)+'2018'!Pspv,1-EXP((T0-t)*PertePVj)+Pspv)</f>
        <v>7.7670781849653592E-3</v>
      </c>
      <c r="M114" s="850"/>
      <c r="N114" s="850"/>
      <c r="O114" s="48">
        <f>IF(t&lt;Tnet,'2018'!Resal+('2018'!Salim-'2018'!Resal)*(1-EXP(('2018'!Tnet-t)/('2018'!Tau_j))),Resal+(Salim-Resal)*(1-EXP((Tnet-t)/(Tau_j))))*Salcycl</f>
        <v>5.4226903359181546E-2</v>
      </c>
      <c r="P114" s="169">
        <f>(INDEX(Models!$BJ114:$BT114,,T114)*(1-R114)+INDEX(Models!$BJ114:$BT114,,T114+1)*R114-ERP_i)*Q114*Ramure*Pc/MaxiM</f>
        <v>0</v>
      </c>
      <c r="Q114" s="305">
        <f t="shared" si="27"/>
        <v>0.7</v>
      </c>
      <c r="R114" s="177">
        <f t="shared" si="28"/>
        <v>0.5306880088143926</v>
      </c>
      <c r="S114" s="817">
        <f t="shared" si="29"/>
        <v>-2</v>
      </c>
      <c r="T114" s="176">
        <f t="shared" si="30"/>
        <v>4</v>
      </c>
      <c r="U114" s="251">
        <f t="shared" si="31"/>
        <v>-1.4693119911856074</v>
      </c>
      <c r="V114" s="383">
        <f t="shared" si="32"/>
        <v>37.050406642190758</v>
      </c>
      <c r="W114" s="58"/>
      <c r="X114" s="157">
        <f t="shared" si="33"/>
        <v>43565</v>
      </c>
      <c r="Y114" s="385">
        <f t="shared" si="34"/>
        <v>22.381</v>
      </c>
      <c r="Z114" s="385">
        <f t="shared" si="35"/>
        <v>22.556195735835619</v>
      </c>
      <c r="AA114" s="386">
        <f t="shared" si="36"/>
        <v>23.849479136116631</v>
      </c>
      <c r="AB114" s="197">
        <f t="shared" si="37"/>
        <v>43565</v>
      </c>
      <c r="AC114" s="427">
        <f>IF(OR(t&lt;Tnet,NoTnet),'2018'!Resal_s+('2018'!Salim-'2018'!Resal_s)*(1-EXP(('2018'!Tnet_s-t)/'2018'!Tau_j)),Resal_s+(Salim-Resal_s)*(1-EXP((Tnet_s-t)/Tau_j)))*Salcycl</f>
        <v>5.4226903359181546E-2</v>
      </c>
      <c r="AD114" s="231">
        <f>(INDEX(Models!$BJ114:$BT114,,AH114)*(1-AF114)+INDEX(Models!$BJ114:$BT114,,AH114+1)*AF114-ERP_i)*AE114*Ramure*Pc/MaxiM</f>
        <v>0</v>
      </c>
      <c r="AE114" s="305">
        <f t="shared" si="38"/>
        <v>0.7</v>
      </c>
      <c r="AF114" s="177">
        <f t="shared" si="39"/>
        <v>0.5306880088143926</v>
      </c>
      <c r="AG114" s="176">
        <f t="shared" si="40"/>
        <v>-2</v>
      </c>
      <c r="AH114" s="176">
        <f t="shared" si="41"/>
        <v>4</v>
      </c>
      <c r="AI114" s="225">
        <f t="shared" si="42"/>
        <v>-1.4693119911856074</v>
      </c>
      <c r="AJ114" s="265" t="b">
        <f t="shared" si="43"/>
        <v>0</v>
      </c>
      <c r="AK114" s="265" t="b">
        <f t="shared" si="44"/>
        <v>0</v>
      </c>
      <c r="AL114" s="265"/>
      <c r="AM114" s="265"/>
      <c r="AN114" s="75"/>
    </row>
    <row r="115" spans="1:40" s="6" customFormat="1" ht="11.25" customHeight="1" x14ac:dyDescent="0.2">
      <c r="A115" s="56">
        <f t="shared" si="45"/>
        <v>43566</v>
      </c>
      <c r="B115" s="617">
        <v>6.19</v>
      </c>
      <c r="C115" s="390"/>
      <c r="D115" s="393">
        <f t="shared" si="24"/>
        <v>6.2385912055130204</v>
      </c>
      <c r="E115" s="385">
        <f t="shared" si="46"/>
        <v>6.5972037847216685</v>
      </c>
      <c r="F115" s="385">
        <f t="shared" si="25"/>
        <v>6.5972037847216685</v>
      </c>
      <c r="G115" s="110">
        <f t="shared" si="47"/>
        <v>0.16640236967778185</v>
      </c>
      <c r="H115" s="414" t="b">
        <f>Wh_hp&gt;='2018'!Maxi_hp</f>
        <v>1</v>
      </c>
      <c r="I115" s="390">
        <f>IF(H115,Wh_hp,'2018'!Maxi_hp)</f>
        <v>6.5972037847216685</v>
      </c>
      <c r="J115" s="85">
        <f>IF(H115,An,'2018'!An_max)</f>
        <v>2019</v>
      </c>
      <c r="K115" s="197">
        <f t="shared" si="26"/>
        <v>43566</v>
      </c>
      <c r="L115" s="147">
        <f>IF(t&lt;Tvie,1-EXP((T0-t)*PertePVj)+'2018'!Pspv,1-EXP((T0-t)*PertePVj)+Pspv)</f>
        <v>7.788810632451848E-3</v>
      </c>
      <c r="M115" s="850"/>
      <c r="N115" s="850"/>
      <c r="O115" s="48">
        <f>IF(t&lt;Tnet,'2018'!Resal+('2018'!Salim-'2018'!Resal)*(1-EXP(('2018'!Tnet-t)/('2018'!Tau_j))),Resal+(Salim-Resal)*(1-EXP((Tnet-t)/(Tau_j))))*Salcycl</f>
        <v>5.4358269186583506E-2</v>
      </c>
      <c r="P115" s="169">
        <f>(INDEX(Models!$BJ115:$BT115,,T115)*(1-R115)+INDEX(Models!$BJ115:$BT115,,T115+1)*R115-ERP_i)*Q115*Ramure*Pc/MaxiM</f>
        <v>0</v>
      </c>
      <c r="Q115" s="305">
        <f t="shared" si="27"/>
        <v>0.7</v>
      </c>
      <c r="R115" s="177">
        <f t="shared" si="28"/>
        <v>0.5318526256814482</v>
      </c>
      <c r="S115" s="817">
        <f t="shared" si="29"/>
        <v>-2</v>
      </c>
      <c r="T115" s="176">
        <f t="shared" si="30"/>
        <v>4</v>
      </c>
      <c r="U115" s="251">
        <f t="shared" si="31"/>
        <v>-1.4681473743185518</v>
      </c>
      <c r="V115" s="383">
        <f t="shared" si="32"/>
        <v>37.1989894854634</v>
      </c>
      <c r="W115" s="58"/>
      <c r="X115" s="157">
        <f t="shared" si="33"/>
        <v>43566</v>
      </c>
      <c r="Y115" s="385">
        <f t="shared" si="34"/>
        <v>6.19</v>
      </c>
      <c r="Z115" s="385">
        <f t="shared" si="35"/>
        <v>6.2385912055130204</v>
      </c>
      <c r="AA115" s="386">
        <f t="shared" si="36"/>
        <v>6.5972037847216685</v>
      </c>
      <c r="AB115" s="197">
        <f t="shared" si="37"/>
        <v>43566</v>
      </c>
      <c r="AC115" s="427">
        <f>IF(OR(t&lt;Tnet,NoTnet),'2018'!Resal_s+('2018'!Salim-'2018'!Resal_s)*(1-EXP(('2018'!Tnet_s-t)/'2018'!Tau_j)),Resal_s+(Salim-Resal_s)*(1-EXP((Tnet_s-t)/Tau_j)))*Salcycl</f>
        <v>5.4358269186583506E-2</v>
      </c>
      <c r="AD115" s="231">
        <f>(INDEX(Models!$BJ115:$BT115,,AH115)*(1-AF115)+INDEX(Models!$BJ115:$BT115,,AH115+1)*AF115-ERP_i)*AE115*Ramure*Pc/MaxiM</f>
        <v>0</v>
      </c>
      <c r="AE115" s="305">
        <f t="shared" si="38"/>
        <v>0.7</v>
      </c>
      <c r="AF115" s="177">
        <f t="shared" si="39"/>
        <v>0.5318526256814482</v>
      </c>
      <c r="AG115" s="176">
        <f t="shared" si="40"/>
        <v>-2</v>
      </c>
      <c r="AH115" s="176">
        <f t="shared" si="41"/>
        <v>4</v>
      </c>
      <c r="AI115" s="225">
        <f t="shared" si="42"/>
        <v>-1.4681473743185518</v>
      </c>
      <c r="AJ115" s="265" t="b">
        <f t="shared" si="43"/>
        <v>0</v>
      </c>
      <c r="AK115" s="265" t="b">
        <f t="shared" si="44"/>
        <v>0</v>
      </c>
      <c r="AL115" s="265"/>
      <c r="AM115" s="265"/>
      <c r="AN115" s="75"/>
    </row>
    <row r="116" spans="1:40" s="6" customFormat="1" ht="11.25" x14ac:dyDescent="0.2">
      <c r="A116" s="56">
        <f t="shared" si="45"/>
        <v>43567</v>
      </c>
      <c r="B116" s="617">
        <v>38.122</v>
      </c>
      <c r="C116" s="390"/>
      <c r="D116" s="393">
        <f t="shared" si="24"/>
        <v>38.422097428901239</v>
      </c>
      <c r="E116" s="385">
        <f t="shared" si="46"/>
        <v>40.636382536630947</v>
      </c>
      <c r="F116" s="385">
        <f t="shared" si="25"/>
        <v>40.636382536630947</v>
      </c>
      <c r="G116" s="110">
        <f t="shared" si="47"/>
        <v>1.0208190856592638</v>
      </c>
      <c r="H116" s="414" t="b">
        <f>Wh_hp&gt;='2018'!Maxi_hp</f>
        <v>1</v>
      </c>
      <c r="I116" s="390">
        <f>IF(H116,Wh_hp,'2018'!Maxi_hp)</f>
        <v>40.636382536630947</v>
      </c>
      <c r="J116" s="85">
        <f>IF(H116,An,'2018'!An_max)</f>
        <v>2019</v>
      </c>
      <c r="K116" s="197">
        <f t="shared" si="26"/>
        <v>43567</v>
      </c>
      <c r="L116" s="147">
        <f>IF(t&lt;Tvie,1-EXP((T0-t)*PertePVj)+'2018'!Pspv,1-EXP((T0-t)*PertePVj)+Pspv)</f>
        <v>7.8105426039418724E-3</v>
      </c>
      <c r="M116" s="850"/>
      <c r="N116" s="850"/>
      <c r="O116" s="48">
        <f>IF(t&lt;Tnet,'2018'!Resal+('2018'!Salim-'2018'!Resal)*(1-EXP(('2018'!Tnet-t)/('2018'!Tau_j))),Resal+(Salim-Resal)*(1-EXP((Tnet-t)/(Tau_j))))*Salcycl</f>
        <v>5.4490212206602821E-2</v>
      </c>
      <c r="P116" s="169">
        <f>(INDEX(Models!$BJ116:$BT116,,T116)*(1-R116)+INDEX(Models!$BJ116:$BT116,,T116+1)*R116-ERP_i)*Q116*Ramure*Pc/MaxiM</f>
        <v>0</v>
      </c>
      <c r="Q116" s="305">
        <f t="shared" si="27"/>
        <v>0.7</v>
      </c>
      <c r="R116" s="177">
        <f t="shared" si="28"/>
        <v>0.53305831507135193</v>
      </c>
      <c r="S116" s="817">
        <f t="shared" si="29"/>
        <v>-2</v>
      </c>
      <c r="T116" s="176">
        <f t="shared" si="30"/>
        <v>4</v>
      </c>
      <c r="U116" s="251">
        <f t="shared" si="31"/>
        <v>-1.4669416849286481</v>
      </c>
      <c r="V116" s="383">
        <f t="shared" si="32"/>
        <v>37.344521213942734</v>
      </c>
      <c r="W116" s="58"/>
      <c r="X116" s="157">
        <f t="shared" si="33"/>
        <v>43567</v>
      </c>
      <c r="Y116" s="385">
        <f t="shared" si="34"/>
        <v>38.122</v>
      </c>
      <c r="Z116" s="385">
        <f t="shared" si="35"/>
        <v>38.422097428901239</v>
      </c>
      <c r="AA116" s="386">
        <f t="shared" si="36"/>
        <v>40.636382536630947</v>
      </c>
      <c r="AB116" s="197">
        <f t="shared" si="37"/>
        <v>43567</v>
      </c>
      <c r="AC116" s="427">
        <f>IF(OR(t&lt;Tnet,NoTnet),'2018'!Resal_s+('2018'!Salim-'2018'!Resal_s)*(1-EXP(('2018'!Tnet_s-t)/'2018'!Tau_j)),Resal_s+(Salim-Resal_s)*(1-EXP((Tnet_s-t)/Tau_j)))*Salcycl</f>
        <v>5.4490212206602821E-2</v>
      </c>
      <c r="AD116" s="231">
        <f>(INDEX(Models!$BJ116:$BT116,,AH116)*(1-AF116)+INDEX(Models!$BJ116:$BT116,,AH116+1)*AF116-ERP_i)*AE116*Ramure*Pc/MaxiM</f>
        <v>0</v>
      </c>
      <c r="AE116" s="305">
        <f t="shared" si="38"/>
        <v>0.7</v>
      </c>
      <c r="AF116" s="177">
        <f t="shared" si="39"/>
        <v>0.53305831507135193</v>
      </c>
      <c r="AG116" s="176">
        <f t="shared" si="40"/>
        <v>-2</v>
      </c>
      <c r="AH116" s="176">
        <f t="shared" si="41"/>
        <v>4</v>
      </c>
      <c r="AI116" s="225">
        <f t="shared" si="42"/>
        <v>-1.4669416849286481</v>
      </c>
      <c r="AJ116" s="265" t="b">
        <f t="shared" si="43"/>
        <v>0</v>
      </c>
      <c r="AK116" s="265" t="b">
        <f t="shared" si="44"/>
        <v>0</v>
      </c>
      <c r="AL116" s="265"/>
      <c r="AM116" s="265"/>
      <c r="AN116" s="75"/>
    </row>
    <row r="117" spans="1:40" s="6" customFormat="1" ht="11.25" x14ac:dyDescent="0.2">
      <c r="A117" s="56">
        <f t="shared" si="45"/>
        <v>43568</v>
      </c>
      <c r="B117" s="617">
        <v>38.412999999999997</v>
      </c>
      <c r="C117" s="390"/>
      <c r="D117" s="393">
        <f t="shared" si="24"/>
        <v>38.716236173812177</v>
      </c>
      <c r="E117" s="385">
        <f t="shared" si="46"/>
        <v>40.953213285754423</v>
      </c>
      <c r="F117" s="385">
        <f t="shared" si="25"/>
        <v>40.953213285754423</v>
      </c>
      <c r="G117" s="110">
        <f t="shared" si="47"/>
        <v>1.024688112146384</v>
      </c>
      <c r="H117" s="414" t="b">
        <f>Wh_hp&gt;='2018'!Maxi_hp</f>
        <v>1</v>
      </c>
      <c r="I117" s="390">
        <f>IF(H117,Wh_hp,'2018'!Maxi_hp)</f>
        <v>40.953213285754423</v>
      </c>
      <c r="J117" s="85">
        <f>IF(H117,An,'2018'!An_max)</f>
        <v>2019</v>
      </c>
      <c r="K117" s="197">
        <f t="shared" si="26"/>
        <v>43568</v>
      </c>
      <c r="L117" s="147">
        <f>IF(t&lt;Tvie,1-EXP((T0-t)*PertePVj)+'2018'!Pspv,1-EXP((T0-t)*PertePVj)+Pspv)</f>
        <v>7.8322740994459794E-3</v>
      </c>
      <c r="M117" s="850"/>
      <c r="N117" s="850"/>
      <c r="O117" s="48">
        <f>IF(t&lt;Tnet,'2018'!Resal+('2018'!Salim-'2018'!Resal)*(1-EXP(('2018'!Tnet-t)/('2018'!Tau_j))),Resal+(Salim-Resal)*(1-EXP((Tnet-t)/(Tau_j))))*Salcycl</f>
        <v>5.4622749534537281E-2</v>
      </c>
      <c r="P117" s="169">
        <f>(INDEX(Models!$BJ117:$BT117,,T117)*(1-R117)+INDEX(Models!$BJ117:$BT117,,T117+1)*R117-ERP_i)*Q117*Ramure*Pc/MaxiM</f>
        <v>0</v>
      </c>
      <c r="Q117" s="305">
        <f t="shared" si="27"/>
        <v>0.7</v>
      </c>
      <c r="R117" s="177">
        <f t="shared" si="28"/>
        <v>0.53430621590230154</v>
      </c>
      <c r="S117" s="817">
        <f t="shared" si="29"/>
        <v>-2</v>
      </c>
      <c r="T117" s="176">
        <f t="shared" si="30"/>
        <v>4</v>
      </c>
      <c r="U117" s="251">
        <f t="shared" si="31"/>
        <v>-1.4656937840976985</v>
      </c>
      <c r="V117" s="383">
        <f t="shared" si="32"/>
        <v>37.487504290000409</v>
      </c>
      <c r="W117" s="58"/>
      <c r="X117" s="157">
        <f t="shared" si="33"/>
        <v>43568</v>
      </c>
      <c r="Y117" s="385">
        <f t="shared" si="34"/>
        <v>38.412999999999997</v>
      </c>
      <c r="Z117" s="385">
        <f t="shared" si="35"/>
        <v>38.716236173812177</v>
      </c>
      <c r="AA117" s="386">
        <f t="shared" si="36"/>
        <v>40.953213285754423</v>
      </c>
      <c r="AB117" s="197">
        <f t="shared" si="37"/>
        <v>43568</v>
      </c>
      <c r="AC117" s="427">
        <f>IF(OR(t&lt;Tnet,NoTnet),'2018'!Resal_s+('2018'!Salim-'2018'!Resal_s)*(1-EXP(('2018'!Tnet_s-t)/'2018'!Tau_j)),Resal_s+(Salim-Resal_s)*(1-EXP((Tnet_s-t)/Tau_j)))*Salcycl</f>
        <v>5.4622749534537281E-2</v>
      </c>
      <c r="AD117" s="231">
        <f>(INDEX(Models!$BJ117:$BT117,,AH117)*(1-AF117)+INDEX(Models!$BJ117:$BT117,,AH117+1)*AF117-ERP_i)*AE117*Ramure*Pc/MaxiM</f>
        <v>0</v>
      </c>
      <c r="AE117" s="305">
        <f t="shared" si="38"/>
        <v>0.7</v>
      </c>
      <c r="AF117" s="177">
        <f t="shared" si="39"/>
        <v>0.53430621590230154</v>
      </c>
      <c r="AG117" s="176">
        <f t="shared" si="40"/>
        <v>-2</v>
      </c>
      <c r="AH117" s="176">
        <f t="shared" si="41"/>
        <v>4</v>
      </c>
      <c r="AI117" s="225">
        <f t="shared" si="42"/>
        <v>-1.4656937840976985</v>
      </c>
      <c r="AJ117" s="265" t="b">
        <f t="shared" si="43"/>
        <v>0</v>
      </c>
      <c r="AK117" s="265" t="b">
        <f t="shared" si="44"/>
        <v>0</v>
      </c>
      <c r="AL117" s="265"/>
      <c r="AM117" s="265"/>
      <c r="AN117" s="75"/>
    </row>
    <row r="118" spans="1:40" s="6" customFormat="1" ht="11.25" x14ac:dyDescent="0.2">
      <c r="A118" s="56">
        <f t="shared" si="45"/>
        <v>43569</v>
      </c>
      <c r="B118" s="617">
        <v>18.440999999999999</v>
      </c>
      <c r="C118" s="390"/>
      <c r="D118" s="393">
        <f t="shared" si="24"/>
        <v>18.586982253767378</v>
      </c>
      <c r="E118" s="385">
        <f t="shared" si="46"/>
        <v>19.66368497396893</v>
      </c>
      <c r="F118" s="385">
        <f t="shared" si="25"/>
        <v>19.66368497396893</v>
      </c>
      <c r="G118" s="110">
        <f t="shared" si="47"/>
        <v>0.49008142692536399</v>
      </c>
      <c r="H118" s="414" t="b">
        <f>Wh_hp&gt;='2018'!Maxi_hp</f>
        <v>1</v>
      </c>
      <c r="I118" s="390">
        <f>IF(H118,Wh_hp,'2018'!Maxi_hp)</f>
        <v>19.66368497396893</v>
      </c>
      <c r="J118" s="85">
        <f>IF(H118,An,'2018'!An_max)</f>
        <v>2019</v>
      </c>
      <c r="K118" s="197">
        <f t="shared" si="26"/>
        <v>43569</v>
      </c>
      <c r="L118" s="147">
        <f>IF(t&lt;Tvie,1-EXP((T0-t)*PertePVj)+'2018'!Pspv,1-EXP((T0-t)*PertePVj)+Pspv)</f>
        <v>7.8540051189744942E-3</v>
      </c>
      <c r="M118" s="850"/>
      <c r="N118" s="850"/>
      <c r="O118" s="48">
        <f>IF(t&lt;Tnet,'2018'!Resal+('2018'!Salim-'2018'!Resal)*(1-EXP(('2018'!Tnet-t)/('2018'!Tau_j))),Resal+(Salim-Resal)*(1-EXP((Tnet-t)/(Tau_j))))*Salcycl</f>
        <v>5.4755897565838076E-2</v>
      </c>
      <c r="P118" s="169">
        <f>(INDEX(Models!$BJ118:$BT118,,T118)*(1-R118)+INDEX(Models!$BJ118:$BT118,,T118+1)*R118-ERP_i)*Q118*Ramure*Pc/MaxiM</f>
        <v>0</v>
      </c>
      <c r="Q118" s="305">
        <f t="shared" si="27"/>
        <v>0.7</v>
      </c>
      <c r="R118" s="177">
        <f t="shared" si="28"/>
        <v>0.53559747444838623</v>
      </c>
      <c r="S118" s="817">
        <f t="shared" si="29"/>
        <v>-2</v>
      </c>
      <c r="T118" s="176">
        <f t="shared" si="30"/>
        <v>4</v>
      </c>
      <c r="U118" s="251">
        <f t="shared" si="31"/>
        <v>-1.4644025255516138</v>
      </c>
      <c r="V118" s="383">
        <f t="shared" si="32"/>
        <v>37.628440881128178</v>
      </c>
      <c r="W118" s="58"/>
      <c r="X118" s="157">
        <f t="shared" si="33"/>
        <v>43569</v>
      </c>
      <c r="Y118" s="385">
        <f t="shared" si="34"/>
        <v>18.440999999999999</v>
      </c>
      <c r="Z118" s="385">
        <f t="shared" si="35"/>
        <v>18.586982253767378</v>
      </c>
      <c r="AA118" s="386">
        <f t="shared" si="36"/>
        <v>19.66368497396893</v>
      </c>
      <c r="AB118" s="197">
        <f t="shared" si="37"/>
        <v>43569</v>
      </c>
      <c r="AC118" s="427">
        <f>IF(OR(t&lt;Tnet,NoTnet),'2018'!Resal_s+('2018'!Salim-'2018'!Resal_s)*(1-EXP(('2018'!Tnet_s-t)/'2018'!Tau_j)),Resal_s+(Salim-Resal_s)*(1-EXP((Tnet_s-t)/Tau_j)))*Salcycl</f>
        <v>5.4755897565838076E-2</v>
      </c>
      <c r="AD118" s="231">
        <f>(INDEX(Models!$BJ118:$BT118,,AH118)*(1-AF118)+INDEX(Models!$BJ118:$BT118,,AH118+1)*AF118-ERP_i)*AE118*Ramure*Pc/MaxiM</f>
        <v>0</v>
      </c>
      <c r="AE118" s="305">
        <f t="shared" si="38"/>
        <v>0.7</v>
      </c>
      <c r="AF118" s="177">
        <f t="shared" si="39"/>
        <v>0.53559747444838623</v>
      </c>
      <c r="AG118" s="176">
        <f t="shared" si="40"/>
        <v>-2</v>
      </c>
      <c r="AH118" s="176">
        <f t="shared" si="41"/>
        <v>4</v>
      </c>
      <c r="AI118" s="225">
        <f t="shared" si="42"/>
        <v>-1.4644025255516138</v>
      </c>
      <c r="AJ118" s="265" t="b">
        <f t="shared" si="43"/>
        <v>0</v>
      </c>
      <c r="AK118" s="265" t="b">
        <f t="shared" si="44"/>
        <v>0</v>
      </c>
      <c r="AL118" s="265"/>
      <c r="AM118" s="265"/>
      <c r="AN118" s="75"/>
    </row>
    <row r="119" spans="1:40" s="6" customFormat="1" ht="11.25" x14ac:dyDescent="0.2">
      <c r="A119" s="56">
        <f t="shared" si="45"/>
        <v>43570</v>
      </c>
      <c r="B119" s="617">
        <v>24.869</v>
      </c>
      <c r="C119" s="390"/>
      <c r="D119" s="393">
        <f t="shared" si="24"/>
        <v>25.066416470125798</v>
      </c>
      <c r="E119" s="385">
        <f t="shared" si="46"/>
        <v>26.522211984875288</v>
      </c>
      <c r="F119" s="385">
        <f t="shared" si="25"/>
        <v>26.522211984875288</v>
      </c>
      <c r="G119" s="110">
        <f t="shared" si="47"/>
        <v>0.65847039980923461</v>
      </c>
      <c r="H119" s="414" t="b">
        <f>Wh_hp&gt;='2018'!Maxi_hp</f>
        <v>1</v>
      </c>
      <c r="I119" s="390">
        <f>IF(H119,Wh_hp,'2018'!Maxi_hp)</f>
        <v>26.522211984875288</v>
      </c>
      <c r="J119" s="85">
        <f>IF(H119,An,'2018'!An_max)</f>
        <v>2019</v>
      </c>
      <c r="K119" s="197">
        <f t="shared" si="26"/>
        <v>43570</v>
      </c>
      <c r="L119" s="147">
        <f>IF(t&lt;Tvie,1-EXP((T0-t)*PertePVj)+'2018'!Pspv,1-EXP((T0-t)*PertePVj)+Pspv)</f>
        <v>7.8757356625379638E-3</v>
      </c>
      <c r="M119" s="850"/>
      <c r="N119" s="850"/>
      <c r="O119" s="48">
        <f>IF(t&lt;Tnet,'2018'!Resal+('2018'!Salim-'2018'!Resal)*(1-EXP(('2018'!Tnet-t)/('2018'!Tau_j))),Resal+(Salim-Resal)*(1-EXP((Tnet-t)/(Tau_j))))*Salcycl</f>
        <v>5.4889671931574936E-2</v>
      </c>
      <c r="P119" s="169">
        <f>(INDEX(Models!$BJ119:$BT119,,T119)*(1-R119)+INDEX(Models!$BJ119:$BT119,,T119+1)*R119-ERP_i)*Q119*Ramure*Pc/MaxiM</f>
        <v>0</v>
      </c>
      <c r="Q119" s="305">
        <f t="shared" si="27"/>
        <v>0.7</v>
      </c>
      <c r="R119" s="177">
        <f t="shared" si="28"/>
        <v>0.53693324224962957</v>
      </c>
      <c r="S119" s="817">
        <f t="shared" si="29"/>
        <v>-2</v>
      </c>
      <c r="T119" s="176">
        <f t="shared" si="30"/>
        <v>4</v>
      </c>
      <c r="U119" s="251">
        <f t="shared" si="31"/>
        <v>-1.4630667577503704</v>
      </c>
      <c r="V119" s="383">
        <f t="shared" si="32"/>
        <v>37.767832855060448</v>
      </c>
      <c r="W119" s="58"/>
      <c r="X119" s="157">
        <f t="shared" si="33"/>
        <v>43570</v>
      </c>
      <c r="Y119" s="385">
        <f t="shared" si="34"/>
        <v>24.869</v>
      </c>
      <c r="Z119" s="385">
        <f t="shared" si="35"/>
        <v>25.066416470125798</v>
      </c>
      <c r="AA119" s="386">
        <f t="shared" si="36"/>
        <v>26.522211984875288</v>
      </c>
      <c r="AB119" s="197">
        <f t="shared" si="37"/>
        <v>43570</v>
      </c>
      <c r="AC119" s="427">
        <f>IF(OR(t&lt;Tnet,NoTnet),'2018'!Resal_s+('2018'!Salim-'2018'!Resal_s)*(1-EXP(('2018'!Tnet_s-t)/'2018'!Tau_j)),Resal_s+(Salim-Resal_s)*(1-EXP((Tnet_s-t)/Tau_j)))*Salcycl</f>
        <v>5.4889671931574936E-2</v>
      </c>
      <c r="AD119" s="231">
        <f>(INDEX(Models!$BJ119:$BT119,,AH119)*(1-AF119)+INDEX(Models!$BJ119:$BT119,,AH119+1)*AF119-ERP_i)*AE119*Ramure*Pc/MaxiM</f>
        <v>0</v>
      </c>
      <c r="AE119" s="305">
        <f t="shared" si="38"/>
        <v>0.7</v>
      </c>
      <c r="AF119" s="177">
        <f t="shared" si="39"/>
        <v>0.53693324224962957</v>
      </c>
      <c r="AG119" s="176">
        <f t="shared" si="40"/>
        <v>-2</v>
      </c>
      <c r="AH119" s="176">
        <f t="shared" si="41"/>
        <v>4</v>
      </c>
      <c r="AI119" s="225">
        <f t="shared" si="42"/>
        <v>-1.4630667577503704</v>
      </c>
      <c r="AJ119" s="265" t="b">
        <f t="shared" si="43"/>
        <v>0</v>
      </c>
      <c r="AK119" s="265" t="b">
        <f t="shared" si="44"/>
        <v>0</v>
      </c>
      <c r="AL119" s="265"/>
      <c r="AM119" s="265"/>
      <c r="AN119" s="75"/>
    </row>
    <row r="120" spans="1:40" s="6" customFormat="1" ht="11.25" x14ac:dyDescent="0.2">
      <c r="A120" s="56">
        <f t="shared" si="45"/>
        <v>43571</v>
      </c>
      <c r="B120" s="617">
        <v>26.417999999999999</v>
      </c>
      <c r="C120" s="390"/>
      <c r="D120" s="393">
        <f t="shared" si="24"/>
        <v>26.628296055550912</v>
      </c>
      <c r="E120" s="385">
        <f t="shared" si="46"/>
        <v>28.178809324105117</v>
      </c>
      <c r="F120" s="385">
        <f t="shared" si="25"/>
        <v>28.178809324105117</v>
      </c>
      <c r="G120" s="110">
        <f t="shared" si="47"/>
        <v>0.69693118006302324</v>
      </c>
      <c r="H120" s="414" t="b">
        <f>Wh_hp&gt;='2018'!Maxi_hp</f>
        <v>1</v>
      </c>
      <c r="I120" s="390">
        <f>IF(H120,Wh_hp,'2018'!Maxi_hp)</f>
        <v>28.178809324105117</v>
      </c>
      <c r="J120" s="85">
        <f>IF(H120,An,'2018'!An_max)</f>
        <v>2019</v>
      </c>
      <c r="K120" s="197">
        <f t="shared" si="26"/>
        <v>43571</v>
      </c>
      <c r="L120" s="147">
        <f>IF(t&lt;Tvie,1-EXP((T0-t)*PertePVj)+'2018'!Pspv,1-EXP((T0-t)*PertePVj)+Pspv)</f>
        <v>7.8974657301467133E-3</v>
      </c>
      <c r="M120" s="850"/>
      <c r="N120" s="850"/>
      <c r="O120" s="48">
        <f>IF(t&lt;Tnet,'2018'!Resal+('2018'!Salim-'2018'!Resal)*(1-EXP(('2018'!Tnet-t)/('2018'!Tau_j))),Resal+(Salim-Resal)*(1-EXP((Tnet-t)/(Tau_j))))*Salcycl</f>
        <v>5.5024087452404925E-2</v>
      </c>
      <c r="P120" s="169">
        <f>(INDEX(Models!$BJ120:$BT120,,T120)*(1-R120)+INDEX(Models!$BJ120:$BT120,,T120+1)*R120-ERP_i)*Q120*Ramure*Pc/MaxiM</f>
        <v>0</v>
      </c>
      <c r="Q120" s="305">
        <f t="shared" si="27"/>
        <v>0.7</v>
      </c>
      <c r="R120" s="177">
        <f t="shared" si="28"/>
        <v>0.53831467383827292</v>
      </c>
      <c r="S120" s="817">
        <f t="shared" si="29"/>
        <v>-2</v>
      </c>
      <c r="T120" s="176">
        <f t="shared" si="30"/>
        <v>4</v>
      </c>
      <c r="U120" s="251">
        <f t="shared" si="31"/>
        <v>-1.4616853261617271</v>
      </c>
      <c r="V120" s="383">
        <f t="shared" si="32"/>
        <v>37.906181780546873</v>
      </c>
      <c r="W120" s="58"/>
      <c r="X120" s="157">
        <f t="shared" si="33"/>
        <v>43571</v>
      </c>
      <c r="Y120" s="385">
        <f t="shared" si="34"/>
        <v>26.417999999999999</v>
      </c>
      <c r="Z120" s="385">
        <f t="shared" si="35"/>
        <v>26.628296055550912</v>
      </c>
      <c r="AA120" s="386">
        <f t="shared" si="36"/>
        <v>28.178809324105117</v>
      </c>
      <c r="AB120" s="197">
        <f t="shared" si="37"/>
        <v>43571</v>
      </c>
      <c r="AC120" s="427">
        <f>IF(OR(t&lt;Tnet,NoTnet),'2018'!Resal_s+('2018'!Salim-'2018'!Resal_s)*(1-EXP(('2018'!Tnet_s-t)/'2018'!Tau_j)),Resal_s+(Salim-Resal_s)*(1-EXP((Tnet_s-t)/Tau_j)))*Salcycl</f>
        <v>5.5024087452404925E-2</v>
      </c>
      <c r="AD120" s="231">
        <f>(INDEX(Models!$BJ120:$BT120,,AH120)*(1-AF120)+INDEX(Models!$BJ120:$BT120,,AH120+1)*AF120-ERP_i)*AE120*Ramure*Pc/MaxiM</f>
        <v>0</v>
      </c>
      <c r="AE120" s="305">
        <f t="shared" si="38"/>
        <v>0.7</v>
      </c>
      <c r="AF120" s="177">
        <f t="shared" si="39"/>
        <v>0.53831467383827292</v>
      </c>
      <c r="AG120" s="176">
        <f t="shared" si="40"/>
        <v>-2</v>
      </c>
      <c r="AH120" s="176">
        <f t="shared" si="41"/>
        <v>4</v>
      </c>
      <c r="AI120" s="225">
        <f t="shared" si="42"/>
        <v>-1.4616853261617271</v>
      </c>
      <c r="AJ120" s="265" t="b">
        <f t="shared" si="43"/>
        <v>0</v>
      </c>
      <c r="AK120" s="265" t="b">
        <f t="shared" si="44"/>
        <v>0</v>
      </c>
      <c r="AL120" s="265"/>
      <c r="AM120" s="265"/>
      <c r="AN120" s="75"/>
    </row>
    <row r="121" spans="1:40" s="6" customFormat="1" ht="11.25" x14ac:dyDescent="0.2">
      <c r="A121" s="56">
        <f t="shared" si="45"/>
        <v>43572</v>
      </c>
      <c r="B121" s="617">
        <v>21.847999999999999</v>
      </c>
      <c r="C121" s="390"/>
      <c r="D121" s="393">
        <f t="shared" si="24"/>
        <v>22.022399684557001</v>
      </c>
      <c r="E121" s="385">
        <f t="shared" si="46"/>
        <v>23.308052221852034</v>
      </c>
      <c r="F121" s="385">
        <f t="shared" si="25"/>
        <v>23.308052221852034</v>
      </c>
      <c r="G121" s="110">
        <f t="shared" si="47"/>
        <v>0.57429494555419325</v>
      </c>
      <c r="H121" s="414" t="b">
        <f>Wh_hp&gt;='2018'!Maxi_hp</f>
        <v>1</v>
      </c>
      <c r="I121" s="390">
        <f>IF(H121,Wh_hp,'2018'!Maxi_hp)</f>
        <v>23.308052221852034</v>
      </c>
      <c r="J121" s="85">
        <f>IF(H121,An,'2018'!An_max)</f>
        <v>2019</v>
      </c>
      <c r="K121" s="197">
        <f t="shared" si="26"/>
        <v>43572</v>
      </c>
      <c r="L121" s="147">
        <f>IF(t&lt;Tvie,1-EXP((T0-t)*PertePVj)+'2018'!Pspv,1-EXP((T0-t)*PertePVj)+Pspv)</f>
        <v>7.9191953218112898E-3</v>
      </c>
      <c r="M121" s="850"/>
      <c r="N121" s="850"/>
      <c r="O121" s="48">
        <f>IF(t&lt;Tnet,'2018'!Resal+('2018'!Salim-'2018'!Resal)*(1-EXP(('2018'!Tnet-t)/('2018'!Tau_j))),Resal+(Salim-Resal)*(1-EXP((Tnet-t)/(Tau_j))))*Salcycl</f>
        <v>5.5159158090854699E-2</v>
      </c>
      <c r="P121" s="169">
        <f>(INDEX(Models!$BJ121:$BT121,,T121)*(1-R121)+INDEX(Models!$BJ121:$BT121,,T121+1)*R121-ERP_i)*Q121*Ramure*Pc/MaxiM</f>
        <v>0</v>
      </c>
      <c r="Q121" s="305">
        <f t="shared" si="27"/>
        <v>0.7</v>
      </c>
      <c r="R121" s="177">
        <f t="shared" si="28"/>
        <v>0.53974292427529091</v>
      </c>
      <c r="S121" s="817">
        <f t="shared" si="29"/>
        <v>-2</v>
      </c>
      <c r="T121" s="176">
        <f t="shared" si="30"/>
        <v>4</v>
      </c>
      <c r="U121" s="251">
        <f t="shared" si="31"/>
        <v>-1.4602570757247091</v>
      </c>
      <c r="V121" s="383">
        <f t="shared" si="32"/>
        <v>38.043169575376865</v>
      </c>
      <c r="W121" s="58"/>
      <c r="X121" s="157">
        <f t="shared" si="33"/>
        <v>43572</v>
      </c>
      <c r="Y121" s="385">
        <f t="shared" si="34"/>
        <v>21.847999999999999</v>
      </c>
      <c r="Z121" s="385">
        <f t="shared" si="35"/>
        <v>22.022399684557001</v>
      </c>
      <c r="AA121" s="386">
        <f t="shared" si="36"/>
        <v>23.308052221852034</v>
      </c>
      <c r="AB121" s="197">
        <f t="shared" si="37"/>
        <v>43572</v>
      </c>
      <c r="AC121" s="427">
        <f>IF(OR(t&lt;Tnet,NoTnet),'2018'!Resal_s+('2018'!Salim-'2018'!Resal_s)*(1-EXP(('2018'!Tnet_s-t)/'2018'!Tau_j)),Resal_s+(Salim-Resal_s)*(1-EXP((Tnet_s-t)/Tau_j)))*Salcycl</f>
        <v>5.5159158090854699E-2</v>
      </c>
      <c r="AD121" s="231">
        <f>(INDEX(Models!$BJ121:$BT121,,AH121)*(1-AF121)+INDEX(Models!$BJ121:$BT121,,AH121+1)*AF121-ERP_i)*AE121*Ramure*Pc/MaxiM</f>
        <v>0</v>
      </c>
      <c r="AE121" s="305">
        <f t="shared" si="38"/>
        <v>0.7</v>
      </c>
      <c r="AF121" s="177">
        <f t="shared" si="39"/>
        <v>0.53974292427529091</v>
      </c>
      <c r="AG121" s="176">
        <f t="shared" si="40"/>
        <v>-2</v>
      </c>
      <c r="AH121" s="176">
        <f t="shared" si="41"/>
        <v>4</v>
      </c>
      <c r="AI121" s="225">
        <f t="shared" si="42"/>
        <v>-1.4602570757247091</v>
      </c>
      <c r="AJ121" s="265" t="b">
        <f t="shared" si="43"/>
        <v>0</v>
      </c>
      <c r="AK121" s="265" t="b">
        <f t="shared" si="44"/>
        <v>0</v>
      </c>
      <c r="AL121" s="265"/>
      <c r="AM121" s="265"/>
      <c r="AN121" s="75"/>
    </row>
    <row r="122" spans="1:40" s="18" customFormat="1" ht="11.25" x14ac:dyDescent="0.2">
      <c r="A122" s="56">
        <f t="shared" si="45"/>
        <v>43573</v>
      </c>
      <c r="B122" s="617">
        <v>18.053999999999998</v>
      </c>
      <c r="C122" s="390"/>
      <c r="D122" s="393">
        <f t="shared" si="24"/>
        <v>18.198513016741568</v>
      </c>
      <c r="E122" s="385">
        <f t="shared" si="46"/>
        <v>19.263697165451998</v>
      </c>
      <c r="F122" s="385">
        <f t="shared" si="25"/>
        <v>19.263697165451998</v>
      </c>
      <c r="G122" s="110">
        <f t="shared" si="47"/>
        <v>0.47289001886671844</v>
      </c>
      <c r="H122" s="414" t="b">
        <f>Wh_hp&gt;='2018'!Maxi_hp</f>
        <v>1</v>
      </c>
      <c r="I122" s="390">
        <f>IF(H122,Wh_hp,'2018'!Maxi_hp)</f>
        <v>19.263697165451998</v>
      </c>
      <c r="J122" s="85">
        <f>IF(H122,An,'2018'!An_max)</f>
        <v>2019</v>
      </c>
      <c r="K122" s="197">
        <f t="shared" si="26"/>
        <v>43573</v>
      </c>
      <c r="L122" s="147">
        <f>IF(t&lt;Tvie,1-EXP((T0-t)*PertePVj)+'2018'!Pspv,1-EXP((T0-t)*PertePVj)+Pspv)</f>
        <v>7.9409244375420185E-3</v>
      </c>
      <c r="M122" s="850"/>
      <c r="N122" s="850"/>
      <c r="O122" s="48">
        <f>IF(t&lt;Tnet,'2018'!Resal+('2018'!Salim-'2018'!Resal)*(1-EXP(('2018'!Tnet-t)/('2018'!Tau_j))),Resal+(Salim-Resal)*(1-EXP((Tnet-t)/(Tau_j))))*Salcycl</f>
        <v>5.52948969017618E-2</v>
      </c>
      <c r="P122" s="169">
        <f>(INDEX(Models!$BJ122:$BT122,,T122)*(1-R122)+INDEX(Models!$BJ122:$BT122,,T122+1)*R122-ERP_i)*Q122*Ramure*Pc/MaxiM</f>
        <v>0</v>
      </c>
      <c r="Q122" s="305">
        <f t="shared" si="27"/>
        <v>0.7</v>
      </c>
      <c r="R122" s="177">
        <f t="shared" si="28"/>
        <v>0.54121914649173442</v>
      </c>
      <c r="S122" s="817">
        <f t="shared" si="29"/>
        <v>-2</v>
      </c>
      <c r="T122" s="176">
        <f t="shared" si="30"/>
        <v>4</v>
      </c>
      <c r="U122" s="251">
        <f t="shared" si="31"/>
        <v>-1.4587808535082656</v>
      </c>
      <c r="V122" s="383">
        <f t="shared" si="32"/>
        <v>38.178010276610266</v>
      </c>
      <c r="W122" s="58"/>
      <c r="X122" s="157">
        <f t="shared" si="33"/>
        <v>43573</v>
      </c>
      <c r="Y122" s="385">
        <f t="shared" si="34"/>
        <v>18.053999999999998</v>
      </c>
      <c r="Z122" s="385">
        <f t="shared" si="35"/>
        <v>18.198513016741568</v>
      </c>
      <c r="AA122" s="386">
        <f t="shared" si="36"/>
        <v>19.263697165451998</v>
      </c>
      <c r="AB122" s="197">
        <f t="shared" si="37"/>
        <v>43573</v>
      </c>
      <c r="AC122" s="427">
        <f>IF(OR(t&lt;Tnet,NoTnet),'2018'!Resal_s+('2018'!Salim-'2018'!Resal_s)*(1-EXP(('2018'!Tnet_s-t)/'2018'!Tau_j)),Resal_s+(Salim-Resal_s)*(1-EXP((Tnet_s-t)/Tau_j)))*Salcycl</f>
        <v>5.52948969017618E-2</v>
      </c>
      <c r="AD122" s="231">
        <f>(INDEX(Models!$BJ122:$BT122,,AH122)*(1-AF122)+INDEX(Models!$BJ122:$BT122,,AH122+1)*AF122-ERP_i)*AE122*Ramure*Pc/MaxiM</f>
        <v>0</v>
      </c>
      <c r="AE122" s="305">
        <f t="shared" si="38"/>
        <v>0.7</v>
      </c>
      <c r="AF122" s="177">
        <f t="shared" si="39"/>
        <v>0.54121914649173442</v>
      </c>
      <c r="AG122" s="176">
        <f t="shared" si="40"/>
        <v>-2</v>
      </c>
      <c r="AH122" s="176">
        <f t="shared" si="41"/>
        <v>4</v>
      </c>
      <c r="AI122" s="225">
        <f t="shared" si="42"/>
        <v>-1.4587808535082656</v>
      </c>
      <c r="AJ122" s="265" t="b">
        <f t="shared" si="43"/>
        <v>0</v>
      </c>
      <c r="AK122" s="265" t="b">
        <f t="shared" si="44"/>
        <v>0</v>
      </c>
      <c r="AL122" s="265"/>
      <c r="AM122" s="265"/>
      <c r="AN122" s="265"/>
    </row>
    <row r="123" spans="1:40" s="18" customFormat="1" ht="11.25" x14ac:dyDescent="0.2">
      <c r="A123" s="56">
        <f t="shared" si="45"/>
        <v>43574</v>
      </c>
      <c r="B123" s="617">
        <v>33.36</v>
      </c>
      <c r="C123" s="390"/>
      <c r="D123" s="393">
        <f t="shared" si="24"/>
        <v>33.627766236305902</v>
      </c>
      <c r="E123" s="385">
        <f t="shared" si="46"/>
        <v>35.601186875279716</v>
      </c>
      <c r="F123" s="385">
        <f t="shared" si="25"/>
        <v>35.601186875279716</v>
      </c>
      <c r="G123" s="110">
        <f t="shared" si="47"/>
        <v>0.87077947086781082</v>
      </c>
      <c r="H123" s="414" t="b">
        <f>Wh_hp&gt;='2018'!Maxi_hp</f>
        <v>1</v>
      </c>
      <c r="I123" s="390">
        <f>IF(H123,Wh_hp,'2018'!Maxi_hp)</f>
        <v>35.601186875279716</v>
      </c>
      <c r="J123" s="85">
        <f>IF(H123,An,'2018'!An_max)</f>
        <v>2019</v>
      </c>
      <c r="K123" s="197">
        <f t="shared" si="26"/>
        <v>43574</v>
      </c>
      <c r="L123" s="147">
        <f>IF(t&lt;Tvie,1-EXP((T0-t)*PertePVj)+'2018'!Pspv,1-EXP((T0-t)*PertePVj)+Pspv)</f>
        <v>7.9626530773493354E-3</v>
      </c>
      <c r="M123" s="850"/>
      <c r="N123" s="850"/>
      <c r="O123" s="48">
        <f>IF(t&lt;Tnet,'2018'!Resal+('2018'!Salim-'2018'!Resal)*(1-EXP(('2018'!Tnet-t)/('2018'!Tau_j))),Resal+(Salim-Resal)*(1-EXP((Tnet-t)/(Tau_j))))*Salcycl</f>
        <v>5.5431315980762758E-2</v>
      </c>
      <c r="P123" s="169">
        <f>(INDEX(Models!$BJ123:$BT123,,T123)*(1-R123)+INDEX(Models!$BJ123:$BT123,,T123+1)*R123-ERP_i)*Q123*Ramure*Pc/MaxiM</f>
        <v>0</v>
      </c>
      <c r="Q123" s="305">
        <f t="shared" si="27"/>
        <v>0.7</v>
      </c>
      <c r="R123" s="177">
        <f t="shared" si="28"/>
        <v>0.54274448843020284</v>
      </c>
      <c r="S123" s="817">
        <f t="shared" si="29"/>
        <v>-2</v>
      </c>
      <c r="T123" s="176">
        <f t="shared" si="30"/>
        <v>4</v>
      </c>
      <c r="U123" s="251">
        <f t="shared" si="31"/>
        <v>-1.4572555115697972</v>
      </c>
      <c r="V123" s="383">
        <f t="shared" si="32"/>
        <v>38.310503538575297</v>
      </c>
      <c r="W123" s="58"/>
      <c r="X123" s="157">
        <f t="shared" si="33"/>
        <v>43574</v>
      </c>
      <c r="Y123" s="385">
        <f t="shared" si="34"/>
        <v>33.36</v>
      </c>
      <c r="Z123" s="385">
        <f t="shared" si="35"/>
        <v>33.627766236305902</v>
      </c>
      <c r="AA123" s="386">
        <f t="shared" si="36"/>
        <v>35.601186875279716</v>
      </c>
      <c r="AB123" s="197">
        <f t="shared" si="37"/>
        <v>43574</v>
      </c>
      <c r="AC123" s="427">
        <f>IF(OR(t&lt;Tnet,NoTnet),'2018'!Resal_s+('2018'!Salim-'2018'!Resal_s)*(1-EXP(('2018'!Tnet_s-t)/'2018'!Tau_j)),Resal_s+(Salim-Resal_s)*(1-EXP((Tnet_s-t)/Tau_j)))*Salcycl</f>
        <v>5.5431315980762758E-2</v>
      </c>
      <c r="AD123" s="231">
        <f>(INDEX(Models!$BJ123:$BT123,,AH123)*(1-AF123)+INDEX(Models!$BJ123:$BT123,,AH123+1)*AF123-ERP_i)*AE123*Ramure*Pc/MaxiM</f>
        <v>0</v>
      </c>
      <c r="AE123" s="305">
        <f t="shared" si="38"/>
        <v>0.7</v>
      </c>
      <c r="AF123" s="177">
        <f t="shared" si="39"/>
        <v>0.54274448843020284</v>
      </c>
      <c r="AG123" s="176">
        <f t="shared" si="40"/>
        <v>-2</v>
      </c>
      <c r="AH123" s="176">
        <f t="shared" si="41"/>
        <v>4</v>
      </c>
      <c r="AI123" s="225">
        <f t="shared" si="42"/>
        <v>-1.4572555115697972</v>
      </c>
      <c r="AJ123" s="265" t="b">
        <f t="shared" si="43"/>
        <v>0</v>
      </c>
      <c r="AK123" s="265" t="b">
        <f t="shared" si="44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5"/>
        <v>43575</v>
      </c>
      <c r="B124" s="617">
        <v>32.338999999999999</v>
      </c>
      <c r="C124" s="390"/>
      <c r="D124" s="393">
        <f t="shared" si="24"/>
        <v>32.599285120594828</v>
      </c>
      <c r="E124" s="385">
        <f t="shared" si="46"/>
        <v>34.517360529046911</v>
      </c>
      <c r="F124" s="385">
        <f t="shared" si="25"/>
        <v>34.517360529046911</v>
      </c>
      <c r="G124" s="110">
        <f t="shared" si="47"/>
        <v>0.84127528893016379</v>
      </c>
      <c r="H124" s="414" t="b">
        <f>Wh_hp&gt;='2018'!Maxi_hp</f>
        <v>1</v>
      </c>
      <c r="I124" s="390">
        <f>IF(H124,Wh_hp,'2018'!Maxi_hp)</f>
        <v>34.517360529046911</v>
      </c>
      <c r="J124" s="85">
        <f>IF(H124,An,'2018'!An_max)</f>
        <v>2019</v>
      </c>
      <c r="K124" s="197">
        <f t="shared" si="26"/>
        <v>43575</v>
      </c>
      <c r="L124" s="147">
        <f>IF(t&lt;Tvie,1-EXP((T0-t)*PertePVj)+'2018'!Pspv,1-EXP((T0-t)*PertePVj)+Pspv)</f>
        <v>7.9843812412436765E-3</v>
      </c>
      <c r="M124" s="850"/>
      <c r="N124" s="850"/>
      <c r="O124" s="48">
        <f>IF(t&lt;Tnet,'2018'!Resal+('2018'!Salim-'2018'!Resal)*(1-EXP(('2018'!Tnet-t)/('2018'!Tau_j))),Resal+(Salim-Resal)*(1-EXP((Tnet-t)/(Tau_j))))*Salcycl</f>
        <v>5.5568426410761977E-2</v>
      </c>
      <c r="P124" s="169">
        <f>(INDEX(Models!$BJ124:$BT124,,T124)*(1-R124)+INDEX(Models!$BJ124:$BT124,,T124+1)*R124-ERP_i)*Q124*Ramure*Pc/MaxiM</f>
        <v>0</v>
      </c>
      <c r="Q124" s="305">
        <f t="shared" si="27"/>
        <v>0.7</v>
      </c>
      <c r="R124" s="177">
        <f t="shared" si="28"/>
        <v>0.54432008998259485</v>
      </c>
      <c r="S124" s="817">
        <f t="shared" si="29"/>
        <v>-2</v>
      </c>
      <c r="T124" s="176">
        <f t="shared" si="30"/>
        <v>4</v>
      </c>
      <c r="U124" s="251">
        <f t="shared" si="31"/>
        <v>-1.4556799100174052</v>
      </c>
      <c r="V124" s="383">
        <f t="shared" si="32"/>
        <v>38.440449191280749</v>
      </c>
      <c r="W124" s="58"/>
      <c r="X124" s="157">
        <f t="shared" si="33"/>
        <v>43575</v>
      </c>
      <c r="Y124" s="385">
        <f t="shared" si="34"/>
        <v>32.338999999999999</v>
      </c>
      <c r="Z124" s="385">
        <f t="shared" si="35"/>
        <v>32.599285120594828</v>
      </c>
      <c r="AA124" s="386">
        <f t="shared" si="36"/>
        <v>34.517360529046911</v>
      </c>
      <c r="AB124" s="197">
        <f t="shared" si="37"/>
        <v>43575</v>
      </c>
      <c r="AC124" s="427">
        <f>IF(OR(t&lt;Tnet,NoTnet),'2018'!Resal_s+('2018'!Salim-'2018'!Resal_s)*(1-EXP(('2018'!Tnet_s-t)/'2018'!Tau_j)),Resal_s+(Salim-Resal_s)*(1-EXP((Tnet_s-t)/Tau_j)))*Salcycl</f>
        <v>5.5568426410761977E-2</v>
      </c>
      <c r="AD124" s="231">
        <f>(INDEX(Models!$BJ124:$BT124,,AH124)*(1-AF124)+INDEX(Models!$BJ124:$BT124,,AH124+1)*AF124-ERP_i)*AE124*Ramure*Pc/MaxiM</f>
        <v>0</v>
      </c>
      <c r="AE124" s="305">
        <f t="shared" si="38"/>
        <v>0.7</v>
      </c>
      <c r="AF124" s="177">
        <f t="shared" si="39"/>
        <v>0.54432008998259485</v>
      </c>
      <c r="AG124" s="176">
        <f t="shared" si="40"/>
        <v>-2</v>
      </c>
      <c r="AH124" s="176">
        <f t="shared" si="41"/>
        <v>4</v>
      </c>
      <c r="AI124" s="225">
        <f t="shared" si="42"/>
        <v>-1.4556799100174052</v>
      </c>
      <c r="AJ124" s="265" t="b">
        <f t="shared" si="43"/>
        <v>0</v>
      </c>
      <c r="AK124" s="265" t="b">
        <f t="shared" si="44"/>
        <v>0</v>
      </c>
      <c r="AL124" s="265"/>
      <c r="AM124" s="265"/>
      <c r="AN124" s="75"/>
    </row>
    <row r="125" spans="1:40" s="6" customFormat="1" ht="11.25" x14ac:dyDescent="0.2">
      <c r="A125" s="56">
        <f t="shared" si="45"/>
        <v>43576</v>
      </c>
      <c r="B125" s="617">
        <v>12.340999999999999</v>
      </c>
      <c r="C125" s="390"/>
      <c r="D125" s="393">
        <f t="shared" si="24"/>
        <v>12.440600805191497</v>
      </c>
      <c r="E125" s="385">
        <f t="shared" si="46"/>
        <v>13.174502796207468</v>
      </c>
      <c r="F125" s="385">
        <f t="shared" si="25"/>
        <v>13.174502796207468</v>
      </c>
      <c r="G125" s="110">
        <f t="shared" si="47"/>
        <v>0.3199832212014998</v>
      </c>
      <c r="H125" s="414" t="b">
        <f>Wh_hp&gt;='2018'!Maxi_hp</f>
        <v>1</v>
      </c>
      <c r="I125" s="390">
        <f>IF(H125,Wh_hp,'2018'!Maxi_hp)</f>
        <v>13.174502796207468</v>
      </c>
      <c r="J125" s="85">
        <f>IF(H125,An,'2018'!An_max)</f>
        <v>2019</v>
      </c>
      <c r="K125" s="197">
        <f t="shared" si="26"/>
        <v>43576</v>
      </c>
      <c r="L125" s="147">
        <f>IF(t&lt;Tvie,1-EXP((T0-t)*PertePVj)+'2018'!Pspv,1-EXP((T0-t)*PertePVj)+Pspv)</f>
        <v>8.0061089292354781E-3</v>
      </c>
      <c r="M125" s="850"/>
      <c r="N125" s="850"/>
      <c r="O125" s="48">
        <f>IF(t&lt;Tnet,'2018'!Resal+('2018'!Salim-'2018'!Resal)*(1-EXP(('2018'!Tnet-t)/('2018'!Tau_j))),Resal+(Salim-Resal)*(1-EXP((Tnet-t)/(Tau_j))))*Salcycl</f>
        <v>5.5706238206366242E-2</v>
      </c>
      <c r="P125" s="169">
        <f>(INDEX(Models!$BJ125:$BT125,,T125)*(1-R125)+INDEX(Models!$BJ125:$BT125,,T125+1)*R125-ERP_i)*Q125*Ramure*Pc/MaxiM</f>
        <v>0</v>
      </c>
      <c r="Q125" s="305">
        <f t="shared" si="27"/>
        <v>0.7</v>
      </c>
      <c r="R125" s="177">
        <f t="shared" si="28"/>
        <v>0.54594707972124534</v>
      </c>
      <c r="S125" s="817">
        <f t="shared" si="29"/>
        <v>-2</v>
      </c>
      <c r="T125" s="176">
        <f t="shared" si="30"/>
        <v>4</v>
      </c>
      <c r="U125" s="251">
        <f t="shared" si="31"/>
        <v>-1.4540529202787547</v>
      </c>
      <c r="V125" s="383">
        <f t="shared" si="32"/>
        <v>38.567647246193026</v>
      </c>
      <c r="W125" s="58"/>
      <c r="X125" s="157">
        <f t="shared" si="33"/>
        <v>43576</v>
      </c>
      <c r="Y125" s="385">
        <f t="shared" si="34"/>
        <v>12.340999999999999</v>
      </c>
      <c r="Z125" s="385">
        <f t="shared" si="35"/>
        <v>12.440600805191497</v>
      </c>
      <c r="AA125" s="386">
        <f t="shared" si="36"/>
        <v>13.174502796207468</v>
      </c>
      <c r="AB125" s="197">
        <f t="shared" si="37"/>
        <v>43576</v>
      </c>
      <c r="AC125" s="427">
        <f>IF(OR(t&lt;Tnet,NoTnet),'2018'!Resal_s+('2018'!Salim-'2018'!Resal_s)*(1-EXP(('2018'!Tnet_s-t)/'2018'!Tau_j)),Resal_s+(Salim-Resal_s)*(1-EXP((Tnet_s-t)/Tau_j)))*Salcycl</f>
        <v>5.5706238206366242E-2</v>
      </c>
      <c r="AD125" s="231">
        <f>(INDEX(Models!$BJ125:$BT125,,AH125)*(1-AF125)+INDEX(Models!$BJ125:$BT125,,AH125+1)*AF125-ERP_i)*AE125*Ramure*Pc/MaxiM</f>
        <v>0</v>
      </c>
      <c r="AE125" s="305">
        <f t="shared" si="38"/>
        <v>0.7</v>
      </c>
      <c r="AF125" s="177">
        <f t="shared" si="39"/>
        <v>0.54594707972124534</v>
      </c>
      <c r="AG125" s="176">
        <f t="shared" si="40"/>
        <v>-2</v>
      </c>
      <c r="AH125" s="176">
        <f t="shared" si="41"/>
        <v>4</v>
      </c>
      <c r="AI125" s="225">
        <f t="shared" si="42"/>
        <v>-1.4540529202787547</v>
      </c>
      <c r="AJ125" s="265" t="b">
        <f t="shared" si="43"/>
        <v>0</v>
      </c>
      <c r="AK125" s="265" t="b">
        <f t="shared" si="44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5"/>
        <v>43577</v>
      </c>
      <c r="B126" s="617">
        <v>21.928999999999998</v>
      </c>
      <c r="C126" s="390"/>
      <c r="D126" s="393">
        <f t="shared" si="24"/>
        <v>22.106467095506542</v>
      </c>
      <c r="E126" s="385">
        <f t="shared" si="46"/>
        <v>23.414017276976725</v>
      </c>
      <c r="F126" s="385">
        <f t="shared" si="25"/>
        <v>23.414017276976725</v>
      </c>
      <c r="G126" s="110">
        <f t="shared" si="47"/>
        <v>0.5667594816556738</v>
      </c>
      <c r="H126" s="414" t="b">
        <f>Wh_hp&gt;='2018'!Maxi_hp</f>
        <v>1</v>
      </c>
      <c r="I126" s="390">
        <f>IF(H126,Wh_hp,'2018'!Maxi_hp)</f>
        <v>23.414017276976725</v>
      </c>
      <c r="J126" s="85">
        <f>IF(H126,An,'2018'!An_max)</f>
        <v>2019</v>
      </c>
      <c r="K126" s="197">
        <f t="shared" si="26"/>
        <v>43577</v>
      </c>
      <c r="L126" s="147">
        <f>IF(t&lt;Tvie,1-EXP((T0-t)*PertePVj)+'2018'!Pspv,1-EXP((T0-t)*PertePVj)+Pspv)</f>
        <v>8.0278361413351762E-3</v>
      </c>
      <c r="M126" s="850"/>
      <c r="N126" s="850"/>
      <c r="O126" s="48">
        <f>IF(t&lt;Tnet,'2018'!Resal+('2018'!Salim-'2018'!Resal)*(1-EXP(('2018'!Tnet-t)/('2018'!Tau_j))),Resal+(Salim-Resal)*(1-EXP((Tnet-t)/(Tau_j))))*Salcycl</f>
        <v>5.5844760256323581E-2</v>
      </c>
      <c r="P126" s="169">
        <f>(INDEX(Models!$BJ126:$BT126,,T126)*(1-R126)+INDEX(Models!$BJ126:$BT126,,T126+1)*R126-ERP_i)*Q126*Ramure*Pc/MaxiM</f>
        <v>0</v>
      </c>
      <c r="Q126" s="305">
        <f t="shared" si="27"/>
        <v>0.7</v>
      </c>
      <c r="R126" s="177">
        <f t="shared" si="28"/>
        <v>0.54762657142167437</v>
      </c>
      <c r="S126" s="817">
        <f t="shared" si="29"/>
        <v>-2</v>
      </c>
      <c r="T126" s="176">
        <f t="shared" si="30"/>
        <v>4</v>
      </c>
      <c r="U126" s="251">
        <f t="shared" si="31"/>
        <v>-1.4523734285783256</v>
      </c>
      <c r="V126" s="383">
        <f t="shared" si="32"/>
        <v>38.69189790339076</v>
      </c>
      <c r="W126" s="58"/>
      <c r="X126" s="157">
        <f t="shared" si="33"/>
        <v>43577</v>
      </c>
      <c r="Y126" s="385">
        <f t="shared" si="34"/>
        <v>21.928999999999998</v>
      </c>
      <c r="Z126" s="385">
        <f t="shared" si="35"/>
        <v>22.106467095506542</v>
      </c>
      <c r="AA126" s="386">
        <f t="shared" si="36"/>
        <v>23.414017276976725</v>
      </c>
      <c r="AB126" s="197">
        <f t="shared" si="37"/>
        <v>43577</v>
      </c>
      <c r="AC126" s="427">
        <f>IF(OR(t&lt;Tnet,NoTnet),'2018'!Resal_s+('2018'!Salim-'2018'!Resal_s)*(1-EXP(('2018'!Tnet_s-t)/'2018'!Tau_j)),Resal_s+(Salim-Resal_s)*(1-EXP((Tnet_s-t)/Tau_j)))*Salcycl</f>
        <v>5.5844760256323581E-2</v>
      </c>
      <c r="AD126" s="231">
        <f>(INDEX(Models!$BJ126:$BT126,,AH126)*(1-AF126)+INDEX(Models!$BJ126:$BT126,,AH126+1)*AF126-ERP_i)*AE126*Ramure*Pc/MaxiM</f>
        <v>0</v>
      </c>
      <c r="AE126" s="305">
        <f t="shared" si="38"/>
        <v>0.7</v>
      </c>
      <c r="AF126" s="177">
        <f t="shared" si="39"/>
        <v>0.54762657142167437</v>
      </c>
      <c r="AG126" s="176">
        <f t="shared" si="40"/>
        <v>-2</v>
      </c>
      <c r="AH126" s="176">
        <f t="shared" si="41"/>
        <v>4</v>
      </c>
      <c r="AI126" s="225">
        <f t="shared" si="42"/>
        <v>-1.4523734285783256</v>
      </c>
      <c r="AJ126" s="265" t="b">
        <f t="shared" si="43"/>
        <v>0</v>
      </c>
      <c r="AK126" s="265" t="b">
        <f t="shared" si="44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5"/>
        <v>43578</v>
      </c>
      <c r="B127" s="617">
        <v>24.51</v>
      </c>
      <c r="C127" s="390"/>
      <c r="D127" s="393">
        <f t="shared" si="24"/>
        <v>24.708895810461218</v>
      </c>
      <c r="E127" s="385">
        <f t="shared" si="46"/>
        <v>26.174234141553573</v>
      </c>
      <c r="F127" s="385">
        <f t="shared" si="25"/>
        <v>26.174234141553573</v>
      </c>
      <c r="G127" s="110">
        <f t="shared" si="47"/>
        <v>0.6314894241421839</v>
      </c>
      <c r="H127" s="414" t="b">
        <f>Wh_hp&gt;='2018'!Maxi_hp</f>
        <v>1</v>
      </c>
      <c r="I127" s="390">
        <f>IF(H127,Wh_hp,'2018'!Maxi_hp)</f>
        <v>26.174234141553573</v>
      </c>
      <c r="J127" s="85">
        <f>IF(H127,An,'2018'!An_max)</f>
        <v>2019</v>
      </c>
      <c r="K127" s="197">
        <f t="shared" si="26"/>
        <v>43578</v>
      </c>
      <c r="L127" s="147">
        <f>IF(t&lt;Tvie,1-EXP((T0-t)*PertePVj)+'2018'!Pspv,1-EXP((T0-t)*PertePVj)+Pspv)</f>
        <v>8.0495628775530959E-3</v>
      </c>
      <c r="M127" s="850"/>
      <c r="N127" s="850"/>
      <c r="O127" s="48">
        <f>IF(t&lt;Tnet,'2018'!Resal+('2018'!Salim-'2018'!Resal)*(1-EXP(('2018'!Tnet-t)/('2018'!Tau_j))),Resal+(Salim-Resal)*(1-EXP((Tnet-t)/(Tau_j))))*Salcycl</f>
        <v>5.5984000264061931E-2</v>
      </c>
      <c r="P127" s="169">
        <f>(INDEX(Models!$BJ127:$BT127,,T127)*(1-R127)+INDEX(Models!$BJ127:$BT127,,T127+1)*R127-ERP_i)*Q127*Ramure*Pc/MaxiM</f>
        <v>0</v>
      </c>
      <c r="Q127" s="305">
        <f t="shared" si="27"/>
        <v>0.7</v>
      </c>
      <c r="R127" s="177">
        <f t="shared" si="28"/>
        <v>0.54935966037642192</v>
      </c>
      <c r="S127" s="817">
        <f t="shared" si="29"/>
        <v>-2</v>
      </c>
      <c r="T127" s="176">
        <f t="shared" si="30"/>
        <v>4</v>
      </c>
      <c r="U127" s="251">
        <f t="shared" si="31"/>
        <v>-1.4506403396235781</v>
      </c>
      <c r="V127" s="383">
        <f t="shared" si="32"/>
        <v>38.81300155310506</v>
      </c>
      <c r="W127" s="58"/>
      <c r="X127" s="157">
        <f t="shared" si="33"/>
        <v>43578</v>
      </c>
      <c r="Y127" s="385">
        <f t="shared" si="34"/>
        <v>24.51</v>
      </c>
      <c r="Z127" s="385">
        <f t="shared" si="35"/>
        <v>24.708895810461218</v>
      </c>
      <c r="AA127" s="386">
        <f t="shared" si="36"/>
        <v>26.174234141553573</v>
      </c>
      <c r="AB127" s="197">
        <f t="shared" si="37"/>
        <v>43578</v>
      </c>
      <c r="AC127" s="427">
        <f>IF(OR(t&lt;Tnet,NoTnet),'2018'!Resal_s+('2018'!Salim-'2018'!Resal_s)*(1-EXP(('2018'!Tnet_s-t)/'2018'!Tau_j)),Resal_s+(Salim-Resal_s)*(1-EXP((Tnet_s-t)/Tau_j)))*Salcycl</f>
        <v>5.5984000264061931E-2</v>
      </c>
      <c r="AD127" s="231">
        <f>(INDEX(Models!$BJ127:$BT127,,AH127)*(1-AF127)+INDEX(Models!$BJ127:$BT127,,AH127+1)*AF127-ERP_i)*AE127*Ramure*Pc/MaxiM</f>
        <v>0</v>
      </c>
      <c r="AE127" s="305">
        <f t="shared" si="38"/>
        <v>0.7</v>
      </c>
      <c r="AF127" s="177">
        <f t="shared" si="39"/>
        <v>0.54935966037642192</v>
      </c>
      <c r="AG127" s="176">
        <f t="shared" si="40"/>
        <v>-2</v>
      </c>
      <c r="AH127" s="176">
        <f t="shared" si="41"/>
        <v>4</v>
      </c>
      <c r="AI127" s="225">
        <f t="shared" si="42"/>
        <v>-1.4506403396235781</v>
      </c>
      <c r="AJ127" s="265" t="b">
        <f t="shared" si="43"/>
        <v>0</v>
      </c>
      <c r="AK127" s="265" t="b">
        <f t="shared" si="44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5"/>
        <v>43579</v>
      </c>
      <c r="B128" s="617">
        <v>33.697000000000003</v>
      </c>
      <c r="C128" s="390"/>
      <c r="D128" s="393">
        <f t="shared" si="24"/>
        <v>33.971191307400943</v>
      </c>
      <c r="E128" s="385">
        <f t="shared" si="46"/>
        <v>35.991157775413882</v>
      </c>
      <c r="F128" s="385">
        <f t="shared" si="25"/>
        <v>35.991157775413882</v>
      </c>
      <c r="G128" s="110">
        <f t="shared" si="47"/>
        <v>0.86556237419500648</v>
      </c>
      <c r="H128" s="414" t="b">
        <f>Wh_hp&gt;='2018'!Maxi_hp</f>
        <v>1</v>
      </c>
      <c r="I128" s="390">
        <f>IF(H128,Wh_hp,'2018'!Maxi_hp)</f>
        <v>35.991157775413882</v>
      </c>
      <c r="J128" s="85">
        <f>IF(H128,An,'2018'!An_max)</f>
        <v>2019</v>
      </c>
      <c r="K128" s="197">
        <f t="shared" si="26"/>
        <v>43579</v>
      </c>
      <c r="L128" s="147">
        <f>IF(t&lt;Tvie,1-EXP((T0-t)*PertePVj)+'2018'!Pspv,1-EXP((T0-t)*PertePVj)+Pspv)</f>
        <v>8.0712891378997842E-3</v>
      </c>
      <c r="M128" s="850"/>
      <c r="N128" s="850"/>
      <c r="O128" s="48">
        <f>IF(t&lt;Tnet,'2018'!Resal+('2018'!Salim-'2018'!Resal)*(1-EXP(('2018'!Tnet-t)/('2018'!Tau_j))),Resal+(Salim-Resal)*(1-EXP((Tnet-t)/(Tau_j))))*Salcycl</f>
        <v>5.6123964686482307E-2</v>
      </c>
      <c r="P128" s="169">
        <f>(INDEX(Models!$BJ128:$BT128,,T128)*(1-R128)+INDEX(Models!$BJ128:$BT128,,T128+1)*R128-ERP_i)*Q128*Ramure*Pc/MaxiM</f>
        <v>0</v>
      </c>
      <c r="Q128" s="305">
        <f t="shared" si="27"/>
        <v>0.7</v>
      </c>
      <c r="R128" s="177">
        <f t="shared" si="28"/>
        <v>0.5511474195008419</v>
      </c>
      <c r="S128" s="817">
        <f t="shared" si="29"/>
        <v>-2</v>
      </c>
      <c r="T128" s="176">
        <f t="shared" si="30"/>
        <v>4</v>
      </c>
      <c r="U128" s="251">
        <f t="shared" si="31"/>
        <v>-1.4488525804991581</v>
      </c>
      <c r="V128" s="383">
        <f t="shared" si="32"/>
        <v>38.930758781351841</v>
      </c>
      <c r="W128" s="58"/>
      <c r="X128" s="157">
        <f t="shared" si="33"/>
        <v>43579</v>
      </c>
      <c r="Y128" s="385">
        <f t="shared" si="34"/>
        <v>33.697000000000003</v>
      </c>
      <c r="Z128" s="385">
        <f t="shared" si="35"/>
        <v>33.971191307400943</v>
      </c>
      <c r="AA128" s="386">
        <f t="shared" si="36"/>
        <v>35.991157775413882</v>
      </c>
      <c r="AB128" s="197">
        <f t="shared" si="37"/>
        <v>43579</v>
      </c>
      <c r="AC128" s="427">
        <f>IF(OR(t&lt;Tnet,NoTnet),'2018'!Resal_s+('2018'!Salim-'2018'!Resal_s)*(1-EXP(('2018'!Tnet_s-t)/'2018'!Tau_j)),Resal_s+(Salim-Resal_s)*(1-EXP((Tnet_s-t)/Tau_j)))*Salcycl</f>
        <v>5.6123964686482307E-2</v>
      </c>
      <c r="AD128" s="231">
        <f>(INDEX(Models!$BJ128:$BT128,,AH128)*(1-AF128)+INDEX(Models!$BJ128:$BT128,,AH128+1)*AF128-ERP_i)*AE128*Ramure*Pc/MaxiM</f>
        <v>0</v>
      </c>
      <c r="AE128" s="305">
        <f t="shared" si="38"/>
        <v>0.7</v>
      </c>
      <c r="AF128" s="177">
        <f t="shared" si="39"/>
        <v>0.5511474195008419</v>
      </c>
      <c r="AG128" s="176">
        <f t="shared" si="40"/>
        <v>-2</v>
      </c>
      <c r="AH128" s="176">
        <f t="shared" si="41"/>
        <v>4</v>
      </c>
      <c r="AI128" s="225">
        <f t="shared" si="42"/>
        <v>-1.4488525804991581</v>
      </c>
      <c r="AJ128" s="265" t="b">
        <f t="shared" si="43"/>
        <v>0</v>
      </c>
      <c r="AK128" s="265" t="b">
        <f t="shared" si="44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5"/>
        <v>43580</v>
      </c>
      <c r="B129" s="617">
        <v>23.175999999999998</v>
      </c>
      <c r="C129" s="390"/>
      <c r="D129" s="393">
        <f t="shared" si="24"/>
        <v>23.365094054848832</v>
      </c>
      <c r="E129" s="385">
        <f t="shared" si="46"/>
        <v>24.75810010670024</v>
      </c>
      <c r="F129" s="385">
        <f t="shared" si="25"/>
        <v>24.75810010670024</v>
      </c>
      <c r="G129" s="110">
        <f t="shared" si="47"/>
        <v>0.59357197035701648</v>
      </c>
      <c r="H129" s="414" t="b">
        <f>Wh_hp&gt;='2018'!Maxi_hp</f>
        <v>1</v>
      </c>
      <c r="I129" s="390">
        <f>IF(H129,Wh_hp,'2018'!Maxi_hp)</f>
        <v>24.75810010670024</v>
      </c>
      <c r="J129" s="85">
        <f>IF(H129,An,'2018'!An_max)</f>
        <v>2019</v>
      </c>
      <c r="K129" s="197">
        <f t="shared" si="26"/>
        <v>43580</v>
      </c>
      <c r="L129" s="147">
        <f>IF(t&lt;Tvie,1-EXP((T0-t)*PertePVj)+'2018'!Pspv,1-EXP((T0-t)*PertePVj)+Pspv)</f>
        <v>8.0930149223855663E-3</v>
      </c>
      <c r="M129" s="850"/>
      <c r="N129" s="850"/>
      <c r="O129" s="48">
        <f>IF(t&lt;Tnet,'2018'!Resal+('2018'!Salim-'2018'!Resal)*(1-EXP(('2018'!Tnet-t)/('2018'!Tau_j))),Resal+(Salim-Resal)*(1-EXP((Tnet-t)/(Tau_j))))*Salcycl</f>
        <v>5.6264658671221025E-2</v>
      </c>
      <c r="P129" s="169">
        <f>(INDEX(Models!$BJ129:$BT129,,T129)*(1-R129)+INDEX(Models!$BJ129:$BT129,,T129+1)*R129-ERP_i)*Q129*Ramure*Pc/MaxiM</f>
        <v>0</v>
      </c>
      <c r="Q129" s="305">
        <f t="shared" si="27"/>
        <v>0.7</v>
      </c>
      <c r="R129" s="177">
        <f t="shared" si="28"/>
        <v>0.5529908952332887</v>
      </c>
      <c r="S129" s="817">
        <f t="shared" si="29"/>
        <v>-2</v>
      </c>
      <c r="T129" s="176">
        <f t="shared" si="30"/>
        <v>4</v>
      </c>
      <c r="U129" s="251">
        <f t="shared" si="31"/>
        <v>-1.4470091047667113</v>
      </c>
      <c r="V129" s="383">
        <f t="shared" si="32"/>
        <v>39.044970378335584</v>
      </c>
      <c r="W129" s="58"/>
      <c r="X129" s="157">
        <f t="shared" si="33"/>
        <v>43580</v>
      </c>
      <c r="Y129" s="385">
        <f t="shared" si="34"/>
        <v>23.175999999999998</v>
      </c>
      <c r="Z129" s="385">
        <f t="shared" si="35"/>
        <v>23.365094054848832</v>
      </c>
      <c r="AA129" s="386">
        <f t="shared" si="36"/>
        <v>24.75810010670024</v>
      </c>
      <c r="AB129" s="197">
        <f t="shared" si="37"/>
        <v>43580</v>
      </c>
      <c r="AC129" s="427">
        <f>IF(OR(t&lt;Tnet,NoTnet),'2018'!Resal_s+('2018'!Salim-'2018'!Resal_s)*(1-EXP(('2018'!Tnet_s-t)/'2018'!Tau_j)),Resal_s+(Salim-Resal_s)*(1-EXP((Tnet_s-t)/Tau_j)))*Salcycl</f>
        <v>5.6264658671221025E-2</v>
      </c>
      <c r="AD129" s="231">
        <f>(INDEX(Models!$BJ129:$BT129,,AH129)*(1-AF129)+INDEX(Models!$BJ129:$BT129,,AH129+1)*AF129-ERP_i)*AE129*Ramure*Pc/MaxiM</f>
        <v>0</v>
      </c>
      <c r="AE129" s="305">
        <f t="shared" si="38"/>
        <v>0.7</v>
      </c>
      <c r="AF129" s="177">
        <f t="shared" si="39"/>
        <v>0.5529908952332887</v>
      </c>
      <c r="AG129" s="176">
        <f t="shared" si="40"/>
        <v>-2</v>
      </c>
      <c r="AH129" s="176">
        <f t="shared" si="41"/>
        <v>4</v>
      </c>
      <c r="AI129" s="225">
        <f t="shared" si="42"/>
        <v>-1.4470091047667113</v>
      </c>
      <c r="AJ129" s="265" t="b">
        <f t="shared" si="43"/>
        <v>0</v>
      </c>
      <c r="AK129" s="265" t="b">
        <f t="shared" si="44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5"/>
        <v>43581</v>
      </c>
      <c r="B130" s="617">
        <v>22.399000000000001</v>
      </c>
      <c r="C130" s="390"/>
      <c r="D130" s="393">
        <f t="shared" si="24"/>
        <v>22.582249085158271</v>
      </c>
      <c r="E130" s="385">
        <f t="shared" si="46"/>
        <v>23.932169071813789</v>
      </c>
      <c r="F130" s="385">
        <f t="shared" si="25"/>
        <v>23.932169071813789</v>
      </c>
      <c r="G130" s="110">
        <f t="shared" si="47"/>
        <v>0.57205337296205316</v>
      </c>
      <c r="H130" s="414" t="b">
        <f>Wh_hp&gt;='2018'!Maxi_hp</f>
        <v>1</v>
      </c>
      <c r="I130" s="390">
        <f>IF(H130,Wh_hp,'2018'!Maxi_hp)</f>
        <v>23.932169071813789</v>
      </c>
      <c r="J130" s="85">
        <f>IF(H130,An,'2018'!An_max)</f>
        <v>2019</v>
      </c>
      <c r="K130" s="197">
        <f t="shared" si="26"/>
        <v>43581</v>
      </c>
      <c r="L130" s="147">
        <f>IF(t&lt;Tvie,1-EXP((T0-t)*PertePVj)+'2018'!Pspv,1-EXP((T0-t)*PertePVj)+Pspv)</f>
        <v>8.1147402310209893E-3</v>
      </c>
      <c r="M130" s="850"/>
      <c r="N130" s="850"/>
      <c r="O130" s="48">
        <f>IF(t&lt;Tnet,'2018'!Resal+('2018'!Salim-'2018'!Resal)*(1-EXP(('2018'!Tnet-t)/('2018'!Tau_j))),Resal+(Salim-Resal)*(1-EXP((Tnet-t)/(Tau_j))))*Salcycl</f>
        <v>5.6406085992656285E-2</v>
      </c>
      <c r="P130" s="169">
        <f>(INDEX(Models!$BJ130:$BT130,,T130)*(1-R130)+INDEX(Models!$BJ130:$BT130,,T130+1)*R130-ERP_i)*Q130*Ramure*Pc/MaxiM</f>
        <v>0</v>
      </c>
      <c r="Q130" s="305">
        <f t="shared" si="27"/>
        <v>0.7</v>
      </c>
      <c r="R130" s="177">
        <f t="shared" si="28"/>
        <v>0.55489110323383062</v>
      </c>
      <c r="S130" s="817">
        <f t="shared" si="29"/>
        <v>-2</v>
      </c>
      <c r="T130" s="176">
        <f t="shared" si="30"/>
        <v>4</v>
      </c>
      <c r="U130" s="251">
        <f t="shared" si="31"/>
        <v>-1.4451088967661694</v>
      </c>
      <c r="V130" s="383">
        <f t="shared" si="32"/>
        <v>39.155437339735471</v>
      </c>
      <c r="W130" s="58"/>
      <c r="X130" s="157">
        <f t="shared" si="33"/>
        <v>43581</v>
      </c>
      <c r="Y130" s="385">
        <f t="shared" si="34"/>
        <v>22.399000000000001</v>
      </c>
      <c r="Z130" s="385">
        <f t="shared" si="35"/>
        <v>22.582249085158271</v>
      </c>
      <c r="AA130" s="386">
        <f t="shared" si="36"/>
        <v>23.932169071813789</v>
      </c>
      <c r="AB130" s="197">
        <f t="shared" si="37"/>
        <v>43581</v>
      </c>
      <c r="AC130" s="427">
        <f>IF(OR(t&lt;Tnet,NoTnet),'2018'!Resal_s+('2018'!Salim-'2018'!Resal_s)*(1-EXP(('2018'!Tnet_s-t)/'2018'!Tau_j)),Resal_s+(Salim-Resal_s)*(1-EXP((Tnet_s-t)/Tau_j)))*Salcycl</f>
        <v>5.6406085992656285E-2</v>
      </c>
      <c r="AD130" s="231">
        <f>(INDEX(Models!$BJ130:$BT130,,AH130)*(1-AF130)+INDEX(Models!$BJ130:$BT130,,AH130+1)*AF130-ERP_i)*AE130*Ramure*Pc/MaxiM</f>
        <v>0</v>
      </c>
      <c r="AE130" s="305">
        <f t="shared" si="38"/>
        <v>0.7</v>
      </c>
      <c r="AF130" s="177">
        <f t="shared" si="39"/>
        <v>0.55489110323383062</v>
      </c>
      <c r="AG130" s="176">
        <f t="shared" si="40"/>
        <v>-2</v>
      </c>
      <c r="AH130" s="176">
        <f t="shared" si="41"/>
        <v>4</v>
      </c>
      <c r="AI130" s="225">
        <f t="shared" si="42"/>
        <v>-1.4451088967661694</v>
      </c>
      <c r="AJ130" s="265" t="b">
        <f t="shared" si="43"/>
        <v>0</v>
      </c>
      <c r="AK130" s="265" t="b">
        <f t="shared" si="44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5"/>
        <v>43582</v>
      </c>
      <c r="B131" s="617">
        <v>20.82</v>
      </c>
      <c r="C131" s="390"/>
      <c r="D131" s="393">
        <f t="shared" si="24"/>
        <v>20.990790836301443</v>
      </c>
      <c r="E131" s="385">
        <f t="shared" si="46"/>
        <v>22.248928801884318</v>
      </c>
      <c r="F131" s="385">
        <f t="shared" si="25"/>
        <v>22.248928801884318</v>
      </c>
      <c r="G131" s="110">
        <f t="shared" si="47"/>
        <v>0.5302842633554421</v>
      </c>
      <c r="H131" s="414" t="b">
        <f>Wh_hp&gt;='2018'!Maxi_hp</f>
        <v>1</v>
      </c>
      <c r="I131" s="390">
        <f>IF(H131,Wh_hp,'2018'!Maxi_hp)</f>
        <v>22.248928801884318</v>
      </c>
      <c r="J131" s="85">
        <f>IF(H131,An,'2018'!An_max)</f>
        <v>2019</v>
      </c>
      <c r="K131" s="197">
        <f t="shared" si="26"/>
        <v>43582</v>
      </c>
      <c r="L131" s="147">
        <f>IF(t&lt;Tvie,1-EXP((T0-t)*PertePVj)+'2018'!Pspv,1-EXP((T0-t)*PertePVj)+Pspv)</f>
        <v>8.1364650638162672E-3</v>
      </c>
      <c r="M131" s="850"/>
      <c r="N131" s="850"/>
      <c r="O131" s="48">
        <f>IF(t&lt;Tnet,'2018'!Resal+('2018'!Salim-'2018'!Resal)*(1-EXP(('2018'!Tnet-t)/('2018'!Tau_j))),Resal+(Salim-Resal)*(1-EXP((Tnet-t)/(Tau_j))))*Salcycl</f>
        <v>5.654824898699487E-2</v>
      </c>
      <c r="P131" s="169">
        <f>(INDEX(Models!$BJ131:$BT131,,T131)*(1-R131)+INDEX(Models!$BJ131:$BT131,,T131+1)*R131-ERP_i)*Q131*Ramure*Pc/MaxiM</f>
        <v>0</v>
      </c>
      <c r="Q131" s="305">
        <f t="shared" si="27"/>
        <v>0.7</v>
      </c>
      <c r="R131" s="177">
        <f t="shared" si="28"/>
        <v>0.5568490238874888</v>
      </c>
      <c r="S131" s="817">
        <f t="shared" si="29"/>
        <v>-2</v>
      </c>
      <c r="T131" s="176">
        <f t="shared" si="30"/>
        <v>4</v>
      </c>
      <c r="U131" s="251">
        <f t="shared" si="31"/>
        <v>-1.4431509761125112</v>
      </c>
      <c r="V131" s="383">
        <f t="shared" si="32"/>
        <v>39.261960874076792</v>
      </c>
      <c r="W131" s="58"/>
      <c r="X131" s="157">
        <f t="shared" si="33"/>
        <v>43582</v>
      </c>
      <c r="Y131" s="385">
        <f t="shared" si="34"/>
        <v>20.82</v>
      </c>
      <c r="Z131" s="385">
        <f t="shared" si="35"/>
        <v>20.990790836301443</v>
      </c>
      <c r="AA131" s="386">
        <f t="shared" si="36"/>
        <v>22.248928801884318</v>
      </c>
      <c r="AB131" s="197">
        <f t="shared" si="37"/>
        <v>43582</v>
      </c>
      <c r="AC131" s="427">
        <f>IF(OR(t&lt;Tnet,NoTnet),'2018'!Resal_s+('2018'!Salim-'2018'!Resal_s)*(1-EXP(('2018'!Tnet_s-t)/'2018'!Tau_j)),Resal_s+(Salim-Resal_s)*(1-EXP((Tnet_s-t)/Tau_j)))*Salcycl</f>
        <v>5.654824898699487E-2</v>
      </c>
      <c r="AD131" s="231">
        <f>(INDEX(Models!$BJ131:$BT131,,AH131)*(1-AF131)+INDEX(Models!$BJ131:$BT131,,AH131+1)*AF131-ERP_i)*AE131*Ramure*Pc/MaxiM</f>
        <v>0</v>
      </c>
      <c r="AE131" s="305">
        <f t="shared" si="38"/>
        <v>0.7</v>
      </c>
      <c r="AF131" s="177">
        <f t="shared" si="39"/>
        <v>0.5568490238874888</v>
      </c>
      <c r="AG131" s="176">
        <f t="shared" si="40"/>
        <v>-2</v>
      </c>
      <c r="AH131" s="176">
        <f t="shared" si="41"/>
        <v>4</v>
      </c>
      <c r="AI131" s="225">
        <f t="shared" si="42"/>
        <v>-1.4431509761125112</v>
      </c>
      <c r="AJ131" s="265" t="b">
        <f t="shared" si="43"/>
        <v>0</v>
      </c>
      <c r="AK131" s="265" t="b">
        <f t="shared" si="44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5"/>
        <v>43583</v>
      </c>
      <c r="B132" s="617">
        <v>29.155999999999999</v>
      </c>
      <c r="C132" s="390"/>
      <c r="D132" s="393">
        <f t="shared" si="24"/>
        <v>29.395816640330391</v>
      </c>
      <c r="E132" s="385">
        <f t="shared" si="46"/>
        <v>31.162451823892468</v>
      </c>
      <c r="F132" s="385">
        <f t="shared" si="25"/>
        <v>31.162451823892468</v>
      </c>
      <c r="G132" s="110">
        <f t="shared" si="47"/>
        <v>0.74067031779625825</v>
      </c>
      <c r="H132" s="414" t="b">
        <f>Wh_hp&gt;='2018'!Maxi_hp</f>
        <v>1</v>
      </c>
      <c r="I132" s="390">
        <f>IF(H132,Wh_hp,'2018'!Maxi_hp)</f>
        <v>31.162451823892468</v>
      </c>
      <c r="J132" s="85">
        <f>IF(H132,An,'2018'!An_max)</f>
        <v>2019</v>
      </c>
      <c r="K132" s="197">
        <f t="shared" si="26"/>
        <v>43583</v>
      </c>
      <c r="L132" s="147">
        <f>IF(t&lt;Tvie,1-EXP((T0-t)*PertePVj)+'2018'!Pspv,1-EXP((T0-t)*PertePVj)+Pspv)</f>
        <v>8.1581894207820582E-3</v>
      </c>
      <c r="M132" s="850"/>
      <c r="N132" s="850"/>
      <c r="O132" s="48">
        <f>IF(t&lt;Tnet,'2018'!Resal+('2018'!Salim-'2018'!Resal)*(1-EXP(('2018'!Tnet-t)/('2018'!Tau_j))),Resal+(Salim-Resal)*(1-EXP((Tnet-t)/(Tau_j))))*Salcycl</f>
        <v>5.6691148486833286E-2</v>
      </c>
      <c r="P132" s="169">
        <f>(INDEX(Models!$BJ132:$BT132,,T132)*(1-R132)+INDEX(Models!$BJ132:$BT132,,T132+1)*R132-ERP_i)*Q132*Ramure*Pc/MaxiM</f>
        <v>0</v>
      </c>
      <c r="Q132" s="305">
        <f t="shared" si="27"/>
        <v>0.7</v>
      </c>
      <c r="R132" s="177">
        <f t="shared" si="28"/>
        <v>0.55886559762001276</v>
      </c>
      <c r="S132" s="817">
        <f t="shared" si="29"/>
        <v>-2</v>
      </c>
      <c r="T132" s="176">
        <f t="shared" si="30"/>
        <v>4</v>
      </c>
      <c r="U132" s="251">
        <f t="shared" si="31"/>
        <v>-1.4411344023799872</v>
      </c>
      <c r="V132" s="383">
        <f t="shared" si="32"/>
        <v>39.364342406414828</v>
      </c>
      <c r="W132" s="58"/>
      <c r="X132" s="157">
        <f t="shared" si="33"/>
        <v>43583</v>
      </c>
      <c r="Y132" s="385">
        <f t="shared" si="34"/>
        <v>29.155999999999999</v>
      </c>
      <c r="Z132" s="385">
        <f t="shared" si="35"/>
        <v>29.395816640330391</v>
      </c>
      <c r="AA132" s="386">
        <f t="shared" si="36"/>
        <v>31.162451823892468</v>
      </c>
      <c r="AB132" s="197">
        <f t="shared" si="37"/>
        <v>43583</v>
      </c>
      <c r="AC132" s="427">
        <f>IF(OR(t&lt;Tnet,NoTnet),'2018'!Resal_s+('2018'!Salim-'2018'!Resal_s)*(1-EXP(('2018'!Tnet_s-t)/'2018'!Tau_j)),Resal_s+(Salim-Resal_s)*(1-EXP((Tnet_s-t)/Tau_j)))*Salcycl</f>
        <v>5.6691148486833286E-2</v>
      </c>
      <c r="AD132" s="231">
        <f>(INDEX(Models!$BJ132:$BT132,,AH132)*(1-AF132)+INDEX(Models!$BJ132:$BT132,,AH132+1)*AF132-ERP_i)*AE132*Ramure*Pc/MaxiM</f>
        <v>0</v>
      </c>
      <c r="AE132" s="305">
        <f t="shared" si="38"/>
        <v>0.7</v>
      </c>
      <c r="AF132" s="177">
        <f t="shared" si="39"/>
        <v>0.55886559762001276</v>
      </c>
      <c r="AG132" s="176">
        <f t="shared" si="40"/>
        <v>-2</v>
      </c>
      <c r="AH132" s="176">
        <f t="shared" si="41"/>
        <v>4</v>
      </c>
      <c r="AI132" s="225">
        <f t="shared" si="42"/>
        <v>-1.4411344023799872</v>
      </c>
      <c r="AJ132" s="265" t="b">
        <f t="shared" si="43"/>
        <v>0</v>
      </c>
      <c r="AK132" s="265" t="b">
        <f t="shared" si="44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5"/>
        <v>43584</v>
      </c>
      <c r="B133" s="617">
        <v>37.158999999999999</v>
      </c>
      <c r="C133" s="390"/>
      <c r="D133" s="393">
        <f t="shared" si="24"/>
        <v>37.46546424937641</v>
      </c>
      <c r="E133" s="385">
        <f t="shared" si="46"/>
        <v>39.72311913554482</v>
      </c>
      <c r="F133" s="385">
        <f t="shared" si="25"/>
        <v>39.72311913554482</v>
      </c>
      <c r="G133" s="110">
        <f t="shared" si="47"/>
        <v>0.9416309057583393</v>
      </c>
      <c r="H133" s="414" t="b">
        <f>Wh_hp&gt;='2018'!Maxi_hp</f>
        <v>1</v>
      </c>
      <c r="I133" s="390">
        <f>IF(H133,Wh_hp,'2018'!Maxi_hp)</f>
        <v>39.72311913554482</v>
      </c>
      <c r="J133" s="85">
        <f>IF(H133,An,'2018'!An_max)</f>
        <v>2019</v>
      </c>
      <c r="K133" s="197">
        <f t="shared" si="26"/>
        <v>43584</v>
      </c>
      <c r="L133" s="147">
        <f>IF(t&lt;Tvie,1-EXP((T0-t)*PertePVj)+'2018'!Pspv,1-EXP((T0-t)*PertePVj)+Pspv)</f>
        <v>8.1799133019286874E-3</v>
      </c>
      <c r="M133" s="850"/>
      <c r="N133" s="850"/>
      <c r="O133" s="48">
        <f>IF(t&lt;Tnet,'2018'!Resal+('2018'!Salim-'2018'!Resal)*(1-EXP(('2018'!Tnet-t)/('2018'!Tau_j))),Resal+(Salim-Resal)*(1-EXP((Tnet-t)/(Tau_j))))*Salcycl</f>
        <v>5.683478375564497E-2</v>
      </c>
      <c r="P133" s="169">
        <f>(INDEX(Models!$BJ133:$BT133,,T133)*(1-R133)+INDEX(Models!$BJ133:$BT133,,T133+1)*R133-ERP_i)*Q133*Ramure*Pc/MaxiM</f>
        <v>0</v>
      </c>
      <c r="Q133" s="305">
        <f t="shared" si="27"/>
        <v>0.7</v>
      </c>
      <c r="R133" s="177">
        <f t="shared" si="28"/>
        <v>0.5609417200363549</v>
      </c>
      <c r="S133" s="817">
        <f t="shared" si="29"/>
        <v>-2</v>
      </c>
      <c r="T133" s="176">
        <f t="shared" si="30"/>
        <v>4</v>
      </c>
      <c r="U133" s="251">
        <f t="shared" si="31"/>
        <v>-1.4390582799636451</v>
      </c>
      <c r="V133" s="383">
        <f t="shared" si="32"/>
        <v>39.462383586564762</v>
      </c>
      <c r="W133" s="58"/>
      <c r="X133" s="157">
        <f t="shared" si="33"/>
        <v>43584</v>
      </c>
      <c r="Y133" s="385">
        <f t="shared" si="34"/>
        <v>37.158999999999999</v>
      </c>
      <c r="Z133" s="385">
        <f t="shared" si="35"/>
        <v>37.46546424937641</v>
      </c>
      <c r="AA133" s="386">
        <f t="shared" si="36"/>
        <v>39.72311913554482</v>
      </c>
      <c r="AB133" s="197">
        <f t="shared" si="37"/>
        <v>43584</v>
      </c>
      <c r="AC133" s="427">
        <f>IF(OR(t&lt;Tnet,NoTnet),'2018'!Resal_s+('2018'!Salim-'2018'!Resal_s)*(1-EXP(('2018'!Tnet_s-t)/'2018'!Tau_j)),Resal_s+(Salim-Resal_s)*(1-EXP((Tnet_s-t)/Tau_j)))*Salcycl</f>
        <v>5.683478375564497E-2</v>
      </c>
      <c r="AD133" s="231">
        <f>(INDEX(Models!$BJ133:$BT133,,AH133)*(1-AF133)+INDEX(Models!$BJ133:$BT133,,AH133+1)*AF133-ERP_i)*AE133*Ramure*Pc/MaxiM</f>
        <v>0</v>
      </c>
      <c r="AE133" s="305">
        <f t="shared" si="38"/>
        <v>0.7</v>
      </c>
      <c r="AF133" s="177">
        <f t="shared" si="39"/>
        <v>0.5609417200363549</v>
      </c>
      <c r="AG133" s="176">
        <f t="shared" si="40"/>
        <v>-2</v>
      </c>
      <c r="AH133" s="176">
        <f t="shared" si="41"/>
        <v>4</v>
      </c>
      <c r="AI133" s="225">
        <f t="shared" si="42"/>
        <v>-1.4390582799636451</v>
      </c>
      <c r="AJ133" s="265" t="b">
        <f t="shared" si="43"/>
        <v>0</v>
      </c>
      <c r="AK133" s="265" t="b">
        <f t="shared" si="44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5"/>
        <v>43585</v>
      </c>
      <c r="B134" s="617">
        <v>40.408999999999999</v>
      </c>
      <c r="C134" s="390"/>
      <c r="D134" s="393">
        <f t="shared" si="24"/>
        <v>40.743160601559808</v>
      </c>
      <c r="E134" s="385">
        <f t="shared" si="46"/>
        <v>43.204941551644787</v>
      </c>
      <c r="F134" s="385">
        <f t="shared" si="25"/>
        <v>43.204941551644787</v>
      </c>
      <c r="G134" s="110">
        <f t="shared" si="47"/>
        <v>1.0215673010670145</v>
      </c>
      <c r="H134" s="414" t="b">
        <f>Wh_hp&gt;='2018'!Maxi_hp</f>
        <v>1</v>
      </c>
      <c r="I134" s="390">
        <f>IF(H134,Wh_hp,'2018'!Maxi_hp)</f>
        <v>43.204941551644787</v>
      </c>
      <c r="J134" s="85">
        <f>IF(H134,An,'2018'!An_max)</f>
        <v>2019</v>
      </c>
      <c r="K134" s="197">
        <f t="shared" si="26"/>
        <v>43585</v>
      </c>
      <c r="L134" s="147">
        <f>IF(t&lt;Tvie,1-EXP((T0-t)*PertePVj)+'2018'!Pspv,1-EXP((T0-t)*PertePVj)+Pspv)</f>
        <v>8.2016367072664798E-3</v>
      </c>
      <c r="M134" s="850"/>
      <c r="N134" s="850"/>
      <c r="O134" s="48">
        <f>IF(t&lt;Tnet,'2018'!Resal+('2018'!Salim-'2018'!Resal)*(1-EXP(('2018'!Tnet-t)/('2018'!Tau_j))),Resal+(Salim-Resal)*(1-EXP((Tnet-t)/(Tau_j))))*Salcycl</f>
        <v>5.6979152422699263E-2</v>
      </c>
      <c r="P134" s="169">
        <f>(INDEX(Models!$BJ134:$BT134,,T134)*(1-R134)+INDEX(Models!$BJ134:$BT134,,T134+1)*R134-ERP_i)*Q134*Ramure*Pc/MaxiM</f>
        <v>0</v>
      </c>
      <c r="Q134" s="305">
        <f t="shared" si="27"/>
        <v>0.7</v>
      </c>
      <c r="R134" s="177">
        <f t="shared" si="28"/>
        <v>0.5630782368943108</v>
      </c>
      <c r="S134" s="817">
        <f t="shared" si="29"/>
        <v>-2</v>
      </c>
      <c r="T134" s="176">
        <f t="shared" si="30"/>
        <v>4</v>
      </c>
      <c r="U134" s="251">
        <f t="shared" si="31"/>
        <v>-1.4369217631056892</v>
      </c>
      <c r="V134" s="383">
        <f t="shared" si="32"/>
        <v>39.555886291381185</v>
      </c>
      <c r="W134" s="58"/>
      <c r="X134" s="157">
        <f t="shared" si="33"/>
        <v>43585</v>
      </c>
      <c r="Y134" s="385">
        <f t="shared" si="34"/>
        <v>40.408999999999999</v>
      </c>
      <c r="Z134" s="385">
        <f t="shared" si="35"/>
        <v>40.743160601559808</v>
      </c>
      <c r="AA134" s="386">
        <f t="shared" si="36"/>
        <v>43.204941551644787</v>
      </c>
      <c r="AB134" s="197">
        <f t="shared" si="37"/>
        <v>43585</v>
      </c>
      <c r="AC134" s="427">
        <f>IF(OR(t&lt;Tnet,NoTnet),'2018'!Resal_s+('2018'!Salim-'2018'!Resal_s)*(1-EXP(('2018'!Tnet_s-t)/'2018'!Tau_j)),Resal_s+(Salim-Resal_s)*(1-EXP((Tnet_s-t)/Tau_j)))*Salcycl</f>
        <v>5.6979152422699263E-2</v>
      </c>
      <c r="AD134" s="231">
        <f>(INDEX(Models!$BJ134:$BT134,,AH134)*(1-AF134)+INDEX(Models!$BJ134:$BT134,,AH134+1)*AF134-ERP_i)*AE134*Ramure*Pc/MaxiM</f>
        <v>0</v>
      </c>
      <c r="AE134" s="305">
        <f t="shared" si="38"/>
        <v>0.7</v>
      </c>
      <c r="AF134" s="177">
        <f t="shared" si="39"/>
        <v>0.5630782368943108</v>
      </c>
      <c r="AG134" s="176">
        <f t="shared" si="40"/>
        <v>-2</v>
      </c>
      <c r="AH134" s="176">
        <f t="shared" si="41"/>
        <v>4</v>
      </c>
      <c r="AI134" s="225">
        <f t="shared" si="42"/>
        <v>-1.4369217631056892</v>
      </c>
      <c r="AJ134" s="265" t="b">
        <f t="shared" si="43"/>
        <v>0</v>
      </c>
      <c r="AK134" s="265" t="b">
        <f t="shared" si="44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5"/>
        <v>43586</v>
      </c>
      <c r="B135" s="617">
        <v>37.661000000000001</v>
      </c>
      <c r="C135" s="390"/>
      <c r="D135" s="393">
        <f t="shared" si="24"/>
        <v>37.973267838016774</v>
      </c>
      <c r="E135" s="385">
        <f t="shared" si="46"/>
        <v>40.273883228930465</v>
      </c>
      <c r="F135" s="385">
        <f t="shared" si="25"/>
        <v>40.273883228930465</v>
      </c>
      <c r="G135" s="110">
        <f t="shared" si="47"/>
        <v>0.94994699408578709</v>
      </c>
      <c r="H135" s="414" t="b">
        <f>Wh_hp&gt;='2018'!Maxi_hp</f>
        <v>1</v>
      </c>
      <c r="I135" s="390">
        <f>IF(H135,Wh_hp,'2018'!Maxi_hp)</f>
        <v>40.273883228930465</v>
      </c>
      <c r="J135" s="85">
        <f>IF(H135,An,'2018'!An_max)</f>
        <v>2019</v>
      </c>
      <c r="K135" s="197">
        <f t="shared" si="26"/>
        <v>43586</v>
      </c>
      <c r="L135" s="147">
        <f>IF(t&lt;Tvie,1-EXP((T0-t)*PertePVj)+'2018'!Pspv,1-EXP((T0-t)*PertePVj)+Pspv)</f>
        <v>8.2233596368059825E-3</v>
      </c>
      <c r="M135" s="850"/>
      <c r="N135" s="850"/>
      <c r="O135" s="48">
        <f>IF(t&lt;Tnet,'2018'!Resal+('2018'!Salim-'2018'!Resal)*(1-EXP(('2018'!Tnet-t)/('2018'!Tau_j))),Resal+(Salim-Resal)*(1-EXP((Tnet-t)/(Tau_j))))*Salcycl</f>
        <v>5.7124250418967758E-2</v>
      </c>
      <c r="P135" s="169">
        <f>(INDEX(Models!$BJ135:$BT135,,T135)*(1-R135)+INDEX(Models!$BJ135:$BT135,,T135+1)*R135-ERP_i)*Q135*Ramure*Pc/MaxiM</f>
        <v>0</v>
      </c>
      <c r="Q135" s="305">
        <f t="shared" si="27"/>
        <v>0.7</v>
      </c>
      <c r="R135" s="177">
        <f t="shared" si="28"/>
        <v>0.5652759389282016</v>
      </c>
      <c r="S135" s="817">
        <f t="shared" si="29"/>
        <v>-2</v>
      </c>
      <c r="T135" s="176">
        <f t="shared" si="30"/>
        <v>4</v>
      </c>
      <c r="U135" s="251">
        <f t="shared" si="31"/>
        <v>-1.4347240610717984</v>
      </c>
      <c r="V135" s="383">
        <f t="shared" si="32"/>
        <v>39.645369935871337</v>
      </c>
      <c r="W135" s="58"/>
      <c r="X135" s="157">
        <f t="shared" si="33"/>
        <v>43586</v>
      </c>
      <c r="Y135" s="385">
        <f t="shared" si="34"/>
        <v>37.661000000000001</v>
      </c>
      <c r="Z135" s="385">
        <f t="shared" si="35"/>
        <v>37.973267838016774</v>
      </c>
      <c r="AA135" s="386">
        <f t="shared" si="36"/>
        <v>40.273883228930465</v>
      </c>
      <c r="AB135" s="197">
        <f t="shared" si="37"/>
        <v>43586</v>
      </c>
      <c r="AC135" s="427">
        <f>IF(OR(t&lt;Tnet,NoTnet),'2018'!Resal_s+('2018'!Salim-'2018'!Resal_s)*(1-EXP(('2018'!Tnet_s-t)/'2018'!Tau_j)),Resal_s+(Salim-Resal_s)*(1-EXP((Tnet_s-t)/Tau_j)))*Salcycl</f>
        <v>5.7124250418967758E-2</v>
      </c>
      <c r="AD135" s="231">
        <f>(INDEX(Models!$BJ135:$BT135,,AH135)*(1-AF135)+INDEX(Models!$BJ135:$BT135,,AH135+1)*AF135-ERP_i)*AE135*Ramure*Pc/MaxiM</f>
        <v>0</v>
      </c>
      <c r="AE135" s="305">
        <f t="shared" si="38"/>
        <v>0.7</v>
      </c>
      <c r="AF135" s="177">
        <f t="shared" si="39"/>
        <v>0.5652759389282016</v>
      </c>
      <c r="AG135" s="176">
        <f t="shared" si="40"/>
        <v>-2</v>
      </c>
      <c r="AH135" s="176">
        <f t="shared" si="41"/>
        <v>4</v>
      </c>
      <c r="AI135" s="225">
        <f t="shared" si="42"/>
        <v>-1.4347240610717984</v>
      </c>
      <c r="AJ135" s="265" t="b">
        <f t="shared" si="43"/>
        <v>0</v>
      </c>
      <c r="AK135" s="265" t="b">
        <f t="shared" si="44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5"/>
        <v>43587</v>
      </c>
      <c r="B136" s="617">
        <v>24.391999999999999</v>
      </c>
      <c r="C136" s="390"/>
      <c r="D136" s="393">
        <f t="shared" si="24"/>
        <v>24.594786029815527</v>
      </c>
      <c r="E136" s="385">
        <f t="shared" si="46"/>
        <v>26.088899160935565</v>
      </c>
      <c r="F136" s="385">
        <f t="shared" si="25"/>
        <v>26.088899160935565</v>
      </c>
      <c r="G136" s="110">
        <f t="shared" si="47"/>
        <v>0.61392217452126319</v>
      </c>
      <c r="H136" s="414" t="b">
        <f>Wh_hp&gt;='2018'!Maxi_hp</f>
        <v>1</v>
      </c>
      <c r="I136" s="390">
        <f>IF(H136,Wh_hp,'2018'!Maxi_hp)</f>
        <v>26.088899160935565</v>
      </c>
      <c r="J136" s="85">
        <f>IF(H136,An,'2018'!An_max)</f>
        <v>2019</v>
      </c>
      <c r="K136" s="197">
        <f t="shared" si="26"/>
        <v>43587</v>
      </c>
      <c r="L136" s="147">
        <f>IF(t&lt;Tvie,1-EXP((T0-t)*PertePVj)+'2018'!Pspv,1-EXP((T0-t)*PertePVj)+Pspv)</f>
        <v>8.2450820905576316E-3</v>
      </c>
      <c r="M136" s="850"/>
      <c r="N136" s="850"/>
      <c r="O136" s="48">
        <f>IF(t&lt;Tnet,'2018'!Resal+('2018'!Salim-'2018'!Resal)*(1-EXP(('2018'!Tnet-t)/('2018'!Tau_j))),Resal+(Salim-Resal)*(1-EXP((Tnet-t)/(Tau_j))))*Salcycl</f>
        <v>5.7270071914619546E-2</v>
      </c>
      <c r="P136" s="169">
        <f>(INDEX(Models!$BJ136:$BT136,,T136)*(1-R136)+INDEX(Models!$BJ136:$BT136,,T136+1)*R136-ERP_i)*Q136*Ramure*Pc/MaxiM</f>
        <v>0</v>
      </c>
      <c r="Q136" s="305">
        <f t="shared" si="27"/>
        <v>0.7</v>
      </c>
      <c r="R136" s="177">
        <f t="shared" si="28"/>
        <v>0.56753555654001642</v>
      </c>
      <c r="S136" s="817">
        <f t="shared" si="29"/>
        <v>-2</v>
      </c>
      <c r="T136" s="176">
        <f t="shared" si="30"/>
        <v>4</v>
      </c>
      <c r="U136" s="251">
        <f t="shared" si="31"/>
        <v>-1.4324644434599836</v>
      </c>
      <c r="V136" s="383">
        <f t="shared" si="32"/>
        <v>39.731420385687962</v>
      </c>
      <c r="W136" s="58"/>
      <c r="X136" s="157">
        <f t="shared" si="33"/>
        <v>43587</v>
      </c>
      <c r="Y136" s="385">
        <f t="shared" si="34"/>
        <v>24.391999999999999</v>
      </c>
      <c r="Z136" s="385">
        <f t="shared" si="35"/>
        <v>24.594786029815527</v>
      </c>
      <c r="AA136" s="386">
        <f t="shared" si="36"/>
        <v>26.088899160935565</v>
      </c>
      <c r="AB136" s="197">
        <f t="shared" si="37"/>
        <v>43587</v>
      </c>
      <c r="AC136" s="427">
        <f>IF(OR(t&lt;Tnet,NoTnet),'2018'!Resal_s+('2018'!Salim-'2018'!Resal_s)*(1-EXP(('2018'!Tnet_s-t)/'2018'!Tau_j)),Resal_s+(Salim-Resal_s)*(1-EXP((Tnet_s-t)/Tau_j)))*Salcycl</f>
        <v>5.7270071914619546E-2</v>
      </c>
      <c r="AD136" s="231">
        <f>(INDEX(Models!$BJ136:$BT136,,AH136)*(1-AF136)+INDEX(Models!$BJ136:$BT136,,AH136+1)*AF136-ERP_i)*AE136*Ramure*Pc/MaxiM</f>
        <v>0</v>
      </c>
      <c r="AE136" s="305">
        <f t="shared" si="38"/>
        <v>0.7</v>
      </c>
      <c r="AF136" s="177">
        <f t="shared" si="39"/>
        <v>0.56753555654001642</v>
      </c>
      <c r="AG136" s="176">
        <f t="shared" si="40"/>
        <v>-2</v>
      </c>
      <c r="AH136" s="176">
        <f t="shared" si="41"/>
        <v>4</v>
      </c>
      <c r="AI136" s="225">
        <f t="shared" si="42"/>
        <v>-1.4324644434599836</v>
      </c>
      <c r="AJ136" s="265" t="b">
        <f t="shared" si="43"/>
        <v>0</v>
      </c>
      <c r="AK136" s="265" t="b">
        <f t="shared" si="44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5"/>
        <v>43588</v>
      </c>
      <c r="B137" s="617">
        <v>13.984999999999999</v>
      </c>
      <c r="C137" s="390"/>
      <c r="D137" s="393">
        <f t="shared" si="24"/>
        <v>14.101574957229127</v>
      </c>
      <c r="E137" s="385">
        <f t="shared" si="46"/>
        <v>14.960559559764338</v>
      </c>
      <c r="F137" s="385">
        <f t="shared" si="25"/>
        <v>14.960559559764338</v>
      </c>
      <c r="G137" s="110">
        <f t="shared" si="47"/>
        <v>0.35125888524065185</v>
      </c>
      <c r="H137" s="414" t="b">
        <f>Wh_hp&gt;='2018'!Maxi_hp</f>
        <v>1</v>
      </c>
      <c r="I137" s="390">
        <f>IF(H137,Wh_hp,'2018'!Maxi_hp)</f>
        <v>14.960559559764338</v>
      </c>
      <c r="J137" s="85">
        <f>IF(H137,An,'2018'!An_max)</f>
        <v>2019</v>
      </c>
      <c r="K137" s="197">
        <f t="shared" si="26"/>
        <v>43588</v>
      </c>
      <c r="L137" s="147">
        <f>IF(t&lt;Tvie,1-EXP((T0-t)*PertePVj)+'2018'!Pspv,1-EXP((T0-t)*PertePVj)+Pspv)</f>
        <v>8.2668040685317523E-3</v>
      </c>
      <c r="M137" s="850"/>
      <c r="N137" s="850"/>
      <c r="O137" s="48">
        <f>IF(t&lt;Tnet,'2018'!Resal+('2018'!Salim-'2018'!Resal)*(1-EXP(('2018'!Tnet-t)/('2018'!Tau_j))),Resal+(Salim-Resal)*(1-EXP((Tnet-t)/(Tau_j))))*Salcycl</f>
        <v>5.7416609258747538E-2</v>
      </c>
      <c r="P137" s="169">
        <f>(INDEX(Models!$BJ137:$BT137,,T137)*(1-R137)+INDEX(Models!$BJ137:$BT137,,T137+1)*R137-ERP_i)*Q137*Ramure*Pc/MaxiM</f>
        <v>0</v>
      </c>
      <c r="Q137" s="305">
        <f t="shared" si="27"/>
        <v>0.7</v>
      </c>
      <c r="R137" s="177">
        <f t="shared" si="28"/>
        <v>0.56985775437805763</v>
      </c>
      <c r="S137" s="817">
        <f t="shared" si="29"/>
        <v>-2</v>
      </c>
      <c r="T137" s="176">
        <f t="shared" si="30"/>
        <v>4</v>
      </c>
      <c r="U137" s="251">
        <f t="shared" si="31"/>
        <v>-1.4301422456219424</v>
      </c>
      <c r="V137" s="383">
        <f t="shared" si="32"/>
        <v>39.813939483463038</v>
      </c>
      <c r="W137" s="58"/>
      <c r="X137" s="157">
        <f t="shared" si="33"/>
        <v>43588</v>
      </c>
      <c r="Y137" s="385">
        <f t="shared" si="34"/>
        <v>13.984999999999999</v>
      </c>
      <c r="Z137" s="385">
        <f t="shared" si="35"/>
        <v>14.101574957229127</v>
      </c>
      <c r="AA137" s="386">
        <f t="shared" si="36"/>
        <v>14.960559559764338</v>
      </c>
      <c r="AB137" s="197">
        <f t="shared" si="37"/>
        <v>43588</v>
      </c>
      <c r="AC137" s="427">
        <f>IF(OR(t&lt;Tnet,NoTnet),'2018'!Resal_s+('2018'!Salim-'2018'!Resal_s)*(1-EXP(('2018'!Tnet_s-t)/'2018'!Tau_j)),Resal_s+(Salim-Resal_s)*(1-EXP((Tnet_s-t)/Tau_j)))*Salcycl</f>
        <v>5.7416609258747538E-2</v>
      </c>
      <c r="AD137" s="231">
        <f>(INDEX(Models!$BJ137:$BT137,,AH137)*(1-AF137)+INDEX(Models!$BJ137:$BT137,,AH137+1)*AF137-ERP_i)*AE137*Ramure*Pc/MaxiM</f>
        <v>0</v>
      </c>
      <c r="AE137" s="305">
        <f t="shared" si="38"/>
        <v>0.7</v>
      </c>
      <c r="AF137" s="177">
        <f t="shared" si="39"/>
        <v>0.56985775437805763</v>
      </c>
      <c r="AG137" s="176">
        <f t="shared" si="40"/>
        <v>-2</v>
      </c>
      <c r="AH137" s="176">
        <f t="shared" si="41"/>
        <v>4</v>
      </c>
      <c r="AI137" s="225">
        <f t="shared" si="42"/>
        <v>-1.4301422456219424</v>
      </c>
      <c r="AJ137" s="265" t="b">
        <f t="shared" si="43"/>
        <v>0</v>
      </c>
      <c r="AK137" s="265" t="b">
        <f t="shared" si="44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5"/>
        <v>43589</v>
      </c>
      <c r="B138" s="617">
        <v>21.09</v>
      </c>
      <c r="C138" s="390"/>
      <c r="D138" s="393">
        <f t="shared" si="24"/>
        <v>21.266265989447668</v>
      </c>
      <c r="E138" s="385">
        <f t="shared" si="46"/>
        <v>22.565206200317384</v>
      </c>
      <c r="F138" s="385">
        <f t="shared" si="25"/>
        <v>22.565206200317384</v>
      </c>
      <c r="G138" s="110">
        <f t="shared" si="47"/>
        <v>0.52866643959519788</v>
      </c>
      <c r="H138" s="414" t="b">
        <f>Wh_hp&gt;='2018'!Maxi_hp</f>
        <v>1</v>
      </c>
      <c r="I138" s="390">
        <f>IF(H138,Wh_hp,'2018'!Maxi_hp)</f>
        <v>22.565206200317384</v>
      </c>
      <c r="J138" s="85">
        <f>IF(H138,An,'2018'!An_max)</f>
        <v>2019</v>
      </c>
      <c r="K138" s="197">
        <f t="shared" si="26"/>
        <v>43589</v>
      </c>
      <c r="L138" s="147">
        <f>IF(t&lt;Tvie,1-EXP((T0-t)*PertePVj)+'2018'!Pspv,1-EXP((T0-t)*PertePVj)+Pspv)</f>
        <v>8.2885255707387806E-3</v>
      </c>
      <c r="M138" s="850"/>
      <c r="N138" s="850"/>
      <c r="O138" s="48">
        <f>IF(t&lt;Tnet,'2018'!Resal+('2018'!Salim-'2018'!Resal)*(1-EXP(('2018'!Tnet-t)/('2018'!Tau_j))),Resal+(Salim-Resal)*(1-EXP((Tnet-t)/(Tau_j))))*Salcycl</f>
        <v>5.756385292200198E-2</v>
      </c>
      <c r="P138" s="169">
        <f>(INDEX(Models!$BJ138:$BT138,,T138)*(1-R138)+INDEX(Models!$BJ138:$BT138,,T138+1)*R138-ERP_i)*Q138*Ramure*Pc/MaxiM</f>
        <v>0</v>
      </c>
      <c r="Q138" s="305">
        <f t="shared" si="27"/>
        <v>0.7</v>
      </c>
      <c r="R138" s="177">
        <f t="shared" si="28"/>
        <v>0.57224312582582559</v>
      </c>
      <c r="S138" s="817">
        <f t="shared" si="29"/>
        <v>-2</v>
      </c>
      <c r="T138" s="176">
        <f t="shared" si="30"/>
        <v>4</v>
      </c>
      <c r="U138" s="251">
        <f t="shared" si="31"/>
        <v>-1.4277568741741744</v>
      </c>
      <c r="V138" s="383">
        <f t="shared" si="32"/>
        <v>39.892829240586366</v>
      </c>
      <c r="W138" s="58"/>
      <c r="X138" s="157">
        <f t="shared" si="33"/>
        <v>43589</v>
      </c>
      <c r="Y138" s="385">
        <f t="shared" si="34"/>
        <v>21.09</v>
      </c>
      <c r="Z138" s="385">
        <f t="shared" si="35"/>
        <v>21.266265989447668</v>
      </c>
      <c r="AA138" s="386">
        <f t="shared" si="36"/>
        <v>22.565206200317384</v>
      </c>
      <c r="AB138" s="197">
        <f t="shared" si="37"/>
        <v>43589</v>
      </c>
      <c r="AC138" s="427">
        <f>IF(OR(t&lt;Tnet,NoTnet),'2018'!Resal_s+('2018'!Salim-'2018'!Resal_s)*(1-EXP(('2018'!Tnet_s-t)/'2018'!Tau_j)),Resal_s+(Salim-Resal_s)*(1-EXP((Tnet_s-t)/Tau_j)))*Salcycl</f>
        <v>5.756385292200198E-2</v>
      </c>
      <c r="AD138" s="231">
        <f>(INDEX(Models!$BJ138:$BT138,,AH138)*(1-AF138)+INDEX(Models!$BJ138:$BT138,,AH138+1)*AF138-ERP_i)*AE138*Ramure*Pc/MaxiM</f>
        <v>0</v>
      </c>
      <c r="AE138" s="305">
        <f t="shared" si="38"/>
        <v>0.7</v>
      </c>
      <c r="AF138" s="177">
        <f t="shared" si="39"/>
        <v>0.57224312582582559</v>
      </c>
      <c r="AG138" s="176">
        <f t="shared" si="40"/>
        <v>-2</v>
      </c>
      <c r="AH138" s="176">
        <f t="shared" si="41"/>
        <v>4</v>
      </c>
      <c r="AI138" s="225">
        <f t="shared" si="42"/>
        <v>-1.4277568741741744</v>
      </c>
      <c r="AJ138" s="265" t="b">
        <f t="shared" si="43"/>
        <v>0</v>
      </c>
      <c r="AK138" s="265" t="b">
        <f t="shared" si="44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5"/>
        <v>43590</v>
      </c>
      <c r="B139" s="617">
        <v>30.154</v>
      </c>
      <c r="C139" s="390"/>
      <c r="D139" s="393">
        <f t="shared" si="24"/>
        <v>30.406687067736453</v>
      </c>
      <c r="E139" s="385">
        <f t="shared" si="46"/>
        <v>32.268988183875599</v>
      </c>
      <c r="F139" s="385">
        <f t="shared" si="25"/>
        <v>32.268988183875599</v>
      </c>
      <c r="G139" s="110">
        <f t="shared" si="47"/>
        <v>0.75445371678983708</v>
      </c>
      <c r="H139" s="414" t="b">
        <f>Wh_hp&gt;='2018'!Maxi_hp</f>
        <v>1</v>
      </c>
      <c r="I139" s="390">
        <f>IF(H139,Wh_hp,'2018'!Maxi_hp)</f>
        <v>32.268988183875599</v>
      </c>
      <c r="J139" s="85">
        <f>IF(H139,An,'2018'!An_max)</f>
        <v>2019</v>
      </c>
      <c r="K139" s="197">
        <f t="shared" si="26"/>
        <v>43590</v>
      </c>
      <c r="L139" s="147">
        <f>IF(t&lt;Tvie,1-EXP((T0-t)*PertePVj)+'2018'!Pspv,1-EXP((T0-t)*PertePVj)+Pspv)</f>
        <v>8.3102465971891526E-3</v>
      </c>
      <c r="M139" s="850"/>
      <c r="N139" s="850"/>
      <c r="O139" s="48">
        <f>IF(t&lt;Tnet,'2018'!Resal+('2018'!Salim-'2018'!Resal)*(1-EXP(('2018'!Tnet-t)/('2018'!Tau_j))),Resal+(Salim-Resal)*(1-EXP((Tnet-t)/(Tau_j))))*Salcycl</f>
        <v>5.7711791442835371E-2</v>
      </c>
      <c r="P139" s="169">
        <f>(INDEX(Models!$BJ139:$BT139,,T139)*(1-R139)+INDEX(Models!$BJ139:$BT139,,T139+1)*R139-ERP_i)*Q139*Ramure*Pc/MaxiM</f>
        <v>0</v>
      </c>
      <c r="Q139" s="305">
        <f t="shared" si="27"/>
        <v>0.7</v>
      </c>
      <c r="R139" s="177">
        <f t="shared" si="28"/>
        <v>0.57469218742663264</v>
      </c>
      <c r="S139" s="817">
        <f t="shared" si="29"/>
        <v>-2</v>
      </c>
      <c r="T139" s="176">
        <f t="shared" si="30"/>
        <v>4</v>
      </c>
      <c r="U139" s="251">
        <f t="shared" si="31"/>
        <v>-1.4253078125733674</v>
      </c>
      <c r="V139" s="383">
        <f t="shared" si="32"/>
        <v>39.967991844885816</v>
      </c>
      <c r="W139" s="58"/>
      <c r="X139" s="157">
        <f t="shared" si="33"/>
        <v>43590</v>
      </c>
      <c r="Y139" s="385">
        <f t="shared" si="34"/>
        <v>30.154</v>
      </c>
      <c r="Z139" s="385">
        <f t="shared" si="35"/>
        <v>30.406687067736453</v>
      </c>
      <c r="AA139" s="386">
        <f t="shared" si="36"/>
        <v>32.268988183875599</v>
      </c>
      <c r="AB139" s="197">
        <f t="shared" si="37"/>
        <v>43590</v>
      </c>
      <c r="AC139" s="427">
        <f>IF(OR(t&lt;Tnet,NoTnet),'2018'!Resal_s+('2018'!Salim-'2018'!Resal_s)*(1-EXP(('2018'!Tnet_s-t)/'2018'!Tau_j)),Resal_s+(Salim-Resal_s)*(1-EXP((Tnet_s-t)/Tau_j)))*Salcycl</f>
        <v>5.7711791442835371E-2</v>
      </c>
      <c r="AD139" s="231">
        <f>(INDEX(Models!$BJ139:$BT139,,AH139)*(1-AF139)+INDEX(Models!$BJ139:$BT139,,AH139+1)*AF139-ERP_i)*AE139*Ramure*Pc/MaxiM</f>
        <v>0</v>
      </c>
      <c r="AE139" s="305">
        <f t="shared" si="38"/>
        <v>0.7</v>
      </c>
      <c r="AF139" s="177">
        <f t="shared" si="39"/>
        <v>0.57469218742663264</v>
      </c>
      <c r="AG139" s="176">
        <f t="shared" si="40"/>
        <v>-2</v>
      </c>
      <c r="AH139" s="176">
        <f t="shared" si="41"/>
        <v>4</v>
      </c>
      <c r="AI139" s="225">
        <f t="shared" si="42"/>
        <v>-1.4253078125733674</v>
      </c>
      <c r="AJ139" s="265" t="b">
        <f t="shared" si="43"/>
        <v>0</v>
      </c>
      <c r="AK139" s="265" t="b">
        <f t="shared" si="44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5"/>
        <v>43591</v>
      </c>
      <c r="B140" s="617">
        <v>41.688000000000002</v>
      </c>
      <c r="C140" s="390"/>
      <c r="D140" s="393">
        <f t="shared" si="24"/>
        <v>42.038261413048076</v>
      </c>
      <c r="E140" s="385">
        <f t="shared" si="46"/>
        <v>44.619992536921345</v>
      </c>
      <c r="F140" s="385">
        <f t="shared" si="25"/>
        <v>44.619992536921345</v>
      </c>
      <c r="G140" s="110">
        <f t="shared" si="47"/>
        <v>1.0411762723872973</v>
      </c>
      <c r="H140" s="414" t="b">
        <f>Wh_hp&gt;='2018'!Maxi_hp</f>
        <v>1</v>
      </c>
      <c r="I140" s="390">
        <f>IF(H140,Wh_hp,'2018'!Maxi_hp)</f>
        <v>44.619992536921345</v>
      </c>
      <c r="J140" s="85">
        <f>IF(H140,An,'2018'!An_max)</f>
        <v>2019</v>
      </c>
      <c r="K140" s="197">
        <f t="shared" si="26"/>
        <v>43591</v>
      </c>
      <c r="L140" s="147">
        <f>IF(t&lt;Tvie,1-EXP((T0-t)*PertePVj)+'2018'!Pspv,1-EXP((T0-t)*PertePVj)+Pspv)</f>
        <v>8.3319671478934154E-3</v>
      </c>
      <c r="M140" s="850"/>
      <c r="N140" s="850"/>
      <c r="O140" s="48">
        <f>IF(t&lt;Tnet,'2018'!Resal+('2018'!Salim-'2018'!Resal)*(1-EXP(('2018'!Tnet-t)/('2018'!Tau_j))),Resal+(Salim-Resal)*(1-EXP((Tnet-t)/(Tau_j))))*Salcycl</f>
        <v>5.7860411378083218E-2</v>
      </c>
      <c r="P140" s="169">
        <f>(INDEX(Models!$BJ140:$BT140,,T140)*(1-R140)+INDEX(Models!$BJ140:$BT140,,T140+1)*R140-ERP_i)*Q140*Ramure*Pc/MaxiM</f>
        <v>0</v>
      </c>
      <c r="Q140" s="305">
        <f t="shared" si="27"/>
        <v>0.7</v>
      </c>
      <c r="R140" s="177">
        <f t="shared" si="28"/>
        <v>0.57720537327218935</v>
      </c>
      <c r="S140" s="817">
        <f t="shared" si="29"/>
        <v>-2</v>
      </c>
      <c r="T140" s="176">
        <f t="shared" si="30"/>
        <v>4</v>
      </c>
      <c r="U140" s="251">
        <f t="shared" si="31"/>
        <v>-1.4227946267278107</v>
      </c>
      <c r="V140" s="383">
        <f t="shared" si="32"/>
        <v>40.039329655884508</v>
      </c>
      <c r="W140" s="58"/>
      <c r="X140" s="157">
        <f t="shared" si="33"/>
        <v>43591</v>
      </c>
      <c r="Y140" s="385">
        <f t="shared" si="34"/>
        <v>41.688000000000002</v>
      </c>
      <c r="Z140" s="385">
        <f t="shared" si="35"/>
        <v>42.038261413048076</v>
      </c>
      <c r="AA140" s="386">
        <f t="shared" si="36"/>
        <v>44.619992536921345</v>
      </c>
      <c r="AB140" s="197">
        <f t="shared" si="37"/>
        <v>43591</v>
      </c>
      <c r="AC140" s="427">
        <f>IF(OR(t&lt;Tnet,NoTnet),'2018'!Resal_s+('2018'!Salim-'2018'!Resal_s)*(1-EXP(('2018'!Tnet_s-t)/'2018'!Tau_j)),Resal_s+(Salim-Resal_s)*(1-EXP((Tnet_s-t)/Tau_j)))*Salcycl</f>
        <v>5.7860411378083218E-2</v>
      </c>
      <c r="AD140" s="231">
        <f>(INDEX(Models!$BJ140:$BT140,,AH140)*(1-AF140)+INDEX(Models!$BJ140:$BT140,,AH140+1)*AF140-ERP_i)*AE140*Ramure*Pc/MaxiM</f>
        <v>0</v>
      </c>
      <c r="AE140" s="305">
        <f t="shared" si="38"/>
        <v>0.7</v>
      </c>
      <c r="AF140" s="177">
        <f t="shared" si="39"/>
        <v>0.57720537327218935</v>
      </c>
      <c r="AG140" s="176">
        <f t="shared" si="40"/>
        <v>-2</v>
      </c>
      <c r="AH140" s="176">
        <f t="shared" si="41"/>
        <v>4</v>
      </c>
      <c r="AI140" s="225">
        <f t="shared" si="42"/>
        <v>-1.4227946267278107</v>
      </c>
      <c r="AJ140" s="265" t="b">
        <f t="shared" si="43"/>
        <v>0</v>
      </c>
      <c r="AK140" s="265" t="b">
        <f t="shared" si="44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5"/>
        <v>43592</v>
      </c>
      <c r="B141" s="617">
        <v>30.056999999999999</v>
      </c>
      <c r="C141" s="390"/>
      <c r="D141" s="393">
        <f t="shared" si="24"/>
        <v>30.310201946724714</v>
      </c>
      <c r="E141" s="385">
        <f t="shared" si="46"/>
        <v>32.176766425849515</v>
      </c>
      <c r="F141" s="385">
        <f t="shared" si="25"/>
        <v>32.176766425849515</v>
      </c>
      <c r="G141" s="110">
        <f t="shared" si="47"/>
        <v>0.74942506154777622</v>
      </c>
      <c r="H141" s="414" t="b">
        <f>Wh_hp&gt;='2018'!Maxi_hp</f>
        <v>1</v>
      </c>
      <c r="I141" s="390">
        <f>IF(H141,Wh_hp,'2018'!Maxi_hp)</f>
        <v>32.176766425849515</v>
      </c>
      <c r="J141" s="85">
        <f>IF(H141,An,'2018'!An_max)</f>
        <v>2019</v>
      </c>
      <c r="K141" s="197">
        <f t="shared" si="26"/>
        <v>43592</v>
      </c>
      <c r="L141" s="147">
        <f>IF(t&lt;Tvie,1-EXP((T0-t)*PertePVj)+'2018'!Pspv,1-EXP((T0-t)*PertePVj)+Pspv)</f>
        <v>8.3536872228617831E-3</v>
      </c>
      <c r="M141" s="850"/>
      <c r="N141" s="850"/>
      <c r="O141" s="48">
        <f>IF(t&lt;Tnet,'2018'!Resal+('2018'!Salim-'2018'!Resal)*(1-EXP(('2018'!Tnet-t)/('2018'!Tau_j))),Resal+(Salim-Resal)*(1-EXP((Tnet-t)/(Tau_j))))*Salcycl</f>
        <v>5.8009697258618285E-2</v>
      </c>
      <c r="P141" s="169">
        <f>(INDEX(Models!$BJ141:$BT141,,T141)*(1-R141)+INDEX(Models!$BJ141:$BT141,,T141+1)*R141-ERP_i)*Q141*Ramure*Pc/MaxiM</f>
        <v>0</v>
      </c>
      <c r="Q141" s="305">
        <f t="shared" si="27"/>
        <v>0.7</v>
      </c>
      <c r="R141" s="177">
        <f t="shared" si="28"/>
        <v>0.57978302938615744</v>
      </c>
      <c r="S141" s="817">
        <f t="shared" si="29"/>
        <v>-2</v>
      </c>
      <c r="T141" s="176">
        <f t="shared" si="30"/>
        <v>4</v>
      </c>
      <c r="U141" s="251">
        <f t="shared" si="31"/>
        <v>-1.4202169706138426</v>
      </c>
      <c r="V141" s="383">
        <f t="shared" si="32"/>
        <v>40.106745213355602</v>
      </c>
      <c r="W141" s="58"/>
      <c r="X141" s="157">
        <f t="shared" si="33"/>
        <v>43592</v>
      </c>
      <c r="Y141" s="385">
        <f t="shared" si="34"/>
        <v>30.056999999999995</v>
      </c>
      <c r="Z141" s="385">
        <f t="shared" si="35"/>
        <v>30.31020194672471</v>
      </c>
      <c r="AA141" s="386">
        <f t="shared" si="36"/>
        <v>32.176766425849515</v>
      </c>
      <c r="AB141" s="197">
        <f t="shared" si="37"/>
        <v>43592</v>
      </c>
      <c r="AC141" s="427">
        <f>IF(OR(t&lt;Tnet,NoTnet),'2018'!Resal_s+('2018'!Salim-'2018'!Resal_s)*(1-EXP(('2018'!Tnet_s-t)/'2018'!Tau_j)),Resal_s+(Salim-Resal_s)*(1-EXP((Tnet_s-t)/Tau_j)))*Salcycl</f>
        <v>5.8009697258618285E-2</v>
      </c>
      <c r="AD141" s="231">
        <f>(INDEX(Models!$BJ141:$BT141,,AH141)*(1-AF141)+INDEX(Models!$BJ141:$BT141,,AH141+1)*AF141-ERP_i)*AE141*Ramure*Pc/MaxiM</f>
        <v>0</v>
      </c>
      <c r="AE141" s="305">
        <f t="shared" si="38"/>
        <v>0.7</v>
      </c>
      <c r="AF141" s="177">
        <f t="shared" si="39"/>
        <v>0.57978302938615744</v>
      </c>
      <c r="AG141" s="176">
        <f t="shared" si="40"/>
        <v>-2</v>
      </c>
      <c r="AH141" s="176">
        <f t="shared" si="41"/>
        <v>4</v>
      </c>
      <c r="AI141" s="225">
        <f t="shared" si="42"/>
        <v>-1.4202169706138426</v>
      </c>
      <c r="AJ141" s="265" t="b">
        <f t="shared" si="43"/>
        <v>0</v>
      </c>
      <c r="AK141" s="265" t="b">
        <f t="shared" si="44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5"/>
        <v>43593</v>
      </c>
      <c r="B142" s="617">
        <v>20.175000000000001</v>
      </c>
      <c r="C142" s="390"/>
      <c r="D142" s="393">
        <f t="shared" si="24"/>
        <v>20.345401010421138</v>
      </c>
      <c r="E142" s="385">
        <f t="shared" si="46"/>
        <v>21.601750882606108</v>
      </c>
      <c r="F142" s="385">
        <f t="shared" si="25"/>
        <v>21.601750882606108</v>
      </c>
      <c r="G142" s="110">
        <f t="shared" si="47"/>
        <v>0.50223871210080739</v>
      </c>
      <c r="H142" s="414" t="b">
        <f>Wh_hp&gt;='2018'!Maxi_hp</f>
        <v>1</v>
      </c>
      <c r="I142" s="390">
        <f>IF(H142,Wh_hp,'2018'!Maxi_hp)</f>
        <v>21.601750882606108</v>
      </c>
      <c r="J142" s="85">
        <f>IF(H142,An,'2018'!An_max)</f>
        <v>2019</v>
      </c>
      <c r="K142" s="197">
        <f t="shared" si="26"/>
        <v>43593</v>
      </c>
      <c r="L142" s="147">
        <f>IF(t&lt;Tvie,1-EXP((T0-t)*PertePVj)+'2018'!Pspv,1-EXP((T0-t)*PertePVj)+Pspv)</f>
        <v>8.3754068221046918E-3</v>
      </c>
      <c r="M142" s="850"/>
      <c r="N142" s="850"/>
      <c r="O142" s="48">
        <f>IF(t&lt;Tnet,'2018'!Resal+('2018'!Salim-'2018'!Resal)*(1-EXP(('2018'!Tnet-t)/('2018'!Tau_j))),Resal+(Salim-Resal)*(1-EXP((Tnet-t)/(Tau_j))))*Salcycl</f>
        <v>5.8159631550819844E-2</v>
      </c>
      <c r="P142" s="169">
        <f>(INDEX(Models!$BJ142:$BT142,,T142)*(1-R142)+INDEX(Models!$BJ142:$BT142,,T142+1)*R142-ERP_i)*Q142*Ramure*Pc/MaxiM</f>
        <v>0</v>
      </c>
      <c r="Q142" s="305">
        <f t="shared" si="27"/>
        <v>0.7</v>
      </c>
      <c r="R142" s="177">
        <f t="shared" si="28"/>
        <v>0.58242540813635069</v>
      </c>
      <c r="S142" s="817">
        <f t="shared" si="29"/>
        <v>-2</v>
      </c>
      <c r="T142" s="176">
        <f t="shared" si="30"/>
        <v>4</v>
      </c>
      <c r="U142" s="251">
        <f t="shared" si="31"/>
        <v>-1.4175745918636493</v>
      </c>
      <c r="V142" s="383">
        <f t="shared" si="32"/>
        <v>40.170141237441207</v>
      </c>
      <c r="W142" s="58"/>
      <c r="X142" s="157">
        <f t="shared" si="33"/>
        <v>43593</v>
      </c>
      <c r="Y142" s="385">
        <f t="shared" si="34"/>
        <v>20.175000000000001</v>
      </c>
      <c r="Z142" s="385">
        <f t="shared" si="35"/>
        <v>20.345401010421138</v>
      </c>
      <c r="AA142" s="386">
        <f t="shared" si="36"/>
        <v>21.601750882606108</v>
      </c>
      <c r="AB142" s="197">
        <f t="shared" si="37"/>
        <v>43593</v>
      </c>
      <c r="AC142" s="427">
        <f>IF(OR(t&lt;Tnet,NoTnet),'2018'!Resal_s+('2018'!Salim-'2018'!Resal_s)*(1-EXP(('2018'!Tnet_s-t)/'2018'!Tau_j)),Resal_s+(Salim-Resal_s)*(1-EXP((Tnet_s-t)/Tau_j)))*Salcycl</f>
        <v>5.8159631550819844E-2</v>
      </c>
      <c r="AD142" s="231">
        <f>(INDEX(Models!$BJ142:$BT142,,AH142)*(1-AF142)+INDEX(Models!$BJ142:$BT142,,AH142+1)*AF142-ERP_i)*AE142*Ramure*Pc/MaxiM</f>
        <v>0</v>
      </c>
      <c r="AE142" s="305">
        <f t="shared" si="38"/>
        <v>0.7</v>
      </c>
      <c r="AF142" s="177">
        <f t="shared" si="39"/>
        <v>0.58242540813635069</v>
      </c>
      <c r="AG142" s="176">
        <f t="shared" si="40"/>
        <v>-2</v>
      </c>
      <c r="AH142" s="176">
        <f t="shared" si="41"/>
        <v>4</v>
      </c>
      <c r="AI142" s="225">
        <f t="shared" si="42"/>
        <v>-1.4175745918636493</v>
      </c>
      <c r="AJ142" s="265" t="b">
        <f t="shared" si="43"/>
        <v>0</v>
      </c>
      <c r="AK142" s="265" t="b">
        <f t="shared" si="44"/>
        <v>0</v>
      </c>
      <c r="AL142" s="265"/>
      <c r="AM142" s="265"/>
      <c r="AN142" s="75"/>
    </row>
    <row r="143" spans="1:40" s="6" customFormat="1" ht="11.25" x14ac:dyDescent="0.2">
      <c r="A143" s="56">
        <f t="shared" si="45"/>
        <v>43594</v>
      </c>
      <c r="B143" s="617">
        <v>33.213999999999999</v>
      </c>
      <c r="C143" s="390"/>
      <c r="D143" s="393">
        <f t="shared" ref="D143:D206" si="48">Wh/(1-Ppv)</f>
        <v>33.495263949970109</v>
      </c>
      <c r="E143" s="385">
        <f t="shared" si="46"/>
        <v>35.569317793152962</v>
      </c>
      <c r="F143" s="385">
        <f t="shared" ref="F143:F206" si="49">Wh_sa/(1-Pvg*MEDIAN((-Sdif+Wh/Env_an)/Csdif,0,1))</f>
        <v>35.569317793152962</v>
      </c>
      <c r="G143" s="110">
        <f t="shared" si="47"/>
        <v>0.82561467395634136</v>
      </c>
      <c r="H143" s="414" t="b">
        <f>Wh_hp&gt;='2018'!Maxi_hp</f>
        <v>1</v>
      </c>
      <c r="I143" s="390">
        <f>IF(H143,Wh_hp,'2018'!Maxi_hp)</f>
        <v>35.569317793152962</v>
      </c>
      <c r="J143" s="85">
        <f>IF(H143,An,'2018'!An_max)</f>
        <v>2019</v>
      </c>
      <c r="K143" s="197">
        <f t="shared" ref="K143:K206" si="50">t</f>
        <v>43594</v>
      </c>
      <c r="L143" s="147">
        <f>IF(t&lt;Tvie,1-EXP((T0-t)*PertePVj)+'2018'!Pspv,1-EXP((T0-t)*PertePVj)+Pspv)</f>
        <v>8.3971259456327996E-3</v>
      </c>
      <c r="M143" s="850"/>
      <c r="N143" s="850"/>
      <c r="O143" s="48">
        <f>IF(t&lt;Tnet,'2018'!Resal+('2018'!Salim-'2018'!Resal)*(1-EXP(('2018'!Tnet-t)/('2018'!Tau_j))),Resal+(Salim-Resal)*(1-EXP((Tnet-t)/(Tau_j))))*Salcycl</f>
        <v>5.8310194624595843E-2</v>
      </c>
      <c r="P143" s="169">
        <f>(INDEX(Models!$BJ143:$BT143,,T143)*(1-R143)+INDEX(Models!$BJ143:$BT143,,T143+1)*R143-ERP_i)*Q143*Ramure*Pc/MaxiM</f>
        <v>0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0.58513266271185516</v>
      </c>
      <c r="S143" s="817">
        <f t="shared" ref="S143:S206" si="53">INDEX(Echel_vg,T143)</f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-1.4148673372881448</v>
      </c>
      <c r="V143" s="383">
        <f t="shared" ref="V143:V206" si="56">MaxiM*(1-Ppv)*(1-Pvg)*(1-Psa)</f>
        <v>40.229420633766935</v>
      </c>
      <c r="W143" s="58"/>
      <c r="X143" s="157">
        <f t="shared" ref="X143:X206" si="57">t</f>
        <v>43594</v>
      </c>
      <c r="Y143" s="385">
        <f t="shared" ref="Y143:Y206" si="58">Wh_pvt_s*(1-Ppv)</f>
        <v>33.213999999999999</v>
      </c>
      <c r="Z143" s="385">
        <f t="shared" ref="Z143:Z206" si="59">Wh_sa_s*(1-Psa_s)</f>
        <v>33.495263949970109</v>
      </c>
      <c r="AA143" s="386">
        <f t="shared" ref="AA143:AA206" si="60">Wh_hp*(1-Pvg_s*MEDIAN((-Sdif+Wh/Env_an)/Csdif,0,1))</f>
        <v>35.569317793152962</v>
      </c>
      <c r="AB143" s="197">
        <f t="shared" ref="AB143:AB206" si="61">t</f>
        <v>43594</v>
      </c>
      <c r="AC143" s="427">
        <f>IF(OR(t&lt;Tnet,NoTnet),'2018'!Resal_s+('2018'!Salim-'2018'!Resal_s)*(1-EXP(('2018'!Tnet_s-t)/'2018'!Tau_j)),Resal_s+(Salim-Resal_s)*(1-EXP((Tnet_s-t)/Tau_j)))*Salcycl</f>
        <v>5.8310194624595843E-2</v>
      </c>
      <c r="AD143" s="231">
        <f>(INDEX(Models!$BJ143:$BT143,,AH143)*(1-AF143)+INDEX(Models!$BJ143:$BT143,,AH143+1)*AF143-ERP_i)*AE143*Ramure*Pc/MaxiM</f>
        <v>0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0.58513266271185516</v>
      </c>
      <c r="AG143" s="176">
        <f t="shared" ref="AG143:AG206" si="64">INDEX(Echel_vg,AH143)</f>
        <v>-2</v>
      </c>
      <c r="AH143" s="176">
        <f t="shared" ref="AH143:AH206" si="65">MIN(MATCH(Hp_vg_s,Echel_vg),10)</f>
        <v>4</v>
      </c>
      <c r="AI143" s="225">
        <f t="shared" ref="AI143:AI206" si="66">IF(OR(t&lt;Ttai,Notai),Hdd_s+PousH*Croivg,Hdtai_s+PousH*(Croivg-Croi_tai))</f>
        <v>-1.4148673372881448</v>
      </c>
      <c r="AJ143" s="265" t="b">
        <f t="shared" ref="AJ143:AJ206" si="67">t&lt;Tnet</f>
        <v>0</v>
      </c>
      <c r="AK143" s="265" t="b">
        <f t="shared" ref="AK143:AK206" si="68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169" si="69">A143+1</f>
        <v>43595</v>
      </c>
      <c r="B144" s="617">
        <v>26.721</v>
      </c>
      <c r="C144" s="390"/>
      <c r="D144" s="393">
        <f t="shared" si="48"/>
        <v>26.947869929057408</v>
      </c>
      <c r="E144" s="385">
        <f t="shared" ref="E144:E169" si="70">Wh_pvt/(1-Psa)</f>
        <v>28.621098401651924</v>
      </c>
      <c r="F144" s="385">
        <f t="shared" si="49"/>
        <v>28.621098401651924</v>
      </c>
      <c r="G144" s="110">
        <f t="shared" ref="G144:G169" si="71">+Wh_hp/MaxiM</f>
        <v>0.66330744976211287</v>
      </c>
      <c r="H144" s="414" t="b">
        <f>Wh_hp&gt;='2018'!Maxi_hp</f>
        <v>1</v>
      </c>
      <c r="I144" s="390">
        <f>IF(H144,Wh_hp,'2018'!Maxi_hp)</f>
        <v>28.621098401651924</v>
      </c>
      <c r="J144" s="85">
        <f>IF(H144,An,'2018'!An_max)</f>
        <v>2019</v>
      </c>
      <c r="K144" s="197">
        <f t="shared" si="50"/>
        <v>43595</v>
      </c>
      <c r="L144" s="147">
        <f>IF(t&lt;Tvie,1-EXP((T0-t)*PertePVj)+'2018'!Pspv,1-EXP((T0-t)*PertePVj)+Pspv)</f>
        <v>8.4188445934562095E-3</v>
      </c>
      <c r="M144" s="850"/>
      <c r="N144" s="850"/>
      <c r="O144" s="48">
        <f>IF(t&lt;Tnet,'2018'!Resal+('2018'!Salim-'2018'!Resal)*(1-EXP(('2018'!Tnet-t)/('2018'!Tau_j))),Resal+(Salim-Resal)*(1-EXP((Tnet-t)/(Tau_j))))*Salcycl</f>
        <v>5.8461364728683615E-2</v>
      </c>
      <c r="P144" s="169">
        <f>(INDEX(Models!$BJ144:$BT144,,T144)*(1-R144)+INDEX(Models!$BJ144:$BT144,,T144+1)*R144-ERP_i)*Q144*Ramure*Pc/MaxiM</f>
        <v>0</v>
      </c>
      <c r="Q144" s="305">
        <f t="shared" si="51"/>
        <v>0.7</v>
      </c>
      <c r="R144" s="177">
        <f t="shared" si="52"/>
        <v>0.58790484170380153</v>
      </c>
      <c r="S144" s="817">
        <f t="shared" si="53"/>
        <v>-2</v>
      </c>
      <c r="T144" s="176">
        <f t="shared" si="54"/>
        <v>4</v>
      </c>
      <c r="U144" s="251">
        <f t="shared" si="55"/>
        <v>-1.4120951582961985</v>
      </c>
      <c r="V144" s="383">
        <f t="shared" si="56"/>
        <v>40.284486492022914</v>
      </c>
      <c r="W144" s="58"/>
      <c r="X144" s="157">
        <f t="shared" si="57"/>
        <v>43595</v>
      </c>
      <c r="Y144" s="385">
        <f t="shared" si="58"/>
        <v>26.721</v>
      </c>
      <c r="Z144" s="385">
        <f t="shared" si="59"/>
        <v>26.947869929057408</v>
      </c>
      <c r="AA144" s="386">
        <f t="shared" si="60"/>
        <v>28.621098401651924</v>
      </c>
      <c r="AB144" s="197">
        <f t="shared" si="61"/>
        <v>43595</v>
      </c>
      <c r="AC144" s="427">
        <f>IF(OR(t&lt;Tnet,NoTnet),'2018'!Resal_s+('2018'!Salim-'2018'!Resal_s)*(1-EXP(('2018'!Tnet_s-t)/'2018'!Tau_j)),Resal_s+(Salim-Resal_s)*(1-EXP((Tnet_s-t)/Tau_j)))*Salcycl</f>
        <v>5.8461364728683615E-2</v>
      </c>
      <c r="AD144" s="231">
        <f>(INDEX(Models!$BJ144:$BT144,,AH144)*(1-AF144)+INDEX(Models!$BJ144:$BT144,,AH144+1)*AF144-ERP_i)*AE144*Ramure*Pc/MaxiM</f>
        <v>0</v>
      </c>
      <c r="AE144" s="305">
        <f t="shared" si="62"/>
        <v>0.7</v>
      </c>
      <c r="AF144" s="177">
        <f t="shared" si="63"/>
        <v>0.58790484170380153</v>
      </c>
      <c r="AG144" s="176">
        <f t="shared" si="64"/>
        <v>-2</v>
      </c>
      <c r="AH144" s="176">
        <f t="shared" si="65"/>
        <v>4</v>
      </c>
      <c r="AI144" s="225">
        <f t="shared" si="66"/>
        <v>-1.4120951582961985</v>
      </c>
      <c r="AJ144" s="265" t="b">
        <f t="shared" si="67"/>
        <v>0</v>
      </c>
      <c r="AK144" s="265" t="b">
        <f t="shared" si="68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9"/>
        <v>43596</v>
      </c>
      <c r="B145" s="617">
        <v>25.893999999999998</v>
      </c>
      <c r="C145" s="390"/>
      <c r="D145" s="393">
        <f t="shared" si="48"/>
        <v>26.114420404511165</v>
      </c>
      <c r="E145" s="385">
        <f t="shared" si="70"/>
        <v>27.740369982963095</v>
      </c>
      <c r="F145" s="385">
        <f t="shared" si="49"/>
        <v>27.740369982963095</v>
      </c>
      <c r="G145" s="110">
        <f t="shared" si="71"/>
        <v>0.64196961913814432</v>
      </c>
      <c r="H145" s="414" t="b">
        <f>Wh_hp&gt;='2018'!Maxi_hp</f>
        <v>1</v>
      </c>
      <c r="I145" s="390">
        <f>IF(H145,Wh_hp,'2018'!Maxi_hp)</f>
        <v>27.740369982963095</v>
      </c>
      <c r="J145" s="85">
        <f>IF(H145,An,'2018'!An_max)</f>
        <v>2019</v>
      </c>
      <c r="K145" s="197">
        <f t="shared" si="50"/>
        <v>43596</v>
      </c>
      <c r="L145" s="147">
        <f>IF(t&lt;Tvie,1-EXP((T0-t)*PertePVj)+'2018'!Pspv,1-EXP((T0-t)*PertePVj)+Pspv)</f>
        <v>8.4405627655855797E-3</v>
      </c>
      <c r="M145" s="850"/>
      <c r="N145" s="850"/>
      <c r="O145" s="48">
        <f>IF(t&lt;Tnet,'2018'!Resal+('2018'!Salim-'2018'!Resal)*(1-EXP(('2018'!Tnet-t)/('2018'!Tau_j))),Resal+(Salim-Resal)*(1-EXP((Tnet-t)/(Tau_j))))*Salcycl</f>
        <v>5.8613117973931747E-2</v>
      </c>
      <c r="P145" s="169">
        <f>(INDEX(Models!$BJ145:$BT145,,T145)*(1-R145)+INDEX(Models!$BJ145:$BT145,,T145+1)*R145-ERP_i)*Q145*Ramure*Pc/MaxiM</f>
        <v>0</v>
      </c>
      <c r="Q145" s="305">
        <f t="shared" si="51"/>
        <v>0.7</v>
      </c>
      <c r="R145" s="177">
        <f t="shared" si="52"/>
        <v>0.59074188383078474</v>
      </c>
      <c r="S145" s="817">
        <f t="shared" si="53"/>
        <v>-2</v>
      </c>
      <c r="T145" s="176">
        <f t="shared" si="54"/>
        <v>4</v>
      </c>
      <c r="U145" s="251">
        <f t="shared" si="55"/>
        <v>-1.4092581161692153</v>
      </c>
      <c r="V145" s="383">
        <f t="shared" si="56"/>
        <v>40.33524208632047</v>
      </c>
      <c r="W145" s="58"/>
      <c r="X145" s="157">
        <f t="shared" si="57"/>
        <v>43596</v>
      </c>
      <c r="Y145" s="385">
        <f t="shared" si="58"/>
        <v>25.893999999999998</v>
      </c>
      <c r="Z145" s="385">
        <f t="shared" si="59"/>
        <v>26.114420404511165</v>
      </c>
      <c r="AA145" s="386">
        <f t="shared" si="60"/>
        <v>27.740369982963095</v>
      </c>
      <c r="AB145" s="197">
        <f t="shared" si="61"/>
        <v>43596</v>
      </c>
      <c r="AC145" s="427">
        <f>IF(OR(t&lt;Tnet,NoTnet),'2018'!Resal_s+('2018'!Salim-'2018'!Resal_s)*(1-EXP(('2018'!Tnet_s-t)/'2018'!Tau_j)),Resal_s+(Salim-Resal_s)*(1-EXP((Tnet_s-t)/Tau_j)))*Salcycl</f>
        <v>5.8613117973931747E-2</v>
      </c>
      <c r="AD145" s="231">
        <f>(INDEX(Models!$BJ145:$BT145,,AH145)*(1-AF145)+INDEX(Models!$BJ145:$BT145,,AH145+1)*AF145-ERP_i)*AE145*Ramure*Pc/MaxiM</f>
        <v>0</v>
      </c>
      <c r="AE145" s="305">
        <f t="shared" si="62"/>
        <v>0.7</v>
      </c>
      <c r="AF145" s="177">
        <f t="shared" si="63"/>
        <v>0.59074188383078474</v>
      </c>
      <c r="AG145" s="176">
        <f t="shared" si="64"/>
        <v>-2</v>
      </c>
      <c r="AH145" s="176">
        <f t="shared" si="65"/>
        <v>4</v>
      </c>
      <c r="AI145" s="225">
        <f t="shared" si="66"/>
        <v>-1.4092581161692153</v>
      </c>
      <c r="AJ145" s="265" t="b">
        <f t="shared" si="67"/>
        <v>0</v>
      </c>
      <c r="AK145" s="265" t="b">
        <f t="shared" si="68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9"/>
        <v>43597</v>
      </c>
      <c r="B146" s="617">
        <v>38.219000000000001</v>
      </c>
      <c r="C146" s="390"/>
      <c r="D146" s="393">
        <f t="shared" si="48"/>
        <v>38.545180124674509</v>
      </c>
      <c r="E146" s="385">
        <f t="shared" si="70"/>
        <v>40.951725833965142</v>
      </c>
      <c r="F146" s="385">
        <f t="shared" si="49"/>
        <v>40.951725833965142</v>
      </c>
      <c r="G146" s="110">
        <f t="shared" si="71"/>
        <v>0.94644611979368709</v>
      </c>
      <c r="H146" s="414" t="b">
        <f>Wh_hp&gt;='2018'!Maxi_hp</f>
        <v>1</v>
      </c>
      <c r="I146" s="390">
        <f>IF(H146,Wh_hp,'2018'!Maxi_hp)</f>
        <v>40.951725833965142</v>
      </c>
      <c r="J146" s="85">
        <f>IF(H146,An,'2018'!An_max)</f>
        <v>2019</v>
      </c>
      <c r="K146" s="197">
        <f t="shared" si="50"/>
        <v>43597</v>
      </c>
      <c r="L146" s="147">
        <f>IF(t&lt;Tvie,1-EXP((T0-t)*PertePVj)+'2018'!Pspv,1-EXP((T0-t)*PertePVj)+Pspv)</f>
        <v>8.4622804620312353E-3</v>
      </c>
      <c r="M146" s="850"/>
      <c r="N146" s="850"/>
      <c r="O146" s="48">
        <f>IF(t&lt;Tnet,'2018'!Resal+('2018'!Salim-'2018'!Resal)*(1-EXP(('2018'!Tnet-t)/('2018'!Tau_j))),Resal+(Salim-Resal)*(1-EXP((Tnet-t)/(Tau_j))))*Salcycl</f>
        <v>5.8765428325236943E-2</v>
      </c>
      <c r="P146" s="169">
        <f>(INDEX(Models!$BJ146:$BT146,,T146)*(1-R146)+INDEX(Models!$BJ146:$BT146,,T146+1)*R146-ERP_i)*Q146*Ramure*Pc/MaxiM</f>
        <v>0</v>
      </c>
      <c r="Q146" s="305">
        <f t="shared" si="51"/>
        <v>0.7</v>
      </c>
      <c r="R146" s="177">
        <f t="shared" si="52"/>
        <v>0.59364361285195066</v>
      </c>
      <c r="S146" s="817">
        <f t="shared" si="53"/>
        <v>-2</v>
      </c>
      <c r="T146" s="176">
        <f t="shared" si="54"/>
        <v>4</v>
      </c>
      <c r="U146" s="251">
        <f t="shared" si="55"/>
        <v>-1.4063563871480493</v>
      </c>
      <c r="V146" s="383">
        <f t="shared" si="56"/>
        <v>40.381590880557724</v>
      </c>
      <c r="W146" s="58"/>
      <c r="X146" s="157">
        <f t="shared" si="57"/>
        <v>43597</v>
      </c>
      <c r="Y146" s="385">
        <f t="shared" si="58"/>
        <v>38.219000000000001</v>
      </c>
      <c r="Z146" s="385">
        <f t="shared" si="59"/>
        <v>38.545180124674509</v>
      </c>
      <c r="AA146" s="386">
        <f t="shared" si="60"/>
        <v>40.951725833965142</v>
      </c>
      <c r="AB146" s="197">
        <f t="shared" si="61"/>
        <v>43597</v>
      </c>
      <c r="AC146" s="427">
        <f>IF(OR(t&lt;Tnet,NoTnet),'2018'!Resal_s+('2018'!Salim-'2018'!Resal_s)*(1-EXP(('2018'!Tnet_s-t)/'2018'!Tau_j)),Resal_s+(Salim-Resal_s)*(1-EXP((Tnet_s-t)/Tau_j)))*Salcycl</f>
        <v>5.8765428325236943E-2</v>
      </c>
      <c r="AD146" s="231">
        <f>(INDEX(Models!$BJ146:$BT146,,AH146)*(1-AF146)+INDEX(Models!$BJ146:$BT146,,AH146+1)*AF146-ERP_i)*AE146*Ramure*Pc/MaxiM</f>
        <v>0</v>
      </c>
      <c r="AE146" s="305">
        <f t="shared" si="62"/>
        <v>0.7</v>
      </c>
      <c r="AF146" s="177">
        <f t="shared" si="63"/>
        <v>0.59364361285195066</v>
      </c>
      <c r="AG146" s="176">
        <f t="shared" si="64"/>
        <v>-2</v>
      </c>
      <c r="AH146" s="176">
        <f t="shared" si="65"/>
        <v>4</v>
      </c>
      <c r="AI146" s="225">
        <f t="shared" si="66"/>
        <v>-1.4063563871480493</v>
      </c>
      <c r="AJ146" s="265" t="b">
        <f t="shared" si="67"/>
        <v>0</v>
      </c>
      <c r="AK146" s="265" t="b">
        <f t="shared" si="68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9"/>
        <v>43598</v>
      </c>
      <c r="B147" s="617">
        <v>42.262</v>
      </c>
      <c r="C147" s="390"/>
      <c r="D147" s="393">
        <f t="shared" si="48"/>
        <v>42.623618682131912</v>
      </c>
      <c r="E147" s="385">
        <f t="shared" si="70"/>
        <v>45.292153927540518</v>
      </c>
      <c r="F147" s="385">
        <f t="shared" si="49"/>
        <v>45.292153927540518</v>
      </c>
      <c r="G147" s="110">
        <f t="shared" si="71"/>
        <v>1.0454826119650491</v>
      </c>
      <c r="H147" s="414" t="b">
        <f>Wh_hp&gt;='2018'!Maxi_hp</f>
        <v>1</v>
      </c>
      <c r="I147" s="390">
        <f>IF(H147,Wh_hp,'2018'!Maxi_hp)</f>
        <v>45.292153927540518</v>
      </c>
      <c r="J147" s="85">
        <f>IF(H147,An,'2018'!An_max)</f>
        <v>2019</v>
      </c>
      <c r="K147" s="197">
        <f t="shared" si="50"/>
        <v>43598</v>
      </c>
      <c r="L147" s="147">
        <f>IF(t&lt;Tvie,1-EXP((T0-t)*PertePVj)+'2018'!Pspv,1-EXP((T0-t)*PertePVj)+Pspv)</f>
        <v>8.4839976828036123E-3</v>
      </c>
      <c r="M147" s="850"/>
      <c r="N147" s="850"/>
      <c r="O147" s="48">
        <f>IF(t&lt;Tnet,'2018'!Resal+('2018'!Salim-'2018'!Resal)*(1-EXP(('2018'!Tnet-t)/('2018'!Tau_j))),Resal+(Salim-Resal)*(1-EXP((Tnet-t)/(Tau_j))))*Salcycl</f>
        <v>5.8918267602768352E-2</v>
      </c>
      <c r="P147" s="169">
        <f>(INDEX(Models!$BJ147:$BT147,,T147)*(1-R147)+INDEX(Models!$BJ147:$BT147,,T147+1)*R147-ERP_i)*Q147*Ramure*Pc/MaxiM</f>
        <v>0</v>
      </c>
      <c r="Q147" s="305">
        <f t="shared" si="51"/>
        <v>0.7</v>
      </c>
      <c r="R147" s="177">
        <f t="shared" si="52"/>
        <v>0.59660973271251927</v>
      </c>
      <c r="S147" s="817">
        <f t="shared" si="53"/>
        <v>-2</v>
      </c>
      <c r="T147" s="176">
        <f t="shared" si="54"/>
        <v>4</v>
      </c>
      <c r="U147" s="251">
        <f t="shared" si="55"/>
        <v>-1.4033902672874807</v>
      </c>
      <c r="V147" s="383">
        <f t="shared" si="56"/>
        <v>40.423436522359722</v>
      </c>
      <c r="W147" s="58"/>
      <c r="X147" s="157">
        <f t="shared" si="57"/>
        <v>43598</v>
      </c>
      <c r="Y147" s="385">
        <f t="shared" si="58"/>
        <v>42.262</v>
      </c>
      <c r="Z147" s="385">
        <f t="shared" si="59"/>
        <v>42.623618682131912</v>
      </c>
      <c r="AA147" s="386">
        <f t="shared" si="60"/>
        <v>45.292153927540518</v>
      </c>
      <c r="AB147" s="197">
        <f t="shared" si="61"/>
        <v>43598</v>
      </c>
      <c r="AC147" s="427">
        <f>IF(OR(t&lt;Tnet,NoTnet),'2018'!Resal_s+('2018'!Salim-'2018'!Resal_s)*(1-EXP(('2018'!Tnet_s-t)/'2018'!Tau_j)),Resal_s+(Salim-Resal_s)*(1-EXP((Tnet_s-t)/Tau_j)))*Salcycl</f>
        <v>5.8918267602768352E-2</v>
      </c>
      <c r="AD147" s="231">
        <f>(INDEX(Models!$BJ147:$BT147,,AH147)*(1-AF147)+INDEX(Models!$BJ147:$BT147,,AH147+1)*AF147-ERP_i)*AE147*Ramure*Pc/MaxiM</f>
        <v>0</v>
      </c>
      <c r="AE147" s="305">
        <f t="shared" si="62"/>
        <v>0.7</v>
      </c>
      <c r="AF147" s="177">
        <f t="shared" si="63"/>
        <v>0.59660973271251927</v>
      </c>
      <c r="AG147" s="176">
        <f t="shared" si="64"/>
        <v>-2</v>
      </c>
      <c r="AH147" s="176">
        <f t="shared" si="65"/>
        <v>4</v>
      </c>
      <c r="AI147" s="225">
        <f t="shared" si="66"/>
        <v>-1.4033902672874807</v>
      </c>
      <c r="AJ147" s="265" t="b">
        <f t="shared" si="67"/>
        <v>0</v>
      </c>
      <c r="AK147" s="265" t="b">
        <f t="shared" si="68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9"/>
        <v>43599</v>
      </c>
      <c r="B148" s="617">
        <v>41.009</v>
      </c>
      <c r="C148" s="390"/>
      <c r="D148" s="393">
        <f t="shared" si="48"/>
        <v>41.360803180361273</v>
      </c>
      <c r="E148" s="385">
        <f t="shared" si="70"/>
        <v>43.95743971785987</v>
      </c>
      <c r="F148" s="385">
        <f t="shared" si="49"/>
        <v>43.95743971785987</v>
      </c>
      <c r="G148" s="110">
        <f t="shared" si="71"/>
        <v>1.0135518511351016</v>
      </c>
      <c r="H148" s="414" t="b">
        <f>Wh_hp&gt;='2018'!Maxi_hp</f>
        <v>1</v>
      </c>
      <c r="I148" s="390">
        <f>IF(H148,Wh_hp,'2018'!Maxi_hp)</f>
        <v>43.95743971785987</v>
      </c>
      <c r="J148" s="85">
        <f>IF(H148,An,'2018'!An_max)</f>
        <v>2019</v>
      </c>
      <c r="K148" s="197">
        <f t="shared" si="50"/>
        <v>43599</v>
      </c>
      <c r="L148" s="147">
        <f>IF(t&lt;Tvie,1-EXP((T0-t)*PertePVj)+'2018'!Pspv,1-EXP((T0-t)*PertePVj)+Pspv)</f>
        <v>8.5057144279130359E-3</v>
      </c>
      <c r="M148" s="850"/>
      <c r="N148" s="850"/>
      <c r="O148" s="48">
        <f>IF(t&lt;Tnet,'2018'!Resal+('2018'!Salim-'2018'!Resal)*(1-EXP(('2018'!Tnet-t)/('2018'!Tau_j))),Resal+(Salim-Resal)*(1-EXP((Tnet-t)/(Tau_j))))*Salcycl</f>
        <v>5.9071605493064901E-2</v>
      </c>
      <c r="P148" s="169">
        <f>(INDEX(Models!$BJ148:$BT148,,T148)*(1-R148)+INDEX(Models!$BJ148:$BT148,,T148+1)*R148-ERP_i)*Q148*Ramure*Pc/MaxiM</f>
        <v>0</v>
      </c>
      <c r="Q148" s="305">
        <f t="shared" si="51"/>
        <v>0.7</v>
      </c>
      <c r="R148" s="177">
        <f t="shared" si="52"/>
        <v>0.5996398229679083</v>
      </c>
      <c r="S148" s="817">
        <f t="shared" si="53"/>
        <v>-2</v>
      </c>
      <c r="T148" s="176">
        <f t="shared" si="54"/>
        <v>4</v>
      </c>
      <c r="U148" s="251">
        <f t="shared" si="55"/>
        <v>-1.4003601770320917</v>
      </c>
      <c r="V148" s="383">
        <f t="shared" si="56"/>
        <v>40.460682849203046</v>
      </c>
      <c r="W148" s="58"/>
      <c r="X148" s="157">
        <f t="shared" si="57"/>
        <v>43599</v>
      </c>
      <c r="Y148" s="385">
        <f t="shared" si="58"/>
        <v>41.009</v>
      </c>
      <c r="Z148" s="385">
        <f t="shared" si="59"/>
        <v>41.360803180361273</v>
      </c>
      <c r="AA148" s="386">
        <f t="shared" si="60"/>
        <v>43.95743971785987</v>
      </c>
      <c r="AB148" s="197">
        <f t="shared" si="61"/>
        <v>43599</v>
      </c>
      <c r="AC148" s="427">
        <f>IF(OR(t&lt;Tnet,NoTnet),'2018'!Resal_s+('2018'!Salim-'2018'!Resal_s)*(1-EXP(('2018'!Tnet_s-t)/'2018'!Tau_j)),Resal_s+(Salim-Resal_s)*(1-EXP((Tnet_s-t)/Tau_j)))*Salcycl</f>
        <v>5.9071605493064901E-2</v>
      </c>
      <c r="AD148" s="231">
        <f>(INDEX(Models!$BJ148:$BT148,,AH148)*(1-AF148)+INDEX(Models!$BJ148:$BT148,,AH148+1)*AF148-ERP_i)*AE148*Ramure*Pc/MaxiM</f>
        <v>0</v>
      </c>
      <c r="AE148" s="305">
        <f t="shared" si="62"/>
        <v>0.7</v>
      </c>
      <c r="AF148" s="177">
        <f t="shared" si="63"/>
        <v>0.5996398229679083</v>
      </c>
      <c r="AG148" s="176">
        <f t="shared" si="64"/>
        <v>-2</v>
      </c>
      <c r="AH148" s="176">
        <f t="shared" si="65"/>
        <v>4</v>
      </c>
      <c r="AI148" s="225">
        <f t="shared" si="66"/>
        <v>-1.4003601770320917</v>
      </c>
      <c r="AJ148" s="265" t="b">
        <f t="shared" si="67"/>
        <v>0</v>
      </c>
      <c r="AK148" s="265" t="b">
        <f t="shared" si="68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9"/>
        <v>43600</v>
      </c>
      <c r="B149" s="617">
        <v>41.281999999999996</v>
      </c>
      <c r="C149" s="390"/>
      <c r="D149" s="393">
        <f t="shared" si="48"/>
        <v>41.637057119024924</v>
      </c>
      <c r="E149" s="385">
        <f t="shared" si="70"/>
        <v>44.25827136765831</v>
      </c>
      <c r="F149" s="385">
        <f t="shared" si="49"/>
        <v>44.25827136765831</v>
      </c>
      <c r="G149" s="110">
        <f t="shared" si="71"/>
        <v>1.0194999073187616</v>
      </c>
      <c r="H149" s="414" t="b">
        <f>Wh_hp&gt;='2018'!Maxi_hp</f>
        <v>1</v>
      </c>
      <c r="I149" s="390">
        <f>IF(H149,Wh_hp,'2018'!Maxi_hp)</f>
        <v>44.25827136765831</v>
      </c>
      <c r="J149" s="85">
        <f>IF(H149,An,'2018'!An_max)</f>
        <v>2019</v>
      </c>
      <c r="K149" s="197">
        <f t="shared" si="50"/>
        <v>43600</v>
      </c>
      <c r="L149" s="147">
        <f>IF(t&lt;Tvie,1-EXP((T0-t)*PertePVj)+'2018'!Pspv,1-EXP((T0-t)*PertePVj)+Pspv)</f>
        <v>8.5274306973701641E-3</v>
      </c>
      <c r="M149" s="850"/>
      <c r="N149" s="850"/>
      <c r="O149" s="48">
        <f>IF(t&lt;Tnet,'2018'!Resal+('2018'!Salim-'2018'!Resal)*(1-EXP(('2018'!Tnet-t)/('2018'!Tau_j))),Resal+(Salim-Resal)*(1-EXP((Tnet-t)/(Tau_j))))*Salcycl</f>
        <v>5.9225409570533717E-2</v>
      </c>
      <c r="P149" s="169">
        <f>(INDEX(Models!$BJ149:$BT149,,T149)*(1-R149)+INDEX(Models!$BJ149:$BT149,,T149+1)*R149-ERP_i)*Q149*Ramure*Pc/MaxiM</f>
        <v>0</v>
      </c>
      <c r="Q149" s="305">
        <f t="shared" si="51"/>
        <v>0.7</v>
      </c>
      <c r="R149" s="177">
        <f t="shared" si="52"/>
        <v>0.60273333453362876</v>
      </c>
      <c r="S149" s="817">
        <f t="shared" si="53"/>
        <v>-2</v>
      </c>
      <c r="T149" s="176">
        <f t="shared" si="54"/>
        <v>4</v>
      </c>
      <c r="U149" s="251">
        <f t="shared" si="55"/>
        <v>-1.3972666654663712</v>
      </c>
      <c r="V149" s="383">
        <f t="shared" si="56"/>
        <v>40.492401915533051</v>
      </c>
      <c r="W149" s="58"/>
      <c r="X149" s="157">
        <f t="shared" si="57"/>
        <v>43600</v>
      </c>
      <c r="Y149" s="385">
        <f t="shared" si="58"/>
        <v>41.281999999999996</v>
      </c>
      <c r="Z149" s="385">
        <f t="shared" si="59"/>
        <v>41.637057119024924</v>
      </c>
      <c r="AA149" s="386">
        <f t="shared" si="60"/>
        <v>44.25827136765831</v>
      </c>
      <c r="AB149" s="197">
        <f t="shared" si="61"/>
        <v>43600</v>
      </c>
      <c r="AC149" s="427">
        <f>IF(OR(t&lt;Tnet,NoTnet),'2018'!Resal_s+('2018'!Salim-'2018'!Resal_s)*(1-EXP(('2018'!Tnet_s-t)/'2018'!Tau_j)),Resal_s+(Salim-Resal_s)*(1-EXP((Tnet_s-t)/Tau_j)))*Salcycl</f>
        <v>5.9225409570533717E-2</v>
      </c>
      <c r="AD149" s="231">
        <f>(INDEX(Models!$BJ149:$BT149,,AH149)*(1-AF149)+INDEX(Models!$BJ149:$BT149,,AH149+1)*AF149-ERP_i)*AE149*Ramure*Pc/MaxiM</f>
        <v>0</v>
      </c>
      <c r="AE149" s="305">
        <f t="shared" si="62"/>
        <v>0.7</v>
      </c>
      <c r="AF149" s="177">
        <f t="shared" si="63"/>
        <v>0.60273333453362876</v>
      </c>
      <c r="AG149" s="176">
        <f t="shared" si="64"/>
        <v>-2</v>
      </c>
      <c r="AH149" s="176">
        <f t="shared" si="65"/>
        <v>4</v>
      </c>
      <c r="AI149" s="225">
        <f t="shared" si="66"/>
        <v>-1.3972666654663712</v>
      </c>
      <c r="AJ149" s="265" t="b">
        <f t="shared" si="67"/>
        <v>0</v>
      </c>
      <c r="AK149" s="265" t="b">
        <f t="shared" si="68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9"/>
        <v>43601</v>
      </c>
      <c r="B150" s="617">
        <v>33.994999999999997</v>
      </c>
      <c r="C150" s="390"/>
      <c r="D150" s="393">
        <f t="shared" si="48"/>
        <v>34.288134282893886</v>
      </c>
      <c r="E150" s="385">
        <f t="shared" si="70"/>
        <v>36.452681586841123</v>
      </c>
      <c r="F150" s="385">
        <f t="shared" si="49"/>
        <v>36.452681586841123</v>
      </c>
      <c r="G150" s="110">
        <f t="shared" si="71"/>
        <v>0.83900845931074441</v>
      </c>
      <c r="H150" s="414" t="b">
        <f>Wh_hp&gt;='2018'!Maxi_hp</f>
        <v>1</v>
      </c>
      <c r="I150" s="390">
        <f>IF(H150,Wh_hp,'2018'!Maxi_hp)</f>
        <v>36.452681586841123</v>
      </c>
      <c r="J150" s="85">
        <f>IF(H150,An,'2018'!An_max)</f>
        <v>2019</v>
      </c>
      <c r="K150" s="197">
        <f t="shared" si="50"/>
        <v>43601</v>
      </c>
      <c r="L150" s="147">
        <f>IF(t&lt;Tvie,1-EXP((T0-t)*PertePVj)+'2018'!Pspv,1-EXP((T0-t)*PertePVj)+Pspv)</f>
        <v>8.5491464911851001E-3</v>
      </c>
      <c r="M150" s="850"/>
      <c r="N150" s="850"/>
      <c r="O150" s="48">
        <f>IF(t&lt;Tnet,'2018'!Resal+('2018'!Salim-'2018'!Resal)*(1-EXP(('2018'!Tnet-t)/('2018'!Tau_j))),Resal+(Salim-Resal)*(1-EXP((Tnet-t)/(Tau_j))))*Salcycl</f>
        <v>5.9379645329813061E-2</v>
      </c>
      <c r="P150" s="169">
        <f>(INDEX(Models!$BJ150:$BT150,,T150)*(1-R150)+INDEX(Models!$BJ150:$BT150,,T150+1)*R150-ERP_i)*Q150*Ramure*Pc/MaxiM</f>
        <v>0</v>
      </c>
      <c r="Q150" s="305">
        <f t="shared" si="51"/>
        <v>0.7</v>
      </c>
      <c r="R150" s="177">
        <f t="shared" si="52"/>
        <v>0.60588958580869723</v>
      </c>
      <c r="S150" s="817">
        <f t="shared" si="53"/>
        <v>-2</v>
      </c>
      <c r="T150" s="176">
        <f t="shared" si="54"/>
        <v>4</v>
      </c>
      <c r="U150" s="251">
        <f t="shared" si="55"/>
        <v>-1.3941104141913028</v>
      </c>
      <c r="V150" s="383">
        <f t="shared" si="56"/>
        <v>40.518065846353096</v>
      </c>
      <c r="W150" s="58"/>
      <c r="X150" s="157">
        <f t="shared" si="57"/>
        <v>43601</v>
      </c>
      <c r="Y150" s="385">
        <f t="shared" si="58"/>
        <v>33.994999999999997</v>
      </c>
      <c r="Z150" s="385">
        <f t="shared" si="59"/>
        <v>34.288134282893886</v>
      </c>
      <c r="AA150" s="386">
        <f t="shared" si="60"/>
        <v>36.452681586841123</v>
      </c>
      <c r="AB150" s="197">
        <f t="shared" si="61"/>
        <v>43601</v>
      </c>
      <c r="AC150" s="427">
        <f>IF(OR(t&lt;Tnet,NoTnet),'2018'!Resal_s+('2018'!Salim-'2018'!Resal_s)*(1-EXP(('2018'!Tnet_s-t)/'2018'!Tau_j)),Resal_s+(Salim-Resal_s)*(1-EXP((Tnet_s-t)/Tau_j)))*Salcycl</f>
        <v>5.9379645329813061E-2</v>
      </c>
      <c r="AD150" s="231">
        <f>(INDEX(Models!$BJ150:$BT150,,AH150)*(1-AF150)+INDEX(Models!$BJ150:$BT150,,AH150+1)*AF150-ERP_i)*AE150*Ramure*Pc/MaxiM</f>
        <v>0</v>
      </c>
      <c r="AE150" s="305">
        <f t="shared" si="62"/>
        <v>0.7</v>
      </c>
      <c r="AF150" s="177">
        <f t="shared" si="63"/>
        <v>0.60588958580869723</v>
      </c>
      <c r="AG150" s="176">
        <f t="shared" si="64"/>
        <v>-2</v>
      </c>
      <c r="AH150" s="176">
        <f t="shared" si="65"/>
        <v>4</v>
      </c>
      <c r="AI150" s="225">
        <f t="shared" si="66"/>
        <v>-1.3941104141913028</v>
      </c>
      <c r="AJ150" s="265" t="b">
        <f t="shared" si="67"/>
        <v>0</v>
      </c>
      <c r="AK150" s="265" t="b">
        <f t="shared" si="68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9"/>
        <v>43602</v>
      </c>
      <c r="B151" s="617">
        <v>5.0339999999999998</v>
      </c>
      <c r="C151" s="390"/>
      <c r="D151" s="393">
        <f t="shared" si="48"/>
        <v>5.0775187112082483</v>
      </c>
      <c r="E151" s="385">
        <f t="shared" si="70"/>
        <v>5.3989407406055712</v>
      </c>
      <c r="F151" s="385">
        <f t="shared" si="49"/>
        <v>5.3989407406055712</v>
      </c>
      <c r="G151" s="110">
        <f t="shared" si="71"/>
        <v>0.12417923505677875</v>
      </c>
      <c r="H151" s="414" t="b">
        <f>Wh_hp&gt;='2018'!Maxi_hp</f>
        <v>1</v>
      </c>
      <c r="I151" s="390">
        <f>IF(H151,Wh_hp,'2018'!Maxi_hp)</f>
        <v>5.3989407406055712</v>
      </c>
      <c r="J151" s="85">
        <f>IF(H151,An,'2018'!An_max)</f>
        <v>2019</v>
      </c>
      <c r="K151" s="197">
        <f t="shared" si="50"/>
        <v>43602</v>
      </c>
      <c r="L151" s="147">
        <f>IF(t&lt;Tvie,1-EXP((T0-t)*PertePVj)+'2018'!Pspv,1-EXP((T0-t)*PertePVj)+Pspv)</f>
        <v>8.5708618093685018E-3</v>
      </c>
      <c r="M151" s="850"/>
      <c r="N151" s="850"/>
      <c r="O151" s="48">
        <f>IF(t&lt;Tnet,'2018'!Resal+('2018'!Salim-'2018'!Resal)*(1-EXP(('2018'!Tnet-t)/('2018'!Tau_j))),Resal+(Salim-Resal)*(1-EXP((Tnet-t)/(Tau_j))))*Salcycl</f>
        <v>5.9534276229390511E-2</v>
      </c>
      <c r="P151" s="169">
        <f>(INDEX(Models!$BJ151:$BT151,,T151)*(1-R151)+INDEX(Models!$BJ151:$BT151,,T151+1)*R151-ERP_i)*Q151*Ramure*Pc/MaxiM</f>
        <v>0</v>
      </c>
      <c r="Q151" s="305">
        <f t="shared" si="51"/>
        <v>0.7</v>
      </c>
      <c r="R151" s="177">
        <f t="shared" si="52"/>
        <v>0.60910775922037641</v>
      </c>
      <c r="S151" s="817">
        <f t="shared" si="53"/>
        <v>-2</v>
      </c>
      <c r="T151" s="176">
        <f t="shared" si="54"/>
        <v>4</v>
      </c>
      <c r="U151" s="251">
        <f t="shared" si="55"/>
        <v>-1.3908922407796236</v>
      </c>
      <c r="V151" s="383">
        <f t="shared" si="56"/>
        <v>40.538178526371922</v>
      </c>
      <c r="W151" s="58"/>
      <c r="X151" s="157">
        <f t="shared" si="57"/>
        <v>43602</v>
      </c>
      <c r="Y151" s="385">
        <f t="shared" si="58"/>
        <v>5.0339999999999998</v>
      </c>
      <c r="Z151" s="385">
        <f t="shared" si="59"/>
        <v>5.0775187112082483</v>
      </c>
      <c r="AA151" s="386">
        <f t="shared" si="60"/>
        <v>5.3989407406055712</v>
      </c>
      <c r="AB151" s="197">
        <f t="shared" si="61"/>
        <v>43602</v>
      </c>
      <c r="AC151" s="427">
        <f>IF(OR(t&lt;Tnet,NoTnet),'2018'!Resal_s+('2018'!Salim-'2018'!Resal_s)*(1-EXP(('2018'!Tnet_s-t)/'2018'!Tau_j)),Resal_s+(Salim-Resal_s)*(1-EXP((Tnet_s-t)/Tau_j)))*Salcycl</f>
        <v>5.9534276229390511E-2</v>
      </c>
      <c r="AD151" s="231">
        <f>(INDEX(Models!$BJ151:$BT151,,AH151)*(1-AF151)+INDEX(Models!$BJ151:$BT151,,AH151+1)*AF151-ERP_i)*AE151*Ramure*Pc/MaxiM</f>
        <v>0</v>
      </c>
      <c r="AE151" s="305">
        <f t="shared" si="62"/>
        <v>0.7</v>
      </c>
      <c r="AF151" s="177">
        <f t="shared" si="63"/>
        <v>0.60910775922037641</v>
      </c>
      <c r="AG151" s="176">
        <f t="shared" si="64"/>
        <v>-2</v>
      </c>
      <c r="AH151" s="176">
        <f t="shared" si="65"/>
        <v>4</v>
      </c>
      <c r="AI151" s="225">
        <f t="shared" si="66"/>
        <v>-1.3908922407796236</v>
      </c>
      <c r="AJ151" s="265" t="b">
        <f t="shared" si="67"/>
        <v>0</v>
      </c>
      <c r="AK151" s="265" t="b">
        <f t="shared" si="68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9"/>
        <v>43603</v>
      </c>
      <c r="B152" s="617">
        <v>25.626000000000001</v>
      </c>
      <c r="C152" s="390"/>
      <c r="D152" s="393">
        <f t="shared" si="48"/>
        <v>25.848101795988942</v>
      </c>
      <c r="E152" s="385">
        <f t="shared" si="70"/>
        <v>27.488893617214242</v>
      </c>
      <c r="F152" s="385">
        <f t="shared" si="49"/>
        <v>27.488893617214242</v>
      </c>
      <c r="G152" s="110">
        <f t="shared" si="71"/>
        <v>0.63190999646196999</v>
      </c>
      <c r="H152" s="414" t="b">
        <f>Wh_hp&gt;='2018'!Maxi_hp</f>
        <v>1</v>
      </c>
      <c r="I152" s="390">
        <f>IF(H152,Wh_hp,'2018'!Maxi_hp)</f>
        <v>27.488893617214242</v>
      </c>
      <c r="J152" s="85">
        <f>IF(H152,An,'2018'!An_max)</f>
        <v>2019</v>
      </c>
      <c r="K152" s="197">
        <f t="shared" si="50"/>
        <v>43603</v>
      </c>
      <c r="L152" s="147">
        <f>IF(t&lt;Tvie,1-EXP((T0-t)*PertePVj)+'2018'!Pspv,1-EXP((T0-t)*PertePVj)+Pspv)</f>
        <v>8.5925766519306945E-3</v>
      </c>
      <c r="M152" s="850"/>
      <c r="N152" s="850"/>
      <c r="O152" s="48">
        <f>IF(t&lt;Tnet,'2018'!Resal+('2018'!Salim-'2018'!Resal)*(1-EXP(('2018'!Tnet-t)/('2018'!Tau_j))),Resal+(Salim-Resal)*(1-EXP((Tnet-t)/(Tau_j))))*Salcycl</f>
        <v>5.9689263746788096E-2</v>
      </c>
      <c r="P152" s="169">
        <f>(INDEX(Models!$BJ152:$BT152,,T152)*(1-R152)+INDEX(Models!$BJ152:$BT152,,T152+1)*R152-ERP_i)*Q152*Ramure*Pc/MaxiM</f>
        <v>0</v>
      </c>
      <c r="Q152" s="305">
        <f t="shared" si="51"/>
        <v>0.7</v>
      </c>
      <c r="R152" s="177">
        <f t="shared" si="52"/>
        <v>0.61238689823760617</v>
      </c>
      <c r="S152" s="817">
        <f t="shared" si="53"/>
        <v>-2</v>
      </c>
      <c r="T152" s="176">
        <f t="shared" si="54"/>
        <v>4</v>
      </c>
      <c r="U152" s="251">
        <f t="shared" si="55"/>
        <v>-1.3876131017623938</v>
      </c>
      <c r="V152" s="383">
        <f t="shared" si="56"/>
        <v>40.553243568670524</v>
      </c>
      <c r="W152" s="58"/>
      <c r="X152" s="157">
        <f t="shared" si="57"/>
        <v>43603</v>
      </c>
      <c r="Y152" s="385">
        <f t="shared" si="58"/>
        <v>25.626000000000001</v>
      </c>
      <c r="Z152" s="385">
        <f t="shared" si="59"/>
        <v>25.848101795988942</v>
      </c>
      <c r="AA152" s="386">
        <f t="shared" si="60"/>
        <v>27.488893617214242</v>
      </c>
      <c r="AB152" s="197">
        <f t="shared" si="61"/>
        <v>43603</v>
      </c>
      <c r="AC152" s="427">
        <f>IF(OR(t&lt;Tnet,NoTnet),'2018'!Resal_s+('2018'!Salim-'2018'!Resal_s)*(1-EXP(('2018'!Tnet_s-t)/'2018'!Tau_j)),Resal_s+(Salim-Resal_s)*(1-EXP((Tnet_s-t)/Tau_j)))*Salcycl</f>
        <v>5.9689263746788096E-2</v>
      </c>
      <c r="AD152" s="231">
        <f>(INDEX(Models!$BJ152:$BT152,,AH152)*(1-AF152)+INDEX(Models!$BJ152:$BT152,,AH152+1)*AF152-ERP_i)*AE152*Ramure*Pc/MaxiM</f>
        <v>0</v>
      </c>
      <c r="AE152" s="305">
        <f t="shared" si="62"/>
        <v>0.7</v>
      </c>
      <c r="AF152" s="177">
        <f t="shared" si="63"/>
        <v>0.61238689823760617</v>
      </c>
      <c r="AG152" s="176">
        <f t="shared" si="64"/>
        <v>-2</v>
      </c>
      <c r="AH152" s="176">
        <f t="shared" si="65"/>
        <v>4</v>
      </c>
      <c r="AI152" s="225">
        <f t="shared" si="66"/>
        <v>-1.3876131017623938</v>
      </c>
      <c r="AJ152" s="265" t="b">
        <f t="shared" si="67"/>
        <v>0</v>
      </c>
      <c r="AK152" s="265" t="b">
        <f t="shared" si="68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9"/>
        <v>43604</v>
      </c>
      <c r="B153" s="617">
        <v>18.573</v>
      </c>
      <c r="C153" s="390"/>
      <c r="D153" s="393">
        <f t="shared" si="48"/>
        <v>18.734383430933384</v>
      </c>
      <c r="E153" s="385">
        <f t="shared" si="70"/>
        <v>19.926900151000456</v>
      </c>
      <c r="F153" s="385">
        <f t="shared" si="49"/>
        <v>19.926900151000456</v>
      </c>
      <c r="G153" s="110">
        <f t="shared" si="71"/>
        <v>0.45787170678383654</v>
      </c>
      <c r="H153" s="414" t="b">
        <f>Wh_hp&gt;='2018'!Maxi_hp</f>
        <v>1</v>
      </c>
      <c r="I153" s="390">
        <f>IF(H153,Wh_hp,'2018'!Maxi_hp)</f>
        <v>19.926900151000456</v>
      </c>
      <c r="J153" s="85">
        <f>IF(H153,An,'2018'!An_max)</f>
        <v>2019</v>
      </c>
      <c r="K153" s="197">
        <f t="shared" si="50"/>
        <v>43604</v>
      </c>
      <c r="L153" s="147">
        <f>IF(t&lt;Tvie,1-EXP((T0-t)*PertePVj)+'2018'!Pspv,1-EXP((T0-t)*PertePVj)+Pspv)</f>
        <v>8.6142910188821142E-3</v>
      </c>
      <c r="M153" s="850"/>
      <c r="N153" s="850"/>
      <c r="O153" s="48">
        <f>IF(t&lt;Tnet,'2018'!Resal+('2018'!Salim-'2018'!Resal)*(1-EXP(('2018'!Tnet-t)/('2018'!Tau_j))),Resal+(Salim-Resal)*(1-EXP((Tnet-t)/(Tau_j))))*Salcycl</f>
        <v>5.9844567445539079E-2</v>
      </c>
      <c r="P153" s="169">
        <f>(INDEX(Models!$BJ153:$BT153,,T153)*(1-R153)+INDEX(Models!$BJ153:$BT153,,T153+1)*R153-ERP_i)*Q153*Ramure*Pc/MaxiM</f>
        <v>0</v>
      </c>
      <c r="Q153" s="305">
        <f t="shared" si="51"/>
        <v>0.7</v>
      </c>
      <c r="R153" s="177">
        <f t="shared" si="52"/>
        <v>0.61572590489944812</v>
      </c>
      <c r="S153" s="817">
        <f t="shared" si="53"/>
        <v>-2</v>
      </c>
      <c r="T153" s="176">
        <f t="shared" si="54"/>
        <v>4</v>
      </c>
      <c r="U153" s="251">
        <f t="shared" si="55"/>
        <v>-1.3842740951005519</v>
      </c>
      <c r="V153" s="383">
        <f t="shared" si="56"/>
        <v>40.563764313937845</v>
      </c>
      <c r="W153" s="58"/>
      <c r="X153" s="157">
        <f t="shared" si="57"/>
        <v>43604</v>
      </c>
      <c r="Y153" s="385">
        <f t="shared" si="58"/>
        <v>18.573</v>
      </c>
      <c r="Z153" s="385">
        <f t="shared" si="59"/>
        <v>18.734383430933384</v>
      </c>
      <c r="AA153" s="386">
        <f t="shared" si="60"/>
        <v>19.926900151000456</v>
      </c>
      <c r="AB153" s="197">
        <f t="shared" si="61"/>
        <v>43604</v>
      </c>
      <c r="AC153" s="427">
        <f>IF(OR(t&lt;Tnet,NoTnet),'2018'!Resal_s+('2018'!Salim-'2018'!Resal_s)*(1-EXP(('2018'!Tnet_s-t)/'2018'!Tau_j)),Resal_s+(Salim-Resal_s)*(1-EXP((Tnet_s-t)/Tau_j)))*Salcycl</f>
        <v>5.9844567445539079E-2</v>
      </c>
      <c r="AD153" s="231">
        <f>(INDEX(Models!$BJ153:$BT153,,AH153)*(1-AF153)+INDEX(Models!$BJ153:$BT153,,AH153+1)*AF153-ERP_i)*AE153*Ramure*Pc/MaxiM</f>
        <v>0</v>
      </c>
      <c r="AE153" s="305">
        <f t="shared" si="62"/>
        <v>0.7</v>
      </c>
      <c r="AF153" s="177">
        <f t="shared" si="63"/>
        <v>0.61572590489944812</v>
      </c>
      <c r="AG153" s="176">
        <f t="shared" si="64"/>
        <v>-2</v>
      </c>
      <c r="AH153" s="176">
        <f t="shared" si="65"/>
        <v>4</v>
      </c>
      <c r="AI153" s="225">
        <f t="shared" si="66"/>
        <v>-1.3842740951005519</v>
      </c>
      <c r="AJ153" s="265" t="b">
        <f t="shared" si="67"/>
        <v>0</v>
      </c>
      <c r="AK153" s="265" t="b">
        <f t="shared" si="68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9"/>
        <v>43605</v>
      </c>
      <c r="B154" s="617">
        <v>37.005000000000003</v>
      </c>
      <c r="C154" s="390"/>
      <c r="D154" s="393">
        <f t="shared" si="48"/>
        <v>37.327359257836711</v>
      </c>
      <c r="E154" s="385">
        <f t="shared" si="70"/>
        <v>39.709962785031117</v>
      </c>
      <c r="F154" s="385">
        <f t="shared" si="49"/>
        <v>39.709962785031117</v>
      </c>
      <c r="G154" s="110">
        <f t="shared" si="71"/>
        <v>0.91212170580315222</v>
      </c>
      <c r="H154" s="414" t="b">
        <f>Wh_hp&gt;='2018'!Maxi_hp</f>
        <v>1</v>
      </c>
      <c r="I154" s="390">
        <f>IF(H154,Wh_hp,'2018'!Maxi_hp)</f>
        <v>39.709962785031117</v>
      </c>
      <c r="J154" s="85">
        <f>IF(H154,An,'2018'!An_max)</f>
        <v>2019</v>
      </c>
      <c r="K154" s="197">
        <f t="shared" si="50"/>
        <v>43605</v>
      </c>
      <c r="L154" s="147">
        <f>IF(t&lt;Tvie,1-EXP((T0-t)*PertePVj)+'2018'!Pspv,1-EXP((T0-t)*PertePVj)+Pspv)</f>
        <v>8.636004910233086E-3</v>
      </c>
      <c r="M154" s="850"/>
      <c r="N154" s="850"/>
      <c r="O154" s="48">
        <f>IF(t&lt;Tnet,'2018'!Resal+('2018'!Salim-'2018'!Resal)*(1-EXP(('2018'!Tnet-t)/('2018'!Tau_j))),Resal+(Salim-Resal)*(1-EXP((Tnet-t)/(Tau_j))))*Salcycl</f>
        <v>6.0000145054090549E-2</v>
      </c>
      <c r="P154" s="169">
        <f>(INDEX(Models!$BJ154:$BT154,,T154)*(1-R154)+INDEX(Models!$BJ154:$BT154,,T154+1)*R154-ERP_i)*Q154*Ramure*Pc/MaxiM</f>
        <v>0</v>
      </c>
      <c r="Q154" s="305">
        <f t="shared" si="51"/>
        <v>0.7</v>
      </c>
      <c r="R154" s="177">
        <f t="shared" si="52"/>
        <v>0.61912353790323471</v>
      </c>
      <c r="S154" s="817">
        <f t="shared" si="53"/>
        <v>-2</v>
      </c>
      <c r="T154" s="176">
        <f t="shared" si="54"/>
        <v>4</v>
      </c>
      <c r="U154" s="251">
        <f t="shared" si="55"/>
        <v>-1.3808764620967653</v>
      </c>
      <c r="V154" s="383">
        <f t="shared" si="56"/>
        <v>40.570243822249488</v>
      </c>
      <c r="W154" s="58"/>
      <c r="X154" s="157">
        <f t="shared" si="57"/>
        <v>43605</v>
      </c>
      <c r="Y154" s="385">
        <f t="shared" si="58"/>
        <v>37.005000000000003</v>
      </c>
      <c r="Z154" s="385">
        <f t="shared" si="59"/>
        <v>37.327359257836711</v>
      </c>
      <c r="AA154" s="386">
        <f t="shared" si="60"/>
        <v>39.709962785031117</v>
      </c>
      <c r="AB154" s="197">
        <f t="shared" si="61"/>
        <v>43605</v>
      </c>
      <c r="AC154" s="427">
        <f>IF(OR(t&lt;Tnet,NoTnet),'2018'!Resal_s+('2018'!Salim-'2018'!Resal_s)*(1-EXP(('2018'!Tnet_s-t)/'2018'!Tau_j)),Resal_s+(Salim-Resal_s)*(1-EXP((Tnet_s-t)/Tau_j)))*Salcycl</f>
        <v>6.0000145054090549E-2</v>
      </c>
      <c r="AD154" s="231">
        <f>(INDEX(Models!$BJ154:$BT154,,AH154)*(1-AF154)+INDEX(Models!$BJ154:$BT154,,AH154+1)*AF154-ERP_i)*AE154*Ramure*Pc/MaxiM</f>
        <v>0</v>
      </c>
      <c r="AE154" s="305">
        <f t="shared" si="62"/>
        <v>0.7</v>
      </c>
      <c r="AF154" s="177">
        <f t="shared" si="63"/>
        <v>0.61912353790323471</v>
      </c>
      <c r="AG154" s="176">
        <f t="shared" si="64"/>
        <v>-2</v>
      </c>
      <c r="AH154" s="176">
        <f t="shared" si="65"/>
        <v>4</v>
      </c>
      <c r="AI154" s="225">
        <f t="shared" si="66"/>
        <v>-1.3808764620967653</v>
      </c>
      <c r="AJ154" s="265" t="b">
        <f t="shared" si="67"/>
        <v>0</v>
      </c>
      <c r="AK154" s="265" t="b">
        <f t="shared" si="68"/>
        <v>0</v>
      </c>
      <c r="AL154" s="265"/>
      <c r="AM154" s="265"/>
      <c r="AN154" s="75"/>
    </row>
    <row r="155" spans="1:40" s="6" customFormat="1" ht="11.25" x14ac:dyDescent="0.2">
      <c r="A155" s="56">
        <f t="shared" si="69"/>
        <v>43606</v>
      </c>
      <c r="B155" s="617">
        <v>28.981000000000002</v>
      </c>
      <c r="C155" s="390"/>
      <c r="D155" s="393">
        <f t="shared" si="48"/>
        <v>29.234100608582889</v>
      </c>
      <c r="E155" s="385">
        <f t="shared" si="70"/>
        <v>31.105267611268864</v>
      </c>
      <c r="F155" s="385">
        <f t="shared" si="49"/>
        <v>31.105267611268864</v>
      </c>
      <c r="G155" s="110">
        <f t="shared" si="71"/>
        <v>0.71428950173597672</v>
      </c>
      <c r="H155" s="414" t="b">
        <f>Wh_hp&gt;='2018'!Maxi_hp</f>
        <v>1</v>
      </c>
      <c r="I155" s="390">
        <f>IF(H155,Wh_hp,'2018'!Maxi_hp)</f>
        <v>31.105267611268864</v>
      </c>
      <c r="J155" s="85">
        <f>IF(H155,An,'2018'!An_max)</f>
        <v>2019</v>
      </c>
      <c r="K155" s="197">
        <f t="shared" si="50"/>
        <v>43606</v>
      </c>
      <c r="L155" s="147">
        <f>IF(t&lt;Tvie,1-EXP((T0-t)*PertePVj)+'2018'!Pspv,1-EXP((T0-t)*PertePVj)+Pspv)</f>
        <v>8.657718325994268E-3</v>
      </c>
      <c r="M155" s="850"/>
      <c r="N155" s="850"/>
      <c r="O155" s="48">
        <f>IF(t&lt;Tnet,'2018'!Resal+('2018'!Salim-'2018'!Resal)*(1-EXP(('2018'!Tnet-t)/('2018'!Tau_j))),Resal+(Salim-Resal)*(1-EXP((Tnet-t)/(Tau_j))))*Salcycl</f>
        <v>6.0155952556668758E-2</v>
      </c>
      <c r="P155" s="169">
        <f>(INDEX(Models!$BJ155:$BT155,,T155)*(1-R155)+INDEX(Models!$BJ155:$BT155,,T155+1)*R155-ERP_i)*Q155*Ramure*Pc/MaxiM</f>
        <v>0</v>
      </c>
      <c r="Q155" s="305">
        <f t="shared" si="51"/>
        <v>0.7</v>
      </c>
      <c r="R155" s="177">
        <f t="shared" si="52"/>
        <v>0.62257841129484159</v>
      </c>
      <c r="S155" s="817">
        <f t="shared" si="53"/>
        <v>-2</v>
      </c>
      <c r="T155" s="176">
        <f t="shared" si="54"/>
        <v>4</v>
      </c>
      <c r="U155" s="251">
        <f t="shared" si="55"/>
        <v>-1.3774215887051584</v>
      </c>
      <c r="V155" s="383">
        <f t="shared" si="56"/>
        <v>40.573184863512481</v>
      </c>
      <c r="W155" s="58"/>
      <c r="X155" s="157">
        <f t="shared" si="57"/>
        <v>43606</v>
      </c>
      <c r="Y155" s="385">
        <f t="shared" si="58"/>
        <v>28.981000000000002</v>
      </c>
      <c r="Z155" s="385">
        <f t="shared" si="59"/>
        <v>29.234100608582889</v>
      </c>
      <c r="AA155" s="386">
        <f t="shared" si="60"/>
        <v>31.105267611268864</v>
      </c>
      <c r="AB155" s="197">
        <f t="shared" si="61"/>
        <v>43606</v>
      </c>
      <c r="AC155" s="427">
        <f>IF(OR(t&lt;Tnet,NoTnet),'2018'!Resal_s+('2018'!Salim-'2018'!Resal_s)*(1-EXP(('2018'!Tnet_s-t)/'2018'!Tau_j)),Resal_s+(Salim-Resal_s)*(1-EXP((Tnet_s-t)/Tau_j)))*Salcycl</f>
        <v>6.0155952556668758E-2</v>
      </c>
      <c r="AD155" s="231">
        <f>(INDEX(Models!$BJ155:$BT155,,AH155)*(1-AF155)+INDEX(Models!$BJ155:$BT155,,AH155+1)*AF155-ERP_i)*AE155*Ramure*Pc/MaxiM</f>
        <v>0</v>
      </c>
      <c r="AE155" s="305">
        <f t="shared" si="62"/>
        <v>0.7</v>
      </c>
      <c r="AF155" s="177">
        <f t="shared" si="63"/>
        <v>0.62257841129484159</v>
      </c>
      <c r="AG155" s="176">
        <f t="shared" si="64"/>
        <v>-2</v>
      </c>
      <c r="AH155" s="176">
        <f t="shared" si="65"/>
        <v>4</v>
      </c>
      <c r="AI155" s="225">
        <f t="shared" si="66"/>
        <v>-1.3774215887051584</v>
      </c>
      <c r="AJ155" s="265" t="b">
        <f t="shared" si="67"/>
        <v>0</v>
      </c>
      <c r="AK155" s="265" t="b">
        <f t="shared" si="68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9"/>
        <v>43607</v>
      </c>
      <c r="B156" s="617">
        <v>39.984000000000002</v>
      </c>
      <c r="C156" s="390"/>
      <c r="D156" s="393">
        <f t="shared" si="48"/>
        <v>40.33407684768413</v>
      </c>
      <c r="E156" s="385">
        <f t="shared" si="70"/>
        <v>42.922836576302252</v>
      </c>
      <c r="F156" s="385">
        <f t="shared" si="49"/>
        <v>42.922836576302252</v>
      </c>
      <c r="G156" s="110">
        <f t="shared" si="71"/>
        <v>0.98548077278572044</v>
      </c>
      <c r="H156" s="414" t="b">
        <f>Wh_hp&gt;='2018'!Maxi_hp</f>
        <v>1</v>
      </c>
      <c r="I156" s="390">
        <f>IF(H156,Wh_hp,'2018'!Maxi_hp)</f>
        <v>42.922836576302252</v>
      </c>
      <c r="J156" s="85">
        <f>IF(H156,An,'2018'!An_max)</f>
        <v>2019</v>
      </c>
      <c r="K156" s="197">
        <f t="shared" si="50"/>
        <v>43607</v>
      </c>
      <c r="L156" s="147">
        <f>IF(t&lt;Tvie,1-EXP((T0-t)*PertePVj)+'2018'!Pspv,1-EXP((T0-t)*PertePVj)+Pspv)</f>
        <v>8.6794312661757633E-3</v>
      </c>
      <c r="M156" s="850"/>
      <c r="N156" s="850"/>
      <c r="O156" s="48">
        <f>IF(t&lt;Tnet,'2018'!Resal+('2018'!Salim-'2018'!Resal)*(1-EXP(('2018'!Tnet-t)/('2018'!Tau_j))),Resal+(Salim-Resal)*(1-EXP((Tnet-t)/(Tau_j))))*Salcycl</f>
        <v>6.0311944296043578E-2</v>
      </c>
      <c r="P156" s="169">
        <f>(INDEX(Models!$BJ156:$BT156,,T156)*(1-R156)+INDEX(Models!$BJ156:$BT156,,T156+1)*R156-ERP_i)*Q156*Ramure*Pc/MaxiM</f>
        <v>0</v>
      </c>
      <c r="Q156" s="305">
        <f t="shared" si="51"/>
        <v>0.7</v>
      </c>
      <c r="R156" s="177">
        <f t="shared" si="52"/>
        <v>0.6260889938005858</v>
      </c>
      <c r="S156" s="817">
        <f t="shared" si="53"/>
        <v>-2</v>
      </c>
      <c r="T156" s="176">
        <f t="shared" si="54"/>
        <v>4</v>
      </c>
      <c r="U156" s="251">
        <f t="shared" si="55"/>
        <v>-1.3739110061994142</v>
      </c>
      <c r="V156" s="383">
        <f t="shared" si="56"/>
        <v>40.573089911206203</v>
      </c>
      <c r="W156" s="58"/>
      <c r="X156" s="157">
        <f t="shared" si="57"/>
        <v>43607</v>
      </c>
      <c r="Y156" s="385">
        <f t="shared" si="58"/>
        <v>39.984000000000002</v>
      </c>
      <c r="Z156" s="385">
        <f t="shared" si="59"/>
        <v>40.33407684768413</v>
      </c>
      <c r="AA156" s="386">
        <f t="shared" si="60"/>
        <v>42.922836576302252</v>
      </c>
      <c r="AB156" s="197">
        <f t="shared" si="61"/>
        <v>43607</v>
      </c>
      <c r="AC156" s="427">
        <f>IF(OR(t&lt;Tnet,NoTnet),'2018'!Resal_s+('2018'!Salim-'2018'!Resal_s)*(1-EXP(('2018'!Tnet_s-t)/'2018'!Tau_j)),Resal_s+(Salim-Resal_s)*(1-EXP((Tnet_s-t)/Tau_j)))*Salcycl</f>
        <v>6.0311944296043578E-2</v>
      </c>
      <c r="AD156" s="231">
        <f>(INDEX(Models!$BJ156:$BT156,,AH156)*(1-AF156)+INDEX(Models!$BJ156:$BT156,,AH156+1)*AF156-ERP_i)*AE156*Ramure*Pc/MaxiM</f>
        <v>0</v>
      </c>
      <c r="AE156" s="305">
        <f t="shared" si="62"/>
        <v>0.7</v>
      </c>
      <c r="AF156" s="177">
        <f t="shared" si="63"/>
        <v>0.6260889938005858</v>
      </c>
      <c r="AG156" s="176">
        <f t="shared" si="64"/>
        <v>-2</v>
      </c>
      <c r="AH156" s="176">
        <f t="shared" si="65"/>
        <v>4</v>
      </c>
      <c r="AI156" s="225">
        <f t="shared" si="66"/>
        <v>-1.3739110061994142</v>
      </c>
      <c r="AJ156" s="265" t="b">
        <f t="shared" si="67"/>
        <v>0</v>
      </c>
      <c r="AK156" s="265" t="b">
        <f t="shared" si="68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9"/>
        <v>43608</v>
      </c>
      <c r="B157" s="617">
        <v>34.427999999999997</v>
      </c>
      <c r="C157" s="390"/>
      <c r="D157" s="393">
        <f t="shared" si="48"/>
        <v>34.730192395834081</v>
      </c>
      <c r="E157" s="385">
        <f t="shared" si="70"/>
        <v>36.965420121468632</v>
      </c>
      <c r="F157" s="385">
        <f t="shared" si="49"/>
        <v>36.965420121468632</v>
      </c>
      <c r="G157" s="110">
        <f t="shared" si="71"/>
        <v>0.84859769978662858</v>
      </c>
      <c r="H157" s="414" t="b">
        <f>Wh_hp&gt;='2018'!Maxi_hp</f>
        <v>1</v>
      </c>
      <c r="I157" s="390">
        <f>IF(H157,Wh_hp,'2018'!Maxi_hp)</f>
        <v>36.965420121468632</v>
      </c>
      <c r="J157" s="85">
        <f>IF(H157,An,'2018'!An_max)</f>
        <v>2019</v>
      </c>
      <c r="K157" s="197">
        <f t="shared" si="50"/>
        <v>43608</v>
      </c>
      <c r="L157" s="147">
        <f>IF(t&lt;Tvie,1-EXP((T0-t)*PertePVj)+'2018'!Pspv,1-EXP((T0-t)*PertePVj)+Pspv)</f>
        <v>8.70114373078823E-3</v>
      </c>
      <c r="M157" s="850"/>
      <c r="N157" s="850"/>
      <c r="O157" s="48">
        <f>IF(t&lt;Tnet,'2018'!Resal+('2018'!Salim-'2018'!Resal)*(1-EXP(('2018'!Tnet-t)/('2018'!Tau_j))),Resal+(Salim-Resal)*(1-EXP((Tnet-t)/(Tau_j))))*Salcycl</f>
        <v>6.0468073088025903E-2</v>
      </c>
      <c r="P157" s="169">
        <f>(INDEX(Models!$BJ157:$BT157,,T157)*(1-R157)+INDEX(Models!$BJ157:$BT157,,T157+1)*R157-ERP_i)*Q157*Ramure*Pc/MaxiM</f>
        <v>0</v>
      </c>
      <c r="Q157" s="305">
        <f t="shared" si="51"/>
        <v>0.7</v>
      </c>
      <c r="R157" s="177">
        <f t="shared" si="52"/>
        <v>0.62965360883668975</v>
      </c>
      <c r="S157" s="817">
        <f t="shared" si="53"/>
        <v>-2</v>
      </c>
      <c r="T157" s="176">
        <f t="shared" si="54"/>
        <v>4</v>
      </c>
      <c r="U157" s="251">
        <f t="shared" si="55"/>
        <v>-1.3703463911633103</v>
      </c>
      <c r="V157" s="383">
        <f t="shared" si="56"/>
        <v>40.570461136833835</v>
      </c>
      <c r="W157" s="58"/>
      <c r="X157" s="157">
        <f t="shared" si="57"/>
        <v>43608</v>
      </c>
      <c r="Y157" s="385">
        <f t="shared" si="58"/>
        <v>34.427999999999997</v>
      </c>
      <c r="Z157" s="385">
        <f t="shared" si="59"/>
        <v>34.730192395834081</v>
      </c>
      <c r="AA157" s="386">
        <f t="shared" si="60"/>
        <v>36.965420121468632</v>
      </c>
      <c r="AB157" s="197">
        <f t="shared" si="61"/>
        <v>43608</v>
      </c>
      <c r="AC157" s="427">
        <f>IF(OR(t&lt;Tnet,NoTnet),'2018'!Resal_s+('2018'!Salim-'2018'!Resal_s)*(1-EXP(('2018'!Tnet_s-t)/'2018'!Tau_j)),Resal_s+(Salim-Resal_s)*(1-EXP((Tnet_s-t)/Tau_j)))*Salcycl</f>
        <v>6.0468073088025903E-2</v>
      </c>
      <c r="AD157" s="231">
        <f>(INDEX(Models!$BJ157:$BT157,,AH157)*(1-AF157)+INDEX(Models!$BJ157:$BT157,,AH157+1)*AF157-ERP_i)*AE157*Ramure*Pc/MaxiM</f>
        <v>0</v>
      </c>
      <c r="AE157" s="305">
        <f t="shared" si="62"/>
        <v>0.7</v>
      </c>
      <c r="AF157" s="177">
        <f t="shared" si="63"/>
        <v>0.62965360883668975</v>
      </c>
      <c r="AG157" s="176">
        <f t="shared" si="64"/>
        <v>-2</v>
      </c>
      <c r="AH157" s="176">
        <f t="shared" si="65"/>
        <v>4</v>
      </c>
      <c r="AI157" s="225">
        <f t="shared" si="66"/>
        <v>-1.3703463911633103</v>
      </c>
      <c r="AJ157" s="265" t="b">
        <f t="shared" si="67"/>
        <v>0</v>
      </c>
      <c r="AK157" s="265" t="b">
        <f t="shared" si="68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9"/>
        <v>43609</v>
      </c>
      <c r="B158" s="617">
        <v>8.6560000000000006</v>
      </c>
      <c r="C158" s="390"/>
      <c r="D158" s="393">
        <f t="shared" si="48"/>
        <v>8.7321694542708155</v>
      </c>
      <c r="E158" s="385">
        <f t="shared" si="70"/>
        <v>9.2957156168114885</v>
      </c>
      <c r="F158" s="385">
        <f t="shared" si="49"/>
        <v>9.2957156168114885</v>
      </c>
      <c r="G158" s="110">
        <f t="shared" si="71"/>
        <v>0.21338171353026436</v>
      </c>
      <c r="H158" s="414" t="b">
        <f>Wh_hp&gt;='2018'!Maxi_hp</f>
        <v>1</v>
      </c>
      <c r="I158" s="390">
        <f>IF(H158,Wh_hp,'2018'!Maxi_hp)</f>
        <v>9.2957156168114885</v>
      </c>
      <c r="J158" s="85">
        <f>IF(H158,An,'2018'!An_max)</f>
        <v>2019</v>
      </c>
      <c r="K158" s="197">
        <f t="shared" si="50"/>
        <v>43609</v>
      </c>
      <c r="L158" s="147">
        <f>IF(t&lt;Tvie,1-EXP((T0-t)*PertePVj)+'2018'!Pspv,1-EXP((T0-t)*PertePVj)+Pspv)</f>
        <v>8.7228557198419931E-3</v>
      </c>
      <c r="M158" s="850"/>
      <c r="N158" s="850"/>
      <c r="O158" s="48">
        <f>IF(t&lt;Tnet,'2018'!Resal+('2018'!Salim-'2018'!Resal)*(1-EXP(('2018'!Tnet-t)/('2018'!Tau_j))),Resal+(Salim-Resal)*(1-EXP((Tnet-t)/(Tau_j))))*Salcycl</f>
        <v>6.0624290347424954E-2</v>
      </c>
      <c r="P158" s="169">
        <f>(INDEX(Models!$BJ158:$BT158,,T158)*(1-R158)+INDEX(Models!$BJ158:$BT158,,T158+1)*R158-ERP_i)*Q158*Ramure*Pc/MaxiM</f>
        <v>0</v>
      </c>
      <c r="Q158" s="305">
        <f t="shared" si="51"/>
        <v>0.7</v>
      </c>
      <c r="R158" s="177">
        <f t="shared" si="52"/>
        <v>0.63327043522802273</v>
      </c>
      <c r="S158" s="817">
        <f t="shared" si="53"/>
        <v>-2</v>
      </c>
      <c r="T158" s="176">
        <f t="shared" si="54"/>
        <v>4</v>
      </c>
      <c r="U158" s="251">
        <f t="shared" si="55"/>
        <v>-1.3667295647719773</v>
      </c>
      <c r="V158" s="383">
        <f t="shared" si="56"/>
        <v>40.565800399631257</v>
      </c>
      <c r="W158" s="58"/>
      <c r="X158" s="157">
        <f t="shared" si="57"/>
        <v>43609</v>
      </c>
      <c r="Y158" s="385">
        <f t="shared" si="58"/>
        <v>8.6560000000000006</v>
      </c>
      <c r="Z158" s="385">
        <f t="shared" si="59"/>
        <v>8.7321694542708155</v>
      </c>
      <c r="AA158" s="386">
        <f t="shared" si="60"/>
        <v>9.2957156168114885</v>
      </c>
      <c r="AB158" s="197">
        <f t="shared" si="61"/>
        <v>43609</v>
      </c>
      <c r="AC158" s="427">
        <f>IF(OR(t&lt;Tnet,NoTnet),'2018'!Resal_s+('2018'!Salim-'2018'!Resal_s)*(1-EXP(('2018'!Tnet_s-t)/'2018'!Tau_j)),Resal_s+(Salim-Resal_s)*(1-EXP((Tnet_s-t)/Tau_j)))*Salcycl</f>
        <v>6.0624290347424954E-2</v>
      </c>
      <c r="AD158" s="231">
        <f>(INDEX(Models!$BJ158:$BT158,,AH158)*(1-AF158)+INDEX(Models!$BJ158:$BT158,,AH158+1)*AF158-ERP_i)*AE158*Ramure*Pc/MaxiM</f>
        <v>0</v>
      </c>
      <c r="AE158" s="305">
        <f t="shared" si="62"/>
        <v>0.7</v>
      </c>
      <c r="AF158" s="177">
        <f t="shared" si="63"/>
        <v>0.63327043522802273</v>
      </c>
      <c r="AG158" s="176">
        <f t="shared" si="64"/>
        <v>-2</v>
      </c>
      <c r="AH158" s="176">
        <f t="shared" si="65"/>
        <v>4</v>
      </c>
      <c r="AI158" s="225">
        <f t="shared" si="66"/>
        <v>-1.3667295647719773</v>
      </c>
      <c r="AJ158" s="265" t="b">
        <f t="shared" si="67"/>
        <v>0</v>
      </c>
      <c r="AK158" s="265" t="b">
        <f t="shared" si="68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9"/>
        <v>43610</v>
      </c>
      <c r="B159" s="617">
        <v>19.491</v>
      </c>
      <c r="C159" s="390"/>
      <c r="D159" s="393">
        <f t="shared" si="48"/>
        <v>19.662943935247309</v>
      </c>
      <c r="E159" s="385">
        <f t="shared" si="70"/>
        <v>20.93540956399271</v>
      </c>
      <c r="F159" s="385">
        <f t="shared" si="49"/>
        <v>20.93540956399271</v>
      </c>
      <c r="G159" s="110">
        <f t="shared" si="71"/>
        <v>0.48055196696233587</v>
      </c>
      <c r="H159" s="414" t="b">
        <f>Wh_hp&gt;='2018'!Maxi_hp</f>
        <v>1</v>
      </c>
      <c r="I159" s="390">
        <f>IF(H159,Wh_hp,'2018'!Maxi_hp)</f>
        <v>20.93540956399271</v>
      </c>
      <c r="J159" s="85">
        <f>IF(H159,An,'2018'!An_max)</f>
        <v>2019</v>
      </c>
      <c r="K159" s="197">
        <f t="shared" si="50"/>
        <v>43610</v>
      </c>
      <c r="L159" s="147">
        <f>IF(t&lt;Tvie,1-EXP((T0-t)*PertePVj)+'2018'!Pspv,1-EXP((T0-t)*PertePVj)+Pspv)</f>
        <v>8.7445672333473778E-3</v>
      </c>
      <c r="M159" s="850"/>
      <c r="N159" s="850"/>
      <c r="O159" s="48">
        <f>IF(t&lt;Tnet,'2018'!Resal+('2018'!Salim-'2018'!Resal)*(1-EXP(('2018'!Tnet-t)/('2018'!Tau_j))),Resal+(Salim-Resal)*(1-EXP((Tnet-t)/(Tau_j))))*Salcycl</f>
        <v>6.0780546225087689E-2</v>
      </c>
      <c r="P159" s="169">
        <f>(INDEX(Models!$BJ159:$BT159,,T159)*(1-R159)+INDEX(Models!$BJ159:$BT159,,T159+1)*R159-ERP_i)*Q159*Ramure*Pc/MaxiM</f>
        <v>0</v>
      </c>
      <c r="Q159" s="305">
        <f t="shared" si="51"/>
        <v>0.7</v>
      </c>
      <c r="R159" s="177">
        <f t="shared" si="52"/>
        <v>0.6369375086630038</v>
      </c>
      <c r="S159" s="817">
        <f t="shared" si="53"/>
        <v>-2</v>
      </c>
      <c r="T159" s="176">
        <f t="shared" si="54"/>
        <v>4</v>
      </c>
      <c r="U159" s="251">
        <f t="shared" si="55"/>
        <v>-1.3630624913369962</v>
      </c>
      <c r="V159" s="383">
        <f t="shared" si="56"/>
        <v>40.559609241028532</v>
      </c>
      <c r="W159" s="58"/>
      <c r="X159" s="157">
        <f t="shared" si="57"/>
        <v>43610</v>
      </c>
      <c r="Y159" s="385">
        <f t="shared" si="58"/>
        <v>19.491</v>
      </c>
      <c r="Z159" s="385">
        <f t="shared" si="59"/>
        <v>19.662943935247309</v>
      </c>
      <c r="AA159" s="386">
        <f t="shared" si="60"/>
        <v>20.93540956399271</v>
      </c>
      <c r="AB159" s="197">
        <f t="shared" si="61"/>
        <v>43610</v>
      </c>
      <c r="AC159" s="427">
        <f>IF(OR(t&lt;Tnet,NoTnet),'2018'!Resal_s+('2018'!Salim-'2018'!Resal_s)*(1-EXP(('2018'!Tnet_s-t)/'2018'!Tau_j)),Resal_s+(Salim-Resal_s)*(1-EXP((Tnet_s-t)/Tau_j)))*Salcycl</f>
        <v>6.0780546225087689E-2</v>
      </c>
      <c r="AD159" s="231">
        <f>(INDEX(Models!$BJ159:$BT159,,AH159)*(1-AF159)+INDEX(Models!$BJ159:$BT159,,AH159+1)*AF159-ERP_i)*AE159*Ramure*Pc/MaxiM</f>
        <v>0</v>
      </c>
      <c r="AE159" s="305">
        <f t="shared" si="62"/>
        <v>0.7</v>
      </c>
      <c r="AF159" s="177">
        <f t="shared" si="63"/>
        <v>0.6369375086630038</v>
      </c>
      <c r="AG159" s="176">
        <f t="shared" si="64"/>
        <v>-2</v>
      </c>
      <c r="AH159" s="176">
        <f t="shared" si="65"/>
        <v>4</v>
      </c>
      <c r="AI159" s="225">
        <f t="shared" si="66"/>
        <v>-1.3630624913369962</v>
      </c>
      <c r="AJ159" s="265" t="b">
        <f t="shared" si="67"/>
        <v>0</v>
      </c>
      <c r="AK159" s="265" t="b">
        <f t="shared" si="68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9"/>
        <v>43611</v>
      </c>
      <c r="B160" s="617">
        <v>19.265999999999998</v>
      </c>
      <c r="C160" s="390"/>
      <c r="D160" s="393">
        <f t="shared" si="48"/>
        <v>19.436384757371464</v>
      </c>
      <c r="E160" s="385">
        <f t="shared" si="70"/>
        <v>20.697632007446671</v>
      </c>
      <c r="F160" s="385">
        <f t="shared" si="49"/>
        <v>20.697632007446671</v>
      </c>
      <c r="G160" s="110">
        <f t="shared" si="71"/>
        <v>0.47508915095804743</v>
      </c>
      <c r="H160" s="414" t="b">
        <f>Wh_hp&gt;='2018'!Maxi_hp</f>
        <v>1</v>
      </c>
      <c r="I160" s="390">
        <f>IF(H160,Wh_hp,'2018'!Maxi_hp)</f>
        <v>20.697632007446671</v>
      </c>
      <c r="J160" s="85">
        <f>IF(H160,An,'2018'!An_max)</f>
        <v>2019</v>
      </c>
      <c r="K160" s="197">
        <f t="shared" si="50"/>
        <v>43611</v>
      </c>
      <c r="L160" s="147">
        <f>IF(t&lt;Tvie,1-EXP((T0-t)*PertePVj)+'2018'!Pspv,1-EXP((T0-t)*PertePVj)+Pspv)</f>
        <v>8.7662782713150422E-3</v>
      </c>
      <c r="M160" s="850"/>
      <c r="N160" s="850"/>
      <c r="O160" s="48">
        <f>IF(t&lt;Tnet,'2018'!Resal+('2018'!Salim-'2018'!Resal)*(1-EXP(('2018'!Tnet-t)/('2018'!Tau_j))),Resal+(Salim-Resal)*(1-EXP((Tnet-t)/(Tau_j))))*Salcycl</f>
        <v>6.0936789755534911E-2</v>
      </c>
      <c r="P160" s="169">
        <f>(INDEX(Models!$BJ160:$BT160,,T160)*(1-R160)+INDEX(Models!$BJ160:$BT160,,T160+1)*R160-ERP_i)*Q160*Ramure*Pc/MaxiM</f>
        <v>0</v>
      </c>
      <c r="Q160" s="305">
        <f t="shared" si="51"/>
        <v>0.7</v>
      </c>
      <c r="R160" s="177">
        <f t="shared" si="52"/>
        <v>0.64065272390608907</v>
      </c>
      <c r="S160" s="817">
        <f t="shared" si="53"/>
        <v>-2</v>
      </c>
      <c r="T160" s="176">
        <f t="shared" si="54"/>
        <v>4</v>
      </c>
      <c r="U160" s="251">
        <f t="shared" si="55"/>
        <v>-1.3593472760939109</v>
      </c>
      <c r="V160" s="383">
        <f t="shared" si="56"/>
        <v>40.552388875117195</v>
      </c>
      <c r="W160" s="58"/>
      <c r="X160" s="157">
        <f t="shared" si="57"/>
        <v>43611</v>
      </c>
      <c r="Y160" s="385">
        <f t="shared" si="58"/>
        <v>19.265999999999998</v>
      </c>
      <c r="Z160" s="385">
        <f t="shared" si="59"/>
        <v>19.436384757371464</v>
      </c>
      <c r="AA160" s="386">
        <f t="shared" si="60"/>
        <v>20.697632007446671</v>
      </c>
      <c r="AB160" s="197">
        <f t="shared" si="61"/>
        <v>43611</v>
      </c>
      <c r="AC160" s="427">
        <f>IF(OR(t&lt;Tnet,NoTnet),'2018'!Resal_s+('2018'!Salim-'2018'!Resal_s)*(1-EXP(('2018'!Tnet_s-t)/'2018'!Tau_j)),Resal_s+(Salim-Resal_s)*(1-EXP((Tnet_s-t)/Tau_j)))*Salcycl</f>
        <v>6.0936789755534911E-2</v>
      </c>
      <c r="AD160" s="231">
        <f>(INDEX(Models!$BJ160:$BT160,,AH160)*(1-AF160)+INDEX(Models!$BJ160:$BT160,,AH160+1)*AF160-ERP_i)*AE160*Ramure*Pc/MaxiM</f>
        <v>0</v>
      </c>
      <c r="AE160" s="305">
        <f t="shared" si="62"/>
        <v>0.7</v>
      </c>
      <c r="AF160" s="177">
        <f t="shared" si="63"/>
        <v>0.64065272390608907</v>
      </c>
      <c r="AG160" s="176">
        <f t="shared" si="64"/>
        <v>-2</v>
      </c>
      <c r="AH160" s="176">
        <f t="shared" si="65"/>
        <v>4</v>
      </c>
      <c r="AI160" s="225">
        <f t="shared" si="66"/>
        <v>-1.3593472760939109</v>
      </c>
      <c r="AJ160" s="265" t="b">
        <f t="shared" si="67"/>
        <v>0</v>
      </c>
      <c r="AK160" s="265" t="b">
        <f t="shared" si="68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9"/>
        <v>43612</v>
      </c>
      <c r="B161" s="617">
        <v>20.486000000000001</v>
      </c>
      <c r="C161" s="390"/>
      <c r="D161" s="393">
        <f t="shared" si="48"/>
        <v>20.667626874190606</v>
      </c>
      <c r="E161" s="385">
        <f t="shared" si="70"/>
        <v>22.012431680801939</v>
      </c>
      <c r="F161" s="385">
        <f t="shared" si="49"/>
        <v>22.012431680801939</v>
      </c>
      <c r="G161" s="110">
        <f t="shared" si="71"/>
        <v>0.50527023813801153</v>
      </c>
      <c r="H161" s="414" t="b">
        <f>Wh_hp&gt;='2018'!Maxi_hp</f>
        <v>1</v>
      </c>
      <c r="I161" s="390">
        <f>IF(H161,Wh_hp,'2018'!Maxi_hp)</f>
        <v>22.012431680801939</v>
      </c>
      <c r="J161" s="85">
        <f>IF(H161,An,'2018'!An_max)</f>
        <v>2019</v>
      </c>
      <c r="K161" s="197">
        <f t="shared" si="50"/>
        <v>43612</v>
      </c>
      <c r="L161" s="147">
        <f>IF(t&lt;Tvie,1-EXP((T0-t)*PertePVj)+'2018'!Pspv,1-EXP((T0-t)*PertePVj)+Pspv)</f>
        <v>8.7879888337552003E-3</v>
      </c>
      <c r="M161" s="850"/>
      <c r="N161" s="850"/>
      <c r="O161" s="48">
        <f>IF(t&lt;Tnet,'2018'!Resal+('2018'!Salim-'2018'!Resal)*(1-EXP(('2018'!Tnet-t)/('2018'!Tau_j))),Resal+(Salim-Resal)*(1-EXP((Tnet-t)/(Tau_j))))*Salcycl</f>
        <v>6.1092969014604426E-2</v>
      </c>
      <c r="P161" s="169">
        <f>(INDEX(Models!$BJ161:$BT161,,T161)*(1-R161)+INDEX(Models!$BJ161:$BT161,,T161+1)*R161-ERP_i)*Q161*Ramure*Pc/MaxiM</f>
        <v>0</v>
      </c>
      <c r="Q161" s="305">
        <f t="shared" si="51"/>
        <v>0.7</v>
      </c>
      <c r="R161" s="177">
        <f t="shared" si="52"/>
        <v>0.64441383778327643</v>
      </c>
      <c r="S161" s="817">
        <f t="shared" si="53"/>
        <v>-2</v>
      </c>
      <c r="T161" s="176">
        <f t="shared" si="54"/>
        <v>4</v>
      </c>
      <c r="U161" s="251">
        <f t="shared" si="55"/>
        <v>-1.3555861622167236</v>
      </c>
      <c r="V161" s="383">
        <f t="shared" si="56"/>
        <v>40.544640182041306</v>
      </c>
      <c r="W161" s="58"/>
      <c r="X161" s="157">
        <f t="shared" si="57"/>
        <v>43612</v>
      </c>
      <c r="Y161" s="385">
        <f t="shared" si="58"/>
        <v>20.486000000000001</v>
      </c>
      <c r="Z161" s="385">
        <f t="shared" si="59"/>
        <v>20.667626874190606</v>
      </c>
      <c r="AA161" s="386">
        <f t="shared" si="60"/>
        <v>22.012431680801939</v>
      </c>
      <c r="AB161" s="197">
        <f t="shared" si="61"/>
        <v>43612</v>
      </c>
      <c r="AC161" s="427">
        <f>IF(OR(t&lt;Tnet,NoTnet),'2018'!Resal_s+('2018'!Salim-'2018'!Resal_s)*(1-EXP(('2018'!Tnet_s-t)/'2018'!Tau_j)),Resal_s+(Salim-Resal_s)*(1-EXP((Tnet_s-t)/Tau_j)))*Salcycl</f>
        <v>6.1092969014604426E-2</v>
      </c>
      <c r="AD161" s="231">
        <f>(INDEX(Models!$BJ161:$BT161,,AH161)*(1-AF161)+INDEX(Models!$BJ161:$BT161,,AH161+1)*AF161-ERP_i)*AE161*Ramure*Pc/MaxiM</f>
        <v>0</v>
      </c>
      <c r="AE161" s="305">
        <f t="shared" si="62"/>
        <v>0.7</v>
      </c>
      <c r="AF161" s="177">
        <f t="shared" si="63"/>
        <v>0.64441383778327643</v>
      </c>
      <c r="AG161" s="176">
        <f t="shared" si="64"/>
        <v>-2</v>
      </c>
      <c r="AH161" s="176">
        <f t="shared" si="65"/>
        <v>4</v>
      </c>
      <c r="AI161" s="225">
        <f t="shared" si="66"/>
        <v>-1.3555861622167236</v>
      </c>
      <c r="AJ161" s="265" t="b">
        <f t="shared" si="67"/>
        <v>0</v>
      </c>
      <c r="AK161" s="265" t="b">
        <f t="shared" si="68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9"/>
        <v>43613</v>
      </c>
      <c r="B162" s="617">
        <v>19.082000000000001</v>
      </c>
      <c r="C162" s="390"/>
      <c r="D162" s="393">
        <f t="shared" si="48"/>
        <v>19.251600806849432</v>
      </c>
      <c r="E162" s="385">
        <f t="shared" si="70"/>
        <v>20.50767610203448</v>
      </c>
      <c r="F162" s="385">
        <f t="shared" si="49"/>
        <v>20.50767610203448</v>
      </c>
      <c r="G162" s="110">
        <f t="shared" si="71"/>
        <v>0.47073202653426138</v>
      </c>
      <c r="H162" s="414" t="b">
        <f>Wh_hp&gt;='2018'!Maxi_hp</f>
        <v>1</v>
      </c>
      <c r="I162" s="390">
        <f>IF(H162,Wh_hp,'2018'!Maxi_hp)</f>
        <v>20.50767610203448</v>
      </c>
      <c r="J162" s="85">
        <f>IF(H162,An,'2018'!An_max)</f>
        <v>2019</v>
      </c>
      <c r="K162" s="197">
        <f t="shared" si="50"/>
        <v>43613</v>
      </c>
      <c r="L162" s="147">
        <f>IF(t&lt;Tvie,1-EXP((T0-t)*PertePVj)+'2018'!Pspv,1-EXP((T0-t)*PertePVj)+Pspv)</f>
        <v>8.8096989206782883E-3</v>
      </c>
      <c r="M162" s="850"/>
      <c r="N162" s="850"/>
      <c r="O162" s="48">
        <f>IF(t&lt;Tnet,'2018'!Resal+('2018'!Salim-'2018'!Resal)*(1-EXP(('2018'!Tnet-t)/('2018'!Tau_j))),Resal+(Salim-Resal)*(1-EXP((Tnet-t)/(Tau_j))))*Salcycl</f>
        <v>6.1249031286408961E-2</v>
      </c>
      <c r="P162" s="169">
        <f>(INDEX(Models!$BJ162:$BT162,,T162)*(1-R162)+INDEX(Models!$BJ162:$BT162,,T162+1)*R162-ERP_i)*Q162*Ramure*Pc/MaxiM</f>
        <v>0</v>
      </c>
      <c r="Q162" s="305">
        <f t="shared" si="51"/>
        <v>0.7</v>
      </c>
      <c r="R162" s="177">
        <f t="shared" si="52"/>
        <v>0.64821847294956014</v>
      </c>
      <c r="S162" s="817">
        <f t="shared" si="53"/>
        <v>-2</v>
      </c>
      <c r="T162" s="176">
        <f t="shared" si="54"/>
        <v>4</v>
      </c>
      <c r="U162" s="251">
        <f t="shared" si="55"/>
        <v>-1.3517815270504399</v>
      </c>
      <c r="V162" s="383">
        <f t="shared" si="56"/>
        <v>40.536863702455456</v>
      </c>
      <c r="W162" s="58"/>
      <c r="X162" s="157">
        <f t="shared" si="57"/>
        <v>43613</v>
      </c>
      <c r="Y162" s="385">
        <f t="shared" si="58"/>
        <v>19.082000000000001</v>
      </c>
      <c r="Z162" s="385">
        <f t="shared" si="59"/>
        <v>19.251600806849432</v>
      </c>
      <c r="AA162" s="386">
        <f t="shared" si="60"/>
        <v>20.50767610203448</v>
      </c>
      <c r="AB162" s="197">
        <f t="shared" si="61"/>
        <v>43613</v>
      </c>
      <c r="AC162" s="427">
        <f>IF(OR(t&lt;Tnet,NoTnet),'2018'!Resal_s+('2018'!Salim-'2018'!Resal_s)*(1-EXP(('2018'!Tnet_s-t)/'2018'!Tau_j)),Resal_s+(Salim-Resal_s)*(1-EXP((Tnet_s-t)/Tau_j)))*Salcycl</f>
        <v>6.1249031286408961E-2</v>
      </c>
      <c r="AD162" s="231">
        <f>(INDEX(Models!$BJ162:$BT162,,AH162)*(1-AF162)+INDEX(Models!$BJ162:$BT162,,AH162+1)*AF162-ERP_i)*AE162*Ramure*Pc/MaxiM</f>
        <v>0</v>
      </c>
      <c r="AE162" s="305">
        <f t="shared" si="62"/>
        <v>0.7</v>
      </c>
      <c r="AF162" s="177">
        <f t="shared" si="63"/>
        <v>0.64821847294956014</v>
      </c>
      <c r="AG162" s="176">
        <f t="shared" si="64"/>
        <v>-2</v>
      </c>
      <c r="AH162" s="176">
        <f t="shared" si="65"/>
        <v>4</v>
      </c>
      <c r="AI162" s="225">
        <f t="shared" si="66"/>
        <v>-1.3517815270504399</v>
      </c>
      <c r="AJ162" s="265" t="b">
        <f t="shared" si="67"/>
        <v>0</v>
      </c>
      <c r="AK162" s="265" t="b">
        <f t="shared" si="68"/>
        <v>0</v>
      </c>
      <c r="AL162" s="265"/>
      <c r="AM162" s="265"/>
      <c r="AN162" s="75"/>
    </row>
    <row r="163" spans="1:40" s="6" customFormat="1" ht="11.25" x14ac:dyDescent="0.2">
      <c r="A163" s="56">
        <f t="shared" si="69"/>
        <v>43614</v>
      </c>
      <c r="B163" s="617">
        <v>23.777999999999999</v>
      </c>
      <c r="C163" s="390"/>
      <c r="D163" s="393">
        <f t="shared" si="48"/>
        <v>23.989864292193875</v>
      </c>
      <c r="E163" s="385">
        <f t="shared" si="70"/>
        <v>25.559333184418442</v>
      </c>
      <c r="F163" s="385">
        <f t="shared" si="49"/>
        <v>25.559333184418442</v>
      </c>
      <c r="G163" s="110">
        <f t="shared" si="71"/>
        <v>0.58670405136678361</v>
      </c>
      <c r="H163" s="414" t="b">
        <f>Wh_hp&gt;='2018'!Maxi_hp</f>
        <v>1</v>
      </c>
      <c r="I163" s="390">
        <f>IF(H163,Wh_hp,'2018'!Maxi_hp)</f>
        <v>25.559333184418442</v>
      </c>
      <c r="J163" s="85">
        <f>IF(H163,An,'2018'!An_max)</f>
        <v>2019</v>
      </c>
      <c r="K163" s="197">
        <f t="shared" si="50"/>
        <v>43614</v>
      </c>
      <c r="L163" s="147">
        <f>IF(t&lt;Tvie,1-EXP((T0-t)*PertePVj)+'2018'!Pspv,1-EXP((T0-t)*PertePVj)+Pspv)</f>
        <v>8.8314085320947422E-3</v>
      </c>
      <c r="M163" s="850"/>
      <c r="N163" s="850"/>
      <c r="O163" s="48">
        <f>IF(t&lt;Tnet,'2018'!Resal+('2018'!Salim-'2018'!Resal)*(1-EXP(('2018'!Tnet-t)/('2018'!Tau_j))),Resal+(Salim-Resal)*(1-EXP((Tnet-t)/(Tau_j))))*Salcycl</f>
        <v>6.1404923238817168E-2</v>
      </c>
      <c r="P163" s="169">
        <f>(INDEX(Models!$BJ163:$BT163,,T163)*(1-R163)+INDEX(Models!$BJ163:$BT163,,T163+1)*R163-ERP_i)*Q163*Ramure*Pc/MaxiM</f>
        <v>0</v>
      </c>
      <c r="Q163" s="305">
        <f t="shared" si="51"/>
        <v>0.7</v>
      </c>
      <c r="R163" s="177">
        <f t="shared" si="52"/>
        <v>0.65206412244033385</v>
      </c>
      <c r="S163" s="817">
        <f t="shared" si="53"/>
        <v>-2</v>
      </c>
      <c r="T163" s="176">
        <f t="shared" si="54"/>
        <v>4</v>
      </c>
      <c r="U163" s="251">
        <f t="shared" si="55"/>
        <v>-1.3479358775596662</v>
      </c>
      <c r="V163" s="383">
        <f t="shared" si="56"/>
        <v>40.528099208803589</v>
      </c>
      <c r="W163" s="58"/>
      <c r="X163" s="157">
        <f t="shared" si="57"/>
        <v>43614</v>
      </c>
      <c r="Y163" s="385">
        <f t="shared" si="58"/>
        <v>23.777999999999999</v>
      </c>
      <c r="Z163" s="385">
        <f t="shared" si="59"/>
        <v>23.989864292193875</v>
      </c>
      <c r="AA163" s="386">
        <f t="shared" si="60"/>
        <v>25.559333184418442</v>
      </c>
      <c r="AB163" s="197">
        <f t="shared" si="61"/>
        <v>43614</v>
      </c>
      <c r="AC163" s="427">
        <f>IF(OR(t&lt;Tnet,NoTnet),'2018'!Resal_s+('2018'!Salim-'2018'!Resal_s)*(1-EXP(('2018'!Tnet_s-t)/'2018'!Tau_j)),Resal_s+(Salim-Resal_s)*(1-EXP((Tnet_s-t)/Tau_j)))*Salcycl</f>
        <v>6.1404923238817168E-2</v>
      </c>
      <c r="AD163" s="231">
        <f>(INDEX(Models!$BJ163:$BT163,,AH163)*(1-AF163)+INDEX(Models!$BJ163:$BT163,,AH163+1)*AF163-ERP_i)*AE163*Ramure*Pc/MaxiM</f>
        <v>0</v>
      </c>
      <c r="AE163" s="305">
        <f t="shared" si="62"/>
        <v>0.7</v>
      </c>
      <c r="AF163" s="177">
        <f t="shared" si="63"/>
        <v>0.65206412244033385</v>
      </c>
      <c r="AG163" s="176">
        <f t="shared" si="64"/>
        <v>-2</v>
      </c>
      <c r="AH163" s="176">
        <f t="shared" si="65"/>
        <v>4</v>
      </c>
      <c r="AI163" s="225">
        <f t="shared" si="66"/>
        <v>-1.3479358775596662</v>
      </c>
      <c r="AJ163" s="265" t="b">
        <f t="shared" si="67"/>
        <v>0</v>
      </c>
      <c r="AK163" s="265" t="b">
        <f t="shared" si="68"/>
        <v>0</v>
      </c>
      <c r="AL163" s="265"/>
      <c r="AM163" s="265"/>
      <c r="AN163" s="75"/>
    </row>
    <row r="164" spans="1:40" s="6" customFormat="1" ht="11.25" x14ac:dyDescent="0.2">
      <c r="A164" s="56">
        <f t="shared" si="69"/>
        <v>43615</v>
      </c>
      <c r="B164" s="617">
        <v>39.677999999999997</v>
      </c>
      <c r="C164" s="390"/>
      <c r="D164" s="393">
        <f t="shared" si="48"/>
        <v>40.032411650879652</v>
      </c>
      <c r="E164" s="385">
        <f t="shared" si="70"/>
        <v>42.658493741310721</v>
      </c>
      <c r="F164" s="385">
        <f t="shared" si="49"/>
        <v>42.658493741310721</v>
      </c>
      <c r="G164" s="110">
        <f t="shared" si="71"/>
        <v>0.97928970028365114</v>
      </c>
      <c r="H164" s="414" t="b">
        <f>Wh_hp&gt;='2018'!Maxi_hp</f>
        <v>1</v>
      </c>
      <c r="I164" s="390">
        <f>IF(H164,Wh_hp,'2018'!Maxi_hp)</f>
        <v>42.658493741310721</v>
      </c>
      <c r="J164" s="85">
        <f>IF(H164,An,'2018'!An_max)</f>
        <v>2019</v>
      </c>
      <c r="K164" s="197">
        <f t="shared" si="50"/>
        <v>43615</v>
      </c>
      <c r="L164" s="147">
        <f>IF(t&lt;Tvie,1-EXP((T0-t)*PertePVj)+'2018'!Pspv,1-EXP((T0-t)*PertePVj)+Pspv)</f>
        <v>8.8531176680149981E-3</v>
      </c>
      <c r="M164" s="850"/>
      <c r="N164" s="850"/>
      <c r="O164" s="48">
        <f>IF(t&lt;Tnet,'2018'!Resal+('2018'!Salim-'2018'!Resal)*(1-EXP(('2018'!Tnet-t)/('2018'!Tau_j))),Resal+(Salim-Resal)*(1-EXP((Tnet-t)/(Tau_j))))*Salcycl</f>
        <v>6.1560591106571479E-2</v>
      </c>
      <c r="P164" s="169">
        <f>(INDEX(Models!$BJ164:$BT164,,T164)*(1-R164)+INDEX(Models!$BJ164:$BT164,,T164+1)*R164-ERP_i)*Q164*Ramure*Pc/MaxiM</f>
        <v>0</v>
      </c>
      <c r="Q164" s="305">
        <f t="shared" si="51"/>
        <v>0.7</v>
      </c>
      <c r="R164" s="177">
        <f t="shared" si="52"/>
        <v>0.6559481550014703</v>
      </c>
      <c r="S164" s="817">
        <f t="shared" si="53"/>
        <v>-2</v>
      </c>
      <c r="T164" s="176">
        <f t="shared" si="54"/>
        <v>4</v>
      </c>
      <c r="U164" s="251">
        <f t="shared" si="55"/>
        <v>-1.3440518449985297</v>
      </c>
      <c r="V164" s="383">
        <f t="shared" si="56"/>
        <v>40.517121734770896</v>
      </c>
      <c r="W164" s="58"/>
      <c r="X164" s="157">
        <f t="shared" si="57"/>
        <v>43615</v>
      </c>
      <c r="Y164" s="385">
        <f t="shared" si="58"/>
        <v>39.677999999999997</v>
      </c>
      <c r="Z164" s="385">
        <f t="shared" si="59"/>
        <v>40.032411650879652</v>
      </c>
      <c r="AA164" s="386">
        <f t="shared" si="60"/>
        <v>42.658493741310721</v>
      </c>
      <c r="AB164" s="197">
        <f t="shared" si="61"/>
        <v>43615</v>
      </c>
      <c r="AC164" s="427">
        <f>IF(OR(t&lt;Tnet,NoTnet),'2018'!Resal_s+('2018'!Salim-'2018'!Resal_s)*(1-EXP(('2018'!Tnet_s-t)/'2018'!Tau_j)),Resal_s+(Salim-Resal_s)*(1-EXP((Tnet_s-t)/Tau_j)))*Salcycl</f>
        <v>6.1560591106571479E-2</v>
      </c>
      <c r="AD164" s="231">
        <f>(INDEX(Models!$BJ164:$BT164,,AH164)*(1-AF164)+INDEX(Models!$BJ164:$BT164,,AH164+1)*AF164-ERP_i)*AE164*Ramure*Pc/MaxiM</f>
        <v>0</v>
      </c>
      <c r="AE164" s="305">
        <f t="shared" si="62"/>
        <v>0.7</v>
      </c>
      <c r="AF164" s="177">
        <f t="shared" si="63"/>
        <v>0.6559481550014703</v>
      </c>
      <c r="AG164" s="176">
        <f t="shared" si="64"/>
        <v>-2</v>
      </c>
      <c r="AH164" s="176">
        <f t="shared" si="65"/>
        <v>4</v>
      </c>
      <c r="AI164" s="225">
        <f t="shared" si="66"/>
        <v>-1.3440518449985297</v>
      </c>
      <c r="AJ164" s="265" t="b">
        <f t="shared" si="67"/>
        <v>0</v>
      </c>
      <c r="AK164" s="265" t="b">
        <f t="shared" si="68"/>
        <v>0</v>
      </c>
      <c r="AL164" s="265"/>
      <c r="AM164" s="265"/>
      <c r="AN164" s="75"/>
    </row>
    <row r="165" spans="1:40" s="6" customFormat="1" ht="11.25" x14ac:dyDescent="0.2">
      <c r="A165" s="56">
        <f t="shared" si="69"/>
        <v>43616</v>
      </c>
      <c r="B165" s="617">
        <v>40.353999999999999</v>
      </c>
      <c r="C165" s="390"/>
      <c r="D165" s="393">
        <f t="shared" si="48"/>
        <v>40.715341585474583</v>
      </c>
      <c r="E165" s="385">
        <f t="shared" si="70"/>
        <v>43.393408345276015</v>
      </c>
      <c r="F165" s="385">
        <f t="shared" si="49"/>
        <v>43.393408345276015</v>
      </c>
      <c r="G165" s="110">
        <f t="shared" si="71"/>
        <v>0.99629581593480521</v>
      </c>
      <c r="H165" s="414" t="b">
        <f>Wh_hp&gt;='2018'!Maxi_hp</f>
        <v>1</v>
      </c>
      <c r="I165" s="390">
        <f>IF(H165,Wh_hp,'2018'!Maxi_hp)</f>
        <v>43.393408345276015</v>
      </c>
      <c r="J165" s="85">
        <f>IF(H165,An,'2018'!An_max)</f>
        <v>2019</v>
      </c>
      <c r="K165" s="197">
        <f t="shared" si="50"/>
        <v>43616</v>
      </c>
      <c r="L165" s="147">
        <f>IF(t&lt;Tvie,1-EXP((T0-t)*PertePVj)+'2018'!Pspv,1-EXP((T0-t)*PertePVj)+Pspv)</f>
        <v>8.8748263284494922E-3</v>
      </c>
      <c r="M165" s="850"/>
      <c r="N165" s="850"/>
      <c r="O165" s="48">
        <f>IF(t&lt;Tnet,'2018'!Resal+('2018'!Salim-'2018'!Resal)*(1-EXP(('2018'!Tnet-t)/('2018'!Tau_j))),Resal+(Salim-Resal)*(1-EXP((Tnet-t)/(Tau_j))))*Salcycl</f>
        <v>6.1715980881067972E-2</v>
      </c>
      <c r="P165" s="169">
        <f>(INDEX(Models!$BJ165:$BT165,,T165)*(1-R165)+INDEX(Models!$BJ165:$BT165,,T165+1)*R165-ERP_i)*Q165*Ramure*Pc/MaxiM</f>
        <v>0</v>
      </c>
      <c r="Q165" s="305">
        <f t="shared" si="51"/>
        <v>0.7</v>
      </c>
      <c r="R165" s="177">
        <f t="shared" si="52"/>
        <v>0.65986782118526532</v>
      </c>
      <c r="S165" s="817">
        <f t="shared" si="53"/>
        <v>-2</v>
      </c>
      <c r="T165" s="176">
        <f t="shared" si="54"/>
        <v>4</v>
      </c>
      <c r="U165" s="251">
        <f t="shared" si="55"/>
        <v>-1.3401321788147347</v>
      </c>
      <c r="V165" s="383">
        <f t="shared" si="56"/>
        <v>40.504034398796122</v>
      </c>
      <c r="W165" s="58"/>
      <c r="X165" s="157">
        <f t="shared" si="57"/>
        <v>43616</v>
      </c>
      <c r="Y165" s="385">
        <f t="shared" si="58"/>
        <v>40.353999999999999</v>
      </c>
      <c r="Z165" s="385">
        <f t="shared" si="59"/>
        <v>40.715341585474583</v>
      </c>
      <c r="AA165" s="386">
        <f t="shared" si="60"/>
        <v>43.393408345276015</v>
      </c>
      <c r="AB165" s="197">
        <f t="shared" si="61"/>
        <v>43616</v>
      </c>
      <c r="AC165" s="427">
        <f>IF(OR(t&lt;Tnet,NoTnet),'2018'!Resal_s+('2018'!Salim-'2018'!Resal_s)*(1-EXP(('2018'!Tnet_s-t)/'2018'!Tau_j)),Resal_s+(Salim-Resal_s)*(1-EXP((Tnet_s-t)/Tau_j)))*Salcycl</f>
        <v>6.1715980881067972E-2</v>
      </c>
      <c r="AD165" s="231">
        <f>(INDEX(Models!$BJ165:$BT165,,AH165)*(1-AF165)+INDEX(Models!$BJ165:$BT165,,AH165+1)*AF165-ERP_i)*AE165*Ramure*Pc/MaxiM</f>
        <v>0</v>
      </c>
      <c r="AE165" s="305">
        <f t="shared" si="62"/>
        <v>0.7</v>
      </c>
      <c r="AF165" s="177">
        <f t="shared" si="63"/>
        <v>0.65986782118526532</v>
      </c>
      <c r="AG165" s="176">
        <f t="shared" si="64"/>
        <v>-2</v>
      </c>
      <c r="AH165" s="176">
        <f t="shared" si="65"/>
        <v>4</v>
      </c>
      <c r="AI165" s="225">
        <f t="shared" si="66"/>
        <v>-1.3401321788147347</v>
      </c>
      <c r="AJ165" s="265" t="b">
        <f t="shared" si="67"/>
        <v>0</v>
      </c>
      <c r="AK165" s="265" t="b">
        <f t="shared" si="68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9"/>
        <v>43617</v>
      </c>
      <c r="B166" s="617">
        <v>40.506999999999998</v>
      </c>
      <c r="C166" s="390"/>
      <c r="D166" s="393">
        <f t="shared" si="48"/>
        <v>40.870606763656824</v>
      </c>
      <c r="E166" s="385">
        <f t="shared" si="70"/>
        <v>43.566085731494503</v>
      </c>
      <c r="F166" s="385">
        <f t="shared" si="49"/>
        <v>43.566085731494503</v>
      </c>
      <c r="G166" s="110">
        <f t="shared" si="71"/>
        <v>1.0004460418139527</v>
      </c>
      <c r="H166" s="414" t="b">
        <f>Wh_hp&gt;='2018'!Maxi_hp</f>
        <v>1</v>
      </c>
      <c r="I166" s="390">
        <f>IF(H166,Wh_hp,'2018'!Maxi_hp)</f>
        <v>43.566085731494503</v>
      </c>
      <c r="J166" s="85">
        <f>IF(H166,An,'2018'!An_max)</f>
        <v>2019</v>
      </c>
      <c r="K166" s="197">
        <f t="shared" si="50"/>
        <v>43617</v>
      </c>
      <c r="L166" s="147">
        <f>IF(t&lt;Tvie,1-EXP((T0-t)*PertePVj)+'2018'!Pspv,1-EXP((T0-t)*PertePVj)+Pspv)</f>
        <v>8.8965345134086604E-3</v>
      </c>
      <c r="M166" s="850"/>
      <c r="N166" s="850"/>
      <c r="O166" s="48">
        <f>IF(t&lt;Tnet,'2018'!Resal+('2018'!Salim-'2018'!Resal)*(1-EXP(('2018'!Tnet-t)/('2018'!Tau_j))),Resal+(Salim-Resal)*(1-EXP((Tnet-t)/(Tau_j))))*Salcycl</f>
        <v>6.1871038505740425E-2</v>
      </c>
      <c r="P166" s="169">
        <f>(INDEX(Models!$BJ166:$BT166,,T166)*(1-R166)+INDEX(Models!$BJ166:$BT166,,T166+1)*R166-ERP_i)*Q166*Ramure*Pc/MaxiM</f>
        <v>0</v>
      </c>
      <c r="Q166" s="305">
        <f t="shared" si="51"/>
        <v>0.7</v>
      </c>
      <c r="R166" s="177">
        <f t="shared" si="52"/>
        <v>0.66382026019175444</v>
      </c>
      <c r="S166" s="817">
        <f t="shared" si="53"/>
        <v>-2</v>
      </c>
      <c r="T166" s="176">
        <f t="shared" si="54"/>
        <v>4</v>
      </c>
      <c r="U166" s="251">
        <f t="shared" si="55"/>
        <v>-1.3361797398082456</v>
      </c>
      <c r="V166" s="383">
        <f t="shared" si="56"/>
        <v>40.488940239650482</v>
      </c>
      <c r="W166" s="58"/>
      <c r="X166" s="157">
        <f t="shared" si="57"/>
        <v>43617</v>
      </c>
      <c r="Y166" s="385">
        <f t="shared" si="58"/>
        <v>40.506999999999998</v>
      </c>
      <c r="Z166" s="385">
        <f t="shared" si="59"/>
        <v>40.870606763656824</v>
      </c>
      <c r="AA166" s="386">
        <f t="shared" si="60"/>
        <v>43.566085731494503</v>
      </c>
      <c r="AB166" s="197">
        <f t="shared" si="61"/>
        <v>43617</v>
      </c>
      <c r="AC166" s="427">
        <f>IF(OR(t&lt;Tnet,NoTnet),'2018'!Resal_s+('2018'!Salim-'2018'!Resal_s)*(1-EXP(('2018'!Tnet_s-t)/'2018'!Tau_j)),Resal_s+(Salim-Resal_s)*(1-EXP((Tnet_s-t)/Tau_j)))*Salcycl</f>
        <v>6.1871038505740425E-2</v>
      </c>
      <c r="AD166" s="231">
        <f>(INDEX(Models!$BJ166:$BT166,,AH166)*(1-AF166)+INDEX(Models!$BJ166:$BT166,,AH166+1)*AF166-ERP_i)*AE166*Ramure*Pc/MaxiM</f>
        <v>0</v>
      </c>
      <c r="AE166" s="305">
        <f t="shared" si="62"/>
        <v>0.7</v>
      </c>
      <c r="AF166" s="177">
        <f t="shared" si="63"/>
        <v>0.66382026019175444</v>
      </c>
      <c r="AG166" s="176">
        <f t="shared" si="64"/>
        <v>-2</v>
      </c>
      <c r="AH166" s="176">
        <f t="shared" si="65"/>
        <v>4</v>
      </c>
      <c r="AI166" s="225">
        <f t="shared" si="66"/>
        <v>-1.3361797398082456</v>
      </c>
      <c r="AJ166" s="265" t="b">
        <f t="shared" si="67"/>
        <v>0</v>
      </c>
      <c r="AK166" s="265" t="b">
        <f t="shared" si="68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9"/>
        <v>43618</v>
      </c>
      <c r="B167" s="617">
        <v>39.860999999999997</v>
      </c>
      <c r="C167" s="390"/>
      <c r="D167" s="393">
        <f t="shared" si="48"/>
        <v>40.219688927989608</v>
      </c>
      <c r="E167" s="385">
        <f t="shared" si="70"/>
        <v>42.879308484292096</v>
      </c>
      <c r="F167" s="385">
        <f t="shared" si="49"/>
        <v>42.879308484292096</v>
      </c>
      <c r="G167" s="110">
        <f t="shared" si="71"/>
        <v>0.98490454926243221</v>
      </c>
      <c r="H167" s="414" t="b">
        <f>Wh_hp&gt;='2018'!Maxi_hp</f>
        <v>1</v>
      </c>
      <c r="I167" s="390">
        <f>IF(H167,Wh_hp,'2018'!Maxi_hp)</f>
        <v>42.879308484292096</v>
      </c>
      <c r="J167" s="85">
        <f>IF(H167,An,'2018'!An_max)</f>
        <v>2019</v>
      </c>
      <c r="K167" s="197">
        <f t="shared" si="50"/>
        <v>43618</v>
      </c>
      <c r="L167" s="147">
        <f>IF(t&lt;Tvie,1-EXP((T0-t)*PertePVj)+'2018'!Pspv,1-EXP((T0-t)*PertePVj)+Pspv)</f>
        <v>8.918242222902828E-3</v>
      </c>
      <c r="M167" s="850"/>
      <c r="N167" s="850"/>
      <c r="O167" s="48">
        <f>IF(t&lt;Tnet,'2018'!Resal+('2018'!Salim-'2018'!Resal)*(1-EXP(('2018'!Tnet-t)/('2018'!Tau_j))),Resal+(Salim-Resal)*(1-EXP((Tnet-t)/(Tau_j))))*Salcycl</f>
        <v>6.2025710075916528E-2</v>
      </c>
      <c r="P167" s="169">
        <f>(INDEX(Models!$BJ167:$BT167,,T167)*(1-R167)+INDEX(Models!$BJ167:$BT167,,T167+1)*R167-ERP_i)*Q167*Ramure*Pc/MaxiM</f>
        <v>0</v>
      </c>
      <c r="Q167" s="305">
        <f t="shared" si="51"/>
        <v>0.7</v>
      </c>
      <c r="R167" s="177">
        <f t="shared" si="52"/>
        <v>0.66780250742717451</v>
      </c>
      <c r="S167" s="817">
        <f t="shared" si="53"/>
        <v>-2</v>
      </c>
      <c r="T167" s="176">
        <f t="shared" si="54"/>
        <v>4</v>
      </c>
      <c r="U167" s="251">
        <f t="shared" si="55"/>
        <v>-1.3321974925728255</v>
      </c>
      <c r="V167" s="383">
        <f t="shared" si="56"/>
        <v>40.471942209882968</v>
      </c>
      <c r="W167" s="58"/>
      <c r="X167" s="157">
        <f t="shared" si="57"/>
        <v>43618</v>
      </c>
      <c r="Y167" s="385">
        <f t="shared" si="58"/>
        <v>39.860999999999997</v>
      </c>
      <c r="Z167" s="385">
        <f t="shared" si="59"/>
        <v>40.219688927989608</v>
      </c>
      <c r="AA167" s="386">
        <f t="shared" si="60"/>
        <v>42.879308484292096</v>
      </c>
      <c r="AB167" s="197">
        <f t="shared" si="61"/>
        <v>43618</v>
      </c>
      <c r="AC167" s="427">
        <f>IF(OR(t&lt;Tnet,NoTnet),'2018'!Resal_s+('2018'!Salim-'2018'!Resal_s)*(1-EXP(('2018'!Tnet_s-t)/'2018'!Tau_j)),Resal_s+(Salim-Resal_s)*(1-EXP((Tnet_s-t)/Tau_j)))*Salcycl</f>
        <v>6.2025710075916528E-2</v>
      </c>
      <c r="AD167" s="231">
        <f>(INDEX(Models!$BJ167:$BT167,,AH167)*(1-AF167)+INDEX(Models!$BJ167:$BT167,,AH167+1)*AF167-ERP_i)*AE167*Ramure*Pc/MaxiM</f>
        <v>0</v>
      </c>
      <c r="AE167" s="305">
        <f t="shared" si="62"/>
        <v>0.7</v>
      </c>
      <c r="AF167" s="177">
        <f t="shared" si="63"/>
        <v>0.66780250742717451</v>
      </c>
      <c r="AG167" s="176">
        <f t="shared" si="64"/>
        <v>-2</v>
      </c>
      <c r="AH167" s="176">
        <f t="shared" si="65"/>
        <v>4</v>
      </c>
      <c r="AI167" s="225">
        <f t="shared" si="66"/>
        <v>-1.3321974925728255</v>
      </c>
      <c r="AJ167" s="265" t="b">
        <f t="shared" si="67"/>
        <v>0</v>
      </c>
      <c r="AK167" s="265" t="b">
        <f t="shared" si="68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9"/>
        <v>43619</v>
      </c>
      <c r="B168" s="617">
        <v>29.798999999999999</v>
      </c>
      <c r="C168" s="390"/>
      <c r="D168" s="393">
        <f t="shared" si="48"/>
        <v>30.067804653886967</v>
      </c>
      <c r="E168" s="385">
        <f t="shared" si="70"/>
        <v>32.061379364560224</v>
      </c>
      <c r="F168" s="385">
        <f t="shared" si="49"/>
        <v>32.061379364560224</v>
      </c>
      <c r="G168" s="110">
        <f t="shared" si="71"/>
        <v>0.73663002841770586</v>
      </c>
      <c r="H168" s="414" t="b">
        <f>Wh_hp&gt;='2018'!Maxi_hp</f>
        <v>1</v>
      </c>
      <c r="I168" s="390">
        <f>IF(H168,Wh_hp,'2018'!Maxi_hp)</f>
        <v>32.061379364560224</v>
      </c>
      <c r="J168" s="85">
        <f>IF(H168,An,'2018'!An_max)</f>
        <v>2019</v>
      </c>
      <c r="K168" s="197">
        <f t="shared" si="50"/>
        <v>43619</v>
      </c>
      <c r="L168" s="147">
        <f>IF(t&lt;Tvie,1-EXP((T0-t)*PertePVj)+'2018'!Pspv,1-EXP((T0-t)*PertePVj)+Pspv)</f>
        <v>8.9399494569424309E-3</v>
      </c>
      <c r="M168" s="850"/>
      <c r="N168" s="850"/>
      <c r="O168" s="48">
        <f>IF(t&lt;Tnet,'2018'!Resal+('2018'!Salim-'2018'!Resal)*(1-EXP(('2018'!Tnet-t)/('2018'!Tau_j))),Resal+(Salim-Resal)*(1-EXP((Tnet-t)/(Tau_j))))*Salcycl</f>
        <v>6.2179942041947857E-2</v>
      </c>
      <c r="P168" s="169">
        <f>(INDEX(Models!$BJ168:$BT168,,T168)*(1-R168)+INDEX(Models!$BJ168:$BT168,,T168+1)*R168-ERP_i)*Q168*Ramure*Pc/MaxiM</f>
        <v>0</v>
      </c>
      <c r="Q168" s="305">
        <f t="shared" si="51"/>
        <v>0.7</v>
      </c>
      <c r="R168" s="177">
        <f t="shared" si="52"/>
        <v>0.67181150274368973</v>
      </c>
      <c r="S168" s="817">
        <f t="shared" si="53"/>
        <v>-2</v>
      </c>
      <c r="T168" s="176">
        <f t="shared" si="54"/>
        <v>4</v>
      </c>
      <c r="U168" s="251">
        <f t="shared" si="55"/>
        <v>-1.3281884972563103</v>
      </c>
      <c r="V168" s="383">
        <f t="shared" si="56"/>
        <v>40.45314316605959</v>
      </c>
      <c r="W168" s="58"/>
      <c r="X168" s="157">
        <f t="shared" si="57"/>
        <v>43619</v>
      </c>
      <c r="Y168" s="385">
        <f t="shared" si="58"/>
        <v>29.798999999999999</v>
      </c>
      <c r="Z168" s="385">
        <f t="shared" si="59"/>
        <v>30.067804653886967</v>
      </c>
      <c r="AA168" s="386">
        <f t="shared" si="60"/>
        <v>32.061379364560224</v>
      </c>
      <c r="AB168" s="197">
        <f t="shared" si="61"/>
        <v>43619</v>
      </c>
      <c r="AC168" s="427">
        <f>IF(OR(t&lt;Tnet,NoTnet),'2018'!Resal_s+('2018'!Salim-'2018'!Resal_s)*(1-EXP(('2018'!Tnet_s-t)/'2018'!Tau_j)),Resal_s+(Salim-Resal_s)*(1-EXP((Tnet_s-t)/Tau_j)))*Salcycl</f>
        <v>6.2179942041947857E-2</v>
      </c>
      <c r="AD168" s="231">
        <f>(INDEX(Models!$BJ168:$BT168,,AH168)*(1-AF168)+INDEX(Models!$BJ168:$BT168,,AH168+1)*AF168-ERP_i)*AE168*Ramure*Pc/MaxiM</f>
        <v>0</v>
      </c>
      <c r="AE168" s="305">
        <f t="shared" si="62"/>
        <v>0.7</v>
      </c>
      <c r="AF168" s="177">
        <f t="shared" si="63"/>
        <v>0.67181150274368973</v>
      </c>
      <c r="AG168" s="176">
        <f t="shared" si="64"/>
        <v>-2</v>
      </c>
      <c r="AH168" s="176">
        <f t="shared" si="65"/>
        <v>4</v>
      </c>
      <c r="AI168" s="225">
        <f t="shared" si="66"/>
        <v>-1.3281884972563103</v>
      </c>
      <c r="AJ168" s="265" t="b">
        <f t="shared" si="67"/>
        <v>0</v>
      </c>
      <c r="AK168" s="265" t="b">
        <f t="shared" si="68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9"/>
        <v>43620</v>
      </c>
      <c r="B169" s="617">
        <v>36.435000000000002</v>
      </c>
      <c r="C169" s="390"/>
      <c r="D169" s="393">
        <f t="shared" si="48"/>
        <v>36.764470545979336</v>
      </c>
      <c r="E169" s="385">
        <f t="shared" si="70"/>
        <v>39.208479410281221</v>
      </c>
      <c r="F169" s="385">
        <f t="shared" si="49"/>
        <v>39.208479410281221</v>
      </c>
      <c r="G169" s="110">
        <f t="shared" si="71"/>
        <v>0.90112826473726493</v>
      </c>
      <c r="H169" s="414" t="b">
        <f>Wh_hp&gt;='2018'!Maxi_hp</f>
        <v>1</v>
      </c>
      <c r="I169" s="390">
        <f>IF(H169,Wh_hp,'2018'!Maxi_hp)</f>
        <v>39.208479410281221</v>
      </c>
      <c r="J169" s="85">
        <f>IF(H169,An,'2018'!An_max)</f>
        <v>2019</v>
      </c>
      <c r="K169" s="197">
        <f t="shared" si="50"/>
        <v>43620</v>
      </c>
      <c r="L169" s="147">
        <f>IF(t&lt;Tvie,1-EXP((T0-t)*PertePVj)+'2018'!Pspv,1-EXP((T0-t)*PertePVj)+Pspv)</f>
        <v>8.9616562155379054E-3</v>
      </c>
      <c r="M169" s="850"/>
      <c r="N169" s="850"/>
      <c r="O169" s="48">
        <f>IF(t&lt;Tnet,'2018'!Resal+('2018'!Salim-'2018'!Resal)*(1-EXP(('2018'!Tnet-t)/('2018'!Tau_j))),Resal+(Salim-Resal)*(1-EXP((Tnet-t)/(Tau_j))))*Salcycl</f>
        <v>6.2333681414357987E-2</v>
      </c>
      <c r="P169" s="169">
        <f>(INDEX(Models!$BJ169:$BT169,,T169)*(1-R169)+INDEX(Models!$BJ169:$BT169,,T169+1)*R169-ERP_i)*Q169*Ramure*Pc/MaxiM</f>
        <v>0</v>
      </c>
      <c r="Q169" s="305">
        <f t="shared" si="51"/>
        <v>0.7</v>
      </c>
      <c r="R169" s="177">
        <f t="shared" si="52"/>
        <v>0.67584409931703826</v>
      </c>
      <c r="S169" s="817">
        <f t="shared" si="53"/>
        <v>-2</v>
      </c>
      <c r="T169" s="176">
        <f t="shared" si="54"/>
        <v>4</v>
      </c>
      <c r="U169" s="251">
        <f t="shared" si="55"/>
        <v>-1.3241559006829617</v>
      </c>
      <c r="V169" s="383">
        <f t="shared" si="56"/>
        <v>40.432645857161162</v>
      </c>
      <c r="W169" s="58"/>
      <c r="X169" s="157">
        <f t="shared" si="57"/>
        <v>43620</v>
      </c>
      <c r="Y169" s="385">
        <f t="shared" si="58"/>
        <v>36.435000000000002</v>
      </c>
      <c r="Z169" s="385">
        <f t="shared" si="59"/>
        <v>36.764470545979336</v>
      </c>
      <c r="AA169" s="386">
        <f t="shared" si="60"/>
        <v>39.208479410281221</v>
      </c>
      <c r="AB169" s="197">
        <f t="shared" si="61"/>
        <v>43620</v>
      </c>
      <c r="AC169" s="427">
        <f>IF(OR(t&lt;Tnet,NoTnet),'2018'!Resal_s+('2018'!Salim-'2018'!Resal_s)*(1-EXP(('2018'!Tnet_s-t)/'2018'!Tau_j)),Resal_s+(Salim-Resal_s)*(1-EXP((Tnet_s-t)/Tau_j)))*Salcycl</f>
        <v>6.2333681414357987E-2</v>
      </c>
      <c r="AD169" s="231">
        <f>(INDEX(Models!$BJ169:$BT169,,AH169)*(1-AF169)+INDEX(Models!$BJ169:$BT169,,AH169+1)*AF169-ERP_i)*AE169*Ramure*Pc/MaxiM</f>
        <v>0</v>
      </c>
      <c r="AE169" s="305">
        <f t="shared" si="62"/>
        <v>0.7</v>
      </c>
      <c r="AF169" s="177">
        <f t="shared" si="63"/>
        <v>0.67584409931703826</v>
      </c>
      <c r="AG169" s="176">
        <f t="shared" si="64"/>
        <v>-2</v>
      </c>
      <c r="AH169" s="176">
        <f t="shared" si="65"/>
        <v>4</v>
      </c>
      <c r="AI169" s="225">
        <f t="shared" si="66"/>
        <v>-1.3241559006829617</v>
      </c>
      <c r="AJ169" s="265" t="b">
        <f t="shared" si="67"/>
        <v>0</v>
      </c>
      <c r="AK169" s="265" t="b">
        <f t="shared" si="68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ref="A170:A207" si="72">A169+1</f>
        <v>43621</v>
      </c>
      <c r="B170" s="617">
        <v>7.3220000000000001</v>
      </c>
      <c r="C170" s="390"/>
      <c r="D170" s="393">
        <f t="shared" si="48"/>
        <v>7.3883724277942733</v>
      </c>
      <c r="E170" s="385">
        <f t="shared" ref="E170:E232" si="73">Wh_pvt/(1-Psa)</f>
        <v>7.8808202663150535</v>
      </c>
      <c r="F170" s="385">
        <f t="shared" si="49"/>
        <v>7.8808202663150535</v>
      </c>
      <c r="G170" s="110">
        <f t="shared" ref="G170:G232" si="74">+Wh_hp/MaxiM</f>
        <v>0.18119029489676591</v>
      </c>
      <c r="H170" s="414" t="b">
        <f>Wh_hp&gt;='2018'!Maxi_hp</f>
        <v>0</v>
      </c>
      <c r="I170" s="390">
        <f>IF(H170,Wh_hp,'2018'!Maxi_hp)</f>
        <v>13.262336873276711</v>
      </c>
      <c r="J170" s="85">
        <f>IF(H170,An,'2018'!An_max)</f>
        <v>2018</v>
      </c>
      <c r="K170" s="197">
        <f t="shared" si="50"/>
        <v>43621</v>
      </c>
      <c r="L170" s="147">
        <f>IF(t&lt;Tvie,1-EXP((T0-t)*PertePVj)+'2018'!Pspv,1-EXP((T0-t)*PertePVj)+Pspv)</f>
        <v>8.9833624986995764E-3</v>
      </c>
      <c r="M170" s="850"/>
      <c r="N170" s="850"/>
      <c r="O170" s="48">
        <f>IF(t&lt;Tnet,'2018'!Resal+('2018'!Salim-'2018'!Resal)*(1-EXP(('2018'!Tnet-t)/('2018'!Tau_j))),Resal+(Salim-Resal)*(1-EXP((Tnet-t)/(Tau_j))))*Salcycl</f>
        <v>6.2486875969706819E-2</v>
      </c>
      <c r="P170" s="169">
        <f>(INDEX(Models!$BJ170:$BT170,,T170)*(1-R170)+INDEX(Models!$BJ170:$BT170,,T170+1)*R170-ERP_i)*Q170*Ramure*Pc/MaxiM</f>
        <v>0</v>
      </c>
      <c r="Q170" s="305">
        <f t="shared" si="51"/>
        <v>0.7</v>
      </c>
      <c r="R170" s="177">
        <f t="shared" si="52"/>
        <v>0.67989707311160386</v>
      </c>
      <c r="S170" s="817">
        <f t="shared" si="53"/>
        <v>-2</v>
      </c>
      <c r="T170" s="176">
        <f t="shared" si="54"/>
        <v>4</v>
      </c>
      <c r="U170" s="251">
        <f t="shared" si="55"/>
        <v>-1.3201029268883961</v>
      </c>
      <c r="V170" s="383">
        <f t="shared" si="56"/>
        <v>40.410552917151257</v>
      </c>
      <c r="W170" s="58"/>
      <c r="X170" s="157">
        <f t="shared" si="57"/>
        <v>43621</v>
      </c>
      <c r="Y170" s="385">
        <f t="shared" si="58"/>
        <v>7.3220000000000001</v>
      </c>
      <c r="Z170" s="385">
        <f t="shared" si="59"/>
        <v>7.3883724277942733</v>
      </c>
      <c r="AA170" s="386">
        <f t="shared" si="60"/>
        <v>7.8808202663150535</v>
      </c>
      <c r="AB170" s="197">
        <f t="shared" si="61"/>
        <v>43621</v>
      </c>
      <c r="AC170" s="427">
        <f>IF(OR(t&lt;Tnet,NoTnet),'2018'!Resal_s+('2018'!Salim-'2018'!Resal_s)*(1-EXP(('2018'!Tnet_s-t)/'2018'!Tau_j)),Resal_s+(Salim-Resal_s)*(1-EXP((Tnet_s-t)/Tau_j)))*Salcycl</f>
        <v>6.2486875969706819E-2</v>
      </c>
      <c r="AD170" s="231">
        <f>(INDEX(Models!$BJ170:$BT170,,AH170)*(1-AF170)+INDEX(Models!$BJ170:$BT170,,AH170+1)*AF170-ERP_i)*AE170*Ramure*Pc/MaxiM</f>
        <v>0</v>
      </c>
      <c r="AE170" s="305">
        <f t="shared" si="62"/>
        <v>0.7</v>
      </c>
      <c r="AF170" s="177">
        <f t="shared" si="63"/>
        <v>0.67989707311160386</v>
      </c>
      <c r="AG170" s="176">
        <f t="shared" si="64"/>
        <v>-2</v>
      </c>
      <c r="AH170" s="176">
        <f t="shared" si="65"/>
        <v>4</v>
      </c>
      <c r="AI170" s="225">
        <f t="shared" si="66"/>
        <v>-1.3201029268883961</v>
      </c>
      <c r="AJ170" s="265" t="b">
        <f t="shared" si="67"/>
        <v>0</v>
      </c>
      <c r="AK170" s="265" t="b">
        <f t="shared" si="68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2"/>
        <v>43622</v>
      </c>
      <c r="B171" s="617">
        <v>38.136000000000003</v>
      </c>
      <c r="C171" s="390"/>
      <c r="D171" s="393">
        <f t="shared" si="48"/>
        <v>38.48253788223461</v>
      </c>
      <c r="E171" s="385">
        <f t="shared" si="73"/>
        <v>41.05414814635413</v>
      </c>
      <c r="F171" s="385">
        <f t="shared" si="49"/>
        <v>41.05414814635413</v>
      </c>
      <c r="G171" s="110">
        <f t="shared" si="74"/>
        <v>0.94426501836443055</v>
      </c>
      <c r="H171" s="414" t="b">
        <f>Wh_hp&gt;='2018'!Maxi_hp</f>
        <v>1</v>
      </c>
      <c r="I171" s="390">
        <f>IF(H171,Wh_hp,'2018'!Maxi_hp)</f>
        <v>41.05414814635413</v>
      </c>
      <c r="J171" s="85">
        <f>IF(H171,An,'2018'!An_max)</f>
        <v>2019</v>
      </c>
      <c r="K171" s="197">
        <f t="shared" si="50"/>
        <v>43622</v>
      </c>
      <c r="L171" s="147">
        <f>IF(t&lt;Tvie,1-EXP((T0-t)*PertePVj)+'2018'!Pspv,1-EXP((T0-t)*PertePVj)+Pspv)</f>
        <v>9.0050683064379911E-3</v>
      </c>
      <c r="M171" s="850"/>
      <c r="N171" s="850"/>
      <c r="O171" s="48">
        <f>IF(t&lt;Tnet,'2018'!Resal+('2018'!Salim-'2018'!Resal)*(1-EXP(('2018'!Tnet-t)/('2018'!Tau_j))),Resal+(Salim-Resal)*(1-EXP((Tnet-t)/(Tau_j))))*Salcycl</f>
        <v>6.263947445583265E-2</v>
      </c>
      <c r="P171" s="169">
        <f>(INDEX(Models!$BJ171:$BT171,,T171)*(1-R171)+INDEX(Models!$BJ171:$BT171,,T171+1)*R171-ERP_i)*Q171*Ramure*Pc/MaxiM</f>
        <v>0</v>
      </c>
      <c r="Q171" s="305">
        <f t="shared" si="51"/>
        <v>0.7</v>
      </c>
      <c r="R171" s="177">
        <f t="shared" si="52"/>
        <v>0.68396713287570354</v>
      </c>
      <c r="S171" s="817">
        <f t="shared" si="53"/>
        <v>-2</v>
      </c>
      <c r="T171" s="176">
        <f t="shared" si="54"/>
        <v>4</v>
      </c>
      <c r="U171" s="251">
        <f t="shared" si="55"/>
        <v>-1.3160328671242965</v>
      </c>
      <c r="V171" s="383">
        <f t="shared" si="56"/>
        <v>40.38696685603761</v>
      </c>
      <c r="W171" s="58"/>
      <c r="X171" s="157">
        <f t="shared" si="57"/>
        <v>43622</v>
      </c>
      <c r="Y171" s="385">
        <f t="shared" si="58"/>
        <v>38.136000000000003</v>
      </c>
      <c r="Z171" s="385">
        <f t="shared" si="59"/>
        <v>38.48253788223461</v>
      </c>
      <c r="AA171" s="386">
        <f t="shared" si="60"/>
        <v>41.05414814635413</v>
      </c>
      <c r="AB171" s="197">
        <f t="shared" si="61"/>
        <v>43622</v>
      </c>
      <c r="AC171" s="427">
        <f>IF(OR(t&lt;Tnet,NoTnet),'2018'!Resal_s+('2018'!Salim-'2018'!Resal_s)*(1-EXP(('2018'!Tnet_s-t)/'2018'!Tau_j)),Resal_s+(Salim-Resal_s)*(1-EXP((Tnet_s-t)/Tau_j)))*Salcycl</f>
        <v>6.263947445583265E-2</v>
      </c>
      <c r="AD171" s="231">
        <f>(INDEX(Models!$BJ171:$BT171,,AH171)*(1-AF171)+INDEX(Models!$BJ171:$BT171,,AH171+1)*AF171-ERP_i)*AE171*Ramure*Pc/MaxiM</f>
        <v>0</v>
      </c>
      <c r="AE171" s="305">
        <f t="shared" si="62"/>
        <v>0.7</v>
      </c>
      <c r="AF171" s="177">
        <f t="shared" si="63"/>
        <v>0.68396713287570354</v>
      </c>
      <c r="AG171" s="176">
        <f t="shared" si="64"/>
        <v>-2</v>
      </c>
      <c r="AH171" s="176">
        <f t="shared" si="65"/>
        <v>4</v>
      </c>
      <c r="AI171" s="225">
        <f t="shared" si="66"/>
        <v>-1.3160328671242965</v>
      </c>
      <c r="AJ171" s="265" t="b">
        <f t="shared" si="67"/>
        <v>0</v>
      </c>
      <c r="AK171" s="265" t="b">
        <f t="shared" si="68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2"/>
        <v>43623</v>
      </c>
      <c r="B172" s="617">
        <v>12.025</v>
      </c>
      <c r="C172" s="390"/>
      <c r="D172" s="393">
        <f t="shared" si="48"/>
        <v>12.134535707038935</v>
      </c>
      <c r="E172" s="385">
        <f t="shared" si="73"/>
        <v>12.947529561689256</v>
      </c>
      <c r="F172" s="385">
        <f t="shared" si="49"/>
        <v>12.947529561689256</v>
      </c>
      <c r="G172" s="110">
        <f t="shared" si="74"/>
        <v>0.29792881831135282</v>
      </c>
      <c r="H172" s="414" t="b">
        <f>Wh_hp&gt;='2018'!Maxi_hp</f>
        <v>0</v>
      </c>
      <c r="I172" s="390">
        <f>IF(H172,Wh_hp,'2018'!Maxi_hp)</f>
        <v>34.795669036926832</v>
      </c>
      <c r="J172" s="85">
        <f>IF(H172,An,'2018'!An_max)</f>
        <v>2018</v>
      </c>
      <c r="K172" s="197">
        <f t="shared" si="50"/>
        <v>43623</v>
      </c>
      <c r="L172" s="147">
        <f>IF(t&lt;Tvie,1-EXP((T0-t)*PertePVj)+'2018'!Pspv,1-EXP((T0-t)*PertePVj)+Pspv)</f>
        <v>9.0267736387635855E-3</v>
      </c>
      <c r="M172" s="850"/>
      <c r="N172" s="850"/>
      <c r="O172" s="48">
        <f>IF(t&lt;Tnet,'2018'!Resal+('2018'!Salim-'2018'!Resal)*(1-EXP(('2018'!Tnet-t)/('2018'!Tau_j))),Resal+(Salim-Resal)*(1-EXP((Tnet-t)/(Tau_j))))*Salcycl</f>
        <v>6.2791426795108962E-2</v>
      </c>
      <c r="P172" s="169">
        <f>(INDEX(Models!$BJ172:$BT172,,T172)*(1-R172)+INDEX(Models!$BJ172:$BT172,,T172+1)*R172-ERP_i)*Q172*Ramure*Pc/MaxiM</f>
        <v>0</v>
      </c>
      <c r="Q172" s="305">
        <f t="shared" si="51"/>
        <v>0.7</v>
      </c>
      <c r="R172" s="177">
        <f t="shared" si="52"/>
        <v>0.68805093060371503</v>
      </c>
      <c r="S172" s="817">
        <f t="shared" si="53"/>
        <v>-2</v>
      </c>
      <c r="T172" s="176">
        <f t="shared" si="54"/>
        <v>4</v>
      </c>
      <c r="U172" s="251">
        <f t="shared" si="55"/>
        <v>-1.311949069396285</v>
      </c>
      <c r="V172" s="383">
        <f t="shared" si="56"/>
        <v>40.361990049022992</v>
      </c>
      <c r="W172" s="58"/>
      <c r="X172" s="157">
        <f t="shared" si="57"/>
        <v>43623</v>
      </c>
      <c r="Y172" s="385">
        <f t="shared" si="58"/>
        <v>12.025</v>
      </c>
      <c r="Z172" s="385">
        <f t="shared" si="59"/>
        <v>12.134535707038935</v>
      </c>
      <c r="AA172" s="386">
        <f t="shared" si="60"/>
        <v>12.947529561689256</v>
      </c>
      <c r="AB172" s="197">
        <f t="shared" si="61"/>
        <v>43623</v>
      </c>
      <c r="AC172" s="427">
        <f>IF(OR(t&lt;Tnet,NoTnet),'2018'!Resal_s+('2018'!Salim-'2018'!Resal_s)*(1-EXP(('2018'!Tnet_s-t)/'2018'!Tau_j)),Resal_s+(Salim-Resal_s)*(1-EXP((Tnet_s-t)/Tau_j)))*Salcycl</f>
        <v>6.2791426795108962E-2</v>
      </c>
      <c r="AD172" s="231">
        <f>(INDEX(Models!$BJ172:$BT172,,AH172)*(1-AF172)+INDEX(Models!$BJ172:$BT172,,AH172+1)*AF172-ERP_i)*AE172*Ramure*Pc/MaxiM</f>
        <v>0</v>
      </c>
      <c r="AE172" s="305">
        <f t="shared" si="62"/>
        <v>0.7</v>
      </c>
      <c r="AF172" s="177">
        <f t="shared" si="63"/>
        <v>0.68805093060371503</v>
      </c>
      <c r="AG172" s="176">
        <f t="shared" si="64"/>
        <v>-2</v>
      </c>
      <c r="AH172" s="176">
        <f t="shared" si="65"/>
        <v>4</v>
      </c>
      <c r="AI172" s="225">
        <f t="shared" si="66"/>
        <v>-1.311949069396285</v>
      </c>
      <c r="AJ172" s="265" t="b">
        <f t="shared" si="67"/>
        <v>0</v>
      </c>
      <c r="AK172" s="265" t="b">
        <f t="shared" si="68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2"/>
        <v>43624</v>
      </c>
      <c r="B173" s="617">
        <v>40.713999999999999</v>
      </c>
      <c r="C173" s="390"/>
      <c r="D173" s="393">
        <f t="shared" si="48"/>
        <v>41.085763648855526</v>
      </c>
      <c r="E173" s="385">
        <f t="shared" si="73"/>
        <v>43.845518262110815</v>
      </c>
      <c r="F173" s="385">
        <f t="shared" si="49"/>
        <v>43.845518262110815</v>
      </c>
      <c r="G173" s="110">
        <f t="shared" si="74"/>
        <v>1.0093781696587252</v>
      </c>
      <c r="H173" s="414" t="b">
        <f>Wh_hp&gt;='2018'!Maxi_hp</f>
        <v>1</v>
      </c>
      <c r="I173" s="390">
        <f>IF(H173,Wh_hp,'2018'!Maxi_hp)</f>
        <v>43.845518262110815</v>
      </c>
      <c r="J173" s="85">
        <f>IF(H173,An,'2018'!An_max)</f>
        <v>2019</v>
      </c>
      <c r="K173" s="197">
        <f t="shared" si="50"/>
        <v>43624</v>
      </c>
      <c r="L173" s="147">
        <f>IF(t&lt;Tvie,1-EXP((T0-t)*PertePVj)+'2018'!Pspv,1-EXP((T0-t)*PertePVj)+Pspv)</f>
        <v>9.0484784956865738E-3</v>
      </c>
      <c r="M173" s="850"/>
      <c r="N173" s="850"/>
      <c r="O173" s="48">
        <f>IF(t&lt;Tnet,'2018'!Resal+('2018'!Salim-'2018'!Resal)*(1-EXP(('2018'!Tnet-t)/('2018'!Tau_j))),Resal+(Salim-Resal)*(1-EXP((Tnet-t)/(Tau_j))))*Salcycl</f>
        <v>6.2942684284339606E-2</v>
      </c>
      <c r="P173" s="169">
        <f>(INDEX(Models!$BJ173:$BT173,,T173)*(1-R173)+INDEX(Models!$BJ173:$BT173,,T173+1)*R173-ERP_i)*Q173*Ramure*Pc/MaxiM</f>
        <v>0</v>
      </c>
      <c r="Q173" s="305">
        <f t="shared" si="51"/>
        <v>0.7</v>
      </c>
      <c r="R173" s="177">
        <f t="shared" si="52"/>
        <v>0.69214507239615797</v>
      </c>
      <c r="S173" s="817">
        <f t="shared" si="53"/>
        <v>-2</v>
      </c>
      <c r="T173" s="176">
        <f t="shared" si="54"/>
        <v>4</v>
      </c>
      <c r="U173" s="251">
        <f t="shared" si="55"/>
        <v>-1.307854927603842</v>
      </c>
      <c r="V173" s="383">
        <f t="shared" si="56"/>
        <v>40.335724730172807</v>
      </c>
      <c r="W173" s="58"/>
      <c r="X173" s="157">
        <f t="shared" si="57"/>
        <v>43624</v>
      </c>
      <c r="Y173" s="385">
        <f t="shared" si="58"/>
        <v>40.713999999999999</v>
      </c>
      <c r="Z173" s="385">
        <f t="shared" si="59"/>
        <v>41.085763648855526</v>
      </c>
      <c r="AA173" s="386">
        <f t="shared" si="60"/>
        <v>43.845518262110815</v>
      </c>
      <c r="AB173" s="197">
        <f t="shared" si="61"/>
        <v>43624</v>
      </c>
      <c r="AC173" s="427">
        <f>IF(OR(t&lt;Tnet,NoTnet),'2018'!Resal_s+('2018'!Salim-'2018'!Resal_s)*(1-EXP(('2018'!Tnet_s-t)/'2018'!Tau_j)),Resal_s+(Salim-Resal_s)*(1-EXP((Tnet_s-t)/Tau_j)))*Salcycl</f>
        <v>6.2942684284339606E-2</v>
      </c>
      <c r="AD173" s="231">
        <f>(INDEX(Models!$BJ173:$BT173,,AH173)*(1-AF173)+INDEX(Models!$BJ173:$BT173,,AH173+1)*AF173-ERP_i)*AE173*Ramure*Pc/MaxiM</f>
        <v>0</v>
      </c>
      <c r="AE173" s="305">
        <f t="shared" si="62"/>
        <v>0.7</v>
      </c>
      <c r="AF173" s="177">
        <f t="shared" si="63"/>
        <v>0.69214507239615797</v>
      </c>
      <c r="AG173" s="176">
        <f t="shared" si="64"/>
        <v>-2</v>
      </c>
      <c r="AH173" s="176">
        <f t="shared" si="65"/>
        <v>4</v>
      </c>
      <c r="AI173" s="225">
        <f t="shared" si="66"/>
        <v>-1.307854927603842</v>
      </c>
      <c r="AJ173" s="265" t="b">
        <f t="shared" si="67"/>
        <v>0</v>
      </c>
      <c r="AK173" s="265" t="b">
        <f t="shared" si="68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2"/>
        <v>43625</v>
      </c>
      <c r="B174" s="617">
        <v>33.064</v>
      </c>
      <c r="C174" s="390"/>
      <c r="D174" s="393">
        <f t="shared" si="48"/>
        <v>33.366641540773379</v>
      </c>
      <c r="E174" s="385">
        <f t="shared" si="73"/>
        <v>35.613618700698403</v>
      </c>
      <c r="F174" s="385">
        <f t="shared" si="49"/>
        <v>35.613618700698403</v>
      </c>
      <c r="G174" s="110">
        <f t="shared" si="74"/>
        <v>0.82027825936789167</v>
      </c>
      <c r="H174" s="414" t="b">
        <f>Wh_hp&gt;='2018'!Maxi_hp</f>
        <v>1</v>
      </c>
      <c r="I174" s="390">
        <f>IF(H174,Wh_hp,'2018'!Maxi_hp)</f>
        <v>35.613618700698403</v>
      </c>
      <c r="J174" s="85">
        <f>IF(H174,An,'2018'!An_max)</f>
        <v>2019</v>
      </c>
      <c r="K174" s="197">
        <f t="shared" si="50"/>
        <v>43625</v>
      </c>
      <c r="L174" s="147">
        <f>IF(t&lt;Tvie,1-EXP((T0-t)*PertePVj)+'2018'!Pspv,1-EXP((T0-t)*PertePVj)+Pspv)</f>
        <v>9.0701828772176141E-3</v>
      </c>
      <c r="M174" s="850"/>
      <c r="N174" s="850"/>
      <c r="O174" s="48">
        <f>IF(t&lt;Tnet,'2018'!Resal+('2018'!Salim-'2018'!Resal)*(1-EXP(('2018'!Tnet-t)/('2018'!Tau_j))),Resal+(Salim-Resal)*(1-EXP((Tnet-t)/(Tau_j))))*Salcycl</f>
        <v>6.3093199789915275E-2</v>
      </c>
      <c r="P174" s="169">
        <f>(INDEX(Models!$BJ174:$BT174,,T174)*(1-R174)+INDEX(Models!$BJ174:$BT174,,T174+1)*R174-ERP_i)*Q174*Ramure*Pc/MaxiM</f>
        <v>0</v>
      </c>
      <c r="Q174" s="305">
        <f t="shared" si="51"/>
        <v>0.7</v>
      </c>
      <c r="R174" s="177">
        <f t="shared" si="52"/>
        <v>0.69624612964408716</v>
      </c>
      <c r="S174" s="817">
        <f t="shared" si="53"/>
        <v>-2</v>
      </c>
      <c r="T174" s="176">
        <f t="shared" si="54"/>
        <v>4</v>
      </c>
      <c r="U174" s="251">
        <f t="shared" si="55"/>
        <v>-1.3037538703559128</v>
      </c>
      <c r="V174" s="383">
        <f t="shared" si="56"/>
        <v>40.308272982242869</v>
      </c>
      <c r="W174" s="58"/>
      <c r="X174" s="157">
        <f t="shared" si="57"/>
        <v>43625</v>
      </c>
      <c r="Y174" s="385">
        <f t="shared" si="58"/>
        <v>33.064</v>
      </c>
      <c r="Z174" s="385">
        <f t="shared" si="59"/>
        <v>33.366641540773379</v>
      </c>
      <c r="AA174" s="386">
        <f t="shared" si="60"/>
        <v>35.613618700698403</v>
      </c>
      <c r="AB174" s="197">
        <f t="shared" si="61"/>
        <v>43625</v>
      </c>
      <c r="AC174" s="427">
        <f>IF(OR(t&lt;Tnet,NoTnet),'2018'!Resal_s+('2018'!Salim-'2018'!Resal_s)*(1-EXP(('2018'!Tnet_s-t)/'2018'!Tau_j)),Resal_s+(Salim-Resal_s)*(1-EXP((Tnet_s-t)/Tau_j)))*Salcycl</f>
        <v>6.3093199789915275E-2</v>
      </c>
      <c r="AD174" s="231">
        <f>(INDEX(Models!$BJ174:$BT174,,AH174)*(1-AF174)+INDEX(Models!$BJ174:$BT174,,AH174+1)*AF174-ERP_i)*AE174*Ramure*Pc/MaxiM</f>
        <v>0</v>
      </c>
      <c r="AE174" s="305">
        <f t="shared" si="62"/>
        <v>0.7</v>
      </c>
      <c r="AF174" s="177">
        <f t="shared" si="63"/>
        <v>0.69624612964408716</v>
      </c>
      <c r="AG174" s="176">
        <f t="shared" si="64"/>
        <v>-2</v>
      </c>
      <c r="AH174" s="176">
        <f t="shared" si="65"/>
        <v>4</v>
      </c>
      <c r="AI174" s="225">
        <f t="shared" si="66"/>
        <v>-1.3037538703559128</v>
      </c>
      <c r="AJ174" s="265" t="b">
        <f t="shared" si="67"/>
        <v>0</v>
      </c>
      <c r="AK174" s="265" t="b">
        <f t="shared" si="68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2"/>
        <v>43626</v>
      </c>
      <c r="B175" s="617">
        <v>15.201000000000001</v>
      </c>
      <c r="C175" s="390"/>
      <c r="D175" s="393">
        <f t="shared" si="48"/>
        <v>15.340473851460681</v>
      </c>
      <c r="E175" s="385">
        <f t="shared" si="73"/>
        <v>16.376149493779085</v>
      </c>
      <c r="F175" s="385">
        <f t="shared" si="49"/>
        <v>16.376149493779085</v>
      </c>
      <c r="G175" s="110">
        <f t="shared" si="74"/>
        <v>0.37738578337681988</v>
      </c>
      <c r="H175" s="414" t="b">
        <f>Wh_hp&gt;='2018'!Maxi_hp</f>
        <v>1</v>
      </c>
      <c r="I175" s="390">
        <f>IF(H175,Wh_hp,'2018'!Maxi_hp)</f>
        <v>16.376149493779085</v>
      </c>
      <c r="J175" s="85">
        <f>IF(H175,An,'2018'!An_max)</f>
        <v>2019</v>
      </c>
      <c r="K175" s="197">
        <f t="shared" si="50"/>
        <v>43626</v>
      </c>
      <c r="L175" s="147">
        <f>IF(t&lt;Tvie,1-EXP((T0-t)*PertePVj)+'2018'!Pspv,1-EXP((T0-t)*PertePVj)+Pspv)</f>
        <v>9.0918867833669204E-3</v>
      </c>
      <c r="M175" s="850"/>
      <c r="N175" s="850"/>
      <c r="O175" s="48">
        <f>IF(t&lt;Tnet,'2018'!Resal+('2018'!Salim-'2018'!Resal)*(1-EXP(('2018'!Tnet-t)/('2018'!Tau_j))),Resal+(Salim-Resal)*(1-EXP((Tnet-t)/(Tau_j))))*Salcycl</f>
        <v>6.324292793686527E-2</v>
      </c>
      <c r="P175" s="169">
        <f>(INDEX(Models!$BJ175:$BT175,,T175)*(1-R175)+INDEX(Models!$BJ175:$BT175,,T175+1)*R175-ERP_i)*Q175*Ramure*Pc/MaxiM</f>
        <v>0</v>
      </c>
      <c r="Q175" s="305">
        <f t="shared" si="51"/>
        <v>0.7</v>
      </c>
      <c r="R175" s="177">
        <f t="shared" si="52"/>
        <v>0.70035065046024148</v>
      </c>
      <c r="S175" s="817">
        <f t="shared" si="53"/>
        <v>-2</v>
      </c>
      <c r="T175" s="176">
        <f t="shared" si="54"/>
        <v>4</v>
      </c>
      <c r="U175" s="251">
        <f t="shared" si="55"/>
        <v>-1.2996493495397585</v>
      </c>
      <c r="V175" s="383">
        <f t="shared" si="56"/>
        <v>40.279736729832756</v>
      </c>
      <c r="W175" s="58"/>
      <c r="X175" s="157">
        <f t="shared" si="57"/>
        <v>43626</v>
      </c>
      <c r="Y175" s="385">
        <f t="shared" si="58"/>
        <v>15.201000000000002</v>
      </c>
      <c r="Z175" s="385">
        <f t="shared" si="59"/>
        <v>15.340473851460683</v>
      </c>
      <c r="AA175" s="386">
        <f t="shared" si="60"/>
        <v>16.376149493779085</v>
      </c>
      <c r="AB175" s="197">
        <f t="shared" si="61"/>
        <v>43626</v>
      </c>
      <c r="AC175" s="427">
        <f>IF(OR(t&lt;Tnet,NoTnet),'2018'!Resal_s+('2018'!Salim-'2018'!Resal_s)*(1-EXP(('2018'!Tnet_s-t)/'2018'!Tau_j)),Resal_s+(Salim-Resal_s)*(1-EXP((Tnet_s-t)/Tau_j)))*Salcycl</f>
        <v>6.324292793686527E-2</v>
      </c>
      <c r="AD175" s="231">
        <f>(INDEX(Models!$BJ175:$BT175,,AH175)*(1-AF175)+INDEX(Models!$BJ175:$BT175,,AH175+1)*AF175-ERP_i)*AE175*Ramure*Pc/MaxiM</f>
        <v>0</v>
      </c>
      <c r="AE175" s="305">
        <f t="shared" si="62"/>
        <v>0.7</v>
      </c>
      <c r="AF175" s="177">
        <f t="shared" si="63"/>
        <v>0.70035065046024148</v>
      </c>
      <c r="AG175" s="176">
        <f t="shared" si="64"/>
        <v>-2</v>
      </c>
      <c r="AH175" s="176">
        <f t="shared" si="65"/>
        <v>4</v>
      </c>
      <c r="AI175" s="225">
        <f t="shared" si="66"/>
        <v>-1.2996493495397585</v>
      </c>
      <c r="AJ175" s="265" t="b">
        <f t="shared" si="67"/>
        <v>0</v>
      </c>
      <c r="AK175" s="265" t="b">
        <f t="shared" si="68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2"/>
        <v>43627</v>
      </c>
      <c r="B176" s="617">
        <v>21.59</v>
      </c>
      <c r="C176" s="390"/>
      <c r="D176" s="393">
        <f t="shared" si="48"/>
        <v>21.788572117631439</v>
      </c>
      <c r="E176" s="385">
        <f t="shared" si="73"/>
        <v>23.263273486149675</v>
      </c>
      <c r="F176" s="385">
        <f t="shared" si="49"/>
        <v>23.263273486149675</v>
      </c>
      <c r="G176" s="110">
        <f t="shared" si="74"/>
        <v>0.53639461389440135</v>
      </c>
      <c r="H176" s="414" t="b">
        <f>Wh_hp&gt;='2018'!Maxi_hp</f>
        <v>1</v>
      </c>
      <c r="I176" s="390">
        <f>IF(H176,Wh_hp,'2018'!Maxi_hp)</f>
        <v>23.263273486149675</v>
      </c>
      <c r="J176" s="85">
        <f>IF(H176,An,'2018'!An_max)</f>
        <v>2019</v>
      </c>
      <c r="K176" s="197">
        <f t="shared" si="50"/>
        <v>43627</v>
      </c>
      <c r="L176" s="147">
        <f>IF(t&lt;Tvie,1-EXP((T0-t)*PertePVj)+'2018'!Pspv,1-EXP((T0-t)*PertePVj)+Pspv)</f>
        <v>9.1135902141450398E-3</v>
      </c>
      <c r="M176" s="850"/>
      <c r="N176" s="850"/>
      <c r="O176" s="48">
        <f>IF(t&lt;Tnet,'2018'!Resal+('2018'!Salim-'2018'!Resal)*(1-EXP(('2018'!Tnet-t)/('2018'!Tau_j))),Resal+(Salim-Resal)*(1-EXP((Tnet-t)/(Tau_j))))*Salcycl</f>
        <v>6.3391825290461917E-2</v>
      </c>
      <c r="P176" s="169">
        <f>(INDEX(Models!$BJ176:$BT176,,T176)*(1-R176)+INDEX(Models!$BJ176:$BT176,,T176+1)*R176-ERP_i)*Q176*Ramure*Pc/MaxiM</f>
        <v>0</v>
      </c>
      <c r="Q176" s="305">
        <f t="shared" si="51"/>
        <v>0.7</v>
      </c>
      <c r="R176" s="177">
        <f t="shared" si="52"/>
        <v>0.70445517127639601</v>
      </c>
      <c r="S176" s="817">
        <f t="shared" si="53"/>
        <v>-2</v>
      </c>
      <c r="T176" s="176">
        <f t="shared" si="54"/>
        <v>4</v>
      </c>
      <c r="U176" s="251">
        <f t="shared" si="55"/>
        <v>-1.295544828723604</v>
      </c>
      <c r="V176" s="383">
        <f t="shared" si="56"/>
        <v>40.250217732891642</v>
      </c>
      <c r="W176" s="58"/>
      <c r="X176" s="157">
        <f t="shared" si="57"/>
        <v>43627</v>
      </c>
      <c r="Y176" s="385">
        <f t="shared" si="58"/>
        <v>21.59</v>
      </c>
      <c r="Z176" s="385">
        <f t="shared" si="59"/>
        <v>21.788572117631439</v>
      </c>
      <c r="AA176" s="386">
        <f t="shared" si="60"/>
        <v>23.263273486149675</v>
      </c>
      <c r="AB176" s="197">
        <f t="shared" si="61"/>
        <v>43627</v>
      </c>
      <c r="AC176" s="427">
        <f>IF(OR(t&lt;Tnet,NoTnet),'2018'!Resal_s+('2018'!Salim-'2018'!Resal_s)*(1-EXP(('2018'!Tnet_s-t)/'2018'!Tau_j)),Resal_s+(Salim-Resal_s)*(1-EXP((Tnet_s-t)/Tau_j)))*Salcycl</f>
        <v>6.3391825290461917E-2</v>
      </c>
      <c r="AD176" s="231">
        <f>(INDEX(Models!$BJ176:$BT176,,AH176)*(1-AF176)+INDEX(Models!$BJ176:$BT176,,AH176+1)*AF176-ERP_i)*AE176*Ramure*Pc/MaxiM</f>
        <v>0</v>
      </c>
      <c r="AE176" s="305">
        <f t="shared" si="62"/>
        <v>0.7</v>
      </c>
      <c r="AF176" s="177">
        <f t="shared" si="63"/>
        <v>0.70445517127639601</v>
      </c>
      <c r="AG176" s="176">
        <f t="shared" si="64"/>
        <v>-2</v>
      </c>
      <c r="AH176" s="176">
        <f t="shared" si="65"/>
        <v>4</v>
      </c>
      <c r="AI176" s="225">
        <f t="shared" si="66"/>
        <v>-1.295544828723604</v>
      </c>
      <c r="AJ176" s="265" t="b">
        <f t="shared" si="67"/>
        <v>0</v>
      </c>
      <c r="AK176" s="265" t="b">
        <f t="shared" si="68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2"/>
        <v>43628</v>
      </c>
      <c r="B177" s="617">
        <v>39.293999999999997</v>
      </c>
      <c r="C177" s="390"/>
      <c r="D177" s="393">
        <f t="shared" si="48"/>
        <v>39.65627166769621</v>
      </c>
      <c r="E177" s="385">
        <f t="shared" si="73"/>
        <v>42.346993291813639</v>
      </c>
      <c r="F177" s="385">
        <f t="shared" si="49"/>
        <v>42.346993291813639</v>
      </c>
      <c r="G177" s="110">
        <f t="shared" si="74"/>
        <v>0.97699231827008781</v>
      </c>
      <c r="H177" s="414" t="b">
        <f>Wh_hp&gt;='2018'!Maxi_hp</f>
        <v>1</v>
      </c>
      <c r="I177" s="390">
        <f>IF(H177,Wh_hp,'2018'!Maxi_hp)</f>
        <v>42.346993291813639</v>
      </c>
      <c r="J177" s="85">
        <f>IF(H177,An,'2018'!An_max)</f>
        <v>2019</v>
      </c>
      <c r="K177" s="197">
        <f t="shared" si="50"/>
        <v>43628</v>
      </c>
      <c r="L177" s="147">
        <f>IF(t&lt;Tvie,1-EXP((T0-t)*PertePVj)+'2018'!Pspv,1-EXP((T0-t)*PertePVj)+Pspv)</f>
        <v>9.1352931695622974E-3</v>
      </c>
      <c r="M177" s="850"/>
      <c r="N177" s="850"/>
      <c r="O177" s="48">
        <f>IF(t&lt;Tnet,'2018'!Resal+('2018'!Salim-'2018'!Resal)*(1-EXP(('2018'!Tnet-t)/('2018'!Tau_j))),Resal+(Salim-Resal)*(1-EXP((Tnet-t)/(Tau_j))))*Salcycl</f>
        <v>6.353985052907149E-2</v>
      </c>
      <c r="P177" s="169">
        <f>(INDEX(Models!$BJ177:$BT177,,T177)*(1-R177)+INDEX(Models!$BJ177:$BT177,,T177+1)*R177-ERP_i)*Q177*Ramure*Pc/MaxiM</f>
        <v>0</v>
      </c>
      <c r="Q177" s="305">
        <f t="shared" si="51"/>
        <v>0.7</v>
      </c>
      <c r="R177" s="177">
        <f t="shared" si="52"/>
        <v>0.7085562285243252</v>
      </c>
      <c r="S177" s="817">
        <f t="shared" si="53"/>
        <v>-2</v>
      </c>
      <c r="T177" s="176">
        <f t="shared" si="54"/>
        <v>4</v>
      </c>
      <c r="U177" s="251">
        <f t="shared" si="55"/>
        <v>-1.2914437714756748</v>
      </c>
      <c r="V177" s="383">
        <f t="shared" si="56"/>
        <v>40.219354098480473</v>
      </c>
      <c r="W177" s="58"/>
      <c r="X177" s="157">
        <f t="shared" si="57"/>
        <v>43628</v>
      </c>
      <c r="Y177" s="385">
        <f t="shared" si="58"/>
        <v>39.293999999999997</v>
      </c>
      <c r="Z177" s="385">
        <f t="shared" si="59"/>
        <v>39.65627166769621</v>
      </c>
      <c r="AA177" s="386">
        <f t="shared" si="60"/>
        <v>42.346993291813639</v>
      </c>
      <c r="AB177" s="197">
        <f t="shared" si="61"/>
        <v>43628</v>
      </c>
      <c r="AC177" s="427">
        <f>IF(OR(t&lt;Tnet,NoTnet),'2018'!Resal_s+('2018'!Salim-'2018'!Resal_s)*(1-EXP(('2018'!Tnet_s-t)/'2018'!Tau_j)),Resal_s+(Salim-Resal_s)*(1-EXP((Tnet_s-t)/Tau_j)))*Salcycl</f>
        <v>6.353985052907149E-2</v>
      </c>
      <c r="AD177" s="231">
        <f>(INDEX(Models!$BJ177:$BT177,,AH177)*(1-AF177)+INDEX(Models!$BJ177:$BT177,,AH177+1)*AF177-ERP_i)*AE177*Ramure*Pc/MaxiM</f>
        <v>0</v>
      </c>
      <c r="AE177" s="305">
        <f t="shared" si="62"/>
        <v>0.7</v>
      </c>
      <c r="AF177" s="177">
        <f t="shared" si="63"/>
        <v>0.7085562285243252</v>
      </c>
      <c r="AG177" s="176">
        <f t="shared" si="64"/>
        <v>-2</v>
      </c>
      <c r="AH177" s="176">
        <f t="shared" si="65"/>
        <v>4</v>
      </c>
      <c r="AI177" s="225">
        <f t="shared" si="66"/>
        <v>-1.2914437714756748</v>
      </c>
      <c r="AJ177" s="265" t="b">
        <f t="shared" si="67"/>
        <v>0</v>
      </c>
      <c r="AK177" s="265" t="b">
        <f t="shared" si="68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2"/>
        <v>43629</v>
      </c>
      <c r="B178" s="617">
        <v>39.273000000000003</v>
      </c>
      <c r="C178" s="390"/>
      <c r="D178" s="393">
        <f t="shared" si="48"/>
        <v>39.635946186801476</v>
      </c>
      <c r="E178" s="385">
        <f t="shared" si="73"/>
        <v>42.331938879997239</v>
      </c>
      <c r="F178" s="385">
        <f t="shared" si="49"/>
        <v>42.331938879997239</v>
      </c>
      <c r="G178" s="110">
        <f t="shared" si="74"/>
        <v>0.97726157722229745</v>
      </c>
      <c r="H178" s="414" t="b">
        <f>Wh_hp&gt;='2018'!Maxi_hp</f>
        <v>1</v>
      </c>
      <c r="I178" s="390">
        <f>IF(H178,Wh_hp,'2018'!Maxi_hp)</f>
        <v>42.331938879997239</v>
      </c>
      <c r="J178" s="85">
        <f>IF(H178,An,'2018'!An_max)</f>
        <v>2019</v>
      </c>
      <c r="K178" s="197">
        <f t="shared" si="50"/>
        <v>43629</v>
      </c>
      <c r="L178" s="147">
        <f>IF(t&lt;Tvie,1-EXP((T0-t)*PertePVj)+'2018'!Pspv,1-EXP((T0-t)*PertePVj)+Pspv)</f>
        <v>9.1569956496290184E-3</v>
      </c>
      <c r="M178" s="850"/>
      <c r="N178" s="850"/>
      <c r="O178" s="48">
        <f>IF(t&lt;Tnet,'2018'!Resal+('2018'!Salim-'2018'!Resal)*(1-EXP(('2018'!Tnet-t)/('2018'!Tau_j))),Resal+(Salim-Resal)*(1-EXP((Tnet-t)/(Tau_j))))*Salcycl</f>
        <v>6.3686964606992608E-2</v>
      </c>
      <c r="P178" s="169">
        <f>(INDEX(Models!$BJ178:$BT178,,T178)*(1-R178)+INDEX(Models!$BJ178:$BT178,,T178+1)*R178-ERP_i)*Q178*Ramure*Pc/MaxiM</f>
        <v>0</v>
      </c>
      <c r="Q178" s="305">
        <f t="shared" si="51"/>
        <v>0.7</v>
      </c>
      <c r="R178" s="177">
        <f t="shared" si="52"/>
        <v>0.71265037031676814</v>
      </c>
      <c r="S178" s="817">
        <f t="shared" si="53"/>
        <v>-2</v>
      </c>
      <c r="T178" s="176">
        <f t="shared" si="54"/>
        <v>4</v>
      </c>
      <c r="U178" s="251">
        <f t="shared" si="55"/>
        <v>-1.2873496296832319</v>
      </c>
      <c r="V178" s="383">
        <f t="shared" si="56"/>
        <v>40.186784086638234</v>
      </c>
      <c r="W178" s="58"/>
      <c r="X178" s="157">
        <f t="shared" si="57"/>
        <v>43629</v>
      </c>
      <c r="Y178" s="385">
        <f t="shared" si="58"/>
        <v>39.273000000000003</v>
      </c>
      <c r="Z178" s="385">
        <f t="shared" si="59"/>
        <v>39.635946186801476</v>
      </c>
      <c r="AA178" s="386">
        <f t="shared" si="60"/>
        <v>42.331938879997239</v>
      </c>
      <c r="AB178" s="197">
        <f t="shared" si="61"/>
        <v>43629</v>
      </c>
      <c r="AC178" s="427">
        <f>IF(OR(t&lt;Tnet,NoTnet),'2018'!Resal_s+('2018'!Salim-'2018'!Resal_s)*(1-EXP(('2018'!Tnet_s-t)/'2018'!Tau_j)),Resal_s+(Salim-Resal_s)*(1-EXP((Tnet_s-t)/Tau_j)))*Salcycl</f>
        <v>6.3686964606992608E-2</v>
      </c>
      <c r="AD178" s="231">
        <f>(INDEX(Models!$BJ178:$BT178,,AH178)*(1-AF178)+INDEX(Models!$BJ178:$BT178,,AH178+1)*AF178-ERP_i)*AE178*Ramure*Pc/MaxiM</f>
        <v>0</v>
      </c>
      <c r="AE178" s="305">
        <f t="shared" si="62"/>
        <v>0.7</v>
      </c>
      <c r="AF178" s="177">
        <f t="shared" si="63"/>
        <v>0.71265037031676814</v>
      </c>
      <c r="AG178" s="176">
        <f t="shared" si="64"/>
        <v>-2</v>
      </c>
      <c r="AH178" s="176">
        <f t="shared" si="65"/>
        <v>4</v>
      </c>
      <c r="AI178" s="225">
        <f t="shared" si="66"/>
        <v>-1.2873496296832319</v>
      </c>
      <c r="AJ178" s="265" t="b">
        <f t="shared" si="67"/>
        <v>0</v>
      </c>
      <c r="AK178" s="265" t="b">
        <f t="shared" si="68"/>
        <v>0</v>
      </c>
      <c r="AL178" s="265"/>
      <c r="AM178" s="265"/>
      <c r="AN178" s="75"/>
    </row>
    <row r="179" spans="1:40" s="6" customFormat="1" ht="11.25" x14ac:dyDescent="0.2">
      <c r="A179" s="56">
        <f t="shared" si="72"/>
        <v>43630</v>
      </c>
      <c r="B179" s="617">
        <v>15.272</v>
      </c>
      <c r="C179" s="390"/>
      <c r="D179" s="393">
        <f t="shared" si="48"/>
        <v>15.413475632634736</v>
      </c>
      <c r="E179" s="385">
        <f t="shared" si="73"/>
        <v>16.464453231028049</v>
      </c>
      <c r="F179" s="385">
        <f t="shared" si="49"/>
        <v>16.464453231028049</v>
      </c>
      <c r="G179" s="110">
        <f t="shared" si="74"/>
        <v>0.38034887949736013</v>
      </c>
      <c r="H179" s="414" t="b">
        <f>Wh_hp&gt;='2018'!Maxi_hp</f>
        <v>0</v>
      </c>
      <c r="I179" s="390">
        <f>IF(H179,Wh_hp,'2018'!Maxi_hp)</f>
        <v>32.064754568132031</v>
      </c>
      <c r="J179" s="85">
        <f>IF(H179,An,'2018'!An_max)</f>
        <v>2018</v>
      </c>
      <c r="K179" s="197">
        <f t="shared" si="50"/>
        <v>43630</v>
      </c>
      <c r="L179" s="147">
        <f>IF(t&lt;Tvie,1-EXP((T0-t)*PertePVj)+'2018'!Pspv,1-EXP((T0-t)*PertePVj)+Pspv)</f>
        <v>9.1786976543558607E-3</v>
      </c>
      <c r="M179" s="850"/>
      <c r="N179" s="850"/>
      <c r="O179" s="48">
        <f>IF(t&lt;Tnet,'2018'!Resal+('2018'!Salim-'2018'!Resal)*(1-EXP(('2018'!Tnet-t)/('2018'!Tau_j))),Resal+(Salim-Resal)*(1-EXP((Tnet-t)/(Tau_j))))*Salcycl</f>
        <v>6.3833130906084279E-2</v>
      </c>
      <c r="P179" s="169">
        <f>(INDEX(Models!$BJ179:$BT179,,T179)*(1-R179)+INDEX(Models!$BJ179:$BT179,,T179+1)*R179-ERP_i)*Q179*Ramure*Pc/MaxiM</f>
        <v>0</v>
      </c>
      <c r="Q179" s="305">
        <f t="shared" si="51"/>
        <v>0.7</v>
      </c>
      <c r="R179" s="177">
        <f t="shared" si="52"/>
        <v>0.71673416804477963</v>
      </c>
      <c r="S179" s="817">
        <f t="shared" si="53"/>
        <v>-2</v>
      </c>
      <c r="T179" s="176">
        <f t="shared" si="54"/>
        <v>4</v>
      </c>
      <c r="U179" s="251">
        <f t="shared" si="55"/>
        <v>-1.2832658319552204</v>
      </c>
      <c r="V179" s="383">
        <f t="shared" si="56"/>
        <v>40.152609415288147</v>
      </c>
      <c r="W179" s="58"/>
      <c r="X179" s="157">
        <f t="shared" si="57"/>
        <v>43630</v>
      </c>
      <c r="Y179" s="385">
        <f t="shared" si="58"/>
        <v>15.271999999999998</v>
      </c>
      <c r="Z179" s="385">
        <f t="shared" si="59"/>
        <v>15.413475632634734</v>
      </c>
      <c r="AA179" s="386">
        <f t="shared" si="60"/>
        <v>16.464453231028049</v>
      </c>
      <c r="AB179" s="197">
        <f t="shared" si="61"/>
        <v>43630</v>
      </c>
      <c r="AC179" s="427">
        <f>IF(OR(t&lt;Tnet,NoTnet),'2018'!Resal_s+('2018'!Salim-'2018'!Resal_s)*(1-EXP(('2018'!Tnet_s-t)/'2018'!Tau_j)),Resal_s+(Salim-Resal_s)*(1-EXP((Tnet_s-t)/Tau_j)))*Salcycl</f>
        <v>6.3833130906084279E-2</v>
      </c>
      <c r="AD179" s="231">
        <f>(INDEX(Models!$BJ179:$BT179,,AH179)*(1-AF179)+INDEX(Models!$BJ179:$BT179,,AH179+1)*AF179-ERP_i)*AE179*Ramure*Pc/MaxiM</f>
        <v>0</v>
      </c>
      <c r="AE179" s="305">
        <f t="shared" si="62"/>
        <v>0.7</v>
      </c>
      <c r="AF179" s="177">
        <f t="shared" si="63"/>
        <v>0.71673416804477963</v>
      </c>
      <c r="AG179" s="176">
        <f t="shared" si="64"/>
        <v>-2</v>
      </c>
      <c r="AH179" s="176">
        <f t="shared" si="65"/>
        <v>4</v>
      </c>
      <c r="AI179" s="225">
        <f t="shared" si="66"/>
        <v>-1.2832658319552204</v>
      </c>
      <c r="AJ179" s="265" t="b">
        <f t="shared" si="67"/>
        <v>0</v>
      </c>
      <c r="AK179" s="265" t="b">
        <f t="shared" si="68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2"/>
        <v>43631</v>
      </c>
      <c r="B180" s="617">
        <v>13.907999999999999</v>
      </c>
      <c r="C180" s="390"/>
      <c r="D180" s="393">
        <f t="shared" si="48"/>
        <v>14.03714735910493</v>
      </c>
      <c r="E180" s="385">
        <f t="shared" si="73"/>
        <v>14.996604875376887</v>
      </c>
      <c r="F180" s="385">
        <f t="shared" si="49"/>
        <v>14.996604875376887</v>
      </c>
      <c r="G180" s="110">
        <f t="shared" si="74"/>
        <v>0.34668653466911326</v>
      </c>
      <c r="H180" s="414" t="b">
        <f>Wh_hp&gt;='2018'!Maxi_hp</f>
        <v>0</v>
      </c>
      <c r="I180" s="390">
        <f>IF(H180,Wh_hp,'2018'!Maxi_hp)</f>
        <v>24.297945446141629</v>
      </c>
      <c r="J180" s="85">
        <f>IF(H180,An,'2018'!An_max)</f>
        <v>2018</v>
      </c>
      <c r="K180" s="197">
        <f t="shared" si="50"/>
        <v>43631</v>
      </c>
      <c r="L180" s="147">
        <f>IF(t&lt;Tvie,1-EXP((T0-t)*PertePVj)+'2018'!Pspv,1-EXP((T0-t)*PertePVj)+Pspv)</f>
        <v>9.2003991837530386E-3</v>
      </c>
      <c r="M180" s="850"/>
      <c r="N180" s="850"/>
      <c r="O180" s="48">
        <f>IF(t&lt;Tnet,'2018'!Resal+('2018'!Salim-'2018'!Resal)*(1-EXP(('2018'!Tnet-t)/('2018'!Tau_j))),Resal+(Salim-Resal)*(1-EXP((Tnet-t)/(Tau_j))))*Salcycl</f>
        <v>6.3978315375055467E-2</v>
      </c>
      <c r="P180" s="169">
        <f>(INDEX(Models!$BJ180:$BT180,,T180)*(1-R180)+INDEX(Models!$BJ180:$BT180,,T180+1)*R180-ERP_i)*Q180*Ramure*Pc/MaxiM</f>
        <v>0</v>
      </c>
      <c r="Q180" s="305">
        <f t="shared" si="51"/>
        <v>0.7</v>
      </c>
      <c r="R180" s="177">
        <f t="shared" si="52"/>
        <v>0.72080422780887932</v>
      </c>
      <c r="S180" s="817">
        <f t="shared" si="53"/>
        <v>-2</v>
      </c>
      <c r="T180" s="176">
        <f t="shared" si="54"/>
        <v>4</v>
      </c>
      <c r="U180" s="251">
        <f t="shared" si="55"/>
        <v>-1.2791957721911207</v>
      </c>
      <c r="V180" s="383">
        <f t="shared" si="56"/>
        <v>40.11693160587896</v>
      </c>
      <c r="W180" s="58"/>
      <c r="X180" s="157">
        <f t="shared" si="57"/>
        <v>43631</v>
      </c>
      <c r="Y180" s="385">
        <f t="shared" si="58"/>
        <v>13.907999999999999</v>
      </c>
      <c r="Z180" s="385">
        <f t="shared" si="59"/>
        <v>14.03714735910493</v>
      </c>
      <c r="AA180" s="386">
        <f t="shared" si="60"/>
        <v>14.996604875376887</v>
      </c>
      <c r="AB180" s="197">
        <f t="shared" si="61"/>
        <v>43631</v>
      </c>
      <c r="AC180" s="427">
        <f>IF(OR(t&lt;Tnet,NoTnet),'2018'!Resal_s+('2018'!Salim-'2018'!Resal_s)*(1-EXP(('2018'!Tnet_s-t)/'2018'!Tau_j)),Resal_s+(Salim-Resal_s)*(1-EXP((Tnet_s-t)/Tau_j)))*Salcycl</f>
        <v>6.3978315375055467E-2</v>
      </c>
      <c r="AD180" s="231">
        <f>(INDEX(Models!$BJ180:$BT180,,AH180)*(1-AF180)+INDEX(Models!$BJ180:$BT180,,AH180+1)*AF180-ERP_i)*AE180*Ramure*Pc/MaxiM</f>
        <v>0</v>
      </c>
      <c r="AE180" s="305">
        <f t="shared" si="62"/>
        <v>0.7</v>
      </c>
      <c r="AF180" s="177">
        <f t="shared" si="63"/>
        <v>0.72080422780887932</v>
      </c>
      <c r="AG180" s="176">
        <f t="shared" si="64"/>
        <v>-2</v>
      </c>
      <c r="AH180" s="176">
        <f t="shared" si="65"/>
        <v>4</v>
      </c>
      <c r="AI180" s="225">
        <f t="shared" si="66"/>
        <v>-1.2791957721911207</v>
      </c>
      <c r="AJ180" s="265" t="b">
        <f t="shared" si="67"/>
        <v>0</v>
      </c>
      <c r="AK180" s="265" t="b">
        <f t="shared" si="68"/>
        <v>0</v>
      </c>
      <c r="AL180" s="265"/>
      <c r="AM180" s="265"/>
      <c r="AN180" s="75"/>
    </row>
    <row r="181" spans="1:40" s="6" customFormat="1" ht="11.25" x14ac:dyDescent="0.2">
      <c r="A181" s="56">
        <f t="shared" si="72"/>
        <v>43632</v>
      </c>
      <c r="B181" s="617">
        <v>41.136000000000003</v>
      </c>
      <c r="C181" s="390"/>
      <c r="D181" s="393">
        <f t="shared" si="48"/>
        <v>41.518891378052018</v>
      </c>
      <c r="E181" s="385">
        <f t="shared" si="73"/>
        <v>44.363595434270344</v>
      </c>
      <c r="F181" s="385">
        <f t="shared" si="49"/>
        <v>44.363595434270344</v>
      </c>
      <c r="G181" s="110">
        <f t="shared" si="74"/>
        <v>1.026351095815341</v>
      </c>
      <c r="H181" s="414" t="b">
        <f>Wh_hp&gt;='2018'!Maxi_hp</f>
        <v>1</v>
      </c>
      <c r="I181" s="390">
        <f>IF(H181,Wh_hp,'2018'!Maxi_hp)</f>
        <v>44.363595434270344</v>
      </c>
      <c r="J181" s="85">
        <f>IF(H181,An,'2018'!An_max)</f>
        <v>2019</v>
      </c>
      <c r="K181" s="197">
        <f t="shared" si="50"/>
        <v>43632</v>
      </c>
      <c r="L181" s="147">
        <f>IF(t&lt;Tvie,1-EXP((T0-t)*PertePVj)+'2018'!Pspv,1-EXP((T0-t)*PertePVj)+Pspv)</f>
        <v>9.222100237831099E-3</v>
      </c>
      <c r="M181" s="850"/>
      <c r="N181" s="850"/>
      <c r="O181" s="48">
        <f>IF(t&lt;Tnet,'2018'!Resal+('2018'!Salim-'2018'!Resal)*(1-EXP(('2018'!Tnet-t)/('2018'!Tau_j))),Resal+(Salim-Resal)*(1-EXP((Tnet-t)/(Tau_j))))*Salcycl</f>
        <v>6.4122486655371971E-2</v>
      </c>
      <c r="P181" s="169">
        <f>(INDEX(Models!$BJ181:$BT181,,T181)*(1-R181)+INDEX(Models!$BJ181:$BT181,,T181+1)*R181-ERP_i)*Q181*Ramure*Pc/MaxiM</f>
        <v>0</v>
      </c>
      <c r="Q181" s="305">
        <f t="shared" si="51"/>
        <v>0.7</v>
      </c>
      <c r="R181" s="177">
        <f t="shared" si="52"/>
        <v>0.72485720160344491</v>
      </c>
      <c r="S181" s="817">
        <f t="shared" si="53"/>
        <v>-2</v>
      </c>
      <c r="T181" s="176">
        <f t="shared" si="54"/>
        <v>4</v>
      </c>
      <c r="U181" s="251">
        <f t="shared" si="55"/>
        <v>-1.2751427983965551</v>
      </c>
      <c r="V181" s="383">
        <f t="shared" si="56"/>
        <v>40.079851980204936</v>
      </c>
      <c r="W181" s="58"/>
      <c r="X181" s="157">
        <f t="shared" si="57"/>
        <v>43632</v>
      </c>
      <c r="Y181" s="385">
        <f t="shared" si="58"/>
        <v>41.136000000000003</v>
      </c>
      <c r="Z181" s="385">
        <f t="shared" si="59"/>
        <v>41.518891378052018</v>
      </c>
      <c r="AA181" s="386">
        <f t="shared" si="60"/>
        <v>44.363595434270344</v>
      </c>
      <c r="AB181" s="197">
        <f t="shared" si="61"/>
        <v>43632</v>
      </c>
      <c r="AC181" s="427">
        <f>IF(OR(t&lt;Tnet,NoTnet),'2018'!Resal_s+('2018'!Salim-'2018'!Resal_s)*(1-EXP(('2018'!Tnet_s-t)/'2018'!Tau_j)),Resal_s+(Salim-Resal_s)*(1-EXP((Tnet_s-t)/Tau_j)))*Salcycl</f>
        <v>6.4122486655371971E-2</v>
      </c>
      <c r="AD181" s="231">
        <f>(INDEX(Models!$BJ181:$BT181,,AH181)*(1-AF181)+INDEX(Models!$BJ181:$BT181,,AH181+1)*AF181-ERP_i)*AE181*Ramure*Pc/MaxiM</f>
        <v>0</v>
      </c>
      <c r="AE181" s="305">
        <f t="shared" si="62"/>
        <v>0.7</v>
      </c>
      <c r="AF181" s="177">
        <f t="shared" si="63"/>
        <v>0.72485720160344491</v>
      </c>
      <c r="AG181" s="176">
        <f t="shared" si="64"/>
        <v>-2</v>
      </c>
      <c r="AH181" s="176">
        <f t="shared" si="65"/>
        <v>4</v>
      </c>
      <c r="AI181" s="225">
        <f t="shared" si="66"/>
        <v>-1.2751427983965551</v>
      </c>
      <c r="AJ181" s="265" t="b">
        <f t="shared" si="67"/>
        <v>0</v>
      </c>
      <c r="AK181" s="265" t="b">
        <f t="shared" si="68"/>
        <v>0</v>
      </c>
      <c r="AL181" s="265"/>
      <c r="AM181" s="265"/>
      <c r="AN181" s="75"/>
    </row>
    <row r="182" spans="1:40" s="6" customFormat="1" ht="11.25" x14ac:dyDescent="0.2">
      <c r="A182" s="56">
        <f t="shared" si="72"/>
        <v>43633</v>
      </c>
      <c r="B182" s="617">
        <v>39.795999999999999</v>
      </c>
      <c r="C182" s="390"/>
      <c r="D182" s="393">
        <f t="shared" si="48"/>
        <v>40.167298506737211</v>
      </c>
      <c r="E182" s="385">
        <f t="shared" si="73"/>
        <v>42.925961898835723</v>
      </c>
      <c r="F182" s="385">
        <f t="shared" si="49"/>
        <v>42.925961898835723</v>
      </c>
      <c r="G182" s="110">
        <f t="shared" si="74"/>
        <v>0.99386956456559494</v>
      </c>
      <c r="H182" s="414" t="b">
        <f>Wh_hp&gt;='2018'!Maxi_hp</f>
        <v>1</v>
      </c>
      <c r="I182" s="390">
        <f>IF(H182,Wh_hp,'2018'!Maxi_hp)</f>
        <v>42.925961898835723</v>
      </c>
      <c r="J182" s="85">
        <f>IF(H182,An,'2018'!An_max)</f>
        <v>2019</v>
      </c>
      <c r="K182" s="197">
        <f t="shared" si="50"/>
        <v>43633</v>
      </c>
      <c r="L182" s="147">
        <f>IF(t&lt;Tvie,1-EXP((T0-t)*PertePVj)+'2018'!Pspv,1-EXP((T0-t)*PertePVj)+Pspv)</f>
        <v>9.2438008166003671E-3</v>
      </c>
      <c r="M182" s="850"/>
      <c r="N182" s="850"/>
      <c r="O182" s="48">
        <f>IF(t&lt;Tnet,'2018'!Resal+('2018'!Salim-'2018'!Resal)*(1-EXP(('2018'!Tnet-t)/('2018'!Tau_j))),Resal+(Salim-Resal)*(1-EXP((Tnet-t)/(Tau_j))))*Salcycl</f>
        <v>6.426561619282746E-2</v>
      </c>
      <c r="P182" s="169">
        <f>(INDEX(Models!$BJ182:$BT182,,T182)*(1-R182)+INDEX(Models!$BJ182:$BT182,,T182+1)*R182-ERP_i)*Q182*Ramure*Pc/MaxiM</f>
        <v>0</v>
      </c>
      <c r="Q182" s="305">
        <f t="shared" si="51"/>
        <v>0.7</v>
      </c>
      <c r="R182" s="177">
        <f t="shared" si="52"/>
        <v>0.72888979817679345</v>
      </c>
      <c r="S182" s="817">
        <f t="shared" si="53"/>
        <v>-2</v>
      </c>
      <c r="T182" s="176">
        <f t="shared" si="54"/>
        <v>4</v>
      </c>
      <c r="U182" s="251">
        <f t="shared" si="55"/>
        <v>-1.2711102018232066</v>
      </c>
      <c r="V182" s="383">
        <f t="shared" si="56"/>
        <v>40.0414716566899</v>
      </c>
      <c r="W182" s="58"/>
      <c r="X182" s="157">
        <f t="shared" si="57"/>
        <v>43633</v>
      </c>
      <c r="Y182" s="385">
        <f t="shared" si="58"/>
        <v>39.795999999999999</v>
      </c>
      <c r="Z182" s="385">
        <f t="shared" si="59"/>
        <v>40.167298506737211</v>
      </c>
      <c r="AA182" s="386">
        <f t="shared" si="60"/>
        <v>42.925961898835723</v>
      </c>
      <c r="AB182" s="197">
        <f t="shared" si="61"/>
        <v>43633</v>
      </c>
      <c r="AC182" s="427">
        <f>IF(OR(t&lt;Tnet,NoTnet),'2018'!Resal_s+('2018'!Salim-'2018'!Resal_s)*(1-EXP(('2018'!Tnet_s-t)/'2018'!Tau_j)),Resal_s+(Salim-Resal_s)*(1-EXP((Tnet_s-t)/Tau_j)))*Salcycl</f>
        <v>6.426561619282746E-2</v>
      </c>
      <c r="AD182" s="231">
        <f>(INDEX(Models!$BJ182:$BT182,,AH182)*(1-AF182)+INDEX(Models!$BJ182:$BT182,,AH182+1)*AF182-ERP_i)*AE182*Ramure*Pc/MaxiM</f>
        <v>0</v>
      </c>
      <c r="AE182" s="305">
        <f t="shared" si="62"/>
        <v>0.7</v>
      </c>
      <c r="AF182" s="177">
        <f t="shared" si="63"/>
        <v>0.72888979817679345</v>
      </c>
      <c r="AG182" s="176">
        <f t="shared" si="64"/>
        <v>-2</v>
      </c>
      <c r="AH182" s="176">
        <f t="shared" si="65"/>
        <v>4</v>
      </c>
      <c r="AI182" s="225">
        <f t="shared" si="66"/>
        <v>-1.2711102018232066</v>
      </c>
      <c r="AJ182" s="265" t="b">
        <f t="shared" si="67"/>
        <v>0</v>
      </c>
      <c r="AK182" s="265" t="b">
        <f t="shared" si="68"/>
        <v>0</v>
      </c>
      <c r="AL182" s="265"/>
      <c r="AM182" s="265"/>
      <c r="AN182" s="75"/>
    </row>
    <row r="183" spans="1:40" s="6" customFormat="1" ht="11.25" x14ac:dyDescent="0.2">
      <c r="A183" s="56">
        <f t="shared" si="72"/>
        <v>43634</v>
      </c>
      <c r="B183" s="617">
        <v>38.426000000000002</v>
      </c>
      <c r="C183" s="390"/>
      <c r="D183" s="393">
        <f t="shared" si="48"/>
        <v>38.785365842902713</v>
      </c>
      <c r="E183" s="385">
        <f t="shared" si="73"/>
        <v>41.455412731300569</v>
      </c>
      <c r="F183" s="385">
        <f t="shared" si="49"/>
        <v>41.455412731300569</v>
      </c>
      <c r="G183" s="110">
        <f t="shared" si="74"/>
        <v>0.9606045742735525</v>
      </c>
      <c r="H183" s="414" t="b">
        <f>Wh_hp&gt;='2018'!Maxi_hp</f>
        <v>1</v>
      </c>
      <c r="I183" s="390">
        <f>IF(H183,Wh_hp,'2018'!Maxi_hp)</f>
        <v>41.455412731300569</v>
      </c>
      <c r="J183" s="85">
        <f>IF(H183,An,'2018'!An_max)</f>
        <v>2019</v>
      </c>
      <c r="K183" s="197">
        <f t="shared" si="50"/>
        <v>43634</v>
      </c>
      <c r="L183" s="147">
        <f>IF(t&lt;Tvie,1-EXP((T0-t)*PertePVj)+'2018'!Pspv,1-EXP((T0-t)*PertePVj)+Pspv)</f>
        <v>9.265500920071168E-3</v>
      </c>
      <c r="M183" s="850"/>
      <c r="N183" s="850"/>
      <c r="O183" s="48">
        <f>IF(t&lt;Tnet,'2018'!Resal+('2018'!Salim-'2018'!Resal)*(1-EXP(('2018'!Tnet-t)/('2018'!Tau_j))),Resal+(Salim-Resal)*(1-EXP((Tnet-t)/(Tau_j))))*Salcycl</f>
        <v>6.44076783339287E-2</v>
      </c>
      <c r="P183" s="169">
        <f>(INDEX(Models!$BJ183:$BT183,,T183)*(1-R183)+INDEX(Models!$BJ183:$BT183,,T183+1)*R183-ERP_i)*Q183*Ramure*Pc/MaxiM</f>
        <v>0</v>
      </c>
      <c r="Q183" s="305">
        <f t="shared" si="51"/>
        <v>0.7</v>
      </c>
      <c r="R183" s="177">
        <f t="shared" si="52"/>
        <v>0.73289879349330866</v>
      </c>
      <c r="S183" s="817">
        <f t="shared" si="53"/>
        <v>-2</v>
      </c>
      <c r="T183" s="176">
        <f t="shared" si="54"/>
        <v>4</v>
      </c>
      <c r="U183" s="251">
        <f t="shared" si="55"/>
        <v>-1.2671012065066913</v>
      </c>
      <c r="V183" s="383">
        <f t="shared" si="56"/>
        <v>40.001891547371898</v>
      </c>
      <c r="W183" s="58"/>
      <c r="X183" s="157">
        <f t="shared" si="57"/>
        <v>43634</v>
      </c>
      <c r="Y183" s="385">
        <f t="shared" si="58"/>
        <v>38.426000000000002</v>
      </c>
      <c r="Z183" s="385">
        <f t="shared" si="59"/>
        <v>38.785365842902713</v>
      </c>
      <c r="AA183" s="386">
        <f t="shared" si="60"/>
        <v>41.455412731300569</v>
      </c>
      <c r="AB183" s="197">
        <f t="shared" si="61"/>
        <v>43634</v>
      </c>
      <c r="AC183" s="427">
        <f>IF(OR(t&lt;Tnet,NoTnet),'2018'!Resal_s+('2018'!Salim-'2018'!Resal_s)*(1-EXP(('2018'!Tnet_s-t)/'2018'!Tau_j)),Resal_s+(Salim-Resal_s)*(1-EXP((Tnet_s-t)/Tau_j)))*Salcycl</f>
        <v>6.44076783339287E-2</v>
      </c>
      <c r="AD183" s="231">
        <f>(INDEX(Models!$BJ183:$BT183,,AH183)*(1-AF183)+INDEX(Models!$BJ183:$BT183,,AH183+1)*AF183-ERP_i)*AE183*Ramure*Pc/MaxiM</f>
        <v>0</v>
      </c>
      <c r="AE183" s="305">
        <f t="shared" si="62"/>
        <v>0.7</v>
      </c>
      <c r="AF183" s="177">
        <f t="shared" si="63"/>
        <v>0.73289879349330866</v>
      </c>
      <c r="AG183" s="176">
        <f t="shared" si="64"/>
        <v>-2</v>
      </c>
      <c r="AH183" s="176">
        <f t="shared" si="65"/>
        <v>4</v>
      </c>
      <c r="AI183" s="225">
        <f t="shared" si="66"/>
        <v>-1.2671012065066913</v>
      </c>
      <c r="AJ183" s="265" t="b">
        <f t="shared" si="67"/>
        <v>0</v>
      </c>
      <c r="AK183" s="265" t="b">
        <f t="shared" si="68"/>
        <v>0</v>
      </c>
      <c r="AL183" s="265"/>
      <c r="AM183" s="265"/>
      <c r="AN183" s="75"/>
    </row>
    <row r="184" spans="1:40" s="6" customFormat="1" ht="11.25" x14ac:dyDescent="0.2">
      <c r="A184" s="56">
        <f t="shared" si="72"/>
        <v>43635</v>
      </c>
      <c r="B184" s="617">
        <v>32.296999999999997</v>
      </c>
      <c r="C184" s="390"/>
      <c r="D184" s="393">
        <f t="shared" si="48"/>
        <v>32.599760513715935</v>
      </c>
      <c r="E184" s="385">
        <f t="shared" si="73"/>
        <v>34.849231366096241</v>
      </c>
      <c r="F184" s="385">
        <f t="shared" si="49"/>
        <v>34.849231366096241</v>
      </c>
      <c r="G184" s="110">
        <f t="shared" si="74"/>
        <v>0.80820871281660345</v>
      </c>
      <c r="H184" s="414" t="b">
        <f>Wh_hp&gt;='2018'!Maxi_hp</f>
        <v>0</v>
      </c>
      <c r="I184" s="390">
        <f>IF(H184,Wh_hp,'2018'!Maxi_hp)</f>
        <v>39.3434208433533</v>
      </c>
      <c r="J184" s="85">
        <f>IF(H184,An,'2018'!An_max)</f>
        <v>2018</v>
      </c>
      <c r="K184" s="197">
        <f t="shared" si="50"/>
        <v>43635</v>
      </c>
      <c r="L184" s="147">
        <f>IF(t&lt;Tvie,1-EXP((T0-t)*PertePVj)+'2018'!Pspv,1-EXP((T0-t)*PertePVj)+Pspv)</f>
        <v>9.2872005482541597E-3</v>
      </c>
      <c r="M184" s="850"/>
      <c r="N184" s="850"/>
      <c r="O184" s="48">
        <f>IF(t&lt;Tnet,'2018'!Resal+('2018'!Salim-'2018'!Resal)*(1-EXP(('2018'!Tnet-t)/('2018'!Tau_j))),Resal+(Salim-Resal)*(1-EXP((Tnet-t)/(Tau_j))))*Salcycl</f>
        <v>6.4548650406354338E-2</v>
      </c>
      <c r="P184" s="169">
        <f>(INDEX(Models!$BJ184:$BT184,,T184)*(1-R184)+INDEX(Models!$BJ184:$BT184,,T184+1)*R184-ERP_i)*Q184*Ramure*Pc/MaxiM</f>
        <v>0</v>
      </c>
      <c r="Q184" s="305">
        <f t="shared" si="51"/>
        <v>0.7</v>
      </c>
      <c r="R184" s="177">
        <f t="shared" si="52"/>
        <v>0.73688104072872851</v>
      </c>
      <c r="S184" s="817">
        <f t="shared" si="53"/>
        <v>-2</v>
      </c>
      <c r="T184" s="176">
        <f t="shared" si="54"/>
        <v>4</v>
      </c>
      <c r="U184" s="251">
        <f t="shared" si="55"/>
        <v>-1.2631189592712715</v>
      </c>
      <c r="V184" s="383">
        <f t="shared" si="56"/>
        <v>39.961212354968445</v>
      </c>
      <c r="W184" s="58"/>
      <c r="X184" s="157">
        <f t="shared" si="57"/>
        <v>43635</v>
      </c>
      <c r="Y184" s="385">
        <f t="shared" si="58"/>
        <v>32.296999999999997</v>
      </c>
      <c r="Z184" s="385">
        <f t="shared" si="59"/>
        <v>32.599760513715935</v>
      </c>
      <c r="AA184" s="386">
        <f t="shared" si="60"/>
        <v>34.849231366096241</v>
      </c>
      <c r="AB184" s="197">
        <f t="shared" si="61"/>
        <v>43635</v>
      </c>
      <c r="AC184" s="427">
        <f>IF(OR(t&lt;Tnet,NoTnet),'2018'!Resal_s+('2018'!Salim-'2018'!Resal_s)*(1-EXP(('2018'!Tnet_s-t)/'2018'!Tau_j)),Resal_s+(Salim-Resal_s)*(1-EXP((Tnet_s-t)/Tau_j)))*Salcycl</f>
        <v>6.4548650406354338E-2</v>
      </c>
      <c r="AD184" s="231">
        <f>(INDEX(Models!$BJ184:$BT184,,AH184)*(1-AF184)+INDEX(Models!$BJ184:$BT184,,AH184+1)*AF184-ERP_i)*AE184*Ramure*Pc/MaxiM</f>
        <v>0</v>
      </c>
      <c r="AE184" s="305">
        <f t="shared" si="62"/>
        <v>0.7</v>
      </c>
      <c r="AF184" s="177">
        <f t="shared" si="63"/>
        <v>0.73688104072872851</v>
      </c>
      <c r="AG184" s="176">
        <f t="shared" si="64"/>
        <v>-2</v>
      </c>
      <c r="AH184" s="176">
        <f t="shared" si="65"/>
        <v>4</v>
      </c>
      <c r="AI184" s="225">
        <f t="shared" si="66"/>
        <v>-1.2631189592712715</v>
      </c>
      <c r="AJ184" s="265" t="b">
        <f t="shared" si="67"/>
        <v>0</v>
      </c>
      <c r="AK184" s="265" t="b">
        <f t="shared" si="68"/>
        <v>0</v>
      </c>
      <c r="AL184" s="265"/>
      <c r="AM184" s="265"/>
      <c r="AN184" s="75"/>
    </row>
    <row r="185" spans="1:40" s="6" customFormat="1" ht="11.25" x14ac:dyDescent="0.2">
      <c r="A185" s="56">
        <f t="shared" si="72"/>
        <v>43636</v>
      </c>
      <c r="B185" s="617">
        <v>17.959</v>
      </c>
      <c r="C185" s="390"/>
      <c r="D185" s="393">
        <f t="shared" si="48"/>
        <v>18.127749400981493</v>
      </c>
      <c r="E185" s="385">
        <f t="shared" si="73"/>
        <v>19.381510490069619</v>
      </c>
      <c r="F185" s="385">
        <f t="shared" si="49"/>
        <v>19.381510490069619</v>
      </c>
      <c r="G185" s="110">
        <f t="shared" si="74"/>
        <v>0.44987999465258177</v>
      </c>
      <c r="H185" s="414" t="b">
        <f>Wh_hp&gt;='2018'!Maxi_hp</f>
        <v>1</v>
      </c>
      <c r="I185" s="390">
        <f>IF(H185,Wh_hp,'2018'!Maxi_hp)</f>
        <v>19.381510490069619</v>
      </c>
      <c r="J185" s="85">
        <f>IF(H185,An,'2018'!An_max)</f>
        <v>2019</v>
      </c>
      <c r="K185" s="197">
        <f t="shared" si="50"/>
        <v>43636</v>
      </c>
      <c r="L185" s="147">
        <f>IF(t&lt;Tvie,1-EXP((T0-t)*PertePVj)+'2018'!Pspv,1-EXP((T0-t)*PertePVj)+Pspv)</f>
        <v>9.3088997011595565E-3</v>
      </c>
      <c r="M185" s="850"/>
      <c r="N185" s="850"/>
      <c r="O185" s="48">
        <f>IF(t&lt;Tnet,'2018'!Resal+('2018'!Salim-'2018'!Resal)*(1-EXP(('2018'!Tnet-t)/('2018'!Tau_j))),Resal+(Salim-Resal)*(1-EXP((Tnet-t)/(Tau_j))))*Salcycl</f>
        <v>6.4688512782866234E-2</v>
      </c>
      <c r="P185" s="169">
        <f>(INDEX(Models!$BJ185:$BT185,,T185)*(1-R185)+INDEX(Models!$BJ185:$BT185,,T185+1)*R185-ERP_i)*Q185*Ramure*Pc/MaxiM</f>
        <v>0</v>
      </c>
      <c r="Q185" s="305">
        <f t="shared" si="51"/>
        <v>0.7</v>
      </c>
      <c r="R185" s="177">
        <f t="shared" si="52"/>
        <v>0.74083347973521763</v>
      </c>
      <c r="S185" s="817">
        <f t="shared" si="53"/>
        <v>-2</v>
      </c>
      <c r="T185" s="176">
        <f t="shared" si="54"/>
        <v>4</v>
      </c>
      <c r="U185" s="251">
        <f t="shared" si="55"/>
        <v>-1.2591665202647824</v>
      </c>
      <c r="V185" s="383">
        <f t="shared" si="56"/>
        <v>39.919534572478099</v>
      </c>
      <c r="W185" s="58"/>
      <c r="X185" s="157">
        <f t="shared" si="57"/>
        <v>43636</v>
      </c>
      <c r="Y185" s="385">
        <f t="shared" si="58"/>
        <v>17.959</v>
      </c>
      <c r="Z185" s="385">
        <f t="shared" si="59"/>
        <v>18.127749400981493</v>
      </c>
      <c r="AA185" s="386">
        <f t="shared" si="60"/>
        <v>19.381510490069619</v>
      </c>
      <c r="AB185" s="197">
        <f t="shared" si="61"/>
        <v>43636</v>
      </c>
      <c r="AC185" s="427">
        <f>IF(OR(t&lt;Tnet,NoTnet),'2018'!Resal_s+('2018'!Salim-'2018'!Resal_s)*(1-EXP(('2018'!Tnet_s-t)/'2018'!Tau_j)),Resal_s+(Salim-Resal_s)*(1-EXP((Tnet_s-t)/Tau_j)))*Salcycl</f>
        <v>6.4688512782866234E-2</v>
      </c>
      <c r="AD185" s="231">
        <f>(INDEX(Models!$BJ185:$BT185,,AH185)*(1-AF185)+INDEX(Models!$BJ185:$BT185,,AH185+1)*AF185-ERP_i)*AE185*Ramure*Pc/MaxiM</f>
        <v>0</v>
      </c>
      <c r="AE185" s="305">
        <f t="shared" si="62"/>
        <v>0.7</v>
      </c>
      <c r="AF185" s="177">
        <f t="shared" si="63"/>
        <v>0.74083347973521763</v>
      </c>
      <c r="AG185" s="176">
        <f t="shared" si="64"/>
        <v>-2</v>
      </c>
      <c r="AH185" s="176">
        <f t="shared" si="65"/>
        <v>4</v>
      </c>
      <c r="AI185" s="225">
        <f t="shared" si="66"/>
        <v>-1.2591665202647824</v>
      </c>
      <c r="AJ185" s="265" t="b">
        <f t="shared" si="67"/>
        <v>0</v>
      </c>
      <c r="AK185" s="265" t="b">
        <f t="shared" si="68"/>
        <v>0</v>
      </c>
      <c r="AL185" s="265"/>
      <c r="AM185" s="265"/>
      <c r="AN185" s="75"/>
    </row>
    <row r="186" spans="1:40" s="6" customFormat="1" ht="11.25" x14ac:dyDescent="0.2">
      <c r="A186" s="56">
        <f t="shared" si="72"/>
        <v>43637</v>
      </c>
      <c r="B186" s="617">
        <v>6.774</v>
      </c>
      <c r="C186" s="390"/>
      <c r="D186" s="393">
        <f t="shared" si="48"/>
        <v>6.8378007728052781</v>
      </c>
      <c r="E186" s="385">
        <f t="shared" si="73"/>
        <v>7.3118049739669058</v>
      </c>
      <c r="F186" s="385">
        <f t="shared" si="49"/>
        <v>7.3118049739669058</v>
      </c>
      <c r="G186" s="110">
        <f t="shared" si="74"/>
        <v>0.16987253436258903</v>
      </c>
      <c r="H186" s="414" t="b">
        <f>Wh_hp&gt;='2018'!Maxi_hp</f>
        <v>0</v>
      </c>
      <c r="I186" s="390">
        <f>IF(H186,Wh_hp,'2018'!Maxi_hp)</f>
        <v>30.561900372783725</v>
      </c>
      <c r="J186" s="85">
        <f>IF(H186,An,'2018'!An_max)</f>
        <v>2018</v>
      </c>
      <c r="K186" s="197">
        <f t="shared" si="50"/>
        <v>43637</v>
      </c>
      <c r="L186" s="147">
        <f>IF(t&lt;Tvie,1-EXP((T0-t)*PertePVj)+'2018'!Pspv,1-EXP((T0-t)*PertePVj)+Pspv)</f>
        <v>9.3305983787976832E-3</v>
      </c>
      <c r="M186" s="850"/>
      <c r="N186" s="850"/>
      <c r="O186" s="48">
        <f>IF(t&lt;Tnet,'2018'!Resal+('2018'!Salim-'2018'!Resal)*(1-EXP(('2018'!Tnet-t)/('2018'!Tau_j))),Resal+(Salim-Resal)*(1-EXP((Tnet-t)/(Tau_j))))*Salcycl</f>
        <v>6.4827248928175957E-2</v>
      </c>
      <c r="P186" s="169">
        <f>(INDEX(Models!$BJ186:$BT186,,T186)*(1-R186)+INDEX(Models!$BJ186:$BT186,,T186+1)*R186-ERP_i)*Q186*Ramure*Pc/MaxiM</f>
        <v>0</v>
      </c>
      <c r="Q186" s="305">
        <f t="shared" si="51"/>
        <v>0.7</v>
      </c>
      <c r="R186" s="177">
        <f t="shared" si="52"/>
        <v>0.74475314591901265</v>
      </c>
      <c r="S186" s="817">
        <f t="shared" si="53"/>
        <v>-2</v>
      </c>
      <c r="T186" s="176">
        <f t="shared" si="54"/>
        <v>4</v>
      </c>
      <c r="U186" s="251">
        <f t="shared" si="55"/>
        <v>-1.2552468540809874</v>
      </c>
      <c r="V186" s="383">
        <f t="shared" si="56"/>
        <v>39.876958481946545</v>
      </c>
      <c r="W186" s="58"/>
      <c r="X186" s="157">
        <f t="shared" si="57"/>
        <v>43637</v>
      </c>
      <c r="Y186" s="385">
        <f t="shared" si="58"/>
        <v>6.774</v>
      </c>
      <c r="Z186" s="385">
        <f t="shared" si="59"/>
        <v>6.8378007728052781</v>
      </c>
      <c r="AA186" s="386">
        <f t="shared" si="60"/>
        <v>7.3118049739669058</v>
      </c>
      <c r="AB186" s="197">
        <f t="shared" si="61"/>
        <v>43637</v>
      </c>
      <c r="AC186" s="427">
        <f>IF(OR(t&lt;Tnet,NoTnet),'2018'!Resal_s+('2018'!Salim-'2018'!Resal_s)*(1-EXP(('2018'!Tnet_s-t)/'2018'!Tau_j)),Resal_s+(Salim-Resal_s)*(1-EXP((Tnet_s-t)/Tau_j)))*Salcycl</f>
        <v>6.4827248928175957E-2</v>
      </c>
      <c r="AD186" s="231">
        <f>(INDEX(Models!$BJ186:$BT186,,AH186)*(1-AF186)+INDEX(Models!$BJ186:$BT186,,AH186+1)*AF186-ERP_i)*AE186*Ramure*Pc/MaxiM</f>
        <v>0</v>
      </c>
      <c r="AE186" s="305">
        <f t="shared" si="62"/>
        <v>0.7</v>
      </c>
      <c r="AF186" s="177">
        <f t="shared" si="63"/>
        <v>0.74475314591901265</v>
      </c>
      <c r="AG186" s="176">
        <f t="shared" si="64"/>
        <v>-2</v>
      </c>
      <c r="AH186" s="176">
        <f t="shared" si="65"/>
        <v>4</v>
      </c>
      <c r="AI186" s="225">
        <f t="shared" si="66"/>
        <v>-1.2552468540809874</v>
      </c>
      <c r="AJ186" s="265" t="b">
        <f t="shared" si="67"/>
        <v>0</v>
      </c>
      <c r="AK186" s="265" t="b">
        <f t="shared" si="68"/>
        <v>0</v>
      </c>
      <c r="AL186" s="265"/>
      <c r="AM186" s="265"/>
      <c r="AN186" s="75"/>
    </row>
    <row r="187" spans="1:40" s="6" customFormat="1" ht="11.25" x14ac:dyDescent="0.2">
      <c r="A187" s="56">
        <f t="shared" si="72"/>
        <v>43638</v>
      </c>
      <c r="B187" s="617">
        <v>37.505000000000003</v>
      </c>
      <c r="C187" s="390"/>
      <c r="D187" s="393">
        <f t="shared" si="48"/>
        <v>37.859069243855942</v>
      </c>
      <c r="E187" s="385">
        <f t="shared" si="73"/>
        <v>40.489460806638462</v>
      </c>
      <c r="F187" s="385">
        <f t="shared" si="49"/>
        <v>40.489460806638462</v>
      </c>
      <c r="G187" s="110">
        <f t="shared" si="74"/>
        <v>0.9415421884546602</v>
      </c>
      <c r="H187" s="414" t="b">
        <f>Wh_hp&gt;='2018'!Maxi_hp</f>
        <v>1</v>
      </c>
      <c r="I187" s="390">
        <f>IF(H187,Wh_hp,'2018'!Maxi_hp)</f>
        <v>40.489460806638462</v>
      </c>
      <c r="J187" s="85">
        <f>IF(H187,An,'2018'!An_max)</f>
        <v>2019</v>
      </c>
      <c r="K187" s="197">
        <f t="shared" si="50"/>
        <v>43638</v>
      </c>
      <c r="L187" s="147">
        <f>IF(t&lt;Tvie,1-EXP((T0-t)*PertePVj)+'2018'!Pspv,1-EXP((T0-t)*PertePVj)+Pspv)</f>
        <v>9.352296581179198E-3</v>
      </c>
      <c r="M187" s="850"/>
      <c r="N187" s="850"/>
      <c r="O187" s="48">
        <f>IF(t&lt;Tnet,'2018'!Resal+('2018'!Salim-'2018'!Resal)*(1-EXP(('2018'!Tnet-t)/('2018'!Tau_j))),Resal+(Salim-Resal)*(1-EXP((Tnet-t)/(Tau_j))))*Salcycl</f>
        <v>6.4964845428399809E-2</v>
      </c>
      <c r="P187" s="169">
        <f>(INDEX(Models!$BJ187:$BT187,,T187)*(1-R187)+INDEX(Models!$BJ187:$BT187,,T187+1)*R187-ERP_i)*Q187*Ramure*Pc/MaxiM</f>
        <v>0</v>
      </c>
      <c r="Q187" s="305">
        <f t="shared" si="51"/>
        <v>0.7</v>
      </c>
      <c r="R187" s="177">
        <f t="shared" si="52"/>
        <v>0.74863717848014932</v>
      </c>
      <c r="S187" s="817">
        <f t="shared" si="53"/>
        <v>-2</v>
      </c>
      <c r="T187" s="176">
        <f t="shared" si="54"/>
        <v>4</v>
      </c>
      <c r="U187" s="251">
        <f t="shared" si="55"/>
        <v>-1.2513628215198507</v>
      </c>
      <c r="V187" s="383">
        <f t="shared" si="56"/>
        <v>39.833584155752412</v>
      </c>
      <c r="W187" s="58"/>
      <c r="X187" s="157">
        <f t="shared" si="57"/>
        <v>43638</v>
      </c>
      <c r="Y187" s="385">
        <f t="shared" si="58"/>
        <v>37.505000000000003</v>
      </c>
      <c r="Z187" s="385">
        <f t="shared" si="59"/>
        <v>37.859069243855942</v>
      </c>
      <c r="AA187" s="386">
        <f t="shared" si="60"/>
        <v>40.489460806638462</v>
      </c>
      <c r="AB187" s="197">
        <f t="shared" si="61"/>
        <v>43638</v>
      </c>
      <c r="AC187" s="427">
        <f>IF(OR(t&lt;Tnet,NoTnet),'2018'!Resal_s+('2018'!Salim-'2018'!Resal_s)*(1-EXP(('2018'!Tnet_s-t)/'2018'!Tau_j)),Resal_s+(Salim-Resal_s)*(1-EXP((Tnet_s-t)/Tau_j)))*Salcycl</f>
        <v>6.4964845428399809E-2</v>
      </c>
      <c r="AD187" s="231">
        <f>(INDEX(Models!$BJ187:$BT187,,AH187)*(1-AF187)+INDEX(Models!$BJ187:$BT187,,AH187+1)*AF187-ERP_i)*AE187*Ramure*Pc/MaxiM</f>
        <v>0</v>
      </c>
      <c r="AE187" s="305">
        <f t="shared" si="62"/>
        <v>0.7</v>
      </c>
      <c r="AF187" s="177">
        <f t="shared" si="63"/>
        <v>0.74863717848014932</v>
      </c>
      <c r="AG187" s="176">
        <f t="shared" si="64"/>
        <v>-2</v>
      </c>
      <c r="AH187" s="176">
        <f t="shared" si="65"/>
        <v>4</v>
      </c>
      <c r="AI187" s="225">
        <f t="shared" si="66"/>
        <v>-1.2513628215198507</v>
      </c>
      <c r="AJ187" s="265" t="b">
        <f t="shared" si="67"/>
        <v>0</v>
      </c>
      <c r="AK187" s="265" t="b">
        <f t="shared" si="68"/>
        <v>0</v>
      </c>
      <c r="AL187" s="265"/>
      <c r="AM187" s="265"/>
      <c r="AN187" s="75"/>
    </row>
    <row r="188" spans="1:40" s="6" customFormat="1" ht="11.25" x14ac:dyDescent="0.2">
      <c r="A188" s="56">
        <f t="shared" si="72"/>
        <v>43639</v>
      </c>
      <c r="B188" s="617">
        <v>35.018999999999998</v>
      </c>
      <c r="C188" s="390"/>
      <c r="D188" s="393">
        <f t="shared" si="48"/>
        <v>35.350374206609544</v>
      </c>
      <c r="E188" s="385">
        <f t="shared" si="73"/>
        <v>37.811983163761191</v>
      </c>
      <c r="F188" s="385">
        <f t="shared" si="49"/>
        <v>37.811983163761191</v>
      </c>
      <c r="G188" s="110">
        <f t="shared" si="74"/>
        <v>0.8801063073666453</v>
      </c>
      <c r="H188" s="414" t="b">
        <f>Wh_hp&gt;='2018'!Maxi_hp</f>
        <v>0</v>
      </c>
      <c r="I188" s="390">
        <f>IF(H188,Wh_hp,'2018'!Maxi_hp)</f>
        <v>43.321618231322205</v>
      </c>
      <c r="J188" s="85">
        <f>IF(H188,An,'2018'!An_max)</f>
        <v>2018</v>
      </c>
      <c r="K188" s="197">
        <f t="shared" si="50"/>
        <v>43639</v>
      </c>
      <c r="L188" s="147">
        <f>IF(t&lt;Tvie,1-EXP((T0-t)*PertePVj)+'2018'!Pspv,1-EXP((T0-t)*PertePVj)+Pspv)</f>
        <v>9.3739943083144261E-3</v>
      </c>
      <c r="M188" s="850"/>
      <c r="N188" s="850"/>
      <c r="O188" s="48">
        <f>IF(t&lt;Tnet,'2018'!Resal+('2018'!Salim-'2018'!Resal)*(1-EXP(('2018'!Tnet-t)/('2018'!Tau_j))),Resal+(Salim-Resal)*(1-EXP((Tnet-t)/(Tau_j))))*Salcycl</f>
        <v>6.5101292002870653E-2</v>
      </c>
      <c r="P188" s="169">
        <f>(INDEX(Models!$BJ188:$BT188,,T188)*(1-R188)+INDEX(Models!$BJ188:$BT188,,T188+1)*R188-ERP_i)*Q188*Ramure*Pc/MaxiM</f>
        <v>0</v>
      </c>
      <c r="Q188" s="305">
        <f t="shared" si="51"/>
        <v>0.7</v>
      </c>
      <c r="R188" s="177">
        <f t="shared" si="52"/>
        <v>0.75248282797092303</v>
      </c>
      <c r="S188" s="817">
        <f t="shared" si="53"/>
        <v>-2</v>
      </c>
      <c r="T188" s="176">
        <f t="shared" si="54"/>
        <v>4</v>
      </c>
      <c r="U188" s="251">
        <f t="shared" si="55"/>
        <v>-1.247517172029077</v>
      </c>
      <c r="V188" s="383">
        <f t="shared" si="56"/>
        <v>39.789511456610171</v>
      </c>
      <c r="W188" s="58"/>
      <c r="X188" s="157">
        <f t="shared" si="57"/>
        <v>43639</v>
      </c>
      <c r="Y188" s="385">
        <f t="shared" si="58"/>
        <v>35.018999999999998</v>
      </c>
      <c r="Z188" s="385">
        <f t="shared" si="59"/>
        <v>35.350374206609544</v>
      </c>
      <c r="AA188" s="386">
        <f t="shared" si="60"/>
        <v>37.811983163761191</v>
      </c>
      <c r="AB188" s="197">
        <f t="shared" si="61"/>
        <v>43639</v>
      </c>
      <c r="AC188" s="427">
        <f>IF(OR(t&lt;Tnet,NoTnet),'2018'!Resal_s+('2018'!Salim-'2018'!Resal_s)*(1-EXP(('2018'!Tnet_s-t)/'2018'!Tau_j)),Resal_s+(Salim-Resal_s)*(1-EXP((Tnet_s-t)/Tau_j)))*Salcycl</f>
        <v>6.5101292002870653E-2</v>
      </c>
      <c r="AD188" s="231">
        <f>(INDEX(Models!$BJ188:$BT188,,AH188)*(1-AF188)+INDEX(Models!$BJ188:$BT188,,AH188+1)*AF188-ERP_i)*AE188*Ramure*Pc/MaxiM</f>
        <v>0</v>
      </c>
      <c r="AE188" s="305">
        <f t="shared" si="62"/>
        <v>0.7</v>
      </c>
      <c r="AF188" s="177">
        <f t="shared" si="63"/>
        <v>0.75248282797092303</v>
      </c>
      <c r="AG188" s="176">
        <f t="shared" si="64"/>
        <v>-2</v>
      </c>
      <c r="AH188" s="176">
        <f t="shared" si="65"/>
        <v>4</v>
      </c>
      <c r="AI188" s="225">
        <f t="shared" si="66"/>
        <v>-1.247517172029077</v>
      </c>
      <c r="AJ188" s="265" t="b">
        <f t="shared" si="67"/>
        <v>0</v>
      </c>
      <c r="AK188" s="265" t="b">
        <f t="shared" si="68"/>
        <v>0</v>
      </c>
      <c r="AL188" s="265"/>
      <c r="AM188" s="265"/>
      <c r="AN188" s="75"/>
    </row>
    <row r="189" spans="1:40" s="6" customFormat="1" ht="11.25" x14ac:dyDescent="0.2">
      <c r="A189" s="56">
        <f t="shared" si="72"/>
        <v>43640</v>
      </c>
      <c r="B189" s="617">
        <v>25.187999999999999</v>
      </c>
      <c r="C189" s="390"/>
      <c r="D189" s="393">
        <f t="shared" si="48"/>
        <v>25.426903341124572</v>
      </c>
      <c r="E189" s="385">
        <f t="shared" si="73"/>
        <v>27.201431761073913</v>
      </c>
      <c r="F189" s="385">
        <f t="shared" si="49"/>
        <v>27.201431761073913</v>
      </c>
      <c r="G189" s="110">
        <f t="shared" si="74"/>
        <v>0.63374264368583022</v>
      </c>
      <c r="H189" s="414" t="b">
        <f>Wh_hp&gt;='2018'!Maxi_hp</f>
        <v>0</v>
      </c>
      <c r="I189" s="390">
        <f>IF(H189,Wh_hp,'2018'!Maxi_hp)</f>
        <v>37.561617287143676</v>
      </c>
      <c r="J189" s="85">
        <f>IF(H189,An,'2018'!An_max)</f>
        <v>2018</v>
      </c>
      <c r="K189" s="197">
        <f t="shared" si="50"/>
        <v>43640</v>
      </c>
      <c r="L189" s="147">
        <f>IF(t&lt;Tvie,1-EXP((T0-t)*PertePVj)+'2018'!Pspv,1-EXP((T0-t)*PertePVj)+Pspv)</f>
        <v>9.3956915602136926E-3</v>
      </c>
      <c r="M189" s="850"/>
      <c r="N189" s="850"/>
      <c r="O189" s="48">
        <f>IF(t&lt;Tnet,'2018'!Resal+('2018'!Salim-'2018'!Resal)*(1-EXP(('2018'!Tnet-t)/('2018'!Tau_j))),Resal+(Salim-Resal)*(1-EXP((Tnet-t)/(Tau_j))))*Salcycl</f>
        <v>6.523658149821171E-2</v>
      </c>
      <c r="P189" s="169">
        <f>(INDEX(Models!$BJ189:$BT189,,T189)*(1-R189)+INDEX(Models!$BJ189:$BT189,,T189+1)*R189-ERP_i)*Q189*Ramure*Pc/MaxiM</f>
        <v>0</v>
      </c>
      <c r="Q189" s="305">
        <f t="shared" si="51"/>
        <v>0.7</v>
      </c>
      <c r="R189" s="177">
        <f t="shared" si="52"/>
        <v>0.75628746313720674</v>
      </c>
      <c r="S189" s="817">
        <f t="shared" si="53"/>
        <v>-2</v>
      </c>
      <c r="T189" s="176">
        <f t="shared" si="54"/>
        <v>4</v>
      </c>
      <c r="U189" s="251">
        <f t="shared" si="55"/>
        <v>-1.2437125368627933</v>
      </c>
      <c r="V189" s="383">
        <f t="shared" si="56"/>
        <v>39.744840040283961</v>
      </c>
      <c r="W189" s="58"/>
      <c r="X189" s="157">
        <f t="shared" si="57"/>
        <v>43640</v>
      </c>
      <c r="Y189" s="385">
        <f t="shared" si="58"/>
        <v>25.187999999999999</v>
      </c>
      <c r="Z189" s="385">
        <f t="shared" si="59"/>
        <v>25.426903341124572</v>
      </c>
      <c r="AA189" s="386">
        <f t="shared" si="60"/>
        <v>27.201431761073913</v>
      </c>
      <c r="AB189" s="197">
        <f t="shared" si="61"/>
        <v>43640</v>
      </c>
      <c r="AC189" s="427">
        <f>IF(OR(t&lt;Tnet,NoTnet),'2018'!Resal_s+('2018'!Salim-'2018'!Resal_s)*(1-EXP(('2018'!Tnet_s-t)/'2018'!Tau_j)),Resal_s+(Salim-Resal_s)*(1-EXP((Tnet_s-t)/Tau_j)))*Salcycl</f>
        <v>6.523658149821171E-2</v>
      </c>
      <c r="AD189" s="231">
        <f>(INDEX(Models!$BJ189:$BT189,,AH189)*(1-AF189)+INDEX(Models!$BJ189:$BT189,,AH189+1)*AF189-ERP_i)*AE189*Ramure*Pc/MaxiM</f>
        <v>0</v>
      </c>
      <c r="AE189" s="305">
        <f t="shared" si="62"/>
        <v>0.7</v>
      </c>
      <c r="AF189" s="177">
        <f t="shared" si="63"/>
        <v>0.75628746313720674</v>
      </c>
      <c r="AG189" s="176">
        <f t="shared" si="64"/>
        <v>-2</v>
      </c>
      <c r="AH189" s="176">
        <f t="shared" si="65"/>
        <v>4</v>
      </c>
      <c r="AI189" s="225">
        <f t="shared" si="66"/>
        <v>-1.2437125368627933</v>
      </c>
      <c r="AJ189" s="265" t="b">
        <f t="shared" si="67"/>
        <v>0</v>
      </c>
      <c r="AK189" s="265" t="b">
        <f t="shared" si="68"/>
        <v>0</v>
      </c>
      <c r="AL189" s="265"/>
      <c r="AM189" s="265"/>
      <c r="AN189" s="75"/>
    </row>
    <row r="190" spans="1:40" s="6" customFormat="1" ht="11.25" x14ac:dyDescent="0.2">
      <c r="A190" s="56">
        <f t="shared" si="72"/>
        <v>43641</v>
      </c>
      <c r="B190" s="617">
        <v>35.244999999999997</v>
      </c>
      <c r="C190" s="390"/>
      <c r="D190" s="393">
        <f t="shared" si="48"/>
        <v>35.580071348947193</v>
      </c>
      <c r="E190" s="385">
        <f t="shared" si="73"/>
        <v>38.068645744878339</v>
      </c>
      <c r="F190" s="385">
        <f t="shared" si="49"/>
        <v>38.068645744878339</v>
      </c>
      <c r="G190" s="110">
        <f t="shared" si="74"/>
        <v>0.88779076928544687</v>
      </c>
      <c r="H190" s="414" t="b">
        <f>Wh_hp&gt;='2018'!Maxi_hp</f>
        <v>0</v>
      </c>
      <c r="I190" s="390">
        <f>IF(H190,Wh_hp,'2018'!Maxi_hp)</f>
        <v>42.181442408546353</v>
      </c>
      <c r="J190" s="85">
        <f>IF(H190,An,'2018'!An_max)</f>
        <v>2018</v>
      </c>
      <c r="K190" s="197">
        <f t="shared" si="50"/>
        <v>43641</v>
      </c>
      <c r="L190" s="147">
        <f>IF(t&lt;Tvie,1-EXP((T0-t)*PertePVj)+'2018'!Pspv,1-EXP((T0-t)*PertePVj)+Pspv)</f>
        <v>9.4173883368874334E-3</v>
      </c>
      <c r="M190" s="850"/>
      <c r="N190" s="850"/>
      <c r="O190" s="48">
        <f>IF(t&lt;Tnet,'2018'!Resal+('2018'!Salim-'2018'!Resal)*(1-EXP(('2018'!Tnet-t)/('2018'!Tau_j))),Resal+(Salim-Resal)*(1-EXP((Tnet-t)/(Tau_j))))*Salcycl</f>
        <v>6.5370709864717269E-2</v>
      </c>
      <c r="P190" s="169">
        <f>(INDEX(Models!$BJ190:$BT190,,T190)*(1-R190)+INDEX(Models!$BJ190:$BT190,,T190+1)*R190-ERP_i)*Q190*Ramure*Pc/MaxiM</f>
        <v>0</v>
      </c>
      <c r="Q190" s="305">
        <f t="shared" si="51"/>
        <v>0.7</v>
      </c>
      <c r="R190" s="177">
        <f t="shared" si="52"/>
        <v>0.7600485770143941</v>
      </c>
      <c r="S190" s="817">
        <f t="shared" si="53"/>
        <v>-2</v>
      </c>
      <c r="T190" s="176">
        <f t="shared" si="54"/>
        <v>4</v>
      </c>
      <c r="U190" s="251">
        <f t="shared" si="55"/>
        <v>-1.2399514229856059</v>
      </c>
      <c r="V190" s="383">
        <f t="shared" si="56"/>
        <v>39.699669358319099</v>
      </c>
      <c r="W190" s="58"/>
      <c r="X190" s="157">
        <f t="shared" si="57"/>
        <v>43641</v>
      </c>
      <c r="Y190" s="385">
        <f t="shared" si="58"/>
        <v>35.244999999999997</v>
      </c>
      <c r="Z190" s="385">
        <f t="shared" si="59"/>
        <v>35.580071348947193</v>
      </c>
      <c r="AA190" s="386">
        <f t="shared" si="60"/>
        <v>38.068645744878339</v>
      </c>
      <c r="AB190" s="197">
        <f t="shared" si="61"/>
        <v>43641</v>
      </c>
      <c r="AC190" s="427">
        <f>IF(OR(t&lt;Tnet,NoTnet),'2018'!Resal_s+('2018'!Salim-'2018'!Resal_s)*(1-EXP(('2018'!Tnet_s-t)/'2018'!Tau_j)),Resal_s+(Salim-Resal_s)*(1-EXP((Tnet_s-t)/Tau_j)))*Salcycl</f>
        <v>6.5370709864717269E-2</v>
      </c>
      <c r="AD190" s="231">
        <f>(INDEX(Models!$BJ190:$BT190,,AH190)*(1-AF190)+INDEX(Models!$BJ190:$BT190,,AH190+1)*AF190-ERP_i)*AE190*Ramure*Pc/MaxiM</f>
        <v>0</v>
      </c>
      <c r="AE190" s="305">
        <f t="shared" si="62"/>
        <v>0.7</v>
      </c>
      <c r="AF190" s="177">
        <f t="shared" si="63"/>
        <v>0.7600485770143941</v>
      </c>
      <c r="AG190" s="176">
        <f t="shared" si="64"/>
        <v>-2</v>
      </c>
      <c r="AH190" s="176">
        <f t="shared" si="65"/>
        <v>4</v>
      </c>
      <c r="AI190" s="225">
        <f t="shared" si="66"/>
        <v>-1.2399514229856059</v>
      </c>
      <c r="AJ190" s="265" t="b">
        <f t="shared" si="67"/>
        <v>0</v>
      </c>
      <c r="AK190" s="265" t="b">
        <f t="shared" si="68"/>
        <v>0</v>
      </c>
      <c r="AL190" s="265"/>
      <c r="AM190" s="265"/>
      <c r="AN190" s="75"/>
    </row>
    <row r="191" spans="1:40" s="6" customFormat="1" ht="11.25" x14ac:dyDescent="0.2">
      <c r="A191" s="56">
        <f t="shared" si="72"/>
        <v>43642</v>
      </c>
      <c r="B191" s="617">
        <v>37.363999999999997</v>
      </c>
      <c r="C191" s="390"/>
      <c r="D191" s="393">
        <f t="shared" si="48"/>
        <v>37.720042675374884</v>
      </c>
      <c r="E191" s="385">
        <f t="shared" si="73"/>
        <v>40.364035375302144</v>
      </c>
      <c r="F191" s="385">
        <f t="shared" si="49"/>
        <v>40.364035375302144</v>
      </c>
      <c r="G191" s="110">
        <f t="shared" si="74"/>
        <v>0.94223870517251695</v>
      </c>
      <c r="H191" s="414" t="b">
        <f>Wh_hp&gt;='2018'!Maxi_hp</f>
        <v>0</v>
      </c>
      <c r="I191" s="390">
        <f>IF(H191,Wh_hp,'2018'!Maxi_hp)</f>
        <v>41.033603666370098</v>
      </c>
      <c r="J191" s="85">
        <f>IF(H191,An,'2018'!An_max)</f>
        <v>2018</v>
      </c>
      <c r="K191" s="197">
        <f t="shared" si="50"/>
        <v>43642</v>
      </c>
      <c r="L191" s="147">
        <f>IF(t&lt;Tvie,1-EXP((T0-t)*PertePVj)+'2018'!Pspv,1-EXP((T0-t)*PertePVj)+Pspv)</f>
        <v>9.4390846383460847E-3</v>
      </c>
      <c r="M191" s="850"/>
      <c r="N191" s="850"/>
      <c r="O191" s="48">
        <f>IF(t&lt;Tnet,'2018'!Resal+('2018'!Salim-'2018'!Resal)*(1-EXP(('2018'!Tnet-t)/('2018'!Tau_j))),Resal+(Salim-Resal)*(1-EXP((Tnet-t)/(Tau_j))))*Salcycl</f>
        <v>6.5503676115224604E-2</v>
      </c>
      <c r="P191" s="169">
        <f>(INDEX(Models!$BJ191:$BT191,,T191)*(1-R191)+INDEX(Models!$BJ191:$BT191,,T191+1)*R191-ERP_i)*Q191*Ramure*Pc/MaxiM</f>
        <v>0</v>
      </c>
      <c r="Q191" s="305">
        <f t="shared" si="51"/>
        <v>0.7</v>
      </c>
      <c r="R191" s="177">
        <f t="shared" si="52"/>
        <v>0.76376379225747915</v>
      </c>
      <c r="S191" s="817">
        <f t="shared" si="53"/>
        <v>-2</v>
      </c>
      <c r="T191" s="176">
        <f t="shared" si="54"/>
        <v>4</v>
      </c>
      <c r="U191" s="251">
        <f t="shared" si="55"/>
        <v>-1.2362362077425209</v>
      </c>
      <c r="V191" s="383">
        <f t="shared" si="56"/>
        <v>39.654494975515703</v>
      </c>
      <c r="W191" s="58"/>
      <c r="X191" s="157">
        <f t="shared" si="57"/>
        <v>43642</v>
      </c>
      <c r="Y191" s="385">
        <f t="shared" si="58"/>
        <v>37.363999999999997</v>
      </c>
      <c r="Z191" s="385">
        <f t="shared" si="59"/>
        <v>37.720042675374884</v>
      </c>
      <c r="AA191" s="386">
        <f t="shared" si="60"/>
        <v>40.364035375302144</v>
      </c>
      <c r="AB191" s="197">
        <f t="shared" si="61"/>
        <v>43642</v>
      </c>
      <c r="AC191" s="427">
        <f>IF(OR(t&lt;Tnet,NoTnet),'2018'!Resal_s+('2018'!Salim-'2018'!Resal_s)*(1-EXP(('2018'!Tnet_s-t)/'2018'!Tau_j)),Resal_s+(Salim-Resal_s)*(1-EXP((Tnet_s-t)/Tau_j)))*Salcycl</f>
        <v>6.5503676115224604E-2</v>
      </c>
      <c r="AD191" s="231">
        <f>(INDEX(Models!$BJ191:$BT191,,AH191)*(1-AF191)+INDEX(Models!$BJ191:$BT191,,AH191+1)*AF191-ERP_i)*AE191*Ramure*Pc/MaxiM</f>
        <v>0</v>
      </c>
      <c r="AE191" s="305">
        <f t="shared" si="62"/>
        <v>0.7</v>
      </c>
      <c r="AF191" s="177">
        <f t="shared" si="63"/>
        <v>0.76376379225747915</v>
      </c>
      <c r="AG191" s="176">
        <f t="shared" si="64"/>
        <v>-2</v>
      </c>
      <c r="AH191" s="176">
        <f t="shared" si="65"/>
        <v>4</v>
      </c>
      <c r="AI191" s="225">
        <f t="shared" si="66"/>
        <v>-1.2362362077425209</v>
      </c>
      <c r="AJ191" s="265" t="b">
        <f t="shared" si="67"/>
        <v>0</v>
      </c>
      <c r="AK191" s="265" t="b">
        <f t="shared" si="68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2"/>
        <v>43643</v>
      </c>
      <c r="B192" s="617">
        <v>37.674999999999997</v>
      </c>
      <c r="C192" s="390"/>
      <c r="D192" s="393">
        <f t="shared" si="48"/>
        <v>38.034839264285758</v>
      </c>
      <c r="E192" s="385">
        <f t="shared" si="73"/>
        <v>40.70663915680317</v>
      </c>
      <c r="F192" s="385">
        <f t="shared" si="49"/>
        <v>40.70663915680317</v>
      </c>
      <c r="G192" s="110">
        <f t="shared" si="74"/>
        <v>0.95115955771102167</v>
      </c>
      <c r="H192" s="414" t="b">
        <f>Wh_hp&gt;='2018'!Maxi_hp</f>
        <v>1</v>
      </c>
      <c r="I192" s="390">
        <f>IF(H192,Wh_hp,'2018'!Maxi_hp)</f>
        <v>40.70663915680317</v>
      </c>
      <c r="J192" s="85">
        <f>IF(H192,An,'2018'!An_max)</f>
        <v>2019</v>
      </c>
      <c r="K192" s="197">
        <f t="shared" si="50"/>
        <v>43643</v>
      </c>
      <c r="L192" s="147">
        <f>IF(t&lt;Tvie,1-EXP((T0-t)*PertePVj)+'2018'!Pspv,1-EXP((T0-t)*PertePVj)+Pspv)</f>
        <v>9.4607804646000826E-3</v>
      </c>
      <c r="M192" s="850"/>
      <c r="N192" s="850"/>
      <c r="O192" s="48">
        <f>IF(t&lt;Tnet,'2018'!Resal+('2018'!Salim-'2018'!Resal)*(1-EXP(('2018'!Tnet-t)/('2018'!Tau_j))),Resal+(Salim-Resal)*(1-EXP((Tnet-t)/(Tau_j))))*Salcycl</f>
        <v>6.5635482266800799E-2</v>
      </c>
      <c r="P192" s="169">
        <f>(INDEX(Models!$BJ192:$BT192,,T192)*(1-R192)+INDEX(Models!$BJ192:$BT192,,T192+1)*R192-ERP_i)*Q192*Ramure*Pc/MaxiM</f>
        <v>0</v>
      </c>
      <c r="Q192" s="305">
        <f t="shared" si="51"/>
        <v>0.7</v>
      </c>
      <c r="R192" s="177">
        <f t="shared" si="52"/>
        <v>0.76743086569246044</v>
      </c>
      <c r="S192" s="817">
        <f t="shared" si="53"/>
        <v>-2</v>
      </c>
      <c r="T192" s="176">
        <f t="shared" si="54"/>
        <v>4</v>
      </c>
      <c r="U192" s="251">
        <f t="shared" si="55"/>
        <v>-1.2325691343075396</v>
      </c>
      <c r="V192" s="383">
        <f t="shared" si="56"/>
        <v>39.609547835134407</v>
      </c>
      <c r="W192" s="58"/>
      <c r="X192" s="157">
        <f t="shared" si="57"/>
        <v>43643</v>
      </c>
      <c r="Y192" s="385">
        <f t="shared" si="58"/>
        <v>37.674999999999997</v>
      </c>
      <c r="Z192" s="385">
        <f t="shared" si="59"/>
        <v>38.034839264285758</v>
      </c>
      <c r="AA192" s="386">
        <f t="shared" si="60"/>
        <v>40.70663915680317</v>
      </c>
      <c r="AB192" s="197">
        <f t="shared" si="61"/>
        <v>43643</v>
      </c>
      <c r="AC192" s="427">
        <f>IF(OR(t&lt;Tnet,NoTnet),'2018'!Resal_s+('2018'!Salim-'2018'!Resal_s)*(1-EXP(('2018'!Tnet_s-t)/'2018'!Tau_j)),Resal_s+(Salim-Resal_s)*(1-EXP((Tnet_s-t)/Tau_j)))*Salcycl</f>
        <v>6.5635482266800799E-2</v>
      </c>
      <c r="AD192" s="231">
        <f>(INDEX(Models!$BJ192:$BT192,,AH192)*(1-AF192)+INDEX(Models!$BJ192:$BT192,,AH192+1)*AF192-ERP_i)*AE192*Ramure*Pc/MaxiM</f>
        <v>0</v>
      </c>
      <c r="AE192" s="305">
        <f t="shared" si="62"/>
        <v>0.7</v>
      </c>
      <c r="AF192" s="177">
        <f t="shared" si="63"/>
        <v>0.76743086569246044</v>
      </c>
      <c r="AG192" s="176">
        <f t="shared" si="64"/>
        <v>-2</v>
      </c>
      <c r="AH192" s="176">
        <f t="shared" si="65"/>
        <v>4</v>
      </c>
      <c r="AI192" s="225">
        <f t="shared" si="66"/>
        <v>-1.2325691343075396</v>
      </c>
      <c r="AJ192" s="265" t="b">
        <f t="shared" si="67"/>
        <v>0</v>
      </c>
      <c r="AK192" s="265" t="b">
        <f t="shared" si="68"/>
        <v>0</v>
      </c>
      <c r="AL192" s="265"/>
      <c r="AM192" s="265"/>
      <c r="AN192" s="75"/>
    </row>
    <row r="193" spans="1:40" s="6" customFormat="1" ht="11.25" x14ac:dyDescent="0.2">
      <c r="A193" s="56">
        <f t="shared" si="72"/>
        <v>43644</v>
      </c>
      <c r="B193" s="617">
        <v>36.744999999999997</v>
      </c>
      <c r="C193" s="390"/>
      <c r="D193" s="393">
        <f t="shared" si="48"/>
        <v>37.096769216938732</v>
      </c>
      <c r="E193" s="385">
        <f t="shared" si="73"/>
        <v>39.708225678666537</v>
      </c>
      <c r="F193" s="385">
        <f t="shared" si="49"/>
        <v>39.708225678666537</v>
      </c>
      <c r="G193" s="110">
        <f t="shared" si="74"/>
        <v>0.9287359072478697</v>
      </c>
      <c r="H193" s="414" t="b">
        <f>Wh_hp&gt;='2018'!Maxi_hp</f>
        <v>1</v>
      </c>
      <c r="I193" s="390">
        <f>IF(H193,Wh_hp,'2018'!Maxi_hp)</f>
        <v>39.708225678666537</v>
      </c>
      <c r="J193" s="85">
        <f>IF(H193,An,'2018'!An_max)</f>
        <v>2019</v>
      </c>
      <c r="K193" s="197">
        <f t="shared" si="50"/>
        <v>43644</v>
      </c>
      <c r="L193" s="147">
        <f>IF(t&lt;Tvie,1-EXP((T0-t)*PertePVj)+'2018'!Pspv,1-EXP((T0-t)*PertePVj)+Pspv)</f>
        <v>9.4824758156598632E-3</v>
      </c>
      <c r="M193" s="850"/>
      <c r="N193" s="850"/>
      <c r="O193" s="48">
        <f>IF(t&lt;Tnet,'2018'!Resal+('2018'!Salim-'2018'!Resal)*(1-EXP(('2018'!Tnet-t)/('2018'!Tau_j))),Resal+(Salim-Resal)*(1-EXP((Tnet-t)/(Tau_j))))*Salcycl</f>
        <v>6.5766133265703269E-2</v>
      </c>
      <c r="P193" s="169">
        <f>(INDEX(Models!$BJ193:$BT193,,T193)*(1-R193)+INDEX(Models!$BJ193:$BT193,,T193+1)*R193-ERP_i)*Q193*Ramure*Pc/MaxiM</f>
        <v>0</v>
      </c>
      <c r="Q193" s="305">
        <f t="shared" si="51"/>
        <v>0.7</v>
      </c>
      <c r="R193" s="177">
        <f t="shared" si="52"/>
        <v>0.77104769208379342</v>
      </c>
      <c r="S193" s="817">
        <f t="shared" si="53"/>
        <v>-2</v>
      </c>
      <c r="T193" s="176">
        <f t="shared" si="54"/>
        <v>4</v>
      </c>
      <c r="U193" s="251">
        <f t="shared" si="55"/>
        <v>-1.2289523079162066</v>
      </c>
      <c r="V193" s="383">
        <f t="shared" si="56"/>
        <v>39.564530361366927</v>
      </c>
      <c r="W193" s="58"/>
      <c r="X193" s="157">
        <f t="shared" si="57"/>
        <v>43644</v>
      </c>
      <c r="Y193" s="385">
        <f t="shared" si="58"/>
        <v>36.744999999999997</v>
      </c>
      <c r="Z193" s="385">
        <f t="shared" si="59"/>
        <v>37.096769216938732</v>
      </c>
      <c r="AA193" s="386">
        <f t="shared" si="60"/>
        <v>39.708225678666537</v>
      </c>
      <c r="AB193" s="197">
        <f t="shared" si="61"/>
        <v>43644</v>
      </c>
      <c r="AC193" s="427">
        <f>IF(OR(t&lt;Tnet,NoTnet),'2018'!Resal_s+('2018'!Salim-'2018'!Resal_s)*(1-EXP(('2018'!Tnet_s-t)/'2018'!Tau_j)),Resal_s+(Salim-Resal_s)*(1-EXP((Tnet_s-t)/Tau_j)))*Salcycl</f>
        <v>6.5766133265703269E-2</v>
      </c>
      <c r="AD193" s="231">
        <f>(INDEX(Models!$BJ193:$BT193,,AH193)*(1-AF193)+INDEX(Models!$BJ193:$BT193,,AH193+1)*AF193-ERP_i)*AE193*Ramure*Pc/MaxiM</f>
        <v>0</v>
      </c>
      <c r="AE193" s="305">
        <f t="shared" si="62"/>
        <v>0.7</v>
      </c>
      <c r="AF193" s="177">
        <f t="shared" si="63"/>
        <v>0.77104769208379342</v>
      </c>
      <c r="AG193" s="176">
        <f t="shared" si="64"/>
        <v>-2</v>
      </c>
      <c r="AH193" s="176">
        <f t="shared" si="65"/>
        <v>4</v>
      </c>
      <c r="AI193" s="225">
        <f t="shared" si="66"/>
        <v>-1.2289523079162066</v>
      </c>
      <c r="AJ193" s="265" t="b">
        <f t="shared" si="67"/>
        <v>0</v>
      </c>
      <c r="AK193" s="265" t="b">
        <f t="shared" si="68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2"/>
        <v>43645</v>
      </c>
      <c r="B194" s="617">
        <v>36.145000000000003</v>
      </c>
      <c r="C194" s="390"/>
      <c r="D194" s="393">
        <f t="shared" si="48"/>
        <v>36.491824529170813</v>
      </c>
      <c r="E194" s="385">
        <f t="shared" si="73"/>
        <v>39.066110780082134</v>
      </c>
      <c r="F194" s="385">
        <f t="shared" si="49"/>
        <v>39.066110780082134</v>
      </c>
      <c r="G194" s="110">
        <f t="shared" si="74"/>
        <v>0.91461998870341987</v>
      </c>
      <c r="H194" s="414" t="b">
        <f>Wh_hp&gt;='2018'!Maxi_hp</f>
        <v>1</v>
      </c>
      <c r="I194" s="390">
        <f>IF(H194,Wh_hp,'2018'!Maxi_hp)</f>
        <v>39.066110780082134</v>
      </c>
      <c r="J194" s="85">
        <f>IF(H194,An,'2018'!An_max)</f>
        <v>2019</v>
      </c>
      <c r="K194" s="197">
        <f t="shared" si="50"/>
        <v>43645</v>
      </c>
      <c r="L194" s="147">
        <f>IF(t&lt;Tvie,1-EXP((T0-t)*PertePVj)+'2018'!Pspv,1-EXP((T0-t)*PertePVj)+Pspv)</f>
        <v>9.5041706915357516E-3</v>
      </c>
      <c r="M194" s="850"/>
      <c r="N194" s="850"/>
      <c r="O194" s="48">
        <f>IF(t&lt;Tnet,'2018'!Resal+('2018'!Salim-'2018'!Resal)*(1-EXP(('2018'!Tnet-t)/('2018'!Tau_j))),Resal+(Salim-Resal)*(1-EXP((Tnet-t)/(Tau_j))))*Salcycl</f>
        <v>6.5895636896207851E-2</v>
      </c>
      <c r="P194" s="169">
        <f>(INDEX(Models!$BJ194:$BT194,,T194)*(1-R194)+INDEX(Models!$BJ194:$BT194,,T194+1)*R194-ERP_i)*Q194*Ramure*Pc/MaxiM</f>
        <v>0</v>
      </c>
      <c r="Q194" s="305">
        <f t="shared" si="51"/>
        <v>0.7</v>
      </c>
      <c r="R194" s="177">
        <f t="shared" si="52"/>
        <v>0.77461230711989715</v>
      </c>
      <c r="S194" s="817">
        <f t="shared" si="53"/>
        <v>-2</v>
      </c>
      <c r="T194" s="176">
        <f t="shared" si="54"/>
        <v>4</v>
      </c>
      <c r="U194" s="251">
        <f t="shared" si="55"/>
        <v>-1.2253876928801029</v>
      </c>
      <c r="V194" s="383">
        <f t="shared" si="56"/>
        <v>39.51914505087489</v>
      </c>
      <c r="W194" s="58"/>
      <c r="X194" s="157">
        <f t="shared" si="57"/>
        <v>43645</v>
      </c>
      <c r="Y194" s="385">
        <f t="shared" si="58"/>
        <v>36.145000000000003</v>
      </c>
      <c r="Z194" s="385">
        <f t="shared" si="59"/>
        <v>36.491824529170813</v>
      </c>
      <c r="AA194" s="386">
        <f t="shared" si="60"/>
        <v>39.066110780082134</v>
      </c>
      <c r="AB194" s="197">
        <f t="shared" si="61"/>
        <v>43645</v>
      </c>
      <c r="AC194" s="427">
        <f>IF(OR(t&lt;Tnet,NoTnet),'2018'!Resal_s+('2018'!Salim-'2018'!Resal_s)*(1-EXP(('2018'!Tnet_s-t)/'2018'!Tau_j)),Resal_s+(Salim-Resal_s)*(1-EXP((Tnet_s-t)/Tau_j)))*Salcycl</f>
        <v>6.5895636896207851E-2</v>
      </c>
      <c r="AD194" s="231">
        <f>(INDEX(Models!$BJ194:$BT194,,AH194)*(1-AF194)+INDEX(Models!$BJ194:$BT194,,AH194+1)*AF194-ERP_i)*AE194*Ramure*Pc/MaxiM</f>
        <v>0</v>
      </c>
      <c r="AE194" s="305">
        <f t="shared" si="62"/>
        <v>0.7</v>
      </c>
      <c r="AF194" s="177">
        <f t="shared" si="63"/>
        <v>0.77461230711989715</v>
      </c>
      <c r="AG194" s="176">
        <f t="shared" si="64"/>
        <v>-2</v>
      </c>
      <c r="AH194" s="176">
        <f t="shared" si="65"/>
        <v>4</v>
      </c>
      <c r="AI194" s="225">
        <f t="shared" si="66"/>
        <v>-1.2253876928801029</v>
      </c>
      <c r="AJ194" s="265" t="b">
        <f t="shared" si="67"/>
        <v>0</v>
      </c>
      <c r="AK194" s="265" t="b">
        <f t="shared" si="68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2"/>
        <v>43646</v>
      </c>
      <c r="B195" s="617">
        <v>33.811</v>
      </c>
      <c r="C195" s="390"/>
      <c r="D195" s="393">
        <f t="shared" si="48"/>
        <v>34.136176613181981</v>
      </c>
      <c r="E195" s="385">
        <f t="shared" si="73"/>
        <v>36.549308277155959</v>
      </c>
      <c r="F195" s="385">
        <f t="shared" si="49"/>
        <v>36.549308277155959</v>
      </c>
      <c r="G195" s="110">
        <f t="shared" si="74"/>
        <v>0.85655813028289107</v>
      </c>
      <c r="H195" s="414" t="b">
        <f>Wh_hp&gt;='2018'!Maxi_hp</f>
        <v>0</v>
      </c>
      <c r="I195" s="390">
        <f>IF(H195,Wh_hp,'2018'!Maxi_hp)</f>
        <v>39.940934900012763</v>
      </c>
      <c r="J195" s="85">
        <f>IF(H195,An,'2018'!An_max)</f>
        <v>2018</v>
      </c>
      <c r="K195" s="197">
        <f t="shared" si="50"/>
        <v>43646</v>
      </c>
      <c r="L195" s="147">
        <f>IF(t&lt;Tvie,1-EXP((T0-t)*PertePVj)+'2018'!Pspv,1-EXP((T0-t)*PertePVj)+Pspv)</f>
        <v>9.5258650922380728E-3</v>
      </c>
      <c r="M195" s="850"/>
      <c r="N195" s="850"/>
      <c r="O195" s="48">
        <f>IF(t&lt;Tnet,'2018'!Resal+('2018'!Salim-'2018'!Resal)*(1-EXP(('2018'!Tnet-t)/('2018'!Tau_j))),Resal+(Salim-Resal)*(1-EXP((Tnet-t)/(Tau_j))))*Salcycl</f>
        <v>6.602400367402389E-2</v>
      </c>
      <c r="P195" s="169">
        <f>(INDEX(Models!$BJ195:$BT195,,T195)*(1-R195)+INDEX(Models!$BJ195:$BT195,,T195+1)*R195-ERP_i)*Q195*Ramure*Pc/MaxiM</f>
        <v>0</v>
      </c>
      <c r="Q195" s="305">
        <f t="shared" si="51"/>
        <v>0.7</v>
      </c>
      <c r="R195" s="177">
        <f t="shared" si="52"/>
        <v>0.77812288962564158</v>
      </c>
      <c r="S195" s="817">
        <f t="shared" si="53"/>
        <v>-2</v>
      </c>
      <c r="T195" s="176">
        <f t="shared" si="54"/>
        <v>4</v>
      </c>
      <c r="U195" s="251">
        <f t="shared" si="55"/>
        <v>-1.2218771103743584</v>
      </c>
      <c r="V195" s="383">
        <f t="shared" si="56"/>
        <v>39.473094475016445</v>
      </c>
      <c r="W195" s="58"/>
      <c r="X195" s="157">
        <f t="shared" si="57"/>
        <v>43646</v>
      </c>
      <c r="Y195" s="385">
        <f t="shared" si="58"/>
        <v>33.811</v>
      </c>
      <c r="Z195" s="385">
        <f t="shared" si="59"/>
        <v>34.136176613181981</v>
      </c>
      <c r="AA195" s="386">
        <f t="shared" si="60"/>
        <v>36.549308277155959</v>
      </c>
      <c r="AB195" s="197">
        <f t="shared" si="61"/>
        <v>43646</v>
      </c>
      <c r="AC195" s="427">
        <f>IF(OR(t&lt;Tnet,NoTnet),'2018'!Resal_s+('2018'!Salim-'2018'!Resal_s)*(1-EXP(('2018'!Tnet_s-t)/'2018'!Tau_j)),Resal_s+(Salim-Resal_s)*(1-EXP((Tnet_s-t)/Tau_j)))*Salcycl</f>
        <v>6.602400367402389E-2</v>
      </c>
      <c r="AD195" s="231">
        <f>(INDEX(Models!$BJ195:$BT195,,AH195)*(1-AF195)+INDEX(Models!$BJ195:$BT195,,AH195+1)*AF195-ERP_i)*AE195*Ramure*Pc/MaxiM</f>
        <v>0</v>
      </c>
      <c r="AE195" s="305">
        <f t="shared" si="62"/>
        <v>0.7</v>
      </c>
      <c r="AF195" s="177">
        <f t="shared" si="63"/>
        <v>0.77812288962564158</v>
      </c>
      <c r="AG195" s="176">
        <f t="shared" si="64"/>
        <v>-2</v>
      </c>
      <c r="AH195" s="176">
        <f t="shared" si="65"/>
        <v>4</v>
      </c>
      <c r="AI195" s="225">
        <f t="shared" si="66"/>
        <v>-1.2218771103743584</v>
      </c>
      <c r="AJ195" s="265" t="b">
        <f t="shared" si="67"/>
        <v>0</v>
      </c>
      <c r="AK195" s="265" t="b">
        <f t="shared" si="68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2"/>
        <v>43647</v>
      </c>
      <c r="B196" s="617">
        <v>12.109</v>
      </c>
      <c r="C196" s="390"/>
      <c r="D196" s="393">
        <f t="shared" si="48"/>
        <v>12.225725838982855</v>
      </c>
      <c r="E196" s="385">
        <f t="shared" si="73"/>
        <v>13.09176223249125</v>
      </c>
      <c r="F196" s="385">
        <f t="shared" si="49"/>
        <v>13.09176223249125</v>
      </c>
      <c r="G196" s="110">
        <f t="shared" si="74"/>
        <v>0.30713171602783101</v>
      </c>
      <c r="H196" s="414" t="b">
        <f>Wh_hp&gt;='2018'!Maxi_hp</f>
        <v>0</v>
      </c>
      <c r="I196" s="390">
        <f>IF(H196,Wh_hp,'2018'!Maxi_hp)</f>
        <v>36.283396037147114</v>
      </c>
      <c r="J196" s="85">
        <f>IF(H196,An,'2018'!An_max)</f>
        <v>2018</v>
      </c>
      <c r="K196" s="197">
        <f t="shared" si="50"/>
        <v>43647</v>
      </c>
      <c r="L196" s="147">
        <f>IF(t&lt;Tvie,1-EXP((T0-t)*PertePVj)+'2018'!Pspv,1-EXP((T0-t)*PertePVj)+Pspv)</f>
        <v>9.5475590177774849E-3</v>
      </c>
      <c r="M196" s="850"/>
      <c r="N196" s="850"/>
      <c r="O196" s="48">
        <f>IF(t&lt;Tnet,'2018'!Resal+('2018'!Salim-'2018'!Resal)*(1-EXP(('2018'!Tnet-t)/('2018'!Tau_j))),Resal+(Salim-Resal)*(1-EXP((Tnet-t)/(Tau_j))))*Salcycl</f>
        <v>6.6151246725139765E-2</v>
      </c>
      <c r="P196" s="169">
        <f>(INDEX(Models!$BJ196:$BT196,,T196)*(1-R196)+INDEX(Models!$BJ196:$BT196,,T196+1)*R196-ERP_i)*Q196*Ramure*Pc/MaxiM</f>
        <v>0</v>
      </c>
      <c r="Q196" s="305">
        <f t="shared" si="51"/>
        <v>0.7</v>
      </c>
      <c r="R196" s="177">
        <f t="shared" si="52"/>
        <v>0.78157776301724846</v>
      </c>
      <c r="S196" s="817">
        <f t="shared" si="53"/>
        <v>-2</v>
      </c>
      <c r="T196" s="176">
        <f t="shared" si="54"/>
        <v>4</v>
      </c>
      <c r="U196" s="251">
        <f t="shared" si="55"/>
        <v>-1.2184222369827515</v>
      </c>
      <c r="V196" s="383">
        <f t="shared" si="56"/>
        <v>39.426081280719096</v>
      </c>
      <c r="W196" s="58"/>
      <c r="X196" s="157">
        <f t="shared" si="57"/>
        <v>43647</v>
      </c>
      <c r="Y196" s="385">
        <f t="shared" si="58"/>
        <v>12.109</v>
      </c>
      <c r="Z196" s="385">
        <f t="shared" si="59"/>
        <v>12.225725838982855</v>
      </c>
      <c r="AA196" s="386">
        <f t="shared" si="60"/>
        <v>13.09176223249125</v>
      </c>
      <c r="AB196" s="197">
        <f t="shared" si="61"/>
        <v>43647</v>
      </c>
      <c r="AC196" s="427">
        <f>IF(OR(t&lt;Tnet,NoTnet),'2018'!Resal_s+('2018'!Salim-'2018'!Resal_s)*(1-EXP(('2018'!Tnet_s-t)/'2018'!Tau_j)),Resal_s+(Salim-Resal_s)*(1-EXP((Tnet_s-t)/Tau_j)))*Salcycl</f>
        <v>6.6151246725139765E-2</v>
      </c>
      <c r="AD196" s="231">
        <f>(INDEX(Models!$BJ196:$BT196,,AH196)*(1-AF196)+INDEX(Models!$BJ196:$BT196,,AH196+1)*AF196-ERP_i)*AE196*Ramure*Pc/MaxiM</f>
        <v>0</v>
      </c>
      <c r="AE196" s="305">
        <f t="shared" si="62"/>
        <v>0.7</v>
      </c>
      <c r="AF196" s="177">
        <f t="shared" si="63"/>
        <v>0.78157776301724846</v>
      </c>
      <c r="AG196" s="176">
        <f t="shared" si="64"/>
        <v>-2</v>
      </c>
      <c r="AH196" s="176">
        <f t="shared" si="65"/>
        <v>4</v>
      </c>
      <c r="AI196" s="225">
        <f t="shared" si="66"/>
        <v>-1.2184222369827515</v>
      </c>
      <c r="AJ196" s="265" t="b">
        <f t="shared" si="67"/>
        <v>0</v>
      </c>
      <c r="AK196" s="265" t="b">
        <f t="shared" si="68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2"/>
        <v>43648</v>
      </c>
      <c r="B197" s="617">
        <v>19.478999999999999</v>
      </c>
      <c r="C197" s="390"/>
      <c r="D197" s="393">
        <f t="shared" si="48"/>
        <v>19.667200406027252</v>
      </c>
      <c r="E197" s="385">
        <f t="shared" si="73"/>
        <v>21.063215155699861</v>
      </c>
      <c r="F197" s="385">
        <f t="shared" si="49"/>
        <v>21.063215155699861</v>
      </c>
      <c r="G197" s="110">
        <f t="shared" si="74"/>
        <v>0.49466948245441955</v>
      </c>
      <c r="H197" s="414" t="b">
        <f>Wh_hp&gt;='2018'!Maxi_hp</f>
        <v>0</v>
      </c>
      <c r="I197" s="390">
        <f>IF(H197,Wh_hp,'2018'!Maxi_hp)</f>
        <v>32.870177170465055</v>
      </c>
      <c r="J197" s="85">
        <f>IF(H197,An,'2018'!An_max)</f>
        <v>2018</v>
      </c>
      <c r="K197" s="197">
        <f t="shared" si="50"/>
        <v>43648</v>
      </c>
      <c r="L197" s="147">
        <f>IF(t&lt;Tvie,1-EXP((T0-t)*PertePVj)+'2018'!Pspv,1-EXP((T0-t)*PertePVj)+Pspv)</f>
        <v>9.5692524681640911E-3</v>
      </c>
      <c r="M197" s="850"/>
      <c r="N197" s="850"/>
      <c r="O197" s="48">
        <f>IF(t&lt;Tnet,'2018'!Resal+('2018'!Salim-'2018'!Resal)*(1-EXP(('2018'!Tnet-t)/('2018'!Tau_j))),Resal+(Salim-Resal)*(1-EXP((Tnet-t)/(Tau_j))))*Salcycl</f>
        <v>6.6277381651055192E-2</v>
      </c>
      <c r="P197" s="169">
        <f>(INDEX(Models!$BJ197:$BT197,,T197)*(1-R197)+INDEX(Models!$BJ197:$BT197,,T197+1)*R197-ERP_i)*Q197*Ramure*Pc/MaxiM</f>
        <v>0</v>
      </c>
      <c r="Q197" s="305">
        <f t="shared" si="51"/>
        <v>0.7</v>
      </c>
      <c r="R197" s="177">
        <f t="shared" si="52"/>
        <v>0.78497539602103505</v>
      </c>
      <c r="S197" s="817">
        <f t="shared" si="53"/>
        <v>-2</v>
      </c>
      <c r="T197" s="176">
        <f t="shared" si="54"/>
        <v>4</v>
      </c>
      <c r="U197" s="251">
        <f t="shared" si="55"/>
        <v>-1.2150246039789649</v>
      </c>
      <c r="V197" s="383">
        <f t="shared" si="56"/>
        <v>39.377808194979671</v>
      </c>
      <c r="W197" s="58"/>
      <c r="X197" s="157">
        <f t="shared" si="57"/>
        <v>43648</v>
      </c>
      <c r="Y197" s="385">
        <f t="shared" si="58"/>
        <v>19.478999999999999</v>
      </c>
      <c r="Z197" s="385">
        <f t="shared" si="59"/>
        <v>19.667200406027252</v>
      </c>
      <c r="AA197" s="386">
        <f t="shared" si="60"/>
        <v>21.063215155699861</v>
      </c>
      <c r="AB197" s="197">
        <f t="shared" si="61"/>
        <v>43648</v>
      </c>
      <c r="AC197" s="427">
        <f>IF(OR(t&lt;Tnet,NoTnet),'2018'!Resal_s+('2018'!Salim-'2018'!Resal_s)*(1-EXP(('2018'!Tnet_s-t)/'2018'!Tau_j)),Resal_s+(Salim-Resal_s)*(1-EXP((Tnet_s-t)/Tau_j)))*Salcycl</f>
        <v>6.6277381651055192E-2</v>
      </c>
      <c r="AD197" s="231">
        <f>(INDEX(Models!$BJ197:$BT197,,AH197)*(1-AF197)+INDEX(Models!$BJ197:$BT197,,AH197+1)*AF197-ERP_i)*AE197*Ramure*Pc/MaxiM</f>
        <v>0</v>
      </c>
      <c r="AE197" s="305">
        <f t="shared" si="62"/>
        <v>0.7</v>
      </c>
      <c r="AF197" s="177">
        <f t="shared" si="63"/>
        <v>0.78497539602103505</v>
      </c>
      <c r="AG197" s="176">
        <f t="shared" si="64"/>
        <v>-2</v>
      </c>
      <c r="AH197" s="176">
        <f t="shared" si="65"/>
        <v>4</v>
      </c>
      <c r="AI197" s="225">
        <f t="shared" si="66"/>
        <v>-1.2150246039789649</v>
      </c>
      <c r="AJ197" s="265" t="b">
        <f t="shared" si="67"/>
        <v>0</v>
      </c>
      <c r="AK197" s="265" t="b">
        <f t="shared" si="68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2"/>
        <v>43649</v>
      </c>
      <c r="B198" s="617">
        <v>31.452999999999999</v>
      </c>
      <c r="C198" s="390"/>
      <c r="D198" s="393">
        <f t="shared" si="48"/>
        <v>31.757585267717069</v>
      </c>
      <c r="E198" s="385">
        <f t="shared" si="73"/>
        <v>34.016353689339262</v>
      </c>
      <c r="F198" s="385">
        <f t="shared" si="49"/>
        <v>34.016353689339262</v>
      </c>
      <c r="G198" s="110">
        <f t="shared" si="74"/>
        <v>0.79976143138685363</v>
      </c>
      <c r="H198" s="414" t="b">
        <f>Wh_hp&gt;='2018'!Maxi_hp</f>
        <v>1</v>
      </c>
      <c r="I198" s="390">
        <f>IF(H198,Wh_hp,'2018'!Maxi_hp)</f>
        <v>34.016353689339262</v>
      </c>
      <c r="J198" s="85">
        <f>IF(H198,An,'2018'!An_max)</f>
        <v>2019</v>
      </c>
      <c r="K198" s="197">
        <f t="shared" si="50"/>
        <v>43649</v>
      </c>
      <c r="L198" s="147">
        <f>IF(t&lt;Tvie,1-EXP((T0-t)*PertePVj)+'2018'!Pspv,1-EXP((T0-t)*PertePVj)+Pspv)</f>
        <v>9.5909454434085495E-3</v>
      </c>
      <c r="M198" s="850"/>
      <c r="N198" s="850"/>
      <c r="O198" s="48">
        <f>IF(t&lt;Tnet,'2018'!Resal+('2018'!Salim-'2018'!Resal)*(1-EXP(('2018'!Tnet-t)/('2018'!Tau_j))),Resal+(Salim-Resal)*(1-EXP((Tnet-t)/(Tau_j))))*Salcycl</f>
        <v>6.6402426381464083E-2</v>
      </c>
      <c r="P198" s="169">
        <f>(INDEX(Models!$BJ198:$BT198,,T198)*(1-R198)+INDEX(Models!$BJ198:$BT198,,T198+1)*R198-ERP_i)*Q198*Ramure*Pc/MaxiM</f>
        <v>0</v>
      </c>
      <c r="Q198" s="305">
        <f t="shared" si="51"/>
        <v>0.7</v>
      </c>
      <c r="R198" s="177">
        <f t="shared" si="52"/>
        <v>0.788314402682877</v>
      </c>
      <c r="S198" s="817">
        <f t="shared" si="53"/>
        <v>-2</v>
      </c>
      <c r="T198" s="176">
        <f t="shared" si="54"/>
        <v>4</v>
      </c>
      <c r="U198" s="251">
        <f t="shared" si="55"/>
        <v>-1.211685597317123</v>
      </c>
      <c r="V198" s="383">
        <f t="shared" si="56"/>
        <v>39.327978026469523</v>
      </c>
      <c r="W198" s="58"/>
      <c r="X198" s="157">
        <f t="shared" si="57"/>
        <v>43649</v>
      </c>
      <c r="Y198" s="385">
        <f t="shared" si="58"/>
        <v>31.452999999999996</v>
      </c>
      <c r="Z198" s="385">
        <f t="shared" si="59"/>
        <v>31.757585267717065</v>
      </c>
      <c r="AA198" s="386">
        <f t="shared" si="60"/>
        <v>34.016353689339262</v>
      </c>
      <c r="AB198" s="197">
        <f t="shared" si="61"/>
        <v>43649</v>
      </c>
      <c r="AC198" s="427">
        <f>IF(OR(t&lt;Tnet,NoTnet),'2018'!Resal_s+('2018'!Salim-'2018'!Resal_s)*(1-EXP(('2018'!Tnet_s-t)/'2018'!Tau_j)),Resal_s+(Salim-Resal_s)*(1-EXP((Tnet_s-t)/Tau_j)))*Salcycl</f>
        <v>6.6402426381464083E-2</v>
      </c>
      <c r="AD198" s="231">
        <f>(INDEX(Models!$BJ198:$BT198,,AH198)*(1-AF198)+INDEX(Models!$BJ198:$BT198,,AH198+1)*AF198-ERP_i)*AE198*Ramure*Pc/MaxiM</f>
        <v>0</v>
      </c>
      <c r="AE198" s="305">
        <f t="shared" si="62"/>
        <v>0.7</v>
      </c>
      <c r="AF198" s="177">
        <f t="shared" si="63"/>
        <v>0.788314402682877</v>
      </c>
      <c r="AG198" s="176">
        <f t="shared" si="64"/>
        <v>-2</v>
      </c>
      <c r="AH198" s="176">
        <f t="shared" si="65"/>
        <v>4</v>
      </c>
      <c r="AI198" s="225">
        <f t="shared" si="66"/>
        <v>-1.211685597317123</v>
      </c>
      <c r="AJ198" s="265" t="b">
        <f t="shared" si="67"/>
        <v>0</v>
      </c>
      <c r="AK198" s="265" t="b">
        <f t="shared" si="68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2"/>
        <v>43650</v>
      </c>
      <c r="B199" s="617">
        <v>36.375</v>
      </c>
      <c r="C199" s="390"/>
      <c r="D199" s="393">
        <f t="shared" si="48"/>
        <v>36.728053480478117</v>
      </c>
      <c r="E199" s="385">
        <f t="shared" si="73"/>
        <v>39.345572837234378</v>
      </c>
      <c r="F199" s="385">
        <f t="shared" si="49"/>
        <v>39.345572837234378</v>
      </c>
      <c r="G199" s="110">
        <f t="shared" si="74"/>
        <v>0.92613117483324692</v>
      </c>
      <c r="H199" s="414" t="b">
        <f>Wh_hp&gt;='2018'!Maxi_hp</f>
        <v>1</v>
      </c>
      <c r="I199" s="390">
        <f>IF(H199,Wh_hp,'2018'!Maxi_hp)</f>
        <v>39.345572837234378</v>
      </c>
      <c r="J199" s="85">
        <f>IF(H199,An,'2018'!An_max)</f>
        <v>2019</v>
      </c>
      <c r="K199" s="197">
        <f t="shared" si="50"/>
        <v>43650</v>
      </c>
      <c r="L199" s="147">
        <f>IF(t&lt;Tvie,1-EXP((T0-t)*PertePVj)+'2018'!Pspv,1-EXP((T0-t)*PertePVj)+Pspv)</f>
        <v>9.6126379435211851E-3</v>
      </c>
      <c r="M199" s="850"/>
      <c r="N199" s="850"/>
      <c r="O199" s="48">
        <f>IF(t&lt;Tnet,'2018'!Resal+('2018'!Salim-'2018'!Resal)*(1-EXP(('2018'!Tnet-t)/('2018'!Tau_j))),Resal+(Salim-Resal)*(1-EXP((Tnet-t)/(Tau_j))))*Salcycl</f>
        <v>6.6526401015546882E-2</v>
      </c>
      <c r="P199" s="169">
        <f>(INDEX(Models!$BJ199:$BT199,,T199)*(1-R199)+INDEX(Models!$BJ199:$BT199,,T199+1)*R199-ERP_i)*Q199*Ramure*Pc/MaxiM</f>
        <v>0</v>
      </c>
      <c r="Q199" s="305">
        <f t="shared" si="51"/>
        <v>0.7</v>
      </c>
      <c r="R199" s="177">
        <f t="shared" si="52"/>
        <v>0.79159354170010676</v>
      </c>
      <c r="S199" s="817">
        <f t="shared" si="53"/>
        <v>-2</v>
      </c>
      <c r="T199" s="176">
        <f t="shared" si="54"/>
        <v>4</v>
      </c>
      <c r="U199" s="251">
        <f t="shared" si="55"/>
        <v>-1.2084064582998932</v>
      </c>
      <c r="V199" s="383">
        <f t="shared" si="56"/>
        <v>39.276293670331789</v>
      </c>
      <c r="W199" s="58"/>
      <c r="X199" s="157">
        <f t="shared" si="57"/>
        <v>43650</v>
      </c>
      <c r="Y199" s="385">
        <f t="shared" si="58"/>
        <v>36.375</v>
      </c>
      <c r="Z199" s="385">
        <f t="shared" si="59"/>
        <v>36.728053480478117</v>
      </c>
      <c r="AA199" s="386">
        <f t="shared" si="60"/>
        <v>39.345572837234378</v>
      </c>
      <c r="AB199" s="197">
        <f t="shared" si="61"/>
        <v>43650</v>
      </c>
      <c r="AC199" s="427">
        <f>IF(OR(t&lt;Tnet,NoTnet),'2018'!Resal_s+('2018'!Salim-'2018'!Resal_s)*(1-EXP(('2018'!Tnet_s-t)/'2018'!Tau_j)),Resal_s+(Salim-Resal_s)*(1-EXP((Tnet_s-t)/Tau_j)))*Salcycl</f>
        <v>6.6526401015546882E-2</v>
      </c>
      <c r="AD199" s="231">
        <f>(INDEX(Models!$BJ199:$BT199,,AH199)*(1-AF199)+INDEX(Models!$BJ199:$BT199,,AH199+1)*AF199-ERP_i)*AE199*Ramure*Pc/MaxiM</f>
        <v>0</v>
      </c>
      <c r="AE199" s="305">
        <f t="shared" si="62"/>
        <v>0.7</v>
      </c>
      <c r="AF199" s="177">
        <f t="shared" si="63"/>
        <v>0.79159354170010676</v>
      </c>
      <c r="AG199" s="176">
        <f t="shared" si="64"/>
        <v>-2</v>
      </c>
      <c r="AH199" s="176">
        <f t="shared" si="65"/>
        <v>4</v>
      </c>
      <c r="AI199" s="225">
        <f t="shared" si="66"/>
        <v>-1.2084064582998932</v>
      </c>
      <c r="AJ199" s="265" t="b">
        <f t="shared" si="67"/>
        <v>0</v>
      </c>
      <c r="AK199" s="265" t="b">
        <f t="shared" si="68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2"/>
        <v>43651</v>
      </c>
      <c r="B200" s="617">
        <v>35.351999999999997</v>
      </c>
      <c r="C200" s="390"/>
      <c r="D200" s="393">
        <f t="shared" si="48"/>
        <v>35.695906138261051</v>
      </c>
      <c r="E200" s="385">
        <f t="shared" si="73"/>
        <v>38.244903224320609</v>
      </c>
      <c r="F200" s="385">
        <f t="shared" si="49"/>
        <v>38.244903224320609</v>
      </c>
      <c r="G200" s="110">
        <f t="shared" si="74"/>
        <v>0.90132035827766044</v>
      </c>
      <c r="H200" s="414" t="b">
        <f>Wh_hp&gt;='2018'!Maxi_hp</f>
        <v>1</v>
      </c>
      <c r="I200" s="390">
        <f>IF(H200,Wh_hp,'2018'!Maxi_hp)</f>
        <v>38.244903224320609</v>
      </c>
      <c r="J200" s="85">
        <f>IF(H200,An,'2018'!An_max)</f>
        <v>2019</v>
      </c>
      <c r="K200" s="197">
        <f t="shared" si="50"/>
        <v>43651</v>
      </c>
      <c r="L200" s="147">
        <f>IF(t&lt;Tvie,1-EXP((T0-t)*PertePVj)+'2018'!Pspv,1-EXP((T0-t)*PertePVj)+Pspv)</f>
        <v>9.634329968512434E-3</v>
      </c>
      <c r="M200" s="850"/>
      <c r="N200" s="850"/>
      <c r="O200" s="48">
        <f>IF(t&lt;Tnet,'2018'!Resal+('2018'!Salim-'2018'!Resal)*(1-EXP(('2018'!Tnet-t)/('2018'!Tau_j))),Resal+(Salim-Resal)*(1-EXP((Tnet-t)/(Tau_j))))*Salcycl</f>
        <v>6.6649327653118567E-2</v>
      </c>
      <c r="P200" s="169">
        <f>(INDEX(Models!$BJ200:$BT200,,T200)*(1-R200)+INDEX(Models!$BJ200:$BT200,,T200+1)*R200-ERP_i)*Q200*Ramure*Pc/MaxiM</f>
        <v>0</v>
      </c>
      <c r="Q200" s="305">
        <f t="shared" si="51"/>
        <v>0.7</v>
      </c>
      <c r="R200" s="177">
        <f t="shared" si="52"/>
        <v>0.79481171511178594</v>
      </c>
      <c r="S200" s="817">
        <f t="shared" si="53"/>
        <v>-2</v>
      </c>
      <c r="T200" s="176">
        <f t="shared" si="54"/>
        <v>4</v>
      </c>
      <c r="U200" s="251">
        <f t="shared" si="55"/>
        <v>-1.2051882848882141</v>
      </c>
      <c r="V200" s="383">
        <f t="shared" si="56"/>
        <v>39.222458114176398</v>
      </c>
      <c r="W200" s="58"/>
      <c r="X200" s="157">
        <f t="shared" si="57"/>
        <v>43651</v>
      </c>
      <c r="Y200" s="385">
        <f t="shared" si="58"/>
        <v>35.351999999999997</v>
      </c>
      <c r="Z200" s="385">
        <f t="shared" si="59"/>
        <v>35.695906138261051</v>
      </c>
      <c r="AA200" s="386">
        <f t="shared" si="60"/>
        <v>38.244903224320609</v>
      </c>
      <c r="AB200" s="197">
        <f t="shared" si="61"/>
        <v>43651</v>
      </c>
      <c r="AC200" s="427">
        <f>IF(OR(t&lt;Tnet,NoTnet),'2018'!Resal_s+('2018'!Salim-'2018'!Resal_s)*(1-EXP(('2018'!Tnet_s-t)/'2018'!Tau_j)),Resal_s+(Salim-Resal_s)*(1-EXP((Tnet_s-t)/Tau_j)))*Salcycl</f>
        <v>6.6649327653118567E-2</v>
      </c>
      <c r="AD200" s="231">
        <f>(INDEX(Models!$BJ200:$BT200,,AH200)*(1-AF200)+INDEX(Models!$BJ200:$BT200,,AH200+1)*AF200-ERP_i)*AE200*Ramure*Pc/MaxiM</f>
        <v>0</v>
      </c>
      <c r="AE200" s="305">
        <f t="shared" si="62"/>
        <v>0.7</v>
      </c>
      <c r="AF200" s="177">
        <f t="shared" si="63"/>
        <v>0.79481171511178594</v>
      </c>
      <c r="AG200" s="176">
        <f t="shared" si="64"/>
        <v>-2</v>
      </c>
      <c r="AH200" s="176">
        <f t="shared" si="65"/>
        <v>4</v>
      </c>
      <c r="AI200" s="225">
        <f t="shared" si="66"/>
        <v>-1.2051882848882141</v>
      </c>
      <c r="AJ200" s="265" t="b">
        <f t="shared" si="67"/>
        <v>0</v>
      </c>
      <c r="AK200" s="265" t="b">
        <f t="shared" si="68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2"/>
        <v>43652</v>
      </c>
      <c r="B201" s="617">
        <v>35.701999999999998</v>
      </c>
      <c r="C201" s="390"/>
      <c r="D201" s="393">
        <f t="shared" si="48"/>
        <v>36.05010054661836</v>
      </c>
      <c r="E201" s="385">
        <f t="shared" si="73"/>
        <v>38.62943547593278</v>
      </c>
      <c r="F201" s="385">
        <f t="shared" si="49"/>
        <v>38.62943547593278</v>
      </c>
      <c r="G201" s="110">
        <f t="shared" si="74"/>
        <v>0.91155188146041521</v>
      </c>
      <c r="H201" s="414" t="b">
        <f>Wh_hp&gt;='2018'!Maxi_hp</f>
        <v>1</v>
      </c>
      <c r="I201" s="390">
        <f>IF(H201,Wh_hp,'2018'!Maxi_hp)</f>
        <v>38.62943547593278</v>
      </c>
      <c r="J201" s="85">
        <f>IF(H201,An,'2018'!An_max)</f>
        <v>2019</v>
      </c>
      <c r="K201" s="197">
        <f t="shared" si="50"/>
        <v>43652</v>
      </c>
      <c r="L201" s="147">
        <f>IF(t&lt;Tvie,1-EXP((T0-t)*PertePVj)+'2018'!Pspv,1-EXP((T0-t)*PertePVj)+Pspv)</f>
        <v>9.6560215183926212E-3</v>
      </c>
      <c r="M201" s="850"/>
      <c r="N201" s="850"/>
      <c r="O201" s="48">
        <f>IF(t&lt;Tnet,'2018'!Resal+('2018'!Salim-'2018'!Resal)*(1-EXP(('2018'!Tnet-t)/('2018'!Tau_j))),Resal+(Salim-Resal)*(1-EXP((Tnet-t)/(Tau_j))))*Salcycl</f>
        <v>6.6771230216952498E-2</v>
      </c>
      <c r="P201" s="169">
        <f>(INDEX(Models!$BJ201:$BT201,,T201)*(1-R201)+INDEX(Models!$BJ201:$BT201,,T201+1)*R201-ERP_i)*Q201*Ramure*Pc/MaxiM</f>
        <v>0</v>
      </c>
      <c r="Q201" s="305">
        <f t="shared" si="51"/>
        <v>0.7</v>
      </c>
      <c r="R201" s="177">
        <f t="shared" si="52"/>
        <v>0.79796796638685441</v>
      </c>
      <c r="S201" s="817">
        <f t="shared" si="53"/>
        <v>-2</v>
      </c>
      <c r="T201" s="176">
        <f t="shared" si="54"/>
        <v>4</v>
      </c>
      <c r="U201" s="251">
        <f t="shared" si="55"/>
        <v>-1.2020320336131456</v>
      </c>
      <c r="V201" s="383">
        <f t="shared" si="56"/>
        <v>39.166174439573446</v>
      </c>
      <c r="W201" s="58"/>
      <c r="X201" s="157">
        <f t="shared" si="57"/>
        <v>43652</v>
      </c>
      <c r="Y201" s="385">
        <f t="shared" si="58"/>
        <v>35.701999999999998</v>
      </c>
      <c r="Z201" s="385">
        <f t="shared" si="59"/>
        <v>36.05010054661836</v>
      </c>
      <c r="AA201" s="386">
        <f t="shared" si="60"/>
        <v>38.62943547593278</v>
      </c>
      <c r="AB201" s="197">
        <f t="shared" si="61"/>
        <v>43652</v>
      </c>
      <c r="AC201" s="427">
        <f>IF(OR(t&lt;Tnet,NoTnet),'2018'!Resal_s+('2018'!Salim-'2018'!Resal_s)*(1-EXP(('2018'!Tnet_s-t)/'2018'!Tau_j)),Resal_s+(Salim-Resal_s)*(1-EXP((Tnet_s-t)/Tau_j)))*Salcycl</f>
        <v>6.6771230216952498E-2</v>
      </c>
      <c r="AD201" s="231">
        <f>(INDEX(Models!$BJ201:$BT201,,AH201)*(1-AF201)+INDEX(Models!$BJ201:$BT201,,AH201+1)*AF201-ERP_i)*AE201*Ramure*Pc/MaxiM</f>
        <v>0</v>
      </c>
      <c r="AE201" s="305">
        <f t="shared" si="62"/>
        <v>0.7</v>
      </c>
      <c r="AF201" s="177">
        <f t="shared" si="63"/>
        <v>0.79796796638685441</v>
      </c>
      <c r="AG201" s="176">
        <f t="shared" si="64"/>
        <v>-2</v>
      </c>
      <c r="AH201" s="176">
        <f t="shared" si="65"/>
        <v>4</v>
      </c>
      <c r="AI201" s="225">
        <f t="shared" si="66"/>
        <v>-1.2020320336131456</v>
      </c>
      <c r="AJ201" s="265" t="b">
        <f t="shared" si="67"/>
        <v>0</v>
      </c>
      <c r="AK201" s="265" t="b">
        <f t="shared" si="68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43653</v>
      </c>
      <c r="B202" s="617">
        <v>33.372</v>
      </c>
      <c r="C202" s="390"/>
      <c r="D202" s="393">
        <f t="shared" si="48"/>
        <v>33.698120727329112</v>
      </c>
      <c r="E202" s="385">
        <f t="shared" si="73"/>
        <v>36.113853462034207</v>
      </c>
      <c r="F202" s="385">
        <f t="shared" si="49"/>
        <v>36.113853462034207</v>
      </c>
      <c r="G202" s="110">
        <f t="shared" si="74"/>
        <v>0.85334788031360187</v>
      </c>
      <c r="H202" s="414" t="b">
        <f>Wh_hp&gt;='2018'!Maxi_hp</f>
        <v>0</v>
      </c>
      <c r="I202" s="390">
        <f>IF(H202,Wh_hp,'2018'!Maxi_hp)</f>
        <v>39.031144025328409</v>
      </c>
      <c r="J202" s="85">
        <f>IF(H202,An,'2018'!An_max)</f>
        <v>2018</v>
      </c>
      <c r="K202" s="197">
        <f t="shared" si="50"/>
        <v>43653</v>
      </c>
      <c r="L202" s="147">
        <f>IF(t&lt;Tvie,1-EXP((T0-t)*PertePVj)+'2018'!Pspv,1-EXP((T0-t)*PertePVj)+Pspv)</f>
        <v>9.677712593172183E-3</v>
      </c>
      <c r="M202" s="850"/>
      <c r="N202" s="850"/>
      <c r="O202" s="48">
        <f>IF(t&lt;Tnet,'2018'!Resal+('2018'!Salim-'2018'!Resal)*(1-EXP(('2018'!Tnet-t)/('2018'!Tau_j))),Resal+(Salim-Resal)*(1-EXP((Tnet-t)/(Tau_j))))*Salcycl</f>
        <v>6.6892134267662925E-2</v>
      </c>
      <c r="P202" s="169">
        <f>(INDEX(Models!$BJ202:$BT202,,T202)*(1-R202)+INDEX(Models!$BJ202:$BT202,,T202+1)*R202-ERP_i)*Q202*Ramure*Pc/MaxiM</f>
        <v>0</v>
      </c>
      <c r="Q202" s="305">
        <f t="shared" si="51"/>
        <v>0.7</v>
      </c>
      <c r="R202" s="177">
        <f t="shared" si="52"/>
        <v>0.80106147795257487</v>
      </c>
      <c r="S202" s="817">
        <f t="shared" si="53"/>
        <v>-2</v>
      </c>
      <c r="T202" s="176">
        <f t="shared" si="54"/>
        <v>4</v>
      </c>
      <c r="U202" s="251">
        <f t="shared" si="55"/>
        <v>-1.1989385220474251</v>
      </c>
      <c r="V202" s="383">
        <f t="shared" si="56"/>
        <v>39.107145831001453</v>
      </c>
      <c r="W202" s="58"/>
      <c r="X202" s="157">
        <f t="shared" si="57"/>
        <v>43653</v>
      </c>
      <c r="Y202" s="385">
        <f t="shared" si="58"/>
        <v>33.372</v>
      </c>
      <c r="Z202" s="385">
        <f t="shared" si="59"/>
        <v>33.698120727329112</v>
      </c>
      <c r="AA202" s="386">
        <f t="shared" si="60"/>
        <v>36.113853462034207</v>
      </c>
      <c r="AB202" s="197">
        <f t="shared" si="61"/>
        <v>43653</v>
      </c>
      <c r="AC202" s="427">
        <f>IF(OR(t&lt;Tnet,NoTnet),'2018'!Resal_s+('2018'!Salim-'2018'!Resal_s)*(1-EXP(('2018'!Tnet_s-t)/'2018'!Tau_j)),Resal_s+(Salim-Resal_s)*(1-EXP((Tnet_s-t)/Tau_j)))*Salcycl</f>
        <v>6.6892134267662925E-2</v>
      </c>
      <c r="AD202" s="231">
        <f>(INDEX(Models!$BJ202:$BT202,,AH202)*(1-AF202)+INDEX(Models!$BJ202:$BT202,,AH202+1)*AF202-ERP_i)*AE202*Ramure*Pc/MaxiM</f>
        <v>0</v>
      </c>
      <c r="AE202" s="305">
        <f t="shared" si="62"/>
        <v>0.7</v>
      </c>
      <c r="AF202" s="177">
        <f t="shared" si="63"/>
        <v>0.80106147795257487</v>
      </c>
      <c r="AG202" s="176">
        <f t="shared" si="64"/>
        <v>-2</v>
      </c>
      <c r="AH202" s="176">
        <f t="shared" si="65"/>
        <v>4</v>
      </c>
      <c r="AI202" s="225">
        <f t="shared" si="66"/>
        <v>-1.1989385220474251</v>
      </c>
      <c r="AJ202" s="265" t="b">
        <f t="shared" si="67"/>
        <v>0</v>
      </c>
      <c r="AK202" s="265" t="b">
        <f t="shared" si="68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43654</v>
      </c>
      <c r="B203" s="617">
        <v>22.117000000000001</v>
      </c>
      <c r="C203" s="390"/>
      <c r="D203" s="393">
        <f t="shared" si="48"/>
        <v>22.333622812414905</v>
      </c>
      <c r="E203" s="385">
        <f t="shared" si="73"/>
        <v>23.937740262208159</v>
      </c>
      <c r="F203" s="385">
        <f t="shared" si="49"/>
        <v>23.937740262208159</v>
      </c>
      <c r="G203" s="110">
        <f t="shared" si="74"/>
        <v>0.56644787264114127</v>
      </c>
      <c r="H203" s="414" t="b">
        <f>Wh_hp&gt;='2018'!Maxi_hp</f>
        <v>0</v>
      </c>
      <c r="I203" s="390">
        <f>IF(H203,Wh_hp,'2018'!Maxi_hp)</f>
        <v>38.748306755631894</v>
      </c>
      <c r="J203" s="85">
        <f>IF(H203,An,'2018'!An_max)</f>
        <v>2018</v>
      </c>
      <c r="K203" s="197">
        <f t="shared" si="50"/>
        <v>43654</v>
      </c>
      <c r="L203" s="147">
        <f>IF(t&lt;Tvie,1-EXP((T0-t)*PertePVj)+'2018'!Pspv,1-EXP((T0-t)*PertePVj)+Pspv)</f>
        <v>9.6994031928615554E-3</v>
      </c>
      <c r="M203" s="850"/>
      <c r="N203" s="850"/>
      <c r="O203" s="48">
        <f>IF(t&lt;Tnet,'2018'!Resal+('2018'!Salim-'2018'!Resal)*(1-EXP(('2018'!Tnet-t)/('2018'!Tau_j))),Resal+(Salim-Resal)*(1-EXP((Tnet-t)/(Tau_j))))*Salcycl</f>
        <v>6.7012066812578944E-2</v>
      </c>
      <c r="P203" s="169">
        <f>(INDEX(Models!$BJ203:$BT203,,T203)*(1-R203)+INDEX(Models!$BJ203:$BT203,,T203+1)*R203-ERP_i)*Q203*Ramure*Pc/MaxiM</f>
        <v>0</v>
      </c>
      <c r="Q203" s="305">
        <f t="shared" si="51"/>
        <v>0.7</v>
      </c>
      <c r="R203" s="177">
        <f t="shared" si="52"/>
        <v>0.8040915682079639</v>
      </c>
      <c r="S203" s="817">
        <f t="shared" si="53"/>
        <v>-2</v>
      </c>
      <c r="T203" s="176">
        <f t="shared" si="54"/>
        <v>4</v>
      </c>
      <c r="U203" s="251">
        <f t="shared" si="55"/>
        <v>-1.1959084317920361</v>
      </c>
      <c r="V203" s="383">
        <f t="shared" si="56"/>
        <v>39.04507558105292</v>
      </c>
      <c r="W203" s="58"/>
      <c r="X203" s="157">
        <f t="shared" si="57"/>
        <v>43654</v>
      </c>
      <c r="Y203" s="385">
        <f t="shared" si="58"/>
        <v>22.117000000000001</v>
      </c>
      <c r="Z203" s="385">
        <f t="shared" si="59"/>
        <v>22.333622812414905</v>
      </c>
      <c r="AA203" s="386">
        <f t="shared" si="60"/>
        <v>23.937740262208159</v>
      </c>
      <c r="AB203" s="197">
        <f t="shared" si="61"/>
        <v>43654</v>
      </c>
      <c r="AC203" s="427">
        <f>IF(OR(t&lt;Tnet,NoTnet),'2018'!Resal_s+('2018'!Salim-'2018'!Resal_s)*(1-EXP(('2018'!Tnet_s-t)/'2018'!Tau_j)),Resal_s+(Salim-Resal_s)*(1-EXP((Tnet_s-t)/Tau_j)))*Salcycl</f>
        <v>6.7012066812578944E-2</v>
      </c>
      <c r="AD203" s="231">
        <f>(INDEX(Models!$BJ203:$BT203,,AH203)*(1-AF203)+INDEX(Models!$BJ203:$BT203,,AH203+1)*AF203-ERP_i)*AE203*Ramure*Pc/MaxiM</f>
        <v>0</v>
      </c>
      <c r="AE203" s="305">
        <f t="shared" si="62"/>
        <v>0.7</v>
      </c>
      <c r="AF203" s="177">
        <f t="shared" si="63"/>
        <v>0.8040915682079639</v>
      </c>
      <c r="AG203" s="176">
        <f t="shared" si="64"/>
        <v>-2</v>
      </c>
      <c r="AH203" s="176">
        <f t="shared" si="65"/>
        <v>4</v>
      </c>
      <c r="AI203" s="225">
        <f t="shared" si="66"/>
        <v>-1.1959084317920361</v>
      </c>
      <c r="AJ203" s="265" t="b">
        <f t="shared" si="67"/>
        <v>0</v>
      </c>
      <c r="AK203" s="265" t="b">
        <f t="shared" si="68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43655</v>
      </c>
      <c r="B204" s="617">
        <v>13.702</v>
      </c>
      <c r="C204" s="390"/>
      <c r="D204" s="393">
        <f t="shared" si="48"/>
        <v>13.836505965680121</v>
      </c>
      <c r="E204" s="385">
        <f t="shared" si="73"/>
        <v>14.832207735401727</v>
      </c>
      <c r="F204" s="385">
        <f t="shared" si="49"/>
        <v>14.832207735401727</v>
      </c>
      <c r="G204" s="110">
        <f t="shared" si="74"/>
        <v>0.35151659880948416</v>
      </c>
      <c r="H204" s="414" t="b">
        <f>Wh_hp&gt;='2018'!Maxi_hp</f>
        <v>0</v>
      </c>
      <c r="I204" s="390">
        <f>IF(H204,Wh_hp,'2018'!Maxi_hp)</f>
        <v>37.785669004666858</v>
      </c>
      <c r="J204" s="85">
        <f>IF(H204,An,'2018'!An_max)</f>
        <v>2018</v>
      </c>
      <c r="K204" s="197">
        <f t="shared" si="50"/>
        <v>43655</v>
      </c>
      <c r="L204" s="147">
        <f>IF(t&lt;Tvie,1-EXP((T0-t)*PertePVj)+'2018'!Pspv,1-EXP((T0-t)*PertePVj)+Pspv)</f>
        <v>9.7210933174710634E-3</v>
      </c>
      <c r="M204" s="850"/>
      <c r="N204" s="850"/>
      <c r="O204" s="48">
        <f>IF(t&lt;Tnet,'2018'!Resal+('2018'!Salim-'2018'!Resal)*(1-EXP(('2018'!Tnet-t)/('2018'!Tau_j))),Resal+(Salim-Resal)*(1-EXP((Tnet-t)/(Tau_j))))*Salcycl</f>
        <v>6.713105611007926E-2</v>
      </c>
      <c r="P204" s="169">
        <f>(INDEX(Models!$BJ204:$BT204,,T204)*(1-R204)+INDEX(Models!$BJ204:$BT204,,T204+1)*R204-ERP_i)*Q204*Ramure*Pc/MaxiM</f>
        <v>0</v>
      </c>
      <c r="Q204" s="305">
        <f t="shared" si="51"/>
        <v>0.7</v>
      </c>
      <c r="R204" s="177">
        <f t="shared" si="52"/>
        <v>0.80705768806853251</v>
      </c>
      <c r="S204" s="817">
        <f t="shared" si="53"/>
        <v>-2</v>
      </c>
      <c r="T204" s="176">
        <f t="shared" si="54"/>
        <v>4</v>
      </c>
      <c r="U204" s="251">
        <f t="shared" si="55"/>
        <v>-1.1929423119314675</v>
      </c>
      <c r="V204" s="383">
        <f t="shared" si="56"/>
        <v>38.979667095112752</v>
      </c>
      <c r="W204" s="58"/>
      <c r="X204" s="157">
        <f t="shared" si="57"/>
        <v>43655</v>
      </c>
      <c r="Y204" s="385">
        <f t="shared" si="58"/>
        <v>13.702</v>
      </c>
      <c r="Z204" s="385">
        <f t="shared" si="59"/>
        <v>13.836505965680121</v>
      </c>
      <c r="AA204" s="386">
        <f t="shared" si="60"/>
        <v>14.832207735401727</v>
      </c>
      <c r="AB204" s="197">
        <f t="shared" si="61"/>
        <v>43655</v>
      </c>
      <c r="AC204" s="427">
        <f>IF(OR(t&lt;Tnet,NoTnet),'2018'!Resal_s+('2018'!Salim-'2018'!Resal_s)*(1-EXP(('2018'!Tnet_s-t)/'2018'!Tau_j)),Resal_s+(Salim-Resal_s)*(1-EXP((Tnet_s-t)/Tau_j)))*Salcycl</f>
        <v>6.713105611007926E-2</v>
      </c>
      <c r="AD204" s="231">
        <f>(INDEX(Models!$BJ204:$BT204,,AH204)*(1-AF204)+INDEX(Models!$BJ204:$BT204,,AH204+1)*AF204-ERP_i)*AE204*Ramure*Pc/MaxiM</f>
        <v>0</v>
      </c>
      <c r="AE204" s="305">
        <f t="shared" si="62"/>
        <v>0.7</v>
      </c>
      <c r="AF204" s="177">
        <f t="shared" si="63"/>
        <v>0.80705768806853251</v>
      </c>
      <c r="AG204" s="176">
        <f t="shared" si="64"/>
        <v>-2</v>
      </c>
      <c r="AH204" s="176">
        <f t="shared" si="65"/>
        <v>4</v>
      </c>
      <c r="AI204" s="225">
        <f t="shared" si="66"/>
        <v>-1.1929423119314675</v>
      </c>
      <c r="AJ204" s="265" t="b">
        <f t="shared" si="67"/>
        <v>0</v>
      </c>
      <c r="AK204" s="265" t="b">
        <f t="shared" si="68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43656</v>
      </c>
      <c r="B205" s="617">
        <v>37.796999999999997</v>
      </c>
      <c r="C205" s="390"/>
      <c r="D205" s="393">
        <f t="shared" si="48"/>
        <v>38.168871026507098</v>
      </c>
      <c r="E205" s="385">
        <f t="shared" si="73"/>
        <v>40.920756350188782</v>
      </c>
      <c r="F205" s="385">
        <f t="shared" si="49"/>
        <v>40.920756350188782</v>
      </c>
      <c r="G205" s="110">
        <f t="shared" si="74"/>
        <v>0.97138283204845777</v>
      </c>
      <c r="H205" s="414" t="b">
        <f>Wh_hp&gt;='2018'!Maxi_hp</f>
        <v>1</v>
      </c>
      <c r="I205" s="390">
        <f>IF(H205,Wh_hp,'2018'!Maxi_hp)</f>
        <v>40.920756350188782</v>
      </c>
      <c r="J205" s="85">
        <f>IF(H205,An,'2018'!An_max)</f>
        <v>2019</v>
      </c>
      <c r="K205" s="197">
        <f t="shared" si="50"/>
        <v>43656</v>
      </c>
      <c r="L205" s="147">
        <f>IF(t&lt;Tvie,1-EXP((T0-t)*PertePVj)+'2018'!Pspv,1-EXP((T0-t)*PertePVj)+Pspv)</f>
        <v>9.7427829670112542E-3</v>
      </c>
      <c r="M205" s="850"/>
      <c r="N205" s="850"/>
      <c r="O205" s="48">
        <f>IF(t&lt;Tnet,'2018'!Resal+('2018'!Salim-'2018'!Resal)*(1-EXP(('2018'!Tnet-t)/('2018'!Tau_j))),Resal+(Salim-Resal)*(1-EXP((Tnet-t)/(Tau_j))))*Salcycl</f>
        <v>6.7249131470879908E-2</v>
      </c>
      <c r="P205" s="169">
        <f>(INDEX(Models!$BJ205:$BT205,,T205)*(1-R205)+INDEX(Models!$BJ205:$BT205,,T205+1)*R205-ERP_i)*Q205*Ramure*Pc/MaxiM</f>
        <v>0</v>
      </c>
      <c r="Q205" s="305">
        <f t="shared" si="51"/>
        <v>0.7</v>
      </c>
      <c r="R205" s="177">
        <f t="shared" si="52"/>
        <v>0.80995941708969843</v>
      </c>
      <c r="S205" s="817">
        <f t="shared" si="53"/>
        <v>-2</v>
      </c>
      <c r="T205" s="176">
        <f t="shared" si="54"/>
        <v>4</v>
      </c>
      <c r="U205" s="251">
        <f t="shared" si="55"/>
        <v>-1.1900405829103016</v>
      </c>
      <c r="V205" s="383">
        <f t="shared" si="56"/>
        <v>38.910508558498471</v>
      </c>
      <c r="W205" s="58"/>
      <c r="X205" s="157">
        <f t="shared" si="57"/>
        <v>43656</v>
      </c>
      <c r="Y205" s="385">
        <f t="shared" si="58"/>
        <v>37.796999999999997</v>
      </c>
      <c r="Z205" s="385">
        <f t="shared" si="59"/>
        <v>38.168871026507098</v>
      </c>
      <c r="AA205" s="386">
        <f t="shared" si="60"/>
        <v>40.920756350188782</v>
      </c>
      <c r="AB205" s="197">
        <f t="shared" si="61"/>
        <v>43656</v>
      </c>
      <c r="AC205" s="427">
        <f>IF(OR(t&lt;Tnet,NoTnet),'2018'!Resal_s+('2018'!Salim-'2018'!Resal_s)*(1-EXP(('2018'!Tnet_s-t)/'2018'!Tau_j)),Resal_s+(Salim-Resal_s)*(1-EXP((Tnet_s-t)/Tau_j)))*Salcycl</f>
        <v>6.7249131470879908E-2</v>
      </c>
      <c r="AD205" s="231">
        <f>(INDEX(Models!$BJ205:$BT205,,AH205)*(1-AF205)+INDEX(Models!$BJ205:$BT205,,AH205+1)*AF205-ERP_i)*AE205*Ramure*Pc/MaxiM</f>
        <v>0</v>
      </c>
      <c r="AE205" s="305">
        <f t="shared" si="62"/>
        <v>0.7</v>
      </c>
      <c r="AF205" s="177">
        <f t="shared" si="63"/>
        <v>0.80995941708969843</v>
      </c>
      <c r="AG205" s="176">
        <f t="shared" si="64"/>
        <v>-2</v>
      </c>
      <c r="AH205" s="176">
        <f t="shared" si="65"/>
        <v>4</v>
      </c>
      <c r="AI205" s="225">
        <f t="shared" si="66"/>
        <v>-1.1900405829103016</v>
      </c>
      <c r="AJ205" s="265" t="b">
        <f t="shared" si="67"/>
        <v>0</v>
      </c>
      <c r="AK205" s="265" t="b">
        <f t="shared" si="68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43657</v>
      </c>
      <c r="B206" s="617">
        <v>38.716000000000001</v>
      </c>
      <c r="C206" s="390"/>
      <c r="D206" s="393">
        <f t="shared" si="48"/>
        <v>39.097769076946349</v>
      </c>
      <c r="E206" s="385">
        <f t="shared" si="73"/>
        <v>41.921892854152688</v>
      </c>
      <c r="F206" s="385">
        <f t="shared" si="49"/>
        <v>41.921892854152688</v>
      </c>
      <c r="G206" s="110">
        <f t="shared" si="74"/>
        <v>0.99686773925499395</v>
      </c>
      <c r="H206" s="414" t="b">
        <f>Wh_hp&gt;='2018'!Maxi_hp</f>
        <v>1</v>
      </c>
      <c r="I206" s="390">
        <f>IF(H206,Wh_hp,'2018'!Maxi_hp)</f>
        <v>41.921892854152688</v>
      </c>
      <c r="J206" s="85">
        <f>IF(H206,An,'2018'!An_max)</f>
        <v>2019</v>
      </c>
      <c r="K206" s="197">
        <f t="shared" si="50"/>
        <v>43657</v>
      </c>
      <c r="L206" s="147">
        <f>IF(t&lt;Tvie,1-EXP((T0-t)*PertePVj)+'2018'!Pspv,1-EXP((T0-t)*PertePVj)+Pspv)</f>
        <v>9.7644721414924529E-3</v>
      </c>
      <c r="M206" s="850"/>
      <c r="N206" s="850"/>
      <c r="O206" s="48">
        <f>IF(t&lt;Tnet,'2018'!Resal+('2018'!Salim-'2018'!Resal)*(1-EXP(('2018'!Tnet-t)/('2018'!Tau_j))),Resal+(Salim-Resal)*(1-EXP((Tnet-t)/(Tau_j))))*Salcycl</f>
        <v>6.7366323057776428E-2</v>
      </c>
      <c r="P206" s="169">
        <f>(INDEX(Models!$BJ206:$BT206,,T206)*(1-R206)+INDEX(Models!$BJ206:$BT206,,T206+1)*R206-ERP_i)*Q206*Ramure*Pc/MaxiM</f>
        <v>0</v>
      </c>
      <c r="Q206" s="305">
        <f t="shared" si="51"/>
        <v>0.7</v>
      </c>
      <c r="R206" s="177">
        <f t="shared" si="52"/>
        <v>0.81279645921668164</v>
      </c>
      <c r="S206" s="817">
        <f t="shared" si="53"/>
        <v>-2</v>
      </c>
      <c r="T206" s="176">
        <f t="shared" si="54"/>
        <v>4</v>
      </c>
      <c r="U206" s="251">
        <f t="shared" si="55"/>
        <v>-1.1872035407833184</v>
      </c>
      <c r="V206" s="383">
        <f t="shared" si="56"/>
        <v>38.837649645412625</v>
      </c>
      <c r="W206" s="58"/>
      <c r="X206" s="157">
        <f t="shared" si="57"/>
        <v>43657</v>
      </c>
      <c r="Y206" s="385">
        <f t="shared" si="58"/>
        <v>38.716000000000001</v>
      </c>
      <c r="Z206" s="385">
        <f t="shared" si="59"/>
        <v>39.097769076946349</v>
      </c>
      <c r="AA206" s="386">
        <f t="shared" si="60"/>
        <v>41.921892854152688</v>
      </c>
      <c r="AB206" s="197">
        <f t="shared" si="61"/>
        <v>43657</v>
      </c>
      <c r="AC206" s="427">
        <f>IF(OR(t&lt;Tnet,NoTnet),'2018'!Resal_s+('2018'!Salim-'2018'!Resal_s)*(1-EXP(('2018'!Tnet_s-t)/'2018'!Tau_j)),Resal_s+(Salim-Resal_s)*(1-EXP((Tnet_s-t)/Tau_j)))*Salcycl</f>
        <v>6.7366323057776428E-2</v>
      </c>
      <c r="AD206" s="231">
        <f>(INDEX(Models!$BJ206:$BT206,,AH206)*(1-AF206)+INDEX(Models!$BJ206:$BT206,,AH206+1)*AF206-ERP_i)*AE206*Ramure*Pc/MaxiM</f>
        <v>0</v>
      </c>
      <c r="AE206" s="305">
        <f t="shared" si="62"/>
        <v>0.7</v>
      </c>
      <c r="AF206" s="177">
        <f t="shared" si="63"/>
        <v>0.81279645921668164</v>
      </c>
      <c r="AG206" s="176">
        <f t="shared" si="64"/>
        <v>-2</v>
      </c>
      <c r="AH206" s="176">
        <f t="shared" si="65"/>
        <v>4</v>
      </c>
      <c r="AI206" s="225">
        <f t="shared" si="66"/>
        <v>-1.1872035407833184</v>
      </c>
      <c r="AJ206" s="265" t="b">
        <f t="shared" si="67"/>
        <v>0</v>
      </c>
      <c r="AK206" s="265" t="b">
        <f t="shared" si="68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43658</v>
      </c>
      <c r="B207" s="617">
        <v>39.241</v>
      </c>
      <c r="C207" s="390"/>
      <c r="D207" s="393">
        <f t="shared" ref="D207:D270" si="75">Wh/(1-Ppv)</f>
        <v>39.628813947222611</v>
      </c>
      <c r="E207" s="385">
        <f t="shared" si="73"/>
        <v>42.496597456132768</v>
      </c>
      <c r="F207" s="385">
        <f t="shared" ref="F207:F270" si="76">Wh_sa/(1-Pvg*MEDIAN((-Sdif+Wh/Env_an)/Csdif,0,1))</f>
        <v>42.496597456132768</v>
      </c>
      <c r="G207" s="110">
        <f t="shared" si="74"/>
        <v>1.0123708911039477</v>
      </c>
      <c r="H207" s="414" t="b">
        <f>Wh_hp&gt;='2018'!Maxi_hp</f>
        <v>1</v>
      </c>
      <c r="I207" s="390">
        <f>IF(H207,Wh_hp,'2018'!Maxi_hp)</f>
        <v>42.496597456132768</v>
      </c>
      <c r="J207" s="85">
        <f>IF(H207,An,'2018'!An_max)</f>
        <v>2019</v>
      </c>
      <c r="K207" s="197">
        <f t="shared" ref="K207:K270" si="77">t</f>
        <v>43658</v>
      </c>
      <c r="L207" s="147">
        <f>IF(t&lt;Tvie,1-EXP((T0-t)*PertePVj)+'2018'!Pspv,1-EXP((T0-t)*PertePVj)+Pspv)</f>
        <v>9.7861608409249845E-3</v>
      </c>
      <c r="M207" s="850"/>
      <c r="N207" s="850"/>
      <c r="O207" s="48">
        <f>IF(t&lt;Tnet,'2018'!Resal+('2018'!Salim-'2018'!Resal)*(1-EXP(('2018'!Tnet-t)/('2018'!Tau_j))),Resal+(Salim-Resal)*(1-EXP((Tnet-t)/(Tau_j))))*Salcycl</f>
        <v>6.7482661685336884E-2</v>
      </c>
      <c r="P207" s="169">
        <f>(INDEX(Models!$BJ207:$BT207,,T207)*(1-R207)+INDEX(Models!$BJ207:$BT207,,T207+1)*R207-ERP_i)*Q207*Ramure*Pc/MaxiM</f>
        <v>0</v>
      </c>
      <c r="Q207" s="305">
        <f t="shared" ref="Q207:Q270" si="78">IF(OR(t&lt;Ttai,Notai),Dd+PousD*Croivg,Dens+PousD*(Croivg-Croi_tai))</f>
        <v>0.7</v>
      </c>
      <c r="R207" s="177">
        <f t="shared" ref="R207:R270" si="79">(Hp_vg-S207)/(INDEX(Echel_vg,T207+1)-S207)</f>
        <v>0.81556863820862802</v>
      </c>
      <c r="S207" s="817">
        <f t="shared" ref="S207:S270" si="80">INDEX(Echel_vg,T207)</f>
        <v>-2</v>
      </c>
      <c r="T207" s="176">
        <f t="shared" ref="T207:T270" si="81">MIN(MATCH(Hp_vg,Echel_vg),10)</f>
        <v>4</v>
      </c>
      <c r="U207" s="251">
        <f t="shared" ref="U207:U270" si="82">IF(OR(t&lt;Ttai,Notai),Hdd+PousH*Croivg,Hdtf+PousH*(Croivg-Croi_tai))</f>
        <v>-1.184431361791372</v>
      </c>
      <c r="V207" s="383">
        <f t="shared" ref="V207:V270" si="83">MaxiM*(1-Ppv)*(1-Pvg)*(1-Psa)</f>
        <v>38.761485879161683</v>
      </c>
      <c r="W207" s="58"/>
      <c r="X207" s="157">
        <f t="shared" ref="X207:X270" si="84">t</f>
        <v>43658</v>
      </c>
      <c r="Y207" s="385">
        <f t="shared" ref="Y207:Y270" si="85">Wh_pvt_s*(1-Ppv)</f>
        <v>39.241</v>
      </c>
      <c r="Z207" s="385">
        <f t="shared" ref="Z207:Z270" si="86">Wh_sa_s*(1-Psa_s)</f>
        <v>39.628813947222611</v>
      </c>
      <c r="AA207" s="386">
        <f t="shared" ref="AA207:AA270" si="87">Wh_hp*(1-Pvg_s*MEDIAN((-Sdif+Wh/Env_an)/Csdif,0,1))</f>
        <v>42.496597456132768</v>
      </c>
      <c r="AB207" s="197">
        <f t="shared" ref="AB207:AB270" si="88">t</f>
        <v>43658</v>
      </c>
      <c r="AC207" s="427">
        <f>IF(OR(t&lt;Tnet,NoTnet),'2018'!Resal_s+('2018'!Salim-'2018'!Resal_s)*(1-EXP(('2018'!Tnet_s-t)/'2018'!Tau_j)),Resal_s+(Salim-Resal_s)*(1-EXP((Tnet_s-t)/Tau_j)))*Salcycl</f>
        <v>6.7482661685336884E-2</v>
      </c>
      <c r="AD207" s="231">
        <f>(INDEX(Models!$BJ207:$BT207,,AH207)*(1-AF207)+INDEX(Models!$BJ207:$BT207,,AH207+1)*AF207-ERP_i)*AE207*Ramure*Pc/MaxiM</f>
        <v>0</v>
      </c>
      <c r="AE207" s="305">
        <f t="shared" ref="AE207:AE270" si="89">IF(OR(t&lt;Ttai,Notai),Dd_s+PousD*Croivg,Dens_s+PousD*(Croivg-Croi_tai))</f>
        <v>0.7</v>
      </c>
      <c r="AF207" s="177">
        <f t="shared" ref="AF207:AF270" si="90">(Hp_vg_s-AG207)/(INDEX(Echel_vg,AH207+1)-AG207)</f>
        <v>0.81556863820862802</v>
      </c>
      <c r="AG207" s="176">
        <f t="shared" ref="AG207:AG270" si="91">INDEX(Echel_vg,AH207)</f>
        <v>-2</v>
      </c>
      <c r="AH207" s="176">
        <f t="shared" ref="AH207:AH270" si="92">MIN(MATCH(Hp_vg_s,Echel_vg),10)</f>
        <v>4</v>
      </c>
      <c r="AI207" s="225">
        <f t="shared" ref="AI207:AI270" si="93">IF(OR(t&lt;Ttai,Notai),Hdd_s+PousH*Croivg,Hdtai_s+PousH*(Croivg-Croi_tai))</f>
        <v>-1.184431361791372</v>
      </c>
      <c r="AJ207" s="265" t="b">
        <f t="shared" ref="AJ207:AJ270" si="94">t&lt;Tnet</f>
        <v>0</v>
      </c>
      <c r="AK207" s="265" t="b">
        <f t="shared" ref="AK207:AK270" si="95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7">
        <v>33.857999999999997</v>
      </c>
      <c r="C208" s="390"/>
      <c r="D208" s="393">
        <f t="shared" si="75"/>
        <v>34.193363346740455</v>
      </c>
      <c r="E208" s="385">
        <f t="shared" si="73"/>
        <v>36.67234722490155</v>
      </c>
      <c r="F208" s="385">
        <f t="shared" si="76"/>
        <v>36.67234722490155</v>
      </c>
      <c r="G208" s="110">
        <f t="shared" si="74"/>
        <v>0.87528149855672777</v>
      </c>
      <c r="H208" s="414" t="b">
        <f>Wh_hp&gt;='2018'!Maxi_hp</f>
        <v>0</v>
      </c>
      <c r="I208" s="390">
        <f>IF(H208,Wh_hp,'2018'!Maxi_hp)</f>
        <v>37.46044469353064</v>
      </c>
      <c r="J208" s="85">
        <f>IF(H208,An,'2018'!An_max)</f>
        <v>2018</v>
      </c>
      <c r="K208" s="197">
        <f t="shared" si="77"/>
        <v>43659</v>
      </c>
      <c r="L208" s="147">
        <f>IF(t&lt;Tvie,1-EXP((T0-t)*PertePVj)+'2018'!Pspv,1-EXP((T0-t)*PertePVj)+Pspv)</f>
        <v>9.8078490653193962E-3</v>
      </c>
      <c r="M208" s="850"/>
      <c r="N208" s="850"/>
      <c r="O208" s="48">
        <f>IF(t&lt;Tnet,'2018'!Resal+('2018'!Salim-'2018'!Resal)*(1-EXP(('2018'!Tnet-t)/('2018'!Tau_j))),Resal+(Salim-Resal)*(1-EXP((Tnet-t)/(Tau_j))))*Salcycl</f>
        <v>6.7598178621023727E-2</v>
      </c>
      <c r="P208" s="169">
        <f>(INDEX(Models!$BJ208:$BT208,,T208)*(1-R208)+INDEX(Models!$BJ208:$BT208,,T208+1)*R208-ERP_i)*Q208*Ramure*Pc/MaxiM</f>
        <v>0</v>
      </c>
      <c r="Q208" s="305">
        <f t="shared" si="78"/>
        <v>0.7</v>
      </c>
      <c r="R208" s="177">
        <f t="shared" si="79"/>
        <v>0.81827589278413226</v>
      </c>
      <c r="S208" s="817">
        <f t="shared" si="80"/>
        <v>-2</v>
      </c>
      <c r="T208" s="176">
        <f t="shared" si="81"/>
        <v>4</v>
      </c>
      <c r="U208" s="251">
        <f t="shared" si="82"/>
        <v>-1.1817241072158677</v>
      </c>
      <c r="V208" s="383">
        <f t="shared" si="83"/>
        <v>38.682412521947796</v>
      </c>
      <c r="W208" s="58"/>
      <c r="X208" s="157">
        <f t="shared" si="84"/>
        <v>43659</v>
      </c>
      <c r="Y208" s="385">
        <f t="shared" si="85"/>
        <v>33.857999999999997</v>
      </c>
      <c r="Z208" s="385">
        <f t="shared" si="86"/>
        <v>34.193363346740455</v>
      </c>
      <c r="AA208" s="386">
        <f t="shared" si="87"/>
        <v>36.67234722490155</v>
      </c>
      <c r="AB208" s="197">
        <f t="shared" si="88"/>
        <v>43659</v>
      </c>
      <c r="AC208" s="427">
        <f>IF(OR(t&lt;Tnet,NoTnet),'2018'!Resal_s+('2018'!Salim-'2018'!Resal_s)*(1-EXP(('2018'!Tnet_s-t)/'2018'!Tau_j)),Resal_s+(Salim-Resal_s)*(1-EXP((Tnet_s-t)/Tau_j)))*Salcycl</f>
        <v>6.7598178621023727E-2</v>
      </c>
      <c r="AD208" s="231">
        <f>(INDEX(Models!$BJ208:$BT208,,AH208)*(1-AF208)+INDEX(Models!$BJ208:$BT208,,AH208+1)*AF208-ERP_i)*AE208*Ramure*Pc/MaxiM</f>
        <v>0</v>
      </c>
      <c r="AE208" s="305">
        <f t="shared" si="89"/>
        <v>0.7</v>
      </c>
      <c r="AF208" s="177">
        <f t="shared" si="90"/>
        <v>0.81827589278413226</v>
      </c>
      <c r="AG208" s="176">
        <f t="shared" si="91"/>
        <v>-2</v>
      </c>
      <c r="AH208" s="176">
        <f t="shared" si="92"/>
        <v>4</v>
      </c>
      <c r="AI208" s="225">
        <f t="shared" si="93"/>
        <v>-1.1817241072158677</v>
      </c>
      <c r="AJ208" s="265" t="b">
        <f t="shared" si="94"/>
        <v>0</v>
      </c>
      <c r="AK208" s="265" t="b">
        <f t="shared" si="95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6"/>
        <v>43660</v>
      </c>
      <c r="B209" s="617">
        <v>38.807000000000002</v>
      </c>
      <c r="C209" s="390"/>
      <c r="D209" s="393">
        <f t="shared" si="75"/>
        <v>39.19224158147518</v>
      </c>
      <c r="E209" s="385">
        <f t="shared" si="73"/>
        <v>42.038811657943469</v>
      </c>
      <c r="F209" s="385">
        <f t="shared" si="76"/>
        <v>42.038811657943469</v>
      </c>
      <c r="G209" s="110">
        <f t="shared" si="74"/>
        <v>1.0053412178361019</v>
      </c>
      <c r="H209" s="414" t="b">
        <f>Wh_hp&gt;='2018'!Maxi_hp</f>
        <v>1</v>
      </c>
      <c r="I209" s="390">
        <f>IF(H209,Wh_hp,'2018'!Maxi_hp)</f>
        <v>42.038811657943469</v>
      </c>
      <c r="J209" s="85">
        <f>IF(H209,An,'2018'!An_max)</f>
        <v>2019</v>
      </c>
      <c r="K209" s="197">
        <f t="shared" si="77"/>
        <v>43660</v>
      </c>
      <c r="L209" s="147">
        <f>IF(t&lt;Tvie,1-EXP((T0-t)*PertePVj)+'2018'!Pspv,1-EXP((T0-t)*PertePVj)+Pspv)</f>
        <v>9.8295368146860129E-3</v>
      </c>
      <c r="M209" s="850"/>
      <c r="N209" s="850"/>
      <c r="O209" s="48">
        <f>IF(t&lt;Tnet,'2018'!Resal+('2018'!Salim-'2018'!Resal)*(1-EXP(('2018'!Tnet-t)/('2018'!Tau_j))),Resal+(Salim-Resal)*(1-EXP((Tnet-t)/(Tau_j))))*Salcycl</f>
        <v>6.7712905389189684E-2</v>
      </c>
      <c r="P209" s="169">
        <f>(INDEX(Models!$BJ209:$BT209,,T209)*(1-R209)+INDEX(Models!$BJ209:$BT209,,T209+1)*R209-ERP_i)*Q209*Ramure*Pc/MaxiM</f>
        <v>0</v>
      </c>
      <c r="Q209" s="305">
        <f t="shared" si="78"/>
        <v>0.7</v>
      </c>
      <c r="R209" s="177">
        <f t="shared" si="79"/>
        <v>0.82091827153432551</v>
      </c>
      <c r="S209" s="817">
        <f t="shared" si="80"/>
        <v>-2</v>
      </c>
      <c r="T209" s="176">
        <f t="shared" si="81"/>
        <v>4</v>
      </c>
      <c r="U209" s="251">
        <f t="shared" si="82"/>
        <v>-1.1790817284656745</v>
      </c>
      <c r="V209" s="383">
        <f t="shared" si="83"/>
        <v>38.600824587226462</v>
      </c>
      <c r="W209" s="58"/>
      <c r="X209" s="157">
        <f t="shared" si="84"/>
        <v>43660</v>
      </c>
      <c r="Y209" s="385">
        <f t="shared" si="85"/>
        <v>38.807000000000002</v>
      </c>
      <c r="Z209" s="385">
        <f t="shared" si="86"/>
        <v>39.19224158147518</v>
      </c>
      <c r="AA209" s="386">
        <f t="shared" si="87"/>
        <v>42.038811657943469</v>
      </c>
      <c r="AB209" s="197">
        <f t="shared" si="88"/>
        <v>43660</v>
      </c>
      <c r="AC209" s="427">
        <f>IF(OR(t&lt;Tnet,NoTnet),'2018'!Resal_s+('2018'!Salim-'2018'!Resal_s)*(1-EXP(('2018'!Tnet_s-t)/'2018'!Tau_j)),Resal_s+(Salim-Resal_s)*(1-EXP((Tnet_s-t)/Tau_j)))*Salcycl</f>
        <v>6.7712905389189684E-2</v>
      </c>
      <c r="AD209" s="231">
        <f>(INDEX(Models!$BJ209:$BT209,,AH209)*(1-AF209)+INDEX(Models!$BJ209:$BT209,,AH209+1)*AF209-ERP_i)*AE209*Ramure*Pc/MaxiM</f>
        <v>0</v>
      </c>
      <c r="AE209" s="305">
        <f t="shared" si="89"/>
        <v>0.7</v>
      </c>
      <c r="AF209" s="177">
        <f t="shared" si="90"/>
        <v>0.82091827153432551</v>
      </c>
      <c r="AG209" s="176">
        <f t="shared" si="91"/>
        <v>-2</v>
      </c>
      <c r="AH209" s="176">
        <f t="shared" si="92"/>
        <v>4</v>
      </c>
      <c r="AI209" s="225">
        <f t="shared" si="93"/>
        <v>-1.1790817284656745</v>
      </c>
      <c r="AJ209" s="265" t="b">
        <f t="shared" si="94"/>
        <v>0</v>
      </c>
      <c r="AK209" s="265" t="b">
        <f t="shared" si="95"/>
        <v>0</v>
      </c>
      <c r="AL209" s="265"/>
      <c r="AM209" s="265"/>
      <c r="AN209" s="75"/>
    </row>
    <row r="210" spans="1:40" s="6" customFormat="1" ht="11.25" x14ac:dyDescent="0.2">
      <c r="A210" s="56">
        <f t="shared" si="96"/>
        <v>43661</v>
      </c>
      <c r="B210" s="617">
        <v>39.722999999999999</v>
      </c>
      <c r="C210" s="390"/>
      <c r="D210" s="393">
        <f t="shared" si="75"/>
        <v>40.118213511352089</v>
      </c>
      <c r="E210" s="385">
        <f t="shared" si="73"/>
        <v>43.03729894617058</v>
      </c>
      <c r="F210" s="385">
        <f t="shared" si="76"/>
        <v>43.03729894617058</v>
      </c>
      <c r="G210" s="110">
        <f t="shared" si="74"/>
        <v>1.0313077209106516</v>
      </c>
      <c r="H210" s="414" t="b">
        <f>Wh_hp&gt;='2018'!Maxi_hp</f>
        <v>1</v>
      </c>
      <c r="I210" s="390">
        <f>IF(H210,Wh_hp,'2018'!Maxi_hp)</f>
        <v>43.03729894617058</v>
      </c>
      <c r="J210" s="85">
        <f>IF(H210,An,'2018'!An_max)</f>
        <v>2019</v>
      </c>
      <c r="K210" s="197">
        <f t="shared" si="77"/>
        <v>43661</v>
      </c>
      <c r="L210" s="147">
        <f>IF(t&lt;Tvie,1-EXP((T0-t)*PertePVj)+'2018'!Pspv,1-EXP((T0-t)*PertePVj)+Pspv)</f>
        <v>9.8512240890352709E-3</v>
      </c>
      <c r="M210" s="850"/>
      <c r="N210" s="850"/>
      <c r="O210" s="48">
        <f>IF(t&lt;Tnet,'2018'!Resal+('2018'!Salim-'2018'!Resal)*(1-EXP(('2018'!Tnet-t)/('2018'!Tau_j))),Resal+(Salim-Resal)*(1-EXP((Tnet-t)/(Tau_j))))*Salcycl</f>
        <v>6.7826873579347371E-2</v>
      </c>
      <c r="P210" s="169">
        <f>(INDEX(Models!$BJ210:$BT210,,T210)*(1-R210)+INDEX(Models!$BJ210:$BT210,,T210+1)*R210-ERP_i)*Q210*Ramure*Pc/MaxiM</f>
        <v>0</v>
      </c>
      <c r="Q210" s="305">
        <f t="shared" si="78"/>
        <v>0.7</v>
      </c>
      <c r="R210" s="177">
        <f t="shared" si="79"/>
        <v>0.82349592764829382</v>
      </c>
      <c r="S210" s="817">
        <f t="shared" si="80"/>
        <v>-2</v>
      </c>
      <c r="T210" s="176">
        <f t="shared" si="81"/>
        <v>4</v>
      </c>
      <c r="U210" s="251">
        <f t="shared" si="82"/>
        <v>-1.1765040723517062</v>
      </c>
      <c r="V210" s="383">
        <f t="shared" si="83"/>
        <v>38.517116855214006</v>
      </c>
      <c r="W210" s="58"/>
      <c r="X210" s="157">
        <f t="shared" si="84"/>
        <v>43661</v>
      </c>
      <c r="Y210" s="385">
        <f t="shared" si="85"/>
        <v>39.722999999999999</v>
      </c>
      <c r="Z210" s="385">
        <f t="shared" si="86"/>
        <v>40.118213511352089</v>
      </c>
      <c r="AA210" s="386">
        <f t="shared" si="87"/>
        <v>43.03729894617058</v>
      </c>
      <c r="AB210" s="197">
        <f t="shared" si="88"/>
        <v>43661</v>
      </c>
      <c r="AC210" s="427">
        <f>IF(OR(t&lt;Tnet,NoTnet),'2018'!Resal_s+('2018'!Salim-'2018'!Resal_s)*(1-EXP(('2018'!Tnet_s-t)/'2018'!Tau_j)),Resal_s+(Salim-Resal_s)*(1-EXP((Tnet_s-t)/Tau_j)))*Salcycl</f>
        <v>6.7826873579347371E-2</v>
      </c>
      <c r="AD210" s="231">
        <f>(INDEX(Models!$BJ210:$BT210,,AH210)*(1-AF210)+INDEX(Models!$BJ210:$BT210,,AH210+1)*AF210-ERP_i)*AE210*Ramure*Pc/MaxiM</f>
        <v>0</v>
      </c>
      <c r="AE210" s="305">
        <f t="shared" si="89"/>
        <v>0.7</v>
      </c>
      <c r="AF210" s="177">
        <f t="shared" si="90"/>
        <v>0.82349592764829382</v>
      </c>
      <c r="AG210" s="176">
        <f t="shared" si="91"/>
        <v>-2</v>
      </c>
      <c r="AH210" s="176">
        <f t="shared" si="92"/>
        <v>4</v>
      </c>
      <c r="AI210" s="225">
        <f t="shared" si="93"/>
        <v>-1.1765040723517062</v>
      </c>
      <c r="AJ210" s="265" t="b">
        <f t="shared" si="94"/>
        <v>0</v>
      </c>
      <c r="AK210" s="265" t="b">
        <f t="shared" si="95"/>
        <v>0</v>
      </c>
      <c r="AL210" s="265"/>
      <c r="AM210" s="265"/>
      <c r="AN210" s="75"/>
    </row>
    <row r="211" spans="1:40" s="6" customFormat="1" ht="11.25" x14ac:dyDescent="0.2">
      <c r="A211" s="56">
        <f t="shared" si="96"/>
        <v>43662</v>
      </c>
      <c r="B211" s="617">
        <v>38.561999999999998</v>
      </c>
      <c r="C211" s="390"/>
      <c r="D211" s="393">
        <f t="shared" si="75"/>
        <v>38.946515476714417</v>
      </c>
      <c r="E211" s="385">
        <f t="shared" si="73"/>
        <v>41.785421826741953</v>
      </c>
      <c r="F211" s="385">
        <f t="shared" si="76"/>
        <v>41.785421826741953</v>
      </c>
      <c r="G211" s="110">
        <f t="shared" si="74"/>
        <v>1.0033908511612617</v>
      </c>
      <c r="H211" s="414" t="b">
        <f>Wh_hp&gt;='2018'!Maxi_hp</f>
        <v>1</v>
      </c>
      <c r="I211" s="390">
        <f>IF(H211,Wh_hp,'2018'!Maxi_hp)</f>
        <v>41.785421826741953</v>
      </c>
      <c r="J211" s="85">
        <f>IF(H211,An,'2018'!An_max)</f>
        <v>2019</v>
      </c>
      <c r="K211" s="197">
        <f t="shared" si="77"/>
        <v>43662</v>
      </c>
      <c r="L211" s="147">
        <f>IF(t&lt;Tvie,1-EXP((T0-t)*PertePVj)+'2018'!Pspv,1-EXP((T0-t)*PertePVj)+Pspv)</f>
        <v>9.8729108883776062E-3</v>
      </c>
      <c r="M211" s="850"/>
      <c r="N211" s="850"/>
      <c r="O211" s="48">
        <f>IF(t&lt;Tnet,'2018'!Resal+('2018'!Salim-'2018'!Resal)*(1-EXP(('2018'!Tnet-t)/('2018'!Tau_j))),Resal+(Salim-Resal)*(1-EXP((Tnet-t)/(Tau_j))))*Salcycl</f>
        <v>6.7940114660053119E-2</v>
      </c>
      <c r="P211" s="169">
        <f>(INDEX(Models!$BJ211:$BT211,,T211)*(1-R211)+INDEX(Models!$BJ211:$BT211,,T211+1)*R211-ERP_i)*Q211*Ramure*Pc/MaxiM</f>
        <v>0</v>
      </c>
      <c r="Q211" s="305">
        <f t="shared" si="78"/>
        <v>0.7</v>
      </c>
      <c r="R211" s="177">
        <f t="shared" si="79"/>
        <v>0.82600911349385053</v>
      </c>
      <c r="S211" s="817">
        <f t="shared" si="80"/>
        <v>-2</v>
      </c>
      <c r="T211" s="176">
        <f t="shared" si="81"/>
        <v>4</v>
      </c>
      <c r="U211" s="251">
        <f t="shared" si="82"/>
        <v>-1.1739908865061495</v>
      </c>
      <c r="V211" s="383">
        <f t="shared" si="83"/>
        <v>38.431683880085963</v>
      </c>
      <c r="W211" s="58"/>
      <c r="X211" s="157">
        <f t="shared" si="84"/>
        <v>43662</v>
      </c>
      <c r="Y211" s="385">
        <f t="shared" si="85"/>
        <v>38.561999999999998</v>
      </c>
      <c r="Z211" s="385">
        <f t="shared" si="86"/>
        <v>38.946515476714417</v>
      </c>
      <c r="AA211" s="386">
        <f t="shared" si="87"/>
        <v>41.785421826741953</v>
      </c>
      <c r="AB211" s="197">
        <f t="shared" si="88"/>
        <v>43662</v>
      </c>
      <c r="AC211" s="427">
        <f>IF(OR(t&lt;Tnet,NoTnet),'2018'!Resal_s+('2018'!Salim-'2018'!Resal_s)*(1-EXP(('2018'!Tnet_s-t)/'2018'!Tau_j)),Resal_s+(Salim-Resal_s)*(1-EXP((Tnet_s-t)/Tau_j)))*Salcycl</f>
        <v>6.7940114660053119E-2</v>
      </c>
      <c r="AD211" s="231">
        <f>(INDEX(Models!$BJ211:$BT211,,AH211)*(1-AF211)+INDEX(Models!$BJ211:$BT211,,AH211+1)*AF211-ERP_i)*AE211*Ramure*Pc/MaxiM</f>
        <v>0</v>
      </c>
      <c r="AE211" s="305">
        <f t="shared" si="89"/>
        <v>0.7</v>
      </c>
      <c r="AF211" s="177">
        <f t="shared" si="90"/>
        <v>0.82600911349385053</v>
      </c>
      <c r="AG211" s="176">
        <f t="shared" si="91"/>
        <v>-2</v>
      </c>
      <c r="AH211" s="176">
        <f t="shared" si="92"/>
        <v>4</v>
      </c>
      <c r="AI211" s="225">
        <f t="shared" si="93"/>
        <v>-1.1739908865061495</v>
      </c>
      <c r="AJ211" s="265" t="b">
        <f t="shared" si="94"/>
        <v>0</v>
      </c>
      <c r="AK211" s="265" t="b">
        <f t="shared" si="95"/>
        <v>0</v>
      </c>
      <c r="AL211" s="265"/>
      <c r="AM211" s="265"/>
      <c r="AN211" s="75"/>
    </row>
    <row r="212" spans="1:40" s="6" customFormat="1" ht="11.25" x14ac:dyDescent="0.2">
      <c r="A212" s="56">
        <f t="shared" si="96"/>
        <v>43663</v>
      </c>
      <c r="B212" s="617">
        <v>36.468000000000004</v>
      </c>
      <c r="C212" s="390"/>
      <c r="D212" s="393">
        <f t="shared" si="75"/>
        <v>36.832442179729348</v>
      </c>
      <c r="E212" s="385">
        <f t="shared" si="73"/>
        <v>39.522020816983201</v>
      </c>
      <c r="F212" s="385">
        <f t="shared" si="76"/>
        <v>39.522020816983201</v>
      </c>
      <c r="G212" s="110">
        <f t="shared" si="74"/>
        <v>0.95105166462640922</v>
      </c>
      <c r="H212" s="414" t="b">
        <f>Wh_hp&gt;='2018'!Maxi_hp</f>
        <v>1</v>
      </c>
      <c r="I212" s="390">
        <f>IF(H212,Wh_hp,'2018'!Maxi_hp)</f>
        <v>39.522020816983201</v>
      </c>
      <c r="J212" s="85">
        <f>IF(H212,An,'2018'!An_max)</f>
        <v>2019</v>
      </c>
      <c r="K212" s="197">
        <f t="shared" si="77"/>
        <v>43663</v>
      </c>
      <c r="L212" s="147">
        <f>IF(t&lt;Tvie,1-EXP((T0-t)*PertePVj)+'2018'!Pspv,1-EXP((T0-t)*PertePVj)+Pspv)</f>
        <v>9.8945972127233439E-3</v>
      </c>
      <c r="M212" s="850"/>
      <c r="N212" s="850"/>
      <c r="O212" s="48">
        <f>IF(t&lt;Tnet,'2018'!Resal+('2018'!Salim-'2018'!Resal)*(1-EXP(('2018'!Tnet-t)/('2018'!Tau_j))),Resal+(Salim-Resal)*(1-EXP((Tnet-t)/(Tau_j))))*Salcycl</f>
        <v>6.8052659799675563E-2</v>
      </c>
      <c r="P212" s="169">
        <f>(INDEX(Models!$BJ212:$BT212,,T212)*(1-R212)+INDEX(Models!$BJ212:$BT212,,T212+1)*R212-ERP_i)*Q212*Ramure*Pc/MaxiM</f>
        <v>0</v>
      </c>
      <c r="Q212" s="305">
        <f t="shared" si="78"/>
        <v>0.7</v>
      </c>
      <c r="R212" s="177">
        <f t="shared" si="79"/>
        <v>0.82845817509465736</v>
      </c>
      <c r="S212" s="817">
        <f t="shared" si="80"/>
        <v>-2</v>
      </c>
      <c r="T212" s="176">
        <f t="shared" si="81"/>
        <v>4</v>
      </c>
      <c r="U212" s="251">
        <f t="shared" si="82"/>
        <v>-1.1715418249053426</v>
      </c>
      <c r="V212" s="383">
        <f t="shared" si="83"/>
        <v>38.344920004241111</v>
      </c>
      <c r="W212" s="58"/>
      <c r="X212" s="157">
        <f t="shared" si="84"/>
        <v>43663</v>
      </c>
      <c r="Y212" s="385">
        <f t="shared" si="85"/>
        <v>36.468000000000004</v>
      </c>
      <c r="Z212" s="385">
        <f t="shared" si="86"/>
        <v>36.832442179729348</v>
      </c>
      <c r="AA212" s="386">
        <f t="shared" si="87"/>
        <v>39.522020816983201</v>
      </c>
      <c r="AB212" s="197">
        <f t="shared" si="88"/>
        <v>43663</v>
      </c>
      <c r="AC212" s="427">
        <f>IF(OR(t&lt;Tnet,NoTnet),'2018'!Resal_s+('2018'!Salim-'2018'!Resal_s)*(1-EXP(('2018'!Tnet_s-t)/'2018'!Tau_j)),Resal_s+(Salim-Resal_s)*(1-EXP((Tnet_s-t)/Tau_j)))*Salcycl</f>
        <v>6.8052659799675563E-2</v>
      </c>
      <c r="AD212" s="231">
        <f>(INDEX(Models!$BJ212:$BT212,,AH212)*(1-AF212)+INDEX(Models!$BJ212:$BT212,,AH212+1)*AF212-ERP_i)*AE212*Ramure*Pc/MaxiM</f>
        <v>0</v>
      </c>
      <c r="AE212" s="305">
        <f t="shared" si="89"/>
        <v>0.7</v>
      </c>
      <c r="AF212" s="177">
        <f t="shared" si="90"/>
        <v>0.82845817509465736</v>
      </c>
      <c r="AG212" s="176">
        <f t="shared" si="91"/>
        <v>-2</v>
      </c>
      <c r="AH212" s="176">
        <f t="shared" si="92"/>
        <v>4</v>
      </c>
      <c r="AI212" s="225">
        <f t="shared" si="93"/>
        <v>-1.1715418249053426</v>
      </c>
      <c r="AJ212" s="265" t="b">
        <f t="shared" si="94"/>
        <v>0</v>
      </c>
      <c r="AK212" s="265" t="b">
        <f t="shared" si="95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6"/>
        <v>43664</v>
      </c>
      <c r="B213" s="617">
        <v>26.291</v>
      </c>
      <c r="C213" s="390"/>
      <c r="D213" s="393">
        <f t="shared" si="75"/>
        <v>26.554320155179937</v>
      </c>
      <c r="E213" s="385">
        <f t="shared" si="73"/>
        <v>28.49679078159906</v>
      </c>
      <c r="F213" s="385">
        <f t="shared" si="76"/>
        <v>28.49679078159906</v>
      </c>
      <c r="G213" s="110">
        <f t="shared" si="74"/>
        <v>0.68721669880062219</v>
      </c>
      <c r="H213" s="414" t="b">
        <f>Wh_hp&gt;='2018'!Maxi_hp</f>
        <v>0</v>
      </c>
      <c r="I213" s="390">
        <f>IF(H213,Wh_hp,'2018'!Maxi_hp)</f>
        <v>28.574401402308087</v>
      </c>
      <c r="J213" s="85">
        <f>IF(H213,An,'2018'!An_max)</f>
        <v>2018</v>
      </c>
      <c r="K213" s="197">
        <f t="shared" si="77"/>
        <v>43664</v>
      </c>
      <c r="L213" s="147">
        <f>IF(t&lt;Tvie,1-EXP((T0-t)*PertePVj)+'2018'!Pspv,1-EXP((T0-t)*PertePVj)+Pspv)</f>
        <v>9.9162830620829201E-3</v>
      </c>
      <c r="M213" s="850"/>
      <c r="N213" s="850"/>
      <c r="O213" s="48">
        <f>IF(t&lt;Tnet,'2018'!Resal+('2018'!Salim-'2018'!Resal)*(1-EXP(('2018'!Tnet-t)/('2018'!Tau_j))),Resal+(Salim-Resal)*(1-EXP((Tnet-t)/(Tau_j))))*Salcycl</f>
        <v>6.8164539695235282E-2</v>
      </c>
      <c r="P213" s="169">
        <f>(INDEX(Models!$BJ213:$BT213,,T213)*(1-R213)+INDEX(Models!$BJ213:$BT213,,T213+1)*R213-ERP_i)*Q213*Ramure*Pc/MaxiM</f>
        <v>0</v>
      </c>
      <c r="Q213" s="305">
        <f t="shared" si="78"/>
        <v>0.7</v>
      </c>
      <c r="R213" s="177">
        <f t="shared" si="79"/>
        <v>0.83084354654242554</v>
      </c>
      <c r="S213" s="817">
        <f t="shared" si="80"/>
        <v>-2</v>
      </c>
      <c r="T213" s="176">
        <f t="shared" si="81"/>
        <v>4</v>
      </c>
      <c r="U213" s="251">
        <f t="shared" si="82"/>
        <v>-1.1691564534575745</v>
      </c>
      <c r="V213" s="383">
        <f t="shared" si="83"/>
        <v>38.25721936891938</v>
      </c>
      <c r="W213" s="58"/>
      <c r="X213" s="157">
        <f t="shared" si="84"/>
        <v>43664</v>
      </c>
      <c r="Y213" s="385">
        <f t="shared" si="85"/>
        <v>26.291</v>
      </c>
      <c r="Z213" s="385">
        <f t="shared" si="86"/>
        <v>26.554320155179937</v>
      </c>
      <c r="AA213" s="386">
        <f t="shared" si="87"/>
        <v>28.49679078159906</v>
      </c>
      <c r="AB213" s="197">
        <f t="shared" si="88"/>
        <v>43664</v>
      </c>
      <c r="AC213" s="427">
        <f>IF(OR(t&lt;Tnet,NoTnet),'2018'!Resal_s+('2018'!Salim-'2018'!Resal_s)*(1-EXP(('2018'!Tnet_s-t)/'2018'!Tau_j)),Resal_s+(Salim-Resal_s)*(1-EXP((Tnet_s-t)/Tau_j)))*Salcycl</f>
        <v>6.8164539695235282E-2</v>
      </c>
      <c r="AD213" s="231">
        <f>(INDEX(Models!$BJ213:$BT213,,AH213)*(1-AF213)+INDEX(Models!$BJ213:$BT213,,AH213+1)*AF213-ERP_i)*AE213*Ramure*Pc/MaxiM</f>
        <v>0</v>
      </c>
      <c r="AE213" s="305">
        <f t="shared" si="89"/>
        <v>0.7</v>
      </c>
      <c r="AF213" s="177">
        <f t="shared" si="90"/>
        <v>0.83084354654242554</v>
      </c>
      <c r="AG213" s="176">
        <f t="shared" si="91"/>
        <v>-2</v>
      </c>
      <c r="AH213" s="176">
        <f t="shared" si="92"/>
        <v>4</v>
      </c>
      <c r="AI213" s="225">
        <f t="shared" si="93"/>
        <v>-1.1691564534575745</v>
      </c>
      <c r="AJ213" s="265" t="b">
        <f t="shared" si="94"/>
        <v>0</v>
      </c>
      <c r="AK213" s="265" t="b">
        <f t="shared" si="95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6"/>
        <v>43665</v>
      </c>
      <c r="B214" s="617">
        <v>37.110999999999997</v>
      </c>
      <c r="C214" s="390"/>
      <c r="D214" s="393">
        <f t="shared" si="75"/>
        <v>37.483509938658372</v>
      </c>
      <c r="E214" s="385">
        <f t="shared" si="73"/>
        <v>40.230262680184843</v>
      </c>
      <c r="F214" s="385">
        <f t="shared" si="76"/>
        <v>40.230262680184843</v>
      </c>
      <c r="G214" s="110">
        <f t="shared" si="74"/>
        <v>0.97228178391832343</v>
      </c>
      <c r="H214" s="414" t="b">
        <f>Wh_hp&gt;='2018'!Maxi_hp</f>
        <v>1</v>
      </c>
      <c r="I214" s="390">
        <f>IF(H214,Wh_hp,'2018'!Maxi_hp)</f>
        <v>40.230262680184843</v>
      </c>
      <c r="J214" s="85">
        <f>IF(H214,An,'2018'!An_max)</f>
        <v>2019</v>
      </c>
      <c r="K214" s="197">
        <f t="shared" si="77"/>
        <v>43665</v>
      </c>
      <c r="L214" s="147">
        <f>IF(t&lt;Tvie,1-EXP((T0-t)*PertePVj)+'2018'!Pspv,1-EXP((T0-t)*PertePVj)+Pspv)</f>
        <v>9.9379684364667709E-3</v>
      </c>
      <c r="M214" s="850"/>
      <c r="N214" s="850"/>
      <c r="O214" s="48">
        <f>IF(t&lt;Tnet,'2018'!Resal+('2018'!Salim-'2018'!Resal)*(1-EXP(('2018'!Tnet-t)/('2018'!Tau_j))),Resal+(Salim-Resal)*(1-EXP((Tnet-t)/(Tau_j))))*Salcycl</f>
        <v>6.8275784410410295E-2</v>
      </c>
      <c r="P214" s="169">
        <f>(INDEX(Models!$BJ214:$BT214,,T214)*(1-R214)+INDEX(Models!$BJ214:$BT214,,T214+1)*R214-ERP_i)*Q214*Ramure*Pc/MaxiM</f>
        <v>0</v>
      </c>
      <c r="Q214" s="305">
        <f t="shared" si="78"/>
        <v>0.7</v>
      </c>
      <c r="R214" s="177">
        <f t="shared" si="79"/>
        <v>0.83316574438046676</v>
      </c>
      <c r="S214" s="817">
        <f t="shared" si="80"/>
        <v>-2</v>
      </c>
      <c r="T214" s="176">
        <f t="shared" si="81"/>
        <v>4</v>
      </c>
      <c r="U214" s="251">
        <f t="shared" si="82"/>
        <v>-1.1668342556195332</v>
      </c>
      <c r="V214" s="383">
        <f t="shared" si="83"/>
        <v>38.16897592222864</v>
      </c>
      <c r="W214" s="58"/>
      <c r="X214" s="157">
        <f t="shared" si="84"/>
        <v>43665</v>
      </c>
      <c r="Y214" s="385">
        <f t="shared" si="85"/>
        <v>37.110999999999997</v>
      </c>
      <c r="Z214" s="385">
        <f t="shared" si="86"/>
        <v>37.483509938658372</v>
      </c>
      <c r="AA214" s="386">
        <f t="shared" si="87"/>
        <v>40.230262680184843</v>
      </c>
      <c r="AB214" s="197">
        <f t="shared" si="88"/>
        <v>43665</v>
      </c>
      <c r="AC214" s="427">
        <f>IF(OR(t&lt;Tnet,NoTnet),'2018'!Resal_s+('2018'!Salim-'2018'!Resal_s)*(1-EXP(('2018'!Tnet_s-t)/'2018'!Tau_j)),Resal_s+(Salim-Resal_s)*(1-EXP((Tnet_s-t)/Tau_j)))*Salcycl</f>
        <v>6.8275784410410295E-2</v>
      </c>
      <c r="AD214" s="231">
        <f>(INDEX(Models!$BJ214:$BT214,,AH214)*(1-AF214)+INDEX(Models!$BJ214:$BT214,,AH214+1)*AF214-ERP_i)*AE214*Ramure*Pc/MaxiM</f>
        <v>0</v>
      </c>
      <c r="AE214" s="305">
        <f t="shared" si="89"/>
        <v>0.7</v>
      </c>
      <c r="AF214" s="177">
        <f t="shared" si="90"/>
        <v>0.83316574438046676</v>
      </c>
      <c r="AG214" s="176">
        <f t="shared" si="91"/>
        <v>-2</v>
      </c>
      <c r="AH214" s="176">
        <f t="shared" si="92"/>
        <v>4</v>
      </c>
      <c r="AI214" s="225">
        <f t="shared" si="93"/>
        <v>-1.1668342556195332</v>
      </c>
      <c r="AJ214" s="265" t="b">
        <f t="shared" si="94"/>
        <v>0</v>
      </c>
      <c r="AK214" s="265" t="b">
        <f t="shared" si="95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6"/>
        <v>43666</v>
      </c>
      <c r="B215" s="617">
        <v>18.465</v>
      </c>
      <c r="C215" s="390"/>
      <c r="D215" s="393">
        <f t="shared" si="75"/>
        <v>18.650755054798299</v>
      </c>
      <c r="E215" s="385">
        <f t="shared" si="73"/>
        <v>20.019840328364705</v>
      </c>
      <c r="F215" s="385">
        <f t="shared" si="76"/>
        <v>20.019840328364705</v>
      </c>
      <c r="G215" s="110">
        <f t="shared" si="74"/>
        <v>0.48489278097884458</v>
      </c>
      <c r="H215" s="414" t="b">
        <f>Wh_hp&gt;='2018'!Maxi_hp</f>
        <v>1</v>
      </c>
      <c r="I215" s="390">
        <f>IF(H215,Wh_hp,'2018'!Maxi_hp)</f>
        <v>20.019840328364705</v>
      </c>
      <c r="J215" s="85">
        <f>IF(H215,An,'2018'!An_max)</f>
        <v>2019</v>
      </c>
      <c r="K215" s="197">
        <f t="shared" si="77"/>
        <v>43666</v>
      </c>
      <c r="L215" s="147">
        <f>IF(t&lt;Tvie,1-EXP((T0-t)*PertePVj)+'2018'!Pspv,1-EXP((T0-t)*PertePVj)+Pspv)</f>
        <v>9.9596533358852213E-3</v>
      </c>
      <c r="M215" s="850"/>
      <c r="N215" s="850"/>
      <c r="O215" s="48">
        <f>IF(t&lt;Tnet,'2018'!Resal+('2018'!Salim-'2018'!Resal)*(1-EXP(('2018'!Tnet-t)/('2018'!Tau_j))),Resal+(Salim-Resal)*(1-EXP((Tnet-t)/(Tau_j))))*Salcycl</f>
        <v>6.8386423223697868E-2</v>
      </c>
      <c r="P215" s="169">
        <f>(INDEX(Models!$BJ215:$BT215,,T215)*(1-R215)+INDEX(Models!$BJ215:$BT215,,T215+1)*R215-ERP_i)*Q215*Ramure*Pc/MaxiM</f>
        <v>0</v>
      </c>
      <c r="Q215" s="305">
        <f t="shared" si="78"/>
        <v>0.7</v>
      </c>
      <c r="R215" s="177">
        <f t="shared" si="79"/>
        <v>0.83542536199228157</v>
      </c>
      <c r="S215" s="817">
        <f t="shared" si="80"/>
        <v>-2</v>
      </c>
      <c r="T215" s="176">
        <f t="shared" si="81"/>
        <v>4</v>
      </c>
      <c r="U215" s="251">
        <f t="shared" si="82"/>
        <v>-1.1645746380077184</v>
      </c>
      <c r="V215" s="383">
        <f t="shared" si="83"/>
        <v>38.080583428619065</v>
      </c>
      <c r="W215" s="58"/>
      <c r="X215" s="157">
        <f t="shared" si="84"/>
        <v>43666</v>
      </c>
      <c r="Y215" s="385">
        <f t="shared" si="85"/>
        <v>18.465</v>
      </c>
      <c r="Z215" s="385">
        <f t="shared" si="86"/>
        <v>18.650755054798299</v>
      </c>
      <c r="AA215" s="386">
        <f t="shared" si="87"/>
        <v>20.019840328364705</v>
      </c>
      <c r="AB215" s="197">
        <f t="shared" si="88"/>
        <v>43666</v>
      </c>
      <c r="AC215" s="427">
        <f>IF(OR(t&lt;Tnet,NoTnet),'2018'!Resal_s+('2018'!Salim-'2018'!Resal_s)*(1-EXP(('2018'!Tnet_s-t)/'2018'!Tau_j)),Resal_s+(Salim-Resal_s)*(1-EXP((Tnet_s-t)/Tau_j)))*Salcycl</f>
        <v>6.8386423223697868E-2</v>
      </c>
      <c r="AD215" s="231">
        <f>(INDEX(Models!$BJ215:$BT215,,AH215)*(1-AF215)+INDEX(Models!$BJ215:$BT215,,AH215+1)*AF215-ERP_i)*AE215*Ramure*Pc/MaxiM</f>
        <v>0</v>
      </c>
      <c r="AE215" s="305">
        <f t="shared" si="89"/>
        <v>0.7</v>
      </c>
      <c r="AF215" s="177">
        <f t="shared" si="90"/>
        <v>0.83542536199228157</v>
      </c>
      <c r="AG215" s="176">
        <f t="shared" si="91"/>
        <v>-2</v>
      </c>
      <c r="AH215" s="176">
        <f t="shared" si="92"/>
        <v>4</v>
      </c>
      <c r="AI215" s="225">
        <f t="shared" si="93"/>
        <v>-1.1645746380077184</v>
      </c>
      <c r="AJ215" s="265" t="b">
        <f t="shared" si="94"/>
        <v>0</v>
      </c>
      <c r="AK215" s="265" t="b">
        <f t="shared" si="95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6"/>
        <v>43667</v>
      </c>
      <c r="B216" s="617">
        <v>30.134</v>
      </c>
      <c r="C216" s="390"/>
      <c r="D216" s="393">
        <f t="shared" si="75"/>
        <v>30.437810062923379</v>
      </c>
      <c r="E216" s="385">
        <f t="shared" si="73"/>
        <v>32.676001277548146</v>
      </c>
      <c r="F216" s="385">
        <f t="shared" si="76"/>
        <v>32.676001277548146</v>
      </c>
      <c r="G216" s="110">
        <f t="shared" si="74"/>
        <v>0.79315789105412449</v>
      </c>
      <c r="H216" s="414" t="b">
        <f>Wh_hp&gt;='2018'!Maxi_hp</f>
        <v>1</v>
      </c>
      <c r="I216" s="390">
        <f>IF(H216,Wh_hp,'2018'!Maxi_hp)</f>
        <v>32.676001277548146</v>
      </c>
      <c r="J216" s="85">
        <f>IF(H216,An,'2018'!An_max)</f>
        <v>2019</v>
      </c>
      <c r="K216" s="197">
        <f t="shared" si="77"/>
        <v>43667</v>
      </c>
      <c r="L216" s="147">
        <f>IF(t&lt;Tvie,1-EXP((T0-t)*PertePVj)+'2018'!Pspv,1-EXP((T0-t)*PertePVj)+Pspv)</f>
        <v>9.9813377603487075E-3</v>
      </c>
      <c r="M216" s="850"/>
      <c r="N216" s="850"/>
      <c r="O216" s="48">
        <f>IF(t&lt;Tnet,'2018'!Resal+('2018'!Salim-'2018'!Resal)*(1-EXP(('2018'!Tnet-t)/('2018'!Tau_j))),Resal+(Salim-Resal)*(1-EXP((Tnet-t)/(Tau_j))))*Salcycl</f>
        <v>6.8496484487612058E-2</v>
      </c>
      <c r="P216" s="169">
        <f>(INDEX(Models!$BJ216:$BT216,,T216)*(1-R216)+INDEX(Models!$BJ216:$BT216,,T216+1)*R216-ERP_i)*Q216*Ramure*Pc/MaxiM</f>
        <v>0</v>
      </c>
      <c r="Q216" s="305">
        <f t="shared" si="78"/>
        <v>0.7</v>
      </c>
      <c r="R216" s="177">
        <f t="shared" si="79"/>
        <v>0.83762306402617215</v>
      </c>
      <c r="S216" s="817">
        <f t="shared" si="80"/>
        <v>-2</v>
      </c>
      <c r="T216" s="176">
        <f t="shared" si="81"/>
        <v>4</v>
      </c>
      <c r="U216" s="251">
        <f t="shared" si="82"/>
        <v>-1.1623769359738279</v>
      </c>
      <c r="V216" s="383">
        <f t="shared" si="83"/>
        <v>37.992435478327323</v>
      </c>
      <c r="W216" s="58"/>
      <c r="X216" s="157">
        <f t="shared" si="84"/>
        <v>43667</v>
      </c>
      <c r="Y216" s="385">
        <f t="shared" si="85"/>
        <v>30.134</v>
      </c>
      <c r="Z216" s="385">
        <f t="shared" si="86"/>
        <v>30.437810062923379</v>
      </c>
      <c r="AA216" s="386">
        <f t="shared" si="87"/>
        <v>32.676001277548146</v>
      </c>
      <c r="AB216" s="197">
        <f t="shared" si="88"/>
        <v>43667</v>
      </c>
      <c r="AC216" s="427">
        <f>IF(OR(t&lt;Tnet,NoTnet),'2018'!Resal_s+('2018'!Salim-'2018'!Resal_s)*(1-EXP(('2018'!Tnet_s-t)/'2018'!Tau_j)),Resal_s+(Salim-Resal_s)*(1-EXP((Tnet_s-t)/Tau_j)))*Salcycl</f>
        <v>6.8496484487612058E-2</v>
      </c>
      <c r="AD216" s="231">
        <f>(INDEX(Models!$BJ216:$BT216,,AH216)*(1-AF216)+INDEX(Models!$BJ216:$BT216,,AH216+1)*AF216-ERP_i)*AE216*Ramure*Pc/MaxiM</f>
        <v>0</v>
      </c>
      <c r="AE216" s="305">
        <f t="shared" si="89"/>
        <v>0.7</v>
      </c>
      <c r="AF216" s="177">
        <f t="shared" si="90"/>
        <v>0.83762306402617215</v>
      </c>
      <c r="AG216" s="176">
        <f t="shared" si="91"/>
        <v>-2</v>
      </c>
      <c r="AH216" s="176">
        <f t="shared" si="92"/>
        <v>4</v>
      </c>
      <c r="AI216" s="225">
        <f t="shared" si="93"/>
        <v>-1.1623769359738279</v>
      </c>
      <c r="AJ216" s="265" t="b">
        <f t="shared" si="94"/>
        <v>0</v>
      </c>
      <c r="AK216" s="265" t="b">
        <f t="shared" si="95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6"/>
        <v>43668</v>
      </c>
      <c r="B217" s="617">
        <v>31.143000000000001</v>
      </c>
      <c r="C217" s="390"/>
      <c r="D217" s="393">
        <f t="shared" si="75"/>
        <v>31.457671773694155</v>
      </c>
      <c r="E217" s="385">
        <f t="shared" si="73"/>
        <v>33.774827432532888</v>
      </c>
      <c r="F217" s="385">
        <f t="shared" si="76"/>
        <v>33.774827432532888</v>
      </c>
      <c r="G217" s="110">
        <f t="shared" si="74"/>
        <v>0.821608263177663</v>
      </c>
      <c r="H217" s="414" t="b">
        <f>Wh_hp&gt;='2018'!Maxi_hp</f>
        <v>0</v>
      </c>
      <c r="I217" s="390">
        <f>IF(H217,Wh_hp,'2018'!Maxi_hp)</f>
        <v>39.921621323756099</v>
      </c>
      <c r="J217" s="85">
        <f>IF(H217,An,'2018'!An_max)</f>
        <v>2018</v>
      </c>
      <c r="K217" s="197">
        <f t="shared" si="77"/>
        <v>43668</v>
      </c>
      <c r="L217" s="147">
        <f>IF(t&lt;Tvie,1-EXP((T0-t)*PertePVj)+'2018'!Pspv,1-EXP((T0-t)*PertePVj)+Pspv)</f>
        <v>1.0003021709867665E-2</v>
      </c>
      <c r="M217" s="850"/>
      <c r="N217" s="850"/>
      <c r="O217" s="48">
        <f>IF(t&lt;Tnet,'2018'!Resal+('2018'!Salim-'2018'!Resal)*(1-EXP(('2018'!Tnet-t)/('2018'!Tau_j))),Resal+(Salim-Resal)*(1-EXP((Tnet-t)/(Tau_j))))*Salcycl</f>
        <v>6.8605995499677414E-2</v>
      </c>
      <c r="P217" s="169">
        <f>(INDEX(Models!$BJ217:$BT217,,T217)*(1-R217)+INDEX(Models!$BJ217:$BT217,,T217+1)*R217-ERP_i)*Q217*Ramure*Pc/MaxiM</f>
        <v>0</v>
      </c>
      <c r="Q217" s="305">
        <f t="shared" si="78"/>
        <v>0.7</v>
      </c>
      <c r="R217" s="177">
        <f t="shared" si="79"/>
        <v>0.83975958088412828</v>
      </c>
      <c r="S217" s="817">
        <f t="shared" si="80"/>
        <v>-2</v>
      </c>
      <c r="T217" s="176">
        <f t="shared" si="81"/>
        <v>4</v>
      </c>
      <c r="U217" s="251">
        <f t="shared" si="82"/>
        <v>-1.1602404191158717</v>
      </c>
      <c r="V217" s="383">
        <f t="shared" si="83"/>
        <v>37.904925492777934</v>
      </c>
      <c r="W217" s="58"/>
      <c r="X217" s="157">
        <f t="shared" si="84"/>
        <v>43668</v>
      </c>
      <c r="Y217" s="385">
        <f t="shared" si="85"/>
        <v>31.143000000000001</v>
      </c>
      <c r="Z217" s="385">
        <f t="shared" si="86"/>
        <v>31.457671773694155</v>
      </c>
      <c r="AA217" s="386">
        <f t="shared" si="87"/>
        <v>33.774827432532888</v>
      </c>
      <c r="AB217" s="197">
        <f t="shared" si="88"/>
        <v>43668</v>
      </c>
      <c r="AC217" s="427">
        <f>IF(OR(t&lt;Tnet,NoTnet),'2018'!Resal_s+('2018'!Salim-'2018'!Resal_s)*(1-EXP(('2018'!Tnet_s-t)/'2018'!Tau_j)),Resal_s+(Salim-Resal_s)*(1-EXP((Tnet_s-t)/Tau_j)))*Salcycl</f>
        <v>6.8605995499677414E-2</v>
      </c>
      <c r="AD217" s="231">
        <f>(INDEX(Models!$BJ217:$BT217,,AH217)*(1-AF217)+INDEX(Models!$BJ217:$BT217,,AH217+1)*AF217-ERP_i)*AE217*Ramure*Pc/MaxiM</f>
        <v>0</v>
      </c>
      <c r="AE217" s="305">
        <f t="shared" si="89"/>
        <v>0.7</v>
      </c>
      <c r="AF217" s="177">
        <f t="shared" si="90"/>
        <v>0.83975958088412828</v>
      </c>
      <c r="AG217" s="176">
        <f t="shared" si="91"/>
        <v>-2</v>
      </c>
      <c r="AH217" s="176">
        <f t="shared" si="92"/>
        <v>4</v>
      </c>
      <c r="AI217" s="225">
        <f t="shared" si="93"/>
        <v>-1.1602404191158717</v>
      </c>
      <c r="AJ217" s="265" t="b">
        <f t="shared" si="94"/>
        <v>0</v>
      </c>
      <c r="AK217" s="265" t="b">
        <f t="shared" si="95"/>
        <v>0</v>
      </c>
      <c r="AL217" s="265"/>
      <c r="AM217" s="265"/>
      <c r="AN217" s="75"/>
    </row>
    <row r="218" spans="1:40" s="6" customFormat="1" ht="11.25" x14ac:dyDescent="0.2">
      <c r="A218" s="56">
        <f t="shared" si="96"/>
        <v>43669</v>
      </c>
      <c r="B218" s="617">
        <v>34.595999999999997</v>
      </c>
      <c r="C218" s="390"/>
      <c r="D218" s="393">
        <f t="shared" si="75"/>
        <v>34.94632662166174</v>
      </c>
      <c r="E218" s="385">
        <f t="shared" si="73"/>
        <v>37.524845735401712</v>
      </c>
      <c r="F218" s="385">
        <f t="shared" si="76"/>
        <v>37.524845735401712</v>
      </c>
      <c r="G218" s="110">
        <f t="shared" si="74"/>
        <v>0.91479166885356378</v>
      </c>
      <c r="H218" s="414" t="b">
        <f>Wh_hp&gt;='2018'!Maxi_hp</f>
        <v>0</v>
      </c>
      <c r="I218" s="390">
        <f>IF(H218,Wh_hp,'2018'!Maxi_hp)</f>
        <v>40.234800142137267</v>
      </c>
      <c r="J218" s="85">
        <f>IF(H218,An,'2018'!An_max)</f>
        <v>2018</v>
      </c>
      <c r="K218" s="197">
        <f t="shared" si="77"/>
        <v>43669</v>
      </c>
      <c r="L218" s="147">
        <f>IF(t&lt;Tvie,1-EXP((T0-t)*PertePVj)+'2018'!Pspv,1-EXP((T0-t)*PertePVj)+Pspv)</f>
        <v>1.0024705184452531E-2</v>
      </c>
      <c r="M218" s="850"/>
      <c r="N218" s="850"/>
      <c r="O218" s="48">
        <f>IF(t&lt;Tnet,'2018'!Resal+('2018'!Salim-'2018'!Resal)*(1-EXP(('2018'!Tnet-t)/('2018'!Tau_j))),Resal+(Salim-Resal)*(1-EXP((Tnet-t)/(Tau_j))))*Salcycl</f>
        <v>6.8714982385852733E-2</v>
      </c>
      <c r="P218" s="169">
        <f>(INDEX(Models!$BJ218:$BT218,,T218)*(1-R218)+INDEX(Models!$BJ218:$BT218,,T218+1)*R218-ERP_i)*Q218*Ramure*Pc/MaxiM</f>
        <v>0</v>
      </c>
      <c r="Q218" s="305">
        <f t="shared" si="78"/>
        <v>0.7</v>
      </c>
      <c r="R218" s="177">
        <f t="shared" si="79"/>
        <v>0.84183570330047042</v>
      </c>
      <c r="S218" s="817">
        <f t="shared" si="80"/>
        <v>-2</v>
      </c>
      <c r="T218" s="176">
        <f t="shared" si="81"/>
        <v>4</v>
      </c>
      <c r="U218" s="251">
        <f t="shared" si="82"/>
        <v>-1.1581642966995296</v>
      </c>
      <c r="V218" s="383">
        <f t="shared" si="83"/>
        <v>37.81844673263852</v>
      </c>
      <c r="W218" s="58"/>
      <c r="X218" s="157">
        <f t="shared" si="84"/>
        <v>43669</v>
      </c>
      <c r="Y218" s="385">
        <f t="shared" si="85"/>
        <v>34.595999999999997</v>
      </c>
      <c r="Z218" s="385">
        <f t="shared" si="86"/>
        <v>34.94632662166174</v>
      </c>
      <c r="AA218" s="386">
        <f t="shared" si="87"/>
        <v>37.524845735401712</v>
      </c>
      <c r="AB218" s="197">
        <f t="shared" si="88"/>
        <v>43669</v>
      </c>
      <c r="AC218" s="427">
        <f>IF(OR(t&lt;Tnet,NoTnet),'2018'!Resal_s+('2018'!Salim-'2018'!Resal_s)*(1-EXP(('2018'!Tnet_s-t)/'2018'!Tau_j)),Resal_s+(Salim-Resal_s)*(1-EXP((Tnet_s-t)/Tau_j)))*Salcycl</f>
        <v>6.8714982385852733E-2</v>
      </c>
      <c r="AD218" s="231">
        <f>(INDEX(Models!$BJ218:$BT218,,AH218)*(1-AF218)+INDEX(Models!$BJ218:$BT218,,AH218+1)*AF218-ERP_i)*AE218*Ramure*Pc/MaxiM</f>
        <v>0</v>
      </c>
      <c r="AE218" s="305">
        <f t="shared" si="89"/>
        <v>0.7</v>
      </c>
      <c r="AF218" s="177">
        <f t="shared" si="90"/>
        <v>0.84183570330047042</v>
      </c>
      <c r="AG218" s="176">
        <f t="shared" si="91"/>
        <v>-2</v>
      </c>
      <c r="AH218" s="176">
        <f t="shared" si="92"/>
        <v>4</v>
      </c>
      <c r="AI218" s="225">
        <f t="shared" si="93"/>
        <v>-1.1581642966995296</v>
      </c>
      <c r="AJ218" s="265" t="b">
        <f t="shared" si="94"/>
        <v>0</v>
      </c>
      <c r="AK218" s="265" t="b">
        <f t="shared" si="95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6"/>
        <v>43670</v>
      </c>
      <c r="B219" s="617">
        <v>34.654000000000003</v>
      </c>
      <c r="C219" s="390"/>
      <c r="D219" s="393">
        <f t="shared" si="75"/>
        <v>35.005680656524561</v>
      </c>
      <c r="E219" s="385">
        <f t="shared" si="73"/>
        <v>37.592958508530771</v>
      </c>
      <c r="F219" s="385">
        <f t="shared" si="76"/>
        <v>37.592958508530771</v>
      </c>
      <c r="G219" s="110">
        <f t="shared" si="74"/>
        <v>0.9184043991356301</v>
      </c>
      <c r="H219" s="414" t="b">
        <f>Wh_hp&gt;='2018'!Maxi_hp</f>
        <v>1</v>
      </c>
      <c r="I219" s="390">
        <f>IF(H219,Wh_hp,'2018'!Maxi_hp)</f>
        <v>37.592958508530771</v>
      </c>
      <c r="J219" s="85">
        <f>IF(H219,An,'2018'!An_max)</f>
        <v>2019</v>
      </c>
      <c r="K219" s="197">
        <f t="shared" si="77"/>
        <v>43670</v>
      </c>
      <c r="L219" s="147">
        <f>IF(t&lt;Tvie,1-EXP((T0-t)*PertePVj)+'2018'!Pspv,1-EXP((T0-t)*PertePVj)+Pspv)</f>
        <v>1.0046388184113519E-2</v>
      </c>
      <c r="M219" s="850"/>
      <c r="N219" s="850"/>
      <c r="O219" s="48">
        <f>IF(t&lt;Tnet,'2018'!Resal+('2018'!Salim-'2018'!Resal)*(1-EXP(('2018'!Tnet-t)/('2018'!Tau_j))),Resal+(Salim-Resal)*(1-EXP((Tnet-t)/(Tau_j))))*Salcycl</f>
        <v>6.8823469996890249E-2</v>
      </c>
      <c r="P219" s="169">
        <f>(INDEX(Models!$BJ219:$BT219,,T219)*(1-R219)+INDEX(Models!$BJ219:$BT219,,T219+1)*R219-ERP_i)*Q219*Ramure*Pc/MaxiM</f>
        <v>0</v>
      </c>
      <c r="Q219" s="305">
        <f t="shared" si="78"/>
        <v>0.7</v>
      </c>
      <c r="R219" s="177">
        <f t="shared" si="79"/>
        <v>0.84385227703299415</v>
      </c>
      <c r="S219" s="817">
        <f t="shared" si="80"/>
        <v>-2</v>
      </c>
      <c r="T219" s="176">
        <f t="shared" si="81"/>
        <v>4</v>
      </c>
      <c r="U219" s="251">
        <f t="shared" si="82"/>
        <v>-1.1561477229670059</v>
      </c>
      <c r="V219" s="383">
        <f t="shared" si="83"/>
        <v>37.732833197026416</v>
      </c>
      <c r="W219" s="58"/>
      <c r="X219" s="157">
        <f t="shared" si="84"/>
        <v>43670</v>
      </c>
      <c r="Y219" s="385">
        <f t="shared" si="85"/>
        <v>34.654000000000003</v>
      </c>
      <c r="Z219" s="385">
        <f t="shared" si="86"/>
        <v>35.005680656524561</v>
      </c>
      <c r="AA219" s="386">
        <f t="shared" si="87"/>
        <v>37.592958508530771</v>
      </c>
      <c r="AB219" s="197">
        <f t="shared" si="88"/>
        <v>43670</v>
      </c>
      <c r="AC219" s="427">
        <f>IF(OR(t&lt;Tnet,NoTnet),'2018'!Resal_s+('2018'!Salim-'2018'!Resal_s)*(1-EXP(('2018'!Tnet_s-t)/'2018'!Tau_j)),Resal_s+(Salim-Resal_s)*(1-EXP((Tnet_s-t)/Tau_j)))*Salcycl</f>
        <v>6.8823469996890249E-2</v>
      </c>
      <c r="AD219" s="231">
        <f>(INDEX(Models!$BJ219:$BT219,,AH219)*(1-AF219)+INDEX(Models!$BJ219:$BT219,,AH219+1)*AF219-ERP_i)*AE219*Ramure*Pc/MaxiM</f>
        <v>0</v>
      </c>
      <c r="AE219" s="305">
        <f t="shared" si="89"/>
        <v>0.7</v>
      </c>
      <c r="AF219" s="177">
        <f t="shared" si="90"/>
        <v>0.84385227703299415</v>
      </c>
      <c r="AG219" s="176">
        <f t="shared" si="91"/>
        <v>-2</v>
      </c>
      <c r="AH219" s="176">
        <f t="shared" si="92"/>
        <v>4</v>
      </c>
      <c r="AI219" s="225">
        <f t="shared" si="93"/>
        <v>-1.1561477229670059</v>
      </c>
      <c r="AJ219" s="265" t="b">
        <f t="shared" si="94"/>
        <v>0</v>
      </c>
      <c r="AK219" s="265" t="b">
        <f t="shared" si="95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6"/>
        <v>43671</v>
      </c>
      <c r="B220" s="617">
        <v>34.767000000000003</v>
      </c>
      <c r="C220" s="390"/>
      <c r="D220" s="393">
        <f t="shared" si="75"/>
        <v>35.120596650413766</v>
      </c>
      <c r="E220" s="385">
        <f t="shared" si="73"/>
        <v>37.720743387382562</v>
      </c>
      <c r="F220" s="385">
        <f t="shared" si="76"/>
        <v>37.720743387382562</v>
      </c>
      <c r="G220" s="110">
        <f t="shared" si="74"/>
        <v>0.92348701603237493</v>
      </c>
      <c r="H220" s="414" t="b">
        <f>Wh_hp&gt;='2018'!Maxi_hp</f>
        <v>0</v>
      </c>
      <c r="I220" s="390">
        <f>IF(H220,Wh_hp,'2018'!Maxi_hp)</f>
        <v>38.722926238879687</v>
      </c>
      <c r="J220" s="85">
        <f>IF(H220,An,'2018'!An_max)</f>
        <v>2018</v>
      </c>
      <c r="K220" s="197">
        <f t="shared" si="77"/>
        <v>43671</v>
      </c>
      <c r="L220" s="147">
        <f>IF(t&lt;Tvie,1-EXP((T0-t)*PertePVj)+'2018'!Pspv,1-EXP((T0-t)*PertePVj)+Pspv)</f>
        <v>1.0068070708861288E-2</v>
      </c>
      <c r="M220" s="850"/>
      <c r="N220" s="850"/>
      <c r="O220" s="48">
        <f>IF(t&lt;Tnet,'2018'!Resal+('2018'!Salim-'2018'!Resal)*(1-EXP(('2018'!Tnet-t)/('2018'!Tau_j))),Resal+(Salim-Resal)*(1-EXP((Tnet-t)/(Tau_j))))*Salcycl</f>
        <v>6.8931481817999685E-2</v>
      </c>
      <c r="P220" s="169">
        <f>(INDEX(Models!$BJ220:$BT220,,T220)*(1-R220)+INDEX(Models!$BJ220:$BT220,,T220+1)*R220-ERP_i)*Q220*Ramure*Pc/MaxiM</f>
        <v>0</v>
      </c>
      <c r="Q220" s="305">
        <f t="shared" si="78"/>
        <v>0.7</v>
      </c>
      <c r="R220" s="177">
        <f t="shared" si="79"/>
        <v>0.84581019768665255</v>
      </c>
      <c r="S220" s="817">
        <f t="shared" si="80"/>
        <v>-2</v>
      </c>
      <c r="T220" s="176">
        <f t="shared" si="81"/>
        <v>4</v>
      </c>
      <c r="U220" s="251">
        <f t="shared" si="82"/>
        <v>-1.1541898023133474</v>
      </c>
      <c r="V220" s="383">
        <f t="shared" si="83"/>
        <v>37.647524433392974</v>
      </c>
      <c r="W220" s="58"/>
      <c r="X220" s="157">
        <f t="shared" si="84"/>
        <v>43671</v>
      </c>
      <c r="Y220" s="385">
        <f t="shared" si="85"/>
        <v>34.767000000000003</v>
      </c>
      <c r="Z220" s="385">
        <f t="shared" si="86"/>
        <v>35.120596650413766</v>
      </c>
      <c r="AA220" s="386">
        <f t="shared" si="87"/>
        <v>37.720743387382562</v>
      </c>
      <c r="AB220" s="197">
        <f t="shared" si="88"/>
        <v>43671</v>
      </c>
      <c r="AC220" s="427">
        <f>IF(OR(t&lt;Tnet,NoTnet),'2018'!Resal_s+('2018'!Salim-'2018'!Resal_s)*(1-EXP(('2018'!Tnet_s-t)/'2018'!Tau_j)),Resal_s+(Salim-Resal_s)*(1-EXP((Tnet_s-t)/Tau_j)))*Salcycl</f>
        <v>6.8931481817999685E-2</v>
      </c>
      <c r="AD220" s="231">
        <f>(INDEX(Models!$BJ220:$BT220,,AH220)*(1-AF220)+INDEX(Models!$BJ220:$BT220,,AH220+1)*AF220-ERP_i)*AE220*Ramure*Pc/MaxiM</f>
        <v>0</v>
      </c>
      <c r="AE220" s="305">
        <f t="shared" si="89"/>
        <v>0.7</v>
      </c>
      <c r="AF220" s="177">
        <f t="shared" si="90"/>
        <v>0.84581019768665255</v>
      </c>
      <c r="AG220" s="176">
        <f t="shared" si="91"/>
        <v>-2</v>
      </c>
      <c r="AH220" s="176">
        <f t="shared" si="92"/>
        <v>4</v>
      </c>
      <c r="AI220" s="225">
        <f t="shared" si="93"/>
        <v>-1.1541898023133474</v>
      </c>
      <c r="AJ220" s="265" t="b">
        <f t="shared" si="94"/>
        <v>0</v>
      </c>
      <c r="AK220" s="265" t="b">
        <f t="shared" si="95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6"/>
        <v>43672</v>
      </c>
      <c r="B221" s="617">
        <v>17.5</v>
      </c>
      <c r="C221" s="390"/>
      <c r="D221" s="393">
        <f t="shared" si="75"/>
        <v>17.678370386375359</v>
      </c>
      <c r="E221" s="385">
        <f t="shared" si="73"/>
        <v>18.989378871833139</v>
      </c>
      <c r="F221" s="385">
        <f t="shared" si="76"/>
        <v>18.989378871833139</v>
      </c>
      <c r="G221" s="110">
        <f t="shared" si="74"/>
        <v>0.46589239027876633</v>
      </c>
      <c r="H221" s="414" t="b">
        <f>Wh_hp&gt;='2018'!Maxi_hp</f>
        <v>0</v>
      </c>
      <c r="I221" s="390">
        <f>IF(H221,Wh_hp,'2018'!Maxi_hp)</f>
        <v>37.901678174736496</v>
      </c>
      <c r="J221" s="85">
        <f>IF(H221,An,'2018'!An_max)</f>
        <v>2018</v>
      </c>
      <c r="K221" s="197">
        <f t="shared" si="77"/>
        <v>43672</v>
      </c>
      <c r="L221" s="147">
        <f>IF(t&lt;Tvie,1-EXP((T0-t)*PertePVj)+'2018'!Pspv,1-EXP((T0-t)*PertePVj)+Pspv)</f>
        <v>1.0089752758706161E-2</v>
      </c>
      <c r="M221" s="850"/>
      <c r="N221" s="850"/>
      <c r="O221" s="48">
        <f>IF(t&lt;Tnet,'2018'!Resal+('2018'!Salim-'2018'!Resal)*(1-EXP(('2018'!Tnet-t)/('2018'!Tau_j))),Resal+(Salim-Resal)*(1-EXP((Tnet-t)/(Tau_j))))*Salcycl</f>
        <v>6.9039039892052151E-2</v>
      </c>
      <c r="P221" s="169">
        <f>(INDEX(Models!$BJ221:$BT221,,T221)*(1-R221)+INDEX(Models!$BJ221:$BT221,,T221+1)*R221-ERP_i)*Q221*Ramure*Pc/MaxiM</f>
        <v>0</v>
      </c>
      <c r="Q221" s="305">
        <f t="shared" si="78"/>
        <v>0.7</v>
      </c>
      <c r="R221" s="177">
        <f t="shared" si="79"/>
        <v>0.84771040568719425</v>
      </c>
      <c r="S221" s="817">
        <f t="shared" si="80"/>
        <v>-2</v>
      </c>
      <c r="T221" s="176">
        <f t="shared" si="81"/>
        <v>4</v>
      </c>
      <c r="U221" s="251">
        <f t="shared" si="82"/>
        <v>-1.1522895943128058</v>
      </c>
      <c r="V221" s="383">
        <f t="shared" si="83"/>
        <v>37.562322040780458</v>
      </c>
      <c r="W221" s="58"/>
      <c r="X221" s="157">
        <f t="shared" si="84"/>
        <v>43672</v>
      </c>
      <c r="Y221" s="385">
        <f t="shared" si="85"/>
        <v>17.5</v>
      </c>
      <c r="Z221" s="385">
        <f t="shared" si="86"/>
        <v>17.678370386375359</v>
      </c>
      <c r="AA221" s="386">
        <f t="shared" si="87"/>
        <v>18.989378871833139</v>
      </c>
      <c r="AB221" s="197">
        <f t="shared" si="88"/>
        <v>43672</v>
      </c>
      <c r="AC221" s="427">
        <f>IF(OR(t&lt;Tnet,NoTnet),'2018'!Resal_s+('2018'!Salim-'2018'!Resal_s)*(1-EXP(('2018'!Tnet_s-t)/'2018'!Tau_j)),Resal_s+(Salim-Resal_s)*(1-EXP((Tnet_s-t)/Tau_j)))*Salcycl</f>
        <v>6.9039039892052151E-2</v>
      </c>
      <c r="AD221" s="231">
        <f>(INDEX(Models!$BJ221:$BT221,,AH221)*(1-AF221)+INDEX(Models!$BJ221:$BT221,,AH221+1)*AF221-ERP_i)*AE221*Ramure*Pc/MaxiM</f>
        <v>0</v>
      </c>
      <c r="AE221" s="305">
        <f t="shared" si="89"/>
        <v>0.7</v>
      </c>
      <c r="AF221" s="177">
        <f t="shared" si="90"/>
        <v>0.84771040568719425</v>
      </c>
      <c r="AG221" s="176">
        <f t="shared" si="91"/>
        <v>-2</v>
      </c>
      <c r="AH221" s="176">
        <f t="shared" si="92"/>
        <v>4</v>
      </c>
      <c r="AI221" s="225">
        <f t="shared" si="93"/>
        <v>-1.1522895943128058</v>
      </c>
      <c r="AJ221" s="265" t="b">
        <f t="shared" si="94"/>
        <v>0</v>
      </c>
      <c r="AK221" s="265" t="b">
        <f t="shared" si="95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6"/>
        <v>43673</v>
      </c>
      <c r="B222" s="617">
        <v>7.5170000000000003</v>
      </c>
      <c r="C222" s="390"/>
      <c r="D222" s="393">
        <f t="shared" si="75"/>
        <v>7.5937840487529478</v>
      </c>
      <c r="E222" s="385">
        <f t="shared" si="73"/>
        <v>8.1578694326009416</v>
      </c>
      <c r="F222" s="385">
        <f t="shared" si="76"/>
        <v>8.1578694326009416</v>
      </c>
      <c r="G222" s="110">
        <f t="shared" si="74"/>
        <v>0.20057620473500756</v>
      </c>
      <c r="H222" s="414" t="b">
        <f>Wh_hp&gt;='2018'!Maxi_hp</f>
        <v>0</v>
      </c>
      <c r="I222" s="390">
        <f>IF(H222,Wh_hp,'2018'!Maxi_hp)</f>
        <v>33.70499204234882</v>
      </c>
      <c r="J222" s="85">
        <f>IF(H222,An,'2018'!An_max)</f>
        <v>2018</v>
      </c>
      <c r="K222" s="197">
        <f t="shared" si="77"/>
        <v>43673</v>
      </c>
      <c r="L222" s="147">
        <f>IF(t&lt;Tvie,1-EXP((T0-t)*PertePVj)+'2018'!Pspv,1-EXP((T0-t)*PertePVj)+Pspv)</f>
        <v>1.0111434333658353E-2</v>
      </c>
      <c r="M222" s="850"/>
      <c r="N222" s="850"/>
      <c r="O222" s="48">
        <f>IF(t&lt;Tnet,'2018'!Resal+('2018'!Salim-'2018'!Resal)*(1-EXP(('2018'!Tnet-t)/('2018'!Tau_j))),Resal+(Salim-Resal)*(1-EXP((Tnet-t)/(Tau_j))))*Salcycl</f>
        <v>6.9146164756420825E-2</v>
      </c>
      <c r="P222" s="169">
        <f>(INDEX(Models!$BJ222:$BT222,,T222)*(1-R222)+INDEX(Models!$BJ222:$BT222,,T222+1)*R222-ERP_i)*Q222*Ramure*Pc/MaxiM</f>
        <v>0</v>
      </c>
      <c r="Q222" s="305">
        <f t="shared" si="78"/>
        <v>0.7</v>
      </c>
      <c r="R222" s="177">
        <f t="shared" si="79"/>
        <v>0.84955388141964105</v>
      </c>
      <c r="S222" s="817">
        <f t="shared" si="80"/>
        <v>-2</v>
      </c>
      <c r="T222" s="176">
        <f t="shared" si="81"/>
        <v>4</v>
      </c>
      <c r="U222" s="251">
        <f t="shared" si="82"/>
        <v>-1.1504461185803589</v>
      </c>
      <c r="V222" s="383">
        <f t="shared" si="83"/>
        <v>37.477027795650677</v>
      </c>
      <c r="W222" s="58"/>
      <c r="X222" s="157">
        <f t="shared" si="84"/>
        <v>43673</v>
      </c>
      <c r="Y222" s="385">
        <f t="shared" si="85"/>
        <v>7.5169999999999995</v>
      </c>
      <c r="Z222" s="385">
        <f t="shared" si="86"/>
        <v>7.5937840487529469</v>
      </c>
      <c r="AA222" s="386">
        <f t="shared" si="87"/>
        <v>8.1578694326009416</v>
      </c>
      <c r="AB222" s="197">
        <f t="shared" si="88"/>
        <v>43673</v>
      </c>
      <c r="AC222" s="427">
        <f>IF(OR(t&lt;Tnet,NoTnet),'2018'!Resal_s+('2018'!Salim-'2018'!Resal_s)*(1-EXP(('2018'!Tnet_s-t)/'2018'!Tau_j)),Resal_s+(Salim-Resal_s)*(1-EXP((Tnet_s-t)/Tau_j)))*Salcycl</f>
        <v>6.9146164756420825E-2</v>
      </c>
      <c r="AD222" s="231">
        <f>(INDEX(Models!$BJ222:$BT222,,AH222)*(1-AF222)+INDEX(Models!$BJ222:$BT222,,AH222+1)*AF222-ERP_i)*AE222*Ramure*Pc/MaxiM</f>
        <v>0</v>
      </c>
      <c r="AE222" s="305">
        <f t="shared" si="89"/>
        <v>0.7</v>
      </c>
      <c r="AF222" s="177">
        <f t="shared" si="90"/>
        <v>0.84955388141964105</v>
      </c>
      <c r="AG222" s="176">
        <f t="shared" si="91"/>
        <v>-2</v>
      </c>
      <c r="AH222" s="176">
        <f t="shared" si="92"/>
        <v>4</v>
      </c>
      <c r="AI222" s="225">
        <f t="shared" si="93"/>
        <v>-1.1504461185803589</v>
      </c>
      <c r="AJ222" s="265" t="b">
        <f t="shared" si="94"/>
        <v>0</v>
      </c>
      <c r="AK222" s="265" t="b">
        <f t="shared" si="95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6"/>
        <v>43674</v>
      </c>
      <c r="B223" s="617">
        <v>36.677999999999997</v>
      </c>
      <c r="C223" s="390"/>
      <c r="D223" s="393">
        <f t="shared" si="75"/>
        <v>37.053467058927971</v>
      </c>
      <c r="E223" s="385">
        <f t="shared" si="73"/>
        <v>39.810455578458225</v>
      </c>
      <c r="F223" s="385">
        <f t="shared" si="76"/>
        <v>39.810455578458225</v>
      </c>
      <c r="G223" s="110">
        <f t="shared" si="74"/>
        <v>0.98091960133731959</v>
      </c>
      <c r="H223" s="414" t="b">
        <f>Wh_hp&gt;='2018'!Maxi_hp</f>
        <v>1</v>
      </c>
      <c r="I223" s="390">
        <f>IF(H223,Wh_hp,'2018'!Maxi_hp)</f>
        <v>39.810455578458225</v>
      </c>
      <c r="J223" s="85">
        <f>IF(H223,An,'2018'!An_max)</f>
        <v>2019</v>
      </c>
      <c r="K223" s="197">
        <f t="shared" si="77"/>
        <v>43674</v>
      </c>
      <c r="L223" s="147">
        <f>IF(t&lt;Tvie,1-EXP((T0-t)*PertePVj)+'2018'!Pspv,1-EXP((T0-t)*PertePVj)+Pspv)</f>
        <v>1.0133115433728523E-2</v>
      </c>
      <c r="M223" s="850"/>
      <c r="N223" s="850"/>
      <c r="O223" s="48">
        <f>IF(t&lt;Tnet,'2018'!Resal+('2018'!Salim-'2018'!Resal)*(1-EXP(('2018'!Tnet-t)/('2018'!Tau_j))),Resal+(Salim-Resal)*(1-EXP((Tnet-t)/(Tau_j))))*Salcycl</f>
        <v>6.925287539342008E-2</v>
      </c>
      <c r="P223" s="169">
        <f>(INDEX(Models!$BJ223:$BT223,,T223)*(1-R223)+INDEX(Models!$BJ223:$BT223,,T223+1)*R223-ERP_i)*Q223*Ramure*Pc/MaxiM</f>
        <v>0</v>
      </c>
      <c r="Q223" s="305">
        <f t="shared" si="78"/>
        <v>0.7</v>
      </c>
      <c r="R223" s="177">
        <f t="shared" si="79"/>
        <v>0.85134164054406103</v>
      </c>
      <c r="S223" s="817">
        <f t="shared" si="80"/>
        <v>-2</v>
      </c>
      <c r="T223" s="176">
        <f t="shared" si="81"/>
        <v>4</v>
      </c>
      <c r="U223" s="251">
        <f t="shared" si="82"/>
        <v>-1.148658359455939</v>
      </c>
      <c r="V223" s="383">
        <f t="shared" si="83"/>
        <v>37.391443651442678</v>
      </c>
      <c r="W223" s="58"/>
      <c r="X223" s="157">
        <f t="shared" si="84"/>
        <v>43674</v>
      </c>
      <c r="Y223" s="385">
        <f t="shared" si="85"/>
        <v>36.677999999999997</v>
      </c>
      <c r="Z223" s="385">
        <f t="shared" si="86"/>
        <v>37.053467058927971</v>
      </c>
      <c r="AA223" s="386">
        <f t="shared" si="87"/>
        <v>39.810455578458225</v>
      </c>
      <c r="AB223" s="197">
        <f t="shared" si="88"/>
        <v>43674</v>
      </c>
      <c r="AC223" s="427">
        <f>IF(OR(t&lt;Tnet,NoTnet),'2018'!Resal_s+('2018'!Salim-'2018'!Resal_s)*(1-EXP(('2018'!Tnet_s-t)/'2018'!Tau_j)),Resal_s+(Salim-Resal_s)*(1-EXP((Tnet_s-t)/Tau_j)))*Salcycl</f>
        <v>6.925287539342008E-2</v>
      </c>
      <c r="AD223" s="231">
        <f>(INDEX(Models!$BJ223:$BT223,,AH223)*(1-AF223)+INDEX(Models!$BJ223:$BT223,,AH223+1)*AF223-ERP_i)*AE223*Ramure*Pc/MaxiM</f>
        <v>0</v>
      </c>
      <c r="AE223" s="305">
        <f t="shared" si="89"/>
        <v>0.7</v>
      </c>
      <c r="AF223" s="177">
        <f t="shared" si="90"/>
        <v>0.85134164054406103</v>
      </c>
      <c r="AG223" s="176">
        <f t="shared" si="91"/>
        <v>-2</v>
      </c>
      <c r="AH223" s="176">
        <f t="shared" si="92"/>
        <v>4</v>
      </c>
      <c r="AI223" s="225">
        <f t="shared" si="93"/>
        <v>-1.148658359455939</v>
      </c>
      <c r="AJ223" s="265" t="b">
        <f t="shared" si="94"/>
        <v>0</v>
      </c>
      <c r="AK223" s="265" t="b">
        <f t="shared" si="95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6"/>
        <v>43675</v>
      </c>
      <c r="B224" s="617">
        <v>34.700000000000003</v>
      </c>
      <c r="C224" s="390"/>
      <c r="D224" s="393">
        <f t="shared" si="75"/>
        <v>35.05598639245995</v>
      </c>
      <c r="E224" s="385">
        <f t="shared" si="73"/>
        <v>37.668653668976141</v>
      </c>
      <c r="F224" s="385">
        <f t="shared" si="76"/>
        <v>37.668653668976141</v>
      </c>
      <c r="G224" s="110">
        <f t="shared" si="74"/>
        <v>0.93016094954257955</v>
      </c>
      <c r="H224" s="414" t="b">
        <f>Wh_hp&gt;='2018'!Maxi_hp</f>
        <v>1</v>
      </c>
      <c r="I224" s="390">
        <f>IF(H224,Wh_hp,'2018'!Maxi_hp)</f>
        <v>37.668653668976141</v>
      </c>
      <c r="J224" s="85">
        <f>IF(H224,An,'2018'!An_max)</f>
        <v>2019</v>
      </c>
      <c r="K224" s="197">
        <f t="shared" si="77"/>
        <v>43675</v>
      </c>
      <c r="L224" s="147">
        <f>IF(t&lt;Tvie,1-EXP((T0-t)*PertePVj)+'2018'!Pspv,1-EXP((T0-t)*PertePVj)+Pspv)</f>
        <v>1.0154796058926885E-2</v>
      </c>
      <c r="M224" s="850"/>
      <c r="N224" s="850"/>
      <c r="O224" s="48">
        <f>IF(t&lt;Tnet,'2018'!Resal+('2018'!Salim-'2018'!Resal)*(1-EXP(('2018'!Tnet-t)/('2018'!Tau_j))),Resal+(Salim-Resal)*(1-EXP((Tnet-t)/(Tau_j))))*Salcycl</f>
        <v>6.9359189194170168E-2</v>
      </c>
      <c r="P224" s="169">
        <f>(INDEX(Models!$BJ224:$BT224,,T224)*(1-R224)+INDEX(Models!$BJ224:$BT224,,T224+1)*R224-ERP_i)*Q224*Ramure*Pc/MaxiM</f>
        <v>0</v>
      </c>
      <c r="Q224" s="305">
        <f t="shared" si="78"/>
        <v>0.7</v>
      </c>
      <c r="R224" s="177">
        <f t="shared" si="79"/>
        <v>0.8530747294988088</v>
      </c>
      <c r="S224" s="817">
        <f t="shared" si="80"/>
        <v>-2</v>
      </c>
      <c r="T224" s="176">
        <f t="shared" si="81"/>
        <v>4</v>
      </c>
      <c r="U224" s="251">
        <f t="shared" si="82"/>
        <v>-1.1469252705011912</v>
      </c>
      <c r="V224" s="383">
        <f t="shared" si="83"/>
        <v>37.305371739228839</v>
      </c>
      <c r="W224" s="58"/>
      <c r="X224" s="157">
        <f t="shared" si="84"/>
        <v>43675</v>
      </c>
      <c r="Y224" s="385">
        <f t="shared" si="85"/>
        <v>34.700000000000003</v>
      </c>
      <c r="Z224" s="385">
        <f t="shared" si="86"/>
        <v>35.05598639245995</v>
      </c>
      <c r="AA224" s="386">
        <f t="shared" si="87"/>
        <v>37.668653668976141</v>
      </c>
      <c r="AB224" s="197">
        <f t="shared" si="88"/>
        <v>43675</v>
      </c>
      <c r="AC224" s="427">
        <f>IF(OR(t&lt;Tnet,NoTnet),'2018'!Resal_s+('2018'!Salim-'2018'!Resal_s)*(1-EXP(('2018'!Tnet_s-t)/'2018'!Tau_j)),Resal_s+(Salim-Resal_s)*(1-EXP((Tnet_s-t)/Tau_j)))*Salcycl</f>
        <v>6.9359189194170168E-2</v>
      </c>
      <c r="AD224" s="231">
        <f>(INDEX(Models!$BJ224:$BT224,,AH224)*(1-AF224)+INDEX(Models!$BJ224:$BT224,,AH224+1)*AF224-ERP_i)*AE224*Ramure*Pc/MaxiM</f>
        <v>0</v>
      </c>
      <c r="AE224" s="305">
        <f t="shared" si="89"/>
        <v>0.7</v>
      </c>
      <c r="AF224" s="177">
        <f t="shared" si="90"/>
        <v>0.8530747294988088</v>
      </c>
      <c r="AG224" s="176">
        <f t="shared" si="91"/>
        <v>-2</v>
      </c>
      <c r="AH224" s="176">
        <f t="shared" si="92"/>
        <v>4</v>
      </c>
      <c r="AI224" s="225">
        <f t="shared" si="93"/>
        <v>-1.1469252705011912</v>
      </c>
      <c r="AJ224" s="265" t="b">
        <f t="shared" si="94"/>
        <v>0</v>
      </c>
      <c r="AK224" s="265" t="b">
        <f t="shared" si="95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6"/>
        <v>43676</v>
      </c>
      <c r="B225" s="617">
        <v>18.055</v>
      </c>
      <c r="C225" s="390"/>
      <c r="D225" s="393">
        <f t="shared" si="75"/>
        <v>18.240625289298645</v>
      </c>
      <c r="E225" s="385">
        <f t="shared" si="73"/>
        <v>19.602301557186721</v>
      </c>
      <c r="F225" s="385">
        <f t="shared" si="76"/>
        <v>19.602301557186721</v>
      </c>
      <c r="G225" s="110">
        <f t="shared" si="74"/>
        <v>0.48510672164529806</v>
      </c>
      <c r="H225" s="414" t="b">
        <f>Wh_hp&gt;='2018'!Maxi_hp</f>
        <v>0</v>
      </c>
      <c r="I225" s="390">
        <f>IF(H225,Wh_hp,'2018'!Maxi_hp)</f>
        <v>37.359921298844867</v>
      </c>
      <c r="J225" s="85">
        <f>IF(H225,An,'2018'!An_max)</f>
        <v>2018</v>
      </c>
      <c r="K225" s="197">
        <f t="shared" si="77"/>
        <v>43676</v>
      </c>
      <c r="L225" s="147">
        <f>IF(t&lt;Tvie,1-EXP((T0-t)*PertePVj)+'2018'!Pspv,1-EXP((T0-t)*PertePVj)+Pspv)</f>
        <v>1.0176476209263985E-2</v>
      </c>
      <c r="M225" s="850"/>
      <c r="N225" s="850"/>
      <c r="O225" s="48">
        <f>IF(t&lt;Tnet,'2018'!Resal+('2018'!Salim-'2018'!Resal)*(1-EXP(('2018'!Tnet-t)/('2018'!Tau_j))),Resal+(Salim-Resal)*(1-EXP((Tnet-t)/(Tau_j))))*Salcycl</f>
        <v>6.9465121935584531E-2</v>
      </c>
      <c r="P225" s="169">
        <f>(INDEX(Models!$BJ225:$BT225,,T225)*(1-R225)+INDEX(Models!$BJ225:$BT225,,T225+1)*R225-ERP_i)*Q225*Ramure*Pc/MaxiM</f>
        <v>0</v>
      </c>
      <c r="Q225" s="305">
        <f t="shared" si="78"/>
        <v>0.7</v>
      </c>
      <c r="R225" s="177">
        <f t="shared" si="79"/>
        <v>0.85475422119923783</v>
      </c>
      <c r="S225" s="817">
        <f t="shared" si="80"/>
        <v>-2</v>
      </c>
      <c r="T225" s="176">
        <f t="shared" si="81"/>
        <v>4</v>
      </c>
      <c r="U225" s="251">
        <f t="shared" si="82"/>
        <v>-1.1452457788007622</v>
      </c>
      <c r="V225" s="383">
        <f t="shared" si="83"/>
        <v>37.218614367503065</v>
      </c>
      <c r="W225" s="58"/>
      <c r="X225" s="157">
        <f t="shared" si="84"/>
        <v>43676</v>
      </c>
      <c r="Y225" s="385">
        <f t="shared" si="85"/>
        <v>18.055</v>
      </c>
      <c r="Z225" s="385">
        <f t="shared" si="86"/>
        <v>18.240625289298645</v>
      </c>
      <c r="AA225" s="386">
        <f t="shared" si="87"/>
        <v>19.602301557186721</v>
      </c>
      <c r="AB225" s="197">
        <f t="shared" si="88"/>
        <v>43676</v>
      </c>
      <c r="AC225" s="427">
        <f>IF(OR(t&lt;Tnet,NoTnet),'2018'!Resal_s+('2018'!Salim-'2018'!Resal_s)*(1-EXP(('2018'!Tnet_s-t)/'2018'!Tau_j)),Resal_s+(Salim-Resal_s)*(1-EXP((Tnet_s-t)/Tau_j)))*Salcycl</f>
        <v>6.9465121935584531E-2</v>
      </c>
      <c r="AD225" s="231">
        <f>(INDEX(Models!$BJ225:$BT225,,AH225)*(1-AF225)+INDEX(Models!$BJ225:$BT225,,AH225+1)*AF225-ERP_i)*AE225*Ramure*Pc/MaxiM</f>
        <v>0</v>
      </c>
      <c r="AE225" s="305">
        <f t="shared" si="89"/>
        <v>0.7</v>
      </c>
      <c r="AF225" s="177">
        <f t="shared" si="90"/>
        <v>0.85475422119923783</v>
      </c>
      <c r="AG225" s="176">
        <f t="shared" si="91"/>
        <v>-2</v>
      </c>
      <c r="AH225" s="176">
        <f t="shared" si="92"/>
        <v>4</v>
      </c>
      <c r="AI225" s="225">
        <f t="shared" si="93"/>
        <v>-1.1452457788007622</v>
      </c>
      <c r="AJ225" s="265" t="b">
        <f t="shared" si="94"/>
        <v>0</v>
      </c>
      <c r="AK225" s="265" t="b">
        <f t="shared" si="95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6"/>
        <v>43677</v>
      </c>
      <c r="B226" s="617">
        <v>35.362000000000002</v>
      </c>
      <c r="C226" s="390"/>
      <c r="D226" s="393">
        <f t="shared" si="75"/>
        <v>35.726342813201043</v>
      </c>
      <c r="E226" s="385">
        <f t="shared" si="73"/>
        <v>38.397697002447323</v>
      </c>
      <c r="F226" s="385">
        <f t="shared" si="76"/>
        <v>38.397697002447323</v>
      </c>
      <c r="G226" s="110">
        <f t="shared" si="74"/>
        <v>0.95235853444771856</v>
      </c>
      <c r="H226" s="414" t="b">
        <f>Wh_hp&gt;='2018'!Maxi_hp</f>
        <v>1</v>
      </c>
      <c r="I226" s="390">
        <f>IF(H226,Wh_hp,'2018'!Maxi_hp)</f>
        <v>38.397697002447323</v>
      </c>
      <c r="J226" s="85">
        <f>IF(H226,An,'2018'!An_max)</f>
        <v>2019</v>
      </c>
      <c r="K226" s="197">
        <f t="shared" si="77"/>
        <v>43677</v>
      </c>
      <c r="L226" s="147">
        <f>IF(t&lt;Tvie,1-EXP((T0-t)*PertePVj)+'2018'!Pspv,1-EXP((T0-t)*PertePVj)+Pspv)</f>
        <v>1.0198155884750038E-2</v>
      </c>
      <c r="M226" s="850"/>
      <c r="N226" s="850"/>
      <c r="O226" s="48">
        <f>IF(t&lt;Tnet,'2018'!Resal+('2018'!Salim-'2018'!Resal)*(1-EXP(('2018'!Tnet-t)/('2018'!Tau_j))),Resal+(Salim-Resal)*(1-EXP((Tnet-t)/(Tau_j))))*Salcycl</f>
        <v>6.9570687770050862E-2</v>
      </c>
      <c r="P226" s="169">
        <f>(INDEX(Models!$BJ226:$BT226,,T226)*(1-R226)+INDEX(Models!$BJ226:$BT226,,T226+1)*R226-ERP_i)*Q226*Ramure*Pc/MaxiM</f>
        <v>0</v>
      </c>
      <c r="Q226" s="305">
        <f t="shared" si="78"/>
        <v>0.7</v>
      </c>
      <c r="R226" s="177">
        <f t="shared" si="79"/>
        <v>0.85638121093788833</v>
      </c>
      <c r="S226" s="817">
        <f t="shared" si="80"/>
        <v>-2</v>
      </c>
      <c r="T226" s="176">
        <f t="shared" si="81"/>
        <v>4</v>
      </c>
      <c r="U226" s="251">
        <f t="shared" si="82"/>
        <v>-1.1436187890621117</v>
      </c>
      <c r="V226" s="383">
        <f t="shared" si="83"/>
        <v>37.130974019681304</v>
      </c>
      <c r="W226" s="58"/>
      <c r="X226" s="157">
        <f t="shared" si="84"/>
        <v>43677</v>
      </c>
      <c r="Y226" s="385">
        <f t="shared" si="85"/>
        <v>35.362000000000002</v>
      </c>
      <c r="Z226" s="385">
        <f t="shared" si="86"/>
        <v>35.726342813201043</v>
      </c>
      <c r="AA226" s="386">
        <f t="shared" si="87"/>
        <v>38.397697002447323</v>
      </c>
      <c r="AB226" s="197">
        <f t="shared" si="88"/>
        <v>43677</v>
      </c>
      <c r="AC226" s="427">
        <f>IF(OR(t&lt;Tnet,NoTnet),'2018'!Resal_s+('2018'!Salim-'2018'!Resal_s)*(1-EXP(('2018'!Tnet_s-t)/'2018'!Tau_j)),Resal_s+(Salim-Resal_s)*(1-EXP((Tnet_s-t)/Tau_j)))*Salcycl</f>
        <v>6.9570687770050862E-2</v>
      </c>
      <c r="AD226" s="231">
        <f>(INDEX(Models!$BJ226:$BT226,,AH226)*(1-AF226)+INDEX(Models!$BJ226:$BT226,,AH226+1)*AF226-ERP_i)*AE226*Ramure*Pc/MaxiM</f>
        <v>0</v>
      </c>
      <c r="AE226" s="305">
        <f t="shared" si="89"/>
        <v>0.7</v>
      </c>
      <c r="AF226" s="177">
        <f t="shared" si="90"/>
        <v>0.85638121093788833</v>
      </c>
      <c r="AG226" s="176">
        <f t="shared" si="91"/>
        <v>-2</v>
      </c>
      <c r="AH226" s="176">
        <f t="shared" si="92"/>
        <v>4</v>
      </c>
      <c r="AI226" s="225">
        <f t="shared" si="93"/>
        <v>-1.1436187890621117</v>
      </c>
      <c r="AJ226" s="265" t="b">
        <f t="shared" si="94"/>
        <v>0</v>
      </c>
      <c r="AK226" s="265" t="b">
        <f t="shared" si="95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6"/>
        <v>43678</v>
      </c>
      <c r="B227" s="617">
        <v>32.478999999999999</v>
      </c>
      <c r="C227" s="390"/>
      <c r="D227" s="393">
        <f t="shared" si="75"/>
        <v>32.81435732024616</v>
      </c>
      <c r="E227" s="385">
        <f t="shared" si="73"/>
        <v>35.271963064259054</v>
      </c>
      <c r="F227" s="385">
        <f t="shared" si="76"/>
        <v>35.271963064259054</v>
      </c>
      <c r="G227" s="110">
        <f t="shared" si="74"/>
        <v>0.87680950965517401</v>
      </c>
      <c r="H227" s="414" t="b">
        <f>Wh_hp&gt;='2018'!Maxi_hp</f>
        <v>0</v>
      </c>
      <c r="I227" s="390">
        <f>IF(H227,Wh_hp,'2018'!Maxi_hp)</f>
        <v>36.682818725811266</v>
      </c>
      <c r="J227" s="85">
        <f>IF(H227,An,'2018'!An_max)</f>
        <v>2018</v>
      </c>
      <c r="K227" s="197">
        <f t="shared" si="77"/>
        <v>43678</v>
      </c>
      <c r="L227" s="147">
        <f>IF(t&lt;Tvie,1-EXP((T0-t)*PertePVj)+'2018'!Pspv,1-EXP((T0-t)*PertePVj)+Pspv)</f>
        <v>1.0219835085395701E-2</v>
      </c>
      <c r="M227" s="850"/>
      <c r="N227" s="850"/>
      <c r="O227" s="48">
        <f>IF(t&lt;Tnet,'2018'!Resal+('2018'!Salim-'2018'!Resal)*(1-EXP(('2018'!Tnet-t)/('2018'!Tau_j))),Resal+(Salim-Resal)*(1-EXP((Tnet-t)/(Tau_j))))*Salcycl</f>
        <v>6.9675899227258364E-2</v>
      </c>
      <c r="P227" s="169">
        <f>(INDEX(Models!$BJ227:$BT227,,T227)*(1-R227)+INDEX(Models!$BJ227:$BT227,,T227+1)*R227-ERP_i)*Q227*Ramure*Pc/MaxiM</f>
        <v>0</v>
      </c>
      <c r="Q227" s="305">
        <f t="shared" si="78"/>
        <v>0.7</v>
      </c>
      <c r="R227" s="177">
        <f t="shared" si="79"/>
        <v>0.85795681249028033</v>
      </c>
      <c r="S227" s="817">
        <f t="shared" si="80"/>
        <v>-2</v>
      </c>
      <c r="T227" s="176">
        <f t="shared" si="81"/>
        <v>4</v>
      </c>
      <c r="U227" s="251">
        <f t="shared" si="82"/>
        <v>-1.1420431875097197</v>
      </c>
      <c r="V227" s="383">
        <f t="shared" si="83"/>
        <v>37.042253354178527</v>
      </c>
      <c r="W227" s="58"/>
      <c r="X227" s="157">
        <f t="shared" si="84"/>
        <v>43678</v>
      </c>
      <c r="Y227" s="385">
        <f t="shared" si="85"/>
        <v>32.478999999999999</v>
      </c>
      <c r="Z227" s="385">
        <f t="shared" si="86"/>
        <v>32.81435732024616</v>
      </c>
      <c r="AA227" s="386">
        <f t="shared" si="87"/>
        <v>35.271963064259054</v>
      </c>
      <c r="AB227" s="197">
        <f t="shared" si="88"/>
        <v>43678</v>
      </c>
      <c r="AC227" s="427">
        <f>IF(OR(t&lt;Tnet,NoTnet),'2018'!Resal_s+('2018'!Salim-'2018'!Resal_s)*(1-EXP(('2018'!Tnet_s-t)/'2018'!Tau_j)),Resal_s+(Salim-Resal_s)*(1-EXP((Tnet_s-t)/Tau_j)))*Salcycl</f>
        <v>6.9675899227258364E-2</v>
      </c>
      <c r="AD227" s="231">
        <f>(INDEX(Models!$BJ227:$BT227,,AH227)*(1-AF227)+INDEX(Models!$BJ227:$BT227,,AH227+1)*AF227-ERP_i)*AE227*Ramure*Pc/MaxiM</f>
        <v>0</v>
      </c>
      <c r="AE227" s="305">
        <f t="shared" si="89"/>
        <v>0.7</v>
      </c>
      <c r="AF227" s="177">
        <f t="shared" si="90"/>
        <v>0.85795681249028033</v>
      </c>
      <c r="AG227" s="176">
        <f t="shared" si="91"/>
        <v>-2</v>
      </c>
      <c r="AH227" s="176">
        <f t="shared" si="92"/>
        <v>4</v>
      </c>
      <c r="AI227" s="225">
        <f t="shared" si="93"/>
        <v>-1.1420431875097197</v>
      </c>
      <c r="AJ227" s="265" t="b">
        <f t="shared" si="94"/>
        <v>0</v>
      </c>
      <c r="AK227" s="265" t="b">
        <f t="shared" si="95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6"/>
        <v>43679</v>
      </c>
      <c r="B228" s="617">
        <v>34.036000000000001</v>
      </c>
      <c r="C228" s="390"/>
      <c r="D228" s="393">
        <f t="shared" si="75"/>
        <v>34.388187093056047</v>
      </c>
      <c r="E228" s="385">
        <f t="shared" si="73"/>
        <v>36.967830680691435</v>
      </c>
      <c r="F228" s="385">
        <f t="shared" si="76"/>
        <v>36.967830680691435</v>
      </c>
      <c r="G228" s="110">
        <f t="shared" si="74"/>
        <v>0.92108045406908223</v>
      </c>
      <c r="H228" s="414" t="b">
        <f>Wh_hp&gt;='2018'!Maxi_hp</f>
        <v>0</v>
      </c>
      <c r="I228" s="390">
        <f>IF(H228,Wh_hp,'2018'!Maxi_hp)</f>
        <v>36.981536414152679</v>
      </c>
      <c r="J228" s="85">
        <f>IF(H228,An,'2018'!An_max)</f>
        <v>2018</v>
      </c>
      <c r="K228" s="197">
        <f t="shared" si="77"/>
        <v>43679</v>
      </c>
      <c r="L228" s="147">
        <f>IF(t&lt;Tvie,1-EXP((T0-t)*PertePVj)+'2018'!Pspv,1-EXP((T0-t)*PertePVj)+Pspv)</f>
        <v>1.0241513811211078E-2</v>
      </c>
      <c r="M228" s="850"/>
      <c r="N228" s="850"/>
      <c r="O228" s="48">
        <f>IF(t&lt;Tnet,'2018'!Resal+('2018'!Salim-'2018'!Resal)*(1-EXP(('2018'!Tnet-t)/('2018'!Tau_j))),Resal+(Salim-Resal)*(1-EXP((Tnet-t)/(Tau_j))))*Salcycl</f>
        <v>6.9780767227511489E-2</v>
      </c>
      <c r="P228" s="169">
        <f>(INDEX(Models!$BJ228:$BT228,,T228)*(1-R228)+INDEX(Models!$BJ228:$BT228,,T228+1)*R228-ERP_i)*Q228*Ramure*Pc/MaxiM</f>
        <v>0</v>
      </c>
      <c r="Q228" s="305">
        <f t="shared" si="78"/>
        <v>0.7</v>
      </c>
      <c r="R228" s="177">
        <f t="shared" si="79"/>
        <v>0.85948215442874876</v>
      </c>
      <c r="S228" s="817">
        <f t="shared" si="80"/>
        <v>-2</v>
      </c>
      <c r="T228" s="176">
        <f t="shared" si="81"/>
        <v>4</v>
      </c>
      <c r="U228" s="251">
        <f t="shared" si="82"/>
        <v>-1.1405178455712512</v>
      </c>
      <c r="V228" s="383">
        <f t="shared" si="83"/>
        <v>36.952255201636561</v>
      </c>
      <c r="W228" s="58"/>
      <c r="X228" s="157">
        <f t="shared" si="84"/>
        <v>43679</v>
      </c>
      <c r="Y228" s="385">
        <f t="shared" si="85"/>
        <v>34.036000000000001</v>
      </c>
      <c r="Z228" s="385">
        <f t="shared" si="86"/>
        <v>34.388187093056047</v>
      </c>
      <c r="AA228" s="386">
        <f t="shared" si="87"/>
        <v>36.967830680691435</v>
      </c>
      <c r="AB228" s="197">
        <f t="shared" si="88"/>
        <v>43679</v>
      </c>
      <c r="AC228" s="427">
        <f>IF(OR(t&lt;Tnet,NoTnet),'2018'!Resal_s+('2018'!Salim-'2018'!Resal_s)*(1-EXP(('2018'!Tnet_s-t)/'2018'!Tau_j)),Resal_s+(Salim-Resal_s)*(1-EXP((Tnet_s-t)/Tau_j)))*Salcycl</f>
        <v>6.9780767227511489E-2</v>
      </c>
      <c r="AD228" s="231">
        <f>(INDEX(Models!$BJ228:$BT228,,AH228)*(1-AF228)+INDEX(Models!$BJ228:$BT228,,AH228+1)*AF228-ERP_i)*AE228*Ramure*Pc/MaxiM</f>
        <v>0</v>
      </c>
      <c r="AE228" s="305">
        <f t="shared" si="89"/>
        <v>0.7</v>
      </c>
      <c r="AF228" s="177">
        <f t="shared" si="90"/>
        <v>0.85948215442874876</v>
      </c>
      <c r="AG228" s="176">
        <f t="shared" si="91"/>
        <v>-2</v>
      </c>
      <c r="AH228" s="176">
        <f t="shared" si="92"/>
        <v>4</v>
      </c>
      <c r="AI228" s="225">
        <f t="shared" si="93"/>
        <v>-1.1405178455712512</v>
      </c>
      <c r="AJ228" s="265" t="b">
        <f t="shared" si="94"/>
        <v>0</v>
      </c>
      <c r="AK228" s="265" t="b">
        <f t="shared" si="95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6"/>
        <v>43680</v>
      </c>
      <c r="B229" s="617">
        <v>35.843000000000004</v>
      </c>
      <c r="C229" s="390"/>
      <c r="D229" s="393">
        <f t="shared" si="75"/>
        <v>36.214678197815196</v>
      </c>
      <c r="E229" s="385">
        <f t="shared" si="73"/>
        <v>38.935712166326411</v>
      </c>
      <c r="F229" s="385">
        <f t="shared" si="76"/>
        <v>38.935712166326411</v>
      </c>
      <c r="G229" s="110">
        <f t="shared" si="74"/>
        <v>0.97238847110156712</v>
      </c>
      <c r="H229" s="414" t="b">
        <f>Wh_hp&gt;='2018'!Maxi_hp</f>
        <v>1</v>
      </c>
      <c r="I229" s="390">
        <f>IF(H229,Wh_hp,'2018'!Maxi_hp)</f>
        <v>38.935712166326411</v>
      </c>
      <c r="J229" s="85">
        <f>IF(H229,An,'2018'!An_max)</f>
        <v>2019</v>
      </c>
      <c r="K229" s="197">
        <f t="shared" si="77"/>
        <v>43680</v>
      </c>
      <c r="L229" s="147">
        <f>IF(t&lt;Tvie,1-EXP((T0-t)*PertePVj)+'2018'!Pspv,1-EXP((T0-t)*PertePVj)+Pspv)</f>
        <v>1.0263192062206827E-2</v>
      </c>
      <c r="M229" s="850"/>
      <c r="N229" s="850"/>
      <c r="O229" s="48">
        <f>IF(t&lt;Tnet,'2018'!Resal+('2018'!Salim-'2018'!Resal)*(1-EXP(('2018'!Tnet-t)/('2018'!Tau_j))),Resal+(Salim-Resal)*(1-EXP((Tnet-t)/(Tau_j))))*Salcycl</f>
        <v>6.9885301105767517E-2</v>
      </c>
      <c r="P229" s="169">
        <f>(INDEX(Models!$BJ229:$BT229,,T229)*(1-R229)+INDEX(Models!$BJ229:$BT229,,T229+1)*R229-ERP_i)*Q229*Ramure*Pc/MaxiM</f>
        <v>0</v>
      </c>
      <c r="Q229" s="305">
        <f t="shared" si="78"/>
        <v>0.7</v>
      </c>
      <c r="R229" s="177">
        <f t="shared" si="79"/>
        <v>0.86095837664519204</v>
      </c>
      <c r="S229" s="817">
        <f t="shared" si="80"/>
        <v>-2</v>
      </c>
      <c r="T229" s="176">
        <f t="shared" si="81"/>
        <v>4</v>
      </c>
      <c r="U229" s="251">
        <f t="shared" si="82"/>
        <v>-1.139041623354808</v>
      </c>
      <c r="V229" s="383">
        <f t="shared" si="83"/>
        <v>36.860782562955904</v>
      </c>
      <c r="W229" s="58"/>
      <c r="X229" s="157">
        <f t="shared" si="84"/>
        <v>43680</v>
      </c>
      <c r="Y229" s="385">
        <f t="shared" si="85"/>
        <v>35.843000000000004</v>
      </c>
      <c r="Z229" s="385">
        <f t="shared" si="86"/>
        <v>36.214678197815196</v>
      </c>
      <c r="AA229" s="386">
        <f t="shared" si="87"/>
        <v>38.935712166326411</v>
      </c>
      <c r="AB229" s="197">
        <f t="shared" si="88"/>
        <v>43680</v>
      </c>
      <c r="AC229" s="427">
        <f>IF(OR(t&lt;Tnet,NoTnet),'2018'!Resal_s+('2018'!Salim-'2018'!Resal_s)*(1-EXP(('2018'!Tnet_s-t)/'2018'!Tau_j)),Resal_s+(Salim-Resal_s)*(1-EXP((Tnet_s-t)/Tau_j)))*Salcycl</f>
        <v>6.9885301105767517E-2</v>
      </c>
      <c r="AD229" s="231">
        <f>(INDEX(Models!$BJ229:$BT229,,AH229)*(1-AF229)+INDEX(Models!$BJ229:$BT229,,AH229+1)*AF229-ERP_i)*AE229*Ramure*Pc/MaxiM</f>
        <v>0</v>
      </c>
      <c r="AE229" s="305">
        <f t="shared" si="89"/>
        <v>0.7</v>
      </c>
      <c r="AF229" s="177">
        <f t="shared" si="90"/>
        <v>0.86095837664519204</v>
      </c>
      <c r="AG229" s="176">
        <f t="shared" si="91"/>
        <v>-2</v>
      </c>
      <c r="AH229" s="176">
        <f t="shared" si="92"/>
        <v>4</v>
      </c>
      <c r="AI229" s="225">
        <f t="shared" si="93"/>
        <v>-1.139041623354808</v>
      </c>
      <c r="AJ229" s="265" t="b">
        <f t="shared" si="94"/>
        <v>0</v>
      </c>
      <c r="AK229" s="265" t="b">
        <f t="shared" si="95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6"/>
        <v>43681</v>
      </c>
      <c r="B230" s="617">
        <v>33.634999999999998</v>
      </c>
      <c r="C230" s="390"/>
      <c r="D230" s="393">
        <f t="shared" si="75"/>
        <v>33.984526430860839</v>
      </c>
      <c r="E230" s="385">
        <f t="shared" si="73"/>
        <v>36.542089306289583</v>
      </c>
      <c r="F230" s="385">
        <f t="shared" si="76"/>
        <v>36.542089306289583</v>
      </c>
      <c r="G230" s="110">
        <f t="shared" si="74"/>
        <v>0.91479902638684552</v>
      </c>
      <c r="H230" s="414" t="b">
        <f>Wh_hp&gt;='2018'!Maxi_hp</f>
        <v>1</v>
      </c>
      <c r="I230" s="390">
        <f>IF(H230,Wh_hp,'2018'!Maxi_hp)</f>
        <v>36.542089306289583</v>
      </c>
      <c r="J230" s="85">
        <f>IF(H230,An,'2018'!An_max)</f>
        <v>2019</v>
      </c>
      <c r="K230" s="197">
        <f t="shared" si="77"/>
        <v>43681</v>
      </c>
      <c r="L230" s="147">
        <f>IF(t&lt;Tvie,1-EXP((T0-t)*PertePVj)+'2018'!Pspv,1-EXP((T0-t)*PertePVj)+Pspv)</f>
        <v>1.0284869838393274E-2</v>
      </c>
      <c r="M230" s="850"/>
      <c r="N230" s="850"/>
      <c r="O230" s="48">
        <f>IF(t&lt;Tnet,'2018'!Resal+('2018'!Salim-'2018'!Resal)*(1-EXP(('2018'!Tnet-t)/('2018'!Tau_j))),Resal+(Salim-Resal)*(1-EXP((Tnet-t)/(Tau_j))))*Salcycl</f>
        <v>6.9989508645542514E-2</v>
      </c>
      <c r="P230" s="169">
        <f>(INDEX(Models!$BJ230:$BT230,,T230)*(1-R230)+INDEX(Models!$BJ230:$BT230,,T230+1)*R230-ERP_i)*Q230*Ramure*Pc/MaxiM</f>
        <v>0</v>
      </c>
      <c r="Q230" s="305">
        <f t="shared" si="78"/>
        <v>0.7</v>
      </c>
      <c r="R230" s="177">
        <f t="shared" si="79"/>
        <v>0.86238662708221026</v>
      </c>
      <c r="S230" s="817">
        <f t="shared" si="80"/>
        <v>-2</v>
      </c>
      <c r="T230" s="176">
        <f t="shared" si="81"/>
        <v>4</v>
      </c>
      <c r="U230" s="251">
        <f t="shared" si="82"/>
        <v>-1.1376133729177897</v>
      </c>
      <c r="V230" s="383">
        <f t="shared" si="83"/>
        <v>36.767638606751866</v>
      </c>
      <c r="W230" s="58"/>
      <c r="X230" s="157">
        <f t="shared" si="84"/>
        <v>43681</v>
      </c>
      <c r="Y230" s="385">
        <f t="shared" si="85"/>
        <v>33.634999999999998</v>
      </c>
      <c r="Z230" s="385">
        <f t="shared" si="86"/>
        <v>33.984526430860839</v>
      </c>
      <c r="AA230" s="386">
        <f t="shared" si="87"/>
        <v>36.542089306289583</v>
      </c>
      <c r="AB230" s="197">
        <f t="shared" si="88"/>
        <v>43681</v>
      </c>
      <c r="AC230" s="427">
        <f>IF(OR(t&lt;Tnet,NoTnet),'2018'!Resal_s+('2018'!Salim-'2018'!Resal_s)*(1-EXP(('2018'!Tnet_s-t)/'2018'!Tau_j)),Resal_s+(Salim-Resal_s)*(1-EXP((Tnet_s-t)/Tau_j)))*Salcycl</f>
        <v>6.9989508645542514E-2</v>
      </c>
      <c r="AD230" s="231">
        <f>(INDEX(Models!$BJ230:$BT230,,AH230)*(1-AF230)+INDEX(Models!$BJ230:$BT230,,AH230+1)*AF230-ERP_i)*AE230*Ramure*Pc/MaxiM</f>
        <v>0</v>
      </c>
      <c r="AE230" s="305">
        <f t="shared" si="89"/>
        <v>0.7</v>
      </c>
      <c r="AF230" s="177">
        <f t="shared" si="90"/>
        <v>0.86238662708221026</v>
      </c>
      <c r="AG230" s="176">
        <f t="shared" si="91"/>
        <v>-2</v>
      </c>
      <c r="AH230" s="176">
        <f t="shared" si="92"/>
        <v>4</v>
      </c>
      <c r="AI230" s="225">
        <f t="shared" si="93"/>
        <v>-1.1376133729177897</v>
      </c>
      <c r="AJ230" s="265" t="b">
        <f t="shared" si="94"/>
        <v>0</v>
      </c>
      <c r="AK230" s="265" t="b">
        <f t="shared" si="95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6"/>
        <v>43682</v>
      </c>
      <c r="B231" s="617">
        <v>34.173999999999999</v>
      </c>
      <c r="C231" s="390"/>
      <c r="D231" s="393">
        <f t="shared" si="75"/>
        <v>34.529883875898101</v>
      </c>
      <c r="E231" s="385">
        <f t="shared" si="73"/>
        <v>37.132636473263382</v>
      </c>
      <c r="F231" s="385">
        <f t="shared" si="76"/>
        <v>37.132636473263382</v>
      </c>
      <c r="G231" s="110">
        <f t="shared" si="74"/>
        <v>0.93186671114683151</v>
      </c>
      <c r="H231" s="414" t="b">
        <f>Wh_hp&gt;='2018'!Maxi_hp</f>
        <v>1</v>
      </c>
      <c r="I231" s="390">
        <f>IF(H231,Wh_hp,'2018'!Maxi_hp)</f>
        <v>37.132636473263382</v>
      </c>
      <c r="J231" s="85">
        <f>IF(H231,An,'2018'!An_max)</f>
        <v>2019</v>
      </c>
      <c r="K231" s="197">
        <f t="shared" si="77"/>
        <v>43682</v>
      </c>
      <c r="L231" s="147">
        <f>IF(t&lt;Tvie,1-EXP((T0-t)*PertePVj)+'2018'!Pspv,1-EXP((T0-t)*PertePVj)+Pspv)</f>
        <v>1.0306547139780742E-2</v>
      </c>
      <c r="M231" s="850"/>
      <c r="N231" s="850"/>
      <c r="O231" s="48">
        <f>IF(t&lt;Tnet,'2018'!Resal+('2018'!Salim-'2018'!Resal)*(1-EXP(('2018'!Tnet-t)/('2018'!Tau_j))),Resal+(Salim-Resal)*(1-EXP((Tnet-t)/(Tau_j))))*Salcycl</f>
        <v>7.0093396121747004E-2</v>
      </c>
      <c r="P231" s="169">
        <f>(INDEX(Models!$BJ231:$BT231,,T231)*(1-R231)+INDEX(Models!$BJ231:$BT231,,T231+1)*R231-ERP_i)*Q231*Ramure*Pc/MaxiM</f>
        <v>0</v>
      </c>
      <c r="Q231" s="305">
        <f t="shared" si="78"/>
        <v>0.7</v>
      </c>
      <c r="R231" s="177">
        <f t="shared" si="79"/>
        <v>0.86376805867085338</v>
      </c>
      <c r="S231" s="817">
        <f t="shared" si="80"/>
        <v>-2</v>
      </c>
      <c r="T231" s="176">
        <f t="shared" si="81"/>
        <v>4</v>
      </c>
      <c r="U231" s="251">
        <f t="shared" si="82"/>
        <v>-1.1362319413291466</v>
      </c>
      <c r="V231" s="383">
        <f t="shared" si="83"/>
        <v>36.67262666561259</v>
      </c>
      <c r="W231" s="58"/>
      <c r="X231" s="157">
        <f t="shared" si="84"/>
        <v>43682</v>
      </c>
      <c r="Y231" s="385">
        <f t="shared" si="85"/>
        <v>34.173999999999999</v>
      </c>
      <c r="Z231" s="385">
        <f t="shared" si="86"/>
        <v>34.529883875898101</v>
      </c>
      <c r="AA231" s="386">
        <f t="shared" si="87"/>
        <v>37.132636473263382</v>
      </c>
      <c r="AB231" s="197">
        <f t="shared" si="88"/>
        <v>43682</v>
      </c>
      <c r="AC231" s="427">
        <f>IF(OR(t&lt;Tnet,NoTnet),'2018'!Resal_s+('2018'!Salim-'2018'!Resal_s)*(1-EXP(('2018'!Tnet_s-t)/'2018'!Tau_j)),Resal_s+(Salim-Resal_s)*(1-EXP((Tnet_s-t)/Tau_j)))*Salcycl</f>
        <v>7.0093396121747004E-2</v>
      </c>
      <c r="AD231" s="231">
        <f>(INDEX(Models!$BJ231:$BT231,,AH231)*(1-AF231)+INDEX(Models!$BJ231:$BT231,,AH231+1)*AF231-ERP_i)*AE231*Ramure*Pc/MaxiM</f>
        <v>0</v>
      </c>
      <c r="AE231" s="305">
        <f t="shared" si="89"/>
        <v>0.7</v>
      </c>
      <c r="AF231" s="177">
        <f t="shared" si="90"/>
        <v>0.86376805867085338</v>
      </c>
      <c r="AG231" s="176">
        <f t="shared" si="91"/>
        <v>-2</v>
      </c>
      <c r="AH231" s="176">
        <f t="shared" si="92"/>
        <v>4</v>
      </c>
      <c r="AI231" s="225">
        <f t="shared" si="93"/>
        <v>-1.1362319413291466</v>
      </c>
      <c r="AJ231" s="265" t="b">
        <f t="shared" si="94"/>
        <v>0</v>
      </c>
      <c r="AK231" s="265" t="b">
        <f t="shared" si="95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6"/>
        <v>43683</v>
      </c>
      <c r="B232" s="617">
        <v>27.193999999999999</v>
      </c>
      <c r="C232" s="390"/>
      <c r="D232" s="393">
        <f t="shared" si="75"/>
        <v>27.477796839864801</v>
      </c>
      <c r="E232" s="385">
        <f t="shared" si="73"/>
        <v>29.55227710017915</v>
      </c>
      <c r="F232" s="385">
        <f t="shared" si="76"/>
        <v>29.55227710017915</v>
      </c>
      <c r="G232" s="110">
        <f t="shared" si="74"/>
        <v>0.74350214354194333</v>
      </c>
      <c r="H232" s="414" t="b">
        <f>Wh_hp&gt;='2018'!Maxi_hp</f>
        <v>0</v>
      </c>
      <c r="I232" s="390">
        <f>IF(H232,Wh_hp,'2018'!Maxi_hp)</f>
        <v>35.490426228358807</v>
      </c>
      <c r="J232" s="85">
        <f>IF(H232,An,'2018'!An_max)</f>
        <v>2018</v>
      </c>
      <c r="K232" s="197">
        <f t="shared" si="77"/>
        <v>43683</v>
      </c>
      <c r="L232" s="147">
        <f>IF(t&lt;Tvie,1-EXP((T0-t)*PertePVj)+'2018'!Pspv,1-EXP((T0-t)*PertePVj)+Pspv)</f>
        <v>1.0328223966379668E-2</v>
      </c>
      <c r="M232" s="850"/>
      <c r="N232" s="850"/>
      <c r="O232" s="48">
        <f>IF(t&lt;Tnet,'2018'!Resal+('2018'!Salim-'2018'!Resal)*(1-EXP(('2018'!Tnet-t)/('2018'!Tau_j))),Resal+(Salim-Resal)*(1-EXP((Tnet-t)/(Tau_j))))*Salcycl</f>
        <v>7.0196968351442915E-2</v>
      </c>
      <c r="P232" s="169">
        <f>(INDEX(Models!$BJ232:$BT232,,T232)*(1-R232)+INDEX(Models!$BJ232:$BT232,,T232+1)*R232-ERP_i)*Q232*Ramure*Pc/MaxiM</f>
        <v>0</v>
      </c>
      <c r="Q232" s="305">
        <f t="shared" si="78"/>
        <v>0.7</v>
      </c>
      <c r="R232" s="177">
        <f t="shared" si="79"/>
        <v>0.86510382647209694</v>
      </c>
      <c r="S232" s="817">
        <f t="shared" si="80"/>
        <v>-2</v>
      </c>
      <c r="T232" s="176">
        <f t="shared" si="81"/>
        <v>4</v>
      </c>
      <c r="U232" s="251">
        <f t="shared" si="82"/>
        <v>-1.1348961735279031</v>
      </c>
      <c r="V232" s="383">
        <f t="shared" si="83"/>
        <v>36.575550233724243</v>
      </c>
      <c r="W232" s="58"/>
      <c r="X232" s="157">
        <f t="shared" si="84"/>
        <v>43683</v>
      </c>
      <c r="Y232" s="385">
        <f t="shared" si="85"/>
        <v>27.193999999999999</v>
      </c>
      <c r="Z232" s="385">
        <f t="shared" si="86"/>
        <v>27.477796839864801</v>
      </c>
      <c r="AA232" s="386">
        <f t="shared" si="87"/>
        <v>29.55227710017915</v>
      </c>
      <c r="AB232" s="197">
        <f t="shared" si="88"/>
        <v>43683</v>
      </c>
      <c r="AC232" s="427">
        <f>IF(OR(t&lt;Tnet,NoTnet),'2018'!Resal_s+('2018'!Salim-'2018'!Resal_s)*(1-EXP(('2018'!Tnet_s-t)/'2018'!Tau_j)),Resal_s+(Salim-Resal_s)*(1-EXP((Tnet_s-t)/Tau_j)))*Salcycl</f>
        <v>7.0196968351442915E-2</v>
      </c>
      <c r="AD232" s="231">
        <f>(INDEX(Models!$BJ232:$BT232,,AH232)*(1-AF232)+INDEX(Models!$BJ232:$BT232,,AH232+1)*AF232-ERP_i)*AE232*Ramure*Pc/MaxiM</f>
        <v>0</v>
      </c>
      <c r="AE232" s="305">
        <f t="shared" si="89"/>
        <v>0.7</v>
      </c>
      <c r="AF232" s="177">
        <f t="shared" si="90"/>
        <v>0.86510382647209694</v>
      </c>
      <c r="AG232" s="176">
        <f t="shared" si="91"/>
        <v>-2</v>
      </c>
      <c r="AH232" s="176">
        <f t="shared" si="92"/>
        <v>4</v>
      </c>
      <c r="AI232" s="225">
        <f t="shared" si="93"/>
        <v>-1.1348961735279031</v>
      </c>
      <c r="AJ232" s="265" t="b">
        <f t="shared" si="94"/>
        <v>0</v>
      </c>
      <c r="AK232" s="265" t="b">
        <f t="shared" si="95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6"/>
        <v>43684</v>
      </c>
      <c r="B233" s="617">
        <v>28.039000000000001</v>
      </c>
      <c r="C233" s="390"/>
      <c r="D233" s="393">
        <f t="shared" si="75"/>
        <v>28.332235816492449</v>
      </c>
      <c r="E233" s="385">
        <f t="shared" ref="E233:E296" si="97">Wh_pvt/(1-Psa)</f>
        <v>30.474607709587261</v>
      </c>
      <c r="F233" s="385">
        <f t="shared" si="76"/>
        <v>30.474607709587261</v>
      </c>
      <c r="G233" s="110">
        <f t="shared" ref="G233:G296" si="98">+Wh_hp/MaxiM</f>
        <v>0.76868236109827526</v>
      </c>
      <c r="H233" s="414" t="b">
        <f>Wh_hp&gt;='2018'!Maxi_hp</f>
        <v>1</v>
      </c>
      <c r="I233" s="390">
        <f>IF(H233,Wh_hp,'2018'!Maxi_hp)</f>
        <v>30.474607709587261</v>
      </c>
      <c r="J233" s="85">
        <f>IF(H233,An,'2018'!An_max)</f>
        <v>2019</v>
      </c>
      <c r="K233" s="197">
        <f t="shared" si="77"/>
        <v>43684</v>
      </c>
      <c r="L233" s="147">
        <f>IF(t&lt;Tvie,1-EXP((T0-t)*PertePVj)+'2018'!Pspv,1-EXP((T0-t)*PertePVj)+Pspv)</f>
        <v>1.0349900318200489E-2</v>
      </c>
      <c r="M233" s="850"/>
      <c r="N233" s="850"/>
      <c r="O233" s="48">
        <f>IF(t&lt;Tnet,'2018'!Resal+('2018'!Salim-'2018'!Resal)*(1-EXP(('2018'!Tnet-t)/('2018'!Tau_j))),Resal+(Salim-Resal)*(1-EXP((Tnet-t)/(Tau_j))))*Salcycl</f>
        <v>7.0300228751454141E-2</v>
      </c>
      <c r="P233" s="169">
        <f>(INDEX(Models!$BJ233:$BT233,,T233)*(1-R233)+INDEX(Models!$BJ233:$BT233,,T233+1)*R233-ERP_i)*Q233*Ramure*Pc/MaxiM</f>
        <v>0</v>
      </c>
      <c r="Q233" s="305">
        <f t="shared" si="78"/>
        <v>0.7</v>
      </c>
      <c r="R233" s="177">
        <f t="shared" si="79"/>
        <v>0.86639508501818163</v>
      </c>
      <c r="S233" s="817">
        <f t="shared" si="80"/>
        <v>-2</v>
      </c>
      <c r="T233" s="176">
        <f t="shared" si="81"/>
        <v>4</v>
      </c>
      <c r="U233" s="251">
        <f t="shared" si="82"/>
        <v>-1.1336049149818184</v>
      </c>
      <c r="V233" s="383">
        <f t="shared" si="83"/>
        <v>36.476705358424695</v>
      </c>
      <c r="W233" s="58"/>
      <c r="X233" s="157">
        <f t="shared" si="84"/>
        <v>43684</v>
      </c>
      <c r="Y233" s="385">
        <f t="shared" si="85"/>
        <v>28.039000000000001</v>
      </c>
      <c r="Z233" s="385">
        <f t="shared" si="86"/>
        <v>28.332235816492449</v>
      </c>
      <c r="AA233" s="386">
        <f t="shared" si="87"/>
        <v>30.474607709587261</v>
      </c>
      <c r="AB233" s="197">
        <f t="shared" si="88"/>
        <v>43684</v>
      </c>
      <c r="AC233" s="427">
        <f>IF(OR(t&lt;Tnet,NoTnet),'2018'!Resal_s+('2018'!Salim-'2018'!Resal_s)*(1-EXP(('2018'!Tnet_s-t)/'2018'!Tau_j)),Resal_s+(Salim-Resal_s)*(1-EXP((Tnet_s-t)/Tau_j)))*Salcycl</f>
        <v>7.0300228751454141E-2</v>
      </c>
      <c r="AD233" s="231">
        <f>(INDEX(Models!$BJ233:$BT233,,AH233)*(1-AF233)+INDEX(Models!$BJ233:$BT233,,AH233+1)*AF233-ERP_i)*AE233*Ramure*Pc/MaxiM</f>
        <v>0</v>
      </c>
      <c r="AE233" s="305">
        <f t="shared" si="89"/>
        <v>0.7</v>
      </c>
      <c r="AF233" s="177">
        <f t="shared" si="90"/>
        <v>0.86639508501818163</v>
      </c>
      <c r="AG233" s="176">
        <f t="shared" si="91"/>
        <v>-2</v>
      </c>
      <c r="AH233" s="176">
        <f t="shared" si="92"/>
        <v>4</v>
      </c>
      <c r="AI233" s="225">
        <f t="shared" si="93"/>
        <v>-1.1336049149818184</v>
      </c>
      <c r="AJ233" s="265" t="b">
        <f t="shared" si="94"/>
        <v>0</v>
      </c>
      <c r="AK233" s="265" t="b">
        <f t="shared" si="95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6"/>
        <v>43685</v>
      </c>
      <c r="B234" s="617">
        <v>34.691000000000003</v>
      </c>
      <c r="C234" s="390"/>
      <c r="D234" s="393">
        <f t="shared" si="75"/>
        <v>35.054571155733633</v>
      </c>
      <c r="E234" s="385">
        <f t="shared" si="97"/>
        <v>37.709435293865099</v>
      </c>
      <c r="F234" s="385">
        <f t="shared" si="76"/>
        <v>37.709435293865099</v>
      </c>
      <c r="G234" s="110">
        <f t="shared" si="98"/>
        <v>0.95366463579867722</v>
      </c>
      <c r="H234" s="414" t="b">
        <f>Wh_hp&gt;='2018'!Maxi_hp</f>
        <v>1</v>
      </c>
      <c r="I234" s="390">
        <f>IF(H234,Wh_hp,'2018'!Maxi_hp)</f>
        <v>37.709435293865099</v>
      </c>
      <c r="J234" s="85">
        <f>IF(H234,An,'2018'!An_max)</f>
        <v>2019</v>
      </c>
      <c r="K234" s="197">
        <f t="shared" si="77"/>
        <v>43685</v>
      </c>
      <c r="L234" s="147">
        <f>IF(t&lt;Tvie,1-EXP((T0-t)*PertePVj)+'2018'!Pspv,1-EXP((T0-t)*PertePVj)+Pspv)</f>
        <v>1.0371576195253529E-2</v>
      </c>
      <c r="M234" s="850"/>
      <c r="N234" s="850"/>
      <c r="O234" s="48">
        <f>IF(t&lt;Tnet,'2018'!Resal+('2018'!Salim-'2018'!Resal)*(1-EXP(('2018'!Tnet-t)/('2018'!Tau_j))),Resal+(Salim-Resal)*(1-EXP((Tnet-t)/(Tau_j))))*Salcycl</f>
        <v>7.0403179401718086E-2</v>
      </c>
      <c r="P234" s="169">
        <f>(INDEX(Models!$BJ234:$BT234,,T234)*(1-R234)+INDEX(Models!$BJ234:$BT234,,T234+1)*R234-ERP_i)*Q234*Ramure*Pc/MaxiM</f>
        <v>0</v>
      </c>
      <c r="Q234" s="305">
        <f t="shared" si="78"/>
        <v>0.7</v>
      </c>
      <c r="R234" s="177">
        <f t="shared" si="79"/>
        <v>0.86764298584913124</v>
      </c>
      <c r="S234" s="817">
        <f t="shared" si="80"/>
        <v>-2</v>
      </c>
      <c r="T234" s="176">
        <f t="shared" si="81"/>
        <v>4</v>
      </c>
      <c r="U234" s="251">
        <f t="shared" si="82"/>
        <v>-1.1323570141508688</v>
      </c>
      <c r="V234" s="383">
        <f t="shared" si="83"/>
        <v>36.376519268691247</v>
      </c>
      <c r="W234" s="58"/>
      <c r="X234" s="157">
        <f t="shared" si="84"/>
        <v>43685</v>
      </c>
      <c r="Y234" s="385">
        <f t="shared" si="85"/>
        <v>34.691000000000003</v>
      </c>
      <c r="Z234" s="385">
        <f t="shared" si="86"/>
        <v>35.054571155733633</v>
      </c>
      <c r="AA234" s="386">
        <f t="shared" si="87"/>
        <v>37.709435293865099</v>
      </c>
      <c r="AB234" s="197">
        <f t="shared" si="88"/>
        <v>43685</v>
      </c>
      <c r="AC234" s="427">
        <f>IF(OR(t&lt;Tnet,NoTnet),'2018'!Resal_s+('2018'!Salim-'2018'!Resal_s)*(1-EXP(('2018'!Tnet_s-t)/'2018'!Tau_j)),Resal_s+(Salim-Resal_s)*(1-EXP((Tnet_s-t)/Tau_j)))*Salcycl</f>
        <v>7.0403179401718086E-2</v>
      </c>
      <c r="AD234" s="231">
        <f>(INDEX(Models!$BJ234:$BT234,,AH234)*(1-AF234)+INDEX(Models!$BJ234:$BT234,,AH234+1)*AF234-ERP_i)*AE234*Ramure*Pc/MaxiM</f>
        <v>0</v>
      </c>
      <c r="AE234" s="305">
        <f t="shared" si="89"/>
        <v>0.7</v>
      </c>
      <c r="AF234" s="177">
        <f t="shared" si="90"/>
        <v>0.86764298584913124</v>
      </c>
      <c r="AG234" s="176">
        <f t="shared" si="91"/>
        <v>-2</v>
      </c>
      <c r="AH234" s="176">
        <f t="shared" si="92"/>
        <v>4</v>
      </c>
      <c r="AI234" s="225">
        <f t="shared" si="93"/>
        <v>-1.1323570141508688</v>
      </c>
      <c r="AJ234" s="265" t="b">
        <f t="shared" si="94"/>
        <v>0</v>
      </c>
      <c r="AK234" s="265" t="b">
        <f t="shared" si="95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6"/>
        <v>43686</v>
      </c>
      <c r="B235" s="617">
        <v>31.905999999999999</v>
      </c>
      <c r="C235" s="390"/>
      <c r="D235" s="393">
        <f t="shared" si="75"/>
        <v>32.24108975763022</v>
      </c>
      <c r="E235" s="385">
        <f t="shared" si="97"/>
        <v>34.686704327986895</v>
      </c>
      <c r="F235" s="385">
        <f t="shared" si="76"/>
        <v>34.686704327986895</v>
      </c>
      <c r="G235" s="110">
        <f t="shared" si="98"/>
        <v>0.87955910955863092</v>
      </c>
      <c r="H235" s="414" t="b">
        <f>Wh_hp&gt;='2018'!Maxi_hp</f>
        <v>1</v>
      </c>
      <c r="I235" s="390">
        <f>IF(H235,Wh_hp,'2018'!Maxi_hp)</f>
        <v>34.686704327986895</v>
      </c>
      <c r="J235" s="85">
        <f>IF(H235,An,'2018'!An_max)</f>
        <v>2019</v>
      </c>
      <c r="K235" s="197">
        <f t="shared" si="77"/>
        <v>43686</v>
      </c>
      <c r="L235" s="147">
        <f>IF(t&lt;Tvie,1-EXP((T0-t)*PertePVj)+'2018'!Pspv,1-EXP((T0-t)*PertePVj)+Pspv)</f>
        <v>1.0393251597549225E-2</v>
      </c>
      <c r="M235" s="850"/>
      <c r="N235" s="850"/>
      <c r="O235" s="48">
        <f>IF(t&lt;Tnet,'2018'!Resal+('2018'!Salim-'2018'!Resal)*(1-EXP(('2018'!Tnet-t)/('2018'!Tau_j))),Resal+(Salim-Resal)*(1-EXP((Tnet-t)/(Tau_j))))*Salcycl</f>
        <v>7.0505821113233794E-2</v>
      </c>
      <c r="P235" s="169">
        <f>(INDEX(Models!$BJ235:$BT235,,T235)*(1-R235)+INDEX(Models!$BJ235:$BT235,,T235+1)*R235-ERP_i)*Q235*Ramure*Pc/MaxiM</f>
        <v>0</v>
      </c>
      <c r="Q235" s="305">
        <f t="shared" si="78"/>
        <v>0.7</v>
      </c>
      <c r="R235" s="177">
        <f t="shared" si="79"/>
        <v>0.86884867523903475</v>
      </c>
      <c r="S235" s="817">
        <f t="shared" si="80"/>
        <v>-2</v>
      </c>
      <c r="T235" s="176">
        <f t="shared" si="81"/>
        <v>4</v>
      </c>
      <c r="U235" s="251">
        <f t="shared" si="82"/>
        <v>-1.1311513247609652</v>
      </c>
      <c r="V235" s="383">
        <f t="shared" si="83"/>
        <v>36.274992383412027</v>
      </c>
      <c r="W235" s="58"/>
      <c r="X235" s="157">
        <f t="shared" si="84"/>
        <v>43686</v>
      </c>
      <c r="Y235" s="385">
        <f t="shared" si="85"/>
        <v>31.906000000000002</v>
      </c>
      <c r="Z235" s="385">
        <f t="shared" si="86"/>
        <v>32.24108975763022</v>
      </c>
      <c r="AA235" s="386">
        <f t="shared" si="87"/>
        <v>34.686704327986895</v>
      </c>
      <c r="AB235" s="197">
        <f t="shared" si="88"/>
        <v>43686</v>
      </c>
      <c r="AC235" s="427">
        <f>IF(OR(t&lt;Tnet,NoTnet),'2018'!Resal_s+('2018'!Salim-'2018'!Resal_s)*(1-EXP(('2018'!Tnet_s-t)/'2018'!Tau_j)),Resal_s+(Salim-Resal_s)*(1-EXP((Tnet_s-t)/Tau_j)))*Salcycl</f>
        <v>7.0505821113233794E-2</v>
      </c>
      <c r="AD235" s="231">
        <f>(INDEX(Models!$BJ235:$BT235,,AH235)*(1-AF235)+INDEX(Models!$BJ235:$BT235,,AH235+1)*AF235-ERP_i)*AE235*Ramure*Pc/MaxiM</f>
        <v>0</v>
      </c>
      <c r="AE235" s="305">
        <f t="shared" si="89"/>
        <v>0.7</v>
      </c>
      <c r="AF235" s="177">
        <f t="shared" si="90"/>
        <v>0.86884867523903475</v>
      </c>
      <c r="AG235" s="176">
        <f t="shared" si="91"/>
        <v>-2</v>
      </c>
      <c r="AH235" s="176">
        <f t="shared" si="92"/>
        <v>4</v>
      </c>
      <c r="AI235" s="225">
        <f t="shared" si="93"/>
        <v>-1.1311513247609652</v>
      </c>
      <c r="AJ235" s="265" t="b">
        <f t="shared" si="94"/>
        <v>0</v>
      </c>
      <c r="AK235" s="265" t="b">
        <f t="shared" si="95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6"/>
        <v>43687</v>
      </c>
      <c r="B236" s="617">
        <v>24.225000000000001</v>
      </c>
      <c r="C236" s="390"/>
      <c r="D236" s="393">
        <f t="shared" si="75"/>
        <v>24.479956953003089</v>
      </c>
      <c r="E236" s="385">
        <f t="shared" si="97"/>
        <v>26.33975867679235</v>
      </c>
      <c r="F236" s="385">
        <f t="shared" si="76"/>
        <v>26.33975867679235</v>
      </c>
      <c r="G236" s="110">
        <f t="shared" si="98"/>
        <v>0.6697145906926032</v>
      </c>
      <c r="H236" s="414" t="b">
        <f>Wh_hp&gt;='2018'!Maxi_hp</f>
        <v>0</v>
      </c>
      <c r="I236" s="390">
        <f>IF(H236,Wh_hp,'2018'!Maxi_hp)</f>
        <v>35.976281897663725</v>
      </c>
      <c r="J236" s="85">
        <f>IF(H236,An,'2018'!An_max)</f>
        <v>2018</v>
      </c>
      <c r="K236" s="197">
        <f t="shared" si="77"/>
        <v>43687</v>
      </c>
      <c r="L236" s="147">
        <f>IF(t&lt;Tvie,1-EXP((T0-t)*PertePVj)+'2018'!Pspv,1-EXP((T0-t)*PertePVj)+Pspv)</f>
        <v>1.0414926525098012E-2</v>
      </c>
      <c r="M236" s="850"/>
      <c r="N236" s="850"/>
      <c r="O236" s="48">
        <f>IF(t&lt;Tnet,'2018'!Resal+('2018'!Salim-'2018'!Resal)*(1-EXP(('2018'!Tnet-t)/('2018'!Tau_j))),Resal+(Salim-Resal)*(1-EXP((Tnet-t)/(Tau_j))))*Salcycl</f>
        <v>7.0608153499443882E-2</v>
      </c>
      <c r="P236" s="169">
        <f>(INDEX(Models!$BJ236:$BT236,,T236)*(1-R236)+INDEX(Models!$BJ236:$BT236,,T236+1)*R236-ERP_i)*Q236*Ramure*Pc/MaxiM</f>
        <v>0</v>
      </c>
      <c r="Q236" s="305">
        <f t="shared" si="78"/>
        <v>0.7</v>
      </c>
      <c r="R236" s="177">
        <f t="shared" si="79"/>
        <v>0.87001329210609057</v>
      </c>
      <c r="S236" s="817">
        <f t="shared" si="80"/>
        <v>-2</v>
      </c>
      <c r="T236" s="176">
        <f t="shared" si="81"/>
        <v>4</v>
      </c>
      <c r="U236" s="251">
        <f t="shared" si="82"/>
        <v>-1.1299867078939094</v>
      </c>
      <c r="V236" s="383">
        <f t="shared" si="83"/>
        <v>36.172125165956238</v>
      </c>
      <c r="W236" s="58"/>
      <c r="X236" s="157">
        <f t="shared" si="84"/>
        <v>43687</v>
      </c>
      <c r="Y236" s="385">
        <f t="shared" si="85"/>
        <v>24.225000000000001</v>
      </c>
      <c r="Z236" s="385">
        <f t="shared" si="86"/>
        <v>24.479956953003089</v>
      </c>
      <c r="AA236" s="386">
        <f t="shared" si="87"/>
        <v>26.33975867679235</v>
      </c>
      <c r="AB236" s="197">
        <f t="shared" si="88"/>
        <v>43687</v>
      </c>
      <c r="AC236" s="427">
        <f>IF(OR(t&lt;Tnet,NoTnet),'2018'!Resal_s+('2018'!Salim-'2018'!Resal_s)*(1-EXP(('2018'!Tnet_s-t)/'2018'!Tau_j)),Resal_s+(Salim-Resal_s)*(1-EXP((Tnet_s-t)/Tau_j)))*Salcycl</f>
        <v>7.0608153499443882E-2</v>
      </c>
      <c r="AD236" s="231">
        <f>(INDEX(Models!$BJ236:$BT236,,AH236)*(1-AF236)+INDEX(Models!$BJ236:$BT236,,AH236+1)*AF236-ERP_i)*AE236*Ramure*Pc/MaxiM</f>
        <v>0</v>
      </c>
      <c r="AE236" s="305">
        <f t="shared" si="89"/>
        <v>0.7</v>
      </c>
      <c r="AF236" s="177">
        <f t="shared" si="90"/>
        <v>0.87001329210609057</v>
      </c>
      <c r="AG236" s="176">
        <f t="shared" si="91"/>
        <v>-2</v>
      </c>
      <c r="AH236" s="176">
        <f t="shared" si="92"/>
        <v>4</v>
      </c>
      <c r="AI236" s="225">
        <f t="shared" si="93"/>
        <v>-1.1299867078939094</v>
      </c>
      <c r="AJ236" s="265" t="b">
        <f t="shared" si="94"/>
        <v>0</v>
      </c>
      <c r="AK236" s="265" t="b">
        <f t="shared" si="95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6"/>
        <v>43688</v>
      </c>
      <c r="B237" s="617">
        <v>18.082000000000001</v>
      </c>
      <c r="C237" s="390"/>
      <c r="D237" s="393">
        <f t="shared" si="75"/>
        <v>18.272704930142996</v>
      </c>
      <c r="E237" s="385">
        <f t="shared" si="97"/>
        <v>19.663085121074968</v>
      </c>
      <c r="F237" s="385">
        <f t="shared" si="76"/>
        <v>19.663085121074968</v>
      </c>
      <c r="G237" s="110">
        <f t="shared" si="98"/>
        <v>0.50133195765652738</v>
      </c>
      <c r="H237" s="414" t="b">
        <f>Wh_hp&gt;='2018'!Maxi_hp</f>
        <v>0</v>
      </c>
      <c r="I237" s="390">
        <f>IF(H237,Wh_hp,'2018'!Maxi_hp)</f>
        <v>36.771034850041509</v>
      </c>
      <c r="J237" s="85">
        <f>IF(H237,An,'2018'!An_max)</f>
        <v>2018</v>
      </c>
      <c r="K237" s="197">
        <f t="shared" si="77"/>
        <v>43688</v>
      </c>
      <c r="L237" s="147">
        <f>IF(t&lt;Tvie,1-EXP((T0-t)*PertePVj)+'2018'!Pspv,1-EXP((T0-t)*PertePVj)+Pspv)</f>
        <v>1.0436600977910215E-2</v>
      </c>
      <c r="M237" s="850"/>
      <c r="N237" s="850"/>
      <c r="O237" s="48">
        <f>IF(t&lt;Tnet,'2018'!Resal+('2018'!Salim-'2018'!Resal)*(1-EXP(('2018'!Tnet-t)/('2018'!Tau_j))),Resal+(Salim-Resal)*(1-EXP((Tnet-t)/(Tau_j))))*Salcycl</f>
        <v>7.0710175049883583E-2</v>
      </c>
      <c r="P237" s="169">
        <f>(INDEX(Models!$BJ237:$BT237,,T237)*(1-R237)+INDEX(Models!$BJ237:$BT237,,T237+1)*R237-ERP_i)*Q237*Ramure*Pc/MaxiM</f>
        <v>0</v>
      </c>
      <c r="Q237" s="305">
        <f t="shared" si="78"/>
        <v>0.7</v>
      </c>
      <c r="R237" s="177">
        <f t="shared" si="79"/>
        <v>0.87113796609992056</v>
      </c>
      <c r="S237" s="817">
        <f t="shared" si="80"/>
        <v>-2</v>
      </c>
      <c r="T237" s="176">
        <f t="shared" si="81"/>
        <v>4</v>
      </c>
      <c r="U237" s="251">
        <f t="shared" si="82"/>
        <v>-1.1288620339000794</v>
      </c>
      <c r="V237" s="383">
        <f t="shared" si="83"/>
        <v>36.067918120608503</v>
      </c>
      <c r="W237" s="58"/>
      <c r="X237" s="157">
        <f t="shared" si="84"/>
        <v>43688</v>
      </c>
      <c r="Y237" s="385">
        <f t="shared" si="85"/>
        <v>18.082000000000001</v>
      </c>
      <c r="Z237" s="385">
        <f t="shared" si="86"/>
        <v>18.272704930142996</v>
      </c>
      <c r="AA237" s="386">
        <f t="shared" si="87"/>
        <v>19.663085121074968</v>
      </c>
      <c r="AB237" s="197">
        <f t="shared" si="88"/>
        <v>43688</v>
      </c>
      <c r="AC237" s="427">
        <f>IF(OR(t&lt;Tnet,NoTnet),'2018'!Resal_s+('2018'!Salim-'2018'!Resal_s)*(1-EXP(('2018'!Tnet_s-t)/'2018'!Tau_j)),Resal_s+(Salim-Resal_s)*(1-EXP((Tnet_s-t)/Tau_j)))*Salcycl</f>
        <v>7.0710175049883583E-2</v>
      </c>
      <c r="AD237" s="231">
        <f>(INDEX(Models!$BJ237:$BT237,,AH237)*(1-AF237)+INDEX(Models!$BJ237:$BT237,,AH237+1)*AF237-ERP_i)*AE237*Ramure*Pc/MaxiM</f>
        <v>0</v>
      </c>
      <c r="AE237" s="305">
        <f t="shared" si="89"/>
        <v>0.7</v>
      </c>
      <c r="AF237" s="177">
        <f t="shared" si="90"/>
        <v>0.87113796609992056</v>
      </c>
      <c r="AG237" s="176">
        <f t="shared" si="91"/>
        <v>-2</v>
      </c>
      <c r="AH237" s="176">
        <f t="shared" si="92"/>
        <v>4</v>
      </c>
      <c r="AI237" s="225">
        <f t="shared" si="93"/>
        <v>-1.1288620339000794</v>
      </c>
      <c r="AJ237" s="265" t="b">
        <f t="shared" si="94"/>
        <v>0</v>
      </c>
      <c r="AK237" s="265" t="b">
        <f t="shared" si="95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6"/>
        <v>43689</v>
      </c>
      <c r="B238" s="617">
        <v>19.295999999999999</v>
      </c>
      <c r="C238" s="390"/>
      <c r="D238" s="393">
        <f t="shared" si="75"/>
        <v>19.49993568906044</v>
      </c>
      <c r="E238" s="385">
        <f t="shared" si="97"/>
        <v>20.985993402842148</v>
      </c>
      <c r="F238" s="385">
        <f t="shared" si="76"/>
        <v>20.985993402842148</v>
      </c>
      <c r="G238" s="110">
        <f t="shared" si="98"/>
        <v>0.53656082845132325</v>
      </c>
      <c r="H238" s="414" t="b">
        <f>Wh_hp&gt;='2018'!Maxi_hp</f>
        <v>0</v>
      </c>
      <c r="I238" s="390">
        <f>IF(H238,Wh_hp,'2018'!Maxi_hp)</f>
        <v>34.183307751409572</v>
      </c>
      <c r="J238" s="85">
        <f>IF(H238,An,'2018'!An_max)</f>
        <v>2018</v>
      </c>
      <c r="K238" s="197">
        <f t="shared" si="77"/>
        <v>43689</v>
      </c>
      <c r="L238" s="147">
        <f>IF(t&lt;Tvie,1-EXP((T0-t)*PertePVj)+'2018'!Pspv,1-EXP((T0-t)*PertePVj)+Pspv)</f>
        <v>1.0458274955996383E-2</v>
      </c>
      <c r="M238" s="850"/>
      <c r="N238" s="850"/>
      <c r="O238" s="48">
        <f>IF(t&lt;Tnet,'2018'!Resal+('2018'!Salim-'2018'!Resal)*(1-EXP(('2018'!Tnet-t)/('2018'!Tau_j))),Resal+(Salim-Resal)*(1-EXP((Tnet-t)/(Tau_j))))*Salcycl</f>
        <v>7.0811883204940321E-2</v>
      </c>
      <c r="P238" s="169">
        <f>(INDEX(Models!$BJ238:$BT238,,T238)*(1-R238)+INDEX(Models!$BJ238:$BT238,,T238+1)*R238-ERP_i)*Q238*Ramure*Pc/MaxiM</f>
        <v>0</v>
      </c>
      <c r="Q238" s="305">
        <f t="shared" si="78"/>
        <v>0.7</v>
      </c>
      <c r="R238" s="177">
        <f t="shared" si="79"/>
        <v>0.87222381585927122</v>
      </c>
      <c r="S238" s="817">
        <f t="shared" si="80"/>
        <v>-2</v>
      </c>
      <c r="T238" s="176">
        <f t="shared" si="81"/>
        <v>4</v>
      </c>
      <c r="U238" s="251">
        <f t="shared" si="82"/>
        <v>-1.1277761841407288</v>
      </c>
      <c r="V238" s="383">
        <f t="shared" si="83"/>
        <v>35.962371788663901</v>
      </c>
      <c r="W238" s="58"/>
      <c r="X238" s="157">
        <f t="shared" si="84"/>
        <v>43689</v>
      </c>
      <c r="Y238" s="385">
        <f t="shared" si="85"/>
        <v>19.295999999999999</v>
      </c>
      <c r="Z238" s="385">
        <f t="shared" si="86"/>
        <v>19.49993568906044</v>
      </c>
      <c r="AA238" s="386">
        <f t="shared" si="87"/>
        <v>20.985993402842148</v>
      </c>
      <c r="AB238" s="197">
        <f t="shared" si="88"/>
        <v>43689</v>
      </c>
      <c r="AC238" s="427">
        <f>IF(OR(t&lt;Tnet,NoTnet),'2018'!Resal_s+('2018'!Salim-'2018'!Resal_s)*(1-EXP(('2018'!Tnet_s-t)/'2018'!Tau_j)),Resal_s+(Salim-Resal_s)*(1-EXP((Tnet_s-t)/Tau_j)))*Salcycl</f>
        <v>7.0811883204940321E-2</v>
      </c>
      <c r="AD238" s="231">
        <f>(INDEX(Models!$BJ238:$BT238,,AH238)*(1-AF238)+INDEX(Models!$BJ238:$BT238,,AH238+1)*AF238-ERP_i)*AE238*Ramure*Pc/MaxiM</f>
        <v>0</v>
      </c>
      <c r="AE238" s="305">
        <f t="shared" si="89"/>
        <v>0.7</v>
      </c>
      <c r="AF238" s="177">
        <f t="shared" si="90"/>
        <v>0.87222381585927122</v>
      </c>
      <c r="AG238" s="176">
        <f t="shared" si="91"/>
        <v>-2</v>
      </c>
      <c r="AH238" s="176">
        <f t="shared" si="92"/>
        <v>4</v>
      </c>
      <c r="AI238" s="225">
        <f t="shared" si="93"/>
        <v>-1.1277761841407288</v>
      </c>
      <c r="AJ238" s="265" t="b">
        <f t="shared" si="94"/>
        <v>0</v>
      </c>
      <c r="AK238" s="265" t="b">
        <f t="shared" si="95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6"/>
        <v>43690</v>
      </c>
      <c r="B239" s="617">
        <v>31.725999999999999</v>
      </c>
      <c r="C239" s="390"/>
      <c r="D239" s="393">
        <f t="shared" si="75"/>
        <v>32.06200819337031</v>
      </c>
      <c r="E239" s="385">
        <f t="shared" si="97"/>
        <v>34.50916616392346</v>
      </c>
      <c r="F239" s="385">
        <f t="shared" si="76"/>
        <v>34.50916616392346</v>
      </c>
      <c r="G239" s="110">
        <f t="shared" si="98"/>
        <v>0.88482971171342018</v>
      </c>
      <c r="H239" s="414" t="b">
        <f>Wh_hp&gt;='2018'!Maxi_hp</f>
        <v>1</v>
      </c>
      <c r="I239" s="390">
        <f>IF(H239,Wh_hp,'2018'!Maxi_hp)</f>
        <v>34.50916616392346</v>
      </c>
      <c r="J239" s="85">
        <f>IF(H239,An,'2018'!An_max)</f>
        <v>2019</v>
      </c>
      <c r="K239" s="197">
        <f t="shared" si="77"/>
        <v>43690</v>
      </c>
      <c r="L239" s="147">
        <f>IF(t&lt;Tvie,1-EXP((T0-t)*PertePVj)+'2018'!Pspv,1-EXP((T0-t)*PertePVj)+Pspv)</f>
        <v>1.0479948459366728E-2</v>
      </c>
      <c r="M239" s="850"/>
      <c r="N239" s="850"/>
      <c r="O239" s="48">
        <f>IF(t&lt;Tnet,'2018'!Resal+('2018'!Salim-'2018'!Resal)*(1-EXP(('2018'!Tnet-t)/('2018'!Tau_j))),Resal+(Salim-Resal)*(1-EXP((Tnet-t)/(Tau_j))))*Salcycl</f>
        <v>7.0913274430590437E-2</v>
      </c>
      <c r="P239" s="169">
        <f>(INDEX(Models!$BJ239:$BT239,,T239)*(1-R239)+INDEX(Models!$BJ239:$BT239,,T239+1)*R239-ERP_i)*Q239*Ramure*Pc/MaxiM</f>
        <v>0</v>
      </c>
      <c r="Q239" s="305">
        <f t="shared" si="78"/>
        <v>0.7</v>
      </c>
      <c r="R239" s="177">
        <f t="shared" si="79"/>
        <v>0.87327194743292691</v>
      </c>
      <c r="S239" s="817">
        <f t="shared" si="80"/>
        <v>-2</v>
      </c>
      <c r="T239" s="176">
        <f t="shared" si="81"/>
        <v>4</v>
      </c>
      <c r="U239" s="251">
        <f t="shared" si="82"/>
        <v>-1.1267280525670731</v>
      </c>
      <c r="V239" s="383">
        <f t="shared" si="83"/>
        <v>35.855486745087347</v>
      </c>
      <c r="W239" s="58"/>
      <c r="X239" s="157">
        <f t="shared" si="84"/>
        <v>43690</v>
      </c>
      <c r="Y239" s="385">
        <f t="shared" si="85"/>
        <v>31.725999999999996</v>
      </c>
      <c r="Z239" s="385">
        <f t="shared" si="86"/>
        <v>32.06200819337031</v>
      </c>
      <c r="AA239" s="386">
        <f t="shared" si="87"/>
        <v>34.50916616392346</v>
      </c>
      <c r="AB239" s="197">
        <f t="shared" si="88"/>
        <v>43690</v>
      </c>
      <c r="AC239" s="427">
        <f>IF(OR(t&lt;Tnet,NoTnet),'2018'!Resal_s+('2018'!Salim-'2018'!Resal_s)*(1-EXP(('2018'!Tnet_s-t)/'2018'!Tau_j)),Resal_s+(Salim-Resal_s)*(1-EXP((Tnet_s-t)/Tau_j)))*Salcycl</f>
        <v>7.0913274430590437E-2</v>
      </c>
      <c r="AD239" s="231">
        <f>(INDEX(Models!$BJ239:$BT239,,AH239)*(1-AF239)+INDEX(Models!$BJ239:$BT239,,AH239+1)*AF239-ERP_i)*AE239*Ramure*Pc/MaxiM</f>
        <v>0</v>
      </c>
      <c r="AE239" s="305">
        <f t="shared" si="89"/>
        <v>0.7</v>
      </c>
      <c r="AF239" s="177">
        <f t="shared" si="90"/>
        <v>0.87327194743292691</v>
      </c>
      <c r="AG239" s="176">
        <f t="shared" si="91"/>
        <v>-2</v>
      </c>
      <c r="AH239" s="176">
        <f t="shared" si="92"/>
        <v>4</v>
      </c>
      <c r="AI239" s="225">
        <f t="shared" si="93"/>
        <v>-1.1267280525670731</v>
      </c>
      <c r="AJ239" s="265" t="b">
        <f t="shared" si="94"/>
        <v>0</v>
      </c>
      <c r="AK239" s="265" t="b">
        <f t="shared" si="95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6"/>
        <v>43691</v>
      </c>
      <c r="B240" s="617">
        <v>35.707000000000001</v>
      </c>
      <c r="C240" s="390"/>
      <c r="D240" s="393">
        <f t="shared" si="75"/>
        <v>36.085961104551835</v>
      </c>
      <c r="E240" s="385">
        <f t="shared" si="97"/>
        <v>38.844476104478311</v>
      </c>
      <c r="F240" s="385">
        <f t="shared" si="76"/>
        <v>38.844476104478311</v>
      </c>
      <c r="G240" s="110">
        <f t="shared" si="98"/>
        <v>0.99887365938597983</v>
      </c>
      <c r="H240" s="414" t="b">
        <f>Wh_hp&gt;='2018'!Maxi_hp</f>
        <v>1</v>
      </c>
      <c r="I240" s="390">
        <f>IF(H240,Wh_hp,'2018'!Maxi_hp)</f>
        <v>38.844476104478311</v>
      </c>
      <c r="J240" s="85">
        <f>IF(H240,An,'2018'!An_max)</f>
        <v>2019</v>
      </c>
      <c r="K240" s="197">
        <f t="shared" si="77"/>
        <v>43691</v>
      </c>
      <c r="L240" s="147">
        <f>IF(t&lt;Tvie,1-EXP((T0-t)*PertePVj)+'2018'!Pspv,1-EXP((T0-t)*PertePVj)+Pspv)</f>
        <v>1.0501621488031687E-2</v>
      </c>
      <c r="M240" s="850"/>
      <c r="N240" s="850"/>
      <c r="O240" s="48">
        <f>IF(t&lt;Tnet,'2018'!Resal+('2018'!Salim-'2018'!Resal)*(1-EXP(('2018'!Tnet-t)/('2018'!Tau_j))),Resal+(Salim-Resal)*(1-EXP((Tnet-t)/(Tau_j))))*Salcycl</f>
        <v>7.1014344292017723E-2</v>
      </c>
      <c r="P240" s="169">
        <f>(INDEX(Models!$BJ240:$BT240,,T240)*(1-R240)+INDEX(Models!$BJ240:$BT240,,T240+1)*R240-ERP_i)*Q240*Ramure*Pc/MaxiM</f>
        <v>0</v>
      </c>
      <c r="Q240" s="305">
        <f t="shared" si="78"/>
        <v>0.7</v>
      </c>
      <c r="R240" s="177">
        <f t="shared" si="79"/>
        <v>0.87428345285643849</v>
      </c>
      <c r="S240" s="817">
        <f t="shared" si="80"/>
        <v>-2</v>
      </c>
      <c r="T240" s="176">
        <f t="shared" si="81"/>
        <v>4</v>
      </c>
      <c r="U240" s="251">
        <f t="shared" si="82"/>
        <v>-1.1257165471435615</v>
      </c>
      <c r="V240" s="383">
        <f t="shared" si="83"/>
        <v>35.747263594826933</v>
      </c>
      <c r="W240" s="58"/>
      <c r="X240" s="157">
        <f t="shared" si="84"/>
        <v>43691</v>
      </c>
      <c r="Y240" s="385">
        <f t="shared" si="85"/>
        <v>35.707000000000001</v>
      </c>
      <c r="Z240" s="385">
        <f t="shared" si="86"/>
        <v>36.085961104551835</v>
      </c>
      <c r="AA240" s="386">
        <f t="shared" si="87"/>
        <v>38.844476104478311</v>
      </c>
      <c r="AB240" s="197">
        <f t="shared" si="88"/>
        <v>43691</v>
      </c>
      <c r="AC240" s="427">
        <f>IF(OR(t&lt;Tnet,NoTnet),'2018'!Resal_s+('2018'!Salim-'2018'!Resal_s)*(1-EXP(('2018'!Tnet_s-t)/'2018'!Tau_j)),Resal_s+(Salim-Resal_s)*(1-EXP((Tnet_s-t)/Tau_j)))*Salcycl</f>
        <v>7.1014344292017723E-2</v>
      </c>
      <c r="AD240" s="231">
        <f>(INDEX(Models!$BJ240:$BT240,,AH240)*(1-AF240)+INDEX(Models!$BJ240:$BT240,,AH240+1)*AF240-ERP_i)*AE240*Ramure*Pc/MaxiM</f>
        <v>0</v>
      </c>
      <c r="AE240" s="305">
        <f t="shared" si="89"/>
        <v>0.7</v>
      </c>
      <c r="AF240" s="177">
        <f t="shared" si="90"/>
        <v>0.87428345285643849</v>
      </c>
      <c r="AG240" s="176">
        <f t="shared" si="91"/>
        <v>-2</v>
      </c>
      <c r="AH240" s="176">
        <f t="shared" si="92"/>
        <v>4</v>
      </c>
      <c r="AI240" s="225">
        <f t="shared" si="93"/>
        <v>-1.1257165471435615</v>
      </c>
      <c r="AJ240" s="265" t="b">
        <f t="shared" si="94"/>
        <v>0</v>
      </c>
      <c r="AK240" s="265" t="b">
        <f t="shared" si="95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6"/>
        <v>43692</v>
      </c>
      <c r="B241" s="617">
        <v>16.672999999999998</v>
      </c>
      <c r="C241" s="390"/>
      <c r="D241" s="393">
        <f t="shared" si="75"/>
        <v>16.850320881336383</v>
      </c>
      <c r="E241" s="385">
        <f t="shared" si="97"/>
        <v>18.140375255358808</v>
      </c>
      <c r="F241" s="385">
        <f t="shared" si="76"/>
        <v>18.140375255358808</v>
      </c>
      <c r="G241" s="110">
        <f t="shared" si="98"/>
        <v>0.46784721265138157</v>
      </c>
      <c r="H241" s="414" t="b">
        <f>Wh_hp&gt;='2018'!Maxi_hp</f>
        <v>0</v>
      </c>
      <c r="I241" s="390">
        <f>IF(H241,Wh_hp,'2018'!Maxi_hp)</f>
        <v>38.017729507891737</v>
      </c>
      <c r="J241" s="85">
        <f>IF(H241,An,'2018'!An_max)</f>
        <v>2018</v>
      </c>
      <c r="K241" s="197">
        <f t="shared" si="77"/>
        <v>43692</v>
      </c>
      <c r="L241" s="147">
        <f>IF(t&lt;Tvie,1-EXP((T0-t)*PertePVj)+'2018'!Pspv,1-EXP((T0-t)*PertePVj)+Pspv)</f>
        <v>1.0523294042001807E-2</v>
      </c>
      <c r="M241" s="850"/>
      <c r="N241" s="850"/>
      <c r="O241" s="48">
        <f>IF(t&lt;Tnet,'2018'!Resal+('2018'!Salim-'2018'!Resal)*(1-EXP(('2018'!Tnet-t)/('2018'!Tau_j))),Resal+(Salim-Resal)*(1-EXP((Tnet-t)/(Tau_j))))*Salcycl</f>
        <v>7.1115087525068357E-2</v>
      </c>
      <c r="P241" s="169">
        <f>(INDEX(Models!$BJ241:$BT241,,T241)*(1-R241)+INDEX(Models!$BJ241:$BT241,,T241+1)*R241-ERP_i)*Q241*Ramure*Pc/MaxiM</f>
        <v>0</v>
      </c>
      <c r="Q241" s="305">
        <f t="shared" si="78"/>
        <v>0.7</v>
      </c>
      <c r="R241" s="177">
        <f t="shared" si="79"/>
        <v>0.87525940887714748</v>
      </c>
      <c r="S241" s="817">
        <f t="shared" si="80"/>
        <v>-2</v>
      </c>
      <c r="T241" s="176">
        <f t="shared" si="81"/>
        <v>4</v>
      </c>
      <c r="U241" s="251">
        <f t="shared" si="82"/>
        <v>-1.1247405911228525</v>
      </c>
      <c r="V241" s="383">
        <f t="shared" si="83"/>
        <v>35.637702970401058</v>
      </c>
      <c r="W241" s="58"/>
      <c r="X241" s="157">
        <f t="shared" si="84"/>
        <v>43692</v>
      </c>
      <c r="Y241" s="385">
        <f t="shared" si="85"/>
        <v>16.672999999999998</v>
      </c>
      <c r="Z241" s="385">
        <f t="shared" si="86"/>
        <v>16.850320881336383</v>
      </c>
      <c r="AA241" s="386">
        <f t="shared" si="87"/>
        <v>18.140375255358808</v>
      </c>
      <c r="AB241" s="197">
        <f t="shared" si="88"/>
        <v>43692</v>
      </c>
      <c r="AC241" s="427">
        <f>IF(OR(t&lt;Tnet,NoTnet),'2018'!Resal_s+('2018'!Salim-'2018'!Resal_s)*(1-EXP(('2018'!Tnet_s-t)/'2018'!Tau_j)),Resal_s+(Salim-Resal_s)*(1-EXP((Tnet_s-t)/Tau_j)))*Salcycl</f>
        <v>7.1115087525068357E-2</v>
      </c>
      <c r="AD241" s="231">
        <f>(INDEX(Models!$BJ241:$BT241,,AH241)*(1-AF241)+INDEX(Models!$BJ241:$BT241,,AH241+1)*AF241-ERP_i)*AE241*Ramure*Pc/MaxiM</f>
        <v>0</v>
      </c>
      <c r="AE241" s="305">
        <f t="shared" si="89"/>
        <v>0.7</v>
      </c>
      <c r="AF241" s="177">
        <f t="shared" si="90"/>
        <v>0.87525940887714748</v>
      </c>
      <c r="AG241" s="176">
        <f t="shared" si="91"/>
        <v>-2</v>
      </c>
      <c r="AH241" s="176">
        <f t="shared" si="92"/>
        <v>4</v>
      </c>
      <c r="AI241" s="225">
        <f t="shared" si="93"/>
        <v>-1.1247405911228525</v>
      </c>
      <c r="AJ241" s="265" t="b">
        <f t="shared" si="94"/>
        <v>0</v>
      </c>
      <c r="AK241" s="265" t="b">
        <f t="shared" si="95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6"/>
        <v>43693</v>
      </c>
      <c r="B242" s="617">
        <v>35.085000000000001</v>
      </c>
      <c r="C242" s="390"/>
      <c r="D242" s="393">
        <f t="shared" si="75"/>
        <v>35.458913036669351</v>
      </c>
      <c r="E242" s="385">
        <f t="shared" si="97"/>
        <v>38.177761326018796</v>
      </c>
      <c r="F242" s="385">
        <f t="shared" si="76"/>
        <v>38.177761326018796</v>
      </c>
      <c r="G242" s="110">
        <f t="shared" si="98"/>
        <v>0.98756416398638147</v>
      </c>
      <c r="H242" s="414" t="b">
        <f>Wh_hp&gt;='2018'!Maxi_hp</f>
        <v>1</v>
      </c>
      <c r="I242" s="390">
        <f>IF(H242,Wh_hp,'2018'!Maxi_hp)</f>
        <v>38.177761326018796</v>
      </c>
      <c r="J242" s="85">
        <f>IF(H242,An,'2018'!An_max)</f>
        <v>2019</v>
      </c>
      <c r="K242" s="197">
        <f t="shared" si="77"/>
        <v>43693</v>
      </c>
      <c r="L242" s="147">
        <f>IF(t&lt;Tvie,1-EXP((T0-t)*PertePVj)+'2018'!Pspv,1-EXP((T0-t)*PertePVj)+Pspv)</f>
        <v>1.0544966121287302E-2</v>
      </c>
      <c r="M242" s="850"/>
      <c r="N242" s="850"/>
      <c r="O242" s="48">
        <f>IF(t&lt;Tnet,'2018'!Resal+('2018'!Salim-'2018'!Resal)*(1-EXP(('2018'!Tnet-t)/('2018'!Tau_j))),Resal+(Salim-Resal)*(1-EXP((Tnet-t)/(Tau_j))))*Salcycl</f>
        <v>7.1215498104560265E-2</v>
      </c>
      <c r="P242" s="169">
        <f>(INDEX(Models!$BJ242:$BT242,,T242)*(1-R242)+INDEX(Models!$BJ242:$BT242,,T242+1)*R242-ERP_i)*Q242*Ramure*Pc/MaxiM</f>
        <v>0</v>
      </c>
      <c r="Q242" s="305">
        <f t="shared" si="78"/>
        <v>0.7</v>
      </c>
      <c r="R242" s="177">
        <f t="shared" si="79"/>
        <v>0.87620087581989758</v>
      </c>
      <c r="S242" s="817">
        <f t="shared" si="80"/>
        <v>-2</v>
      </c>
      <c r="T242" s="176">
        <f t="shared" si="81"/>
        <v>4</v>
      </c>
      <c r="U242" s="251">
        <f t="shared" si="82"/>
        <v>-1.1237991241801024</v>
      </c>
      <c r="V242" s="383">
        <f t="shared" si="83"/>
        <v>35.526805527629314</v>
      </c>
      <c r="W242" s="58"/>
      <c r="X242" s="157">
        <f t="shared" si="84"/>
        <v>43693</v>
      </c>
      <c r="Y242" s="385">
        <f t="shared" si="85"/>
        <v>35.085000000000001</v>
      </c>
      <c r="Z242" s="385">
        <f t="shared" si="86"/>
        <v>35.458913036669351</v>
      </c>
      <c r="AA242" s="386">
        <f t="shared" si="87"/>
        <v>38.177761326018796</v>
      </c>
      <c r="AB242" s="197">
        <f t="shared" si="88"/>
        <v>43693</v>
      </c>
      <c r="AC242" s="427">
        <f>IF(OR(t&lt;Tnet,NoTnet),'2018'!Resal_s+('2018'!Salim-'2018'!Resal_s)*(1-EXP(('2018'!Tnet_s-t)/'2018'!Tau_j)),Resal_s+(Salim-Resal_s)*(1-EXP((Tnet_s-t)/Tau_j)))*Salcycl</f>
        <v>7.1215498104560265E-2</v>
      </c>
      <c r="AD242" s="231">
        <f>(INDEX(Models!$BJ242:$BT242,,AH242)*(1-AF242)+INDEX(Models!$BJ242:$BT242,,AH242+1)*AF242-ERP_i)*AE242*Ramure*Pc/MaxiM</f>
        <v>0</v>
      </c>
      <c r="AE242" s="305">
        <f t="shared" si="89"/>
        <v>0.7</v>
      </c>
      <c r="AF242" s="177">
        <f t="shared" si="90"/>
        <v>0.87620087581989758</v>
      </c>
      <c r="AG242" s="176">
        <f t="shared" si="91"/>
        <v>-2</v>
      </c>
      <c r="AH242" s="176">
        <f t="shared" si="92"/>
        <v>4</v>
      </c>
      <c r="AI242" s="225">
        <f t="shared" si="93"/>
        <v>-1.1237991241801024</v>
      </c>
      <c r="AJ242" s="265" t="b">
        <f t="shared" si="94"/>
        <v>0</v>
      </c>
      <c r="AK242" s="265" t="b">
        <f t="shared" si="95"/>
        <v>0</v>
      </c>
      <c r="AL242" s="265"/>
      <c r="AM242" s="265"/>
      <c r="AN242" s="75"/>
    </row>
    <row r="243" spans="1:40" s="6" customFormat="1" ht="11.25" x14ac:dyDescent="0.2">
      <c r="A243" s="56">
        <f t="shared" si="96"/>
        <v>43694</v>
      </c>
      <c r="B243" s="617">
        <v>34.289000000000001</v>
      </c>
      <c r="C243" s="390"/>
      <c r="D243" s="393">
        <f t="shared" si="75"/>
        <v>34.655188825643179</v>
      </c>
      <c r="E243" s="385">
        <f t="shared" si="97"/>
        <v>37.316431373615615</v>
      </c>
      <c r="F243" s="385">
        <f t="shared" si="76"/>
        <v>37.316431373615615</v>
      </c>
      <c r="G243" s="110">
        <f t="shared" si="98"/>
        <v>0.96821726533746577</v>
      </c>
      <c r="H243" s="414" t="b">
        <f>Wh_hp&gt;='2018'!Maxi_hp</f>
        <v>1</v>
      </c>
      <c r="I243" s="390">
        <f>IF(H243,Wh_hp,'2018'!Maxi_hp)</f>
        <v>37.316431373615615</v>
      </c>
      <c r="J243" s="85">
        <f>IF(H243,An,'2018'!An_max)</f>
        <v>2019</v>
      </c>
      <c r="K243" s="197">
        <f t="shared" si="77"/>
        <v>43694</v>
      </c>
      <c r="L243" s="147">
        <f>IF(t&lt;Tvie,1-EXP((T0-t)*PertePVj)+'2018'!Pspv,1-EXP((T0-t)*PertePVj)+Pspv)</f>
        <v>1.0566637725898609E-2</v>
      </c>
      <c r="M243" s="850"/>
      <c r="N243" s="850"/>
      <c r="O243" s="48">
        <f>IF(t&lt;Tnet,'2018'!Resal+('2018'!Salim-'2018'!Resal)*(1-EXP(('2018'!Tnet-t)/('2018'!Tau_j))),Resal+(Salim-Resal)*(1-EXP((Tnet-t)/(Tau_j))))*Salcycl</f>
        <v>7.1315569308539314E-2</v>
      </c>
      <c r="P243" s="169">
        <f>(INDEX(Models!$BJ243:$BT243,,T243)*(1-R243)+INDEX(Models!$BJ243:$BT243,,T243+1)*R243-ERP_i)*Q243*Ramure*Pc/MaxiM</f>
        <v>0</v>
      </c>
      <c r="Q243" s="305">
        <f t="shared" si="78"/>
        <v>0.7</v>
      </c>
      <c r="R243" s="177">
        <f t="shared" si="79"/>
        <v>0.87710889658583113</v>
      </c>
      <c r="S243" s="817">
        <f t="shared" si="80"/>
        <v>-2</v>
      </c>
      <c r="T243" s="176">
        <f t="shared" si="81"/>
        <v>4</v>
      </c>
      <c r="U243" s="251">
        <f t="shared" si="82"/>
        <v>-1.1228911034141689</v>
      </c>
      <c r="V243" s="383">
        <f t="shared" si="83"/>
        <v>35.414571943259858</v>
      </c>
      <c r="W243" s="58"/>
      <c r="X243" s="157">
        <f t="shared" si="84"/>
        <v>43694</v>
      </c>
      <c r="Y243" s="385">
        <f t="shared" si="85"/>
        <v>34.289000000000001</v>
      </c>
      <c r="Z243" s="385">
        <f t="shared" si="86"/>
        <v>34.655188825643179</v>
      </c>
      <c r="AA243" s="386">
        <f t="shared" si="87"/>
        <v>37.316431373615615</v>
      </c>
      <c r="AB243" s="197">
        <f t="shared" si="88"/>
        <v>43694</v>
      </c>
      <c r="AC243" s="427">
        <f>IF(OR(t&lt;Tnet,NoTnet),'2018'!Resal_s+('2018'!Salim-'2018'!Resal_s)*(1-EXP(('2018'!Tnet_s-t)/'2018'!Tau_j)),Resal_s+(Salim-Resal_s)*(1-EXP((Tnet_s-t)/Tau_j)))*Salcycl</f>
        <v>7.1315569308539314E-2</v>
      </c>
      <c r="AD243" s="231">
        <f>(INDEX(Models!$BJ243:$BT243,,AH243)*(1-AF243)+INDEX(Models!$BJ243:$BT243,,AH243+1)*AF243-ERP_i)*AE243*Ramure*Pc/MaxiM</f>
        <v>0</v>
      </c>
      <c r="AE243" s="305">
        <f t="shared" si="89"/>
        <v>0.7</v>
      </c>
      <c r="AF243" s="177">
        <f t="shared" si="90"/>
        <v>0.87710889658583113</v>
      </c>
      <c r="AG243" s="176">
        <f t="shared" si="91"/>
        <v>-2</v>
      </c>
      <c r="AH243" s="176">
        <f t="shared" si="92"/>
        <v>4</v>
      </c>
      <c r="AI243" s="225">
        <f t="shared" si="93"/>
        <v>-1.1228911034141689</v>
      </c>
      <c r="AJ243" s="265" t="b">
        <f t="shared" si="94"/>
        <v>0</v>
      </c>
      <c r="AK243" s="265" t="b">
        <f t="shared" si="95"/>
        <v>0</v>
      </c>
      <c r="AL243" s="265"/>
      <c r="AM243" s="265"/>
      <c r="AN243" s="75"/>
    </row>
    <row r="244" spans="1:40" s="6" customFormat="1" ht="11.25" x14ac:dyDescent="0.2">
      <c r="A244" s="56">
        <f t="shared" si="96"/>
        <v>43695</v>
      </c>
      <c r="B244" s="617">
        <v>22.544</v>
      </c>
      <c r="C244" s="390"/>
      <c r="D244" s="393">
        <f t="shared" si="75"/>
        <v>22.78525734209807</v>
      </c>
      <c r="E244" s="385">
        <f t="shared" si="97"/>
        <v>24.537618581715481</v>
      </c>
      <c r="F244" s="385">
        <f t="shared" si="76"/>
        <v>24.537618581715481</v>
      </c>
      <c r="G244" s="110">
        <f t="shared" si="98"/>
        <v>0.6386220826672494</v>
      </c>
      <c r="H244" s="414" t="b">
        <f>Wh_hp&gt;='2018'!Maxi_hp</f>
        <v>1</v>
      </c>
      <c r="I244" s="390">
        <f>IF(H244,Wh_hp,'2018'!Maxi_hp)</f>
        <v>24.537618581715481</v>
      </c>
      <c r="J244" s="85">
        <f>IF(H244,An,'2018'!An_max)</f>
        <v>2019</v>
      </c>
      <c r="K244" s="197">
        <f t="shared" si="77"/>
        <v>43695</v>
      </c>
      <c r="L244" s="147">
        <f>IF(t&lt;Tvie,1-EXP((T0-t)*PertePVj)+'2018'!Pspv,1-EXP((T0-t)*PertePVj)+Pspv)</f>
        <v>1.0588308855846162E-2</v>
      </c>
      <c r="M244" s="850"/>
      <c r="N244" s="850"/>
      <c r="O244" s="48">
        <f>IF(t&lt;Tnet,'2018'!Resal+('2018'!Salim-'2018'!Resal)*(1-EXP(('2018'!Tnet-t)/('2018'!Tau_j))),Resal+(Salim-Resal)*(1-EXP((Tnet-t)/(Tau_j))))*Salcycl</f>
        <v>7.1415293777661232E-2</v>
      </c>
      <c r="P244" s="169">
        <f>(INDEX(Models!$BJ244:$BT244,,T244)*(1-R244)+INDEX(Models!$BJ244:$BT244,,T244+1)*R244-ERP_i)*Q244*Ramure*Pc/MaxiM</f>
        <v>0</v>
      </c>
      <c r="Q244" s="305">
        <f t="shared" si="78"/>
        <v>0.7</v>
      </c>
      <c r="R244" s="177">
        <f t="shared" si="79"/>
        <v>0.8779844957767009</v>
      </c>
      <c r="S244" s="817">
        <f t="shared" si="80"/>
        <v>-2</v>
      </c>
      <c r="T244" s="176">
        <f t="shared" si="81"/>
        <v>4</v>
      </c>
      <c r="U244" s="251">
        <f t="shared" si="82"/>
        <v>-1.1220155042232991</v>
      </c>
      <c r="V244" s="383">
        <f t="shared" si="83"/>
        <v>35.30100291215021</v>
      </c>
      <c r="W244" s="58"/>
      <c r="X244" s="157">
        <f t="shared" si="84"/>
        <v>43695</v>
      </c>
      <c r="Y244" s="385">
        <f t="shared" si="85"/>
        <v>22.544</v>
      </c>
      <c r="Z244" s="385">
        <f t="shared" si="86"/>
        <v>22.78525734209807</v>
      </c>
      <c r="AA244" s="386">
        <f t="shared" si="87"/>
        <v>24.537618581715481</v>
      </c>
      <c r="AB244" s="197">
        <f t="shared" si="88"/>
        <v>43695</v>
      </c>
      <c r="AC244" s="427">
        <f>IF(OR(t&lt;Tnet,NoTnet),'2018'!Resal_s+('2018'!Salim-'2018'!Resal_s)*(1-EXP(('2018'!Tnet_s-t)/'2018'!Tau_j)),Resal_s+(Salim-Resal_s)*(1-EXP((Tnet_s-t)/Tau_j)))*Salcycl</f>
        <v>7.1415293777661232E-2</v>
      </c>
      <c r="AD244" s="231">
        <f>(INDEX(Models!$BJ244:$BT244,,AH244)*(1-AF244)+INDEX(Models!$BJ244:$BT244,,AH244+1)*AF244-ERP_i)*AE244*Ramure*Pc/MaxiM</f>
        <v>0</v>
      </c>
      <c r="AE244" s="305">
        <f t="shared" si="89"/>
        <v>0.7</v>
      </c>
      <c r="AF244" s="177">
        <f t="shared" si="90"/>
        <v>0.8779844957767009</v>
      </c>
      <c r="AG244" s="176">
        <f t="shared" si="91"/>
        <v>-2</v>
      </c>
      <c r="AH244" s="176">
        <f t="shared" si="92"/>
        <v>4</v>
      </c>
      <c r="AI244" s="225">
        <f t="shared" si="93"/>
        <v>-1.1220155042232991</v>
      </c>
      <c r="AJ244" s="265" t="b">
        <f t="shared" si="94"/>
        <v>0</v>
      </c>
      <c r="AK244" s="265" t="b">
        <f t="shared" si="95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6"/>
        <v>43696</v>
      </c>
      <c r="B245" s="617">
        <v>22.244</v>
      </c>
      <c r="C245" s="390"/>
      <c r="D245" s="393">
        <f t="shared" si="75"/>
        <v>22.48253928113121</v>
      </c>
      <c r="E245" s="385">
        <f t="shared" si="97"/>
        <v>24.214210390818959</v>
      </c>
      <c r="F245" s="385">
        <f t="shared" si="76"/>
        <v>24.214210390818959</v>
      </c>
      <c r="G245" s="110">
        <f t="shared" si="98"/>
        <v>0.6321814733852783</v>
      </c>
      <c r="H245" s="414" t="b">
        <f>Wh_hp&gt;='2018'!Maxi_hp</f>
        <v>0</v>
      </c>
      <c r="I245" s="390">
        <f>IF(H245,Wh_hp,'2018'!Maxi_hp)</f>
        <v>35.384293693834039</v>
      </c>
      <c r="J245" s="85">
        <f>IF(H245,An,'2018'!An_max)</f>
        <v>2018</v>
      </c>
      <c r="K245" s="197">
        <f t="shared" si="77"/>
        <v>43696</v>
      </c>
      <c r="L245" s="147">
        <f>IF(t&lt;Tvie,1-EXP((T0-t)*PertePVj)+'2018'!Pspv,1-EXP((T0-t)*PertePVj)+Pspv)</f>
        <v>1.0609979511140399E-2</v>
      </c>
      <c r="M245" s="850"/>
      <c r="N245" s="850"/>
      <c r="O245" s="48">
        <f>IF(t&lt;Tnet,'2018'!Resal+('2018'!Salim-'2018'!Resal)*(1-EXP(('2018'!Tnet-t)/('2018'!Tau_j))),Resal+(Salim-Resal)*(1-EXP((Tnet-t)/(Tau_j))))*Salcycl</f>
        <v>7.1514663568973111E-2</v>
      </c>
      <c r="P245" s="169">
        <f>(INDEX(Models!$BJ245:$BT245,,T245)*(1-R245)+INDEX(Models!$BJ245:$BT245,,T245+1)*R245-ERP_i)*Q245*Ramure*Pc/MaxiM</f>
        <v>0</v>
      </c>
      <c r="Q245" s="305">
        <f t="shared" si="78"/>
        <v>0.7</v>
      </c>
      <c r="R245" s="177">
        <f t="shared" si="79"/>
        <v>0.87882867893721883</v>
      </c>
      <c r="S245" s="817">
        <f t="shared" si="80"/>
        <v>-2</v>
      </c>
      <c r="T245" s="176">
        <f t="shared" si="81"/>
        <v>4</v>
      </c>
      <c r="U245" s="251">
        <f t="shared" si="82"/>
        <v>-1.1211713210627812</v>
      </c>
      <c r="V245" s="383">
        <f t="shared" si="83"/>
        <v>35.186099144736495</v>
      </c>
      <c r="W245" s="58"/>
      <c r="X245" s="157">
        <f t="shared" si="84"/>
        <v>43696</v>
      </c>
      <c r="Y245" s="385">
        <f t="shared" si="85"/>
        <v>22.244</v>
      </c>
      <c r="Z245" s="385">
        <f t="shared" si="86"/>
        <v>22.48253928113121</v>
      </c>
      <c r="AA245" s="386">
        <f t="shared" si="87"/>
        <v>24.214210390818959</v>
      </c>
      <c r="AB245" s="197">
        <f t="shared" si="88"/>
        <v>43696</v>
      </c>
      <c r="AC245" s="427">
        <f>IF(OR(t&lt;Tnet,NoTnet),'2018'!Resal_s+('2018'!Salim-'2018'!Resal_s)*(1-EXP(('2018'!Tnet_s-t)/'2018'!Tau_j)),Resal_s+(Salim-Resal_s)*(1-EXP((Tnet_s-t)/Tau_j)))*Salcycl</f>
        <v>7.1514663568973111E-2</v>
      </c>
      <c r="AD245" s="231">
        <f>(INDEX(Models!$BJ245:$BT245,,AH245)*(1-AF245)+INDEX(Models!$BJ245:$BT245,,AH245+1)*AF245-ERP_i)*AE245*Ramure*Pc/MaxiM</f>
        <v>0</v>
      </c>
      <c r="AE245" s="305">
        <f t="shared" si="89"/>
        <v>0.7</v>
      </c>
      <c r="AF245" s="177">
        <f t="shared" si="90"/>
        <v>0.87882867893721883</v>
      </c>
      <c r="AG245" s="176">
        <f t="shared" si="91"/>
        <v>-2</v>
      </c>
      <c r="AH245" s="176">
        <f t="shared" si="92"/>
        <v>4</v>
      </c>
      <c r="AI245" s="225">
        <f t="shared" si="93"/>
        <v>-1.1211713210627812</v>
      </c>
      <c r="AJ245" s="265" t="b">
        <f t="shared" si="94"/>
        <v>0</v>
      </c>
      <c r="AK245" s="265" t="b">
        <f t="shared" si="95"/>
        <v>0</v>
      </c>
      <c r="AL245" s="265"/>
      <c r="AM245" s="265"/>
      <c r="AN245" s="75"/>
    </row>
    <row r="246" spans="1:40" s="6" customFormat="1" ht="11.25" x14ac:dyDescent="0.2">
      <c r="A246" s="56">
        <f t="shared" si="96"/>
        <v>43697</v>
      </c>
      <c r="B246" s="617">
        <v>20.382000000000001</v>
      </c>
      <c r="C246" s="390"/>
      <c r="D246" s="393">
        <f t="shared" si="75"/>
        <v>20.601022858322278</v>
      </c>
      <c r="E246" s="385">
        <f t="shared" si="97"/>
        <v>22.19014024348828</v>
      </c>
      <c r="F246" s="385">
        <f t="shared" si="76"/>
        <v>22.19014024348828</v>
      </c>
      <c r="G246" s="110">
        <f t="shared" si="98"/>
        <v>0.58118279362661984</v>
      </c>
      <c r="H246" s="414" t="b">
        <f>Wh_hp&gt;='2018'!Maxi_hp</f>
        <v>0</v>
      </c>
      <c r="I246" s="390">
        <f>IF(H246,Wh_hp,'2018'!Maxi_hp)</f>
        <v>36.367999421371763</v>
      </c>
      <c r="J246" s="85">
        <f>IF(H246,An,'2018'!An_max)</f>
        <v>2018</v>
      </c>
      <c r="K246" s="197">
        <f t="shared" si="77"/>
        <v>43697</v>
      </c>
      <c r="L246" s="147">
        <f>IF(t&lt;Tvie,1-EXP((T0-t)*PertePVj)+'2018'!Pspv,1-EXP((T0-t)*PertePVj)+Pspv)</f>
        <v>1.0631649691791645E-2</v>
      </c>
      <c r="M246" s="850"/>
      <c r="N246" s="850"/>
      <c r="O246" s="48">
        <f>IF(t&lt;Tnet,'2018'!Resal+('2018'!Salim-'2018'!Resal)*(1-EXP(('2018'!Tnet-t)/('2018'!Tau_j))),Resal+(Salim-Resal)*(1-EXP((Tnet-t)/(Tau_j))))*Salcycl</f>
        <v>7.1613670203473784E-2</v>
      </c>
      <c r="P246" s="169">
        <f>(INDEX(Models!$BJ246:$BT246,,T246)*(1-R246)+INDEX(Models!$BJ246:$BT246,,T246+1)*R246-ERP_i)*Q246*Ramure*Pc/MaxiM</f>
        <v>0</v>
      </c>
      <c r="Q246" s="305">
        <f t="shared" si="78"/>
        <v>0.7</v>
      </c>
      <c r="R246" s="177">
        <f t="shared" si="79"/>
        <v>0.87964243190809488</v>
      </c>
      <c r="S246" s="817">
        <f t="shared" si="80"/>
        <v>-2</v>
      </c>
      <c r="T246" s="176">
        <f t="shared" si="81"/>
        <v>4</v>
      </c>
      <c r="U246" s="251">
        <f t="shared" si="82"/>
        <v>-1.1203575680919051</v>
      </c>
      <c r="V246" s="383">
        <f t="shared" si="83"/>
        <v>35.069861364640467</v>
      </c>
      <c r="W246" s="58"/>
      <c r="X246" s="157">
        <f t="shared" si="84"/>
        <v>43697</v>
      </c>
      <c r="Y246" s="385">
        <f t="shared" si="85"/>
        <v>20.382000000000001</v>
      </c>
      <c r="Z246" s="385">
        <f t="shared" si="86"/>
        <v>20.601022858322278</v>
      </c>
      <c r="AA246" s="386">
        <f t="shared" si="87"/>
        <v>22.19014024348828</v>
      </c>
      <c r="AB246" s="197">
        <f t="shared" si="88"/>
        <v>43697</v>
      </c>
      <c r="AC246" s="427">
        <f>IF(OR(t&lt;Tnet,NoTnet),'2018'!Resal_s+('2018'!Salim-'2018'!Resal_s)*(1-EXP(('2018'!Tnet_s-t)/'2018'!Tau_j)),Resal_s+(Salim-Resal_s)*(1-EXP((Tnet_s-t)/Tau_j)))*Salcycl</f>
        <v>7.1613670203473784E-2</v>
      </c>
      <c r="AD246" s="231">
        <f>(INDEX(Models!$BJ246:$BT246,,AH246)*(1-AF246)+INDEX(Models!$BJ246:$BT246,,AH246+1)*AF246-ERP_i)*AE246*Ramure*Pc/MaxiM</f>
        <v>0</v>
      </c>
      <c r="AE246" s="305">
        <f t="shared" si="89"/>
        <v>0.7</v>
      </c>
      <c r="AF246" s="177">
        <f t="shared" si="90"/>
        <v>0.87964243190809488</v>
      </c>
      <c r="AG246" s="176">
        <f t="shared" si="91"/>
        <v>-2</v>
      </c>
      <c r="AH246" s="176">
        <f t="shared" si="92"/>
        <v>4</v>
      </c>
      <c r="AI246" s="225">
        <f t="shared" si="93"/>
        <v>-1.1203575680919051</v>
      </c>
      <c r="AJ246" s="265" t="b">
        <f t="shared" si="94"/>
        <v>0</v>
      </c>
      <c r="AK246" s="265" t="b">
        <f t="shared" si="95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6"/>
        <v>43698</v>
      </c>
      <c r="B247" s="617">
        <v>31.396000000000001</v>
      </c>
      <c r="C247" s="390"/>
      <c r="D247" s="393">
        <f t="shared" si="75"/>
        <v>31.734073217782537</v>
      </c>
      <c r="E247" s="385">
        <f t="shared" si="97"/>
        <v>34.185601488301792</v>
      </c>
      <c r="F247" s="385">
        <f t="shared" si="76"/>
        <v>34.185601488301792</v>
      </c>
      <c r="G247" s="110">
        <f t="shared" si="98"/>
        <v>0.89821469778698493</v>
      </c>
      <c r="H247" s="414" t="b">
        <f>Wh_hp&gt;='2018'!Maxi_hp</f>
        <v>0</v>
      </c>
      <c r="I247" s="390">
        <f>IF(H247,Wh_hp,'2018'!Maxi_hp)</f>
        <v>35.43192681559259</v>
      </c>
      <c r="J247" s="85">
        <f>IF(H247,An,'2018'!An_max)</f>
        <v>2018</v>
      </c>
      <c r="K247" s="197">
        <f t="shared" si="77"/>
        <v>43698</v>
      </c>
      <c r="L247" s="147">
        <f>IF(t&lt;Tvie,1-EXP((T0-t)*PertePVj)+'2018'!Pspv,1-EXP((T0-t)*PertePVj)+Pspv)</f>
        <v>1.0653319397810335E-2</v>
      </c>
      <c r="M247" s="850"/>
      <c r="N247" s="850"/>
      <c r="O247" s="48">
        <f>IF(t&lt;Tnet,'2018'!Resal+('2018'!Salim-'2018'!Resal)*(1-EXP(('2018'!Tnet-t)/('2018'!Tau_j))),Resal+(Salim-Resal)*(1-EXP((Tnet-t)/(Tau_j))))*Salcycl</f>
        <v>7.1712304706943869E-2</v>
      </c>
      <c r="P247" s="169">
        <f>(INDEX(Models!$BJ247:$BT247,,T247)*(1-R247)+INDEX(Models!$BJ247:$BT247,,T247+1)*R247-ERP_i)*Q247*Ramure*Pc/MaxiM</f>
        <v>0</v>
      </c>
      <c r="Q247" s="305">
        <f t="shared" si="78"/>
        <v>0.7</v>
      </c>
      <c r="R247" s="177">
        <f t="shared" si="79"/>
        <v>0.8804267202825744</v>
      </c>
      <c r="S247" s="817">
        <f t="shared" si="80"/>
        <v>-2</v>
      </c>
      <c r="T247" s="176">
        <f t="shared" si="81"/>
        <v>4</v>
      </c>
      <c r="U247" s="251">
        <f t="shared" si="82"/>
        <v>-1.1195732797174256</v>
      </c>
      <c r="V247" s="383">
        <f t="shared" si="83"/>
        <v>34.9537811809952</v>
      </c>
      <c r="W247" s="58"/>
      <c r="X247" s="157">
        <f t="shared" si="84"/>
        <v>43698</v>
      </c>
      <c r="Y247" s="385">
        <f t="shared" si="85"/>
        <v>31.396000000000004</v>
      </c>
      <c r="Z247" s="385">
        <f t="shared" si="86"/>
        <v>31.734073217782541</v>
      </c>
      <c r="AA247" s="386">
        <f t="shared" si="87"/>
        <v>34.185601488301792</v>
      </c>
      <c r="AB247" s="197">
        <f t="shared" si="88"/>
        <v>43698</v>
      </c>
      <c r="AC247" s="427">
        <f>IF(OR(t&lt;Tnet,NoTnet),'2018'!Resal_s+('2018'!Salim-'2018'!Resal_s)*(1-EXP(('2018'!Tnet_s-t)/'2018'!Tau_j)),Resal_s+(Salim-Resal_s)*(1-EXP((Tnet_s-t)/Tau_j)))*Salcycl</f>
        <v>7.1712304706943869E-2</v>
      </c>
      <c r="AD247" s="231">
        <f>(INDEX(Models!$BJ247:$BT247,,AH247)*(1-AF247)+INDEX(Models!$BJ247:$BT247,,AH247+1)*AF247-ERP_i)*AE247*Ramure*Pc/MaxiM</f>
        <v>0</v>
      </c>
      <c r="AE247" s="305">
        <f t="shared" si="89"/>
        <v>0.7</v>
      </c>
      <c r="AF247" s="177">
        <f t="shared" si="90"/>
        <v>0.8804267202825744</v>
      </c>
      <c r="AG247" s="176">
        <f t="shared" si="91"/>
        <v>-2</v>
      </c>
      <c r="AH247" s="176">
        <f t="shared" si="92"/>
        <v>4</v>
      </c>
      <c r="AI247" s="225">
        <f t="shared" si="93"/>
        <v>-1.1195732797174256</v>
      </c>
      <c r="AJ247" s="265" t="b">
        <f t="shared" si="94"/>
        <v>0</v>
      </c>
      <c r="AK247" s="265" t="b">
        <f t="shared" si="95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6"/>
        <v>43699</v>
      </c>
      <c r="B248" s="617">
        <v>35.622999999999998</v>
      </c>
      <c r="C248" s="390"/>
      <c r="D248" s="393">
        <f t="shared" si="75"/>
        <v>36.007378354501853</v>
      </c>
      <c r="E248" s="385">
        <f t="shared" si="97"/>
        <v>38.793135012494737</v>
      </c>
      <c r="F248" s="385">
        <f t="shared" si="76"/>
        <v>38.793135012494737</v>
      </c>
      <c r="G248" s="110">
        <f t="shared" si="98"/>
        <v>1.0225067217365471</v>
      </c>
      <c r="H248" s="414" t="b">
        <f>Wh_hp&gt;='2018'!Maxi_hp</f>
        <v>1</v>
      </c>
      <c r="I248" s="390">
        <f>IF(H248,Wh_hp,'2018'!Maxi_hp)</f>
        <v>38.793135012494737</v>
      </c>
      <c r="J248" s="85">
        <f>IF(H248,An,'2018'!An_max)</f>
        <v>2019</v>
      </c>
      <c r="K248" s="197">
        <f t="shared" si="77"/>
        <v>43699</v>
      </c>
      <c r="L248" s="147">
        <f>IF(t&lt;Tvie,1-EXP((T0-t)*PertePVj)+'2018'!Pspv,1-EXP((T0-t)*PertePVj)+Pspv)</f>
        <v>1.0674988629206905E-2</v>
      </c>
      <c r="M248" s="850"/>
      <c r="N248" s="850"/>
      <c r="O248" s="48">
        <f>IF(t&lt;Tnet,'2018'!Resal+('2018'!Salim-'2018'!Resal)*(1-EXP(('2018'!Tnet-t)/('2018'!Tau_j))),Resal+(Salim-Resal)*(1-EXP((Tnet-t)/(Tau_j))))*Salcycl</f>
        <v>7.1810557643655973E-2</v>
      </c>
      <c r="P248" s="169">
        <f>(INDEX(Models!$BJ248:$BT248,,T248)*(1-R248)+INDEX(Models!$BJ248:$BT248,,T248+1)*R248-ERP_i)*Q248*Ramure*Pc/MaxiM</f>
        <v>0</v>
      </c>
      <c r="Q248" s="305">
        <f t="shared" si="78"/>
        <v>0.7</v>
      </c>
      <c r="R248" s="177">
        <f t="shared" si="79"/>
        <v>0.88118248895948192</v>
      </c>
      <c r="S248" s="817">
        <f t="shared" si="80"/>
        <v>-2</v>
      </c>
      <c r="T248" s="176">
        <f t="shared" si="81"/>
        <v>4</v>
      </c>
      <c r="U248" s="251">
        <f t="shared" si="82"/>
        <v>-1.1188175110405181</v>
      </c>
      <c r="V248" s="383">
        <f t="shared" si="83"/>
        <v>34.838890779613287</v>
      </c>
      <c r="W248" s="58"/>
      <c r="X248" s="157">
        <f t="shared" si="84"/>
        <v>43699</v>
      </c>
      <c r="Y248" s="385">
        <f t="shared" si="85"/>
        <v>35.622999999999998</v>
      </c>
      <c r="Z248" s="385">
        <f t="shared" si="86"/>
        <v>36.007378354501853</v>
      </c>
      <c r="AA248" s="386">
        <f t="shared" si="87"/>
        <v>38.793135012494737</v>
      </c>
      <c r="AB248" s="197">
        <f t="shared" si="88"/>
        <v>43699</v>
      </c>
      <c r="AC248" s="427">
        <f>IF(OR(t&lt;Tnet,NoTnet),'2018'!Resal_s+('2018'!Salim-'2018'!Resal_s)*(1-EXP(('2018'!Tnet_s-t)/'2018'!Tau_j)),Resal_s+(Salim-Resal_s)*(1-EXP((Tnet_s-t)/Tau_j)))*Salcycl</f>
        <v>7.1810557643655973E-2</v>
      </c>
      <c r="AD248" s="231">
        <f>(INDEX(Models!$BJ248:$BT248,,AH248)*(1-AF248)+INDEX(Models!$BJ248:$BT248,,AH248+1)*AF248-ERP_i)*AE248*Ramure*Pc/MaxiM</f>
        <v>0</v>
      </c>
      <c r="AE248" s="305">
        <f t="shared" si="89"/>
        <v>0.7</v>
      </c>
      <c r="AF248" s="177">
        <f t="shared" si="90"/>
        <v>0.88118248895948192</v>
      </c>
      <c r="AG248" s="176">
        <f t="shared" si="91"/>
        <v>-2</v>
      </c>
      <c r="AH248" s="176">
        <f t="shared" si="92"/>
        <v>4</v>
      </c>
      <c r="AI248" s="225">
        <f t="shared" si="93"/>
        <v>-1.1188175110405181</v>
      </c>
      <c r="AJ248" s="265" t="b">
        <f t="shared" si="94"/>
        <v>0</v>
      </c>
      <c r="AK248" s="265" t="b">
        <f t="shared" si="95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6"/>
        <v>43700</v>
      </c>
      <c r="B249" s="617">
        <v>33.475000000000001</v>
      </c>
      <c r="C249" s="390"/>
      <c r="D249" s="393">
        <f t="shared" si="75"/>
        <v>33.836942177461921</v>
      </c>
      <c r="E249" s="385">
        <f t="shared" si="97"/>
        <v>36.458624208406086</v>
      </c>
      <c r="F249" s="385">
        <f t="shared" si="76"/>
        <v>36.458624208406086</v>
      </c>
      <c r="G249" s="110">
        <f t="shared" si="98"/>
        <v>0.96401670412886531</v>
      </c>
      <c r="H249" s="414" t="b">
        <f>Wh_hp&gt;='2018'!Maxi_hp</f>
        <v>1</v>
      </c>
      <c r="I249" s="390">
        <f>IF(H249,Wh_hp,'2018'!Maxi_hp)</f>
        <v>36.458624208406086</v>
      </c>
      <c r="J249" s="85">
        <f>IF(H249,An,'2018'!An_max)</f>
        <v>2019</v>
      </c>
      <c r="K249" s="197">
        <f t="shared" si="77"/>
        <v>43700</v>
      </c>
      <c r="L249" s="147">
        <f>IF(t&lt;Tvie,1-EXP((T0-t)*PertePVj)+'2018'!Pspv,1-EXP((T0-t)*PertePVj)+Pspv)</f>
        <v>1.069665738599157E-2</v>
      </c>
      <c r="M249" s="850"/>
      <c r="N249" s="850"/>
      <c r="O249" s="48">
        <f>IF(t&lt;Tnet,'2018'!Resal+('2018'!Salim-'2018'!Resal)*(1-EXP(('2018'!Tnet-t)/('2018'!Tau_j))),Resal+(Salim-Resal)*(1-EXP((Tnet-t)/(Tau_j))))*Salcycl</f>
        <v>7.1908419142697633E-2</v>
      </c>
      <c r="P249" s="169">
        <f>(INDEX(Models!$BJ249:$BT249,,T249)*(1-R249)+INDEX(Models!$BJ249:$BT249,,T249+1)*R249-ERP_i)*Q249*Ramure*Pc/MaxiM</f>
        <v>0</v>
      </c>
      <c r="Q249" s="305">
        <f t="shared" si="78"/>
        <v>0.7</v>
      </c>
      <c r="R249" s="177">
        <f t="shared" si="79"/>
        <v>0.88191066178598576</v>
      </c>
      <c r="S249" s="817">
        <f t="shared" si="80"/>
        <v>-2</v>
      </c>
      <c r="T249" s="176">
        <f t="shared" si="81"/>
        <v>4</v>
      </c>
      <c r="U249" s="251">
        <f t="shared" si="82"/>
        <v>-1.1180893382140142</v>
      </c>
      <c r="V249" s="383">
        <f t="shared" si="83"/>
        <v>34.724502030542837</v>
      </c>
      <c r="W249" s="58"/>
      <c r="X249" s="157">
        <f t="shared" si="84"/>
        <v>43700</v>
      </c>
      <c r="Y249" s="385">
        <f t="shared" si="85"/>
        <v>33.475000000000001</v>
      </c>
      <c r="Z249" s="385">
        <f t="shared" si="86"/>
        <v>33.836942177461921</v>
      </c>
      <c r="AA249" s="386">
        <f t="shared" si="87"/>
        <v>36.458624208406086</v>
      </c>
      <c r="AB249" s="197">
        <f t="shared" si="88"/>
        <v>43700</v>
      </c>
      <c r="AC249" s="427">
        <f>IF(OR(t&lt;Tnet,NoTnet),'2018'!Resal_s+('2018'!Salim-'2018'!Resal_s)*(1-EXP(('2018'!Tnet_s-t)/'2018'!Tau_j)),Resal_s+(Salim-Resal_s)*(1-EXP((Tnet_s-t)/Tau_j)))*Salcycl</f>
        <v>7.1908419142697633E-2</v>
      </c>
      <c r="AD249" s="231">
        <f>(INDEX(Models!$BJ249:$BT249,,AH249)*(1-AF249)+INDEX(Models!$BJ249:$BT249,,AH249+1)*AF249-ERP_i)*AE249*Ramure*Pc/MaxiM</f>
        <v>0</v>
      </c>
      <c r="AE249" s="305">
        <f t="shared" si="89"/>
        <v>0.7</v>
      </c>
      <c r="AF249" s="177">
        <f t="shared" si="90"/>
        <v>0.88191066178598576</v>
      </c>
      <c r="AG249" s="176">
        <f t="shared" si="91"/>
        <v>-2</v>
      </c>
      <c r="AH249" s="176">
        <f t="shared" si="92"/>
        <v>4</v>
      </c>
      <c r="AI249" s="225">
        <f t="shared" si="93"/>
        <v>-1.1180893382140142</v>
      </c>
      <c r="AJ249" s="265" t="b">
        <f t="shared" si="94"/>
        <v>0</v>
      </c>
      <c r="AK249" s="265" t="b">
        <f t="shared" si="95"/>
        <v>0</v>
      </c>
      <c r="AL249" s="265"/>
      <c r="AM249" s="265"/>
      <c r="AN249" s="75"/>
    </row>
    <row r="250" spans="1:40" s="6" customFormat="1" ht="11.25" x14ac:dyDescent="0.2">
      <c r="A250" s="56">
        <f t="shared" si="96"/>
        <v>43701</v>
      </c>
      <c r="B250" s="617">
        <v>33.259</v>
      </c>
      <c r="C250" s="390"/>
      <c r="D250" s="393">
        <f t="shared" si="75"/>
        <v>33.61934306775025</v>
      </c>
      <c r="E250" s="385">
        <f t="shared" si="97"/>
        <v>36.227969880355467</v>
      </c>
      <c r="F250" s="385">
        <f t="shared" si="76"/>
        <v>36.227969880355467</v>
      </c>
      <c r="G250" s="110">
        <f t="shared" si="98"/>
        <v>0.96096706123497799</v>
      </c>
      <c r="H250" s="414" t="b">
        <f>Wh_hp&gt;='2018'!Maxi_hp</f>
        <v>1</v>
      </c>
      <c r="I250" s="390">
        <f>IF(H250,Wh_hp,'2018'!Maxi_hp)</f>
        <v>36.227969880355467</v>
      </c>
      <c r="J250" s="85">
        <f>IF(H250,An,'2018'!An_max)</f>
        <v>2019</v>
      </c>
      <c r="K250" s="197">
        <f t="shared" si="77"/>
        <v>43701</v>
      </c>
      <c r="L250" s="147">
        <f>IF(t&lt;Tvie,1-EXP((T0-t)*PertePVj)+'2018'!Pspv,1-EXP((T0-t)*PertePVj)+Pspv)</f>
        <v>1.0718325668174988E-2</v>
      </c>
      <c r="M250" s="850"/>
      <c r="N250" s="850"/>
      <c r="O250" s="48">
        <f>IF(t&lt;Tnet,'2018'!Resal+('2018'!Salim-'2018'!Resal)*(1-EXP(('2018'!Tnet-t)/('2018'!Tau_j))),Resal+(Salim-Resal)*(1-EXP((Tnet-t)/(Tau_j))))*Salcycl</f>
        <v>7.2005878916768601E-2</v>
      </c>
      <c r="P250" s="169">
        <f>(INDEX(Models!$BJ250:$BT250,,T250)*(1-R250)+INDEX(Models!$BJ250:$BT250,,T250+1)*R250-ERP_i)*Q250*Ramure*Pc/MaxiM</f>
        <v>0</v>
      </c>
      <c r="Q250" s="305">
        <f t="shared" si="78"/>
        <v>0.7</v>
      </c>
      <c r="R250" s="177">
        <f t="shared" si="79"/>
        <v>0.88261214128353682</v>
      </c>
      <c r="S250" s="817">
        <f t="shared" si="80"/>
        <v>-2</v>
      </c>
      <c r="T250" s="176">
        <f t="shared" si="81"/>
        <v>4</v>
      </c>
      <c r="U250" s="251">
        <f t="shared" si="82"/>
        <v>-1.1173878587164632</v>
      </c>
      <c r="V250" s="383">
        <f t="shared" si="83"/>
        <v>34.609927167802716</v>
      </c>
      <c r="W250" s="58"/>
      <c r="X250" s="157">
        <f t="shared" si="84"/>
        <v>43701</v>
      </c>
      <c r="Y250" s="385">
        <f t="shared" si="85"/>
        <v>33.259</v>
      </c>
      <c r="Z250" s="385">
        <f t="shared" si="86"/>
        <v>33.61934306775025</v>
      </c>
      <c r="AA250" s="386">
        <f t="shared" si="87"/>
        <v>36.227969880355467</v>
      </c>
      <c r="AB250" s="197">
        <f t="shared" si="88"/>
        <v>43701</v>
      </c>
      <c r="AC250" s="427">
        <f>IF(OR(t&lt;Tnet,NoTnet),'2018'!Resal_s+('2018'!Salim-'2018'!Resal_s)*(1-EXP(('2018'!Tnet_s-t)/'2018'!Tau_j)),Resal_s+(Salim-Resal_s)*(1-EXP((Tnet_s-t)/Tau_j)))*Salcycl</f>
        <v>7.2005878916768601E-2</v>
      </c>
      <c r="AD250" s="231">
        <f>(INDEX(Models!$BJ250:$BT250,,AH250)*(1-AF250)+INDEX(Models!$BJ250:$BT250,,AH250+1)*AF250-ERP_i)*AE250*Ramure*Pc/MaxiM</f>
        <v>0</v>
      </c>
      <c r="AE250" s="305">
        <f t="shared" si="89"/>
        <v>0.7</v>
      </c>
      <c r="AF250" s="177">
        <f t="shared" si="90"/>
        <v>0.88261214128353682</v>
      </c>
      <c r="AG250" s="176">
        <f t="shared" si="91"/>
        <v>-2</v>
      </c>
      <c r="AH250" s="176">
        <f t="shared" si="92"/>
        <v>4</v>
      </c>
      <c r="AI250" s="225">
        <f t="shared" si="93"/>
        <v>-1.1173878587164632</v>
      </c>
      <c r="AJ250" s="265" t="b">
        <f t="shared" si="94"/>
        <v>0</v>
      </c>
      <c r="AK250" s="265" t="b">
        <f t="shared" si="95"/>
        <v>0</v>
      </c>
      <c r="AL250" s="265"/>
      <c r="AM250" s="265"/>
      <c r="AN250" s="75"/>
    </row>
    <row r="251" spans="1:40" s="6" customFormat="1" ht="11.25" x14ac:dyDescent="0.2">
      <c r="A251" s="56">
        <f t="shared" si="96"/>
        <v>43702</v>
      </c>
      <c r="B251" s="617">
        <v>29.481000000000002</v>
      </c>
      <c r="C251" s="390"/>
      <c r="D251" s="393">
        <f t="shared" si="75"/>
        <v>29.801063224603169</v>
      </c>
      <c r="E251" s="385">
        <f t="shared" si="97"/>
        <v>32.116776815469557</v>
      </c>
      <c r="F251" s="385">
        <f t="shared" si="76"/>
        <v>32.116776815469557</v>
      </c>
      <c r="G251" s="110">
        <f t="shared" si="98"/>
        <v>0.85465851461625075</v>
      </c>
      <c r="H251" s="414" t="b">
        <f>Wh_hp&gt;='2018'!Maxi_hp</f>
        <v>1</v>
      </c>
      <c r="I251" s="390">
        <f>IF(H251,Wh_hp,'2018'!Maxi_hp)</f>
        <v>32.116776815469557</v>
      </c>
      <c r="J251" s="85">
        <f>IF(H251,An,'2018'!An_max)</f>
        <v>2019</v>
      </c>
      <c r="K251" s="197">
        <f t="shared" si="77"/>
        <v>43702</v>
      </c>
      <c r="L251" s="147">
        <f>IF(t&lt;Tvie,1-EXP((T0-t)*PertePVj)+'2018'!Pspv,1-EXP((T0-t)*PertePVj)+Pspv)</f>
        <v>1.0739993475767262E-2</v>
      </c>
      <c r="M251" s="850"/>
      <c r="N251" s="850"/>
      <c r="O251" s="48">
        <f>IF(t&lt;Tnet,'2018'!Resal+('2018'!Salim-'2018'!Resal)*(1-EXP(('2018'!Tnet-t)/('2018'!Tau_j))),Resal+(Salim-Resal)*(1-EXP((Tnet-t)/(Tau_j))))*Salcycl</f>
        <v>7.2102926273441781E-2</v>
      </c>
      <c r="P251" s="169">
        <f>(INDEX(Models!$BJ251:$BT251,,T251)*(1-R251)+INDEX(Models!$BJ251:$BT251,,T251+1)*R251-ERP_i)*Q251*Ramure*Pc/MaxiM</f>
        <v>0</v>
      </c>
      <c r="Q251" s="305">
        <f t="shared" si="78"/>
        <v>0.7</v>
      </c>
      <c r="R251" s="177">
        <f t="shared" si="79"/>
        <v>0.88328780845067723</v>
      </c>
      <c r="S251" s="817">
        <f t="shared" si="80"/>
        <v>-2</v>
      </c>
      <c r="T251" s="176">
        <f t="shared" si="81"/>
        <v>4</v>
      </c>
      <c r="U251" s="251">
        <f t="shared" si="82"/>
        <v>-1.1167121915493228</v>
      </c>
      <c r="V251" s="383">
        <f t="shared" si="83"/>
        <v>34.494478784005608</v>
      </c>
      <c r="W251" s="58"/>
      <c r="X251" s="157">
        <f t="shared" si="84"/>
        <v>43702</v>
      </c>
      <c r="Y251" s="385">
        <f t="shared" si="85"/>
        <v>29.481000000000002</v>
      </c>
      <c r="Z251" s="385">
        <f t="shared" si="86"/>
        <v>29.801063224603169</v>
      </c>
      <c r="AA251" s="386">
        <f t="shared" si="87"/>
        <v>32.116776815469557</v>
      </c>
      <c r="AB251" s="197">
        <f t="shared" si="88"/>
        <v>43702</v>
      </c>
      <c r="AC251" s="427">
        <f>IF(OR(t&lt;Tnet,NoTnet),'2018'!Resal_s+('2018'!Salim-'2018'!Resal_s)*(1-EXP(('2018'!Tnet_s-t)/'2018'!Tau_j)),Resal_s+(Salim-Resal_s)*(1-EXP((Tnet_s-t)/Tau_j)))*Salcycl</f>
        <v>7.2102926273441781E-2</v>
      </c>
      <c r="AD251" s="231">
        <f>(INDEX(Models!$BJ251:$BT251,,AH251)*(1-AF251)+INDEX(Models!$BJ251:$BT251,,AH251+1)*AF251-ERP_i)*AE251*Ramure*Pc/MaxiM</f>
        <v>0</v>
      </c>
      <c r="AE251" s="305">
        <f t="shared" si="89"/>
        <v>0.7</v>
      </c>
      <c r="AF251" s="177">
        <f t="shared" si="90"/>
        <v>0.88328780845067723</v>
      </c>
      <c r="AG251" s="176">
        <f t="shared" si="91"/>
        <v>-2</v>
      </c>
      <c r="AH251" s="176">
        <f t="shared" si="92"/>
        <v>4</v>
      </c>
      <c r="AI251" s="225">
        <f t="shared" si="93"/>
        <v>-1.1167121915493228</v>
      </c>
      <c r="AJ251" s="265" t="b">
        <f t="shared" si="94"/>
        <v>0</v>
      </c>
      <c r="AK251" s="265" t="b">
        <f t="shared" si="95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6"/>
        <v>43703</v>
      </c>
      <c r="B252" s="617">
        <v>27.510999999999999</v>
      </c>
      <c r="C252" s="390"/>
      <c r="D252" s="393">
        <f t="shared" si="75"/>
        <v>27.810284852578981</v>
      </c>
      <c r="E252" s="385">
        <f t="shared" si="97"/>
        <v>29.974424841188821</v>
      </c>
      <c r="F252" s="385">
        <f t="shared" si="76"/>
        <v>29.974424841188821</v>
      </c>
      <c r="G252" s="110">
        <f t="shared" si="98"/>
        <v>0.80026250148966771</v>
      </c>
      <c r="H252" s="414" t="b">
        <f>Wh_hp&gt;='2018'!Maxi_hp</f>
        <v>0</v>
      </c>
      <c r="I252" s="390">
        <f>IF(H252,Wh_hp,'2018'!Maxi_hp)</f>
        <v>36.275688889250901</v>
      </c>
      <c r="J252" s="85">
        <f>IF(H252,An,'2018'!An_max)</f>
        <v>2018</v>
      </c>
      <c r="K252" s="197">
        <f t="shared" si="77"/>
        <v>43703</v>
      </c>
      <c r="L252" s="147">
        <f>IF(t&lt;Tvie,1-EXP((T0-t)*PertePVj)+'2018'!Pspv,1-EXP((T0-t)*PertePVj)+Pspv)</f>
        <v>1.076166080877905E-2</v>
      </c>
      <c r="M252" s="850"/>
      <c r="N252" s="850"/>
      <c r="O252" s="48">
        <f>IF(t&lt;Tnet,'2018'!Resal+('2018'!Salim-'2018'!Resal)*(1-EXP(('2018'!Tnet-t)/('2018'!Tau_j))),Resal+(Salim-Resal)*(1-EXP((Tnet-t)/(Tau_j))))*Salcycl</f>
        <v>7.2199550119007569E-2</v>
      </c>
      <c r="P252" s="169">
        <f>(INDEX(Models!$BJ252:$BT252,,T252)*(1-R252)+INDEX(Models!$BJ252:$BT252,,T252+1)*R252-ERP_i)*Q252*Ramure*Pc/MaxiM</f>
        <v>0</v>
      </c>
      <c r="Q252" s="305">
        <f t="shared" si="78"/>
        <v>0.7</v>
      </c>
      <c r="R252" s="177">
        <f t="shared" si="79"/>
        <v>0.88393852263667938</v>
      </c>
      <c r="S252" s="817">
        <f t="shared" si="80"/>
        <v>-2</v>
      </c>
      <c r="T252" s="176">
        <f t="shared" si="81"/>
        <v>4</v>
      </c>
      <c r="U252" s="251">
        <f t="shared" si="82"/>
        <v>-1.1160614773633206</v>
      </c>
      <c r="V252" s="383">
        <f t="shared" si="83"/>
        <v>34.3774698286987</v>
      </c>
      <c r="W252" s="58"/>
      <c r="X252" s="157">
        <f t="shared" si="84"/>
        <v>43703</v>
      </c>
      <c r="Y252" s="385">
        <f t="shared" si="85"/>
        <v>27.510999999999999</v>
      </c>
      <c r="Z252" s="385">
        <f t="shared" si="86"/>
        <v>27.810284852578981</v>
      </c>
      <c r="AA252" s="386">
        <f t="shared" si="87"/>
        <v>29.974424841188821</v>
      </c>
      <c r="AB252" s="197">
        <f t="shared" si="88"/>
        <v>43703</v>
      </c>
      <c r="AC252" s="427">
        <f>IF(OR(t&lt;Tnet,NoTnet),'2018'!Resal_s+('2018'!Salim-'2018'!Resal_s)*(1-EXP(('2018'!Tnet_s-t)/'2018'!Tau_j)),Resal_s+(Salim-Resal_s)*(1-EXP((Tnet_s-t)/Tau_j)))*Salcycl</f>
        <v>7.2199550119007569E-2</v>
      </c>
      <c r="AD252" s="231">
        <f>(INDEX(Models!$BJ252:$BT252,,AH252)*(1-AF252)+INDEX(Models!$BJ252:$BT252,,AH252+1)*AF252-ERP_i)*AE252*Ramure*Pc/MaxiM</f>
        <v>0</v>
      </c>
      <c r="AE252" s="305">
        <f t="shared" si="89"/>
        <v>0.7</v>
      </c>
      <c r="AF252" s="177">
        <f t="shared" si="90"/>
        <v>0.88393852263667938</v>
      </c>
      <c r="AG252" s="176">
        <f t="shared" si="91"/>
        <v>-2</v>
      </c>
      <c r="AH252" s="176">
        <f t="shared" si="92"/>
        <v>4</v>
      </c>
      <c r="AI252" s="225">
        <f t="shared" si="93"/>
        <v>-1.1160614773633206</v>
      </c>
      <c r="AJ252" s="265" t="b">
        <f t="shared" si="94"/>
        <v>0</v>
      </c>
      <c r="AK252" s="265" t="b">
        <f t="shared" si="95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6"/>
        <v>43704</v>
      </c>
      <c r="B253" s="617">
        <v>21.942</v>
      </c>
      <c r="C253" s="390"/>
      <c r="D253" s="393">
        <f t="shared" si="75"/>
        <v>22.181187007550314</v>
      </c>
      <c r="E253" s="385">
        <f t="shared" si="97"/>
        <v>23.909760835385409</v>
      </c>
      <c r="F253" s="385">
        <f t="shared" si="76"/>
        <v>23.909760835385409</v>
      </c>
      <c r="G253" s="110">
        <f t="shared" si="98"/>
        <v>0.6404887381221045</v>
      </c>
      <c r="H253" s="414" t="b">
        <f>Wh_hp&gt;='2018'!Maxi_hp</f>
        <v>0</v>
      </c>
      <c r="I253" s="390">
        <f>IF(H253,Wh_hp,'2018'!Maxi_hp)</f>
        <v>27.48042649543239</v>
      </c>
      <c r="J253" s="85">
        <f>IF(H253,An,'2018'!An_max)</f>
        <v>2018</v>
      </c>
      <c r="K253" s="197">
        <f t="shared" si="77"/>
        <v>43704</v>
      </c>
      <c r="L253" s="147">
        <f>IF(t&lt;Tvie,1-EXP((T0-t)*PertePVj)+'2018'!Pspv,1-EXP((T0-t)*PertePVj)+Pspv)</f>
        <v>1.0783327667220677E-2</v>
      </c>
      <c r="M253" s="850"/>
      <c r="N253" s="850"/>
      <c r="O253" s="48">
        <f>IF(t&lt;Tnet,'2018'!Resal+('2018'!Salim-'2018'!Resal)*(1-EXP(('2018'!Tnet-t)/('2018'!Tau_j))),Resal+(Salim-Resal)*(1-EXP((Tnet-t)/(Tau_j))))*Salcycl</f>
        <v>7.2295738955150124E-2</v>
      </c>
      <c r="P253" s="169">
        <f>(INDEX(Models!$BJ253:$BT253,,T253)*(1-R253)+INDEX(Models!$BJ253:$BT253,,T253+1)*R253-ERP_i)*Q253*Ramure*Pc/MaxiM</f>
        <v>0</v>
      </c>
      <c r="Q253" s="305">
        <f t="shared" si="78"/>
        <v>0.7</v>
      </c>
      <c r="R253" s="177">
        <f t="shared" si="79"/>
        <v>0.88456512148023969</v>
      </c>
      <c r="S253" s="817">
        <f t="shared" si="80"/>
        <v>-2</v>
      </c>
      <c r="T253" s="176">
        <f t="shared" si="81"/>
        <v>4</v>
      </c>
      <c r="U253" s="251">
        <f t="shared" si="82"/>
        <v>-1.1154348785197603</v>
      </c>
      <c r="V253" s="383">
        <f t="shared" si="83"/>
        <v>34.258213601590164</v>
      </c>
      <c r="W253" s="58"/>
      <c r="X253" s="157">
        <f t="shared" si="84"/>
        <v>43704</v>
      </c>
      <c r="Y253" s="385">
        <f t="shared" si="85"/>
        <v>21.942</v>
      </c>
      <c r="Z253" s="385">
        <f t="shared" si="86"/>
        <v>22.181187007550314</v>
      </c>
      <c r="AA253" s="386">
        <f t="shared" si="87"/>
        <v>23.909760835385409</v>
      </c>
      <c r="AB253" s="197">
        <f t="shared" si="88"/>
        <v>43704</v>
      </c>
      <c r="AC253" s="427">
        <f>IF(OR(t&lt;Tnet,NoTnet),'2018'!Resal_s+('2018'!Salim-'2018'!Resal_s)*(1-EXP(('2018'!Tnet_s-t)/'2018'!Tau_j)),Resal_s+(Salim-Resal_s)*(1-EXP((Tnet_s-t)/Tau_j)))*Salcycl</f>
        <v>7.2295738955150124E-2</v>
      </c>
      <c r="AD253" s="231">
        <f>(INDEX(Models!$BJ253:$BT253,,AH253)*(1-AF253)+INDEX(Models!$BJ253:$BT253,,AH253+1)*AF253-ERP_i)*AE253*Ramure*Pc/MaxiM</f>
        <v>0</v>
      </c>
      <c r="AE253" s="305">
        <f t="shared" si="89"/>
        <v>0.7</v>
      </c>
      <c r="AF253" s="177">
        <f t="shared" si="90"/>
        <v>0.88456512148023969</v>
      </c>
      <c r="AG253" s="176">
        <f t="shared" si="91"/>
        <v>-2</v>
      </c>
      <c r="AH253" s="176">
        <f t="shared" si="92"/>
        <v>4</v>
      </c>
      <c r="AI253" s="225">
        <f t="shared" si="93"/>
        <v>-1.1154348785197603</v>
      </c>
      <c r="AJ253" s="265" t="b">
        <f t="shared" si="94"/>
        <v>0</v>
      </c>
      <c r="AK253" s="265" t="b">
        <f t="shared" si="95"/>
        <v>0</v>
      </c>
      <c r="AL253" s="265"/>
      <c r="AM253" s="265"/>
      <c r="AN253" s="75"/>
    </row>
    <row r="254" spans="1:40" s="6" customFormat="1" ht="11.25" x14ac:dyDescent="0.2">
      <c r="A254" s="56">
        <f t="shared" si="96"/>
        <v>43705</v>
      </c>
      <c r="B254" s="617">
        <v>25.42</v>
      </c>
      <c r="C254" s="390"/>
      <c r="D254" s="393">
        <f t="shared" si="75"/>
        <v>25.697663096889123</v>
      </c>
      <c r="E254" s="385">
        <f t="shared" si="97"/>
        <v>27.70313399122125</v>
      </c>
      <c r="F254" s="385">
        <f t="shared" si="76"/>
        <v>27.70313399122125</v>
      </c>
      <c r="G254" s="110">
        <f t="shared" si="98"/>
        <v>0.74466786709400101</v>
      </c>
      <c r="H254" s="414" t="b">
        <f>Wh_hp&gt;='2018'!Maxi_hp</f>
        <v>0</v>
      </c>
      <c r="I254" s="390">
        <f>IF(H254,Wh_hp,'2018'!Maxi_hp)</f>
        <v>28.582215744141312</v>
      </c>
      <c r="J254" s="85">
        <f>IF(H254,An,'2018'!An_max)</f>
        <v>2018</v>
      </c>
      <c r="K254" s="197">
        <f t="shared" si="77"/>
        <v>43705</v>
      </c>
      <c r="L254" s="147">
        <f>IF(t&lt;Tvie,1-EXP((T0-t)*PertePVj)+'2018'!Pspv,1-EXP((T0-t)*PertePVj)+Pspv)</f>
        <v>1.0804994051102357E-2</v>
      </c>
      <c r="M254" s="850"/>
      <c r="N254" s="850"/>
      <c r="O254" s="48">
        <f>IF(t&lt;Tnet,'2018'!Resal+('2018'!Salim-'2018'!Resal)*(1-EXP(('2018'!Tnet-t)/('2018'!Tau_j))),Resal+(Salim-Resal)*(1-EXP((Tnet-t)/(Tau_j))))*Salcycl</f>
        <v>7.2391480868829905E-2</v>
      </c>
      <c r="P254" s="169">
        <f>(INDEX(Models!$BJ254:$BT254,,T254)*(1-R254)+INDEX(Models!$BJ254:$BT254,,T254+1)*R254-ERP_i)*Q254*Ramure*Pc/MaxiM</f>
        <v>0</v>
      </c>
      <c r="Q254" s="305">
        <f t="shared" si="78"/>
        <v>0.7</v>
      </c>
      <c r="R254" s="177">
        <f t="shared" si="79"/>
        <v>0.88516842090772108</v>
      </c>
      <c r="S254" s="817">
        <f t="shared" si="80"/>
        <v>-2</v>
      </c>
      <c r="T254" s="176">
        <f t="shared" si="81"/>
        <v>4</v>
      </c>
      <c r="U254" s="251">
        <f t="shared" si="82"/>
        <v>-1.1148315790922789</v>
      </c>
      <c r="V254" s="383">
        <f t="shared" si="83"/>
        <v>34.136023754051934</v>
      </c>
      <c r="W254" s="58"/>
      <c r="X254" s="157">
        <f t="shared" si="84"/>
        <v>43705</v>
      </c>
      <c r="Y254" s="385">
        <f t="shared" si="85"/>
        <v>25.42</v>
      </c>
      <c r="Z254" s="385">
        <f t="shared" si="86"/>
        <v>25.697663096889123</v>
      </c>
      <c r="AA254" s="386">
        <f t="shared" si="87"/>
        <v>27.70313399122125</v>
      </c>
      <c r="AB254" s="197">
        <f t="shared" si="88"/>
        <v>43705</v>
      </c>
      <c r="AC254" s="427">
        <f>IF(OR(t&lt;Tnet,NoTnet),'2018'!Resal_s+('2018'!Salim-'2018'!Resal_s)*(1-EXP(('2018'!Tnet_s-t)/'2018'!Tau_j)),Resal_s+(Salim-Resal_s)*(1-EXP((Tnet_s-t)/Tau_j)))*Salcycl</f>
        <v>7.2391480868829905E-2</v>
      </c>
      <c r="AD254" s="231">
        <f>(INDEX(Models!$BJ254:$BT254,,AH254)*(1-AF254)+INDEX(Models!$BJ254:$BT254,,AH254+1)*AF254-ERP_i)*AE254*Ramure*Pc/MaxiM</f>
        <v>0</v>
      </c>
      <c r="AE254" s="305">
        <f t="shared" si="89"/>
        <v>0.7</v>
      </c>
      <c r="AF254" s="177">
        <f t="shared" si="90"/>
        <v>0.88516842090772108</v>
      </c>
      <c r="AG254" s="176">
        <f t="shared" si="91"/>
        <v>-2</v>
      </c>
      <c r="AH254" s="176">
        <f t="shared" si="92"/>
        <v>4</v>
      </c>
      <c r="AI254" s="225">
        <f t="shared" si="93"/>
        <v>-1.1148315790922789</v>
      </c>
      <c r="AJ254" s="265" t="b">
        <f t="shared" si="94"/>
        <v>0</v>
      </c>
      <c r="AK254" s="265" t="b">
        <f t="shared" si="95"/>
        <v>0</v>
      </c>
      <c r="AL254" s="265"/>
      <c r="AM254" s="265"/>
      <c r="AN254" s="75"/>
    </row>
    <row r="255" spans="1:40" s="6" customFormat="1" ht="11.25" x14ac:dyDescent="0.2">
      <c r="A255" s="56">
        <f t="shared" si="96"/>
        <v>43706</v>
      </c>
      <c r="B255" s="617">
        <v>31.588999999999999</v>
      </c>
      <c r="C255" s="390"/>
      <c r="D255" s="393">
        <f t="shared" si="75"/>
        <v>31.934746642824493</v>
      </c>
      <c r="E255" s="385">
        <f t="shared" si="97"/>
        <v>34.430502322400969</v>
      </c>
      <c r="F255" s="385">
        <f t="shared" si="76"/>
        <v>34.430502322400969</v>
      </c>
      <c r="G255" s="110">
        <f t="shared" si="98"/>
        <v>0.92880920234191577</v>
      </c>
      <c r="H255" s="414" t="b">
        <f>Wh_hp&gt;='2018'!Maxi_hp</f>
        <v>1</v>
      </c>
      <c r="I255" s="390">
        <f>IF(H255,Wh_hp,'2018'!Maxi_hp)</f>
        <v>34.430502322400969</v>
      </c>
      <c r="J255" s="85">
        <f>IF(H255,An,'2018'!An_max)</f>
        <v>2019</v>
      </c>
      <c r="K255" s="197">
        <f t="shared" si="77"/>
        <v>43706</v>
      </c>
      <c r="L255" s="147">
        <f>IF(t&lt;Tvie,1-EXP((T0-t)*PertePVj)+'2018'!Pspv,1-EXP((T0-t)*PertePVj)+Pspv)</f>
        <v>1.0826659960434748E-2</v>
      </c>
      <c r="M255" s="850"/>
      <c r="N255" s="850"/>
      <c r="O255" s="48">
        <f>IF(t&lt;Tnet,'2018'!Resal+('2018'!Salim-'2018'!Resal)*(1-EXP(('2018'!Tnet-t)/('2018'!Tau_j))),Resal+(Salim-Resal)*(1-EXP((Tnet-t)/(Tau_j))))*Salcycl</f>
        <v>7.248676351586944E-2</v>
      </c>
      <c r="P255" s="169">
        <f>(INDEX(Models!$BJ255:$BT255,,T255)*(1-R255)+INDEX(Models!$BJ255:$BT255,,T255+1)*R255-ERP_i)*Q255*Ramure*Pc/MaxiM</f>
        <v>0</v>
      </c>
      <c r="Q255" s="305">
        <f t="shared" si="78"/>
        <v>0.7</v>
      </c>
      <c r="R255" s="177">
        <f t="shared" si="79"/>
        <v>0.88574921518571625</v>
      </c>
      <c r="S255" s="817">
        <f t="shared" si="80"/>
        <v>-2</v>
      </c>
      <c r="T255" s="176">
        <f t="shared" si="81"/>
        <v>4</v>
      </c>
      <c r="U255" s="251">
        <f t="shared" si="82"/>
        <v>-1.1142507848142837</v>
      </c>
      <c r="V255" s="383">
        <f t="shared" si="83"/>
        <v>34.010214283354365</v>
      </c>
      <c r="W255" s="58"/>
      <c r="X255" s="157">
        <f t="shared" si="84"/>
        <v>43706</v>
      </c>
      <c r="Y255" s="385">
        <f t="shared" si="85"/>
        <v>31.589000000000002</v>
      </c>
      <c r="Z255" s="385">
        <f t="shared" si="86"/>
        <v>31.934746642824496</v>
      </c>
      <c r="AA255" s="386">
        <f t="shared" si="87"/>
        <v>34.430502322400969</v>
      </c>
      <c r="AB255" s="197">
        <f t="shared" si="88"/>
        <v>43706</v>
      </c>
      <c r="AC255" s="427">
        <f>IF(OR(t&lt;Tnet,NoTnet),'2018'!Resal_s+('2018'!Salim-'2018'!Resal_s)*(1-EXP(('2018'!Tnet_s-t)/'2018'!Tau_j)),Resal_s+(Salim-Resal_s)*(1-EXP((Tnet_s-t)/Tau_j)))*Salcycl</f>
        <v>7.248676351586944E-2</v>
      </c>
      <c r="AD255" s="231">
        <f>(INDEX(Models!$BJ255:$BT255,,AH255)*(1-AF255)+INDEX(Models!$BJ255:$BT255,,AH255+1)*AF255-ERP_i)*AE255*Ramure*Pc/MaxiM</f>
        <v>0</v>
      </c>
      <c r="AE255" s="305">
        <f t="shared" si="89"/>
        <v>0.7</v>
      </c>
      <c r="AF255" s="177">
        <f t="shared" si="90"/>
        <v>0.88574921518571625</v>
      </c>
      <c r="AG255" s="176">
        <f t="shared" si="91"/>
        <v>-2</v>
      </c>
      <c r="AH255" s="176">
        <f t="shared" si="92"/>
        <v>4</v>
      </c>
      <c r="AI255" s="225">
        <f t="shared" si="93"/>
        <v>-1.1142507848142837</v>
      </c>
      <c r="AJ255" s="265" t="b">
        <f t="shared" si="94"/>
        <v>0</v>
      </c>
      <c r="AK255" s="265" t="b">
        <f t="shared" si="95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6"/>
        <v>43707</v>
      </c>
      <c r="B256" s="617">
        <v>31.19</v>
      </c>
      <c r="C256" s="390"/>
      <c r="D256" s="393">
        <f t="shared" si="75"/>
        <v>31.532070157453212</v>
      </c>
      <c r="E256" s="385">
        <f t="shared" si="97"/>
        <v>33.999831442657019</v>
      </c>
      <c r="F256" s="385">
        <f t="shared" si="76"/>
        <v>33.999831442657019</v>
      </c>
      <c r="G256" s="110">
        <f t="shared" si="98"/>
        <v>0.92059942078718027</v>
      </c>
      <c r="H256" s="414" t="b">
        <f>Wh_hp&gt;='2018'!Maxi_hp</f>
        <v>1</v>
      </c>
      <c r="I256" s="390">
        <f>IF(H256,Wh_hp,'2018'!Maxi_hp)</f>
        <v>33.999831442657019</v>
      </c>
      <c r="J256" s="85">
        <f>IF(H256,An,'2018'!An_max)</f>
        <v>2019</v>
      </c>
      <c r="K256" s="197">
        <f t="shared" si="77"/>
        <v>43707</v>
      </c>
      <c r="L256" s="147">
        <f>IF(t&lt;Tvie,1-EXP((T0-t)*PertePVj)+'2018'!Pspv,1-EXP((T0-t)*PertePVj)+Pspv)</f>
        <v>1.0848325395228064E-2</v>
      </c>
      <c r="M256" s="850"/>
      <c r="N256" s="850"/>
      <c r="O256" s="48">
        <f>IF(t&lt;Tnet,'2018'!Resal+('2018'!Salim-'2018'!Resal)*(1-EXP(('2018'!Tnet-t)/('2018'!Tau_j))),Resal+(Salim-Resal)*(1-EXP((Tnet-t)/(Tau_j))))*Salcycl</f>
        <v>7.2581574098855448E-2</v>
      </c>
      <c r="P256" s="169">
        <f>(INDEX(Models!$BJ256:$BT256,,T256)*(1-R256)+INDEX(Models!$BJ256:$BT256,,T256+1)*R256-ERP_i)*Q256*Ramure*Pc/MaxiM</f>
        <v>0</v>
      </c>
      <c r="Q256" s="305">
        <f t="shared" si="78"/>
        <v>0.7</v>
      </c>
      <c r="R256" s="177">
        <f t="shared" si="79"/>
        <v>0.88630827702297665</v>
      </c>
      <c r="S256" s="817">
        <f t="shared" si="80"/>
        <v>-2</v>
      </c>
      <c r="T256" s="176">
        <f t="shared" si="81"/>
        <v>4</v>
      </c>
      <c r="U256" s="251">
        <f t="shared" si="82"/>
        <v>-1.1136917229770233</v>
      </c>
      <c r="V256" s="383">
        <f t="shared" si="83"/>
        <v>33.880099526165523</v>
      </c>
      <c r="W256" s="58"/>
      <c r="X256" s="157">
        <f t="shared" si="84"/>
        <v>43707</v>
      </c>
      <c r="Y256" s="385">
        <f t="shared" si="85"/>
        <v>31.19</v>
      </c>
      <c r="Z256" s="385">
        <f t="shared" si="86"/>
        <v>31.532070157453212</v>
      </c>
      <c r="AA256" s="386">
        <f t="shared" si="87"/>
        <v>33.999831442657019</v>
      </c>
      <c r="AB256" s="197">
        <f t="shared" si="88"/>
        <v>43707</v>
      </c>
      <c r="AC256" s="427">
        <f>IF(OR(t&lt;Tnet,NoTnet),'2018'!Resal_s+('2018'!Salim-'2018'!Resal_s)*(1-EXP(('2018'!Tnet_s-t)/'2018'!Tau_j)),Resal_s+(Salim-Resal_s)*(1-EXP((Tnet_s-t)/Tau_j)))*Salcycl</f>
        <v>7.2581574098855448E-2</v>
      </c>
      <c r="AD256" s="231">
        <f>(INDEX(Models!$BJ256:$BT256,,AH256)*(1-AF256)+INDEX(Models!$BJ256:$BT256,,AH256+1)*AF256-ERP_i)*AE256*Ramure*Pc/MaxiM</f>
        <v>0</v>
      </c>
      <c r="AE256" s="305">
        <f t="shared" si="89"/>
        <v>0.7</v>
      </c>
      <c r="AF256" s="177">
        <f t="shared" si="90"/>
        <v>0.88630827702297665</v>
      </c>
      <c r="AG256" s="176">
        <f t="shared" si="91"/>
        <v>-2</v>
      </c>
      <c r="AH256" s="176">
        <f t="shared" si="92"/>
        <v>4</v>
      </c>
      <c r="AI256" s="225">
        <f t="shared" si="93"/>
        <v>-1.1136917229770233</v>
      </c>
      <c r="AJ256" s="265" t="b">
        <f t="shared" si="94"/>
        <v>0</v>
      </c>
      <c r="AK256" s="265" t="b">
        <f t="shared" si="95"/>
        <v>0</v>
      </c>
      <c r="AL256" s="265"/>
      <c r="AM256" s="265"/>
      <c r="AN256" s="75"/>
    </row>
    <row r="257" spans="1:40" s="6" customFormat="1" ht="11.25" x14ac:dyDescent="0.2">
      <c r="A257" s="56">
        <f t="shared" si="96"/>
        <v>43708</v>
      </c>
      <c r="B257" s="617">
        <v>29.49</v>
      </c>
      <c r="C257" s="390"/>
      <c r="D257" s="393">
        <f t="shared" si="75"/>
        <v>29.814078748453589</v>
      </c>
      <c r="E257" s="385">
        <f t="shared" si="97"/>
        <v>32.150656633680441</v>
      </c>
      <c r="F257" s="385">
        <f t="shared" si="76"/>
        <v>32.150656633680441</v>
      </c>
      <c r="G257" s="110">
        <f t="shared" si="98"/>
        <v>0.87390739671697881</v>
      </c>
      <c r="H257" s="414" t="b">
        <f>Wh_hp&gt;='2018'!Maxi_hp</f>
        <v>1</v>
      </c>
      <c r="I257" s="390">
        <f>IF(H257,Wh_hp,'2018'!Maxi_hp)</f>
        <v>32.150656633680441</v>
      </c>
      <c r="J257" s="85">
        <f>IF(H257,An,'2018'!An_max)</f>
        <v>2019</v>
      </c>
      <c r="K257" s="197">
        <f t="shared" si="77"/>
        <v>43708</v>
      </c>
      <c r="L257" s="147">
        <f>IF(t&lt;Tvie,1-EXP((T0-t)*PertePVj)+'2018'!Pspv,1-EXP((T0-t)*PertePVj)+Pspv)</f>
        <v>1.0869990355492742E-2</v>
      </c>
      <c r="M257" s="850"/>
      <c r="N257" s="850"/>
      <c r="O257" s="48">
        <f>IF(t&lt;Tnet,'2018'!Resal+('2018'!Salim-'2018'!Resal)*(1-EXP(('2018'!Tnet-t)/('2018'!Tau_j))),Resal+(Salim-Resal)*(1-EXP((Tnet-t)/(Tau_j))))*Salcycl</f>
        <v>7.267589934008048E-2</v>
      </c>
      <c r="P257" s="169">
        <f>(INDEX(Models!$BJ257:$BT257,,T257)*(1-R257)+INDEX(Models!$BJ257:$BT257,,T257+1)*R257-ERP_i)*Q257*Ramure*Pc/MaxiM</f>
        <v>0</v>
      </c>
      <c r="Q257" s="305">
        <f t="shared" si="78"/>
        <v>0.7</v>
      </c>
      <c r="R257" s="177">
        <f t="shared" si="79"/>
        <v>0.88684635771701981</v>
      </c>
      <c r="S257" s="817">
        <f t="shared" si="80"/>
        <v>-2</v>
      </c>
      <c r="T257" s="176">
        <f t="shared" si="81"/>
        <v>4</v>
      </c>
      <c r="U257" s="251">
        <f t="shared" si="82"/>
        <v>-1.1131536422829802</v>
      </c>
      <c r="V257" s="383">
        <f t="shared" si="83"/>
        <v>33.74499416160743</v>
      </c>
      <c r="W257" s="58"/>
      <c r="X257" s="157">
        <f t="shared" si="84"/>
        <v>43708</v>
      </c>
      <c r="Y257" s="385">
        <f t="shared" si="85"/>
        <v>29.490000000000002</v>
      </c>
      <c r="Z257" s="385">
        <f t="shared" si="86"/>
        <v>29.814078748453593</v>
      </c>
      <c r="AA257" s="386">
        <f t="shared" si="87"/>
        <v>32.150656633680441</v>
      </c>
      <c r="AB257" s="197">
        <f t="shared" si="88"/>
        <v>43708</v>
      </c>
      <c r="AC257" s="427">
        <f>IF(OR(t&lt;Tnet,NoTnet),'2018'!Resal_s+('2018'!Salim-'2018'!Resal_s)*(1-EXP(('2018'!Tnet_s-t)/'2018'!Tau_j)),Resal_s+(Salim-Resal_s)*(1-EXP((Tnet_s-t)/Tau_j)))*Salcycl</f>
        <v>7.267589934008048E-2</v>
      </c>
      <c r="AD257" s="231">
        <f>(INDEX(Models!$BJ257:$BT257,,AH257)*(1-AF257)+INDEX(Models!$BJ257:$BT257,,AH257+1)*AF257-ERP_i)*AE257*Ramure*Pc/MaxiM</f>
        <v>0</v>
      </c>
      <c r="AE257" s="305">
        <f t="shared" si="89"/>
        <v>0.7</v>
      </c>
      <c r="AF257" s="177">
        <f t="shared" si="90"/>
        <v>0.88684635771701981</v>
      </c>
      <c r="AG257" s="176">
        <f t="shared" si="91"/>
        <v>-2</v>
      </c>
      <c r="AH257" s="176">
        <f t="shared" si="92"/>
        <v>4</v>
      </c>
      <c r="AI257" s="225">
        <f t="shared" si="93"/>
        <v>-1.1131536422829802</v>
      </c>
      <c r="AJ257" s="265" t="b">
        <f t="shared" si="94"/>
        <v>0</v>
      </c>
      <c r="AK257" s="265" t="b">
        <f t="shared" si="95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6"/>
        <v>43709</v>
      </c>
      <c r="B258" s="617">
        <v>10.327</v>
      </c>
      <c r="C258" s="390"/>
      <c r="D258" s="393">
        <f t="shared" si="75"/>
        <v>10.440716682399868</v>
      </c>
      <c r="E258" s="385">
        <f t="shared" si="97"/>
        <v>11.260111936563803</v>
      </c>
      <c r="F258" s="385">
        <f t="shared" si="76"/>
        <v>11.260111936563803</v>
      </c>
      <c r="G258" s="110">
        <f t="shared" si="98"/>
        <v>0.30731265562715798</v>
      </c>
      <c r="H258" s="414" t="b">
        <f>Wh_hp&gt;='2018'!Maxi_hp</f>
        <v>0</v>
      </c>
      <c r="I258" s="390">
        <f>IF(H258,Wh_hp,'2018'!Maxi_hp)</f>
        <v>36.800779305473014</v>
      </c>
      <c r="J258" s="85">
        <f>IF(H258,An,'2018'!An_max)</f>
        <v>2018</v>
      </c>
      <c r="K258" s="197">
        <f t="shared" si="77"/>
        <v>43709</v>
      </c>
      <c r="L258" s="147">
        <f>IF(t&lt;Tvie,1-EXP((T0-t)*PertePVj)+'2018'!Pspv,1-EXP((T0-t)*PertePVj)+Pspv)</f>
        <v>1.0891654841239218E-2</v>
      </c>
      <c r="M258" s="850"/>
      <c r="N258" s="850"/>
      <c r="O258" s="48">
        <f>IF(t&lt;Tnet,'2018'!Resal+('2018'!Salim-'2018'!Resal)*(1-EXP(('2018'!Tnet-t)/('2018'!Tau_j))),Resal+(Salim-Resal)*(1-EXP((Tnet-t)/(Tau_j))))*Salcycl</f>
        <v>7.2769725450348002E-2</v>
      </c>
      <c r="P258" s="169">
        <f>(INDEX(Models!$BJ258:$BT258,,T258)*(1-R258)+INDEX(Models!$BJ258:$BT258,,T258+1)*R258-ERP_i)*Q258*Ramure*Pc/MaxiM</f>
        <v>0</v>
      </c>
      <c r="Q258" s="305">
        <f t="shared" si="78"/>
        <v>0.7</v>
      </c>
      <c r="R258" s="177">
        <f t="shared" si="79"/>
        <v>0.88736418734100386</v>
      </c>
      <c r="S258" s="817">
        <f t="shared" si="80"/>
        <v>-2</v>
      </c>
      <c r="T258" s="176">
        <f t="shared" si="81"/>
        <v>4</v>
      </c>
      <c r="U258" s="251">
        <f t="shared" si="82"/>
        <v>-1.1126358126589961</v>
      </c>
      <c r="V258" s="383">
        <f t="shared" si="83"/>
        <v>33.604213204057118</v>
      </c>
      <c r="W258" s="58"/>
      <c r="X258" s="157">
        <f t="shared" si="84"/>
        <v>43709</v>
      </c>
      <c r="Y258" s="385">
        <f t="shared" si="85"/>
        <v>10.327</v>
      </c>
      <c r="Z258" s="385">
        <f t="shared" si="86"/>
        <v>10.440716682399868</v>
      </c>
      <c r="AA258" s="386">
        <f t="shared" si="87"/>
        <v>11.260111936563803</v>
      </c>
      <c r="AB258" s="197">
        <f t="shared" si="88"/>
        <v>43709</v>
      </c>
      <c r="AC258" s="427">
        <f>IF(OR(t&lt;Tnet,NoTnet),'2018'!Resal_s+('2018'!Salim-'2018'!Resal_s)*(1-EXP(('2018'!Tnet_s-t)/'2018'!Tau_j)),Resal_s+(Salim-Resal_s)*(1-EXP((Tnet_s-t)/Tau_j)))*Salcycl</f>
        <v>7.2769725450348002E-2</v>
      </c>
      <c r="AD258" s="231">
        <f>(INDEX(Models!$BJ258:$BT258,,AH258)*(1-AF258)+INDEX(Models!$BJ258:$BT258,,AH258+1)*AF258-ERP_i)*AE258*Ramure*Pc/MaxiM</f>
        <v>0</v>
      </c>
      <c r="AE258" s="305">
        <f t="shared" si="89"/>
        <v>0.7</v>
      </c>
      <c r="AF258" s="177">
        <f t="shared" si="90"/>
        <v>0.88736418734100386</v>
      </c>
      <c r="AG258" s="176">
        <f t="shared" si="91"/>
        <v>-2</v>
      </c>
      <c r="AH258" s="176">
        <f t="shared" si="92"/>
        <v>4</v>
      </c>
      <c r="AI258" s="225">
        <f t="shared" si="93"/>
        <v>-1.1126358126589961</v>
      </c>
      <c r="AJ258" s="265" t="b">
        <f t="shared" si="94"/>
        <v>0</v>
      </c>
      <c r="AK258" s="265" t="b">
        <f t="shared" si="95"/>
        <v>0</v>
      </c>
      <c r="AL258" s="265"/>
      <c r="AM258" s="265"/>
      <c r="AN258" s="75"/>
    </row>
    <row r="259" spans="1:40" s="6" customFormat="1" ht="11.25" x14ac:dyDescent="0.2">
      <c r="A259" s="56">
        <f t="shared" si="96"/>
        <v>43710</v>
      </c>
      <c r="B259" s="617">
        <v>31.597999999999999</v>
      </c>
      <c r="C259" s="390"/>
      <c r="D259" s="393">
        <f t="shared" si="75"/>
        <v>31.946643911270261</v>
      </c>
      <c r="E259" s="385">
        <f t="shared" si="97"/>
        <v>34.457308061166955</v>
      </c>
      <c r="F259" s="385">
        <f t="shared" si="76"/>
        <v>34.457308061166955</v>
      </c>
      <c r="G259" s="110">
        <f t="shared" si="98"/>
        <v>0.94443410954620555</v>
      </c>
      <c r="H259" s="414" t="b">
        <f>Wh_hp&gt;='2018'!Maxi_hp</f>
        <v>0</v>
      </c>
      <c r="I259" s="390">
        <f>IF(H259,Wh_hp,'2018'!Maxi_hp)</f>
        <v>34.771079559810111</v>
      </c>
      <c r="J259" s="85">
        <f>IF(H259,An,'2018'!An_max)</f>
        <v>2018</v>
      </c>
      <c r="K259" s="197">
        <f t="shared" si="77"/>
        <v>43710</v>
      </c>
      <c r="L259" s="147">
        <f>IF(t&lt;Tvie,1-EXP((T0-t)*PertePVj)+'2018'!Pspv,1-EXP((T0-t)*PertePVj)+Pspv)</f>
        <v>1.0913318852477816E-2</v>
      </c>
      <c r="M259" s="850"/>
      <c r="N259" s="850"/>
      <c r="O259" s="48">
        <f>IF(t&lt;Tnet,'2018'!Resal+('2018'!Salim-'2018'!Resal)*(1-EXP(('2018'!Tnet-t)/('2018'!Tau_j))),Resal+(Salim-Resal)*(1-EXP((Tnet-t)/(Tau_j))))*Salcycl</f>
        <v>7.2863038094557103E-2</v>
      </c>
      <c r="P259" s="169">
        <f>(INDEX(Models!$BJ259:$BT259,,T259)*(1-R259)+INDEX(Models!$BJ259:$BT259,,T259+1)*R259-ERP_i)*Q259*Ramure*Pc/MaxiM</f>
        <v>0</v>
      </c>
      <c r="Q259" s="305">
        <f t="shared" si="78"/>
        <v>0.7</v>
      </c>
      <c r="R259" s="177">
        <f t="shared" si="79"/>
        <v>0.88786247496671189</v>
      </c>
      <c r="S259" s="817">
        <f t="shared" si="80"/>
        <v>-2</v>
      </c>
      <c r="T259" s="176">
        <f t="shared" si="81"/>
        <v>4</v>
      </c>
      <c r="U259" s="251">
        <f t="shared" si="82"/>
        <v>-1.1121375250332881</v>
      </c>
      <c r="V259" s="383">
        <f t="shared" si="83"/>
        <v>33.457071997518845</v>
      </c>
      <c r="W259" s="58"/>
      <c r="X259" s="157">
        <f t="shared" si="84"/>
        <v>43710</v>
      </c>
      <c r="Y259" s="385">
        <f t="shared" si="85"/>
        <v>31.597999999999995</v>
      </c>
      <c r="Z259" s="385">
        <f t="shared" si="86"/>
        <v>31.946643911270257</v>
      </c>
      <c r="AA259" s="386">
        <f t="shared" si="87"/>
        <v>34.457308061166955</v>
      </c>
      <c r="AB259" s="197">
        <f t="shared" si="88"/>
        <v>43710</v>
      </c>
      <c r="AC259" s="427">
        <f>IF(OR(t&lt;Tnet,NoTnet),'2018'!Resal_s+('2018'!Salim-'2018'!Resal_s)*(1-EXP(('2018'!Tnet_s-t)/'2018'!Tau_j)),Resal_s+(Salim-Resal_s)*(1-EXP((Tnet_s-t)/Tau_j)))*Salcycl</f>
        <v>7.2863038094557103E-2</v>
      </c>
      <c r="AD259" s="231">
        <f>(INDEX(Models!$BJ259:$BT259,,AH259)*(1-AF259)+INDEX(Models!$BJ259:$BT259,,AH259+1)*AF259-ERP_i)*AE259*Ramure*Pc/MaxiM</f>
        <v>0</v>
      </c>
      <c r="AE259" s="305">
        <f t="shared" si="89"/>
        <v>0.7</v>
      </c>
      <c r="AF259" s="177">
        <f t="shared" si="90"/>
        <v>0.88786247496671189</v>
      </c>
      <c r="AG259" s="176">
        <f t="shared" si="91"/>
        <v>-2</v>
      </c>
      <c r="AH259" s="176">
        <f t="shared" si="92"/>
        <v>4</v>
      </c>
      <c r="AI259" s="225">
        <f t="shared" si="93"/>
        <v>-1.1121375250332881</v>
      </c>
      <c r="AJ259" s="265" t="b">
        <f t="shared" si="94"/>
        <v>0</v>
      </c>
      <c r="AK259" s="265" t="b">
        <f t="shared" si="95"/>
        <v>0</v>
      </c>
      <c r="AL259" s="265"/>
      <c r="AM259" s="265"/>
      <c r="AN259" s="75"/>
    </row>
    <row r="260" spans="1:40" s="6" customFormat="1" ht="11.25" x14ac:dyDescent="0.2">
      <c r="A260" s="56">
        <f t="shared" si="96"/>
        <v>43711</v>
      </c>
      <c r="B260" s="617">
        <v>33.456000000000003</v>
      </c>
      <c r="C260" s="390"/>
      <c r="D260" s="393">
        <f t="shared" si="75"/>
        <v>33.825885461824797</v>
      </c>
      <c r="E260" s="385">
        <f t="shared" si="97"/>
        <v>36.487889442071776</v>
      </c>
      <c r="F260" s="385">
        <f t="shared" si="76"/>
        <v>36.487889442071776</v>
      </c>
      <c r="G260" s="110">
        <f t="shared" si="98"/>
        <v>1.0045976129841789</v>
      </c>
      <c r="H260" s="414" t="b">
        <f>Wh_hp&gt;='2018'!Maxi_hp</f>
        <v>1</v>
      </c>
      <c r="I260" s="390">
        <f>IF(H260,Wh_hp,'2018'!Maxi_hp)</f>
        <v>36.487889442071776</v>
      </c>
      <c r="J260" s="85">
        <f>IF(H260,An,'2018'!An_max)</f>
        <v>2019</v>
      </c>
      <c r="K260" s="197">
        <f t="shared" si="77"/>
        <v>43711</v>
      </c>
      <c r="L260" s="147">
        <f>IF(t&lt;Tvie,1-EXP((T0-t)*PertePVj)+'2018'!Pspv,1-EXP((T0-t)*PertePVj)+Pspv)</f>
        <v>1.0934982389218972E-2</v>
      </c>
      <c r="M260" s="850"/>
      <c r="N260" s="850"/>
      <c r="O260" s="48">
        <f>IF(t&lt;Tnet,'2018'!Resal+('2018'!Salim-'2018'!Resal)*(1-EXP(('2018'!Tnet-t)/('2018'!Tau_j))),Resal+(Salim-Resal)*(1-EXP((Tnet-t)/(Tau_j))))*Salcycl</f>
        <v>7.2955822355063413E-2</v>
      </c>
      <c r="P260" s="169">
        <f>(INDEX(Models!$BJ260:$BT260,,T260)*(1-R260)+INDEX(Models!$BJ260:$BT260,,T260+1)*R260-ERP_i)*Q260*Ramure*Pc/MaxiM</f>
        <v>0</v>
      </c>
      <c r="Q260" s="305">
        <f t="shared" si="78"/>
        <v>0.7</v>
      </c>
      <c r="R260" s="177">
        <f t="shared" si="79"/>
        <v>0.88834190891975484</v>
      </c>
      <c r="S260" s="817">
        <f t="shared" si="80"/>
        <v>-2</v>
      </c>
      <c r="T260" s="176">
        <f t="shared" si="81"/>
        <v>4</v>
      </c>
      <c r="U260" s="251">
        <f t="shared" si="82"/>
        <v>-1.1116580910802452</v>
      </c>
      <c r="V260" s="383">
        <f t="shared" si="83"/>
        <v>33.302886217913894</v>
      </c>
      <c r="W260" s="58"/>
      <c r="X260" s="157">
        <f t="shared" si="84"/>
        <v>43711</v>
      </c>
      <c r="Y260" s="385">
        <f t="shared" si="85"/>
        <v>33.456000000000003</v>
      </c>
      <c r="Z260" s="385">
        <f t="shared" si="86"/>
        <v>33.825885461824797</v>
      </c>
      <c r="AA260" s="386">
        <f t="shared" si="87"/>
        <v>36.487889442071776</v>
      </c>
      <c r="AB260" s="197">
        <f t="shared" si="88"/>
        <v>43711</v>
      </c>
      <c r="AC260" s="427">
        <f>IF(OR(t&lt;Tnet,NoTnet),'2018'!Resal_s+('2018'!Salim-'2018'!Resal_s)*(1-EXP(('2018'!Tnet_s-t)/'2018'!Tau_j)),Resal_s+(Salim-Resal_s)*(1-EXP((Tnet_s-t)/Tau_j)))*Salcycl</f>
        <v>7.2955822355063413E-2</v>
      </c>
      <c r="AD260" s="231">
        <f>(INDEX(Models!$BJ260:$BT260,,AH260)*(1-AF260)+INDEX(Models!$BJ260:$BT260,,AH260+1)*AF260-ERP_i)*AE260*Ramure*Pc/MaxiM</f>
        <v>0</v>
      </c>
      <c r="AE260" s="305">
        <f t="shared" si="89"/>
        <v>0.7</v>
      </c>
      <c r="AF260" s="177">
        <f t="shared" si="90"/>
        <v>0.88834190891975484</v>
      </c>
      <c r="AG260" s="176">
        <f t="shared" si="91"/>
        <v>-2</v>
      </c>
      <c r="AH260" s="176">
        <f t="shared" si="92"/>
        <v>4</v>
      </c>
      <c r="AI260" s="225">
        <f t="shared" si="93"/>
        <v>-1.1116580910802452</v>
      </c>
      <c r="AJ260" s="265" t="b">
        <f t="shared" si="94"/>
        <v>0</v>
      </c>
      <c r="AK260" s="265" t="b">
        <f t="shared" si="95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6"/>
        <v>43712</v>
      </c>
      <c r="B261" s="617">
        <v>33.246000000000002</v>
      </c>
      <c r="C261" s="390"/>
      <c r="D261" s="393">
        <f t="shared" si="75"/>
        <v>33.614299966836093</v>
      </c>
      <c r="E261" s="385">
        <f t="shared" si="97"/>
        <v>36.263260924320456</v>
      </c>
      <c r="F261" s="385">
        <f t="shared" si="76"/>
        <v>36.263260924320456</v>
      </c>
      <c r="G261" s="110">
        <f t="shared" si="98"/>
        <v>1.0031557665633553</v>
      </c>
      <c r="H261" s="414" t="b">
        <f>Wh_hp&gt;='2018'!Maxi_hp</f>
        <v>1</v>
      </c>
      <c r="I261" s="390">
        <f>IF(H261,Wh_hp,'2018'!Maxi_hp)</f>
        <v>36.263260924320456</v>
      </c>
      <c r="J261" s="85">
        <f>IF(H261,An,'2018'!An_max)</f>
        <v>2019</v>
      </c>
      <c r="K261" s="197">
        <f t="shared" si="77"/>
        <v>43712</v>
      </c>
      <c r="L261" s="147">
        <f>IF(t&lt;Tvie,1-EXP((T0-t)*PertePVj)+'2018'!Pspv,1-EXP((T0-t)*PertePVj)+Pspv)</f>
        <v>1.0956645451473124E-2</v>
      </c>
      <c r="M261" s="850"/>
      <c r="N261" s="850"/>
      <c r="O261" s="48">
        <f>IF(t&lt;Tnet,'2018'!Resal+('2018'!Salim-'2018'!Resal)*(1-EXP(('2018'!Tnet-t)/('2018'!Tau_j))),Resal+(Salim-Resal)*(1-EXP((Tnet-t)/(Tau_j))))*Salcycl</f>
        <v>7.3048062693882088E-2</v>
      </c>
      <c r="P261" s="169">
        <f>(INDEX(Models!$BJ261:$BT261,,T261)*(1-R261)+INDEX(Models!$BJ261:$BT261,,T261+1)*R261-ERP_i)*Q261*Ramure*Pc/MaxiM</f>
        <v>0</v>
      </c>
      <c r="Q261" s="305">
        <f t="shared" si="78"/>
        <v>0.7</v>
      </c>
      <c r="R261" s="177">
        <f t="shared" si="79"/>
        <v>0.88880315706334367</v>
      </c>
      <c r="S261" s="817">
        <f t="shared" si="80"/>
        <v>-2</v>
      </c>
      <c r="T261" s="176">
        <f t="shared" si="81"/>
        <v>4</v>
      </c>
      <c r="U261" s="251">
        <f t="shared" si="82"/>
        <v>-1.1111968429366563</v>
      </c>
      <c r="V261" s="383">
        <f t="shared" si="83"/>
        <v>33.141413435617551</v>
      </c>
      <c r="W261" s="58"/>
      <c r="X261" s="157">
        <f t="shared" si="84"/>
        <v>43712</v>
      </c>
      <c r="Y261" s="385">
        <f t="shared" si="85"/>
        <v>33.246000000000002</v>
      </c>
      <c r="Z261" s="385">
        <f t="shared" si="86"/>
        <v>33.614299966836093</v>
      </c>
      <c r="AA261" s="386">
        <f t="shared" si="87"/>
        <v>36.263260924320456</v>
      </c>
      <c r="AB261" s="197">
        <f t="shared" si="88"/>
        <v>43712</v>
      </c>
      <c r="AC261" s="427">
        <f>IF(OR(t&lt;Tnet,NoTnet),'2018'!Resal_s+('2018'!Salim-'2018'!Resal_s)*(1-EXP(('2018'!Tnet_s-t)/'2018'!Tau_j)),Resal_s+(Salim-Resal_s)*(1-EXP((Tnet_s-t)/Tau_j)))*Salcycl</f>
        <v>7.3048062693882088E-2</v>
      </c>
      <c r="AD261" s="231">
        <f>(INDEX(Models!$BJ261:$BT261,,AH261)*(1-AF261)+INDEX(Models!$BJ261:$BT261,,AH261+1)*AF261-ERP_i)*AE261*Ramure*Pc/MaxiM</f>
        <v>0</v>
      </c>
      <c r="AE261" s="305">
        <f t="shared" si="89"/>
        <v>0.7</v>
      </c>
      <c r="AF261" s="177">
        <f t="shared" si="90"/>
        <v>0.88880315706334367</v>
      </c>
      <c r="AG261" s="176">
        <f t="shared" si="91"/>
        <v>-2</v>
      </c>
      <c r="AH261" s="176">
        <f t="shared" si="92"/>
        <v>4</v>
      </c>
      <c r="AI261" s="225">
        <f t="shared" si="93"/>
        <v>-1.1111968429366563</v>
      </c>
      <c r="AJ261" s="265" t="b">
        <f t="shared" si="94"/>
        <v>0</v>
      </c>
      <c r="AK261" s="265" t="b">
        <f t="shared" si="95"/>
        <v>0</v>
      </c>
      <c r="AL261" s="265"/>
      <c r="AM261" s="265"/>
      <c r="AN261" s="75"/>
    </row>
    <row r="262" spans="1:40" s="6" customFormat="1" ht="11.25" x14ac:dyDescent="0.2">
      <c r="A262" s="56">
        <f t="shared" si="96"/>
        <v>43713</v>
      </c>
      <c r="B262" s="617">
        <v>26.15</v>
      </c>
      <c r="C262" s="390"/>
      <c r="D262" s="393">
        <f t="shared" si="75"/>
        <v>26.440269422359439</v>
      </c>
      <c r="E262" s="385">
        <f t="shared" si="97"/>
        <v>28.526705315330528</v>
      </c>
      <c r="F262" s="385">
        <f t="shared" si="76"/>
        <v>28.526705315330528</v>
      </c>
      <c r="G262" s="110">
        <f t="shared" si="98"/>
        <v>0.79306682665602857</v>
      </c>
      <c r="H262" s="414" t="b">
        <f>Wh_hp&gt;='2018'!Maxi_hp</f>
        <v>0</v>
      </c>
      <c r="I262" s="390">
        <f>IF(H262,Wh_hp,'2018'!Maxi_hp)</f>
        <v>29.260840039896209</v>
      </c>
      <c r="J262" s="85">
        <f>IF(H262,An,'2018'!An_max)</f>
        <v>2018</v>
      </c>
      <c r="K262" s="197">
        <f t="shared" si="77"/>
        <v>43713</v>
      </c>
      <c r="L262" s="147">
        <f>IF(t&lt;Tvie,1-EXP((T0-t)*PertePVj)+'2018'!Pspv,1-EXP((T0-t)*PertePVj)+Pspv)</f>
        <v>1.0978308039250595E-2</v>
      </c>
      <c r="M262" s="850"/>
      <c r="N262" s="850"/>
      <c r="O262" s="48">
        <f>IF(t&lt;Tnet,'2018'!Resal+('2018'!Salim-'2018'!Resal)*(1-EXP(('2018'!Tnet-t)/('2018'!Tau_j))),Resal+(Salim-Resal)*(1-EXP((Tnet-t)/(Tau_j))))*Salcycl</f>
        <v>7.3139742914854519E-2</v>
      </c>
      <c r="P262" s="169">
        <f>(INDEX(Models!$BJ262:$BT262,,T262)*(1-R262)+INDEX(Models!$BJ262:$BT262,,T262+1)*R262-ERP_i)*Q262*Ramure*Pc/MaxiM</f>
        <v>0</v>
      </c>
      <c r="Q262" s="305">
        <f t="shared" si="78"/>
        <v>0.7</v>
      </c>
      <c r="R262" s="177">
        <f t="shared" si="79"/>
        <v>0.88924686710722911</v>
      </c>
      <c r="S262" s="817">
        <f t="shared" si="80"/>
        <v>-2</v>
      </c>
      <c r="T262" s="176">
        <f t="shared" si="81"/>
        <v>4</v>
      </c>
      <c r="U262" s="251">
        <f t="shared" si="82"/>
        <v>-1.1107531328927709</v>
      </c>
      <c r="V262" s="383">
        <f t="shared" si="83"/>
        <v>32.973261673624201</v>
      </c>
      <c r="W262" s="58"/>
      <c r="X262" s="157">
        <f t="shared" si="84"/>
        <v>43713</v>
      </c>
      <c r="Y262" s="385">
        <f t="shared" si="85"/>
        <v>26.15</v>
      </c>
      <c r="Z262" s="385">
        <f t="shared" si="86"/>
        <v>26.440269422359439</v>
      </c>
      <c r="AA262" s="386">
        <f t="shared" si="87"/>
        <v>28.526705315330528</v>
      </c>
      <c r="AB262" s="197">
        <f t="shared" si="88"/>
        <v>43713</v>
      </c>
      <c r="AC262" s="427">
        <f>IF(OR(t&lt;Tnet,NoTnet),'2018'!Resal_s+('2018'!Salim-'2018'!Resal_s)*(1-EXP(('2018'!Tnet_s-t)/'2018'!Tau_j)),Resal_s+(Salim-Resal_s)*(1-EXP((Tnet_s-t)/Tau_j)))*Salcycl</f>
        <v>7.3139742914854519E-2</v>
      </c>
      <c r="AD262" s="231">
        <f>(INDEX(Models!$BJ262:$BT262,,AH262)*(1-AF262)+INDEX(Models!$BJ262:$BT262,,AH262+1)*AF262-ERP_i)*AE262*Ramure*Pc/MaxiM</f>
        <v>0</v>
      </c>
      <c r="AE262" s="305">
        <f t="shared" si="89"/>
        <v>0.7</v>
      </c>
      <c r="AF262" s="177">
        <f t="shared" si="90"/>
        <v>0.88924686710722911</v>
      </c>
      <c r="AG262" s="176">
        <f t="shared" si="91"/>
        <v>-2</v>
      </c>
      <c r="AH262" s="176">
        <f t="shared" si="92"/>
        <v>4</v>
      </c>
      <c r="AI262" s="225">
        <f t="shared" si="93"/>
        <v>-1.1107531328927709</v>
      </c>
      <c r="AJ262" s="265" t="b">
        <f t="shared" si="94"/>
        <v>0</v>
      </c>
      <c r="AK262" s="265" t="b">
        <f t="shared" si="95"/>
        <v>0</v>
      </c>
      <c r="AL262" s="265"/>
      <c r="AM262" s="265"/>
      <c r="AN262" s="75"/>
    </row>
    <row r="263" spans="1:40" s="6" customFormat="1" ht="11.25" x14ac:dyDescent="0.2">
      <c r="A263" s="56">
        <f t="shared" si="96"/>
        <v>43714</v>
      </c>
      <c r="B263" s="617">
        <v>34.11</v>
      </c>
      <c r="C263" s="390"/>
      <c r="D263" s="393">
        <f t="shared" si="75"/>
        <v>34.489382174499795</v>
      </c>
      <c r="E263" s="385">
        <f t="shared" si="97"/>
        <v>37.214641888290501</v>
      </c>
      <c r="F263" s="385">
        <f t="shared" si="76"/>
        <v>37.214641888290501</v>
      </c>
      <c r="G263" s="110">
        <f t="shared" si="98"/>
        <v>1.0399700239182823</v>
      </c>
      <c r="H263" s="414" t="b">
        <f>Wh_hp&gt;='2018'!Maxi_hp</f>
        <v>1</v>
      </c>
      <c r="I263" s="390">
        <f>IF(H263,Wh_hp,'2018'!Maxi_hp)</f>
        <v>37.214641888290501</v>
      </c>
      <c r="J263" s="85">
        <f>IF(H263,An,'2018'!An_max)</f>
        <v>2019</v>
      </c>
      <c r="K263" s="197">
        <f t="shared" si="77"/>
        <v>43714</v>
      </c>
      <c r="L263" s="147">
        <f>IF(t&lt;Tvie,1-EXP((T0-t)*PertePVj)+'2018'!Pspv,1-EXP((T0-t)*PertePVj)+Pspv)</f>
        <v>1.0999970152561822E-2</v>
      </c>
      <c r="M263" s="850"/>
      <c r="N263" s="850"/>
      <c r="O263" s="48">
        <f>IF(t&lt;Tnet,'2018'!Resal+('2018'!Salim-'2018'!Resal)*(1-EXP(('2018'!Tnet-t)/('2018'!Tau_j))),Resal+(Salim-Resal)*(1-EXP((Tnet-t)/(Tau_j))))*Salcycl</f>
        <v>7.323084612694343E-2</v>
      </c>
      <c r="P263" s="169">
        <f>(INDEX(Models!$BJ263:$BT263,,T263)*(1-R263)+INDEX(Models!$BJ263:$BT263,,T263+1)*R263-ERP_i)*Q263*Ramure*Pc/MaxiM</f>
        <v>0</v>
      </c>
      <c r="Q263" s="305">
        <f t="shared" si="78"/>
        <v>0.7</v>
      </c>
      <c r="R263" s="177">
        <f t="shared" si="79"/>
        <v>0.88967366693863559</v>
      </c>
      <c r="S263" s="817">
        <f t="shared" si="80"/>
        <v>-2</v>
      </c>
      <c r="T263" s="176">
        <f t="shared" si="81"/>
        <v>4</v>
      </c>
      <c r="U263" s="251">
        <f t="shared" si="82"/>
        <v>-1.1103263330613644</v>
      </c>
      <c r="V263" s="383">
        <f t="shared" si="83"/>
        <v>32.799022294396693</v>
      </c>
      <c r="W263" s="58"/>
      <c r="X263" s="157">
        <f t="shared" si="84"/>
        <v>43714</v>
      </c>
      <c r="Y263" s="385">
        <f t="shared" si="85"/>
        <v>34.11</v>
      </c>
      <c r="Z263" s="385">
        <f t="shared" si="86"/>
        <v>34.489382174499795</v>
      </c>
      <c r="AA263" s="386">
        <f t="shared" si="87"/>
        <v>37.214641888290501</v>
      </c>
      <c r="AB263" s="197">
        <f t="shared" si="88"/>
        <v>43714</v>
      </c>
      <c r="AC263" s="427">
        <f>IF(OR(t&lt;Tnet,NoTnet),'2018'!Resal_s+('2018'!Salim-'2018'!Resal_s)*(1-EXP(('2018'!Tnet_s-t)/'2018'!Tau_j)),Resal_s+(Salim-Resal_s)*(1-EXP((Tnet_s-t)/Tau_j)))*Salcycl</f>
        <v>7.323084612694343E-2</v>
      </c>
      <c r="AD263" s="231">
        <f>(INDEX(Models!$BJ263:$BT263,,AH263)*(1-AF263)+INDEX(Models!$BJ263:$BT263,,AH263+1)*AF263-ERP_i)*AE263*Ramure*Pc/MaxiM</f>
        <v>0</v>
      </c>
      <c r="AE263" s="305">
        <f t="shared" si="89"/>
        <v>0.7</v>
      </c>
      <c r="AF263" s="177">
        <f t="shared" si="90"/>
        <v>0.88967366693863559</v>
      </c>
      <c r="AG263" s="176">
        <f t="shared" si="91"/>
        <v>-2</v>
      </c>
      <c r="AH263" s="176">
        <f t="shared" si="92"/>
        <v>4</v>
      </c>
      <c r="AI263" s="225">
        <f t="shared" si="93"/>
        <v>-1.1103263330613644</v>
      </c>
      <c r="AJ263" s="265" t="b">
        <f t="shared" si="94"/>
        <v>0</v>
      </c>
      <c r="AK263" s="265" t="b">
        <f t="shared" si="95"/>
        <v>0</v>
      </c>
      <c r="AL263" s="265"/>
      <c r="AM263" s="265"/>
      <c r="AN263" s="75"/>
    </row>
    <row r="264" spans="1:40" s="6" customFormat="1" ht="11.25" x14ac:dyDescent="0.2">
      <c r="A264" s="56">
        <f t="shared" si="96"/>
        <v>43715</v>
      </c>
      <c r="B264" s="617">
        <v>32.713999999999999</v>
      </c>
      <c r="C264" s="390"/>
      <c r="D264" s="393">
        <f t="shared" si="75"/>
        <v>33.078579928151044</v>
      </c>
      <c r="E264" s="385">
        <f t="shared" si="97"/>
        <v>35.695847850032024</v>
      </c>
      <c r="F264" s="385">
        <f t="shared" si="76"/>
        <v>35.695847850032024</v>
      </c>
      <c r="G264" s="110">
        <f t="shared" si="98"/>
        <v>1.0029036083705667</v>
      </c>
      <c r="H264" s="414" t="b">
        <f>Wh_hp&gt;='2018'!Maxi_hp</f>
        <v>1</v>
      </c>
      <c r="I264" s="390">
        <f>IF(H264,Wh_hp,'2018'!Maxi_hp)</f>
        <v>35.695847850032024</v>
      </c>
      <c r="J264" s="85">
        <f>IF(H264,An,'2018'!An_max)</f>
        <v>2019</v>
      </c>
      <c r="K264" s="197">
        <f t="shared" si="77"/>
        <v>43715</v>
      </c>
      <c r="L264" s="147">
        <f>IF(t&lt;Tvie,1-EXP((T0-t)*PertePVj)+'2018'!Pspv,1-EXP((T0-t)*PertePVj)+Pspv)</f>
        <v>1.102163179141713E-2</v>
      </c>
      <c r="M264" s="850"/>
      <c r="N264" s="850"/>
      <c r="O264" s="48">
        <f>IF(t&lt;Tnet,'2018'!Resal+('2018'!Salim-'2018'!Resal)*(1-EXP(('2018'!Tnet-t)/('2018'!Tau_j))),Resal+(Salim-Resal)*(1-EXP((Tnet-t)/(Tau_j))))*Salcycl</f>
        <v>7.3321354709848588E-2</v>
      </c>
      <c r="P264" s="169">
        <f>(INDEX(Models!$BJ264:$BT264,,T264)*(1-R264)+INDEX(Models!$BJ264:$BT264,,T264+1)*R264-ERP_i)*Q264*Ramure*Pc/MaxiM</f>
        <v>0</v>
      </c>
      <c r="Q264" s="305">
        <f t="shared" si="78"/>
        <v>0.7</v>
      </c>
      <c r="R264" s="177">
        <f t="shared" si="79"/>
        <v>0.89008416497224374</v>
      </c>
      <c r="S264" s="817">
        <f t="shared" si="80"/>
        <v>-2</v>
      </c>
      <c r="T264" s="176">
        <f t="shared" si="81"/>
        <v>4</v>
      </c>
      <c r="U264" s="251">
        <f t="shared" si="82"/>
        <v>-1.1099158350277563</v>
      </c>
      <c r="V264" s="383">
        <f t="shared" si="83"/>
        <v>32.619286367062685</v>
      </c>
      <c r="W264" s="58"/>
      <c r="X264" s="157">
        <f t="shared" si="84"/>
        <v>43715</v>
      </c>
      <c r="Y264" s="385">
        <f t="shared" si="85"/>
        <v>32.713999999999999</v>
      </c>
      <c r="Z264" s="385">
        <f t="shared" si="86"/>
        <v>33.078579928151044</v>
      </c>
      <c r="AA264" s="386">
        <f t="shared" si="87"/>
        <v>35.695847850032024</v>
      </c>
      <c r="AB264" s="197">
        <f t="shared" si="88"/>
        <v>43715</v>
      </c>
      <c r="AC264" s="427">
        <f>IF(OR(t&lt;Tnet,NoTnet),'2018'!Resal_s+('2018'!Salim-'2018'!Resal_s)*(1-EXP(('2018'!Tnet_s-t)/'2018'!Tau_j)),Resal_s+(Salim-Resal_s)*(1-EXP((Tnet_s-t)/Tau_j)))*Salcycl</f>
        <v>7.3321354709848588E-2</v>
      </c>
      <c r="AD264" s="231">
        <f>(INDEX(Models!$BJ264:$BT264,,AH264)*(1-AF264)+INDEX(Models!$BJ264:$BT264,,AH264+1)*AF264-ERP_i)*AE264*Ramure*Pc/MaxiM</f>
        <v>0</v>
      </c>
      <c r="AE264" s="305">
        <f t="shared" si="89"/>
        <v>0.7</v>
      </c>
      <c r="AF264" s="177">
        <f t="shared" si="90"/>
        <v>0.89008416497224374</v>
      </c>
      <c r="AG264" s="176">
        <f t="shared" si="91"/>
        <v>-2</v>
      </c>
      <c r="AH264" s="176">
        <f t="shared" si="92"/>
        <v>4</v>
      </c>
      <c r="AI264" s="225">
        <f t="shared" si="93"/>
        <v>-1.1099158350277563</v>
      </c>
      <c r="AJ264" s="265" t="b">
        <f t="shared" si="94"/>
        <v>0</v>
      </c>
      <c r="AK264" s="265" t="b">
        <f t="shared" si="95"/>
        <v>0</v>
      </c>
      <c r="AL264" s="265"/>
      <c r="AM264" s="265"/>
      <c r="AN264" s="75"/>
    </row>
    <row r="265" spans="1:40" s="6" customFormat="1" ht="11.25" x14ac:dyDescent="0.2">
      <c r="A265" s="56">
        <f t="shared" si="96"/>
        <v>43716</v>
      </c>
      <c r="B265" s="617">
        <v>28.695</v>
      </c>
      <c r="C265" s="390"/>
      <c r="D265" s="393">
        <f t="shared" si="75"/>
        <v>29.01542584787617</v>
      </c>
      <c r="E265" s="385">
        <f t="shared" si="97"/>
        <v>31.314243623983963</v>
      </c>
      <c r="F265" s="385">
        <f t="shared" si="76"/>
        <v>31.314243623983963</v>
      </c>
      <c r="G265" s="110">
        <f t="shared" si="98"/>
        <v>0.88470215378785777</v>
      </c>
      <c r="H265" s="414" t="b">
        <f>Wh_hp&gt;='2018'!Maxi_hp</f>
        <v>0</v>
      </c>
      <c r="I265" s="390">
        <f>IF(H265,Wh_hp,'2018'!Maxi_hp)</f>
        <v>32.004308101052679</v>
      </c>
      <c r="J265" s="85">
        <f>IF(H265,An,'2018'!An_max)</f>
        <v>2018</v>
      </c>
      <c r="K265" s="197">
        <f t="shared" si="77"/>
        <v>43716</v>
      </c>
      <c r="L265" s="147">
        <f>IF(t&lt;Tvie,1-EXP((T0-t)*PertePVj)+'2018'!Pspv,1-EXP((T0-t)*PertePVj)+Pspv)</f>
        <v>1.1043292955826955E-2</v>
      </c>
      <c r="M265" s="850"/>
      <c r="N265" s="850"/>
      <c r="O265" s="48">
        <f>IF(t&lt;Tnet,'2018'!Resal+('2018'!Salim-'2018'!Resal)*(1-EXP(('2018'!Tnet-t)/('2018'!Tau_j))),Resal+(Salim-Resal)*(1-EXP((Tnet-t)/(Tau_j))))*Salcycl</f>
        <v>7.3411250283149099E-2</v>
      </c>
      <c r="P265" s="169">
        <f>(INDEX(Models!$BJ265:$BT265,,T265)*(1-R265)+INDEX(Models!$BJ265:$BT265,,T265+1)*R265-ERP_i)*Q265*Ramure*Pc/MaxiM</f>
        <v>0</v>
      </c>
      <c r="Q265" s="305">
        <f t="shared" si="78"/>
        <v>0.7</v>
      </c>
      <c r="R265" s="177">
        <f t="shared" si="79"/>
        <v>0.89047895051648673</v>
      </c>
      <c r="S265" s="817">
        <f t="shared" si="80"/>
        <v>-2</v>
      </c>
      <c r="T265" s="176">
        <f t="shared" si="81"/>
        <v>4</v>
      </c>
      <c r="U265" s="251">
        <f t="shared" si="82"/>
        <v>-1.1095210494835133</v>
      </c>
      <c r="V265" s="383">
        <f t="shared" si="83"/>
        <v>32.434644673512075</v>
      </c>
      <c r="W265" s="58"/>
      <c r="X265" s="157">
        <f t="shared" si="84"/>
        <v>43716</v>
      </c>
      <c r="Y265" s="385">
        <f t="shared" si="85"/>
        <v>28.695</v>
      </c>
      <c r="Z265" s="385">
        <f t="shared" si="86"/>
        <v>29.01542584787617</v>
      </c>
      <c r="AA265" s="386">
        <f t="shared" si="87"/>
        <v>31.314243623983963</v>
      </c>
      <c r="AB265" s="197">
        <f t="shared" si="88"/>
        <v>43716</v>
      </c>
      <c r="AC265" s="427">
        <f>IF(OR(t&lt;Tnet,NoTnet),'2018'!Resal_s+('2018'!Salim-'2018'!Resal_s)*(1-EXP(('2018'!Tnet_s-t)/'2018'!Tau_j)),Resal_s+(Salim-Resal_s)*(1-EXP((Tnet_s-t)/Tau_j)))*Salcycl</f>
        <v>7.3411250283149099E-2</v>
      </c>
      <c r="AD265" s="231">
        <f>(INDEX(Models!$BJ265:$BT265,,AH265)*(1-AF265)+INDEX(Models!$BJ265:$BT265,,AH265+1)*AF265-ERP_i)*AE265*Ramure*Pc/MaxiM</f>
        <v>0</v>
      </c>
      <c r="AE265" s="305">
        <f t="shared" si="89"/>
        <v>0.7</v>
      </c>
      <c r="AF265" s="177">
        <f t="shared" si="90"/>
        <v>0.89047895051648673</v>
      </c>
      <c r="AG265" s="176">
        <f t="shared" si="91"/>
        <v>-2</v>
      </c>
      <c r="AH265" s="176">
        <f t="shared" si="92"/>
        <v>4</v>
      </c>
      <c r="AI265" s="225">
        <f t="shared" si="93"/>
        <v>-1.1095210494835133</v>
      </c>
      <c r="AJ265" s="265" t="b">
        <f t="shared" si="94"/>
        <v>0</v>
      </c>
      <c r="AK265" s="265" t="b">
        <f t="shared" si="95"/>
        <v>0</v>
      </c>
      <c r="AL265" s="265"/>
      <c r="AM265" s="265"/>
      <c r="AN265" s="75"/>
    </row>
    <row r="266" spans="1:40" s="6" customFormat="1" ht="11.25" x14ac:dyDescent="0.2">
      <c r="A266" s="56">
        <f t="shared" si="96"/>
        <v>43717</v>
      </c>
      <c r="B266" s="617">
        <v>25.358000000000001</v>
      </c>
      <c r="C266" s="390"/>
      <c r="D266" s="393">
        <f t="shared" si="75"/>
        <v>25.641724492912495</v>
      </c>
      <c r="E266" s="385">
        <f t="shared" si="97"/>
        <v>27.67591873662527</v>
      </c>
      <c r="F266" s="385">
        <f t="shared" si="76"/>
        <v>27.67591873662527</v>
      </c>
      <c r="G266" s="110">
        <f t="shared" si="98"/>
        <v>0.78639972675131398</v>
      </c>
      <c r="H266" s="414" t="b">
        <f>Wh_hp&gt;='2018'!Maxi_hp</f>
        <v>1</v>
      </c>
      <c r="I266" s="390">
        <f>IF(H266,Wh_hp,'2018'!Maxi_hp)</f>
        <v>27.67591873662527</v>
      </c>
      <c r="J266" s="85">
        <f>IF(H266,An,'2018'!An_max)</f>
        <v>2019</v>
      </c>
      <c r="K266" s="197">
        <f t="shared" si="77"/>
        <v>43717</v>
      </c>
      <c r="L266" s="147">
        <f>IF(t&lt;Tvie,1-EXP((T0-t)*PertePVj)+'2018'!Pspv,1-EXP((T0-t)*PertePVj)+Pspv)</f>
        <v>1.1064953645801734E-2</v>
      </c>
      <c r="M266" s="850"/>
      <c r="N266" s="850"/>
      <c r="O266" s="48">
        <f>IF(t&lt;Tnet,'2018'!Resal+('2018'!Salim-'2018'!Resal)*(1-EXP(('2018'!Tnet-t)/('2018'!Tau_j))),Resal+(Salim-Resal)*(1-EXP((Tnet-t)/(Tau_j))))*Salcycl</f>
        <v>7.3500513680176446E-2</v>
      </c>
      <c r="P266" s="169">
        <f>(INDEX(Models!$BJ266:$BT266,,T266)*(1-R266)+INDEX(Models!$BJ266:$BT266,,T266+1)*R266-ERP_i)*Q266*Ramure*Pc/MaxiM</f>
        <v>0</v>
      </c>
      <c r="Q266" s="305">
        <f t="shared" si="78"/>
        <v>0.7</v>
      </c>
      <c r="R266" s="177">
        <f t="shared" si="79"/>
        <v>0.89085859415363355</v>
      </c>
      <c r="S266" s="817">
        <f t="shared" si="80"/>
        <v>-2</v>
      </c>
      <c r="T266" s="176">
        <f t="shared" si="81"/>
        <v>4</v>
      </c>
      <c r="U266" s="251">
        <f t="shared" si="82"/>
        <v>-1.1091414058463664</v>
      </c>
      <c r="V266" s="383">
        <f t="shared" si="83"/>
        <v>32.245687704847143</v>
      </c>
      <c r="W266" s="58"/>
      <c r="X266" s="157">
        <f t="shared" si="84"/>
        <v>43717</v>
      </c>
      <c r="Y266" s="385">
        <f t="shared" si="85"/>
        <v>25.358000000000001</v>
      </c>
      <c r="Z266" s="385">
        <f t="shared" si="86"/>
        <v>25.641724492912495</v>
      </c>
      <c r="AA266" s="386">
        <f t="shared" si="87"/>
        <v>27.67591873662527</v>
      </c>
      <c r="AB266" s="197">
        <f t="shared" si="88"/>
        <v>43717</v>
      </c>
      <c r="AC266" s="427">
        <f>IF(OR(t&lt;Tnet,NoTnet),'2018'!Resal_s+('2018'!Salim-'2018'!Resal_s)*(1-EXP(('2018'!Tnet_s-t)/'2018'!Tau_j)),Resal_s+(Salim-Resal_s)*(1-EXP((Tnet_s-t)/Tau_j)))*Salcycl</f>
        <v>7.3500513680176446E-2</v>
      </c>
      <c r="AD266" s="231">
        <f>(INDEX(Models!$BJ266:$BT266,,AH266)*(1-AF266)+INDEX(Models!$BJ266:$BT266,,AH266+1)*AF266-ERP_i)*AE266*Ramure*Pc/MaxiM</f>
        <v>0</v>
      </c>
      <c r="AE266" s="305">
        <f t="shared" si="89"/>
        <v>0.7</v>
      </c>
      <c r="AF266" s="177">
        <f t="shared" si="90"/>
        <v>0.89085859415363355</v>
      </c>
      <c r="AG266" s="176">
        <f t="shared" si="91"/>
        <v>-2</v>
      </c>
      <c r="AH266" s="176">
        <f t="shared" si="92"/>
        <v>4</v>
      </c>
      <c r="AI266" s="225">
        <f t="shared" si="93"/>
        <v>-1.1091414058463664</v>
      </c>
      <c r="AJ266" s="265" t="b">
        <f t="shared" si="94"/>
        <v>0</v>
      </c>
      <c r="AK266" s="265" t="b">
        <f t="shared" si="95"/>
        <v>0</v>
      </c>
      <c r="AL266" s="265"/>
      <c r="AM266" s="265"/>
      <c r="AN266" s="75"/>
    </row>
    <row r="267" spans="1:40" s="6" customFormat="1" ht="11.25" x14ac:dyDescent="0.2">
      <c r="A267" s="56">
        <f t="shared" si="96"/>
        <v>43718</v>
      </c>
      <c r="B267" s="617">
        <v>8.4559999999999995</v>
      </c>
      <c r="C267" s="390"/>
      <c r="D267" s="393">
        <f t="shared" si="75"/>
        <v>8.5507994112787209</v>
      </c>
      <c r="E267" s="385">
        <f t="shared" si="97"/>
        <v>9.2300291818275042</v>
      </c>
      <c r="F267" s="385">
        <f t="shared" si="76"/>
        <v>9.2300291818275042</v>
      </c>
      <c r="G267" s="110">
        <f t="shared" si="98"/>
        <v>0.26381301295701826</v>
      </c>
      <c r="H267" s="414" t="b">
        <f>Wh_hp&gt;='2018'!Maxi_hp</f>
        <v>0</v>
      </c>
      <c r="I267" s="390">
        <f>IF(H267,Wh_hp,'2018'!Maxi_hp)</f>
        <v>27.425766872188039</v>
      </c>
      <c r="J267" s="85">
        <f>IF(H267,An,'2018'!An_max)</f>
        <v>2018</v>
      </c>
      <c r="K267" s="197">
        <f t="shared" si="77"/>
        <v>43718</v>
      </c>
      <c r="L267" s="147">
        <f>IF(t&lt;Tvie,1-EXP((T0-t)*PertePVj)+'2018'!Pspv,1-EXP((T0-t)*PertePVj)+Pspv)</f>
        <v>1.1086613861351791E-2</v>
      </c>
      <c r="M267" s="850"/>
      <c r="N267" s="850"/>
      <c r="O267" s="48">
        <f>IF(t&lt;Tnet,'2018'!Resal+('2018'!Salim-'2018'!Resal)*(1-EXP(('2018'!Tnet-t)/('2018'!Tau_j))),Resal+(Salim-Resal)*(1-EXP((Tnet-t)/(Tau_j))))*Salcycl</f>
        <v>7.3589124927804381E-2</v>
      </c>
      <c r="P267" s="169">
        <f>(INDEX(Models!$BJ267:$BT267,,T267)*(1-R267)+INDEX(Models!$BJ267:$BT267,,T267+1)*R267-ERP_i)*Q267*Ramure*Pc/MaxiM</f>
        <v>0</v>
      </c>
      <c r="Q267" s="305">
        <f t="shared" si="78"/>
        <v>0.7</v>
      </c>
      <c r="R267" s="177">
        <f t="shared" si="79"/>
        <v>0.89122364813132426</v>
      </c>
      <c r="S267" s="817">
        <f t="shared" si="80"/>
        <v>-2</v>
      </c>
      <c r="T267" s="176">
        <f t="shared" si="81"/>
        <v>4</v>
      </c>
      <c r="U267" s="251">
        <f t="shared" si="82"/>
        <v>-1.1087763518686757</v>
      </c>
      <c r="V267" s="383">
        <f t="shared" si="83"/>
        <v>32.053005669503094</v>
      </c>
      <c r="W267" s="58"/>
      <c r="X267" s="157">
        <f t="shared" si="84"/>
        <v>43718</v>
      </c>
      <c r="Y267" s="385">
        <f t="shared" si="85"/>
        <v>8.4559999999999995</v>
      </c>
      <c r="Z267" s="385">
        <f t="shared" si="86"/>
        <v>8.5507994112787209</v>
      </c>
      <c r="AA267" s="386">
        <f t="shared" si="87"/>
        <v>9.2300291818275042</v>
      </c>
      <c r="AB267" s="197">
        <f t="shared" si="88"/>
        <v>43718</v>
      </c>
      <c r="AC267" s="427">
        <f>IF(OR(t&lt;Tnet,NoTnet),'2018'!Resal_s+('2018'!Salim-'2018'!Resal_s)*(1-EXP(('2018'!Tnet_s-t)/'2018'!Tau_j)),Resal_s+(Salim-Resal_s)*(1-EXP((Tnet_s-t)/Tau_j)))*Salcycl</f>
        <v>7.3589124927804381E-2</v>
      </c>
      <c r="AD267" s="231">
        <f>(INDEX(Models!$BJ267:$BT267,,AH267)*(1-AF267)+INDEX(Models!$BJ267:$BT267,,AH267+1)*AF267-ERP_i)*AE267*Ramure*Pc/MaxiM</f>
        <v>0</v>
      </c>
      <c r="AE267" s="305">
        <f t="shared" si="89"/>
        <v>0.7</v>
      </c>
      <c r="AF267" s="177">
        <f t="shared" si="90"/>
        <v>0.89122364813132426</v>
      </c>
      <c r="AG267" s="176">
        <f t="shared" si="91"/>
        <v>-2</v>
      </c>
      <c r="AH267" s="176">
        <f t="shared" si="92"/>
        <v>4</v>
      </c>
      <c r="AI267" s="225">
        <f t="shared" si="93"/>
        <v>-1.1087763518686757</v>
      </c>
      <c r="AJ267" s="265" t="b">
        <f t="shared" si="94"/>
        <v>0</v>
      </c>
      <c r="AK267" s="265" t="b">
        <f t="shared" si="95"/>
        <v>0</v>
      </c>
      <c r="AL267" s="265"/>
      <c r="AM267" s="265"/>
      <c r="AN267" s="75"/>
    </row>
    <row r="268" spans="1:40" s="6" customFormat="1" ht="11.25" x14ac:dyDescent="0.2">
      <c r="A268" s="56">
        <f t="shared" si="96"/>
        <v>43719</v>
      </c>
      <c r="B268" s="617">
        <v>28.576000000000001</v>
      </c>
      <c r="C268" s="390"/>
      <c r="D268" s="393">
        <f t="shared" si="75"/>
        <v>28.896995734913332</v>
      </c>
      <c r="E268" s="385">
        <f t="shared" si="97"/>
        <v>31.195379697471029</v>
      </c>
      <c r="F268" s="385">
        <f t="shared" si="76"/>
        <v>31.195379702701402</v>
      </c>
      <c r="G268" s="110">
        <f t="shared" si="98"/>
        <v>0.8970031994100045</v>
      </c>
      <c r="H268" s="414" t="b">
        <f>Wh_hp&gt;='2018'!Maxi_hp</f>
        <v>0</v>
      </c>
      <c r="I268" s="390">
        <f>IF(H268,Wh_hp,'2018'!Maxi_hp)</f>
        <v>31.816202174963337</v>
      </c>
      <c r="J268" s="85">
        <f>IF(H268,An,'2018'!An_max)</f>
        <v>2018</v>
      </c>
      <c r="K268" s="197">
        <f t="shared" si="77"/>
        <v>43719</v>
      </c>
      <c r="L268" s="147">
        <f>IF(t&lt;Tvie,1-EXP((T0-t)*PertePVj)+'2018'!Pspv,1-EXP((T0-t)*PertePVj)+Pspv)</f>
        <v>1.1108273602487562E-2</v>
      </c>
      <c r="M268" s="850"/>
      <c r="N268" s="850"/>
      <c r="O268" s="48">
        <f>IF(t&lt;Tnet,'2018'!Resal+('2018'!Salim-'2018'!Resal)*(1-EXP(('2018'!Tnet-t)/('2018'!Tau_j))),Resal+(Salim-Resal)*(1-EXP((Tnet-t)/(Tau_j))))*Salcycl</f>
        <v>7.3677063233310219E-2</v>
      </c>
      <c r="P268" s="169">
        <f>(INDEX(Models!$BJ268:$BT268,,T268)*(1-R268)+INDEX(Models!$BJ268:$BT268,,T268+1)*R268-ERP_i)*Q268*Ramure*Pc/MaxiM</f>
        <v>1.9659106065399201E-10</v>
      </c>
      <c r="Q268" s="305">
        <f t="shared" si="78"/>
        <v>0.7</v>
      </c>
      <c r="R268" s="177">
        <f t="shared" si="79"/>
        <v>0.89157464676341114</v>
      </c>
      <c r="S268" s="817">
        <f t="shared" si="80"/>
        <v>-2</v>
      </c>
      <c r="T268" s="176">
        <f t="shared" si="81"/>
        <v>4</v>
      </c>
      <c r="U268" s="251">
        <f t="shared" si="82"/>
        <v>-1.1084253532365889</v>
      </c>
      <c r="V268" s="383">
        <f t="shared" si="83"/>
        <v>31.857188489371051</v>
      </c>
      <c r="W268" s="58"/>
      <c r="X268" s="157">
        <f t="shared" si="84"/>
        <v>43719</v>
      </c>
      <c r="Y268" s="385">
        <f t="shared" si="85"/>
        <v>28.576000000000001</v>
      </c>
      <c r="Z268" s="385">
        <f t="shared" si="86"/>
        <v>28.896995734913332</v>
      </c>
      <c r="AA268" s="386">
        <f t="shared" si="87"/>
        <v>31.195379697471029</v>
      </c>
      <c r="AB268" s="197">
        <f t="shared" si="88"/>
        <v>43719</v>
      </c>
      <c r="AC268" s="427">
        <f>IF(OR(t&lt;Tnet,NoTnet),'2018'!Resal_s+('2018'!Salim-'2018'!Resal_s)*(1-EXP(('2018'!Tnet_s-t)/'2018'!Tau_j)),Resal_s+(Salim-Resal_s)*(1-EXP((Tnet_s-t)/Tau_j)))*Salcycl</f>
        <v>7.3677063233310219E-2</v>
      </c>
      <c r="AD268" s="231">
        <f>(INDEX(Models!$BJ268:$BT268,,AH268)*(1-AF268)+INDEX(Models!$BJ268:$BT268,,AH268+1)*AF268-ERP_i)*AE268*Ramure*Pc/MaxiM</f>
        <v>1.9659106065399201E-10</v>
      </c>
      <c r="AE268" s="305">
        <f t="shared" si="89"/>
        <v>0.7</v>
      </c>
      <c r="AF268" s="177">
        <f t="shared" si="90"/>
        <v>0.89157464676341114</v>
      </c>
      <c r="AG268" s="176">
        <f t="shared" si="91"/>
        <v>-2</v>
      </c>
      <c r="AH268" s="176">
        <f t="shared" si="92"/>
        <v>4</v>
      </c>
      <c r="AI268" s="225">
        <f t="shared" si="93"/>
        <v>-1.1084253532365889</v>
      </c>
      <c r="AJ268" s="265" t="b">
        <f t="shared" si="94"/>
        <v>0</v>
      </c>
      <c r="AK268" s="265" t="b">
        <f t="shared" si="95"/>
        <v>0</v>
      </c>
      <c r="AL268" s="265"/>
      <c r="AM268" s="265"/>
      <c r="AN268" s="75"/>
    </row>
    <row r="269" spans="1:40" s="6" customFormat="1" ht="11.25" x14ac:dyDescent="0.2">
      <c r="A269" s="56">
        <f t="shared" si="96"/>
        <v>43720</v>
      </c>
      <c r="B269" s="617">
        <v>31.472999999999999</v>
      </c>
      <c r="C269" s="390"/>
      <c r="D269" s="393">
        <f t="shared" si="75"/>
        <v>31.827234988838644</v>
      </c>
      <c r="E269" s="385">
        <f t="shared" si="97"/>
        <v>34.361918061098997</v>
      </c>
      <c r="F269" s="385">
        <f t="shared" si="76"/>
        <v>34.361918081315721</v>
      </c>
      <c r="G269" s="110">
        <f t="shared" si="98"/>
        <v>0.99413036313279501</v>
      </c>
      <c r="H269" s="414" t="b">
        <f>Wh_hp&gt;='2018'!Maxi_hp</f>
        <v>1</v>
      </c>
      <c r="I269" s="390">
        <f>IF(H269,Wh_hp,'2018'!Maxi_hp)</f>
        <v>34.361918081315721</v>
      </c>
      <c r="J269" s="85">
        <f>IF(H269,An,'2018'!An_max)</f>
        <v>2019</v>
      </c>
      <c r="K269" s="197">
        <f t="shared" si="77"/>
        <v>43720</v>
      </c>
      <c r="L269" s="147">
        <f>IF(t&lt;Tvie,1-EXP((T0-t)*PertePVj)+'2018'!Pspv,1-EXP((T0-t)*PertePVj)+Pspv)</f>
        <v>1.1129932869219372E-2</v>
      </c>
      <c r="M269" s="850"/>
      <c r="N269" s="850"/>
      <c r="O269" s="48">
        <f>IF(t&lt;Tnet,'2018'!Resal+('2018'!Salim-'2018'!Resal)*(1-EXP(('2018'!Tnet-t)/('2018'!Tau_j))),Resal+(Salim-Resal)*(1-EXP((Tnet-t)/(Tau_j))))*Salcycl</f>
        <v>7.3764306979413385E-2</v>
      </c>
      <c r="P269" s="169">
        <f>(INDEX(Models!$BJ269:$BT269,,T269)*(1-R269)+INDEX(Models!$BJ269:$BT269,,T269+1)*R269-ERP_i)*Q269*Ramure*Pc/MaxiM</f>
        <v>5.9332192364385441E-10</v>
      </c>
      <c r="Q269" s="305">
        <f t="shared" si="78"/>
        <v>0.7</v>
      </c>
      <c r="R269" s="177">
        <f t="shared" si="79"/>
        <v>0.89191210683813105</v>
      </c>
      <c r="S269" s="817">
        <f t="shared" si="80"/>
        <v>-2</v>
      </c>
      <c r="T269" s="176">
        <f t="shared" si="81"/>
        <v>4</v>
      </c>
      <c r="U269" s="251">
        <f t="shared" si="82"/>
        <v>-1.108087893161869</v>
      </c>
      <c r="V269" s="383">
        <f t="shared" si="83"/>
        <v>31.65882581099606</v>
      </c>
      <c r="W269" s="58"/>
      <c r="X269" s="157">
        <f t="shared" si="84"/>
        <v>43720</v>
      </c>
      <c r="Y269" s="385">
        <f t="shared" si="85"/>
        <v>31.472999999999995</v>
      </c>
      <c r="Z269" s="385">
        <f t="shared" si="86"/>
        <v>31.82723498883864</v>
      </c>
      <c r="AA269" s="386">
        <f t="shared" si="87"/>
        <v>34.361918061098997</v>
      </c>
      <c r="AB269" s="197">
        <f t="shared" si="88"/>
        <v>43720</v>
      </c>
      <c r="AC269" s="427">
        <f>IF(OR(t&lt;Tnet,NoTnet),'2018'!Resal_s+('2018'!Salim-'2018'!Resal_s)*(1-EXP(('2018'!Tnet_s-t)/'2018'!Tau_j)),Resal_s+(Salim-Resal_s)*(1-EXP((Tnet_s-t)/Tau_j)))*Salcycl</f>
        <v>7.3764306979413385E-2</v>
      </c>
      <c r="AD269" s="231">
        <f>(INDEX(Models!$BJ269:$BT269,,AH269)*(1-AF269)+INDEX(Models!$BJ269:$BT269,,AH269+1)*AF269-ERP_i)*AE269*Ramure*Pc/MaxiM</f>
        <v>5.9332192364385441E-10</v>
      </c>
      <c r="AE269" s="305">
        <f t="shared" si="89"/>
        <v>0.7</v>
      </c>
      <c r="AF269" s="177">
        <f t="shared" si="90"/>
        <v>0.89191210683813105</v>
      </c>
      <c r="AG269" s="176">
        <f t="shared" si="91"/>
        <v>-2</v>
      </c>
      <c r="AH269" s="176">
        <f t="shared" si="92"/>
        <v>4</v>
      </c>
      <c r="AI269" s="225">
        <f t="shared" si="93"/>
        <v>-1.108087893161869</v>
      </c>
      <c r="AJ269" s="265" t="b">
        <f t="shared" si="94"/>
        <v>0</v>
      </c>
      <c r="AK269" s="265" t="b">
        <f t="shared" si="95"/>
        <v>0</v>
      </c>
      <c r="AL269" s="265"/>
      <c r="AM269" s="265"/>
      <c r="AN269" s="75"/>
    </row>
    <row r="270" spans="1:40" s="6" customFormat="1" ht="11.25" x14ac:dyDescent="0.2">
      <c r="A270" s="56">
        <f t="shared" si="96"/>
        <v>43721</v>
      </c>
      <c r="B270" s="617">
        <v>23.559000000000001</v>
      </c>
      <c r="C270" s="390"/>
      <c r="D270" s="393">
        <f t="shared" si="75"/>
        <v>23.824683137818955</v>
      </c>
      <c r="E270" s="385">
        <f t="shared" si="97"/>
        <v>25.724455633570834</v>
      </c>
      <c r="F270" s="385">
        <f t="shared" si="76"/>
        <v>25.724455653265263</v>
      </c>
      <c r="G270" s="110">
        <f t="shared" si="98"/>
        <v>0.74889122949319664</v>
      </c>
      <c r="H270" s="414" t="b">
        <f>Wh_hp&gt;='2018'!Maxi_hp</f>
        <v>1</v>
      </c>
      <c r="I270" s="390">
        <f>IF(H270,Wh_hp,'2018'!Maxi_hp)</f>
        <v>25.724455653265263</v>
      </c>
      <c r="J270" s="85">
        <f>IF(H270,An,'2018'!An_max)</f>
        <v>2019</v>
      </c>
      <c r="K270" s="197">
        <f t="shared" si="77"/>
        <v>43721</v>
      </c>
      <c r="L270" s="147">
        <f>IF(t&lt;Tvie,1-EXP((T0-t)*PertePVj)+'2018'!Pspv,1-EXP((T0-t)*PertePVj)+Pspv)</f>
        <v>1.1151591661557658E-2</v>
      </c>
      <c r="M270" s="850"/>
      <c r="N270" s="850"/>
      <c r="O270" s="48">
        <f>IF(t&lt;Tnet,'2018'!Resal+('2018'!Salim-'2018'!Resal)*(1-EXP(('2018'!Tnet-t)/('2018'!Tau_j))),Resal+(Salim-Resal)*(1-EXP((Tnet-t)/(Tau_j))))*Salcycl</f>
        <v>7.3850833728533613E-2</v>
      </c>
      <c r="P270" s="169">
        <f>(INDEX(Models!$BJ270:$BT270,,T270)*(1-R270)+INDEX(Models!$BJ270:$BT270,,T270+1)*R270-ERP_i)*Q270*Ramure*Pc/MaxiM</f>
        <v>1.1938621042958383E-9</v>
      </c>
      <c r="Q270" s="305">
        <f t="shared" si="78"/>
        <v>0.7</v>
      </c>
      <c r="R270" s="177">
        <f t="shared" si="79"/>
        <v>0.8922365280318012</v>
      </c>
      <c r="S270" s="817">
        <f t="shared" si="80"/>
        <v>-2</v>
      </c>
      <c r="T270" s="176">
        <f t="shared" si="81"/>
        <v>4</v>
      </c>
      <c r="U270" s="251">
        <f t="shared" si="82"/>
        <v>-1.1077634719681988</v>
      </c>
      <c r="V270" s="383">
        <f t="shared" si="83"/>
        <v>31.45850700622259</v>
      </c>
      <c r="W270" s="58"/>
      <c r="X270" s="157">
        <f t="shared" si="84"/>
        <v>43721</v>
      </c>
      <c r="Y270" s="385">
        <f t="shared" si="85"/>
        <v>23.559000000000001</v>
      </c>
      <c r="Z270" s="385">
        <f t="shared" si="86"/>
        <v>23.824683137818955</v>
      </c>
      <c r="AA270" s="386">
        <f t="shared" si="87"/>
        <v>25.724455633570834</v>
      </c>
      <c r="AB270" s="197">
        <f t="shared" si="88"/>
        <v>43721</v>
      </c>
      <c r="AC270" s="427">
        <f>IF(OR(t&lt;Tnet,NoTnet),'2018'!Resal_s+('2018'!Salim-'2018'!Resal_s)*(1-EXP(('2018'!Tnet_s-t)/'2018'!Tau_j)),Resal_s+(Salim-Resal_s)*(1-EXP((Tnet_s-t)/Tau_j)))*Salcycl</f>
        <v>7.3850833728533613E-2</v>
      </c>
      <c r="AD270" s="231">
        <f>(INDEX(Models!$BJ270:$BT270,,AH270)*(1-AF270)+INDEX(Models!$BJ270:$BT270,,AH270+1)*AF270-ERP_i)*AE270*Ramure*Pc/MaxiM</f>
        <v>1.1938621042958383E-9</v>
      </c>
      <c r="AE270" s="305">
        <f t="shared" si="89"/>
        <v>0.7</v>
      </c>
      <c r="AF270" s="177">
        <f t="shared" si="90"/>
        <v>0.8922365280318012</v>
      </c>
      <c r="AG270" s="176">
        <f t="shared" si="91"/>
        <v>-2</v>
      </c>
      <c r="AH270" s="176">
        <f t="shared" si="92"/>
        <v>4</v>
      </c>
      <c r="AI270" s="225">
        <f t="shared" si="93"/>
        <v>-1.1077634719681988</v>
      </c>
      <c r="AJ270" s="265" t="b">
        <f t="shared" si="94"/>
        <v>0</v>
      </c>
      <c r="AK270" s="265" t="b">
        <f t="shared" si="95"/>
        <v>0</v>
      </c>
      <c r="AL270" s="265"/>
      <c r="AM270" s="265"/>
      <c r="AN270" s="75"/>
    </row>
    <row r="271" spans="1:40" s="6" customFormat="1" ht="11.25" x14ac:dyDescent="0.2">
      <c r="A271" s="56">
        <f t="shared" si="96"/>
        <v>43722</v>
      </c>
      <c r="B271" s="617">
        <v>25.963999999999999</v>
      </c>
      <c r="C271" s="390"/>
      <c r="D271" s="393">
        <f t="shared" ref="D271:D334" si="99">Wh/(1-Ppv)</f>
        <v>26.257380273604102</v>
      </c>
      <c r="E271" s="385">
        <f t="shared" si="97"/>
        <v>28.353761575509669</v>
      </c>
      <c r="F271" s="385">
        <f t="shared" ref="F271:F334" si="100">Wh_sa/(1-Pvg*MEDIAN((-Sdif+Wh/Env_an)/Csdif,0,1))</f>
        <v>28.353761618541704</v>
      </c>
      <c r="G271" s="110">
        <f t="shared" si="98"/>
        <v>0.83066668368399754</v>
      </c>
      <c r="H271" s="414" t="b">
        <f>Wh_hp&gt;='2018'!Maxi_hp</f>
        <v>1</v>
      </c>
      <c r="I271" s="390">
        <f>IF(H271,Wh_hp,'2018'!Maxi_hp)</f>
        <v>28.353761618541704</v>
      </c>
      <c r="J271" s="85">
        <f>IF(H271,An,'2018'!An_max)</f>
        <v>2019</v>
      </c>
      <c r="K271" s="197">
        <f t="shared" ref="K271:K334" si="101">t</f>
        <v>43722</v>
      </c>
      <c r="L271" s="147">
        <f>IF(t&lt;Tvie,1-EXP((T0-t)*PertePVj)+'2018'!Pspv,1-EXP((T0-t)*PertePVj)+Pspv)</f>
        <v>1.1173249979512745E-2</v>
      </c>
      <c r="M271" s="850"/>
      <c r="N271" s="850"/>
      <c r="O271" s="48">
        <f>IF(t&lt;Tnet,'2018'!Resal+('2018'!Salim-'2018'!Resal)*(1-EXP(('2018'!Tnet-t)/('2018'!Tau_j))),Resal+(Salim-Resal)*(1-EXP((Tnet-t)/(Tau_j))))*Salcycl</f>
        <v>7.3936620237235184E-2</v>
      </c>
      <c r="P271" s="169">
        <f>(INDEX(Models!$BJ271:$BT271,,T271)*(1-R271)+INDEX(Models!$BJ271:$BT271,,T271+1)*R271-ERP_i)*Q271*Ramure*Pc/MaxiM</f>
        <v>2.0019692635585586E-9</v>
      </c>
      <c r="Q271" s="305">
        <f t="shared" ref="Q271:Q334" si="102">IF(OR(t&lt;Ttai,Notai),Dd+PousD*Croivg,Dens+PousD*(Croivg-Croi_tai))</f>
        <v>0.7</v>
      </c>
      <c r="R271" s="177">
        <f t="shared" ref="R271:R334" si="103">(Hp_vg-S271)/(INDEX(Echel_vg,T271+1)-S271)</f>
        <v>0.89254839332639047</v>
      </c>
      <c r="S271" s="817">
        <f t="shared" ref="S271:S334" si="104">INDEX(Echel_vg,T271)</f>
        <v>-2</v>
      </c>
      <c r="T271" s="176">
        <f t="shared" ref="T271:T334" si="105">MIN(MATCH(Hp_vg,Echel_vg),10)</f>
        <v>4</v>
      </c>
      <c r="U271" s="251">
        <f t="shared" ref="U271:U334" si="106">IF(OR(t&lt;Ttai,Notai),Hdd+PousH*Croivg,Hdtf+PousH*(Croivg-Croi_tai))</f>
        <v>-1.1074516066736095</v>
      </c>
      <c r="V271" s="383">
        <f t="shared" ref="V271:V334" si="107">MaxiM*(1-Ppv)*(1-Pvg)*(1-Psa)</f>
        <v>31.256821174380015</v>
      </c>
      <c r="W271" s="58"/>
      <c r="X271" s="157">
        <f t="shared" ref="X271:X334" si="108">t</f>
        <v>43722</v>
      </c>
      <c r="Y271" s="385">
        <f t="shared" ref="Y271:Y334" si="109">Wh_pvt_s*(1-Ppv)</f>
        <v>25.963999999999999</v>
      </c>
      <c r="Z271" s="385">
        <f t="shared" ref="Z271:Z334" si="110">Wh_sa_s*(1-Psa_s)</f>
        <v>26.257380273604102</v>
      </c>
      <c r="AA271" s="386">
        <f t="shared" ref="AA271:AA334" si="111">Wh_hp*(1-Pvg_s*MEDIAN((-Sdif+Wh/Env_an)/Csdif,0,1))</f>
        <v>28.353761575509669</v>
      </c>
      <c r="AB271" s="197">
        <f t="shared" ref="AB271:AB334" si="112">t</f>
        <v>43722</v>
      </c>
      <c r="AC271" s="427">
        <f>IF(OR(t&lt;Tnet,NoTnet),'2018'!Resal_s+('2018'!Salim-'2018'!Resal_s)*(1-EXP(('2018'!Tnet_s-t)/'2018'!Tau_j)),Resal_s+(Salim-Resal_s)*(1-EXP((Tnet_s-t)/Tau_j)))*Salcycl</f>
        <v>7.3936620237235184E-2</v>
      </c>
      <c r="AD271" s="231">
        <f>(INDEX(Models!$BJ271:$BT271,,AH271)*(1-AF271)+INDEX(Models!$BJ271:$BT271,,AH271+1)*AF271-ERP_i)*AE271*Ramure*Pc/MaxiM</f>
        <v>2.0019692635585586E-9</v>
      </c>
      <c r="AE271" s="305">
        <f t="shared" ref="AE271:AE334" si="113">IF(OR(t&lt;Ttai,Notai),Dd_s+PousD*Croivg,Dens_s+PousD*(Croivg-Croi_tai))</f>
        <v>0.7</v>
      </c>
      <c r="AF271" s="177">
        <f t="shared" ref="AF271:AF334" si="114">(Hp_vg_s-AG271)/(INDEX(Echel_vg,AH271+1)-AG271)</f>
        <v>0.89254839332639047</v>
      </c>
      <c r="AG271" s="176">
        <f t="shared" ref="AG271:AG334" si="115">INDEX(Echel_vg,AH271)</f>
        <v>-2</v>
      </c>
      <c r="AH271" s="176">
        <f t="shared" ref="AH271:AH334" si="116">MIN(MATCH(Hp_vg_s,Echel_vg),10)</f>
        <v>4</v>
      </c>
      <c r="AI271" s="225">
        <f t="shared" ref="AI271:AI334" si="117">IF(OR(t&lt;Ttai,Notai),Hdd_s+PousH*Croivg,Hdtai_s+PousH*(Croivg-Croi_tai))</f>
        <v>-1.1074516066736095</v>
      </c>
      <c r="AJ271" s="265" t="b">
        <f t="shared" ref="AJ271:AJ334" si="118">t&lt;Tnet</f>
        <v>0</v>
      </c>
      <c r="AK271" s="265" t="b">
        <f t="shared" ref="AK271:AK334" si="119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0">A271+1</f>
        <v>43723</v>
      </c>
      <c r="B272" s="617">
        <v>26.552</v>
      </c>
      <c r="C272" s="390"/>
      <c r="D272" s="393">
        <f t="shared" si="99"/>
        <v>26.852612521993002</v>
      </c>
      <c r="E272" s="385">
        <f t="shared" si="97"/>
        <v>28.999179412746919</v>
      </c>
      <c r="F272" s="385">
        <f t="shared" si="100"/>
        <v>28.999179482218928</v>
      </c>
      <c r="G272" s="110">
        <f t="shared" si="98"/>
        <v>0.85501689382305479</v>
      </c>
      <c r="H272" s="414" t="b">
        <f>Wh_hp&gt;='2018'!Maxi_hp</f>
        <v>1</v>
      </c>
      <c r="I272" s="390">
        <f>IF(H272,Wh_hp,'2018'!Maxi_hp)</f>
        <v>28.999179482218928</v>
      </c>
      <c r="J272" s="85">
        <f>IF(H272,An,'2018'!An_max)</f>
        <v>2019</v>
      </c>
      <c r="K272" s="197">
        <f t="shared" si="101"/>
        <v>43723</v>
      </c>
      <c r="L272" s="147">
        <f>IF(t&lt;Tvie,1-EXP((T0-t)*PertePVj)+'2018'!Pspv,1-EXP((T0-t)*PertePVj)+Pspv)</f>
        <v>1.1194907823095179E-2</v>
      </c>
      <c r="M272" s="850"/>
      <c r="N272" s="850"/>
      <c r="O272" s="48">
        <f>IF(t&lt;Tnet,'2018'!Resal+('2018'!Salim-'2018'!Resal)*(1-EXP(('2018'!Tnet-t)/('2018'!Tau_j))),Resal+(Salim-Resal)*(1-EXP((Tnet-t)/(Tau_j))))*Salcycl</f>
        <v>7.4021642481730751E-2</v>
      </c>
      <c r="P272" s="169">
        <f>(INDEX(Models!$BJ272:$BT272,,T272)*(1-R272)+INDEX(Models!$BJ272:$BT272,,T272+1)*R272-ERP_i)*Q272*Ramure*Pc/MaxiM</f>
        <v>3.0214538467494033E-9</v>
      </c>
      <c r="Q272" s="305">
        <f t="shared" si="102"/>
        <v>0.7</v>
      </c>
      <c r="R272" s="177">
        <f t="shared" si="103"/>
        <v>0.89284816942945922</v>
      </c>
      <c r="S272" s="817">
        <f t="shared" si="104"/>
        <v>-2</v>
      </c>
      <c r="T272" s="176">
        <f t="shared" si="105"/>
        <v>4</v>
      </c>
      <c r="U272" s="251">
        <f t="shared" si="106"/>
        <v>-1.1071518305705408</v>
      </c>
      <c r="V272" s="383">
        <f t="shared" si="107"/>
        <v>31.054357142186113</v>
      </c>
      <c r="W272" s="58"/>
      <c r="X272" s="157">
        <f t="shared" si="108"/>
        <v>43723</v>
      </c>
      <c r="Y272" s="385">
        <f t="shared" si="109"/>
        <v>26.552</v>
      </c>
      <c r="Z272" s="385">
        <f t="shared" si="110"/>
        <v>26.852612521993002</v>
      </c>
      <c r="AA272" s="386">
        <f t="shared" si="111"/>
        <v>28.999179412746919</v>
      </c>
      <c r="AB272" s="197">
        <f t="shared" si="112"/>
        <v>43723</v>
      </c>
      <c r="AC272" s="427">
        <f>IF(OR(t&lt;Tnet,NoTnet),'2018'!Resal_s+('2018'!Salim-'2018'!Resal_s)*(1-EXP(('2018'!Tnet_s-t)/'2018'!Tau_j)),Resal_s+(Salim-Resal_s)*(1-EXP((Tnet_s-t)/Tau_j)))*Salcycl</f>
        <v>7.4021642481730751E-2</v>
      </c>
      <c r="AD272" s="231">
        <f>(INDEX(Models!$BJ272:$BT272,,AH272)*(1-AF272)+INDEX(Models!$BJ272:$BT272,,AH272+1)*AF272-ERP_i)*AE272*Ramure*Pc/MaxiM</f>
        <v>3.0214538467494033E-9</v>
      </c>
      <c r="AE272" s="305">
        <f t="shared" si="113"/>
        <v>0.7</v>
      </c>
      <c r="AF272" s="177">
        <f t="shared" si="114"/>
        <v>0.89284816942945922</v>
      </c>
      <c r="AG272" s="176">
        <f t="shared" si="115"/>
        <v>-2</v>
      </c>
      <c r="AH272" s="176">
        <f t="shared" si="116"/>
        <v>4</v>
      </c>
      <c r="AI272" s="225">
        <f t="shared" si="117"/>
        <v>-1.1071518305705408</v>
      </c>
      <c r="AJ272" s="265" t="b">
        <f t="shared" si="118"/>
        <v>0</v>
      </c>
      <c r="AK272" s="265" t="b">
        <f t="shared" si="119"/>
        <v>0</v>
      </c>
      <c r="AL272" s="265"/>
      <c r="AM272" s="265"/>
      <c r="AN272" s="75"/>
    </row>
    <row r="273" spans="1:40" s="6" customFormat="1" ht="11.25" x14ac:dyDescent="0.2">
      <c r="A273" s="56">
        <f t="shared" si="120"/>
        <v>43724</v>
      </c>
      <c r="B273" s="617">
        <v>26.888000000000002</v>
      </c>
      <c r="C273" s="390"/>
      <c r="D273" s="393">
        <f t="shared" si="99"/>
        <v>27.193012194049988</v>
      </c>
      <c r="E273" s="385">
        <f t="shared" si="97"/>
        <v>29.369461885793992</v>
      </c>
      <c r="F273" s="385">
        <f t="shared" si="100"/>
        <v>29.369461987852311</v>
      </c>
      <c r="G273" s="110">
        <f t="shared" si="98"/>
        <v>0.87152399887181542</v>
      </c>
      <c r="H273" s="414" t="b">
        <f>Wh_hp&gt;='2018'!Maxi_hp</f>
        <v>0</v>
      </c>
      <c r="I273" s="390">
        <f>IF(H273,Wh_hp,'2018'!Maxi_hp)</f>
        <v>31.548663581663206</v>
      </c>
      <c r="J273" s="85">
        <f>IF(H273,An,'2018'!An_max)</f>
        <v>2018</v>
      </c>
      <c r="K273" s="197">
        <f t="shared" si="101"/>
        <v>43724</v>
      </c>
      <c r="L273" s="147">
        <f>IF(t&lt;Tvie,1-EXP((T0-t)*PertePVj)+'2018'!Pspv,1-EXP((T0-t)*PertePVj)+Pspv)</f>
        <v>1.1216565192315286E-2</v>
      </c>
      <c r="M273" s="850"/>
      <c r="N273" s="850"/>
      <c r="O273" s="48">
        <f>IF(t&lt;Tnet,'2018'!Resal+('2018'!Salim-'2018'!Resal)*(1-EXP(('2018'!Tnet-t)/('2018'!Tau_j))),Resal+(Salim-Resal)*(1-EXP((Tnet-t)/(Tau_j))))*Salcycl</f>
        <v>7.4105875695215012E-2</v>
      </c>
      <c r="P273" s="169">
        <f>(INDEX(Models!$BJ273:$BT273,,T273)*(1-R273)+INDEX(Models!$BJ273:$BT273,,T273+1)*R273-ERP_i)*Q273*Ramure*Pc/MaxiM</f>
        <v>4.2561407900755892E-9</v>
      </c>
      <c r="Q273" s="305">
        <f t="shared" si="102"/>
        <v>0.7</v>
      </c>
      <c r="R273" s="177">
        <f t="shared" si="103"/>
        <v>0.89313630719510329</v>
      </c>
      <c r="S273" s="817">
        <f t="shared" si="104"/>
        <v>-2</v>
      </c>
      <c r="T273" s="176">
        <f t="shared" si="105"/>
        <v>4</v>
      </c>
      <c r="U273" s="251">
        <f t="shared" si="106"/>
        <v>-1.1068636928048967</v>
      </c>
      <c r="V273" s="383">
        <f t="shared" si="107"/>
        <v>30.851703468639517</v>
      </c>
      <c r="W273" s="58"/>
      <c r="X273" s="157">
        <f t="shared" si="108"/>
        <v>43724</v>
      </c>
      <c r="Y273" s="385">
        <f t="shared" si="109"/>
        <v>26.888000000000002</v>
      </c>
      <c r="Z273" s="385">
        <f t="shared" si="110"/>
        <v>27.193012194049988</v>
      </c>
      <c r="AA273" s="386">
        <f t="shared" si="111"/>
        <v>29.369461885793992</v>
      </c>
      <c r="AB273" s="197">
        <f t="shared" si="112"/>
        <v>43724</v>
      </c>
      <c r="AC273" s="427">
        <f>IF(OR(t&lt;Tnet,NoTnet),'2018'!Resal_s+('2018'!Salim-'2018'!Resal_s)*(1-EXP(('2018'!Tnet_s-t)/'2018'!Tau_j)),Resal_s+(Salim-Resal_s)*(1-EXP((Tnet_s-t)/Tau_j)))*Salcycl</f>
        <v>7.4105875695215012E-2</v>
      </c>
      <c r="AD273" s="231">
        <f>(INDEX(Models!$BJ273:$BT273,,AH273)*(1-AF273)+INDEX(Models!$BJ273:$BT273,,AH273+1)*AF273-ERP_i)*AE273*Ramure*Pc/MaxiM</f>
        <v>4.2561407900755892E-9</v>
      </c>
      <c r="AE273" s="305">
        <f t="shared" si="113"/>
        <v>0.7</v>
      </c>
      <c r="AF273" s="177">
        <f t="shared" si="114"/>
        <v>0.89313630719510329</v>
      </c>
      <c r="AG273" s="176">
        <f t="shared" si="115"/>
        <v>-2</v>
      </c>
      <c r="AH273" s="176">
        <f t="shared" si="116"/>
        <v>4</v>
      </c>
      <c r="AI273" s="225">
        <f t="shared" si="117"/>
        <v>-1.1068636928048967</v>
      </c>
      <c r="AJ273" s="265" t="b">
        <f t="shared" si="118"/>
        <v>0</v>
      </c>
      <c r="AK273" s="265" t="b">
        <f t="shared" si="119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0"/>
        <v>43725</v>
      </c>
      <c r="B274" s="617">
        <v>26.201000000000001</v>
      </c>
      <c r="C274" s="390"/>
      <c r="D274" s="393">
        <f t="shared" si="99"/>
        <v>26.498799392617958</v>
      </c>
      <c r="E274" s="385">
        <f t="shared" si="97"/>
        <v>28.622265040617219</v>
      </c>
      <c r="F274" s="385">
        <f t="shared" si="100"/>
        <v>28.622265170159856</v>
      </c>
      <c r="G274" s="110">
        <f t="shared" si="98"/>
        <v>0.85486040685274989</v>
      </c>
      <c r="H274" s="414" t="b">
        <f>Wh_hp&gt;='2018'!Maxi_hp</f>
        <v>0</v>
      </c>
      <c r="I274" s="390">
        <f>IF(H274,Wh_hp,'2018'!Maxi_hp)</f>
        <v>28.727042109266584</v>
      </c>
      <c r="J274" s="85">
        <f>IF(H274,An,'2018'!An_max)</f>
        <v>2018</v>
      </c>
      <c r="K274" s="197">
        <f t="shared" si="101"/>
        <v>43725</v>
      </c>
      <c r="L274" s="147">
        <f>IF(t&lt;Tvie,1-EXP((T0-t)*PertePVj)+'2018'!Pspv,1-EXP((T0-t)*PertePVj)+Pspv)</f>
        <v>1.1238222087183281E-2</v>
      </c>
      <c r="M274" s="850"/>
      <c r="N274" s="850"/>
      <c r="O274" s="48">
        <f>IF(t&lt;Tnet,'2018'!Resal+('2018'!Salim-'2018'!Resal)*(1-EXP(('2018'!Tnet-t)/('2018'!Tau_j))),Resal+(Salim-Resal)*(1-EXP((Tnet-t)/(Tau_j))))*Salcycl</f>
        <v>7.418929441768142E-2</v>
      </c>
      <c r="P274" s="169">
        <f>(INDEX(Models!$BJ274:$BT274,,T274)*(1-R274)+INDEX(Models!$BJ274:$BT274,,T274+1)*R274-ERP_i)*Q274*Ramure*Pc/MaxiM</f>
        <v>5.7098281260817667E-9</v>
      </c>
      <c r="Q274" s="305">
        <f t="shared" si="102"/>
        <v>0.7</v>
      </c>
      <c r="R274" s="177">
        <f t="shared" si="103"/>
        <v>0.89341324204466566</v>
      </c>
      <c r="S274" s="817">
        <f t="shared" si="104"/>
        <v>-2</v>
      </c>
      <c r="T274" s="176">
        <f t="shared" si="105"/>
        <v>4</v>
      </c>
      <c r="U274" s="251">
        <f t="shared" si="106"/>
        <v>-1.1065867579553343</v>
      </c>
      <c r="V274" s="383">
        <f t="shared" si="107"/>
        <v>30.649448446726414</v>
      </c>
      <c r="W274" s="58"/>
      <c r="X274" s="157">
        <f t="shared" si="108"/>
        <v>43725</v>
      </c>
      <c r="Y274" s="385">
        <f t="shared" si="109"/>
        <v>26.201000000000001</v>
      </c>
      <c r="Z274" s="385">
        <f t="shared" si="110"/>
        <v>26.498799392617958</v>
      </c>
      <c r="AA274" s="386">
        <f t="shared" si="111"/>
        <v>28.622265040617219</v>
      </c>
      <c r="AB274" s="197">
        <f t="shared" si="112"/>
        <v>43725</v>
      </c>
      <c r="AC274" s="427">
        <f>IF(OR(t&lt;Tnet,NoTnet),'2018'!Resal_s+('2018'!Salim-'2018'!Resal_s)*(1-EXP(('2018'!Tnet_s-t)/'2018'!Tau_j)),Resal_s+(Salim-Resal_s)*(1-EXP((Tnet_s-t)/Tau_j)))*Salcycl</f>
        <v>7.418929441768142E-2</v>
      </c>
      <c r="AD274" s="231">
        <f>(INDEX(Models!$BJ274:$BT274,,AH274)*(1-AF274)+INDEX(Models!$BJ274:$BT274,,AH274+1)*AF274-ERP_i)*AE274*Ramure*Pc/MaxiM</f>
        <v>5.7098281260817667E-9</v>
      </c>
      <c r="AE274" s="305">
        <f t="shared" si="113"/>
        <v>0.7</v>
      </c>
      <c r="AF274" s="177">
        <f t="shared" si="114"/>
        <v>0.89341324204466566</v>
      </c>
      <c r="AG274" s="176">
        <f t="shared" si="115"/>
        <v>-2</v>
      </c>
      <c r="AH274" s="176">
        <f t="shared" si="116"/>
        <v>4</v>
      </c>
      <c r="AI274" s="225">
        <f t="shared" si="117"/>
        <v>-1.1065867579553343</v>
      </c>
      <c r="AJ274" s="265" t="b">
        <f t="shared" si="118"/>
        <v>0</v>
      </c>
      <c r="AK274" s="265" t="b">
        <f t="shared" si="119"/>
        <v>0</v>
      </c>
      <c r="AL274" s="265"/>
      <c r="AM274" s="265"/>
      <c r="AN274" s="75"/>
    </row>
    <row r="275" spans="1:40" s="6" customFormat="1" ht="11.25" x14ac:dyDescent="0.2">
      <c r="A275" s="56">
        <f t="shared" si="120"/>
        <v>43726</v>
      </c>
      <c r="B275" s="617">
        <v>16.201000000000001</v>
      </c>
      <c r="C275" s="390"/>
      <c r="D275" s="393">
        <f t="shared" si="99"/>
        <v>16.385498724930958</v>
      </c>
      <c r="E275" s="385">
        <f t="shared" si="97"/>
        <v>17.700119764342809</v>
      </c>
      <c r="F275" s="385">
        <f t="shared" si="100"/>
        <v>17.700119807693561</v>
      </c>
      <c r="G275" s="110">
        <f t="shared" si="98"/>
        <v>0.53210260542766841</v>
      </c>
      <c r="H275" s="414" t="b">
        <f>Wh_hp&gt;='2018'!Maxi_hp</f>
        <v>0</v>
      </c>
      <c r="I275" s="390">
        <f>IF(H275,Wh_hp,'2018'!Maxi_hp)</f>
        <v>26.074602127527871</v>
      </c>
      <c r="J275" s="85">
        <f>IF(H275,An,'2018'!An_max)</f>
        <v>2018</v>
      </c>
      <c r="K275" s="197">
        <f t="shared" si="101"/>
        <v>43726</v>
      </c>
      <c r="L275" s="147">
        <f>IF(t&lt;Tvie,1-EXP((T0-t)*PertePVj)+'2018'!Pspv,1-EXP((T0-t)*PertePVj)+Pspv)</f>
        <v>1.125987850770982E-2</v>
      </c>
      <c r="M275" s="850"/>
      <c r="N275" s="850"/>
      <c r="O275" s="48">
        <f>IF(t&lt;Tnet,'2018'!Resal+('2018'!Salim-'2018'!Resal)*(1-EXP(('2018'!Tnet-t)/('2018'!Tau_j))),Resal+(Salim-Resal)*(1-EXP((Tnet-t)/(Tau_j))))*Salcycl</f>
        <v>7.4271872558748314E-2</v>
      </c>
      <c r="P275" s="169">
        <f>(INDEX(Models!$BJ275:$BT275,,T275)*(1-R275)+INDEX(Models!$BJ275:$BT275,,T275+1)*R275-ERP_i)*Q275*Ramure*Pc/MaxiM</f>
        <v>7.386495862605565E-9</v>
      </c>
      <c r="Q275" s="305">
        <f t="shared" si="102"/>
        <v>0.7</v>
      </c>
      <c r="R275" s="177">
        <f t="shared" si="103"/>
        <v>0.893679394386099</v>
      </c>
      <c r="S275" s="817">
        <f t="shared" si="104"/>
        <v>-2</v>
      </c>
      <c r="T275" s="176">
        <f t="shared" si="105"/>
        <v>4</v>
      </c>
      <c r="U275" s="251">
        <f t="shared" si="106"/>
        <v>-1.106320605613901</v>
      </c>
      <c r="V275" s="383">
        <f t="shared" si="107"/>
        <v>30.447135110321895</v>
      </c>
      <c r="W275" s="58"/>
      <c r="X275" s="157">
        <f t="shared" si="108"/>
        <v>43726</v>
      </c>
      <c r="Y275" s="385">
        <f t="shared" si="109"/>
        <v>16.201000000000001</v>
      </c>
      <c r="Z275" s="385">
        <f t="shared" si="110"/>
        <v>16.385498724930958</v>
      </c>
      <c r="AA275" s="386">
        <f t="shared" si="111"/>
        <v>17.700119764342809</v>
      </c>
      <c r="AB275" s="197">
        <f t="shared" si="112"/>
        <v>43726</v>
      </c>
      <c r="AC275" s="427">
        <f>IF(OR(t&lt;Tnet,NoTnet),'2018'!Resal_s+('2018'!Salim-'2018'!Resal_s)*(1-EXP(('2018'!Tnet_s-t)/'2018'!Tau_j)),Resal_s+(Salim-Resal_s)*(1-EXP((Tnet_s-t)/Tau_j)))*Salcycl</f>
        <v>7.4271872558748314E-2</v>
      </c>
      <c r="AD275" s="231">
        <f>(INDEX(Models!$BJ275:$BT275,,AH275)*(1-AF275)+INDEX(Models!$BJ275:$BT275,,AH275+1)*AF275-ERP_i)*AE275*Ramure*Pc/MaxiM</f>
        <v>7.386495862605565E-9</v>
      </c>
      <c r="AE275" s="305">
        <f t="shared" si="113"/>
        <v>0.7</v>
      </c>
      <c r="AF275" s="177">
        <f t="shared" si="114"/>
        <v>0.893679394386099</v>
      </c>
      <c r="AG275" s="176">
        <f t="shared" si="115"/>
        <v>-2</v>
      </c>
      <c r="AH275" s="176">
        <f t="shared" si="116"/>
        <v>4</v>
      </c>
      <c r="AI275" s="225">
        <f t="shared" si="117"/>
        <v>-1.106320605613901</v>
      </c>
      <c r="AJ275" s="265" t="b">
        <f t="shared" si="118"/>
        <v>0</v>
      </c>
      <c r="AK275" s="265" t="b">
        <f t="shared" si="119"/>
        <v>0</v>
      </c>
      <c r="AL275" s="265"/>
      <c r="AM275" s="265"/>
      <c r="AN275" s="75"/>
    </row>
    <row r="276" spans="1:40" s="6" customFormat="1" ht="11.25" x14ac:dyDescent="0.2">
      <c r="A276" s="56">
        <f t="shared" si="120"/>
        <v>43727</v>
      </c>
      <c r="B276" s="617">
        <v>26.254999999999999</v>
      </c>
      <c r="C276" s="390"/>
      <c r="D276" s="393">
        <f t="shared" si="99"/>
        <v>26.554576368206778</v>
      </c>
      <c r="E276" s="385">
        <f t="shared" si="97"/>
        <v>28.687602408556987</v>
      </c>
      <c r="F276" s="385">
        <f t="shared" si="100"/>
        <v>28.687751308125605</v>
      </c>
      <c r="G276" s="110">
        <f t="shared" si="98"/>
        <v>0.86811676113638592</v>
      </c>
      <c r="H276" s="414" t="b">
        <f>Wh_hp&gt;='2018'!Maxi_hp</f>
        <v>1</v>
      </c>
      <c r="I276" s="390">
        <f>IF(H276,Wh_hp,'2018'!Maxi_hp)</f>
        <v>28.687751308125605</v>
      </c>
      <c r="J276" s="85">
        <f>IF(H276,An,'2018'!An_max)</f>
        <v>2019</v>
      </c>
      <c r="K276" s="197">
        <f t="shared" si="101"/>
        <v>43727</v>
      </c>
      <c r="L276" s="147">
        <f>IF(t&lt;Tvie,1-EXP((T0-t)*PertePVj)+'2018'!Pspv,1-EXP((T0-t)*PertePVj)+Pspv)</f>
        <v>1.1281534453905118E-2</v>
      </c>
      <c r="M276" s="850"/>
      <c r="N276" s="850"/>
      <c r="O276" s="48">
        <f>IF(t&lt;Tnet,'2018'!Resal+('2018'!Salim-'2018'!Resal)*(1-EXP(('2018'!Tnet-t)/('2018'!Tau_j))),Resal+(Salim-Resal)*(1-EXP((Tnet-t)/(Tau_j))))*Salcycl</f>
        <v>7.4353583473883031E-2</v>
      </c>
      <c r="P276" s="169">
        <f>(INDEX(Models!$BJ276:$BT276,,T276)*(1-R276)+INDEX(Models!$BJ276:$BT276,,T276+1)*R276-ERP_i)*Q276*Ramure*Pc/MaxiM</f>
        <v>6.3952359189755459E-6</v>
      </c>
      <c r="Q276" s="305">
        <f t="shared" si="102"/>
        <v>0.7</v>
      </c>
      <c r="R276" s="177">
        <f t="shared" si="103"/>
        <v>0.89393517003097855</v>
      </c>
      <c r="S276" s="817">
        <f t="shared" si="104"/>
        <v>-2</v>
      </c>
      <c r="T276" s="176">
        <f t="shared" si="105"/>
        <v>4</v>
      </c>
      <c r="U276" s="251">
        <f t="shared" si="106"/>
        <v>-1.1060648299690214</v>
      </c>
      <c r="V276" s="383">
        <f t="shared" si="107"/>
        <v>30.243591117026543</v>
      </c>
      <c r="W276" s="58"/>
      <c r="X276" s="157">
        <f t="shared" si="108"/>
        <v>43727</v>
      </c>
      <c r="Y276" s="385">
        <f t="shared" si="109"/>
        <v>26.254999999999999</v>
      </c>
      <c r="Z276" s="385">
        <f t="shared" si="110"/>
        <v>26.554576368206778</v>
      </c>
      <c r="AA276" s="386">
        <f t="shared" si="111"/>
        <v>28.687602408556987</v>
      </c>
      <c r="AB276" s="197">
        <f t="shared" si="112"/>
        <v>43727</v>
      </c>
      <c r="AC276" s="427">
        <f>IF(OR(t&lt;Tnet,NoTnet),'2018'!Resal_s+('2018'!Salim-'2018'!Resal_s)*(1-EXP(('2018'!Tnet_s-t)/'2018'!Tau_j)),Resal_s+(Salim-Resal_s)*(1-EXP((Tnet_s-t)/Tau_j)))*Salcycl</f>
        <v>7.4353583473883031E-2</v>
      </c>
      <c r="AD276" s="231">
        <f>(INDEX(Models!$BJ276:$BT276,,AH276)*(1-AF276)+INDEX(Models!$BJ276:$BT276,,AH276+1)*AF276-ERP_i)*AE276*Ramure*Pc/MaxiM</f>
        <v>6.3952359189755459E-6</v>
      </c>
      <c r="AE276" s="305">
        <f t="shared" si="113"/>
        <v>0.7</v>
      </c>
      <c r="AF276" s="177">
        <f t="shared" si="114"/>
        <v>0.89393517003097855</v>
      </c>
      <c r="AG276" s="176">
        <f t="shared" si="115"/>
        <v>-2</v>
      </c>
      <c r="AH276" s="176">
        <f t="shared" si="116"/>
        <v>4</v>
      </c>
      <c r="AI276" s="225">
        <f t="shared" si="117"/>
        <v>-1.1060648299690214</v>
      </c>
      <c r="AJ276" s="265" t="b">
        <f t="shared" si="118"/>
        <v>0</v>
      </c>
      <c r="AK276" s="265" t="b">
        <f t="shared" si="119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0"/>
        <v>43728</v>
      </c>
      <c r="B277" s="617">
        <v>28.341999999999999</v>
      </c>
      <c r="C277" s="390"/>
      <c r="D277" s="393">
        <f t="shared" si="99"/>
        <v>28.66601743953477</v>
      </c>
      <c r="E277" s="385">
        <f t="shared" si="97"/>
        <v>30.971351399852711</v>
      </c>
      <c r="F277" s="385">
        <f t="shared" si="100"/>
        <v>30.97190061425955</v>
      </c>
      <c r="G277" s="110">
        <f t="shared" si="98"/>
        <v>0.94351719226957376</v>
      </c>
      <c r="H277" s="414" t="b">
        <f>Wh_hp&gt;='2018'!Maxi_hp</f>
        <v>1</v>
      </c>
      <c r="I277" s="390">
        <f>IF(H277,Wh_hp,'2018'!Maxi_hp)</f>
        <v>30.97190061425955</v>
      </c>
      <c r="J277" s="85">
        <f>IF(H277,An,'2018'!An_max)</f>
        <v>2019</v>
      </c>
      <c r="K277" s="197">
        <f t="shared" si="101"/>
        <v>43728</v>
      </c>
      <c r="L277" s="147">
        <f>IF(t&lt;Tvie,1-EXP((T0-t)*PertePVj)+'2018'!Pspv,1-EXP((T0-t)*PertePVj)+Pspv)</f>
        <v>1.1303189925779611E-2</v>
      </c>
      <c r="M277" s="850"/>
      <c r="N277" s="850"/>
      <c r="O277" s="48">
        <f>IF(t&lt;Tnet,'2018'!Resal+('2018'!Salim-'2018'!Resal)*(1-EXP(('2018'!Tnet-t)/('2018'!Tau_j))),Resal+(Salim-Resal)*(1-EXP((Tnet-t)/(Tau_j))))*Salcycl</f>
        <v>7.4434400054267741E-2</v>
      </c>
      <c r="P277" s="169">
        <f>(INDEX(Models!$BJ277:$BT277,,T277)*(1-R277)+INDEX(Models!$BJ277:$BT277,,T277+1)*R277-ERP_i)*Q277*Ramure*Pc/MaxiM</f>
        <v>1.9289055333226886E-5</v>
      </c>
      <c r="Q277" s="305">
        <f t="shared" si="102"/>
        <v>0.7</v>
      </c>
      <c r="R277" s="177">
        <f t="shared" si="103"/>
        <v>0.8941809606082658</v>
      </c>
      <c r="S277" s="817">
        <f t="shared" si="104"/>
        <v>-2</v>
      </c>
      <c r="T277" s="176">
        <f t="shared" si="105"/>
        <v>4</v>
      </c>
      <c r="U277" s="251">
        <f t="shared" si="106"/>
        <v>-1.1058190393917342</v>
      </c>
      <c r="V277" s="383">
        <f t="shared" si="107"/>
        <v>30.038621574972119</v>
      </c>
      <c r="W277" s="58"/>
      <c r="X277" s="157">
        <f t="shared" si="108"/>
        <v>43728</v>
      </c>
      <c r="Y277" s="385">
        <f t="shared" si="109"/>
        <v>28.341999999999999</v>
      </c>
      <c r="Z277" s="385">
        <f t="shared" si="110"/>
        <v>28.66601743953477</v>
      </c>
      <c r="AA277" s="386">
        <f t="shared" si="111"/>
        <v>30.971351399852711</v>
      </c>
      <c r="AB277" s="197">
        <f t="shared" si="112"/>
        <v>43728</v>
      </c>
      <c r="AC277" s="427">
        <f>IF(OR(t&lt;Tnet,NoTnet),'2018'!Resal_s+('2018'!Salim-'2018'!Resal_s)*(1-EXP(('2018'!Tnet_s-t)/'2018'!Tau_j)),Resal_s+(Salim-Resal_s)*(1-EXP((Tnet_s-t)/Tau_j)))*Salcycl</f>
        <v>7.4434400054267741E-2</v>
      </c>
      <c r="AD277" s="231">
        <f>(INDEX(Models!$BJ277:$BT277,,AH277)*(1-AF277)+INDEX(Models!$BJ277:$BT277,,AH277+1)*AF277-ERP_i)*AE277*Ramure*Pc/MaxiM</f>
        <v>1.9289055333226886E-5</v>
      </c>
      <c r="AE277" s="305">
        <f t="shared" si="113"/>
        <v>0.7</v>
      </c>
      <c r="AF277" s="177">
        <f t="shared" si="114"/>
        <v>0.8941809606082658</v>
      </c>
      <c r="AG277" s="176">
        <f t="shared" si="115"/>
        <v>-2</v>
      </c>
      <c r="AH277" s="176">
        <f t="shared" si="116"/>
        <v>4</v>
      </c>
      <c r="AI277" s="225">
        <f t="shared" si="117"/>
        <v>-1.1058190393917342</v>
      </c>
      <c r="AJ277" s="265" t="b">
        <f t="shared" si="118"/>
        <v>0</v>
      </c>
      <c r="AK277" s="265" t="b">
        <f t="shared" si="119"/>
        <v>0</v>
      </c>
      <c r="AL277" s="265"/>
      <c r="AM277" s="265"/>
      <c r="AN277" s="75"/>
    </row>
    <row r="278" spans="1:40" s="6" customFormat="1" ht="11.25" x14ac:dyDescent="0.2">
      <c r="A278" s="56">
        <f t="shared" si="120"/>
        <v>43729</v>
      </c>
      <c r="B278" s="617">
        <v>19.358000000000001</v>
      </c>
      <c r="C278" s="390"/>
      <c r="D278" s="393">
        <f t="shared" si="99"/>
        <v>19.579737490722209</v>
      </c>
      <c r="E278" s="385">
        <f t="shared" si="97"/>
        <v>21.156174948303576</v>
      </c>
      <c r="F278" s="385">
        <f t="shared" si="100"/>
        <v>21.156584224170238</v>
      </c>
      <c r="G278" s="110">
        <f t="shared" si="98"/>
        <v>0.64888718741939155</v>
      </c>
      <c r="H278" s="414" t="b">
        <f>Wh_hp&gt;='2018'!Maxi_hp</f>
        <v>0</v>
      </c>
      <c r="I278" s="390">
        <f>IF(H278,Wh_hp,'2018'!Maxi_hp)</f>
        <v>23.739692830331293</v>
      </c>
      <c r="J278" s="85">
        <f>IF(H278,An,'2018'!An_max)</f>
        <v>2018</v>
      </c>
      <c r="K278" s="197">
        <f t="shared" si="101"/>
        <v>43729</v>
      </c>
      <c r="L278" s="147">
        <f>IF(t&lt;Tvie,1-EXP((T0-t)*PertePVj)+'2018'!Pspv,1-EXP((T0-t)*PertePVj)+Pspv)</f>
        <v>1.1324844923343735E-2</v>
      </c>
      <c r="M278" s="850"/>
      <c r="N278" s="850"/>
      <c r="O278" s="48">
        <f>IF(t&lt;Tnet,'2018'!Resal+('2018'!Salim-'2018'!Resal)*(1-EXP(('2018'!Tnet-t)/('2018'!Tau_j))),Resal+(Salim-Resal)*(1-EXP((Tnet-t)/(Tau_j))))*Salcycl</f>
        <v>7.4514294830397745E-2</v>
      </c>
      <c r="P278" s="169">
        <f>(INDEX(Models!$BJ278:$BT278,,T278)*(1-R278)+INDEX(Models!$BJ278:$BT278,,T278+1)*R278-ERP_i)*Q278*Ramure*Pc/MaxiM</f>
        <v>3.8812166016152696E-5</v>
      </c>
      <c r="Q278" s="305">
        <f t="shared" si="102"/>
        <v>0.7</v>
      </c>
      <c r="R278" s="177">
        <f t="shared" si="103"/>
        <v>0.89441714397402339</v>
      </c>
      <c r="S278" s="817">
        <f t="shared" si="104"/>
        <v>-2</v>
      </c>
      <c r="T278" s="176">
        <f t="shared" si="105"/>
        <v>4</v>
      </c>
      <c r="U278" s="251">
        <f t="shared" si="106"/>
        <v>-1.1055828560259766</v>
      </c>
      <c r="V278" s="383">
        <f t="shared" si="107"/>
        <v>29.83203170629913</v>
      </c>
      <c r="W278" s="58"/>
      <c r="X278" s="157">
        <f t="shared" si="108"/>
        <v>43729</v>
      </c>
      <c r="Y278" s="385">
        <f t="shared" si="109"/>
        <v>19.358000000000001</v>
      </c>
      <c r="Z278" s="385">
        <f t="shared" si="110"/>
        <v>19.579737490722209</v>
      </c>
      <c r="AA278" s="386">
        <f t="shared" si="111"/>
        <v>21.156174948303576</v>
      </c>
      <c r="AB278" s="197">
        <f t="shared" si="112"/>
        <v>43729</v>
      </c>
      <c r="AC278" s="427">
        <f>IF(OR(t&lt;Tnet,NoTnet),'2018'!Resal_s+('2018'!Salim-'2018'!Resal_s)*(1-EXP(('2018'!Tnet_s-t)/'2018'!Tau_j)),Resal_s+(Salim-Resal_s)*(1-EXP((Tnet_s-t)/Tau_j)))*Salcycl</f>
        <v>7.4514294830397745E-2</v>
      </c>
      <c r="AD278" s="231">
        <f>(INDEX(Models!$BJ278:$BT278,,AH278)*(1-AF278)+INDEX(Models!$BJ278:$BT278,,AH278+1)*AF278-ERP_i)*AE278*Ramure*Pc/MaxiM</f>
        <v>3.8812166016152696E-5</v>
      </c>
      <c r="AE278" s="305">
        <f t="shared" si="113"/>
        <v>0.7</v>
      </c>
      <c r="AF278" s="177">
        <f t="shared" si="114"/>
        <v>0.89441714397402339</v>
      </c>
      <c r="AG278" s="176">
        <f t="shared" si="115"/>
        <v>-2</v>
      </c>
      <c r="AH278" s="176">
        <f t="shared" si="116"/>
        <v>4</v>
      </c>
      <c r="AI278" s="225">
        <f t="shared" si="117"/>
        <v>-1.1055828560259766</v>
      </c>
      <c r="AJ278" s="265" t="b">
        <f t="shared" si="118"/>
        <v>0</v>
      </c>
      <c r="AK278" s="265" t="b">
        <f t="shared" si="119"/>
        <v>0</v>
      </c>
      <c r="AL278" s="265"/>
      <c r="AM278" s="265"/>
      <c r="AN278" s="75"/>
    </row>
    <row r="279" spans="1:40" s="6" customFormat="1" ht="11.25" x14ac:dyDescent="0.2">
      <c r="A279" s="56">
        <f t="shared" si="120"/>
        <v>43730</v>
      </c>
      <c r="B279" s="617">
        <v>6.4269999999999996</v>
      </c>
      <c r="C279" s="390"/>
      <c r="D279" s="393">
        <f t="shared" si="99"/>
        <v>6.5007608797243215</v>
      </c>
      <c r="E279" s="385">
        <f t="shared" si="97"/>
        <v>7.0247605283885672</v>
      </c>
      <c r="F279" s="385">
        <f t="shared" si="100"/>
        <v>7.0247605283885672</v>
      </c>
      <c r="G279" s="110">
        <f t="shared" si="98"/>
        <v>0.21694108179623772</v>
      </c>
      <c r="H279" s="414" t="b">
        <f>Wh_hp&gt;='2018'!Maxi_hp</f>
        <v>0</v>
      </c>
      <c r="I279" s="390">
        <f>IF(H279,Wh_hp,'2018'!Maxi_hp)</f>
        <v>30.132537637462182</v>
      </c>
      <c r="J279" s="85">
        <f>IF(H279,An,'2018'!An_max)</f>
        <v>2018</v>
      </c>
      <c r="K279" s="197">
        <f t="shared" si="101"/>
        <v>43730</v>
      </c>
      <c r="L279" s="147">
        <f>IF(t&lt;Tvie,1-EXP((T0-t)*PertePVj)+'2018'!Pspv,1-EXP((T0-t)*PertePVj)+Pspv)</f>
        <v>1.1346499446607816E-2</v>
      </c>
      <c r="M279" s="850"/>
      <c r="N279" s="850"/>
      <c r="O279" s="48">
        <f>IF(t&lt;Tnet,'2018'!Resal+('2018'!Salim-'2018'!Resal)*(1-EXP(('2018'!Tnet-t)/('2018'!Tau_j))),Resal+(Salim-Resal)*(1-EXP((Tnet-t)/(Tau_j))))*Salcycl</f>
        <v>7.4593240089345467E-2</v>
      </c>
      <c r="P279" s="169">
        <f>(INDEX(Models!$BJ279:$BT279,,T279)*(1-R279)+INDEX(Models!$BJ279:$BT279,,T279+1)*R279-ERP_i)*Q279*Ramure*Pc/MaxiM</f>
        <v>6.5091968407947329E-5</v>
      </c>
      <c r="Q279" s="305">
        <f t="shared" si="102"/>
        <v>0.7</v>
      </c>
      <c r="R279" s="177">
        <f t="shared" si="103"/>
        <v>0.89464408461637346</v>
      </c>
      <c r="S279" s="817">
        <f t="shared" si="104"/>
        <v>-2</v>
      </c>
      <c r="T279" s="176">
        <f t="shared" si="105"/>
        <v>4</v>
      </c>
      <c r="U279" s="251">
        <f t="shared" si="106"/>
        <v>-1.1053559153836265</v>
      </c>
      <c r="V279" s="383">
        <f t="shared" si="107"/>
        <v>29.623626842403322</v>
      </c>
      <c r="W279" s="58"/>
      <c r="X279" s="157">
        <f t="shared" si="108"/>
        <v>43730</v>
      </c>
      <c r="Y279" s="385">
        <f t="shared" si="109"/>
        <v>6.4269999999999996</v>
      </c>
      <c r="Z279" s="385">
        <f t="shared" si="110"/>
        <v>6.5007608797243215</v>
      </c>
      <c r="AA279" s="386">
        <f t="shared" si="111"/>
        <v>7.0247605283885672</v>
      </c>
      <c r="AB279" s="197">
        <f t="shared" si="112"/>
        <v>43730</v>
      </c>
      <c r="AC279" s="427">
        <f>IF(OR(t&lt;Tnet,NoTnet),'2018'!Resal_s+('2018'!Salim-'2018'!Resal_s)*(1-EXP(('2018'!Tnet_s-t)/'2018'!Tau_j)),Resal_s+(Salim-Resal_s)*(1-EXP((Tnet_s-t)/Tau_j)))*Salcycl</f>
        <v>7.4593240089345467E-2</v>
      </c>
      <c r="AD279" s="231">
        <f>(INDEX(Models!$BJ279:$BT279,,AH279)*(1-AF279)+INDEX(Models!$BJ279:$BT279,,AH279+1)*AF279-ERP_i)*AE279*Ramure*Pc/MaxiM</f>
        <v>6.5091968407947329E-5</v>
      </c>
      <c r="AE279" s="305">
        <f t="shared" si="113"/>
        <v>0.7</v>
      </c>
      <c r="AF279" s="177">
        <f t="shared" si="114"/>
        <v>0.89464408461637346</v>
      </c>
      <c r="AG279" s="176">
        <f t="shared" si="115"/>
        <v>-2</v>
      </c>
      <c r="AH279" s="176">
        <f t="shared" si="116"/>
        <v>4</v>
      </c>
      <c r="AI279" s="225">
        <f t="shared" si="117"/>
        <v>-1.1053559153836265</v>
      </c>
      <c r="AJ279" s="265" t="b">
        <f t="shared" si="118"/>
        <v>0</v>
      </c>
      <c r="AK279" s="265" t="b">
        <f t="shared" si="119"/>
        <v>0</v>
      </c>
      <c r="AL279" s="265"/>
      <c r="AM279" s="265"/>
      <c r="AN279" s="75"/>
    </row>
    <row r="280" spans="1:40" s="6" customFormat="1" ht="11.25" x14ac:dyDescent="0.2">
      <c r="A280" s="56">
        <f t="shared" si="120"/>
        <v>43731</v>
      </c>
      <c r="B280" s="617">
        <v>25.263000000000002</v>
      </c>
      <c r="C280" s="390"/>
      <c r="D280" s="393">
        <f t="shared" si="99"/>
        <v>25.55349606562276</v>
      </c>
      <c r="E280" s="385">
        <f t="shared" si="97"/>
        <v>27.615585170047961</v>
      </c>
      <c r="F280" s="385">
        <f t="shared" si="100"/>
        <v>27.617751904272716</v>
      </c>
      <c r="G280" s="110">
        <f t="shared" si="98"/>
        <v>0.85888271015525242</v>
      </c>
      <c r="H280" s="414" t="b">
        <f>Wh_hp&gt;='2018'!Maxi_hp</f>
        <v>0</v>
      </c>
      <c r="I280" s="390">
        <f>IF(H280,Wh_hp,'2018'!Maxi_hp)</f>
        <v>30.447289439965701</v>
      </c>
      <c r="J280" s="85">
        <f>IF(H280,An,'2018'!An_max)</f>
        <v>2018</v>
      </c>
      <c r="K280" s="197">
        <f t="shared" si="101"/>
        <v>43731</v>
      </c>
      <c r="L280" s="147">
        <f>IF(t&lt;Tvie,1-EXP((T0-t)*PertePVj)+'2018'!Pspv,1-EXP((T0-t)*PertePVj)+Pspv)</f>
        <v>1.1368153495582289E-2</v>
      </c>
      <c r="M280" s="850"/>
      <c r="N280" s="850"/>
      <c r="O280" s="48">
        <f>IF(t&lt;Tnet,'2018'!Resal+('2018'!Salim-'2018'!Resal)*(1-EXP(('2018'!Tnet-t)/('2018'!Tau_j))),Resal+(Salim-Resal)*(1-EXP((Tnet-t)/(Tau_j))))*Salcycl</f>
        <v>7.4671208005461925E-2</v>
      </c>
      <c r="P280" s="169">
        <f>(INDEX(Models!$BJ280:$BT280,,T280)*(1-R280)+INDEX(Models!$BJ280:$BT280,,T280+1)*R280-ERP_i)*Q280*Ramure*Pc/MaxiM</f>
        <v>9.8261064491690918E-5</v>
      </c>
      <c r="Q280" s="305">
        <f t="shared" si="102"/>
        <v>0.7</v>
      </c>
      <c r="R280" s="177">
        <f t="shared" si="103"/>
        <v>0.89486213405507153</v>
      </c>
      <c r="S280" s="817">
        <f t="shared" si="104"/>
        <v>-2</v>
      </c>
      <c r="T280" s="176">
        <f t="shared" si="105"/>
        <v>4</v>
      </c>
      <c r="U280" s="251">
        <f t="shared" si="106"/>
        <v>-1.1051378659449285</v>
      </c>
      <c r="V280" s="383">
        <f t="shared" si="107"/>
        <v>29.413212405303312</v>
      </c>
      <c r="W280" s="58"/>
      <c r="X280" s="157">
        <f t="shared" si="108"/>
        <v>43731</v>
      </c>
      <c r="Y280" s="385">
        <f t="shared" si="109"/>
        <v>25.263000000000002</v>
      </c>
      <c r="Z280" s="385">
        <f t="shared" si="110"/>
        <v>25.55349606562276</v>
      </c>
      <c r="AA280" s="386">
        <f t="shared" si="111"/>
        <v>27.615585170047961</v>
      </c>
      <c r="AB280" s="197">
        <f t="shared" si="112"/>
        <v>43731</v>
      </c>
      <c r="AC280" s="427">
        <f>IF(OR(t&lt;Tnet,NoTnet),'2018'!Resal_s+('2018'!Salim-'2018'!Resal_s)*(1-EXP(('2018'!Tnet_s-t)/'2018'!Tau_j)),Resal_s+(Salim-Resal_s)*(1-EXP((Tnet_s-t)/Tau_j)))*Salcycl</f>
        <v>7.4671208005461925E-2</v>
      </c>
      <c r="AD280" s="231">
        <f>(INDEX(Models!$BJ280:$BT280,,AH280)*(1-AF280)+INDEX(Models!$BJ280:$BT280,,AH280+1)*AF280-ERP_i)*AE280*Ramure*Pc/MaxiM</f>
        <v>9.8261064491690918E-5</v>
      </c>
      <c r="AE280" s="305">
        <f t="shared" si="113"/>
        <v>0.7</v>
      </c>
      <c r="AF280" s="177">
        <f t="shared" si="114"/>
        <v>0.89486213405507153</v>
      </c>
      <c r="AG280" s="176">
        <f t="shared" si="115"/>
        <v>-2</v>
      </c>
      <c r="AH280" s="176">
        <f t="shared" si="116"/>
        <v>4</v>
      </c>
      <c r="AI280" s="225">
        <f t="shared" si="117"/>
        <v>-1.1051378659449285</v>
      </c>
      <c r="AJ280" s="265" t="b">
        <f t="shared" si="118"/>
        <v>0</v>
      </c>
      <c r="AK280" s="265" t="b">
        <f t="shared" si="119"/>
        <v>0</v>
      </c>
      <c r="AL280" s="265"/>
      <c r="AM280" s="265"/>
      <c r="AN280" s="75"/>
    </row>
    <row r="281" spans="1:40" s="6" customFormat="1" ht="11.25" x14ac:dyDescent="0.2">
      <c r="A281" s="56">
        <f t="shared" si="120"/>
        <v>43732</v>
      </c>
      <c r="B281" s="617">
        <v>19.03</v>
      </c>
      <c r="C281" s="390"/>
      <c r="D281" s="393">
        <f t="shared" si="99"/>
        <v>19.249245188950617</v>
      </c>
      <c r="E281" s="385">
        <f t="shared" si="97"/>
        <v>20.804330865537196</v>
      </c>
      <c r="F281" s="385">
        <f t="shared" si="100"/>
        <v>20.805778219637599</v>
      </c>
      <c r="G281" s="110">
        <f t="shared" si="98"/>
        <v>0.65165417326702424</v>
      </c>
      <c r="H281" s="414" t="b">
        <f>Wh_hp&gt;='2018'!Maxi_hp</f>
        <v>0</v>
      </c>
      <c r="I281" s="390">
        <f>IF(H281,Wh_hp,'2018'!Maxi_hp)</f>
        <v>24.099432862873215</v>
      </c>
      <c r="J281" s="85">
        <f>IF(H281,An,'2018'!An_max)</f>
        <v>2018</v>
      </c>
      <c r="K281" s="197">
        <f t="shared" si="101"/>
        <v>43732</v>
      </c>
      <c r="L281" s="147">
        <f>IF(t&lt;Tvie,1-EXP((T0-t)*PertePVj)+'2018'!Pspv,1-EXP((T0-t)*PertePVj)+Pspv)</f>
        <v>1.138980707027748E-2</v>
      </c>
      <c r="M281" s="850"/>
      <c r="N281" s="850"/>
      <c r="O281" s="48">
        <f>IF(t&lt;Tnet,'2018'!Resal+('2018'!Salim-'2018'!Resal)*(1-EXP(('2018'!Tnet-t)/('2018'!Tau_j))),Resal+(Salim-Resal)*(1-EXP((Tnet-t)/(Tau_j))))*Salcycl</f>
        <v>7.474817078412313E-2</v>
      </c>
      <c r="P281" s="169">
        <f>(INDEX(Models!$BJ281:$BT281,,T281)*(1-R281)+INDEX(Models!$BJ281:$BT281,,T281+1)*R281-ERP_i)*Q281*Ramure*Pc/MaxiM</f>
        <v>1.384578700610186E-4</v>
      </c>
      <c r="Q281" s="305">
        <f t="shared" si="102"/>
        <v>0.7</v>
      </c>
      <c r="R281" s="177">
        <f t="shared" si="103"/>
        <v>0.89507163123515299</v>
      </c>
      <c r="S281" s="817">
        <f t="shared" si="104"/>
        <v>-2</v>
      </c>
      <c r="T281" s="176">
        <f t="shared" si="105"/>
        <v>4</v>
      </c>
      <c r="U281" s="251">
        <f t="shared" si="106"/>
        <v>-1.104928368764847</v>
      </c>
      <c r="V281" s="383">
        <f t="shared" si="107"/>
        <v>29.200593901213253</v>
      </c>
      <c r="W281" s="58"/>
      <c r="X281" s="157">
        <f t="shared" si="108"/>
        <v>43732</v>
      </c>
      <c r="Y281" s="385">
        <f t="shared" si="109"/>
        <v>19.03</v>
      </c>
      <c r="Z281" s="385">
        <f t="shared" si="110"/>
        <v>19.249245188950617</v>
      </c>
      <c r="AA281" s="386">
        <f t="shared" si="111"/>
        <v>20.804330865537196</v>
      </c>
      <c r="AB281" s="197">
        <f t="shared" si="112"/>
        <v>43732</v>
      </c>
      <c r="AC281" s="427">
        <f>IF(OR(t&lt;Tnet,NoTnet),'2018'!Resal_s+('2018'!Salim-'2018'!Resal_s)*(1-EXP(('2018'!Tnet_s-t)/'2018'!Tau_j)),Resal_s+(Salim-Resal_s)*(1-EXP((Tnet_s-t)/Tau_j)))*Salcycl</f>
        <v>7.474817078412313E-2</v>
      </c>
      <c r="AD281" s="231">
        <f>(INDEX(Models!$BJ281:$BT281,,AH281)*(1-AF281)+INDEX(Models!$BJ281:$BT281,,AH281+1)*AF281-ERP_i)*AE281*Ramure*Pc/MaxiM</f>
        <v>1.384578700610186E-4</v>
      </c>
      <c r="AE281" s="305">
        <f t="shared" si="113"/>
        <v>0.7</v>
      </c>
      <c r="AF281" s="177">
        <f t="shared" si="114"/>
        <v>0.89507163123515299</v>
      </c>
      <c r="AG281" s="176">
        <f t="shared" si="115"/>
        <v>-2</v>
      </c>
      <c r="AH281" s="176">
        <f t="shared" si="116"/>
        <v>4</v>
      </c>
      <c r="AI281" s="225">
        <f t="shared" si="117"/>
        <v>-1.104928368764847</v>
      </c>
      <c r="AJ281" s="265" t="b">
        <f t="shared" si="118"/>
        <v>0</v>
      </c>
      <c r="AK281" s="265" t="b">
        <f t="shared" si="119"/>
        <v>0</v>
      </c>
      <c r="AL281" s="265"/>
      <c r="AM281" s="265"/>
      <c r="AN281" s="75"/>
    </row>
    <row r="282" spans="1:40" s="6" customFormat="1" ht="11.25" x14ac:dyDescent="0.2">
      <c r="A282" s="56">
        <f t="shared" si="120"/>
        <v>43733</v>
      </c>
      <c r="B282" s="617">
        <v>18.77</v>
      </c>
      <c r="C282" s="390"/>
      <c r="D282" s="393">
        <f t="shared" si="99"/>
        <v>18.986665578018027</v>
      </c>
      <c r="E282" s="385">
        <f t="shared" si="97"/>
        <v>20.522222417169004</v>
      </c>
      <c r="F282" s="385">
        <f t="shared" si="100"/>
        <v>20.524281408448015</v>
      </c>
      <c r="G282" s="110">
        <f t="shared" si="98"/>
        <v>0.64750806641512082</v>
      </c>
      <c r="H282" s="414" t="b">
        <f>Wh_hp&gt;='2018'!Maxi_hp</f>
        <v>0</v>
      </c>
      <c r="I282" s="390">
        <f>IF(H282,Wh_hp,'2018'!Maxi_hp)</f>
        <v>31.944717903389673</v>
      </c>
      <c r="J282" s="85">
        <f>IF(H282,An,'2018'!An_max)</f>
        <v>2018</v>
      </c>
      <c r="K282" s="197">
        <f t="shared" si="101"/>
        <v>43733</v>
      </c>
      <c r="L282" s="147">
        <f>IF(t&lt;Tvie,1-EXP((T0-t)*PertePVj)+'2018'!Pspv,1-EXP((T0-t)*PertePVj)+Pspv)</f>
        <v>1.1411460170703824E-2</v>
      </c>
      <c r="M282" s="850"/>
      <c r="N282" s="850"/>
      <c r="O282" s="48">
        <f>IF(t&lt;Tnet,'2018'!Resal+('2018'!Salim-'2018'!Resal)*(1-EXP(('2018'!Tnet-t)/('2018'!Tau_j))),Resal+(Salim-Resal)*(1-EXP((Tnet-t)/(Tau_j))))*Salcycl</f>
        <v>7.4824100817966047E-2</v>
      </c>
      <c r="P282" s="169">
        <f>(INDEX(Models!$BJ282:$BT282,,T282)*(1-R282)+INDEX(Models!$BJ282:$BT282,,T282+1)*R282-ERP_i)*Q282*Ramure*Pc/MaxiM</f>
        <v>2.0204000661589564E-4</v>
      </c>
      <c r="Q282" s="305">
        <f t="shared" si="102"/>
        <v>0.7</v>
      </c>
      <c r="R282" s="177">
        <f t="shared" si="103"/>
        <v>0.89527290291417128</v>
      </c>
      <c r="S282" s="817">
        <f t="shared" si="104"/>
        <v>-2</v>
      </c>
      <c r="T282" s="176">
        <f t="shared" si="105"/>
        <v>4</v>
      </c>
      <c r="U282" s="251">
        <f t="shared" si="106"/>
        <v>-1.1047270970858287</v>
      </c>
      <c r="V282" s="383">
        <f t="shared" si="107"/>
        <v>28.985106893863591</v>
      </c>
      <c r="W282" s="58"/>
      <c r="X282" s="157">
        <f t="shared" si="108"/>
        <v>43733</v>
      </c>
      <c r="Y282" s="385">
        <f t="shared" si="109"/>
        <v>18.77</v>
      </c>
      <c r="Z282" s="385">
        <f t="shared" si="110"/>
        <v>18.986665578018027</v>
      </c>
      <c r="AA282" s="386">
        <f t="shared" si="111"/>
        <v>20.522222417169004</v>
      </c>
      <c r="AB282" s="197">
        <f t="shared" si="112"/>
        <v>43733</v>
      </c>
      <c r="AC282" s="427">
        <f>IF(OR(t&lt;Tnet,NoTnet),'2018'!Resal_s+('2018'!Salim-'2018'!Resal_s)*(1-EXP(('2018'!Tnet_s-t)/'2018'!Tau_j)),Resal_s+(Salim-Resal_s)*(1-EXP((Tnet_s-t)/Tau_j)))*Salcycl</f>
        <v>7.4824100817966047E-2</v>
      </c>
      <c r="AD282" s="231">
        <f>(INDEX(Models!$BJ282:$BT282,,AH282)*(1-AF282)+INDEX(Models!$BJ282:$BT282,,AH282+1)*AF282-ERP_i)*AE282*Ramure*Pc/MaxiM</f>
        <v>2.0204000661589564E-4</v>
      </c>
      <c r="AE282" s="305">
        <f t="shared" si="113"/>
        <v>0.7</v>
      </c>
      <c r="AF282" s="177">
        <f t="shared" si="114"/>
        <v>0.89527290291417128</v>
      </c>
      <c r="AG282" s="176">
        <f t="shared" si="115"/>
        <v>-2</v>
      </c>
      <c r="AH282" s="176">
        <f t="shared" si="116"/>
        <v>4</v>
      </c>
      <c r="AI282" s="225">
        <f t="shared" si="117"/>
        <v>-1.1047270970858287</v>
      </c>
      <c r="AJ282" s="265" t="b">
        <f t="shared" si="118"/>
        <v>0</v>
      </c>
      <c r="AK282" s="265" t="b">
        <f t="shared" si="119"/>
        <v>0</v>
      </c>
      <c r="AL282" s="265"/>
      <c r="AM282" s="265"/>
      <c r="AN282" s="75"/>
    </row>
    <row r="283" spans="1:40" s="6" customFormat="1" ht="11.25" x14ac:dyDescent="0.2">
      <c r="A283" s="56">
        <f t="shared" si="120"/>
        <v>43734</v>
      </c>
      <c r="B283" s="617">
        <v>22.597999999999999</v>
      </c>
      <c r="C283" s="390"/>
      <c r="D283" s="393">
        <f t="shared" si="99"/>
        <v>22.859353567804277</v>
      </c>
      <c r="E283" s="385">
        <f t="shared" si="97"/>
        <v>24.710115811814465</v>
      </c>
      <c r="F283" s="385">
        <f t="shared" si="100"/>
        <v>24.715078729640066</v>
      </c>
      <c r="G283" s="110">
        <f t="shared" si="98"/>
        <v>0.78549527761083959</v>
      </c>
      <c r="H283" s="414" t="b">
        <f>Wh_hp&gt;='2018'!Maxi_hp</f>
        <v>0</v>
      </c>
      <c r="I283" s="390">
        <f>IF(H283,Wh_hp,'2018'!Maxi_hp)</f>
        <v>30.905032154620368</v>
      </c>
      <c r="J283" s="85">
        <f>IF(H283,An,'2018'!An_max)</f>
        <v>2018</v>
      </c>
      <c r="K283" s="197">
        <f t="shared" si="101"/>
        <v>43734</v>
      </c>
      <c r="L283" s="147">
        <f>IF(t&lt;Tvie,1-EXP((T0-t)*PertePVj)+'2018'!Pspv,1-EXP((T0-t)*PertePVj)+Pspv)</f>
        <v>1.1433112796871647E-2</v>
      </c>
      <c r="M283" s="850"/>
      <c r="N283" s="850"/>
      <c r="O283" s="48">
        <f>IF(t&lt;Tnet,'2018'!Resal+('2018'!Salim-'2018'!Resal)*(1-EXP(('2018'!Tnet-t)/('2018'!Tau_j))),Resal+(Salim-Resal)*(1-EXP((Tnet-t)/(Tau_j))))*Salcycl</f>
        <v>7.4898970854895594E-2</v>
      </c>
      <c r="P283" s="169">
        <f>(INDEX(Models!$BJ283:$BT283,,T283)*(1-R283)+INDEX(Models!$BJ283:$BT283,,T283+1)*R283-ERP_i)*Q283*Ramure*Pc/MaxiM</f>
        <v>2.8948481751693892E-4</v>
      </c>
      <c r="Q283" s="305">
        <f t="shared" si="102"/>
        <v>0.7</v>
      </c>
      <c r="R283" s="177">
        <f t="shared" si="103"/>
        <v>0.89546626404262053</v>
      </c>
      <c r="S283" s="817">
        <f t="shared" si="104"/>
        <v>-2</v>
      </c>
      <c r="T283" s="176">
        <f t="shared" si="105"/>
        <v>4</v>
      </c>
      <c r="U283" s="251">
        <f t="shared" si="106"/>
        <v>-1.1045337359573795</v>
      </c>
      <c r="V283" s="383">
        <f t="shared" si="107"/>
        <v>28.766558197027667</v>
      </c>
      <c r="W283" s="58"/>
      <c r="X283" s="157">
        <f t="shared" si="108"/>
        <v>43734</v>
      </c>
      <c r="Y283" s="385">
        <f t="shared" si="109"/>
        <v>22.597999999999999</v>
      </c>
      <c r="Z283" s="385">
        <f t="shared" si="110"/>
        <v>22.859353567804277</v>
      </c>
      <c r="AA283" s="386">
        <f t="shared" si="111"/>
        <v>24.710115811814465</v>
      </c>
      <c r="AB283" s="197">
        <f t="shared" si="112"/>
        <v>43734</v>
      </c>
      <c r="AC283" s="427">
        <f>IF(OR(t&lt;Tnet,NoTnet),'2018'!Resal_s+('2018'!Salim-'2018'!Resal_s)*(1-EXP(('2018'!Tnet_s-t)/'2018'!Tau_j)),Resal_s+(Salim-Resal_s)*(1-EXP((Tnet_s-t)/Tau_j)))*Salcycl</f>
        <v>7.4898970854895594E-2</v>
      </c>
      <c r="AD283" s="231">
        <f>(INDEX(Models!$BJ283:$BT283,,AH283)*(1-AF283)+INDEX(Models!$BJ283:$BT283,,AH283+1)*AF283-ERP_i)*AE283*Ramure*Pc/MaxiM</f>
        <v>2.8948481751693892E-4</v>
      </c>
      <c r="AE283" s="305">
        <f t="shared" si="113"/>
        <v>0.7</v>
      </c>
      <c r="AF283" s="177">
        <f t="shared" si="114"/>
        <v>0.89546626404262053</v>
      </c>
      <c r="AG283" s="176">
        <f t="shared" si="115"/>
        <v>-2</v>
      </c>
      <c r="AH283" s="176">
        <f t="shared" si="116"/>
        <v>4</v>
      </c>
      <c r="AI283" s="225">
        <f t="shared" si="117"/>
        <v>-1.1045337359573795</v>
      </c>
      <c r="AJ283" s="265" t="b">
        <f t="shared" si="118"/>
        <v>0</v>
      </c>
      <c r="AK283" s="265" t="b">
        <f t="shared" si="119"/>
        <v>0</v>
      </c>
      <c r="AL283" s="265"/>
      <c r="AM283" s="265"/>
      <c r="AN283" s="75"/>
    </row>
    <row r="284" spans="1:40" s="6" customFormat="1" ht="11.25" x14ac:dyDescent="0.2">
      <c r="A284" s="56">
        <f t="shared" si="120"/>
        <v>43735</v>
      </c>
      <c r="B284" s="617">
        <v>22.183</v>
      </c>
      <c r="C284" s="390"/>
      <c r="D284" s="393">
        <f t="shared" si="99"/>
        <v>22.44004544602441</v>
      </c>
      <c r="E284" s="385">
        <f t="shared" si="97"/>
        <v>24.258794048881299</v>
      </c>
      <c r="F284" s="385">
        <f t="shared" si="100"/>
        <v>24.265431291348516</v>
      </c>
      <c r="G284" s="110">
        <f t="shared" si="98"/>
        <v>0.77703119699022283</v>
      </c>
      <c r="H284" s="414" t="b">
        <f>Wh_hp&gt;='2018'!Maxi_hp</f>
        <v>0</v>
      </c>
      <c r="I284" s="390">
        <f>IF(H284,Wh_hp,'2018'!Maxi_hp)</f>
        <v>30.281766812625989</v>
      </c>
      <c r="J284" s="85">
        <f>IF(H284,An,'2018'!An_max)</f>
        <v>2018</v>
      </c>
      <c r="K284" s="197">
        <f t="shared" si="101"/>
        <v>43735</v>
      </c>
      <c r="L284" s="147">
        <f>IF(t&lt;Tvie,1-EXP((T0-t)*PertePVj)+'2018'!Pspv,1-EXP((T0-t)*PertePVj)+Pspv)</f>
        <v>1.1454764948791496E-2</v>
      </c>
      <c r="M284" s="850"/>
      <c r="N284" s="850"/>
      <c r="O284" s="48">
        <f>IF(t&lt;Tnet,'2018'!Resal+('2018'!Salim-'2018'!Resal)*(1-EXP(('2018'!Tnet-t)/('2018'!Tau_j))),Resal+(Salim-Resal)*(1-EXP((Tnet-t)/(Tau_j))))*Salcycl</f>
        <v>7.4972754176985207E-2</v>
      </c>
      <c r="P284" s="169">
        <f>(INDEX(Models!$BJ284:$BT284,,T284)*(1-R284)+INDEX(Models!$BJ284:$BT284,,T284+1)*R284-ERP_i)*Q284*Ramure*Pc/MaxiM</f>
        <v>4.0129201308748106E-4</v>
      </c>
      <c r="Q284" s="305">
        <f t="shared" si="102"/>
        <v>0.7</v>
      </c>
      <c r="R284" s="177">
        <f t="shared" si="103"/>
        <v>0.89565201813719542</v>
      </c>
      <c r="S284" s="817">
        <f t="shared" si="104"/>
        <v>-2</v>
      </c>
      <c r="T284" s="176">
        <f t="shared" si="105"/>
        <v>4</v>
      </c>
      <c r="U284" s="251">
        <f t="shared" si="106"/>
        <v>-1.1043479818628046</v>
      </c>
      <c r="V284" s="383">
        <f t="shared" si="107"/>
        <v>28.544754820300646</v>
      </c>
      <c r="W284" s="58"/>
      <c r="X284" s="157">
        <f t="shared" si="108"/>
        <v>43735</v>
      </c>
      <c r="Y284" s="385">
        <f t="shared" si="109"/>
        <v>22.183</v>
      </c>
      <c r="Z284" s="385">
        <f t="shared" si="110"/>
        <v>22.44004544602441</v>
      </c>
      <c r="AA284" s="386">
        <f t="shared" si="111"/>
        <v>24.258794048881299</v>
      </c>
      <c r="AB284" s="197">
        <f t="shared" si="112"/>
        <v>43735</v>
      </c>
      <c r="AC284" s="427">
        <f>IF(OR(t&lt;Tnet,NoTnet),'2018'!Resal_s+('2018'!Salim-'2018'!Resal_s)*(1-EXP(('2018'!Tnet_s-t)/'2018'!Tau_j)),Resal_s+(Salim-Resal_s)*(1-EXP((Tnet_s-t)/Tau_j)))*Salcycl</f>
        <v>7.4972754176985207E-2</v>
      </c>
      <c r="AD284" s="231">
        <f>(INDEX(Models!$BJ284:$BT284,,AH284)*(1-AF284)+INDEX(Models!$BJ284:$BT284,,AH284+1)*AF284-ERP_i)*AE284*Ramure*Pc/MaxiM</f>
        <v>4.0129201308748106E-4</v>
      </c>
      <c r="AE284" s="305">
        <f t="shared" si="113"/>
        <v>0.7</v>
      </c>
      <c r="AF284" s="177">
        <f t="shared" si="114"/>
        <v>0.89565201813719542</v>
      </c>
      <c r="AG284" s="176">
        <f t="shared" si="115"/>
        <v>-2</v>
      </c>
      <c r="AH284" s="176">
        <f t="shared" si="116"/>
        <v>4</v>
      </c>
      <c r="AI284" s="225">
        <f t="shared" si="117"/>
        <v>-1.1043479818628046</v>
      </c>
      <c r="AJ284" s="265" t="b">
        <f t="shared" si="118"/>
        <v>0</v>
      </c>
      <c r="AK284" s="265" t="b">
        <f t="shared" si="119"/>
        <v>0</v>
      </c>
      <c r="AL284" s="265"/>
      <c r="AM284" s="265"/>
      <c r="AN284" s="75"/>
    </row>
    <row r="285" spans="1:40" s="6" customFormat="1" ht="11.25" x14ac:dyDescent="0.2">
      <c r="A285" s="56">
        <f t="shared" si="120"/>
        <v>43736</v>
      </c>
      <c r="B285" s="617">
        <v>22.087</v>
      </c>
      <c r="C285" s="390"/>
      <c r="D285" s="393">
        <f t="shared" si="99"/>
        <v>22.343422424606072</v>
      </c>
      <c r="E285" s="385">
        <f t="shared" si="97"/>
        <v>24.156237531464583</v>
      </c>
      <c r="F285" s="385">
        <f t="shared" si="100"/>
        <v>24.165150715852008</v>
      </c>
      <c r="G285" s="110">
        <f t="shared" si="98"/>
        <v>0.77978988651169778</v>
      </c>
      <c r="H285" s="414" t="b">
        <f>Wh_hp&gt;='2018'!Maxi_hp</f>
        <v>0</v>
      </c>
      <c r="I285" s="390">
        <f>IF(H285,Wh_hp,'2018'!Maxi_hp)</f>
        <v>29.367871929004963</v>
      </c>
      <c r="J285" s="85">
        <f>IF(H285,An,'2018'!An_max)</f>
        <v>2018</v>
      </c>
      <c r="K285" s="197">
        <f t="shared" si="101"/>
        <v>43736</v>
      </c>
      <c r="L285" s="147">
        <f>IF(t&lt;Tvie,1-EXP((T0-t)*PertePVj)+'2018'!Pspv,1-EXP((T0-t)*PertePVj)+Pspv)</f>
        <v>1.1476416626473585E-2</v>
      </c>
      <c r="M285" s="850"/>
      <c r="N285" s="850"/>
      <c r="O285" s="48">
        <f>IF(t&lt;Tnet,'2018'!Resal+('2018'!Salim-'2018'!Resal)*(1-EXP(('2018'!Tnet-t)/('2018'!Tau_j))),Resal+(Salim-Resal)*(1-EXP((Tnet-t)/(Tau_j))))*Salcycl</f>
        <v>7.5045424789238688E-2</v>
      </c>
      <c r="P285" s="169">
        <f>(INDEX(Models!$BJ285:$BT285,,T285)*(1-R285)+INDEX(Models!$BJ285:$BT285,,T285+1)*R285-ERP_i)*Q285*Ramure*Pc/MaxiM</f>
        <v>5.3798590527095568E-4</v>
      </c>
      <c r="Q285" s="305">
        <f t="shared" si="102"/>
        <v>0.7</v>
      </c>
      <c r="R285" s="177">
        <f t="shared" si="103"/>
        <v>0.89583045764659053</v>
      </c>
      <c r="S285" s="817">
        <f t="shared" si="104"/>
        <v>-2</v>
      </c>
      <c r="T285" s="176">
        <f t="shared" si="105"/>
        <v>4</v>
      </c>
      <c r="U285" s="251">
        <f t="shared" si="106"/>
        <v>-1.1041695423534095</v>
      </c>
      <c r="V285" s="383">
        <f t="shared" si="107"/>
        <v>28.31950398260588</v>
      </c>
      <c r="W285" s="58"/>
      <c r="X285" s="157">
        <f t="shared" si="108"/>
        <v>43736</v>
      </c>
      <c r="Y285" s="385">
        <f t="shared" si="109"/>
        <v>22.087</v>
      </c>
      <c r="Z285" s="385">
        <f t="shared" si="110"/>
        <v>22.343422424606072</v>
      </c>
      <c r="AA285" s="386">
        <f t="shared" si="111"/>
        <v>24.156237531464583</v>
      </c>
      <c r="AB285" s="197">
        <f t="shared" si="112"/>
        <v>43736</v>
      </c>
      <c r="AC285" s="427">
        <f>IF(OR(t&lt;Tnet,NoTnet),'2018'!Resal_s+('2018'!Salim-'2018'!Resal_s)*(1-EXP(('2018'!Tnet_s-t)/'2018'!Tau_j)),Resal_s+(Salim-Resal_s)*(1-EXP((Tnet_s-t)/Tau_j)))*Salcycl</f>
        <v>7.5045424789238688E-2</v>
      </c>
      <c r="AD285" s="231">
        <f>(INDEX(Models!$BJ285:$BT285,,AH285)*(1-AF285)+INDEX(Models!$BJ285:$BT285,,AH285+1)*AF285-ERP_i)*AE285*Ramure*Pc/MaxiM</f>
        <v>5.3798590527095568E-4</v>
      </c>
      <c r="AE285" s="305">
        <f t="shared" si="113"/>
        <v>0.7</v>
      </c>
      <c r="AF285" s="177">
        <f t="shared" si="114"/>
        <v>0.89583045764659053</v>
      </c>
      <c r="AG285" s="176">
        <f t="shared" si="115"/>
        <v>-2</v>
      </c>
      <c r="AH285" s="176">
        <f t="shared" si="116"/>
        <v>4</v>
      </c>
      <c r="AI285" s="225">
        <f t="shared" si="117"/>
        <v>-1.1041695423534095</v>
      </c>
      <c r="AJ285" s="265" t="b">
        <f t="shared" si="118"/>
        <v>0</v>
      </c>
      <c r="AK285" s="265" t="b">
        <f t="shared" si="119"/>
        <v>0</v>
      </c>
      <c r="AL285" s="265"/>
      <c r="AM285" s="265"/>
      <c r="AN285" s="75"/>
    </row>
    <row r="286" spans="1:40" s="6" customFormat="1" ht="11.25" x14ac:dyDescent="0.2">
      <c r="A286" s="56">
        <f t="shared" si="120"/>
        <v>43737</v>
      </c>
      <c r="B286" s="617">
        <v>26.86</v>
      </c>
      <c r="C286" s="390"/>
      <c r="D286" s="393">
        <f t="shared" si="99"/>
        <v>27.172430448399709</v>
      </c>
      <c r="E286" s="385">
        <f t="shared" si="97"/>
        <v>29.379315224971396</v>
      </c>
      <c r="F286" s="385">
        <f t="shared" si="100"/>
        <v>29.398609591390315</v>
      </c>
      <c r="G286" s="110">
        <f t="shared" si="98"/>
        <v>0.95614938035778863</v>
      </c>
      <c r="H286" s="414" t="b">
        <f>Wh_hp&gt;='2018'!Maxi_hp</f>
        <v>0</v>
      </c>
      <c r="I286" s="390">
        <f>IF(H286,Wh_hp,'2018'!Maxi_hp)</f>
        <v>29.816399783631852</v>
      </c>
      <c r="J286" s="85">
        <f>IF(H286,An,'2018'!An_max)</f>
        <v>2018</v>
      </c>
      <c r="K286" s="197">
        <f t="shared" si="101"/>
        <v>43737</v>
      </c>
      <c r="L286" s="147">
        <f>IF(t&lt;Tvie,1-EXP((T0-t)*PertePVj)+'2018'!Pspv,1-EXP((T0-t)*PertePVj)+Pspv)</f>
        <v>1.1498067829928349E-2</v>
      </c>
      <c r="M286" s="850"/>
      <c r="N286" s="850"/>
      <c r="O286" s="48">
        <f>IF(t&lt;Tnet,'2018'!Resal+('2018'!Salim-'2018'!Resal)*(1-EXP(('2018'!Tnet-t)/('2018'!Tau_j))),Resal+(Salim-Resal)*(1-EXP((Tnet-t)/(Tau_j))))*Salcycl</f>
        <v>7.5116957617034935E-2</v>
      </c>
      <c r="P286" s="169">
        <f>(INDEX(Models!$BJ286:$BT286,,T286)*(1-R286)+INDEX(Models!$BJ286:$BT286,,T286+1)*R286-ERP_i)*Q286*Ramure*Pc/MaxiM</f>
        <v>7.0011809116217894E-4</v>
      </c>
      <c r="Q286" s="305">
        <f t="shared" si="102"/>
        <v>0.7</v>
      </c>
      <c r="R286" s="177">
        <f t="shared" si="103"/>
        <v>0.89600186430960038</v>
      </c>
      <c r="S286" s="817">
        <f t="shared" si="104"/>
        <v>-2</v>
      </c>
      <c r="T286" s="176">
        <f t="shared" si="105"/>
        <v>4</v>
      </c>
      <c r="U286" s="251">
        <f t="shared" si="106"/>
        <v>-1.1039981356903996</v>
      </c>
      <c r="V286" s="383">
        <f t="shared" si="107"/>
        <v>28.090613118387349</v>
      </c>
      <c r="W286" s="58"/>
      <c r="X286" s="157">
        <f t="shared" si="108"/>
        <v>43737</v>
      </c>
      <c r="Y286" s="385">
        <f t="shared" si="109"/>
        <v>26.86</v>
      </c>
      <c r="Z286" s="385">
        <f t="shared" si="110"/>
        <v>27.172430448399709</v>
      </c>
      <c r="AA286" s="386">
        <f t="shared" si="111"/>
        <v>29.379315224971396</v>
      </c>
      <c r="AB286" s="197">
        <f t="shared" si="112"/>
        <v>43737</v>
      </c>
      <c r="AC286" s="427">
        <f>IF(OR(t&lt;Tnet,NoTnet),'2018'!Resal_s+('2018'!Salim-'2018'!Resal_s)*(1-EXP(('2018'!Tnet_s-t)/'2018'!Tau_j)),Resal_s+(Salim-Resal_s)*(1-EXP((Tnet_s-t)/Tau_j)))*Salcycl</f>
        <v>7.5116957617034935E-2</v>
      </c>
      <c r="AD286" s="231">
        <f>(INDEX(Models!$BJ286:$BT286,,AH286)*(1-AF286)+INDEX(Models!$BJ286:$BT286,,AH286+1)*AF286-ERP_i)*AE286*Ramure*Pc/MaxiM</f>
        <v>7.0011809116217894E-4</v>
      </c>
      <c r="AE286" s="305">
        <f t="shared" si="113"/>
        <v>0.7</v>
      </c>
      <c r="AF286" s="177">
        <f t="shared" si="114"/>
        <v>0.89600186430960038</v>
      </c>
      <c r="AG286" s="176">
        <f t="shared" si="115"/>
        <v>-2</v>
      </c>
      <c r="AH286" s="176">
        <f t="shared" si="116"/>
        <v>4</v>
      </c>
      <c r="AI286" s="225">
        <f t="shared" si="117"/>
        <v>-1.1039981356903996</v>
      </c>
      <c r="AJ286" s="265" t="b">
        <f t="shared" si="118"/>
        <v>0</v>
      </c>
      <c r="AK286" s="265" t="b">
        <f t="shared" si="119"/>
        <v>0</v>
      </c>
      <c r="AL286" s="265"/>
      <c r="AM286" s="265"/>
      <c r="AN286" s="75"/>
    </row>
    <row r="287" spans="1:40" s="6" customFormat="1" ht="11.25" x14ac:dyDescent="0.2">
      <c r="A287" s="56">
        <f t="shared" si="120"/>
        <v>43738</v>
      </c>
      <c r="B287" s="617">
        <v>15.784000000000001</v>
      </c>
      <c r="C287" s="390"/>
      <c r="D287" s="393">
        <f t="shared" si="99"/>
        <v>15.967946246730227</v>
      </c>
      <c r="E287" s="385">
        <f t="shared" si="97"/>
        <v>17.266141287265313</v>
      </c>
      <c r="F287" s="385">
        <f t="shared" si="100"/>
        <v>17.271984250232752</v>
      </c>
      <c r="G287" s="110">
        <f t="shared" si="98"/>
        <v>0.56627821636748288</v>
      </c>
      <c r="H287" s="414" t="b">
        <f>Wh_hp&gt;='2018'!Maxi_hp</f>
        <v>0</v>
      </c>
      <c r="I287" s="390">
        <f>IF(H287,Wh_hp,'2018'!Maxi_hp)</f>
        <v>27.899503681565321</v>
      </c>
      <c r="J287" s="85">
        <f>IF(H287,An,'2018'!An_max)</f>
        <v>2018</v>
      </c>
      <c r="K287" s="197">
        <f t="shared" si="101"/>
        <v>43738</v>
      </c>
      <c r="L287" s="147">
        <f>IF(t&lt;Tvie,1-EXP((T0-t)*PertePVj)+'2018'!Pspv,1-EXP((T0-t)*PertePVj)+Pspv)</f>
        <v>1.1519718559166225E-2</v>
      </c>
      <c r="M287" s="850"/>
      <c r="N287" s="850"/>
      <c r="O287" s="48">
        <f>IF(t&lt;Tnet,'2018'!Resal+('2018'!Salim-'2018'!Resal)*(1-EXP(('2018'!Tnet-t)/('2018'!Tau_j))),Resal+(Salim-Resal)*(1-EXP((Tnet-t)/(Tau_j))))*Salcycl</f>
        <v>7.5187328710936308E-2</v>
      </c>
      <c r="P287" s="169">
        <f>(INDEX(Models!$BJ287:$BT287,,T287)*(1-R287)+INDEX(Models!$BJ287:$BT287,,T287+1)*R287-ERP_i)*Q287*Ramure*Pc/MaxiM</f>
        <v>8.8827040489624308E-4</v>
      </c>
      <c r="Q287" s="305">
        <f t="shared" si="102"/>
        <v>0.7</v>
      </c>
      <c r="R287" s="177">
        <f t="shared" si="103"/>
        <v>0.89616650950532195</v>
      </c>
      <c r="S287" s="817">
        <f t="shared" si="104"/>
        <v>-2</v>
      </c>
      <c r="T287" s="176">
        <f t="shared" si="105"/>
        <v>4</v>
      </c>
      <c r="U287" s="251">
        <f t="shared" si="106"/>
        <v>-1.103833490494678</v>
      </c>
      <c r="V287" s="383">
        <f t="shared" si="107"/>
        <v>27.857889880039409</v>
      </c>
      <c r="W287" s="58"/>
      <c r="X287" s="157">
        <f t="shared" si="108"/>
        <v>43738</v>
      </c>
      <c r="Y287" s="385">
        <f t="shared" si="109"/>
        <v>15.784000000000001</v>
      </c>
      <c r="Z287" s="385">
        <f t="shared" si="110"/>
        <v>15.967946246730227</v>
      </c>
      <c r="AA287" s="386">
        <f t="shared" si="111"/>
        <v>17.266141287265313</v>
      </c>
      <c r="AB287" s="197">
        <f t="shared" si="112"/>
        <v>43738</v>
      </c>
      <c r="AC287" s="427">
        <f>IF(OR(t&lt;Tnet,NoTnet),'2018'!Resal_s+('2018'!Salim-'2018'!Resal_s)*(1-EXP(('2018'!Tnet_s-t)/'2018'!Tau_j)),Resal_s+(Salim-Resal_s)*(1-EXP((Tnet_s-t)/Tau_j)))*Salcycl</f>
        <v>7.5187328710936308E-2</v>
      </c>
      <c r="AD287" s="231">
        <f>(INDEX(Models!$BJ287:$BT287,,AH287)*(1-AF287)+INDEX(Models!$BJ287:$BT287,,AH287+1)*AF287-ERP_i)*AE287*Ramure*Pc/MaxiM</f>
        <v>8.8827040489624308E-4</v>
      </c>
      <c r="AE287" s="305">
        <f t="shared" si="113"/>
        <v>0.7</v>
      </c>
      <c r="AF287" s="177">
        <f t="shared" si="114"/>
        <v>0.89616650950532195</v>
      </c>
      <c r="AG287" s="176">
        <f t="shared" si="115"/>
        <v>-2</v>
      </c>
      <c r="AH287" s="176">
        <f t="shared" si="116"/>
        <v>4</v>
      </c>
      <c r="AI287" s="225">
        <f t="shared" si="117"/>
        <v>-1.103833490494678</v>
      </c>
      <c r="AJ287" s="265" t="b">
        <f t="shared" si="118"/>
        <v>0</v>
      </c>
      <c r="AK287" s="265" t="b">
        <f t="shared" si="119"/>
        <v>0</v>
      </c>
      <c r="AL287" s="265"/>
      <c r="AM287" s="265"/>
      <c r="AN287" s="75"/>
    </row>
    <row r="288" spans="1:40" s="6" customFormat="1" ht="11.25" x14ac:dyDescent="0.2">
      <c r="A288" s="56">
        <f t="shared" si="120"/>
        <v>43739</v>
      </c>
      <c r="B288" s="617">
        <v>21.285</v>
      </c>
      <c r="C288" s="390"/>
      <c r="D288" s="393">
        <f t="shared" si="99"/>
        <v>21.53352636970299</v>
      </c>
      <c r="E288" s="385">
        <f t="shared" si="97"/>
        <v>23.285945486119644</v>
      </c>
      <c r="F288" s="385">
        <f t="shared" si="100"/>
        <v>23.303226662357972</v>
      </c>
      <c r="G288" s="110">
        <f t="shared" si="98"/>
        <v>0.77032658851376068</v>
      </c>
      <c r="H288" s="414" t="b">
        <f>Wh_hp&gt;='2018'!Maxi_hp</f>
        <v>1</v>
      </c>
      <c r="I288" s="390">
        <f>IF(H288,Wh_hp,'2018'!Maxi_hp)</f>
        <v>23.303226662357972</v>
      </c>
      <c r="J288" s="85">
        <f>IF(H288,An,'2018'!An_max)</f>
        <v>2019</v>
      </c>
      <c r="K288" s="197">
        <f t="shared" si="101"/>
        <v>43739</v>
      </c>
      <c r="L288" s="147">
        <f>IF(t&lt;Tvie,1-EXP((T0-t)*PertePVj)+'2018'!Pspv,1-EXP((T0-t)*PertePVj)+Pspv)</f>
        <v>1.1541368814197539E-2</v>
      </c>
      <c r="M288" s="850"/>
      <c r="N288" s="850"/>
      <c r="O288" s="48">
        <f>IF(t&lt;Tnet,'2018'!Resal+('2018'!Salim-'2018'!Resal)*(1-EXP(('2018'!Tnet-t)/('2018'!Tau_j))),Resal+(Salim-Resal)*(1-EXP((Tnet-t)/(Tau_j))))*Salcycl</f>
        <v>7.5256515457413645E-2</v>
      </c>
      <c r="P288" s="169">
        <f>(INDEX(Models!$BJ288:$BT288,,T288)*(1-R288)+INDEX(Models!$BJ288:$BT288,,T288+1)*R288-ERP_i)*Q288*Ramure*Pc/MaxiM</f>
        <v>1.1030581728680734E-3</v>
      </c>
      <c r="Q288" s="305">
        <f t="shared" si="102"/>
        <v>0.7</v>
      </c>
      <c r="R288" s="177">
        <f t="shared" si="103"/>
        <v>0.89632465459530897</v>
      </c>
      <c r="S288" s="817">
        <f t="shared" si="104"/>
        <v>-2</v>
      </c>
      <c r="T288" s="176">
        <f t="shared" si="105"/>
        <v>4</v>
      </c>
      <c r="U288" s="251">
        <f t="shared" si="106"/>
        <v>-1.103675345404691</v>
      </c>
      <c r="V288" s="383">
        <f t="shared" si="107"/>
        <v>27.621142144649689</v>
      </c>
      <c r="W288" s="58"/>
      <c r="X288" s="157">
        <f t="shared" si="108"/>
        <v>43739</v>
      </c>
      <c r="Y288" s="385">
        <f t="shared" si="109"/>
        <v>21.285</v>
      </c>
      <c r="Z288" s="385">
        <f t="shared" si="110"/>
        <v>21.53352636970299</v>
      </c>
      <c r="AA288" s="386">
        <f t="shared" si="111"/>
        <v>23.285945486119644</v>
      </c>
      <c r="AB288" s="197">
        <f t="shared" si="112"/>
        <v>43739</v>
      </c>
      <c r="AC288" s="427">
        <f>IF(OR(t&lt;Tnet,NoTnet),'2018'!Resal_s+('2018'!Salim-'2018'!Resal_s)*(1-EXP(('2018'!Tnet_s-t)/'2018'!Tau_j)),Resal_s+(Salim-Resal_s)*(1-EXP((Tnet_s-t)/Tau_j)))*Salcycl</f>
        <v>7.5256515457413645E-2</v>
      </c>
      <c r="AD288" s="231">
        <f>(INDEX(Models!$BJ288:$BT288,,AH288)*(1-AF288)+INDEX(Models!$BJ288:$BT288,,AH288+1)*AF288-ERP_i)*AE288*Ramure*Pc/MaxiM</f>
        <v>1.1030581728680734E-3</v>
      </c>
      <c r="AE288" s="305">
        <f t="shared" si="113"/>
        <v>0.7</v>
      </c>
      <c r="AF288" s="177">
        <f t="shared" si="114"/>
        <v>0.89632465459530897</v>
      </c>
      <c r="AG288" s="176">
        <f t="shared" si="115"/>
        <v>-2</v>
      </c>
      <c r="AH288" s="176">
        <f t="shared" si="116"/>
        <v>4</v>
      </c>
      <c r="AI288" s="225">
        <f t="shared" si="117"/>
        <v>-1.103675345404691</v>
      </c>
      <c r="AJ288" s="265" t="b">
        <f t="shared" si="118"/>
        <v>0</v>
      </c>
      <c r="AK288" s="265" t="b">
        <f t="shared" si="119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0"/>
        <v>43740</v>
      </c>
      <c r="B289" s="617">
        <v>17.068000000000001</v>
      </c>
      <c r="C289" s="390"/>
      <c r="D289" s="393">
        <f t="shared" si="99"/>
        <v>17.267666347063919</v>
      </c>
      <c r="E289" s="385">
        <f t="shared" si="97"/>
        <v>18.674298483297846</v>
      </c>
      <c r="F289" s="385">
        <f t="shared" si="100"/>
        <v>18.685909215562763</v>
      </c>
      <c r="G289" s="110">
        <f t="shared" si="98"/>
        <v>0.62290810215486248</v>
      </c>
      <c r="H289" s="414" t="b">
        <f>Wh_hp&gt;='2018'!Maxi_hp</f>
        <v>0</v>
      </c>
      <c r="I289" s="390">
        <f>IF(H289,Wh_hp,'2018'!Maxi_hp)</f>
        <v>29.656559533352279</v>
      </c>
      <c r="J289" s="85">
        <f>IF(H289,An,'2018'!An_max)</f>
        <v>2018</v>
      </c>
      <c r="K289" s="197">
        <f t="shared" si="101"/>
        <v>43740</v>
      </c>
      <c r="L289" s="147">
        <f>IF(t&lt;Tvie,1-EXP((T0-t)*PertePVj)+'2018'!Pspv,1-EXP((T0-t)*PertePVj)+Pspv)</f>
        <v>1.1563018595032615E-2</v>
      </c>
      <c r="M289" s="850"/>
      <c r="N289" s="850"/>
      <c r="O289" s="48">
        <f>IF(t&lt;Tnet,'2018'!Resal+('2018'!Salim-'2018'!Resal)*(1-EXP(('2018'!Tnet-t)/('2018'!Tau_j))),Resal+(Salim-Resal)*(1-EXP((Tnet-t)/(Tau_j))))*Salcycl</f>
        <v>7.5324496793922793E-2</v>
      </c>
      <c r="P289" s="169">
        <f>(INDEX(Models!$BJ289:$BT289,,T289)*(1-R289)+INDEX(Models!$BJ289:$BT289,,T289+1)*R289-ERP_i)*Q289*Ramure*Pc/MaxiM</f>
        <v>1.3451098148625311E-3</v>
      </c>
      <c r="Q289" s="305">
        <f t="shared" si="102"/>
        <v>0.7</v>
      </c>
      <c r="R289" s="177">
        <f t="shared" si="103"/>
        <v>0.8964765512575581</v>
      </c>
      <c r="S289" s="817">
        <f t="shared" si="104"/>
        <v>-2</v>
      </c>
      <c r="T289" s="176">
        <f t="shared" si="105"/>
        <v>4</v>
      </c>
      <c r="U289" s="251">
        <f t="shared" si="106"/>
        <v>-1.1035234487424419</v>
      </c>
      <c r="V289" s="383">
        <f t="shared" si="107"/>
        <v>27.380667147585907</v>
      </c>
      <c r="W289" s="58"/>
      <c r="X289" s="157">
        <f t="shared" si="108"/>
        <v>43740</v>
      </c>
      <c r="Y289" s="385">
        <f t="shared" si="109"/>
        <v>17.068000000000001</v>
      </c>
      <c r="Z289" s="385">
        <f t="shared" si="110"/>
        <v>17.267666347063919</v>
      </c>
      <c r="AA289" s="386">
        <f t="shared" si="111"/>
        <v>18.674298483297846</v>
      </c>
      <c r="AB289" s="197">
        <f t="shared" si="112"/>
        <v>43740</v>
      </c>
      <c r="AC289" s="427">
        <f>IF(OR(t&lt;Tnet,NoTnet),'2018'!Resal_s+('2018'!Salim-'2018'!Resal_s)*(1-EXP(('2018'!Tnet_s-t)/'2018'!Tau_j)),Resal_s+(Salim-Resal_s)*(1-EXP((Tnet_s-t)/Tau_j)))*Salcycl</f>
        <v>7.5324496793922793E-2</v>
      </c>
      <c r="AD289" s="231">
        <f>(INDEX(Models!$BJ289:$BT289,,AH289)*(1-AF289)+INDEX(Models!$BJ289:$BT289,,AH289+1)*AF289-ERP_i)*AE289*Ramure*Pc/MaxiM</f>
        <v>1.3451098148625311E-3</v>
      </c>
      <c r="AE289" s="305">
        <f t="shared" si="113"/>
        <v>0.7</v>
      </c>
      <c r="AF289" s="177">
        <f t="shared" si="114"/>
        <v>0.8964765512575581</v>
      </c>
      <c r="AG289" s="176">
        <f t="shared" si="115"/>
        <v>-2</v>
      </c>
      <c r="AH289" s="176">
        <f t="shared" si="116"/>
        <v>4</v>
      </c>
      <c r="AI289" s="225">
        <f t="shared" si="117"/>
        <v>-1.1035234487424419</v>
      </c>
      <c r="AJ289" s="265" t="b">
        <f t="shared" si="118"/>
        <v>0</v>
      </c>
      <c r="AK289" s="265" t="b">
        <f t="shared" si="119"/>
        <v>0</v>
      </c>
      <c r="AL289" s="265"/>
      <c r="AM289" s="265"/>
      <c r="AN289" s="75"/>
    </row>
    <row r="290" spans="1:40" s="6" customFormat="1" ht="11.25" x14ac:dyDescent="0.2">
      <c r="A290" s="56">
        <f t="shared" si="120"/>
        <v>43741</v>
      </c>
      <c r="B290" s="617">
        <v>21.54</v>
      </c>
      <c r="C290" s="390"/>
      <c r="D290" s="393">
        <f t="shared" si="99"/>
        <v>21.792458393246992</v>
      </c>
      <c r="E290" s="385">
        <f t="shared" si="97"/>
        <v>23.569383778826804</v>
      </c>
      <c r="F290" s="385">
        <f t="shared" si="100"/>
        <v>23.596362708438885</v>
      </c>
      <c r="G290" s="110">
        <f t="shared" si="98"/>
        <v>0.79337851752682054</v>
      </c>
      <c r="H290" s="414" t="b">
        <f>Wh_hp&gt;='2018'!Maxi_hp</f>
        <v>0</v>
      </c>
      <c r="I290" s="390">
        <f>IF(H290,Wh_hp,'2018'!Maxi_hp)</f>
        <v>28.585247689548495</v>
      </c>
      <c r="J290" s="85">
        <f>IF(H290,An,'2018'!An_max)</f>
        <v>2018</v>
      </c>
      <c r="K290" s="197">
        <f t="shared" si="101"/>
        <v>43741</v>
      </c>
      <c r="L290" s="147">
        <f>IF(t&lt;Tvie,1-EXP((T0-t)*PertePVj)+'2018'!Pspv,1-EXP((T0-t)*PertePVj)+Pspv)</f>
        <v>1.1584667901682111E-2</v>
      </c>
      <c r="M290" s="850"/>
      <c r="N290" s="850"/>
      <c r="O290" s="48">
        <f>IF(t&lt;Tnet,'2018'!Resal+('2018'!Salim-'2018'!Resal)*(1-EXP(('2018'!Tnet-t)/('2018'!Tau_j))),Resal+(Salim-Resal)*(1-EXP((Tnet-t)/(Tau_j))))*Salcycl</f>
        <v>7.539125342666296E-2</v>
      </c>
      <c r="P290" s="169">
        <f>(INDEX(Models!$BJ290:$BT290,,T290)*(1-R290)+INDEX(Models!$BJ290:$BT290,,T290+1)*R290-ERP_i)*Q290*Ramure*Pc/MaxiM</f>
        <v>1.6209272338866174E-3</v>
      </c>
      <c r="Q290" s="305">
        <f t="shared" si="102"/>
        <v>0.7</v>
      </c>
      <c r="R290" s="177">
        <f t="shared" si="103"/>
        <v>0.89662244181225459</v>
      </c>
      <c r="S290" s="817">
        <f t="shared" si="104"/>
        <v>-2</v>
      </c>
      <c r="T290" s="176">
        <f t="shared" si="105"/>
        <v>4</v>
      </c>
      <c r="U290" s="251">
        <f t="shared" si="106"/>
        <v>-1.1033775581877454</v>
      </c>
      <c r="V290" s="383">
        <f t="shared" si="107"/>
        <v>27.136733301319399</v>
      </c>
      <c r="W290" s="58"/>
      <c r="X290" s="157">
        <f t="shared" si="108"/>
        <v>43741</v>
      </c>
      <c r="Y290" s="385">
        <f t="shared" si="109"/>
        <v>21.54</v>
      </c>
      <c r="Z290" s="385">
        <f t="shared" si="110"/>
        <v>21.792458393246992</v>
      </c>
      <c r="AA290" s="386">
        <f t="shared" si="111"/>
        <v>23.569383778826804</v>
      </c>
      <c r="AB290" s="197">
        <f t="shared" si="112"/>
        <v>43741</v>
      </c>
      <c r="AC290" s="427">
        <f>IF(OR(t&lt;Tnet,NoTnet),'2018'!Resal_s+('2018'!Salim-'2018'!Resal_s)*(1-EXP(('2018'!Tnet_s-t)/'2018'!Tau_j)),Resal_s+(Salim-Resal_s)*(1-EXP((Tnet_s-t)/Tau_j)))*Salcycl</f>
        <v>7.539125342666296E-2</v>
      </c>
      <c r="AD290" s="231">
        <f>(INDEX(Models!$BJ290:$BT290,,AH290)*(1-AF290)+INDEX(Models!$BJ290:$BT290,,AH290+1)*AF290-ERP_i)*AE290*Ramure*Pc/MaxiM</f>
        <v>1.6209272338866174E-3</v>
      </c>
      <c r="AE290" s="305">
        <f t="shared" si="113"/>
        <v>0.7</v>
      </c>
      <c r="AF290" s="177">
        <f t="shared" si="114"/>
        <v>0.89662244181225459</v>
      </c>
      <c r="AG290" s="176">
        <f t="shared" si="115"/>
        <v>-2</v>
      </c>
      <c r="AH290" s="176">
        <f t="shared" si="116"/>
        <v>4</v>
      </c>
      <c r="AI290" s="225">
        <f t="shared" si="117"/>
        <v>-1.1033775581877454</v>
      </c>
      <c r="AJ290" s="265" t="b">
        <f t="shared" si="118"/>
        <v>0</v>
      </c>
      <c r="AK290" s="265" t="b">
        <f t="shared" si="119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0"/>
        <v>43742</v>
      </c>
      <c r="B291" s="617">
        <v>6.6150000000000002</v>
      </c>
      <c r="C291" s="390"/>
      <c r="D291" s="393">
        <f t="shared" si="99"/>
        <v>6.6926773329254399</v>
      </c>
      <c r="E291" s="385">
        <f t="shared" si="97"/>
        <v>7.2389014397998492</v>
      </c>
      <c r="F291" s="385">
        <f t="shared" si="100"/>
        <v>7.2389014397998492</v>
      </c>
      <c r="G291" s="110">
        <f t="shared" si="98"/>
        <v>0.24553310017256963</v>
      </c>
      <c r="H291" s="414" t="b">
        <f>Wh_hp&gt;='2018'!Maxi_hp</f>
        <v>0</v>
      </c>
      <c r="I291" s="390">
        <f>IF(H291,Wh_hp,'2018'!Maxi_hp)</f>
        <v>28.438494319444185</v>
      </c>
      <c r="J291" s="85">
        <f>IF(H291,An,'2018'!An_max)</f>
        <v>2018</v>
      </c>
      <c r="K291" s="197">
        <f t="shared" si="101"/>
        <v>43742</v>
      </c>
      <c r="L291" s="147">
        <f>IF(t&lt;Tvie,1-EXP((T0-t)*PertePVj)+'2018'!Pspv,1-EXP((T0-t)*PertePVj)+Pspv)</f>
        <v>1.160631673415613E-2</v>
      </c>
      <c r="M291" s="850"/>
      <c r="N291" s="850"/>
      <c r="O291" s="48">
        <f>IF(t&lt;Tnet,'2018'!Resal+('2018'!Salim-'2018'!Resal)*(1-EXP(('2018'!Tnet-t)/('2018'!Tau_j))),Resal+(Salim-Resal)*(1-EXP((Tnet-t)/(Tau_j))))*Salcycl</f>
        <v>7.5456768049256898E-2</v>
      </c>
      <c r="P291" s="169">
        <f>(INDEX(Models!$BJ291:$BT291,,T291)*(1-R291)+INDEX(Models!$BJ291:$BT291,,T291+1)*R291-ERP_i)*Q291*Ramure*Pc/MaxiM</f>
        <v>1.9242527139015622E-3</v>
      </c>
      <c r="Q291" s="305">
        <f t="shared" si="102"/>
        <v>0.7</v>
      </c>
      <c r="R291" s="177">
        <f t="shared" si="103"/>
        <v>0.89676255953922013</v>
      </c>
      <c r="S291" s="817">
        <f t="shared" si="104"/>
        <v>-2</v>
      </c>
      <c r="T291" s="176">
        <f t="shared" si="105"/>
        <v>4</v>
      </c>
      <c r="U291" s="251">
        <f t="shared" si="106"/>
        <v>-1.1032374404607799</v>
      </c>
      <c r="V291" s="383">
        <f t="shared" si="107"/>
        <v>26.88953572311523</v>
      </c>
      <c r="W291" s="58"/>
      <c r="X291" s="157">
        <f t="shared" si="108"/>
        <v>43742</v>
      </c>
      <c r="Y291" s="385">
        <f t="shared" si="109"/>
        <v>6.6150000000000002</v>
      </c>
      <c r="Z291" s="385">
        <f t="shared" si="110"/>
        <v>6.6926773329254399</v>
      </c>
      <c r="AA291" s="386">
        <f t="shared" si="111"/>
        <v>7.2389014397998492</v>
      </c>
      <c r="AB291" s="197">
        <f t="shared" si="112"/>
        <v>43742</v>
      </c>
      <c r="AC291" s="427">
        <f>IF(OR(t&lt;Tnet,NoTnet),'2018'!Resal_s+('2018'!Salim-'2018'!Resal_s)*(1-EXP(('2018'!Tnet_s-t)/'2018'!Tau_j)),Resal_s+(Salim-Resal_s)*(1-EXP((Tnet_s-t)/Tau_j)))*Salcycl</f>
        <v>7.5456768049256898E-2</v>
      </c>
      <c r="AD291" s="231">
        <f>(INDEX(Models!$BJ291:$BT291,,AH291)*(1-AF291)+INDEX(Models!$BJ291:$BT291,,AH291+1)*AF291-ERP_i)*AE291*Ramure*Pc/MaxiM</f>
        <v>1.9242527139015622E-3</v>
      </c>
      <c r="AE291" s="305">
        <f t="shared" si="113"/>
        <v>0.7</v>
      </c>
      <c r="AF291" s="177">
        <f t="shared" si="114"/>
        <v>0.89676255953922013</v>
      </c>
      <c r="AG291" s="176">
        <f t="shared" si="115"/>
        <v>-2</v>
      </c>
      <c r="AH291" s="176">
        <f t="shared" si="116"/>
        <v>4</v>
      </c>
      <c r="AI291" s="225">
        <f t="shared" si="117"/>
        <v>-1.1032374404607799</v>
      </c>
      <c r="AJ291" s="265" t="b">
        <f t="shared" si="118"/>
        <v>0</v>
      </c>
      <c r="AK291" s="265" t="b">
        <f t="shared" si="119"/>
        <v>0</v>
      </c>
      <c r="AL291" s="265"/>
      <c r="AM291" s="265"/>
      <c r="AN291" s="75"/>
    </row>
    <row r="292" spans="1:40" s="6" customFormat="1" ht="11.25" x14ac:dyDescent="0.2">
      <c r="A292" s="56">
        <f t="shared" si="120"/>
        <v>43743</v>
      </c>
      <c r="B292" s="617">
        <v>22.384</v>
      </c>
      <c r="C292" s="390"/>
      <c r="D292" s="393">
        <f t="shared" si="99"/>
        <v>22.64734250812154</v>
      </c>
      <c r="E292" s="385">
        <f t="shared" si="97"/>
        <v>24.497412201129617</v>
      </c>
      <c r="F292" s="385">
        <f t="shared" si="100"/>
        <v>24.540137550065719</v>
      </c>
      <c r="G292" s="110">
        <f t="shared" si="98"/>
        <v>0.83983603708657306</v>
      </c>
      <c r="H292" s="414" t="b">
        <f>Wh_hp&gt;='2018'!Maxi_hp</f>
        <v>0</v>
      </c>
      <c r="I292" s="390">
        <f>IF(H292,Wh_hp,'2018'!Maxi_hp)</f>
        <v>27.917436042240162</v>
      </c>
      <c r="J292" s="85">
        <f>IF(H292,An,'2018'!An_max)</f>
        <v>2018</v>
      </c>
      <c r="K292" s="197">
        <f t="shared" si="101"/>
        <v>43743</v>
      </c>
      <c r="L292" s="147">
        <f>IF(t&lt;Tvie,1-EXP((T0-t)*PertePVj)+'2018'!Pspv,1-EXP((T0-t)*PertePVj)+Pspv)</f>
        <v>1.1627965092465109E-2</v>
      </c>
      <c r="M292" s="850"/>
      <c r="N292" s="850"/>
      <c r="O292" s="48">
        <f>IF(t&lt;Tnet,'2018'!Resal+('2018'!Salim-'2018'!Resal)*(1-EXP(('2018'!Tnet-t)/('2018'!Tau_j))),Resal+(Salim-Resal)*(1-EXP((Tnet-t)/(Tau_j))))*Salcycl</f>
        <v>7.5521025560518845E-2</v>
      </c>
      <c r="P292" s="169">
        <f>(INDEX(Models!$BJ292:$BT292,,T292)*(1-R292)+INDEX(Models!$BJ292:$BT292,,T292+1)*R292-ERP_i)*Q292*Ramure*Pc/MaxiM</f>
        <v>2.2557780537384702E-3</v>
      </c>
      <c r="Q292" s="305">
        <f t="shared" si="102"/>
        <v>0.7</v>
      </c>
      <c r="R292" s="177">
        <f t="shared" si="103"/>
        <v>0.89689712898705287</v>
      </c>
      <c r="S292" s="817">
        <f t="shared" si="104"/>
        <v>-2</v>
      </c>
      <c r="T292" s="176">
        <f t="shared" si="105"/>
        <v>4</v>
      </c>
      <c r="U292" s="251">
        <f t="shared" si="106"/>
        <v>-1.1031028710129471</v>
      </c>
      <c r="V292" s="383">
        <f t="shared" si="107"/>
        <v>26.63907835493259</v>
      </c>
      <c r="W292" s="58"/>
      <c r="X292" s="157">
        <f t="shared" si="108"/>
        <v>43743</v>
      </c>
      <c r="Y292" s="385">
        <f t="shared" si="109"/>
        <v>22.384</v>
      </c>
      <c r="Z292" s="385">
        <f t="shared" si="110"/>
        <v>22.64734250812154</v>
      </c>
      <c r="AA292" s="386">
        <f t="shared" si="111"/>
        <v>24.497412201129617</v>
      </c>
      <c r="AB292" s="197">
        <f t="shared" si="112"/>
        <v>43743</v>
      </c>
      <c r="AC292" s="427">
        <f>IF(OR(t&lt;Tnet,NoTnet),'2018'!Resal_s+('2018'!Salim-'2018'!Resal_s)*(1-EXP(('2018'!Tnet_s-t)/'2018'!Tau_j)),Resal_s+(Salim-Resal_s)*(1-EXP((Tnet_s-t)/Tau_j)))*Salcycl</f>
        <v>7.5521025560518845E-2</v>
      </c>
      <c r="AD292" s="231">
        <f>(INDEX(Models!$BJ292:$BT292,,AH292)*(1-AF292)+INDEX(Models!$BJ292:$BT292,,AH292+1)*AF292-ERP_i)*AE292*Ramure*Pc/MaxiM</f>
        <v>2.2557780537384702E-3</v>
      </c>
      <c r="AE292" s="305">
        <f t="shared" si="113"/>
        <v>0.7</v>
      </c>
      <c r="AF292" s="177">
        <f t="shared" si="114"/>
        <v>0.89689712898705287</v>
      </c>
      <c r="AG292" s="176">
        <f t="shared" si="115"/>
        <v>-2</v>
      </c>
      <c r="AH292" s="176">
        <f t="shared" si="116"/>
        <v>4</v>
      </c>
      <c r="AI292" s="225">
        <f t="shared" si="117"/>
        <v>-1.1031028710129471</v>
      </c>
      <c r="AJ292" s="265" t="b">
        <f t="shared" si="118"/>
        <v>0</v>
      </c>
      <c r="AK292" s="265" t="b">
        <f t="shared" si="119"/>
        <v>0</v>
      </c>
      <c r="AL292" s="265"/>
      <c r="AM292" s="265"/>
      <c r="AN292" s="75"/>
    </row>
    <row r="293" spans="1:40" s="6" customFormat="1" ht="11.25" x14ac:dyDescent="0.2">
      <c r="A293" s="56">
        <f t="shared" si="120"/>
        <v>43744</v>
      </c>
      <c r="B293" s="617">
        <v>12.206</v>
      </c>
      <c r="C293" s="390"/>
      <c r="D293" s="393">
        <f t="shared" si="99"/>
        <v>12.349871220024376</v>
      </c>
      <c r="E293" s="385">
        <f t="shared" si="97"/>
        <v>13.359646952706022</v>
      </c>
      <c r="F293" s="385">
        <f t="shared" si="100"/>
        <v>13.367770956590451</v>
      </c>
      <c r="G293" s="110">
        <f t="shared" si="98"/>
        <v>0.46167522200380939</v>
      </c>
      <c r="H293" s="414" t="b">
        <f>Wh_hp&gt;='2018'!Maxi_hp</f>
        <v>0</v>
      </c>
      <c r="I293" s="390">
        <f>IF(H293,Wh_hp,'2018'!Maxi_hp)</f>
        <v>25.825303664148674</v>
      </c>
      <c r="J293" s="85">
        <f>IF(H293,An,'2018'!An_max)</f>
        <v>2018</v>
      </c>
      <c r="K293" s="197">
        <f t="shared" si="101"/>
        <v>43744</v>
      </c>
      <c r="L293" s="147">
        <f>IF(t&lt;Tvie,1-EXP((T0-t)*PertePVj)+'2018'!Pspv,1-EXP((T0-t)*PertePVj)+Pspv)</f>
        <v>1.1649612976619594E-2</v>
      </c>
      <c r="M293" s="850"/>
      <c r="N293" s="850"/>
      <c r="O293" s="48">
        <f>IF(t&lt;Tnet,'2018'!Resal+('2018'!Salim-'2018'!Resal)*(1-EXP(('2018'!Tnet-t)/('2018'!Tau_j))),Resal+(Salim-Resal)*(1-EXP((Tnet-t)/(Tau_j))))*Salcycl</f>
        <v>7.5584013279416287E-2</v>
      </c>
      <c r="P293" s="169">
        <f>(INDEX(Models!$BJ293:$BT293,,T293)*(1-R293)+INDEX(Models!$BJ293:$BT293,,T293+1)*R293-ERP_i)*Q293*Ramure*Pc/MaxiM</f>
        <v>2.6162272490189388E-3</v>
      </c>
      <c r="Q293" s="305">
        <f t="shared" si="102"/>
        <v>0.7</v>
      </c>
      <c r="R293" s="177">
        <f t="shared" si="103"/>
        <v>0.89702636627395682</v>
      </c>
      <c r="S293" s="817">
        <f t="shared" si="104"/>
        <v>-2</v>
      </c>
      <c r="T293" s="176">
        <f t="shared" si="105"/>
        <v>4</v>
      </c>
      <c r="U293" s="251">
        <f t="shared" si="106"/>
        <v>-1.1029736337260432</v>
      </c>
      <c r="V293" s="383">
        <f t="shared" si="107"/>
        <v>26.385365299456236</v>
      </c>
      <c r="W293" s="58"/>
      <c r="X293" s="157">
        <f t="shared" si="108"/>
        <v>43744</v>
      </c>
      <c r="Y293" s="385">
        <f t="shared" si="109"/>
        <v>12.206</v>
      </c>
      <c r="Z293" s="385">
        <f t="shared" si="110"/>
        <v>12.349871220024376</v>
      </c>
      <c r="AA293" s="386">
        <f t="shared" si="111"/>
        <v>13.359646952706022</v>
      </c>
      <c r="AB293" s="197">
        <f t="shared" si="112"/>
        <v>43744</v>
      </c>
      <c r="AC293" s="427">
        <f>IF(OR(t&lt;Tnet,NoTnet),'2018'!Resal_s+('2018'!Salim-'2018'!Resal_s)*(1-EXP(('2018'!Tnet_s-t)/'2018'!Tau_j)),Resal_s+(Salim-Resal_s)*(1-EXP((Tnet_s-t)/Tau_j)))*Salcycl</f>
        <v>7.5584013279416287E-2</v>
      </c>
      <c r="AD293" s="231">
        <f>(INDEX(Models!$BJ293:$BT293,,AH293)*(1-AF293)+INDEX(Models!$BJ293:$BT293,,AH293+1)*AF293-ERP_i)*AE293*Ramure*Pc/MaxiM</f>
        <v>2.6162272490189388E-3</v>
      </c>
      <c r="AE293" s="305">
        <f t="shared" si="113"/>
        <v>0.7</v>
      </c>
      <c r="AF293" s="177">
        <f t="shared" si="114"/>
        <v>0.89702636627395682</v>
      </c>
      <c r="AG293" s="176">
        <f t="shared" si="115"/>
        <v>-2</v>
      </c>
      <c r="AH293" s="176">
        <f t="shared" si="116"/>
        <v>4</v>
      </c>
      <c r="AI293" s="225">
        <f t="shared" si="117"/>
        <v>-1.1029736337260432</v>
      </c>
      <c r="AJ293" s="265" t="b">
        <f t="shared" si="118"/>
        <v>0</v>
      </c>
      <c r="AK293" s="265" t="b">
        <f t="shared" si="119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0"/>
        <v>43745</v>
      </c>
      <c r="B294" s="617">
        <v>19.312000000000001</v>
      </c>
      <c r="C294" s="390"/>
      <c r="D294" s="393">
        <f t="shared" si="99"/>
        <v>19.540057094317394</v>
      </c>
      <c r="E294" s="385">
        <f t="shared" si="97"/>
        <v>21.139142795703062</v>
      </c>
      <c r="F294" s="385">
        <f t="shared" si="100"/>
        <v>21.179085021533062</v>
      </c>
      <c r="G294" s="110">
        <f t="shared" si="98"/>
        <v>0.73828939989585329</v>
      </c>
      <c r="H294" s="414" t="b">
        <f>Wh_hp&gt;='2018'!Maxi_hp</f>
        <v>1</v>
      </c>
      <c r="I294" s="390">
        <f>IF(H294,Wh_hp,'2018'!Maxi_hp)</f>
        <v>21.179085021533062</v>
      </c>
      <c r="J294" s="85">
        <f>IF(H294,An,'2018'!An_max)</f>
        <v>2019</v>
      </c>
      <c r="K294" s="197">
        <f t="shared" si="101"/>
        <v>43745</v>
      </c>
      <c r="L294" s="147">
        <f>IF(t&lt;Tvie,1-EXP((T0-t)*PertePVj)+'2018'!Pspv,1-EXP((T0-t)*PertePVj)+Pspv)</f>
        <v>1.16712603866298E-2</v>
      </c>
      <c r="M294" s="850"/>
      <c r="N294" s="850"/>
      <c r="O294" s="48">
        <f>IF(t&lt;Tnet,'2018'!Resal+('2018'!Salim-'2018'!Resal)*(1-EXP(('2018'!Tnet-t)/('2018'!Tau_j))),Resal+(Salim-Resal)*(1-EXP((Tnet-t)/(Tau_j))))*Salcycl</f>
        <v>7.5645721155292667E-2</v>
      </c>
      <c r="P294" s="169">
        <f>(INDEX(Models!$BJ294:$BT294,,T294)*(1-R294)+INDEX(Models!$BJ294:$BT294,,T294+1)*R294-ERP_i)*Q294*Ramure*Pc/MaxiM</f>
        <v>3.0063586185434849E-3</v>
      </c>
      <c r="Q294" s="305">
        <f t="shared" si="102"/>
        <v>0.7</v>
      </c>
      <c r="R294" s="177">
        <f t="shared" si="103"/>
        <v>0.8971504793802958</v>
      </c>
      <c r="S294" s="817">
        <f t="shared" si="104"/>
        <v>-2</v>
      </c>
      <c r="T294" s="176">
        <f t="shared" si="105"/>
        <v>4</v>
      </c>
      <c r="U294" s="251">
        <f t="shared" si="106"/>
        <v>-1.1028495206197042</v>
      </c>
      <c r="V294" s="383">
        <f t="shared" si="107"/>
        <v>26.128400812677945</v>
      </c>
      <c r="W294" s="58"/>
      <c r="X294" s="157">
        <f t="shared" si="108"/>
        <v>43745</v>
      </c>
      <c r="Y294" s="385">
        <f t="shared" si="109"/>
        <v>19.312000000000001</v>
      </c>
      <c r="Z294" s="385">
        <f t="shared" si="110"/>
        <v>19.540057094317394</v>
      </c>
      <c r="AA294" s="386">
        <f t="shared" si="111"/>
        <v>21.139142795703062</v>
      </c>
      <c r="AB294" s="197">
        <f t="shared" si="112"/>
        <v>43745</v>
      </c>
      <c r="AC294" s="427">
        <f>IF(OR(t&lt;Tnet,NoTnet),'2018'!Resal_s+('2018'!Salim-'2018'!Resal_s)*(1-EXP(('2018'!Tnet_s-t)/'2018'!Tau_j)),Resal_s+(Salim-Resal_s)*(1-EXP((Tnet_s-t)/Tau_j)))*Salcycl</f>
        <v>7.5645721155292667E-2</v>
      </c>
      <c r="AD294" s="231">
        <f>(INDEX(Models!$BJ294:$BT294,,AH294)*(1-AF294)+INDEX(Models!$BJ294:$BT294,,AH294+1)*AF294-ERP_i)*AE294*Ramure*Pc/MaxiM</f>
        <v>3.0063586185434849E-3</v>
      </c>
      <c r="AE294" s="305">
        <f t="shared" si="113"/>
        <v>0.7</v>
      </c>
      <c r="AF294" s="177">
        <f t="shared" si="114"/>
        <v>0.8971504793802958</v>
      </c>
      <c r="AG294" s="176">
        <f t="shared" si="115"/>
        <v>-2</v>
      </c>
      <c r="AH294" s="176">
        <f t="shared" si="116"/>
        <v>4</v>
      </c>
      <c r="AI294" s="225">
        <f t="shared" si="117"/>
        <v>-1.1028495206197042</v>
      </c>
      <c r="AJ294" s="265" t="b">
        <f t="shared" si="118"/>
        <v>0</v>
      </c>
      <c r="AK294" s="265" t="b">
        <f t="shared" si="119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0"/>
        <v>43746</v>
      </c>
      <c r="B295" s="617">
        <v>23.673999999999999</v>
      </c>
      <c r="C295" s="390"/>
      <c r="D295" s="393">
        <f t="shared" si="99"/>
        <v>23.954092989318799</v>
      </c>
      <c r="E295" s="385">
        <f t="shared" si="97"/>
        <v>25.916101011868282</v>
      </c>
      <c r="F295" s="385">
        <f t="shared" si="100"/>
        <v>25.994388501606341</v>
      </c>
      <c r="G295" s="110">
        <f t="shared" si="98"/>
        <v>0.91479690209449727</v>
      </c>
      <c r="H295" s="414" t="b">
        <f>Wh_hp&gt;='2018'!Maxi_hp</f>
        <v>1</v>
      </c>
      <c r="I295" s="390">
        <f>IF(H295,Wh_hp,'2018'!Maxi_hp)</f>
        <v>25.994388501606341</v>
      </c>
      <c r="J295" s="85">
        <f>IF(H295,An,'2018'!An_max)</f>
        <v>2019</v>
      </c>
      <c r="K295" s="197">
        <f t="shared" si="101"/>
        <v>43746</v>
      </c>
      <c r="L295" s="147">
        <f>IF(t&lt;Tvie,1-EXP((T0-t)*PertePVj)+'2018'!Pspv,1-EXP((T0-t)*PertePVj)+Pspv)</f>
        <v>1.1692907322506163E-2</v>
      </c>
      <c r="M295" s="850"/>
      <c r="N295" s="850"/>
      <c r="O295" s="48">
        <f>IF(t&lt;Tnet,'2018'!Resal+('2018'!Salim-'2018'!Resal)*(1-EXP(('2018'!Tnet-t)/('2018'!Tau_j))),Resal+(Salim-Resal)*(1-EXP((Tnet-t)/(Tau_j))))*Salcycl</f>
        <v>7.5706141971393789E-2</v>
      </c>
      <c r="P295" s="169">
        <f>(INDEX(Models!$BJ295:$BT295,,T295)*(1-R295)+INDEX(Models!$BJ295:$BT295,,T295+1)*R295-ERP_i)*Q295*Ramure*Pc/MaxiM</f>
        <v>3.426967179965506E-3</v>
      </c>
      <c r="Q295" s="305">
        <f t="shared" si="102"/>
        <v>0.7</v>
      </c>
      <c r="R295" s="177">
        <f t="shared" si="103"/>
        <v>0.89726966843291844</v>
      </c>
      <c r="S295" s="817">
        <f t="shared" si="104"/>
        <v>-2</v>
      </c>
      <c r="T295" s="176">
        <f t="shared" si="105"/>
        <v>4</v>
      </c>
      <c r="U295" s="251">
        <f t="shared" si="106"/>
        <v>-1.1027303315670816</v>
      </c>
      <c r="V295" s="383">
        <f t="shared" si="107"/>
        <v>25.868189306740451</v>
      </c>
      <c r="W295" s="58"/>
      <c r="X295" s="157">
        <f t="shared" si="108"/>
        <v>43746</v>
      </c>
      <c r="Y295" s="385">
        <f t="shared" si="109"/>
        <v>23.673999999999999</v>
      </c>
      <c r="Z295" s="385">
        <f t="shared" si="110"/>
        <v>23.954092989318799</v>
      </c>
      <c r="AA295" s="386">
        <f t="shared" si="111"/>
        <v>25.916101011868282</v>
      </c>
      <c r="AB295" s="197">
        <f t="shared" si="112"/>
        <v>43746</v>
      </c>
      <c r="AC295" s="427">
        <f>IF(OR(t&lt;Tnet,NoTnet),'2018'!Resal_s+('2018'!Salim-'2018'!Resal_s)*(1-EXP(('2018'!Tnet_s-t)/'2018'!Tau_j)),Resal_s+(Salim-Resal_s)*(1-EXP((Tnet_s-t)/Tau_j)))*Salcycl</f>
        <v>7.5706141971393789E-2</v>
      </c>
      <c r="AD295" s="231">
        <f>(INDEX(Models!$BJ295:$BT295,,AH295)*(1-AF295)+INDEX(Models!$BJ295:$BT295,,AH295+1)*AF295-ERP_i)*AE295*Ramure*Pc/MaxiM</f>
        <v>3.426967179965506E-3</v>
      </c>
      <c r="AE295" s="305">
        <f t="shared" si="113"/>
        <v>0.7</v>
      </c>
      <c r="AF295" s="177">
        <f t="shared" si="114"/>
        <v>0.89726966843291844</v>
      </c>
      <c r="AG295" s="176">
        <f t="shared" si="115"/>
        <v>-2</v>
      </c>
      <c r="AH295" s="176">
        <f t="shared" si="116"/>
        <v>4</v>
      </c>
      <c r="AI295" s="225">
        <f t="shared" si="117"/>
        <v>-1.1027303315670816</v>
      </c>
      <c r="AJ295" s="265" t="b">
        <f t="shared" si="118"/>
        <v>0</v>
      </c>
      <c r="AK295" s="265" t="b">
        <f t="shared" si="119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0"/>
        <v>43747</v>
      </c>
      <c r="B296" s="617">
        <v>5.8209999999999997</v>
      </c>
      <c r="C296" s="390"/>
      <c r="D296" s="393">
        <f t="shared" si="99"/>
        <v>5.8899987066381287</v>
      </c>
      <c r="E296" s="385">
        <f t="shared" si="97"/>
        <v>6.3728385498461275</v>
      </c>
      <c r="F296" s="385">
        <f t="shared" si="100"/>
        <v>6.3728385498461275</v>
      </c>
      <c r="G296" s="110">
        <f t="shared" si="98"/>
        <v>0.22645893108498305</v>
      </c>
      <c r="H296" s="414" t="b">
        <f>Wh_hp&gt;='2018'!Maxi_hp</f>
        <v>0</v>
      </c>
      <c r="I296" s="390">
        <f>IF(H296,Wh_hp,'2018'!Maxi_hp)</f>
        <v>24.685598541559333</v>
      </c>
      <c r="J296" s="85">
        <f>IF(H296,An,'2018'!An_max)</f>
        <v>2018</v>
      </c>
      <c r="K296" s="197">
        <f t="shared" si="101"/>
        <v>43747</v>
      </c>
      <c r="L296" s="147">
        <f>IF(t&lt;Tvie,1-EXP((T0-t)*PertePVj)+'2018'!Pspv,1-EXP((T0-t)*PertePVj)+Pspv)</f>
        <v>1.1714553784259119E-2</v>
      </c>
      <c r="M296" s="850"/>
      <c r="N296" s="850"/>
      <c r="O296" s="48">
        <f>IF(t&lt;Tnet,'2018'!Resal+('2018'!Salim-'2018'!Resal)*(1-EXP(('2018'!Tnet-t)/('2018'!Tau_j))),Resal+(Salim-Resal)*(1-EXP((Tnet-t)/(Tau_j))))*Salcycl</f>
        <v>7.5765271539737458E-2</v>
      </c>
      <c r="P296" s="169">
        <f>(INDEX(Models!$BJ296:$BT296,,T296)*(1-R296)+INDEX(Models!$BJ296:$BT296,,T296+1)*R296-ERP_i)*Q296*Ramure*Pc/MaxiM</f>
        <v>3.8803844939784005E-3</v>
      </c>
      <c r="Q296" s="305">
        <f t="shared" si="102"/>
        <v>0.7</v>
      </c>
      <c r="R296" s="177">
        <f t="shared" si="103"/>
        <v>0.89738412598132378</v>
      </c>
      <c r="S296" s="817">
        <f t="shared" si="104"/>
        <v>-2</v>
      </c>
      <c r="T296" s="176">
        <f t="shared" si="105"/>
        <v>4</v>
      </c>
      <c r="U296" s="251">
        <f t="shared" si="106"/>
        <v>-1.1026158740186762</v>
      </c>
      <c r="V296" s="383">
        <f t="shared" si="107"/>
        <v>25.604696860838693</v>
      </c>
      <c r="W296" s="58"/>
      <c r="X296" s="157">
        <f t="shared" si="108"/>
        <v>43747</v>
      </c>
      <c r="Y296" s="385">
        <f t="shared" si="109"/>
        <v>5.8209999999999997</v>
      </c>
      <c r="Z296" s="385">
        <f t="shared" si="110"/>
        <v>5.8899987066381287</v>
      </c>
      <c r="AA296" s="386">
        <f t="shared" si="111"/>
        <v>6.3728385498461275</v>
      </c>
      <c r="AB296" s="197">
        <f t="shared" si="112"/>
        <v>43747</v>
      </c>
      <c r="AC296" s="427">
        <f>IF(OR(t&lt;Tnet,NoTnet),'2018'!Resal_s+('2018'!Salim-'2018'!Resal_s)*(1-EXP(('2018'!Tnet_s-t)/'2018'!Tau_j)),Resal_s+(Salim-Resal_s)*(1-EXP((Tnet_s-t)/Tau_j)))*Salcycl</f>
        <v>7.5765271539737458E-2</v>
      </c>
      <c r="AD296" s="231">
        <f>(INDEX(Models!$BJ296:$BT296,,AH296)*(1-AF296)+INDEX(Models!$BJ296:$BT296,,AH296+1)*AF296-ERP_i)*AE296*Ramure*Pc/MaxiM</f>
        <v>3.8803844939784005E-3</v>
      </c>
      <c r="AE296" s="305">
        <f t="shared" si="113"/>
        <v>0.7</v>
      </c>
      <c r="AF296" s="177">
        <f t="shared" si="114"/>
        <v>0.89738412598132378</v>
      </c>
      <c r="AG296" s="176">
        <f t="shared" si="115"/>
        <v>-2</v>
      </c>
      <c r="AH296" s="176">
        <f t="shared" si="116"/>
        <v>4</v>
      </c>
      <c r="AI296" s="225">
        <f t="shared" si="117"/>
        <v>-1.1026158740186762</v>
      </c>
      <c r="AJ296" s="265" t="b">
        <f t="shared" si="118"/>
        <v>0</v>
      </c>
      <c r="AK296" s="265" t="b">
        <f t="shared" si="119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0"/>
        <v>43748</v>
      </c>
      <c r="B297" s="617">
        <v>18.763000000000002</v>
      </c>
      <c r="C297" s="390"/>
      <c r="D297" s="393">
        <f t="shared" si="99"/>
        <v>18.985821392698302</v>
      </c>
      <c r="E297" s="385">
        <f t="shared" ref="E297:E360" si="121">Wh_pvt/(1-Psa)</f>
        <v>20.543492891063448</v>
      </c>
      <c r="F297" s="385">
        <f t="shared" si="100"/>
        <v>20.599874346938165</v>
      </c>
      <c r="G297" s="110">
        <f t="shared" ref="G297:G360" si="122">+Wh_hp/MaxiM</f>
        <v>0.73929967188017387</v>
      </c>
      <c r="H297" s="414" t="b">
        <f>Wh_hp&gt;='2018'!Maxi_hp</f>
        <v>1</v>
      </c>
      <c r="I297" s="390">
        <f>IF(H297,Wh_hp,'2018'!Maxi_hp)</f>
        <v>20.599874346938165</v>
      </c>
      <c r="J297" s="85">
        <f>IF(H297,An,'2018'!An_max)</f>
        <v>2019</v>
      </c>
      <c r="K297" s="197">
        <f t="shared" si="101"/>
        <v>43748</v>
      </c>
      <c r="L297" s="147">
        <f>IF(t&lt;Tvie,1-EXP((T0-t)*PertePVj)+'2018'!Pspv,1-EXP((T0-t)*PertePVj)+Pspv)</f>
        <v>1.1736199771898992E-2</v>
      </c>
      <c r="M297" s="850"/>
      <c r="N297" s="850"/>
      <c r="O297" s="48">
        <f>IF(t&lt;Tnet,'2018'!Resal+('2018'!Salim-'2018'!Resal)*(1-EXP(('2018'!Tnet-t)/('2018'!Tau_j))),Resal+(Salim-Resal)*(1-EXP((Tnet-t)/(Tau_j))))*Salcycl</f>
        <v>7.5823108885380547E-2</v>
      </c>
      <c r="P297" s="169">
        <f>(INDEX(Models!$BJ297:$BT297,,T297)*(1-R297)+INDEX(Models!$BJ297:$BT297,,T297+1)*R297-ERP_i)*Q297*Ramure*Pc/MaxiM</f>
        <v>4.3493752276604425E-3</v>
      </c>
      <c r="Q297" s="305">
        <f t="shared" si="102"/>
        <v>0.7</v>
      </c>
      <c r="R297" s="177">
        <f t="shared" si="103"/>
        <v>0.89749403726574961</v>
      </c>
      <c r="S297" s="817">
        <f t="shared" si="104"/>
        <v>-2</v>
      </c>
      <c r="T297" s="176">
        <f t="shared" si="105"/>
        <v>4</v>
      </c>
      <c r="U297" s="251">
        <f t="shared" si="106"/>
        <v>-1.1025059627342504</v>
      </c>
      <c r="V297" s="383">
        <f t="shared" si="107"/>
        <v>25.338390265105552</v>
      </c>
      <c r="W297" s="58"/>
      <c r="X297" s="157">
        <f t="shared" si="108"/>
        <v>43748</v>
      </c>
      <c r="Y297" s="385">
        <f t="shared" si="109"/>
        <v>18.763000000000002</v>
      </c>
      <c r="Z297" s="385">
        <f t="shared" si="110"/>
        <v>18.985821392698302</v>
      </c>
      <c r="AA297" s="386">
        <f t="shared" si="111"/>
        <v>20.543492891063448</v>
      </c>
      <c r="AB297" s="197">
        <f t="shared" si="112"/>
        <v>43748</v>
      </c>
      <c r="AC297" s="427">
        <f>IF(OR(t&lt;Tnet,NoTnet),'2018'!Resal_s+('2018'!Salim-'2018'!Resal_s)*(1-EXP(('2018'!Tnet_s-t)/'2018'!Tau_j)),Resal_s+(Salim-Resal_s)*(1-EXP((Tnet_s-t)/Tau_j)))*Salcycl</f>
        <v>7.5823108885380547E-2</v>
      </c>
      <c r="AD297" s="231">
        <f>(INDEX(Models!$BJ297:$BT297,,AH297)*(1-AF297)+INDEX(Models!$BJ297:$BT297,,AH297+1)*AF297-ERP_i)*AE297*Ramure*Pc/MaxiM</f>
        <v>4.3493752276604425E-3</v>
      </c>
      <c r="AE297" s="305">
        <f t="shared" si="113"/>
        <v>0.7</v>
      </c>
      <c r="AF297" s="177">
        <f t="shared" si="114"/>
        <v>0.89749403726574961</v>
      </c>
      <c r="AG297" s="176">
        <f t="shared" si="115"/>
        <v>-2</v>
      </c>
      <c r="AH297" s="176">
        <f t="shared" si="116"/>
        <v>4</v>
      </c>
      <c r="AI297" s="225">
        <f t="shared" si="117"/>
        <v>-1.1025059627342504</v>
      </c>
      <c r="AJ297" s="265" t="b">
        <f t="shared" si="118"/>
        <v>0</v>
      </c>
      <c r="AK297" s="265" t="b">
        <f t="shared" si="119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0"/>
        <v>43749</v>
      </c>
      <c r="B298" s="617">
        <v>24.474</v>
      </c>
      <c r="C298" s="390"/>
      <c r="D298" s="393">
        <f t="shared" si="99"/>
        <v>24.765185216237693</v>
      </c>
      <c r="E298" s="385">
        <f t="shared" si="121"/>
        <v>26.798658192340511</v>
      </c>
      <c r="F298" s="385">
        <f t="shared" si="100"/>
        <v>26.924407109708781</v>
      </c>
      <c r="G298" s="110">
        <f t="shared" si="122"/>
        <v>0.97609405539884719</v>
      </c>
      <c r="H298" s="414" t="b">
        <f>Wh_hp&gt;='2018'!Maxi_hp</f>
        <v>1</v>
      </c>
      <c r="I298" s="390">
        <f>IF(H298,Wh_hp,'2018'!Maxi_hp)</f>
        <v>26.924407109708781</v>
      </c>
      <c r="J298" s="85">
        <f>IF(H298,An,'2018'!An_max)</f>
        <v>2019</v>
      </c>
      <c r="K298" s="197">
        <f t="shared" si="101"/>
        <v>43749</v>
      </c>
      <c r="L298" s="147">
        <f>IF(t&lt;Tvie,1-EXP((T0-t)*PertePVj)+'2018'!Pspv,1-EXP((T0-t)*PertePVj)+Pspv)</f>
        <v>1.1757845285436108E-2</v>
      </c>
      <c r="M298" s="850"/>
      <c r="N298" s="850"/>
      <c r="O298" s="48">
        <f>IF(t&lt;Tnet,'2018'!Resal+('2018'!Salim-'2018'!Resal)*(1-EXP(('2018'!Tnet-t)/('2018'!Tau_j))),Resal+(Salim-Resal)*(1-EXP((Tnet-t)/(Tau_j))))*Salcycl</f>
        <v>7.5879656418171654E-2</v>
      </c>
      <c r="P298" s="169">
        <f>(INDEX(Models!$BJ298:$BT298,,T298)*(1-R298)+INDEX(Models!$BJ298:$BT298,,T298+1)*R298-ERP_i)*Q298*Ramure*Pc/MaxiM</f>
        <v>4.8344349216435049E-3</v>
      </c>
      <c r="Q298" s="305">
        <f t="shared" si="102"/>
        <v>0.7</v>
      </c>
      <c r="R298" s="177">
        <f t="shared" si="103"/>
        <v>0.89759958047728361</v>
      </c>
      <c r="S298" s="817">
        <f t="shared" si="104"/>
        <v>-2</v>
      </c>
      <c r="T298" s="176">
        <f t="shared" si="105"/>
        <v>4</v>
      </c>
      <c r="U298" s="251">
        <f t="shared" si="106"/>
        <v>-1.1024004195227164</v>
      </c>
      <c r="V298" s="383">
        <f t="shared" si="107"/>
        <v>25.069272270746932</v>
      </c>
      <c r="W298" s="58"/>
      <c r="X298" s="157">
        <f t="shared" si="108"/>
        <v>43749</v>
      </c>
      <c r="Y298" s="385">
        <f t="shared" si="109"/>
        <v>24.474</v>
      </c>
      <c r="Z298" s="385">
        <f t="shared" si="110"/>
        <v>24.765185216237693</v>
      </c>
      <c r="AA298" s="386">
        <f t="shared" si="111"/>
        <v>26.798658192340511</v>
      </c>
      <c r="AB298" s="197">
        <f t="shared" si="112"/>
        <v>43749</v>
      </c>
      <c r="AC298" s="427">
        <f>IF(OR(t&lt;Tnet,NoTnet),'2018'!Resal_s+('2018'!Salim-'2018'!Resal_s)*(1-EXP(('2018'!Tnet_s-t)/'2018'!Tau_j)),Resal_s+(Salim-Resal_s)*(1-EXP((Tnet_s-t)/Tau_j)))*Salcycl</f>
        <v>7.5879656418171654E-2</v>
      </c>
      <c r="AD298" s="231">
        <f>(INDEX(Models!$BJ298:$BT298,,AH298)*(1-AF298)+INDEX(Models!$BJ298:$BT298,,AH298+1)*AF298-ERP_i)*AE298*Ramure*Pc/MaxiM</f>
        <v>4.8344349216435049E-3</v>
      </c>
      <c r="AE298" s="305">
        <f t="shared" si="113"/>
        <v>0.7</v>
      </c>
      <c r="AF298" s="177">
        <f t="shared" si="114"/>
        <v>0.89759958047728361</v>
      </c>
      <c r="AG298" s="176">
        <f t="shared" si="115"/>
        <v>-2</v>
      </c>
      <c r="AH298" s="176">
        <f t="shared" si="116"/>
        <v>4</v>
      </c>
      <c r="AI298" s="225">
        <f t="shared" si="117"/>
        <v>-1.1024004195227164</v>
      </c>
      <c r="AJ298" s="265" t="b">
        <f t="shared" si="118"/>
        <v>0</v>
      </c>
      <c r="AK298" s="265" t="b">
        <f t="shared" si="119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0"/>
        <v>43750</v>
      </c>
      <c r="B299" s="617">
        <v>11.612</v>
      </c>
      <c r="C299" s="390"/>
      <c r="D299" s="393">
        <f t="shared" si="99"/>
        <v>11.750413886691632</v>
      </c>
      <c r="E299" s="385">
        <f t="shared" si="121"/>
        <v>12.716002522070996</v>
      </c>
      <c r="F299" s="385">
        <f t="shared" si="100"/>
        <v>12.732335105562786</v>
      </c>
      <c r="G299" s="110">
        <f t="shared" si="122"/>
        <v>0.46637541595725185</v>
      </c>
      <c r="H299" s="414" t="b">
        <f>Wh_hp&gt;='2018'!Maxi_hp</f>
        <v>0</v>
      </c>
      <c r="I299" s="390">
        <f>IF(H299,Wh_hp,'2018'!Maxi_hp)</f>
        <v>23.90841465362735</v>
      </c>
      <c r="J299" s="85">
        <f>IF(H299,An,'2018'!An_max)</f>
        <v>2018</v>
      </c>
      <c r="K299" s="197">
        <f t="shared" si="101"/>
        <v>43750</v>
      </c>
      <c r="L299" s="147">
        <f>IF(t&lt;Tvie,1-EXP((T0-t)*PertePVj)+'2018'!Pspv,1-EXP((T0-t)*PertePVj)+Pspv)</f>
        <v>1.1779490324881015E-2</v>
      </c>
      <c r="M299" s="850"/>
      <c r="N299" s="850"/>
      <c r="O299" s="48">
        <f>IF(t&lt;Tnet,'2018'!Resal+('2018'!Salim-'2018'!Resal)*(1-EXP(('2018'!Tnet-t)/('2018'!Tau_j))),Resal+(Salim-Resal)*(1-EXP((Tnet-t)/(Tau_j))))*Salcycl</f>
        <v>7.5934920090130947E-2</v>
      </c>
      <c r="P299" s="169">
        <f>(INDEX(Models!$BJ299:$BT299,,T299)*(1-R299)+INDEX(Models!$BJ299:$BT299,,T299+1)*R299-ERP_i)*Q299*Ramure*Pc/MaxiM</f>
        <v>5.3360866636782177E-3</v>
      </c>
      <c r="Q299" s="305">
        <f t="shared" si="102"/>
        <v>0.7</v>
      </c>
      <c r="R299" s="177">
        <f t="shared" si="103"/>
        <v>0.89770092701010684</v>
      </c>
      <c r="S299" s="817">
        <f t="shared" si="104"/>
        <v>-2</v>
      </c>
      <c r="T299" s="176">
        <f t="shared" si="105"/>
        <v>4</v>
      </c>
      <c r="U299" s="251">
        <f t="shared" si="106"/>
        <v>-1.1022990729898932</v>
      </c>
      <c r="V299" s="383">
        <f t="shared" si="107"/>
        <v>24.797345593406639</v>
      </c>
      <c r="W299" s="58"/>
      <c r="X299" s="157">
        <f t="shared" si="108"/>
        <v>43750</v>
      </c>
      <c r="Y299" s="385">
        <f t="shared" si="109"/>
        <v>11.612</v>
      </c>
      <c r="Z299" s="385">
        <f t="shared" si="110"/>
        <v>11.750413886691632</v>
      </c>
      <c r="AA299" s="386">
        <f t="shared" si="111"/>
        <v>12.716002522070996</v>
      </c>
      <c r="AB299" s="197">
        <f t="shared" si="112"/>
        <v>43750</v>
      </c>
      <c r="AC299" s="427">
        <f>IF(OR(t&lt;Tnet,NoTnet),'2018'!Resal_s+('2018'!Salim-'2018'!Resal_s)*(1-EXP(('2018'!Tnet_s-t)/'2018'!Tau_j)),Resal_s+(Salim-Resal_s)*(1-EXP((Tnet_s-t)/Tau_j)))*Salcycl</f>
        <v>7.5934920090130947E-2</v>
      </c>
      <c r="AD299" s="231">
        <f>(INDEX(Models!$BJ299:$BT299,,AH299)*(1-AF299)+INDEX(Models!$BJ299:$BT299,,AH299+1)*AF299-ERP_i)*AE299*Ramure*Pc/MaxiM</f>
        <v>5.3360866636782177E-3</v>
      </c>
      <c r="AE299" s="305">
        <f t="shared" si="113"/>
        <v>0.7</v>
      </c>
      <c r="AF299" s="177">
        <f t="shared" si="114"/>
        <v>0.89770092701010684</v>
      </c>
      <c r="AG299" s="176">
        <f t="shared" si="115"/>
        <v>-2</v>
      </c>
      <c r="AH299" s="176">
        <f t="shared" si="116"/>
        <v>4</v>
      </c>
      <c r="AI299" s="225">
        <f t="shared" si="117"/>
        <v>-1.1022990729898932</v>
      </c>
      <c r="AJ299" s="265" t="b">
        <f t="shared" si="118"/>
        <v>0</v>
      </c>
      <c r="AK299" s="265" t="b">
        <f t="shared" si="119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0"/>
        <v>43751</v>
      </c>
      <c r="B300" s="617">
        <v>22.356000000000002</v>
      </c>
      <c r="C300" s="390"/>
      <c r="D300" s="393">
        <f t="shared" si="99"/>
        <v>22.622976800845642</v>
      </c>
      <c r="E300" s="385">
        <f t="shared" si="121"/>
        <v>24.483447259817787</v>
      </c>
      <c r="F300" s="385">
        <f t="shared" si="100"/>
        <v>24.609346213352122</v>
      </c>
      <c r="G300" s="110">
        <f t="shared" si="122"/>
        <v>0.91097120927370445</v>
      </c>
      <c r="H300" s="414" t="b">
        <f>Wh_hp&gt;='2018'!Maxi_hp</f>
        <v>1</v>
      </c>
      <c r="I300" s="390">
        <f>IF(H300,Wh_hp,'2018'!Maxi_hp)</f>
        <v>24.609346213352122</v>
      </c>
      <c r="J300" s="85">
        <f>IF(H300,An,'2018'!An_max)</f>
        <v>2019</v>
      </c>
      <c r="K300" s="197">
        <f t="shared" si="101"/>
        <v>43751</v>
      </c>
      <c r="L300" s="147">
        <f>IF(t&lt;Tvie,1-EXP((T0-t)*PertePVj)+'2018'!Pspv,1-EXP((T0-t)*PertePVj)+Pspv)</f>
        <v>1.1801134890244036E-2</v>
      </c>
      <c r="M300" s="850"/>
      <c r="N300" s="850"/>
      <c r="O300" s="48">
        <f>IF(t&lt;Tnet,'2018'!Resal+('2018'!Salim-'2018'!Resal)*(1-EXP(('2018'!Tnet-t)/('2018'!Tau_j))),Resal+(Salim-Resal)*(1-EXP((Tnet-t)/(Tau_j))))*Salcycl</f>
        <v>7.598890953667084E-2</v>
      </c>
      <c r="P300" s="169">
        <f>(INDEX(Models!$BJ300:$BT300,,T300)*(1-R300)+INDEX(Models!$BJ300:$BT300,,T300+1)*R300-ERP_i)*Q300*Ramure*Pc/MaxiM</f>
        <v>5.8548835787546388E-3</v>
      </c>
      <c r="Q300" s="305">
        <f t="shared" si="102"/>
        <v>0.7</v>
      </c>
      <c r="R300" s="177">
        <f t="shared" si="103"/>
        <v>0.89779824170599309</v>
      </c>
      <c r="S300" s="817">
        <f t="shared" si="104"/>
        <v>-2</v>
      </c>
      <c r="T300" s="176">
        <f t="shared" si="105"/>
        <v>4</v>
      </c>
      <c r="U300" s="251">
        <f t="shared" si="106"/>
        <v>-1.1022017582940069</v>
      </c>
      <c r="V300" s="383">
        <f t="shared" si="107"/>
        <v>24.522612901548889</v>
      </c>
      <c r="W300" s="58"/>
      <c r="X300" s="157">
        <f t="shared" si="108"/>
        <v>43751</v>
      </c>
      <c r="Y300" s="385">
        <f t="shared" si="109"/>
        <v>22.356000000000002</v>
      </c>
      <c r="Z300" s="385">
        <f t="shared" si="110"/>
        <v>22.622976800845642</v>
      </c>
      <c r="AA300" s="386">
        <f t="shared" si="111"/>
        <v>24.483447259817787</v>
      </c>
      <c r="AB300" s="197">
        <f t="shared" si="112"/>
        <v>43751</v>
      </c>
      <c r="AC300" s="427">
        <f>IF(OR(t&lt;Tnet,NoTnet),'2018'!Resal_s+('2018'!Salim-'2018'!Resal_s)*(1-EXP(('2018'!Tnet_s-t)/'2018'!Tau_j)),Resal_s+(Salim-Resal_s)*(1-EXP((Tnet_s-t)/Tau_j)))*Salcycl</f>
        <v>7.598890953667084E-2</v>
      </c>
      <c r="AD300" s="231">
        <f>(INDEX(Models!$BJ300:$BT300,,AH300)*(1-AF300)+INDEX(Models!$BJ300:$BT300,,AH300+1)*AF300-ERP_i)*AE300*Ramure*Pc/MaxiM</f>
        <v>5.8548835787546388E-3</v>
      </c>
      <c r="AE300" s="305">
        <f t="shared" si="113"/>
        <v>0.7</v>
      </c>
      <c r="AF300" s="177">
        <f t="shared" si="114"/>
        <v>0.89779824170599309</v>
      </c>
      <c r="AG300" s="176">
        <f t="shared" si="115"/>
        <v>-2</v>
      </c>
      <c r="AH300" s="176">
        <f t="shared" si="116"/>
        <v>4</v>
      </c>
      <c r="AI300" s="225">
        <f t="shared" si="117"/>
        <v>-1.1022017582940069</v>
      </c>
      <c r="AJ300" s="265" t="b">
        <f t="shared" si="118"/>
        <v>0</v>
      </c>
      <c r="AK300" s="265" t="b">
        <f t="shared" si="119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0"/>
        <v>43752</v>
      </c>
      <c r="B301" s="617">
        <v>6.8630000000000004</v>
      </c>
      <c r="C301" s="390"/>
      <c r="D301" s="393">
        <f t="shared" si="99"/>
        <v>6.9451105065209369</v>
      </c>
      <c r="E301" s="385">
        <f t="shared" si="121"/>
        <v>7.516692086633217</v>
      </c>
      <c r="F301" s="385">
        <f t="shared" si="100"/>
        <v>7.516692086633217</v>
      </c>
      <c r="G301" s="110">
        <f t="shared" si="122"/>
        <v>0.28125857452827702</v>
      </c>
      <c r="H301" s="414" t="b">
        <f>Wh_hp&gt;='2018'!Maxi_hp</f>
        <v>0</v>
      </c>
      <c r="I301" s="390">
        <f>IF(H301,Wh_hp,'2018'!Maxi_hp)</f>
        <v>22.920666386979544</v>
      </c>
      <c r="J301" s="85">
        <f>IF(H301,An,'2018'!An_max)</f>
        <v>2018</v>
      </c>
      <c r="K301" s="197">
        <f t="shared" si="101"/>
        <v>43752</v>
      </c>
      <c r="L301" s="147">
        <f>IF(t&lt;Tvie,1-EXP((T0-t)*PertePVj)+'2018'!Pspv,1-EXP((T0-t)*PertePVj)+Pspv)</f>
        <v>1.1822778981535387E-2</v>
      </c>
      <c r="M301" s="850"/>
      <c r="N301" s="850"/>
      <c r="O301" s="48">
        <f>IF(t&lt;Tnet,'2018'!Resal+('2018'!Salim-'2018'!Resal)*(1-EXP(('2018'!Tnet-t)/('2018'!Tau_j))),Resal+(Salim-Resal)*(1-EXP((Tnet-t)/(Tau_j))))*Salcycl</f>
        <v>7.6041638199961931E-2</v>
      </c>
      <c r="P301" s="169">
        <f>(INDEX(Models!$BJ301:$BT301,,T301)*(1-R301)+INDEX(Models!$BJ301:$BT301,,T301+1)*R301-ERP_i)*Q301*Ramure*Pc/MaxiM</f>
        <v>6.3914115688550712E-3</v>
      </c>
      <c r="Q301" s="305">
        <f t="shared" si="102"/>
        <v>0.7</v>
      </c>
      <c r="R301" s="177">
        <f t="shared" si="103"/>
        <v>0.8978916830911905</v>
      </c>
      <c r="S301" s="817">
        <f t="shared" si="104"/>
        <v>-2</v>
      </c>
      <c r="T301" s="176">
        <f t="shared" si="105"/>
        <v>4</v>
      </c>
      <c r="U301" s="251">
        <f t="shared" si="106"/>
        <v>-1.1021083169088095</v>
      </c>
      <c r="V301" s="383">
        <f t="shared" si="107"/>
        <v>24.2450768082001</v>
      </c>
      <c r="W301" s="58"/>
      <c r="X301" s="157">
        <f t="shared" si="108"/>
        <v>43752</v>
      </c>
      <c r="Y301" s="385">
        <f t="shared" si="109"/>
        <v>6.8630000000000004</v>
      </c>
      <c r="Z301" s="385">
        <f t="shared" si="110"/>
        <v>6.9451105065209369</v>
      </c>
      <c r="AA301" s="386">
        <f t="shared" si="111"/>
        <v>7.516692086633217</v>
      </c>
      <c r="AB301" s="197">
        <f t="shared" si="112"/>
        <v>43752</v>
      </c>
      <c r="AC301" s="427">
        <f>IF(OR(t&lt;Tnet,NoTnet),'2018'!Resal_s+('2018'!Salim-'2018'!Resal_s)*(1-EXP(('2018'!Tnet_s-t)/'2018'!Tau_j)),Resal_s+(Salim-Resal_s)*(1-EXP((Tnet_s-t)/Tau_j)))*Salcycl</f>
        <v>7.6041638199961931E-2</v>
      </c>
      <c r="AD301" s="231">
        <f>(INDEX(Models!$BJ301:$BT301,,AH301)*(1-AF301)+INDEX(Models!$BJ301:$BT301,,AH301+1)*AF301-ERP_i)*AE301*Ramure*Pc/MaxiM</f>
        <v>6.3914115688550712E-3</v>
      </c>
      <c r="AE301" s="305">
        <f t="shared" si="113"/>
        <v>0.7</v>
      </c>
      <c r="AF301" s="177">
        <f t="shared" si="114"/>
        <v>0.8978916830911905</v>
      </c>
      <c r="AG301" s="176">
        <f t="shared" si="115"/>
        <v>-2</v>
      </c>
      <c r="AH301" s="176">
        <f t="shared" si="116"/>
        <v>4</v>
      </c>
      <c r="AI301" s="225">
        <f t="shared" si="117"/>
        <v>-1.1021083169088095</v>
      </c>
      <c r="AJ301" s="265" t="b">
        <f t="shared" si="118"/>
        <v>0</v>
      </c>
      <c r="AK301" s="265" t="b">
        <f t="shared" si="119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0"/>
        <v>43753</v>
      </c>
      <c r="B302" s="617">
        <v>19.763000000000002</v>
      </c>
      <c r="C302" s="390"/>
      <c r="D302" s="393">
        <f t="shared" si="99"/>
        <v>19.999887114916685</v>
      </c>
      <c r="E302" s="385">
        <f t="shared" si="121"/>
        <v>21.647081131410154</v>
      </c>
      <c r="F302" s="385">
        <f t="shared" si="100"/>
        <v>21.76037530092211</v>
      </c>
      <c r="G302" s="110">
        <f t="shared" si="122"/>
        <v>0.82322760567331132</v>
      </c>
      <c r="H302" s="414" t="b">
        <f>Wh_hp&gt;='2018'!Maxi_hp</f>
        <v>1</v>
      </c>
      <c r="I302" s="390">
        <f>IF(H302,Wh_hp,'2018'!Maxi_hp)</f>
        <v>21.76037530092211</v>
      </c>
      <c r="J302" s="85">
        <f>IF(H302,An,'2018'!An_max)</f>
        <v>2019</v>
      </c>
      <c r="K302" s="197">
        <f t="shared" si="101"/>
        <v>43753</v>
      </c>
      <c r="L302" s="147">
        <f>IF(t&lt;Tvie,1-EXP((T0-t)*PertePVj)+'2018'!Pspv,1-EXP((T0-t)*PertePVj)+Pspv)</f>
        <v>1.1844422598765725E-2</v>
      </c>
      <c r="M302" s="850"/>
      <c r="N302" s="850"/>
      <c r="O302" s="48">
        <f>IF(t&lt;Tnet,'2018'!Resal+('2018'!Salim-'2018'!Resal)*(1-EXP(('2018'!Tnet-t)/('2018'!Tau_j))),Resal+(Salim-Resal)*(1-EXP((Tnet-t)/(Tau_j))))*Salcycl</f>
        <v>7.6093123432857374E-2</v>
      </c>
      <c r="P302" s="169">
        <f>(INDEX(Models!$BJ302:$BT302,,T302)*(1-R302)+INDEX(Models!$BJ302:$BT302,,T302+1)*R302-ERP_i)*Q302*Ramure*Pc/MaxiM</f>
        <v>6.9462923263834781E-3</v>
      </c>
      <c r="Q302" s="305">
        <f t="shared" si="102"/>
        <v>0.7</v>
      </c>
      <c r="R302" s="177">
        <f t="shared" si="103"/>
        <v>0.89798140360583023</v>
      </c>
      <c r="S302" s="817">
        <f t="shared" si="104"/>
        <v>-2</v>
      </c>
      <c r="T302" s="176">
        <f t="shared" si="105"/>
        <v>4</v>
      </c>
      <c r="U302" s="251">
        <f t="shared" si="106"/>
        <v>-1.1020185963941698</v>
      </c>
      <c r="V302" s="383">
        <f t="shared" si="107"/>
        <v>23.964739857632807</v>
      </c>
      <c r="W302" s="58"/>
      <c r="X302" s="157">
        <f t="shared" si="108"/>
        <v>43753</v>
      </c>
      <c r="Y302" s="385">
        <f t="shared" si="109"/>
        <v>19.763000000000002</v>
      </c>
      <c r="Z302" s="385">
        <f t="shared" si="110"/>
        <v>19.999887114916685</v>
      </c>
      <c r="AA302" s="386">
        <f t="shared" si="111"/>
        <v>21.647081131410154</v>
      </c>
      <c r="AB302" s="197">
        <f t="shared" si="112"/>
        <v>43753</v>
      </c>
      <c r="AC302" s="427">
        <f>IF(OR(t&lt;Tnet,NoTnet),'2018'!Resal_s+('2018'!Salim-'2018'!Resal_s)*(1-EXP(('2018'!Tnet_s-t)/'2018'!Tau_j)),Resal_s+(Salim-Resal_s)*(1-EXP((Tnet_s-t)/Tau_j)))*Salcycl</f>
        <v>7.6093123432857374E-2</v>
      </c>
      <c r="AD302" s="231">
        <f>(INDEX(Models!$BJ302:$BT302,,AH302)*(1-AF302)+INDEX(Models!$BJ302:$BT302,,AH302+1)*AF302-ERP_i)*AE302*Ramure*Pc/MaxiM</f>
        <v>6.9462923263834781E-3</v>
      </c>
      <c r="AE302" s="305">
        <f t="shared" si="113"/>
        <v>0.7</v>
      </c>
      <c r="AF302" s="177">
        <f t="shared" si="114"/>
        <v>0.89798140360583023</v>
      </c>
      <c r="AG302" s="176">
        <f t="shared" si="115"/>
        <v>-2</v>
      </c>
      <c r="AH302" s="176">
        <f t="shared" si="116"/>
        <v>4</v>
      </c>
      <c r="AI302" s="225">
        <f t="shared" si="117"/>
        <v>-1.1020185963941698</v>
      </c>
      <c r="AJ302" s="265" t="b">
        <f t="shared" si="118"/>
        <v>0</v>
      </c>
      <c r="AK302" s="265" t="b">
        <f t="shared" si="119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0"/>
        <v>43754</v>
      </c>
      <c r="B303" s="617">
        <v>20.138999999999999</v>
      </c>
      <c r="C303" s="390"/>
      <c r="D303" s="393">
        <f t="shared" si="99"/>
        <v>20.380840391967176</v>
      </c>
      <c r="E303" s="385">
        <f t="shared" si="121"/>
        <v>22.060609943097255</v>
      </c>
      <c r="F303" s="385">
        <f t="shared" si="100"/>
        <v>22.191841217096588</v>
      </c>
      <c r="G303" s="110">
        <f t="shared" si="122"/>
        <v>0.8490550321664263</v>
      </c>
      <c r="H303" s="414" t="b">
        <f>Wh_hp&gt;='2018'!Maxi_hp</f>
        <v>1</v>
      </c>
      <c r="I303" s="390">
        <f>IF(H303,Wh_hp,'2018'!Maxi_hp)</f>
        <v>22.191841217096588</v>
      </c>
      <c r="J303" s="85">
        <f>IF(H303,An,'2018'!An_max)</f>
        <v>2019</v>
      </c>
      <c r="K303" s="197">
        <f t="shared" si="101"/>
        <v>43754</v>
      </c>
      <c r="L303" s="147">
        <f>IF(t&lt;Tvie,1-EXP((T0-t)*PertePVj)+'2018'!Pspv,1-EXP((T0-t)*PertePVj)+Pspv)</f>
        <v>1.1866065741945264E-2</v>
      </c>
      <c r="M303" s="850"/>
      <c r="N303" s="850"/>
      <c r="O303" s="48">
        <f>IF(t&lt;Tnet,'2018'!Resal+('2018'!Salim-'2018'!Resal)*(1-EXP(('2018'!Tnet-t)/('2018'!Tau_j))),Resal+(Salim-Resal)*(1-EXP((Tnet-t)/(Tau_j))))*Salcycl</f>
        <v>7.6143386581914316E-2</v>
      </c>
      <c r="P303" s="169">
        <f>(INDEX(Models!$BJ303:$BT303,,T303)*(1-R303)+INDEX(Models!$BJ303:$BT303,,T303+1)*R303-ERP_i)*Q303*Ramure*Pc/MaxiM</f>
        <v>7.5203868154681448E-3</v>
      </c>
      <c r="Q303" s="305">
        <f t="shared" si="102"/>
        <v>0.7</v>
      </c>
      <c r="R303" s="177">
        <f t="shared" si="103"/>
        <v>0.8980675498260029</v>
      </c>
      <c r="S303" s="817">
        <f t="shared" si="104"/>
        <v>-2</v>
      </c>
      <c r="T303" s="176">
        <f t="shared" si="105"/>
        <v>4</v>
      </c>
      <c r="U303" s="251">
        <f t="shared" si="106"/>
        <v>-1.1019324501739971</v>
      </c>
      <c r="V303" s="383">
        <f t="shared" si="107"/>
        <v>23.680969402221589</v>
      </c>
      <c r="W303" s="58"/>
      <c r="X303" s="157">
        <f t="shared" si="108"/>
        <v>43754</v>
      </c>
      <c r="Y303" s="385">
        <f t="shared" si="109"/>
        <v>20.138999999999999</v>
      </c>
      <c r="Z303" s="385">
        <f t="shared" si="110"/>
        <v>20.380840391967176</v>
      </c>
      <c r="AA303" s="386">
        <f t="shared" si="111"/>
        <v>22.060609943097255</v>
      </c>
      <c r="AB303" s="197">
        <f t="shared" si="112"/>
        <v>43754</v>
      </c>
      <c r="AC303" s="427">
        <f>IF(OR(t&lt;Tnet,NoTnet),'2018'!Resal_s+('2018'!Salim-'2018'!Resal_s)*(1-EXP(('2018'!Tnet_s-t)/'2018'!Tau_j)),Resal_s+(Salim-Resal_s)*(1-EXP((Tnet_s-t)/Tau_j)))*Salcycl</f>
        <v>7.6143386581914316E-2</v>
      </c>
      <c r="AD303" s="231">
        <f>(INDEX(Models!$BJ303:$BT303,,AH303)*(1-AF303)+INDEX(Models!$BJ303:$BT303,,AH303+1)*AF303-ERP_i)*AE303*Ramure*Pc/MaxiM</f>
        <v>7.5203868154681448E-3</v>
      </c>
      <c r="AE303" s="305">
        <f t="shared" si="113"/>
        <v>0.7</v>
      </c>
      <c r="AF303" s="177">
        <f t="shared" si="114"/>
        <v>0.8980675498260029</v>
      </c>
      <c r="AG303" s="176">
        <f t="shared" si="115"/>
        <v>-2</v>
      </c>
      <c r="AH303" s="176">
        <f t="shared" si="116"/>
        <v>4</v>
      </c>
      <c r="AI303" s="225">
        <f t="shared" si="117"/>
        <v>-1.1019324501739971</v>
      </c>
      <c r="AJ303" s="265" t="b">
        <f t="shared" si="118"/>
        <v>0</v>
      </c>
      <c r="AK303" s="265" t="b">
        <f t="shared" si="119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0"/>
        <v>43755</v>
      </c>
      <c r="B304" s="617">
        <v>11.797000000000001</v>
      </c>
      <c r="C304" s="390"/>
      <c r="D304" s="393">
        <f t="shared" si="99"/>
        <v>11.938926476696343</v>
      </c>
      <c r="E304" s="385">
        <f t="shared" si="121"/>
        <v>12.923607861929685</v>
      </c>
      <c r="F304" s="385">
        <f t="shared" si="100"/>
        <v>12.954312517427294</v>
      </c>
      <c r="G304" s="110">
        <f t="shared" si="122"/>
        <v>0.50138537007242057</v>
      </c>
      <c r="H304" s="414" t="b">
        <f>Wh_hp&gt;='2018'!Maxi_hp</f>
        <v>0</v>
      </c>
      <c r="I304" s="390">
        <f>IF(H304,Wh_hp,'2018'!Maxi_hp)</f>
        <v>14.937723797625093</v>
      </c>
      <c r="J304" s="85">
        <f>IF(H304,An,'2018'!An_max)</f>
        <v>2018</v>
      </c>
      <c r="K304" s="197">
        <f t="shared" si="101"/>
        <v>43755</v>
      </c>
      <c r="L304" s="147">
        <f>IF(t&lt;Tvie,1-EXP((T0-t)*PertePVj)+'2018'!Pspv,1-EXP((T0-t)*PertePVj)+Pspv)</f>
        <v>1.1887708411084441E-2</v>
      </c>
      <c r="M304" s="850"/>
      <c r="N304" s="850"/>
      <c r="O304" s="48">
        <f>IF(t&lt;Tnet,'2018'!Resal+('2018'!Salim-'2018'!Resal)*(1-EXP(('2018'!Tnet-t)/('2018'!Tau_j))),Resal+(Salim-Resal)*(1-EXP((Tnet-t)/(Tau_j))))*Salcycl</f>
        <v>7.6192453048193581E-2</v>
      </c>
      <c r="P304" s="169">
        <f>(INDEX(Models!$BJ304:$BT304,,T304)*(1-R304)+INDEX(Models!$BJ304:$BT304,,T304+1)*R304-ERP_i)*Q304*Ramure*Pc/MaxiM</f>
        <v>8.1214825089925054E-3</v>
      </c>
      <c r="Q304" s="305">
        <f t="shared" si="102"/>
        <v>0.7</v>
      </c>
      <c r="R304" s="177">
        <f t="shared" si="103"/>
        <v>0.89815026267865683</v>
      </c>
      <c r="S304" s="817">
        <f t="shared" si="104"/>
        <v>-2</v>
      </c>
      <c r="T304" s="176">
        <f t="shared" si="105"/>
        <v>4</v>
      </c>
      <c r="U304" s="251">
        <f t="shared" si="106"/>
        <v>-1.1018497373213432</v>
      </c>
      <c r="V304" s="383">
        <f t="shared" si="107"/>
        <v>23.393166090210102</v>
      </c>
      <c r="W304" s="58"/>
      <c r="X304" s="157">
        <f t="shared" si="108"/>
        <v>43755</v>
      </c>
      <c r="Y304" s="385">
        <f t="shared" si="109"/>
        <v>11.797000000000001</v>
      </c>
      <c r="Z304" s="385">
        <f t="shared" si="110"/>
        <v>11.938926476696343</v>
      </c>
      <c r="AA304" s="386">
        <f t="shared" si="111"/>
        <v>12.923607861929685</v>
      </c>
      <c r="AB304" s="197">
        <f t="shared" si="112"/>
        <v>43755</v>
      </c>
      <c r="AC304" s="427">
        <f>IF(OR(t&lt;Tnet,NoTnet),'2018'!Resal_s+('2018'!Salim-'2018'!Resal_s)*(1-EXP(('2018'!Tnet_s-t)/'2018'!Tau_j)),Resal_s+(Salim-Resal_s)*(1-EXP((Tnet_s-t)/Tau_j)))*Salcycl</f>
        <v>7.6192453048193581E-2</v>
      </c>
      <c r="AD304" s="231">
        <f>(INDEX(Models!$BJ304:$BT304,,AH304)*(1-AF304)+INDEX(Models!$BJ304:$BT304,,AH304+1)*AF304-ERP_i)*AE304*Ramure*Pc/MaxiM</f>
        <v>8.1214825089925054E-3</v>
      </c>
      <c r="AE304" s="305">
        <f t="shared" si="113"/>
        <v>0.7</v>
      </c>
      <c r="AF304" s="177">
        <f t="shared" si="114"/>
        <v>0.89815026267865683</v>
      </c>
      <c r="AG304" s="176">
        <f t="shared" si="115"/>
        <v>-2</v>
      </c>
      <c r="AH304" s="176">
        <f t="shared" si="116"/>
        <v>4</v>
      </c>
      <c r="AI304" s="225">
        <f t="shared" si="117"/>
        <v>-1.1018497373213432</v>
      </c>
      <c r="AJ304" s="265" t="b">
        <f t="shared" si="118"/>
        <v>0</v>
      </c>
      <c r="AK304" s="265" t="b">
        <f t="shared" si="119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0"/>
        <v>43756</v>
      </c>
      <c r="B305" s="617">
        <v>9.0890000000000004</v>
      </c>
      <c r="C305" s="390"/>
      <c r="D305" s="393">
        <f t="shared" si="99"/>
        <v>9.1985487420370813</v>
      </c>
      <c r="E305" s="385">
        <f t="shared" si="121"/>
        <v>9.9577295513887947</v>
      </c>
      <c r="F305" s="385">
        <f t="shared" si="100"/>
        <v>9.9693647049370675</v>
      </c>
      <c r="G305" s="110">
        <f t="shared" si="122"/>
        <v>0.39044842215333997</v>
      </c>
      <c r="H305" s="414" t="b">
        <f>Wh_hp&gt;='2018'!Maxi_hp</f>
        <v>1</v>
      </c>
      <c r="I305" s="390">
        <f>IF(H305,Wh_hp,'2018'!Maxi_hp)</f>
        <v>9.9693647049370675</v>
      </c>
      <c r="J305" s="85">
        <f>IF(H305,An,'2018'!An_max)</f>
        <v>2019</v>
      </c>
      <c r="K305" s="197">
        <f t="shared" si="101"/>
        <v>43756</v>
      </c>
      <c r="L305" s="147">
        <f>IF(t&lt;Tvie,1-EXP((T0-t)*PertePVj)+'2018'!Pspv,1-EXP((T0-t)*PertePVj)+Pspv)</f>
        <v>1.1909350606193581E-2</v>
      </c>
      <c r="M305" s="850"/>
      <c r="N305" s="850"/>
      <c r="O305" s="48">
        <f>IF(t&lt;Tnet,'2018'!Resal+('2018'!Salim-'2018'!Resal)*(1-EXP(('2018'!Tnet-t)/('2018'!Tau_j))),Resal+(Salim-Resal)*(1-EXP((Tnet-t)/(Tau_j))))*Salcycl</f>
        <v>7.6240352324675312E-2</v>
      </c>
      <c r="P305" s="169">
        <f>(INDEX(Models!$BJ305:$BT305,,T305)*(1-R305)+INDEX(Models!$BJ305:$BT305,,T305+1)*R305-ERP_i)*Q305*Ramure*Pc/MaxiM</f>
        <v>8.7438572647859248E-3</v>
      </c>
      <c r="Q305" s="305">
        <f t="shared" si="102"/>
        <v>0.7</v>
      </c>
      <c r="R305" s="177">
        <f t="shared" si="103"/>
        <v>0.89822967764947226</v>
      </c>
      <c r="S305" s="817">
        <f t="shared" si="104"/>
        <v>-2</v>
      </c>
      <c r="T305" s="176">
        <f t="shared" si="105"/>
        <v>4</v>
      </c>
      <c r="U305" s="251">
        <f t="shared" si="106"/>
        <v>-1.1017703223505277</v>
      </c>
      <c r="V305" s="383">
        <f t="shared" si="107"/>
        <v>23.101781929898614</v>
      </c>
      <c r="W305" s="58"/>
      <c r="X305" s="157">
        <f t="shared" si="108"/>
        <v>43756</v>
      </c>
      <c r="Y305" s="385">
        <f t="shared" si="109"/>
        <v>9.0890000000000004</v>
      </c>
      <c r="Z305" s="385">
        <f t="shared" si="110"/>
        <v>9.1985487420370813</v>
      </c>
      <c r="AA305" s="386">
        <f t="shared" si="111"/>
        <v>9.9577295513887947</v>
      </c>
      <c r="AB305" s="197">
        <f t="shared" si="112"/>
        <v>43756</v>
      </c>
      <c r="AC305" s="427">
        <f>IF(OR(t&lt;Tnet,NoTnet),'2018'!Resal_s+('2018'!Salim-'2018'!Resal_s)*(1-EXP(('2018'!Tnet_s-t)/'2018'!Tau_j)),Resal_s+(Salim-Resal_s)*(1-EXP((Tnet_s-t)/Tau_j)))*Salcycl</f>
        <v>7.6240352324675312E-2</v>
      </c>
      <c r="AD305" s="231">
        <f>(INDEX(Models!$BJ305:$BT305,,AH305)*(1-AF305)+INDEX(Models!$BJ305:$BT305,,AH305+1)*AF305-ERP_i)*AE305*Ramure*Pc/MaxiM</f>
        <v>8.7438572647859248E-3</v>
      </c>
      <c r="AE305" s="305">
        <f t="shared" si="113"/>
        <v>0.7</v>
      </c>
      <c r="AF305" s="177">
        <f t="shared" si="114"/>
        <v>0.89822967764947226</v>
      </c>
      <c r="AG305" s="176">
        <f t="shared" si="115"/>
        <v>-2</v>
      </c>
      <c r="AH305" s="176">
        <f t="shared" si="116"/>
        <v>4</v>
      </c>
      <c r="AI305" s="225">
        <f t="shared" si="117"/>
        <v>-1.1017703223505277</v>
      </c>
      <c r="AJ305" s="265" t="b">
        <f t="shared" si="118"/>
        <v>0</v>
      </c>
      <c r="AK305" s="265" t="b">
        <f t="shared" si="119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0"/>
        <v>43757</v>
      </c>
      <c r="B306" s="617">
        <v>17.751000000000001</v>
      </c>
      <c r="C306" s="390"/>
      <c r="D306" s="393">
        <f t="shared" si="99"/>
        <v>17.965344386026683</v>
      </c>
      <c r="E306" s="385">
        <f t="shared" si="121"/>
        <v>19.449056883681678</v>
      </c>
      <c r="F306" s="385">
        <f t="shared" si="100"/>
        <v>19.574628477589577</v>
      </c>
      <c r="G306" s="110">
        <f t="shared" si="122"/>
        <v>0.7759807701580228</v>
      </c>
      <c r="H306" s="414" t="b">
        <f>Wh_hp&gt;='2018'!Maxi_hp</f>
        <v>1</v>
      </c>
      <c r="I306" s="390">
        <f>IF(H306,Wh_hp,'2018'!Maxi_hp)</f>
        <v>19.574628477589577</v>
      </c>
      <c r="J306" s="85">
        <f>IF(H306,An,'2018'!An_max)</f>
        <v>2019</v>
      </c>
      <c r="K306" s="197">
        <f t="shared" si="101"/>
        <v>43757</v>
      </c>
      <c r="L306" s="147">
        <f>IF(t&lt;Tvie,1-EXP((T0-t)*PertePVj)+'2018'!Pspv,1-EXP((T0-t)*PertePVj)+Pspv)</f>
        <v>1.1930992327283008E-2</v>
      </c>
      <c r="M306" s="850"/>
      <c r="N306" s="850"/>
      <c r="O306" s="48">
        <f>IF(t&lt;Tnet,'2018'!Resal+('2018'!Salim-'2018'!Resal)*(1-EXP(('2018'!Tnet-t)/('2018'!Tau_j))),Resal+(Salim-Resal)*(1-EXP((Tnet-t)/(Tau_j))))*Salcycl</f>
        <v>7.6287118009299118E-2</v>
      </c>
      <c r="P306" s="169">
        <f>(INDEX(Models!$BJ306:$BT306,,T306)*(1-R306)+INDEX(Models!$BJ306:$BT306,,T306+1)*R306-ERP_i)*Q306*Ramure*Pc/MaxiM</f>
        <v>9.3882923194387822E-3</v>
      </c>
      <c r="Q306" s="305">
        <f t="shared" si="102"/>
        <v>0.7</v>
      </c>
      <c r="R306" s="177">
        <f t="shared" si="103"/>
        <v>0.89830592498387252</v>
      </c>
      <c r="S306" s="817">
        <f t="shared" si="104"/>
        <v>-2</v>
      </c>
      <c r="T306" s="176">
        <f t="shared" si="105"/>
        <v>4</v>
      </c>
      <c r="U306" s="251">
        <f t="shared" si="106"/>
        <v>-1.1016940750161275</v>
      </c>
      <c r="V306" s="383">
        <f t="shared" si="107"/>
        <v>22.807112400776063</v>
      </c>
      <c r="W306" s="58"/>
      <c r="X306" s="157">
        <f t="shared" si="108"/>
        <v>43757</v>
      </c>
      <c r="Y306" s="385">
        <f t="shared" si="109"/>
        <v>17.751000000000001</v>
      </c>
      <c r="Z306" s="385">
        <f t="shared" si="110"/>
        <v>17.965344386026683</v>
      </c>
      <c r="AA306" s="386">
        <f t="shared" si="111"/>
        <v>19.449056883681678</v>
      </c>
      <c r="AB306" s="197">
        <f t="shared" si="112"/>
        <v>43757</v>
      </c>
      <c r="AC306" s="427">
        <f>IF(OR(t&lt;Tnet,NoTnet),'2018'!Resal_s+('2018'!Salim-'2018'!Resal_s)*(1-EXP(('2018'!Tnet_s-t)/'2018'!Tau_j)),Resal_s+(Salim-Resal_s)*(1-EXP((Tnet_s-t)/Tau_j)))*Salcycl</f>
        <v>7.6287118009299118E-2</v>
      </c>
      <c r="AD306" s="231">
        <f>(INDEX(Models!$BJ306:$BT306,,AH306)*(1-AF306)+INDEX(Models!$BJ306:$BT306,,AH306+1)*AF306-ERP_i)*AE306*Ramure*Pc/MaxiM</f>
        <v>9.3882923194387822E-3</v>
      </c>
      <c r="AE306" s="305">
        <f t="shared" si="113"/>
        <v>0.7</v>
      </c>
      <c r="AF306" s="177">
        <f t="shared" si="114"/>
        <v>0.89830592498387252</v>
      </c>
      <c r="AG306" s="176">
        <f t="shared" si="115"/>
        <v>-2</v>
      </c>
      <c r="AH306" s="176">
        <f t="shared" si="116"/>
        <v>4</v>
      </c>
      <c r="AI306" s="225">
        <f t="shared" si="117"/>
        <v>-1.1016940750161275</v>
      </c>
      <c r="AJ306" s="265" t="b">
        <f t="shared" si="118"/>
        <v>0</v>
      </c>
      <c r="AK306" s="265" t="b">
        <f t="shared" si="119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0"/>
        <v>43758</v>
      </c>
      <c r="B307" s="617">
        <v>7.77</v>
      </c>
      <c r="C307" s="390"/>
      <c r="D307" s="393">
        <f t="shared" si="99"/>
        <v>7.8639954561174301</v>
      </c>
      <c r="E307" s="385">
        <f t="shared" si="121"/>
        <v>8.5138839532105539</v>
      </c>
      <c r="F307" s="385">
        <f t="shared" si="100"/>
        <v>8.5194142135813014</v>
      </c>
      <c r="G307" s="110">
        <f t="shared" si="122"/>
        <v>0.34193920295214358</v>
      </c>
      <c r="H307" s="414" t="b">
        <f>Wh_hp&gt;='2018'!Maxi_hp</f>
        <v>1</v>
      </c>
      <c r="I307" s="390">
        <f>IF(H307,Wh_hp,'2018'!Maxi_hp)</f>
        <v>8.5194142135813014</v>
      </c>
      <c r="J307" s="85">
        <f>IF(H307,An,'2018'!An_max)</f>
        <v>2019</v>
      </c>
      <c r="K307" s="197">
        <f t="shared" si="101"/>
        <v>43758</v>
      </c>
      <c r="L307" s="147">
        <f>IF(t&lt;Tvie,1-EXP((T0-t)*PertePVj)+'2018'!Pspv,1-EXP((T0-t)*PertePVj)+Pspv)</f>
        <v>1.195263357436338E-2</v>
      </c>
      <c r="M307" s="850"/>
      <c r="N307" s="850"/>
      <c r="O307" s="48">
        <f>IF(t&lt;Tnet,'2018'!Resal+('2018'!Salim-'2018'!Resal)*(1-EXP(('2018'!Tnet-t)/('2018'!Tau_j))),Resal+(Salim-Resal)*(1-EXP((Tnet-t)/(Tau_j))))*Salcycl</f>
        <v>7.633278779282085E-2</v>
      </c>
      <c r="P307" s="169">
        <f>(INDEX(Models!$BJ307:$BT307,,T307)*(1-R307)+INDEX(Models!$BJ307:$BT307,,T307+1)*R307-ERP_i)*Q307*Ramure*Pc/MaxiM</f>
        <v>1.0055594907572627E-2</v>
      </c>
      <c r="Q307" s="305">
        <f t="shared" si="102"/>
        <v>0.7</v>
      </c>
      <c r="R307" s="177">
        <f t="shared" si="103"/>
        <v>0.89837912988133062</v>
      </c>
      <c r="S307" s="817">
        <f t="shared" si="104"/>
        <v>-2</v>
      </c>
      <c r="T307" s="176">
        <f t="shared" si="105"/>
        <v>4</v>
      </c>
      <c r="U307" s="251">
        <f t="shared" si="106"/>
        <v>-1.1016208701186694</v>
      </c>
      <c r="V307" s="383">
        <f t="shared" si="107"/>
        <v>22.50945277572648</v>
      </c>
      <c r="W307" s="58"/>
      <c r="X307" s="157">
        <f t="shared" si="108"/>
        <v>43758</v>
      </c>
      <c r="Y307" s="385">
        <f t="shared" si="109"/>
        <v>7.77</v>
      </c>
      <c r="Z307" s="385">
        <f t="shared" si="110"/>
        <v>7.8639954561174301</v>
      </c>
      <c r="AA307" s="386">
        <f t="shared" si="111"/>
        <v>8.5138839532105539</v>
      </c>
      <c r="AB307" s="197">
        <f t="shared" si="112"/>
        <v>43758</v>
      </c>
      <c r="AC307" s="427">
        <f>IF(OR(t&lt;Tnet,NoTnet),'2018'!Resal_s+('2018'!Salim-'2018'!Resal_s)*(1-EXP(('2018'!Tnet_s-t)/'2018'!Tau_j)),Resal_s+(Salim-Resal_s)*(1-EXP((Tnet_s-t)/Tau_j)))*Salcycl</f>
        <v>7.633278779282085E-2</v>
      </c>
      <c r="AD307" s="231">
        <f>(INDEX(Models!$BJ307:$BT307,,AH307)*(1-AF307)+INDEX(Models!$BJ307:$BT307,,AH307+1)*AF307-ERP_i)*AE307*Ramure*Pc/MaxiM</f>
        <v>1.0055594907572627E-2</v>
      </c>
      <c r="AE307" s="305">
        <f t="shared" si="113"/>
        <v>0.7</v>
      </c>
      <c r="AF307" s="177">
        <f t="shared" si="114"/>
        <v>0.89837912988133062</v>
      </c>
      <c r="AG307" s="176">
        <f t="shared" si="115"/>
        <v>-2</v>
      </c>
      <c r="AH307" s="176">
        <f t="shared" si="116"/>
        <v>4</v>
      </c>
      <c r="AI307" s="225">
        <f t="shared" si="117"/>
        <v>-1.1016208701186694</v>
      </c>
      <c r="AJ307" s="265" t="b">
        <f t="shared" si="118"/>
        <v>0</v>
      </c>
      <c r="AK307" s="265" t="b">
        <f t="shared" si="119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0"/>
        <v>43759</v>
      </c>
      <c r="B308" s="617">
        <v>13.648999999999999</v>
      </c>
      <c r="C308" s="390"/>
      <c r="D308" s="393">
        <f t="shared" si="99"/>
        <v>13.814417626611219</v>
      </c>
      <c r="E308" s="385">
        <f t="shared" si="121"/>
        <v>14.956777451933757</v>
      </c>
      <c r="F308" s="385">
        <f t="shared" si="100"/>
        <v>15.02935928669431</v>
      </c>
      <c r="G308" s="110">
        <f t="shared" si="122"/>
        <v>0.61091374721884528</v>
      </c>
      <c r="H308" s="414" t="b">
        <f>Wh_hp&gt;='2018'!Maxi_hp</f>
        <v>1</v>
      </c>
      <c r="I308" s="390">
        <f>IF(H308,Wh_hp,'2018'!Maxi_hp)</f>
        <v>15.02935928669431</v>
      </c>
      <c r="J308" s="85">
        <f>IF(H308,An,'2018'!An_max)</f>
        <v>2019</v>
      </c>
      <c r="K308" s="197">
        <f t="shared" si="101"/>
        <v>43759</v>
      </c>
      <c r="L308" s="147">
        <f>IF(t&lt;Tvie,1-EXP((T0-t)*PertePVj)+'2018'!Pspv,1-EXP((T0-t)*PertePVj)+Pspv)</f>
        <v>1.1974274347444802E-2</v>
      </c>
      <c r="M308" s="850"/>
      <c r="N308" s="850"/>
      <c r="O308" s="48">
        <f>IF(t&lt;Tnet,'2018'!Resal+('2018'!Salim-'2018'!Resal)*(1-EXP(('2018'!Tnet-t)/('2018'!Tau_j))),Resal+(Salim-Resal)*(1-EXP((Tnet-t)/(Tau_j))))*Salcycl</f>
        <v>7.6377403420871431E-2</v>
      </c>
      <c r="P308" s="169">
        <f>(INDEX(Models!$BJ308:$BT308,,T308)*(1-R308)+INDEX(Models!$BJ308:$BT308,,T308+1)*R308-ERP_i)*Q308*Ramure*Pc/MaxiM</f>
        <v>1.0746598843123317E-2</v>
      </c>
      <c r="Q308" s="305">
        <f t="shared" si="102"/>
        <v>0.7</v>
      </c>
      <c r="R308" s="177">
        <f t="shared" si="103"/>
        <v>0.8984494126831406</v>
      </c>
      <c r="S308" s="817">
        <f t="shared" si="104"/>
        <v>-2</v>
      </c>
      <c r="T308" s="176">
        <f t="shared" si="105"/>
        <v>4</v>
      </c>
      <c r="U308" s="251">
        <f t="shared" si="106"/>
        <v>-1.1015505873168594</v>
      </c>
      <c r="V308" s="383">
        <f t="shared" si="107"/>
        <v>22.209098119902567</v>
      </c>
      <c r="W308" s="58"/>
      <c r="X308" s="157">
        <f t="shared" si="108"/>
        <v>43759</v>
      </c>
      <c r="Y308" s="385">
        <f t="shared" si="109"/>
        <v>13.648999999999999</v>
      </c>
      <c r="Z308" s="385">
        <f t="shared" si="110"/>
        <v>13.814417626611219</v>
      </c>
      <c r="AA308" s="386">
        <f t="shared" si="111"/>
        <v>14.956777451933757</v>
      </c>
      <c r="AB308" s="197">
        <f t="shared" si="112"/>
        <v>43759</v>
      </c>
      <c r="AC308" s="427">
        <f>IF(OR(t&lt;Tnet,NoTnet),'2018'!Resal_s+('2018'!Salim-'2018'!Resal_s)*(1-EXP(('2018'!Tnet_s-t)/'2018'!Tau_j)),Resal_s+(Salim-Resal_s)*(1-EXP((Tnet_s-t)/Tau_j)))*Salcycl</f>
        <v>7.6377403420871431E-2</v>
      </c>
      <c r="AD308" s="231">
        <f>(INDEX(Models!$BJ308:$BT308,,AH308)*(1-AF308)+INDEX(Models!$BJ308:$BT308,,AH308+1)*AF308-ERP_i)*AE308*Ramure*Pc/MaxiM</f>
        <v>1.0746598843123317E-2</v>
      </c>
      <c r="AE308" s="305">
        <f t="shared" si="113"/>
        <v>0.7</v>
      </c>
      <c r="AF308" s="177">
        <f t="shared" si="114"/>
        <v>0.8984494126831406</v>
      </c>
      <c r="AG308" s="176">
        <f t="shared" si="115"/>
        <v>-2</v>
      </c>
      <c r="AH308" s="176">
        <f t="shared" si="116"/>
        <v>4</v>
      </c>
      <c r="AI308" s="225">
        <f t="shared" si="117"/>
        <v>-1.1015505873168594</v>
      </c>
      <c r="AJ308" s="265" t="b">
        <f t="shared" si="118"/>
        <v>0</v>
      </c>
      <c r="AK308" s="265" t="b">
        <f t="shared" si="119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0"/>
        <v>43760</v>
      </c>
      <c r="B309" s="617">
        <v>2.6070000000000002</v>
      </c>
      <c r="C309" s="390"/>
      <c r="D309" s="393">
        <f t="shared" si="99"/>
        <v>2.6386530568518207</v>
      </c>
      <c r="E309" s="385">
        <f t="shared" si="121"/>
        <v>2.856986881708047</v>
      </c>
      <c r="F309" s="385">
        <f t="shared" si="100"/>
        <v>2.856986881708047</v>
      </c>
      <c r="G309" s="110">
        <f t="shared" si="122"/>
        <v>0.11764255232150157</v>
      </c>
      <c r="H309" s="414" t="b">
        <f>Wh_hp&gt;='2018'!Maxi_hp</f>
        <v>0</v>
      </c>
      <c r="I309" s="390">
        <f>IF(H309,Wh_hp,'2018'!Maxi_hp)</f>
        <v>14.237838156940267</v>
      </c>
      <c r="J309" s="85">
        <f>IF(H309,An,'2018'!An_max)</f>
        <v>2018</v>
      </c>
      <c r="K309" s="197">
        <f t="shared" si="101"/>
        <v>43760</v>
      </c>
      <c r="L309" s="147">
        <f>IF(t&lt;Tvie,1-EXP((T0-t)*PertePVj)+'2018'!Pspv,1-EXP((T0-t)*PertePVj)+Pspv)</f>
        <v>1.199591464653782E-2</v>
      </c>
      <c r="M309" s="850"/>
      <c r="N309" s="850"/>
      <c r="O309" s="48">
        <f>IF(t&lt;Tnet,'2018'!Resal+('2018'!Salim-'2018'!Resal)*(1-EXP(('2018'!Tnet-t)/('2018'!Tau_j))),Resal+(Salim-Resal)*(1-EXP((Tnet-t)/(Tau_j))))*Salcycl</f>
        <v>7.6421010629805816E-2</v>
      </c>
      <c r="P309" s="169">
        <f>(INDEX(Models!$BJ309:$BT309,,T309)*(1-R309)+INDEX(Models!$BJ309:$BT309,,T309+1)*R309-ERP_i)*Q309*Ramure*Pc/MaxiM</f>
        <v>1.1462164988634838E-2</v>
      </c>
      <c r="Q309" s="305">
        <f t="shared" si="102"/>
        <v>0.7</v>
      </c>
      <c r="R309" s="177">
        <f t="shared" si="103"/>
        <v>0.89851688905381466</v>
      </c>
      <c r="S309" s="817">
        <f t="shared" si="104"/>
        <v>-2</v>
      </c>
      <c r="T309" s="176">
        <f t="shared" si="105"/>
        <v>4</v>
      </c>
      <c r="U309" s="251">
        <f t="shared" si="106"/>
        <v>-1.1014831109461853</v>
      </c>
      <c r="V309" s="383">
        <f t="shared" si="107"/>
        <v>21.906343283267994</v>
      </c>
      <c r="W309" s="58"/>
      <c r="X309" s="157">
        <f t="shared" si="108"/>
        <v>43760</v>
      </c>
      <c r="Y309" s="385">
        <f t="shared" si="109"/>
        <v>2.6070000000000002</v>
      </c>
      <c r="Z309" s="385">
        <f t="shared" si="110"/>
        <v>2.6386530568518207</v>
      </c>
      <c r="AA309" s="386">
        <f t="shared" si="111"/>
        <v>2.856986881708047</v>
      </c>
      <c r="AB309" s="197">
        <f t="shared" si="112"/>
        <v>43760</v>
      </c>
      <c r="AC309" s="427">
        <f>IF(OR(t&lt;Tnet,NoTnet),'2018'!Resal_s+('2018'!Salim-'2018'!Resal_s)*(1-EXP(('2018'!Tnet_s-t)/'2018'!Tau_j)),Resal_s+(Salim-Resal_s)*(1-EXP((Tnet_s-t)/Tau_j)))*Salcycl</f>
        <v>7.6421010629805816E-2</v>
      </c>
      <c r="AD309" s="231">
        <f>(INDEX(Models!$BJ309:$BT309,,AH309)*(1-AF309)+INDEX(Models!$BJ309:$BT309,,AH309+1)*AF309-ERP_i)*AE309*Ramure*Pc/MaxiM</f>
        <v>1.1462164988634838E-2</v>
      </c>
      <c r="AE309" s="305">
        <f t="shared" si="113"/>
        <v>0.7</v>
      </c>
      <c r="AF309" s="177">
        <f t="shared" si="114"/>
        <v>0.89851688905381466</v>
      </c>
      <c r="AG309" s="176">
        <f t="shared" si="115"/>
        <v>-2</v>
      </c>
      <c r="AH309" s="176">
        <f t="shared" si="116"/>
        <v>4</v>
      </c>
      <c r="AI309" s="225">
        <f t="shared" si="117"/>
        <v>-1.1014831109461853</v>
      </c>
      <c r="AJ309" s="265" t="b">
        <f t="shared" si="118"/>
        <v>0</v>
      </c>
      <c r="AK309" s="265" t="b">
        <f t="shared" si="119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0"/>
        <v>43761</v>
      </c>
      <c r="B310" s="617">
        <v>10.579000000000001</v>
      </c>
      <c r="C310" s="390"/>
      <c r="D310" s="393">
        <f t="shared" si="99"/>
        <v>10.707680129217909</v>
      </c>
      <c r="E310" s="385">
        <f t="shared" si="121"/>
        <v>11.594216334004363</v>
      </c>
      <c r="F310" s="385">
        <f t="shared" si="100"/>
        <v>11.63262982221633</v>
      </c>
      <c r="G310" s="110">
        <f t="shared" si="122"/>
        <v>0.48536134238321682</v>
      </c>
      <c r="H310" s="414" t="b">
        <f>Wh_hp&gt;='2018'!Maxi_hp</f>
        <v>0</v>
      </c>
      <c r="I310" s="390">
        <f>IF(H310,Wh_hp,'2018'!Maxi_hp)</f>
        <v>23.868421011205619</v>
      </c>
      <c r="J310" s="85">
        <f>IF(H310,An,'2018'!An_max)</f>
        <v>2018</v>
      </c>
      <c r="K310" s="197">
        <f t="shared" si="101"/>
        <v>43761</v>
      </c>
      <c r="L310" s="147">
        <f>IF(t&lt;Tvie,1-EXP((T0-t)*PertePVj)+'2018'!Pspv,1-EXP((T0-t)*PertePVj)+Pspv)</f>
        <v>1.2017554471652647E-2</v>
      </c>
      <c r="M310" s="850"/>
      <c r="N310" s="850"/>
      <c r="O310" s="48">
        <f>IF(t&lt;Tnet,'2018'!Resal+('2018'!Salim-'2018'!Resal)*(1-EXP(('2018'!Tnet-t)/('2018'!Tau_j))),Resal+(Salim-Resal)*(1-EXP((Tnet-t)/(Tau_j))))*Salcycl</f>
        <v>7.6463659056141234E-2</v>
      </c>
      <c r="P310" s="169">
        <f>(INDEX(Models!$BJ310:$BT310,,T310)*(1-R310)+INDEX(Models!$BJ310:$BT310,,T310+1)*R310-ERP_i)*Q310*Ramure*Pc/MaxiM</f>
        <v>1.2183688411426195E-2</v>
      </c>
      <c r="Q310" s="305">
        <f t="shared" si="102"/>
        <v>0.7</v>
      </c>
      <c r="R310" s="177">
        <f t="shared" si="103"/>
        <v>0.89858167015627366</v>
      </c>
      <c r="S310" s="817">
        <f t="shared" si="104"/>
        <v>-2</v>
      </c>
      <c r="T310" s="176">
        <f t="shared" si="105"/>
        <v>4</v>
      </c>
      <c r="U310" s="251">
        <f t="shared" si="106"/>
        <v>-1.1014183298437263</v>
      </c>
      <c r="V310" s="383">
        <f t="shared" si="107"/>
        <v>21.601909179925418</v>
      </c>
      <c r="W310" s="58"/>
      <c r="X310" s="157">
        <f t="shared" si="108"/>
        <v>43761</v>
      </c>
      <c r="Y310" s="385">
        <f t="shared" si="109"/>
        <v>10.579000000000001</v>
      </c>
      <c r="Z310" s="385">
        <f t="shared" si="110"/>
        <v>10.707680129217909</v>
      </c>
      <c r="AA310" s="386">
        <f t="shared" si="111"/>
        <v>11.594216334004363</v>
      </c>
      <c r="AB310" s="197">
        <f t="shared" si="112"/>
        <v>43761</v>
      </c>
      <c r="AC310" s="427">
        <f>IF(OR(t&lt;Tnet,NoTnet),'2018'!Resal_s+('2018'!Salim-'2018'!Resal_s)*(1-EXP(('2018'!Tnet_s-t)/'2018'!Tau_j)),Resal_s+(Salim-Resal_s)*(1-EXP((Tnet_s-t)/Tau_j)))*Salcycl</f>
        <v>7.6463659056141234E-2</v>
      </c>
      <c r="AD310" s="231">
        <f>(INDEX(Models!$BJ310:$BT310,,AH310)*(1-AF310)+INDEX(Models!$BJ310:$BT310,,AH310+1)*AF310-ERP_i)*AE310*Ramure*Pc/MaxiM</f>
        <v>1.2183688411426195E-2</v>
      </c>
      <c r="AE310" s="305">
        <f t="shared" si="113"/>
        <v>0.7</v>
      </c>
      <c r="AF310" s="177">
        <f t="shared" si="114"/>
        <v>0.89858167015627366</v>
      </c>
      <c r="AG310" s="176">
        <f t="shared" si="115"/>
        <v>-2</v>
      </c>
      <c r="AH310" s="176">
        <f t="shared" si="116"/>
        <v>4</v>
      </c>
      <c r="AI310" s="225">
        <f t="shared" si="117"/>
        <v>-1.1014183298437263</v>
      </c>
      <c r="AJ310" s="265" t="b">
        <f t="shared" si="118"/>
        <v>0</v>
      </c>
      <c r="AK310" s="265" t="b">
        <f t="shared" si="119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0"/>
        <v>43762</v>
      </c>
      <c r="B311" s="617">
        <v>12.013999999999999</v>
      </c>
      <c r="C311" s="390"/>
      <c r="D311" s="393">
        <f t="shared" si="99"/>
        <v>12.160401429776126</v>
      </c>
      <c r="E311" s="385">
        <f t="shared" si="121"/>
        <v>13.167810031251495</v>
      </c>
      <c r="F311" s="385">
        <f t="shared" si="100"/>
        <v>13.232270395779118</v>
      </c>
      <c r="G311" s="110">
        <f t="shared" si="122"/>
        <v>0.55958330542185519</v>
      </c>
      <c r="H311" s="414" t="b">
        <f>Wh_hp&gt;='2018'!Maxi_hp</f>
        <v>0</v>
      </c>
      <c r="I311" s="390">
        <f>IF(H311,Wh_hp,'2018'!Maxi_hp)</f>
        <v>23.079409525247385</v>
      </c>
      <c r="J311" s="85">
        <f>IF(H311,An,'2018'!An_max)</f>
        <v>2018</v>
      </c>
      <c r="K311" s="197">
        <f t="shared" si="101"/>
        <v>43762</v>
      </c>
      <c r="L311" s="147">
        <f>IF(t&lt;Tvie,1-EXP((T0-t)*PertePVj)+'2018'!Pspv,1-EXP((T0-t)*PertePVj)+Pspv)</f>
        <v>1.2039193822799832E-2</v>
      </c>
      <c r="M311" s="850"/>
      <c r="N311" s="850"/>
      <c r="O311" s="48">
        <f>IF(t&lt;Tnet,'2018'!Resal+('2018'!Salim-'2018'!Resal)*(1-EXP(('2018'!Tnet-t)/('2018'!Tau_j))),Resal+(Salim-Resal)*(1-EXP((Tnet-t)/(Tau_j))))*Salcycl</f>
        <v>7.650540211959779E-2</v>
      </c>
      <c r="P311" s="169">
        <f>(INDEX(Models!$BJ311:$BT311,,T311)*(1-R311)+INDEX(Models!$BJ311:$BT311,,T311+1)*R311-ERP_i)*Q311*Ramure*Pc/MaxiM</f>
        <v>1.2909866929632086E-2</v>
      </c>
      <c r="Q311" s="305">
        <f t="shared" si="102"/>
        <v>0.7</v>
      </c>
      <c r="R311" s="177">
        <f t="shared" si="103"/>
        <v>0.89864386282099695</v>
      </c>
      <c r="S311" s="817">
        <f t="shared" si="104"/>
        <v>-2</v>
      </c>
      <c r="T311" s="176">
        <f t="shared" si="105"/>
        <v>4</v>
      </c>
      <c r="U311" s="251">
        <f t="shared" si="106"/>
        <v>-1.101356137179003</v>
      </c>
      <c r="V311" s="383">
        <f t="shared" si="107"/>
        <v>21.296120892600804</v>
      </c>
      <c r="W311" s="58"/>
      <c r="X311" s="157">
        <f t="shared" si="108"/>
        <v>43762</v>
      </c>
      <c r="Y311" s="385">
        <f t="shared" si="109"/>
        <v>12.013999999999999</v>
      </c>
      <c r="Z311" s="385">
        <f t="shared" si="110"/>
        <v>12.160401429776126</v>
      </c>
      <c r="AA311" s="386">
        <f t="shared" si="111"/>
        <v>13.167810031251495</v>
      </c>
      <c r="AB311" s="197">
        <f t="shared" si="112"/>
        <v>43762</v>
      </c>
      <c r="AC311" s="427">
        <f>IF(OR(t&lt;Tnet,NoTnet),'2018'!Resal_s+('2018'!Salim-'2018'!Resal_s)*(1-EXP(('2018'!Tnet_s-t)/'2018'!Tau_j)),Resal_s+(Salim-Resal_s)*(1-EXP((Tnet_s-t)/Tau_j)))*Salcycl</f>
        <v>7.650540211959779E-2</v>
      </c>
      <c r="AD311" s="231">
        <f>(INDEX(Models!$BJ311:$BT311,,AH311)*(1-AF311)+INDEX(Models!$BJ311:$BT311,,AH311+1)*AF311-ERP_i)*AE311*Ramure*Pc/MaxiM</f>
        <v>1.2909866929632086E-2</v>
      </c>
      <c r="AE311" s="305">
        <f t="shared" si="113"/>
        <v>0.7</v>
      </c>
      <c r="AF311" s="177">
        <f t="shared" si="114"/>
        <v>0.89864386282099695</v>
      </c>
      <c r="AG311" s="176">
        <f t="shared" si="115"/>
        <v>-2</v>
      </c>
      <c r="AH311" s="176">
        <f t="shared" si="116"/>
        <v>4</v>
      </c>
      <c r="AI311" s="225">
        <f t="shared" si="117"/>
        <v>-1.101356137179003</v>
      </c>
      <c r="AJ311" s="265" t="b">
        <f t="shared" si="118"/>
        <v>0</v>
      </c>
      <c r="AK311" s="265" t="b">
        <f t="shared" si="119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0"/>
        <v>43763</v>
      </c>
      <c r="B312" s="617">
        <v>16.696999999999999</v>
      </c>
      <c r="C312" s="390"/>
      <c r="D312" s="393">
        <f t="shared" si="99"/>
        <v>16.900838181800289</v>
      </c>
      <c r="E312" s="385">
        <f t="shared" si="121"/>
        <v>18.301770976388195</v>
      </c>
      <c r="F312" s="385">
        <f t="shared" si="100"/>
        <v>18.480214949871943</v>
      </c>
      <c r="G312" s="110">
        <f t="shared" si="122"/>
        <v>0.79230078937859338</v>
      </c>
      <c r="H312" s="414" t="b">
        <f>Wh_hp&gt;='2018'!Maxi_hp</f>
        <v>0</v>
      </c>
      <c r="I312" s="390">
        <f>IF(H312,Wh_hp,'2018'!Maxi_hp)</f>
        <v>22.975160579894975</v>
      </c>
      <c r="J312" s="85">
        <f>IF(H312,An,'2018'!An_max)</f>
        <v>2018</v>
      </c>
      <c r="K312" s="197">
        <f t="shared" si="101"/>
        <v>43763</v>
      </c>
      <c r="L312" s="147">
        <f>IF(t&lt;Tvie,1-EXP((T0-t)*PertePVj)+'2018'!Pspv,1-EXP((T0-t)*PertePVj)+Pspv)</f>
        <v>1.2060832699989699E-2</v>
      </c>
      <c r="M312" s="850"/>
      <c r="N312" s="850"/>
      <c r="O312" s="48">
        <f>IF(t&lt;Tnet,'2018'!Resal+('2018'!Salim-'2018'!Resal)*(1-EXP(('2018'!Tnet-t)/('2018'!Tau_j))),Resal+(Salim-Resal)*(1-EXP((Tnet-t)/(Tau_j))))*Salcycl</f>
        <v>7.6546296879974204E-2</v>
      </c>
      <c r="P312" s="169">
        <f>(INDEX(Models!$BJ312:$BT312,,T312)*(1-R312)+INDEX(Models!$BJ312:$BT312,,T312+1)*R312-ERP_i)*Q312*Ramure*Pc/MaxiM</f>
        <v>1.3641044497038879E-2</v>
      </c>
      <c r="Q312" s="305">
        <f t="shared" si="102"/>
        <v>0.7</v>
      </c>
      <c r="R312" s="177">
        <f t="shared" si="103"/>
        <v>0.89870356970929866</v>
      </c>
      <c r="S312" s="817">
        <f t="shared" si="104"/>
        <v>-2</v>
      </c>
      <c r="T312" s="176">
        <f t="shared" si="105"/>
        <v>4</v>
      </c>
      <c r="U312" s="251">
        <f t="shared" si="106"/>
        <v>-1.1012964302907013</v>
      </c>
      <c r="V312" s="383">
        <f t="shared" si="107"/>
        <v>20.989266052106043</v>
      </c>
      <c r="W312" s="58"/>
      <c r="X312" s="157">
        <f t="shared" si="108"/>
        <v>43763</v>
      </c>
      <c r="Y312" s="385">
        <f t="shared" si="109"/>
        <v>16.696999999999999</v>
      </c>
      <c r="Z312" s="385">
        <f t="shared" si="110"/>
        <v>16.900838181800289</v>
      </c>
      <c r="AA312" s="386">
        <f t="shared" si="111"/>
        <v>18.301770976388195</v>
      </c>
      <c r="AB312" s="197">
        <f t="shared" si="112"/>
        <v>43763</v>
      </c>
      <c r="AC312" s="427">
        <f>IF(OR(t&lt;Tnet,NoTnet),'2018'!Resal_s+('2018'!Salim-'2018'!Resal_s)*(1-EXP(('2018'!Tnet_s-t)/'2018'!Tau_j)),Resal_s+(Salim-Resal_s)*(1-EXP((Tnet_s-t)/Tau_j)))*Salcycl</f>
        <v>7.6546296879974204E-2</v>
      </c>
      <c r="AD312" s="231">
        <f>(INDEX(Models!$BJ312:$BT312,,AH312)*(1-AF312)+INDEX(Models!$BJ312:$BT312,,AH312+1)*AF312-ERP_i)*AE312*Ramure*Pc/MaxiM</f>
        <v>1.3641044497038879E-2</v>
      </c>
      <c r="AE312" s="305">
        <f t="shared" si="113"/>
        <v>0.7</v>
      </c>
      <c r="AF312" s="177">
        <f t="shared" si="114"/>
        <v>0.89870356970929866</v>
      </c>
      <c r="AG312" s="176">
        <f t="shared" si="115"/>
        <v>-2</v>
      </c>
      <c r="AH312" s="176">
        <f t="shared" si="116"/>
        <v>4</v>
      </c>
      <c r="AI312" s="225">
        <f t="shared" si="117"/>
        <v>-1.1012964302907013</v>
      </c>
      <c r="AJ312" s="265" t="b">
        <f t="shared" si="118"/>
        <v>0</v>
      </c>
      <c r="AK312" s="265" t="b">
        <f t="shared" si="119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0"/>
        <v>43764</v>
      </c>
      <c r="B313" s="617">
        <v>20.027999999999999</v>
      </c>
      <c r="C313" s="390"/>
      <c r="D313" s="393">
        <f t="shared" si="99"/>
        <v>20.272947299928745</v>
      </c>
      <c r="E313" s="385">
        <f t="shared" si="121"/>
        <v>21.954352182873428</v>
      </c>
      <c r="F313" s="385">
        <f t="shared" si="100"/>
        <v>22.259943902038003</v>
      </c>
      <c r="G313" s="110">
        <f t="shared" si="122"/>
        <v>0.96775806678537646</v>
      </c>
      <c r="H313" s="414" t="b">
        <f>Wh_hp&gt;='2018'!Maxi_hp</f>
        <v>1</v>
      </c>
      <c r="I313" s="390">
        <f>IF(H313,Wh_hp,'2018'!Maxi_hp)</f>
        <v>22.259943902038003</v>
      </c>
      <c r="J313" s="85">
        <f>IF(H313,An,'2018'!An_max)</f>
        <v>2019</v>
      </c>
      <c r="K313" s="197">
        <f t="shared" si="101"/>
        <v>43764</v>
      </c>
      <c r="L313" s="147">
        <f>IF(t&lt;Tvie,1-EXP((T0-t)*PertePVj)+'2018'!Pspv,1-EXP((T0-t)*PertePVj)+Pspv)</f>
        <v>1.2082471103232573E-2</v>
      </c>
      <c r="M313" s="850"/>
      <c r="N313" s="850"/>
      <c r="O313" s="48">
        <f>IF(t&lt;Tnet,'2018'!Resal+('2018'!Salim-'2018'!Resal)*(1-EXP(('2018'!Tnet-t)/('2018'!Tau_j))),Resal+(Salim-Resal)*(1-EXP((Tnet-t)/(Tau_j))))*Salcycl</f>
        <v>7.6586403868311156E-2</v>
      </c>
      <c r="P313" s="169">
        <f>(INDEX(Models!$BJ313:$BT313,,T313)*(1-R313)+INDEX(Models!$BJ313:$BT313,,T313+1)*R313-ERP_i)*Q313*Ramure*Pc/MaxiM</f>
        <v>1.4377457133708088E-2</v>
      </c>
      <c r="Q313" s="305">
        <f t="shared" si="102"/>
        <v>0.7</v>
      </c>
      <c r="R313" s="177">
        <f t="shared" si="103"/>
        <v>0.89876088947089117</v>
      </c>
      <c r="S313" s="817">
        <f t="shared" si="104"/>
        <v>-2</v>
      </c>
      <c r="T313" s="176">
        <f t="shared" si="105"/>
        <v>4</v>
      </c>
      <c r="U313" s="251">
        <f t="shared" si="106"/>
        <v>-1.1012391105291088</v>
      </c>
      <c r="V313" s="383">
        <f t="shared" si="107"/>
        <v>20.681634058956927</v>
      </c>
      <c r="W313" s="58"/>
      <c r="X313" s="157">
        <f t="shared" si="108"/>
        <v>43764</v>
      </c>
      <c r="Y313" s="385">
        <f t="shared" si="109"/>
        <v>20.027999999999999</v>
      </c>
      <c r="Z313" s="385">
        <f t="shared" si="110"/>
        <v>20.272947299928745</v>
      </c>
      <c r="AA313" s="386">
        <f t="shared" si="111"/>
        <v>21.954352182873428</v>
      </c>
      <c r="AB313" s="197">
        <f t="shared" si="112"/>
        <v>43764</v>
      </c>
      <c r="AC313" s="427">
        <f>IF(OR(t&lt;Tnet,NoTnet),'2018'!Resal_s+('2018'!Salim-'2018'!Resal_s)*(1-EXP(('2018'!Tnet_s-t)/'2018'!Tau_j)),Resal_s+(Salim-Resal_s)*(1-EXP((Tnet_s-t)/Tau_j)))*Salcycl</f>
        <v>7.6586403868311156E-2</v>
      </c>
      <c r="AD313" s="231">
        <f>(INDEX(Models!$BJ313:$BT313,,AH313)*(1-AF313)+INDEX(Models!$BJ313:$BT313,,AH313+1)*AF313-ERP_i)*AE313*Ramure*Pc/MaxiM</f>
        <v>1.4377457133708088E-2</v>
      </c>
      <c r="AE313" s="305">
        <f t="shared" si="113"/>
        <v>0.7</v>
      </c>
      <c r="AF313" s="177">
        <f t="shared" si="114"/>
        <v>0.89876088947089117</v>
      </c>
      <c r="AG313" s="176">
        <f t="shared" si="115"/>
        <v>-2</v>
      </c>
      <c r="AH313" s="176">
        <f t="shared" si="116"/>
        <v>4</v>
      </c>
      <c r="AI313" s="225">
        <f t="shared" si="117"/>
        <v>-1.1012391105291088</v>
      </c>
      <c r="AJ313" s="265" t="b">
        <f t="shared" si="118"/>
        <v>0</v>
      </c>
      <c r="AK313" s="265" t="b">
        <f t="shared" si="119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0"/>
        <v>43765</v>
      </c>
      <c r="B314" s="617">
        <v>14.667999999999999</v>
      </c>
      <c r="C314" s="390"/>
      <c r="D314" s="393">
        <f t="shared" si="99"/>
        <v>14.847718402427414</v>
      </c>
      <c r="E314" s="385">
        <f t="shared" si="121"/>
        <v>16.079849525435133</v>
      </c>
      <c r="F314" s="385">
        <f t="shared" si="100"/>
        <v>16.227038661077675</v>
      </c>
      <c r="G314" s="110">
        <f t="shared" si="122"/>
        <v>0.71555968660262637</v>
      </c>
      <c r="H314" s="414" t="b">
        <f>Wh_hp&gt;='2018'!Maxi_hp</f>
        <v>1</v>
      </c>
      <c r="I314" s="390">
        <f>IF(H314,Wh_hp,'2018'!Maxi_hp)</f>
        <v>16.227038661077675</v>
      </c>
      <c r="J314" s="85">
        <f>IF(H314,An,'2018'!An_max)</f>
        <v>2019</v>
      </c>
      <c r="K314" s="197">
        <f t="shared" si="101"/>
        <v>43765</v>
      </c>
      <c r="L314" s="147">
        <f>IF(t&lt;Tvie,1-EXP((T0-t)*PertePVj)+'2018'!Pspv,1-EXP((T0-t)*PertePVj)+Pspv)</f>
        <v>1.210410903253889E-2</v>
      </c>
      <c r="M314" s="850"/>
      <c r="N314" s="850"/>
      <c r="O314" s="48">
        <f>IF(t&lt;Tnet,'2018'!Resal+('2018'!Salim-'2018'!Resal)*(1-EXP(('2018'!Tnet-t)/('2018'!Tau_j))),Resal+(Salim-Resal)*(1-EXP((Tnet-t)/(Tau_j))))*Salcycl</f>
        <v>7.6625786893013678E-2</v>
      </c>
      <c r="P314" s="169">
        <f>(INDEX(Models!$BJ314:$BT314,,T314)*(1-R314)+INDEX(Models!$BJ314:$BT314,,T314+1)*R314-ERP_i)*Q314*Ramure*Pc/MaxiM</f>
        <v>1.5119326348094059E-2</v>
      </c>
      <c r="Q314" s="305">
        <f t="shared" si="102"/>
        <v>0.7</v>
      </c>
      <c r="R314" s="177">
        <f t="shared" si="103"/>
        <v>0.89881591689590579</v>
      </c>
      <c r="S314" s="817">
        <f t="shared" si="104"/>
        <v>-2</v>
      </c>
      <c r="T314" s="176">
        <f t="shared" si="105"/>
        <v>4</v>
      </c>
      <c r="U314" s="251">
        <f t="shared" si="106"/>
        <v>-1.1011840831040942</v>
      </c>
      <c r="V314" s="383">
        <f t="shared" si="107"/>
        <v>20.373513997477033</v>
      </c>
      <c r="W314" s="58"/>
      <c r="X314" s="157">
        <f t="shared" si="108"/>
        <v>43765</v>
      </c>
      <c r="Y314" s="385">
        <f t="shared" si="109"/>
        <v>14.667999999999997</v>
      </c>
      <c r="Z314" s="385">
        <f t="shared" si="110"/>
        <v>14.847718402427413</v>
      </c>
      <c r="AA314" s="386">
        <f t="shared" si="111"/>
        <v>16.079849525435133</v>
      </c>
      <c r="AB314" s="197">
        <f t="shared" si="112"/>
        <v>43765</v>
      </c>
      <c r="AC314" s="427">
        <f>IF(OR(t&lt;Tnet,NoTnet),'2018'!Resal_s+('2018'!Salim-'2018'!Resal_s)*(1-EXP(('2018'!Tnet_s-t)/'2018'!Tau_j)),Resal_s+(Salim-Resal_s)*(1-EXP((Tnet_s-t)/Tau_j)))*Salcycl</f>
        <v>7.6625786893013678E-2</v>
      </c>
      <c r="AD314" s="231">
        <f>(INDEX(Models!$BJ314:$BT314,,AH314)*(1-AF314)+INDEX(Models!$BJ314:$BT314,,AH314+1)*AF314-ERP_i)*AE314*Ramure*Pc/MaxiM</f>
        <v>1.5119326348094059E-2</v>
      </c>
      <c r="AE314" s="305">
        <f t="shared" si="113"/>
        <v>0.7</v>
      </c>
      <c r="AF314" s="177">
        <f t="shared" si="114"/>
        <v>0.89881591689590579</v>
      </c>
      <c r="AG314" s="176">
        <f t="shared" si="115"/>
        <v>-2</v>
      </c>
      <c r="AH314" s="176">
        <f t="shared" si="116"/>
        <v>4</v>
      </c>
      <c r="AI314" s="225">
        <f t="shared" si="117"/>
        <v>-1.1011840831040942</v>
      </c>
      <c r="AJ314" s="265" t="b">
        <f t="shared" si="118"/>
        <v>0</v>
      </c>
      <c r="AK314" s="265" t="b">
        <f t="shared" si="119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0"/>
        <v>43766</v>
      </c>
      <c r="B315" s="617">
        <v>5.7949999999999999</v>
      </c>
      <c r="C315" s="390"/>
      <c r="D315" s="393">
        <f t="shared" si="99"/>
        <v>5.866131220039061</v>
      </c>
      <c r="E315" s="385">
        <f t="shared" si="121"/>
        <v>6.3531958876254668</v>
      </c>
      <c r="F315" s="385">
        <f t="shared" si="100"/>
        <v>6.3531958876254668</v>
      </c>
      <c r="G315" s="110">
        <f t="shared" si="122"/>
        <v>0.28422607712988168</v>
      </c>
      <c r="H315" s="414" t="b">
        <f>Wh_hp&gt;='2018'!Maxi_hp</f>
        <v>1</v>
      </c>
      <c r="I315" s="390">
        <f>IF(H315,Wh_hp,'2018'!Maxi_hp)</f>
        <v>6.3531958876254668</v>
      </c>
      <c r="J315" s="85">
        <f>IF(H315,An,'2018'!An_max)</f>
        <v>2019</v>
      </c>
      <c r="K315" s="197">
        <f t="shared" si="101"/>
        <v>43766</v>
      </c>
      <c r="L315" s="147">
        <f>IF(t&lt;Tvie,1-EXP((T0-t)*PertePVj)+'2018'!Pspv,1-EXP((T0-t)*PertePVj)+Pspv)</f>
        <v>1.2125746487919087E-2</v>
      </c>
      <c r="M315" s="850"/>
      <c r="N315" s="850"/>
      <c r="O315" s="48">
        <f>IF(t&lt;Tnet,'2018'!Resal+('2018'!Salim-'2018'!Resal)*(1-EXP(('2018'!Tnet-t)/('2018'!Tau_j))),Resal+(Salim-Resal)*(1-EXP((Tnet-t)/(Tau_j))))*Salcycl</f>
        <v>7.6664512821821421E-2</v>
      </c>
      <c r="P315" s="169">
        <f>(INDEX(Models!$BJ315:$BT315,,T315)*(1-R315)+INDEX(Models!$BJ315:$BT315,,T315+1)*R315-ERP_i)*Q315*Ramure*Pc/MaxiM</f>
        <v>1.5866857408280585E-2</v>
      </c>
      <c r="Q315" s="305">
        <f t="shared" si="102"/>
        <v>0.7</v>
      </c>
      <c r="R315" s="177">
        <f t="shared" si="103"/>
        <v>0.89886874306152675</v>
      </c>
      <c r="S315" s="817">
        <f t="shared" si="104"/>
        <v>-2</v>
      </c>
      <c r="T315" s="176">
        <f t="shared" si="105"/>
        <v>4</v>
      </c>
      <c r="U315" s="251">
        <f t="shared" si="106"/>
        <v>-1.1011312569384732</v>
      </c>
      <c r="V315" s="383">
        <f t="shared" si="107"/>
        <v>20.065194646840634</v>
      </c>
      <c r="W315" s="58"/>
      <c r="X315" s="157">
        <f t="shared" si="108"/>
        <v>43766</v>
      </c>
      <c r="Y315" s="385">
        <f t="shared" si="109"/>
        <v>5.7949999999999999</v>
      </c>
      <c r="Z315" s="385">
        <f t="shared" si="110"/>
        <v>5.866131220039061</v>
      </c>
      <c r="AA315" s="386">
        <f t="shared" si="111"/>
        <v>6.3531958876254668</v>
      </c>
      <c r="AB315" s="197">
        <f t="shared" si="112"/>
        <v>43766</v>
      </c>
      <c r="AC315" s="427">
        <f>IF(OR(t&lt;Tnet,NoTnet),'2018'!Resal_s+('2018'!Salim-'2018'!Resal_s)*(1-EXP(('2018'!Tnet_s-t)/'2018'!Tau_j)),Resal_s+(Salim-Resal_s)*(1-EXP((Tnet_s-t)/Tau_j)))*Salcycl</f>
        <v>7.6664512821821421E-2</v>
      </c>
      <c r="AD315" s="231">
        <f>(INDEX(Models!$BJ315:$BT315,,AH315)*(1-AF315)+INDEX(Models!$BJ315:$BT315,,AH315+1)*AF315-ERP_i)*AE315*Ramure*Pc/MaxiM</f>
        <v>1.5866857408280585E-2</v>
      </c>
      <c r="AE315" s="305">
        <f t="shared" si="113"/>
        <v>0.7</v>
      </c>
      <c r="AF315" s="177">
        <f t="shared" si="114"/>
        <v>0.89886874306152675</v>
      </c>
      <c r="AG315" s="176">
        <f t="shared" si="115"/>
        <v>-2</v>
      </c>
      <c r="AH315" s="176">
        <f t="shared" si="116"/>
        <v>4</v>
      </c>
      <c r="AI315" s="225">
        <f t="shared" si="117"/>
        <v>-1.1011312569384732</v>
      </c>
      <c r="AJ315" s="265" t="b">
        <f t="shared" si="118"/>
        <v>0</v>
      </c>
      <c r="AK315" s="265" t="b">
        <f t="shared" si="119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0"/>
        <v>43767</v>
      </c>
      <c r="B316" s="617">
        <v>15.989000000000001</v>
      </c>
      <c r="C316" s="390"/>
      <c r="D316" s="393">
        <f t="shared" si="99"/>
        <v>16.18561284592645</v>
      </c>
      <c r="E316" s="385">
        <f t="shared" si="121"/>
        <v>17.530227796526951</v>
      </c>
      <c r="F316" s="385">
        <f t="shared" si="100"/>
        <v>17.744798531971291</v>
      </c>
      <c r="G316" s="110">
        <f t="shared" si="122"/>
        <v>0.80557478297315999</v>
      </c>
      <c r="H316" s="414" t="b">
        <f>Wh_hp&gt;='2018'!Maxi_hp</f>
        <v>1</v>
      </c>
      <c r="I316" s="390">
        <f>IF(H316,Wh_hp,'2018'!Maxi_hp)</f>
        <v>17.744798531971291</v>
      </c>
      <c r="J316" s="85">
        <f>IF(H316,An,'2018'!An_max)</f>
        <v>2019</v>
      </c>
      <c r="K316" s="197">
        <f t="shared" si="101"/>
        <v>43767</v>
      </c>
      <c r="L316" s="147">
        <f>IF(t&lt;Tvie,1-EXP((T0-t)*PertePVj)+'2018'!Pspv,1-EXP((T0-t)*PertePVj)+Pspv)</f>
        <v>1.2147383469383488E-2</v>
      </c>
      <c r="M316" s="850"/>
      <c r="N316" s="850"/>
      <c r="O316" s="48">
        <f>IF(t&lt;Tnet,'2018'!Resal+('2018'!Salim-'2018'!Resal)*(1-EXP(('2018'!Tnet-t)/('2018'!Tau_j))),Resal+(Salim-Resal)*(1-EXP((Tnet-t)/(Tau_j))))*Salcycl</f>
        <v>7.6702651340725486E-2</v>
      </c>
      <c r="P316" s="169">
        <f>(INDEX(Models!$BJ316:$BT316,,T316)*(1-R316)+INDEX(Models!$BJ316:$BT316,,T316+1)*R316-ERP_i)*Q316*Ramure*Pc/MaxiM</f>
        <v>1.6620237282881766E-2</v>
      </c>
      <c r="Q316" s="305">
        <f t="shared" si="102"/>
        <v>0.7</v>
      </c>
      <c r="R316" s="177">
        <f t="shared" si="103"/>
        <v>0.89891945547340057</v>
      </c>
      <c r="S316" s="817">
        <f t="shared" si="104"/>
        <v>-2</v>
      </c>
      <c r="T316" s="176">
        <f t="shared" si="105"/>
        <v>4</v>
      </c>
      <c r="U316" s="251">
        <f t="shared" si="106"/>
        <v>-1.1010805445265994</v>
      </c>
      <c r="V316" s="383">
        <f t="shared" si="107"/>
        <v>19.756964496848589</v>
      </c>
      <c r="W316" s="58"/>
      <c r="X316" s="157">
        <f t="shared" si="108"/>
        <v>43767</v>
      </c>
      <c r="Y316" s="385">
        <f t="shared" si="109"/>
        <v>15.989000000000003</v>
      </c>
      <c r="Z316" s="385">
        <f t="shared" si="110"/>
        <v>16.18561284592645</v>
      </c>
      <c r="AA316" s="386">
        <f t="shared" si="111"/>
        <v>17.530227796526951</v>
      </c>
      <c r="AB316" s="197">
        <f t="shared" si="112"/>
        <v>43767</v>
      </c>
      <c r="AC316" s="427">
        <f>IF(OR(t&lt;Tnet,NoTnet),'2018'!Resal_s+('2018'!Salim-'2018'!Resal_s)*(1-EXP(('2018'!Tnet_s-t)/'2018'!Tau_j)),Resal_s+(Salim-Resal_s)*(1-EXP((Tnet_s-t)/Tau_j)))*Salcycl</f>
        <v>7.6702651340725486E-2</v>
      </c>
      <c r="AD316" s="231">
        <f>(INDEX(Models!$BJ316:$BT316,,AH316)*(1-AF316)+INDEX(Models!$BJ316:$BT316,,AH316+1)*AF316-ERP_i)*AE316*Ramure*Pc/MaxiM</f>
        <v>1.6620237282881766E-2</v>
      </c>
      <c r="AE316" s="305">
        <f t="shared" si="113"/>
        <v>0.7</v>
      </c>
      <c r="AF316" s="177">
        <f t="shared" si="114"/>
        <v>0.89891945547340057</v>
      </c>
      <c r="AG316" s="176">
        <f t="shared" si="115"/>
        <v>-2</v>
      </c>
      <c r="AH316" s="176">
        <f t="shared" si="116"/>
        <v>4</v>
      </c>
      <c r="AI316" s="225">
        <f t="shared" si="117"/>
        <v>-1.1010805445265994</v>
      </c>
      <c r="AJ316" s="265" t="b">
        <f t="shared" si="118"/>
        <v>0</v>
      </c>
      <c r="AK316" s="265" t="b">
        <f t="shared" si="119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0"/>
        <v>43768</v>
      </c>
      <c r="B317" s="617">
        <v>11.161</v>
      </c>
      <c r="C317" s="390"/>
      <c r="D317" s="393">
        <f t="shared" si="99"/>
        <v>11.298491569620019</v>
      </c>
      <c r="E317" s="385">
        <f t="shared" si="121"/>
        <v>12.237609049653157</v>
      </c>
      <c r="F317" s="385">
        <f t="shared" si="100"/>
        <v>12.321443926100887</v>
      </c>
      <c r="G317" s="110">
        <f t="shared" si="122"/>
        <v>0.56787022175094037</v>
      </c>
      <c r="H317" s="414" t="b">
        <f>Wh_hp&gt;='2018'!Maxi_hp</f>
        <v>0</v>
      </c>
      <c r="I317" s="390">
        <f>IF(H317,Wh_hp,'2018'!Maxi_hp)</f>
        <v>19.915918764671726</v>
      </c>
      <c r="J317" s="85">
        <f>IF(H317,An,'2018'!An_max)</f>
        <v>2018</v>
      </c>
      <c r="K317" s="197">
        <f t="shared" si="101"/>
        <v>43768</v>
      </c>
      <c r="L317" s="147">
        <f>IF(t&lt;Tvie,1-EXP((T0-t)*PertePVj)+'2018'!Pspv,1-EXP((T0-t)*PertePVj)+Pspv)</f>
        <v>1.2169019976942308E-2</v>
      </c>
      <c r="M317" s="850"/>
      <c r="N317" s="850"/>
      <c r="O317" s="48">
        <f>IF(t&lt;Tnet,'2018'!Resal+('2018'!Salim-'2018'!Resal)*(1-EXP(('2018'!Tnet-t)/('2018'!Tau_j))),Resal+(Salim-Resal)*(1-EXP((Tnet-t)/(Tau_j))))*Salcycl</f>
        <v>7.6740274691137908E-2</v>
      </c>
      <c r="P317" s="169">
        <f>(INDEX(Models!$BJ317:$BT317,,T317)*(1-R317)+INDEX(Models!$BJ317:$BT317,,T317+1)*R317-ERP_i)*Q317*Ramure*Pc/MaxiM</f>
        <v>1.7383433053693213E-2</v>
      </c>
      <c r="Q317" s="305">
        <f t="shared" si="102"/>
        <v>0.7</v>
      </c>
      <c r="R317" s="177">
        <f t="shared" si="103"/>
        <v>0.89896813820198229</v>
      </c>
      <c r="S317" s="817">
        <f t="shared" si="104"/>
        <v>-2</v>
      </c>
      <c r="T317" s="176">
        <f t="shared" si="105"/>
        <v>4</v>
      </c>
      <c r="U317" s="251">
        <f t="shared" si="106"/>
        <v>-1.1010318617980177</v>
      </c>
      <c r="V317" s="383">
        <f t="shared" si="107"/>
        <v>19.444784070331789</v>
      </c>
      <c r="W317" s="58"/>
      <c r="X317" s="157">
        <f t="shared" si="108"/>
        <v>43768</v>
      </c>
      <c r="Y317" s="385">
        <f t="shared" si="109"/>
        <v>11.161</v>
      </c>
      <c r="Z317" s="385">
        <f t="shared" si="110"/>
        <v>11.298491569620019</v>
      </c>
      <c r="AA317" s="386">
        <f t="shared" si="111"/>
        <v>12.237609049653157</v>
      </c>
      <c r="AB317" s="197">
        <f t="shared" si="112"/>
        <v>43768</v>
      </c>
      <c r="AC317" s="427">
        <f>IF(OR(t&lt;Tnet,NoTnet),'2018'!Resal_s+('2018'!Salim-'2018'!Resal_s)*(1-EXP(('2018'!Tnet_s-t)/'2018'!Tau_j)),Resal_s+(Salim-Resal_s)*(1-EXP((Tnet_s-t)/Tau_j)))*Salcycl</f>
        <v>7.6740274691137908E-2</v>
      </c>
      <c r="AD317" s="231">
        <f>(INDEX(Models!$BJ317:$BT317,,AH317)*(1-AF317)+INDEX(Models!$BJ317:$BT317,,AH317+1)*AF317-ERP_i)*AE317*Ramure*Pc/MaxiM</f>
        <v>1.7383433053693213E-2</v>
      </c>
      <c r="AE317" s="305">
        <f t="shared" si="113"/>
        <v>0.7</v>
      </c>
      <c r="AF317" s="177">
        <f t="shared" si="114"/>
        <v>0.89896813820198229</v>
      </c>
      <c r="AG317" s="176">
        <f t="shared" si="115"/>
        <v>-2</v>
      </c>
      <c r="AH317" s="176">
        <f t="shared" si="116"/>
        <v>4</v>
      </c>
      <c r="AI317" s="225">
        <f t="shared" si="117"/>
        <v>-1.1010318617980177</v>
      </c>
      <c r="AJ317" s="265" t="b">
        <f t="shared" si="118"/>
        <v>0</v>
      </c>
      <c r="AK317" s="265" t="b">
        <f t="shared" si="119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0"/>
        <v>43769</v>
      </c>
      <c r="B318" s="617">
        <v>11.52</v>
      </c>
      <c r="C318" s="390"/>
      <c r="D318" s="393">
        <f t="shared" si="99"/>
        <v>11.662169496671304</v>
      </c>
      <c r="E318" s="385">
        <f t="shared" si="121"/>
        <v>12.632024196096275</v>
      </c>
      <c r="F318" s="385">
        <f t="shared" si="100"/>
        <v>12.731714511659245</v>
      </c>
      <c r="G318" s="110">
        <f t="shared" si="122"/>
        <v>0.59606491141031992</v>
      </c>
      <c r="H318" s="414" t="b">
        <f>Wh_hp&gt;='2018'!Maxi_hp</f>
        <v>1</v>
      </c>
      <c r="I318" s="390">
        <f>IF(H318,Wh_hp,'2018'!Maxi_hp)</f>
        <v>12.731714511659245</v>
      </c>
      <c r="J318" s="85">
        <f>IF(H318,An,'2018'!An_max)</f>
        <v>2019</v>
      </c>
      <c r="K318" s="197">
        <f t="shared" si="101"/>
        <v>43769</v>
      </c>
      <c r="L318" s="147">
        <f>IF(t&lt;Tvie,1-EXP((T0-t)*PertePVj)+'2018'!Pspv,1-EXP((T0-t)*PertePVj)+Pspv)</f>
        <v>1.2190656010606205E-2</v>
      </c>
      <c r="M318" s="850"/>
      <c r="N318" s="850"/>
      <c r="O318" s="48">
        <f>IF(t&lt;Tnet,'2018'!Resal+('2018'!Salim-'2018'!Resal)*(1-EXP(('2018'!Tnet-t)/('2018'!Tau_j))),Resal+(Salim-Resal)*(1-EXP((Tnet-t)/(Tau_j))))*Salcycl</f>
        <v>7.6777457386812881E-2</v>
      </c>
      <c r="P318" s="169">
        <f>(INDEX(Models!$BJ318:$BT318,,T318)*(1-R318)+INDEX(Models!$BJ318:$BT318,,T318+1)*R318-ERP_i)*Q318*Ramure*Pc/MaxiM</f>
        <v>1.8130110525788123E-2</v>
      </c>
      <c r="Q318" s="305">
        <f t="shared" si="102"/>
        <v>0.7</v>
      </c>
      <c r="R318" s="177">
        <f t="shared" si="103"/>
        <v>0.89901487201396879</v>
      </c>
      <c r="S318" s="817">
        <f t="shared" si="104"/>
        <v>-2</v>
      </c>
      <c r="T318" s="176">
        <f t="shared" si="105"/>
        <v>4</v>
      </c>
      <c r="U318" s="251">
        <f t="shared" si="106"/>
        <v>-1.1009851279860312</v>
      </c>
      <c r="V318" s="383">
        <f t="shared" si="107"/>
        <v>19.126116945019263</v>
      </c>
      <c r="W318" s="58"/>
      <c r="X318" s="157">
        <f t="shared" si="108"/>
        <v>43769</v>
      </c>
      <c r="Y318" s="385">
        <f t="shared" si="109"/>
        <v>11.52</v>
      </c>
      <c r="Z318" s="385">
        <f t="shared" si="110"/>
        <v>11.662169496671304</v>
      </c>
      <c r="AA318" s="386">
        <f t="shared" si="111"/>
        <v>12.632024196096275</v>
      </c>
      <c r="AB318" s="197">
        <f t="shared" si="112"/>
        <v>43769</v>
      </c>
      <c r="AC318" s="427">
        <f>IF(OR(t&lt;Tnet,NoTnet),'2018'!Resal_s+('2018'!Salim-'2018'!Resal_s)*(1-EXP(('2018'!Tnet_s-t)/'2018'!Tau_j)),Resal_s+(Salim-Resal_s)*(1-EXP((Tnet_s-t)/Tau_j)))*Salcycl</f>
        <v>7.6777457386812881E-2</v>
      </c>
      <c r="AD318" s="231">
        <f>(INDEX(Models!$BJ318:$BT318,,AH318)*(1-AF318)+INDEX(Models!$BJ318:$BT318,,AH318+1)*AF318-ERP_i)*AE318*Ramure*Pc/MaxiM</f>
        <v>1.8130110525788123E-2</v>
      </c>
      <c r="AE318" s="305">
        <f t="shared" si="113"/>
        <v>0.7</v>
      </c>
      <c r="AF318" s="177">
        <f t="shared" si="114"/>
        <v>0.89901487201396879</v>
      </c>
      <c r="AG318" s="176">
        <f t="shared" si="115"/>
        <v>-2</v>
      </c>
      <c r="AH318" s="176">
        <f t="shared" si="116"/>
        <v>4</v>
      </c>
      <c r="AI318" s="225">
        <f t="shared" si="117"/>
        <v>-1.1009851279860312</v>
      </c>
      <c r="AJ318" s="265" t="b">
        <f t="shared" si="118"/>
        <v>0</v>
      </c>
      <c r="AK318" s="265" t="b">
        <f t="shared" si="119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0"/>
        <v>43770</v>
      </c>
      <c r="B319" s="617">
        <v>4.8529999999999998</v>
      </c>
      <c r="C319" s="390"/>
      <c r="D319" s="393">
        <f t="shared" si="99"/>
        <v>4.9129989759796686</v>
      </c>
      <c r="E319" s="385">
        <f t="shared" si="121"/>
        <v>5.3217882900369142</v>
      </c>
      <c r="F319" s="385">
        <f t="shared" si="100"/>
        <v>5.3217882900369142</v>
      </c>
      <c r="G319" s="110">
        <f t="shared" si="122"/>
        <v>0.25323482948787007</v>
      </c>
      <c r="H319" s="414" t="b">
        <f>Wh_hp&gt;='2018'!Maxi_hp</f>
        <v>0</v>
      </c>
      <c r="I319" s="390">
        <f>IF(H319,Wh_hp,'2018'!Maxi_hp)</f>
        <v>14.473716862596207</v>
      </c>
      <c r="J319" s="85">
        <f>IF(H319,An,'2018'!An_max)</f>
        <v>2018</v>
      </c>
      <c r="K319" s="197">
        <f t="shared" si="101"/>
        <v>43770</v>
      </c>
      <c r="L319" s="147">
        <f>IF(t&lt;Tvie,1-EXP((T0-t)*PertePVj)+'2018'!Pspv,1-EXP((T0-t)*PertePVj)+Pspv)</f>
        <v>1.2212291570385503E-2</v>
      </c>
      <c r="M319" s="850"/>
      <c r="N319" s="850"/>
      <c r="O319" s="48">
        <f>IF(t&lt;Tnet,'2018'!Resal+('2018'!Salim-'2018'!Resal)*(1-EXP(('2018'!Tnet-t)/('2018'!Tau_j))),Resal+(Salim-Resal)*(1-EXP((Tnet-t)/(Tau_j))))*Salcycl</f>
        <v>7.6814275912206603E-2</v>
      </c>
      <c r="P319" s="169">
        <f>(INDEX(Models!$BJ319:$BT319,,T319)*(1-R319)+INDEX(Models!$BJ319:$BT319,,T319+1)*R319-ERP_i)*Q319*Ramure*Pc/MaxiM</f>
        <v>1.8850966374973941E-2</v>
      </c>
      <c r="Q319" s="305">
        <f t="shared" si="102"/>
        <v>0.7</v>
      </c>
      <c r="R319" s="177">
        <f t="shared" si="103"/>
        <v>0.89905973449897481</v>
      </c>
      <c r="S319" s="817">
        <f t="shared" si="104"/>
        <v>-2</v>
      </c>
      <c r="T319" s="176">
        <f t="shared" si="105"/>
        <v>4</v>
      </c>
      <c r="U319" s="251">
        <f t="shared" si="106"/>
        <v>-1.1009402655010252</v>
      </c>
      <c r="V319" s="383">
        <f t="shared" si="107"/>
        <v>18.802770021057974</v>
      </c>
      <c r="W319" s="58"/>
      <c r="X319" s="157">
        <f t="shared" si="108"/>
        <v>43770</v>
      </c>
      <c r="Y319" s="385">
        <f t="shared" si="109"/>
        <v>4.8529999999999998</v>
      </c>
      <c r="Z319" s="385">
        <f t="shared" si="110"/>
        <v>4.9129989759796686</v>
      </c>
      <c r="AA319" s="386">
        <f t="shared" si="111"/>
        <v>5.3217882900369142</v>
      </c>
      <c r="AB319" s="197">
        <f t="shared" si="112"/>
        <v>43770</v>
      </c>
      <c r="AC319" s="427">
        <f>IF(OR(t&lt;Tnet,NoTnet),'2018'!Resal_s+('2018'!Salim-'2018'!Resal_s)*(1-EXP(('2018'!Tnet_s-t)/'2018'!Tau_j)),Resal_s+(Salim-Resal_s)*(1-EXP((Tnet_s-t)/Tau_j)))*Salcycl</f>
        <v>7.6814275912206603E-2</v>
      </c>
      <c r="AD319" s="231">
        <f>(INDEX(Models!$BJ319:$BT319,,AH319)*(1-AF319)+INDEX(Models!$BJ319:$BT319,,AH319+1)*AF319-ERP_i)*AE319*Ramure*Pc/MaxiM</f>
        <v>1.8850966374973941E-2</v>
      </c>
      <c r="AE319" s="305">
        <f t="shared" si="113"/>
        <v>0.7</v>
      </c>
      <c r="AF319" s="177">
        <f t="shared" si="114"/>
        <v>0.89905973449897481</v>
      </c>
      <c r="AG319" s="176">
        <f t="shared" si="115"/>
        <v>-2</v>
      </c>
      <c r="AH319" s="176">
        <f t="shared" si="116"/>
        <v>4</v>
      </c>
      <c r="AI319" s="225">
        <f t="shared" si="117"/>
        <v>-1.1009402655010252</v>
      </c>
      <c r="AJ319" s="265" t="b">
        <f t="shared" si="118"/>
        <v>0</v>
      </c>
      <c r="AK319" s="265" t="b">
        <f t="shared" si="119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0"/>
        <v>43771</v>
      </c>
      <c r="B320" s="617">
        <v>3.6560000000000001</v>
      </c>
      <c r="C320" s="390"/>
      <c r="D320" s="393">
        <f t="shared" si="99"/>
        <v>3.7012812027689823</v>
      </c>
      <c r="E320" s="385">
        <f t="shared" si="121"/>
        <v>4.0094074029036451</v>
      </c>
      <c r="F320" s="385">
        <f t="shared" si="100"/>
        <v>4.0094074029036451</v>
      </c>
      <c r="G320" s="110">
        <f t="shared" si="122"/>
        <v>0.19400684817165556</v>
      </c>
      <c r="H320" s="414" t="b">
        <f>Wh_hp&gt;='2018'!Maxi_hp</f>
        <v>0</v>
      </c>
      <c r="I320" s="390">
        <f>IF(H320,Wh_hp,'2018'!Maxi_hp)</f>
        <v>6.7454138017583301</v>
      </c>
      <c r="J320" s="85">
        <f>IF(H320,An,'2018'!An_max)</f>
        <v>2018</v>
      </c>
      <c r="K320" s="197">
        <f t="shared" si="101"/>
        <v>43771</v>
      </c>
      <c r="L320" s="147">
        <f>IF(t&lt;Tvie,1-EXP((T0-t)*PertePVj)+'2018'!Pspv,1-EXP((T0-t)*PertePVj)+Pspv)</f>
        <v>1.2233926656290417E-2</v>
      </c>
      <c r="M320" s="850"/>
      <c r="N320" s="850"/>
      <c r="O320" s="48">
        <f>IF(t&lt;Tnet,'2018'!Resal+('2018'!Salim-'2018'!Resal)*(1-EXP(('2018'!Tnet-t)/('2018'!Tau_j))),Resal+(Salim-Resal)*(1-EXP((Tnet-t)/(Tau_j))))*Salcycl</f>
        <v>7.6850808404133539E-2</v>
      </c>
      <c r="P320" s="169">
        <f>(INDEX(Models!$BJ320:$BT320,,T320)*(1-R320)+INDEX(Models!$BJ320:$BT320,,T320+1)*R320-ERP_i)*Q320*Ramure*Pc/MaxiM</f>
        <v>1.9544145792835577E-2</v>
      </c>
      <c r="Q320" s="305">
        <f t="shared" si="102"/>
        <v>0.7</v>
      </c>
      <c r="R320" s="177">
        <f t="shared" si="103"/>
        <v>0.89910280019160393</v>
      </c>
      <c r="S320" s="817">
        <f t="shared" si="104"/>
        <v>-2</v>
      </c>
      <c r="T320" s="176">
        <f t="shared" si="105"/>
        <v>4</v>
      </c>
      <c r="U320" s="251">
        <f t="shared" si="106"/>
        <v>-1.1008971998083961</v>
      </c>
      <c r="V320" s="383">
        <f t="shared" si="107"/>
        <v>18.476392131322179</v>
      </c>
      <c r="W320" s="58"/>
      <c r="X320" s="157">
        <f t="shared" si="108"/>
        <v>43771</v>
      </c>
      <c r="Y320" s="385">
        <f t="shared" si="109"/>
        <v>3.6560000000000006</v>
      </c>
      <c r="Z320" s="385">
        <f t="shared" si="110"/>
        <v>3.7012812027689828</v>
      </c>
      <c r="AA320" s="386">
        <f t="shared" si="111"/>
        <v>4.0094074029036451</v>
      </c>
      <c r="AB320" s="197">
        <f t="shared" si="112"/>
        <v>43771</v>
      </c>
      <c r="AC320" s="427">
        <f>IF(OR(t&lt;Tnet,NoTnet),'2018'!Resal_s+('2018'!Salim-'2018'!Resal_s)*(1-EXP(('2018'!Tnet_s-t)/'2018'!Tau_j)),Resal_s+(Salim-Resal_s)*(1-EXP((Tnet_s-t)/Tau_j)))*Salcycl</f>
        <v>7.6850808404133539E-2</v>
      </c>
      <c r="AD320" s="231">
        <f>(INDEX(Models!$BJ320:$BT320,,AH320)*(1-AF320)+INDEX(Models!$BJ320:$BT320,,AH320+1)*AF320-ERP_i)*AE320*Ramure*Pc/MaxiM</f>
        <v>1.9544145792835577E-2</v>
      </c>
      <c r="AE320" s="305">
        <f t="shared" si="113"/>
        <v>0.7</v>
      </c>
      <c r="AF320" s="177">
        <f t="shared" si="114"/>
        <v>0.89910280019160393</v>
      </c>
      <c r="AG320" s="176">
        <f t="shared" si="115"/>
        <v>-2</v>
      </c>
      <c r="AH320" s="176">
        <f t="shared" si="116"/>
        <v>4</v>
      </c>
      <c r="AI320" s="225">
        <f t="shared" si="117"/>
        <v>-1.1008971998083961</v>
      </c>
      <c r="AJ320" s="265" t="b">
        <f t="shared" si="118"/>
        <v>0</v>
      </c>
      <c r="AK320" s="265" t="b">
        <f t="shared" si="119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0"/>
        <v>43772</v>
      </c>
      <c r="B321" s="617">
        <v>7.1340000000000003</v>
      </c>
      <c r="C321" s="390"/>
      <c r="D321" s="393">
        <f t="shared" si="99"/>
        <v>7.2225159871925415</v>
      </c>
      <c r="E321" s="385">
        <f t="shared" si="121"/>
        <v>7.8240876665306489</v>
      </c>
      <c r="F321" s="385">
        <f t="shared" si="100"/>
        <v>7.8451693742549633</v>
      </c>
      <c r="G321" s="110">
        <f t="shared" si="122"/>
        <v>0.3861819731175275</v>
      </c>
      <c r="H321" s="414" t="b">
        <f>Wh_hp&gt;='2018'!Maxi_hp</f>
        <v>0</v>
      </c>
      <c r="I321" s="390">
        <f>IF(H321,Wh_hp,'2018'!Maxi_hp)</f>
        <v>17.199931787500212</v>
      </c>
      <c r="J321" s="85">
        <f>IF(H321,An,'2018'!An_max)</f>
        <v>2018</v>
      </c>
      <c r="K321" s="197">
        <f t="shared" si="101"/>
        <v>43772</v>
      </c>
      <c r="L321" s="147">
        <f>IF(t&lt;Tvie,1-EXP((T0-t)*PertePVj)+'2018'!Pspv,1-EXP((T0-t)*PertePVj)+Pspv)</f>
        <v>1.2255561268331383E-2</v>
      </c>
      <c r="M321" s="850"/>
      <c r="N321" s="850"/>
      <c r="O321" s="48">
        <f>IF(t&lt;Tnet,'2018'!Resal+('2018'!Salim-'2018'!Resal)*(1-EXP(('2018'!Tnet-t)/('2018'!Tau_j))),Resal+(Salim-Resal)*(1-EXP((Tnet-t)/(Tau_j))))*Salcycl</f>
        <v>7.6887134318735992E-2</v>
      </c>
      <c r="P321" s="169">
        <f>(INDEX(Models!$BJ321:$BT321,,T321)*(1-R321)+INDEX(Models!$BJ321:$BT321,,T321+1)*R321-ERP_i)*Q321*Ramure*Pc/MaxiM</f>
        <v>2.0207388532505824E-2</v>
      </c>
      <c r="Q321" s="305">
        <f t="shared" si="102"/>
        <v>0.7</v>
      </c>
      <c r="R321" s="177">
        <f t="shared" si="103"/>
        <v>0.89914414068905701</v>
      </c>
      <c r="S321" s="817">
        <f t="shared" si="104"/>
        <v>-2</v>
      </c>
      <c r="T321" s="176">
        <f t="shared" si="105"/>
        <v>4</v>
      </c>
      <c r="U321" s="251">
        <f t="shared" si="106"/>
        <v>-1.100855859310943</v>
      </c>
      <c r="V321" s="383">
        <f t="shared" si="107"/>
        <v>18.14863157374149</v>
      </c>
      <c r="W321" s="58"/>
      <c r="X321" s="157">
        <f t="shared" si="108"/>
        <v>43772</v>
      </c>
      <c r="Y321" s="385">
        <f t="shared" si="109"/>
        <v>7.1340000000000003</v>
      </c>
      <c r="Z321" s="385">
        <f t="shared" si="110"/>
        <v>7.2225159871925415</v>
      </c>
      <c r="AA321" s="386">
        <f t="shared" si="111"/>
        <v>7.8240876665306489</v>
      </c>
      <c r="AB321" s="197">
        <f t="shared" si="112"/>
        <v>43772</v>
      </c>
      <c r="AC321" s="427">
        <f>IF(OR(t&lt;Tnet,NoTnet),'2018'!Resal_s+('2018'!Salim-'2018'!Resal_s)*(1-EXP(('2018'!Tnet_s-t)/'2018'!Tau_j)),Resal_s+(Salim-Resal_s)*(1-EXP((Tnet_s-t)/Tau_j)))*Salcycl</f>
        <v>7.6887134318735992E-2</v>
      </c>
      <c r="AD321" s="231">
        <f>(INDEX(Models!$BJ321:$BT321,,AH321)*(1-AF321)+INDEX(Models!$BJ321:$BT321,,AH321+1)*AF321-ERP_i)*AE321*Ramure*Pc/MaxiM</f>
        <v>2.0207388532505824E-2</v>
      </c>
      <c r="AE321" s="305">
        <f t="shared" si="113"/>
        <v>0.7</v>
      </c>
      <c r="AF321" s="177">
        <f t="shared" si="114"/>
        <v>0.89914414068905701</v>
      </c>
      <c r="AG321" s="176">
        <f t="shared" si="115"/>
        <v>-2</v>
      </c>
      <c r="AH321" s="176">
        <f t="shared" si="116"/>
        <v>4</v>
      </c>
      <c r="AI321" s="225">
        <f t="shared" si="117"/>
        <v>-1.100855859310943</v>
      </c>
      <c r="AJ321" s="265" t="b">
        <f t="shared" si="118"/>
        <v>0</v>
      </c>
      <c r="AK321" s="265" t="b">
        <f t="shared" si="119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0"/>
        <v>43773</v>
      </c>
      <c r="B322" s="617">
        <v>8.0739999999999998</v>
      </c>
      <c r="C322" s="390"/>
      <c r="D322" s="393">
        <f t="shared" si="99"/>
        <v>8.1743581928565785</v>
      </c>
      <c r="E322" s="385">
        <f t="shared" si="121"/>
        <v>8.8555571760249734</v>
      </c>
      <c r="F322" s="385">
        <f t="shared" si="100"/>
        <v>8.8960904958922224</v>
      </c>
      <c r="G322" s="110">
        <f t="shared" si="122"/>
        <v>0.4456472202938323</v>
      </c>
      <c r="H322" s="414" t="b">
        <f>Wh_hp&gt;='2018'!Maxi_hp</f>
        <v>0</v>
      </c>
      <c r="I322" s="390">
        <f>IF(H322,Wh_hp,'2018'!Maxi_hp)</f>
        <v>14.185805406628766</v>
      </c>
      <c r="J322" s="85">
        <f>IF(H322,An,'2018'!An_max)</f>
        <v>2018</v>
      </c>
      <c r="K322" s="197">
        <f t="shared" si="101"/>
        <v>43773</v>
      </c>
      <c r="L322" s="147">
        <f>IF(t&lt;Tvie,1-EXP((T0-t)*PertePVj)+'2018'!Pspv,1-EXP((T0-t)*PertePVj)+Pspv)</f>
        <v>1.2277195406518948E-2</v>
      </c>
      <c r="M322" s="850"/>
      <c r="N322" s="850"/>
      <c r="O322" s="48">
        <f>IF(t&lt;Tnet,'2018'!Resal+('2018'!Salim-'2018'!Resal)*(1-EXP(('2018'!Tnet-t)/('2018'!Tau_j))),Resal+(Salim-Resal)*(1-EXP((Tnet-t)/(Tau_j))))*Salcycl</f>
        <v>7.6923334085926831E-2</v>
      </c>
      <c r="P322" s="169">
        <f>(INDEX(Models!$BJ322:$BT322,,T322)*(1-R322)+INDEX(Models!$BJ322:$BT322,,T322+1)*R322-ERP_i)*Q322*Ramure*Pc/MaxiM</f>
        <v>2.0838013394282862E-2</v>
      </c>
      <c r="Q322" s="305">
        <f t="shared" si="102"/>
        <v>0.7</v>
      </c>
      <c r="R322" s="177">
        <f t="shared" si="103"/>
        <v>0.8991838247644286</v>
      </c>
      <c r="S322" s="817">
        <f t="shared" si="104"/>
        <v>-2</v>
      </c>
      <c r="T322" s="176">
        <f t="shared" si="105"/>
        <v>4</v>
      </c>
      <c r="U322" s="251">
        <f t="shared" si="106"/>
        <v>-1.1008161752355714</v>
      </c>
      <c r="V322" s="383">
        <f t="shared" si="107"/>
        <v>17.821136168925097</v>
      </c>
      <c r="W322" s="58"/>
      <c r="X322" s="157">
        <f t="shared" si="108"/>
        <v>43773</v>
      </c>
      <c r="Y322" s="385">
        <f t="shared" si="109"/>
        <v>8.0739999999999998</v>
      </c>
      <c r="Z322" s="385">
        <f t="shared" si="110"/>
        <v>8.1743581928565785</v>
      </c>
      <c r="AA322" s="386">
        <f t="shared" si="111"/>
        <v>8.8555571760249734</v>
      </c>
      <c r="AB322" s="197">
        <f t="shared" si="112"/>
        <v>43773</v>
      </c>
      <c r="AC322" s="427">
        <f>IF(OR(t&lt;Tnet,NoTnet),'2018'!Resal_s+('2018'!Salim-'2018'!Resal_s)*(1-EXP(('2018'!Tnet_s-t)/'2018'!Tau_j)),Resal_s+(Salim-Resal_s)*(1-EXP((Tnet_s-t)/Tau_j)))*Salcycl</f>
        <v>7.6923334085926831E-2</v>
      </c>
      <c r="AD322" s="231">
        <f>(INDEX(Models!$BJ322:$BT322,,AH322)*(1-AF322)+INDEX(Models!$BJ322:$BT322,,AH322+1)*AF322-ERP_i)*AE322*Ramure*Pc/MaxiM</f>
        <v>2.0838013394282862E-2</v>
      </c>
      <c r="AE322" s="305">
        <f t="shared" si="113"/>
        <v>0.7</v>
      </c>
      <c r="AF322" s="177">
        <f t="shared" si="114"/>
        <v>0.8991838247644286</v>
      </c>
      <c r="AG322" s="176">
        <f t="shared" si="115"/>
        <v>-2</v>
      </c>
      <c r="AH322" s="176">
        <f t="shared" si="116"/>
        <v>4</v>
      </c>
      <c r="AI322" s="225">
        <f t="shared" si="117"/>
        <v>-1.1008161752355714</v>
      </c>
      <c r="AJ322" s="265" t="b">
        <f t="shared" si="118"/>
        <v>0</v>
      </c>
      <c r="AK322" s="265" t="b">
        <f t="shared" si="119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0"/>
        <v>43774</v>
      </c>
      <c r="B323" s="617">
        <v>8.0229999999999997</v>
      </c>
      <c r="C323" s="390"/>
      <c r="D323" s="393">
        <f t="shared" si="99"/>
        <v>8.1229021855392887</v>
      </c>
      <c r="E323" s="385">
        <f t="shared" si="121"/>
        <v>8.8001578333443629</v>
      </c>
      <c r="F323" s="385">
        <f t="shared" si="100"/>
        <v>8.8430935060777589</v>
      </c>
      <c r="G323" s="110">
        <f t="shared" si="122"/>
        <v>0.45093451113911026</v>
      </c>
      <c r="H323" s="414" t="b">
        <f>Wh_hp&gt;='2018'!Maxi_hp</f>
        <v>1</v>
      </c>
      <c r="I323" s="390">
        <f>IF(H323,Wh_hp,'2018'!Maxi_hp)</f>
        <v>8.8430935060777589</v>
      </c>
      <c r="J323" s="85">
        <f>IF(H323,An,'2018'!An_max)</f>
        <v>2019</v>
      </c>
      <c r="K323" s="197">
        <f t="shared" si="101"/>
        <v>43774</v>
      </c>
      <c r="L323" s="147">
        <f>IF(t&lt;Tvie,1-EXP((T0-t)*PertePVj)+'2018'!Pspv,1-EXP((T0-t)*PertePVj)+Pspv)</f>
        <v>1.2298829070863326E-2</v>
      </c>
      <c r="M323" s="850"/>
      <c r="N323" s="850"/>
      <c r="O323" s="48">
        <f>IF(t&lt;Tnet,'2018'!Resal+('2018'!Salim-'2018'!Resal)*(1-EXP(('2018'!Tnet-t)/('2018'!Tau_j))),Resal+(Salim-Resal)*(1-EXP((Tnet-t)/(Tau_j))))*Salcycl</f>
        <v>7.6959488753589142E-2</v>
      </c>
      <c r="P323" s="169">
        <f>(INDEX(Models!$BJ323:$BT323,,T323)*(1-R323)+INDEX(Models!$BJ323:$BT323,,T323+1)*R323-ERP_i)*Q323*Ramure*Pc/MaxiM</f>
        <v>2.1432904657186551E-2</v>
      </c>
      <c r="Q323" s="305">
        <f t="shared" si="102"/>
        <v>0.7</v>
      </c>
      <c r="R323" s="177">
        <f t="shared" si="103"/>
        <v>0.89922191847582522</v>
      </c>
      <c r="S323" s="817">
        <f t="shared" si="104"/>
        <v>-2</v>
      </c>
      <c r="T323" s="176">
        <f t="shared" si="105"/>
        <v>4</v>
      </c>
      <c r="U323" s="251">
        <f t="shared" si="106"/>
        <v>-1.1007780815241748</v>
      </c>
      <c r="V323" s="383">
        <f t="shared" si="107"/>
        <v>17.495553319855475</v>
      </c>
      <c r="W323" s="58"/>
      <c r="X323" s="157">
        <f t="shared" si="108"/>
        <v>43774</v>
      </c>
      <c r="Y323" s="385">
        <f t="shared" si="109"/>
        <v>8.0229999999999997</v>
      </c>
      <c r="Z323" s="385">
        <f t="shared" si="110"/>
        <v>8.1229021855392887</v>
      </c>
      <c r="AA323" s="386">
        <f t="shared" si="111"/>
        <v>8.8001578333443629</v>
      </c>
      <c r="AB323" s="197">
        <f t="shared" si="112"/>
        <v>43774</v>
      </c>
      <c r="AC323" s="427">
        <f>IF(OR(t&lt;Tnet,NoTnet),'2018'!Resal_s+('2018'!Salim-'2018'!Resal_s)*(1-EXP(('2018'!Tnet_s-t)/'2018'!Tau_j)),Resal_s+(Salim-Resal_s)*(1-EXP((Tnet_s-t)/Tau_j)))*Salcycl</f>
        <v>7.6959488753589142E-2</v>
      </c>
      <c r="AD323" s="231">
        <f>(INDEX(Models!$BJ323:$BT323,,AH323)*(1-AF323)+INDEX(Models!$BJ323:$BT323,,AH323+1)*AF323-ERP_i)*AE323*Ramure*Pc/MaxiM</f>
        <v>2.1432904657186551E-2</v>
      </c>
      <c r="AE323" s="305">
        <f t="shared" si="113"/>
        <v>0.7</v>
      </c>
      <c r="AF323" s="177">
        <f t="shared" si="114"/>
        <v>0.89922191847582522</v>
      </c>
      <c r="AG323" s="176">
        <f t="shared" si="115"/>
        <v>-2</v>
      </c>
      <c r="AH323" s="176">
        <f t="shared" si="116"/>
        <v>4</v>
      </c>
      <c r="AI323" s="225">
        <f t="shared" si="117"/>
        <v>-1.1007780815241748</v>
      </c>
      <c r="AJ323" s="265" t="b">
        <f t="shared" si="118"/>
        <v>0</v>
      </c>
      <c r="AK323" s="265" t="b">
        <f t="shared" si="119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0"/>
        <v>43775</v>
      </c>
      <c r="B324" s="617">
        <v>7.9029999999999996</v>
      </c>
      <c r="C324" s="390"/>
      <c r="D324" s="393">
        <f t="shared" si="99"/>
        <v>8.0015832038948371</v>
      </c>
      <c r="E324" s="385">
        <f t="shared" si="121"/>
        <v>8.6690636514405721</v>
      </c>
      <c r="F324" s="385">
        <f t="shared" si="100"/>
        <v>8.7128854947612187</v>
      </c>
      <c r="G324" s="110">
        <f t="shared" si="122"/>
        <v>0.45234123825770256</v>
      </c>
      <c r="H324" s="414" t="b">
        <f>Wh_hp&gt;='2018'!Maxi_hp</f>
        <v>0</v>
      </c>
      <c r="I324" s="390">
        <f>IF(H324,Wh_hp,'2018'!Maxi_hp)</f>
        <v>14.059849014806639</v>
      </c>
      <c r="J324" s="85">
        <f>IF(H324,An,'2018'!An_max)</f>
        <v>2018</v>
      </c>
      <c r="K324" s="197">
        <f t="shared" si="101"/>
        <v>43775</v>
      </c>
      <c r="L324" s="147">
        <f>IF(t&lt;Tvie,1-EXP((T0-t)*PertePVj)+'2018'!Pspv,1-EXP((T0-t)*PertePVj)+Pspv)</f>
        <v>1.2320462261374843E-2</v>
      </c>
      <c r="M324" s="850"/>
      <c r="N324" s="850"/>
      <c r="O324" s="48">
        <f>IF(t&lt;Tnet,'2018'!Resal+('2018'!Salim-'2018'!Resal)*(1-EXP(('2018'!Tnet-t)/('2018'!Tau_j))),Resal+(Salim-Resal)*(1-EXP((Tnet-t)/(Tau_j))))*Salcycl</f>
        <v>7.6995679623925312E-2</v>
      </c>
      <c r="P324" s="169">
        <f>(INDEX(Models!$BJ324:$BT324,,T324)*(1-R324)+INDEX(Models!$BJ324:$BT324,,T324+1)*R324-ERP_i)*Q324*Ramure*Pc/MaxiM</f>
        <v>2.197943594075432E-2</v>
      </c>
      <c r="Q324" s="305">
        <f t="shared" si="102"/>
        <v>0.7</v>
      </c>
      <c r="R324" s="177">
        <f t="shared" si="103"/>
        <v>0.89925848527145202</v>
      </c>
      <c r="S324" s="817">
        <f t="shared" si="104"/>
        <v>-2</v>
      </c>
      <c r="T324" s="176">
        <f t="shared" si="105"/>
        <v>4</v>
      </c>
      <c r="U324" s="251">
        <f t="shared" si="106"/>
        <v>-1.100741514728548</v>
      </c>
      <c r="V324" s="383">
        <f t="shared" si="107"/>
        <v>17.173689265616552</v>
      </c>
      <c r="W324" s="58"/>
      <c r="X324" s="157">
        <f t="shared" si="108"/>
        <v>43775</v>
      </c>
      <c r="Y324" s="385">
        <f t="shared" si="109"/>
        <v>7.9029999999999996</v>
      </c>
      <c r="Z324" s="385">
        <f t="shared" si="110"/>
        <v>8.0015832038948371</v>
      </c>
      <c r="AA324" s="386">
        <f t="shared" si="111"/>
        <v>8.6690636514405721</v>
      </c>
      <c r="AB324" s="197">
        <f t="shared" si="112"/>
        <v>43775</v>
      </c>
      <c r="AC324" s="427">
        <f>IF(OR(t&lt;Tnet,NoTnet),'2018'!Resal_s+('2018'!Salim-'2018'!Resal_s)*(1-EXP(('2018'!Tnet_s-t)/'2018'!Tau_j)),Resal_s+(Salim-Resal_s)*(1-EXP((Tnet_s-t)/Tau_j)))*Salcycl</f>
        <v>7.6995679623925312E-2</v>
      </c>
      <c r="AD324" s="231">
        <f>(INDEX(Models!$BJ324:$BT324,,AH324)*(1-AF324)+INDEX(Models!$BJ324:$BT324,,AH324+1)*AF324-ERP_i)*AE324*Ramure*Pc/MaxiM</f>
        <v>2.197943594075432E-2</v>
      </c>
      <c r="AE324" s="305">
        <f t="shared" si="113"/>
        <v>0.7</v>
      </c>
      <c r="AF324" s="177">
        <f t="shared" si="114"/>
        <v>0.89925848527145202</v>
      </c>
      <c r="AG324" s="176">
        <f t="shared" si="115"/>
        <v>-2</v>
      </c>
      <c r="AH324" s="176">
        <f t="shared" si="116"/>
        <v>4</v>
      </c>
      <c r="AI324" s="225">
        <f t="shared" si="117"/>
        <v>-1.100741514728548</v>
      </c>
      <c r="AJ324" s="265" t="b">
        <f t="shared" si="118"/>
        <v>0</v>
      </c>
      <c r="AK324" s="265" t="b">
        <f t="shared" si="119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0"/>
        <v>43776</v>
      </c>
      <c r="B325" s="617">
        <v>2.3940000000000001</v>
      </c>
      <c r="C325" s="390"/>
      <c r="D325" s="393">
        <f t="shared" si="99"/>
        <v>2.4239162040087443</v>
      </c>
      <c r="E325" s="385">
        <f t="shared" si="121"/>
        <v>2.6262190803913152</v>
      </c>
      <c r="F325" s="385">
        <f t="shared" si="100"/>
        <v>2.6262190803913152</v>
      </c>
      <c r="G325" s="110">
        <f t="shared" si="122"/>
        <v>0.1388249935138097</v>
      </c>
      <c r="H325" s="414" t="b">
        <f>Wh_hp&gt;='2018'!Maxi_hp</f>
        <v>0</v>
      </c>
      <c r="I325" s="390">
        <f>IF(H325,Wh_hp,'2018'!Maxi_hp)</f>
        <v>7.0787573404742279</v>
      </c>
      <c r="J325" s="85">
        <f>IF(H325,An,'2018'!An_max)</f>
        <v>2018</v>
      </c>
      <c r="K325" s="197">
        <f t="shared" si="101"/>
        <v>43776</v>
      </c>
      <c r="L325" s="147">
        <f>IF(t&lt;Tvie,1-EXP((T0-t)*PertePVj)+'2018'!Pspv,1-EXP((T0-t)*PertePVj)+Pspv)</f>
        <v>1.2342094978064044E-2</v>
      </c>
      <c r="M325" s="850"/>
      <c r="N325" s="850"/>
      <c r="O325" s="48">
        <f>IF(t&lt;Tnet,'2018'!Resal+('2018'!Salim-'2018'!Resal)*(1-EXP(('2018'!Tnet-t)/('2018'!Tau_j))),Resal+(Salim-Resal)*(1-EXP((Tnet-t)/(Tau_j))))*Salcycl</f>
        <v>7.7031987884433106E-2</v>
      </c>
      <c r="P325" s="169">
        <f>(INDEX(Models!$BJ325:$BT325,,T325)*(1-R325)+INDEX(Models!$BJ325:$BT325,,T325+1)*R325-ERP_i)*Q325*Ramure*Pc/MaxiM</f>
        <v>2.2496911729192055E-2</v>
      </c>
      <c r="Q325" s="305">
        <f t="shared" si="102"/>
        <v>0.7</v>
      </c>
      <c r="R325" s="177">
        <f t="shared" si="103"/>
        <v>0.89929358609079491</v>
      </c>
      <c r="S325" s="817">
        <f t="shared" si="104"/>
        <v>-2</v>
      </c>
      <c r="T325" s="176">
        <f t="shared" si="105"/>
        <v>4</v>
      </c>
      <c r="U325" s="251">
        <f t="shared" si="106"/>
        <v>-1.1007064139092051</v>
      </c>
      <c r="V325" s="383">
        <f t="shared" si="107"/>
        <v>16.856780137990981</v>
      </c>
      <c r="W325" s="58"/>
      <c r="X325" s="157">
        <f t="shared" si="108"/>
        <v>43776</v>
      </c>
      <c r="Y325" s="385">
        <f t="shared" si="109"/>
        <v>2.3940000000000001</v>
      </c>
      <c r="Z325" s="385">
        <f t="shared" si="110"/>
        <v>2.4239162040087443</v>
      </c>
      <c r="AA325" s="386">
        <f t="shared" si="111"/>
        <v>2.6262190803913152</v>
      </c>
      <c r="AB325" s="197">
        <f t="shared" si="112"/>
        <v>43776</v>
      </c>
      <c r="AC325" s="427">
        <f>IF(OR(t&lt;Tnet,NoTnet),'2018'!Resal_s+('2018'!Salim-'2018'!Resal_s)*(1-EXP(('2018'!Tnet_s-t)/'2018'!Tau_j)),Resal_s+(Salim-Resal_s)*(1-EXP((Tnet_s-t)/Tau_j)))*Salcycl</f>
        <v>7.7031987884433106E-2</v>
      </c>
      <c r="AD325" s="231">
        <f>(INDEX(Models!$BJ325:$BT325,,AH325)*(1-AF325)+INDEX(Models!$BJ325:$BT325,,AH325+1)*AF325-ERP_i)*AE325*Ramure*Pc/MaxiM</f>
        <v>2.2496911729192055E-2</v>
      </c>
      <c r="AE325" s="305">
        <f t="shared" si="113"/>
        <v>0.7</v>
      </c>
      <c r="AF325" s="177">
        <f t="shared" si="114"/>
        <v>0.89929358609079491</v>
      </c>
      <c r="AG325" s="176">
        <f t="shared" si="115"/>
        <v>-2</v>
      </c>
      <c r="AH325" s="176">
        <f t="shared" si="116"/>
        <v>4</v>
      </c>
      <c r="AI325" s="225">
        <f t="shared" si="117"/>
        <v>-1.1007064139092051</v>
      </c>
      <c r="AJ325" s="265" t="b">
        <f t="shared" si="118"/>
        <v>0</v>
      </c>
      <c r="AK325" s="265" t="b">
        <f t="shared" si="119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0"/>
        <v>43777</v>
      </c>
      <c r="B326" s="617">
        <v>9.6489999999999991</v>
      </c>
      <c r="C326" s="390"/>
      <c r="D326" s="393">
        <f t="shared" si="99"/>
        <v>9.7697910313167977</v>
      </c>
      <c r="E326" s="385">
        <f t="shared" si="121"/>
        <v>10.585607892137094</v>
      </c>
      <c r="F326" s="385">
        <f t="shared" si="100"/>
        <v>10.684933775767622</v>
      </c>
      <c r="G326" s="110">
        <f t="shared" si="122"/>
        <v>0.57508975605563761</v>
      </c>
      <c r="H326" s="414" t="b">
        <f>Wh_hp&gt;='2018'!Maxi_hp</f>
        <v>1</v>
      </c>
      <c r="I326" s="390">
        <f>IF(H326,Wh_hp,'2018'!Maxi_hp)</f>
        <v>10.684933775767622</v>
      </c>
      <c r="J326" s="85">
        <f>IF(H326,An,'2018'!An_max)</f>
        <v>2019</v>
      </c>
      <c r="K326" s="197">
        <f t="shared" si="101"/>
        <v>43777</v>
      </c>
      <c r="L326" s="147">
        <f>IF(t&lt;Tvie,1-EXP((T0-t)*PertePVj)+'2018'!Pspv,1-EXP((T0-t)*PertePVj)+Pspv)</f>
        <v>1.2363727220941256E-2</v>
      </c>
      <c r="M326" s="850"/>
      <c r="N326" s="850"/>
      <c r="O326" s="48">
        <f>IF(t&lt;Tnet,'2018'!Resal+('2018'!Salim-'2018'!Resal)*(1-EXP(('2018'!Tnet-t)/('2018'!Tau_j))),Resal+(Salim-Resal)*(1-EXP((Tnet-t)/(Tau_j))))*Salcycl</f>
        <v>7.7068494236054108E-2</v>
      </c>
      <c r="P326" s="169">
        <f>(INDEX(Models!$BJ326:$BT326,,T326)*(1-R326)+INDEX(Models!$BJ326:$BT326,,T326+1)*R326-ERP_i)*Q326*Ramure*Pc/MaxiM</f>
        <v>2.2981542698162306E-2</v>
      </c>
      <c r="Q326" s="305">
        <f t="shared" si="102"/>
        <v>0.7</v>
      </c>
      <c r="R326" s="177">
        <f t="shared" si="103"/>
        <v>0.89932727946203483</v>
      </c>
      <c r="S326" s="817">
        <f t="shared" si="104"/>
        <v>-2</v>
      </c>
      <c r="T326" s="176">
        <f t="shared" si="105"/>
        <v>4</v>
      </c>
      <c r="U326" s="251">
        <f t="shared" si="106"/>
        <v>-1.1006727205379652</v>
      </c>
      <c r="V326" s="383">
        <f t="shared" si="107"/>
        <v>16.546474516408257</v>
      </c>
      <c r="W326" s="58"/>
      <c r="X326" s="157">
        <f t="shared" si="108"/>
        <v>43777</v>
      </c>
      <c r="Y326" s="385">
        <f t="shared" si="109"/>
        <v>9.6489999999999991</v>
      </c>
      <c r="Z326" s="385">
        <f t="shared" si="110"/>
        <v>9.7697910313167977</v>
      </c>
      <c r="AA326" s="386">
        <f t="shared" si="111"/>
        <v>10.585607892137094</v>
      </c>
      <c r="AB326" s="197">
        <f t="shared" si="112"/>
        <v>43777</v>
      </c>
      <c r="AC326" s="427">
        <f>IF(OR(t&lt;Tnet,NoTnet),'2018'!Resal_s+('2018'!Salim-'2018'!Resal_s)*(1-EXP(('2018'!Tnet_s-t)/'2018'!Tau_j)),Resal_s+(Salim-Resal_s)*(1-EXP((Tnet_s-t)/Tau_j)))*Salcycl</f>
        <v>7.7068494236054108E-2</v>
      </c>
      <c r="AD326" s="231">
        <f>(INDEX(Models!$BJ326:$BT326,,AH326)*(1-AF326)+INDEX(Models!$BJ326:$BT326,,AH326+1)*AF326-ERP_i)*AE326*Ramure*Pc/MaxiM</f>
        <v>2.2981542698162306E-2</v>
      </c>
      <c r="AE326" s="305">
        <f t="shared" si="113"/>
        <v>0.7</v>
      </c>
      <c r="AF326" s="177">
        <f t="shared" si="114"/>
        <v>0.89932727946203483</v>
      </c>
      <c r="AG326" s="176">
        <f t="shared" si="115"/>
        <v>-2</v>
      </c>
      <c r="AH326" s="176">
        <f t="shared" si="116"/>
        <v>4</v>
      </c>
      <c r="AI326" s="225">
        <f t="shared" si="117"/>
        <v>-1.1006727205379652</v>
      </c>
      <c r="AJ326" s="265" t="b">
        <f t="shared" si="118"/>
        <v>0</v>
      </c>
      <c r="AK326" s="265" t="b">
        <f t="shared" si="119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0"/>
        <v>43778</v>
      </c>
      <c r="B327" s="617">
        <v>11.694000000000001</v>
      </c>
      <c r="C327" s="390"/>
      <c r="D327" s="393">
        <f t="shared" si="99"/>
        <v>11.840650709715222</v>
      </c>
      <c r="E327" s="385">
        <f t="shared" si="121"/>
        <v>12.829904033626798</v>
      </c>
      <c r="F327" s="385">
        <f t="shared" si="100"/>
        <v>13.012777649672937</v>
      </c>
      <c r="G327" s="110">
        <f t="shared" si="122"/>
        <v>0.71303234302465246</v>
      </c>
      <c r="H327" s="414" t="b">
        <f>Wh_hp&gt;='2018'!Maxi_hp</f>
        <v>1</v>
      </c>
      <c r="I327" s="390">
        <f>IF(H327,Wh_hp,'2018'!Maxi_hp)</f>
        <v>13.012777649672937</v>
      </c>
      <c r="J327" s="85">
        <f>IF(H327,An,'2018'!An_max)</f>
        <v>2019</v>
      </c>
      <c r="K327" s="197">
        <f t="shared" si="101"/>
        <v>43778</v>
      </c>
      <c r="L327" s="147">
        <f>IF(t&lt;Tvie,1-EXP((T0-t)*PertePVj)+'2018'!Pspv,1-EXP((T0-t)*PertePVj)+Pspv)</f>
        <v>1.2385358990016804E-2</v>
      </c>
      <c r="M327" s="850"/>
      <c r="N327" s="850"/>
      <c r="O327" s="48">
        <f>IF(t&lt;Tnet,'2018'!Resal+('2018'!Salim-'2018'!Resal)*(1-EXP(('2018'!Tnet-t)/('2018'!Tau_j))),Resal+(Salim-Resal)*(1-EXP((Tnet-t)/(Tau_j))))*Salcycl</f>
        <v>7.7105278521084175E-2</v>
      </c>
      <c r="P327" s="169">
        <f>(INDEX(Models!$BJ327:$BT327,,T327)*(1-R327)+INDEX(Models!$BJ327:$BT327,,T327+1)*R327-ERP_i)*Q327*Ramure*Pc/MaxiM</f>
        <v>2.3429123119130014E-2</v>
      </c>
      <c r="Q327" s="305">
        <f t="shared" si="102"/>
        <v>0.7</v>
      </c>
      <c r="R327" s="177">
        <f t="shared" si="103"/>
        <v>0.89935962159581861</v>
      </c>
      <c r="S327" s="817">
        <f t="shared" si="104"/>
        <v>-2</v>
      </c>
      <c r="T327" s="176">
        <f t="shared" si="105"/>
        <v>4</v>
      </c>
      <c r="U327" s="251">
        <f t="shared" si="106"/>
        <v>-1.1006403784041814</v>
      </c>
      <c r="V327" s="383">
        <f t="shared" si="107"/>
        <v>16.244420741595771</v>
      </c>
      <c r="W327" s="58"/>
      <c r="X327" s="157">
        <f t="shared" si="108"/>
        <v>43778</v>
      </c>
      <c r="Y327" s="385">
        <f t="shared" si="109"/>
        <v>11.694000000000001</v>
      </c>
      <c r="Z327" s="385">
        <f t="shared" si="110"/>
        <v>11.840650709715222</v>
      </c>
      <c r="AA327" s="386">
        <f t="shared" si="111"/>
        <v>12.829904033626798</v>
      </c>
      <c r="AB327" s="197">
        <f t="shared" si="112"/>
        <v>43778</v>
      </c>
      <c r="AC327" s="427">
        <f>IF(OR(t&lt;Tnet,NoTnet),'2018'!Resal_s+('2018'!Salim-'2018'!Resal_s)*(1-EXP(('2018'!Tnet_s-t)/'2018'!Tau_j)),Resal_s+(Salim-Resal_s)*(1-EXP((Tnet_s-t)/Tau_j)))*Salcycl</f>
        <v>7.7105278521084175E-2</v>
      </c>
      <c r="AD327" s="231">
        <f>(INDEX(Models!$BJ327:$BT327,,AH327)*(1-AF327)+INDEX(Models!$BJ327:$BT327,,AH327+1)*AF327-ERP_i)*AE327*Ramure*Pc/MaxiM</f>
        <v>2.3429123119130014E-2</v>
      </c>
      <c r="AE327" s="305">
        <f t="shared" si="113"/>
        <v>0.7</v>
      </c>
      <c r="AF327" s="177">
        <f t="shared" si="114"/>
        <v>0.89935962159581861</v>
      </c>
      <c r="AG327" s="176">
        <f t="shared" si="115"/>
        <v>-2</v>
      </c>
      <c r="AH327" s="176">
        <f t="shared" si="116"/>
        <v>4</v>
      </c>
      <c r="AI327" s="225">
        <f t="shared" si="117"/>
        <v>-1.1006403784041814</v>
      </c>
      <c r="AJ327" s="265" t="b">
        <f t="shared" si="118"/>
        <v>0</v>
      </c>
      <c r="AK327" s="265" t="b">
        <f t="shared" si="119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0"/>
        <v>43779</v>
      </c>
      <c r="B328" s="617">
        <v>11.933999999999999</v>
      </c>
      <c r="C328" s="390"/>
      <c r="D328" s="393">
        <f t="shared" si="99"/>
        <v>12.083925141843151</v>
      </c>
      <c r="E328" s="385">
        <f t="shared" si="121"/>
        <v>13.09403031980008</v>
      </c>
      <c r="F328" s="385">
        <f t="shared" si="100"/>
        <v>13.296915518161036</v>
      </c>
      <c r="G328" s="110">
        <f t="shared" si="122"/>
        <v>0.74159092331109155</v>
      </c>
      <c r="H328" s="414" t="b">
        <f>Wh_hp&gt;='2018'!Maxi_hp</f>
        <v>1</v>
      </c>
      <c r="I328" s="390">
        <f>IF(H328,Wh_hp,'2018'!Maxi_hp)</f>
        <v>13.296915518161036</v>
      </c>
      <c r="J328" s="85">
        <f>IF(H328,An,'2018'!An_max)</f>
        <v>2019</v>
      </c>
      <c r="K328" s="197">
        <f t="shared" si="101"/>
        <v>43779</v>
      </c>
      <c r="L328" s="147">
        <f>IF(t&lt;Tvie,1-EXP((T0-t)*PertePVj)+'2018'!Pspv,1-EXP((T0-t)*PertePVj)+Pspv)</f>
        <v>1.2406990285301012E-2</v>
      </c>
      <c r="M328" s="850"/>
      <c r="N328" s="850"/>
      <c r="O328" s="48">
        <f>IF(t&lt;Tnet,'2018'!Resal+('2018'!Salim-'2018'!Resal)*(1-EXP(('2018'!Tnet-t)/('2018'!Tau_j))),Resal+(Salim-Resal)*(1-EXP((Tnet-t)/(Tau_j))))*Salcycl</f>
        <v>7.7142419353459321E-2</v>
      </c>
      <c r="P328" s="169">
        <f>(INDEX(Models!$BJ328:$BT328,,T328)*(1-R328)+INDEX(Models!$BJ328:$BT328,,T328+1)*R328-ERP_i)*Q328*Ramure*Pc/MaxiM</f>
        <v>2.3835042045425536E-2</v>
      </c>
      <c r="Q328" s="305">
        <f t="shared" si="102"/>
        <v>0.7</v>
      </c>
      <c r="R328" s="177">
        <f t="shared" si="103"/>
        <v>0.89939066647551646</v>
      </c>
      <c r="S328" s="817">
        <f t="shared" si="104"/>
        <v>-2</v>
      </c>
      <c r="T328" s="176">
        <f t="shared" si="105"/>
        <v>4</v>
      </c>
      <c r="U328" s="251">
        <f t="shared" si="106"/>
        <v>-1.1006093335244835</v>
      </c>
      <c r="V328" s="383">
        <f t="shared" si="107"/>
        <v>15.952266947843766</v>
      </c>
      <c r="W328" s="58"/>
      <c r="X328" s="157">
        <f t="shared" si="108"/>
        <v>43779</v>
      </c>
      <c r="Y328" s="385">
        <f t="shared" si="109"/>
        <v>11.933999999999999</v>
      </c>
      <c r="Z328" s="385">
        <f t="shared" si="110"/>
        <v>12.083925141843151</v>
      </c>
      <c r="AA328" s="386">
        <f t="shared" si="111"/>
        <v>13.09403031980008</v>
      </c>
      <c r="AB328" s="197">
        <f t="shared" si="112"/>
        <v>43779</v>
      </c>
      <c r="AC328" s="427">
        <f>IF(OR(t&lt;Tnet,NoTnet),'2018'!Resal_s+('2018'!Salim-'2018'!Resal_s)*(1-EXP(('2018'!Tnet_s-t)/'2018'!Tau_j)),Resal_s+(Salim-Resal_s)*(1-EXP((Tnet_s-t)/Tau_j)))*Salcycl</f>
        <v>7.7142419353459321E-2</v>
      </c>
      <c r="AD328" s="231">
        <f>(INDEX(Models!$BJ328:$BT328,,AH328)*(1-AF328)+INDEX(Models!$BJ328:$BT328,,AH328+1)*AF328-ERP_i)*AE328*Ramure*Pc/MaxiM</f>
        <v>2.3835042045425536E-2</v>
      </c>
      <c r="AE328" s="305">
        <f t="shared" si="113"/>
        <v>0.7</v>
      </c>
      <c r="AF328" s="177">
        <f t="shared" si="114"/>
        <v>0.89939066647551646</v>
      </c>
      <c r="AG328" s="176">
        <f t="shared" si="115"/>
        <v>-2</v>
      </c>
      <c r="AH328" s="176">
        <f t="shared" si="116"/>
        <v>4</v>
      </c>
      <c r="AI328" s="225">
        <f t="shared" si="117"/>
        <v>-1.1006093335244835</v>
      </c>
      <c r="AJ328" s="265" t="b">
        <f t="shared" si="118"/>
        <v>0</v>
      </c>
      <c r="AK328" s="265" t="b">
        <f t="shared" si="119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0"/>
        <v>43780</v>
      </c>
      <c r="B329" s="617">
        <v>13.153</v>
      </c>
      <c r="C329" s="390"/>
      <c r="D329" s="393">
        <f t="shared" si="99"/>
        <v>13.318530975189875</v>
      </c>
      <c r="E329" s="385">
        <f t="shared" si="121"/>
        <v>14.432425483892185</v>
      </c>
      <c r="F329" s="385">
        <f t="shared" si="100"/>
        <v>14.706548029645278</v>
      </c>
      <c r="G329" s="110">
        <f t="shared" si="122"/>
        <v>0.83453500445296924</v>
      </c>
      <c r="H329" s="414" t="b">
        <f>Wh_hp&gt;='2018'!Maxi_hp</f>
        <v>0</v>
      </c>
      <c r="I329" s="390">
        <f>IF(H329,Wh_hp,'2018'!Maxi_hp)</f>
        <v>15.857528713865515</v>
      </c>
      <c r="J329" s="85">
        <f>IF(H329,An,'2018'!An_max)</f>
        <v>2018</v>
      </c>
      <c r="K329" s="197">
        <f t="shared" si="101"/>
        <v>43780</v>
      </c>
      <c r="L329" s="147">
        <f>IF(t&lt;Tvie,1-EXP((T0-t)*PertePVj)+'2018'!Pspv,1-EXP((T0-t)*PertePVj)+Pspv)</f>
        <v>1.2428621106804427E-2</v>
      </c>
      <c r="M329" s="850"/>
      <c r="N329" s="850"/>
      <c r="O329" s="48">
        <f>IF(t&lt;Tnet,'2018'!Resal+('2018'!Salim-'2018'!Resal)*(1-EXP(('2018'!Tnet-t)/('2018'!Tau_j))),Resal+(Salim-Resal)*(1-EXP((Tnet-t)/(Tau_j))))*Salcycl</f>
        <v>7.7179993754030632E-2</v>
      </c>
      <c r="P329" s="169">
        <f>(INDEX(Models!$BJ329:$BT329,,T329)*(1-R329)+INDEX(Models!$BJ329:$BT329,,T329+1)*R329-ERP_i)*Q329*Ramure*Pc/MaxiM</f>
        <v>2.4194307737731478E-2</v>
      </c>
      <c r="Q329" s="305">
        <f t="shared" si="102"/>
        <v>0.7</v>
      </c>
      <c r="R329" s="177">
        <f t="shared" si="103"/>
        <v>0.89942046594407965</v>
      </c>
      <c r="S329" s="817">
        <f t="shared" si="104"/>
        <v>-2</v>
      </c>
      <c r="T329" s="176">
        <f t="shared" si="105"/>
        <v>4</v>
      </c>
      <c r="U329" s="251">
        <f t="shared" si="106"/>
        <v>-1.1005795340559203</v>
      </c>
      <c r="V329" s="383">
        <f t="shared" si="107"/>
        <v>15.671661092507041</v>
      </c>
      <c r="W329" s="58"/>
      <c r="X329" s="157">
        <f t="shared" si="108"/>
        <v>43780</v>
      </c>
      <c r="Y329" s="385">
        <f t="shared" si="109"/>
        <v>13.153</v>
      </c>
      <c r="Z329" s="385">
        <f t="shared" si="110"/>
        <v>13.318530975189875</v>
      </c>
      <c r="AA329" s="386">
        <f t="shared" si="111"/>
        <v>14.432425483892185</v>
      </c>
      <c r="AB329" s="197">
        <f t="shared" si="112"/>
        <v>43780</v>
      </c>
      <c r="AC329" s="427">
        <f>IF(OR(t&lt;Tnet,NoTnet),'2018'!Resal_s+('2018'!Salim-'2018'!Resal_s)*(1-EXP(('2018'!Tnet_s-t)/'2018'!Tau_j)),Resal_s+(Salim-Resal_s)*(1-EXP((Tnet_s-t)/Tau_j)))*Salcycl</f>
        <v>7.7179993754030632E-2</v>
      </c>
      <c r="AD329" s="231">
        <f>(INDEX(Models!$BJ329:$BT329,,AH329)*(1-AF329)+INDEX(Models!$BJ329:$BT329,,AH329+1)*AF329-ERP_i)*AE329*Ramure*Pc/MaxiM</f>
        <v>2.4194307737731478E-2</v>
      </c>
      <c r="AE329" s="305">
        <f t="shared" si="113"/>
        <v>0.7</v>
      </c>
      <c r="AF329" s="177">
        <f t="shared" si="114"/>
        <v>0.89942046594407965</v>
      </c>
      <c r="AG329" s="176">
        <f t="shared" si="115"/>
        <v>-2</v>
      </c>
      <c r="AH329" s="176">
        <f t="shared" si="116"/>
        <v>4</v>
      </c>
      <c r="AI329" s="225">
        <f t="shared" si="117"/>
        <v>-1.1005795340559203</v>
      </c>
      <c r="AJ329" s="265" t="b">
        <f t="shared" si="118"/>
        <v>0</v>
      </c>
      <c r="AK329" s="265" t="b">
        <f t="shared" si="119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0"/>
        <v>43781</v>
      </c>
      <c r="B330" s="617">
        <v>9.4339999999999993</v>
      </c>
      <c r="C330" s="390"/>
      <c r="D330" s="393">
        <f t="shared" si="99"/>
        <v>9.5529364610695335</v>
      </c>
      <c r="E330" s="385">
        <f t="shared" si="121"/>
        <v>10.352322927906949</v>
      </c>
      <c r="F330" s="385">
        <f t="shared" si="100"/>
        <v>10.466784555450269</v>
      </c>
      <c r="G330" s="110">
        <f t="shared" si="122"/>
        <v>0.60402835561255275</v>
      </c>
      <c r="H330" s="414" t="b">
        <f>Wh_hp&gt;='2018'!Maxi_hp</f>
        <v>0</v>
      </c>
      <c r="I330" s="390">
        <f>IF(H330,Wh_hp,'2018'!Maxi_hp)</f>
        <v>15.263584587544319</v>
      </c>
      <c r="J330" s="85">
        <f>IF(H330,An,'2018'!An_max)</f>
        <v>2018</v>
      </c>
      <c r="K330" s="197">
        <f t="shared" si="101"/>
        <v>43781</v>
      </c>
      <c r="L330" s="147">
        <f>IF(t&lt;Tvie,1-EXP((T0-t)*PertePVj)+'2018'!Pspv,1-EXP((T0-t)*PertePVj)+Pspv)</f>
        <v>1.2450251454537375E-2</v>
      </c>
      <c r="M330" s="850"/>
      <c r="N330" s="850"/>
      <c r="O330" s="48">
        <f>IF(t&lt;Tnet,'2018'!Resal+('2018'!Salim-'2018'!Resal)*(1-EXP(('2018'!Tnet-t)/('2018'!Tau_j))),Resal+(Salim-Resal)*(1-EXP((Tnet-t)/(Tau_j))))*Salcycl</f>
        <v>7.7218076793421256E-2</v>
      </c>
      <c r="P330" s="169">
        <f>(INDEX(Models!$BJ330:$BT330,,T330)*(1-R330)+INDEX(Models!$BJ330:$BT330,,T330+1)*R330-ERP_i)*Q330*Ramure*Pc/MaxiM</f>
        <v>2.450158827761097E-2</v>
      </c>
      <c r="Q330" s="305">
        <f t="shared" si="102"/>
        <v>0.7</v>
      </c>
      <c r="R330" s="177">
        <f t="shared" si="103"/>
        <v>0.8994490697876254</v>
      </c>
      <c r="S330" s="817">
        <f t="shared" si="104"/>
        <v>-2</v>
      </c>
      <c r="T330" s="176">
        <f t="shared" si="105"/>
        <v>4</v>
      </c>
      <c r="U330" s="251">
        <f t="shared" si="106"/>
        <v>-1.1005509302123746</v>
      </c>
      <c r="V330" s="383">
        <f t="shared" si="107"/>
        <v>15.404250979825147</v>
      </c>
      <c r="W330" s="58"/>
      <c r="X330" s="157">
        <f t="shared" si="108"/>
        <v>43781</v>
      </c>
      <c r="Y330" s="385">
        <f t="shared" si="109"/>
        <v>9.4339999999999993</v>
      </c>
      <c r="Z330" s="385">
        <f t="shared" si="110"/>
        <v>9.5529364610695335</v>
      </c>
      <c r="AA330" s="386">
        <f t="shared" si="111"/>
        <v>10.352322927906949</v>
      </c>
      <c r="AB330" s="197">
        <f t="shared" si="112"/>
        <v>43781</v>
      </c>
      <c r="AC330" s="427">
        <f>IF(OR(t&lt;Tnet,NoTnet),'2018'!Resal_s+('2018'!Salim-'2018'!Resal_s)*(1-EXP(('2018'!Tnet_s-t)/'2018'!Tau_j)),Resal_s+(Salim-Resal_s)*(1-EXP((Tnet_s-t)/Tau_j)))*Salcycl</f>
        <v>7.7218076793421256E-2</v>
      </c>
      <c r="AD330" s="231">
        <f>(INDEX(Models!$BJ330:$BT330,,AH330)*(1-AF330)+INDEX(Models!$BJ330:$BT330,,AH330+1)*AF330-ERP_i)*AE330*Ramure*Pc/MaxiM</f>
        <v>2.450158827761097E-2</v>
      </c>
      <c r="AE330" s="305">
        <f t="shared" si="113"/>
        <v>0.7</v>
      </c>
      <c r="AF330" s="177">
        <f t="shared" si="114"/>
        <v>0.8994490697876254</v>
      </c>
      <c r="AG330" s="176">
        <f t="shared" si="115"/>
        <v>-2</v>
      </c>
      <c r="AH330" s="176">
        <f t="shared" si="116"/>
        <v>4</v>
      </c>
      <c r="AI330" s="225">
        <f t="shared" si="117"/>
        <v>-1.1005509302123746</v>
      </c>
      <c r="AJ330" s="265" t="b">
        <f t="shared" si="118"/>
        <v>0</v>
      </c>
      <c r="AK330" s="265" t="b">
        <f t="shared" si="119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0"/>
        <v>43782</v>
      </c>
      <c r="B331" s="617">
        <v>10.143000000000001</v>
      </c>
      <c r="C331" s="390"/>
      <c r="D331" s="393">
        <f t="shared" si="99"/>
        <v>10.271099939559454</v>
      </c>
      <c r="E331" s="385">
        <f t="shared" si="121"/>
        <v>11.131048471074996</v>
      </c>
      <c r="F331" s="385">
        <f t="shared" si="100"/>
        <v>11.278488132790448</v>
      </c>
      <c r="G331" s="110">
        <f t="shared" si="122"/>
        <v>0.66168548270509198</v>
      </c>
      <c r="H331" s="414" t="b">
        <f>Wh_hp&gt;='2018'!Maxi_hp</f>
        <v>1</v>
      </c>
      <c r="I331" s="390">
        <f>IF(H331,Wh_hp,'2018'!Maxi_hp)</f>
        <v>11.278488132790448</v>
      </c>
      <c r="J331" s="85">
        <f>IF(H331,An,'2018'!An_max)</f>
        <v>2019</v>
      </c>
      <c r="K331" s="197">
        <f t="shared" si="101"/>
        <v>43782</v>
      </c>
      <c r="L331" s="147">
        <f>IF(t&lt;Tvie,1-EXP((T0-t)*PertePVj)+'2018'!Pspv,1-EXP((T0-t)*PertePVj)+Pspv)</f>
        <v>1.247188132851007E-2</v>
      </c>
      <c r="M331" s="850"/>
      <c r="N331" s="850"/>
      <c r="O331" s="48">
        <f>IF(t&lt;Tnet,'2018'!Resal+('2018'!Salim-'2018'!Resal)*(1-EXP(('2018'!Tnet-t)/('2018'!Tau_j))),Resal+(Salim-Resal)*(1-EXP((Tnet-t)/(Tau_j))))*Salcycl</f>
        <v>7.7256741245013402E-2</v>
      </c>
      <c r="P331" s="169">
        <f>(INDEX(Models!$BJ331:$BT331,,T331)*(1-R331)+INDEX(Models!$BJ331:$BT331,,T331+1)*R331-ERP_i)*Q331*Ramure*Pc/MaxiM</f>
        <v>2.4757876811069484E-2</v>
      </c>
      <c r="Q331" s="305">
        <f t="shared" si="102"/>
        <v>0.7</v>
      </c>
      <c r="R331" s="177">
        <f t="shared" si="103"/>
        <v>0.89947652581585658</v>
      </c>
      <c r="S331" s="817">
        <f t="shared" si="104"/>
        <v>-2</v>
      </c>
      <c r="T331" s="176">
        <f t="shared" si="105"/>
        <v>4</v>
      </c>
      <c r="U331" s="251">
        <f t="shared" si="106"/>
        <v>-1.1005234741841434</v>
      </c>
      <c r="V331" s="383">
        <f t="shared" si="107"/>
        <v>15.147539141451514</v>
      </c>
      <c r="W331" s="58"/>
      <c r="X331" s="157">
        <f t="shared" si="108"/>
        <v>43782</v>
      </c>
      <c r="Y331" s="385">
        <f t="shared" si="109"/>
        <v>10.143000000000001</v>
      </c>
      <c r="Z331" s="385">
        <f t="shared" si="110"/>
        <v>10.271099939559454</v>
      </c>
      <c r="AA331" s="386">
        <f t="shared" si="111"/>
        <v>11.131048471074996</v>
      </c>
      <c r="AB331" s="197">
        <f t="shared" si="112"/>
        <v>43782</v>
      </c>
      <c r="AC331" s="427">
        <f>IF(OR(t&lt;Tnet,NoTnet),'2018'!Resal_s+('2018'!Salim-'2018'!Resal_s)*(1-EXP(('2018'!Tnet_s-t)/'2018'!Tau_j)),Resal_s+(Salim-Resal_s)*(1-EXP((Tnet_s-t)/Tau_j)))*Salcycl</f>
        <v>7.7256741245013402E-2</v>
      </c>
      <c r="AD331" s="231">
        <f>(INDEX(Models!$BJ331:$BT331,,AH331)*(1-AF331)+INDEX(Models!$BJ331:$BT331,,AH331+1)*AF331-ERP_i)*AE331*Ramure*Pc/MaxiM</f>
        <v>2.4757876811069484E-2</v>
      </c>
      <c r="AE331" s="305">
        <f t="shared" si="113"/>
        <v>0.7</v>
      </c>
      <c r="AF331" s="177">
        <f t="shared" si="114"/>
        <v>0.89947652581585658</v>
      </c>
      <c r="AG331" s="176">
        <f t="shared" si="115"/>
        <v>-2</v>
      </c>
      <c r="AH331" s="176">
        <f t="shared" si="116"/>
        <v>4</v>
      </c>
      <c r="AI331" s="225">
        <f t="shared" si="117"/>
        <v>-1.1005234741841434</v>
      </c>
      <c r="AJ331" s="265" t="b">
        <f t="shared" si="118"/>
        <v>0</v>
      </c>
      <c r="AK331" s="265" t="b">
        <f t="shared" si="119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0"/>
        <v>43783</v>
      </c>
      <c r="B332" s="617">
        <v>3.58</v>
      </c>
      <c r="C332" s="390"/>
      <c r="D332" s="393">
        <f t="shared" si="99"/>
        <v>3.6252926323976573</v>
      </c>
      <c r="E332" s="385">
        <f t="shared" si="121"/>
        <v>3.9289879065598208</v>
      </c>
      <c r="F332" s="385">
        <f t="shared" si="100"/>
        <v>3.9289879065598208</v>
      </c>
      <c r="G332" s="110">
        <f t="shared" si="122"/>
        <v>0.23430246471349331</v>
      </c>
      <c r="H332" s="414" t="b">
        <f>Wh_hp&gt;='2018'!Maxi_hp</f>
        <v>0</v>
      </c>
      <c r="I332" s="390">
        <f>IF(H332,Wh_hp,'2018'!Maxi_hp)</f>
        <v>11.456933418030181</v>
      </c>
      <c r="J332" s="85">
        <f>IF(H332,An,'2018'!An_max)</f>
        <v>2018</v>
      </c>
      <c r="K332" s="197">
        <f t="shared" si="101"/>
        <v>43783</v>
      </c>
      <c r="L332" s="147">
        <f>IF(t&lt;Tvie,1-EXP((T0-t)*PertePVj)+'2018'!Pspv,1-EXP((T0-t)*PertePVj)+Pspv)</f>
        <v>1.2493510728733059E-2</v>
      </c>
      <c r="M332" s="850"/>
      <c r="N332" s="850"/>
      <c r="O332" s="48">
        <f>IF(t&lt;Tnet,'2018'!Resal+('2018'!Salim-'2018'!Resal)*(1-EXP(('2018'!Tnet-t)/('2018'!Tau_j))),Resal+(Salim-Resal)*(1-EXP((Tnet-t)/(Tau_j))))*Salcycl</f>
        <v>7.7296057250549194E-2</v>
      </c>
      <c r="P332" s="169">
        <f>(INDEX(Models!$BJ332:$BT332,,T332)*(1-R332)+INDEX(Models!$BJ332:$BT332,,T332+1)*R332-ERP_i)*Q332*Ramure*Pc/MaxiM</f>
        <v>2.4966150357109033E-2</v>
      </c>
      <c r="Q332" s="305">
        <f t="shared" si="102"/>
        <v>0.7</v>
      </c>
      <c r="R332" s="177">
        <f t="shared" si="103"/>
        <v>0.89950287993943245</v>
      </c>
      <c r="S332" s="817">
        <f t="shared" si="104"/>
        <v>-2</v>
      </c>
      <c r="T332" s="176">
        <f t="shared" si="105"/>
        <v>4</v>
      </c>
      <c r="U332" s="251">
        <f t="shared" si="106"/>
        <v>-1.1004971200605675</v>
      </c>
      <c r="V332" s="383">
        <f t="shared" si="107"/>
        <v>14.897927710619285</v>
      </c>
      <c r="W332" s="58"/>
      <c r="X332" s="157">
        <f t="shared" si="108"/>
        <v>43783</v>
      </c>
      <c r="Y332" s="385">
        <f t="shared" si="109"/>
        <v>3.58</v>
      </c>
      <c r="Z332" s="385">
        <f t="shared" si="110"/>
        <v>3.6252926323976573</v>
      </c>
      <c r="AA332" s="386">
        <f t="shared" si="111"/>
        <v>3.9289879065598208</v>
      </c>
      <c r="AB332" s="197">
        <f t="shared" si="112"/>
        <v>43783</v>
      </c>
      <c r="AC332" s="427">
        <f>IF(OR(t&lt;Tnet,NoTnet),'2018'!Resal_s+('2018'!Salim-'2018'!Resal_s)*(1-EXP(('2018'!Tnet_s-t)/'2018'!Tau_j)),Resal_s+(Salim-Resal_s)*(1-EXP((Tnet_s-t)/Tau_j)))*Salcycl</f>
        <v>7.7296057250549194E-2</v>
      </c>
      <c r="AD332" s="231">
        <f>(INDEX(Models!$BJ332:$BT332,,AH332)*(1-AF332)+INDEX(Models!$BJ332:$BT332,,AH332+1)*AF332-ERP_i)*AE332*Ramure*Pc/MaxiM</f>
        <v>2.4966150357109033E-2</v>
      </c>
      <c r="AE332" s="305">
        <f t="shared" si="113"/>
        <v>0.7</v>
      </c>
      <c r="AF332" s="177">
        <f t="shared" si="114"/>
        <v>0.89950287993943245</v>
      </c>
      <c r="AG332" s="176">
        <f t="shared" si="115"/>
        <v>-2</v>
      </c>
      <c r="AH332" s="176">
        <f t="shared" si="116"/>
        <v>4</v>
      </c>
      <c r="AI332" s="225">
        <f t="shared" si="117"/>
        <v>-1.1004971200605675</v>
      </c>
      <c r="AJ332" s="265" t="b">
        <f t="shared" si="118"/>
        <v>0</v>
      </c>
      <c r="AK332" s="265" t="b">
        <f t="shared" si="119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0"/>
        <v>43784</v>
      </c>
      <c r="B333" s="617">
        <v>8.6649999999999991</v>
      </c>
      <c r="C333" s="390"/>
      <c r="D333" s="393">
        <f t="shared" si="99"/>
        <v>8.7748180736407324</v>
      </c>
      <c r="E333" s="385">
        <f t="shared" si="121"/>
        <v>9.5103081388198927</v>
      </c>
      <c r="F333" s="385">
        <f t="shared" si="100"/>
        <v>9.61093412980388</v>
      </c>
      <c r="G333" s="110">
        <f t="shared" si="122"/>
        <v>0.58249333831139627</v>
      </c>
      <c r="H333" s="414" t="b">
        <f>Wh_hp&gt;='2018'!Maxi_hp</f>
        <v>0</v>
      </c>
      <c r="I333" s="390">
        <f>IF(H333,Wh_hp,'2018'!Maxi_hp)</f>
        <v>11.644088248707675</v>
      </c>
      <c r="J333" s="85">
        <f>IF(H333,An,'2018'!An_max)</f>
        <v>2018</v>
      </c>
      <c r="K333" s="197">
        <f t="shared" si="101"/>
        <v>43784</v>
      </c>
      <c r="L333" s="147">
        <f>IF(t&lt;Tvie,1-EXP((T0-t)*PertePVj)+'2018'!Pspv,1-EXP((T0-t)*PertePVj)+Pspv)</f>
        <v>1.2515139655216778E-2</v>
      </c>
      <c r="M333" s="850"/>
      <c r="N333" s="850"/>
      <c r="O333" s="48">
        <f>IF(t&lt;Tnet,'2018'!Resal+('2018'!Salim-'2018'!Resal)*(1-EXP(('2018'!Tnet-t)/('2018'!Tau_j))),Resal+(Salim-Resal)*(1-EXP((Tnet-t)/(Tau_j))))*Salcycl</f>
        <v>7.7336092000739917E-2</v>
      </c>
      <c r="P333" s="169">
        <f>(INDEX(Models!$BJ333:$BT333,,T333)*(1-R333)+INDEX(Models!$BJ333:$BT333,,T333+1)*R333-ERP_i)*Q333*Ramure*Pc/MaxiM</f>
        <v>2.5161908241870423E-2</v>
      </c>
      <c r="Q333" s="305">
        <f t="shared" si="102"/>
        <v>0.7</v>
      </c>
      <c r="R333" s="177">
        <f t="shared" si="103"/>
        <v>0.89952817624439496</v>
      </c>
      <c r="S333" s="817">
        <f t="shared" si="104"/>
        <v>-2</v>
      </c>
      <c r="T333" s="176">
        <f t="shared" si="105"/>
        <v>4</v>
      </c>
      <c r="U333" s="251">
        <f t="shared" si="106"/>
        <v>-1.100471823755605</v>
      </c>
      <c r="V333" s="383">
        <f t="shared" si="107"/>
        <v>14.654840878045878</v>
      </c>
      <c r="W333" s="58"/>
      <c r="X333" s="157">
        <f t="shared" si="108"/>
        <v>43784</v>
      </c>
      <c r="Y333" s="385">
        <f t="shared" si="109"/>
        <v>8.6649999999999991</v>
      </c>
      <c r="Z333" s="385">
        <f t="shared" si="110"/>
        <v>8.7748180736407324</v>
      </c>
      <c r="AA333" s="386">
        <f t="shared" si="111"/>
        <v>9.5103081388198927</v>
      </c>
      <c r="AB333" s="197">
        <f t="shared" si="112"/>
        <v>43784</v>
      </c>
      <c r="AC333" s="427">
        <f>IF(OR(t&lt;Tnet,NoTnet),'2018'!Resal_s+('2018'!Salim-'2018'!Resal_s)*(1-EXP(('2018'!Tnet_s-t)/'2018'!Tau_j)),Resal_s+(Salim-Resal_s)*(1-EXP((Tnet_s-t)/Tau_j)))*Salcycl</f>
        <v>7.7336092000739917E-2</v>
      </c>
      <c r="AD333" s="231">
        <f>(INDEX(Models!$BJ333:$BT333,,AH333)*(1-AF333)+INDEX(Models!$BJ333:$BT333,,AH333+1)*AF333-ERP_i)*AE333*Ramure*Pc/MaxiM</f>
        <v>2.5161908241870423E-2</v>
      </c>
      <c r="AE333" s="305">
        <f t="shared" si="113"/>
        <v>0.7</v>
      </c>
      <c r="AF333" s="177">
        <f t="shared" si="114"/>
        <v>0.89952817624439496</v>
      </c>
      <c r="AG333" s="176">
        <f t="shared" si="115"/>
        <v>-2</v>
      </c>
      <c r="AH333" s="176">
        <f t="shared" si="116"/>
        <v>4</v>
      </c>
      <c r="AI333" s="225">
        <f t="shared" si="117"/>
        <v>-1.100471823755605</v>
      </c>
      <c r="AJ333" s="265" t="b">
        <f t="shared" si="118"/>
        <v>0</v>
      </c>
      <c r="AK333" s="265" t="b">
        <f t="shared" si="119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0"/>
        <v>43785</v>
      </c>
      <c r="B334" s="617">
        <v>8.843</v>
      </c>
      <c r="C334" s="390"/>
      <c r="D334" s="393">
        <f t="shared" si="99"/>
        <v>8.9552701451540351</v>
      </c>
      <c r="E334" s="385">
        <f t="shared" si="121"/>
        <v>9.706314785219849</v>
      </c>
      <c r="F334" s="385">
        <f t="shared" si="100"/>
        <v>9.817687809085653</v>
      </c>
      <c r="G334" s="110">
        <f t="shared" si="122"/>
        <v>0.60463369571447345</v>
      </c>
      <c r="H334" s="414" t="b">
        <f>Wh_hp&gt;='2018'!Maxi_hp</f>
        <v>0</v>
      </c>
      <c r="I334" s="390">
        <f>IF(H334,Wh_hp,'2018'!Maxi_hp)</f>
        <v>12.77870882362072</v>
      </c>
      <c r="J334" s="85">
        <f>IF(H334,An,'2018'!An_max)</f>
        <v>2018</v>
      </c>
      <c r="K334" s="197">
        <f t="shared" si="101"/>
        <v>43785</v>
      </c>
      <c r="L334" s="147">
        <f>IF(t&lt;Tvie,1-EXP((T0-t)*PertePVj)+'2018'!Pspv,1-EXP((T0-t)*PertePVj)+Pspv)</f>
        <v>1.253676810797133E-2</v>
      </c>
      <c r="M334" s="850"/>
      <c r="N334" s="850"/>
      <c r="O334" s="48">
        <f>IF(t&lt;Tnet,'2018'!Resal+('2018'!Salim-'2018'!Resal)*(1-EXP(('2018'!Tnet-t)/('2018'!Tau_j))),Resal+(Salim-Resal)*(1-EXP((Tnet-t)/(Tau_j))))*Salcycl</f>
        <v>7.7376909433171867E-2</v>
      </c>
      <c r="P334" s="169">
        <f>(INDEX(Models!$BJ334:$BT334,,T334)*(1-R334)+INDEX(Models!$BJ334:$BT334,,T334+1)*R334-ERP_i)*Q334*Ramure*Pc/MaxiM</f>
        <v>2.5344415837063889E-2</v>
      </c>
      <c r="Q334" s="305">
        <f t="shared" si="102"/>
        <v>0.7</v>
      </c>
      <c r="R334" s="177">
        <f t="shared" si="103"/>
        <v>0.89955245706376008</v>
      </c>
      <c r="S334" s="817">
        <f t="shared" si="104"/>
        <v>-2</v>
      </c>
      <c r="T334" s="176">
        <f t="shared" si="105"/>
        <v>4</v>
      </c>
      <c r="U334" s="251">
        <f t="shared" si="106"/>
        <v>-1.1004475429362399</v>
      </c>
      <c r="V334" s="383">
        <f t="shared" si="107"/>
        <v>14.418274852844188</v>
      </c>
      <c r="W334" s="58"/>
      <c r="X334" s="157">
        <f t="shared" si="108"/>
        <v>43785</v>
      </c>
      <c r="Y334" s="385">
        <f t="shared" si="109"/>
        <v>8.843</v>
      </c>
      <c r="Z334" s="385">
        <f t="shared" si="110"/>
        <v>8.9552701451540351</v>
      </c>
      <c r="AA334" s="386">
        <f t="shared" si="111"/>
        <v>9.706314785219849</v>
      </c>
      <c r="AB334" s="197">
        <f t="shared" si="112"/>
        <v>43785</v>
      </c>
      <c r="AC334" s="427">
        <f>IF(OR(t&lt;Tnet,NoTnet),'2018'!Resal_s+('2018'!Salim-'2018'!Resal_s)*(1-EXP(('2018'!Tnet_s-t)/'2018'!Tau_j)),Resal_s+(Salim-Resal_s)*(1-EXP((Tnet_s-t)/Tau_j)))*Salcycl</f>
        <v>7.7376909433171867E-2</v>
      </c>
      <c r="AD334" s="231">
        <f>(INDEX(Models!$BJ334:$BT334,,AH334)*(1-AF334)+INDEX(Models!$BJ334:$BT334,,AH334+1)*AF334-ERP_i)*AE334*Ramure*Pc/MaxiM</f>
        <v>2.5344415837063889E-2</v>
      </c>
      <c r="AE334" s="305">
        <f t="shared" si="113"/>
        <v>0.7</v>
      </c>
      <c r="AF334" s="177">
        <f t="shared" si="114"/>
        <v>0.89955245706376008</v>
      </c>
      <c r="AG334" s="176">
        <f t="shared" si="115"/>
        <v>-2</v>
      </c>
      <c r="AH334" s="176">
        <f t="shared" si="116"/>
        <v>4</v>
      </c>
      <c r="AI334" s="225">
        <f t="shared" si="117"/>
        <v>-1.1004475429362399</v>
      </c>
      <c r="AJ334" s="265" t="b">
        <f t="shared" si="118"/>
        <v>0</v>
      </c>
      <c r="AK334" s="265" t="b">
        <f t="shared" si="119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0"/>
        <v>43786</v>
      </c>
      <c r="B335" s="617">
        <v>5.1840000000000002</v>
      </c>
      <c r="C335" s="390"/>
      <c r="D335" s="393">
        <f t="shared" ref="D335:D379" si="123">Wh/(1-Ppv)</f>
        <v>5.2499307092764376</v>
      </c>
      <c r="E335" s="385">
        <f t="shared" si="121"/>
        <v>5.6904794940323269</v>
      </c>
      <c r="F335" s="385">
        <f t="shared" ref="F335:F379" si="124">Wh_sa/(1-Pvg*MEDIAN((-Sdif+Wh/Env_an)/Csdif,0,1))</f>
        <v>5.7040703803801591</v>
      </c>
      <c r="G335" s="110">
        <f t="shared" si="122"/>
        <v>0.35690200989158533</v>
      </c>
      <c r="H335" s="414" t="b">
        <f>Wh_hp&gt;='2018'!Maxi_hp</f>
        <v>0</v>
      </c>
      <c r="I335" s="390">
        <f>IF(H335,Wh_hp,'2018'!Maxi_hp)</f>
        <v>16.318890198291346</v>
      </c>
      <c r="J335" s="85">
        <f>IF(H335,An,'2018'!An_max)</f>
        <v>2018</v>
      </c>
      <c r="K335" s="197">
        <f t="shared" ref="K335:K379" si="125">t</f>
        <v>43786</v>
      </c>
      <c r="L335" s="147">
        <f>IF(t&lt;Tvie,1-EXP((T0-t)*PertePVj)+'2018'!Pspv,1-EXP((T0-t)*PertePVj)+Pspv)</f>
        <v>1.2558396087007373E-2</v>
      </c>
      <c r="M335" s="850"/>
      <c r="N335" s="850"/>
      <c r="O335" s="48">
        <f>IF(t&lt;Tnet,'2018'!Resal+('2018'!Salim-'2018'!Resal)*(1-EXP(('2018'!Tnet-t)/('2018'!Tau_j))),Resal+(Salim-Resal)*(1-EXP((Tnet-t)/(Tau_j))))*Salcycl</f>
        <v>7.741856994966731E-2</v>
      </c>
      <c r="P335" s="169">
        <f>(INDEX(Models!$BJ335:$BT335,,T335)*(1-R335)+INDEX(Models!$BJ335:$BT335,,T335+1)*R335-ERP_i)*Q335*Ramure*Pc/MaxiM</f>
        <v>2.5512913825671134E-2</v>
      </c>
      <c r="Q335" s="305">
        <f t="shared" ref="Q335:Q379" si="126">IF(OR(t&lt;Ttai,Notai),Dd+PousD*Croivg,Dens+PousD*(Croivg-Croi_tai))</f>
        <v>0.7</v>
      </c>
      <c r="R335" s="177">
        <f t="shared" ref="R335:R379" si="127">(Hp_vg-S335)/(INDEX(Echel_vg,T335+1)-S335)</f>
        <v>0.89957576304637099</v>
      </c>
      <c r="S335" s="817">
        <f t="shared" ref="S335:S379" si="128">INDEX(Echel_vg,T335)</f>
        <v>-2</v>
      </c>
      <c r="T335" s="176">
        <f t="shared" ref="T335:T379" si="129">MIN(MATCH(Hp_vg,Echel_vg),10)</f>
        <v>4</v>
      </c>
      <c r="U335" s="251">
        <f t="shared" ref="U335:U379" si="130">IF(OR(t&lt;Ttai,Notai),Hdd+PousH*Croivg,Hdtf+PousH*(Croivg-Croi_tai))</f>
        <v>-1.100424236953629</v>
      </c>
      <c r="V335" s="383">
        <f t="shared" ref="V335:V379" si="131">MaxiM*(1-Ppv)*(1-Pvg)*(1-Psa)</f>
        <v>14.188226085738011</v>
      </c>
      <c r="W335" s="58"/>
      <c r="X335" s="157">
        <f t="shared" ref="X335:X379" si="132">t</f>
        <v>43786</v>
      </c>
      <c r="Y335" s="385">
        <f t="shared" ref="Y335:Y379" si="133">Wh_pvt_s*(1-Ppv)</f>
        <v>5.1840000000000002</v>
      </c>
      <c r="Z335" s="385">
        <f t="shared" ref="Z335:Z379" si="134">Wh_sa_s*(1-Psa_s)</f>
        <v>5.2499307092764376</v>
      </c>
      <c r="AA335" s="386">
        <f t="shared" ref="AA335:AA379" si="135">Wh_hp*(1-Pvg_s*MEDIAN((-Sdif+Wh/Env_an)/Csdif,0,1))</f>
        <v>5.6904794940323269</v>
      </c>
      <c r="AB335" s="197">
        <f t="shared" ref="AB335:AB379" si="136">t</f>
        <v>43786</v>
      </c>
      <c r="AC335" s="427">
        <f>IF(OR(t&lt;Tnet,NoTnet),'2018'!Resal_s+('2018'!Salim-'2018'!Resal_s)*(1-EXP(('2018'!Tnet_s-t)/'2018'!Tau_j)),Resal_s+(Salim-Resal_s)*(1-EXP((Tnet_s-t)/Tau_j)))*Salcycl</f>
        <v>7.741856994966731E-2</v>
      </c>
      <c r="AD335" s="231">
        <f>(INDEX(Models!$BJ335:$BT335,,AH335)*(1-AF335)+INDEX(Models!$BJ335:$BT335,,AH335+1)*AF335-ERP_i)*AE335*Ramure*Pc/MaxiM</f>
        <v>2.5512913825671134E-2</v>
      </c>
      <c r="AE335" s="305">
        <f t="shared" ref="AE335:AE379" si="137">IF(OR(t&lt;Ttai,Notai),Dd_s+PousD*Croivg,Dens_s+PousD*(Croivg-Croi_tai))</f>
        <v>0.7</v>
      </c>
      <c r="AF335" s="177">
        <f t="shared" ref="AF335:AF379" si="138">(Hp_vg_s-AG335)/(INDEX(Echel_vg,AH335+1)-AG335)</f>
        <v>0.89957576304637099</v>
      </c>
      <c r="AG335" s="176">
        <f t="shared" ref="AG335:AG379" si="139">INDEX(Echel_vg,AH335)</f>
        <v>-2</v>
      </c>
      <c r="AH335" s="176">
        <f t="shared" ref="AH335:AH379" si="140">MIN(MATCH(Hp_vg_s,Echel_vg),10)</f>
        <v>4</v>
      </c>
      <c r="AI335" s="225">
        <f t="shared" ref="AI335:AI379" si="141">IF(OR(t&lt;Ttai,Notai),Hdd_s+PousH*Croivg,Hdtai_s+PousH*(Croivg-Croi_tai))</f>
        <v>-1.100424236953629</v>
      </c>
      <c r="AJ335" s="265" t="b">
        <f t="shared" ref="AJ335:AJ380" si="142">t&lt;Tnet</f>
        <v>0</v>
      </c>
      <c r="AK335" s="265" t="b">
        <f t="shared" ref="AK335:AK380" si="143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7">
        <v>6.7050000000000001</v>
      </c>
      <c r="C336" s="390"/>
      <c r="D336" s="393">
        <f t="shared" si="123"/>
        <v>6.7904236902249817</v>
      </c>
      <c r="E336" s="385">
        <f t="shared" si="121"/>
        <v>7.3605827485260402</v>
      </c>
      <c r="F336" s="385">
        <f t="shared" si="124"/>
        <v>7.409523414060577</v>
      </c>
      <c r="G336" s="110">
        <f t="shared" si="122"/>
        <v>0.47092646822256506</v>
      </c>
      <c r="H336" s="414" t="b">
        <f>Wh_hp&gt;='2018'!Maxi_hp</f>
        <v>0</v>
      </c>
      <c r="I336" s="390">
        <f>IF(H336,Wh_hp,'2018'!Maxi_hp)</f>
        <v>14.520944266694507</v>
      </c>
      <c r="J336" s="85">
        <f>IF(H336,An,'2018'!An_max)</f>
        <v>2018</v>
      </c>
      <c r="K336" s="197">
        <f t="shared" si="125"/>
        <v>43787</v>
      </c>
      <c r="L336" s="147">
        <f>IF(t&lt;Tvie,1-EXP((T0-t)*PertePVj)+'2018'!Pspv,1-EXP((T0-t)*PertePVj)+Pspv)</f>
        <v>1.2580023592335121E-2</v>
      </c>
      <c r="M336" s="850"/>
      <c r="N336" s="850"/>
      <c r="O336" s="48">
        <f>IF(t&lt;Tnet,'2018'!Resal+('2018'!Salim-'2018'!Resal)*(1-EXP(('2018'!Tnet-t)/('2018'!Tau_j))),Resal+(Salim-Resal)*(1-EXP((Tnet-t)/(Tau_j))))*Salcycl</f>
        <v>7.7461130155113508E-2</v>
      </c>
      <c r="P336" s="169">
        <f>(INDEX(Models!$BJ336:$BT336,,T336)*(1-R336)+INDEX(Models!$BJ336:$BT336,,T336+1)*R336-ERP_i)*Q336*Ramure*Pc/MaxiM</f>
        <v>2.5666618975571251E-2</v>
      </c>
      <c r="Q336" s="305">
        <f t="shared" si="126"/>
        <v>0.7</v>
      </c>
      <c r="R336" s="177">
        <f t="shared" si="127"/>
        <v>0.89959813322311599</v>
      </c>
      <c r="S336" s="817">
        <f t="shared" si="128"/>
        <v>-2</v>
      </c>
      <c r="T336" s="176">
        <f t="shared" si="129"/>
        <v>4</v>
      </c>
      <c r="U336" s="251">
        <f t="shared" si="130"/>
        <v>-1.100401866776884</v>
      </c>
      <c r="V336" s="383">
        <f t="shared" si="131"/>
        <v>13.964691273224366</v>
      </c>
      <c r="W336" s="58"/>
      <c r="X336" s="157">
        <f t="shared" si="132"/>
        <v>43787</v>
      </c>
      <c r="Y336" s="385">
        <f t="shared" si="133"/>
        <v>6.7050000000000001</v>
      </c>
      <c r="Z336" s="385">
        <f t="shared" si="134"/>
        <v>6.7904236902249817</v>
      </c>
      <c r="AA336" s="386">
        <f t="shared" si="135"/>
        <v>7.3605827485260402</v>
      </c>
      <c r="AB336" s="197">
        <f t="shared" si="136"/>
        <v>43787</v>
      </c>
      <c r="AC336" s="427">
        <f>IF(OR(t&lt;Tnet,NoTnet),'2018'!Resal_s+('2018'!Salim-'2018'!Resal_s)*(1-EXP(('2018'!Tnet_s-t)/'2018'!Tau_j)),Resal_s+(Salim-Resal_s)*(1-EXP((Tnet_s-t)/Tau_j)))*Salcycl</f>
        <v>7.7461130155113508E-2</v>
      </c>
      <c r="AD336" s="231">
        <f>(INDEX(Models!$BJ336:$BT336,,AH336)*(1-AF336)+INDEX(Models!$BJ336:$BT336,,AH336+1)*AF336-ERP_i)*AE336*Ramure*Pc/MaxiM</f>
        <v>2.5666618975571251E-2</v>
      </c>
      <c r="AE336" s="305">
        <f t="shared" si="137"/>
        <v>0.7</v>
      </c>
      <c r="AF336" s="177">
        <f t="shared" si="138"/>
        <v>0.89959813322311599</v>
      </c>
      <c r="AG336" s="176">
        <f t="shared" si="139"/>
        <v>-2</v>
      </c>
      <c r="AH336" s="176">
        <f t="shared" si="140"/>
        <v>4</v>
      </c>
      <c r="AI336" s="225">
        <f t="shared" si="141"/>
        <v>-1.100401866776884</v>
      </c>
      <c r="AJ336" s="265" t="b">
        <f t="shared" si="142"/>
        <v>0</v>
      </c>
      <c r="AK336" s="265" t="b">
        <f t="shared" si="143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4"/>
        <v>43788</v>
      </c>
      <c r="B337" s="617">
        <v>8.5890000000000004</v>
      </c>
      <c r="C337" s="390"/>
      <c r="D337" s="393">
        <f t="shared" si="123"/>
        <v>8.6986169314822455</v>
      </c>
      <c r="E337" s="385">
        <f t="shared" si="121"/>
        <v>9.4294425027608586</v>
      </c>
      <c r="F337" s="385">
        <f t="shared" si="124"/>
        <v>9.5436990729978941</v>
      </c>
      <c r="G337" s="110">
        <f t="shared" si="122"/>
        <v>0.61601363695830524</v>
      </c>
      <c r="H337" s="414" t="b">
        <f>Wh_hp&gt;='2018'!Maxi_hp</f>
        <v>0</v>
      </c>
      <c r="I337" s="390">
        <f>IF(H337,Wh_hp,'2018'!Maxi_hp)</f>
        <v>11.380757735848544</v>
      </c>
      <c r="J337" s="85">
        <f>IF(H337,An,'2018'!An_max)</f>
        <v>2018</v>
      </c>
      <c r="K337" s="197">
        <f t="shared" si="125"/>
        <v>43788</v>
      </c>
      <c r="L337" s="147">
        <f>IF(t&lt;Tvie,1-EXP((T0-t)*PertePVj)+'2018'!Pspv,1-EXP((T0-t)*PertePVj)+Pspv)</f>
        <v>1.2601650623965011E-2</v>
      </c>
      <c r="M337" s="850"/>
      <c r="N337" s="850"/>
      <c r="O337" s="48">
        <f>IF(t&lt;Tnet,'2018'!Resal+('2018'!Salim-'2018'!Resal)*(1-EXP(('2018'!Tnet-t)/('2018'!Tau_j))),Resal+(Salim-Resal)*(1-EXP((Tnet-t)/(Tau_j))))*Salcycl</f>
        <v>7.7504642619607003E-2</v>
      </c>
      <c r="P337" s="169">
        <f>(INDEX(Models!$BJ337:$BT337,,T337)*(1-R337)+INDEX(Models!$BJ337:$BT337,,T337+1)*R337-ERP_i)*Q337*Ramure*Pc/MaxiM</f>
        <v>2.5804725253204819E-2</v>
      </c>
      <c r="Q337" s="305">
        <f t="shared" si="126"/>
        <v>0.7</v>
      </c>
      <c r="R337" s="177">
        <f t="shared" si="127"/>
        <v>0.89961960507060468</v>
      </c>
      <c r="S337" s="817">
        <f t="shared" si="128"/>
        <v>-2</v>
      </c>
      <c r="T337" s="176">
        <f t="shared" si="129"/>
        <v>4</v>
      </c>
      <c r="U337" s="251">
        <f t="shared" si="130"/>
        <v>-1.1003803949293953</v>
      </c>
      <c r="V337" s="383">
        <f t="shared" si="131"/>
        <v>13.747667357468218</v>
      </c>
      <c r="W337" s="58"/>
      <c r="X337" s="157">
        <f t="shared" si="132"/>
        <v>43788</v>
      </c>
      <c r="Y337" s="385">
        <f t="shared" si="133"/>
        <v>8.5890000000000004</v>
      </c>
      <c r="Z337" s="385">
        <f t="shared" si="134"/>
        <v>8.6986169314822455</v>
      </c>
      <c r="AA337" s="386">
        <f t="shared" si="135"/>
        <v>9.4294425027608586</v>
      </c>
      <c r="AB337" s="197">
        <f t="shared" si="136"/>
        <v>43788</v>
      </c>
      <c r="AC337" s="427">
        <f>IF(OR(t&lt;Tnet,NoTnet),'2018'!Resal_s+('2018'!Salim-'2018'!Resal_s)*(1-EXP(('2018'!Tnet_s-t)/'2018'!Tau_j)),Resal_s+(Salim-Resal_s)*(1-EXP((Tnet_s-t)/Tau_j)))*Salcycl</f>
        <v>7.7504642619607003E-2</v>
      </c>
      <c r="AD337" s="231">
        <f>(INDEX(Models!$BJ337:$BT337,,AH337)*(1-AF337)+INDEX(Models!$BJ337:$BT337,,AH337+1)*AF337-ERP_i)*AE337*Ramure*Pc/MaxiM</f>
        <v>2.5804725253204819E-2</v>
      </c>
      <c r="AE337" s="305">
        <f t="shared" si="137"/>
        <v>0.7</v>
      </c>
      <c r="AF337" s="177">
        <f t="shared" si="138"/>
        <v>0.89961960507060468</v>
      </c>
      <c r="AG337" s="176">
        <f t="shared" si="139"/>
        <v>-2</v>
      </c>
      <c r="AH337" s="176">
        <f t="shared" si="140"/>
        <v>4</v>
      </c>
      <c r="AI337" s="225">
        <f t="shared" si="141"/>
        <v>-1.1003803949293953</v>
      </c>
      <c r="AJ337" s="265" t="b">
        <f t="shared" si="142"/>
        <v>0</v>
      </c>
      <c r="AK337" s="265" t="b">
        <f t="shared" si="143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4"/>
        <v>43789</v>
      </c>
      <c r="B338" s="617">
        <v>13.276</v>
      </c>
      <c r="C338" s="390"/>
      <c r="D338" s="393">
        <f t="shared" si="123"/>
        <v>13.445729166177516</v>
      </c>
      <c r="E338" s="385">
        <f t="shared" si="121"/>
        <v>14.576092860405026</v>
      </c>
      <c r="F338" s="385">
        <f t="shared" si="124"/>
        <v>14.953005209630511</v>
      </c>
      <c r="G338" s="110">
        <f t="shared" si="122"/>
        <v>0.97998421915965273</v>
      </c>
      <c r="H338" s="414" t="b">
        <f>Wh_hp&gt;='2018'!Maxi_hp</f>
        <v>1</v>
      </c>
      <c r="I338" s="390">
        <f>IF(H338,Wh_hp,'2018'!Maxi_hp)</f>
        <v>14.953005209630511</v>
      </c>
      <c r="J338" s="85">
        <f>IF(H338,An,'2018'!An_max)</f>
        <v>2019</v>
      </c>
      <c r="K338" s="197">
        <f t="shared" si="125"/>
        <v>43789</v>
      </c>
      <c r="L338" s="147">
        <f>IF(t&lt;Tvie,1-EXP((T0-t)*PertePVj)+'2018'!Pspv,1-EXP((T0-t)*PertePVj)+Pspv)</f>
        <v>1.2623277181907477E-2</v>
      </c>
      <c r="M338" s="850"/>
      <c r="N338" s="850"/>
      <c r="O338" s="48">
        <f>IF(t&lt;Tnet,'2018'!Resal+('2018'!Salim-'2018'!Resal)*(1-EXP(('2018'!Tnet-t)/('2018'!Tau_j))),Resal+(Salim-Resal)*(1-EXP((Tnet-t)/(Tau_j))))*Salcycl</f>
        <v>7.7549155665580766E-2</v>
      </c>
      <c r="P338" s="169">
        <f>(INDEX(Models!$BJ338:$BT338,,T338)*(1-R338)+INDEX(Models!$BJ338:$BT338,,T338+1)*R338-ERP_i)*Q338*Ramure*Pc/MaxiM</f>
        <v>2.5921025784699694E-2</v>
      </c>
      <c r="Q338" s="305">
        <f t="shared" si="126"/>
        <v>0.7</v>
      </c>
      <c r="R338" s="177">
        <f t="shared" si="127"/>
        <v>0.89964021457239429</v>
      </c>
      <c r="S338" s="817">
        <f t="shared" si="128"/>
        <v>-2</v>
      </c>
      <c r="T338" s="176">
        <f t="shared" si="129"/>
        <v>4</v>
      </c>
      <c r="U338" s="251">
        <f t="shared" si="130"/>
        <v>-1.1003597854276057</v>
      </c>
      <c r="V338" s="383">
        <f t="shared" si="131"/>
        <v>13.537226292610557</v>
      </c>
      <c r="W338" s="58"/>
      <c r="X338" s="157">
        <f t="shared" si="132"/>
        <v>43789</v>
      </c>
      <c r="Y338" s="385">
        <f t="shared" si="133"/>
        <v>13.276</v>
      </c>
      <c r="Z338" s="385">
        <f t="shared" si="134"/>
        <v>13.445729166177516</v>
      </c>
      <c r="AA338" s="386">
        <f t="shared" si="135"/>
        <v>14.576092860405026</v>
      </c>
      <c r="AB338" s="197">
        <f t="shared" si="136"/>
        <v>43789</v>
      </c>
      <c r="AC338" s="427">
        <f>IF(OR(t&lt;Tnet,NoTnet),'2018'!Resal_s+('2018'!Salim-'2018'!Resal_s)*(1-EXP(('2018'!Tnet_s-t)/'2018'!Tau_j)),Resal_s+(Salim-Resal_s)*(1-EXP((Tnet_s-t)/Tau_j)))*Salcycl</f>
        <v>7.7549155665580766E-2</v>
      </c>
      <c r="AD338" s="231">
        <f>(INDEX(Models!$BJ338:$BT338,,AH338)*(1-AF338)+INDEX(Models!$BJ338:$BT338,,AH338+1)*AF338-ERP_i)*AE338*Ramure*Pc/MaxiM</f>
        <v>2.5921025784699694E-2</v>
      </c>
      <c r="AE338" s="305">
        <f t="shared" si="137"/>
        <v>0.7</v>
      </c>
      <c r="AF338" s="177">
        <f t="shared" si="138"/>
        <v>0.89964021457239429</v>
      </c>
      <c r="AG338" s="176">
        <f t="shared" si="139"/>
        <v>-2</v>
      </c>
      <c r="AH338" s="176">
        <f t="shared" si="140"/>
        <v>4</v>
      </c>
      <c r="AI338" s="225">
        <f t="shared" si="141"/>
        <v>-1.1003597854276057</v>
      </c>
      <c r="AJ338" s="265" t="b">
        <f t="shared" si="142"/>
        <v>0</v>
      </c>
      <c r="AK338" s="265" t="b">
        <f t="shared" si="143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4"/>
        <v>43790</v>
      </c>
      <c r="B339" s="617">
        <v>12.475</v>
      </c>
      <c r="C339" s="390"/>
      <c r="D339" s="393">
        <f t="shared" si="123"/>
        <v>12.634765386097996</v>
      </c>
      <c r="E339" s="385">
        <f t="shared" si="121"/>
        <v>13.697628977903452</v>
      </c>
      <c r="F339" s="385">
        <f t="shared" si="124"/>
        <v>14.02917389323953</v>
      </c>
      <c r="G339" s="110">
        <f t="shared" si="122"/>
        <v>0.93334024517068903</v>
      </c>
      <c r="H339" s="414" t="b">
        <f>Wh_hp&gt;='2018'!Maxi_hp</f>
        <v>0</v>
      </c>
      <c r="I339" s="390">
        <f>IF(H339,Wh_hp,'2018'!Maxi_hp)</f>
        <v>14.614708080024094</v>
      </c>
      <c r="J339" s="85">
        <f>IF(H339,An,'2018'!An_max)</f>
        <v>2018</v>
      </c>
      <c r="K339" s="197">
        <f t="shared" si="125"/>
        <v>43790</v>
      </c>
      <c r="L339" s="147">
        <f>IF(t&lt;Tvie,1-EXP((T0-t)*PertePVj)+'2018'!Pspv,1-EXP((T0-t)*PertePVj)+Pspv)</f>
        <v>1.2644903266172736E-2</v>
      </c>
      <c r="M339" s="850"/>
      <c r="N339" s="850"/>
      <c r="O339" s="48">
        <f>IF(t&lt;Tnet,'2018'!Resal+('2018'!Salim-'2018'!Resal)*(1-EXP(('2018'!Tnet-t)/('2018'!Tau_j))),Resal+(Salim-Resal)*(1-EXP((Tnet-t)/(Tau_j))))*Salcycl</f>
        <v>7.7594713181385749E-2</v>
      </c>
      <c r="P339" s="169">
        <f>(INDEX(Models!$BJ339:$BT339,,T339)*(1-R339)+INDEX(Models!$BJ339:$BT339,,T339+1)*R339-ERP_i)*Q339*Ramure*Pc/MaxiM</f>
        <v>2.6025646301334894E-2</v>
      </c>
      <c r="Q339" s="305">
        <f t="shared" si="126"/>
        <v>0.7</v>
      </c>
      <c r="R339" s="177">
        <f t="shared" si="127"/>
        <v>0.89965999627785909</v>
      </c>
      <c r="S339" s="817">
        <f t="shared" si="128"/>
        <v>-2</v>
      </c>
      <c r="T339" s="176">
        <f t="shared" si="129"/>
        <v>4</v>
      </c>
      <c r="U339" s="251">
        <f t="shared" si="130"/>
        <v>-1.1003400037221409</v>
      </c>
      <c r="V339" s="383">
        <f t="shared" si="131"/>
        <v>13.333211946614801</v>
      </c>
      <c r="W339" s="58"/>
      <c r="X339" s="157">
        <f t="shared" si="132"/>
        <v>43790</v>
      </c>
      <c r="Y339" s="385">
        <f t="shared" si="133"/>
        <v>12.475</v>
      </c>
      <c r="Z339" s="385">
        <f t="shared" si="134"/>
        <v>12.634765386097996</v>
      </c>
      <c r="AA339" s="386">
        <f t="shared" si="135"/>
        <v>13.697628977903452</v>
      </c>
      <c r="AB339" s="197">
        <f t="shared" si="136"/>
        <v>43790</v>
      </c>
      <c r="AC339" s="427">
        <f>IF(OR(t&lt;Tnet,NoTnet),'2018'!Resal_s+('2018'!Salim-'2018'!Resal_s)*(1-EXP(('2018'!Tnet_s-t)/'2018'!Tau_j)),Resal_s+(Salim-Resal_s)*(1-EXP((Tnet_s-t)/Tau_j)))*Salcycl</f>
        <v>7.7594713181385749E-2</v>
      </c>
      <c r="AD339" s="231">
        <f>(INDEX(Models!$BJ339:$BT339,,AH339)*(1-AF339)+INDEX(Models!$BJ339:$BT339,,AH339+1)*AF339-ERP_i)*AE339*Ramure*Pc/MaxiM</f>
        <v>2.6025646301334894E-2</v>
      </c>
      <c r="AE339" s="305">
        <f t="shared" si="137"/>
        <v>0.7</v>
      </c>
      <c r="AF339" s="177">
        <f t="shared" si="138"/>
        <v>0.89965999627785909</v>
      </c>
      <c r="AG339" s="176">
        <f t="shared" si="139"/>
        <v>-2</v>
      </c>
      <c r="AH339" s="176">
        <f t="shared" si="140"/>
        <v>4</v>
      </c>
      <c r="AI339" s="225">
        <f t="shared" si="141"/>
        <v>-1.1003400037221409</v>
      </c>
      <c r="AJ339" s="265" t="b">
        <f t="shared" si="142"/>
        <v>0</v>
      </c>
      <c r="AK339" s="265" t="b">
        <f t="shared" si="143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4"/>
        <v>43791</v>
      </c>
      <c r="B340" s="617">
        <v>7.1360000000000001</v>
      </c>
      <c r="C340" s="390"/>
      <c r="D340" s="393">
        <f t="shared" si="123"/>
        <v>7.2275479447504303</v>
      </c>
      <c r="E340" s="385">
        <f t="shared" si="121"/>
        <v>7.8359410189507432</v>
      </c>
      <c r="F340" s="385">
        <f t="shared" si="124"/>
        <v>7.9077129328971605</v>
      </c>
      <c r="G340" s="110">
        <f t="shared" si="122"/>
        <v>0.53391273907772896</v>
      </c>
      <c r="H340" s="414" t="b">
        <f>Wh_hp&gt;='2018'!Maxi_hp</f>
        <v>0</v>
      </c>
      <c r="I340" s="390">
        <f>IF(H340,Wh_hp,'2018'!Maxi_hp)</f>
        <v>13.37187688158404</v>
      </c>
      <c r="J340" s="85">
        <f>IF(H340,An,'2018'!An_max)</f>
        <v>2018</v>
      </c>
      <c r="K340" s="197">
        <f t="shared" si="125"/>
        <v>43791</v>
      </c>
      <c r="L340" s="147">
        <f>IF(t&lt;Tvie,1-EXP((T0-t)*PertePVj)+'2018'!Pspv,1-EXP((T0-t)*PertePVj)+Pspv)</f>
        <v>1.2666528876771221E-2</v>
      </c>
      <c r="M340" s="850"/>
      <c r="N340" s="850"/>
      <c r="O340" s="48">
        <f>IF(t&lt;Tnet,'2018'!Resal+('2018'!Salim-'2018'!Resal)*(1-EXP(('2018'!Tnet-t)/('2018'!Tau_j))),Resal+(Salim-Resal)*(1-EXP((Tnet-t)/(Tau_j))))*Salcycl</f>
        <v>7.764135446259128E-2</v>
      </c>
      <c r="P340" s="169">
        <f>(INDEX(Models!$BJ340:$BT340,,T340)*(1-R340)+INDEX(Models!$BJ340:$BT340,,T340+1)*R340-ERP_i)*Q340*Ramure*Pc/MaxiM</f>
        <v>2.611793859149291E-2</v>
      </c>
      <c r="Q340" s="305">
        <f t="shared" si="126"/>
        <v>0.7</v>
      </c>
      <c r="R340" s="177">
        <f t="shared" si="127"/>
        <v>0.8996789833587846</v>
      </c>
      <c r="S340" s="817">
        <f t="shared" si="128"/>
        <v>-2</v>
      </c>
      <c r="T340" s="176">
        <f t="shared" si="129"/>
        <v>4</v>
      </c>
      <c r="U340" s="251">
        <f t="shared" si="130"/>
        <v>-1.1003210166412154</v>
      </c>
      <c r="V340" s="383">
        <f t="shared" si="131"/>
        <v>13.135622569649312</v>
      </c>
      <c r="W340" s="58"/>
      <c r="X340" s="157">
        <f t="shared" si="132"/>
        <v>43791</v>
      </c>
      <c r="Y340" s="385">
        <f t="shared" si="133"/>
        <v>7.1360000000000001</v>
      </c>
      <c r="Z340" s="385">
        <f t="shared" si="134"/>
        <v>7.2275479447504303</v>
      </c>
      <c r="AA340" s="386">
        <f t="shared" si="135"/>
        <v>7.8359410189507432</v>
      </c>
      <c r="AB340" s="197">
        <f t="shared" si="136"/>
        <v>43791</v>
      </c>
      <c r="AC340" s="427">
        <f>IF(OR(t&lt;Tnet,NoTnet),'2018'!Resal_s+('2018'!Salim-'2018'!Resal_s)*(1-EXP(('2018'!Tnet_s-t)/'2018'!Tau_j)),Resal_s+(Salim-Resal_s)*(1-EXP((Tnet_s-t)/Tau_j)))*Salcycl</f>
        <v>7.764135446259128E-2</v>
      </c>
      <c r="AD340" s="231">
        <f>(INDEX(Models!$BJ340:$BT340,,AH340)*(1-AF340)+INDEX(Models!$BJ340:$BT340,,AH340+1)*AF340-ERP_i)*AE340*Ramure*Pc/MaxiM</f>
        <v>2.611793859149291E-2</v>
      </c>
      <c r="AE340" s="305">
        <f t="shared" si="137"/>
        <v>0.7</v>
      </c>
      <c r="AF340" s="177">
        <f t="shared" si="138"/>
        <v>0.8996789833587846</v>
      </c>
      <c r="AG340" s="176">
        <f t="shared" si="139"/>
        <v>-2</v>
      </c>
      <c r="AH340" s="176">
        <f t="shared" si="140"/>
        <v>4</v>
      </c>
      <c r="AI340" s="225">
        <f t="shared" si="141"/>
        <v>-1.1003210166412154</v>
      </c>
      <c r="AJ340" s="265" t="b">
        <f t="shared" si="142"/>
        <v>0</v>
      </c>
      <c r="AK340" s="265" t="b">
        <f t="shared" si="143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4"/>
        <v>43792</v>
      </c>
      <c r="B341" s="617">
        <v>4.0179999999999998</v>
      </c>
      <c r="C341" s="390"/>
      <c r="D341" s="393">
        <f t="shared" si="123"/>
        <v>4.0696361705112247</v>
      </c>
      <c r="E341" s="385">
        <f t="shared" si="121"/>
        <v>4.4124342807260968</v>
      </c>
      <c r="F341" s="385">
        <f t="shared" si="124"/>
        <v>4.4141528398767624</v>
      </c>
      <c r="G341" s="110">
        <f t="shared" si="122"/>
        <v>0.30238916532342802</v>
      </c>
      <c r="H341" s="414" t="b">
        <f>Wh_hp&gt;='2018'!Maxi_hp</f>
        <v>0</v>
      </c>
      <c r="I341" s="390">
        <f>IF(H341,Wh_hp,'2018'!Maxi_hp)</f>
        <v>7.9436334438215832</v>
      </c>
      <c r="J341" s="85">
        <f>IF(H341,An,'2018'!An_max)</f>
        <v>2018</v>
      </c>
      <c r="K341" s="197">
        <f t="shared" si="125"/>
        <v>43792</v>
      </c>
      <c r="L341" s="147">
        <f>IF(t&lt;Tvie,1-EXP((T0-t)*PertePVj)+'2018'!Pspv,1-EXP((T0-t)*PertePVj)+Pspv)</f>
        <v>1.2688154013713371E-2</v>
      </c>
      <c r="M341" s="850"/>
      <c r="N341" s="850"/>
      <c r="O341" s="48">
        <f>IF(t&lt;Tnet,'2018'!Resal+('2018'!Salim-'2018'!Resal)*(1-EXP(('2018'!Tnet-t)/('2018'!Tau_j))),Resal+(Salim-Resal)*(1-EXP((Tnet-t)/(Tau_j))))*Salcycl</f>
        <v>7.7689114082048746E-2</v>
      </c>
      <c r="P341" s="169">
        <f>(INDEX(Models!$BJ341:$BT341,,T341)*(1-R341)+INDEX(Models!$BJ341:$BT341,,T341+1)*R341-ERP_i)*Q341*Ramure*Pc/MaxiM</f>
        <v>2.6197075850841339E-2</v>
      </c>
      <c r="Q341" s="305">
        <f t="shared" si="126"/>
        <v>0.7</v>
      </c>
      <c r="R341" s="177">
        <f t="shared" si="127"/>
        <v>0.8996972076637757</v>
      </c>
      <c r="S341" s="817">
        <f t="shared" si="128"/>
        <v>-2</v>
      </c>
      <c r="T341" s="176">
        <f t="shared" si="129"/>
        <v>4</v>
      </c>
      <c r="U341" s="251">
        <f t="shared" si="130"/>
        <v>-1.1003027923362243</v>
      </c>
      <c r="V341" s="383">
        <f t="shared" si="131"/>
        <v>12.944458783250683</v>
      </c>
      <c r="W341" s="58"/>
      <c r="X341" s="157">
        <f t="shared" si="132"/>
        <v>43792</v>
      </c>
      <c r="Y341" s="385">
        <f t="shared" si="133"/>
        <v>4.0179999999999998</v>
      </c>
      <c r="Z341" s="385">
        <f t="shared" si="134"/>
        <v>4.0696361705112247</v>
      </c>
      <c r="AA341" s="386">
        <f t="shared" si="135"/>
        <v>4.4124342807260968</v>
      </c>
      <c r="AB341" s="197">
        <f t="shared" si="136"/>
        <v>43792</v>
      </c>
      <c r="AC341" s="427">
        <f>IF(OR(t&lt;Tnet,NoTnet),'2018'!Resal_s+('2018'!Salim-'2018'!Resal_s)*(1-EXP(('2018'!Tnet_s-t)/'2018'!Tau_j)),Resal_s+(Salim-Resal_s)*(1-EXP((Tnet_s-t)/Tau_j)))*Salcycl</f>
        <v>7.7689114082048746E-2</v>
      </c>
      <c r="AD341" s="231">
        <f>(INDEX(Models!$BJ341:$BT341,,AH341)*(1-AF341)+INDEX(Models!$BJ341:$BT341,,AH341+1)*AF341-ERP_i)*AE341*Ramure*Pc/MaxiM</f>
        <v>2.6197075850841339E-2</v>
      </c>
      <c r="AE341" s="305">
        <f t="shared" si="137"/>
        <v>0.7</v>
      </c>
      <c r="AF341" s="177">
        <f t="shared" si="138"/>
        <v>0.8996972076637757</v>
      </c>
      <c r="AG341" s="176">
        <f t="shared" si="139"/>
        <v>-2</v>
      </c>
      <c r="AH341" s="176">
        <f t="shared" si="140"/>
        <v>4</v>
      </c>
      <c r="AI341" s="225">
        <f t="shared" si="141"/>
        <v>-1.1003027923362243</v>
      </c>
      <c r="AJ341" s="265" t="b">
        <f t="shared" si="142"/>
        <v>0</v>
      </c>
      <c r="AK341" s="265" t="b">
        <f t="shared" si="143"/>
        <v>0</v>
      </c>
      <c r="AL341" s="265"/>
      <c r="AM341" s="265"/>
      <c r="AN341" s="75"/>
    </row>
    <row r="342" spans="1:40" s="6" customFormat="1" ht="11.25" x14ac:dyDescent="0.2">
      <c r="A342" s="56">
        <f t="shared" si="144"/>
        <v>43793</v>
      </c>
      <c r="B342" s="617">
        <v>7.2030000000000003</v>
      </c>
      <c r="C342" s="390"/>
      <c r="D342" s="393">
        <f t="shared" si="123"/>
        <v>7.2957270764292828</v>
      </c>
      <c r="E342" s="385">
        <f t="shared" si="121"/>
        <v>7.9106883388879874</v>
      </c>
      <c r="F342" s="385">
        <f t="shared" si="124"/>
        <v>7.9899794024872053</v>
      </c>
      <c r="G342" s="110">
        <f t="shared" si="122"/>
        <v>0.55519511109414188</v>
      </c>
      <c r="H342" s="414" t="b">
        <f>Wh_hp&gt;='2018'!Maxi_hp</f>
        <v>0</v>
      </c>
      <c r="I342" s="390">
        <f>IF(H342,Wh_hp,'2018'!Maxi_hp)</f>
        <v>13.167900685670887</v>
      </c>
      <c r="J342" s="85">
        <f>IF(H342,An,'2018'!An_max)</f>
        <v>2018</v>
      </c>
      <c r="K342" s="197">
        <f t="shared" si="125"/>
        <v>43793</v>
      </c>
      <c r="L342" s="147">
        <f>IF(t&lt;Tvie,1-EXP((T0-t)*PertePVj)+'2018'!Pspv,1-EXP((T0-t)*PertePVj)+Pspv)</f>
        <v>1.270977867700962E-2</v>
      </c>
      <c r="M342" s="850"/>
      <c r="N342" s="850"/>
      <c r="O342" s="48">
        <f>IF(t&lt;Tnet,'2018'!Resal+('2018'!Salim-'2018'!Resal)*(1-EXP(('2018'!Tnet-t)/('2018'!Tau_j))),Resal+(Salim-Resal)*(1-EXP((Tnet-t)/(Tau_j))))*Salcycl</f>
        <v>7.7738021789536232E-2</v>
      </c>
      <c r="P342" s="169">
        <f>(INDEX(Models!$BJ342:$BT342,,T342)*(1-R342)+INDEX(Models!$BJ342:$BT342,,T342+1)*R342-ERP_i)*Q342*Ramure*Pc/MaxiM</f>
        <v>2.6262325101866036E-2</v>
      </c>
      <c r="Q342" s="305">
        <f t="shared" si="126"/>
        <v>0.7</v>
      </c>
      <c r="R342" s="177">
        <f t="shared" si="127"/>
        <v>0.89971469977055563</v>
      </c>
      <c r="S342" s="817">
        <f t="shared" si="128"/>
        <v>-2</v>
      </c>
      <c r="T342" s="176">
        <f t="shared" si="129"/>
        <v>4</v>
      </c>
      <c r="U342" s="251">
        <f t="shared" si="130"/>
        <v>-1.1002853002294444</v>
      </c>
      <c r="V342" s="383">
        <f t="shared" si="131"/>
        <v>12.759719879847593</v>
      </c>
      <c r="W342" s="58"/>
      <c r="X342" s="157">
        <f t="shared" si="132"/>
        <v>43793</v>
      </c>
      <c r="Y342" s="385">
        <f t="shared" si="133"/>
        <v>7.2030000000000003</v>
      </c>
      <c r="Z342" s="385">
        <f t="shared" si="134"/>
        <v>7.2957270764292828</v>
      </c>
      <c r="AA342" s="386">
        <f t="shared" si="135"/>
        <v>7.9106883388879874</v>
      </c>
      <c r="AB342" s="197">
        <f t="shared" si="136"/>
        <v>43793</v>
      </c>
      <c r="AC342" s="427">
        <f>IF(OR(t&lt;Tnet,NoTnet),'2018'!Resal_s+('2018'!Salim-'2018'!Resal_s)*(1-EXP(('2018'!Tnet_s-t)/'2018'!Tau_j)),Resal_s+(Salim-Resal_s)*(1-EXP((Tnet_s-t)/Tau_j)))*Salcycl</f>
        <v>7.7738021789536232E-2</v>
      </c>
      <c r="AD342" s="231">
        <f>(INDEX(Models!$BJ342:$BT342,,AH342)*(1-AF342)+INDEX(Models!$BJ342:$BT342,,AH342+1)*AF342-ERP_i)*AE342*Ramure*Pc/MaxiM</f>
        <v>2.6262325101866036E-2</v>
      </c>
      <c r="AE342" s="305">
        <f t="shared" si="137"/>
        <v>0.7</v>
      </c>
      <c r="AF342" s="177">
        <f t="shared" si="138"/>
        <v>0.89971469977055563</v>
      </c>
      <c r="AG342" s="176">
        <f t="shared" si="139"/>
        <v>-2</v>
      </c>
      <c r="AH342" s="176">
        <f t="shared" si="140"/>
        <v>4</v>
      </c>
      <c r="AI342" s="225">
        <f t="shared" si="141"/>
        <v>-1.1002853002294444</v>
      </c>
      <c r="AJ342" s="265" t="b">
        <f t="shared" si="142"/>
        <v>0</v>
      </c>
      <c r="AK342" s="265" t="b">
        <f t="shared" si="143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4"/>
        <v>43794</v>
      </c>
      <c r="B343" s="617">
        <v>6.5970000000000004</v>
      </c>
      <c r="C343" s="390"/>
      <c r="D343" s="393">
        <f t="shared" si="123"/>
        <v>6.6820721525583782</v>
      </c>
      <c r="E343" s="385">
        <f t="shared" si="121"/>
        <v>7.2457015250499754</v>
      </c>
      <c r="F343" s="385">
        <f t="shared" si="124"/>
        <v>7.3073254072073537</v>
      </c>
      <c r="G343" s="110">
        <f t="shared" si="122"/>
        <v>0.51489033035192555</v>
      </c>
      <c r="H343" s="414" t="b">
        <f>Wh_hp&gt;='2018'!Maxi_hp</f>
        <v>1</v>
      </c>
      <c r="I343" s="390">
        <f>IF(H343,Wh_hp,'2018'!Maxi_hp)</f>
        <v>7.3073254072073537</v>
      </c>
      <c r="J343" s="85">
        <f>IF(H343,An,'2018'!An_max)</f>
        <v>2019</v>
      </c>
      <c r="K343" s="197">
        <f t="shared" si="125"/>
        <v>43794</v>
      </c>
      <c r="L343" s="147">
        <f>IF(t&lt;Tvie,1-EXP((T0-t)*PertePVj)+'2018'!Pspv,1-EXP((T0-t)*PertePVj)+Pspv)</f>
        <v>1.2731402866670072E-2</v>
      </c>
      <c r="M343" s="850"/>
      <c r="N343" s="850"/>
      <c r="O343" s="48">
        <f>IF(t&lt;Tnet,'2018'!Resal+('2018'!Salim-'2018'!Resal)*(1-EXP(('2018'!Tnet-t)/('2018'!Tau_j))),Resal+(Salim-Resal)*(1-EXP((Tnet-t)/(Tau_j))))*Salcycl</f>
        <v>7.7788102441565865E-2</v>
      </c>
      <c r="P343" s="169">
        <f>(INDEX(Models!$BJ343:$BT343,,T343)*(1-R343)+INDEX(Models!$BJ343:$BT343,,T343+1)*R343-ERP_i)*Q343*Ramure*Pc/MaxiM</f>
        <v>2.6313077452325941E-2</v>
      </c>
      <c r="Q343" s="305">
        <f t="shared" si="126"/>
        <v>0.7</v>
      </c>
      <c r="R343" s="177">
        <f t="shared" si="127"/>
        <v>0.89973148903623601</v>
      </c>
      <c r="S343" s="817">
        <f t="shared" si="128"/>
        <v>-2</v>
      </c>
      <c r="T343" s="176">
        <f t="shared" si="129"/>
        <v>4</v>
      </c>
      <c r="U343" s="251">
        <f t="shared" si="130"/>
        <v>-1.100268510963764</v>
      </c>
      <c r="V343" s="383">
        <f t="shared" si="131"/>
        <v>12.581403559382695</v>
      </c>
      <c r="W343" s="58"/>
      <c r="X343" s="157">
        <f t="shared" si="132"/>
        <v>43794</v>
      </c>
      <c r="Y343" s="385">
        <f t="shared" si="133"/>
        <v>6.5970000000000004</v>
      </c>
      <c r="Z343" s="385">
        <f t="shared" si="134"/>
        <v>6.6820721525583782</v>
      </c>
      <c r="AA343" s="386">
        <f t="shared" si="135"/>
        <v>7.2457015250499754</v>
      </c>
      <c r="AB343" s="197">
        <f t="shared" si="136"/>
        <v>43794</v>
      </c>
      <c r="AC343" s="427">
        <f>IF(OR(t&lt;Tnet,NoTnet),'2018'!Resal_s+('2018'!Salim-'2018'!Resal_s)*(1-EXP(('2018'!Tnet_s-t)/'2018'!Tau_j)),Resal_s+(Salim-Resal_s)*(1-EXP((Tnet_s-t)/Tau_j)))*Salcycl</f>
        <v>7.7788102441565865E-2</v>
      </c>
      <c r="AD343" s="231">
        <f>(INDEX(Models!$BJ343:$BT343,,AH343)*(1-AF343)+INDEX(Models!$BJ343:$BT343,,AH343+1)*AF343-ERP_i)*AE343*Ramure*Pc/MaxiM</f>
        <v>2.6313077452325941E-2</v>
      </c>
      <c r="AE343" s="305">
        <f t="shared" si="137"/>
        <v>0.7</v>
      </c>
      <c r="AF343" s="177">
        <f t="shared" si="138"/>
        <v>0.89973148903623601</v>
      </c>
      <c r="AG343" s="176">
        <f t="shared" si="139"/>
        <v>-2</v>
      </c>
      <c r="AH343" s="176">
        <f t="shared" si="140"/>
        <v>4</v>
      </c>
      <c r="AI343" s="225">
        <f t="shared" si="141"/>
        <v>-1.100268510963764</v>
      </c>
      <c r="AJ343" s="265" t="b">
        <f t="shared" si="142"/>
        <v>0</v>
      </c>
      <c r="AK343" s="265" t="b">
        <f t="shared" si="143"/>
        <v>0</v>
      </c>
      <c r="AL343" s="265"/>
      <c r="AM343" s="265"/>
      <c r="AN343" s="75"/>
    </row>
    <row r="344" spans="1:40" s="6" customFormat="1" ht="11.25" x14ac:dyDescent="0.2">
      <c r="A344" s="56">
        <f t="shared" si="144"/>
        <v>43795</v>
      </c>
      <c r="B344" s="617">
        <v>11.638</v>
      </c>
      <c r="C344" s="390"/>
      <c r="D344" s="393">
        <f t="shared" si="123"/>
        <v>11.788336974805585</v>
      </c>
      <c r="E344" s="385">
        <f t="shared" si="121"/>
        <v>12.783387912598556</v>
      </c>
      <c r="F344" s="385">
        <f t="shared" si="124"/>
        <v>13.097848235764435</v>
      </c>
      <c r="G344" s="110">
        <f t="shared" si="122"/>
        <v>0.93558063641622136</v>
      </c>
      <c r="H344" s="414" t="b">
        <f>Wh_hp&gt;='2018'!Maxi_hp</f>
        <v>1</v>
      </c>
      <c r="I344" s="390">
        <f>IF(H344,Wh_hp,'2018'!Maxi_hp)</f>
        <v>13.097848235764435</v>
      </c>
      <c r="J344" s="85">
        <f>IF(H344,An,'2018'!An_max)</f>
        <v>2019</v>
      </c>
      <c r="K344" s="197">
        <f t="shared" si="125"/>
        <v>43795</v>
      </c>
      <c r="L344" s="147">
        <f>IF(t&lt;Tvie,1-EXP((T0-t)*PertePVj)+'2018'!Pspv,1-EXP((T0-t)*PertePVj)+Pspv)</f>
        <v>1.2753026582705385E-2</v>
      </c>
      <c r="M344" s="850"/>
      <c r="N344" s="850"/>
      <c r="O344" s="48">
        <f>IF(t&lt;Tnet,'2018'!Resal+('2018'!Salim-'2018'!Resal)*(1-EXP(('2018'!Tnet-t)/('2018'!Tau_j))),Resal+(Salim-Resal)*(1-EXP((Tnet-t)/(Tau_j))))*Salcycl</f>
        <v>7.7839375961696822E-2</v>
      </c>
      <c r="P344" s="169">
        <f>(INDEX(Models!$BJ344:$BT344,,T344)*(1-R344)+INDEX(Models!$BJ344:$BT344,,T344+1)*R344-ERP_i)*Q344*Ramure*Pc/MaxiM</f>
        <v>2.6348717138094578E-2</v>
      </c>
      <c r="Q344" s="305">
        <f t="shared" si="126"/>
        <v>0.7</v>
      </c>
      <c r="R344" s="177">
        <f t="shared" si="127"/>
        <v>0.89974760364563422</v>
      </c>
      <c r="S344" s="817">
        <f t="shared" si="128"/>
        <v>-2</v>
      </c>
      <c r="T344" s="176">
        <f t="shared" si="129"/>
        <v>4</v>
      </c>
      <c r="U344" s="251">
        <f t="shared" si="130"/>
        <v>-1.1002523963543658</v>
      </c>
      <c r="V344" s="383">
        <f t="shared" si="131"/>
        <v>12.40950775329117</v>
      </c>
      <c r="W344" s="58"/>
      <c r="X344" s="157">
        <f t="shared" si="132"/>
        <v>43795</v>
      </c>
      <c r="Y344" s="385">
        <f t="shared" si="133"/>
        <v>11.638</v>
      </c>
      <c r="Z344" s="385">
        <f t="shared" si="134"/>
        <v>11.788336974805585</v>
      </c>
      <c r="AA344" s="386">
        <f t="shared" si="135"/>
        <v>12.783387912598556</v>
      </c>
      <c r="AB344" s="197">
        <f t="shared" si="136"/>
        <v>43795</v>
      </c>
      <c r="AC344" s="427">
        <f>IF(OR(t&lt;Tnet,NoTnet),'2018'!Resal_s+('2018'!Salim-'2018'!Resal_s)*(1-EXP(('2018'!Tnet_s-t)/'2018'!Tau_j)),Resal_s+(Salim-Resal_s)*(1-EXP((Tnet_s-t)/Tau_j)))*Salcycl</f>
        <v>7.7839375961696822E-2</v>
      </c>
      <c r="AD344" s="231">
        <f>(INDEX(Models!$BJ344:$BT344,,AH344)*(1-AF344)+INDEX(Models!$BJ344:$BT344,,AH344+1)*AF344-ERP_i)*AE344*Ramure*Pc/MaxiM</f>
        <v>2.6348717138094578E-2</v>
      </c>
      <c r="AE344" s="305">
        <f t="shared" si="137"/>
        <v>0.7</v>
      </c>
      <c r="AF344" s="177">
        <f t="shared" si="138"/>
        <v>0.89974760364563422</v>
      </c>
      <c r="AG344" s="176">
        <f t="shared" si="139"/>
        <v>-2</v>
      </c>
      <c r="AH344" s="176">
        <f t="shared" si="140"/>
        <v>4</v>
      </c>
      <c r="AI344" s="225">
        <f t="shared" si="141"/>
        <v>-1.1002523963543658</v>
      </c>
      <c r="AJ344" s="265" t="b">
        <f t="shared" si="142"/>
        <v>0</v>
      </c>
      <c r="AK344" s="265" t="b">
        <f t="shared" si="143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4"/>
        <v>43796</v>
      </c>
      <c r="B345" s="617">
        <v>10.775</v>
      </c>
      <c r="C345" s="390"/>
      <c r="D345" s="393">
        <f t="shared" si="123"/>
        <v>10.914427995686443</v>
      </c>
      <c r="E345" s="385">
        <f t="shared" si="121"/>
        <v>11.836386092525437</v>
      </c>
      <c r="F345" s="385">
        <f t="shared" si="124"/>
        <v>12.100904512885949</v>
      </c>
      <c r="G345" s="110">
        <f t="shared" si="122"/>
        <v>0.87612555491184829</v>
      </c>
      <c r="H345" s="414" t="b">
        <f>Wh_hp&gt;='2018'!Maxi_hp</f>
        <v>0</v>
      </c>
      <c r="I345" s="390">
        <f>IF(H345,Wh_hp,'2018'!Maxi_hp)</f>
        <v>14.406333862137721</v>
      </c>
      <c r="J345" s="85">
        <f>IF(H345,An,'2018'!An_max)</f>
        <v>2018</v>
      </c>
      <c r="K345" s="197">
        <f t="shared" si="125"/>
        <v>43796</v>
      </c>
      <c r="L345" s="147">
        <f>IF(t&lt;Tvie,1-EXP((T0-t)*PertePVj)+'2018'!Pspv,1-EXP((T0-t)*PertePVj)+Pspv)</f>
        <v>1.2774649825125772E-2</v>
      </c>
      <c r="M345" s="850"/>
      <c r="N345" s="850"/>
      <c r="O345" s="48">
        <f>IF(t&lt;Tnet,'2018'!Resal+('2018'!Salim-'2018'!Resal)*(1-EXP(('2018'!Tnet-t)/('2018'!Tau_j))),Resal+(Salim-Resal)*(1-EXP((Tnet-t)/(Tau_j))))*Salcycl</f>
        <v>7.7891857331453623E-2</v>
      </c>
      <c r="P345" s="169">
        <f>(INDEX(Models!$BJ345:$BT345,,T345)*(1-R345)+INDEX(Models!$BJ345:$BT345,,T345+1)*R345-ERP_i)*Q345*Ramure*Pc/MaxiM</f>
        <v>2.6373494612671158E-2</v>
      </c>
      <c r="Q345" s="305">
        <f t="shared" si="126"/>
        <v>0.7</v>
      </c>
      <c r="R345" s="177">
        <f t="shared" si="127"/>
        <v>0.89976307065771</v>
      </c>
      <c r="S345" s="817">
        <f t="shared" si="128"/>
        <v>-2</v>
      </c>
      <c r="T345" s="176">
        <f t="shared" si="129"/>
        <v>4</v>
      </c>
      <c r="U345" s="251">
        <f t="shared" si="130"/>
        <v>-1.10023692934229</v>
      </c>
      <c r="V345" s="383">
        <f t="shared" si="131"/>
        <v>12.241708393206457</v>
      </c>
      <c r="W345" s="58"/>
      <c r="X345" s="157">
        <f t="shared" si="132"/>
        <v>43796</v>
      </c>
      <c r="Y345" s="385">
        <f t="shared" si="133"/>
        <v>10.775</v>
      </c>
      <c r="Z345" s="385">
        <f t="shared" si="134"/>
        <v>10.914427995686443</v>
      </c>
      <c r="AA345" s="386">
        <f t="shared" si="135"/>
        <v>11.836386092525437</v>
      </c>
      <c r="AB345" s="197">
        <f t="shared" si="136"/>
        <v>43796</v>
      </c>
      <c r="AC345" s="427">
        <f>IF(OR(t&lt;Tnet,NoTnet),'2018'!Resal_s+('2018'!Salim-'2018'!Resal_s)*(1-EXP(('2018'!Tnet_s-t)/'2018'!Tau_j)),Resal_s+(Salim-Resal_s)*(1-EXP((Tnet_s-t)/Tau_j)))*Salcycl</f>
        <v>7.7891857331453623E-2</v>
      </c>
      <c r="AD345" s="231">
        <f>(INDEX(Models!$BJ345:$BT345,,AH345)*(1-AF345)+INDEX(Models!$BJ345:$BT345,,AH345+1)*AF345-ERP_i)*AE345*Ramure*Pc/MaxiM</f>
        <v>2.6373494612671158E-2</v>
      </c>
      <c r="AE345" s="305">
        <f t="shared" si="137"/>
        <v>0.7</v>
      </c>
      <c r="AF345" s="177">
        <f t="shared" si="138"/>
        <v>0.89976307065771</v>
      </c>
      <c r="AG345" s="176">
        <f t="shared" si="139"/>
        <v>-2</v>
      </c>
      <c r="AH345" s="176">
        <f t="shared" si="140"/>
        <v>4</v>
      </c>
      <c r="AI345" s="225">
        <f t="shared" si="141"/>
        <v>-1.10023692934229</v>
      </c>
      <c r="AJ345" s="265" t="b">
        <f t="shared" si="142"/>
        <v>0</v>
      </c>
      <c r="AK345" s="265" t="b">
        <f t="shared" si="143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4"/>
        <v>43797</v>
      </c>
      <c r="B346" s="617">
        <v>6.298</v>
      </c>
      <c r="C346" s="390"/>
      <c r="D346" s="393">
        <f t="shared" si="123"/>
        <v>6.3796355556197124</v>
      </c>
      <c r="E346" s="385">
        <f t="shared" si="121"/>
        <v>6.9189358625899926</v>
      </c>
      <c r="F346" s="385">
        <f t="shared" si="124"/>
        <v>6.9772005069643592</v>
      </c>
      <c r="G346" s="110">
        <f t="shared" si="122"/>
        <v>0.5120260106642438</v>
      </c>
      <c r="H346" s="414" t="b">
        <f>Wh_hp&gt;='2018'!Maxi_hp</f>
        <v>0</v>
      </c>
      <c r="I346" s="390">
        <f>IF(H346,Wh_hp,'2018'!Maxi_hp)</f>
        <v>11.673950035161885</v>
      </c>
      <c r="J346" s="85">
        <f>IF(H346,An,'2018'!An_max)</f>
        <v>2018</v>
      </c>
      <c r="K346" s="197">
        <f t="shared" si="125"/>
        <v>43797</v>
      </c>
      <c r="L346" s="147">
        <f>IF(t&lt;Tvie,1-EXP((T0-t)*PertePVj)+'2018'!Pspv,1-EXP((T0-t)*PertePVj)+Pspv)</f>
        <v>1.2796272593941671E-2</v>
      </c>
      <c r="M346" s="850"/>
      <c r="N346" s="850"/>
      <c r="O346" s="48">
        <f>IF(t&lt;Tnet,'2018'!Resal+('2018'!Salim-'2018'!Resal)*(1-EXP(('2018'!Tnet-t)/('2018'!Tau_j))),Resal+(Salim-Resal)*(1-EXP((Tnet-t)/(Tau_j))))*Salcycl</f>
        <v>7.7945556611707323E-2</v>
      </c>
      <c r="P346" s="169">
        <f>(INDEX(Models!$BJ346:$BT346,,T346)*(1-R346)+INDEX(Models!$BJ346:$BT346,,T346+1)*R346-ERP_i)*Q346*Ramure*Pc/MaxiM</f>
        <v>2.6389053057644152E-2</v>
      </c>
      <c r="Q346" s="305">
        <f t="shared" si="126"/>
        <v>0.7</v>
      </c>
      <c r="R346" s="177">
        <f t="shared" si="127"/>
        <v>0.89977791605019108</v>
      </c>
      <c r="S346" s="817">
        <f t="shared" si="128"/>
        <v>-2</v>
      </c>
      <c r="T346" s="176">
        <f t="shared" si="129"/>
        <v>4</v>
      </c>
      <c r="U346" s="251">
        <f t="shared" si="130"/>
        <v>-1.1002220839498089</v>
      </c>
      <c r="V346" s="383">
        <f t="shared" si="131"/>
        <v>12.076413640206471</v>
      </c>
      <c r="W346" s="58"/>
      <c r="X346" s="157">
        <f t="shared" si="132"/>
        <v>43797</v>
      </c>
      <c r="Y346" s="385">
        <f t="shared" si="133"/>
        <v>6.298</v>
      </c>
      <c r="Z346" s="385">
        <f t="shared" si="134"/>
        <v>6.3796355556197124</v>
      </c>
      <c r="AA346" s="386">
        <f t="shared" si="135"/>
        <v>6.9189358625899926</v>
      </c>
      <c r="AB346" s="197">
        <f t="shared" si="136"/>
        <v>43797</v>
      </c>
      <c r="AC346" s="427">
        <f>IF(OR(t&lt;Tnet,NoTnet),'2018'!Resal_s+('2018'!Salim-'2018'!Resal_s)*(1-EXP(('2018'!Tnet_s-t)/'2018'!Tau_j)),Resal_s+(Salim-Resal_s)*(1-EXP((Tnet_s-t)/Tau_j)))*Salcycl</f>
        <v>7.7945556611707323E-2</v>
      </c>
      <c r="AD346" s="231">
        <f>(INDEX(Models!$BJ346:$BT346,,AH346)*(1-AF346)+INDEX(Models!$BJ346:$BT346,,AH346+1)*AF346-ERP_i)*AE346*Ramure*Pc/MaxiM</f>
        <v>2.6389053057644152E-2</v>
      </c>
      <c r="AE346" s="305">
        <f t="shared" si="137"/>
        <v>0.7</v>
      </c>
      <c r="AF346" s="177">
        <f t="shared" si="138"/>
        <v>0.89977791605019108</v>
      </c>
      <c r="AG346" s="176">
        <f t="shared" si="139"/>
        <v>-2</v>
      </c>
      <c r="AH346" s="176">
        <f t="shared" si="140"/>
        <v>4</v>
      </c>
      <c r="AI346" s="225">
        <f t="shared" si="141"/>
        <v>-1.1002220839498089</v>
      </c>
      <c r="AJ346" s="265" t="b">
        <f t="shared" si="142"/>
        <v>0</v>
      </c>
      <c r="AK346" s="265" t="b">
        <f t="shared" si="143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4"/>
        <v>43798</v>
      </c>
      <c r="B347" s="617">
        <v>7.8819999999999997</v>
      </c>
      <c r="C347" s="390"/>
      <c r="D347" s="393">
        <f t="shared" si="123"/>
        <v>7.9843424624426751</v>
      </c>
      <c r="E347" s="385">
        <f t="shared" si="121"/>
        <v>8.6598119419108599</v>
      </c>
      <c r="F347" s="385">
        <f t="shared" si="124"/>
        <v>8.7794894789602793</v>
      </c>
      <c r="G347" s="110">
        <f t="shared" si="122"/>
        <v>0.65297736173013365</v>
      </c>
      <c r="H347" s="414" t="b">
        <f>Wh_hp&gt;='2018'!Maxi_hp</f>
        <v>0</v>
      </c>
      <c r="I347" s="390">
        <f>IF(H347,Wh_hp,'2018'!Maxi_hp)</f>
        <v>13.75945482004663</v>
      </c>
      <c r="J347" s="85">
        <f>IF(H347,An,'2018'!An_max)</f>
        <v>2018</v>
      </c>
      <c r="K347" s="197">
        <f t="shared" si="125"/>
        <v>43798</v>
      </c>
      <c r="L347" s="147">
        <f>IF(t&lt;Tvie,1-EXP((T0-t)*PertePVj)+'2018'!Pspv,1-EXP((T0-t)*PertePVj)+Pspv)</f>
        <v>1.2817894889163517E-2</v>
      </c>
      <c r="M347" s="850"/>
      <c r="N347" s="850"/>
      <c r="O347" s="48">
        <f>IF(t&lt;Tnet,'2018'!Resal+('2018'!Salim-'2018'!Resal)*(1-EXP(('2018'!Tnet-t)/('2018'!Tau_j))),Resal+(Salim-Resal)*(1-EXP((Tnet-t)/(Tau_j))))*Salcycl</f>
        <v>7.8000478994135841E-2</v>
      </c>
      <c r="P347" s="169">
        <f>(INDEX(Models!$BJ347:$BT347,,T347)*(1-R347)+INDEX(Models!$BJ347:$BT347,,T347+1)*R347-ERP_i)*Q347*Ramure*Pc/MaxiM</f>
        <v>2.6393048340567802E-2</v>
      </c>
      <c r="Q347" s="305">
        <f t="shared" si="126"/>
        <v>0.7</v>
      </c>
      <c r="R347" s="177">
        <f t="shared" si="127"/>
        <v>0.89979216476246027</v>
      </c>
      <c r="S347" s="817">
        <f t="shared" si="128"/>
        <v>-2</v>
      </c>
      <c r="T347" s="176">
        <f t="shared" si="129"/>
        <v>4</v>
      </c>
      <c r="U347" s="251">
        <f t="shared" si="130"/>
        <v>-1.1002078352375397</v>
      </c>
      <c r="V347" s="383">
        <f t="shared" si="131"/>
        <v>11.914690724968318</v>
      </c>
      <c r="W347" s="58"/>
      <c r="X347" s="157">
        <f t="shared" si="132"/>
        <v>43798</v>
      </c>
      <c r="Y347" s="385">
        <f t="shared" si="133"/>
        <v>7.8819999999999997</v>
      </c>
      <c r="Z347" s="385">
        <f t="shared" si="134"/>
        <v>7.9843424624426751</v>
      </c>
      <c r="AA347" s="386">
        <f t="shared" si="135"/>
        <v>8.6598119419108599</v>
      </c>
      <c r="AB347" s="197">
        <f t="shared" si="136"/>
        <v>43798</v>
      </c>
      <c r="AC347" s="427">
        <f>IF(OR(t&lt;Tnet,NoTnet),'2018'!Resal_s+('2018'!Salim-'2018'!Resal_s)*(1-EXP(('2018'!Tnet_s-t)/'2018'!Tau_j)),Resal_s+(Salim-Resal_s)*(1-EXP((Tnet_s-t)/Tau_j)))*Salcycl</f>
        <v>7.8000478994135841E-2</v>
      </c>
      <c r="AD347" s="231">
        <f>(INDEX(Models!$BJ347:$BT347,,AH347)*(1-AF347)+INDEX(Models!$BJ347:$BT347,,AH347+1)*AF347-ERP_i)*AE347*Ramure*Pc/MaxiM</f>
        <v>2.6393048340567802E-2</v>
      </c>
      <c r="AE347" s="305">
        <f t="shared" si="137"/>
        <v>0.7</v>
      </c>
      <c r="AF347" s="177">
        <f t="shared" si="138"/>
        <v>0.89979216476246027</v>
      </c>
      <c r="AG347" s="176">
        <f t="shared" si="139"/>
        <v>-2</v>
      </c>
      <c r="AH347" s="176">
        <f t="shared" si="140"/>
        <v>4</v>
      </c>
      <c r="AI347" s="225">
        <f t="shared" si="141"/>
        <v>-1.1002078352375397</v>
      </c>
      <c r="AJ347" s="265" t="b">
        <f t="shared" si="142"/>
        <v>0</v>
      </c>
      <c r="AK347" s="265" t="b">
        <f t="shared" si="143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4"/>
        <v>43799</v>
      </c>
      <c r="B348" s="617">
        <v>7.1989999999999998</v>
      </c>
      <c r="C348" s="390"/>
      <c r="D348" s="393">
        <f t="shared" si="123"/>
        <v>7.292633894757496</v>
      </c>
      <c r="E348" s="385">
        <f t="shared" si="121"/>
        <v>7.9100670296863198</v>
      </c>
      <c r="F348" s="385">
        <f t="shared" si="124"/>
        <v>8.0042762126797573</v>
      </c>
      <c r="G348" s="110">
        <f t="shared" si="122"/>
        <v>0.60323049852816046</v>
      </c>
      <c r="H348" s="414" t="b">
        <f>Wh_hp&gt;='2018'!Maxi_hp</f>
        <v>1</v>
      </c>
      <c r="I348" s="390">
        <f>IF(H348,Wh_hp,'2018'!Maxi_hp)</f>
        <v>8.0042762126797573</v>
      </c>
      <c r="J348" s="85">
        <f>IF(H348,An,'2018'!An_max)</f>
        <v>2019</v>
      </c>
      <c r="K348" s="197">
        <f t="shared" si="125"/>
        <v>43799</v>
      </c>
      <c r="L348" s="147">
        <f>IF(t&lt;Tvie,1-EXP((T0-t)*PertePVj)+'2018'!Pspv,1-EXP((T0-t)*PertePVj)+Pspv)</f>
        <v>1.2839516710801524E-2</v>
      </c>
      <c r="M348" s="850"/>
      <c r="N348" s="850"/>
      <c r="O348" s="48">
        <f>IF(t&lt;Tnet,'2018'!Resal+('2018'!Salim-'2018'!Resal)*(1-EXP(('2018'!Tnet-t)/('2018'!Tau_j))),Resal+(Salim-Resal)*(1-EXP((Tnet-t)/(Tau_j))))*Salcycl</f>
        <v>7.8056624882141878E-2</v>
      </c>
      <c r="P348" s="169">
        <f>(INDEX(Models!$BJ348:$BT348,,T348)*(1-R348)+INDEX(Models!$BJ348:$BT348,,T348+1)*R348-ERP_i)*Q348*Ramure*Pc/MaxiM</f>
        <v>2.6382691713207659E-2</v>
      </c>
      <c r="Q348" s="305">
        <f t="shared" si="126"/>
        <v>0.7</v>
      </c>
      <c r="R348" s="177">
        <f t="shared" si="127"/>
        <v>0.89980584073676306</v>
      </c>
      <c r="S348" s="817">
        <f t="shared" si="128"/>
        <v>-2</v>
      </c>
      <c r="T348" s="176">
        <f t="shared" si="129"/>
        <v>4</v>
      </c>
      <c r="U348" s="251">
        <f t="shared" si="130"/>
        <v>-1.1001941592632369</v>
      </c>
      <c r="V348" s="383">
        <f t="shared" si="131"/>
        <v>11.757610577622581</v>
      </c>
      <c r="W348" s="58"/>
      <c r="X348" s="157">
        <f t="shared" si="132"/>
        <v>43799</v>
      </c>
      <c r="Y348" s="385">
        <f t="shared" si="133"/>
        <v>7.198999999999999</v>
      </c>
      <c r="Z348" s="385">
        <f t="shared" si="134"/>
        <v>7.2926338947574951</v>
      </c>
      <c r="AA348" s="386">
        <f t="shared" si="135"/>
        <v>7.9100670296863189</v>
      </c>
      <c r="AB348" s="197">
        <f t="shared" si="136"/>
        <v>43799</v>
      </c>
      <c r="AC348" s="427">
        <f>IF(OR(t&lt;Tnet,NoTnet),'2018'!Resal_s+('2018'!Salim-'2018'!Resal_s)*(1-EXP(('2018'!Tnet_s-t)/'2018'!Tau_j)),Resal_s+(Salim-Resal_s)*(1-EXP((Tnet_s-t)/Tau_j)))*Salcycl</f>
        <v>7.8056624882141878E-2</v>
      </c>
      <c r="AD348" s="231">
        <f>(INDEX(Models!$BJ348:$BT348,,AH348)*(1-AF348)+INDEX(Models!$BJ348:$BT348,,AH348+1)*AF348-ERP_i)*AE348*Ramure*Pc/MaxiM</f>
        <v>2.6382691713207659E-2</v>
      </c>
      <c r="AE348" s="305">
        <f t="shared" si="137"/>
        <v>0.7</v>
      </c>
      <c r="AF348" s="177">
        <f t="shared" si="138"/>
        <v>0.89980584073676306</v>
      </c>
      <c r="AG348" s="176">
        <f t="shared" si="139"/>
        <v>-2</v>
      </c>
      <c r="AH348" s="176">
        <f t="shared" si="140"/>
        <v>4</v>
      </c>
      <c r="AI348" s="225">
        <f t="shared" si="141"/>
        <v>-1.1001941592632369</v>
      </c>
      <c r="AJ348" s="265" t="b">
        <f t="shared" si="142"/>
        <v>0</v>
      </c>
      <c r="AK348" s="265" t="b">
        <f t="shared" si="143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4"/>
        <v>43800</v>
      </c>
      <c r="B349" s="617">
        <v>4.2119999999999997</v>
      </c>
      <c r="C349" s="390"/>
      <c r="D349" s="393">
        <f t="shared" si="123"/>
        <v>4.2668768927984662</v>
      </c>
      <c r="E349" s="385">
        <f t="shared" si="121"/>
        <v>4.6284213520066393</v>
      </c>
      <c r="F349" s="385">
        <f t="shared" si="124"/>
        <v>4.6394097744939389</v>
      </c>
      <c r="G349" s="110">
        <f t="shared" si="122"/>
        <v>0.35418251846619841</v>
      </c>
      <c r="H349" s="414" t="b">
        <f>Wh_hp&gt;='2018'!Maxi_hp</f>
        <v>0</v>
      </c>
      <c r="I349" s="390">
        <f>IF(H349,Wh_hp,'2018'!Maxi_hp)</f>
        <v>11.303501126847083</v>
      </c>
      <c r="J349" s="85">
        <f>IF(H349,An,'2018'!An_max)</f>
        <v>2018</v>
      </c>
      <c r="K349" s="197">
        <f t="shared" si="125"/>
        <v>43800</v>
      </c>
      <c r="L349" s="147">
        <f>IF(t&lt;Tvie,1-EXP((T0-t)*PertePVj)+'2018'!Pspv,1-EXP((T0-t)*PertePVj)+Pspv)</f>
        <v>1.2861138058866128E-2</v>
      </c>
      <c r="M349" s="850"/>
      <c r="N349" s="850"/>
      <c r="O349" s="48">
        <f>IF(t&lt;Tnet,'2018'!Resal+('2018'!Salim-'2018'!Resal)*(1-EXP(('2018'!Tnet-t)/('2018'!Tau_j))),Resal+(Salim-Resal)*(1-EXP((Tnet-t)/(Tau_j))))*Salcycl</f>
        <v>7.8113990000376013E-2</v>
      </c>
      <c r="P349" s="169">
        <f>(INDEX(Models!$BJ349:$BT349,,T349)*(1-R349)+INDEX(Models!$BJ349:$BT349,,T349+1)*R349-ERP_i)*Q349*Ramure*Pc/MaxiM</f>
        <v>2.635506282963725E-2</v>
      </c>
      <c r="Q349" s="305">
        <f t="shared" si="126"/>
        <v>0.7</v>
      </c>
      <c r="R349" s="177">
        <f t="shared" si="127"/>
        <v>0.8998189669578065</v>
      </c>
      <c r="S349" s="817">
        <f t="shared" si="128"/>
        <v>-2</v>
      </c>
      <c r="T349" s="176">
        <f t="shared" si="129"/>
        <v>4</v>
      </c>
      <c r="U349" s="251">
        <f t="shared" si="130"/>
        <v>-1.1001810330421935</v>
      </c>
      <c r="V349" s="383">
        <f t="shared" si="131"/>
        <v>11.606243969352176</v>
      </c>
      <c r="W349" s="58"/>
      <c r="X349" s="157">
        <f t="shared" si="132"/>
        <v>43800</v>
      </c>
      <c r="Y349" s="385">
        <f t="shared" si="133"/>
        <v>4.2119999999999997</v>
      </c>
      <c r="Z349" s="385">
        <f t="shared" si="134"/>
        <v>4.2668768927984662</v>
      </c>
      <c r="AA349" s="386">
        <f t="shared" si="135"/>
        <v>4.6284213520066393</v>
      </c>
      <c r="AB349" s="197">
        <f t="shared" si="136"/>
        <v>43800</v>
      </c>
      <c r="AC349" s="427">
        <f>IF(OR(t&lt;Tnet,NoTnet),'2018'!Resal_s+('2018'!Salim-'2018'!Resal_s)*(1-EXP(('2018'!Tnet_s-t)/'2018'!Tau_j)),Resal_s+(Salim-Resal_s)*(1-EXP((Tnet_s-t)/Tau_j)))*Salcycl</f>
        <v>7.8113990000376013E-2</v>
      </c>
      <c r="AD349" s="231">
        <f>(INDEX(Models!$BJ349:$BT349,,AH349)*(1-AF349)+INDEX(Models!$BJ349:$BT349,,AH349+1)*AF349-ERP_i)*AE349*Ramure*Pc/MaxiM</f>
        <v>2.635506282963725E-2</v>
      </c>
      <c r="AE349" s="305">
        <f t="shared" si="137"/>
        <v>0.7</v>
      </c>
      <c r="AF349" s="177">
        <f t="shared" si="138"/>
        <v>0.8998189669578065</v>
      </c>
      <c r="AG349" s="176">
        <f t="shared" si="139"/>
        <v>-2</v>
      </c>
      <c r="AH349" s="176">
        <f t="shared" si="140"/>
        <v>4</v>
      </c>
      <c r="AI349" s="225">
        <f t="shared" si="141"/>
        <v>-1.1001810330421935</v>
      </c>
      <c r="AJ349" s="265" t="b">
        <f t="shared" si="142"/>
        <v>0</v>
      </c>
      <c r="AK349" s="265" t="b">
        <f t="shared" si="143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4"/>
        <v>43801</v>
      </c>
      <c r="B350" s="617">
        <v>2.4550000000000001</v>
      </c>
      <c r="C350" s="390"/>
      <c r="D350" s="393">
        <f t="shared" si="123"/>
        <v>2.4870399359525348</v>
      </c>
      <c r="E350" s="385">
        <f t="shared" si="121"/>
        <v>2.6979452367755514</v>
      </c>
      <c r="F350" s="385">
        <f t="shared" si="124"/>
        <v>2.6979452367755514</v>
      </c>
      <c r="G350" s="110">
        <f t="shared" si="122"/>
        <v>0.20855754672003154</v>
      </c>
      <c r="H350" s="414" t="b">
        <f>Wh_hp&gt;='2018'!Maxi_hp</f>
        <v>0</v>
      </c>
      <c r="I350" s="390">
        <f>IF(H350,Wh_hp,'2018'!Maxi_hp)</f>
        <v>5.2438116806521187</v>
      </c>
      <c r="J350" s="85">
        <f>IF(H350,An,'2018'!An_max)</f>
        <v>2018</v>
      </c>
      <c r="K350" s="197">
        <f t="shared" si="125"/>
        <v>43801</v>
      </c>
      <c r="L350" s="147">
        <f>IF(t&lt;Tvie,1-EXP((T0-t)*PertePVj)+'2018'!Pspv,1-EXP((T0-t)*PertePVj)+Pspv)</f>
        <v>1.2882758933367766E-2</v>
      </c>
      <c r="M350" s="850"/>
      <c r="N350" s="850"/>
      <c r="O350" s="48">
        <f>IF(t&lt;Tnet,'2018'!Resal+('2018'!Salim-'2018'!Resal)*(1-EXP(('2018'!Tnet-t)/('2018'!Tau_j))),Resal+(Salim-Resal)*(1-EXP((Tnet-t)/(Tau_j))))*Salcycl</f>
        <v>7.8172565531789764E-2</v>
      </c>
      <c r="P350" s="169">
        <f>(INDEX(Models!$BJ350:$BT350,,T350)*(1-R350)+INDEX(Models!$BJ350:$BT350,,T350+1)*R350-ERP_i)*Q350*Ramure*Pc/MaxiM</f>
        <v>2.6307128630203153E-2</v>
      </c>
      <c r="Q350" s="305">
        <f t="shared" si="126"/>
        <v>0.7</v>
      </c>
      <c r="R350" s="177">
        <f t="shared" si="127"/>
        <v>0.89983156549080379</v>
      </c>
      <c r="S350" s="817">
        <f t="shared" si="128"/>
        <v>-2</v>
      </c>
      <c r="T350" s="176">
        <f t="shared" si="129"/>
        <v>4</v>
      </c>
      <c r="U350" s="251">
        <f t="shared" si="130"/>
        <v>-1.1001684345091962</v>
      </c>
      <c r="V350" s="383">
        <f t="shared" si="131"/>
        <v>11.461661478123132</v>
      </c>
      <c r="W350" s="58"/>
      <c r="X350" s="157">
        <f t="shared" si="132"/>
        <v>43801</v>
      </c>
      <c r="Y350" s="385">
        <f t="shared" si="133"/>
        <v>2.4550000000000001</v>
      </c>
      <c r="Z350" s="385">
        <f t="shared" si="134"/>
        <v>2.4870399359525348</v>
      </c>
      <c r="AA350" s="386">
        <f t="shared" si="135"/>
        <v>2.6979452367755514</v>
      </c>
      <c r="AB350" s="197">
        <f t="shared" si="136"/>
        <v>43801</v>
      </c>
      <c r="AC350" s="427">
        <f>IF(OR(t&lt;Tnet,NoTnet),'2018'!Resal_s+('2018'!Salim-'2018'!Resal_s)*(1-EXP(('2018'!Tnet_s-t)/'2018'!Tau_j)),Resal_s+(Salim-Resal_s)*(1-EXP((Tnet_s-t)/Tau_j)))*Salcycl</f>
        <v>7.8172565531789764E-2</v>
      </c>
      <c r="AD350" s="231">
        <f>(INDEX(Models!$BJ350:$BT350,,AH350)*(1-AF350)+INDEX(Models!$BJ350:$BT350,,AH350+1)*AF350-ERP_i)*AE350*Ramure*Pc/MaxiM</f>
        <v>2.6307128630203153E-2</v>
      </c>
      <c r="AE350" s="305">
        <f t="shared" si="137"/>
        <v>0.7</v>
      </c>
      <c r="AF350" s="177">
        <f t="shared" si="138"/>
        <v>0.89983156549080379</v>
      </c>
      <c r="AG350" s="176">
        <f t="shared" si="139"/>
        <v>-2</v>
      </c>
      <c r="AH350" s="176">
        <f t="shared" si="140"/>
        <v>4</v>
      </c>
      <c r="AI350" s="225">
        <f t="shared" si="141"/>
        <v>-1.1001684345091962</v>
      </c>
      <c r="AJ350" s="265" t="b">
        <f t="shared" si="142"/>
        <v>0</v>
      </c>
      <c r="AK350" s="265" t="b">
        <f t="shared" si="143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4"/>
        <v>43802</v>
      </c>
      <c r="B351" s="617">
        <v>2.3479999999999999</v>
      </c>
      <c r="C351" s="390"/>
      <c r="D351" s="393">
        <f t="shared" si="123"/>
        <v>2.3786955902170268</v>
      </c>
      <c r="E351" s="385">
        <f t="shared" si="121"/>
        <v>2.5805804314948806</v>
      </c>
      <c r="F351" s="385">
        <f t="shared" si="124"/>
        <v>2.5805804314948806</v>
      </c>
      <c r="G351" s="110">
        <f t="shared" si="122"/>
        <v>0.20189067058819665</v>
      </c>
      <c r="H351" s="414" t="b">
        <f>Wh_hp&gt;='2018'!Maxi_hp</f>
        <v>0</v>
      </c>
      <c r="I351" s="390">
        <f>IF(H351,Wh_hp,'2018'!Maxi_hp)</f>
        <v>6.5097069408321904</v>
      </c>
      <c r="J351" s="85">
        <f>IF(H351,An,'2018'!An_max)</f>
        <v>2018</v>
      </c>
      <c r="K351" s="197">
        <f t="shared" si="125"/>
        <v>43802</v>
      </c>
      <c r="L351" s="147">
        <f>IF(t&lt;Tvie,1-EXP((T0-t)*PertePVj)+'2018'!Pspv,1-EXP((T0-t)*PertePVj)+Pspv)</f>
        <v>1.2904379334316651E-2</v>
      </c>
      <c r="M351" s="850"/>
      <c r="N351" s="850"/>
      <c r="O351" s="48">
        <f>IF(t&lt;Tnet,'2018'!Resal+('2018'!Salim-'2018'!Resal)*(1-EXP(('2018'!Tnet-t)/('2018'!Tau_j))),Resal+(Salim-Resal)*(1-EXP((Tnet-t)/(Tau_j))))*Salcycl</f>
        <v>7.8232338280929264E-2</v>
      </c>
      <c r="P351" s="169">
        <f>(INDEX(Models!$BJ351:$BT351,,T351)*(1-R351)+INDEX(Models!$BJ351:$BT351,,T351+1)*R351-ERP_i)*Q351*Ramure*Pc/MaxiM</f>
        <v>2.62357700780406E-2</v>
      </c>
      <c r="Q351" s="305">
        <f t="shared" si="126"/>
        <v>0.7</v>
      </c>
      <c r="R351" s="177">
        <f t="shared" si="127"/>
        <v>0.89984365751802953</v>
      </c>
      <c r="S351" s="817">
        <f t="shared" si="128"/>
        <v>-2</v>
      </c>
      <c r="T351" s="176">
        <f t="shared" si="129"/>
        <v>4</v>
      </c>
      <c r="U351" s="251">
        <f t="shared" si="130"/>
        <v>-1.1001563424819705</v>
      </c>
      <c r="V351" s="383">
        <f t="shared" si="131"/>
        <v>11.324933466194711</v>
      </c>
      <c r="W351" s="58"/>
      <c r="X351" s="157">
        <f t="shared" si="132"/>
        <v>43802</v>
      </c>
      <c r="Y351" s="385">
        <f t="shared" si="133"/>
        <v>2.3479999999999999</v>
      </c>
      <c r="Z351" s="385">
        <f t="shared" si="134"/>
        <v>2.3786955902170268</v>
      </c>
      <c r="AA351" s="386">
        <f t="shared" si="135"/>
        <v>2.5805804314948806</v>
      </c>
      <c r="AB351" s="197">
        <f t="shared" si="136"/>
        <v>43802</v>
      </c>
      <c r="AC351" s="427">
        <f>IF(OR(t&lt;Tnet,NoTnet),'2018'!Resal_s+('2018'!Salim-'2018'!Resal_s)*(1-EXP(('2018'!Tnet_s-t)/'2018'!Tau_j)),Resal_s+(Salim-Resal_s)*(1-EXP((Tnet_s-t)/Tau_j)))*Salcycl</f>
        <v>7.8232338280929264E-2</v>
      </c>
      <c r="AD351" s="231">
        <f>(INDEX(Models!$BJ351:$BT351,,AH351)*(1-AF351)+INDEX(Models!$BJ351:$BT351,,AH351+1)*AF351-ERP_i)*AE351*Ramure*Pc/MaxiM</f>
        <v>2.62357700780406E-2</v>
      </c>
      <c r="AE351" s="305">
        <f t="shared" si="137"/>
        <v>0.7</v>
      </c>
      <c r="AF351" s="177">
        <f t="shared" si="138"/>
        <v>0.89984365751802953</v>
      </c>
      <c r="AG351" s="176">
        <f t="shared" si="139"/>
        <v>-2</v>
      </c>
      <c r="AH351" s="176">
        <f t="shared" si="140"/>
        <v>4</v>
      </c>
      <c r="AI351" s="225">
        <f t="shared" si="141"/>
        <v>-1.1001563424819705</v>
      </c>
      <c r="AJ351" s="265" t="b">
        <f t="shared" si="142"/>
        <v>0</v>
      </c>
      <c r="AK351" s="265" t="b">
        <f t="shared" si="143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4"/>
        <v>43803</v>
      </c>
      <c r="B352" s="617">
        <v>3.859</v>
      </c>
      <c r="C352" s="390"/>
      <c r="D352" s="393">
        <f t="shared" si="123"/>
        <v>3.9095346418948145</v>
      </c>
      <c r="E352" s="385">
        <f t="shared" si="121"/>
        <v>4.2416254575720851</v>
      </c>
      <c r="F352" s="385">
        <f t="shared" si="124"/>
        <v>4.2487113455330379</v>
      </c>
      <c r="G352" s="110">
        <f t="shared" si="122"/>
        <v>0.33619439387244787</v>
      </c>
      <c r="H352" s="414" t="b">
        <f>Wh_hp&gt;='2018'!Maxi_hp</f>
        <v>1</v>
      </c>
      <c r="I352" s="390">
        <f>IF(H352,Wh_hp,'2018'!Maxi_hp)</f>
        <v>4.2487113455330379</v>
      </c>
      <c r="J352" s="85">
        <f>IF(H352,An,'2018'!An_max)</f>
        <v>2019</v>
      </c>
      <c r="K352" s="197">
        <f t="shared" si="125"/>
        <v>43803</v>
      </c>
      <c r="L352" s="147">
        <f>IF(t&lt;Tvie,1-EXP((T0-t)*PertePVj)+'2018'!Pspv,1-EXP((T0-t)*PertePVj)+Pspv)</f>
        <v>1.2925999261723442E-2</v>
      </c>
      <c r="M352" s="850"/>
      <c r="N352" s="850"/>
      <c r="O352" s="48">
        <f>IF(t&lt;Tnet,'2018'!Resal+('2018'!Salim-'2018'!Resal)*(1-EXP(('2018'!Tnet-t)/('2018'!Tau_j))),Resal+(Salim-Resal)*(1-EXP((Tnet-t)/(Tau_j))))*Salcycl</f>
        <v>7.8293290861980155E-2</v>
      </c>
      <c r="P352" s="169">
        <f>(INDEX(Models!$BJ352:$BT352,,T352)*(1-R352)+INDEX(Models!$BJ352:$BT352,,T352+1)*R352-ERP_i)*Q352*Ramure*Pc/MaxiM</f>
        <v>2.6148949758039781E-2</v>
      </c>
      <c r="Q352" s="305">
        <f t="shared" si="126"/>
        <v>0.7</v>
      </c>
      <c r="R352" s="177">
        <f t="shared" si="127"/>
        <v>0.89985526337393806</v>
      </c>
      <c r="S352" s="817">
        <f t="shared" si="128"/>
        <v>-2</v>
      </c>
      <c r="T352" s="176">
        <f t="shared" si="129"/>
        <v>4</v>
      </c>
      <c r="U352" s="251">
        <f t="shared" si="130"/>
        <v>-1.1001447366260619</v>
      </c>
      <c r="V352" s="383">
        <f t="shared" si="131"/>
        <v>11.197002052035391</v>
      </c>
      <c r="W352" s="58"/>
      <c r="X352" s="157">
        <f t="shared" si="132"/>
        <v>43803</v>
      </c>
      <c r="Y352" s="385">
        <f t="shared" si="133"/>
        <v>3.859</v>
      </c>
      <c r="Z352" s="385">
        <f t="shared" si="134"/>
        <v>3.9095346418948145</v>
      </c>
      <c r="AA352" s="386">
        <f t="shared" si="135"/>
        <v>4.2416254575720851</v>
      </c>
      <c r="AB352" s="197">
        <f t="shared" si="136"/>
        <v>43803</v>
      </c>
      <c r="AC352" s="427">
        <f>IF(OR(t&lt;Tnet,NoTnet),'2018'!Resal_s+('2018'!Salim-'2018'!Resal_s)*(1-EXP(('2018'!Tnet_s-t)/'2018'!Tau_j)),Resal_s+(Salim-Resal_s)*(1-EXP((Tnet_s-t)/Tau_j)))*Salcycl</f>
        <v>7.8293290861980155E-2</v>
      </c>
      <c r="AD352" s="231">
        <f>(INDEX(Models!$BJ352:$BT352,,AH352)*(1-AF352)+INDEX(Models!$BJ352:$BT352,,AH352+1)*AF352-ERP_i)*AE352*Ramure*Pc/MaxiM</f>
        <v>2.6148949758039781E-2</v>
      </c>
      <c r="AE352" s="305">
        <f t="shared" si="137"/>
        <v>0.7</v>
      </c>
      <c r="AF352" s="177">
        <f t="shared" si="138"/>
        <v>0.89985526337393806</v>
      </c>
      <c r="AG352" s="176">
        <f t="shared" si="139"/>
        <v>-2</v>
      </c>
      <c r="AH352" s="176">
        <f t="shared" si="140"/>
        <v>4</v>
      </c>
      <c r="AI352" s="225">
        <f t="shared" si="141"/>
        <v>-1.1001447366260619</v>
      </c>
      <c r="AJ352" s="265" t="b">
        <f t="shared" si="142"/>
        <v>0</v>
      </c>
      <c r="AK352" s="265" t="b">
        <f t="shared" si="143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4"/>
        <v>43804</v>
      </c>
      <c r="B353" s="617">
        <v>5.3070000000000004</v>
      </c>
      <c r="C353" s="390"/>
      <c r="D353" s="393">
        <f t="shared" si="123"/>
        <v>5.3766143526185184</v>
      </c>
      <c r="E353" s="385">
        <f t="shared" si="121"/>
        <v>5.8337176431785682</v>
      </c>
      <c r="F353" s="385">
        <f t="shared" si="124"/>
        <v>5.8728434362913502</v>
      </c>
      <c r="G353" s="110">
        <f t="shared" si="122"/>
        <v>0.46967064120011631</v>
      </c>
      <c r="H353" s="414" t="b">
        <f>Wh_hp&gt;='2018'!Maxi_hp</f>
        <v>0</v>
      </c>
      <c r="I353" s="390">
        <f>IF(H353,Wh_hp,'2018'!Maxi_hp)</f>
        <v>10.884661828669035</v>
      </c>
      <c r="J353" s="85">
        <f>IF(H353,An,'2018'!An_max)</f>
        <v>2018</v>
      </c>
      <c r="K353" s="197">
        <f t="shared" si="125"/>
        <v>43804</v>
      </c>
      <c r="L353" s="147">
        <f>IF(t&lt;Tvie,1-EXP((T0-t)*PertePVj)+'2018'!Pspv,1-EXP((T0-t)*PertePVj)+Pspv)</f>
        <v>1.2947618715598241E-2</v>
      </c>
      <c r="M353" s="850"/>
      <c r="N353" s="850"/>
      <c r="O353" s="48">
        <f>IF(t&lt;Tnet,'2018'!Resal+('2018'!Salim-'2018'!Resal)*(1-EXP(('2018'!Tnet-t)/('2018'!Tau_j))),Resal+(Salim-Resal)*(1-EXP((Tnet-t)/(Tau_j))))*Salcycl</f>
        <v>7.8355401909886074E-2</v>
      </c>
      <c r="P353" s="169">
        <f>(INDEX(Models!$BJ353:$BT353,,T353)*(1-R353)+INDEX(Models!$BJ353:$BT353,,T353+1)*R353-ERP_i)*Q353*Ramure*Pc/MaxiM</f>
        <v>2.6050182338948277E-2</v>
      </c>
      <c r="Q353" s="305">
        <f t="shared" si="126"/>
        <v>0.7</v>
      </c>
      <c r="R353" s="177">
        <f t="shared" si="127"/>
        <v>0.8998664025789036</v>
      </c>
      <c r="S353" s="817">
        <f t="shared" si="128"/>
        <v>-2</v>
      </c>
      <c r="T353" s="176">
        <f t="shared" si="129"/>
        <v>4</v>
      </c>
      <c r="U353" s="251">
        <f t="shared" si="130"/>
        <v>-1.1001335974210964</v>
      </c>
      <c r="V353" s="383">
        <f t="shared" si="131"/>
        <v>11.07886506139625</v>
      </c>
      <c r="W353" s="58"/>
      <c r="X353" s="157">
        <f t="shared" si="132"/>
        <v>43804</v>
      </c>
      <c r="Y353" s="385">
        <f t="shared" si="133"/>
        <v>5.3070000000000004</v>
      </c>
      <c r="Z353" s="385">
        <f t="shared" si="134"/>
        <v>5.3766143526185184</v>
      </c>
      <c r="AA353" s="386">
        <f t="shared" si="135"/>
        <v>5.8337176431785682</v>
      </c>
      <c r="AB353" s="197">
        <f t="shared" si="136"/>
        <v>43804</v>
      </c>
      <c r="AC353" s="427">
        <f>IF(OR(t&lt;Tnet,NoTnet),'2018'!Resal_s+('2018'!Salim-'2018'!Resal_s)*(1-EXP(('2018'!Tnet_s-t)/'2018'!Tau_j)),Resal_s+(Salim-Resal_s)*(1-EXP((Tnet_s-t)/Tau_j)))*Salcycl</f>
        <v>7.8355401909886074E-2</v>
      </c>
      <c r="AD353" s="231">
        <f>(INDEX(Models!$BJ353:$BT353,,AH353)*(1-AF353)+INDEX(Models!$BJ353:$BT353,,AH353+1)*AF353-ERP_i)*AE353*Ramure*Pc/MaxiM</f>
        <v>2.6050182338948277E-2</v>
      </c>
      <c r="AE353" s="305">
        <f t="shared" si="137"/>
        <v>0.7</v>
      </c>
      <c r="AF353" s="177">
        <f t="shared" si="138"/>
        <v>0.8998664025789036</v>
      </c>
      <c r="AG353" s="176">
        <f t="shared" si="139"/>
        <v>-2</v>
      </c>
      <c r="AH353" s="176">
        <f t="shared" si="140"/>
        <v>4</v>
      </c>
      <c r="AI353" s="225">
        <f t="shared" si="141"/>
        <v>-1.1001335974210964</v>
      </c>
      <c r="AJ353" s="265" t="b">
        <f t="shared" si="142"/>
        <v>0</v>
      </c>
      <c r="AK353" s="265" t="b">
        <f t="shared" si="143"/>
        <v>0</v>
      </c>
      <c r="AL353" s="265"/>
      <c r="AM353" s="265"/>
      <c r="AN353" s="75"/>
    </row>
    <row r="354" spans="1:40" s="6" customFormat="1" ht="11.25" x14ac:dyDescent="0.2">
      <c r="A354" s="56">
        <f t="shared" si="144"/>
        <v>43805</v>
      </c>
      <c r="B354" s="617">
        <v>4.6150000000000002</v>
      </c>
      <c r="C354" s="390"/>
      <c r="D354" s="393">
        <f t="shared" si="123"/>
        <v>4.6756394797940235</v>
      </c>
      <c r="E354" s="385">
        <f t="shared" si="121"/>
        <v>5.0734961824981379</v>
      </c>
      <c r="F354" s="385">
        <f t="shared" si="124"/>
        <v>5.0962750491927231</v>
      </c>
      <c r="G354" s="110">
        <f t="shared" si="122"/>
        <v>0.41156145691588802</v>
      </c>
      <c r="H354" s="414" t="b">
        <f>Wh_hp&gt;='2018'!Maxi_hp</f>
        <v>0</v>
      </c>
      <c r="I354" s="390">
        <f>IF(H354,Wh_hp,'2018'!Maxi_hp)</f>
        <v>7.6025342213353948</v>
      </c>
      <c r="J354" s="85">
        <f>IF(H354,An,'2018'!An_max)</f>
        <v>2018</v>
      </c>
      <c r="K354" s="197">
        <f t="shared" si="125"/>
        <v>43805</v>
      </c>
      <c r="L354" s="147">
        <f>IF(t&lt;Tvie,1-EXP((T0-t)*PertePVj)+'2018'!Pspv,1-EXP((T0-t)*PertePVj)+Pspv)</f>
        <v>1.2969237695951485E-2</v>
      </c>
      <c r="M354" s="850"/>
      <c r="N354" s="850"/>
      <c r="O354" s="48">
        <f>IF(t&lt;Tnet,'2018'!Resal+('2018'!Salim-'2018'!Resal)*(1-EXP(('2018'!Tnet-t)/('2018'!Tau_j))),Resal+(Salim-Resal)*(1-EXP((Tnet-t)/(Tau_j))))*Salcycl</f>
        <v>7.8418646312692034E-2</v>
      </c>
      <c r="P354" s="169">
        <f>(INDEX(Models!$BJ354:$BT354,,T354)*(1-R354)+INDEX(Models!$BJ354:$BT354,,T354+1)*R354-ERP_i)*Q354*Ramure*Pc/MaxiM</f>
        <v>2.5936762568289962E-2</v>
      </c>
      <c r="Q354" s="305">
        <f t="shared" si="126"/>
        <v>0.7</v>
      </c>
      <c r="R354" s="177">
        <f t="shared" si="127"/>
        <v>0.89987709387163006</v>
      </c>
      <c r="S354" s="817">
        <f t="shared" si="128"/>
        <v>-2</v>
      </c>
      <c r="T354" s="176">
        <f t="shared" si="129"/>
        <v>4</v>
      </c>
      <c r="U354" s="251">
        <f t="shared" si="130"/>
        <v>-1.1001229061283699</v>
      </c>
      <c r="V354" s="383">
        <f t="shared" si="131"/>
        <v>10.971592863911027</v>
      </c>
      <c r="W354" s="58"/>
      <c r="X354" s="157">
        <f t="shared" si="132"/>
        <v>43805</v>
      </c>
      <c r="Y354" s="385">
        <f t="shared" si="133"/>
        <v>4.6150000000000002</v>
      </c>
      <c r="Z354" s="385">
        <f t="shared" si="134"/>
        <v>4.6756394797940235</v>
      </c>
      <c r="AA354" s="386">
        <f t="shared" si="135"/>
        <v>5.0734961824981379</v>
      </c>
      <c r="AB354" s="197">
        <f t="shared" si="136"/>
        <v>43805</v>
      </c>
      <c r="AC354" s="427">
        <f>IF(OR(t&lt;Tnet,NoTnet),'2018'!Resal_s+('2018'!Salim-'2018'!Resal_s)*(1-EXP(('2018'!Tnet_s-t)/'2018'!Tau_j)),Resal_s+(Salim-Resal_s)*(1-EXP((Tnet_s-t)/Tau_j)))*Salcycl</f>
        <v>7.8418646312692034E-2</v>
      </c>
      <c r="AD354" s="231">
        <f>(INDEX(Models!$BJ354:$BT354,,AH354)*(1-AF354)+INDEX(Models!$BJ354:$BT354,,AH354+1)*AF354-ERP_i)*AE354*Ramure*Pc/MaxiM</f>
        <v>2.5936762568289962E-2</v>
      </c>
      <c r="AE354" s="305">
        <f t="shared" si="137"/>
        <v>0.7</v>
      </c>
      <c r="AF354" s="177">
        <f t="shared" si="138"/>
        <v>0.89987709387163006</v>
      </c>
      <c r="AG354" s="176">
        <f t="shared" si="139"/>
        <v>-2</v>
      </c>
      <c r="AH354" s="176">
        <f t="shared" si="140"/>
        <v>4</v>
      </c>
      <c r="AI354" s="225">
        <f t="shared" si="141"/>
        <v>-1.1001229061283699</v>
      </c>
      <c r="AJ354" s="265" t="b">
        <f t="shared" si="142"/>
        <v>0</v>
      </c>
      <c r="AK354" s="265" t="b">
        <f t="shared" si="143"/>
        <v>0</v>
      </c>
      <c r="AL354" s="265"/>
      <c r="AM354" s="265"/>
      <c r="AN354" s="75"/>
    </row>
    <row r="355" spans="1:40" s="6" customFormat="1" ht="11.25" x14ac:dyDescent="0.2">
      <c r="A355" s="56">
        <f t="shared" si="144"/>
        <v>43806</v>
      </c>
      <c r="B355" s="617">
        <v>6.7080000000000002</v>
      </c>
      <c r="C355" s="390"/>
      <c r="D355" s="393">
        <f t="shared" si="123"/>
        <v>6.7962896211813053</v>
      </c>
      <c r="E355" s="385">
        <f t="shared" si="121"/>
        <v>7.375110375306396</v>
      </c>
      <c r="F355" s="385">
        <f t="shared" si="124"/>
        <v>7.4622504321666714</v>
      </c>
      <c r="G355" s="110">
        <f t="shared" si="122"/>
        <v>0.60793955684710577</v>
      </c>
      <c r="H355" s="414" t="b">
        <f>Wh_hp&gt;='2018'!Maxi_hp</f>
        <v>0</v>
      </c>
      <c r="I355" s="390">
        <f>IF(H355,Wh_hp,'2018'!Maxi_hp)</f>
        <v>11.718067390953806</v>
      </c>
      <c r="J355" s="85">
        <f>IF(H355,An,'2018'!An_max)</f>
        <v>2018</v>
      </c>
      <c r="K355" s="197">
        <f t="shared" si="125"/>
        <v>43806</v>
      </c>
      <c r="L355" s="147">
        <f>IF(t&lt;Tvie,1-EXP((T0-t)*PertePVj)+'2018'!Pspv,1-EXP((T0-t)*PertePVj)+Pspv)</f>
        <v>1.299085620279361E-2</v>
      </c>
      <c r="M355" s="850"/>
      <c r="N355" s="850"/>
      <c r="O355" s="48">
        <f>IF(t&lt;Tnet,'2018'!Resal+('2018'!Salim-'2018'!Resal)*(1-EXP(('2018'!Tnet-t)/('2018'!Tau_j))),Resal+(Salim-Resal)*(1-EXP((Tnet-t)/(Tau_j))))*Salcycl</f>
        <v>7.8482995463107816E-2</v>
      </c>
      <c r="P355" s="169">
        <f>(INDEX(Models!$BJ355:$BT355,,T355)*(1-R355)+INDEX(Models!$BJ355:$BT355,,T355+1)*R355-ERP_i)*Q355*Ramure*Pc/MaxiM</f>
        <v>2.5805999078635067E-2</v>
      </c>
      <c r="Q355" s="305">
        <f t="shared" si="126"/>
        <v>0.7</v>
      </c>
      <c r="R355" s="177">
        <f t="shared" si="127"/>
        <v>0.89988735524028862</v>
      </c>
      <c r="S355" s="817">
        <f t="shared" si="128"/>
        <v>-2</v>
      </c>
      <c r="T355" s="176">
        <f t="shared" si="129"/>
        <v>4</v>
      </c>
      <c r="U355" s="251">
        <f t="shared" si="130"/>
        <v>-1.1001126447597114</v>
      </c>
      <c r="V355" s="383">
        <f t="shared" si="131"/>
        <v>10.876255410883344</v>
      </c>
      <c r="W355" s="58"/>
      <c r="X355" s="157">
        <f t="shared" si="132"/>
        <v>43806</v>
      </c>
      <c r="Y355" s="385">
        <f t="shared" si="133"/>
        <v>6.7080000000000002</v>
      </c>
      <c r="Z355" s="385">
        <f t="shared" si="134"/>
        <v>6.7962896211813053</v>
      </c>
      <c r="AA355" s="386">
        <f t="shared" si="135"/>
        <v>7.375110375306396</v>
      </c>
      <c r="AB355" s="197">
        <f t="shared" si="136"/>
        <v>43806</v>
      </c>
      <c r="AC355" s="427">
        <f>IF(OR(t&lt;Tnet,NoTnet),'2018'!Resal_s+('2018'!Salim-'2018'!Resal_s)*(1-EXP(('2018'!Tnet_s-t)/'2018'!Tau_j)),Resal_s+(Salim-Resal_s)*(1-EXP((Tnet_s-t)/Tau_j)))*Salcycl</f>
        <v>7.8482995463107816E-2</v>
      </c>
      <c r="AD355" s="231">
        <f>(INDEX(Models!$BJ355:$BT355,,AH355)*(1-AF355)+INDEX(Models!$BJ355:$BT355,,AH355+1)*AF355-ERP_i)*AE355*Ramure*Pc/MaxiM</f>
        <v>2.5805999078635067E-2</v>
      </c>
      <c r="AE355" s="305">
        <f t="shared" si="137"/>
        <v>0.7</v>
      </c>
      <c r="AF355" s="177">
        <f t="shared" si="138"/>
        <v>0.89988735524028862</v>
      </c>
      <c r="AG355" s="176">
        <f t="shared" si="139"/>
        <v>-2</v>
      </c>
      <c r="AH355" s="176">
        <f t="shared" si="140"/>
        <v>4</v>
      </c>
      <c r="AI355" s="225">
        <f t="shared" si="141"/>
        <v>-1.1001126447597114</v>
      </c>
      <c r="AJ355" s="265" t="b">
        <f t="shared" si="142"/>
        <v>0</v>
      </c>
      <c r="AK355" s="265" t="b">
        <f t="shared" si="143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4"/>
        <v>43807</v>
      </c>
      <c r="B356" s="617">
        <v>9.1340000000000003</v>
      </c>
      <c r="C356" s="390"/>
      <c r="D356" s="393">
        <f t="shared" si="123"/>
        <v>9.2544229400780615</v>
      </c>
      <c r="E356" s="385">
        <f t="shared" si="121"/>
        <v>10.043308966101593</v>
      </c>
      <c r="F356" s="385">
        <f t="shared" si="124"/>
        <v>10.248473713875184</v>
      </c>
      <c r="G356" s="110">
        <f t="shared" si="122"/>
        <v>0.84135007333003231</v>
      </c>
      <c r="H356" s="414" t="b">
        <f>Wh_hp&gt;='2018'!Maxi_hp</f>
        <v>0</v>
      </c>
      <c r="I356" s="390">
        <f>IF(H356,Wh_hp,'2018'!Maxi_hp)</f>
        <v>10.360105711351219</v>
      </c>
      <c r="J356" s="85">
        <f>IF(H356,An,'2018'!An_max)</f>
        <v>2018</v>
      </c>
      <c r="K356" s="197">
        <f t="shared" si="125"/>
        <v>43807</v>
      </c>
      <c r="L356" s="147">
        <f>IF(t&lt;Tvie,1-EXP((T0-t)*PertePVj)+'2018'!Pspv,1-EXP((T0-t)*PertePVj)+Pspv)</f>
        <v>1.3012474236134941E-2</v>
      </c>
      <c r="M356" s="850"/>
      <c r="N356" s="850"/>
      <c r="O356" s="48">
        <f>IF(t&lt;Tnet,'2018'!Resal+('2018'!Salim-'2018'!Resal)*(1-EXP(('2018'!Tnet-t)/('2018'!Tau_j))),Resal+(Salim-Resal)*(1-EXP((Tnet-t)/(Tau_j))))*Salcycl</f>
        <v>7.8548417527151415E-2</v>
      </c>
      <c r="P356" s="169">
        <f>(INDEX(Models!$BJ356:$BT356,,T356)*(1-R356)+INDEX(Models!$BJ356:$BT356,,T356+1)*R356-ERP_i)*Q356*Ramure*Pc/MaxiM</f>
        <v>2.5655259457041866E-2</v>
      </c>
      <c r="Q356" s="305">
        <f t="shared" si="126"/>
        <v>0.7</v>
      </c>
      <c r="R356" s="177">
        <f t="shared" si="127"/>
        <v>0.8998972039524249</v>
      </c>
      <c r="S356" s="817">
        <f t="shared" si="128"/>
        <v>-2</v>
      </c>
      <c r="T356" s="176">
        <f t="shared" si="129"/>
        <v>4</v>
      </c>
      <c r="U356" s="251">
        <f t="shared" si="130"/>
        <v>-1.1001027960475751</v>
      </c>
      <c r="V356" s="383">
        <f t="shared" si="131"/>
        <v>10.793922209436079</v>
      </c>
      <c r="W356" s="58"/>
      <c r="X356" s="157">
        <f t="shared" si="132"/>
        <v>43807</v>
      </c>
      <c r="Y356" s="385">
        <f t="shared" si="133"/>
        <v>9.1340000000000003</v>
      </c>
      <c r="Z356" s="385">
        <f t="shared" si="134"/>
        <v>9.2544229400780615</v>
      </c>
      <c r="AA356" s="386">
        <f t="shared" si="135"/>
        <v>10.043308966101593</v>
      </c>
      <c r="AB356" s="197">
        <f t="shared" si="136"/>
        <v>43807</v>
      </c>
      <c r="AC356" s="427">
        <f>IF(OR(t&lt;Tnet,NoTnet),'2018'!Resal_s+('2018'!Salim-'2018'!Resal_s)*(1-EXP(('2018'!Tnet_s-t)/'2018'!Tau_j)),Resal_s+(Salim-Resal_s)*(1-EXP((Tnet_s-t)/Tau_j)))*Salcycl</f>
        <v>7.8548417527151415E-2</v>
      </c>
      <c r="AD356" s="231">
        <f>(INDEX(Models!$BJ356:$BT356,,AH356)*(1-AF356)+INDEX(Models!$BJ356:$BT356,,AH356+1)*AF356-ERP_i)*AE356*Ramure*Pc/MaxiM</f>
        <v>2.5655259457041866E-2</v>
      </c>
      <c r="AE356" s="305">
        <f t="shared" si="137"/>
        <v>0.7</v>
      </c>
      <c r="AF356" s="177">
        <f t="shared" si="138"/>
        <v>0.8998972039524249</v>
      </c>
      <c r="AG356" s="176">
        <f t="shared" si="139"/>
        <v>-2</v>
      </c>
      <c r="AH356" s="176">
        <f t="shared" si="140"/>
        <v>4</v>
      </c>
      <c r="AI356" s="225">
        <f t="shared" si="141"/>
        <v>-1.1001027960475751</v>
      </c>
      <c r="AJ356" s="265" t="b">
        <f t="shared" si="142"/>
        <v>0</v>
      </c>
      <c r="AK356" s="265" t="b">
        <f t="shared" si="143"/>
        <v>0</v>
      </c>
      <c r="AL356" s="265"/>
      <c r="AM356" s="265"/>
      <c r="AN356" s="75"/>
    </row>
    <row r="357" spans="1:40" s="6" customFormat="1" ht="11.25" x14ac:dyDescent="0.2">
      <c r="A357" s="56">
        <f t="shared" si="144"/>
        <v>43808</v>
      </c>
      <c r="B357" s="617">
        <v>5.7329999999999997</v>
      </c>
      <c r="C357" s="390"/>
      <c r="D357" s="393">
        <f t="shared" si="123"/>
        <v>5.8087112759876005</v>
      </c>
      <c r="E357" s="385">
        <f t="shared" si="121"/>
        <v>6.304325016299086</v>
      </c>
      <c r="F357" s="385">
        <f t="shared" si="124"/>
        <v>6.3586080107423522</v>
      </c>
      <c r="G357" s="110">
        <f t="shared" si="122"/>
        <v>0.5253770965694472</v>
      </c>
      <c r="H357" s="414" t="b">
        <f>Wh_hp&gt;='2018'!Maxi_hp</f>
        <v>1</v>
      </c>
      <c r="I357" s="390">
        <f>IF(H357,Wh_hp,'2018'!Maxi_hp)</f>
        <v>6.3586080107423522</v>
      </c>
      <c r="J357" s="85">
        <f>IF(H357,An,'2018'!An_max)</f>
        <v>2019</v>
      </c>
      <c r="K357" s="197">
        <f t="shared" si="125"/>
        <v>43808</v>
      </c>
      <c r="L357" s="147">
        <f>IF(t&lt;Tvie,1-EXP((T0-t)*PertePVj)+'2018'!Pspv,1-EXP((T0-t)*PertePVj)+Pspv)</f>
        <v>1.3034091795985914E-2</v>
      </c>
      <c r="M357" s="850"/>
      <c r="N357" s="850"/>
      <c r="O357" s="48">
        <f>IF(t&lt;Tnet,'2018'!Resal+('2018'!Salim-'2018'!Resal)*(1-EXP(('2018'!Tnet-t)/('2018'!Tau_j))),Resal+(Salim-Resal)*(1-EXP((Tnet-t)/(Tau_j))))*Salcycl</f>
        <v>7.8614877727613164E-2</v>
      </c>
      <c r="P357" s="169">
        <f>(INDEX(Models!$BJ357:$BT357,,T357)*(1-R357)+INDEX(Models!$BJ357:$BT357,,T357+1)*R357-ERP_i)*Q357*Ramure*Pc/MaxiM</f>
        <v>2.5482021992565537E-2</v>
      </c>
      <c r="Q357" s="305">
        <f t="shared" si="126"/>
        <v>0.7</v>
      </c>
      <c r="R357" s="177">
        <f t="shared" si="127"/>
        <v>0.89990665658368707</v>
      </c>
      <c r="S357" s="817">
        <f t="shared" si="128"/>
        <v>-2</v>
      </c>
      <c r="T357" s="176">
        <f t="shared" si="129"/>
        <v>4</v>
      </c>
      <c r="U357" s="251">
        <f t="shared" si="130"/>
        <v>-1.1000933434163129</v>
      </c>
      <c r="V357" s="383">
        <f t="shared" si="131"/>
        <v>10.725662301865905</v>
      </c>
      <c r="W357" s="58"/>
      <c r="X357" s="157">
        <f t="shared" si="132"/>
        <v>43808</v>
      </c>
      <c r="Y357" s="385">
        <f t="shared" si="133"/>
        <v>5.7329999999999997</v>
      </c>
      <c r="Z357" s="385">
        <f t="shared" si="134"/>
        <v>5.8087112759876005</v>
      </c>
      <c r="AA357" s="386">
        <f t="shared" si="135"/>
        <v>6.304325016299086</v>
      </c>
      <c r="AB357" s="197">
        <f t="shared" si="136"/>
        <v>43808</v>
      </c>
      <c r="AC357" s="427">
        <f>IF(OR(t&lt;Tnet,NoTnet),'2018'!Resal_s+('2018'!Salim-'2018'!Resal_s)*(1-EXP(('2018'!Tnet_s-t)/'2018'!Tau_j)),Resal_s+(Salim-Resal_s)*(1-EXP((Tnet_s-t)/Tau_j)))*Salcycl</f>
        <v>7.8614877727613164E-2</v>
      </c>
      <c r="AD357" s="231">
        <f>(INDEX(Models!$BJ357:$BT357,,AH357)*(1-AF357)+INDEX(Models!$BJ357:$BT357,,AH357+1)*AF357-ERP_i)*AE357*Ramure*Pc/MaxiM</f>
        <v>2.5482021992565537E-2</v>
      </c>
      <c r="AE357" s="305">
        <f t="shared" si="137"/>
        <v>0.7</v>
      </c>
      <c r="AF357" s="177">
        <f t="shared" si="138"/>
        <v>0.89990665658368707</v>
      </c>
      <c r="AG357" s="176">
        <f t="shared" si="139"/>
        <v>-2</v>
      </c>
      <c r="AH357" s="176">
        <f t="shared" si="140"/>
        <v>4</v>
      </c>
      <c r="AI357" s="225">
        <f t="shared" si="141"/>
        <v>-1.1000933434163129</v>
      </c>
      <c r="AJ357" s="265" t="b">
        <f t="shared" si="142"/>
        <v>0</v>
      </c>
      <c r="AK357" s="265" t="b">
        <f t="shared" si="143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4"/>
        <v>43809</v>
      </c>
      <c r="B358" s="617">
        <v>9.9540000000000006</v>
      </c>
      <c r="C358" s="390"/>
      <c r="D358" s="393">
        <f t="shared" si="123"/>
        <v>10.085675645104359</v>
      </c>
      <c r="E358" s="385">
        <f t="shared" si="121"/>
        <v>10.947012163227472</v>
      </c>
      <c r="F358" s="385">
        <f t="shared" si="124"/>
        <v>11.203024909325297</v>
      </c>
      <c r="G358" s="110">
        <f t="shared" si="122"/>
        <v>0.93035243454918271</v>
      </c>
      <c r="H358" s="414" t="b">
        <f>Wh_hp&gt;='2018'!Maxi_hp</f>
        <v>1</v>
      </c>
      <c r="I358" s="390">
        <f>IF(H358,Wh_hp,'2018'!Maxi_hp)</f>
        <v>11.203024909325297</v>
      </c>
      <c r="J358" s="85">
        <f>IF(H358,An,'2018'!An_max)</f>
        <v>2019</v>
      </c>
      <c r="K358" s="197">
        <f t="shared" si="125"/>
        <v>43809</v>
      </c>
      <c r="L358" s="147">
        <f>IF(t&lt;Tvie,1-EXP((T0-t)*PertePVj)+'2018'!Pspv,1-EXP((T0-t)*PertePVj)+Pspv)</f>
        <v>1.3055708882356853E-2</v>
      </c>
      <c r="M358" s="850"/>
      <c r="N358" s="850"/>
      <c r="O358" s="48">
        <f>IF(t&lt;Tnet,'2018'!Resal+('2018'!Salim-'2018'!Resal)*(1-EXP(('2018'!Tnet-t)/('2018'!Tau_j))),Resal+(Salim-Resal)*(1-EXP((Tnet-t)/(Tau_j))))*Salcycl</f>
        <v>7.8682338639986249E-2</v>
      </c>
      <c r="P358" s="169">
        <f>(INDEX(Models!$BJ358:$BT358,,T358)*(1-R358)+INDEX(Models!$BJ358:$BT358,,T358+1)*R358-ERP_i)*Q358*Ramure*Pc/MaxiM</f>
        <v>2.5283932983845261E-2</v>
      </c>
      <c r="Q358" s="305">
        <f t="shared" si="126"/>
        <v>0.7</v>
      </c>
      <c r="R358" s="177">
        <f t="shared" si="127"/>
        <v>0.89991572904542205</v>
      </c>
      <c r="S358" s="817">
        <f t="shared" si="128"/>
        <v>-2</v>
      </c>
      <c r="T358" s="176">
        <f t="shared" si="129"/>
        <v>4</v>
      </c>
      <c r="U358" s="251">
        <f t="shared" si="130"/>
        <v>-1.1000842709545779</v>
      </c>
      <c r="V358" s="383">
        <f t="shared" si="131"/>
        <v>10.672544244206353</v>
      </c>
      <c r="W358" s="58"/>
      <c r="X358" s="157">
        <f t="shared" si="132"/>
        <v>43809</v>
      </c>
      <c r="Y358" s="385">
        <f t="shared" si="133"/>
        <v>9.9540000000000006</v>
      </c>
      <c r="Z358" s="385">
        <f t="shared" si="134"/>
        <v>10.085675645104359</v>
      </c>
      <c r="AA358" s="386">
        <f t="shared" si="135"/>
        <v>10.947012163227472</v>
      </c>
      <c r="AB358" s="197">
        <f t="shared" si="136"/>
        <v>43809</v>
      </c>
      <c r="AC358" s="427">
        <f>IF(OR(t&lt;Tnet,NoTnet),'2018'!Resal_s+('2018'!Salim-'2018'!Resal_s)*(1-EXP(('2018'!Tnet_s-t)/'2018'!Tau_j)),Resal_s+(Salim-Resal_s)*(1-EXP((Tnet_s-t)/Tau_j)))*Salcycl</f>
        <v>7.8682338639986249E-2</v>
      </c>
      <c r="AD358" s="231">
        <f>(INDEX(Models!$BJ358:$BT358,,AH358)*(1-AF358)+INDEX(Models!$BJ358:$BT358,,AH358+1)*AF358-ERP_i)*AE358*Ramure*Pc/MaxiM</f>
        <v>2.5283932983845261E-2</v>
      </c>
      <c r="AE358" s="305">
        <f t="shared" si="137"/>
        <v>0.7</v>
      </c>
      <c r="AF358" s="177">
        <f t="shared" si="138"/>
        <v>0.89991572904542205</v>
      </c>
      <c r="AG358" s="176">
        <f t="shared" si="139"/>
        <v>-2</v>
      </c>
      <c r="AH358" s="176">
        <f t="shared" si="140"/>
        <v>4</v>
      </c>
      <c r="AI358" s="225">
        <f t="shared" si="141"/>
        <v>-1.1000842709545779</v>
      </c>
      <c r="AJ358" s="265" t="b">
        <f t="shared" si="142"/>
        <v>0</v>
      </c>
      <c r="AK358" s="265" t="b">
        <f t="shared" si="143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4"/>
        <v>43810</v>
      </c>
      <c r="B359" s="617">
        <v>0.98299999999999998</v>
      </c>
      <c r="C359" s="390"/>
      <c r="D359" s="393">
        <f t="shared" si="123"/>
        <v>0.99602534767304807</v>
      </c>
      <c r="E359" s="385">
        <f t="shared" si="121"/>
        <v>1.0811681627134233</v>
      </c>
      <c r="F359" s="385">
        <f t="shared" si="124"/>
        <v>1.0811681627134233</v>
      </c>
      <c r="G359" s="110">
        <f t="shared" si="122"/>
        <v>9.0112172092177867E-2</v>
      </c>
      <c r="H359" s="414" t="b">
        <f>Wh_hp&gt;='2018'!Maxi_hp</f>
        <v>0</v>
      </c>
      <c r="I359" s="390">
        <f>IF(H359,Wh_hp,'2018'!Maxi_hp)</f>
        <v>8.7230563178868117</v>
      </c>
      <c r="J359" s="85">
        <f>IF(H359,An,'2018'!An_max)</f>
        <v>2018</v>
      </c>
      <c r="K359" s="197">
        <f t="shared" si="125"/>
        <v>43810</v>
      </c>
      <c r="L359" s="147">
        <f>IF(t&lt;Tvie,1-EXP((T0-t)*PertePVj)+'2018'!Pspv,1-EXP((T0-t)*PertePVj)+Pspv)</f>
        <v>1.3077325495258085E-2</v>
      </c>
      <c r="M359" s="850"/>
      <c r="N359" s="850"/>
      <c r="O359" s="48">
        <f>IF(t&lt;Tnet,'2018'!Resal+('2018'!Salim-'2018'!Resal)*(1-EXP(('2018'!Tnet-t)/('2018'!Tau_j))),Resal+(Salim-Resal)*(1-EXP((Tnet-t)/(Tau_j))))*Salcycl</f>
        <v>7.8750760498432493E-2</v>
      </c>
      <c r="P359" s="169">
        <f>(INDEX(Models!$BJ359:$BT359,,T359)*(1-R359)+INDEX(Models!$BJ359:$BT359,,T359+1)*R359-ERP_i)*Q359*Ramure*Pc/MaxiM</f>
        <v>2.5059734344973009E-2</v>
      </c>
      <c r="Q359" s="305">
        <f t="shared" si="126"/>
        <v>0.7</v>
      </c>
      <c r="R359" s="177">
        <f t="shared" si="127"/>
        <v>0.89992443661117738</v>
      </c>
      <c r="S359" s="817">
        <f t="shared" si="128"/>
        <v>-2</v>
      </c>
      <c r="T359" s="176">
        <f t="shared" si="129"/>
        <v>4</v>
      </c>
      <c r="U359" s="251">
        <f t="shared" si="130"/>
        <v>-1.1000755633888226</v>
      </c>
      <c r="V359" s="383">
        <f t="shared" si="131"/>
        <v>10.635258909956761</v>
      </c>
      <c r="W359" s="58"/>
      <c r="X359" s="157">
        <f t="shared" si="132"/>
        <v>43810</v>
      </c>
      <c r="Y359" s="385">
        <f t="shared" si="133"/>
        <v>0.9830000000000001</v>
      </c>
      <c r="Z359" s="385">
        <f t="shared" si="134"/>
        <v>0.99602534767304818</v>
      </c>
      <c r="AA359" s="386">
        <f t="shared" si="135"/>
        <v>1.0811681627134233</v>
      </c>
      <c r="AB359" s="197">
        <f t="shared" si="136"/>
        <v>43810</v>
      </c>
      <c r="AC359" s="427">
        <f>IF(OR(t&lt;Tnet,NoTnet),'2018'!Resal_s+('2018'!Salim-'2018'!Resal_s)*(1-EXP(('2018'!Tnet_s-t)/'2018'!Tau_j)),Resal_s+(Salim-Resal_s)*(1-EXP((Tnet_s-t)/Tau_j)))*Salcycl</f>
        <v>7.8750760498432493E-2</v>
      </c>
      <c r="AD359" s="231">
        <f>(INDEX(Models!$BJ359:$BT359,,AH359)*(1-AF359)+INDEX(Models!$BJ359:$BT359,,AH359+1)*AF359-ERP_i)*AE359*Ramure*Pc/MaxiM</f>
        <v>2.5059734344973009E-2</v>
      </c>
      <c r="AE359" s="305">
        <f t="shared" si="137"/>
        <v>0.7</v>
      </c>
      <c r="AF359" s="177">
        <f t="shared" si="138"/>
        <v>0.89992443661117738</v>
      </c>
      <c r="AG359" s="176">
        <f t="shared" si="139"/>
        <v>-2</v>
      </c>
      <c r="AH359" s="176">
        <f t="shared" si="140"/>
        <v>4</v>
      </c>
      <c r="AI359" s="225">
        <f t="shared" si="141"/>
        <v>-1.1000755633888226</v>
      </c>
      <c r="AJ359" s="265" t="b">
        <f t="shared" si="142"/>
        <v>0</v>
      </c>
      <c r="AK359" s="265" t="b">
        <f t="shared" si="143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4"/>
        <v>43811</v>
      </c>
      <c r="B360" s="617">
        <v>3.58</v>
      </c>
      <c r="C360" s="390"/>
      <c r="D360" s="393">
        <f t="shared" si="123"/>
        <v>3.6275166285968945</v>
      </c>
      <c r="E360" s="385">
        <f t="shared" si="121"/>
        <v>3.9379025036698723</v>
      </c>
      <c r="F360" s="385">
        <f t="shared" si="124"/>
        <v>3.9431184895142408</v>
      </c>
      <c r="G360" s="110">
        <f t="shared" si="122"/>
        <v>0.3293859870944853</v>
      </c>
      <c r="H360" s="414" t="b">
        <f>Wh_hp&gt;='2018'!Maxi_hp</f>
        <v>1</v>
      </c>
      <c r="I360" s="390">
        <f>IF(H360,Wh_hp,'2018'!Maxi_hp)</f>
        <v>3.9431184895142408</v>
      </c>
      <c r="J360" s="85">
        <f>IF(H360,An,'2018'!An_max)</f>
        <v>2019</v>
      </c>
      <c r="K360" s="197">
        <f t="shared" si="125"/>
        <v>43811</v>
      </c>
      <c r="L360" s="147">
        <f>IF(t&lt;Tvie,1-EXP((T0-t)*PertePVj)+'2018'!Pspv,1-EXP((T0-t)*PertePVj)+Pspv)</f>
        <v>1.3098941634700045E-2</v>
      </c>
      <c r="M360" s="850"/>
      <c r="N360" s="850"/>
      <c r="O360" s="48">
        <f>IF(t&lt;Tnet,'2018'!Resal+('2018'!Salim-'2018'!Resal)*(1-EXP(('2018'!Tnet-t)/('2018'!Tau_j))),Resal+(Salim-Resal)*(1-EXP((Tnet-t)/(Tau_j))))*Salcycl</f>
        <v>7.8820101509297941E-2</v>
      </c>
      <c r="P360" s="169">
        <f>(INDEX(Models!$BJ360:$BT360,,T360)*(1-R360)+INDEX(Models!$BJ360:$BT360,,T360+1)*R360-ERP_i)*Q360*Ramure*Pc/MaxiM</f>
        <v>2.4811671057135696E-2</v>
      </c>
      <c r="Q360" s="305">
        <f t="shared" si="126"/>
        <v>0.7</v>
      </c>
      <c r="R360" s="177">
        <f t="shared" si="127"/>
        <v>0.89993279394215886</v>
      </c>
      <c r="S360" s="817">
        <f t="shared" si="128"/>
        <v>-2</v>
      </c>
      <c r="T360" s="176">
        <f t="shared" si="129"/>
        <v>4</v>
      </c>
      <c r="U360" s="251">
        <f t="shared" si="130"/>
        <v>-1.1000672060578411</v>
      </c>
      <c r="V360" s="383">
        <f t="shared" si="131"/>
        <v>10.613075911753707</v>
      </c>
      <c r="W360" s="58"/>
      <c r="X360" s="157">
        <f t="shared" si="132"/>
        <v>43811</v>
      </c>
      <c r="Y360" s="385">
        <f t="shared" si="133"/>
        <v>3.58</v>
      </c>
      <c r="Z360" s="385">
        <f t="shared" si="134"/>
        <v>3.6275166285968945</v>
      </c>
      <c r="AA360" s="386">
        <f t="shared" si="135"/>
        <v>3.9379025036698723</v>
      </c>
      <c r="AB360" s="197">
        <f t="shared" si="136"/>
        <v>43811</v>
      </c>
      <c r="AC360" s="427">
        <f>IF(OR(t&lt;Tnet,NoTnet),'2018'!Resal_s+('2018'!Salim-'2018'!Resal_s)*(1-EXP(('2018'!Tnet_s-t)/'2018'!Tau_j)),Resal_s+(Salim-Resal_s)*(1-EXP((Tnet_s-t)/Tau_j)))*Salcycl</f>
        <v>7.8820101509297941E-2</v>
      </c>
      <c r="AD360" s="231">
        <f>(INDEX(Models!$BJ360:$BT360,,AH360)*(1-AF360)+INDEX(Models!$BJ360:$BT360,,AH360+1)*AF360-ERP_i)*AE360*Ramure*Pc/MaxiM</f>
        <v>2.4811671057135696E-2</v>
      </c>
      <c r="AE360" s="305">
        <f t="shared" si="137"/>
        <v>0.7</v>
      </c>
      <c r="AF360" s="177">
        <f t="shared" si="138"/>
        <v>0.89993279394215886</v>
      </c>
      <c r="AG360" s="176">
        <f t="shared" si="139"/>
        <v>-2</v>
      </c>
      <c r="AH360" s="176">
        <f t="shared" si="140"/>
        <v>4</v>
      </c>
      <c r="AI360" s="225">
        <f t="shared" si="141"/>
        <v>-1.1000672060578411</v>
      </c>
      <c r="AJ360" s="265" t="b">
        <f t="shared" si="142"/>
        <v>0</v>
      </c>
      <c r="AK360" s="265" t="b">
        <f t="shared" si="143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4"/>
        <v>43812</v>
      </c>
      <c r="B361" s="617">
        <v>0.97599999999999998</v>
      </c>
      <c r="C361" s="390"/>
      <c r="D361" s="393">
        <f t="shared" si="123"/>
        <v>0.98897591516391337</v>
      </c>
      <c r="E361" s="385">
        <f t="shared" ref="E361:E379" si="145">Wh_pvt/(1-Psa)</f>
        <v>1.0736787753644266</v>
      </c>
      <c r="F361" s="385">
        <f t="shared" si="124"/>
        <v>1.0736787753644266</v>
      </c>
      <c r="G361" s="110">
        <f t="shared" ref="G361:G379" si="146">+Wh_hp/MaxiM</f>
        <v>8.9773903628731722E-2</v>
      </c>
      <c r="H361" s="414" t="b">
        <f>Wh_hp&gt;='2018'!Maxi_hp</f>
        <v>1</v>
      </c>
      <c r="I361" s="390">
        <f>IF(H361,Wh_hp,'2018'!Maxi_hp)</f>
        <v>1.0736787753644266</v>
      </c>
      <c r="J361" s="85">
        <f>IF(H361,An,'2018'!An_max)</f>
        <v>2019</v>
      </c>
      <c r="K361" s="197">
        <f t="shared" si="125"/>
        <v>43812</v>
      </c>
      <c r="L361" s="147">
        <f>IF(t&lt;Tvie,1-EXP((T0-t)*PertePVj)+'2018'!Pspv,1-EXP((T0-t)*PertePVj)+Pspv)</f>
        <v>1.3120557300692948E-2</v>
      </c>
      <c r="M361" s="850"/>
      <c r="N361" s="850"/>
      <c r="O361" s="48">
        <f>IF(t&lt;Tnet,'2018'!Resal+('2018'!Salim-'2018'!Resal)*(1-EXP(('2018'!Tnet-t)/('2018'!Tau_j))),Resal+(Salim-Resal)*(1-EXP((Tnet-t)/(Tau_j))))*Salcycl</f>
        <v>7.8890318169662396E-2</v>
      </c>
      <c r="P361" s="169">
        <f>(INDEX(Models!$BJ361:$BT361,,T361)*(1-R361)+INDEX(Models!$BJ361:$BT361,,T361+1)*R361-ERP_i)*Q361*Ramure*Pc/MaxiM</f>
        <v>2.4558568539015578E-2</v>
      </c>
      <c r="Q361" s="305">
        <f t="shared" si="126"/>
        <v>0.7</v>
      </c>
      <c r="R361" s="177">
        <f t="shared" si="127"/>
        <v>0.89994081511167856</v>
      </c>
      <c r="S361" s="817">
        <f t="shared" si="128"/>
        <v>-2</v>
      </c>
      <c r="T361" s="176">
        <f t="shared" si="129"/>
        <v>4</v>
      </c>
      <c r="U361" s="251">
        <f t="shared" si="130"/>
        <v>-1.1000591848883214</v>
      </c>
      <c r="V361" s="383">
        <f t="shared" si="131"/>
        <v>10.604761502219313</v>
      </c>
      <c r="W361" s="58"/>
      <c r="X361" s="157">
        <f t="shared" si="132"/>
        <v>43812</v>
      </c>
      <c r="Y361" s="385">
        <f t="shared" si="133"/>
        <v>0.97600000000000009</v>
      </c>
      <c r="Z361" s="385">
        <f t="shared" si="134"/>
        <v>0.98897591516391348</v>
      </c>
      <c r="AA361" s="386">
        <f t="shared" si="135"/>
        <v>1.0736787753644266</v>
      </c>
      <c r="AB361" s="197">
        <f t="shared" si="136"/>
        <v>43812</v>
      </c>
      <c r="AC361" s="427">
        <f>IF(OR(t&lt;Tnet,NoTnet),'2018'!Resal_s+('2018'!Salim-'2018'!Resal_s)*(1-EXP(('2018'!Tnet_s-t)/'2018'!Tau_j)),Resal_s+(Salim-Resal_s)*(1-EXP((Tnet_s-t)/Tau_j)))*Salcycl</f>
        <v>7.8890318169662396E-2</v>
      </c>
      <c r="AD361" s="231">
        <f>(INDEX(Models!$BJ361:$BT361,,AH361)*(1-AF361)+INDEX(Models!$BJ361:$BT361,,AH361+1)*AF361-ERP_i)*AE361*Ramure*Pc/MaxiM</f>
        <v>2.4558568539015578E-2</v>
      </c>
      <c r="AE361" s="305">
        <f t="shared" si="137"/>
        <v>0.7</v>
      </c>
      <c r="AF361" s="177">
        <f t="shared" si="138"/>
        <v>0.89994081511167856</v>
      </c>
      <c r="AG361" s="176">
        <f t="shared" si="139"/>
        <v>-2</v>
      </c>
      <c r="AH361" s="176">
        <f t="shared" si="140"/>
        <v>4</v>
      </c>
      <c r="AI361" s="225">
        <f t="shared" si="141"/>
        <v>-1.1000591848883214</v>
      </c>
      <c r="AJ361" s="265" t="b">
        <f t="shared" si="142"/>
        <v>0</v>
      </c>
      <c r="AK361" s="265" t="b">
        <f t="shared" si="143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4"/>
        <v>43813</v>
      </c>
      <c r="B362" s="617">
        <v>9.1389999999999993</v>
      </c>
      <c r="C362" s="390"/>
      <c r="D362" s="393">
        <f t="shared" si="123"/>
        <v>9.2607057929400334</v>
      </c>
      <c r="E362" s="385">
        <f t="shared" si="145"/>
        <v>10.054633374696753</v>
      </c>
      <c r="F362" s="385">
        <f t="shared" si="124"/>
        <v>10.254515741380915</v>
      </c>
      <c r="G362" s="110">
        <f t="shared" si="146"/>
        <v>0.85719075738437922</v>
      </c>
      <c r="H362" s="414" t="b">
        <f>Wh_hp&gt;='2018'!Maxi_hp</f>
        <v>1</v>
      </c>
      <c r="I362" s="390">
        <f>IF(H362,Wh_hp,'2018'!Maxi_hp)</f>
        <v>10.254515741380915</v>
      </c>
      <c r="J362" s="85">
        <f>IF(H362,An,'2018'!An_max)</f>
        <v>2019</v>
      </c>
      <c r="K362" s="197">
        <f t="shared" si="125"/>
        <v>43813</v>
      </c>
      <c r="L362" s="147">
        <f>IF(t&lt;Tvie,1-EXP((T0-t)*PertePVj)+'2018'!Pspv,1-EXP((T0-t)*PertePVj)+Pspv)</f>
        <v>1.314217249324745E-2</v>
      </c>
      <c r="M362" s="850"/>
      <c r="N362" s="850"/>
      <c r="O362" s="48">
        <f>IF(t&lt;Tnet,'2018'!Resal+('2018'!Salim-'2018'!Resal)*(1-EXP(('2018'!Tnet-t)/('2018'!Tau_j))),Resal+(Salim-Resal)*(1-EXP((Tnet-t)/(Tau_j))))*Salcycl</f>
        <v>7.8961365588396046E-2</v>
      </c>
      <c r="P362" s="169">
        <f>(INDEX(Models!$BJ362:$BT362,,T362)*(1-R362)+INDEX(Models!$BJ362:$BT362,,T362+1)*R362-ERP_i)*Q362*Ramure*Pc/MaxiM</f>
        <v>2.4303629720925531E-2</v>
      </c>
      <c r="Q362" s="305">
        <f t="shared" si="126"/>
        <v>0.7</v>
      </c>
      <c r="R362" s="177">
        <f t="shared" si="127"/>
        <v>0.89994851362863537</v>
      </c>
      <c r="S362" s="817">
        <f t="shared" si="128"/>
        <v>-2</v>
      </c>
      <c r="T362" s="176">
        <f t="shared" si="129"/>
        <v>4</v>
      </c>
      <c r="U362" s="251">
        <f t="shared" si="130"/>
        <v>-1.1000514863713646</v>
      </c>
      <c r="V362" s="383">
        <f t="shared" si="131"/>
        <v>10.609252939844596</v>
      </c>
      <c r="W362" s="58"/>
      <c r="X362" s="157">
        <f t="shared" si="132"/>
        <v>43813</v>
      </c>
      <c r="Y362" s="385">
        <f t="shared" si="133"/>
        <v>9.1389999999999993</v>
      </c>
      <c r="Z362" s="385">
        <f t="shared" si="134"/>
        <v>9.2607057929400334</v>
      </c>
      <c r="AA362" s="386">
        <f t="shared" si="135"/>
        <v>10.054633374696753</v>
      </c>
      <c r="AB362" s="197">
        <f t="shared" si="136"/>
        <v>43813</v>
      </c>
      <c r="AC362" s="427">
        <f>IF(OR(t&lt;Tnet,NoTnet),'2018'!Resal_s+('2018'!Salim-'2018'!Resal_s)*(1-EXP(('2018'!Tnet_s-t)/'2018'!Tau_j)),Resal_s+(Salim-Resal_s)*(1-EXP((Tnet_s-t)/Tau_j)))*Salcycl</f>
        <v>7.8961365588396046E-2</v>
      </c>
      <c r="AD362" s="231">
        <f>(INDEX(Models!$BJ362:$BT362,,AH362)*(1-AF362)+INDEX(Models!$BJ362:$BT362,,AH362+1)*AF362-ERP_i)*AE362*Ramure*Pc/MaxiM</f>
        <v>2.4303629720925531E-2</v>
      </c>
      <c r="AE362" s="305">
        <f t="shared" si="137"/>
        <v>0.7</v>
      </c>
      <c r="AF362" s="177">
        <f t="shared" si="138"/>
        <v>0.89994851362863537</v>
      </c>
      <c r="AG362" s="176">
        <f t="shared" si="139"/>
        <v>-2</v>
      </c>
      <c r="AH362" s="176">
        <f t="shared" si="140"/>
        <v>4</v>
      </c>
      <c r="AI362" s="225">
        <f t="shared" si="141"/>
        <v>-1.1000514863713646</v>
      </c>
      <c r="AJ362" s="265" t="b">
        <f t="shared" si="142"/>
        <v>0</v>
      </c>
      <c r="AK362" s="265" t="b">
        <f t="shared" si="143"/>
        <v>0</v>
      </c>
      <c r="AL362" s="265"/>
      <c r="AM362" s="265"/>
      <c r="AN362" s="75"/>
    </row>
    <row r="363" spans="1:40" s="6" customFormat="1" ht="11.25" x14ac:dyDescent="0.2">
      <c r="A363" s="56">
        <f t="shared" si="144"/>
        <v>43814</v>
      </c>
      <c r="B363" s="617">
        <v>9.9440000000000008</v>
      </c>
      <c r="C363" s="390"/>
      <c r="D363" s="393">
        <f t="shared" si="123"/>
        <v>10.076646834746846</v>
      </c>
      <c r="E363" s="385">
        <f t="shared" si="145"/>
        <v>10.941379006012703</v>
      </c>
      <c r="F363" s="385">
        <f t="shared" si="124"/>
        <v>11.185747568880981</v>
      </c>
      <c r="G363" s="110">
        <f t="shared" si="146"/>
        <v>0.93375462905579754</v>
      </c>
      <c r="H363" s="414" t="b">
        <f>Wh_hp&gt;='2018'!Maxi_hp</f>
        <v>1</v>
      </c>
      <c r="I363" s="390">
        <f>IF(H363,Wh_hp,'2018'!Maxi_hp)</f>
        <v>11.185747568880981</v>
      </c>
      <c r="J363" s="85">
        <f>IF(H363,An,'2018'!An_max)</f>
        <v>2019</v>
      </c>
      <c r="K363" s="197">
        <f t="shared" si="125"/>
        <v>43814</v>
      </c>
      <c r="L363" s="147">
        <f>IF(t&lt;Tvie,1-EXP((T0-t)*PertePVj)+'2018'!Pspv,1-EXP((T0-t)*PertePVj)+Pspv)</f>
        <v>1.3163787212373657E-2</v>
      </c>
      <c r="M363" s="850"/>
      <c r="N363" s="850"/>
      <c r="O363" s="48">
        <f>IF(t&lt;Tnet,'2018'!Resal+('2018'!Salim-'2018'!Resal)*(1-EXP(('2018'!Tnet-t)/('2018'!Tau_j))),Resal+(Salim-Resal)*(1-EXP((Tnet-t)/(Tau_j))))*Salcycl</f>
        <v>7.9033197807209923E-2</v>
      </c>
      <c r="P363" s="169">
        <f>(INDEX(Models!$BJ363:$BT363,,T363)*(1-R363)+INDEX(Models!$BJ363:$BT363,,T363+1)*R363-ERP_i)*Q363*Ramure*Pc/MaxiM</f>
        <v>2.4049987683874733E-2</v>
      </c>
      <c r="Q363" s="305">
        <f t="shared" si="126"/>
        <v>0.7</v>
      </c>
      <c r="R363" s="177">
        <f t="shared" si="127"/>
        <v>0.89995590246006518</v>
      </c>
      <c r="S363" s="817">
        <f t="shared" si="128"/>
        <v>-2</v>
      </c>
      <c r="T363" s="176">
        <f t="shared" si="129"/>
        <v>4</v>
      </c>
      <c r="U363" s="251">
        <f t="shared" si="130"/>
        <v>-1.1000440975399348</v>
      </c>
      <c r="V363" s="383">
        <f t="shared" si="131"/>
        <v>10.625487723574212</v>
      </c>
      <c r="W363" s="58"/>
      <c r="X363" s="157">
        <f t="shared" si="132"/>
        <v>43814</v>
      </c>
      <c r="Y363" s="385">
        <f t="shared" si="133"/>
        <v>9.9440000000000008</v>
      </c>
      <c r="Z363" s="385">
        <f t="shared" si="134"/>
        <v>10.076646834746846</v>
      </c>
      <c r="AA363" s="386">
        <f t="shared" si="135"/>
        <v>10.941379006012703</v>
      </c>
      <c r="AB363" s="197">
        <f t="shared" si="136"/>
        <v>43814</v>
      </c>
      <c r="AC363" s="427">
        <f>IF(OR(t&lt;Tnet,NoTnet),'2018'!Resal_s+('2018'!Salim-'2018'!Resal_s)*(1-EXP(('2018'!Tnet_s-t)/'2018'!Tau_j)),Resal_s+(Salim-Resal_s)*(1-EXP((Tnet_s-t)/Tau_j)))*Salcycl</f>
        <v>7.9033197807209923E-2</v>
      </c>
      <c r="AD363" s="231">
        <f>(INDEX(Models!$BJ363:$BT363,,AH363)*(1-AF363)+INDEX(Models!$BJ363:$BT363,,AH363+1)*AF363-ERP_i)*AE363*Ramure*Pc/MaxiM</f>
        <v>2.4049987683874733E-2</v>
      </c>
      <c r="AE363" s="305">
        <f t="shared" si="137"/>
        <v>0.7</v>
      </c>
      <c r="AF363" s="177">
        <f t="shared" si="138"/>
        <v>0.89995590246006518</v>
      </c>
      <c r="AG363" s="176">
        <f t="shared" si="139"/>
        <v>-2</v>
      </c>
      <c r="AH363" s="176">
        <f t="shared" si="140"/>
        <v>4</v>
      </c>
      <c r="AI363" s="225">
        <f t="shared" si="141"/>
        <v>-1.1000440975399348</v>
      </c>
      <c r="AJ363" s="265" t="b">
        <f t="shared" si="142"/>
        <v>0</v>
      </c>
      <c r="AK363" s="265" t="b">
        <f t="shared" si="14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4"/>
        <v>43815</v>
      </c>
      <c r="B364" s="617">
        <v>7.8840000000000003</v>
      </c>
      <c r="C364" s="390"/>
      <c r="D364" s="393">
        <f t="shared" si="123"/>
        <v>7.9893426907639169</v>
      </c>
      <c r="E364" s="385">
        <f t="shared" si="145"/>
        <v>8.6756355009922963</v>
      </c>
      <c r="F364" s="385">
        <f t="shared" si="124"/>
        <v>8.8074327359908793</v>
      </c>
      <c r="G364" s="110">
        <f t="shared" si="146"/>
        <v>0.73347538875971141</v>
      </c>
      <c r="H364" s="414" t="b">
        <f>Wh_hp&gt;='2018'!Maxi_hp</f>
        <v>1</v>
      </c>
      <c r="I364" s="390">
        <f>IF(H364,Wh_hp,'2018'!Maxi_hp)</f>
        <v>8.8074327359908793</v>
      </c>
      <c r="J364" s="85">
        <f>IF(H364,An,'2018'!An_max)</f>
        <v>2019</v>
      </c>
      <c r="K364" s="197">
        <f t="shared" si="125"/>
        <v>43815</v>
      </c>
      <c r="L364" s="147">
        <f>IF(t&lt;Tvie,1-EXP((T0-t)*PertePVj)+'2018'!Pspv,1-EXP((T0-t)*PertePVj)+Pspv)</f>
        <v>1.3185401458082113E-2</v>
      </c>
      <c r="M364" s="850"/>
      <c r="N364" s="850"/>
      <c r="O364" s="48">
        <f>IF(t&lt;Tnet,'2018'!Resal+('2018'!Salim-'2018'!Resal)*(1-EXP(('2018'!Tnet-t)/('2018'!Tau_j))),Resal+(Salim-Resal)*(1-EXP((Tnet-t)/(Tau_j))))*Salcycl</f>
        <v>7.9105768119221043E-2</v>
      </c>
      <c r="P364" s="169">
        <f>(INDEX(Models!$BJ364:$BT364,,T364)*(1-R364)+INDEX(Models!$BJ364:$BT364,,T364+1)*R364-ERP_i)*Q364*Ramure*Pc/MaxiM</f>
        <v>2.3800669618948948E-2</v>
      </c>
      <c r="Q364" s="305">
        <f t="shared" si="126"/>
        <v>0.7</v>
      </c>
      <c r="R364" s="177">
        <f t="shared" si="127"/>
        <v>0.89996299405279689</v>
      </c>
      <c r="S364" s="817">
        <f t="shared" si="128"/>
        <v>-2</v>
      </c>
      <c r="T364" s="176">
        <f t="shared" si="129"/>
        <v>4</v>
      </c>
      <c r="U364" s="251">
        <f t="shared" si="130"/>
        <v>-1.1000370059472031</v>
      </c>
      <c r="V364" s="383">
        <f t="shared" si="131"/>
        <v>10.652403604585119</v>
      </c>
      <c r="W364" s="58"/>
      <c r="X364" s="157">
        <f t="shared" si="132"/>
        <v>43815</v>
      </c>
      <c r="Y364" s="385">
        <f t="shared" si="133"/>
        <v>7.8840000000000003</v>
      </c>
      <c r="Z364" s="385">
        <f t="shared" si="134"/>
        <v>7.9893426907639169</v>
      </c>
      <c r="AA364" s="386">
        <f t="shared" si="135"/>
        <v>8.6756355009922963</v>
      </c>
      <c r="AB364" s="197">
        <f t="shared" si="136"/>
        <v>43815</v>
      </c>
      <c r="AC364" s="427">
        <f>IF(OR(t&lt;Tnet,NoTnet),'2018'!Resal_s+('2018'!Salim-'2018'!Resal_s)*(1-EXP(('2018'!Tnet_s-t)/'2018'!Tau_j)),Resal_s+(Salim-Resal_s)*(1-EXP((Tnet_s-t)/Tau_j)))*Salcycl</f>
        <v>7.9105768119221043E-2</v>
      </c>
      <c r="AD364" s="231">
        <f>(INDEX(Models!$BJ364:$BT364,,AH364)*(1-AF364)+INDEX(Models!$BJ364:$BT364,,AH364+1)*AF364-ERP_i)*AE364*Ramure*Pc/MaxiM</f>
        <v>2.3800669618948948E-2</v>
      </c>
      <c r="AE364" s="305">
        <f t="shared" si="137"/>
        <v>0.7</v>
      </c>
      <c r="AF364" s="177">
        <f t="shared" si="138"/>
        <v>0.89996299405279689</v>
      </c>
      <c r="AG364" s="176">
        <f t="shared" si="139"/>
        <v>-2</v>
      </c>
      <c r="AH364" s="176">
        <f t="shared" si="140"/>
        <v>4</v>
      </c>
      <c r="AI364" s="225">
        <f t="shared" si="141"/>
        <v>-1.1000370059472031</v>
      </c>
      <c r="AJ364" s="265" t="b">
        <f t="shared" si="142"/>
        <v>0</v>
      </c>
      <c r="AK364" s="265" t="b">
        <f t="shared" si="14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4"/>
        <v>43816</v>
      </c>
      <c r="B365" s="617">
        <v>5.8230000000000004</v>
      </c>
      <c r="C365" s="390"/>
      <c r="D365" s="393">
        <f t="shared" si="123"/>
        <v>5.9009337215337778</v>
      </c>
      <c r="E365" s="385">
        <f t="shared" si="145"/>
        <v>6.4083398508803855</v>
      </c>
      <c r="F365" s="385">
        <f t="shared" si="124"/>
        <v>6.4615684240190179</v>
      </c>
      <c r="G365" s="110">
        <f t="shared" si="146"/>
        <v>0.53635312940346402</v>
      </c>
      <c r="H365" s="414" t="b">
        <f>Wh_hp&gt;='2018'!Maxi_hp</f>
        <v>0</v>
      </c>
      <c r="I365" s="390">
        <f>IF(H365,Wh_hp,'2018'!Maxi_hp)</f>
        <v>12.021783785395716</v>
      </c>
      <c r="J365" s="85">
        <f>IF(H365,An,'2018'!An_max)</f>
        <v>2018</v>
      </c>
      <c r="K365" s="197">
        <f t="shared" si="125"/>
        <v>43816</v>
      </c>
      <c r="L365" s="147">
        <f>IF(t&lt;Tvie,1-EXP((T0-t)*PertePVj)+'2018'!Pspv,1-EXP((T0-t)*PertePVj)+Pspv)</f>
        <v>1.3207015230383035E-2</v>
      </c>
      <c r="M365" s="850"/>
      <c r="N365" s="850"/>
      <c r="O365" s="48">
        <f>IF(t&lt;Tnet,'2018'!Resal+('2018'!Salim-'2018'!Resal)*(1-EXP(('2018'!Tnet-t)/('2018'!Tau_j))),Resal+(Salim-Resal)*(1-EXP((Tnet-t)/(Tau_j))))*Salcycl</f>
        <v>7.9179029382609775E-2</v>
      </c>
      <c r="P365" s="169">
        <f>(INDEX(Models!$BJ365:$BT365,,T365)*(1-R365)+INDEX(Models!$BJ365:$BT365,,T365+1)*R365-ERP_i)*Q365*Ramure*Pc/MaxiM</f>
        <v>2.355856860982343E-2</v>
      </c>
      <c r="Q365" s="305">
        <f t="shared" si="126"/>
        <v>0.7</v>
      </c>
      <c r="R365" s="177">
        <f t="shared" si="127"/>
        <v>0.89996980035424889</v>
      </c>
      <c r="S365" s="817">
        <f t="shared" si="128"/>
        <v>-2</v>
      </c>
      <c r="T365" s="176">
        <f t="shared" si="129"/>
        <v>4</v>
      </c>
      <c r="U365" s="251">
        <f t="shared" si="130"/>
        <v>-1.1000301996457511</v>
      </c>
      <c r="V365" s="383">
        <f t="shared" si="131"/>
        <v>10.688938591725574</v>
      </c>
      <c r="W365" s="58"/>
      <c r="X365" s="157">
        <f t="shared" si="132"/>
        <v>43816</v>
      </c>
      <c r="Y365" s="385">
        <f t="shared" si="133"/>
        <v>5.8230000000000004</v>
      </c>
      <c r="Z365" s="385">
        <f t="shared" si="134"/>
        <v>5.9009337215337778</v>
      </c>
      <c r="AA365" s="386">
        <f t="shared" si="135"/>
        <v>6.4083398508803855</v>
      </c>
      <c r="AB365" s="197">
        <f t="shared" si="136"/>
        <v>43816</v>
      </c>
      <c r="AC365" s="427">
        <f>IF(OR(t&lt;Tnet,NoTnet),'2018'!Resal_s+('2018'!Salim-'2018'!Resal_s)*(1-EXP(('2018'!Tnet_s-t)/'2018'!Tau_j)),Resal_s+(Salim-Resal_s)*(1-EXP((Tnet_s-t)/Tau_j)))*Salcycl</f>
        <v>7.9179029382609775E-2</v>
      </c>
      <c r="AD365" s="231">
        <f>(INDEX(Models!$BJ365:$BT365,,AH365)*(1-AF365)+INDEX(Models!$BJ365:$BT365,,AH365+1)*AF365-ERP_i)*AE365*Ramure*Pc/MaxiM</f>
        <v>2.355856860982343E-2</v>
      </c>
      <c r="AE365" s="305">
        <f t="shared" si="137"/>
        <v>0.7</v>
      </c>
      <c r="AF365" s="177">
        <f t="shared" si="138"/>
        <v>0.89996980035424889</v>
      </c>
      <c r="AG365" s="176">
        <f t="shared" si="139"/>
        <v>-2</v>
      </c>
      <c r="AH365" s="176">
        <f t="shared" si="140"/>
        <v>4</v>
      </c>
      <c r="AI365" s="225">
        <f t="shared" si="141"/>
        <v>-1.1000301996457511</v>
      </c>
      <c r="AJ365" s="265" t="b">
        <f t="shared" si="142"/>
        <v>0</v>
      </c>
      <c r="AK365" s="265" t="b">
        <f t="shared" si="14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4"/>
        <v>43817</v>
      </c>
      <c r="B366" s="617">
        <v>8.3480000000000008</v>
      </c>
      <c r="C366" s="390"/>
      <c r="D366" s="393">
        <f t="shared" si="123"/>
        <v>8.4599130470900228</v>
      </c>
      <c r="E366" s="385">
        <f t="shared" si="145"/>
        <v>9.1880966689876491</v>
      </c>
      <c r="F366" s="385">
        <f t="shared" si="124"/>
        <v>9.3368224728379356</v>
      </c>
      <c r="G366" s="110">
        <f t="shared" si="146"/>
        <v>0.77186719005197058</v>
      </c>
      <c r="H366" s="414" t="b">
        <f>Wh_hp&gt;='2018'!Maxi_hp</f>
        <v>1</v>
      </c>
      <c r="I366" s="390">
        <f>IF(H366,Wh_hp,'2018'!Maxi_hp)</f>
        <v>9.3368224728379356</v>
      </c>
      <c r="J366" s="85">
        <f>IF(H366,An,'2018'!An_max)</f>
        <v>2019</v>
      </c>
      <c r="K366" s="197">
        <f t="shared" si="125"/>
        <v>43817</v>
      </c>
      <c r="L366" s="147">
        <f>IF(t&lt;Tvie,1-EXP((T0-t)*PertePVj)+'2018'!Pspv,1-EXP((T0-t)*PertePVj)+Pspv)</f>
        <v>1.3228628529286968E-2</v>
      </c>
      <c r="M366" s="850"/>
      <c r="N366" s="850"/>
      <c r="O366" s="48">
        <f>IF(t&lt;Tnet,'2018'!Resal+('2018'!Salim-'2018'!Resal)*(1-EXP(('2018'!Tnet-t)/('2018'!Tau_j))),Resal+(Salim-Resal)*(1-EXP((Tnet-t)/(Tau_j))))*Salcycl</f>
        <v>7.9252934327024002E-2</v>
      </c>
      <c r="P366" s="169">
        <f>(INDEX(Models!$BJ366:$BT366,,T366)*(1-R366)+INDEX(Models!$BJ366:$BT366,,T366+1)*R366-ERP_i)*Q366*Ramure*Pc/MaxiM</f>
        <v>2.3340369131359156E-2</v>
      </c>
      <c r="Q366" s="305">
        <f t="shared" si="126"/>
        <v>0.7</v>
      </c>
      <c r="R366" s="177">
        <f t="shared" si="127"/>
        <v>0.89997633283240042</v>
      </c>
      <c r="S366" s="817">
        <f t="shared" si="128"/>
        <v>-2</v>
      </c>
      <c r="T366" s="176">
        <f t="shared" si="129"/>
        <v>4</v>
      </c>
      <c r="U366" s="251">
        <f t="shared" si="130"/>
        <v>-1.1000236671675996</v>
      </c>
      <c r="V366" s="383">
        <f t="shared" si="131"/>
        <v>10.733877690034637</v>
      </c>
      <c r="W366" s="58"/>
      <c r="X366" s="157">
        <f t="shared" si="132"/>
        <v>43817</v>
      </c>
      <c r="Y366" s="385">
        <f t="shared" si="133"/>
        <v>8.3480000000000008</v>
      </c>
      <c r="Z366" s="385">
        <f t="shared" si="134"/>
        <v>8.4599130470900228</v>
      </c>
      <c r="AA366" s="386">
        <f t="shared" si="135"/>
        <v>9.1880966689876491</v>
      </c>
      <c r="AB366" s="197">
        <f t="shared" si="136"/>
        <v>43817</v>
      </c>
      <c r="AC366" s="427">
        <f>IF(OR(t&lt;Tnet,NoTnet),'2018'!Resal_s+('2018'!Salim-'2018'!Resal_s)*(1-EXP(('2018'!Tnet_s-t)/'2018'!Tau_j)),Resal_s+(Salim-Resal_s)*(1-EXP((Tnet_s-t)/Tau_j)))*Salcycl</f>
        <v>7.9252934327024002E-2</v>
      </c>
      <c r="AD366" s="231">
        <f>(INDEX(Models!$BJ366:$BT366,,AH366)*(1-AF366)+INDEX(Models!$BJ366:$BT366,,AH366+1)*AF366-ERP_i)*AE366*Ramure*Pc/MaxiM</f>
        <v>2.3340369131359156E-2</v>
      </c>
      <c r="AE366" s="305">
        <f t="shared" si="137"/>
        <v>0.7</v>
      </c>
      <c r="AF366" s="177">
        <f t="shared" si="138"/>
        <v>0.89997633283240042</v>
      </c>
      <c r="AG366" s="176">
        <f t="shared" si="139"/>
        <v>-2</v>
      </c>
      <c r="AH366" s="176">
        <f t="shared" si="140"/>
        <v>4</v>
      </c>
      <c r="AI366" s="225">
        <f t="shared" si="141"/>
        <v>-1.1000236671675996</v>
      </c>
      <c r="AJ366" s="265" t="b">
        <f t="shared" si="142"/>
        <v>0</v>
      </c>
      <c r="AK366" s="265" t="b">
        <f t="shared" si="14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4"/>
        <v>43818</v>
      </c>
      <c r="B367" s="617">
        <v>5.9619999999999997</v>
      </c>
      <c r="C367" s="390"/>
      <c r="D367" s="393">
        <f t="shared" si="123"/>
        <v>6.0420587365390448</v>
      </c>
      <c r="E367" s="385">
        <f t="shared" si="145"/>
        <v>6.5626575308241755</v>
      </c>
      <c r="F367" s="385">
        <f t="shared" si="124"/>
        <v>6.6179421395192168</v>
      </c>
      <c r="G367" s="110">
        <f t="shared" si="146"/>
        <v>0.5444988046734861</v>
      </c>
      <c r="H367" s="414" t="b">
        <f>Wh_hp&gt;='2018'!Maxi_hp</f>
        <v>0</v>
      </c>
      <c r="I367" s="390">
        <f>IF(H367,Wh_hp,'2018'!Maxi_hp)</f>
        <v>11.853484514263302</v>
      </c>
      <c r="J367" s="85">
        <f>IF(H367,An,'2018'!An_max)</f>
        <v>2018</v>
      </c>
      <c r="K367" s="197">
        <f t="shared" si="125"/>
        <v>43818</v>
      </c>
      <c r="L367" s="147">
        <f>IF(t&lt;Tvie,1-EXP((T0-t)*PertePVj)+'2018'!Pspv,1-EXP((T0-t)*PertePVj)+Pspv)</f>
        <v>1.3250241354804126E-2</v>
      </c>
      <c r="M367" s="850"/>
      <c r="N367" s="850"/>
      <c r="O367" s="48">
        <f>IF(t&lt;Tnet,'2018'!Resal+('2018'!Salim-'2018'!Resal)*(1-EXP(('2018'!Tnet-t)/('2018'!Tau_j))),Resal+(Salim-Resal)*(1-EXP((Tnet-t)/(Tau_j))))*Salcycl</f>
        <v>7.9327435850481021E-2</v>
      </c>
      <c r="P367" s="169">
        <f>(INDEX(Models!$BJ367:$BT367,,T367)*(1-R367)+INDEX(Models!$BJ367:$BT367,,T367+1)*R367-ERP_i)*Q367*Ramure*Pc/MaxiM</f>
        <v>2.3137007182481809E-2</v>
      </c>
      <c r="Q367" s="305">
        <f t="shared" si="126"/>
        <v>0.7</v>
      </c>
      <c r="R367" s="177">
        <f t="shared" si="127"/>
        <v>0.8999826024949682</v>
      </c>
      <c r="S367" s="817">
        <f t="shared" si="128"/>
        <v>-2</v>
      </c>
      <c r="T367" s="176">
        <f t="shared" si="129"/>
        <v>4</v>
      </c>
      <c r="U367" s="251">
        <f t="shared" si="130"/>
        <v>-1.1000173975050318</v>
      </c>
      <c r="V367" s="383">
        <f t="shared" si="131"/>
        <v>10.786285780601075</v>
      </c>
      <c r="W367" s="58"/>
      <c r="X367" s="157">
        <f t="shared" si="132"/>
        <v>43818</v>
      </c>
      <c r="Y367" s="385">
        <f t="shared" si="133"/>
        <v>5.9619999999999997</v>
      </c>
      <c r="Z367" s="385">
        <f t="shared" si="134"/>
        <v>6.0420587365390448</v>
      </c>
      <c r="AA367" s="386">
        <f t="shared" si="135"/>
        <v>6.5626575308241755</v>
      </c>
      <c r="AB367" s="197">
        <f t="shared" si="136"/>
        <v>43818</v>
      </c>
      <c r="AC367" s="427">
        <f>IF(OR(t&lt;Tnet,NoTnet),'2018'!Resal_s+('2018'!Salim-'2018'!Resal_s)*(1-EXP(('2018'!Tnet_s-t)/'2018'!Tau_j)),Resal_s+(Salim-Resal_s)*(1-EXP((Tnet_s-t)/Tau_j)))*Salcycl</f>
        <v>7.9327435850481021E-2</v>
      </c>
      <c r="AD367" s="231">
        <f>(INDEX(Models!$BJ367:$BT367,,AH367)*(1-AF367)+INDEX(Models!$BJ367:$BT367,,AH367+1)*AF367-ERP_i)*AE367*Ramure*Pc/MaxiM</f>
        <v>2.3137007182481809E-2</v>
      </c>
      <c r="AE367" s="305">
        <f t="shared" si="137"/>
        <v>0.7</v>
      </c>
      <c r="AF367" s="177">
        <f t="shared" si="138"/>
        <v>0.8999826024949682</v>
      </c>
      <c r="AG367" s="176">
        <f t="shared" si="139"/>
        <v>-2</v>
      </c>
      <c r="AH367" s="176">
        <f t="shared" si="140"/>
        <v>4</v>
      </c>
      <c r="AI367" s="225">
        <f t="shared" si="141"/>
        <v>-1.1000173975050318</v>
      </c>
      <c r="AJ367" s="265" t="b">
        <f t="shared" si="142"/>
        <v>0</v>
      </c>
      <c r="AK367" s="265" t="b">
        <f t="shared" si="14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4"/>
        <v>43819</v>
      </c>
      <c r="B368" s="617">
        <v>4.4669999999999996</v>
      </c>
      <c r="C368" s="390"/>
      <c r="D368" s="393">
        <f t="shared" si="123"/>
        <v>4.5270827803804385</v>
      </c>
      <c r="E368" s="385">
        <f t="shared" si="145"/>
        <v>4.9175483508812121</v>
      </c>
      <c r="F368" s="385">
        <f t="shared" si="124"/>
        <v>4.9356550887225605</v>
      </c>
      <c r="G368" s="110">
        <f t="shared" si="146"/>
        <v>0.40391958555412633</v>
      </c>
      <c r="H368" s="414" t="b">
        <f>Wh_hp&gt;='2018'!Maxi_hp</f>
        <v>0</v>
      </c>
      <c r="I368" s="390">
        <f>IF(H368,Wh_hp,'2018'!Maxi_hp)</f>
        <v>9.2439921132216334</v>
      </c>
      <c r="J368" s="85">
        <f>IF(H368,An,'2018'!An_max)</f>
        <v>2018</v>
      </c>
      <c r="K368" s="197">
        <f t="shared" si="125"/>
        <v>43819</v>
      </c>
      <c r="L368" s="147">
        <f>IF(t&lt;Tvie,1-EXP((T0-t)*PertePVj)+'2018'!Pspv,1-EXP((T0-t)*PertePVj)+Pspv)</f>
        <v>1.3271853706944947E-2</v>
      </c>
      <c r="M368" s="850"/>
      <c r="N368" s="850"/>
      <c r="O368" s="48">
        <f>IF(t&lt;Tnet,'2018'!Resal+('2018'!Salim-'2018'!Resal)*(1-EXP(('2018'!Tnet-t)/('2018'!Tau_j))),Resal+(Salim-Resal)*(1-EXP((Tnet-t)/(Tau_j))))*Salcycl</f>
        <v>7.9402487304634936E-2</v>
      </c>
      <c r="P368" s="169">
        <f>(INDEX(Models!$BJ368:$BT368,,T368)*(1-R368)+INDEX(Models!$BJ368:$BT368,,T368+1)*R368-ERP_i)*Q368*Ramure*Pc/MaxiM</f>
        <v>2.2950820591634107E-2</v>
      </c>
      <c r="Q368" s="305">
        <f t="shared" si="126"/>
        <v>0.7</v>
      </c>
      <c r="R368" s="177">
        <f t="shared" si="127"/>
        <v>0.89998861990782331</v>
      </c>
      <c r="S368" s="817">
        <f t="shared" si="128"/>
        <v>-2</v>
      </c>
      <c r="T368" s="176">
        <f t="shared" si="129"/>
        <v>4</v>
      </c>
      <c r="U368" s="251">
        <f t="shared" si="130"/>
        <v>-1.1000113800921767</v>
      </c>
      <c r="V368" s="383">
        <f t="shared" si="131"/>
        <v>10.845101698165342</v>
      </c>
      <c r="W368" s="58"/>
      <c r="X368" s="157">
        <f t="shared" si="132"/>
        <v>43819</v>
      </c>
      <c r="Y368" s="385">
        <f t="shared" si="133"/>
        <v>4.4669999999999996</v>
      </c>
      <c r="Z368" s="385">
        <f t="shared" si="134"/>
        <v>4.5270827803804385</v>
      </c>
      <c r="AA368" s="386">
        <f t="shared" si="135"/>
        <v>4.9175483508812121</v>
      </c>
      <c r="AB368" s="197">
        <f t="shared" si="136"/>
        <v>43819</v>
      </c>
      <c r="AC368" s="427">
        <f>IF(OR(t&lt;Tnet,NoTnet),'2018'!Resal_s+('2018'!Salim-'2018'!Resal_s)*(1-EXP(('2018'!Tnet_s-t)/'2018'!Tau_j)),Resal_s+(Salim-Resal_s)*(1-EXP((Tnet_s-t)/Tau_j)))*Salcycl</f>
        <v>7.9402487304634936E-2</v>
      </c>
      <c r="AD368" s="231">
        <f>(INDEX(Models!$BJ368:$BT368,,AH368)*(1-AF368)+INDEX(Models!$BJ368:$BT368,,AH368+1)*AF368-ERP_i)*AE368*Ramure*Pc/MaxiM</f>
        <v>2.2950820591634107E-2</v>
      </c>
      <c r="AE368" s="305">
        <f t="shared" si="137"/>
        <v>0.7</v>
      </c>
      <c r="AF368" s="177">
        <f t="shared" si="138"/>
        <v>0.89998861990782331</v>
      </c>
      <c r="AG368" s="176">
        <f t="shared" si="139"/>
        <v>-2</v>
      </c>
      <c r="AH368" s="176">
        <f t="shared" si="140"/>
        <v>4</v>
      </c>
      <c r="AI368" s="225">
        <f t="shared" si="141"/>
        <v>-1.1000113800921767</v>
      </c>
      <c r="AJ368" s="265" t="b">
        <f t="shared" si="142"/>
        <v>0</v>
      </c>
      <c r="AK368" s="265" t="b">
        <f t="shared" si="14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4"/>
        <v>43820</v>
      </c>
      <c r="B369" s="617">
        <v>9.6660000000000004</v>
      </c>
      <c r="C369" s="390"/>
      <c r="D369" s="393">
        <f t="shared" si="123"/>
        <v>9.7962257904148213</v>
      </c>
      <c r="E369" s="385">
        <f t="shared" si="145"/>
        <v>10.642033808574276</v>
      </c>
      <c r="F369" s="385">
        <f t="shared" si="124"/>
        <v>10.848973775920339</v>
      </c>
      <c r="G369" s="110">
        <f t="shared" si="146"/>
        <v>0.88268535587793207</v>
      </c>
      <c r="H369" s="414" t="b">
        <f>Wh_hp&gt;='2018'!Maxi_hp</f>
        <v>1</v>
      </c>
      <c r="I369" s="390">
        <f>IF(H369,Wh_hp,'2018'!Maxi_hp)</f>
        <v>10.848973775920339</v>
      </c>
      <c r="J369" s="85">
        <f>IF(H369,An,'2018'!An_max)</f>
        <v>2019</v>
      </c>
      <c r="K369" s="197">
        <f t="shared" si="125"/>
        <v>43820</v>
      </c>
      <c r="L369" s="147">
        <f>IF(t&lt;Tvie,1-EXP((T0-t)*PertePVj)+'2018'!Pspv,1-EXP((T0-t)*PertePVj)+Pspv)</f>
        <v>1.3293465585719866E-2</v>
      </c>
      <c r="M369" s="850"/>
      <c r="N369" s="850"/>
      <c r="O369" s="48">
        <f>IF(t&lt;Tnet,'2018'!Resal+('2018'!Salim-'2018'!Resal)*(1-EXP(('2018'!Tnet-t)/('2018'!Tau_j))),Resal+(Salim-Resal)*(1-EXP((Tnet-t)/(Tau_j))))*Salcycl</f>
        <v>7.9478042766410531E-2</v>
      </c>
      <c r="P369" s="169">
        <f>(INDEX(Models!$BJ369:$BT369,,T369)*(1-R369)+INDEX(Models!$BJ369:$BT369,,T369+1)*R369-ERP_i)*Q369*Ramure*Pc/MaxiM</f>
        <v>2.278397723023718E-2</v>
      </c>
      <c r="Q369" s="305">
        <f t="shared" si="126"/>
        <v>0.7</v>
      </c>
      <c r="R369" s="177">
        <f t="shared" si="127"/>
        <v>0.89999439521267321</v>
      </c>
      <c r="S369" s="817">
        <f t="shared" si="128"/>
        <v>-2</v>
      </c>
      <c r="T369" s="176">
        <f t="shared" si="129"/>
        <v>4</v>
      </c>
      <c r="U369" s="251">
        <f t="shared" si="130"/>
        <v>-1.1000056047873268</v>
      </c>
      <c r="V369" s="383">
        <f t="shared" si="131"/>
        <v>10.909264551975568</v>
      </c>
      <c r="W369" s="58"/>
      <c r="X369" s="157">
        <f t="shared" si="132"/>
        <v>43820</v>
      </c>
      <c r="Y369" s="385">
        <f t="shared" si="133"/>
        <v>9.6660000000000004</v>
      </c>
      <c r="Z369" s="385">
        <f t="shared" si="134"/>
        <v>9.7962257904148213</v>
      </c>
      <c r="AA369" s="386">
        <f t="shared" si="135"/>
        <v>10.642033808574276</v>
      </c>
      <c r="AB369" s="197">
        <f t="shared" si="136"/>
        <v>43820</v>
      </c>
      <c r="AC369" s="427">
        <f>IF(OR(t&lt;Tnet,NoTnet),'2018'!Resal_s+('2018'!Salim-'2018'!Resal_s)*(1-EXP(('2018'!Tnet_s-t)/'2018'!Tau_j)),Resal_s+(Salim-Resal_s)*(1-EXP((Tnet_s-t)/Tau_j)))*Salcycl</f>
        <v>7.9478042766410531E-2</v>
      </c>
      <c r="AD369" s="231">
        <f>(INDEX(Models!$BJ369:$BT369,,AH369)*(1-AF369)+INDEX(Models!$BJ369:$BT369,,AH369+1)*AF369-ERP_i)*AE369*Ramure*Pc/MaxiM</f>
        <v>2.278397723023718E-2</v>
      </c>
      <c r="AE369" s="305">
        <f t="shared" si="137"/>
        <v>0.7</v>
      </c>
      <c r="AF369" s="177">
        <f t="shared" si="138"/>
        <v>0.89999439521267321</v>
      </c>
      <c r="AG369" s="176">
        <f t="shared" si="139"/>
        <v>-2</v>
      </c>
      <c r="AH369" s="176">
        <f t="shared" si="140"/>
        <v>4</v>
      </c>
      <c r="AI369" s="225">
        <f t="shared" si="141"/>
        <v>-1.1000056047873268</v>
      </c>
      <c r="AJ369" s="265" t="b">
        <f t="shared" si="142"/>
        <v>0</v>
      </c>
      <c r="AK369" s="265" t="b">
        <f t="shared" si="14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4"/>
        <v>43821</v>
      </c>
      <c r="B370" s="617">
        <v>4.282</v>
      </c>
      <c r="C370" s="390"/>
      <c r="D370" s="393">
        <f t="shared" si="123"/>
        <v>4.339784565616136</v>
      </c>
      <c r="E370" s="385">
        <f t="shared" si="145"/>
        <v>4.7148717423409163</v>
      </c>
      <c r="F370" s="385">
        <f t="shared" si="124"/>
        <v>4.7286448659016997</v>
      </c>
      <c r="G370" s="110">
        <f t="shared" si="146"/>
        <v>0.38234622888821646</v>
      </c>
      <c r="H370" s="414" t="b">
        <f>Wh_hp&gt;='2018'!Maxi_hp</f>
        <v>1</v>
      </c>
      <c r="I370" s="390">
        <f>IF(H370,Wh_hp,'2018'!Maxi_hp)</f>
        <v>4.7286448659016997</v>
      </c>
      <c r="J370" s="85">
        <f>IF(H370,An,'2018'!An_max)</f>
        <v>2019</v>
      </c>
      <c r="K370" s="197">
        <f t="shared" si="125"/>
        <v>43821</v>
      </c>
      <c r="L370" s="147">
        <f>IF(t&lt;Tvie,1-EXP((T0-t)*PertePVj)+'2018'!Pspv,1-EXP((T0-t)*PertePVj)+Pspv)</f>
        <v>1.3315076991139096E-2</v>
      </c>
      <c r="M370" s="850"/>
      <c r="N370" s="850"/>
      <c r="O370" s="48">
        <f>IF(t&lt;Tnet,'2018'!Resal+('2018'!Salim-'2018'!Resal)*(1-EXP(('2018'!Tnet-t)/('2018'!Tau_j))),Resal+(Salim-Resal)*(1-EXP((Tnet-t)/(Tau_j))))*Salcycl</f>
        <v>7.9554057294154795E-2</v>
      </c>
      <c r="P370" s="169">
        <f>(INDEX(Models!$BJ370:$BT370,,T370)*(1-R370)+INDEX(Models!$BJ370:$BT370,,T370+1)*R370-ERP_i)*Q370*Ramure*Pc/MaxiM</f>
        <v>2.2638484722467791E-2</v>
      </c>
      <c r="Q370" s="305">
        <f t="shared" si="126"/>
        <v>0.7</v>
      </c>
      <c r="R370" s="177">
        <f t="shared" si="127"/>
        <v>0.89999993814404244</v>
      </c>
      <c r="S370" s="817">
        <f t="shared" si="128"/>
        <v>-2</v>
      </c>
      <c r="T370" s="176">
        <f t="shared" si="129"/>
        <v>4</v>
      </c>
      <c r="U370" s="251">
        <f t="shared" si="130"/>
        <v>-1.1000000618559576</v>
      </c>
      <c r="V370" s="383">
        <f t="shared" si="131"/>
        <v>10.977713732051111</v>
      </c>
      <c r="W370" s="58"/>
      <c r="X370" s="157">
        <f t="shared" si="132"/>
        <v>43821</v>
      </c>
      <c r="Y370" s="385">
        <f t="shared" si="133"/>
        <v>4.282</v>
      </c>
      <c r="Z370" s="385">
        <f t="shared" si="134"/>
        <v>4.339784565616136</v>
      </c>
      <c r="AA370" s="386">
        <f t="shared" si="135"/>
        <v>4.7148717423409163</v>
      </c>
      <c r="AB370" s="197">
        <f t="shared" si="136"/>
        <v>43821</v>
      </c>
      <c r="AC370" s="427">
        <f>IF(OR(t&lt;Tnet,NoTnet),'2018'!Resal_s+('2018'!Salim-'2018'!Resal_s)*(1-EXP(('2018'!Tnet_s-t)/'2018'!Tau_j)),Resal_s+(Salim-Resal_s)*(1-EXP((Tnet_s-t)/Tau_j)))*Salcycl</f>
        <v>7.9554057294154795E-2</v>
      </c>
      <c r="AD370" s="231">
        <f>(INDEX(Models!$BJ370:$BT370,,AH370)*(1-AF370)+INDEX(Models!$BJ370:$BT370,,AH370+1)*AF370-ERP_i)*AE370*Ramure*Pc/MaxiM</f>
        <v>2.2638484722467791E-2</v>
      </c>
      <c r="AE370" s="305">
        <f t="shared" si="137"/>
        <v>0.7</v>
      </c>
      <c r="AF370" s="177">
        <f t="shared" si="138"/>
        <v>0.89999993814404244</v>
      </c>
      <c r="AG370" s="176">
        <f t="shared" si="139"/>
        <v>-2</v>
      </c>
      <c r="AH370" s="176">
        <f t="shared" si="140"/>
        <v>4</v>
      </c>
      <c r="AI370" s="225">
        <f t="shared" si="141"/>
        <v>-1.1000000618559576</v>
      </c>
      <c r="AJ370" s="265" t="b">
        <f t="shared" si="142"/>
        <v>0</v>
      </c>
      <c r="AK370" s="265" t="b">
        <f t="shared" si="14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4"/>
        <v>43822</v>
      </c>
      <c r="B371" s="617">
        <v>4.3949999999999996</v>
      </c>
      <c r="C371" s="390"/>
      <c r="D371" s="393">
        <f t="shared" si="123"/>
        <v>4.4544070365291537</v>
      </c>
      <c r="E371" s="385">
        <f t="shared" si="145"/>
        <v>4.8398028991813966</v>
      </c>
      <c r="F371" s="385">
        <f t="shared" si="124"/>
        <v>4.8550697461768584</v>
      </c>
      <c r="G371" s="110">
        <f t="shared" si="146"/>
        <v>0.3900299735643874</v>
      </c>
      <c r="H371" s="414" t="b">
        <f>Wh_hp&gt;='2018'!Maxi_hp</f>
        <v>1</v>
      </c>
      <c r="I371" s="390">
        <f>IF(H371,Wh_hp,'2018'!Maxi_hp)</f>
        <v>4.8550697461768584</v>
      </c>
      <c r="J371" s="85">
        <f>IF(H371,An,'2018'!An_max)</f>
        <v>2019</v>
      </c>
      <c r="K371" s="197">
        <f t="shared" si="125"/>
        <v>43822</v>
      </c>
      <c r="L371" s="147">
        <f>IF(t&lt;Tvie,1-EXP((T0-t)*PertePVj)+'2018'!Pspv,1-EXP((T0-t)*PertePVj)+Pspv)</f>
        <v>1.3336687923213075E-2</v>
      </c>
      <c r="M371" s="850"/>
      <c r="N371" s="850"/>
      <c r="O371" s="48">
        <f>IF(t&lt;Tnet,'2018'!Resal+('2018'!Salim-'2018'!Resal)*(1-EXP(('2018'!Tnet-t)/('2018'!Tau_j))),Resal+(Salim-Resal)*(1-EXP((Tnet-t)/(Tau_j))))*Salcycl</f>
        <v>7.9630487166621716E-2</v>
      </c>
      <c r="P371" s="169">
        <f>(INDEX(Models!$BJ371:$BT371,,T371)*(1-R371)+INDEX(Models!$BJ371:$BT371,,T371+1)*R371-ERP_i)*Q371*Ramure*Pc/MaxiM</f>
        <v>2.2516087272331661E-2</v>
      </c>
      <c r="Q371" s="305">
        <f t="shared" si="126"/>
        <v>0.7</v>
      </c>
      <c r="R371" s="177">
        <f t="shared" si="127"/>
        <v>0.89999993814404244</v>
      </c>
      <c r="S371" s="817">
        <f t="shared" si="128"/>
        <v>-2</v>
      </c>
      <c r="T371" s="176">
        <f t="shared" si="129"/>
        <v>4</v>
      </c>
      <c r="U371" s="251">
        <f t="shared" si="130"/>
        <v>-1.1000000618559576</v>
      </c>
      <c r="V371" s="383">
        <f t="shared" si="131"/>
        <v>11.049390242037518</v>
      </c>
      <c r="W371" s="58"/>
      <c r="X371" s="157">
        <f t="shared" si="132"/>
        <v>43822</v>
      </c>
      <c r="Y371" s="385">
        <f t="shared" si="133"/>
        <v>4.3949999999999996</v>
      </c>
      <c r="Z371" s="385">
        <f t="shared" si="134"/>
        <v>4.4544070365291537</v>
      </c>
      <c r="AA371" s="386">
        <f t="shared" si="135"/>
        <v>4.8398028991813966</v>
      </c>
      <c r="AB371" s="197">
        <f t="shared" si="136"/>
        <v>43822</v>
      </c>
      <c r="AC371" s="427">
        <f>IF(OR(t&lt;Tnet,NoTnet),'2018'!Resal_s+('2018'!Salim-'2018'!Resal_s)*(1-EXP(('2018'!Tnet_s-t)/'2018'!Tau_j)),Resal_s+(Salim-Resal_s)*(1-EXP((Tnet_s-t)/Tau_j)))*Salcycl</f>
        <v>7.9630487166621716E-2</v>
      </c>
      <c r="AD371" s="231">
        <f>(INDEX(Models!$BJ371:$BT371,,AH371)*(1-AF371)+INDEX(Models!$BJ371:$BT371,,AH371+1)*AF371-ERP_i)*AE371*Ramure*Pc/MaxiM</f>
        <v>2.2516087272331661E-2</v>
      </c>
      <c r="AE371" s="305">
        <f t="shared" si="137"/>
        <v>0.7</v>
      </c>
      <c r="AF371" s="177">
        <f t="shared" si="138"/>
        <v>0.89999993814404244</v>
      </c>
      <c r="AG371" s="176">
        <f t="shared" si="139"/>
        <v>-2</v>
      </c>
      <c r="AH371" s="176">
        <f t="shared" si="140"/>
        <v>4</v>
      </c>
      <c r="AI371" s="225">
        <f t="shared" si="141"/>
        <v>-1.1000000618559576</v>
      </c>
      <c r="AJ371" s="265" t="b">
        <f t="shared" si="142"/>
        <v>0</v>
      </c>
      <c r="AK371" s="265" t="b">
        <f t="shared" si="14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4"/>
        <v>43823</v>
      </c>
      <c r="B372" s="617">
        <v>8.2850000000000001</v>
      </c>
      <c r="C372" s="390"/>
      <c r="D372" s="393">
        <f t="shared" si="123"/>
        <v>8.3971719281811961</v>
      </c>
      <c r="E372" s="385">
        <f t="shared" si="145"/>
        <v>9.124457727285062</v>
      </c>
      <c r="F372" s="385">
        <f t="shared" si="124"/>
        <v>9.2563291557535248</v>
      </c>
      <c r="G372" s="110">
        <f t="shared" si="146"/>
        <v>0.7386626305404409</v>
      </c>
      <c r="H372" s="414" t="b">
        <f>Wh_hp&gt;='2018'!Maxi_hp</f>
        <v>1</v>
      </c>
      <c r="I372" s="390">
        <f>IF(H372,Wh_hp,'2018'!Maxi_hp)</f>
        <v>9.2563291557535248</v>
      </c>
      <c r="J372" s="85">
        <f>IF(H372,An,'2018'!An_max)</f>
        <v>2019</v>
      </c>
      <c r="K372" s="197">
        <f t="shared" si="125"/>
        <v>43823</v>
      </c>
      <c r="L372" s="147">
        <f>IF(t&lt;Tvie,1-EXP((T0-t)*PertePVj)+'2018'!Pspv,1-EXP((T0-t)*PertePVj)+Pspv)</f>
        <v>1.3358298381952127E-2</v>
      </c>
      <c r="M372" s="850"/>
      <c r="N372" s="850"/>
      <c r="O372" s="48">
        <f>IF(t&lt;Tnet,'2018'!Resal+('2018'!Salim-'2018'!Resal)*(1-EXP(('2018'!Tnet-t)/('2018'!Tau_j))),Resal+(Salim-Resal)*(1-EXP((Tnet-t)/(Tau_j))))*Salcycl</f>
        <v>7.9707290103284451E-2</v>
      </c>
      <c r="P372" s="169">
        <f>(INDEX(Models!$BJ372:$BT372,,T372)*(1-R372)+INDEX(Models!$BJ372:$BT372,,T372+1)*R372-ERP_i)*Q372*Ramure*Pc/MaxiM</f>
        <v>2.2418609167243527E-2</v>
      </c>
      <c r="Q372" s="305">
        <f t="shared" si="126"/>
        <v>0.7</v>
      </c>
      <c r="R372" s="177">
        <f t="shared" si="127"/>
        <v>0.89999993814404244</v>
      </c>
      <c r="S372" s="817">
        <f t="shared" si="128"/>
        <v>-2</v>
      </c>
      <c r="T372" s="176">
        <f t="shared" si="129"/>
        <v>4</v>
      </c>
      <c r="U372" s="251">
        <f t="shared" si="130"/>
        <v>-1.1000000618559576</v>
      </c>
      <c r="V372" s="383">
        <f t="shared" si="131"/>
        <v>11.123233050077889</v>
      </c>
      <c r="W372" s="58"/>
      <c r="X372" s="157">
        <f t="shared" si="132"/>
        <v>43823</v>
      </c>
      <c r="Y372" s="385">
        <f t="shared" si="133"/>
        <v>8.2850000000000001</v>
      </c>
      <c r="Z372" s="385">
        <f t="shared" si="134"/>
        <v>8.3971719281811961</v>
      </c>
      <c r="AA372" s="386">
        <f t="shared" si="135"/>
        <v>9.124457727285062</v>
      </c>
      <c r="AB372" s="197">
        <f t="shared" si="136"/>
        <v>43823</v>
      </c>
      <c r="AC372" s="427">
        <f>IF(OR(t&lt;Tnet,NoTnet),'2018'!Resal_s+('2018'!Salim-'2018'!Resal_s)*(1-EXP(('2018'!Tnet_s-t)/'2018'!Tau_j)),Resal_s+(Salim-Resal_s)*(1-EXP((Tnet_s-t)/Tau_j)))*Salcycl</f>
        <v>7.9707290103284451E-2</v>
      </c>
      <c r="AD372" s="231">
        <f>(INDEX(Models!$BJ372:$BT372,,AH372)*(1-AF372)+INDEX(Models!$BJ372:$BT372,,AH372+1)*AF372-ERP_i)*AE372*Ramure*Pc/MaxiM</f>
        <v>2.2418609167243527E-2</v>
      </c>
      <c r="AE372" s="305">
        <f t="shared" si="137"/>
        <v>0.7</v>
      </c>
      <c r="AF372" s="177">
        <f t="shared" si="138"/>
        <v>0.89999993814404244</v>
      </c>
      <c r="AG372" s="176">
        <f t="shared" si="139"/>
        <v>-2</v>
      </c>
      <c r="AH372" s="176">
        <f t="shared" si="140"/>
        <v>4</v>
      </c>
      <c r="AI372" s="225">
        <f t="shared" si="141"/>
        <v>-1.1000000618559576</v>
      </c>
      <c r="AJ372" s="265" t="b">
        <f t="shared" si="142"/>
        <v>0</v>
      </c>
      <c r="AK372" s="265" t="b">
        <f t="shared" si="14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4"/>
        <v>43824</v>
      </c>
      <c r="B373" s="617">
        <v>6.2549999999999999</v>
      </c>
      <c r="C373" s="390"/>
      <c r="D373" s="393">
        <f t="shared" si="123"/>
        <v>6.3398262948906599</v>
      </c>
      <c r="E373" s="385">
        <f t="shared" si="145"/>
        <v>6.8895011889925044</v>
      </c>
      <c r="F373" s="385">
        <f t="shared" si="124"/>
        <v>6.9467903569792337</v>
      </c>
      <c r="G373" s="110">
        <f t="shared" si="146"/>
        <v>0.55046241564072096</v>
      </c>
      <c r="H373" s="414" t="b">
        <f>Wh_hp&gt;='2018'!Maxi_hp</f>
        <v>0</v>
      </c>
      <c r="I373" s="390">
        <f>IF(H373,Wh_hp,'2018'!Maxi_hp)</f>
        <v>7.2647215358617787</v>
      </c>
      <c r="J373" s="85">
        <f>IF(H373,An,'2018'!An_max)</f>
        <v>2018</v>
      </c>
      <c r="K373" s="197">
        <f t="shared" si="125"/>
        <v>43824</v>
      </c>
      <c r="L373" s="147">
        <f>IF(t&lt;Tvie,1-EXP((T0-t)*PertePVj)+'2018'!Pspv,1-EXP((T0-t)*PertePVj)+Pspv)</f>
        <v>1.33799083673668E-2</v>
      </c>
      <c r="M373" s="850"/>
      <c r="N373" s="850"/>
      <c r="O373" s="48">
        <f>IF(t&lt;Tnet,'2018'!Resal+('2018'!Salim-'2018'!Resal)*(1-EXP(('2018'!Tnet-t)/('2018'!Tau_j))),Resal+(Salim-Resal)*(1-EXP((Tnet-t)/(Tau_j))))*Salcycl</f>
        <v>7.9784425464657902E-2</v>
      </c>
      <c r="P373" s="169">
        <f>(INDEX(Models!$BJ373:$BT373,,T373)*(1-R373)+INDEX(Models!$BJ373:$BT373,,T373+1)*R373-ERP_i)*Q373*Ramure*Pc/MaxiM</f>
        <v>2.2340735401659293E-2</v>
      </c>
      <c r="Q373" s="305">
        <f t="shared" si="126"/>
        <v>0.7</v>
      </c>
      <c r="R373" s="177">
        <f t="shared" si="127"/>
        <v>0.89999993814404244</v>
      </c>
      <c r="S373" s="817">
        <f t="shared" si="128"/>
        <v>-2</v>
      </c>
      <c r="T373" s="176">
        <f t="shared" si="129"/>
        <v>4</v>
      </c>
      <c r="U373" s="251">
        <f t="shared" si="130"/>
        <v>-1.1000000618559576</v>
      </c>
      <c r="V373" s="383">
        <f t="shared" si="131"/>
        <v>11.201690675470433</v>
      </c>
      <c r="W373" s="58"/>
      <c r="X373" s="157">
        <f t="shared" si="132"/>
        <v>43824</v>
      </c>
      <c r="Y373" s="385">
        <f t="shared" si="133"/>
        <v>6.2549999999999999</v>
      </c>
      <c r="Z373" s="385">
        <f t="shared" si="134"/>
        <v>6.3398262948906599</v>
      </c>
      <c r="AA373" s="386">
        <f t="shared" si="135"/>
        <v>6.8895011889925044</v>
      </c>
      <c r="AB373" s="197">
        <f t="shared" si="136"/>
        <v>43824</v>
      </c>
      <c r="AC373" s="427">
        <f>IF(OR(t&lt;Tnet,NoTnet),'2018'!Resal_s+('2018'!Salim-'2018'!Resal_s)*(1-EXP(('2018'!Tnet_s-t)/'2018'!Tau_j)),Resal_s+(Salim-Resal_s)*(1-EXP((Tnet_s-t)/Tau_j)))*Salcycl</f>
        <v>7.9784425464657902E-2</v>
      </c>
      <c r="AD373" s="231">
        <f>(INDEX(Models!$BJ373:$BT373,,AH373)*(1-AF373)+INDEX(Models!$BJ373:$BT373,,AH373+1)*AF373-ERP_i)*AE373*Ramure*Pc/MaxiM</f>
        <v>2.2340735401659293E-2</v>
      </c>
      <c r="AE373" s="305">
        <f t="shared" si="137"/>
        <v>0.7</v>
      </c>
      <c r="AF373" s="177">
        <f t="shared" si="138"/>
        <v>0.89999993814404244</v>
      </c>
      <c r="AG373" s="176">
        <f t="shared" si="139"/>
        <v>-2</v>
      </c>
      <c r="AH373" s="176">
        <f t="shared" si="140"/>
        <v>4</v>
      </c>
      <c r="AI373" s="225">
        <f t="shared" si="141"/>
        <v>-1.1000000618559576</v>
      </c>
      <c r="AJ373" s="265" t="b">
        <f t="shared" si="142"/>
        <v>0</v>
      </c>
      <c r="AK373" s="265" t="b">
        <f t="shared" si="14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4"/>
        <v>43825</v>
      </c>
      <c r="B374" s="617">
        <v>4.1230000000000002</v>
      </c>
      <c r="C374" s="390"/>
      <c r="D374" s="393">
        <f t="shared" si="123"/>
        <v>4.1790050103647873</v>
      </c>
      <c r="E374" s="385">
        <f t="shared" si="145"/>
        <v>4.5417147745601643</v>
      </c>
      <c r="F374" s="385">
        <f t="shared" si="124"/>
        <v>4.5511674779676827</v>
      </c>
      <c r="G374" s="110">
        <f t="shared" si="146"/>
        <v>0.35787223864793483</v>
      </c>
      <c r="H374" s="414" t="b">
        <f>Wh_hp&gt;='2018'!Maxi_hp</f>
        <v>0</v>
      </c>
      <c r="I374" s="390">
        <f>IF(H374,Wh_hp,'2018'!Maxi_hp)</f>
        <v>12.958648457601393</v>
      </c>
      <c r="J374" s="85">
        <f>IF(H374,An,'2018'!An_max)</f>
        <v>2018</v>
      </c>
      <c r="K374" s="197">
        <f t="shared" si="125"/>
        <v>43825</v>
      </c>
      <c r="L374" s="147">
        <f>IF(t&lt;Tvie,1-EXP((T0-t)*PertePVj)+'2018'!Pspv,1-EXP((T0-t)*PertePVj)+Pspv)</f>
        <v>1.3401517879467306E-2</v>
      </c>
      <c r="M374" s="850"/>
      <c r="N374" s="850"/>
      <c r="O374" s="48">
        <f>IF(t&lt;Tnet,'2018'!Resal+('2018'!Salim-'2018'!Resal)*(1-EXP(('2018'!Tnet-t)/('2018'!Tau_j))),Resal+(Salim-Resal)*(1-EXP((Tnet-t)/(Tau_j))))*Salcycl</f>
        <v>7.9861854431513238E-2</v>
      </c>
      <c r="P374" s="169">
        <f>(INDEX(Models!$BJ374:$BT374,,T374)*(1-R374)+INDEX(Models!$BJ374:$BT374,,T374+1)*R374-ERP_i)*Q374*Ramure*Pc/MaxiM</f>
        <v>2.2276441687295142E-2</v>
      </c>
      <c r="Q374" s="305">
        <f t="shared" si="126"/>
        <v>0.7</v>
      </c>
      <c r="R374" s="177">
        <f t="shared" si="127"/>
        <v>0.89999993814404244</v>
      </c>
      <c r="S374" s="817">
        <f t="shared" si="128"/>
        <v>-2</v>
      </c>
      <c r="T374" s="176">
        <f t="shared" si="129"/>
        <v>4</v>
      </c>
      <c r="U374" s="251">
        <f t="shared" si="130"/>
        <v>-1.1000000618559576</v>
      </c>
      <c r="V374" s="383">
        <f t="shared" si="131"/>
        <v>11.287671589965781</v>
      </c>
      <c r="W374" s="58"/>
      <c r="X374" s="157">
        <f t="shared" si="132"/>
        <v>43825</v>
      </c>
      <c r="Y374" s="385">
        <f t="shared" si="133"/>
        <v>4.1230000000000002</v>
      </c>
      <c r="Z374" s="385">
        <f t="shared" si="134"/>
        <v>4.1790050103647873</v>
      </c>
      <c r="AA374" s="386">
        <f t="shared" si="135"/>
        <v>4.5417147745601643</v>
      </c>
      <c r="AB374" s="197">
        <f t="shared" si="136"/>
        <v>43825</v>
      </c>
      <c r="AC374" s="427">
        <f>IF(OR(t&lt;Tnet,NoTnet),'2018'!Resal_s+('2018'!Salim-'2018'!Resal_s)*(1-EXP(('2018'!Tnet_s-t)/'2018'!Tau_j)),Resal_s+(Salim-Resal_s)*(1-EXP((Tnet_s-t)/Tau_j)))*Salcycl</f>
        <v>7.9861854431513238E-2</v>
      </c>
      <c r="AD374" s="231">
        <f>(INDEX(Models!$BJ374:$BT374,,AH374)*(1-AF374)+INDEX(Models!$BJ374:$BT374,,AH374+1)*AF374-ERP_i)*AE374*Ramure*Pc/MaxiM</f>
        <v>2.2276441687295142E-2</v>
      </c>
      <c r="AE374" s="305">
        <f t="shared" si="137"/>
        <v>0.7</v>
      </c>
      <c r="AF374" s="177">
        <f t="shared" si="138"/>
        <v>0.89999993814404244</v>
      </c>
      <c r="AG374" s="176">
        <f t="shared" si="139"/>
        <v>-2</v>
      </c>
      <c r="AH374" s="176">
        <f t="shared" si="140"/>
        <v>4</v>
      </c>
      <c r="AI374" s="225">
        <f t="shared" si="141"/>
        <v>-1.1000000618559576</v>
      </c>
      <c r="AJ374" s="265" t="b">
        <f t="shared" si="142"/>
        <v>0</v>
      </c>
      <c r="AK374" s="265" t="b">
        <f t="shared" si="14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4"/>
        <v>43826</v>
      </c>
      <c r="B375" s="617">
        <v>10.782999999999999</v>
      </c>
      <c r="C375" s="390"/>
      <c r="D375" s="393">
        <f t="shared" si="123"/>
        <v>10.929710896544245</v>
      </c>
      <c r="E375" s="385">
        <f t="shared" si="145"/>
        <v>11.87933986258856</v>
      </c>
      <c r="F375" s="385">
        <f t="shared" si="124"/>
        <v>12.128813263435795</v>
      </c>
      <c r="G375" s="110">
        <f t="shared" si="146"/>
        <v>0.94586892672104217</v>
      </c>
      <c r="H375" s="414" t="b">
        <f>Wh_hp&gt;='2018'!Maxi_hp</f>
        <v>0</v>
      </c>
      <c r="I375" s="390">
        <f>IF(H375,Wh_hp,'2018'!Maxi_hp)</f>
        <v>13.195050919032267</v>
      </c>
      <c r="J375" s="85">
        <f>IF(H375,An,'2018'!An_max)</f>
        <v>2018</v>
      </c>
      <c r="K375" s="197">
        <f t="shared" si="125"/>
        <v>43826</v>
      </c>
      <c r="L375" s="147">
        <f>IF(t&lt;Tvie,1-EXP((T0-t)*PertePVj)+'2018'!Pspv,1-EXP((T0-t)*PertePVj)+Pspv)</f>
        <v>1.3423126918263972E-2</v>
      </c>
      <c r="M375" s="850"/>
      <c r="N375" s="850"/>
      <c r="O375" s="48">
        <f>IF(t&lt;Tnet,'2018'!Resal+('2018'!Salim-'2018'!Resal)*(1-EXP(('2018'!Tnet-t)/('2018'!Tau_j))),Resal+(Salim-Resal)*(1-EXP((Tnet-t)/(Tau_j))))*Salcycl</f>
        <v>7.9939540162073178E-2</v>
      </c>
      <c r="P375" s="169">
        <f>(INDEX(Models!$BJ375:$BT375,,T375)*(1-R375)+INDEX(Models!$BJ375:$BT375,,T375+1)*R375-ERP_i)*Q375*Ramure*Pc/MaxiM</f>
        <v>2.2236975845684358E-2</v>
      </c>
      <c r="Q375" s="305">
        <f t="shared" si="126"/>
        <v>0.7</v>
      </c>
      <c r="R375" s="177">
        <f t="shared" si="127"/>
        <v>0.89999993814404244</v>
      </c>
      <c r="S375" s="817">
        <f t="shared" si="128"/>
        <v>-2</v>
      </c>
      <c r="T375" s="176">
        <f t="shared" si="129"/>
        <v>4</v>
      </c>
      <c r="U375" s="251">
        <f t="shared" si="130"/>
        <v>-1.1000000618559576</v>
      </c>
      <c r="V375" s="383">
        <f t="shared" si="131"/>
        <v>11.380681217640259</v>
      </c>
      <c r="W375" s="58"/>
      <c r="X375" s="157">
        <f t="shared" si="132"/>
        <v>43826</v>
      </c>
      <c r="Y375" s="385">
        <f t="shared" si="133"/>
        <v>10.782999999999999</v>
      </c>
      <c r="Z375" s="385">
        <f t="shared" si="134"/>
        <v>10.929710896544245</v>
      </c>
      <c r="AA375" s="386">
        <f t="shared" si="135"/>
        <v>11.87933986258856</v>
      </c>
      <c r="AB375" s="197">
        <f t="shared" si="136"/>
        <v>43826</v>
      </c>
      <c r="AC375" s="427">
        <f>IF(OR(t&lt;Tnet,NoTnet),'2018'!Resal_s+('2018'!Salim-'2018'!Resal_s)*(1-EXP(('2018'!Tnet_s-t)/'2018'!Tau_j)),Resal_s+(Salim-Resal_s)*(1-EXP((Tnet_s-t)/Tau_j)))*Salcycl</f>
        <v>7.9939540162073178E-2</v>
      </c>
      <c r="AD375" s="231">
        <f>(INDEX(Models!$BJ375:$BT375,,AH375)*(1-AF375)+INDEX(Models!$BJ375:$BT375,,AH375+1)*AF375-ERP_i)*AE375*Ramure*Pc/MaxiM</f>
        <v>2.2236975845684358E-2</v>
      </c>
      <c r="AE375" s="305">
        <f t="shared" si="137"/>
        <v>0.7</v>
      </c>
      <c r="AF375" s="177">
        <f t="shared" si="138"/>
        <v>0.89999993814404244</v>
      </c>
      <c r="AG375" s="176">
        <f t="shared" si="139"/>
        <v>-2</v>
      </c>
      <c r="AH375" s="176">
        <f t="shared" si="140"/>
        <v>4</v>
      </c>
      <c r="AI375" s="225">
        <f t="shared" si="141"/>
        <v>-1.1000000618559576</v>
      </c>
      <c r="AJ375" s="265" t="b">
        <f t="shared" si="142"/>
        <v>0</v>
      </c>
      <c r="AK375" s="265" t="b">
        <f t="shared" si="14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4"/>
        <v>43827</v>
      </c>
      <c r="B376" s="617">
        <v>2.0339999999999998</v>
      </c>
      <c r="C376" s="390"/>
      <c r="D376" s="393">
        <f t="shared" si="123"/>
        <v>2.0617192702300282</v>
      </c>
      <c r="E376" s="385">
        <f t="shared" si="145"/>
        <v>2.2410417084358829</v>
      </c>
      <c r="F376" s="385">
        <f t="shared" si="124"/>
        <v>2.2410417084358829</v>
      </c>
      <c r="G376" s="110">
        <f t="shared" si="146"/>
        <v>0.1732350873291042</v>
      </c>
      <c r="H376" s="414" t="b">
        <f>Wh_hp&gt;='2018'!Maxi_hp</f>
        <v>1</v>
      </c>
      <c r="I376" s="390">
        <f>IF(H376,Wh_hp,'2018'!Maxi_hp)</f>
        <v>2.2410417084358829</v>
      </c>
      <c r="J376" s="85">
        <f>IF(H376,An,'2018'!An_max)</f>
        <v>2019</v>
      </c>
      <c r="K376" s="197">
        <f t="shared" si="125"/>
        <v>43827</v>
      </c>
      <c r="L376" s="147">
        <f>IF(t&lt;Tvie,1-EXP((T0-t)*PertePVj)+'2018'!Pspv,1-EXP((T0-t)*PertePVj)+Pspv)</f>
        <v>1.3444735483767234E-2</v>
      </c>
      <c r="M376" s="850"/>
      <c r="N376" s="850"/>
      <c r="O376" s="48">
        <f>IF(t&lt;Tnet,'2018'!Resal+('2018'!Salim-'2018'!Resal)*(1-EXP(('2018'!Tnet-t)/('2018'!Tau_j))),Resal+(Salim-Resal)*(1-EXP((Tnet-t)/(Tau_j))))*Salcycl</f>
        <v>8.0017447926487489E-2</v>
      </c>
      <c r="P376" s="169">
        <f>(INDEX(Models!$BJ376:$BT376,,T376)*(1-R376)+INDEX(Models!$BJ376:$BT376,,T376+1)*R376-ERP_i)*Q376*Ramure*Pc/MaxiM</f>
        <v>2.2209398619672534E-2</v>
      </c>
      <c r="Q376" s="305">
        <f t="shared" si="126"/>
        <v>0.7</v>
      </c>
      <c r="R376" s="177">
        <f t="shared" si="127"/>
        <v>0.89999993814404244</v>
      </c>
      <c r="S376" s="817">
        <f t="shared" si="128"/>
        <v>-2</v>
      </c>
      <c r="T376" s="176">
        <f t="shared" si="129"/>
        <v>4</v>
      </c>
      <c r="U376" s="251">
        <f t="shared" si="130"/>
        <v>-1.1000000618559576</v>
      </c>
      <c r="V376" s="383">
        <f t="shared" si="131"/>
        <v>11.480503827895463</v>
      </c>
      <c r="W376" s="58"/>
      <c r="X376" s="157">
        <f t="shared" si="132"/>
        <v>43827</v>
      </c>
      <c r="Y376" s="385">
        <f t="shared" si="133"/>
        <v>2.0339999999999998</v>
      </c>
      <c r="Z376" s="385">
        <f t="shared" si="134"/>
        <v>2.0617192702300282</v>
      </c>
      <c r="AA376" s="386">
        <f t="shared" si="135"/>
        <v>2.2410417084358829</v>
      </c>
      <c r="AB376" s="197">
        <f t="shared" si="136"/>
        <v>43827</v>
      </c>
      <c r="AC376" s="427">
        <f>IF(OR(t&lt;Tnet,NoTnet),'2018'!Resal_s+('2018'!Salim-'2018'!Resal_s)*(1-EXP(('2018'!Tnet_s-t)/'2018'!Tau_j)),Resal_s+(Salim-Resal_s)*(1-EXP((Tnet_s-t)/Tau_j)))*Salcycl</f>
        <v>8.0017447926487489E-2</v>
      </c>
      <c r="AD376" s="231">
        <f>(INDEX(Models!$BJ376:$BT376,,AH376)*(1-AF376)+INDEX(Models!$BJ376:$BT376,,AH376+1)*AF376-ERP_i)*AE376*Ramure*Pc/MaxiM</f>
        <v>2.2209398619672534E-2</v>
      </c>
      <c r="AE376" s="305">
        <f t="shared" si="137"/>
        <v>0.7</v>
      </c>
      <c r="AF376" s="177">
        <f t="shared" si="138"/>
        <v>0.89999993814404244</v>
      </c>
      <c r="AG376" s="176">
        <f t="shared" si="139"/>
        <v>-2</v>
      </c>
      <c r="AH376" s="176">
        <f t="shared" si="140"/>
        <v>4</v>
      </c>
      <c r="AI376" s="225">
        <f t="shared" si="141"/>
        <v>-1.1000000618559576</v>
      </c>
      <c r="AJ376" s="265" t="b">
        <f t="shared" si="142"/>
        <v>0</v>
      </c>
      <c r="AK376" s="265" t="b">
        <f t="shared" si="143"/>
        <v>0</v>
      </c>
      <c r="AL376" s="265"/>
      <c r="AM376" s="265"/>
      <c r="AN376" s="75"/>
    </row>
    <row r="377" spans="1:40" s="6" customFormat="1" ht="11.25" x14ac:dyDescent="0.2">
      <c r="A377" s="56">
        <f t="shared" si="144"/>
        <v>43828</v>
      </c>
      <c r="B377" s="617">
        <v>10.760999999999999</v>
      </c>
      <c r="C377" s="390"/>
      <c r="D377" s="393">
        <f t="shared" si="123"/>
        <v>10.907889386162937</v>
      </c>
      <c r="E377" s="385">
        <f t="shared" si="145"/>
        <v>11.857632963359368</v>
      </c>
      <c r="F377" s="385">
        <f t="shared" si="124"/>
        <v>12.09881611457118</v>
      </c>
      <c r="G377" s="110">
        <f t="shared" si="146"/>
        <v>0.92659031585620699</v>
      </c>
      <c r="H377" s="414" t="b">
        <f>Wh_hp&gt;='2018'!Maxi_hp</f>
        <v>1</v>
      </c>
      <c r="I377" s="390">
        <f>IF(H377,Wh_hp,'2018'!Maxi_hp)</f>
        <v>12.09881611457118</v>
      </c>
      <c r="J377" s="85">
        <f>IF(H377,An,'2018'!An_max)</f>
        <v>2019</v>
      </c>
      <c r="K377" s="197">
        <f t="shared" si="125"/>
        <v>43828</v>
      </c>
      <c r="L377" s="147">
        <f>IF(t&lt;Tvie,1-EXP((T0-t)*PertePVj)+'2018'!Pspv,1-EXP((T0-t)*PertePVj)+Pspv)</f>
        <v>1.3466343575987527E-2</v>
      </c>
      <c r="M377" s="850"/>
      <c r="N377" s="850"/>
      <c r="O377" s="48">
        <f>IF(t&lt;Tnet,'2018'!Resal+('2018'!Salim-'2018'!Resal)*(1-EXP(('2018'!Tnet-t)/('2018'!Tau_j))),Resal+(Salim-Resal)*(1-EXP((Tnet-t)/(Tau_j))))*Salcycl</f>
        <v>8.0095545218104025E-2</v>
      </c>
      <c r="P377" s="169">
        <f>(INDEX(Models!$BJ377:$BT377,,T377)*(1-R377)+INDEX(Models!$BJ377:$BT377,,T377+1)*R377-ERP_i)*Q377*Ramure*Pc/MaxiM</f>
        <v>2.2194064908107863E-2</v>
      </c>
      <c r="Q377" s="305">
        <f t="shared" si="126"/>
        <v>0.7</v>
      </c>
      <c r="R377" s="177">
        <f t="shared" si="127"/>
        <v>0.89999993814404244</v>
      </c>
      <c r="S377" s="817">
        <f t="shared" si="128"/>
        <v>-2</v>
      </c>
      <c r="T377" s="176">
        <f t="shared" si="129"/>
        <v>4</v>
      </c>
      <c r="U377" s="251">
        <f t="shared" si="130"/>
        <v>-1.1000000618559576</v>
      </c>
      <c r="V377" s="383">
        <f t="shared" si="131"/>
        <v>11.586770804562573</v>
      </c>
      <c r="W377" s="58"/>
      <c r="X377" s="157">
        <f t="shared" si="132"/>
        <v>43828</v>
      </c>
      <c r="Y377" s="385">
        <f t="shared" si="133"/>
        <v>10.760999999999999</v>
      </c>
      <c r="Z377" s="385">
        <f t="shared" si="134"/>
        <v>10.907889386162937</v>
      </c>
      <c r="AA377" s="386">
        <f t="shared" si="135"/>
        <v>11.857632963359368</v>
      </c>
      <c r="AB377" s="197">
        <f t="shared" si="136"/>
        <v>43828</v>
      </c>
      <c r="AC377" s="427">
        <f>IF(OR(t&lt;Tnet,NoTnet),'2018'!Resal_s+('2018'!Salim-'2018'!Resal_s)*(1-EXP(('2018'!Tnet_s-t)/'2018'!Tau_j)),Resal_s+(Salim-Resal_s)*(1-EXP((Tnet_s-t)/Tau_j)))*Salcycl</f>
        <v>8.0095545218104025E-2</v>
      </c>
      <c r="AD377" s="231">
        <f>(INDEX(Models!$BJ377:$BT377,,AH377)*(1-AF377)+INDEX(Models!$BJ377:$BT377,,AH377+1)*AF377-ERP_i)*AE377*Ramure*Pc/MaxiM</f>
        <v>2.2194064908107863E-2</v>
      </c>
      <c r="AE377" s="305">
        <f t="shared" si="137"/>
        <v>0.7</v>
      </c>
      <c r="AF377" s="177">
        <f t="shared" si="138"/>
        <v>0.89999993814404244</v>
      </c>
      <c r="AG377" s="176">
        <f t="shared" si="139"/>
        <v>-2</v>
      </c>
      <c r="AH377" s="176">
        <f t="shared" si="140"/>
        <v>4</v>
      </c>
      <c r="AI377" s="225">
        <f t="shared" si="141"/>
        <v>-1.1000000618559576</v>
      </c>
      <c r="AJ377" s="265" t="b">
        <f t="shared" si="142"/>
        <v>0</v>
      </c>
      <c r="AK377" s="265" t="b">
        <f t="shared" si="143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4"/>
        <v>43829</v>
      </c>
      <c r="B378" s="617">
        <v>11.215999999999999</v>
      </c>
      <c r="C378" s="390"/>
      <c r="D378" s="393">
        <f t="shared" si="123"/>
        <v>11.369349227498674</v>
      </c>
      <c r="E378" s="385">
        <f t="shared" si="145"/>
        <v>12.360323341797983</v>
      </c>
      <c r="F378" s="385">
        <f t="shared" si="124"/>
        <v>12.623938379603631</v>
      </c>
      <c r="G378" s="110">
        <f t="shared" si="146"/>
        <v>0.95742328010368261</v>
      </c>
      <c r="H378" s="414" t="b">
        <f>Wh_hp&gt;='2018'!Maxi_hp</f>
        <v>1</v>
      </c>
      <c r="I378" s="390">
        <f>IF(H378,Wh_hp,'2018'!Maxi_hp)</f>
        <v>12.623938379603631</v>
      </c>
      <c r="J378" s="85">
        <f>IF(H378,An,'2018'!An_max)</f>
        <v>2019</v>
      </c>
      <c r="K378" s="197">
        <f t="shared" si="125"/>
        <v>43829</v>
      </c>
      <c r="L378" s="147">
        <f>IF(t&lt;Tvie,1-EXP((T0-t)*PertePVj)+'2018'!Pspv,1-EXP((T0-t)*PertePVj)+Pspv)</f>
        <v>1.3487951194935066E-2</v>
      </c>
      <c r="M378" s="850"/>
      <c r="N378" s="850"/>
      <c r="O378" s="48">
        <f>IF(t&lt;Tnet,'2018'!Resal+('2018'!Salim-'2018'!Resal)*(1-EXP(('2018'!Tnet-t)/('2018'!Tau_j))),Resal+(Salim-Resal)*(1-EXP((Tnet-t)/(Tau_j))))*Salcycl</f>
        <v>8.0173801841267892E-2</v>
      </c>
      <c r="P378" s="169">
        <f>(INDEX(Models!$BJ378:$BT378,,T378)*(1-R378)+INDEX(Models!$BJ378:$BT378,,T378+1)*R378-ERP_i)*Q378*Ramure*Pc/MaxiM</f>
        <v>2.2191278392103268E-2</v>
      </c>
      <c r="Q378" s="305">
        <f t="shared" si="126"/>
        <v>0.7</v>
      </c>
      <c r="R378" s="177">
        <f t="shared" si="127"/>
        <v>0.89999993814404244</v>
      </c>
      <c r="S378" s="817">
        <f t="shared" si="128"/>
        <v>-2</v>
      </c>
      <c r="T378" s="176">
        <f t="shared" si="129"/>
        <v>4</v>
      </c>
      <c r="U378" s="251">
        <f t="shared" si="130"/>
        <v>-1.1000000618559576</v>
      </c>
      <c r="V378" s="383">
        <f t="shared" si="131"/>
        <v>11.699113599982979</v>
      </c>
      <c r="W378" s="58"/>
      <c r="X378" s="157">
        <f t="shared" si="132"/>
        <v>43829</v>
      </c>
      <c r="Y378" s="385">
        <f t="shared" si="133"/>
        <v>11.215999999999999</v>
      </c>
      <c r="Z378" s="385">
        <f t="shared" si="134"/>
        <v>11.369349227498674</v>
      </c>
      <c r="AA378" s="386">
        <f t="shared" si="135"/>
        <v>12.360323341797983</v>
      </c>
      <c r="AB378" s="197">
        <f t="shared" si="136"/>
        <v>43829</v>
      </c>
      <c r="AC378" s="427">
        <f>IF(OR(t&lt;Tnet,NoTnet),'2018'!Resal_s+('2018'!Salim-'2018'!Resal_s)*(1-EXP(('2018'!Tnet_s-t)/'2018'!Tau_j)),Resal_s+(Salim-Resal_s)*(1-EXP((Tnet_s-t)/Tau_j)))*Salcycl</f>
        <v>8.0173801841267892E-2</v>
      </c>
      <c r="AD378" s="231">
        <f>(INDEX(Models!$BJ378:$BT378,,AH378)*(1-AF378)+INDEX(Models!$BJ378:$BT378,,AH378+1)*AF378-ERP_i)*AE378*Ramure*Pc/MaxiM</f>
        <v>2.2191278392103268E-2</v>
      </c>
      <c r="AE378" s="305">
        <f t="shared" si="137"/>
        <v>0.7</v>
      </c>
      <c r="AF378" s="177">
        <f t="shared" si="138"/>
        <v>0.89999993814404244</v>
      </c>
      <c r="AG378" s="176">
        <f t="shared" si="139"/>
        <v>-2</v>
      </c>
      <c r="AH378" s="176">
        <f t="shared" si="140"/>
        <v>4</v>
      </c>
      <c r="AI378" s="225">
        <f t="shared" si="141"/>
        <v>-1.1000000618559576</v>
      </c>
      <c r="AJ378" s="265" t="b">
        <f t="shared" si="142"/>
        <v>0</v>
      </c>
      <c r="AK378" s="265" t="b">
        <f t="shared" si="143"/>
        <v>0</v>
      </c>
      <c r="AL378" s="265"/>
      <c r="AM378" s="265"/>
      <c r="AN378" s="75"/>
    </row>
    <row r="379" spans="1:40" s="18" customFormat="1" ht="12.75" x14ac:dyDescent="0.2">
      <c r="A379" s="56">
        <f t="shared" si="144"/>
        <v>43830</v>
      </c>
      <c r="B379" s="617">
        <v>9.4740000000000002</v>
      </c>
      <c r="C379" s="390"/>
      <c r="D379" s="393">
        <f t="shared" si="123"/>
        <v>9.6037423171214353</v>
      </c>
      <c r="E379" s="385">
        <f t="shared" si="145"/>
        <v>10.44171262214434</v>
      </c>
      <c r="F379" s="385">
        <f t="shared" si="124"/>
        <v>10.610552702767615</v>
      </c>
      <c r="G379" s="110">
        <f t="shared" si="146"/>
        <v>0.79659184352225632</v>
      </c>
      <c r="H379" s="414" t="b">
        <f>Wh_hp&gt;='2018'!Maxi_hp</f>
        <v>1</v>
      </c>
      <c r="I379" s="390">
        <f>IF(H379,Wh_hp,'2018'!Maxi_hp)</f>
        <v>10.610552702767615</v>
      </c>
      <c r="J379" s="85">
        <f>IF(H379,An,'2018'!An_max)</f>
        <v>2019</v>
      </c>
      <c r="K379" s="197">
        <f t="shared" si="125"/>
        <v>43830</v>
      </c>
      <c r="L379" s="147">
        <f>IF(t&lt;Tvie,1-EXP((T0-t)*PertePVj)+'2018'!Pspv,1-EXP((T0-t)*PertePVj)+Pspv)</f>
        <v>1.3509558340620287E-2</v>
      </c>
      <c r="M379" s="850"/>
      <c r="N379" s="850"/>
      <c r="O379" s="48">
        <f>IF(t&lt;Tnet,'2018'!Resal+('2018'!Salim-'2018'!Resal)*(1-EXP(('2018'!Tnet-t)/('2018'!Tau_j))),Resal+(Salim-Resal)*(1-EXP((Tnet-t)/(Tau_j))))*Salcycl</f>
        <v>8.0252189975595953E-2</v>
      </c>
      <c r="P379" s="169">
        <f>(INDEX(Models!$BJ379:$BT379,,T379)*(1-R379)+INDEX(Models!$BJ379:$BT379,,T379+1)*R379-ERP_i)*Q379*Ramure*Pc/MaxiM</f>
        <v>2.2201295139368141E-2</v>
      </c>
      <c r="Q379" s="306">
        <f t="shared" si="126"/>
        <v>0.7</v>
      </c>
      <c r="R379" s="177">
        <f t="shared" si="127"/>
        <v>0.89999993814404244</v>
      </c>
      <c r="S379" s="817">
        <f t="shared" si="128"/>
        <v>-2</v>
      </c>
      <c r="T379" s="176">
        <f t="shared" si="129"/>
        <v>4</v>
      </c>
      <c r="U379" s="307">
        <f t="shared" si="130"/>
        <v>-1.1000000618559576</v>
      </c>
      <c r="V379" s="383">
        <f t="shared" si="131"/>
        <v>11.817163743284397</v>
      </c>
      <c r="W379" s="58"/>
      <c r="X379" s="157">
        <f t="shared" si="132"/>
        <v>43830</v>
      </c>
      <c r="Y379" s="385">
        <f t="shared" si="133"/>
        <v>9.4740000000000002</v>
      </c>
      <c r="Z379" s="385">
        <f t="shared" si="134"/>
        <v>9.6037423171214353</v>
      </c>
      <c r="AA379" s="386">
        <f t="shared" si="135"/>
        <v>10.44171262214434</v>
      </c>
      <c r="AB379" s="197">
        <f t="shared" si="136"/>
        <v>43830</v>
      </c>
      <c r="AC379" s="427">
        <f>IF(OR(t&lt;Tnet,NoTnet),'2018'!Resal_s+('2018'!Salim-'2018'!Resal_s)*(1-EXP(('2018'!Tnet_s-t)/'2018'!Tau_j)),Resal_s+(Salim-Resal_s)*(1-EXP((Tnet_s-t)/Tau_j)))*Salcycl</f>
        <v>8.0252189975595953E-2</v>
      </c>
      <c r="AD379" s="231">
        <f>(INDEX(Models!$BJ379:$BT379,,AH379)*(1-AF379)+INDEX(Models!$BJ379:$BT379,,AH379+1)*AF379-ERP_i)*AE379*Ramure*Pc/MaxiM</f>
        <v>2.2201295139368141E-2</v>
      </c>
      <c r="AE379" s="306">
        <f t="shared" si="137"/>
        <v>0.7</v>
      </c>
      <c r="AF379" s="177">
        <f t="shared" si="138"/>
        <v>0.89999993814404244</v>
      </c>
      <c r="AG379" s="176">
        <f t="shared" si="139"/>
        <v>-2</v>
      </c>
      <c r="AH379" s="176">
        <f t="shared" si="140"/>
        <v>4</v>
      </c>
      <c r="AI379" s="222">
        <f t="shared" si="141"/>
        <v>-1.1000000618559576</v>
      </c>
      <c r="AJ379" s="265" t="b">
        <f t="shared" si="142"/>
        <v>0</v>
      </c>
      <c r="AK379" s="265" t="b">
        <f t="shared" si="14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19"/>
      <c r="C380" s="858"/>
      <c r="D380" s="394"/>
      <c r="E380" s="395"/>
      <c r="F380" s="395"/>
      <c r="G380" s="97"/>
      <c r="H380" s="414" t="b">
        <f>Wh_hp&gt;='2018'!Maxi_hp</f>
        <v>1</v>
      </c>
      <c r="I380" s="390">
        <f>IF(H380,Wh_hp,'2018'!Maxi_hp)</f>
        <v>0</v>
      </c>
      <c r="J380" s="85">
        <f>IF(H380,An,'2018'!An_max)</f>
        <v>2019</v>
      </c>
      <c r="K380" s="199"/>
      <c r="L380" s="214"/>
      <c r="M380" s="855"/>
      <c r="N380" s="855"/>
      <c r="O380" s="215"/>
      <c r="P380" s="322"/>
      <c r="Q380" s="229"/>
      <c r="R380" s="229"/>
      <c r="S380" s="229"/>
      <c r="T380" s="229"/>
      <c r="U380" s="323"/>
      <c r="V380" s="383">
        <f>(V379+V15)/2</f>
        <v>12.243683175639873</v>
      </c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2"/>
        <v>1</v>
      </c>
      <c r="AK380" s="265" t="b">
        <f t="shared" si="14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0.97599999999999998</v>
      </c>
      <c r="C381" s="375"/>
      <c r="D381" s="373">
        <f>MIN(D15:D380)</f>
        <v>0.98897591516391337</v>
      </c>
      <c r="E381" s="373">
        <f>MIN(E15:E380)</f>
        <v>1.0736787753644266</v>
      </c>
      <c r="F381" s="374">
        <f>MIN(F15:F380)</f>
        <v>1.0736787753644266</v>
      </c>
      <c r="G381" s="125">
        <f>+MIN(G15:G380)</f>
        <v>8.8005138979450934E-2</v>
      </c>
      <c r="H381" s="337"/>
      <c r="I381" s="374">
        <f>MIN(I15:I380)</f>
        <v>0</v>
      </c>
      <c r="J381" s="57">
        <f>MIN(J15:J380)</f>
        <v>2018</v>
      </c>
      <c r="K381" s="200" t="s">
        <v>7</v>
      </c>
      <c r="L381" s="146">
        <f t="shared" ref="L381:T381" si="147">MIN(L15:L380)</f>
        <v>5.6132079633676168E-3</v>
      </c>
      <c r="M381" s="852"/>
      <c r="N381" s="852"/>
      <c r="O381" s="47">
        <f t="shared" si="147"/>
        <v>4.1569954156360278E-2</v>
      </c>
      <c r="P381" s="168">
        <f t="shared" si="147"/>
        <v>0</v>
      </c>
      <c r="Q381" s="310">
        <f t="shared" si="147"/>
        <v>0.7</v>
      </c>
      <c r="R381" s="311">
        <f t="shared" si="147"/>
        <v>0.50112553787411218</v>
      </c>
      <c r="S381" s="817">
        <f t="shared" si="147"/>
        <v>-2</v>
      </c>
      <c r="T381" s="176">
        <f t="shared" si="147"/>
        <v>4</v>
      </c>
      <c r="U381" s="252">
        <f>+MIN(U15:U380)</f>
        <v>-1.4988744621258878</v>
      </c>
      <c r="V381" s="373">
        <f>MIN(V15:V380)</f>
        <v>10.604761502219313</v>
      </c>
      <c r="W381" s="58"/>
      <c r="X381" s="112" t="s">
        <v>7</v>
      </c>
      <c r="Y381" s="373">
        <f>MIN(Y15:Y380)</f>
        <v>0.97600000000000009</v>
      </c>
      <c r="Z381" s="373">
        <f>MIN(Z15:Z380)</f>
        <v>0.98897591516391348</v>
      </c>
      <c r="AA381" s="373">
        <f>MIN(AA15:AA380)</f>
        <v>1.0736787753644266</v>
      </c>
      <c r="AB381" s="200" t="s">
        <v>7</v>
      </c>
      <c r="AC381" s="47">
        <f t="shared" ref="AC381:AH381" si="148">MIN(AC15:AC380)</f>
        <v>4.1569954156360278E-2</v>
      </c>
      <c r="AD381" s="168">
        <f t="shared" si="148"/>
        <v>0</v>
      </c>
      <c r="AE381" s="310">
        <f t="shared" si="148"/>
        <v>0.7</v>
      </c>
      <c r="AF381" s="311">
        <f t="shared" si="148"/>
        <v>0.50112553787411218</v>
      </c>
      <c r="AG381" s="817">
        <f t="shared" si="148"/>
        <v>-2</v>
      </c>
      <c r="AH381" s="176">
        <f t="shared" si="148"/>
        <v>4</v>
      </c>
      <c r="AI381" s="226">
        <f>MIN(AI15:AI380)</f>
        <v>-1.4988744621258878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20.455136986301373</v>
      </c>
      <c r="C382" s="375"/>
      <c r="D382" s="375">
        <f>AVERAGE(D15:D380)</f>
        <v>20.648133132680218</v>
      </c>
      <c r="E382" s="375">
        <f>AVERAGE(E15:E380)</f>
        <v>22.050481362429419</v>
      </c>
      <c r="F382" s="376">
        <f>AVERAGE(F15:F380)</f>
        <v>22.086189331347835</v>
      </c>
      <c r="G382" s="126">
        <f>AVERAGE(G15:G380)</f>
        <v>0.68589211033632658</v>
      </c>
      <c r="H382" s="337"/>
      <c r="I382" s="376">
        <f>AVERAGE(I15:I380)</f>
        <v>24.183223250672839</v>
      </c>
      <c r="J382" s="59">
        <f>AVERAGE(J15:J380)</f>
        <v>2018.7131147540983</v>
      </c>
      <c r="K382" s="200" t="s">
        <v>8</v>
      </c>
      <c r="L382" s="147">
        <f t="shared" ref="L382:V382" si="149">AVERAGE(L15:L380)</f>
        <v>9.56661495149266E-3</v>
      </c>
      <c r="M382" s="850"/>
      <c r="N382" s="850"/>
      <c r="O382" s="48">
        <f t="shared" si="149"/>
        <v>6.3939543564140264E-2</v>
      </c>
      <c r="P382" s="169">
        <f t="shared" si="149"/>
        <v>6.3953442452855174E-3</v>
      </c>
      <c r="Q382" s="312">
        <f t="shared" si="149"/>
        <v>0.69999999999999529</v>
      </c>
      <c r="R382" s="177">
        <f t="shared" si="149"/>
        <v>0.72440291015130287</v>
      </c>
      <c r="S382" s="817">
        <f t="shared" si="149"/>
        <v>-2</v>
      </c>
      <c r="T382" s="176">
        <f t="shared" si="149"/>
        <v>4</v>
      </c>
      <c r="U382" s="251">
        <f t="shared" si="149"/>
        <v>-1.2755970898486966</v>
      </c>
      <c r="V382" s="375">
        <f t="shared" si="149"/>
        <v>28.500161383753724</v>
      </c>
      <c r="X382" s="112" t="s">
        <v>8</v>
      </c>
      <c r="Y382" s="375">
        <f>AVERAGE(Y15:Y380)</f>
        <v>20.455136986301373</v>
      </c>
      <c r="Z382" s="375">
        <f>AVERAGE(Z15:Z380)</f>
        <v>20.648133132680218</v>
      </c>
      <c r="AA382" s="375">
        <f>AVERAGE(AA15:AA380)</f>
        <v>22.050481362429419</v>
      </c>
      <c r="AB382" s="200" t="s">
        <v>8</v>
      </c>
      <c r="AC382" s="48">
        <f t="shared" ref="AC382:AH382" si="150">AVERAGE(AC15:AC380)</f>
        <v>6.3939543564140264E-2</v>
      </c>
      <c r="AD382" s="169">
        <f t="shared" si="150"/>
        <v>6.3953442452855174E-3</v>
      </c>
      <c r="AE382" s="312">
        <f t="shared" si="150"/>
        <v>0.69999999999999529</v>
      </c>
      <c r="AF382" s="177">
        <f t="shared" si="150"/>
        <v>0.72440291015130287</v>
      </c>
      <c r="AG382" s="817">
        <f t="shared" si="150"/>
        <v>-2</v>
      </c>
      <c r="AH382" s="176">
        <f t="shared" si="150"/>
        <v>4</v>
      </c>
      <c r="AI382" s="225">
        <f>AVERAGE(AI15:AI380)</f>
        <v>-1.2755970898486966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42.262</v>
      </c>
      <c r="C383" s="377"/>
      <c r="D383" s="377">
        <f>MAX(D15:D380)</f>
        <v>42.623618682131912</v>
      </c>
      <c r="E383" s="377">
        <f>MAX(E15:E380)</f>
        <v>45.292153927540518</v>
      </c>
      <c r="F383" s="378">
        <f>MAX(F15:F380)</f>
        <v>45.292153927540518</v>
      </c>
      <c r="G383" s="127">
        <f>+MAX(G15:G380)</f>
        <v>1.0454826119650491</v>
      </c>
      <c r="H383" s="337"/>
      <c r="I383" s="378">
        <f>MAX(I15:I380)</f>
        <v>45.292153927540518</v>
      </c>
      <c r="J383" s="60">
        <f>MAX(J15:J380)</f>
        <v>2019</v>
      </c>
      <c r="K383" s="200" t="s">
        <v>9</v>
      </c>
      <c r="L383" s="148">
        <f t="shared" ref="L383:T383" si="151">MAX(L15:L380)</f>
        <v>1.3509558340620287E-2</v>
      </c>
      <c r="M383" s="853"/>
      <c r="N383" s="853"/>
      <c r="O383" s="49">
        <f t="shared" si="151"/>
        <v>8.0252189975595953E-2</v>
      </c>
      <c r="P383" s="170">
        <f t="shared" si="151"/>
        <v>2.6393048340567802E-2</v>
      </c>
      <c r="Q383" s="313">
        <f t="shared" si="151"/>
        <v>0.7</v>
      </c>
      <c r="R383" s="314">
        <f t="shared" si="151"/>
        <v>0.89999993814404244</v>
      </c>
      <c r="S383" s="818">
        <f t="shared" si="151"/>
        <v>-2</v>
      </c>
      <c r="T383" s="233">
        <f t="shared" si="151"/>
        <v>4</v>
      </c>
      <c r="U383" s="253">
        <f>+MAX(U15:U380)</f>
        <v>-1.1000000618559576</v>
      </c>
      <c r="V383" s="377">
        <f>MAX(V15:V380)</f>
        <v>40.573184863512481</v>
      </c>
      <c r="X383" s="112" t="s">
        <v>9</v>
      </c>
      <c r="Y383" s="377">
        <f>MAX(Y15:Y380)</f>
        <v>42.262</v>
      </c>
      <c r="Z383" s="377">
        <f>MAX(Z15:Z380)</f>
        <v>42.623618682131912</v>
      </c>
      <c r="AA383" s="377">
        <f>MAX(AA15:AA380)</f>
        <v>45.292153927540518</v>
      </c>
      <c r="AB383" s="200" t="s">
        <v>9</v>
      </c>
      <c r="AC383" s="49">
        <f t="shared" ref="AC383:AH383" si="152">MAX(AC15:AC380)</f>
        <v>8.0252189975595953E-2</v>
      </c>
      <c r="AD383" s="170">
        <f t="shared" si="152"/>
        <v>2.6393048340567802E-2</v>
      </c>
      <c r="AE383" s="313">
        <f t="shared" si="152"/>
        <v>0.7</v>
      </c>
      <c r="AF383" s="314">
        <f t="shared" si="152"/>
        <v>0.89999993814404244</v>
      </c>
      <c r="AG383" s="818">
        <f t="shared" si="152"/>
        <v>-2</v>
      </c>
      <c r="AH383" s="233">
        <f t="shared" si="152"/>
        <v>4</v>
      </c>
      <c r="AI383" s="227">
        <f>MAX(AI15:AI380)</f>
        <v>-1.1000000618559576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65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67</v>
      </c>
      <c r="H384" s="404"/>
      <c r="I384" s="405" t="s">
        <v>6</v>
      </c>
      <c r="J384" s="405" t="s">
        <v>113</v>
      </c>
      <c r="K384" s="406"/>
      <c r="L384" s="405" t="s">
        <v>66</v>
      </c>
      <c r="M384" s="407"/>
      <c r="N384" s="407"/>
      <c r="O384" s="407" t="s">
        <v>66</v>
      </c>
      <c r="P384" s="407" t="s">
        <v>66</v>
      </c>
      <c r="Q384" s="405" t="s">
        <v>66</v>
      </c>
      <c r="R384" s="405" t="s">
        <v>67</v>
      </c>
      <c r="S384" s="405" t="s">
        <v>81</v>
      </c>
      <c r="T384" s="405" t="s">
        <v>67</v>
      </c>
      <c r="U384" s="408" t="s">
        <v>81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66</v>
      </c>
      <c r="AD384" s="405" t="s">
        <v>66</v>
      </c>
      <c r="AE384" s="405" t="s">
        <v>66</v>
      </c>
      <c r="AF384" s="405" t="s">
        <v>67</v>
      </c>
      <c r="AG384" s="405" t="s">
        <v>81</v>
      </c>
      <c r="AH384" s="405" t="s">
        <v>67</v>
      </c>
      <c r="AI384" s="408" t="s">
        <v>81</v>
      </c>
      <c r="AJ384" s="835"/>
      <c r="AK384" s="835"/>
      <c r="AL384" s="835"/>
      <c r="AM384" s="835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8" priority="3" stopIfTrue="1" operator="lessThan">
      <formula>0.01</formula>
    </cfRule>
    <cfRule type="cellIs" dxfId="17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39">
        <f>'2019'!An+1</f>
        <v>2020</v>
      </c>
      <c r="K1" s="1240"/>
      <c r="L1" s="113" t="str">
        <f>"Calcul pertes et enveloppes en "&amp;TEXT(An,0)</f>
        <v>Calcul pertes et enveloppes en 2020</v>
      </c>
      <c r="M1" s="243"/>
      <c r="N1" s="243"/>
      <c r="V1" s="458"/>
      <c r="W1" s="456"/>
      <c r="X1" s="486" t="str">
        <f>"Prévision sans nettoyage ni taille végétation en "&amp;TEXT(An,0)</f>
        <v>Prévision sans nettoyage ni taille végétation en 2020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4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91"/>
      <c r="R2" s="18"/>
      <c r="S2" s="494"/>
      <c r="T2" s="494"/>
      <c r="U2" s="294" t="s">
        <v>75</v>
      </c>
      <c r="V2" s="495">
        <f>PertePVan</f>
        <v>8.0000000000000002E-3</v>
      </c>
      <c r="W2" s="451" t="s">
        <v>14</v>
      </c>
      <c r="X2" s="496"/>
      <c r="Y2" s="497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40" t="s">
        <v>272</v>
      </c>
      <c r="AK2" s="840" t="s">
        <v>274</v>
      </c>
      <c r="AL2" s="840" t="s">
        <v>273</v>
      </c>
      <c r="AM2" s="840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49">
        <f>Tmaj</f>
        <v>44926</v>
      </c>
      <c r="F3" s="1249"/>
      <c r="G3" s="471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51"/>
      <c r="U3" s="209" t="s">
        <v>164</v>
      </c>
      <c r="V3" s="634">
        <f>Salim_i</f>
        <v>0.14000000000000001</v>
      </c>
      <c r="W3" s="451"/>
      <c r="X3" s="501"/>
      <c r="Y3" s="502"/>
      <c r="Z3" s="503"/>
      <c r="AA3" s="497"/>
      <c r="AB3" s="497"/>
      <c r="AC3" s="429"/>
      <c r="AD3" s="429"/>
      <c r="AE3" s="429"/>
      <c r="AF3" s="429"/>
      <c r="AG3" s="429"/>
      <c r="AH3" s="429"/>
      <c r="AI3" s="429"/>
      <c r="AJ3" s="838">
        <f>AL11-AJ11</f>
        <v>0</v>
      </c>
      <c r="AK3" s="839">
        <f>AM11-AK11</f>
        <v>0</v>
      </c>
      <c r="AL3" s="838"/>
      <c r="AM3" s="839"/>
      <c r="AN3" s="837" t="s">
        <v>281</v>
      </c>
    </row>
    <row r="4" spans="1:40" s="19" customFormat="1" ht="16.5" customHeight="1" x14ac:dyDescent="0.3">
      <c r="A4" s="35"/>
      <c r="B4" s="28"/>
      <c r="C4" s="28"/>
      <c r="D4" s="83" t="s">
        <v>128</v>
      </c>
      <c r="E4" s="1188" t="str">
        <f>Station</f>
        <v>Donneville</v>
      </c>
      <c r="F4" s="1189"/>
      <c r="G4" s="1189"/>
      <c r="H4" s="1189"/>
      <c r="I4" s="1190"/>
      <c r="J4" s="158"/>
      <c r="K4" s="191"/>
      <c r="L4" s="505"/>
      <c r="M4" s="504"/>
      <c r="N4" s="504"/>
      <c r="O4" s="429"/>
      <c r="P4" s="34"/>
      <c r="Q4" s="504"/>
      <c r="R4" s="34"/>
      <c r="S4" s="494"/>
      <c r="T4" s="409"/>
      <c r="U4" s="295" t="s">
        <v>78</v>
      </c>
      <c r="V4" s="633">
        <f>Persistant</f>
        <v>0.8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9"/>
      <c r="AD4" s="429"/>
      <c r="AE4" s="429"/>
      <c r="AF4" s="429"/>
      <c r="AG4" s="429"/>
      <c r="AH4" s="429"/>
      <c r="AI4" s="429"/>
      <c r="AJ4" s="838">
        <f>AL12-AJ12</f>
        <v>0</v>
      </c>
      <c r="AK4" s="839">
        <f>AM12-AK12</f>
        <v>0</v>
      </c>
      <c r="AL4" s="838"/>
      <c r="AM4" s="839"/>
      <c r="AN4" s="837" t="s">
        <v>282</v>
      </c>
    </row>
    <row r="5" spans="1:40" s="35" customFormat="1" ht="16.5" customHeight="1" x14ac:dyDescent="0.25">
      <c r="D5" s="161" t="s">
        <v>20</v>
      </c>
      <c r="E5" s="1250">
        <f>T0</f>
        <v>43209</v>
      </c>
      <c r="F5" s="1250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0</v>
      </c>
      <c r="AA5" s="237">
        <f>Wh_Pvg_s-Wh_Pvg</f>
        <v>0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7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51">
        <f>Tservice</f>
        <v>43249</v>
      </c>
      <c r="F6" s="1251"/>
      <c r="G6" s="95"/>
      <c r="H6" s="35"/>
      <c r="I6" s="35"/>
      <c r="J6" s="8"/>
      <c r="K6" s="193"/>
      <c r="L6" s="154" t="s">
        <v>79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2"/>
      <c r="X6" s="496"/>
      <c r="Y6" s="497"/>
      <c r="Z6" s="462"/>
      <c r="AA6" s="462"/>
      <c r="AB6" s="515"/>
      <c r="AC6" s="462"/>
      <c r="AD6" s="462"/>
      <c r="AE6" s="462"/>
      <c r="AF6" s="462"/>
      <c r="AG6" s="462"/>
      <c r="AH6" s="462"/>
      <c r="AI6" s="462"/>
      <c r="AJ6" s="515">
        <f>SUMIF(AJ15:AJ380,"FAUX",Wh)</f>
        <v>7050.1550000000007</v>
      </c>
      <c r="AK6" s="515">
        <f>SUMIF(AK15:AK380,"FAUX",Wh)</f>
        <v>7050.1550000000007</v>
      </c>
      <c r="AL6" s="515">
        <f>SUMIF(AJ15:AJ380,"FAUX",Wh_s)</f>
        <v>7050.1550000000007</v>
      </c>
      <c r="AM6" s="515">
        <f>SUMIF(AK15:AK380,"FAUX",Wh_s)</f>
        <v>7050.1550000000007</v>
      </c>
      <c r="AN6" s="837" t="s">
        <v>279</v>
      </c>
    </row>
    <row r="7" spans="1:40" s="40" customFormat="1" ht="15" customHeight="1" x14ac:dyDescent="0.25">
      <c r="A7" s="183"/>
      <c r="B7" s="178"/>
      <c r="C7" s="178"/>
      <c r="D7" s="22" t="s">
        <v>108</v>
      </c>
      <c r="E7" s="320" t="b">
        <f>AND(YEAR(Tnet)=An,Resal_2020="I")</f>
        <v>0</v>
      </c>
      <c r="F7" s="320" t="b">
        <f>YEAR(Tnet)=An</f>
        <v>0</v>
      </c>
      <c r="J7" s="178"/>
      <c r="K7" s="191"/>
      <c r="L7" s="189" t="s">
        <v>77</v>
      </c>
      <c r="M7" s="848"/>
      <c r="N7" s="848"/>
      <c r="O7" s="18"/>
      <c r="P7" s="118"/>
      <c r="Q7" s="118"/>
      <c r="R7" s="141"/>
      <c r="S7" s="141"/>
      <c r="T7" s="141"/>
      <c r="U7" s="141"/>
      <c r="V7" s="429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7" t="s">
        <v>270</v>
      </c>
    </row>
    <row r="8" spans="1:40" s="6" customFormat="1" ht="15" customHeight="1" x14ac:dyDescent="0.25">
      <c r="A8" s="34"/>
      <c r="B8" s="210"/>
      <c r="C8" s="210"/>
      <c r="D8" s="22" t="s">
        <v>80</v>
      </c>
      <c r="E8" s="320" t="b">
        <f>AND(YEAR(Tnet)=An,Resal_2020&lt;&gt;"I")</f>
        <v>0</v>
      </c>
      <c r="F8" s="321" t="b">
        <f>YEAR(Ttai)=An</f>
        <v>0</v>
      </c>
      <c r="H8" s="179" t="s">
        <v>72</v>
      </c>
      <c r="I8" s="98"/>
      <c r="J8" s="158"/>
      <c r="K8" s="191"/>
      <c r="L8" s="114"/>
      <c r="M8" s="114"/>
      <c r="N8" s="114"/>
      <c r="O8" s="115" t="s">
        <v>59</v>
      </c>
      <c r="P8" s="18"/>
      <c r="Q8" s="18"/>
      <c r="R8" s="18"/>
      <c r="S8" s="18"/>
      <c r="T8" s="18"/>
      <c r="U8" s="18"/>
      <c r="V8" s="517"/>
      <c r="W8" s="404"/>
      <c r="X8" s="1237" t="s">
        <v>98</v>
      </c>
      <c r="Y8" s="1238"/>
      <c r="Z8" s="497"/>
      <c r="AA8" s="497"/>
      <c r="AB8" s="462"/>
      <c r="AC8" s="519" t="s">
        <v>59</v>
      </c>
      <c r="AD8" s="462"/>
      <c r="AE8" s="462"/>
      <c r="AF8" s="462"/>
      <c r="AG8" s="462"/>
      <c r="AH8" s="462"/>
      <c r="AI8" s="462"/>
      <c r="AJ8" s="515">
        <f>SUMIF(AJ15:AJ380,"FAUX",Wh_pvt)</f>
        <v>7173.9628712114645</v>
      </c>
      <c r="AK8" s="515">
        <f>SUMIF(AK15:AK380,"FAUX",Wh_sa)</f>
        <v>7928.9612723203672</v>
      </c>
      <c r="AL8" s="515">
        <f>SUMIF(AJ15:AJ380,"FAUX",Wh_pvt_s)</f>
        <v>7173.9628712114645</v>
      </c>
      <c r="AM8" s="515">
        <f>SUMIF(AK15:AK380,"FAUX",Wh_sa_s)</f>
        <v>7928.9612723203672</v>
      </c>
      <c r="AN8" s="837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7173.9628712114645</v>
      </c>
      <c r="E9" s="184">
        <f>SUM(E$15:E$380)</f>
        <v>7928.9612723203672</v>
      </c>
      <c r="F9" s="184">
        <f>SUM(F$15:F$380)</f>
        <v>7952.7400963774271</v>
      </c>
      <c r="H9" s="1241">
        <f>+SUM(Wh)</f>
        <v>7050.1550000000007</v>
      </c>
      <c r="I9" s="1242"/>
      <c r="J9" s="1243"/>
      <c r="K9" s="191"/>
      <c r="L9" s="232"/>
      <c r="M9" s="232"/>
      <c r="N9" s="232"/>
      <c r="O9" s="223">
        <f>Tnet_2020</f>
        <v>43209</v>
      </c>
      <c r="P9" s="244" t="s">
        <v>87</v>
      </c>
      <c r="Q9" s="245"/>
      <c r="R9" s="245"/>
      <c r="S9" s="245"/>
      <c r="T9" s="245"/>
      <c r="U9" s="246"/>
      <c r="V9" s="462"/>
      <c r="W9" s="520"/>
      <c r="X9" s="1235">
        <f>+SUM(Wh_s)</f>
        <v>7050.1550000000007</v>
      </c>
      <c r="Y9" s="1236"/>
      <c r="Z9" s="515">
        <f>SUM(Z$15:Z$380)</f>
        <v>7173.9628712114645</v>
      </c>
      <c r="AA9" s="515">
        <f>SUM(AA$15:AA$380)</f>
        <v>7928.9612723203672</v>
      </c>
      <c r="AB9" s="515">
        <f>F9</f>
        <v>7952.7400963774271</v>
      </c>
      <c r="AC9" s="325">
        <f>IF(An_Tnet,Tnet,'2019'!Tnet_s)</f>
        <v>43209</v>
      </c>
      <c r="AD9" s="316" t="s">
        <v>87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7" t="s">
        <v>276</v>
      </c>
    </row>
    <row r="10" spans="1:40" s="19" customFormat="1" ht="15" customHeight="1" x14ac:dyDescent="0.25">
      <c r="A10" s="206"/>
      <c r="B10" s="207"/>
      <c r="C10" s="844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IF(Inflex,'2019'!Resal+('2019'!Salim-'2019'!Resal)*(1-EXP(-(Tnet-'2019'!Tnet)/('2019'!Tau_j))),IF(An_Tnet,Resal_2020,'2019'!Resal))</f>
        <v>0</v>
      </c>
      <c r="P10" s="422" t="b">
        <f>NOT(Acti_tai)</f>
        <v>1</v>
      </c>
      <c r="Q10" s="257">
        <f>IF(Acti_tai,'2019'!PousD,Dens-Dd)</f>
        <v>0</v>
      </c>
      <c r="R10" s="274"/>
      <c r="S10" s="275"/>
      <c r="T10" s="276"/>
      <c r="U10" s="266">
        <f>IF(Acti_tai,'2019'!PousH,Hdtf-Hdd)</f>
        <v>0.30000006185595751</v>
      </c>
      <c r="V10" s="429"/>
      <c r="W10" s="504"/>
      <c r="X10" s="505"/>
      <c r="Y10" s="521" t="s">
        <v>26</v>
      </c>
      <c r="Z10" s="511" t="s">
        <v>27</v>
      </c>
      <c r="AA10" s="511" t="s">
        <v>28</v>
      </c>
      <c r="AB10" s="429"/>
      <c r="AC10" s="318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9"/>
      <c r="AE10" s="429"/>
      <c r="AF10" s="260"/>
      <c r="AG10" s="261"/>
      <c r="AH10" s="262"/>
      <c r="AI10" s="522"/>
      <c r="AJ10" s="515">
        <f>SUMIF(AJ15:AJ380,"FAUX",Wh_sa)</f>
        <v>7928.9612723203672</v>
      </c>
      <c r="AK10" s="515">
        <f>SUMIF(AK15:AK380,"FAUX",Wh_hp)</f>
        <v>7952.7400963774271</v>
      </c>
      <c r="AL10" s="515">
        <f>SUMIF(AJ15:AJ380,"FAUX",Wh_sa_s)</f>
        <v>7928.9612723203672</v>
      </c>
      <c r="AM10" s="515">
        <f>SUMIF(AK15:AK380,"FAUX",Wh_hp)</f>
        <v>7952.7400963774271</v>
      </c>
      <c r="AN10" s="837" t="s">
        <v>277</v>
      </c>
    </row>
    <row r="11" spans="1:40" s="40" customFormat="1" ht="15" customHeight="1" x14ac:dyDescent="0.25">
      <c r="A11" s="216"/>
      <c r="B11" s="217" t="s">
        <v>43</v>
      </c>
      <c r="C11" s="845"/>
      <c r="D11" s="50">
        <f>D$9-Prod_an</f>
        <v>123.80787121146386</v>
      </c>
      <c r="E11" s="51">
        <f>(E$9-D$9)*Prod_an/D$9</f>
        <v>741.96867869641869</v>
      </c>
      <c r="F11" s="186">
        <f>(F$9-E$9)*Prod_an/E$9</f>
        <v>21.143298543434643</v>
      </c>
      <c r="G11" s="185" t="s">
        <v>6</v>
      </c>
      <c r="K11" s="194"/>
      <c r="L11" s="211">
        <f>Tvie_2020</f>
        <v>43209</v>
      </c>
      <c r="M11" s="849"/>
      <c r="N11" s="849"/>
      <c r="O11" s="202">
        <f>IF(An_Tnet,Salim_2020,'2019'!Salim)</f>
        <v>0.14000000000000001</v>
      </c>
      <c r="P11" s="256">
        <f>Ttai_2020</f>
        <v>43101</v>
      </c>
      <c r="Q11" s="272">
        <f>Dens_2020</f>
        <v>0.7</v>
      </c>
      <c r="R11" s="277"/>
      <c r="S11" s="230"/>
      <c r="T11" s="230"/>
      <c r="U11" s="266">
        <f>Htf_2020</f>
        <v>-0.8</v>
      </c>
      <c r="V11" s="429"/>
      <c r="W11" s="518"/>
      <c r="X11" s="525" t="s">
        <v>43</v>
      </c>
      <c r="Y11" s="50">
        <f>Z$9-Prod_an_s</f>
        <v>123.80787121146386</v>
      </c>
      <c r="Z11" s="51">
        <f>(AA$9-Z$9)*Prod_an_s/Z$9</f>
        <v>741.96867869641869</v>
      </c>
      <c r="AA11" s="186">
        <f>(AB$9-AA$9)*Prod_an_s/AA$9</f>
        <v>21.143298543434643</v>
      </c>
      <c r="AB11" s="526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8">
        <f>IF($AJ7=0,0,($AJ9-$AJ7)*$AJ5/$AJ7)</f>
        <v>0</v>
      </c>
      <c r="AK11" s="839">
        <f>IF($AK7=0,0,($AK9-$AK7)*$AK5/$AK7)</f>
        <v>0</v>
      </c>
      <c r="AL11" s="838">
        <f>IF($AL7=0,0,($AL9-$AL7)*$AL5/$AL7)</f>
        <v>0</v>
      </c>
      <c r="AM11" s="839">
        <f>IF($AM7=0,0,($AM9-$AM7)*$AM5/$AM7)</f>
        <v>0</v>
      </c>
      <c r="AN11" s="837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4.3988367776354398E-2</v>
      </c>
      <c r="K12" s="191"/>
      <c r="L12" s="212">
        <f>Pspv_2020</f>
        <v>0</v>
      </c>
      <c r="M12" s="212"/>
      <c r="N12" s="212"/>
      <c r="O12" s="205">
        <f>IF(An_Tnet,Tau_2020*365,'2019'!Tau_j)</f>
        <v>730</v>
      </c>
      <c r="P12" s="457">
        <f>INDEX(Croivg,MIN(MAX(Ttai-$A$15,0)+1,366))</f>
        <v>2.3909964587625958E-6</v>
      </c>
      <c r="Q12" s="280">
        <f>'2019'!Df</f>
        <v>0.7</v>
      </c>
      <c r="R12" s="278"/>
      <c r="S12" s="279"/>
      <c r="T12" s="279"/>
      <c r="U12" s="267">
        <f>'2019'!Hdf</f>
        <v>-1.1000000618559576</v>
      </c>
      <c r="V12" s="517"/>
      <c r="W12" s="504"/>
      <c r="X12" s="505"/>
      <c r="Y12" s="504"/>
      <c r="Z12" s="429"/>
      <c r="AA12" s="429"/>
      <c r="AB12" s="531" t="s">
        <v>102</v>
      </c>
      <c r="AC12" s="318" t="b">
        <f>NOT(An_Tnet)</f>
        <v>1</v>
      </c>
      <c r="AD12" s="429"/>
      <c r="AE12" s="296">
        <f>'2019'!Df_s</f>
        <v>0.7</v>
      </c>
      <c r="AF12" s="203"/>
      <c r="AG12" s="203"/>
      <c r="AH12" s="203"/>
      <c r="AI12" s="297">
        <f>'2019'!Hdf_s</f>
        <v>-1.1000000618559576</v>
      </c>
      <c r="AJ12" s="838">
        <f>IF($AJ8=0,0,($AJ10-$AJ8)*$AJ6/$AJ8)</f>
        <v>741.96867869641869</v>
      </c>
      <c r="AK12" s="839">
        <f>IF($AK8=0,0,($AK10-$AK8)*$AK6/$AK8)</f>
        <v>21.143298543434643</v>
      </c>
      <c r="AL12" s="838">
        <f>IF($AL8=0,0,($AL10-$AL8)*$AL6/$AL8)</f>
        <v>741.96867869641869</v>
      </c>
      <c r="AM12" s="839">
        <f>IF($AM8=0,0,($AM10-$AM8)*$AM6/$AM8)</f>
        <v>21.143298543434643</v>
      </c>
      <c r="AN12" s="837" t="s">
        <v>284</v>
      </c>
    </row>
    <row r="13" spans="1:40" s="37" customFormat="1" ht="11.25" x14ac:dyDescent="0.2">
      <c r="A13" s="130" t="s">
        <v>64</v>
      </c>
      <c r="B13" s="124" t="s">
        <v>34</v>
      </c>
      <c r="C13" s="124"/>
      <c r="D13" s="124" t="s">
        <v>68</v>
      </c>
      <c r="E13" s="124" t="s">
        <v>69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264" t="s">
        <v>41</v>
      </c>
      <c r="W13" s="857" t="s">
        <v>46</v>
      </c>
      <c r="X13" s="532"/>
      <c r="Y13" s="264" t="s">
        <v>96</v>
      </c>
      <c r="Z13" s="264" t="s">
        <v>97</v>
      </c>
      <c r="AA13" s="264" t="s">
        <v>70</v>
      </c>
      <c r="AB13" s="503"/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741.96867869641869</v>
      </c>
      <c r="AK13" s="73">
        <f>+AK11+AK12</f>
        <v>21.143298543434643</v>
      </c>
      <c r="AL13" s="73">
        <f>+AL11+AL12</f>
        <v>741.96867869641869</v>
      </c>
      <c r="AM13" s="73">
        <f>+AM11+AM12</f>
        <v>21.143298543434643</v>
      </c>
      <c r="AN13" s="836" t="s">
        <v>285</v>
      </c>
    </row>
    <row r="14" spans="1:40" s="46" customFormat="1" ht="40.5" customHeight="1" thickBot="1" x14ac:dyDescent="0.25">
      <c r="A14" s="45" t="s">
        <v>2</v>
      </c>
      <c r="B14" s="389" t="s">
        <v>187</v>
      </c>
      <c r="C14" s="389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3" t="s">
        <v>112</v>
      </c>
      <c r="I14" s="79" t="s">
        <v>3</v>
      </c>
      <c r="J14" s="79" t="s">
        <v>31</v>
      </c>
      <c r="K14" s="196"/>
      <c r="L14" s="23" t="s">
        <v>63</v>
      </c>
      <c r="M14" s="23"/>
      <c r="N14" s="23"/>
      <c r="O14" s="23" t="s">
        <v>61</v>
      </c>
      <c r="P14" s="23" t="s">
        <v>83</v>
      </c>
      <c r="Q14" s="23" t="s">
        <v>84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2020</v>
      </c>
      <c r="W14" s="843"/>
      <c r="X14" s="258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131</v>
      </c>
      <c r="AD14" s="23" t="s">
        <v>132</v>
      </c>
      <c r="AE14" s="23" t="s">
        <v>95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7" t="s">
        <v>268</v>
      </c>
      <c r="AK14" s="697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43831</v>
      </c>
      <c r="B15" s="616">
        <v>7.9660000000000002</v>
      </c>
      <c r="C15" s="390"/>
      <c r="D15" s="393">
        <f t="shared" ref="D15:D78" si="0">Wh/(1-Ppv)</f>
        <v>8.0752677808675131</v>
      </c>
      <c r="E15" s="385">
        <f>Wh_pvt/(1-Psa)</f>
        <v>8.7806210800795448</v>
      </c>
      <c r="F15" s="385">
        <f t="shared" ref="F15:F78" si="1">Wh_sa/(1-Pvg*MEDIAN((-Sdif+Wh/Env_an)/Csdif,0,1))</f>
        <v>8.884177699949392</v>
      </c>
      <c r="G15" s="110">
        <f>+Wh_hp/MaxiM</f>
        <v>0.66000480140505668</v>
      </c>
      <c r="H15" s="414" t="b">
        <f>Wh_hp&gt;='2019'!Maxi_hp</f>
        <v>1</v>
      </c>
      <c r="I15" s="379">
        <f>IF(H15,Wh_hp,'2019'!Maxi_hp)</f>
        <v>8.884177699949392</v>
      </c>
      <c r="J15" s="84">
        <f>IF(H15,An,'2019'!An_max)</f>
        <v>2020</v>
      </c>
      <c r="K15" s="197">
        <f>t</f>
        <v>43831</v>
      </c>
      <c r="L15" s="146">
        <f>IF(t&lt;Tvie,1-EXP((T0-t)*PertePVj)+'2019'!Pspv,1-EXP((T0-t)*PertePVj)+Pspv)</f>
        <v>1.3531165013053625E-2</v>
      </c>
      <c r="M15" s="852"/>
      <c r="N15" s="852"/>
      <c r="O15" s="47">
        <f>IF(t&lt;Tnet,'2019'!Resal+('2019'!Salim-'2019'!Resal)*(1-EXP(('2019'!Tnet-t)/('2019'!Tau_j))),Resal+(Salim-Resal)*(1-EXP((Tnet-t)/(Tau_j))))*Salcycl</f>
        <v>8.0330684216889228E-2</v>
      </c>
      <c r="P15" s="302">
        <f>(INDEX(Models!$BJ15:$BT15,,T15)*(1-R15)+INDEX(Models!$BJ15:$BT15,,T15+1)*R15-ERP_i)*Q15*Ramure*Pc/MaxiM</f>
        <v>2.2224345299422962E-2</v>
      </c>
      <c r="Q15" s="303">
        <f t="shared" ref="Q15:Q78" si="2">IF(OR(t&lt;Ttai,Notai),Dd+PousD*Croivg,Dens+PousD*(Croivg-Croi_tai))</f>
        <v>0.7</v>
      </c>
      <c r="R15" s="304">
        <f t="shared" ref="R15:R78" si="3">(Hp_vg-S15)/(INDEX(Echel_vg,T15+1)-S15)</f>
        <v>0.90000065544312791</v>
      </c>
      <c r="S15" s="816">
        <f t="shared" ref="S15:S78" si="4">INDEX(Echel_vg,T15)</f>
        <v>-2</v>
      </c>
      <c r="T15" s="249">
        <f t="shared" ref="T15:T78" si="5">MIN(MATCH(Hp_vg,Echel_vg),10)</f>
        <v>4</v>
      </c>
      <c r="U15" s="250">
        <f>IF(OR(t&lt;Ttai,Notai),Hdd+PousH*Croivg,Hdtf+PousH*(Croivg-Croi_tai))</f>
        <v>-1.0999993445568721</v>
      </c>
      <c r="V15" s="382">
        <f t="shared" ref="V15:V78" si="6">MaxiM*(1-Ppv)*(1-Pvg)*(1-Psa)</f>
        <v>11.940552639283622</v>
      </c>
      <c r="W15" s="402"/>
      <c r="X15" s="156">
        <f t="shared" ref="X15:X78" si="7">t</f>
        <v>43831</v>
      </c>
      <c r="Y15" s="385">
        <f t="shared" ref="Y15:Y78" si="8">Wh_pvt_s*(1-Ppv)</f>
        <v>7.9659999999999993</v>
      </c>
      <c r="Z15" s="385">
        <f t="shared" ref="Z15:Z78" si="9">Wh_sa_s*(1-Psa_s)</f>
        <v>8.0752677808675131</v>
      </c>
      <c r="AA15" s="386">
        <f t="shared" ref="AA15:AA78" si="10">Wh_hp*(1-Pvg_s*MEDIAN((-Sdif+Wh/Env_an)/Csdif,0,1))</f>
        <v>8.7806210800795448</v>
      </c>
      <c r="AB15" s="197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8.0330684216889228E-2</v>
      </c>
      <c r="AD15" s="231">
        <f>(INDEX(Models!$BJ15:$BT15,,AH15)*(1-AF15)+INDEX(Models!$BJ15:$BT15,,AH15+1)*AF15-ERP_i)*AE15*Ramure*Pc/MaxiM</f>
        <v>2.2224345299422962E-2</v>
      </c>
      <c r="AE15" s="303">
        <f t="shared" ref="AE15:AE78" si="12">IF(OR(t&lt;Ttai,Notai),Dd_s+PousD*Croivg,Dens_s+PousD*(Croivg-Croi_tai))</f>
        <v>0.7</v>
      </c>
      <c r="AF15" s="304">
        <f>(Hp_vg_s-AG15)/(INDEX(Echel_vg,AH15+1)-AG15)</f>
        <v>0.90000065544312791</v>
      </c>
      <c r="AG15" s="816">
        <f>INDEX(Echel_vg,AH15)</f>
        <v>-2</v>
      </c>
      <c r="AH15" s="249">
        <f t="shared" ref="AH15:AH78" si="13">MIN(MATCH(Hp_vg_s,Echel_vg),10)</f>
        <v>4</v>
      </c>
      <c r="AI15" s="224">
        <f>IF(OR(t&lt;Ttai,Notai),Hdd_s+PousH*Croivg,Hdtai_s+PousH*(Croivg-Croi_tai))</f>
        <v>-1.0999993445568721</v>
      </c>
      <c r="AJ15" s="265" t="b">
        <f t="shared" ref="AJ15:AJ78" si="14">t&lt;Tnet</f>
        <v>0</v>
      </c>
      <c r="AK15" s="265" t="b">
        <f t="shared" ref="AK15:AK78" si="15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6">A15+1</f>
        <v>43832</v>
      </c>
      <c r="B16" s="617">
        <v>12.007</v>
      </c>
      <c r="C16" s="390"/>
      <c r="D16" s="393">
        <f t="shared" si="0"/>
        <v>12.17196384114273</v>
      </c>
      <c r="E16" s="385">
        <f t="shared" ref="E16:E79" si="17">Wh_pvt/(1-Psa)</f>
        <v>13.236283634451665</v>
      </c>
      <c r="F16" s="385">
        <f t="shared" si="1"/>
        <v>13.53519224964062</v>
      </c>
      <c r="G16" s="110">
        <f t="shared" ref="G16:G79" si="18">+Wh_hp/MaxiM</f>
        <v>0.99469026894449963</v>
      </c>
      <c r="H16" s="414" t="b">
        <f>Wh_hp&gt;='2019'!Maxi_hp</f>
        <v>1</v>
      </c>
      <c r="I16" s="380">
        <f>IF(H16,Wh_hp,'2019'!Maxi_hp)</f>
        <v>13.53519224964062</v>
      </c>
      <c r="J16" s="85">
        <f>IF(H16,An,'2019'!An_max)</f>
        <v>2020</v>
      </c>
      <c r="K16" s="197">
        <f t="shared" ref="K16:K78" si="19">t</f>
        <v>43832</v>
      </c>
      <c r="L16" s="147">
        <f>IF(t&lt;Tvie,1-EXP((T0-t)*PertePVj)+'2019'!Pspv,1-EXP((T0-t)*PertePVj)+Pspv)</f>
        <v>1.3552771212245407E-2</v>
      </c>
      <c r="M16" s="850"/>
      <c r="N16" s="850"/>
      <c r="O16" s="48">
        <f>IF(t&lt;Tnet,'2019'!Resal+('2019'!Salim-'2019'!Resal)*(1-EXP(('2019'!Tnet-t)/('2019'!Tau_j))),Resal+(Salim-Resal)*(1-EXP((Tnet-t)/(Tau_j))))*Salcycl</f>
        <v>8.0409261595052309E-2</v>
      </c>
      <c r="P16" s="169">
        <f>(INDEX(Models!$BJ16:$BT16,,T16)*(1-R16)+INDEX(Models!$BJ16:$BT16,,T16+1)*R16-ERP_i)*Q16*Ramure*Pc/MaxiM</f>
        <v>2.2247277738158901E-2</v>
      </c>
      <c r="Q16" s="305">
        <f t="shared" si="2"/>
        <v>0.7</v>
      </c>
      <c r="R16" s="177">
        <f t="shared" si="3"/>
        <v>0.90001818421513868</v>
      </c>
      <c r="S16" s="817">
        <f t="shared" si="4"/>
        <v>-2</v>
      </c>
      <c r="T16" s="176">
        <f t="shared" si="5"/>
        <v>4</v>
      </c>
      <c r="U16" s="251">
        <f t="shared" ref="U16:U78" si="20">IF(OR(t&lt;Ttai,Notai),Hdd+PousH*Croivg,Hdtf+PousH*(Croivg-Croi_tai))</f>
        <v>-1.0999818157848613</v>
      </c>
      <c r="V16" s="383">
        <f t="shared" si="6"/>
        <v>12.069076470133854</v>
      </c>
      <c r="W16" s="402"/>
      <c r="X16" s="157">
        <f t="shared" si="7"/>
        <v>43832</v>
      </c>
      <c r="Y16" s="385">
        <f t="shared" si="8"/>
        <v>12.007</v>
      </c>
      <c r="Z16" s="385">
        <f t="shared" si="9"/>
        <v>12.17196384114273</v>
      </c>
      <c r="AA16" s="386">
        <f t="shared" si="10"/>
        <v>13.236283634451665</v>
      </c>
      <c r="AB16" s="197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8.0409261595052309E-2</v>
      </c>
      <c r="AD16" s="231">
        <f>(INDEX(Models!$BJ16:$BT16,,AH16)*(1-AF16)+INDEX(Models!$BJ16:$BT16,,AH16+1)*AF16-ERP_i)*AE16*Ramure*Pc/MaxiM</f>
        <v>2.2247277738158901E-2</v>
      </c>
      <c r="AE16" s="305">
        <f t="shared" si="12"/>
        <v>0.7</v>
      </c>
      <c r="AF16" s="177">
        <f t="shared" ref="AF16:AF78" si="21">(Hp_vg_s-AG16)/(INDEX(Echel_vg,AH16+1)-AG16)</f>
        <v>0.90001818421513868</v>
      </c>
      <c r="AG16" s="817">
        <f t="shared" ref="AG16:AG79" si="22">INDEX(Echel_vg,AH16)</f>
        <v>-2</v>
      </c>
      <c r="AH16" s="176">
        <f t="shared" si="13"/>
        <v>4</v>
      </c>
      <c r="AI16" s="225">
        <f t="shared" ref="AI16:AI78" si="23">IF(OR(t&lt;Ttai,Notai),Hdd_s+PousH*Croivg,Hdtai_s+PousH*(Croivg-Croi_tai))</f>
        <v>-1.0999818157848613</v>
      </c>
      <c r="AJ16" s="265" t="b">
        <f t="shared" si="14"/>
        <v>0</v>
      </c>
      <c r="AK16" s="265" t="b">
        <f t="shared" si="15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6"/>
        <v>43833</v>
      </c>
      <c r="B17" s="617">
        <v>5.508</v>
      </c>
      <c r="C17" s="390"/>
      <c r="D17" s="393">
        <f t="shared" si="0"/>
        <v>5.5837965592414003</v>
      </c>
      <c r="E17" s="385">
        <f t="shared" si="17"/>
        <v>6.07256453588034</v>
      </c>
      <c r="F17" s="385">
        <f t="shared" si="1"/>
        <v>6.1019536792048745</v>
      </c>
      <c r="G17" s="110">
        <f t="shared" si="18"/>
        <v>0.44347103441245161</v>
      </c>
      <c r="H17" s="414" t="b">
        <f>Wh_hp&gt;='2019'!Maxi_hp</f>
        <v>0</v>
      </c>
      <c r="I17" s="380">
        <f>IF(H17,Wh_hp,'2019'!Maxi_hp)</f>
        <v>14.124165439868252</v>
      </c>
      <c r="J17" s="85">
        <f>IF(H17,An,'2019'!An_max)</f>
        <v>2019</v>
      </c>
      <c r="K17" s="197">
        <f t="shared" si="19"/>
        <v>43833</v>
      </c>
      <c r="L17" s="147">
        <f>IF(t&lt;Tvie,1-EXP((T0-t)*PertePVj)+'2019'!Pspv,1-EXP((T0-t)*PertePVj)+Pspv)</f>
        <v>1.3574376938205956E-2</v>
      </c>
      <c r="M17" s="850"/>
      <c r="N17" s="850"/>
      <c r="O17" s="48">
        <f>IF(t&lt;Tnet,'2019'!Resal+('2019'!Salim-'2019'!Resal)*(1-EXP(('2019'!Tnet-t)/('2019'!Tau_j))),Resal+(Salim-Resal)*(1-EXP((Tnet-t)/(Tau_j))))*Salcycl</f>
        <v>8.0487901569593304E-2</v>
      </c>
      <c r="P17" s="169">
        <f>(INDEX(Models!$BJ17:$BT17,,T17)*(1-R17)+INDEX(Models!$BJ17:$BT17,,T17+1)*R17-ERP_i)*Q17*Ramure*Pc/MaxiM</f>
        <v>2.2270276601123674E-2</v>
      </c>
      <c r="Q17" s="305">
        <f t="shared" si="2"/>
        <v>0.7</v>
      </c>
      <c r="R17" s="177">
        <f t="shared" si="3"/>
        <v>0.90003644617619782</v>
      </c>
      <c r="S17" s="817">
        <f t="shared" si="4"/>
        <v>-2</v>
      </c>
      <c r="T17" s="176">
        <f t="shared" si="5"/>
        <v>4</v>
      </c>
      <c r="U17" s="251">
        <f t="shared" si="20"/>
        <v>-1.0999635538238022</v>
      </c>
      <c r="V17" s="383">
        <f t="shared" si="6"/>
        <v>12.202371935529392</v>
      </c>
      <c r="W17" s="402"/>
      <c r="X17" s="157">
        <f t="shared" si="7"/>
        <v>43833</v>
      </c>
      <c r="Y17" s="385">
        <f t="shared" si="8"/>
        <v>5.508</v>
      </c>
      <c r="Z17" s="385">
        <f t="shared" si="9"/>
        <v>5.5837965592414003</v>
      </c>
      <c r="AA17" s="386">
        <f t="shared" si="10"/>
        <v>6.07256453588034</v>
      </c>
      <c r="AB17" s="197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8.0487901569593304E-2</v>
      </c>
      <c r="AD17" s="231">
        <f>(INDEX(Models!$BJ17:$BT17,,AH17)*(1-AF17)+INDEX(Models!$BJ17:$BT17,,AH17+1)*AF17-ERP_i)*AE17*Ramure*Pc/MaxiM</f>
        <v>2.2270276601123674E-2</v>
      </c>
      <c r="AE17" s="305">
        <f t="shared" si="12"/>
        <v>0.7</v>
      </c>
      <c r="AF17" s="177">
        <f>(Hp_vg_s-AG17)/(INDEX(Echel_vg,AH17+1)-AG17)</f>
        <v>0.90003644617619782</v>
      </c>
      <c r="AG17" s="817">
        <f>INDEX(Echel_vg,AH17)</f>
        <v>-2</v>
      </c>
      <c r="AH17" s="176">
        <f t="shared" si="13"/>
        <v>4</v>
      </c>
      <c r="AI17" s="225">
        <f t="shared" si="23"/>
        <v>-1.0999635538238022</v>
      </c>
      <c r="AJ17" s="265" t="b">
        <f t="shared" si="14"/>
        <v>0</v>
      </c>
      <c r="AK17" s="265" t="b">
        <f t="shared" si="15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6"/>
        <v>43834</v>
      </c>
      <c r="B18" s="617">
        <v>4.202</v>
      </c>
      <c r="C18" s="390"/>
      <c r="D18" s="393">
        <f t="shared" si="0"/>
        <v>4.2599177660825509</v>
      </c>
      <c r="E18" s="385">
        <f t="shared" si="17"/>
        <v>4.6331987735423175</v>
      </c>
      <c r="F18" s="385">
        <f t="shared" si="1"/>
        <v>4.639185143842381</v>
      </c>
      <c r="G18" s="110">
        <f t="shared" si="18"/>
        <v>0.33335539158220706</v>
      </c>
      <c r="H18" s="414" t="b">
        <f>Wh_hp&gt;='2019'!Maxi_hp</f>
        <v>0</v>
      </c>
      <c r="I18" s="380">
        <f>IF(H18,Wh_hp,'2019'!Maxi_hp)</f>
        <v>14.134069142951605</v>
      </c>
      <c r="J18" s="85">
        <f>IF(H18,An,'2019'!An_max)</f>
        <v>2019</v>
      </c>
      <c r="K18" s="197">
        <f t="shared" si="19"/>
        <v>43834</v>
      </c>
      <c r="L18" s="147">
        <f>IF(t&lt;Tvie,1-EXP((T0-t)*PertePVj)+'2019'!Pspv,1-EXP((T0-t)*PertePVj)+Pspv)</f>
        <v>1.3595982190945599E-2</v>
      </c>
      <c r="M18" s="850"/>
      <c r="N18" s="850"/>
      <c r="O18" s="48">
        <f>IF(t&lt;Tnet,'2019'!Resal+('2019'!Salim-'2019'!Resal)*(1-EXP(('2019'!Tnet-t)/('2019'!Tau_j))),Resal+(Salim-Resal)*(1-EXP((Tnet-t)/(Tau_j))))*Salcycl</f>
        <v>8.056658600346947E-2</v>
      </c>
      <c r="P18" s="169">
        <f>(INDEX(Models!$BJ18:$BT18,,T18)*(1-R18)+INDEX(Models!$BJ18:$BT18,,T18+1)*R18-ERP_i)*Q18*Ramure*Pc/MaxiM</f>
        <v>2.2293901927517394E-2</v>
      </c>
      <c r="Q18" s="305">
        <f t="shared" si="2"/>
        <v>0.7</v>
      </c>
      <c r="R18" s="177">
        <f t="shared" si="3"/>
        <v>0.90005547189889779</v>
      </c>
      <c r="S18" s="817">
        <f t="shared" si="4"/>
        <v>-2</v>
      </c>
      <c r="T18" s="176">
        <f t="shared" si="5"/>
        <v>4</v>
      </c>
      <c r="U18" s="251">
        <f t="shared" si="20"/>
        <v>-1.0999445281011022</v>
      </c>
      <c r="V18" s="383">
        <f t="shared" si="6"/>
        <v>12.340071061663688</v>
      </c>
      <c r="W18" s="402"/>
      <c r="X18" s="157">
        <f t="shared" si="7"/>
        <v>43834</v>
      </c>
      <c r="Y18" s="385">
        <f t="shared" si="8"/>
        <v>4.202</v>
      </c>
      <c r="Z18" s="385">
        <f>Wh_sa_s*(1-Psa_s)</f>
        <v>4.2599177660825509</v>
      </c>
      <c r="AA18" s="386">
        <f t="shared" si="10"/>
        <v>4.6331987735423175</v>
      </c>
      <c r="AB18" s="197">
        <f>t</f>
        <v>43834</v>
      </c>
      <c r="AC18" s="119">
        <f>IF(OR(t&lt;Tnet,NoTnet),'2019'!Resal_s+('2019'!Salim-'2019'!Resal_s)*(1-EXP(('2019'!Tnet_s-t)/'2019'!Tau_j)),Resal_s+(Salim-Resal_s)*(1-EXP((Tnet_s-t)/Tau_j)))*Salcycl</f>
        <v>8.056658600346947E-2</v>
      </c>
      <c r="AD18" s="231">
        <f>(INDEX(Models!$BJ18:$BT18,,AH18)*(1-AF18)+INDEX(Models!$BJ18:$BT18,,AH18+1)*AF18-ERP_i)*AE18*Ramure*Pc/MaxiM</f>
        <v>2.2293901927517394E-2</v>
      </c>
      <c r="AE18" s="305">
        <f t="shared" si="12"/>
        <v>0.7</v>
      </c>
      <c r="AF18" s="177">
        <f t="shared" si="21"/>
        <v>0.90005547189889779</v>
      </c>
      <c r="AG18" s="817">
        <f t="shared" si="22"/>
        <v>-2</v>
      </c>
      <c r="AH18" s="176">
        <f t="shared" si="13"/>
        <v>4</v>
      </c>
      <c r="AI18" s="225">
        <f t="shared" si="23"/>
        <v>-1.0999445281011022</v>
      </c>
      <c r="AJ18" s="265" t="b">
        <f t="shared" si="14"/>
        <v>0</v>
      </c>
      <c r="AK18" s="265" t="b">
        <f t="shared" si="15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6"/>
        <v>43835</v>
      </c>
      <c r="B19" s="617">
        <v>6.3159999999999998</v>
      </c>
      <c r="C19" s="390"/>
      <c r="D19" s="393">
        <f t="shared" si="0"/>
        <v>6.4031960795016163</v>
      </c>
      <c r="E19" s="385">
        <f t="shared" si="17"/>
        <v>6.9648809902709532</v>
      </c>
      <c r="F19" s="385">
        <f t="shared" si="1"/>
        <v>7.0109329941953087</v>
      </c>
      <c r="G19" s="110">
        <f t="shared" si="18"/>
        <v>0.49799401348119504</v>
      </c>
      <c r="H19" s="414" t="b">
        <f>Wh_hp&gt;='2019'!Maxi_hp</f>
        <v>0</v>
      </c>
      <c r="I19" s="380">
        <f>IF(H19,Wh_hp,'2019'!Maxi_hp)</f>
        <v>14.283254951142144</v>
      </c>
      <c r="J19" s="85">
        <f>IF(H19,An,'2019'!An_max)</f>
        <v>2019</v>
      </c>
      <c r="K19" s="197">
        <f t="shared" si="19"/>
        <v>43835</v>
      </c>
      <c r="L19" s="147">
        <f>IF(t&lt;Tvie,1-EXP((T0-t)*PertePVj)+'2019'!Pspv,1-EXP((T0-t)*PertePVj)+Pspv)</f>
        <v>1.3617586970474771E-2</v>
      </c>
      <c r="M19" s="850"/>
      <c r="N19" s="850"/>
      <c r="O19" s="48">
        <f>IF(t&lt;Tnet,'2019'!Resal+('2019'!Salim-'2019'!Resal)*(1-EXP(('2019'!Tnet-t)/('2019'!Tau_j))),Resal+(Salim-Resal)*(1-EXP((Tnet-t)/(Tau_j))))*Salcycl</f>
        <v>8.0645299116228697E-2</v>
      </c>
      <c r="P19" s="169">
        <f>(INDEX(Models!$BJ19:$BT19,,T19)*(1-R19)+INDEX(Models!$BJ19:$BT19,,T19+1)*R19-ERP_i)*Q19*Ramure*Pc/MaxiM</f>
        <v>2.2318690829259809E-2</v>
      </c>
      <c r="Q19" s="305">
        <f t="shared" si="2"/>
        <v>0.7</v>
      </c>
      <c r="R19" s="177">
        <f t="shared" si="3"/>
        <v>0.90007529322252156</v>
      </c>
      <c r="S19" s="817">
        <f t="shared" si="4"/>
        <v>-2</v>
      </c>
      <c r="T19" s="176">
        <f t="shared" si="5"/>
        <v>4</v>
      </c>
      <c r="U19" s="251">
        <f t="shared" si="20"/>
        <v>-1.0999247067774784</v>
      </c>
      <c r="V19" s="383">
        <f t="shared" si="6"/>
        <v>12.481806005223557</v>
      </c>
      <c r="W19" s="402"/>
      <c r="X19" s="157">
        <f t="shared" si="7"/>
        <v>43835</v>
      </c>
      <c r="Y19" s="385">
        <f t="shared" si="8"/>
        <v>6.3159999999999998</v>
      </c>
      <c r="Z19" s="385">
        <f t="shared" si="9"/>
        <v>6.4031960795016163</v>
      </c>
      <c r="AA19" s="386">
        <f t="shared" si="10"/>
        <v>6.9648809902709532</v>
      </c>
      <c r="AB19" s="197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8.0645299116228697E-2</v>
      </c>
      <c r="AD19" s="231">
        <f>(INDEX(Models!$BJ19:$BT19,,AH19)*(1-AF19)+INDEX(Models!$BJ19:$BT19,,AH19+1)*AF19-ERP_i)*AE19*Ramure*Pc/MaxiM</f>
        <v>2.2318690829259809E-2</v>
      </c>
      <c r="AE19" s="305">
        <f t="shared" si="12"/>
        <v>0.7</v>
      </c>
      <c r="AF19" s="177">
        <f t="shared" si="21"/>
        <v>0.90007529322252156</v>
      </c>
      <c r="AG19" s="817">
        <f t="shared" si="22"/>
        <v>-2</v>
      </c>
      <c r="AH19" s="176">
        <f t="shared" si="13"/>
        <v>4</v>
      </c>
      <c r="AI19" s="225">
        <f t="shared" si="23"/>
        <v>-1.0999247067774784</v>
      </c>
      <c r="AJ19" s="265" t="b">
        <f t="shared" si="14"/>
        <v>0</v>
      </c>
      <c r="AK19" s="265" t="b">
        <f t="shared" si="15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6"/>
        <v>43836</v>
      </c>
      <c r="B20" s="617">
        <v>11.972</v>
      </c>
      <c r="C20" s="390"/>
      <c r="D20" s="393">
        <f t="shared" si="0"/>
        <v>12.137546315832708</v>
      </c>
      <c r="E20" s="385">
        <f t="shared" si="17"/>
        <v>13.203376002242159</v>
      </c>
      <c r="F20" s="385">
        <f t="shared" si="1"/>
        <v>13.482308585209402</v>
      </c>
      <c r="G20" s="110">
        <f t="shared" si="18"/>
        <v>0.94650773062493065</v>
      </c>
      <c r="H20" s="414" t="b">
        <f>Wh_hp&gt;='2019'!Maxi_hp</f>
        <v>1</v>
      </c>
      <c r="I20" s="380">
        <f>IF(H20,Wh_hp,'2019'!Maxi_hp)</f>
        <v>13.482308585209402</v>
      </c>
      <c r="J20" s="85">
        <f>IF(H20,An,'2019'!An_max)</f>
        <v>2020</v>
      </c>
      <c r="K20" s="197">
        <f t="shared" si="19"/>
        <v>43836</v>
      </c>
      <c r="L20" s="147">
        <f>IF(t&lt;Tvie,1-EXP((T0-t)*PertePVj)+'2019'!Pspv,1-EXP((T0-t)*PertePVj)+Pspv)</f>
        <v>1.3639191276803908E-2</v>
      </c>
      <c r="M20" s="850"/>
      <c r="N20" s="850"/>
      <c r="O20" s="48">
        <f>IF(t&lt;Tnet,'2019'!Resal+('2019'!Salim-'2019'!Resal)*(1-EXP(('2019'!Tnet-t)/('2019'!Tau_j))),Resal+(Salim-Resal)*(1-EXP((Tnet-t)/(Tau_j))))*Salcycl</f>
        <v>8.0724027417567679E-2</v>
      </c>
      <c r="P20" s="169">
        <f>(INDEX(Models!$BJ20:$BT20,,T20)*(1-R20)+INDEX(Models!$BJ20:$BT20,,T20+1)*R20-ERP_i)*Q20*Ramure*Pc/MaxiM</f>
        <v>2.234515698822687E-2</v>
      </c>
      <c r="Q20" s="305">
        <f t="shared" si="2"/>
        <v>0.7</v>
      </c>
      <c r="R20" s="177">
        <f t="shared" si="3"/>
        <v>0.90009594330482989</v>
      </c>
      <c r="S20" s="817">
        <f t="shared" si="4"/>
        <v>-2</v>
      </c>
      <c r="T20" s="176">
        <f t="shared" si="5"/>
        <v>4</v>
      </c>
      <c r="U20" s="251">
        <f t="shared" si="20"/>
        <v>-1.0999040566951701</v>
      </c>
      <c r="V20" s="383">
        <f t="shared" si="6"/>
        <v>12.627209054697795</v>
      </c>
      <c r="W20" s="402"/>
      <c r="X20" s="157">
        <f t="shared" si="7"/>
        <v>43836</v>
      </c>
      <c r="Y20" s="385">
        <f t="shared" si="8"/>
        <v>11.972</v>
      </c>
      <c r="Z20" s="385">
        <f t="shared" si="9"/>
        <v>12.137546315832708</v>
      </c>
      <c r="AA20" s="386">
        <f t="shared" si="10"/>
        <v>13.203376002242159</v>
      </c>
      <c r="AB20" s="197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8.0724027417567679E-2</v>
      </c>
      <c r="AD20" s="231">
        <f>(INDEX(Models!$BJ20:$BT20,,AH20)*(1-AF20)+INDEX(Models!$BJ20:$BT20,,AH20+1)*AF20-ERP_i)*AE20*Ramure*Pc/MaxiM</f>
        <v>2.234515698822687E-2</v>
      </c>
      <c r="AE20" s="305">
        <f t="shared" si="12"/>
        <v>0.7</v>
      </c>
      <c r="AF20" s="177">
        <f t="shared" si="21"/>
        <v>0.90009594330482989</v>
      </c>
      <c r="AG20" s="817">
        <f t="shared" si="22"/>
        <v>-2</v>
      </c>
      <c r="AH20" s="176">
        <f t="shared" si="13"/>
        <v>4</v>
      </c>
      <c r="AI20" s="225">
        <f t="shared" si="23"/>
        <v>-1.0999040566951701</v>
      </c>
      <c r="AJ20" s="265" t="b">
        <f t="shared" si="14"/>
        <v>0</v>
      </c>
      <c r="AK20" s="265" t="b">
        <f t="shared" si="15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6"/>
        <v>43837</v>
      </c>
      <c r="B21" s="617">
        <v>4.4359999999999999</v>
      </c>
      <c r="C21" s="390"/>
      <c r="D21" s="393">
        <f t="shared" si="0"/>
        <v>4.497438587057343</v>
      </c>
      <c r="E21" s="385">
        <f t="shared" si="17"/>
        <v>4.8927894792316176</v>
      </c>
      <c r="F21" s="385">
        <f t="shared" si="1"/>
        <v>4.900184548289805</v>
      </c>
      <c r="G21" s="110">
        <f t="shared" si="18"/>
        <v>0.33996041197285914</v>
      </c>
      <c r="H21" s="414" t="b">
        <f>Wh_hp&gt;='2019'!Maxi_hp</f>
        <v>1</v>
      </c>
      <c r="I21" s="380">
        <f>IF(H21,Wh_hp,'2019'!Maxi_hp)</f>
        <v>4.900184548289805</v>
      </c>
      <c r="J21" s="85">
        <f>IF(H21,An,'2019'!An_max)</f>
        <v>2020</v>
      </c>
      <c r="K21" s="197">
        <f t="shared" si="19"/>
        <v>43837</v>
      </c>
      <c r="L21" s="147">
        <f>IF(t&lt;Tvie,1-EXP((T0-t)*PertePVj)+'2019'!Pspv,1-EXP((T0-t)*PertePVj)+Pspv)</f>
        <v>1.3660795109943225E-2</v>
      </c>
      <c r="M21" s="850"/>
      <c r="N21" s="850"/>
      <c r="O21" s="48">
        <f>IF(t&lt;Tnet,'2019'!Resal+('2019'!Salim-'2019'!Resal)*(1-EXP(('2019'!Tnet-t)/('2019'!Tau_j))),Resal+(Salim-Resal)*(1-EXP((Tnet-t)/(Tau_j))))*Salcycl</f>
        <v>8.080275962258697E-2</v>
      </c>
      <c r="P21" s="169">
        <f>(INDEX(Models!$BJ21:$BT21,,T21)*(1-R21)+INDEX(Models!$BJ21:$BT21,,T21+1)*R21-ERP_i)*Q21*Ramure*Pc/MaxiM</f>
        <v>2.2373790572112674E-2</v>
      </c>
      <c r="Q21" s="305">
        <f t="shared" si="2"/>
        <v>0.7</v>
      </c>
      <c r="R21" s="177">
        <f t="shared" si="3"/>
        <v>0.90011745667590359</v>
      </c>
      <c r="S21" s="817">
        <f t="shared" si="4"/>
        <v>-2</v>
      </c>
      <c r="T21" s="176">
        <f t="shared" si="5"/>
        <v>4</v>
      </c>
      <c r="U21" s="251">
        <f t="shared" si="20"/>
        <v>-1.0998825433240964</v>
      </c>
      <c r="V21" s="383">
        <f t="shared" si="6"/>
        <v>12.775912637703479</v>
      </c>
      <c r="W21" s="402"/>
      <c r="X21" s="157">
        <f t="shared" si="7"/>
        <v>43837</v>
      </c>
      <c r="Y21" s="385">
        <f t="shared" si="8"/>
        <v>4.4359999999999999</v>
      </c>
      <c r="Z21" s="385">
        <f t="shared" si="9"/>
        <v>4.497438587057343</v>
      </c>
      <c r="AA21" s="386">
        <f t="shared" si="10"/>
        <v>4.8927894792316176</v>
      </c>
      <c r="AB21" s="197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8.080275962258697E-2</v>
      </c>
      <c r="AD21" s="231">
        <f>(INDEX(Models!$BJ21:$BT21,,AH21)*(1-AF21)+INDEX(Models!$BJ21:$BT21,,AH21+1)*AF21-ERP_i)*AE21*Ramure*Pc/MaxiM</f>
        <v>2.2373790572112674E-2</v>
      </c>
      <c r="AE21" s="305">
        <f t="shared" si="12"/>
        <v>0.7</v>
      </c>
      <c r="AF21" s="177">
        <f t="shared" si="21"/>
        <v>0.90011745667590359</v>
      </c>
      <c r="AG21" s="817">
        <f t="shared" si="22"/>
        <v>-2</v>
      </c>
      <c r="AH21" s="176">
        <f t="shared" si="13"/>
        <v>4</v>
      </c>
      <c r="AI21" s="225">
        <f t="shared" si="23"/>
        <v>-1.0998825433240964</v>
      </c>
      <c r="AJ21" s="265" t="b">
        <f t="shared" si="14"/>
        <v>0</v>
      </c>
      <c r="AK21" s="265" t="b">
        <f t="shared" si="15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6"/>
        <v>43838</v>
      </c>
      <c r="B22" s="617">
        <v>7.9660000000000002</v>
      </c>
      <c r="C22" s="390"/>
      <c r="D22" s="393">
        <f t="shared" si="0"/>
        <v>8.0765059729666824</v>
      </c>
      <c r="E22" s="385">
        <f t="shared" si="17"/>
        <v>8.7872302154508812</v>
      </c>
      <c r="F22" s="385">
        <f t="shared" si="1"/>
        <v>8.8770732470669582</v>
      </c>
      <c r="G22" s="110">
        <f t="shared" si="18"/>
        <v>0.60855641269068339</v>
      </c>
      <c r="H22" s="414" t="b">
        <f>Wh_hp&gt;='2019'!Maxi_hp</f>
        <v>1</v>
      </c>
      <c r="I22" s="380">
        <f>IF(H22,Wh_hp,'2019'!Maxi_hp)</f>
        <v>8.8770732470669582</v>
      </c>
      <c r="J22" s="85">
        <f>IF(H22,An,'2019'!An_max)</f>
        <v>2020</v>
      </c>
      <c r="K22" s="197">
        <f t="shared" si="19"/>
        <v>43838</v>
      </c>
      <c r="L22" s="147">
        <f>IF(t&lt;Tvie,1-EXP((T0-t)*PertePVj)+'2019'!Pspv,1-EXP((T0-t)*PertePVj)+Pspv)</f>
        <v>1.3682398469903156E-2</v>
      </c>
      <c r="M22" s="850"/>
      <c r="N22" s="850"/>
      <c r="O22" s="48">
        <f>IF(t&lt;Tnet,'2019'!Resal+('2019'!Salim-'2019'!Resal)*(1-EXP(('2019'!Tnet-t)/('2019'!Tau_j))),Resal+(Salim-Resal)*(1-EXP((Tnet-t)/(Tau_j))))*Salcycl</f>
        <v>8.0881486550165471E-2</v>
      </c>
      <c r="P22" s="169">
        <f>(INDEX(Models!$BJ22:$BT22,,T22)*(1-R22)+INDEX(Models!$BJ22:$BT22,,T22+1)*R22-ERP_i)*Q22*Ramure*Pc/MaxiM</f>
        <v>2.2405058535370753E-2</v>
      </c>
      <c r="Q22" s="305">
        <f t="shared" si="2"/>
        <v>0.7</v>
      </c>
      <c r="R22" s="177">
        <f t="shared" si="3"/>
        <v>0.90013986929412293</v>
      </c>
      <c r="S22" s="817">
        <f t="shared" si="4"/>
        <v>-2</v>
      </c>
      <c r="T22" s="176">
        <f t="shared" si="5"/>
        <v>4</v>
      </c>
      <c r="U22" s="251">
        <f t="shared" si="20"/>
        <v>-1.0998601307058771</v>
      </c>
      <c r="V22" s="383">
        <f t="shared" si="6"/>
        <v>12.927549320746492</v>
      </c>
      <c r="W22" s="402"/>
      <c r="X22" s="157">
        <f t="shared" si="7"/>
        <v>43838</v>
      </c>
      <c r="Y22" s="385">
        <f t="shared" si="8"/>
        <v>7.9659999999999993</v>
      </c>
      <c r="Z22" s="385">
        <f t="shared" si="9"/>
        <v>8.0765059729666824</v>
      </c>
      <c r="AA22" s="386">
        <f t="shared" si="10"/>
        <v>8.7872302154508812</v>
      </c>
      <c r="AB22" s="197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8.0881486550165471E-2</v>
      </c>
      <c r="AD22" s="231">
        <f>(INDEX(Models!$BJ22:$BT22,,AH22)*(1-AF22)+INDEX(Models!$BJ22:$BT22,,AH22+1)*AF22-ERP_i)*AE22*Ramure*Pc/MaxiM</f>
        <v>2.2405058535370753E-2</v>
      </c>
      <c r="AE22" s="305">
        <f t="shared" si="12"/>
        <v>0.7</v>
      </c>
      <c r="AF22" s="177">
        <f t="shared" si="21"/>
        <v>0.90013986929412293</v>
      </c>
      <c r="AG22" s="817">
        <f t="shared" si="22"/>
        <v>-2</v>
      </c>
      <c r="AH22" s="176">
        <f t="shared" si="13"/>
        <v>4</v>
      </c>
      <c r="AI22" s="225">
        <f t="shared" si="23"/>
        <v>-1.0998601307058771</v>
      </c>
      <c r="AJ22" s="265" t="b">
        <f t="shared" si="14"/>
        <v>0</v>
      </c>
      <c r="AK22" s="265" t="b">
        <f t="shared" si="15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6"/>
        <v>43839</v>
      </c>
      <c r="B23" s="617">
        <v>12.074999999999999</v>
      </c>
      <c r="C23" s="390"/>
      <c r="D23" s="393">
        <f t="shared" si="0"/>
        <v>12.242775005282084</v>
      </c>
      <c r="E23" s="385">
        <f t="shared" si="17"/>
        <v>13.321267499713679</v>
      </c>
      <c r="F23" s="385">
        <f t="shared" si="1"/>
        <v>13.592706813048993</v>
      </c>
      <c r="G23" s="110">
        <f t="shared" si="18"/>
        <v>0.92066171279442888</v>
      </c>
      <c r="H23" s="414" t="b">
        <f>Wh_hp&gt;='2019'!Maxi_hp</f>
        <v>1</v>
      </c>
      <c r="I23" s="380">
        <f>IF(H23,Wh_hp,'2019'!Maxi_hp)</f>
        <v>13.592706813048993</v>
      </c>
      <c r="J23" s="85">
        <f>IF(H23,An,'2019'!An_max)</f>
        <v>2020</v>
      </c>
      <c r="K23" s="197">
        <f t="shared" si="19"/>
        <v>43839</v>
      </c>
      <c r="L23" s="147">
        <f>IF(t&lt;Tvie,1-EXP((T0-t)*PertePVj)+'2019'!Pspv,1-EXP((T0-t)*PertePVj)+Pspv)</f>
        <v>1.3704001356694029E-2</v>
      </c>
      <c r="M23" s="850"/>
      <c r="N23" s="850"/>
      <c r="O23" s="48">
        <f>IF(t&lt;Tnet,'2019'!Resal+('2019'!Salim-'2019'!Resal)*(1-EXP(('2019'!Tnet-t)/('2019'!Tau_j))),Resal+(Salim-Resal)*(1-EXP((Tnet-t)/(Tau_j))))*Salcycl</f>
        <v>8.0960201006006038E-2</v>
      </c>
      <c r="P23" s="169">
        <f>(INDEX(Models!$BJ23:$BT23,,T23)*(1-R23)+INDEX(Models!$BJ23:$BT23,,T23+1)*R23-ERP_i)*Q23*Ramure*Pc/MaxiM</f>
        <v>2.2438101232833768E-2</v>
      </c>
      <c r="Q23" s="305">
        <f t="shared" si="2"/>
        <v>0.7</v>
      </c>
      <c r="R23" s="177">
        <f t="shared" si="3"/>
        <v>0.90016321860435844</v>
      </c>
      <c r="S23" s="817">
        <f t="shared" si="4"/>
        <v>-2</v>
      </c>
      <c r="T23" s="176">
        <f t="shared" si="5"/>
        <v>4</v>
      </c>
      <c r="U23" s="251">
        <f t="shared" si="20"/>
        <v>-1.0998367813956416</v>
      </c>
      <c r="V23" s="383">
        <f t="shared" si="6"/>
        <v>13.082529515037971</v>
      </c>
      <c r="W23" s="402"/>
      <c r="X23" s="157">
        <f t="shared" si="7"/>
        <v>43839</v>
      </c>
      <c r="Y23" s="385">
        <f t="shared" si="8"/>
        <v>12.074999999999999</v>
      </c>
      <c r="Z23" s="385">
        <f t="shared" si="9"/>
        <v>12.242775005282084</v>
      </c>
      <c r="AA23" s="386">
        <f t="shared" si="10"/>
        <v>13.321267499713679</v>
      </c>
      <c r="AB23" s="197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8.0960201006006038E-2</v>
      </c>
      <c r="AD23" s="231">
        <f>(INDEX(Models!$BJ23:$BT23,,AH23)*(1-AF23)+INDEX(Models!$BJ23:$BT23,,AH23+1)*AF23-ERP_i)*AE23*Ramure*Pc/MaxiM</f>
        <v>2.2438101232833768E-2</v>
      </c>
      <c r="AE23" s="305">
        <f t="shared" si="12"/>
        <v>0.7</v>
      </c>
      <c r="AF23" s="177">
        <f t="shared" si="21"/>
        <v>0.90016321860435844</v>
      </c>
      <c r="AG23" s="817">
        <f t="shared" si="22"/>
        <v>-2</v>
      </c>
      <c r="AH23" s="176">
        <f t="shared" si="13"/>
        <v>4</v>
      </c>
      <c r="AI23" s="225">
        <f t="shared" si="23"/>
        <v>-1.0998367813956416</v>
      </c>
      <c r="AJ23" s="265" t="b">
        <f t="shared" si="14"/>
        <v>0</v>
      </c>
      <c r="AK23" s="265" t="b">
        <f t="shared" si="15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6"/>
        <v>43840</v>
      </c>
      <c r="B24" s="617">
        <v>6.4630000000000001</v>
      </c>
      <c r="C24" s="390"/>
      <c r="D24" s="393">
        <f t="shared" si="0"/>
        <v>6.5529431005273313</v>
      </c>
      <c r="E24" s="385">
        <f t="shared" si="17"/>
        <v>7.1308166186623927</v>
      </c>
      <c r="F24" s="385">
        <f t="shared" si="1"/>
        <v>7.1741226264262838</v>
      </c>
      <c r="G24" s="110">
        <f t="shared" si="18"/>
        <v>0.48001364981872269</v>
      </c>
      <c r="H24" s="414" t="b">
        <f>Wh_hp&gt;='2019'!Maxi_hp</f>
        <v>0</v>
      </c>
      <c r="I24" s="380">
        <f>IF(H24,Wh_hp,'2019'!Maxi_hp)</f>
        <v>10.238443369739281</v>
      </c>
      <c r="J24" s="85">
        <f>IF(H24,An,'2019'!An_max)</f>
        <v>2019</v>
      </c>
      <c r="K24" s="197">
        <f t="shared" si="19"/>
        <v>43840</v>
      </c>
      <c r="L24" s="147">
        <f>IF(t&lt;Tvie,1-EXP((T0-t)*PertePVj)+'2019'!Pspv,1-EXP((T0-t)*PertePVj)+Pspv)</f>
        <v>1.3725603770326278E-2</v>
      </c>
      <c r="M24" s="850"/>
      <c r="N24" s="850"/>
      <c r="O24" s="48">
        <f>IF(t&lt;Tnet,'2019'!Resal+('2019'!Salim-'2019'!Resal)*(1-EXP(('2019'!Tnet-t)/('2019'!Tau_j))),Resal+(Salim-Resal)*(1-EXP((Tnet-t)/(Tau_j))))*Salcycl</f>
        <v>8.1038897652013844E-2</v>
      </c>
      <c r="P24" s="169">
        <f>(INDEX(Models!$BJ24:$BT24,,T24)*(1-R24)+INDEX(Models!$BJ24:$BT24,,T24+1)*R24-ERP_i)*Q24*Ramure*Pc/MaxiM</f>
        <v>2.2466291531623304E-2</v>
      </c>
      <c r="Q24" s="305">
        <f t="shared" si="2"/>
        <v>0.7</v>
      </c>
      <c r="R24" s="177">
        <f t="shared" si="3"/>
        <v>0.90018754359845565</v>
      </c>
      <c r="S24" s="817">
        <f t="shared" si="4"/>
        <v>-2</v>
      </c>
      <c r="T24" s="176">
        <f t="shared" si="5"/>
        <v>4</v>
      </c>
      <c r="U24" s="251">
        <f t="shared" si="20"/>
        <v>-1.0998124564015443</v>
      </c>
      <c r="V24" s="383">
        <f t="shared" si="6"/>
        <v>13.241641892003056</v>
      </c>
      <c r="W24" s="402"/>
      <c r="X24" s="157">
        <f t="shared" si="7"/>
        <v>43840</v>
      </c>
      <c r="Y24" s="385">
        <f t="shared" si="8"/>
        <v>6.4630000000000001</v>
      </c>
      <c r="Z24" s="385">
        <f t="shared" si="9"/>
        <v>6.5529431005273313</v>
      </c>
      <c r="AA24" s="386">
        <f t="shared" si="10"/>
        <v>7.1308166186623927</v>
      </c>
      <c r="AB24" s="197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8.1038897652013844E-2</v>
      </c>
      <c r="AD24" s="231">
        <f>(INDEX(Models!$BJ24:$BT24,,AH24)*(1-AF24)+INDEX(Models!$BJ24:$BT24,,AH24+1)*AF24-ERP_i)*AE24*Ramure*Pc/MaxiM</f>
        <v>2.2466291531623304E-2</v>
      </c>
      <c r="AE24" s="305">
        <f t="shared" si="12"/>
        <v>0.7</v>
      </c>
      <c r="AF24" s="177">
        <f t="shared" si="21"/>
        <v>0.90018754359845565</v>
      </c>
      <c r="AG24" s="817">
        <f t="shared" si="22"/>
        <v>-2</v>
      </c>
      <c r="AH24" s="176">
        <f t="shared" si="13"/>
        <v>4</v>
      </c>
      <c r="AI24" s="225">
        <f t="shared" si="23"/>
        <v>-1.0998124564015443</v>
      </c>
      <c r="AJ24" s="265" t="b">
        <f t="shared" si="14"/>
        <v>0</v>
      </c>
      <c r="AK24" s="265" t="b">
        <f t="shared" si="15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6"/>
        <v>43841</v>
      </c>
      <c r="B25" s="617">
        <v>12.8</v>
      </c>
      <c r="C25" s="390"/>
      <c r="D25" s="393">
        <f t="shared" si="0"/>
        <v>12.978416967857813</v>
      </c>
      <c r="E25" s="385">
        <f t="shared" si="17"/>
        <v>14.124132298738132</v>
      </c>
      <c r="F25" s="385">
        <f t="shared" si="1"/>
        <v>14.42755384899867</v>
      </c>
      <c r="G25" s="110">
        <f t="shared" si="18"/>
        <v>0.95344613201893036</v>
      </c>
      <c r="H25" s="414" t="b">
        <f>Wh_hp&gt;='2019'!Maxi_hp</f>
        <v>0</v>
      </c>
      <c r="I25" s="380">
        <f>IF(H25,Wh_hp,'2019'!Maxi_hp)</f>
        <v>14.83810615534277</v>
      </c>
      <c r="J25" s="85">
        <f>IF(H25,An,'2019'!An_max)</f>
        <v>2019</v>
      </c>
      <c r="K25" s="197">
        <f t="shared" si="19"/>
        <v>43841</v>
      </c>
      <c r="L25" s="147">
        <f>IF(t&lt;Tvie,1-EXP((T0-t)*PertePVj)+'2019'!Pspv,1-EXP((T0-t)*PertePVj)+Pspv)</f>
        <v>1.3747205710810229E-2</v>
      </c>
      <c r="M25" s="850"/>
      <c r="N25" s="850"/>
      <c r="O25" s="48">
        <f>IF(t&lt;Tnet,'2019'!Resal+('2019'!Salim-'2019'!Resal)*(1-EXP(('2019'!Tnet-t)/('2019'!Tau_j))),Resal+(Salim-Resal)*(1-EXP((Tnet-t)/(Tau_j))))*Salcycl</f>
        <v>8.1117572863763102E-2</v>
      </c>
      <c r="P25" s="169">
        <f>(INDEX(Models!$BJ25:$BT25,,T25)*(1-R25)+INDEX(Models!$BJ25:$BT25,,T25+1)*R25-ERP_i)*Q25*Ramure*Pc/MaxiM</f>
        <v>2.2480358640423841E-2</v>
      </c>
      <c r="Q25" s="305">
        <f t="shared" si="2"/>
        <v>0.7</v>
      </c>
      <c r="R25" s="177">
        <f t="shared" si="3"/>
        <v>0.90021288487810014</v>
      </c>
      <c r="S25" s="817">
        <f t="shared" si="4"/>
        <v>-2</v>
      </c>
      <c r="T25" s="176">
        <f t="shared" si="5"/>
        <v>4</v>
      </c>
      <c r="U25" s="251">
        <f t="shared" si="20"/>
        <v>-1.0997871151218999</v>
      </c>
      <c r="V25" s="383">
        <f t="shared" si="6"/>
        <v>13.405105242075377</v>
      </c>
      <c r="W25" s="402"/>
      <c r="X25" s="157">
        <f t="shared" si="7"/>
        <v>43841</v>
      </c>
      <c r="Y25" s="385">
        <f t="shared" si="8"/>
        <v>12.8</v>
      </c>
      <c r="Z25" s="385">
        <f t="shared" si="9"/>
        <v>12.978416967857813</v>
      </c>
      <c r="AA25" s="386">
        <f t="shared" si="10"/>
        <v>14.124132298738132</v>
      </c>
      <c r="AB25" s="197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8.1117572863763102E-2</v>
      </c>
      <c r="AD25" s="231">
        <f>(INDEX(Models!$BJ25:$BT25,,AH25)*(1-AF25)+INDEX(Models!$BJ25:$BT25,,AH25+1)*AF25-ERP_i)*AE25*Ramure*Pc/MaxiM</f>
        <v>2.2480358640423841E-2</v>
      </c>
      <c r="AE25" s="305">
        <f t="shared" si="12"/>
        <v>0.7</v>
      </c>
      <c r="AF25" s="177">
        <f t="shared" si="21"/>
        <v>0.90021288487810014</v>
      </c>
      <c r="AG25" s="817">
        <f t="shared" si="22"/>
        <v>-2</v>
      </c>
      <c r="AH25" s="176">
        <f t="shared" si="13"/>
        <v>4</v>
      </c>
      <c r="AI25" s="225">
        <f t="shared" si="23"/>
        <v>-1.0997871151218999</v>
      </c>
      <c r="AJ25" s="265" t="b">
        <f t="shared" si="14"/>
        <v>0</v>
      </c>
      <c r="AK25" s="265" t="b">
        <f t="shared" si="15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6"/>
        <v>43842</v>
      </c>
      <c r="B26" s="617">
        <v>13.324</v>
      </c>
      <c r="C26" s="390"/>
      <c r="D26" s="393">
        <f t="shared" si="0"/>
        <v>13.510016816520316</v>
      </c>
      <c r="E26" s="385">
        <f t="shared" si="17"/>
        <v>14.703919572286818</v>
      </c>
      <c r="F26" s="385">
        <f t="shared" si="1"/>
        <v>15.033013193258533</v>
      </c>
      <c r="G26" s="110">
        <f t="shared" si="18"/>
        <v>0.98106255222220851</v>
      </c>
      <c r="H26" s="414" t="b">
        <f>Wh_hp&gt;='2019'!Maxi_hp</f>
        <v>1</v>
      </c>
      <c r="I26" s="380">
        <f>IF(H26,Wh_hp,'2019'!Maxi_hp)</f>
        <v>15.033013193258533</v>
      </c>
      <c r="J26" s="85">
        <f>IF(H26,An,'2019'!An_max)</f>
        <v>2020</v>
      </c>
      <c r="K26" s="197">
        <f t="shared" si="19"/>
        <v>43842</v>
      </c>
      <c r="L26" s="147">
        <f>IF(t&lt;Tvie,1-EXP((T0-t)*PertePVj)+'2019'!Pspv,1-EXP((T0-t)*PertePVj)+Pspv)</f>
        <v>1.3768807178156206E-2</v>
      </c>
      <c r="M26" s="850"/>
      <c r="N26" s="850"/>
      <c r="O26" s="48">
        <f>IF(t&lt;Tnet,'2019'!Resal+('2019'!Salim-'2019'!Resal)*(1-EXP(('2019'!Tnet-t)/('2019'!Tau_j))),Resal+(Salim-Resal)*(1-EXP((Tnet-t)/(Tau_j))))*Salcycl</f>
        <v>8.1196224577881074E-2</v>
      </c>
      <c r="P26" s="169">
        <f>(INDEX(Models!$BJ26:$BT26,,T26)*(1-R26)+INDEX(Models!$BJ26:$BT26,,T26+1)*R26-ERP_i)*Q26*Ramure*Pc/MaxiM</f>
        <v>2.2480582347933147E-2</v>
      </c>
      <c r="Q26" s="305">
        <f t="shared" si="2"/>
        <v>0.7</v>
      </c>
      <c r="R26" s="177">
        <f t="shared" si="3"/>
        <v>0.90023928472014614</v>
      </c>
      <c r="S26" s="817">
        <f t="shared" si="4"/>
        <v>-2</v>
      </c>
      <c r="T26" s="176">
        <f t="shared" si="5"/>
        <v>4</v>
      </c>
      <c r="U26" s="251">
        <f t="shared" si="20"/>
        <v>-1.0997607152798539</v>
      </c>
      <c r="V26" s="383">
        <f t="shared" si="6"/>
        <v>13.573012167782121</v>
      </c>
      <c r="W26" s="402"/>
      <c r="X26" s="157">
        <f t="shared" si="7"/>
        <v>43842</v>
      </c>
      <c r="Y26" s="385">
        <f t="shared" si="8"/>
        <v>13.324</v>
      </c>
      <c r="Z26" s="385">
        <f t="shared" si="9"/>
        <v>13.510016816520316</v>
      </c>
      <c r="AA26" s="386">
        <f t="shared" si="10"/>
        <v>14.703919572286818</v>
      </c>
      <c r="AB26" s="197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8.1196224577881074E-2</v>
      </c>
      <c r="AD26" s="231">
        <f>(INDEX(Models!$BJ26:$BT26,,AH26)*(1-AF26)+INDEX(Models!$BJ26:$BT26,,AH26+1)*AF26-ERP_i)*AE26*Ramure*Pc/MaxiM</f>
        <v>2.2480582347933147E-2</v>
      </c>
      <c r="AE26" s="305">
        <f t="shared" si="12"/>
        <v>0.7</v>
      </c>
      <c r="AF26" s="177">
        <f t="shared" si="21"/>
        <v>0.90023928472014614</v>
      </c>
      <c r="AG26" s="817">
        <f t="shared" si="22"/>
        <v>-2</v>
      </c>
      <c r="AH26" s="176">
        <f t="shared" si="13"/>
        <v>4</v>
      </c>
      <c r="AI26" s="225">
        <f t="shared" si="23"/>
        <v>-1.0997607152798539</v>
      </c>
      <c r="AJ26" s="265" t="b">
        <f t="shared" si="14"/>
        <v>0</v>
      </c>
      <c r="AK26" s="265" t="b">
        <f t="shared" si="15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6"/>
        <v>43843</v>
      </c>
      <c r="B27" s="617">
        <v>9.391</v>
      </c>
      <c r="C27" s="390"/>
      <c r="D27" s="393">
        <f t="shared" si="0"/>
        <v>9.5223166331172795</v>
      </c>
      <c r="E27" s="385">
        <f t="shared" si="17"/>
        <v>10.364706632018205</v>
      </c>
      <c r="F27" s="385">
        <f t="shared" si="1"/>
        <v>10.493774411231749</v>
      </c>
      <c r="G27" s="110">
        <f t="shared" si="18"/>
        <v>0.67617442045033371</v>
      </c>
      <c r="H27" s="414" t="b">
        <f>Wh_hp&gt;='2019'!Maxi_hp</f>
        <v>1</v>
      </c>
      <c r="I27" s="380">
        <f>IF(H27,Wh_hp,'2019'!Maxi_hp)</f>
        <v>10.493774411231749</v>
      </c>
      <c r="J27" s="85">
        <f>IF(H27,An,'2019'!An_max)</f>
        <v>2020</v>
      </c>
      <c r="K27" s="197">
        <f t="shared" si="19"/>
        <v>43843</v>
      </c>
      <c r="L27" s="147">
        <f>IF(t&lt;Tvie,1-EXP((T0-t)*PertePVj)+'2019'!Pspv,1-EXP((T0-t)*PertePVj)+Pspv)</f>
        <v>1.3790408172374646E-2</v>
      </c>
      <c r="M27" s="850"/>
      <c r="N27" s="850"/>
      <c r="O27" s="48">
        <f>IF(t&lt;Tnet,'2019'!Resal+('2019'!Salim-'2019'!Resal)*(1-EXP(('2019'!Tnet-t)/('2019'!Tau_j))),Resal+(Salim-Resal)*(1-EXP((Tnet-t)/(Tau_j))))*Salcycl</f>
        <v>8.1274852131236419E-2</v>
      </c>
      <c r="P27" s="169">
        <f>(INDEX(Models!$BJ27:$BT27,,T27)*(1-R27)+INDEX(Models!$BJ27:$BT27,,T27+1)*R27-ERP_i)*Q27*Ramure*Pc/MaxiM</f>
        <v>2.2467254065917801E-2</v>
      </c>
      <c r="Q27" s="305">
        <f t="shared" si="2"/>
        <v>0.7</v>
      </c>
      <c r="R27" s="177">
        <f t="shared" si="3"/>
        <v>0.90026678714449826</v>
      </c>
      <c r="S27" s="817">
        <f t="shared" si="4"/>
        <v>-2</v>
      </c>
      <c r="T27" s="176">
        <f t="shared" si="5"/>
        <v>4</v>
      </c>
      <c r="U27" s="251">
        <f t="shared" si="20"/>
        <v>-1.0997332128555017</v>
      </c>
      <c r="V27" s="383">
        <f t="shared" si="6"/>
        <v>13.745455219001615</v>
      </c>
      <c r="W27" s="402"/>
      <c r="X27" s="157">
        <f t="shared" si="7"/>
        <v>43843</v>
      </c>
      <c r="Y27" s="385">
        <f t="shared" si="8"/>
        <v>9.391</v>
      </c>
      <c r="Z27" s="385">
        <f t="shared" si="9"/>
        <v>9.5223166331172795</v>
      </c>
      <c r="AA27" s="386">
        <f t="shared" si="10"/>
        <v>10.364706632018205</v>
      </c>
      <c r="AB27" s="197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8.1274852131236419E-2</v>
      </c>
      <c r="AD27" s="231">
        <f>(INDEX(Models!$BJ27:$BT27,,AH27)*(1-AF27)+INDEX(Models!$BJ27:$BT27,,AH27+1)*AF27-ERP_i)*AE27*Ramure*Pc/MaxiM</f>
        <v>2.2467254065917801E-2</v>
      </c>
      <c r="AE27" s="305">
        <f t="shared" si="12"/>
        <v>0.7</v>
      </c>
      <c r="AF27" s="177">
        <f t="shared" si="21"/>
        <v>0.90026678714449826</v>
      </c>
      <c r="AG27" s="817">
        <f t="shared" si="22"/>
        <v>-2</v>
      </c>
      <c r="AH27" s="176">
        <f t="shared" si="13"/>
        <v>4</v>
      </c>
      <c r="AI27" s="225">
        <f t="shared" si="23"/>
        <v>-1.0997332128555017</v>
      </c>
      <c r="AJ27" s="265" t="b">
        <f t="shared" si="14"/>
        <v>0</v>
      </c>
      <c r="AK27" s="265" t="b">
        <f t="shared" si="15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6"/>
        <v>43844</v>
      </c>
      <c r="B28" s="617">
        <v>13.015000000000001</v>
      </c>
      <c r="C28" s="390"/>
      <c r="D28" s="393">
        <f t="shared" si="0"/>
        <v>13.197280959340658</v>
      </c>
      <c r="E28" s="385">
        <f t="shared" si="17"/>
        <v>14.366005126656145</v>
      </c>
      <c r="F28" s="385">
        <f t="shared" si="1"/>
        <v>14.664441143503488</v>
      </c>
      <c r="G28" s="110">
        <f t="shared" si="18"/>
        <v>0.93282189025148965</v>
      </c>
      <c r="H28" s="414" t="b">
        <f>Wh_hp&gt;='2019'!Maxi_hp</f>
        <v>1</v>
      </c>
      <c r="I28" s="380">
        <f>IF(H28,Wh_hp,'2019'!Maxi_hp)</f>
        <v>14.664441143503488</v>
      </c>
      <c r="J28" s="85">
        <f>IF(H28,An,'2019'!An_max)</f>
        <v>2020</v>
      </c>
      <c r="K28" s="197">
        <f t="shared" si="19"/>
        <v>43844</v>
      </c>
      <c r="L28" s="147">
        <f>IF(t&lt;Tvie,1-EXP((T0-t)*PertePVj)+'2019'!Pspv,1-EXP((T0-t)*PertePVj)+Pspv)</f>
        <v>1.3812008693475875E-2</v>
      </c>
      <c r="M28" s="850"/>
      <c r="N28" s="850"/>
      <c r="O28" s="48">
        <f>IF(t&lt;Tnet,'2019'!Resal+('2019'!Salim-'2019'!Resal)*(1-EXP(('2019'!Tnet-t)/('2019'!Tau_j))),Resal+(Salim-Resal)*(1-EXP((Tnet-t)/(Tau_j))))*Salcycl</f>
        <v>8.1353456093852958E-2</v>
      </c>
      <c r="P28" s="169">
        <f>(INDEX(Models!$BJ28:$BT28,,T28)*(1-R28)+INDEX(Models!$BJ28:$BT28,,T28+1)*R28-ERP_i)*Q28*Ramure*Pc/MaxiM</f>
        <v>2.2440676144357938E-2</v>
      </c>
      <c r="Q28" s="305">
        <f t="shared" si="2"/>
        <v>0.7</v>
      </c>
      <c r="R28" s="177">
        <f t="shared" si="3"/>
        <v>0.90029543798463929</v>
      </c>
      <c r="S28" s="817">
        <f t="shared" si="4"/>
        <v>-2</v>
      </c>
      <c r="T28" s="176">
        <f t="shared" si="5"/>
        <v>4</v>
      </c>
      <c r="U28" s="251">
        <f t="shared" si="20"/>
        <v>-1.0997045620153607</v>
      </c>
      <c r="V28" s="383">
        <f t="shared" si="6"/>
        <v>13.922526895308987</v>
      </c>
      <c r="W28" s="402"/>
      <c r="X28" s="157">
        <f t="shared" si="7"/>
        <v>43844</v>
      </c>
      <c r="Y28" s="385">
        <f t="shared" si="8"/>
        <v>13.015000000000001</v>
      </c>
      <c r="Z28" s="385">
        <f t="shared" si="9"/>
        <v>13.197280959340658</v>
      </c>
      <c r="AA28" s="386">
        <f t="shared" si="10"/>
        <v>14.366005126656145</v>
      </c>
      <c r="AB28" s="197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8.1353456093852958E-2</v>
      </c>
      <c r="AD28" s="231">
        <f>(INDEX(Models!$BJ28:$BT28,,AH28)*(1-AF28)+INDEX(Models!$BJ28:$BT28,,AH28+1)*AF28-ERP_i)*AE28*Ramure*Pc/MaxiM</f>
        <v>2.2440676144357938E-2</v>
      </c>
      <c r="AE28" s="305">
        <f t="shared" si="12"/>
        <v>0.7</v>
      </c>
      <c r="AF28" s="177">
        <f t="shared" si="21"/>
        <v>0.90029543798463929</v>
      </c>
      <c r="AG28" s="817">
        <f t="shared" si="22"/>
        <v>-2</v>
      </c>
      <c r="AH28" s="176">
        <f t="shared" si="13"/>
        <v>4</v>
      </c>
      <c r="AI28" s="225">
        <f t="shared" si="23"/>
        <v>-1.0997045620153607</v>
      </c>
      <c r="AJ28" s="265" t="b">
        <f t="shared" si="14"/>
        <v>0</v>
      </c>
      <c r="AK28" s="265" t="b">
        <f t="shared" si="15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6"/>
        <v>43845</v>
      </c>
      <c r="B29" s="617">
        <v>11.786</v>
      </c>
      <c r="C29" s="390"/>
      <c r="D29" s="393">
        <f t="shared" si="0"/>
        <v>11.951330023485077</v>
      </c>
      <c r="E29" s="385">
        <f t="shared" si="17"/>
        <v>13.010828288341168</v>
      </c>
      <c r="F29" s="385">
        <f t="shared" si="1"/>
        <v>13.237737204854621</v>
      </c>
      <c r="G29" s="110">
        <f t="shared" si="18"/>
        <v>0.8311583685115943</v>
      </c>
      <c r="H29" s="414" t="b">
        <f>Wh_hp&gt;='2019'!Maxi_hp</f>
        <v>0</v>
      </c>
      <c r="I29" s="380">
        <f>IF(H29,Wh_hp,'2019'!Maxi_hp)</f>
        <v>15.949981702502878</v>
      </c>
      <c r="J29" s="85">
        <f>IF(H29,An,'2019'!An_max)</f>
        <v>2019</v>
      </c>
      <c r="K29" s="197">
        <f t="shared" si="19"/>
        <v>43845</v>
      </c>
      <c r="L29" s="147">
        <f>IF(t&lt;Tvie,1-EXP((T0-t)*PertePVj)+'2019'!Pspv,1-EXP((T0-t)*PertePVj)+Pspv)</f>
        <v>1.3833608741470216E-2</v>
      </c>
      <c r="M29" s="850"/>
      <c r="N29" s="850"/>
      <c r="O29" s="48">
        <f>IF(t&lt;Tnet,'2019'!Resal+('2019'!Salim-'2019'!Resal)*(1-EXP(('2019'!Tnet-t)/('2019'!Tau_j))),Resal+(Salim-Resal)*(1-EXP((Tnet-t)/(Tau_j))))*Salcycl</f>
        <v>8.1432038097489293E-2</v>
      </c>
      <c r="P29" s="169">
        <f>(INDEX(Models!$BJ29:$BT29,,T29)*(1-R29)+INDEX(Models!$BJ29:$BT29,,T29+1)*R29-ERP_i)*Q29*Ramure*Pc/MaxiM</f>
        <v>2.2401161118813934E-2</v>
      </c>
      <c r="Q29" s="305">
        <f t="shared" si="2"/>
        <v>0.7</v>
      </c>
      <c r="R29" s="177">
        <f t="shared" si="3"/>
        <v>0.9003252849608967</v>
      </c>
      <c r="S29" s="817">
        <f t="shared" si="4"/>
        <v>-2</v>
      </c>
      <c r="T29" s="176">
        <f t="shared" si="5"/>
        <v>4</v>
      </c>
      <c r="U29" s="251">
        <f t="shared" si="20"/>
        <v>-1.0996747150391033</v>
      </c>
      <c r="V29" s="383">
        <f t="shared" si="6"/>
        <v>14.104319648235553</v>
      </c>
      <c r="W29" s="402"/>
      <c r="X29" s="157">
        <f t="shared" si="7"/>
        <v>43845</v>
      </c>
      <c r="Y29" s="385">
        <f t="shared" si="8"/>
        <v>11.786</v>
      </c>
      <c r="Z29" s="385">
        <f t="shared" si="9"/>
        <v>11.951330023485077</v>
      </c>
      <c r="AA29" s="386">
        <f t="shared" si="10"/>
        <v>13.010828288341168</v>
      </c>
      <c r="AB29" s="197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8.1432038097489293E-2</v>
      </c>
      <c r="AD29" s="231">
        <f>(INDEX(Models!$BJ29:$BT29,,AH29)*(1-AF29)+INDEX(Models!$BJ29:$BT29,,AH29+1)*AF29-ERP_i)*AE29*Ramure*Pc/MaxiM</f>
        <v>2.2401161118813934E-2</v>
      </c>
      <c r="AE29" s="305">
        <f t="shared" si="12"/>
        <v>0.7</v>
      </c>
      <c r="AF29" s="177">
        <f t="shared" si="21"/>
        <v>0.9003252849608967</v>
      </c>
      <c r="AG29" s="817">
        <f t="shared" si="22"/>
        <v>-2</v>
      </c>
      <c r="AH29" s="176">
        <f t="shared" si="13"/>
        <v>4</v>
      </c>
      <c r="AI29" s="225">
        <f t="shared" si="23"/>
        <v>-1.0996747150391033</v>
      </c>
      <c r="AJ29" s="265" t="b">
        <f t="shared" si="14"/>
        <v>0</v>
      </c>
      <c r="AK29" s="265" t="b">
        <f t="shared" si="15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6"/>
        <v>43846</v>
      </c>
      <c r="B30" s="617">
        <v>12.134</v>
      </c>
      <c r="C30" s="390"/>
      <c r="D30" s="393">
        <f t="shared" si="0"/>
        <v>12.304481149551865</v>
      </c>
      <c r="E30" s="385">
        <f t="shared" si="17"/>
        <v>13.396432401307976</v>
      </c>
      <c r="F30" s="385">
        <f t="shared" si="1"/>
        <v>13.635462898829353</v>
      </c>
      <c r="G30" s="110">
        <f t="shared" si="18"/>
        <v>0.84490559888128436</v>
      </c>
      <c r="H30" s="414" t="b">
        <f>Wh_hp&gt;='2019'!Maxi_hp</f>
        <v>0</v>
      </c>
      <c r="I30" s="380">
        <f>IF(H30,Wh_hp,'2019'!Maxi_hp)</f>
        <v>16.019195087991264</v>
      </c>
      <c r="J30" s="85">
        <f>IF(H30,An,'2019'!An_max)</f>
        <v>2019</v>
      </c>
      <c r="K30" s="197">
        <f t="shared" si="19"/>
        <v>43846</v>
      </c>
      <c r="L30" s="147">
        <f>IF(t&lt;Tvie,1-EXP((T0-t)*PertePVj)+'2019'!Pspv,1-EXP((T0-t)*PertePVj)+Pspv)</f>
        <v>1.3855208316368106E-2</v>
      </c>
      <c r="M30" s="850"/>
      <c r="N30" s="850"/>
      <c r="O30" s="48">
        <f>IF(t&lt;Tnet,'2019'!Resal+('2019'!Salim-'2019'!Resal)*(1-EXP(('2019'!Tnet-t)/('2019'!Tau_j))),Resal+(Salim-Resal)*(1-EXP((Tnet-t)/(Tau_j))))*Salcycl</f>
        <v>8.1510600661822294E-2</v>
      </c>
      <c r="P30" s="169">
        <f>(INDEX(Models!$BJ30:$BT30,,T30)*(1-R30)+INDEX(Models!$BJ30:$BT30,,T30+1)*R30-ERP_i)*Q30*Ramure*Pc/MaxiM</f>
        <v>2.2348775463165511E-2</v>
      </c>
      <c r="Q30" s="305">
        <f t="shared" si="2"/>
        <v>0.7</v>
      </c>
      <c r="R30" s="177">
        <f t="shared" si="3"/>
        <v>0.90035637775654376</v>
      </c>
      <c r="S30" s="817">
        <f t="shared" si="4"/>
        <v>-2</v>
      </c>
      <c r="T30" s="176">
        <f t="shared" si="5"/>
        <v>4</v>
      </c>
      <c r="U30" s="251">
        <f t="shared" si="20"/>
        <v>-1.0996436222434562</v>
      </c>
      <c r="V30" s="383">
        <f t="shared" si="6"/>
        <v>14.290929613231992</v>
      </c>
      <c r="W30" s="402"/>
      <c r="X30" s="157">
        <f t="shared" si="7"/>
        <v>43846</v>
      </c>
      <c r="Y30" s="385">
        <f t="shared" si="8"/>
        <v>12.134</v>
      </c>
      <c r="Z30" s="385">
        <f t="shared" si="9"/>
        <v>12.304481149551865</v>
      </c>
      <c r="AA30" s="386">
        <f t="shared" si="10"/>
        <v>13.396432401307976</v>
      </c>
      <c r="AB30" s="197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8.1510600661822294E-2</v>
      </c>
      <c r="AD30" s="231">
        <f>(INDEX(Models!$BJ30:$BT30,,AH30)*(1-AF30)+INDEX(Models!$BJ30:$BT30,,AH30+1)*AF30-ERP_i)*AE30*Ramure*Pc/MaxiM</f>
        <v>2.2348775463165511E-2</v>
      </c>
      <c r="AE30" s="305">
        <f t="shared" si="12"/>
        <v>0.7</v>
      </c>
      <c r="AF30" s="177">
        <f t="shared" si="21"/>
        <v>0.90035637775654376</v>
      </c>
      <c r="AG30" s="817">
        <f t="shared" si="22"/>
        <v>-2</v>
      </c>
      <c r="AH30" s="176">
        <f t="shared" si="13"/>
        <v>4</v>
      </c>
      <c r="AI30" s="225">
        <f t="shared" si="23"/>
        <v>-1.0996436222434562</v>
      </c>
      <c r="AJ30" s="265" t="b">
        <f t="shared" si="14"/>
        <v>0</v>
      </c>
      <c r="AK30" s="265" t="b">
        <f t="shared" si="15"/>
        <v>0</v>
      </c>
      <c r="AL30" s="265"/>
      <c r="AM30" s="265"/>
      <c r="AN30" s="75"/>
    </row>
    <row r="31" spans="1:40" s="6" customFormat="1" ht="11.25" x14ac:dyDescent="0.2">
      <c r="A31" s="56">
        <f t="shared" si="16"/>
        <v>43847</v>
      </c>
      <c r="B31" s="617">
        <v>2.702</v>
      </c>
      <c r="C31" s="390"/>
      <c r="D31" s="393">
        <f t="shared" si="0"/>
        <v>2.7400227682768055</v>
      </c>
      <c r="E31" s="385">
        <f t="shared" si="17"/>
        <v>2.9834390124927292</v>
      </c>
      <c r="F31" s="385">
        <f t="shared" si="1"/>
        <v>2.9834390124927292</v>
      </c>
      <c r="G31" s="110">
        <f t="shared" si="18"/>
        <v>0.18241313915097804</v>
      </c>
      <c r="H31" s="414" t="b">
        <f>Wh_hp&gt;='2019'!Maxi_hp</f>
        <v>0</v>
      </c>
      <c r="I31" s="380">
        <f>IF(H31,Wh_hp,'2019'!Maxi_hp)</f>
        <v>6.9482737869840507</v>
      </c>
      <c r="J31" s="85">
        <f>IF(H31,An,'2019'!An_max)</f>
        <v>2019</v>
      </c>
      <c r="K31" s="197">
        <f t="shared" si="19"/>
        <v>43847</v>
      </c>
      <c r="L31" s="147">
        <f>IF(t&lt;Tvie,1-EXP((T0-t)*PertePVj)+'2019'!Pspv,1-EXP((T0-t)*PertePVj)+Pspv)</f>
        <v>1.3876807418179871E-2</v>
      </c>
      <c r="M31" s="850"/>
      <c r="N31" s="850"/>
      <c r="O31" s="48">
        <f>IF(t&lt;Tnet,'2019'!Resal+('2019'!Salim-'2019'!Resal)*(1-EXP(('2019'!Tnet-t)/('2019'!Tau_j))),Resal+(Salim-Resal)*(1-EXP((Tnet-t)/(Tau_j))))*Salcycl</f>
        <v>8.1589147020151118E-2</v>
      </c>
      <c r="P31" s="169">
        <f>(INDEX(Models!$BJ31:$BT31,,T31)*(1-R31)+INDEX(Models!$BJ31:$BT31,,T31+1)*R31-ERP_i)*Q31*Ramure*Pc/MaxiM</f>
        <v>2.2284968002028255E-2</v>
      </c>
      <c r="Q31" s="305">
        <f t="shared" si="2"/>
        <v>0.7</v>
      </c>
      <c r="R31" s="177">
        <f t="shared" si="3"/>
        <v>0.90038876809683455</v>
      </c>
      <c r="S31" s="817">
        <f t="shared" si="4"/>
        <v>-2</v>
      </c>
      <c r="T31" s="176">
        <f t="shared" si="5"/>
        <v>4</v>
      </c>
      <c r="U31" s="251">
        <f t="shared" si="20"/>
        <v>-1.0996112319031655</v>
      </c>
      <c r="V31" s="383">
        <f t="shared" si="6"/>
        <v>14.482432728006453</v>
      </c>
      <c r="W31" s="402"/>
      <c r="X31" s="157">
        <f t="shared" si="7"/>
        <v>43847</v>
      </c>
      <c r="Y31" s="385">
        <f t="shared" si="8"/>
        <v>2.702</v>
      </c>
      <c r="Z31" s="385">
        <f t="shared" si="9"/>
        <v>2.7400227682768055</v>
      </c>
      <c r="AA31" s="386">
        <f t="shared" si="10"/>
        <v>2.9834390124927292</v>
      </c>
      <c r="AB31" s="197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8.1589147020151118E-2</v>
      </c>
      <c r="AD31" s="231">
        <f>(INDEX(Models!$BJ31:$BT31,,AH31)*(1-AF31)+INDEX(Models!$BJ31:$BT31,,AH31+1)*AF31-ERP_i)*AE31*Ramure*Pc/MaxiM</f>
        <v>2.2284968002028255E-2</v>
      </c>
      <c r="AE31" s="305">
        <f t="shared" si="12"/>
        <v>0.7</v>
      </c>
      <c r="AF31" s="177">
        <f t="shared" si="21"/>
        <v>0.90038876809683455</v>
      </c>
      <c r="AG31" s="817">
        <f t="shared" si="22"/>
        <v>-2</v>
      </c>
      <c r="AH31" s="176">
        <f t="shared" si="13"/>
        <v>4</v>
      </c>
      <c r="AI31" s="225">
        <f t="shared" si="23"/>
        <v>-1.0996112319031655</v>
      </c>
      <c r="AJ31" s="265" t="b">
        <f t="shared" si="14"/>
        <v>0</v>
      </c>
      <c r="AK31" s="265" t="b">
        <f t="shared" si="15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6"/>
        <v>43848</v>
      </c>
      <c r="B32" s="617">
        <v>10.234999999999999</v>
      </c>
      <c r="C32" s="390"/>
      <c r="D32" s="393">
        <f t="shared" si="0"/>
        <v>10.379255101870317</v>
      </c>
      <c r="E32" s="385">
        <f t="shared" si="17"/>
        <v>11.30228664125416</v>
      </c>
      <c r="F32" s="385">
        <f t="shared" si="1"/>
        <v>11.446564442796969</v>
      </c>
      <c r="G32" s="110">
        <f t="shared" si="18"/>
        <v>0.69047525235311913</v>
      </c>
      <c r="H32" s="414" t="b">
        <f>Wh_hp&gt;='2019'!Maxi_hp</f>
        <v>1</v>
      </c>
      <c r="I32" s="380">
        <f>IF(H32,Wh_hp,'2019'!Maxi_hp)</f>
        <v>11.446564442796969</v>
      </c>
      <c r="J32" s="85">
        <f>IF(H32,An,'2019'!An_max)</f>
        <v>2020</v>
      </c>
      <c r="K32" s="197">
        <f t="shared" si="19"/>
        <v>43848</v>
      </c>
      <c r="L32" s="147">
        <f>IF(t&lt;Tvie,1-EXP((T0-t)*PertePVj)+'2019'!Pspv,1-EXP((T0-t)*PertePVj)+Pspv)</f>
        <v>1.3898406046915945E-2</v>
      </c>
      <c r="M32" s="850"/>
      <c r="N32" s="850"/>
      <c r="O32" s="48">
        <f>IF(t&lt;Tnet,'2019'!Resal+('2019'!Salim-'2019'!Resal)*(1-EXP(('2019'!Tnet-t)/('2019'!Tau_j))),Resal+(Salim-Resal)*(1-EXP((Tnet-t)/(Tau_j))))*Salcycl</f>
        <v>8.1667680946500759E-2</v>
      </c>
      <c r="P32" s="169">
        <f>(INDEX(Models!$BJ32:$BT32,,T32)*(1-R32)+INDEX(Models!$BJ32:$BT32,,T32+1)*R32-ERP_i)*Q32*Ramure*Pc/MaxiM</f>
        <v>2.221004289299992E-2</v>
      </c>
      <c r="Q32" s="305">
        <f t="shared" si="2"/>
        <v>0.7</v>
      </c>
      <c r="R32" s="177">
        <f t="shared" si="3"/>
        <v>0.90042250983107675</v>
      </c>
      <c r="S32" s="817">
        <f t="shared" si="4"/>
        <v>-2</v>
      </c>
      <c r="T32" s="176">
        <f t="shared" si="5"/>
        <v>4</v>
      </c>
      <c r="U32" s="251">
        <f t="shared" si="20"/>
        <v>-1.0995774901689233</v>
      </c>
      <c r="V32" s="383">
        <f t="shared" si="6"/>
        <v>14.678921302161761</v>
      </c>
      <c r="W32" s="402"/>
      <c r="X32" s="157">
        <f t="shared" si="7"/>
        <v>43848</v>
      </c>
      <c r="Y32" s="385">
        <f t="shared" si="8"/>
        <v>10.234999999999999</v>
      </c>
      <c r="Z32" s="385">
        <f t="shared" si="9"/>
        <v>10.379255101870317</v>
      </c>
      <c r="AA32" s="386">
        <f t="shared" si="10"/>
        <v>11.30228664125416</v>
      </c>
      <c r="AB32" s="197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8.1667680946500759E-2</v>
      </c>
      <c r="AD32" s="231">
        <f>(INDEX(Models!$BJ32:$BT32,,AH32)*(1-AF32)+INDEX(Models!$BJ32:$BT32,,AH32+1)*AF32-ERP_i)*AE32*Ramure*Pc/MaxiM</f>
        <v>2.221004289299992E-2</v>
      </c>
      <c r="AE32" s="305">
        <f t="shared" si="12"/>
        <v>0.7</v>
      </c>
      <c r="AF32" s="177">
        <f t="shared" si="21"/>
        <v>0.90042250983107675</v>
      </c>
      <c r="AG32" s="817">
        <f t="shared" si="22"/>
        <v>-2</v>
      </c>
      <c r="AH32" s="176">
        <f t="shared" si="13"/>
        <v>4</v>
      </c>
      <c r="AI32" s="225">
        <f t="shared" si="23"/>
        <v>-1.0995774901689233</v>
      </c>
      <c r="AJ32" s="265" t="b">
        <f t="shared" si="14"/>
        <v>0</v>
      </c>
      <c r="AK32" s="265" t="b">
        <f t="shared" si="15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6"/>
        <v>43849</v>
      </c>
      <c r="B33" s="617">
        <v>13.715</v>
      </c>
      <c r="C33" s="390"/>
      <c r="D33" s="393">
        <f t="shared" si="0"/>
        <v>13.908607880143729</v>
      </c>
      <c r="E33" s="385">
        <f t="shared" si="17"/>
        <v>15.146801439754176</v>
      </c>
      <c r="F33" s="385">
        <f t="shared" si="1"/>
        <v>15.450383162148224</v>
      </c>
      <c r="G33" s="110">
        <f t="shared" si="18"/>
        <v>0.9193494501195445</v>
      </c>
      <c r="H33" s="414" t="b">
        <f>Wh_hp&gt;='2019'!Maxi_hp</f>
        <v>1</v>
      </c>
      <c r="I33" s="380">
        <f>IF(H33,Wh_hp,'2019'!Maxi_hp)</f>
        <v>15.450383162148224</v>
      </c>
      <c r="J33" s="85">
        <f>IF(H33,An,'2019'!An_max)</f>
        <v>2020</v>
      </c>
      <c r="K33" s="197">
        <f t="shared" si="19"/>
        <v>43849</v>
      </c>
      <c r="L33" s="147">
        <f>IF(t&lt;Tvie,1-EXP((T0-t)*PertePVj)+'2019'!Pspv,1-EXP((T0-t)*PertePVj)+Pspv)</f>
        <v>1.3920004202586544E-2</v>
      </c>
      <c r="M33" s="850"/>
      <c r="N33" s="850"/>
      <c r="O33" s="48">
        <f>IF(t&lt;Tnet,'2019'!Resal+('2019'!Salim-'2019'!Resal)*(1-EXP(('2019'!Tnet-t)/('2019'!Tau_j))),Resal+(Salim-Resal)*(1-EXP((Tnet-t)/(Tau_j))))*Salcycl</f>
        <v>8.1746206585945932E-2</v>
      </c>
      <c r="P33" s="169">
        <f>(INDEX(Models!$BJ33:$BT33,,T33)*(1-R33)+INDEX(Models!$BJ33:$BT33,,T33+1)*R33-ERP_i)*Q33*Ramure*Pc/MaxiM</f>
        <v>2.2124311031978882E-2</v>
      </c>
      <c r="Q33" s="305">
        <f t="shared" si="2"/>
        <v>0.7</v>
      </c>
      <c r="R33" s="177">
        <f t="shared" si="3"/>
        <v>0.90045765901784058</v>
      </c>
      <c r="S33" s="817">
        <f t="shared" si="4"/>
        <v>-2</v>
      </c>
      <c r="T33" s="176">
        <f t="shared" si="5"/>
        <v>4</v>
      </c>
      <c r="U33" s="251">
        <f t="shared" si="20"/>
        <v>-1.0995423409821594</v>
      </c>
      <c r="V33" s="383">
        <f t="shared" si="6"/>
        <v>14.880487605709249</v>
      </c>
      <c r="W33" s="402"/>
      <c r="X33" s="157">
        <f t="shared" si="7"/>
        <v>43849</v>
      </c>
      <c r="Y33" s="385">
        <f t="shared" si="8"/>
        <v>13.715</v>
      </c>
      <c r="Z33" s="385">
        <f t="shared" si="9"/>
        <v>13.908607880143729</v>
      </c>
      <c r="AA33" s="386">
        <f t="shared" si="10"/>
        <v>15.146801439754176</v>
      </c>
      <c r="AB33" s="197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8.1746206585945932E-2</v>
      </c>
      <c r="AD33" s="231">
        <f>(INDEX(Models!$BJ33:$BT33,,AH33)*(1-AF33)+INDEX(Models!$BJ33:$BT33,,AH33+1)*AF33-ERP_i)*AE33*Ramure*Pc/MaxiM</f>
        <v>2.2124311031978882E-2</v>
      </c>
      <c r="AE33" s="305">
        <f t="shared" si="12"/>
        <v>0.7</v>
      </c>
      <c r="AF33" s="177">
        <f t="shared" si="21"/>
        <v>0.90045765901784058</v>
      </c>
      <c r="AG33" s="817">
        <f t="shared" si="22"/>
        <v>-2</v>
      </c>
      <c r="AH33" s="176">
        <f t="shared" si="13"/>
        <v>4</v>
      </c>
      <c r="AI33" s="225">
        <f t="shared" si="23"/>
        <v>-1.0995423409821594</v>
      </c>
      <c r="AJ33" s="265" t="b">
        <f t="shared" si="14"/>
        <v>0</v>
      </c>
      <c r="AK33" s="265" t="b">
        <f t="shared" si="15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6"/>
        <v>43850</v>
      </c>
      <c r="B34" s="617">
        <v>6.8049999999999997</v>
      </c>
      <c r="C34" s="390"/>
      <c r="D34" s="393">
        <f t="shared" si="0"/>
        <v>6.9012139778031232</v>
      </c>
      <c r="E34" s="385">
        <f t="shared" si="17"/>
        <v>7.5162272285439036</v>
      </c>
      <c r="F34" s="385">
        <f t="shared" si="1"/>
        <v>7.5521238527845549</v>
      </c>
      <c r="G34" s="110">
        <f t="shared" si="18"/>
        <v>0.44321492699582998</v>
      </c>
      <c r="H34" s="414" t="b">
        <f>Wh_hp&gt;='2019'!Maxi_hp</f>
        <v>1</v>
      </c>
      <c r="I34" s="380">
        <f>IF(H34,Wh_hp,'2019'!Maxi_hp)</f>
        <v>7.5521238527845549</v>
      </c>
      <c r="J34" s="85">
        <f>IF(H34,An,'2019'!An_max)</f>
        <v>2020</v>
      </c>
      <c r="K34" s="197">
        <f t="shared" si="19"/>
        <v>43850</v>
      </c>
      <c r="L34" s="147">
        <f>IF(t&lt;Tvie,1-EXP((T0-t)*PertePVj)+'2019'!Pspv,1-EXP((T0-t)*PertePVj)+Pspv)</f>
        <v>1.3941601885202104E-2</v>
      </c>
      <c r="M34" s="850"/>
      <c r="N34" s="850"/>
      <c r="O34" s="48">
        <f>IF(t&lt;Tnet,'2019'!Resal+('2019'!Salim-'2019'!Resal)*(1-EXP(('2019'!Tnet-t)/('2019'!Tau_j))),Resal+(Salim-Resal)*(1-EXP((Tnet-t)/(Tau_j))))*Salcycl</f>
        <v>8.1824728289903628E-2</v>
      </c>
      <c r="P34" s="169">
        <f>(INDEX(Models!$BJ34:$BT34,,T34)*(1-R34)+INDEX(Models!$BJ34:$BT34,,T34+1)*R34-ERP_i)*Q34*Ramure*Pc/MaxiM</f>
        <v>2.2028212040975357E-2</v>
      </c>
      <c r="Q34" s="305">
        <f t="shared" si="2"/>
        <v>0.7</v>
      </c>
      <c r="R34" s="177">
        <f t="shared" si="3"/>
        <v>0.90049427401341564</v>
      </c>
      <c r="S34" s="817">
        <f t="shared" si="4"/>
        <v>-2</v>
      </c>
      <c r="T34" s="176">
        <f t="shared" si="5"/>
        <v>4</v>
      </c>
      <c r="U34" s="251">
        <f t="shared" si="20"/>
        <v>-1.0995057259865844</v>
      </c>
      <c r="V34" s="383">
        <f t="shared" si="6"/>
        <v>15.08722198051856</v>
      </c>
      <c r="W34" s="402"/>
      <c r="X34" s="157">
        <f t="shared" si="7"/>
        <v>43850</v>
      </c>
      <c r="Y34" s="385">
        <f t="shared" si="8"/>
        <v>6.8049999999999997</v>
      </c>
      <c r="Z34" s="385">
        <f t="shared" si="9"/>
        <v>6.9012139778031232</v>
      </c>
      <c r="AA34" s="386">
        <f t="shared" si="10"/>
        <v>7.5162272285439036</v>
      </c>
      <c r="AB34" s="197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8.1824728289903628E-2</v>
      </c>
      <c r="AD34" s="231">
        <f>(INDEX(Models!$BJ34:$BT34,,AH34)*(1-AF34)+INDEX(Models!$BJ34:$BT34,,AH34+1)*AF34-ERP_i)*AE34*Ramure*Pc/MaxiM</f>
        <v>2.2028212040975357E-2</v>
      </c>
      <c r="AE34" s="305">
        <f t="shared" si="12"/>
        <v>0.7</v>
      </c>
      <c r="AF34" s="177">
        <f t="shared" si="21"/>
        <v>0.90049427401341564</v>
      </c>
      <c r="AG34" s="817">
        <f t="shared" si="22"/>
        <v>-2</v>
      </c>
      <c r="AH34" s="176">
        <f t="shared" si="13"/>
        <v>4</v>
      </c>
      <c r="AI34" s="225">
        <f t="shared" si="23"/>
        <v>-1.0995057259865844</v>
      </c>
      <c r="AJ34" s="265" t="b">
        <f t="shared" si="14"/>
        <v>0</v>
      </c>
      <c r="AK34" s="265" t="b">
        <f t="shared" si="15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6"/>
        <v>43851</v>
      </c>
      <c r="B35" s="617">
        <v>2.2050000000000001</v>
      </c>
      <c r="C35" s="390"/>
      <c r="D35" s="393">
        <f t="shared" si="0"/>
        <v>2.236224852840897</v>
      </c>
      <c r="E35" s="385">
        <f t="shared" si="17"/>
        <v>2.4357180808630265</v>
      </c>
      <c r="F35" s="385">
        <f t="shared" si="1"/>
        <v>2.4357180808630265</v>
      </c>
      <c r="G35" s="110">
        <f t="shared" si="18"/>
        <v>0.14096550847911138</v>
      </c>
      <c r="H35" s="414" t="b">
        <f>Wh_hp&gt;='2019'!Maxi_hp</f>
        <v>0</v>
      </c>
      <c r="I35" s="380">
        <f>IF(H35,Wh_hp,'2019'!Maxi_hp)</f>
        <v>6.5303321419637701</v>
      </c>
      <c r="J35" s="85">
        <f>IF(H35,An,'2019'!An_max)</f>
        <v>2019</v>
      </c>
      <c r="K35" s="197">
        <f t="shared" si="19"/>
        <v>43851</v>
      </c>
      <c r="L35" s="147">
        <f>IF(t&lt;Tvie,1-EXP((T0-t)*PertePVj)+'2019'!Pspv,1-EXP((T0-t)*PertePVj)+Pspv)</f>
        <v>1.3963199094772949E-2</v>
      </c>
      <c r="M35" s="850"/>
      <c r="N35" s="850"/>
      <c r="O35" s="48">
        <f>IF(t&lt;Tnet,'2019'!Resal+('2019'!Salim-'2019'!Resal)*(1-EXP(('2019'!Tnet-t)/('2019'!Tau_j))),Resal+(Salim-Resal)*(1-EXP((Tnet-t)/(Tau_j))))*Salcycl</f>
        <v>8.1903250458051718E-2</v>
      </c>
      <c r="P35" s="169">
        <f>(INDEX(Models!$BJ35:$BT35,,T35)*(1-R35)+INDEX(Models!$BJ35:$BT35,,T35+1)*R35-ERP_i)*Q35*Ramure*Pc/MaxiM</f>
        <v>2.1922243390565348E-2</v>
      </c>
      <c r="Q35" s="305">
        <f t="shared" si="2"/>
        <v>0.7</v>
      </c>
      <c r="R35" s="177">
        <f t="shared" si="3"/>
        <v>0.90053241556362162</v>
      </c>
      <c r="S35" s="817">
        <f t="shared" si="4"/>
        <v>-2</v>
      </c>
      <c r="T35" s="176">
        <f t="shared" si="5"/>
        <v>4</v>
      </c>
      <c r="U35" s="251">
        <f t="shared" si="20"/>
        <v>-1.0994675844363784</v>
      </c>
      <c r="V35" s="383">
        <f t="shared" si="6"/>
        <v>15.299213804796675</v>
      </c>
      <c r="W35" s="402"/>
      <c r="X35" s="157">
        <f t="shared" si="7"/>
        <v>43851</v>
      </c>
      <c r="Y35" s="385">
        <f t="shared" si="8"/>
        <v>2.2050000000000001</v>
      </c>
      <c r="Z35" s="385">
        <f t="shared" si="9"/>
        <v>2.236224852840897</v>
      </c>
      <c r="AA35" s="386">
        <f t="shared" si="10"/>
        <v>2.4357180808630265</v>
      </c>
      <c r="AB35" s="197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8.1903250458051718E-2</v>
      </c>
      <c r="AD35" s="231">
        <f>(INDEX(Models!$BJ35:$BT35,,AH35)*(1-AF35)+INDEX(Models!$BJ35:$BT35,,AH35+1)*AF35-ERP_i)*AE35*Ramure*Pc/MaxiM</f>
        <v>2.1922243390565348E-2</v>
      </c>
      <c r="AE35" s="305">
        <f t="shared" si="12"/>
        <v>0.7</v>
      </c>
      <c r="AF35" s="177">
        <f t="shared" si="21"/>
        <v>0.90053241556362162</v>
      </c>
      <c r="AG35" s="817">
        <f t="shared" si="22"/>
        <v>-2</v>
      </c>
      <c r="AH35" s="176">
        <f t="shared" si="13"/>
        <v>4</v>
      </c>
      <c r="AI35" s="225">
        <f t="shared" si="23"/>
        <v>-1.0994675844363784</v>
      </c>
      <c r="AJ35" s="265" t="b">
        <f t="shared" si="14"/>
        <v>0</v>
      </c>
      <c r="AK35" s="265" t="b">
        <f t="shared" si="15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6"/>
        <v>43852</v>
      </c>
      <c r="B36" s="617">
        <v>0.77700000000000002</v>
      </c>
      <c r="C36" s="390"/>
      <c r="D36" s="393">
        <f t="shared" si="0"/>
        <v>0.78802030304906789</v>
      </c>
      <c r="E36" s="385">
        <f t="shared" si="17"/>
        <v>0.85839287678551013</v>
      </c>
      <c r="F36" s="385">
        <f t="shared" si="1"/>
        <v>0.85839287678551013</v>
      </c>
      <c r="G36" s="110">
        <f t="shared" si="18"/>
        <v>4.8983564161861032E-2</v>
      </c>
      <c r="H36" s="414" t="b">
        <f>Wh_hp&gt;='2019'!Maxi_hp</f>
        <v>0</v>
      </c>
      <c r="I36" s="380">
        <f>IF(H36,Wh_hp,'2019'!Maxi_hp)</f>
        <v>7.454712883307038</v>
      </c>
      <c r="J36" s="85">
        <f>IF(H36,An,'2019'!An_max)</f>
        <v>2019</v>
      </c>
      <c r="K36" s="197">
        <f t="shared" si="19"/>
        <v>43852</v>
      </c>
      <c r="L36" s="147">
        <f>IF(t&lt;Tvie,1-EXP((T0-t)*PertePVj)+'2019'!Pspv,1-EXP((T0-t)*PertePVj)+Pspv)</f>
        <v>1.3984795831309516E-2</v>
      </c>
      <c r="M36" s="850"/>
      <c r="N36" s="850"/>
      <c r="O36" s="48">
        <f>IF(t&lt;Tnet,'2019'!Resal+('2019'!Salim-'2019'!Resal)*(1-EXP(('2019'!Tnet-t)/('2019'!Tau_j))),Resal+(Salim-Resal)*(1-EXP((Tnet-t)/(Tau_j))))*Salcycl</f>
        <v>8.1981777388428281E-2</v>
      </c>
      <c r="P36" s="169">
        <f>(INDEX(Models!$BJ36:$BT36,,T36)*(1-R36)+INDEX(Models!$BJ36:$BT36,,T36+1)*R36-ERP_i)*Q36*Ramure*Pc/MaxiM</f>
        <v>2.1806808436386601E-2</v>
      </c>
      <c r="Q36" s="305">
        <f t="shared" si="2"/>
        <v>0.7</v>
      </c>
      <c r="R36" s="177">
        <f t="shared" si="3"/>
        <v>0.90057214689908305</v>
      </c>
      <c r="S36" s="817">
        <f t="shared" si="4"/>
        <v>-2</v>
      </c>
      <c r="T36" s="176">
        <f t="shared" si="5"/>
        <v>4</v>
      </c>
      <c r="U36" s="251">
        <f t="shared" si="20"/>
        <v>-1.099427853100917</v>
      </c>
      <c r="V36" s="383">
        <f t="shared" si="6"/>
        <v>15.516553824736031</v>
      </c>
      <c r="W36" s="402"/>
      <c r="X36" s="157">
        <f t="shared" si="7"/>
        <v>43852</v>
      </c>
      <c r="Y36" s="385">
        <f t="shared" si="8"/>
        <v>0.77700000000000002</v>
      </c>
      <c r="Z36" s="385">
        <f t="shared" si="9"/>
        <v>0.78802030304906789</v>
      </c>
      <c r="AA36" s="386">
        <f t="shared" si="10"/>
        <v>0.85839287678551013</v>
      </c>
      <c r="AB36" s="197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8.1981777388428281E-2</v>
      </c>
      <c r="AD36" s="231">
        <f>(INDEX(Models!$BJ36:$BT36,,AH36)*(1-AF36)+INDEX(Models!$BJ36:$BT36,,AH36+1)*AF36-ERP_i)*AE36*Ramure*Pc/MaxiM</f>
        <v>2.1806808436386601E-2</v>
      </c>
      <c r="AE36" s="305">
        <f t="shared" si="12"/>
        <v>0.7</v>
      </c>
      <c r="AF36" s="177">
        <f t="shared" si="21"/>
        <v>0.90057214689908305</v>
      </c>
      <c r="AG36" s="817">
        <f t="shared" si="22"/>
        <v>-2</v>
      </c>
      <c r="AH36" s="176">
        <f t="shared" si="13"/>
        <v>4</v>
      </c>
      <c r="AI36" s="225">
        <f t="shared" si="23"/>
        <v>-1.099427853100917</v>
      </c>
      <c r="AJ36" s="265" t="b">
        <f t="shared" si="14"/>
        <v>0</v>
      </c>
      <c r="AK36" s="265" t="b">
        <f t="shared" si="15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6"/>
        <v>43853</v>
      </c>
      <c r="B37" s="617">
        <v>7.218</v>
      </c>
      <c r="C37" s="390"/>
      <c r="D37" s="393">
        <f t="shared" si="0"/>
        <v>7.3205342733764951</v>
      </c>
      <c r="E37" s="385">
        <f t="shared" si="17"/>
        <v>7.9749621659731442</v>
      </c>
      <c r="F37" s="385">
        <f t="shared" si="1"/>
        <v>8.0143224068850838</v>
      </c>
      <c r="G37" s="110">
        <f t="shared" si="18"/>
        <v>0.45083841829633775</v>
      </c>
      <c r="H37" s="414" t="b">
        <f>Wh_hp&gt;='2019'!Maxi_hp</f>
        <v>1</v>
      </c>
      <c r="I37" s="380">
        <f>IF(H37,Wh_hp,'2019'!Maxi_hp)</f>
        <v>8.0143224068850838</v>
      </c>
      <c r="J37" s="85">
        <f>IF(H37,An,'2019'!An_max)</f>
        <v>2020</v>
      </c>
      <c r="K37" s="197">
        <f t="shared" si="19"/>
        <v>43853</v>
      </c>
      <c r="L37" s="147">
        <f>IF(t&lt;Tvie,1-EXP((T0-t)*PertePVj)+'2019'!Pspv,1-EXP((T0-t)*PertePVj)+Pspv)</f>
        <v>1.4006392094822129E-2</v>
      </c>
      <c r="M37" s="850"/>
      <c r="N37" s="850"/>
      <c r="O37" s="48">
        <f>IF(t&lt;Tnet,'2019'!Resal+('2019'!Salim-'2019'!Resal)*(1-EXP(('2019'!Tnet-t)/('2019'!Tau_j))),Resal+(Salim-Resal)*(1-EXP((Tnet-t)/(Tau_j))))*Salcycl</f>
        <v>8.2060313137146151E-2</v>
      </c>
      <c r="P37" s="169">
        <f>(INDEX(Models!$BJ37:$BT37,,T37)*(1-R37)+INDEX(Models!$BJ37:$BT37,,T37+1)*R37-ERP_i)*Q37*Ramure*Pc/MaxiM</f>
        <v>2.1680926877012726E-2</v>
      </c>
      <c r="Q37" s="305">
        <f t="shared" si="2"/>
        <v>0.7</v>
      </c>
      <c r="R37" s="177">
        <f t="shared" si="3"/>
        <v>0.90061353383408282</v>
      </c>
      <c r="S37" s="817">
        <f t="shared" si="4"/>
        <v>-2</v>
      </c>
      <c r="T37" s="176">
        <f t="shared" si="5"/>
        <v>4</v>
      </c>
      <c r="U37" s="251">
        <f t="shared" si="20"/>
        <v>-1.0993864661659172</v>
      </c>
      <c r="V37" s="383">
        <f t="shared" si="6"/>
        <v>15.740359930008832</v>
      </c>
      <c r="W37" s="402"/>
      <c r="X37" s="157">
        <f t="shared" si="7"/>
        <v>43853</v>
      </c>
      <c r="Y37" s="385">
        <f t="shared" si="8"/>
        <v>7.2179999999999991</v>
      </c>
      <c r="Z37" s="385">
        <f t="shared" si="9"/>
        <v>7.3205342733764942</v>
      </c>
      <c r="AA37" s="386">
        <f t="shared" si="10"/>
        <v>7.9749621659731433</v>
      </c>
      <c r="AB37" s="197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8.2060313137146151E-2</v>
      </c>
      <c r="AD37" s="231">
        <f>(INDEX(Models!$BJ37:$BT37,,AH37)*(1-AF37)+INDEX(Models!$BJ37:$BT37,,AH37+1)*AF37-ERP_i)*AE37*Ramure*Pc/MaxiM</f>
        <v>2.1680926877012726E-2</v>
      </c>
      <c r="AE37" s="305">
        <f t="shared" si="12"/>
        <v>0.7</v>
      </c>
      <c r="AF37" s="177">
        <f t="shared" si="21"/>
        <v>0.90061353383408282</v>
      </c>
      <c r="AG37" s="817">
        <f t="shared" si="22"/>
        <v>-2</v>
      </c>
      <c r="AH37" s="176">
        <f t="shared" si="13"/>
        <v>4</v>
      </c>
      <c r="AI37" s="225">
        <f t="shared" si="23"/>
        <v>-1.0993864661659172</v>
      </c>
      <c r="AJ37" s="265" t="b">
        <f t="shared" si="14"/>
        <v>0</v>
      </c>
      <c r="AK37" s="265" t="b">
        <f t="shared" si="15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6"/>
        <v>43854</v>
      </c>
      <c r="B38" s="617">
        <v>8.1389999999999993</v>
      </c>
      <c r="C38" s="390"/>
      <c r="D38" s="393">
        <f t="shared" si="0"/>
        <v>8.2547982092754868</v>
      </c>
      <c r="E38" s="385">
        <f t="shared" si="17"/>
        <v>8.993515317325393</v>
      </c>
      <c r="F38" s="385">
        <f t="shared" si="1"/>
        <v>9.051883571167771</v>
      </c>
      <c r="G38" s="110">
        <f t="shared" si="18"/>
        <v>0.50185865010791386</v>
      </c>
      <c r="H38" s="414" t="b">
        <f>Wh_hp&gt;='2019'!Maxi_hp</f>
        <v>1</v>
      </c>
      <c r="I38" s="380">
        <f>IF(H38,Wh_hp,'2019'!Maxi_hp)</f>
        <v>9.051883571167771</v>
      </c>
      <c r="J38" s="85">
        <f>IF(H38,An,'2019'!An_max)</f>
        <v>2020</v>
      </c>
      <c r="K38" s="197">
        <f t="shared" si="19"/>
        <v>43854</v>
      </c>
      <c r="L38" s="147">
        <f>IF(t&lt;Tvie,1-EXP((T0-t)*PertePVj)+'2019'!Pspv,1-EXP((T0-t)*PertePVj)+Pspv)</f>
        <v>1.4027987885321114E-2</v>
      </c>
      <c r="M38" s="850"/>
      <c r="N38" s="850"/>
      <c r="O38" s="48">
        <f>IF(t&lt;Tnet,'2019'!Resal+('2019'!Salim-'2019'!Resal)*(1-EXP(('2019'!Tnet-t)/('2019'!Tau_j))),Resal+(Salim-Resal)*(1-EXP((Tnet-t)/(Tau_j))))*Salcycl</f>
        <v>8.2138861389029788E-2</v>
      </c>
      <c r="P38" s="169">
        <f>(INDEX(Models!$BJ38:$BT38,,T38)*(1-R38)+INDEX(Models!$BJ38:$BT38,,T38+1)*R38-ERP_i)*Q38*Ramure*Pc/MaxiM</f>
        <v>2.1535300736627912E-2</v>
      </c>
      <c r="Q38" s="305">
        <f t="shared" si="2"/>
        <v>0.7</v>
      </c>
      <c r="R38" s="177">
        <f t="shared" si="3"/>
        <v>0.90065664486910935</v>
      </c>
      <c r="S38" s="817">
        <f t="shared" si="4"/>
        <v>-2</v>
      </c>
      <c r="T38" s="176">
        <f t="shared" si="5"/>
        <v>4</v>
      </c>
      <c r="U38" s="251">
        <f t="shared" si="20"/>
        <v>-1.0993433551308907</v>
      </c>
      <c r="V38" s="383">
        <f t="shared" si="6"/>
        <v>15.971447450638237</v>
      </c>
      <c r="W38" s="402"/>
      <c r="X38" s="157">
        <f t="shared" si="7"/>
        <v>43854</v>
      </c>
      <c r="Y38" s="385">
        <f t="shared" si="8"/>
        <v>8.1389999999999993</v>
      </c>
      <c r="Z38" s="385">
        <f t="shared" si="9"/>
        <v>8.2547982092754868</v>
      </c>
      <c r="AA38" s="386">
        <f t="shared" si="10"/>
        <v>8.993515317325393</v>
      </c>
      <c r="AB38" s="197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8.2138861389029788E-2</v>
      </c>
      <c r="AD38" s="231">
        <f>(INDEX(Models!$BJ38:$BT38,,AH38)*(1-AF38)+INDEX(Models!$BJ38:$BT38,,AH38+1)*AF38-ERP_i)*AE38*Ramure*Pc/MaxiM</f>
        <v>2.1535300736627912E-2</v>
      </c>
      <c r="AE38" s="305">
        <f t="shared" si="12"/>
        <v>0.7</v>
      </c>
      <c r="AF38" s="177">
        <f t="shared" si="21"/>
        <v>0.90065664486910935</v>
      </c>
      <c r="AG38" s="817">
        <f t="shared" si="22"/>
        <v>-2</v>
      </c>
      <c r="AH38" s="176">
        <f t="shared" si="13"/>
        <v>4</v>
      </c>
      <c r="AI38" s="225">
        <f t="shared" si="23"/>
        <v>-1.0993433551308907</v>
      </c>
      <c r="AJ38" s="265" t="b">
        <f t="shared" si="14"/>
        <v>0</v>
      </c>
      <c r="AK38" s="265" t="b">
        <f t="shared" si="15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6"/>
        <v>43855</v>
      </c>
      <c r="B39" s="617">
        <v>8.9260000000000002</v>
      </c>
      <c r="C39" s="390"/>
      <c r="D39" s="393">
        <f t="shared" si="0"/>
        <v>9.0531935966878763</v>
      </c>
      <c r="E39" s="385">
        <f t="shared" si="17"/>
        <v>9.864202967729085</v>
      </c>
      <c r="F39" s="385">
        <f t="shared" si="1"/>
        <v>9.940295533409726</v>
      </c>
      <c r="G39" s="110">
        <f t="shared" si="18"/>
        <v>0.5430620876959098</v>
      </c>
      <c r="H39" s="414" t="b">
        <f>Wh_hp&gt;='2019'!Maxi_hp</f>
        <v>1</v>
      </c>
      <c r="I39" s="380">
        <f>IF(H39,Wh_hp,'2019'!Maxi_hp)</f>
        <v>9.940295533409726</v>
      </c>
      <c r="J39" s="85">
        <f>IF(H39,An,'2019'!An_max)</f>
        <v>2020</v>
      </c>
      <c r="K39" s="197">
        <f t="shared" si="19"/>
        <v>43855</v>
      </c>
      <c r="L39" s="147">
        <f>IF(t&lt;Tvie,1-EXP((T0-t)*PertePVj)+'2019'!Pspv,1-EXP((T0-t)*PertePVj)+Pspv)</f>
        <v>1.4049583202816907E-2</v>
      </c>
      <c r="M39" s="850"/>
      <c r="N39" s="850"/>
      <c r="O39" s="48">
        <f>IF(t&lt;Tnet,'2019'!Resal+('2019'!Salim-'2019'!Resal)*(1-EXP(('2019'!Tnet-t)/('2019'!Tau_j))),Resal+(Salim-Resal)*(1-EXP((Tnet-t)/(Tau_j))))*Salcycl</f>
        <v>8.2217425340338282E-2</v>
      </c>
      <c r="P39" s="169">
        <f>(INDEX(Models!$BJ39:$BT39,,T39)*(1-R39)+INDEX(Models!$BJ39:$BT39,,T39+1)*R39-ERP_i)*Q39*Ramure*Pc/MaxiM</f>
        <v>2.1376065107516187E-2</v>
      </c>
      <c r="Q39" s="305">
        <f t="shared" si="2"/>
        <v>0.7</v>
      </c>
      <c r="R39" s="177">
        <f t="shared" si="3"/>
        <v>0.90070155129721341</v>
      </c>
      <c r="S39" s="817">
        <f t="shared" si="4"/>
        <v>-2</v>
      </c>
      <c r="T39" s="176">
        <f t="shared" si="5"/>
        <v>4</v>
      </c>
      <c r="U39" s="251">
        <f t="shared" si="20"/>
        <v>-1.0992984487027866</v>
      </c>
      <c r="V39" s="383">
        <f t="shared" si="6"/>
        <v>16.20916069434109</v>
      </c>
      <c r="W39" s="402"/>
      <c r="X39" s="157">
        <f t="shared" si="7"/>
        <v>43855</v>
      </c>
      <c r="Y39" s="385">
        <f t="shared" si="8"/>
        <v>8.9260000000000002</v>
      </c>
      <c r="Z39" s="385">
        <f t="shared" si="9"/>
        <v>9.0531935966878763</v>
      </c>
      <c r="AA39" s="386">
        <f t="shared" si="10"/>
        <v>9.864202967729085</v>
      </c>
      <c r="AB39" s="197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8.2217425340338282E-2</v>
      </c>
      <c r="AD39" s="231">
        <f>(INDEX(Models!$BJ39:$BT39,,AH39)*(1-AF39)+INDEX(Models!$BJ39:$BT39,,AH39+1)*AF39-ERP_i)*AE39*Ramure*Pc/MaxiM</f>
        <v>2.1376065107516187E-2</v>
      </c>
      <c r="AE39" s="305">
        <f t="shared" si="12"/>
        <v>0.7</v>
      </c>
      <c r="AF39" s="177">
        <f t="shared" si="21"/>
        <v>0.90070155129721341</v>
      </c>
      <c r="AG39" s="817">
        <f t="shared" si="22"/>
        <v>-2</v>
      </c>
      <c r="AH39" s="176">
        <f t="shared" si="13"/>
        <v>4</v>
      </c>
      <c r="AI39" s="225">
        <f t="shared" si="23"/>
        <v>-1.0992984487027866</v>
      </c>
      <c r="AJ39" s="265" t="b">
        <f t="shared" si="14"/>
        <v>0</v>
      </c>
      <c r="AK39" s="265" t="b">
        <f t="shared" si="15"/>
        <v>0</v>
      </c>
      <c r="AL39" s="265"/>
      <c r="AM39" s="265"/>
      <c r="AN39" s="75"/>
    </row>
    <row r="40" spans="1:40" s="6" customFormat="1" ht="11.25" x14ac:dyDescent="0.2">
      <c r="A40" s="56">
        <f t="shared" si="16"/>
        <v>43856</v>
      </c>
      <c r="B40" s="617">
        <v>4.0519999999999996</v>
      </c>
      <c r="C40" s="390"/>
      <c r="D40" s="393">
        <f t="shared" si="0"/>
        <v>4.1098301518103666</v>
      </c>
      <c r="E40" s="385">
        <f t="shared" si="17"/>
        <v>4.4783832105143411</v>
      </c>
      <c r="F40" s="385">
        <f t="shared" si="1"/>
        <v>4.4783832105143411</v>
      </c>
      <c r="G40" s="110">
        <f t="shared" si="18"/>
        <v>0.24105625748631701</v>
      </c>
      <c r="H40" s="414" t="b">
        <f>Wh_hp&gt;='2019'!Maxi_hp</f>
        <v>0</v>
      </c>
      <c r="I40" s="380">
        <f>IF(H40,Wh_hp,'2019'!Maxi_hp)</f>
        <v>12.240180017935243</v>
      </c>
      <c r="J40" s="85">
        <f>IF(H40,An,'2019'!An_max)</f>
        <v>2019</v>
      </c>
      <c r="K40" s="197">
        <f t="shared" si="19"/>
        <v>43856</v>
      </c>
      <c r="L40" s="147">
        <f>IF(t&lt;Tvie,1-EXP((T0-t)*PertePVj)+'2019'!Pspv,1-EXP((T0-t)*PertePVj)+Pspv)</f>
        <v>1.4071178047319832E-2</v>
      </c>
      <c r="M40" s="850"/>
      <c r="N40" s="850"/>
      <c r="O40" s="48">
        <f>IF(t&lt;Tnet,'2019'!Resal+('2019'!Salim-'2019'!Resal)*(1-EXP(('2019'!Tnet-t)/('2019'!Tau_j))),Resal+(Salim-Resal)*(1-EXP((Tnet-t)/(Tau_j))))*Salcycl</f>
        <v>8.2296007594590451E-2</v>
      </c>
      <c r="P40" s="169">
        <f>(INDEX(Models!$BJ40:$BT40,,T40)*(1-R40)+INDEX(Models!$BJ40:$BT40,,T40+1)*R40-ERP_i)*Q40*Ramure*Pc/MaxiM</f>
        <v>2.1204749521249209E-2</v>
      </c>
      <c r="Q40" s="305">
        <f t="shared" si="2"/>
        <v>0.7</v>
      </c>
      <c r="R40" s="177">
        <f t="shared" si="3"/>
        <v>0.90074832731429355</v>
      </c>
      <c r="S40" s="817">
        <f t="shared" si="4"/>
        <v>-2</v>
      </c>
      <c r="T40" s="176">
        <f t="shared" si="5"/>
        <v>4</v>
      </c>
      <c r="U40" s="251">
        <f t="shared" si="20"/>
        <v>-1.0992516726857064</v>
      </c>
      <c r="V40" s="383">
        <f t="shared" si="6"/>
        <v>16.452915996860291</v>
      </c>
      <c r="W40" s="402"/>
      <c r="X40" s="157">
        <f t="shared" si="7"/>
        <v>43856</v>
      </c>
      <c r="Y40" s="385">
        <f t="shared" si="8"/>
        <v>4.0519999999999996</v>
      </c>
      <c r="Z40" s="385">
        <f t="shared" si="9"/>
        <v>4.1098301518103666</v>
      </c>
      <c r="AA40" s="386">
        <f t="shared" si="10"/>
        <v>4.4783832105143411</v>
      </c>
      <c r="AB40" s="197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8.2296007594590451E-2</v>
      </c>
      <c r="AD40" s="231">
        <f>(INDEX(Models!$BJ40:$BT40,,AH40)*(1-AF40)+INDEX(Models!$BJ40:$BT40,,AH40+1)*AF40-ERP_i)*AE40*Ramure*Pc/MaxiM</f>
        <v>2.1204749521249209E-2</v>
      </c>
      <c r="AE40" s="305">
        <f t="shared" si="12"/>
        <v>0.7</v>
      </c>
      <c r="AF40" s="177">
        <f t="shared" si="21"/>
        <v>0.90074832731429355</v>
      </c>
      <c r="AG40" s="817">
        <f t="shared" si="22"/>
        <v>-2</v>
      </c>
      <c r="AH40" s="176">
        <f t="shared" si="13"/>
        <v>4</v>
      </c>
      <c r="AI40" s="225">
        <f t="shared" si="23"/>
        <v>-1.0992516726857064</v>
      </c>
      <c r="AJ40" s="265" t="b">
        <f t="shared" si="14"/>
        <v>0</v>
      </c>
      <c r="AK40" s="265" t="b">
        <f t="shared" si="15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6"/>
        <v>43857</v>
      </c>
      <c r="B41" s="617">
        <v>6.7119999999999997</v>
      </c>
      <c r="C41" s="390"/>
      <c r="D41" s="393">
        <f t="shared" si="0"/>
        <v>6.8079427883567964</v>
      </c>
      <c r="E41" s="385">
        <f t="shared" si="17"/>
        <v>7.4190872038682043</v>
      </c>
      <c r="F41" s="385">
        <f t="shared" si="1"/>
        <v>7.4418538077855674</v>
      </c>
      <c r="G41" s="110">
        <f t="shared" si="18"/>
        <v>0.394623846760561</v>
      </c>
      <c r="H41" s="414" t="b">
        <f>Wh_hp&gt;='2019'!Maxi_hp</f>
        <v>0</v>
      </c>
      <c r="I41" s="380">
        <f>IF(H41,Wh_hp,'2019'!Maxi_hp)</f>
        <v>9.0958443225918373</v>
      </c>
      <c r="J41" s="85">
        <f>IF(H41,An,'2019'!An_max)</f>
        <v>2019</v>
      </c>
      <c r="K41" s="197">
        <f t="shared" si="19"/>
        <v>43857</v>
      </c>
      <c r="L41" s="147">
        <f>IF(t&lt;Tvie,1-EXP((T0-t)*PertePVj)+'2019'!Pspv,1-EXP((T0-t)*PertePVj)+Pspv)</f>
        <v>1.4092772418840216E-2</v>
      </c>
      <c r="M41" s="850"/>
      <c r="N41" s="850"/>
      <c r="O41" s="48">
        <f>IF(t&lt;Tnet,'2019'!Resal+('2019'!Salim-'2019'!Resal)*(1-EXP(('2019'!Tnet-t)/('2019'!Tau_j))),Resal+(Salim-Resal)*(1-EXP((Tnet-t)/(Tau_j))))*Salcycl</f>
        <v>8.2374610072350363E-2</v>
      </c>
      <c r="P41" s="169">
        <f>(INDEX(Models!$BJ41:$BT41,,T41)*(1-R41)+INDEX(Models!$BJ41:$BT41,,T41+1)*R41-ERP_i)*Q41*Ramure*Pc/MaxiM</f>
        <v>2.1022799035751962E-2</v>
      </c>
      <c r="Q41" s="305">
        <f t="shared" si="2"/>
        <v>0.7</v>
      </c>
      <c r="R41" s="177">
        <f t="shared" si="3"/>
        <v>0.90079705013343259</v>
      </c>
      <c r="S41" s="817">
        <f t="shared" si="4"/>
        <v>-2</v>
      </c>
      <c r="T41" s="176">
        <f t="shared" si="5"/>
        <v>4</v>
      </c>
      <c r="U41" s="251">
        <f t="shared" si="20"/>
        <v>-1.0992029498665674</v>
      </c>
      <c r="V41" s="383">
        <f t="shared" si="6"/>
        <v>16.702129948034397</v>
      </c>
      <c r="W41" s="402"/>
      <c r="X41" s="157">
        <f t="shared" si="7"/>
        <v>43857</v>
      </c>
      <c r="Y41" s="385">
        <f t="shared" si="8"/>
        <v>6.7119999999999997</v>
      </c>
      <c r="Z41" s="385">
        <f t="shared" si="9"/>
        <v>6.8079427883567964</v>
      </c>
      <c r="AA41" s="386">
        <f t="shared" si="10"/>
        <v>7.4190872038682043</v>
      </c>
      <c r="AB41" s="197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8.2374610072350363E-2</v>
      </c>
      <c r="AD41" s="231">
        <f>(INDEX(Models!$BJ41:$BT41,,AH41)*(1-AF41)+INDEX(Models!$BJ41:$BT41,,AH41+1)*AF41-ERP_i)*AE41*Ramure*Pc/MaxiM</f>
        <v>2.1022799035751962E-2</v>
      </c>
      <c r="AE41" s="305">
        <f t="shared" si="12"/>
        <v>0.7</v>
      </c>
      <c r="AF41" s="177">
        <f t="shared" si="21"/>
        <v>0.90079705013343259</v>
      </c>
      <c r="AG41" s="817">
        <f t="shared" si="22"/>
        <v>-2</v>
      </c>
      <c r="AH41" s="176">
        <f t="shared" si="13"/>
        <v>4</v>
      </c>
      <c r="AI41" s="225">
        <f t="shared" si="23"/>
        <v>-1.0992029498665674</v>
      </c>
      <c r="AJ41" s="265" t="b">
        <f t="shared" si="14"/>
        <v>0</v>
      </c>
      <c r="AK41" s="265" t="b">
        <f t="shared" si="15"/>
        <v>0</v>
      </c>
      <c r="AL41" s="265"/>
      <c r="AM41" s="265"/>
      <c r="AN41" s="75"/>
    </row>
    <row r="42" spans="1:40" s="6" customFormat="1" ht="11.25" x14ac:dyDescent="0.2">
      <c r="A42" s="56">
        <f t="shared" si="16"/>
        <v>43858</v>
      </c>
      <c r="B42" s="617">
        <v>10.077</v>
      </c>
      <c r="C42" s="390"/>
      <c r="D42" s="393">
        <f t="shared" si="0"/>
        <v>10.221266702466334</v>
      </c>
      <c r="E42" s="385">
        <f t="shared" si="17"/>
        <v>11.139777372121094</v>
      </c>
      <c r="F42" s="385">
        <f t="shared" si="1"/>
        <v>11.238202055607671</v>
      </c>
      <c r="G42" s="110">
        <f t="shared" si="18"/>
        <v>0.58705657710949388</v>
      </c>
      <c r="H42" s="414" t="b">
        <f>Wh_hp&gt;='2019'!Maxi_hp</f>
        <v>1</v>
      </c>
      <c r="I42" s="380">
        <f>IF(H42,Wh_hp,'2019'!Maxi_hp)</f>
        <v>11.238202055607671</v>
      </c>
      <c r="J42" s="85">
        <f>IF(H42,An,'2019'!An_max)</f>
        <v>2020</v>
      </c>
      <c r="K42" s="197">
        <f t="shared" si="19"/>
        <v>43858</v>
      </c>
      <c r="L42" s="147">
        <f>IF(t&lt;Tvie,1-EXP((T0-t)*PertePVj)+'2019'!Pspv,1-EXP((T0-t)*PertePVj)+Pspv)</f>
        <v>1.4114366317388383E-2</v>
      </c>
      <c r="M42" s="850"/>
      <c r="N42" s="850"/>
      <c r="O42" s="48">
        <f>IF(t&lt;Tnet,'2019'!Resal+('2019'!Salim-'2019'!Resal)*(1-EXP(('2019'!Tnet-t)/('2019'!Tau_j))),Resal+(Salim-Resal)*(1-EXP((Tnet-t)/(Tau_j))))*Salcycl</f>
        <v>8.2453233935667891E-2</v>
      </c>
      <c r="P42" s="169">
        <f>(INDEX(Models!$BJ42:$BT42,,T42)*(1-R42)+INDEX(Models!$BJ42:$BT42,,T42+1)*R42-ERP_i)*Q42*Ramure*Pc/MaxiM</f>
        <v>2.0831571515733855E-2</v>
      </c>
      <c r="Q42" s="305">
        <f t="shared" si="2"/>
        <v>0.7</v>
      </c>
      <c r="R42" s="177">
        <f t="shared" si="3"/>
        <v>0.90084780010340415</v>
      </c>
      <c r="S42" s="817">
        <f t="shared" si="4"/>
        <v>-2</v>
      </c>
      <c r="T42" s="176">
        <f t="shared" si="5"/>
        <v>4</v>
      </c>
      <c r="U42" s="251">
        <f t="shared" si="20"/>
        <v>-1.0991521998965958</v>
      </c>
      <c r="V42" s="383">
        <f t="shared" si="6"/>
        <v>16.956219389569675</v>
      </c>
      <c r="W42" s="402"/>
      <c r="X42" s="157">
        <f t="shared" si="7"/>
        <v>43858</v>
      </c>
      <c r="Y42" s="385">
        <f t="shared" si="8"/>
        <v>10.077</v>
      </c>
      <c r="Z42" s="385">
        <f t="shared" si="9"/>
        <v>10.221266702466334</v>
      </c>
      <c r="AA42" s="386">
        <f t="shared" si="10"/>
        <v>11.139777372121094</v>
      </c>
      <c r="AB42" s="197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8.2453233935667891E-2</v>
      </c>
      <c r="AD42" s="231">
        <f>(INDEX(Models!$BJ42:$BT42,,AH42)*(1-AF42)+INDEX(Models!$BJ42:$BT42,,AH42+1)*AF42-ERP_i)*AE42*Ramure*Pc/MaxiM</f>
        <v>2.0831571515733855E-2</v>
      </c>
      <c r="AE42" s="305">
        <f t="shared" si="12"/>
        <v>0.7</v>
      </c>
      <c r="AF42" s="177">
        <f t="shared" si="21"/>
        <v>0.90084780010340415</v>
      </c>
      <c r="AG42" s="817">
        <f t="shared" si="22"/>
        <v>-2</v>
      </c>
      <c r="AH42" s="176">
        <f t="shared" si="13"/>
        <v>4</v>
      </c>
      <c r="AI42" s="225">
        <f t="shared" si="23"/>
        <v>-1.0991521998965958</v>
      </c>
      <c r="AJ42" s="265" t="b">
        <f t="shared" si="14"/>
        <v>0</v>
      </c>
      <c r="AK42" s="265" t="b">
        <f t="shared" si="15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6"/>
        <v>43859</v>
      </c>
      <c r="B43" s="617">
        <v>12.88</v>
      </c>
      <c r="C43" s="390"/>
      <c r="D43" s="393">
        <f t="shared" si="0"/>
        <v>13.064681816208703</v>
      </c>
      <c r="E43" s="385">
        <f t="shared" si="17"/>
        <v>14.239930003762137</v>
      </c>
      <c r="F43" s="385">
        <f t="shared" si="1"/>
        <v>14.430567184560136</v>
      </c>
      <c r="G43" s="110">
        <f t="shared" si="18"/>
        <v>0.74257478507630026</v>
      </c>
      <c r="H43" s="414" t="b">
        <f>Wh_hp&gt;='2019'!Maxi_hp</f>
        <v>1</v>
      </c>
      <c r="I43" s="380">
        <f>IF(H43,Wh_hp,'2019'!Maxi_hp)</f>
        <v>14.430567184560136</v>
      </c>
      <c r="J43" s="85">
        <f>IF(H43,An,'2019'!An_max)</f>
        <v>2020</v>
      </c>
      <c r="K43" s="197">
        <f t="shared" si="19"/>
        <v>43859</v>
      </c>
      <c r="L43" s="147">
        <f>IF(t&lt;Tvie,1-EXP((T0-t)*PertePVj)+'2019'!Pspv,1-EXP((T0-t)*PertePVj)+Pspv)</f>
        <v>1.413595974297488E-2</v>
      </c>
      <c r="M43" s="850"/>
      <c r="N43" s="850"/>
      <c r="O43" s="48">
        <f>IF(t&lt;Tnet,'2019'!Resal+('2019'!Salim-'2019'!Resal)*(1-EXP(('2019'!Tnet-t)/('2019'!Tau_j))),Resal+(Salim-Resal)*(1-EXP((Tnet-t)/(Tau_j))))*Salcycl</f>
        <v>8.253187952770398E-2</v>
      </c>
      <c r="P43" s="169">
        <f>(INDEX(Models!$BJ43:$BT43,,T43)*(1-R43)+INDEX(Models!$BJ43:$BT43,,T43+1)*R43-ERP_i)*Q43*Ramure*Pc/MaxiM</f>
        <v>2.0632336472423827E-2</v>
      </c>
      <c r="Q43" s="305">
        <f t="shared" si="2"/>
        <v>0.7</v>
      </c>
      <c r="R43" s="177">
        <f t="shared" si="3"/>
        <v>0.90090066083147446</v>
      </c>
      <c r="S43" s="817">
        <f t="shared" si="4"/>
        <v>-2</v>
      </c>
      <c r="T43" s="176">
        <f t="shared" si="5"/>
        <v>4</v>
      </c>
      <c r="U43" s="251">
        <f t="shared" si="20"/>
        <v>-1.0990993391685255</v>
      </c>
      <c r="V43" s="383">
        <f t="shared" si="6"/>
        <v>17.214601428901677</v>
      </c>
      <c r="W43" s="402"/>
      <c r="X43" s="157">
        <f t="shared" si="7"/>
        <v>43859</v>
      </c>
      <c r="Y43" s="385">
        <f t="shared" si="8"/>
        <v>12.88</v>
      </c>
      <c r="Z43" s="385">
        <f t="shared" si="9"/>
        <v>13.064681816208703</v>
      </c>
      <c r="AA43" s="386">
        <f t="shared" si="10"/>
        <v>14.239930003762137</v>
      </c>
      <c r="AB43" s="197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8.253187952770398E-2</v>
      </c>
      <c r="AD43" s="231">
        <f>(INDEX(Models!$BJ43:$BT43,,AH43)*(1-AF43)+INDEX(Models!$BJ43:$BT43,,AH43+1)*AF43-ERP_i)*AE43*Ramure*Pc/MaxiM</f>
        <v>2.0632336472423827E-2</v>
      </c>
      <c r="AE43" s="305">
        <f t="shared" si="12"/>
        <v>0.7</v>
      </c>
      <c r="AF43" s="177">
        <f t="shared" si="21"/>
        <v>0.90090066083147446</v>
      </c>
      <c r="AG43" s="817">
        <f t="shared" si="22"/>
        <v>-2</v>
      </c>
      <c r="AH43" s="176">
        <f t="shared" si="13"/>
        <v>4</v>
      </c>
      <c r="AI43" s="225">
        <f t="shared" si="23"/>
        <v>-1.0990993391685255</v>
      </c>
      <c r="AJ43" s="265" t="b">
        <f t="shared" si="14"/>
        <v>0</v>
      </c>
      <c r="AK43" s="265" t="b">
        <f t="shared" si="15"/>
        <v>0</v>
      </c>
      <c r="AL43" s="265"/>
      <c r="AM43" s="265"/>
      <c r="AN43" s="75"/>
    </row>
    <row r="44" spans="1:40" s="6" customFormat="1" ht="11.25" x14ac:dyDescent="0.2">
      <c r="A44" s="56">
        <f t="shared" si="16"/>
        <v>43860</v>
      </c>
      <c r="B44" s="617">
        <v>6.7770000000000001</v>
      </c>
      <c r="C44" s="390"/>
      <c r="D44" s="393">
        <f t="shared" si="0"/>
        <v>6.8743235985937652</v>
      </c>
      <c r="E44" s="385">
        <f t="shared" si="17"/>
        <v>7.4933536363181634</v>
      </c>
      <c r="F44" s="385">
        <f t="shared" si="1"/>
        <v>7.5125643185257411</v>
      </c>
      <c r="G44" s="110">
        <f t="shared" si="18"/>
        <v>0.38082663832358304</v>
      </c>
      <c r="H44" s="414" t="b">
        <f>Wh_hp&gt;='2019'!Maxi_hp</f>
        <v>1</v>
      </c>
      <c r="I44" s="380">
        <f>IF(H44,Wh_hp,'2019'!Maxi_hp)</f>
        <v>7.5125643185257411</v>
      </c>
      <c r="J44" s="85">
        <f>IF(H44,An,'2019'!An_max)</f>
        <v>2020</v>
      </c>
      <c r="K44" s="197">
        <f t="shared" si="19"/>
        <v>43860</v>
      </c>
      <c r="L44" s="147">
        <f>IF(t&lt;Tvie,1-EXP((T0-t)*PertePVj)+'2019'!Pspv,1-EXP((T0-t)*PertePVj)+Pspv)</f>
        <v>1.415755269560981E-2</v>
      </c>
      <c r="M44" s="850"/>
      <c r="N44" s="850"/>
      <c r="O44" s="48">
        <f>IF(t&lt;Tnet,'2019'!Resal+('2019'!Salim-'2019'!Resal)*(1-EXP(('2019'!Tnet-t)/('2019'!Tau_j))),Resal+(Salim-Resal)*(1-EXP((Tnet-t)/(Tau_j))))*Salcycl</f>
        <v>8.2610546327899798E-2</v>
      </c>
      <c r="P44" s="169">
        <f>(INDEX(Models!$BJ44:$BT44,,T44)*(1-R44)+INDEX(Models!$BJ44:$BT44,,T44+1)*R44-ERP_i)*Q44*Ramure*Pc/MaxiM</f>
        <v>2.0396133559768315E-2</v>
      </c>
      <c r="Q44" s="305">
        <f t="shared" si="2"/>
        <v>0.7</v>
      </c>
      <c r="R44" s="177">
        <f t="shared" si="3"/>
        <v>0.90095571931062279</v>
      </c>
      <c r="S44" s="817">
        <f t="shared" si="4"/>
        <v>-2</v>
      </c>
      <c r="T44" s="176">
        <f t="shared" si="5"/>
        <v>4</v>
      </c>
      <c r="U44" s="251">
        <f t="shared" si="20"/>
        <v>-1.0990442806893772</v>
      </c>
      <c r="V44" s="383">
        <f t="shared" si="6"/>
        <v>17.477231202644997</v>
      </c>
      <c r="W44" s="402"/>
      <c r="X44" s="157">
        <f t="shared" si="7"/>
        <v>43860</v>
      </c>
      <c r="Y44" s="385">
        <f t="shared" si="8"/>
        <v>6.7770000000000001</v>
      </c>
      <c r="Z44" s="385">
        <f t="shared" si="9"/>
        <v>6.8743235985937652</v>
      </c>
      <c r="AA44" s="386">
        <f t="shared" si="10"/>
        <v>7.4933536363181634</v>
      </c>
      <c r="AB44" s="197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8.2610546327899798E-2</v>
      </c>
      <c r="AD44" s="231">
        <f>(INDEX(Models!$BJ44:$BT44,,AH44)*(1-AF44)+INDEX(Models!$BJ44:$BT44,,AH44+1)*AF44-ERP_i)*AE44*Ramure*Pc/MaxiM</f>
        <v>2.0396133559768315E-2</v>
      </c>
      <c r="AE44" s="305">
        <f t="shared" si="12"/>
        <v>0.7</v>
      </c>
      <c r="AF44" s="177">
        <f t="shared" si="21"/>
        <v>0.90095571931062279</v>
      </c>
      <c r="AG44" s="817">
        <f t="shared" si="22"/>
        <v>-2</v>
      </c>
      <c r="AH44" s="176">
        <f t="shared" si="13"/>
        <v>4</v>
      </c>
      <c r="AI44" s="225">
        <f t="shared" si="23"/>
        <v>-1.0990442806893772</v>
      </c>
      <c r="AJ44" s="265" t="b">
        <f t="shared" si="14"/>
        <v>0</v>
      </c>
      <c r="AK44" s="265" t="b">
        <f t="shared" si="15"/>
        <v>0</v>
      </c>
      <c r="AL44" s="265"/>
      <c r="AM44" s="265"/>
      <c r="AN44" s="75"/>
    </row>
    <row r="45" spans="1:40" s="6" customFormat="1" ht="11.25" x14ac:dyDescent="0.2">
      <c r="A45" s="56">
        <f t="shared" si="16"/>
        <v>43861</v>
      </c>
      <c r="B45" s="617">
        <v>12.319000000000001</v>
      </c>
      <c r="C45" s="390"/>
      <c r="D45" s="393">
        <f t="shared" si="0"/>
        <v>12.496185224434747</v>
      </c>
      <c r="E45" s="385">
        <f t="shared" si="17"/>
        <v>13.622630053991481</v>
      </c>
      <c r="F45" s="385">
        <f t="shared" si="1"/>
        <v>13.77882589725804</v>
      </c>
      <c r="G45" s="110">
        <f t="shared" si="18"/>
        <v>0.68810905656476018</v>
      </c>
      <c r="H45" s="414" t="b">
        <f>Wh_hp&gt;='2019'!Maxi_hp</f>
        <v>1</v>
      </c>
      <c r="I45" s="380">
        <f>IF(H45,Wh_hp,'2019'!Maxi_hp)</f>
        <v>13.77882589725804</v>
      </c>
      <c r="J45" s="85">
        <f>IF(H45,An,'2019'!An_max)</f>
        <v>2020</v>
      </c>
      <c r="K45" s="197">
        <f t="shared" si="19"/>
        <v>43861</v>
      </c>
      <c r="L45" s="147">
        <f>IF(t&lt;Tvie,1-EXP((T0-t)*PertePVj)+'2019'!Pspv,1-EXP((T0-t)*PertePVj)+Pspv)</f>
        <v>1.417914517530372E-2</v>
      </c>
      <c r="M45" s="850"/>
      <c r="N45" s="850"/>
      <c r="O45" s="48">
        <f>IF(t&lt;Tnet,'2019'!Resal+('2019'!Salim-'2019'!Resal)*(1-EXP(('2019'!Tnet-t)/('2019'!Tau_j))),Resal+(Salim-Resal)*(1-EXP((Tnet-t)/(Tau_j))))*Salcycl</f>
        <v>8.2689232922880537E-2</v>
      </c>
      <c r="P45" s="169">
        <f>(INDEX(Models!$BJ45:$BT45,,T45)*(1-R45)+INDEX(Models!$BJ45:$BT45,,T45+1)*R45-ERP_i)*Q45*Ramure*Pc/MaxiM</f>
        <v>2.0125601274818657E-2</v>
      </c>
      <c r="Q45" s="305">
        <f t="shared" si="2"/>
        <v>0.7</v>
      </c>
      <c r="R45" s="177">
        <f t="shared" si="3"/>
        <v>0.90101306605130493</v>
      </c>
      <c r="S45" s="817">
        <f t="shared" si="4"/>
        <v>-2</v>
      </c>
      <c r="T45" s="176">
        <f t="shared" si="5"/>
        <v>4</v>
      </c>
      <c r="U45" s="251">
        <f t="shared" si="20"/>
        <v>-1.0989869339486951</v>
      </c>
      <c r="V45" s="383">
        <f t="shared" si="6"/>
        <v>17.743522525521183</v>
      </c>
      <c r="W45" s="402"/>
      <c r="X45" s="157">
        <f t="shared" si="7"/>
        <v>43861</v>
      </c>
      <c r="Y45" s="385">
        <f t="shared" si="8"/>
        <v>12.319000000000001</v>
      </c>
      <c r="Z45" s="385">
        <f t="shared" si="9"/>
        <v>12.496185224434747</v>
      </c>
      <c r="AA45" s="386">
        <f t="shared" si="10"/>
        <v>13.622630053991481</v>
      </c>
      <c r="AB45" s="197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8.2689232922880537E-2</v>
      </c>
      <c r="AD45" s="231">
        <f>(INDEX(Models!$BJ45:$BT45,,AH45)*(1-AF45)+INDEX(Models!$BJ45:$BT45,,AH45+1)*AF45-ERP_i)*AE45*Ramure*Pc/MaxiM</f>
        <v>2.0125601274818657E-2</v>
      </c>
      <c r="AE45" s="305">
        <f t="shared" si="12"/>
        <v>0.7</v>
      </c>
      <c r="AF45" s="177">
        <f t="shared" si="21"/>
        <v>0.90101306605130493</v>
      </c>
      <c r="AG45" s="817">
        <f t="shared" si="22"/>
        <v>-2</v>
      </c>
      <c r="AH45" s="176">
        <f t="shared" si="13"/>
        <v>4</v>
      </c>
      <c r="AI45" s="225">
        <f t="shared" si="23"/>
        <v>-1.0989869339486951</v>
      </c>
      <c r="AJ45" s="265" t="b">
        <f t="shared" si="14"/>
        <v>0</v>
      </c>
      <c r="AK45" s="265" t="b">
        <f t="shared" si="15"/>
        <v>0</v>
      </c>
      <c r="AL45" s="265"/>
      <c r="AM45" s="265"/>
      <c r="AN45" s="75"/>
    </row>
    <row r="46" spans="1:40" s="6" customFormat="1" ht="11.25" x14ac:dyDescent="0.2">
      <c r="A46" s="56">
        <f t="shared" si="16"/>
        <v>43862</v>
      </c>
      <c r="B46" s="617">
        <v>7.6109999999999998</v>
      </c>
      <c r="C46" s="390"/>
      <c r="D46" s="393">
        <f t="shared" si="0"/>
        <v>7.7206387619359305</v>
      </c>
      <c r="E46" s="385">
        <f t="shared" si="17"/>
        <v>8.4173232416516512</v>
      </c>
      <c r="F46" s="385">
        <f t="shared" si="1"/>
        <v>8.4466321930425146</v>
      </c>
      <c r="G46" s="110">
        <f t="shared" si="18"/>
        <v>0.41559692210598626</v>
      </c>
      <c r="H46" s="414" t="b">
        <f>Wh_hp&gt;='2019'!Maxi_hp</f>
        <v>0</v>
      </c>
      <c r="I46" s="380">
        <f>IF(H46,Wh_hp,'2019'!Maxi_hp)</f>
        <v>16.408521217221892</v>
      </c>
      <c r="J46" s="85">
        <f>IF(H46,An,'2019'!An_max)</f>
        <v>2019</v>
      </c>
      <c r="K46" s="197">
        <f t="shared" si="19"/>
        <v>43862</v>
      </c>
      <c r="L46" s="147">
        <f>IF(t&lt;Tvie,1-EXP((T0-t)*PertePVj)+'2019'!Pspv,1-EXP((T0-t)*PertePVj)+Pspv)</f>
        <v>1.4200737182066936E-2</v>
      </c>
      <c r="M46" s="850"/>
      <c r="N46" s="850"/>
      <c r="O46" s="48">
        <f>IF(t&lt;Tnet,'2019'!Resal+('2019'!Salim-'2019'!Resal)*(1-EXP(('2019'!Tnet-t)/('2019'!Tau_j))),Resal+(Salim-Resal)*(1-EXP((Tnet-t)/(Tau_j))))*Salcycl</f>
        <v>8.276793699311677E-2</v>
      </c>
      <c r="P46" s="169">
        <f>(INDEX(Models!$BJ46:$BT46,,T46)*(1-R46)+INDEX(Models!$BJ46:$BT46,,T46+1)*R46-ERP_i)*Q46*Ramure*Pc/MaxiM</f>
        <v>1.9823023589162839E-2</v>
      </c>
      <c r="Q46" s="305">
        <f t="shared" si="2"/>
        <v>0.7</v>
      </c>
      <c r="R46" s="177">
        <f t="shared" si="3"/>
        <v>0.90107279521788475</v>
      </c>
      <c r="S46" s="817">
        <f t="shared" si="4"/>
        <v>-2</v>
      </c>
      <c r="T46" s="176">
        <f t="shared" si="5"/>
        <v>4</v>
      </c>
      <c r="U46" s="251">
        <f t="shared" si="20"/>
        <v>-1.0989272047821153</v>
      </c>
      <c r="V46" s="383">
        <f t="shared" si="6"/>
        <v>18.012893220219656</v>
      </c>
      <c r="W46" s="402"/>
      <c r="X46" s="157">
        <f t="shared" si="7"/>
        <v>43862</v>
      </c>
      <c r="Y46" s="385">
        <f t="shared" si="8"/>
        <v>7.6109999999999989</v>
      </c>
      <c r="Z46" s="385">
        <f t="shared" si="9"/>
        <v>7.7206387619359296</v>
      </c>
      <c r="AA46" s="386">
        <f t="shared" si="10"/>
        <v>8.4173232416516512</v>
      </c>
      <c r="AB46" s="197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8.276793699311677E-2</v>
      </c>
      <c r="AD46" s="231">
        <f>(INDEX(Models!$BJ46:$BT46,,AH46)*(1-AF46)+INDEX(Models!$BJ46:$BT46,,AH46+1)*AF46-ERP_i)*AE46*Ramure*Pc/MaxiM</f>
        <v>1.9823023589162839E-2</v>
      </c>
      <c r="AE46" s="305">
        <f t="shared" si="12"/>
        <v>0.7</v>
      </c>
      <c r="AF46" s="177">
        <f t="shared" si="21"/>
        <v>0.90107279521788475</v>
      </c>
      <c r="AG46" s="817">
        <f t="shared" si="22"/>
        <v>-2</v>
      </c>
      <c r="AH46" s="176">
        <f t="shared" si="13"/>
        <v>4</v>
      </c>
      <c r="AI46" s="225">
        <f t="shared" si="23"/>
        <v>-1.0989272047821153</v>
      </c>
      <c r="AJ46" s="265" t="b">
        <f t="shared" si="14"/>
        <v>0</v>
      </c>
      <c r="AK46" s="265" t="b">
        <f t="shared" si="15"/>
        <v>0</v>
      </c>
      <c r="AL46" s="265"/>
      <c r="AM46" s="265"/>
      <c r="AN46" s="75"/>
    </row>
    <row r="47" spans="1:40" s="6" customFormat="1" ht="11.25" x14ac:dyDescent="0.2">
      <c r="A47" s="56">
        <f t="shared" si="16"/>
        <v>43863</v>
      </c>
      <c r="B47" s="617">
        <v>15.964</v>
      </c>
      <c r="C47" s="390"/>
      <c r="D47" s="393">
        <f t="shared" si="0"/>
        <v>16.194320955966706</v>
      </c>
      <c r="E47" s="385">
        <f t="shared" si="17"/>
        <v>17.657157387930859</v>
      </c>
      <c r="F47" s="385">
        <f t="shared" si="1"/>
        <v>17.943473086074135</v>
      </c>
      <c r="G47" s="110">
        <f t="shared" si="18"/>
        <v>0.86994125914341536</v>
      </c>
      <c r="H47" s="414" t="b">
        <f>Wh_hp&gt;='2019'!Maxi_hp</f>
        <v>1</v>
      </c>
      <c r="I47" s="380">
        <f>IF(H47,Wh_hp,'2019'!Maxi_hp)</f>
        <v>17.943473086074135</v>
      </c>
      <c r="J47" s="85">
        <f>IF(H47,An,'2019'!An_max)</f>
        <v>2020</v>
      </c>
      <c r="K47" s="197">
        <f t="shared" si="19"/>
        <v>43863</v>
      </c>
      <c r="L47" s="147">
        <f>IF(t&lt;Tvie,1-EXP((T0-t)*PertePVj)+'2019'!Pspv,1-EXP((T0-t)*PertePVj)+Pspv)</f>
        <v>1.4222328715909782E-2</v>
      </c>
      <c r="M47" s="850"/>
      <c r="N47" s="850"/>
      <c r="O47" s="48">
        <f>IF(t&lt;Tnet,'2019'!Resal+('2019'!Salim-'2019'!Resal)*(1-EXP(('2019'!Tnet-t)/('2019'!Tau_j))),Resal+(Salim-Resal)*(1-EXP((Tnet-t)/(Tau_j))))*Salcycl</f>
        <v>8.2846655315200426E-2</v>
      </c>
      <c r="P47" s="169">
        <f>(INDEX(Models!$BJ47:$BT47,,T47)*(1-R47)+INDEX(Models!$BJ47:$BT47,,T47+1)*R47-ERP_i)*Q47*Ramure*Pc/MaxiM</f>
        <v>1.9490541501447401E-2</v>
      </c>
      <c r="Q47" s="305">
        <f t="shared" si="2"/>
        <v>0.7</v>
      </c>
      <c r="R47" s="177">
        <f t="shared" si="3"/>
        <v>0.90113500476985831</v>
      </c>
      <c r="S47" s="817">
        <f t="shared" si="4"/>
        <v>-2</v>
      </c>
      <c r="T47" s="176">
        <f t="shared" si="5"/>
        <v>4</v>
      </c>
      <c r="U47" s="251">
        <f t="shared" si="20"/>
        <v>-1.0988649952301417</v>
      </c>
      <c r="V47" s="383">
        <f t="shared" si="6"/>
        <v>18.284761385329787</v>
      </c>
      <c r="W47" s="402"/>
      <c r="X47" s="157">
        <f t="shared" si="7"/>
        <v>43863</v>
      </c>
      <c r="Y47" s="385">
        <f t="shared" si="8"/>
        <v>15.964</v>
      </c>
      <c r="Z47" s="385">
        <f t="shared" si="9"/>
        <v>16.194320955966706</v>
      </c>
      <c r="AA47" s="386">
        <f t="shared" si="10"/>
        <v>17.657157387930859</v>
      </c>
      <c r="AB47" s="197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8.2846655315200426E-2</v>
      </c>
      <c r="AD47" s="231">
        <f>(INDEX(Models!$BJ47:$BT47,,AH47)*(1-AF47)+INDEX(Models!$BJ47:$BT47,,AH47+1)*AF47-ERP_i)*AE47*Ramure*Pc/MaxiM</f>
        <v>1.9490541501447401E-2</v>
      </c>
      <c r="AE47" s="305">
        <f t="shared" si="12"/>
        <v>0.7</v>
      </c>
      <c r="AF47" s="177">
        <f t="shared" si="21"/>
        <v>0.90113500476985831</v>
      </c>
      <c r="AG47" s="817">
        <f t="shared" si="22"/>
        <v>-2</v>
      </c>
      <c r="AH47" s="176">
        <f t="shared" si="13"/>
        <v>4</v>
      </c>
      <c r="AI47" s="225">
        <f t="shared" si="23"/>
        <v>-1.0988649952301417</v>
      </c>
      <c r="AJ47" s="265" t="b">
        <f t="shared" si="14"/>
        <v>0</v>
      </c>
      <c r="AK47" s="265" t="b">
        <f t="shared" si="15"/>
        <v>0</v>
      </c>
      <c r="AL47" s="265"/>
      <c r="AM47" s="265"/>
      <c r="AN47" s="75"/>
    </row>
    <row r="48" spans="1:40" s="6" customFormat="1" ht="11.25" x14ac:dyDescent="0.2">
      <c r="A48" s="56">
        <f t="shared" si="16"/>
        <v>43864</v>
      </c>
      <c r="B48" s="617">
        <v>15.055</v>
      </c>
      <c r="C48" s="390"/>
      <c r="D48" s="393">
        <f t="shared" si="0"/>
        <v>15.27254084660763</v>
      </c>
      <c r="E48" s="385">
        <f t="shared" si="17"/>
        <v>16.653542227074816</v>
      </c>
      <c r="F48" s="385">
        <f t="shared" si="1"/>
        <v>16.889504299779531</v>
      </c>
      <c r="G48" s="110">
        <f t="shared" si="18"/>
        <v>0.80697204782045562</v>
      </c>
      <c r="H48" s="414" t="b">
        <f>Wh_hp&gt;='2019'!Maxi_hp</f>
        <v>1</v>
      </c>
      <c r="I48" s="380">
        <f>IF(H48,Wh_hp,'2019'!Maxi_hp)</f>
        <v>16.889504299779531</v>
      </c>
      <c r="J48" s="85">
        <f>IF(H48,An,'2019'!An_max)</f>
        <v>2020</v>
      </c>
      <c r="K48" s="197">
        <f t="shared" si="19"/>
        <v>43864</v>
      </c>
      <c r="L48" s="147">
        <f>IF(t&lt;Tvie,1-EXP((T0-t)*PertePVj)+'2019'!Pspv,1-EXP((T0-t)*PertePVj)+Pspv)</f>
        <v>1.4243919776842584E-2</v>
      </c>
      <c r="M48" s="850"/>
      <c r="N48" s="850"/>
      <c r="O48" s="48">
        <f>IF(t&lt;Tnet,'2019'!Resal+('2019'!Salim-'2019'!Resal)*(1-EXP(('2019'!Tnet-t)/('2019'!Tau_j))),Resal+(Salim-Resal)*(1-EXP((Tnet-t)/(Tau_j))))*Salcycl</f>
        <v>8.2925383779433814E-2</v>
      </c>
      <c r="P48" s="169">
        <f>(INDEX(Models!$BJ48:$BT48,,T48)*(1-R48)+INDEX(Models!$BJ48:$BT48,,T48+1)*R48-ERP_i)*Q48*Ramure*Pc/MaxiM</f>
        <v>1.9130150925492615E-2</v>
      </c>
      <c r="Q48" s="305">
        <f t="shared" si="2"/>
        <v>0.7</v>
      </c>
      <c r="R48" s="177">
        <f t="shared" si="3"/>
        <v>0.90119979660799743</v>
      </c>
      <c r="S48" s="817">
        <f t="shared" si="4"/>
        <v>-2</v>
      </c>
      <c r="T48" s="176">
        <f t="shared" si="5"/>
        <v>4</v>
      </c>
      <c r="U48" s="251">
        <f t="shared" si="20"/>
        <v>-1.0988002033920026</v>
      </c>
      <c r="V48" s="383">
        <f t="shared" si="6"/>
        <v>18.558545409764196</v>
      </c>
      <c r="W48" s="402"/>
      <c r="X48" s="157">
        <f t="shared" si="7"/>
        <v>43864</v>
      </c>
      <c r="Y48" s="385">
        <f t="shared" si="8"/>
        <v>15.055</v>
      </c>
      <c r="Z48" s="385">
        <f t="shared" si="9"/>
        <v>15.27254084660763</v>
      </c>
      <c r="AA48" s="386">
        <f t="shared" si="10"/>
        <v>16.653542227074816</v>
      </c>
      <c r="AB48" s="197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8.2925383779433814E-2</v>
      </c>
      <c r="AD48" s="231">
        <f>(INDEX(Models!$BJ48:$BT48,,AH48)*(1-AF48)+INDEX(Models!$BJ48:$BT48,,AH48+1)*AF48-ERP_i)*AE48*Ramure*Pc/MaxiM</f>
        <v>1.9130150925492615E-2</v>
      </c>
      <c r="AE48" s="305">
        <f t="shared" si="12"/>
        <v>0.7</v>
      </c>
      <c r="AF48" s="177">
        <f t="shared" si="21"/>
        <v>0.90119979660799743</v>
      </c>
      <c r="AG48" s="817">
        <f t="shared" si="22"/>
        <v>-2</v>
      </c>
      <c r="AH48" s="176">
        <f t="shared" si="13"/>
        <v>4</v>
      </c>
      <c r="AI48" s="225">
        <f t="shared" si="23"/>
        <v>-1.0988002033920026</v>
      </c>
      <c r="AJ48" s="265" t="b">
        <f t="shared" si="14"/>
        <v>0</v>
      </c>
      <c r="AK48" s="265" t="b">
        <f t="shared" si="15"/>
        <v>0</v>
      </c>
      <c r="AL48" s="265"/>
      <c r="AM48" s="265"/>
      <c r="AN48" s="75"/>
    </row>
    <row r="49" spans="1:40" s="6" customFormat="1" ht="11.25" x14ac:dyDescent="0.2">
      <c r="A49" s="56">
        <f t="shared" si="16"/>
        <v>43865</v>
      </c>
      <c r="B49" s="617">
        <v>10.929</v>
      </c>
      <c r="C49" s="390"/>
      <c r="D49" s="393">
        <f t="shared" si="0"/>
        <v>11.0871640537255</v>
      </c>
      <c r="E49" s="385">
        <f t="shared" si="17"/>
        <v>12.090745732204242</v>
      </c>
      <c r="F49" s="385">
        <f t="shared" si="1"/>
        <v>12.182176190652566</v>
      </c>
      <c r="G49" s="110">
        <f t="shared" si="18"/>
        <v>0.57371982028931467</v>
      </c>
      <c r="H49" s="414" t="b">
        <f>Wh_hp&gt;='2019'!Maxi_hp</f>
        <v>0</v>
      </c>
      <c r="I49" s="380">
        <f>IF(H49,Wh_hp,'2019'!Maxi_hp)</f>
        <v>17.966121132529384</v>
      </c>
      <c r="J49" s="85">
        <f>IF(H49,An,'2019'!An_max)</f>
        <v>2019</v>
      </c>
      <c r="K49" s="197">
        <f t="shared" si="19"/>
        <v>43865</v>
      </c>
      <c r="L49" s="147">
        <f>IF(t&lt;Tvie,1-EXP((T0-t)*PertePVj)+'2019'!Pspv,1-EXP((T0-t)*PertePVj)+Pspv)</f>
        <v>1.4265510364875778E-2</v>
      </c>
      <c r="M49" s="850"/>
      <c r="N49" s="850"/>
      <c r="O49" s="48">
        <f>IF(t&lt;Tnet,'2019'!Resal+('2019'!Salim-'2019'!Resal)*(1-EXP(('2019'!Tnet-t)/('2019'!Tau_j))),Resal+(Salim-Resal)*(1-EXP((Tnet-t)/(Tau_j))))*Salcycl</f>
        <v>8.3004117422274259E-2</v>
      </c>
      <c r="P49" s="169">
        <f>(INDEX(Models!$BJ49:$BT49,,T49)*(1-R49)+INDEX(Models!$BJ49:$BT49,,T49+1)*R49-ERP_i)*Q49*Ramure*Pc/MaxiM</f>
        <v>1.8743702271538477E-2</v>
      </c>
      <c r="Q49" s="305">
        <f t="shared" si="2"/>
        <v>0.7</v>
      </c>
      <c r="R49" s="177">
        <f t="shared" si="3"/>
        <v>0.90126727672553031</v>
      </c>
      <c r="S49" s="817">
        <f t="shared" si="4"/>
        <v>-2</v>
      </c>
      <c r="T49" s="176">
        <f t="shared" si="5"/>
        <v>4</v>
      </c>
      <c r="U49" s="251">
        <f t="shared" si="20"/>
        <v>-1.0987327232744697</v>
      </c>
      <c r="V49" s="383">
        <f t="shared" si="6"/>
        <v>18.833663978171455</v>
      </c>
      <c r="W49" s="402"/>
      <c r="X49" s="157">
        <f t="shared" si="7"/>
        <v>43865</v>
      </c>
      <c r="Y49" s="385">
        <f t="shared" si="8"/>
        <v>10.929</v>
      </c>
      <c r="Z49" s="385">
        <f t="shared" si="9"/>
        <v>11.0871640537255</v>
      </c>
      <c r="AA49" s="386">
        <f t="shared" si="10"/>
        <v>12.090745732204242</v>
      </c>
      <c r="AB49" s="197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8.3004117422274259E-2</v>
      </c>
      <c r="AD49" s="231">
        <f>(INDEX(Models!$BJ49:$BT49,,AH49)*(1-AF49)+INDEX(Models!$BJ49:$BT49,,AH49+1)*AF49-ERP_i)*AE49*Ramure*Pc/MaxiM</f>
        <v>1.8743702271538477E-2</v>
      </c>
      <c r="AE49" s="305">
        <f t="shared" si="12"/>
        <v>0.7</v>
      </c>
      <c r="AF49" s="177">
        <f t="shared" si="21"/>
        <v>0.90126727672553031</v>
      </c>
      <c r="AG49" s="817">
        <f t="shared" si="22"/>
        <v>-2</v>
      </c>
      <c r="AH49" s="176">
        <f t="shared" si="13"/>
        <v>4</v>
      </c>
      <c r="AI49" s="225">
        <f t="shared" si="23"/>
        <v>-1.0987327232744697</v>
      </c>
      <c r="AJ49" s="265" t="b">
        <f t="shared" si="14"/>
        <v>0</v>
      </c>
      <c r="AK49" s="265" t="b">
        <f t="shared" si="15"/>
        <v>0</v>
      </c>
      <c r="AL49" s="265"/>
      <c r="AM49" s="265"/>
      <c r="AN49" s="75"/>
    </row>
    <row r="50" spans="1:40" s="6" customFormat="1" ht="11.25" x14ac:dyDescent="0.2">
      <c r="A50" s="56">
        <f t="shared" si="16"/>
        <v>43866</v>
      </c>
      <c r="B50" s="617">
        <v>19.173999999999999</v>
      </c>
      <c r="C50" s="390"/>
      <c r="D50" s="393">
        <f t="shared" si="0"/>
        <v>19.451911412884318</v>
      </c>
      <c r="E50" s="385">
        <f t="shared" si="17"/>
        <v>21.214470056448889</v>
      </c>
      <c r="F50" s="385">
        <f t="shared" si="1"/>
        <v>21.61065608350567</v>
      </c>
      <c r="G50" s="110">
        <f t="shared" si="18"/>
        <v>1.0033733904719155</v>
      </c>
      <c r="H50" s="414" t="b">
        <f>Wh_hp&gt;='2019'!Maxi_hp</f>
        <v>1</v>
      </c>
      <c r="I50" s="380">
        <f>IF(H50,Wh_hp,'2019'!Maxi_hp)</f>
        <v>21.61065608350567</v>
      </c>
      <c r="J50" s="85">
        <f>IF(H50,An,'2019'!An_max)</f>
        <v>2020</v>
      </c>
      <c r="K50" s="197">
        <f t="shared" si="19"/>
        <v>43866</v>
      </c>
      <c r="L50" s="147">
        <f>IF(t&lt;Tvie,1-EXP((T0-t)*PertePVj)+'2019'!Pspv,1-EXP((T0-t)*PertePVj)+Pspv)</f>
        <v>1.4287100480019688E-2</v>
      </c>
      <c r="M50" s="850"/>
      <c r="N50" s="850"/>
      <c r="O50" s="48">
        <f>IF(t&lt;Tnet,'2019'!Resal+('2019'!Salim-'2019'!Resal)*(1-EXP(('2019'!Tnet-t)/('2019'!Tau_j))),Resal+(Salim-Resal)*(1-EXP((Tnet-t)/(Tau_j))))*Salcycl</f>
        <v>8.3082850473032571E-2</v>
      </c>
      <c r="P50" s="169">
        <f>(INDEX(Models!$BJ50:$BT50,,T50)*(1-R50)+INDEX(Models!$BJ50:$BT50,,T50+1)*R50-ERP_i)*Q50*Ramure*Pc/MaxiM</f>
        <v>1.8332901394843386E-2</v>
      </c>
      <c r="Q50" s="305">
        <f t="shared" si="2"/>
        <v>0.7</v>
      </c>
      <c r="R50" s="177">
        <f t="shared" si="3"/>
        <v>0.90133755536448934</v>
      </c>
      <c r="S50" s="817">
        <f t="shared" si="4"/>
        <v>-2</v>
      </c>
      <c r="T50" s="176">
        <f t="shared" si="5"/>
        <v>4</v>
      </c>
      <c r="U50" s="251">
        <f t="shared" si="20"/>
        <v>-1.0986624446355107</v>
      </c>
      <c r="V50" s="383">
        <f t="shared" si="6"/>
        <v>19.109536073088318</v>
      </c>
      <c r="W50" s="402"/>
      <c r="X50" s="157">
        <f t="shared" si="7"/>
        <v>43866</v>
      </c>
      <c r="Y50" s="385">
        <f t="shared" si="8"/>
        <v>19.173999999999999</v>
      </c>
      <c r="Z50" s="385">
        <f t="shared" si="9"/>
        <v>19.451911412884318</v>
      </c>
      <c r="AA50" s="386">
        <f t="shared" si="10"/>
        <v>21.214470056448889</v>
      </c>
      <c r="AB50" s="197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8.3082850473032571E-2</v>
      </c>
      <c r="AD50" s="231">
        <f>(INDEX(Models!$BJ50:$BT50,,AH50)*(1-AF50)+INDEX(Models!$BJ50:$BT50,,AH50+1)*AF50-ERP_i)*AE50*Ramure*Pc/MaxiM</f>
        <v>1.8332901394843386E-2</v>
      </c>
      <c r="AE50" s="305">
        <f t="shared" si="12"/>
        <v>0.7</v>
      </c>
      <c r="AF50" s="177">
        <f t="shared" si="21"/>
        <v>0.90133755536448934</v>
      </c>
      <c r="AG50" s="817">
        <f t="shared" si="22"/>
        <v>-2</v>
      </c>
      <c r="AH50" s="176">
        <f t="shared" si="13"/>
        <v>4</v>
      </c>
      <c r="AI50" s="225">
        <f t="shared" si="23"/>
        <v>-1.0986624446355107</v>
      </c>
      <c r="AJ50" s="265" t="b">
        <f t="shared" si="14"/>
        <v>0</v>
      </c>
      <c r="AK50" s="265" t="b">
        <f t="shared" si="15"/>
        <v>0</v>
      </c>
      <c r="AL50" s="265"/>
      <c r="AM50" s="265"/>
      <c r="AN50" s="75"/>
    </row>
    <row r="51" spans="1:40" s="6" customFormat="1" ht="11.25" x14ac:dyDescent="0.2">
      <c r="A51" s="56">
        <f t="shared" si="16"/>
        <v>43867</v>
      </c>
      <c r="B51" s="617">
        <v>19.777000000000001</v>
      </c>
      <c r="C51" s="390"/>
      <c r="D51" s="393">
        <f t="shared" si="0"/>
        <v>20.064090858682249</v>
      </c>
      <c r="E51" s="385">
        <f t="shared" si="17"/>
        <v>21.883998687803771</v>
      </c>
      <c r="F51" s="385">
        <f t="shared" si="1"/>
        <v>22.282786270723793</v>
      </c>
      <c r="G51" s="110">
        <f t="shared" si="18"/>
        <v>1.0200377060757015</v>
      </c>
      <c r="H51" s="414" t="b">
        <f>Wh_hp&gt;='2019'!Maxi_hp</f>
        <v>1</v>
      </c>
      <c r="I51" s="380">
        <f>IF(H51,Wh_hp,'2019'!Maxi_hp)</f>
        <v>22.282786270723793</v>
      </c>
      <c r="J51" s="85">
        <f>IF(H51,An,'2019'!An_max)</f>
        <v>2020</v>
      </c>
      <c r="K51" s="197">
        <f t="shared" si="19"/>
        <v>43867</v>
      </c>
      <c r="L51" s="147">
        <f>IF(t&lt;Tvie,1-EXP((T0-t)*PertePVj)+'2019'!Pspv,1-EXP((T0-t)*PertePVj)+Pspv)</f>
        <v>1.430869012228464E-2</v>
      </c>
      <c r="M51" s="850"/>
      <c r="N51" s="850"/>
      <c r="O51" s="48">
        <f>IF(t&lt;Tnet,'2019'!Resal+('2019'!Salim-'2019'!Resal)*(1-EXP(('2019'!Tnet-t)/('2019'!Tau_j))),Resal+(Salim-Resal)*(1-EXP((Tnet-t)/(Tau_j))))*Salcycl</f>
        <v>8.3161576414084781E-2</v>
      </c>
      <c r="P51" s="169">
        <f>(INDEX(Models!$BJ51:$BT51,,T51)*(1-R51)+INDEX(Models!$BJ51:$BT51,,T51+1)*R51-ERP_i)*Q51*Ramure*Pc/MaxiM</f>
        <v>1.7896665976820252E-2</v>
      </c>
      <c r="Q51" s="305">
        <f t="shared" si="2"/>
        <v>0.7</v>
      </c>
      <c r="R51" s="177">
        <f t="shared" si="3"/>
        <v>0.90141074717733716</v>
      </c>
      <c r="S51" s="817">
        <f t="shared" si="4"/>
        <v>-2</v>
      </c>
      <c r="T51" s="176">
        <f t="shared" si="5"/>
        <v>4</v>
      </c>
      <c r="U51" s="251">
        <f t="shared" si="20"/>
        <v>-1.0985892528226628</v>
      </c>
      <c r="V51" s="383">
        <f t="shared" si="6"/>
        <v>19.388498956657454</v>
      </c>
      <c r="W51" s="402"/>
      <c r="X51" s="157">
        <f t="shared" si="7"/>
        <v>43867</v>
      </c>
      <c r="Y51" s="385">
        <f t="shared" si="8"/>
        <v>19.777000000000001</v>
      </c>
      <c r="Z51" s="385">
        <f t="shared" si="9"/>
        <v>20.064090858682249</v>
      </c>
      <c r="AA51" s="386">
        <f t="shared" si="10"/>
        <v>21.883998687803771</v>
      </c>
      <c r="AB51" s="197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8.3161576414084781E-2</v>
      </c>
      <c r="AD51" s="231">
        <f>(INDEX(Models!$BJ51:$BT51,,AH51)*(1-AF51)+INDEX(Models!$BJ51:$BT51,,AH51+1)*AF51-ERP_i)*AE51*Ramure*Pc/MaxiM</f>
        <v>1.7896665976820252E-2</v>
      </c>
      <c r="AE51" s="305">
        <f t="shared" si="12"/>
        <v>0.7</v>
      </c>
      <c r="AF51" s="177">
        <f t="shared" si="21"/>
        <v>0.90141074717733716</v>
      </c>
      <c r="AG51" s="817">
        <f t="shared" si="22"/>
        <v>-2</v>
      </c>
      <c r="AH51" s="176">
        <f t="shared" si="13"/>
        <v>4</v>
      </c>
      <c r="AI51" s="225">
        <f t="shared" si="23"/>
        <v>-1.0985892528226628</v>
      </c>
      <c r="AJ51" s="265" t="b">
        <f t="shared" si="14"/>
        <v>0</v>
      </c>
      <c r="AK51" s="265" t="b">
        <f t="shared" si="15"/>
        <v>0</v>
      </c>
      <c r="AL51" s="265"/>
      <c r="AM51" s="265"/>
      <c r="AN51" s="75"/>
    </row>
    <row r="52" spans="1:40" s="6" customFormat="1" ht="11.25" x14ac:dyDescent="0.2">
      <c r="A52" s="56">
        <f t="shared" si="16"/>
        <v>43868</v>
      </c>
      <c r="B52" s="617">
        <v>13.731999999999999</v>
      </c>
      <c r="C52" s="390"/>
      <c r="D52" s="393">
        <f t="shared" si="0"/>
        <v>13.931644354593697</v>
      </c>
      <c r="E52" s="385">
        <f t="shared" si="17"/>
        <v>15.196614961424299</v>
      </c>
      <c r="F52" s="385">
        <f t="shared" si="1"/>
        <v>15.348596284444294</v>
      </c>
      <c r="G52" s="110">
        <f t="shared" si="18"/>
        <v>0.69270848131551832</v>
      </c>
      <c r="H52" s="414" t="b">
        <f>Wh_hp&gt;='2019'!Maxi_hp</f>
        <v>1</v>
      </c>
      <c r="I52" s="380">
        <f>IF(H52,Wh_hp,'2019'!Maxi_hp)</f>
        <v>15.348596284444294</v>
      </c>
      <c r="J52" s="85">
        <f>IF(H52,An,'2019'!An_max)</f>
        <v>2020</v>
      </c>
      <c r="K52" s="197">
        <f t="shared" si="19"/>
        <v>43868</v>
      </c>
      <c r="L52" s="147">
        <f>IF(t&lt;Tvie,1-EXP((T0-t)*PertePVj)+'2019'!Pspv,1-EXP((T0-t)*PertePVj)+Pspv)</f>
        <v>1.4330279291680958E-2</v>
      </c>
      <c r="M52" s="850"/>
      <c r="N52" s="850"/>
      <c r="O52" s="48">
        <f>IF(t&lt;Tnet,'2019'!Resal+('2019'!Salim-'2019'!Resal)*(1-EXP(('2019'!Tnet-t)/('2019'!Tau_j))),Resal+(Salim-Resal)*(1-EXP((Tnet-t)/(Tau_j))))*Salcycl</f>
        <v>8.3240288053731279E-2</v>
      </c>
      <c r="P52" s="169">
        <f>(INDEX(Models!$BJ52:$BT52,,T52)*(1-R52)+INDEX(Models!$BJ52:$BT52,,T52+1)*R52-ERP_i)*Q52*Ramure*Pc/MaxiM</f>
        <v>1.7415292608413634E-2</v>
      </c>
      <c r="Q52" s="305">
        <f t="shared" si="2"/>
        <v>0.7</v>
      </c>
      <c r="R52" s="177">
        <f t="shared" si="3"/>
        <v>0.90148697139399436</v>
      </c>
      <c r="S52" s="817">
        <f t="shared" si="4"/>
        <v>-2</v>
      </c>
      <c r="T52" s="176">
        <f t="shared" si="5"/>
        <v>4</v>
      </c>
      <c r="U52" s="251">
        <f t="shared" si="20"/>
        <v>-1.0985130286060056</v>
      </c>
      <c r="V52" s="383">
        <f t="shared" si="6"/>
        <v>19.673203914417069</v>
      </c>
      <c r="W52" s="402"/>
      <c r="X52" s="157">
        <f t="shared" si="7"/>
        <v>43868</v>
      </c>
      <c r="Y52" s="385">
        <f t="shared" si="8"/>
        <v>13.731999999999999</v>
      </c>
      <c r="Z52" s="385">
        <f t="shared" si="9"/>
        <v>13.931644354593697</v>
      </c>
      <c r="AA52" s="386">
        <f t="shared" si="10"/>
        <v>15.196614961424299</v>
      </c>
      <c r="AB52" s="197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8.3240288053731279E-2</v>
      </c>
      <c r="AD52" s="231">
        <f>(INDEX(Models!$BJ52:$BT52,,AH52)*(1-AF52)+INDEX(Models!$BJ52:$BT52,,AH52+1)*AF52-ERP_i)*AE52*Ramure*Pc/MaxiM</f>
        <v>1.7415292608413634E-2</v>
      </c>
      <c r="AE52" s="305">
        <f t="shared" si="12"/>
        <v>0.7</v>
      </c>
      <c r="AF52" s="177">
        <f t="shared" si="21"/>
        <v>0.90148697139399436</v>
      </c>
      <c r="AG52" s="817">
        <f t="shared" si="22"/>
        <v>-2</v>
      </c>
      <c r="AH52" s="176">
        <f t="shared" si="13"/>
        <v>4</v>
      </c>
      <c r="AI52" s="225">
        <f t="shared" si="23"/>
        <v>-1.0985130286060056</v>
      </c>
      <c r="AJ52" s="265" t="b">
        <f t="shared" si="14"/>
        <v>0</v>
      </c>
      <c r="AK52" s="265" t="b">
        <f t="shared" si="15"/>
        <v>0</v>
      </c>
      <c r="AL52" s="265"/>
      <c r="AM52" s="265"/>
      <c r="AN52" s="75"/>
    </row>
    <row r="53" spans="1:40" s="6" customFormat="1" ht="11.25" x14ac:dyDescent="0.2">
      <c r="A53" s="56">
        <f t="shared" si="16"/>
        <v>43869</v>
      </c>
      <c r="B53" s="617">
        <v>16.582999999999998</v>
      </c>
      <c r="C53" s="390"/>
      <c r="D53" s="393">
        <f t="shared" si="0"/>
        <v>16.824462464259803</v>
      </c>
      <c r="E53" s="385">
        <f t="shared" si="17"/>
        <v>18.353671618953957</v>
      </c>
      <c r="F53" s="385">
        <f t="shared" si="1"/>
        <v>18.591862608372956</v>
      </c>
      <c r="G53" s="110">
        <f t="shared" si="18"/>
        <v>0.82725473920825809</v>
      </c>
      <c r="H53" s="414" t="b">
        <f>Wh_hp&gt;='2019'!Maxi_hp</f>
        <v>0</v>
      </c>
      <c r="I53" s="380">
        <f>IF(H53,Wh_hp,'2019'!Maxi_hp)</f>
        <v>19.771135830891151</v>
      </c>
      <c r="J53" s="85">
        <f>IF(H53,An,'2019'!An_max)</f>
        <v>2019</v>
      </c>
      <c r="K53" s="197">
        <f t="shared" si="19"/>
        <v>43869</v>
      </c>
      <c r="L53" s="147">
        <f>IF(t&lt;Tvie,1-EXP((T0-t)*PertePVj)+'2019'!Pspv,1-EXP((T0-t)*PertePVj)+Pspv)</f>
        <v>1.4351867988219191E-2</v>
      </c>
      <c r="M53" s="850"/>
      <c r="N53" s="850"/>
      <c r="O53" s="48">
        <f>IF(t&lt;Tnet,'2019'!Resal+('2019'!Salim-'2019'!Resal)*(1-EXP(('2019'!Tnet-t)/('2019'!Tau_j))),Resal+(Salim-Resal)*(1-EXP((Tnet-t)/(Tau_j))))*Salcycl</f>
        <v>8.3318977610721115E-2</v>
      </c>
      <c r="P53" s="169">
        <f>(INDEX(Models!$BJ53:$BT53,,T53)*(1-R53)+INDEX(Models!$BJ53:$BT53,,T53+1)*R53-ERP_i)*Q53*Ramure*Pc/MaxiM</f>
        <v>1.6898814874910354E-2</v>
      </c>
      <c r="Q53" s="305">
        <f t="shared" si="2"/>
        <v>0.7</v>
      </c>
      <c r="R53" s="177">
        <f t="shared" si="3"/>
        <v>0.90156635199438129</v>
      </c>
      <c r="S53" s="817">
        <f t="shared" si="4"/>
        <v>-2</v>
      </c>
      <c r="T53" s="176">
        <f t="shared" si="5"/>
        <v>4</v>
      </c>
      <c r="U53" s="251">
        <f t="shared" si="20"/>
        <v>-1.0984336480056187</v>
      </c>
      <c r="V53" s="383">
        <f t="shared" si="6"/>
        <v>19.962825052237509</v>
      </c>
      <c r="W53" s="402"/>
      <c r="X53" s="157">
        <f t="shared" si="7"/>
        <v>43869</v>
      </c>
      <c r="Y53" s="385">
        <f t="shared" si="8"/>
        <v>16.582999999999998</v>
      </c>
      <c r="Z53" s="385">
        <f t="shared" si="9"/>
        <v>16.824462464259803</v>
      </c>
      <c r="AA53" s="386">
        <f t="shared" si="10"/>
        <v>18.353671618953957</v>
      </c>
      <c r="AB53" s="197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8.3318977610721115E-2</v>
      </c>
      <c r="AD53" s="231">
        <f>(INDEX(Models!$BJ53:$BT53,,AH53)*(1-AF53)+INDEX(Models!$BJ53:$BT53,,AH53+1)*AF53-ERP_i)*AE53*Ramure*Pc/MaxiM</f>
        <v>1.6898814874910354E-2</v>
      </c>
      <c r="AE53" s="305">
        <f t="shared" si="12"/>
        <v>0.7</v>
      </c>
      <c r="AF53" s="177">
        <f t="shared" si="21"/>
        <v>0.90156635199438129</v>
      </c>
      <c r="AG53" s="817">
        <f t="shared" si="22"/>
        <v>-2</v>
      </c>
      <c r="AH53" s="176">
        <f t="shared" si="13"/>
        <v>4</v>
      </c>
      <c r="AI53" s="225">
        <f t="shared" si="23"/>
        <v>-1.0984336480056187</v>
      </c>
      <c r="AJ53" s="265" t="b">
        <f t="shared" si="14"/>
        <v>0</v>
      </c>
      <c r="AK53" s="265" t="b">
        <f t="shared" si="15"/>
        <v>0</v>
      </c>
      <c r="AL53" s="265"/>
      <c r="AM53" s="265"/>
      <c r="AN53" s="75"/>
    </row>
    <row r="54" spans="1:40" s="6" customFormat="1" ht="11.25" x14ac:dyDescent="0.2">
      <c r="A54" s="56">
        <f t="shared" si="16"/>
        <v>43870</v>
      </c>
      <c r="B54" s="617">
        <v>16.411999999999999</v>
      </c>
      <c r="C54" s="390"/>
      <c r="D54" s="393">
        <f t="shared" si="0"/>
        <v>16.65133726707808</v>
      </c>
      <c r="E54" s="385">
        <f t="shared" si="17"/>
        <v>18.166369557586219</v>
      </c>
      <c r="F54" s="385">
        <f t="shared" si="1"/>
        <v>18.385460261318848</v>
      </c>
      <c r="G54" s="110">
        <f t="shared" si="18"/>
        <v>0.80656674984807986</v>
      </c>
      <c r="H54" s="414" t="b">
        <f>Wh_hp&gt;='2019'!Maxi_hp</f>
        <v>0</v>
      </c>
      <c r="I54" s="380">
        <f>IF(H54,Wh_hp,'2019'!Maxi_hp)</f>
        <v>19.303475099472632</v>
      </c>
      <c r="J54" s="85">
        <f>IF(H54,An,'2019'!An_max)</f>
        <v>2019</v>
      </c>
      <c r="K54" s="197">
        <f t="shared" si="19"/>
        <v>43870</v>
      </c>
      <c r="L54" s="147">
        <f>IF(t&lt;Tvie,1-EXP((T0-t)*PertePVj)+'2019'!Pspv,1-EXP((T0-t)*PertePVj)+Pspv)</f>
        <v>1.4373456211909441E-2</v>
      </c>
      <c r="M54" s="850"/>
      <c r="N54" s="850"/>
      <c r="O54" s="48">
        <f>IF(t&lt;Tnet,'2019'!Resal+('2019'!Salim-'2019'!Resal)*(1-EXP(('2019'!Tnet-t)/('2019'!Tau_j))),Resal+(Salim-Resal)*(1-EXP((Tnet-t)/(Tau_j))))*Salcycl</f>
        <v>8.339763680935719E-2</v>
      </c>
      <c r="P54" s="169">
        <f>(INDEX(Models!$BJ54:$BT54,,T54)*(1-R54)+INDEX(Models!$BJ54:$BT54,,T54+1)*R54-ERP_i)*Q54*Ramure*Pc/MaxiM</f>
        <v>1.6349541431906964E-2</v>
      </c>
      <c r="Q54" s="305">
        <f t="shared" si="2"/>
        <v>0.7</v>
      </c>
      <c r="R54" s="177">
        <f t="shared" si="3"/>
        <v>0.90164901788658058</v>
      </c>
      <c r="S54" s="817">
        <f t="shared" si="4"/>
        <v>-2</v>
      </c>
      <c r="T54" s="176">
        <f t="shared" si="5"/>
        <v>4</v>
      </c>
      <c r="U54" s="251">
        <f t="shared" si="20"/>
        <v>-1.0983509821134194</v>
      </c>
      <c r="V54" s="383">
        <f t="shared" si="6"/>
        <v>20.256684043625754</v>
      </c>
      <c r="W54" s="402"/>
      <c r="X54" s="157">
        <f t="shared" si="7"/>
        <v>43870</v>
      </c>
      <c r="Y54" s="385">
        <f t="shared" si="8"/>
        <v>16.411999999999999</v>
      </c>
      <c r="Z54" s="385">
        <f t="shared" si="9"/>
        <v>16.65133726707808</v>
      </c>
      <c r="AA54" s="386">
        <f t="shared" si="10"/>
        <v>18.166369557586219</v>
      </c>
      <c r="AB54" s="197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8.339763680935719E-2</v>
      </c>
      <c r="AD54" s="231">
        <f>(INDEX(Models!$BJ54:$BT54,,AH54)*(1-AF54)+INDEX(Models!$BJ54:$BT54,,AH54+1)*AF54-ERP_i)*AE54*Ramure*Pc/MaxiM</f>
        <v>1.6349541431906964E-2</v>
      </c>
      <c r="AE54" s="305">
        <f t="shared" si="12"/>
        <v>0.7</v>
      </c>
      <c r="AF54" s="177">
        <f t="shared" si="21"/>
        <v>0.90164901788658058</v>
      </c>
      <c r="AG54" s="817">
        <f t="shared" si="22"/>
        <v>-2</v>
      </c>
      <c r="AH54" s="176">
        <f t="shared" si="13"/>
        <v>4</v>
      </c>
      <c r="AI54" s="225">
        <f t="shared" si="23"/>
        <v>-1.0983509821134194</v>
      </c>
      <c r="AJ54" s="265" t="b">
        <f t="shared" si="14"/>
        <v>0</v>
      </c>
      <c r="AK54" s="265" t="b">
        <f t="shared" si="15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6"/>
        <v>43871</v>
      </c>
      <c r="B55" s="617">
        <v>8.0869999999999997</v>
      </c>
      <c r="C55" s="390"/>
      <c r="D55" s="393">
        <f t="shared" si="0"/>
        <v>8.2051129618046073</v>
      </c>
      <c r="E55" s="385">
        <f t="shared" si="17"/>
        <v>8.9524281551115781</v>
      </c>
      <c r="F55" s="385">
        <f t="shared" si="1"/>
        <v>8.9713148408359711</v>
      </c>
      <c r="G55" s="110">
        <f t="shared" si="18"/>
        <v>0.38806184004602023</v>
      </c>
      <c r="H55" s="414" t="b">
        <f>Wh_hp&gt;='2019'!Maxi_hp</f>
        <v>1</v>
      </c>
      <c r="I55" s="380">
        <f>IF(H55,Wh_hp,'2019'!Maxi_hp)</f>
        <v>8.9713148408359711</v>
      </c>
      <c r="J55" s="85">
        <f>IF(H55,An,'2019'!An_max)</f>
        <v>2020</v>
      </c>
      <c r="K55" s="197">
        <f t="shared" si="19"/>
        <v>43871</v>
      </c>
      <c r="L55" s="147">
        <f>IF(t&lt;Tvie,1-EXP((T0-t)*PertePVj)+'2019'!Pspv,1-EXP((T0-t)*PertePVj)+Pspv)</f>
        <v>1.4395043962762255E-2</v>
      </c>
      <c r="M55" s="850"/>
      <c r="N55" s="850"/>
      <c r="O55" s="48">
        <f>IF(t&lt;Tnet,'2019'!Resal+('2019'!Salim-'2019'!Resal)*(1-EXP(('2019'!Tnet-t)/('2019'!Tau_j))),Resal+(Salim-Resal)*(1-EXP((Tnet-t)/(Tau_j))))*Salcycl</f>
        <v>8.3476256984008845E-2</v>
      </c>
      <c r="P55" s="169">
        <f>(INDEX(Models!$BJ55:$BT55,,T55)*(1-R55)+INDEX(Models!$BJ55:$BT55,,T55+1)*R55-ERP_i)*Q55*Ramure*Pc/MaxiM</f>
        <v>1.5769613809809613E-2</v>
      </c>
      <c r="Q55" s="305">
        <f t="shared" si="2"/>
        <v>0.7</v>
      </c>
      <c r="R55" s="177">
        <f t="shared" si="3"/>
        <v>0.90173510309072769</v>
      </c>
      <c r="S55" s="817">
        <f t="shared" si="4"/>
        <v>-2</v>
      </c>
      <c r="T55" s="176">
        <f t="shared" si="5"/>
        <v>4</v>
      </c>
      <c r="U55" s="251">
        <f t="shared" si="20"/>
        <v>-1.0982648969092723</v>
      </c>
      <c r="V55" s="383">
        <f t="shared" si="6"/>
        <v>20.554102934766139</v>
      </c>
      <c r="W55" s="402"/>
      <c r="X55" s="157">
        <f t="shared" si="7"/>
        <v>43871</v>
      </c>
      <c r="Y55" s="385">
        <f t="shared" si="8"/>
        <v>8.0869999999999997</v>
      </c>
      <c r="Z55" s="385">
        <f t="shared" si="9"/>
        <v>8.2051129618046073</v>
      </c>
      <c r="AA55" s="386">
        <f t="shared" si="10"/>
        <v>8.9524281551115781</v>
      </c>
      <c r="AB55" s="197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8.3476256984008845E-2</v>
      </c>
      <c r="AD55" s="231">
        <f>(INDEX(Models!$BJ55:$BT55,,AH55)*(1-AF55)+INDEX(Models!$BJ55:$BT55,,AH55+1)*AF55-ERP_i)*AE55*Ramure*Pc/MaxiM</f>
        <v>1.5769613809809613E-2</v>
      </c>
      <c r="AE55" s="305">
        <f t="shared" si="12"/>
        <v>0.7</v>
      </c>
      <c r="AF55" s="177">
        <f t="shared" si="21"/>
        <v>0.90173510309072769</v>
      </c>
      <c r="AG55" s="817">
        <f t="shared" si="22"/>
        <v>-2</v>
      </c>
      <c r="AH55" s="176">
        <f t="shared" si="13"/>
        <v>4</v>
      </c>
      <c r="AI55" s="225">
        <f t="shared" si="23"/>
        <v>-1.0982648969092723</v>
      </c>
      <c r="AJ55" s="265" t="b">
        <f t="shared" si="14"/>
        <v>0</v>
      </c>
      <c r="AK55" s="265" t="b">
        <f t="shared" si="15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6"/>
        <v>43872</v>
      </c>
      <c r="B56" s="617">
        <v>5.117</v>
      </c>
      <c r="C56" s="390"/>
      <c r="D56" s="393">
        <f t="shared" si="0"/>
        <v>5.1918489720884633</v>
      </c>
      <c r="E56" s="385">
        <f t="shared" si="17"/>
        <v>5.6652041360092982</v>
      </c>
      <c r="F56" s="385">
        <f t="shared" si="1"/>
        <v>5.6652041360092982</v>
      </c>
      <c r="G56" s="110">
        <f t="shared" si="18"/>
        <v>0.24164781239726046</v>
      </c>
      <c r="H56" s="414" t="b">
        <f>Wh_hp&gt;='2019'!Maxi_hp</f>
        <v>0</v>
      </c>
      <c r="I56" s="380">
        <f>IF(H56,Wh_hp,'2019'!Maxi_hp)</f>
        <v>14.674850316125779</v>
      </c>
      <c r="J56" s="85">
        <f>IF(H56,An,'2019'!An_max)</f>
        <v>2019</v>
      </c>
      <c r="K56" s="197">
        <f t="shared" si="19"/>
        <v>43872</v>
      </c>
      <c r="L56" s="147">
        <f>IF(t&lt;Tvie,1-EXP((T0-t)*PertePVj)+'2019'!Pspv,1-EXP((T0-t)*PertePVj)+Pspv)</f>
        <v>1.4416631240787958E-2</v>
      </c>
      <c r="M56" s="850"/>
      <c r="N56" s="850"/>
      <c r="O56" s="48">
        <f>IF(t&lt;Tnet,'2019'!Resal+('2019'!Salim-'2019'!Resal)*(1-EXP(('2019'!Tnet-t)/('2019'!Tau_j))),Resal+(Salim-Resal)*(1-EXP((Tnet-t)/(Tau_j))))*Salcycl</f>
        <v>8.3554829191782157E-2</v>
      </c>
      <c r="P56" s="169">
        <f>(INDEX(Models!$BJ56:$BT56,,T56)*(1-R56)+INDEX(Models!$BJ56:$BT56,,T56+1)*R56-ERP_i)*Q56*Ramure*Pc/MaxiM</f>
        <v>1.5161004354749409E-2</v>
      </c>
      <c r="Q56" s="305">
        <f t="shared" si="2"/>
        <v>0.7</v>
      </c>
      <c r="R56" s="177">
        <f t="shared" si="3"/>
        <v>0.90182474692872772</v>
      </c>
      <c r="S56" s="817">
        <f t="shared" si="4"/>
        <v>-2</v>
      </c>
      <c r="T56" s="176">
        <f t="shared" si="5"/>
        <v>4</v>
      </c>
      <c r="U56" s="251">
        <f t="shared" si="20"/>
        <v>-1.0981752530712723</v>
      </c>
      <c r="V56" s="383">
        <f t="shared" si="6"/>
        <v>20.854404145948223</v>
      </c>
      <c r="W56" s="402"/>
      <c r="X56" s="157">
        <f t="shared" si="7"/>
        <v>43872</v>
      </c>
      <c r="Y56" s="385">
        <f t="shared" si="8"/>
        <v>5.117</v>
      </c>
      <c r="Z56" s="385">
        <f t="shared" si="9"/>
        <v>5.1918489720884633</v>
      </c>
      <c r="AA56" s="386">
        <f t="shared" si="10"/>
        <v>5.6652041360092982</v>
      </c>
      <c r="AB56" s="197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8.3554829191782157E-2</v>
      </c>
      <c r="AD56" s="231">
        <f>(INDEX(Models!$BJ56:$BT56,,AH56)*(1-AF56)+INDEX(Models!$BJ56:$BT56,,AH56+1)*AF56-ERP_i)*AE56*Ramure*Pc/MaxiM</f>
        <v>1.5161004354749409E-2</v>
      </c>
      <c r="AE56" s="305">
        <f t="shared" si="12"/>
        <v>0.7</v>
      </c>
      <c r="AF56" s="177">
        <f t="shared" si="21"/>
        <v>0.90182474692872772</v>
      </c>
      <c r="AG56" s="817">
        <f t="shared" si="22"/>
        <v>-2</v>
      </c>
      <c r="AH56" s="176">
        <f t="shared" si="13"/>
        <v>4</v>
      </c>
      <c r="AI56" s="225">
        <f t="shared" si="23"/>
        <v>-1.0981752530712723</v>
      </c>
      <c r="AJ56" s="265" t="b">
        <f t="shared" si="14"/>
        <v>0</v>
      </c>
      <c r="AK56" s="265" t="b">
        <f t="shared" si="15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6"/>
        <v>43873</v>
      </c>
      <c r="B57" s="617">
        <v>11.643000000000001</v>
      </c>
      <c r="C57" s="390"/>
      <c r="D57" s="393">
        <f t="shared" si="0"/>
        <v>11.813566854141049</v>
      </c>
      <c r="E57" s="385">
        <f t="shared" si="17"/>
        <v>12.891746749045403</v>
      </c>
      <c r="F57" s="385">
        <f t="shared" si="1"/>
        <v>12.959059406815967</v>
      </c>
      <c r="G57" s="110">
        <f t="shared" si="18"/>
        <v>0.54515468470081518</v>
      </c>
      <c r="H57" s="414" t="b">
        <f>Wh_hp&gt;='2019'!Maxi_hp</f>
        <v>0</v>
      </c>
      <c r="I57" s="380">
        <f>IF(H57,Wh_hp,'2019'!Maxi_hp)</f>
        <v>24.323485541278668</v>
      </c>
      <c r="J57" s="85">
        <f>IF(H57,An,'2019'!An_max)</f>
        <v>2019</v>
      </c>
      <c r="K57" s="197">
        <f t="shared" si="19"/>
        <v>43873</v>
      </c>
      <c r="L57" s="147">
        <f>IF(t&lt;Tvie,1-EXP((T0-t)*PertePVj)+'2019'!Pspv,1-EXP((T0-t)*PertePVj)+Pspv)</f>
        <v>1.4438218045996765E-2</v>
      </c>
      <c r="M57" s="850"/>
      <c r="N57" s="850"/>
      <c r="O57" s="48">
        <f>IF(t&lt;Tnet,'2019'!Resal+('2019'!Salim-'2019'!Resal)*(1-EXP(('2019'!Tnet-t)/('2019'!Tau_j))),Resal+(Salim-Resal)*(1-EXP((Tnet-t)/(Tau_j))))*Salcycl</f>
        <v>8.3633344332038645E-2</v>
      </c>
      <c r="P57" s="169">
        <f>(INDEX(Models!$BJ57:$BT57,,T57)*(1-R57)+INDEX(Models!$BJ57:$BT57,,T57+1)*R57-ERP_i)*Q57*Ramure*Pc/MaxiM</f>
        <v>1.4525515950238264E-2</v>
      </c>
      <c r="Q57" s="305">
        <f t="shared" si="2"/>
        <v>0.7</v>
      </c>
      <c r="R57" s="177">
        <f t="shared" si="3"/>
        <v>0.90191809421988833</v>
      </c>
      <c r="S57" s="817">
        <f t="shared" si="4"/>
        <v>-2</v>
      </c>
      <c r="T57" s="176">
        <f t="shared" si="5"/>
        <v>4</v>
      </c>
      <c r="U57" s="251">
        <f t="shared" si="20"/>
        <v>-1.0980819057801117</v>
      </c>
      <c r="V57" s="383">
        <f t="shared" si="6"/>
        <v>21.1569104709437</v>
      </c>
      <c r="W57" s="402"/>
      <c r="X57" s="157">
        <f t="shared" si="7"/>
        <v>43873</v>
      </c>
      <c r="Y57" s="385">
        <f t="shared" si="8"/>
        <v>11.643000000000001</v>
      </c>
      <c r="Z57" s="385">
        <f t="shared" si="9"/>
        <v>11.813566854141049</v>
      </c>
      <c r="AA57" s="386">
        <f t="shared" si="10"/>
        <v>12.891746749045403</v>
      </c>
      <c r="AB57" s="197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8.3633344332038645E-2</v>
      </c>
      <c r="AD57" s="231">
        <f>(INDEX(Models!$BJ57:$BT57,,AH57)*(1-AF57)+INDEX(Models!$BJ57:$BT57,,AH57+1)*AF57-ERP_i)*AE57*Ramure*Pc/MaxiM</f>
        <v>1.4525515950238264E-2</v>
      </c>
      <c r="AE57" s="305">
        <f t="shared" si="12"/>
        <v>0.7</v>
      </c>
      <c r="AF57" s="177">
        <f t="shared" si="21"/>
        <v>0.90191809421988833</v>
      </c>
      <c r="AG57" s="817">
        <f t="shared" si="22"/>
        <v>-2</v>
      </c>
      <c r="AH57" s="176">
        <f t="shared" si="13"/>
        <v>4</v>
      </c>
      <c r="AI57" s="225">
        <f t="shared" si="23"/>
        <v>-1.0980819057801117</v>
      </c>
      <c r="AJ57" s="265" t="b">
        <f t="shared" si="14"/>
        <v>0</v>
      </c>
      <c r="AK57" s="265" t="b">
        <f t="shared" si="15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6"/>
        <v>43874</v>
      </c>
      <c r="B58" s="617">
        <v>11.504</v>
      </c>
      <c r="C58" s="390"/>
      <c r="D58" s="393">
        <f t="shared" si="0"/>
        <v>11.67278620507628</v>
      </c>
      <c r="E58" s="385">
        <f t="shared" si="17"/>
        <v>12.739208165465111</v>
      </c>
      <c r="F58" s="385">
        <f t="shared" si="1"/>
        <v>12.799076490706089</v>
      </c>
      <c r="G58" s="110">
        <f t="shared" si="18"/>
        <v>0.53109559414569585</v>
      </c>
      <c r="H58" s="414" t="b">
        <f>Wh_hp&gt;='2019'!Maxi_hp</f>
        <v>0</v>
      </c>
      <c r="I58" s="380">
        <f>IF(H58,Wh_hp,'2019'!Maxi_hp)</f>
        <v>24.939074122850123</v>
      </c>
      <c r="J58" s="85">
        <f>IF(H58,An,'2019'!An_max)</f>
        <v>2019</v>
      </c>
      <c r="K58" s="197">
        <f t="shared" si="19"/>
        <v>43874</v>
      </c>
      <c r="L58" s="147">
        <f>IF(t&lt;Tvie,1-EXP((T0-t)*PertePVj)+'2019'!Pspv,1-EXP((T0-t)*PertePVj)+Pspv)</f>
        <v>1.4459804378399221E-2</v>
      </c>
      <c r="M58" s="850"/>
      <c r="N58" s="850"/>
      <c r="O58" s="48">
        <f>IF(t&lt;Tnet,'2019'!Resal+('2019'!Salim-'2019'!Resal)*(1-EXP(('2019'!Tnet-t)/('2019'!Tau_j))),Resal+(Salim-Resal)*(1-EXP((Tnet-t)/(Tau_j))))*Salcycl</f>
        <v>8.3711793271406792E-2</v>
      </c>
      <c r="P58" s="169">
        <f>(INDEX(Models!$BJ58:$BT58,,T58)*(1-R58)+INDEX(Models!$BJ58:$BT58,,T58+1)*R58-ERP_i)*Q58*Ramure*Pc/MaxiM</f>
        <v>1.3871324669331017E-2</v>
      </c>
      <c r="Q58" s="305">
        <f t="shared" si="2"/>
        <v>0.7</v>
      </c>
      <c r="R58" s="177">
        <f t="shared" si="3"/>
        <v>0.90201529548255355</v>
      </c>
      <c r="S58" s="817">
        <f t="shared" si="4"/>
        <v>-2</v>
      </c>
      <c r="T58" s="176">
        <f t="shared" si="5"/>
        <v>4</v>
      </c>
      <c r="U58" s="251">
        <f t="shared" si="20"/>
        <v>-1.0979847045174465</v>
      </c>
      <c r="V58" s="383">
        <f t="shared" si="6"/>
        <v>21.46080272444371</v>
      </c>
      <c r="W58" s="402"/>
      <c r="X58" s="157">
        <f t="shared" si="7"/>
        <v>43874</v>
      </c>
      <c r="Y58" s="385">
        <f t="shared" si="8"/>
        <v>11.504</v>
      </c>
      <c r="Z58" s="385">
        <f t="shared" si="9"/>
        <v>11.67278620507628</v>
      </c>
      <c r="AA58" s="386">
        <f t="shared" si="10"/>
        <v>12.739208165465111</v>
      </c>
      <c r="AB58" s="197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8.3711793271406792E-2</v>
      </c>
      <c r="AD58" s="231">
        <f>(INDEX(Models!$BJ58:$BT58,,AH58)*(1-AF58)+INDEX(Models!$BJ58:$BT58,,AH58+1)*AF58-ERP_i)*AE58*Ramure*Pc/MaxiM</f>
        <v>1.3871324669331017E-2</v>
      </c>
      <c r="AE58" s="305">
        <f t="shared" si="12"/>
        <v>0.7</v>
      </c>
      <c r="AF58" s="177">
        <f t="shared" si="21"/>
        <v>0.90201529548255355</v>
      </c>
      <c r="AG58" s="817">
        <f t="shared" si="22"/>
        <v>-2</v>
      </c>
      <c r="AH58" s="176">
        <f t="shared" si="13"/>
        <v>4</v>
      </c>
      <c r="AI58" s="225">
        <f t="shared" si="23"/>
        <v>-1.0979847045174465</v>
      </c>
      <c r="AJ58" s="265" t="b">
        <f t="shared" si="14"/>
        <v>0</v>
      </c>
      <c r="AK58" s="265" t="b">
        <f t="shared" si="15"/>
        <v>0</v>
      </c>
      <c r="AL58" s="265"/>
      <c r="AM58" s="265"/>
      <c r="AN58" s="75"/>
    </row>
    <row r="59" spans="1:40" s="6" customFormat="1" ht="11.25" x14ac:dyDescent="0.2">
      <c r="A59" s="56">
        <f t="shared" si="16"/>
        <v>43875</v>
      </c>
      <c r="B59" s="617">
        <v>15.673999999999999</v>
      </c>
      <c r="C59" s="390"/>
      <c r="D59" s="393">
        <f t="shared" si="0"/>
        <v>15.904316615376056</v>
      </c>
      <c r="E59" s="385">
        <f t="shared" si="17"/>
        <v>17.358814588170468</v>
      </c>
      <c r="F59" s="385">
        <f t="shared" si="1"/>
        <v>17.497698409897573</v>
      </c>
      <c r="G59" s="110">
        <f t="shared" si="18"/>
        <v>0.71631370948663686</v>
      </c>
      <c r="H59" s="414" t="b">
        <f>Wh_hp&gt;='2019'!Maxi_hp</f>
        <v>0</v>
      </c>
      <c r="I59" s="380">
        <f>IF(H59,Wh_hp,'2019'!Maxi_hp)</f>
        <v>25.04355830581331</v>
      </c>
      <c r="J59" s="85">
        <f>IF(H59,An,'2019'!An_max)</f>
        <v>2019</v>
      </c>
      <c r="K59" s="197">
        <f t="shared" si="19"/>
        <v>43875</v>
      </c>
      <c r="L59" s="147">
        <f>IF(t&lt;Tvie,1-EXP((T0-t)*PertePVj)+'2019'!Pspv,1-EXP((T0-t)*PertePVj)+Pspv)</f>
        <v>1.4481390238005543E-2</v>
      </c>
      <c r="M59" s="850"/>
      <c r="N59" s="850"/>
      <c r="O59" s="48">
        <f>IF(t&lt;Tnet,'2019'!Resal+('2019'!Salim-'2019'!Resal)*(1-EXP(('2019'!Tnet-t)/('2019'!Tau_j))),Resal+(Salim-Resal)*(1-EXP((Tnet-t)/(Tau_j))))*Salcycl</f>
        <v>8.3790166972899788E-2</v>
      </c>
      <c r="P59" s="169">
        <f>(INDEX(Models!$BJ59:$BT59,,T59)*(1-R59)+INDEX(Models!$BJ59:$BT59,,T59+1)*R59-ERP_i)*Q59*Ramure*Pc/MaxiM</f>
        <v>1.3224002783176609E-2</v>
      </c>
      <c r="Q59" s="305">
        <f t="shared" si="2"/>
        <v>0.7</v>
      </c>
      <c r="R59" s="177">
        <f t="shared" si="3"/>
        <v>0.90211650714181113</v>
      </c>
      <c r="S59" s="817">
        <f t="shared" si="4"/>
        <v>-2</v>
      </c>
      <c r="T59" s="176">
        <f t="shared" si="5"/>
        <v>4</v>
      </c>
      <c r="U59" s="251">
        <f t="shared" si="20"/>
        <v>-1.0978834928581889</v>
      </c>
      <c r="V59" s="383">
        <f t="shared" si="6"/>
        <v>21.76486704712789</v>
      </c>
      <c r="W59" s="402"/>
      <c r="X59" s="157">
        <f t="shared" si="7"/>
        <v>43875</v>
      </c>
      <c r="Y59" s="385">
        <f t="shared" si="8"/>
        <v>15.673999999999999</v>
      </c>
      <c r="Z59" s="385">
        <f t="shared" si="9"/>
        <v>15.904316615376056</v>
      </c>
      <c r="AA59" s="386">
        <f t="shared" si="10"/>
        <v>17.358814588170468</v>
      </c>
      <c r="AB59" s="197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8.3790166972899788E-2</v>
      </c>
      <c r="AD59" s="231">
        <f>(INDEX(Models!$BJ59:$BT59,,AH59)*(1-AF59)+INDEX(Models!$BJ59:$BT59,,AH59+1)*AF59-ERP_i)*AE59*Ramure*Pc/MaxiM</f>
        <v>1.3224002783176609E-2</v>
      </c>
      <c r="AE59" s="305">
        <f t="shared" si="12"/>
        <v>0.7</v>
      </c>
      <c r="AF59" s="177">
        <f t="shared" si="21"/>
        <v>0.90211650714181113</v>
      </c>
      <c r="AG59" s="817">
        <f t="shared" si="22"/>
        <v>-2</v>
      </c>
      <c r="AH59" s="176">
        <f t="shared" si="13"/>
        <v>4</v>
      </c>
      <c r="AI59" s="225">
        <f t="shared" si="23"/>
        <v>-1.0978834928581889</v>
      </c>
      <c r="AJ59" s="265" t="b">
        <f t="shared" si="14"/>
        <v>0</v>
      </c>
      <c r="AK59" s="265" t="b">
        <f t="shared" si="15"/>
        <v>0</v>
      </c>
      <c r="AL59" s="265"/>
      <c r="AM59" s="265"/>
      <c r="AN59" s="75"/>
    </row>
    <row r="60" spans="1:40" s="6" customFormat="1" ht="11.25" x14ac:dyDescent="0.2">
      <c r="A60" s="56">
        <f t="shared" si="16"/>
        <v>43876</v>
      </c>
      <c r="B60" s="617">
        <v>21.173999999999999</v>
      </c>
      <c r="C60" s="390"/>
      <c r="D60" s="393">
        <f t="shared" si="0"/>
        <v>21.48560520862533</v>
      </c>
      <c r="E60" s="385">
        <f t="shared" si="17"/>
        <v>23.452532951258565</v>
      </c>
      <c r="F60" s="385">
        <f t="shared" si="1"/>
        <v>23.733899838812569</v>
      </c>
      <c r="G60" s="110">
        <f t="shared" si="18"/>
        <v>0.95876282655026457</v>
      </c>
      <c r="H60" s="414" t="b">
        <f>Wh_hp&gt;='2019'!Maxi_hp</f>
        <v>0</v>
      </c>
      <c r="I60" s="380">
        <f>IF(H60,Wh_hp,'2019'!Maxi_hp)</f>
        <v>25.359879246140192</v>
      </c>
      <c r="J60" s="85">
        <f>IF(H60,An,'2019'!An_max)</f>
        <v>2019</v>
      </c>
      <c r="K60" s="197">
        <f t="shared" si="19"/>
        <v>43876</v>
      </c>
      <c r="L60" s="147">
        <f>IF(t&lt;Tvie,1-EXP((T0-t)*PertePVj)+'2019'!Pspv,1-EXP((T0-t)*PertePVj)+Pspv)</f>
        <v>1.4502975624826164E-2</v>
      </c>
      <c r="M60" s="850"/>
      <c r="N60" s="850"/>
      <c r="O60" s="48">
        <f>IF(t&lt;Tnet,'2019'!Resal+('2019'!Salim-'2019'!Resal)*(1-EXP(('2019'!Tnet-t)/('2019'!Tau_j))),Resal+(Salim-Resal)*(1-EXP((Tnet-t)/(Tau_j))))*Salcycl</f>
        <v>8.3868456627738425E-2</v>
      </c>
      <c r="P60" s="169">
        <f>(INDEX(Models!$BJ60:$BT60,,T60)*(1-R60)+INDEX(Models!$BJ60:$BT60,,T60+1)*R60-ERP_i)*Q60*Ramure*Pc/MaxiM</f>
        <v>1.258365196125533E-2</v>
      </c>
      <c r="Q60" s="305">
        <f t="shared" si="2"/>
        <v>0.7</v>
      </c>
      <c r="R60" s="177">
        <f t="shared" si="3"/>
        <v>0.90222189174333822</v>
      </c>
      <c r="S60" s="817">
        <f t="shared" si="4"/>
        <v>-2</v>
      </c>
      <c r="T60" s="176">
        <f t="shared" si="5"/>
        <v>4</v>
      </c>
      <c r="U60" s="251">
        <f t="shared" si="20"/>
        <v>-1.0977781082566618</v>
      </c>
      <c r="V60" s="383">
        <f t="shared" si="6"/>
        <v>22.068427348515616</v>
      </c>
      <c r="W60" s="402"/>
      <c r="X60" s="157">
        <f t="shared" si="7"/>
        <v>43876</v>
      </c>
      <c r="Y60" s="385">
        <f t="shared" si="8"/>
        <v>21.173999999999999</v>
      </c>
      <c r="Z60" s="385">
        <f t="shared" si="9"/>
        <v>21.48560520862533</v>
      </c>
      <c r="AA60" s="386">
        <f t="shared" si="10"/>
        <v>23.452532951258565</v>
      </c>
      <c r="AB60" s="197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8.3868456627738425E-2</v>
      </c>
      <c r="AD60" s="231">
        <f>(INDEX(Models!$BJ60:$BT60,,AH60)*(1-AF60)+INDEX(Models!$BJ60:$BT60,,AH60+1)*AF60-ERP_i)*AE60*Ramure*Pc/MaxiM</f>
        <v>1.258365196125533E-2</v>
      </c>
      <c r="AE60" s="305">
        <f t="shared" si="12"/>
        <v>0.7</v>
      </c>
      <c r="AF60" s="177">
        <f t="shared" si="21"/>
        <v>0.90222189174333822</v>
      </c>
      <c r="AG60" s="817">
        <f t="shared" si="22"/>
        <v>-2</v>
      </c>
      <c r="AH60" s="176">
        <f t="shared" si="13"/>
        <v>4</v>
      </c>
      <c r="AI60" s="225">
        <f t="shared" si="23"/>
        <v>-1.0977781082566618</v>
      </c>
      <c r="AJ60" s="265" t="b">
        <f t="shared" si="14"/>
        <v>0</v>
      </c>
      <c r="AK60" s="265" t="b">
        <f t="shared" si="15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6"/>
        <v>43877</v>
      </c>
      <c r="B61" s="617">
        <v>14.106</v>
      </c>
      <c r="C61" s="390"/>
      <c r="D61" s="393">
        <f t="shared" si="0"/>
        <v>14.313903152891719</v>
      </c>
      <c r="E61" s="385">
        <f t="shared" si="17"/>
        <v>15.625621817865763</v>
      </c>
      <c r="F61" s="385">
        <f t="shared" si="1"/>
        <v>15.714300199843791</v>
      </c>
      <c r="G61" s="110">
        <f t="shared" si="18"/>
        <v>0.62655433998541776</v>
      </c>
      <c r="H61" s="414" t="b">
        <f>Wh_hp&gt;='2019'!Maxi_hp</f>
        <v>0</v>
      </c>
      <c r="I61" s="380">
        <f>IF(H61,Wh_hp,'2019'!Maxi_hp)</f>
        <v>25.832581952942551</v>
      </c>
      <c r="J61" s="85">
        <f>IF(H61,An,'2019'!An_max)</f>
        <v>2019</v>
      </c>
      <c r="K61" s="197">
        <f t="shared" si="19"/>
        <v>43877</v>
      </c>
      <c r="L61" s="147">
        <f>IF(t&lt;Tvie,1-EXP((T0-t)*PertePVj)+'2019'!Pspv,1-EXP((T0-t)*PertePVj)+Pspv)</f>
        <v>1.4524560538871412E-2</v>
      </c>
      <c r="M61" s="850"/>
      <c r="N61" s="850"/>
      <c r="O61" s="48">
        <f>IF(t&lt;Tnet,'2019'!Resal+('2019'!Salim-'2019'!Resal)*(1-EXP(('2019'!Tnet-t)/('2019'!Tau_j))),Resal+(Salim-Resal)*(1-EXP((Tnet-t)/(Tau_j))))*Salcycl</f>
        <v>8.3946653788476627E-2</v>
      </c>
      <c r="P61" s="169">
        <f>(INDEX(Models!$BJ61:$BT61,,T61)*(1-R61)+INDEX(Models!$BJ61:$BT61,,T61+1)*R61-ERP_i)*Q61*Ramure*Pc/MaxiM</f>
        <v>1.1950290930959725E-2</v>
      </c>
      <c r="Q61" s="305">
        <f t="shared" si="2"/>
        <v>0.7</v>
      </c>
      <c r="R61" s="177">
        <f t="shared" si="3"/>
        <v>0.9023316181734351</v>
      </c>
      <c r="S61" s="817">
        <f t="shared" si="4"/>
        <v>-2</v>
      </c>
      <c r="T61" s="176">
        <f t="shared" si="5"/>
        <v>4</v>
      </c>
      <c r="U61" s="251">
        <f t="shared" si="20"/>
        <v>-1.0976683818265649</v>
      </c>
      <c r="V61" s="383">
        <f t="shared" si="6"/>
        <v>22.370807875248452</v>
      </c>
      <c r="W61" s="402"/>
      <c r="X61" s="157">
        <f t="shared" si="7"/>
        <v>43877</v>
      </c>
      <c r="Y61" s="385">
        <f t="shared" si="8"/>
        <v>14.106</v>
      </c>
      <c r="Z61" s="385">
        <f t="shared" si="9"/>
        <v>14.313903152891719</v>
      </c>
      <c r="AA61" s="386">
        <f t="shared" si="10"/>
        <v>15.625621817865763</v>
      </c>
      <c r="AB61" s="197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8.3946653788476627E-2</v>
      </c>
      <c r="AD61" s="231">
        <f>(INDEX(Models!$BJ61:$BT61,,AH61)*(1-AF61)+INDEX(Models!$BJ61:$BT61,,AH61+1)*AF61-ERP_i)*AE61*Ramure*Pc/MaxiM</f>
        <v>1.1950290930959725E-2</v>
      </c>
      <c r="AE61" s="305">
        <f t="shared" si="12"/>
        <v>0.7</v>
      </c>
      <c r="AF61" s="177">
        <f t="shared" si="21"/>
        <v>0.9023316181734351</v>
      </c>
      <c r="AG61" s="817">
        <f t="shared" si="22"/>
        <v>-2</v>
      </c>
      <c r="AH61" s="176">
        <f t="shared" si="13"/>
        <v>4</v>
      </c>
      <c r="AI61" s="225">
        <f t="shared" si="23"/>
        <v>-1.0976683818265649</v>
      </c>
      <c r="AJ61" s="265" t="b">
        <f t="shared" si="14"/>
        <v>0</v>
      </c>
      <c r="AK61" s="265" t="b">
        <f t="shared" si="15"/>
        <v>0</v>
      </c>
      <c r="AL61" s="265"/>
      <c r="AM61" s="265"/>
      <c r="AN61" s="75"/>
    </row>
    <row r="62" spans="1:40" s="6" customFormat="1" ht="11.25" x14ac:dyDescent="0.2">
      <c r="A62" s="56">
        <f t="shared" si="16"/>
        <v>43878</v>
      </c>
      <c r="B62" s="617">
        <v>3.5190000000000001</v>
      </c>
      <c r="C62" s="390"/>
      <c r="D62" s="393">
        <f t="shared" si="0"/>
        <v>3.5709434613040538</v>
      </c>
      <c r="E62" s="385">
        <f t="shared" si="17"/>
        <v>3.8985152309096489</v>
      </c>
      <c r="F62" s="385">
        <f t="shared" si="1"/>
        <v>3.8985152309096489</v>
      </c>
      <c r="G62" s="110">
        <f t="shared" si="18"/>
        <v>0.15346037637036675</v>
      </c>
      <c r="H62" s="414" t="b">
        <f>Wh_hp&gt;='2019'!Maxi_hp</f>
        <v>0</v>
      </c>
      <c r="I62" s="380">
        <f>IF(H62,Wh_hp,'2019'!Maxi_hp)</f>
        <v>26.057323912775445</v>
      </c>
      <c r="J62" s="85">
        <f>IF(H62,An,'2019'!An_max)</f>
        <v>2019</v>
      </c>
      <c r="K62" s="197">
        <f t="shared" si="19"/>
        <v>43878</v>
      </c>
      <c r="L62" s="147">
        <f>IF(t&lt;Tvie,1-EXP((T0-t)*PertePVj)+'2019'!Pspv,1-EXP((T0-t)*PertePVj)+Pspv)</f>
        <v>1.4546144980151721E-2</v>
      </c>
      <c r="M62" s="850"/>
      <c r="N62" s="850"/>
      <c r="O62" s="48">
        <f>IF(t&lt;Tnet,'2019'!Resal+('2019'!Salim-'2019'!Resal)*(1-EXP(('2019'!Tnet-t)/('2019'!Tau_j))),Resal+(Salim-Resal)*(1-EXP((Tnet-t)/(Tau_j))))*Salcycl</f>
        <v>8.4024750502042292E-2</v>
      </c>
      <c r="P62" s="169">
        <f>(INDEX(Models!$BJ62:$BT62,,T62)*(1-R62)+INDEX(Models!$BJ62:$BT62,,T62+1)*R62-ERP_i)*Q62*Ramure*Pc/MaxiM</f>
        <v>1.1323862799321007E-2</v>
      </c>
      <c r="Q62" s="305">
        <f t="shared" si="2"/>
        <v>0.7</v>
      </c>
      <c r="R62" s="177">
        <f t="shared" si="3"/>
        <v>0.90244586188528442</v>
      </c>
      <c r="S62" s="817">
        <f t="shared" si="4"/>
        <v>-2</v>
      </c>
      <c r="T62" s="176">
        <f t="shared" si="5"/>
        <v>4</v>
      </c>
      <c r="U62" s="251">
        <f t="shared" si="20"/>
        <v>-1.0975541381147156</v>
      </c>
      <c r="V62" s="383">
        <f t="shared" si="6"/>
        <v>22.671333207293081</v>
      </c>
      <c r="W62" s="402"/>
      <c r="X62" s="157">
        <f t="shared" si="7"/>
        <v>43878</v>
      </c>
      <c r="Y62" s="385">
        <f t="shared" si="8"/>
        <v>3.5190000000000001</v>
      </c>
      <c r="Z62" s="385">
        <f t="shared" si="9"/>
        <v>3.5709434613040538</v>
      </c>
      <c r="AA62" s="386">
        <f t="shared" si="10"/>
        <v>3.8985152309096489</v>
      </c>
      <c r="AB62" s="197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8.4024750502042292E-2</v>
      </c>
      <c r="AD62" s="231">
        <f>(INDEX(Models!$BJ62:$BT62,,AH62)*(1-AF62)+INDEX(Models!$BJ62:$BT62,,AH62+1)*AF62-ERP_i)*AE62*Ramure*Pc/MaxiM</f>
        <v>1.1323862799321007E-2</v>
      </c>
      <c r="AE62" s="305">
        <f t="shared" si="12"/>
        <v>0.7</v>
      </c>
      <c r="AF62" s="177">
        <f t="shared" si="21"/>
        <v>0.90244586188528442</v>
      </c>
      <c r="AG62" s="817">
        <f t="shared" si="22"/>
        <v>-2</v>
      </c>
      <c r="AH62" s="176">
        <f t="shared" si="13"/>
        <v>4</v>
      </c>
      <c r="AI62" s="225">
        <f t="shared" si="23"/>
        <v>-1.0975541381147156</v>
      </c>
      <c r="AJ62" s="265" t="b">
        <f t="shared" si="14"/>
        <v>0</v>
      </c>
      <c r="AK62" s="265" t="b">
        <f t="shared" si="15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6"/>
        <v>43879</v>
      </c>
      <c r="B63" s="617">
        <v>20.795000000000002</v>
      </c>
      <c r="C63" s="390"/>
      <c r="D63" s="393">
        <f t="shared" si="0"/>
        <v>21.102414250970849</v>
      </c>
      <c r="E63" s="385">
        <f t="shared" si="17"/>
        <v>23.040154348861247</v>
      </c>
      <c r="F63" s="385">
        <f t="shared" si="1"/>
        <v>23.255422539920339</v>
      </c>
      <c r="G63" s="110">
        <f t="shared" si="18"/>
        <v>0.90401498208446396</v>
      </c>
      <c r="H63" s="414" t="b">
        <f>Wh_hp&gt;='2019'!Maxi_hp</f>
        <v>0</v>
      </c>
      <c r="I63" s="380">
        <f>IF(H63,Wh_hp,'2019'!Maxi_hp)</f>
        <v>25.702210502087123</v>
      </c>
      <c r="J63" s="85">
        <f>IF(H63,An,'2019'!An_max)</f>
        <v>2019</v>
      </c>
      <c r="K63" s="197">
        <f t="shared" si="19"/>
        <v>43879</v>
      </c>
      <c r="L63" s="147">
        <f>IF(t&lt;Tvie,1-EXP((T0-t)*PertePVj)+'2019'!Pspv,1-EXP((T0-t)*PertePVj)+Pspv)</f>
        <v>1.4567728948677305E-2</v>
      </c>
      <c r="M63" s="850"/>
      <c r="N63" s="850"/>
      <c r="O63" s="48">
        <f>IF(t&lt;Tnet,'2019'!Resal+('2019'!Salim-'2019'!Resal)*(1-EXP(('2019'!Tnet-t)/('2019'!Tau_j))),Resal+(Salim-Resal)*(1-EXP((Tnet-t)/(Tau_j))))*Salcycl</f>
        <v>8.4102739441334104E-2</v>
      </c>
      <c r="P63" s="169">
        <f>(INDEX(Models!$BJ63:$BT63,,T63)*(1-R63)+INDEX(Models!$BJ63:$BT63,,T63+1)*R63-ERP_i)*Q63*Ramure*Pc/MaxiM</f>
        <v>1.0704241710210231E-2</v>
      </c>
      <c r="Q63" s="305">
        <f t="shared" si="2"/>
        <v>0.7</v>
      </c>
      <c r="R63" s="177">
        <f t="shared" si="3"/>
        <v>0.90256480513145787</v>
      </c>
      <c r="S63" s="817">
        <f t="shared" si="4"/>
        <v>-2</v>
      </c>
      <c r="T63" s="176">
        <f t="shared" si="5"/>
        <v>4</v>
      </c>
      <c r="U63" s="251">
        <f t="shared" si="20"/>
        <v>-1.0974351948685421</v>
      </c>
      <c r="V63" s="383">
        <f t="shared" si="6"/>
        <v>22.969328258104849</v>
      </c>
      <c r="W63" s="402"/>
      <c r="X63" s="157">
        <f t="shared" si="7"/>
        <v>43879</v>
      </c>
      <c r="Y63" s="385">
        <f t="shared" si="8"/>
        <v>20.795000000000002</v>
      </c>
      <c r="Z63" s="385">
        <f t="shared" si="9"/>
        <v>21.102414250970849</v>
      </c>
      <c r="AA63" s="386">
        <f t="shared" si="10"/>
        <v>23.040154348861247</v>
      </c>
      <c r="AB63" s="197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8.4102739441334104E-2</v>
      </c>
      <c r="AD63" s="231">
        <f>(INDEX(Models!$BJ63:$BT63,,AH63)*(1-AF63)+INDEX(Models!$BJ63:$BT63,,AH63+1)*AF63-ERP_i)*AE63*Ramure*Pc/MaxiM</f>
        <v>1.0704241710210231E-2</v>
      </c>
      <c r="AE63" s="305">
        <f t="shared" si="12"/>
        <v>0.7</v>
      </c>
      <c r="AF63" s="177">
        <f t="shared" si="21"/>
        <v>0.90256480513145787</v>
      </c>
      <c r="AG63" s="817">
        <f t="shared" si="22"/>
        <v>-2</v>
      </c>
      <c r="AH63" s="176">
        <f t="shared" si="13"/>
        <v>4</v>
      </c>
      <c r="AI63" s="225">
        <f t="shared" si="23"/>
        <v>-1.0974351948685421</v>
      </c>
      <c r="AJ63" s="265" t="b">
        <f t="shared" si="14"/>
        <v>0</v>
      </c>
      <c r="AK63" s="265" t="b">
        <f t="shared" si="15"/>
        <v>0</v>
      </c>
      <c r="AL63" s="265"/>
      <c r="AM63" s="265"/>
      <c r="AN63" s="75"/>
    </row>
    <row r="64" spans="1:40" s="6" customFormat="1" ht="11.25" x14ac:dyDescent="0.2">
      <c r="A64" s="56">
        <f t="shared" si="16"/>
        <v>43880</v>
      </c>
      <c r="B64" s="617">
        <v>16.154</v>
      </c>
      <c r="C64" s="390"/>
      <c r="D64" s="393">
        <f t="shared" si="0"/>
        <v>16.393165006229445</v>
      </c>
      <c r="E64" s="385">
        <f t="shared" si="17"/>
        <v>17.899997813366966</v>
      </c>
      <c r="F64" s="385">
        <f t="shared" si="1"/>
        <v>18.002346883210972</v>
      </c>
      <c r="G64" s="110">
        <f t="shared" si="18"/>
        <v>0.69129719919648513</v>
      </c>
      <c r="H64" s="414" t="b">
        <f>Wh_hp&gt;='2019'!Maxi_hp</f>
        <v>0</v>
      </c>
      <c r="I64" s="380">
        <f>IF(H64,Wh_hp,'2019'!Maxi_hp)</f>
        <v>18.409039464033899</v>
      </c>
      <c r="J64" s="85">
        <f>IF(H64,An,'2019'!An_max)</f>
        <v>2019</v>
      </c>
      <c r="K64" s="197">
        <f t="shared" si="19"/>
        <v>43880</v>
      </c>
      <c r="L64" s="147">
        <f>IF(t&lt;Tvie,1-EXP((T0-t)*PertePVj)+'2019'!Pspv,1-EXP((T0-t)*PertePVj)+Pspv)</f>
        <v>1.4589312444458491E-2</v>
      </c>
      <c r="M64" s="850"/>
      <c r="N64" s="850"/>
      <c r="O64" s="48">
        <f>IF(t&lt;Tnet,'2019'!Resal+('2019'!Salim-'2019'!Resal)*(1-EXP(('2019'!Tnet-t)/('2019'!Tau_j))),Resal+(Salim-Resal)*(1-EXP((Tnet-t)/(Tau_j))))*Salcycl</f>
        <v>8.4180614034057799E-2</v>
      </c>
      <c r="P64" s="169">
        <f>(INDEX(Models!$BJ64:$BT64,,T64)*(1-R64)+INDEX(Models!$BJ64:$BT64,,T64+1)*R64-ERP_i)*Q64*Ramure*Pc/MaxiM</f>
        <v>1.0091238835173797E-2</v>
      </c>
      <c r="Q64" s="305">
        <f t="shared" si="2"/>
        <v>0.7</v>
      </c>
      <c r="R64" s="177">
        <f t="shared" si="3"/>
        <v>0.90268863720267567</v>
      </c>
      <c r="S64" s="817">
        <f t="shared" si="4"/>
        <v>-2</v>
      </c>
      <c r="T64" s="176">
        <f t="shared" si="5"/>
        <v>4</v>
      </c>
      <c r="U64" s="251">
        <f t="shared" si="20"/>
        <v>-1.0973113627973243</v>
      </c>
      <c r="V64" s="383">
        <f t="shared" si="6"/>
        <v>23.264118269348668</v>
      </c>
      <c r="W64" s="402"/>
      <c r="X64" s="157">
        <f t="shared" si="7"/>
        <v>43880</v>
      </c>
      <c r="Y64" s="385">
        <f t="shared" si="8"/>
        <v>16.154</v>
      </c>
      <c r="Z64" s="385">
        <f t="shared" si="9"/>
        <v>16.393165006229445</v>
      </c>
      <c r="AA64" s="386">
        <f t="shared" si="10"/>
        <v>17.899997813366966</v>
      </c>
      <c r="AB64" s="197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8.4180614034057799E-2</v>
      </c>
      <c r="AD64" s="231">
        <f>(INDEX(Models!$BJ64:$BT64,,AH64)*(1-AF64)+INDEX(Models!$BJ64:$BT64,,AH64+1)*AF64-ERP_i)*AE64*Ramure*Pc/MaxiM</f>
        <v>1.0091238835173797E-2</v>
      </c>
      <c r="AE64" s="305">
        <f t="shared" si="12"/>
        <v>0.7</v>
      </c>
      <c r="AF64" s="177">
        <f t="shared" si="21"/>
        <v>0.90268863720267567</v>
      </c>
      <c r="AG64" s="817">
        <f t="shared" si="22"/>
        <v>-2</v>
      </c>
      <c r="AH64" s="176">
        <f t="shared" si="13"/>
        <v>4</v>
      </c>
      <c r="AI64" s="225">
        <f t="shared" si="23"/>
        <v>-1.0973113627973243</v>
      </c>
      <c r="AJ64" s="265" t="b">
        <f t="shared" si="14"/>
        <v>0</v>
      </c>
      <c r="AK64" s="265" t="b">
        <f t="shared" si="15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6"/>
        <v>43881</v>
      </c>
      <c r="B65" s="617">
        <v>23.59</v>
      </c>
      <c r="C65" s="390"/>
      <c r="D65" s="393">
        <f t="shared" si="0"/>
        <v>23.939781647161592</v>
      </c>
      <c r="E65" s="385">
        <f t="shared" si="17"/>
        <v>26.142506604440776</v>
      </c>
      <c r="F65" s="385">
        <f t="shared" si="1"/>
        <v>26.392814303463727</v>
      </c>
      <c r="G65" s="110">
        <f t="shared" si="18"/>
        <v>1.0014128022679731</v>
      </c>
      <c r="H65" s="414" t="b">
        <f>Wh_hp&gt;='2019'!Maxi_hp</f>
        <v>1</v>
      </c>
      <c r="I65" s="380">
        <f>IF(H65,Wh_hp,'2019'!Maxi_hp)</f>
        <v>26.392814303463727</v>
      </c>
      <c r="J65" s="85">
        <f>IF(H65,An,'2019'!An_max)</f>
        <v>2020</v>
      </c>
      <c r="K65" s="197">
        <f t="shared" si="19"/>
        <v>43881</v>
      </c>
      <c r="L65" s="147">
        <f>IF(t&lt;Tvie,1-EXP((T0-t)*PertePVj)+'2019'!Pspv,1-EXP((T0-t)*PertePVj)+Pspv)</f>
        <v>1.4610895467505824E-2</v>
      </c>
      <c r="M65" s="850"/>
      <c r="N65" s="850"/>
      <c r="O65" s="48">
        <f>IF(t&lt;Tnet,'2019'!Resal+('2019'!Salim-'2019'!Resal)*(1-EXP(('2019'!Tnet-t)/('2019'!Tau_j))),Resal+(Salim-Resal)*(1-EXP((Tnet-t)/(Tau_j))))*Salcycl</f>
        <v>8.4258368587540503E-2</v>
      </c>
      <c r="P65" s="169">
        <f>(INDEX(Models!$BJ65:$BT65,,T65)*(1-R65)+INDEX(Models!$BJ65:$BT65,,T65+1)*R65-ERP_i)*Q65*Ramure*Pc/MaxiM</f>
        <v>9.4839336246949884E-3</v>
      </c>
      <c r="Q65" s="305">
        <f t="shared" si="2"/>
        <v>0.7</v>
      </c>
      <c r="R65" s="177">
        <f t="shared" si="3"/>
        <v>0.902817554672803</v>
      </c>
      <c r="S65" s="817">
        <f t="shared" si="4"/>
        <v>-2</v>
      </c>
      <c r="T65" s="176">
        <f t="shared" si="5"/>
        <v>4</v>
      </c>
      <c r="U65" s="251">
        <f t="shared" si="20"/>
        <v>-1.097182445327197</v>
      </c>
      <c r="V65" s="383">
        <f t="shared" si="6"/>
        <v>23.556719013951085</v>
      </c>
      <c r="W65" s="402"/>
      <c r="X65" s="157">
        <f t="shared" si="7"/>
        <v>43881</v>
      </c>
      <c r="Y65" s="385">
        <f t="shared" si="8"/>
        <v>23.59</v>
      </c>
      <c r="Z65" s="385">
        <f t="shared" si="9"/>
        <v>23.939781647161592</v>
      </c>
      <c r="AA65" s="386">
        <f t="shared" si="10"/>
        <v>26.142506604440776</v>
      </c>
      <c r="AB65" s="197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8.4258368587540503E-2</v>
      </c>
      <c r="AD65" s="231">
        <f>(INDEX(Models!$BJ65:$BT65,,AH65)*(1-AF65)+INDEX(Models!$BJ65:$BT65,,AH65+1)*AF65-ERP_i)*AE65*Ramure*Pc/MaxiM</f>
        <v>9.4839336246949884E-3</v>
      </c>
      <c r="AE65" s="305">
        <f t="shared" si="12"/>
        <v>0.7</v>
      </c>
      <c r="AF65" s="177">
        <f t="shared" si="21"/>
        <v>0.902817554672803</v>
      </c>
      <c r="AG65" s="817">
        <f t="shared" si="22"/>
        <v>-2</v>
      </c>
      <c r="AH65" s="176">
        <f t="shared" si="13"/>
        <v>4</v>
      </c>
      <c r="AI65" s="225">
        <f t="shared" si="23"/>
        <v>-1.097182445327197</v>
      </c>
      <c r="AJ65" s="265" t="b">
        <f t="shared" si="14"/>
        <v>0</v>
      </c>
      <c r="AK65" s="265" t="b">
        <f t="shared" si="15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6"/>
        <v>43882</v>
      </c>
      <c r="B66" s="617">
        <v>9.51</v>
      </c>
      <c r="C66" s="390"/>
      <c r="D66" s="393">
        <f t="shared" si="0"/>
        <v>9.6512212832726973</v>
      </c>
      <c r="E66" s="385">
        <f t="shared" si="17"/>
        <v>10.540134008212913</v>
      </c>
      <c r="F66" s="385">
        <f t="shared" si="1"/>
        <v>10.553360642357088</v>
      </c>
      <c r="G66" s="110">
        <f t="shared" si="18"/>
        <v>0.39571997218299038</v>
      </c>
      <c r="H66" s="414" t="b">
        <f>Wh_hp&gt;='2019'!Maxi_hp</f>
        <v>0</v>
      </c>
      <c r="I66" s="380">
        <f>IF(H66,Wh_hp,'2019'!Maxi_hp)</f>
        <v>25.140056728294933</v>
      </c>
      <c r="J66" s="85">
        <f>IF(H66,An,'2019'!An_max)</f>
        <v>2019</v>
      </c>
      <c r="K66" s="197">
        <f t="shared" si="19"/>
        <v>43882</v>
      </c>
      <c r="L66" s="147">
        <f>IF(t&lt;Tvie,1-EXP((T0-t)*PertePVj)+'2019'!Pspv,1-EXP((T0-t)*PertePVj)+Pspv)</f>
        <v>1.4632478017829631E-2</v>
      </c>
      <c r="M66" s="850"/>
      <c r="N66" s="850"/>
      <c r="O66" s="48">
        <f>IF(t&lt;Tnet,'2019'!Resal+('2019'!Salim-'2019'!Resal)*(1-EXP(('2019'!Tnet-t)/('2019'!Tau_j))),Resal+(Salim-Resal)*(1-EXP((Tnet-t)/(Tau_j))))*Salcycl</f>
        <v>8.4335998408328755E-2</v>
      </c>
      <c r="P66" s="169">
        <f>(INDEX(Models!$BJ66:$BT66,,T66)*(1-R66)+INDEX(Models!$BJ66:$BT66,,T66+1)*R66-ERP_i)*Q66*Ramure*Pc/MaxiM</f>
        <v>8.8827702662036961E-3</v>
      </c>
      <c r="Q66" s="305">
        <f t="shared" si="2"/>
        <v>0.7</v>
      </c>
      <c r="R66" s="177">
        <f t="shared" si="3"/>
        <v>0.90295176165004665</v>
      </c>
      <c r="S66" s="817">
        <f t="shared" si="4"/>
        <v>-2</v>
      </c>
      <c r="T66" s="176">
        <f t="shared" si="5"/>
        <v>4</v>
      </c>
      <c r="U66" s="251">
        <f t="shared" si="20"/>
        <v>-1.0970482383499534</v>
      </c>
      <c r="V66" s="383">
        <f t="shared" si="6"/>
        <v>23.848563247545908</v>
      </c>
      <c r="W66" s="402"/>
      <c r="X66" s="157">
        <f t="shared" si="7"/>
        <v>43882</v>
      </c>
      <c r="Y66" s="385">
        <f t="shared" si="8"/>
        <v>9.51</v>
      </c>
      <c r="Z66" s="385">
        <f t="shared" si="9"/>
        <v>9.6512212832726973</v>
      </c>
      <c r="AA66" s="386">
        <f t="shared" si="10"/>
        <v>10.540134008212913</v>
      </c>
      <c r="AB66" s="197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8.4335998408328755E-2</v>
      </c>
      <c r="AD66" s="231">
        <f>(INDEX(Models!$BJ66:$BT66,,AH66)*(1-AF66)+INDEX(Models!$BJ66:$BT66,,AH66+1)*AF66-ERP_i)*AE66*Ramure*Pc/MaxiM</f>
        <v>8.8827702662036961E-3</v>
      </c>
      <c r="AE66" s="305">
        <f t="shared" si="12"/>
        <v>0.7</v>
      </c>
      <c r="AF66" s="177">
        <f t="shared" si="21"/>
        <v>0.90295176165004665</v>
      </c>
      <c r="AG66" s="817">
        <f t="shared" si="22"/>
        <v>-2</v>
      </c>
      <c r="AH66" s="176">
        <f t="shared" si="13"/>
        <v>4</v>
      </c>
      <c r="AI66" s="225">
        <f t="shared" si="23"/>
        <v>-1.0970482383499534</v>
      </c>
      <c r="AJ66" s="265" t="b">
        <f t="shared" si="14"/>
        <v>0</v>
      </c>
      <c r="AK66" s="265" t="b">
        <f t="shared" si="15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6"/>
        <v>43883</v>
      </c>
      <c r="B67" s="617">
        <v>22.864000000000001</v>
      </c>
      <c r="C67" s="390"/>
      <c r="D67" s="393">
        <f t="shared" si="0"/>
        <v>23.204033298411517</v>
      </c>
      <c r="E67" s="385">
        <f t="shared" si="17"/>
        <v>25.343354556089306</v>
      </c>
      <c r="F67" s="385">
        <f t="shared" si="1"/>
        <v>25.53940420608372</v>
      </c>
      <c r="G67" s="110">
        <f t="shared" si="18"/>
        <v>0.94657205850847859</v>
      </c>
      <c r="H67" s="414" t="b">
        <f>Wh_hp&gt;='2019'!Maxi_hp</f>
        <v>0</v>
      </c>
      <c r="I67" s="380">
        <f>IF(H67,Wh_hp,'2019'!Maxi_hp)</f>
        <v>26.553607822777124</v>
      </c>
      <c r="J67" s="85">
        <f>IF(H67,An,'2019'!An_max)</f>
        <v>2019</v>
      </c>
      <c r="K67" s="197">
        <f t="shared" si="19"/>
        <v>43883</v>
      </c>
      <c r="L67" s="147">
        <f>IF(t&lt;Tvie,1-EXP((T0-t)*PertePVj)+'2019'!Pspv,1-EXP((T0-t)*PertePVj)+Pspv)</f>
        <v>1.4654060095440125E-2</v>
      </c>
      <c r="M67" s="850"/>
      <c r="N67" s="850"/>
      <c r="O67" s="48">
        <f>IF(t&lt;Tnet,'2019'!Resal+('2019'!Salim-'2019'!Resal)*(1-EXP(('2019'!Tnet-t)/('2019'!Tau_j))),Resal+(Salim-Resal)*(1-EXP((Tnet-t)/(Tau_j))))*Salcycl</f>
        <v>8.4413499915454951E-2</v>
      </c>
      <c r="P67" s="169">
        <f>(INDEX(Models!$BJ67:$BT67,,T67)*(1-R67)+INDEX(Models!$BJ67:$BT67,,T67+1)*R67-ERP_i)*Q67*Ramure*Pc/MaxiM</f>
        <v>8.3029964207472114E-3</v>
      </c>
      <c r="Q67" s="305">
        <f t="shared" si="2"/>
        <v>0.7</v>
      </c>
      <c r="R67" s="177">
        <f t="shared" si="3"/>
        <v>0.90309147003429424</v>
      </c>
      <c r="S67" s="817">
        <f t="shared" si="4"/>
        <v>-2</v>
      </c>
      <c r="T67" s="176">
        <f t="shared" si="5"/>
        <v>4</v>
      </c>
      <c r="U67" s="251">
        <f t="shared" si="20"/>
        <v>-1.0969085299657058</v>
      </c>
      <c r="V67" s="383">
        <f t="shared" si="6"/>
        <v>24.139273430362756</v>
      </c>
      <c r="W67" s="402"/>
      <c r="X67" s="157">
        <f t="shared" si="7"/>
        <v>43883</v>
      </c>
      <c r="Y67" s="385">
        <f t="shared" si="8"/>
        <v>22.864000000000001</v>
      </c>
      <c r="Z67" s="385">
        <f t="shared" si="9"/>
        <v>23.204033298411517</v>
      </c>
      <c r="AA67" s="386">
        <f t="shared" si="10"/>
        <v>25.343354556089306</v>
      </c>
      <c r="AB67" s="197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8.4413499915454951E-2</v>
      </c>
      <c r="AD67" s="231">
        <f>(INDEX(Models!$BJ67:$BT67,,AH67)*(1-AF67)+INDEX(Models!$BJ67:$BT67,,AH67+1)*AF67-ERP_i)*AE67*Ramure*Pc/MaxiM</f>
        <v>8.3029964207472114E-3</v>
      </c>
      <c r="AE67" s="305">
        <f t="shared" si="12"/>
        <v>0.7</v>
      </c>
      <c r="AF67" s="177">
        <f t="shared" si="21"/>
        <v>0.90309147003429424</v>
      </c>
      <c r="AG67" s="817">
        <f t="shared" si="22"/>
        <v>-2</v>
      </c>
      <c r="AH67" s="176">
        <f t="shared" si="13"/>
        <v>4</v>
      </c>
      <c r="AI67" s="225">
        <f t="shared" si="23"/>
        <v>-1.0969085299657058</v>
      </c>
      <c r="AJ67" s="265" t="b">
        <f t="shared" si="14"/>
        <v>0</v>
      </c>
      <c r="AK67" s="265" t="b">
        <f t="shared" si="15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6"/>
        <v>43884</v>
      </c>
      <c r="B68" s="617">
        <v>23.907</v>
      </c>
      <c r="C68" s="390"/>
      <c r="D68" s="393">
        <f t="shared" si="0"/>
        <v>24.263076213050965</v>
      </c>
      <c r="E68" s="385">
        <f t="shared" si="17"/>
        <v>26.502276643413492</v>
      </c>
      <c r="F68" s="385">
        <f t="shared" si="1"/>
        <v>26.702745948844534</v>
      </c>
      <c r="G68" s="110">
        <f t="shared" si="18"/>
        <v>0.97840488582856777</v>
      </c>
      <c r="H68" s="414" t="b">
        <f>Wh_hp&gt;='2019'!Maxi_hp</f>
        <v>0</v>
      </c>
      <c r="I68" s="380">
        <f>IF(H68,Wh_hp,'2019'!Maxi_hp)</f>
        <v>27.261868971635646</v>
      </c>
      <c r="J68" s="85">
        <f>IF(H68,An,'2019'!An_max)</f>
        <v>2019</v>
      </c>
      <c r="K68" s="197">
        <f t="shared" si="19"/>
        <v>43884</v>
      </c>
      <c r="L68" s="147">
        <f>IF(t&lt;Tvie,1-EXP((T0-t)*PertePVj)+'2019'!Pspv,1-EXP((T0-t)*PertePVj)+Pspv)</f>
        <v>1.4675641700347741E-2</v>
      </c>
      <c r="M68" s="850"/>
      <c r="N68" s="850"/>
      <c r="O68" s="48">
        <f>IF(t&lt;Tnet,'2019'!Resal+('2019'!Salim-'2019'!Resal)*(1-EXP(('2019'!Tnet-t)/('2019'!Tau_j))),Resal+(Salim-Resal)*(1-EXP((Tnet-t)/(Tau_j))))*Salcycl</f>
        <v>8.4490870746345009E-2</v>
      </c>
      <c r="P68" s="169">
        <f>(INDEX(Models!$BJ68:$BT68,,T68)*(1-R68)+INDEX(Models!$BJ68:$BT68,,T68+1)*R68-ERP_i)*Q68*Ramure*Pc/MaxiM</f>
        <v>7.7437600656376322E-3</v>
      </c>
      <c r="Q68" s="305">
        <f t="shared" si="2"/>
        <v>0.7</v>
      </c>
      <c r="R68" s="177">
        <f t="shared" si="3"/>
        <v>0.90323689978050647</v>
      </c>
      <c r="S68" s="817">
        <f t="shared" si="4"/>
        <v>-2</v>
      </c>
      <c r="T68" s="176">
        <f t="shared" si="5"/>
        <v>4</v>
      </c>
      <c r="U68" s="251">
        <f t="shared" si="20"/>
        <v>-1.0967631002194935</v>
      </c>
      <c r="V68" s="383">
        <f t="shared" si="6"/>
        <v>24.428851434574867</v>
      </c>
      <c r="W68" s="402"/>
      <c r="X68" s="157">
        <f t="shared" si="7"/>
        <v>43884</v>
      </c>
      <c r="Y68" s="385">
        <f t="shared" si="8"/>
        <v>23.907</v>
      </c>
      <c r="Z68" s="385">
        <f t="shared" si="9"/>
        <v>24.263076213050965</v>
      </c>
      <c r="AA68" s="386">
        <f t="shared" si="10"/>
        <v>26.502276643413492</v>
      </c>
      <c r="AB68" s="197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8.4490870746345009E-2</v>
      </c>
      <c r="AD68" s="231">
        <f>(INDEX(Models!$BJ68:$BT68,,AH68)*(1-AF68)+INDEX(Models!$BJ68:$BT68,,AH68+1)*AF68-ERP_i)*AE68*Ramure*Pc/MaxiM</f>
        <v>7.7437600656376322E-3</v>
      </c>
      <c r="AE68" s="305">
        <f t="shared" si="12"/>
        <v>0.7</v>
      </c>
      <c r="AF68" s="177">
        <f t="shared" si="21"/>
        <v>0.90323689978050647</v>
      </c>
      <c r="AG68" s="817">
        <f t="shared" si="22"/>
        <v>-2</v>
      </c>
      <c r="AH68" s="176">
        <f t="shared" si="13"/>
        <v>4</v>
      </c>
      <c r="AI68" s="225">
        <f t="shared" si="23"/>
        <v>-1.0967631002194935</v>
      </c>
      <c r="AJ68" s="265" t="b">
        <f t="shared" si="14"/>
        <v>0</v>
      </c>
      <c r="AK68" s="265" t="b">
        <f t="shared" si="15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6"/>
        <v>43885</v>
      </c>
      <c r="B69" s="617">
        <v>23.271999999999998</v>
      </c>
      <c r="C69" s="390"/>
      <c r="D69" s="393">
        <f t="shared" si="0"/>
        <v>23.619135700502827</v>
      </c>
      <c r="E69" s="385">
        <f t="shared" si="17"/>
        <v>25.801084662614439</v>
      </c>
      <c r="F69" s="385">
        <f t="shared" si="1"/>
        <v>25.972568583595031</v>
      </c>
      <c r="G69" s="110">
        <f t="shared" si="18"/>
        <v>0.94095648923058406</v>
      </c>
      <c r="H69" s="414" t="b">
        <f>Wh_hp&gt;='2019'!Maxi_hp</f>
        <v>0</v>
      </c>
      <c r="I69" s="380">
        <f>IF(H69,Wh_hp,'2019'!Maxi_hp)</f>
        <v>27.125715294135134</v>
      </c>
      <c r="J69" s="85">
        <f>IF(H69,An,'2019'!An_max)</f>
        <v>2019</v>
      </c>
      <c r="K69" s="197">
        <f t="shared" si="19"/>
        <v>43885</v>
      </c>
      <c r="L69" s="147">
        <f>IF(t&lt;Tvie,1-EXP((T0-t)*PertePVj)+'2019'!Pspv,1-EXP((T0-t)*PertePVj)+Pspv)</f>
        <v>1.4697222832562806E-2</v>
      </c>
      <c r="M69" s="850"/>
      <c r="N69" s="850"/>
      <c r="O69" s="48">
        <f>IF(t&lt;Tnet,'2019'!Resal+('2019'!Salim-'2019'!Resal)*(1-EXP(('2019'!Tnet-t)/('2019'!Tau_j))),Resal+(Salim-Resal)*(1-EXP((Tnet-t)/(Tau_j))))*Salcycl</f>
        <v>8.4568109854437148E-2</v>
      </c>
      <c r="P69" s="169">
        <f>(INDEX(Models!$BJ69:$BT69,,T69)*(1-R69)+INDEX(Models!$BJ69:$BT69,,T69+1)*R69-ERP_i)*Q69*Ramure*Pc/MaxiM</f>
        <v>7.2042984632104115E-3</v>
      </c>
      <c r="Q69" s="305">
        <f t="shared" si="2"/>
        <v>0.7</v>
      </c>
      <c r="R69" s="177">
        <f t="shared" si="3"/>
        <v>0.90338827916804987</v>
      </c>
      <c r="S69" s="817">
        <f t="shared" si="4"/>
        <v>-2</v>
      </c>
      <c r="T69" s="176">
        <f t="shared" si="5"/>
        <v>4</v>
      </c>
      <c r="U69" s="251">
        <f t="shared" si="20"/>
        <v>-1.0966117208319501</v>
      </c>
      <c r="V69" s="383">
        <f t="shared" si="6"/>
        <v>24.717297943822484</v>
      </c>
      <c r="W69" s="402"/>
      <c r="X69" s="157">
        <f t="shared" si="7"/>
        <v>43885</v>
      </c>
      <c r="Y69" s="385">
        <f t="shared" si="8"/>
        <v>23.271999999999998</v>
      </c>
      <c r="Z69" s="385">
        <f t="shared" si="9"/>
        <v>23.619135700502827</v>
      </c>
      <c r="AA69" s="386">
        <f t="shared" si="10"/>
        <v>25.801084662614439</v>
      </c>
      <c r="AB69" s="197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8.4568109854437148E-2</v>
      </c>
      <c r="AD69" s="231">
        <f>(INDEX(Models!$BJ69:$BT69,,AH69)*(1-AF69)+INDEX(Models!$BJ69:$BT69,,AH69+1)*AF69-ERP_i)*AE69*Ramure*Pc/MaxiM</f>
        <v>7.2042984632104115E-3</v>
      </c>
      <c r="AE69" s="305">
        <f t="shared" si="12"/>
        <v>0.7</v>
      </c>
      <c r="AF69" s="177">
        <f t="shared" si="21"/>
        <v>0.90338827916804987</v>
      </c>
      <c r="AG69" s="817">
        <f t="shared" si="22"/>
        <v>-2</v>
      </c>
      <c r="AH69" s="176">
        <f t="shared" si="13"/>
        <v>4</v>
      </c>
      <c r="AI69" s="225">
        <f t="shared" si="23"/>
        <v>-1.0966117208319501</v>
      </c>
      <c r="AJ69" s="265" t="b">
        <f t="shared" si="14"/>
        <v>0</v>
      </c>
      <c r="AK69" s="265" t="b">
        <f t="shared" si="15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6"/>
        <v>43886</v>
      </c>
      <c r="B70" s="617">
        <v>11.587</v>
      </c>
      <c r="C70" s="390"/>
      <c r="D70" s="393">
        <f t="shared" si="0"/>
        <v>11.760094520292657</v>
      </c>
      <c r="E70" s="385">
        <f t="shared" si="17"/>
        <v>12.847580792038627</v>
      </c>
      <c r="F70" s="385">
        <f t="shared" si="1"/>
        <v>12.867656366979343</v>
      </c>
      <c r="G70" s="110">
        <f t="shared" si="18"/>
        <v>0.46101646530201845</v>
      </c>
      <c r="H70" s="414" t="b">
        <f>Wh_hp&gt;='2019'!Maxi_hp</f>
        <v>0</v>
      </c>
      <c r="I70" s="380">
        <f>IF(H70,Wh_hp,'2019'!Maxi_hp)</f>
        <v>27.521029362463523</v>
      </c>
      <c r="J70" s="85">
        <f>IF(H70,An,'2019'!An_max)</f>
        <v>2019</v>
      </c>
      <c r="K70" s="197">
        <f t="shared" si="19"/>
        <v>43886</v>
      </c>
      <c r="L70" s="147">
        <f>IF(t&lt;Tvie,1-EXP((T0-t)*PertePVj)+'2019'!Pspv,1-EXP((T0-t)*PertePVj)+Pspv)</f>
        <v>1.4718803492095645E-2</v>
      </c>
      <c r="M70" s="850"/>
      <c r="N70" s="850"/>
      <c r="O70" s="48">
        <f>IF(t&lt;Tnet,'2019'!Resal+('2019'!Salim-'2019'!Resal)*(1-EXP(('2019'!Tnet-t)/('2019'!Tau_j))),Resal+(Salim-Resal)*(1-EXP((Tnet-t)/(Tau_j))))*Salcycl</f>
        <v>8.4645217597686728E-2</v>
      </c>
      <c r="P70" s="169">
        <f>(INDEX(Models!$BJ70:$BT70,,T70)*(1-R70)+INDEX(Models!$BJ70:$BT70,,T70+1)*R70-ERP_i)*Q70*Ramure*Pc/MaxiM</f>
        <v>6.6838883485652043E-3</v>
      </c>
      <c r="Q70" s="305">
        <f t="shared" si="2"/>
        <v>0.7</v>
      </c>
      <c r="R70" s="177">
        <f t="shared" si="3"/>
        <v>0.90354584507581959</v>
      </c>
      <c r="S70" s="817">
        <f t="shared" si="4"/>
        <v>-2</v>
      </c>
      <c r="T70" s="176">
        <f t="shared" si="5"/>
        <v>4</v>
      </c>
      <c r="U70" s="251">
        <f t="shared" si="20"/>
        <v>-1.0964541549241804</v>
      </c>
      <c r="V70" s="383">
        <f t="shared" si="6"/>
        <v>25.004613572319293</v>
      </c>
      <c r="W70" s="402"/>
      <c r="X70" s="157">
        <f t="shared" si="7"/>
        <v>43886</v>
      </c>
      <c r="Y70" s="385">
        <f t="shared" si="8"/>
        <v>11.587</v>
      </c>
      <c r="Z70" s="385">
        <f t="shared" si="9"/>
        <v>11.760094520292657</v>
      </c>
      <c r="AA70" s="386">
        <f t="shared" si="10"/>
        <v>12.847580792038627</v>
      </c>
      <c r="AB70" s="197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8.4645217597686728E-2</v>
      </c>
      <c r="AD70" s="231">
        <f>(INDEX(Models!$BJ70:$BT70,,AH70)*(1-AF70)+INDEX(Models!$BJ70:$BT70,,AH70+1)*AF70-ERP_i)*AE70*Ramure*Pc/MaxiM</f>
        <v>6.6838883485652043E-3</v>
      </c>
      <c r="AE70" s="305">
        <f t="shared" si="12"/>
        <v>0.7</v>
      </c>
      <c r="AF70" s="177">
        <f t="shared" si="21"/>
        <v>0.90354584507581959</v>
      </c>
      <c r="AG70" s="817">
        <f t="shared" si="22"/>
        <v>-2</v>
      </c>
      <c r="AH70" s="176">
        <f t="shared" si="13"/>
        <v>4</v>
      </c>
      <c r="AI70" s="225">
        <f t="shared" si="23"/>
        <v>-1.0964541549241804</v>
      </c>
      <c r="AJ70" s="265" t="b">
        <f t="shared" si="14"/>
        <v>0</v>
      </c>
      <c r="AK70" s="265" t="b">
        <f t="shared" si="15"/>
        <v>0</v>
      </c>
      <c r="AL70" s="265"/>
      <c r="AM70" s="265"/>
      <c r="AN70" s="75"/>
    </row>
    <row r="71" spans="1:40" s="6" customFormat="1" ht="11.25" x14ac:dyDescent="0.2">
      <c r="A71" s="56">
        <f t="shared" si="16"/>
        <v>43887</v>
      </c>
      <c r="B71" s="617">
        <v>12.302</v>
      </c>
      <c r="C71" s="390"/>
      <c r="D71" s="393">
        <f t="shared" si="0"/>
        <v>12.486049155181691</v>
      </c>
      <c r="E71" s="385">
        <f t="shared" si="17"/>
        <v>13.641813554443576</v>
      </c>
      <c r="F71" s="385">
        <f t="shared" si="1"/>
        <v>13.6643095241652</v>
      </c>
      <c r="G71" s="110">
        <f t="shared" si="18"/>
        <v>0.48421215071096074</v>
      </c>
      <c r="H71" s="414" t="b">
        <f>Wh_hp&gt;='2019'!Maxi_hp</f>
        <v>0</v>
      </c>
      <c r="I71" s="380">
        <f>IF(H71,Wh_hp,'2019'!Maxi_hp)</f>
        <v>25.164955933074054</v>
      </c>
      <c r="J71" s="85">
        <f>IF(H71,An,'2019'!An_max)</f>
        <v>2019</v>
      </c>
      <c r="K71" s="197">
        <f t="shared" si="19"/>
        <v>43887</v>
      </c>
      <c r="L71" s="147">
        <f>IF(t&lt;Tvie,1-EXP((T0-t)*PertePVj)+'2019'!Pspv,1-EXP((T0-t)*PertePVj)+Pspv)</f>
        <v>1.4740383678956692E-2</v>
      </c>
      <c r="M71" s="850"/>
      <c r="N71" s="850"/>
      <c r="O71" s="48">
        <f>IF(t&lt;Tnet,'2019'!Resal+('2019'!Salim-'2019'!Resal)*(1-EXP(('2019'!Tnet-t)/('2019'!Tau_j))),Resal+(Salim-Resal)*(1-EXP((Tnet-t)/(Tau_j))))*Salcycl</f>
        <v>8.4722195817242857E-2</v>
      </c>
      <c r="P71" s="169">
        <f>(INDEX(Models!$BJ71:$BT71,,T71)*(1-R71)+INDEX(Models!$BJ71:$BT71,,T71+1)*R71-ERP_i)*Q71*Ramure*Pc/MaxiM</f>
        <v>6.1818433217802103E-3</v>
      </c>
      <c r="Q71" s="305">
        <f t="shared" si="2"/>
        <v>0.7</v>
      </c>
      <c r="R71" s="177">
        <f t="shared" si="3"/>
        <v>0.90370984326297288</v>
      </c>
      <c r="S71" s="817">
        <f t="shared" si="4"/>
        <v>-2</v>
      </c>
      <c r="T71" s="176">
        <f t="shared" si="5"/>
        <v>4</v>
      </c>
      <c r="U71" s="251">
        <f t="shared" si="20"/>
        <v>-1.0962901567370271</v>
      </c>
      <c r="V71" s="383">
        <f t="shared" si="6"/>
        <v>25.290798864755978</v>
      </c>
      <c r="W71" s="402"/>
      <c r="X71" s="157">
        <f t="shared" si="7"/>
        <v>43887</v>
      </c>
      <c r="Y71" s="385">
        <f t="shared" si="8"/>
        <v>12.302</v>
      </c>
      <c r="Z71" s="385">
        <f t="shared" si="9"/>
        <v>12.486049155181691</v>
      </c>
      <c r="AA71" s="386">
        <f t="shared" si="10"/>
        <v>13.641813554443576</v>
      </c>
      <c r="AB71" s="197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8.4722195817242857E-2</v>
      </c>
      <c r="AD71" s="231">
        <f>(INDEX(Models!$BJ71:$BT71,,AH71)*(1-AF71)+INDEX(Models!$BJ71:$BT71,,AH71+1)*AF71-ERP_i)*AE71*Ramure*Pc/MaxiM</f>
        <v>6.1818433217802103E-3</v>
      </c>
      <c r="AE71" s="305">
        <f t="shared" si="12"/>
        <v>0.7</v>
      </c>
      <c r="AF71" s="177">
        <f t="shared" si="21"/>
        <v>0.90370984326297288</v>
      </c>
      <c r="AG71" s="817">
        <f t="shared" si="22"/>
        <v>-2</v>
      </c>
      <c r="AH71" s="176">
        <f t="shared" si="13"/>
        <v>4</v>
      </c>
      <c r="AI71" s="225">
        <f t="shared" si="23"/>
        <v>-1.0962901567370271</v>
      </c>
      <c r="AJ71" s="265" t="b">
        <f t="shared" si="14"/>
        <v>0</v>
      </c>
      <c r="AK71" s="265" t="b">
        <f t="shared" si="15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6"/>
        <v>43888</v>
      </c>
      <c r="B72" s="617">
        <v>4.7389999999999999</v>
      </c>
      <c r="C72" s="390"/>
      <c r="D72" s="393">
        <f t="shared" si="0"/>
        <v>4.8100051194948774</v>
      </c>
      <c r="E72" s="385">
        <f t="shared" si="17"/>
        <v>5.2556819444821317</v>
      </c>
      <c r="F72" s="385">
        <f t="shared" si="1"/>
        <v>5.2556819444821317</v>
      </c>
      <c r="G72" s="110">
        <f t="shared" si="18"/>
        <v>0.1842362502877303</v>
      </c>
      <c r="H72" s="414" t="b">
        <f>Wh_hp&gt;='2019'!Maxi_hp</f>
        <v>0</v>
      </c>
      <c r="I72" s="380">
        <f>IF(H72,Wh_hp,'2019'!Maxi_hp)</f>
        <v>28.428365899284628</v>
      </c>
      <c r="J72" s="85">
        <f>IF(H72,An,'2019'!An_max)</f>
        <v>2019</v>
      </c>
      <c r="K72" s="197">
        <f t="shared" si="19"/>
        <v>43888</v>
      </c>
      <c r="L72" s="147">
        <f>IF(t&lt;Tvie,1-EXP((T0-t)*PertePVj)+'2019'!Pspv,1-EXP((T0-t)*PertePVj)+Pspv)</f>
        <v>1.4761963393156274E-2</v>
      </c>
      <c r="M72" s="850"/>
      <c r="N72" s="850"/>
      <c r="O72" s="48">
        <f>IF(t&lt;Tnet,'2019'!Resal+('2019'!Salim-'2019'!Resal)*(1-EXP(('2019'!Tnet-t)/('2019'!Tau_j))),Resal+(Salim-Resal)*(1-EXP((Tnet-t)/(Tau_j))))*Salcycl</f>
        <v>8.4799047905698394E-2</v>
      </c>
      <c r="P72" s="169">
        <f>(INDEX(Models!$BJ72:$BT72,,T72)*(1-R72)+INDEX(Models!$BJ72:$BT72,,T72+1)*R72-ERP_i)*Q72*Ramure*Pc/MaxiM</f>
        <v>5.7028298349339462E-3</v>
      </c>
      <c r="Q72" s="305">
        <f t="shared" si="2"/>
        <v>0.7</v>
      </c>
      <c r="R72" s="177">
        <f t="shared" si="3"/>
        <v>0.90388052865505197</v>
      </c>
      <c r="S72" s="817">
        <f t="shared" si="4"/>
        <v>-2</v>
      </c>
      <c r="T72" s="176">
        <f t="shared" si="5"/>
        <v>4</v>
      </c>
      <c r="U72" s="251">
        <f t="shared" si="20"/>
        <v>-1.096119471344948</v>
      </c>
      <c r="V72" s="383">
        <f t="shared" si="6"/>
        <v>25.575717493453858</v>
      </c>
      <c r="W72" s="402"/>
      <c r="X72" s="157">
        <f t="shared" si="7"/>
        <v>43888</v>
      </c>
      <c r="Y72" s="385">
        <f t="shared" si="8"/>
        <v>4.7389999999999999</v>
      </c>
      <c r="Z72" s="385">
        <f t="shared" si="9"/>
        <v>4.8100051194948774</v>
      </c>
      <c r="AA72" s="386">
        <f t="shared" si="10"/>
        <v>5.2556819444821317</v>
      </c>
      <c r="AB72" s="197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8.4799047905698394E-2</v>
      </c>
      <c r="AD72" s="231">
        <f>(INDEX(Models!$BJ72:$BT72,,AH72)*(1-AF72)+INDEX(Models!$BJ72:$BT72,,AH72+1)*AF72-ERP_i)*AE72*Ramure*Pc/MaxiM</f>
        <v>5.7028298349339462E-3</v>
      </c>
      <c r="AE72" s="305">
        <f t="shared" si="12"/>
        <v>0.7</v>
      </c>
      <c r="AF72" s="177">
        <f t="shared" si="21"/>
        <v>0.90388052865505197</v>
      </c>
      <c r="AG72" s="817">
        <f t="shared" si="22"/>
        <v>-2</v>
      </c>
      <c r="AH72" s="176">
        <f t="shared" si="13"/>
        <v>4</v>
      </c>
      <c r="AI72" s="225">
        <f t="shared" si="23"/>
        <v>-1.096119471344948</v>
      </c>
      <c r="AJ72" s="265" t="b">
        <f t="shared" si="14"/>
        <v>0</v>
      </c>
      <c r="AK72" s="265" t="b">
        <f t="shared" si="15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6"/>
        <v>43889</v>
      </c>
      <c r="B73" s="617">
        <v>10.92</v>
      </c>
      <c r="C73" s="390"/>
      <c r="D73" s="393">
        <f t="shared" si="0"/>
        <v>11.083858697613207</v>
      </c>
      <c r="E73" s="385">
        <f t="shared" si="17"/>
        <v>12.111862457163889</v>
      </c>
      <c r="F73" s="385">
        <f t="shared" si="1"/>
        <v>12.122960632288599</v>
      </c>
      <c r="G73" s="110">
        <f t="shared" si="18"/>
        <v>0.42045365564038895</v>
      </c>
      <c r="H73" s="414" t="b">
        <f>Wh_hp&gt;='2019'!Maxi_hp</f>
        <v>0</v>
      </c>
      <c r="I73" s="380">
        <f>IF(H73,Wh_hp,'2019'!Maxi_hp)</f>
        <v>22.055398466334733</v>
      </c>
      <c r="J73" s="85">
        <f>IF(H73,An,'2019'!An_max)</f>
        <v>2019</v>
      </c>
      <c r="K73" s="197">
        <f t="shared" si="19"/>
        <v>43889</v>
      </c>
      <c r="L73" s="147">
        <f>IF(t&lt;Tvie,1-EXP((T0-t)*PertePVj)+'2019'!Pspv,1-EXP((T0-t)*PertePVj)+Pspv)</f>
        <v>1.4783542634704716E-2</v>
      </c>
      <c r="M73" s="850"/>
      <c r="N73" s="850"/>
      <c r="O73" s="48">
        <f>IF(t&lt;Tnet,'2019'!Resal+('2019'!Salim-'2019'!Resal)*(1-EXP(('2019'!Tnet-t)/('2019'!Tau_j))),Resal+(Salim-Resal)*(1-EXP((Tnet-t)/(Tau_j))))*Salcycl</f>
        <v>8.487577886443394E-2</v>
      </c>
      <c r="P73" s="169">
        <f>(INDEX(Models!$BJ73:$BT73,,T73)*(1-R73)+INDEX(Models!$BJ73:$BT73,,T73+1)*R73-ERP_i)*Q73*Ramure*Pc/MaxiM</f>
        <v>5.2405792287057978E-3</v>
      </c>
      <c r="Q73" s="305">
        <f t="shared" si="2"/>
        <v>0.7</v>
      </c>
      <c r="R73" s="177">
        <f t="shared" si="3"/>
        <v>0.90405816563523089</v>
      </c>
      <c r="S73" s="817">
        <f t="shared" si="4"/>
        <v>-2</v>
      </c>
      <c r="T73" s="176">
        <f t="shared" si="5"/>
        <v>4</v>
      </c>
      <c r="U73" s="251">
        <f t="shared" si="20"/>
        <v>-1.0959418343647691</v>
      </c>
      <c r="V73" s="383">
        <f t="shared" si="6"/>
        <v>25.859512351749757</v>
      </c>
      <c r="W73" s="402"/>
      <c r="X73" s="157">
        <f t="shared" si="7"/>
        <v>43889</v>
      </c>
      <c r="Y73" s="385">
        <f t="shared" si="8"/>
        <v>10.92</v>
      </c>
      <c r="Z73" s="385">
        <f t="shared" si="9"/>
        <v>11.083858697613207</v>
      </c>
      <c r="AA73" s="386">
        <f t="shared" si="10"/>
        <v>12.111862457163889</v>
      </c>
      <c r="AB73" s="197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8.487577886443394E-2</v>
      </c>
      <c r="AD73" s="231">
        <f>(INDEX(Models!$BJ73:$BT73,,AH73)*(1-AF73)+INDEX(Models!$BJ73:$BT73,,AH73+1)*AF73-ERP_i)*AE73*Ramure*Pc/MaxiM</f>
        <v>5.2405792287057978E-3</v>
      </c>
      <c r="AE73" s="305">
        <f t="shared" si="12"/>
        <v>0.7</v>
      </c>
      <c r="AF73" s="177">
        <f t="shared" si="21"/>
        <v>0.90405816563523089</v>
      </c>
      <c r="AG73" s="817">
        <f t="shared" si="22"/>
        <v>-2</v>
      </c>
      <c r="AH73" s="176">
        <f t="shared" si="13"/>
        <v>4</v>
      </c>
      <c r="AI73" s="225">
        <f t="shared" si="23"/>
        <v>-1.0959418343647691</v>
      </c>
      <c r="AJ73" s="265" t="b">
        <f t="shared" si="14"/>
        <v>0</v>
      </c>
      <c r="AK73" s="265" t="b">
        <f t="shared" si="15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6"/>
        <v>43890</v>
      </c>
      <c r="B74" s="617">
        <v>10.005000000000001</v>
      </c>
      <c r="C74" s="390"/>
      <c r="D74" s="393">
        <f t="shared" si="0"/>
        <v>10.155351207523712</v>
      </c>
      <c r="E74" s="385">
        <f t="shared" si="17"/>
        <v>11.098167085421432</v>
      </c>
      <c r="F74" s="385">
        <f t="shared" si="1"/>
        <v>11.104458189975615</v>
      </c>
      <c r="G74" s="110">
        <f t="shared" si="18"/>
        <v>0.38109575027073661</v>
      </c>
      <c r="H74" s="414" t="b">
        <f>Wh_hp&gt;='2019'!Maxi_hp</f>
        <v>1</v>
      </c>
      <c r="I74" s="380">
        <f>IF(H74,Wh_hp,'2019'!Maxi_hp)</f>
        <v>11.104458189975615</v>
      </c>
      <c r="J74" s="85">
        <f>IF(H74,An,'2019'!An_max)</f>
        <v>2020</v>
      </c>
      <c r="K74" s="197">
        <f t="shared" si="19"/>
        <v>43890</v>
      </c>
      <c r="L74" s="147">
        <f>IF(t&lt;Tvie,1-EXP((T0-t)*PertePVj)+'2019'!Pspv,1-EXP((T0-t)*PertePVj)+Pspv)</f>
        <v>1.4805121403612453E-2</v>
      </c>
      <c r="M74" s="850"/>
      <c r="N74" s="850"/>
      <c r="O74" s="48">
        <f>IF(t&lt;Tnet,'2019'!Resal+('2019'!Salim-'2019'!Resal)*(1-EXP(('2019'!Tnet-t)/('2019'!Tau_j))),Resal+(Salim-Resal)*(1-EXP((Tnet-t)/(Tau_j))))*Salcycl</f>
        <v>8.4952395349697341E-2</v>
      </c>
      <c r="P74" s="169">
        <f>(INDEX(Models!$BJ74:$BT74,,T74)*(1-R74)+INDEX(Models!$BJ74:$BT74,,T74+1)*R74-ERP_i)*Q74*Ramure*Pc/MaxiM</f>
        <v>4.7945127019452961E-3</v>
      </c>
      <c r="Q74" s="305">
        <f t="shared" si="2"/>
        <v>0.7</v>
      </c>
      <c r="R74" s="177">
        <f t="shared" si="3"/>
        <v>0.90424302834038239</v>
      </c>
      <c r="S74" s="817">
        <f t="shared" si="4"/>
        <v>-2</v>
      </c>
      <c r="T74" s="176">
        <f t="shared" si="5"/>
        <v>4</v>
      </c>
      <c r="U74" s="251">
        <f t="shared" si="20"/>
        <v>-1.0957569716596176</v>
      </c>
      <c r="V74" s="383">
        <f t="shared" si="6"/>
        <v>26.142183778450992</v>
      </c>
      <c r="W74" s="402"/>
      <c r="X74" s="157">
        <f t="shared" si="7"/>
        <v>43890</v>
      </c>
      <c r="Y74" s="385">
        <f t="shared" si="8"/>
        <v>10.005000000000001</v>
      </c>
      <c r="Z74" s="385">
        <f t="shared" si="9"/>
        <v>10.155351207523712</v>
      </c>
      <c r="AA74" s="386">
        <f t="shared" si="10"/>
        <v>11.098167085421432</v>
      </c>
      <c r="AB74" s="197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8.4952395349697341E-2</v>
      </c>
      <c r="AD74" s="231">
        <f>(INDEX(Models!$BJ74:$BT74,,AH74)*(1-AF74)+INDEX(Models!$BJ74:$BT74,,AH74+1)*AF74-ERP_i)*AE74*Ramure*Pc/MaxiM</f>
        <v>4.7945127019452961E-3</v>
      </c>
      <c r="AE74" s="305">
        <f t="shared" si="12"/>
        <v>0.7</v>
      </c>
      <c r="AF74" s="177">
        <f t="shared" si="21"/>
        <v>0.90424302834038239</v>
      </c>
      <c r="AG74" s="817">
        <f t="shared" si="22"/>
        <v>-2</v>
      </c>
      <c r="AH74" s="176">
        <f t="shared" si="13"/>
        <v>4</v>
      </c>
      <c r="AI74" s="225">
        <f t="shared" si="23"/>
        <v>-1.0957569716596176</v>
      </c>
      <c r="AJ74" s="265" t="b">
        <f t="shared" si="14"/>
        <v>0</v>
      </c>
      <c r="AK74" s="265" t="b">
        <f t="shared" si="15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6"/>
        <v>43891</v>
      </c>
      <c r="B75" s="617">
        <v>17.925000000000001</v>
      </c>
      <c r="C75" s="390"/>
      <c r="D75" s="393">
        <f t="shared" si="0"/>
        <v>18.194768366681846</v>
      </c>
      <c r="E75" s="385">
        <f t="shared" si="17"/>
        <v>19.885620955867036</v>
      </c>
      <c r="F75" s="385">
        <f t="shared" si="1"/>
        <v>19.932639932535867</v>
      </c>
      <c r="G75" s="110">
        <f t="shared" si="18"/>
        <v>0.6770039914104411</v>
      </c>
      <c r="H75" s="414" t="b">
        <f>Wh_hp&gt;='2019'!Maxi_hp</f>
        <v>1</v>
      </c>
      <c r="I75" s="380">
        <f>IF(H75,Wh_hp,'2019'!Maxi_hp)</f>
        <v>19.932639932535867</v>
      </c>
      <c r="J75" s="85">
        <f>IF(H75,An,'2019'!An_max)</f>
        <v>2020</v>
      </c>
      <c r="K75" s="197">
        <f t="shared" si="19"/>
        <v>43891</v>
      </c>
      <c r="L75" s="147">
        <f>IF(t&lt;Tvie,1-EXP((T0-t)*PertePVj)+'2019'!Pspv,1-EXP((T0-t)*PertePVj)+Pspv)</f>
        <v>1.48266996998897E-2</v>
      </c>
      <c r="M75" s="850"/>
      <c r="N75" s="850"/>
      <c r="O75" s="48">
        <f>IF(t&lt;Tnet,'2019'!Resal+('2019'!Salim-'2019'!Resal)*(1-EXP(('2019'!Tnet-t)/('2019'!Tau_j))),Resal+(Salim-Resal)*(1-EXP((Tnet-t)/(Tau_j))))*Salcycl</f>
        <v>8.5028905707182439E-2</v>
      </c>
      <c r="P75" s="169">
        <f>(INDEX(Models!$BJ75:$BT75,,T75)*(1-R75)+INDEX(Models!$BJ75:$BT75,,T75+1)*R75-ERP_i)*Q75*Ramure*Pc/MaxiM</f>
        <v>4.3640790762960275E-3</v>
      </c>
      <c r="Q75" s="305">
        <f t="shared" si="2"/>
        <v>0.7</v>
      </c>
      <c r="R75" s="177">
        <f t="shared" si="3"/>
        <v>0.90443540096160402</v>
      </c>
      <c r="S75" s="817">
        <f t="shared" si="4"/>
        <v>-2</v>
      </c>
      <c r="T75" s="176">
        <f t="shared" si="5"/>
        <v>4</v>
      </c>
      <c r="U75" s="251">
        <f t="shared" si="20"/>
        <v>-1.095564599038396</v>
      </c>
      <c r="V75" s="383">
        <f t="shared" si="6"/>
        <v>26.423732047594115</v>
      </c>
      <c r="W75" s="402"/>
      <c r="X75" s="157">
        <f t="shared" si="7"/>
        <v>43891</v>
      </c>
      <c r="Y75" s="385">
        <f t="shared" si="8"/>
        <v>17.925000000000001</v>
      </c>
      <c r="Z75" s="385">
        <f t="shared" si="9"/>
        <v>18.194768366681846</v>
      </c>
      <c r="AA75" s="386">
        <f t="shared" si="10"/>
        <v>19.885620955867036</v>
      </c>
      <c r="AB75" s="197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8.5028905707182439E-2</v>
      </c>
      <c r="AD75" s="231">
        <f>(INDEX(Models!$BJ75:$BT75,,AH75)*(1-AF75)+INDEX(Models!$BJ75:$BT75,,AH75+1)*AF75-ERP_i)*AE75*Ramure*Pc/MaxiM</f>
        <v>4.3640790762960275E-3</v>
      </c>
      <c r="AE75" s="305">
        <f t="shared" si="12"/>
        <v>0.7</v>
      </c>
      <c r="AF75" s="177">
        <f t="shared" si="21"/>
        <v>0.90443540096160402</v>
      </c>
      <c r="AG75" s="817">
        <f t="shared" si="22"/>
        <v>-2</v>
      </c>
      <c r="AH75" s="176">
        <f t="shared" si="13"/>
        <v>4</v>
      </c>
      <c r="AI75" s="225">
        <f t="shared" si="23"/>
        <v>-1.095564599038396</v>
      </c>
      <c r="AJ75" s="265" t="b">
        <f t="shared" si="14"/>
        <v>0</v>
      </c>
      <c r="AK75" s="265" t="b">
        <f t="shared" si="15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6"/>
        <v>43892</v>
      </c>
      <c r="B76" s="617">
        <v>15.2</v>
      </c>
      <c r="C76" s="390"/>
      <c r="D76" s="393">
        <f t="shared" si="0"/>
        <v>15.429095491799545</v>
      </c>
      <c r="E76" s="385">
        <f t="shared" si="17"/>
        <v>16.864340594608187</v>
      </c>
      <c r="F76" s="385">
        <f t="shared" si="1"/>
        <v>16.889989331141276</v>
      </c>
      <c r="G76" s="110">
        <f t="shared" si="18"/>
        <v>0.56781440147868645</v>
      </c>
      <c r="H76" s="414" t="b">
        <f>Wh_hp&gt;='2019'!Maxi_hp</f>
        <v>0</v>
      </c>
      <c r="I76" s="380">
        <f>IF(H76,Wh_hp,'2019'!Maxi_hp)</f>
        <v>25.743527818559492</v>
      </c>
      <c r="J76" s="85">
        <f>IF(H76,An,'2019'!An_max)</f>
        <v>2019</v>
      </c>
      <c r="K76" s="197">
        <f t="shared" si="19"/>
        <v>43892</v>
      </c>
      <c r="L76" s="147">
        <f>IF(t&lt;Tvie,1-EXP((T0-t)*PertePVj)+'2019'!Pspv,1-EXP((T0-t)*PertePVj)+Pspv)</f>
        <v>1.4848277523546893E-2</v>
      </c>
      <c r="M76" s="850"/>
      <c r="N76" s="850"/>
      <c r="O76" s="48">
        <f>IF(t&lt;Tnet,'2019'!Resal+('2019'!Salim-'2019'!Resal)*(1-EXP(('2019'!Tnet-t)/('2019'!Tau_j))),Resal+(Salim-Resal)*(1-EXP((Tnet-t)/(Tau_j))))*Salcycl</f>
        <v>8.5105319994990755E-2</v>
      </c>
      <c r="P76" s="169">
        <f>(INDEX(Models!$BJ76:$BT76,,T76)*(1-R76)+INDEX(Models!$BJ76:$BT76,,T76+1)*R76-ERP_i)*Q76*Ramure*Pc/MaxiM</f>
        <v>3.9487530174262646E-3</v>
      </c>
      <c r="Q76" s="305">
        <f t="shared" si="2"/>
        <v>0.7</v>
      </c>
      <c r="R76" s="177">
        <f t="shared" si="3"/>
        <v>0.90463557804879247</v>
      </c>
      <c r="S76" s="817">
        <f t="shared" si="4"/>
        <v>-2</v>
      </c>
      <c r="T76" s="176">
        <f t="shared" si="5"/>
        <v>4</v>
      </c>
      <c r="U76" s="251">
        <f t="shared" si="20"/>
        <v>-1.0953644219512075</v>
      </c>
      <c r="V76" s="383">
        <f t="shared" si="6"/>
        <v>26.70415736904091</v>
      </c>
      <c r="W76" s="402"/>
      <c r="X76" s="157">
        <f t="shared" si="7"/>
        <v>43892</v>
      </c>
      <c r="Y76" s="385">
        <f t="shared" si="8"/>
        <v>15.2</v>
      </c>
      <c r="Z76" s="385">
        <f t="shared" si="9"/>
        <v>15.429095491799545</v>
      </c>
      <c r="AA76" s="386">
        <f t="shared" si="10"/>
        <v>16.864340594608187</v>
      </c>
      <c r="AB76" s="197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8.5105319994990755E-2</v>
      </c>
      <c r="AD76" s="231">
        <f>(INDEX(Models!$BJ76:$BT76,,AH76)*(1-AF76)+INDEX(Models!$BJ76:$BT76,,AH76+1)*AF76-ERP_i)*AE76*Ramure*Pc/MaxiM</f>
        <v>3.9487530174262646E-3</v>
      </c>
      <c r="AE76" s="305">
        <f t="shared" si="12"/>
        <v>0.7</v>
      </c>
      <c r="AF76" s="177">
        <f t="shared" si="21"/>
        <v>0.90463557804879247</v>
      </c>
      <c r="AG76" s="817">
        <f t="shared" si="22"/>
        <v>-2</v>
      </c>
      <c r="AH76" s="176">
        <f t="shared" si="13"/>
        <v>4</v>
      </c>
      <c r="AI76" s="225">
        <f t="shared" si="23"/>
        <v>-1.0953644219512075</v>
      </c>
      <c r="AJ76" s="265" t="b">
        <f t="shared" si="14"/>
        <v>0</v>
      </c>
      <c r="AK76" s="265" t="b">
        <f t="shared" si="15"/>
        <v>0</v>
      </c>
      <c r="AL76" s="265"/>
      <c r="AM76" s="265"/>
      <c r="AN76" s="75"/>
    </row>
    <row r="77" spans="1:40" s="6" customFormat="1" ht="11.25" x14ac:dyDescent="0.2">
      <c r="A77" s="56">
        <f t="shared" si="16"/>
        <v>43893</v>
      </c>
      <c r="B77" s="617">
        <v>3.0819999999999999</v>
      </c>
      <c r="C77" s="390"/>
      <c r="D77" s="393">
        <f t="shared" si="0"/>
        <v>3.1285206480080516</v>
      </c>
      <c r="E77" s="385">
        <f t="shared" si="17"/>
        <v>3.4198271689575108</v>
      </c>
      <c r="F77" s="385">
        <f t="shared" si="1"/>
        <v>3.4198271689575108</v>
      </c>
      <c r="G77" s="110">
        <f t="shared" si="18"/>
        <v>0.11381286809550964</v>
      </c>
      <c r="H77" s="414" t="b">
        <f>Wh_hp&gt;='2019'!Maxi_hp</f>
        <v>0</v>
      </c>
      <c r="I77" s="380">
        <f>IF(H77,Wh_hp,'2019'!Maxi_hp)</f>
        <v>7.2653129149583195</v>
      </c>
      <c r="J77" s="85">
        <f>IF(H77,An,'2019'!An_max)</f>
        <v>2019</v>
      </c>
      <c r="K77" s="197">
        <f t="shared" si="19"/>
        <v>43893</v>
      </c>
      <c r="L77" s="147">
        <f>IF(t&lt;Tvie,1-EXP((T0-t)*PertePVj)+'2019'!Pspv,1-EXP((T0-t)*PertePVj)+Pspv)</f>
        <v>1.4869854874594357E-2</v>
      </c>
      <c r="M77" s="850"/>
      <c r="N77" s="850"/>
      <c r="O77" s="48">
        <f>IF(t&lt;Tnet,'2019'!Resal+('2019'!Salim-'2019'!Resal)*(1-EXP(('2019'!Tnet-t)/('2019'!Tau_j))),Resal+(Salim-Resal)*(1-EXP((Tnet-t)/(Tau_j))))*Salcycl</f>
        <v>8.5181649994979167E-2</v>
      </c>
      <c r="P77" s="169">
        <f>(INDEX(Models!$BJ77:$BT77,,T77)*(1-R77)+INDEX(Models!$BJ77:$BT77,,T77+1)*R77-ERP_i)*Q77*Ramure*Pc/MaxiM</f>
        <v>3.5480333822038171E-3</v>
      </c>
      <c r="Q77" s="305">
        <f t="shared" si="2"/>
        <v>0.7</v>
      </c>
      <c r="R77" s="177">
        <f t="shared" si="3"/>
        <v>0.90484386481879731</v>
      </c>
      <c r="S77" s="817">
        <f t="shared" si="4"/>
        <v>-2</v>
      </c>
      <c r="T77" s="176">
        <f t="shared" si="5"/>
        <v>4</v>
      </c>
      <c r="U77" s="251">
        <f t="shared" si="20"/>
        <v>-1.0951561351812027</v>
      </c>
      <c r="V77" s="383">
        <f t="shared" si="6"/>
        <v>26.983459889077459</v>
      </c>
      <c r="W77" s="402"/>
      <c r="X77" s="157">
        <f t="shared" si="7"/>
        <v>43893</v>
      </c>
      <c r="Y77" s="385">
        <f t="shared" si="8"/>
        <v>3.0819999999999999</v>
      </c>
      <c r="Z77" s="385">
        <f t="shared" si="9"/>
        <v>3.1285206480080516</v>
      </c>
      <c r="AA77" s="386">
        <f t="shared" si="10"/>
        <v>3.4198271689575108</v>
      </c>
      <c r="AB77" s="197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8.5181649994979167E-2</v>
      </c>
      <c r="AD77" s="231">
        <f>(INDEX(Models!$BJ77:$BT77,,AH77)*(1-AF77)+INDEX(Models!$BJ77:$BT77,,AH77+1)*AF77-ERP_i)*AE77*Ramure*Pc/MaxiM</f>
        <v>3.5480333822038171E-3</v>
      </c>
      <c r="AE77" s="305">
        <f t="shared" si="12"/>
        <v>0.7</v>
      </c>
      <c r="AF77" s="177">
        <f t="shared" si="21"/>
        <v>0.90484386481879731</v>
      </c>
      <c r="AG77" s="817">
        <f t="shared" si="22"/>
        <v>-2</v>
      </c>
      <c r="AH77" s="176">
        <f t="shared" si="13"/>
        <v>4</v>
      </c>
      <c r="AI77" s="225">
        <f t="shared" si="23"/>
        <v>-1.0951561351812027</v>
      </c>
      <c r="AJ77" s="265" t="b">
        <f t="shared" si="14"/>
        <v>0</v>
      </c>
      <c r="AK77" s="265" t="b">
        <f t="shared" si="15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6"/>
        <v>43894</v>
      </c>
      <c r="B78" s="617">
        <v>5.0529999999999999</v>
      </c>
      <c r="C78" s="390"/>
      <c r="D78" s="393">
        <f t="shared" si="0"/>
        <v>5.1293838698327718</v>
      </c>
      <c r="E78" s="385">
        <f t="shared" si="17"/>
        <v>5.6074645755258867</v>
      </c>
      <c r="F78" s="385">
        <f t="shared" si="1"/>
        <v>5.6074645755258867</v>
      </c>
      <c r="G78" s="110">
        <f t="shared" si="18"/>
        <v>0.18476604090929427</v>
      </c>
      <c r="H78" s="414" t="b">
        <f>Wh_hp&gt;='2019'!Maxi_hp</f>
        <v>0</v>
      </c>
      <c r="I78" s="380">
        <f>IF(H78,Wh_hp,'2019'!Maxi_hp)</f>
        <v>29.771929629009751</v>
      </c>
      <c r="J78" s="85">
        <f>IF(H78,An,'2019'!An_max)</f>
        <v>2019</v>
      </c>
      <c r="K78" s="197">
        <f t="shared" si="19"/>
        <v>43894</v>
      </c>
      <c r="L78" s="147">
        <f>IF(t&lt;Tvie,1-EXP((T0-t)*PertePVj)+'2019'!Pspv,1-EXP((T0-t)*PertePVj)+Pspv)</f>
        <v>1.4891431753042528E-2</v>
      </c>
      <c r="M78" s="850"/>
      <c r="N78" s="850"/>
      <c r="O78" s="48">
        <f>IF(t&lt;Tnet,'2019'!Resal+('2019'!Salim-'2019'!Resal)*(1-EXP(('2019'!Tnet-t)/('2019'!Tau_j))),Resal+(Salim-Resal)*(1-EXP((Tnet-t)/(Tau_j))))*Salcycl</f>
        <v>8.5257909212610505E-2</v>
      </c>
      <c r="P78" s="169">
        <f>(INDEX(Models!$BJ78:$BT78,,T78)*(1-R78)+INDEX(Models!$BJ78:$BT78,,T78+1)*R78-ERP_i)*Q78*Ramure*Pc/MaxiM</f>
        <v>3.161441683218677E-3</v>
      </c>
      <c r="Q78" s="305">
        <f t="shared" si="2"/>
        <v>0.7</v>
      </c>
      <c r="R78" s="177">
        <f t="shared" si="3"/>
        <v>0.90506057746661805</v>
      </c>
      <c r="S78" s="817">
        <f t="shared" si="4"/>
        <v>-2</v>
      </c>
      <c r="T78" s="176">
        <f t="shared" si="5"/>
        <v>4</v>
      </c>
      <c r="U78" s="251">
        <f t="shared" si="20"/>
        <v>-1.0949394225333819</v>
      </c>
      <c r="V78" s="383">
        <f t="shared" si="6"/>
        <v>27.261639695183394</v>
      </c>
      <c r="W78" s="402"/>
      <c r="X78" s="157">
        <f t="shared" si="7"/>
        <v>43894</v>
      </c>
      <c r="Y78" s="385">
        <f t="shared" si="8"/>
        <v>5.0529999999999999</v>
      </c>
      <c r="Z78" s="385">
        <f t="shared" si="9"/>
        <v>5.1293838698327718</v>
      </c>
      <c r="AA78" s="386">
        <f t="shared" si="10"/>
        <v>5.6074645755258867</v>
      </c>
      <c r="AB78" s="197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8.5257909212610505E-2</v>
      </c>
      <c r="AD78" s="231">
        <f>(INDEX(Models!$BJ78:$BT78,,AH78)*(1-AF78)+INDEX(Models!$BJ78:$BT78,,AH78+1)*AF78-ERP_i)*AE78*Ramure*Pc/MaxiM</f>
        <v>3.161441683218677E-3</v>
      </c>
      <c r="AE78" s="305">
        <f t="shared" si="12"/>
        <v>0.7</v>
      </c>
      <c r="AF78" s="177">
        <f t="shared" si="21"/>
        <v>0.90506057746661805</v>
      </c>
      <c r="AG78" s="817">
        <f t="shared" si="22"/>
        <v>-2</v>
      </c>
      <c r="AH78" s="176">
        <f t="shared" si="13"/>
        <v>4</v>
      </c>
      <c r="AI78" s="225">
        <f t="shared" si="23"/>
        <v>-1.0949394225333819</v>
      </c>
      <c r="AJ78" s="265" t="b">
        <f t="shared" si="14"/>
        <v>0</v>
      </c>
      <c r="AK78" s="265" t="b">
        <f t="shared" si="15"/>
        <v>0</v>
      </c>
      <c r="AL78" s="265"/>
      <c r="AM78" s="265"/>
      <c r="AN78" s="75"/>
    </row>
    <row r="79" spans="1:40" s="6" customFormat="1" ht="11.25" x14ac:dyDescent="0.2">
      <c r="A79" s="56">
        <f t="shared" si="16"/>
        <v>43895</v>
      </c>
      <c r="B79" s="617">
        <v>7.4420000000000002</v>
      </c>
      <c r="C79" s="390"/>
      <c r="D79" s="393">
        <f t="shared" ref="D79:D142" si="24">Wh/(1-Ppv)</f>
        <v>7.5546627471865433</v>
      </c>
      <c r="E79" s="385">
        <f t="shared" si="17"/>
        <v>8.2594779727211289</v>
      </c>
      <c r="F79" s="385">
        <f t="shared" ref="F79:F142" si="25">Wh_sa/(1-Pvg*MEDIAN((-Sdif+Wh/Env_an)/Csdif,0,1))</f>
        <v>8.2594779727211289</v>
      </c>
      <c r="G79" s="110">
        <f t="shared" si="18"/>
        <v>0.26947619472922729</v>
      </c>
      <c r="H79" s="414" t="b">
        <f>Wh_hp&gt;='2019'!Maxi_hp</f>
        <v>0</v>
      </c>
      <c r="I79" s="380">
        <f>IF(H79,Wh_hp,'2019'!Maxi_hp)</f>
        <v>15.983360810169867</v>
      </c>
      <c r="J79" s="85">
        <f>IF(H79,An,'2019'!An_max)</f>
        <v>2019</v>
      </c>
      <c r="K79" s="197">
        <f t="shared" ref="K79:K142" si="26">t</f>
        <v>43895</v>
      </c>
      <c r="L79" s="147">
        <f>IF(t&lt;Tvie,1-EXP((T0-t)*PertePVj)+'2019'!Pspv,1-EXP((T0-t)*PertePVj)+Pspv)</f>
        <v>1.4913008158901619E-2</v>
      </c>
      <c r="M79" s="850"/>
      <c r="N79" s="850"/>
      <c r="O79" s="48">
        <f>IF(t&lt;Tnet,'2019'!Resal+('2019'!Salim-'2019'!Resal)*(1-EXP(('2019'!Tnet-t)/('2019'!Tau_j))),Resal+(Salim-Resal)*(1-EXP((Tnet-t)/(Tau_j))))*Salcycl</f>
        <v>8.5334112865535036E-2</v>
      </c>
      <c r="P79" s="169">
        <f>(INDEX(Models!$BJ79:$BT79,,T79)*(1-R79)+INDEX(Models!$BJ79:$BT79,,T79+1)*R79-ERP_i)*Q79*Ramure*Pc/MaxiM</f>
        <v>2.7884362701164974E-3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0.90528604347904484</v>
      </c>
      <c r="S79" s="817">
        <f t="shared" ref="S79:S142" si="29">INDEX(Echel_vg,T79)</f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-1.0947139565209552</v>
      </c>
      <c r="V79" s="383">
        <f t="shared" ref="V79:V142" si="32">MaxiM*(1-Ppv)*(1-Pvg)*(1-Psa)</f>
        <v>27.53953262823363</v>
      </c>
      <c r="W79" s="402"/>
      <c r="X79" s="157">
        <f t="shared" ref="X79:X142" si="33">t</f>
        <v>43895</v>
      </c>
      <c r="Y79" s="385">
        <f t="shared" ref="Y79:Y142" si="34">Wh_pvt_s*(1-Ppv)</f>
        <v>7.4420000000000002</v>
      </c>
      <c r="Z79" s="385">
        <f t="shared" ref="Z79:Z142" si="35">Wh_sa_s*(1-Psa_s)</f>
        <v>7.5546627471865433</v>
      </c>
      <c r="AA79" s="386">
        <f t="shared" ref="AA79:AA142" si="36">Wh_hp*(1-Pvg_s*MEDIAN((-Sdif+Wh/Env_an)/Csdif,0,1))</f>
        <v>8.2594779727211289</v>
      </c>
      <c r="AB79" s="197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8.5334112865535036E-2</v>
      </c>
      <c r="AD79" s="231">
        <f>(INDEX(Models!$BJ79:$BT79,,AH79)*(1-AF79)+INDEX(Models!$BJ79:$BT79,,AH79+1)*AF79-ERP_i)*AE79*Ramure*Pc/MaxiM</f>
        <v>2.7884362701164974E-3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0.90528604347904484</v>
      </c>
      <c r="AG79" s="817">
        <f t="shared" si="22"/>
        <v>-2</v>
      </c>
      <c r="AH79" s="176">
        <f t="shared" ref="AH79:AH142" si="40">MIN(MATCH(Hp_vg_s,Echel_vg),10)</f>
        <v>4</v>
      </c>
      <c r="AI79" s="225">
        <f t="shared" ref="AI79:AI142" si="41">IF(OR(t&lt;Ttai,Notai),Hdd_s+PousH*Croivg,Hdtai_s+PousH*(Croivg-Croi_tai))</f>
        <v>-1.0947139565209552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43896</v>
      </c>
      <c r="B80" s="617">
        <v>15.268000000000001</v>
      </c>
      <c r="C80" s="390"/>
      <c r="D80" s="393">
        <f t="shared" si="24"/>
        <v>15.499478261481038</v>
      </c>
      <c r="E80" s="385">
        <f t="shared" ref="E80:E143" si="45">Wh_pvt/(1-Psa)</f>
        <v>16.946919352248514</v>
      </c>
      <c r="F80" s="385">
        <f t="shared" si="25"/>
        <v>16.961651017955198</v>
      </c>
      <c r="G80" s="110">
        <f t="shared" ref="G80:G143" si="46">+Wh_hp/MaxiM</f>
        <v>0.54800186057518818</v>
      </c>
      <c r="H80" s="414" t="b">
        <f>Wh_hp&gt;='2019'!Maxi_hp</f>
        <v>0</v>
      </c>
      <c r="I80" s="380">
        <f>IF(H80,Wh_hp,'2019'!Maxi_hp)</f>
        <v>29.519413340694289</v>
      </c>
      <c r="J80" s="85">
        <f>IF(H80,An,'2019'!An_max)</f>
        <v>2019</v>
      </c>
      <c r="K80" s="197">
        <f t="shared" si="26"/>
        <v>43896</v>
      </c>
      <c r="L80" s="147">
        <f>IF(t&lt;Tvie,1-EXP((T0-t)*PertePVj)+'2019'!Pspv,1-EXP((T0-t)*PertePVj)+Pspv)</f>
        <v>1.4934584092182068E-2</v>
      </c>
      <c r="M80" s="850"/>
      <c r="N80" s="850"/>
      <c r="O80" s="48">
        <f>IF(t&lt;Tnet,'2019'!Resal+('2019'!Salim-'2019'!Resal)*(1-EXP(('2019'!Tnet-t)/('2019'!Tau_j))),Resal+(Salim-Resal)*(1-EXP((Tnet-t)/(Tau_j))))*Salcycl</f>
        <v>8.5410277861234396E-2</v>
      </c>
      <c r="P80" s="169">
        <f>(INDEX(Models!$BJ80:$BT80,,T80)*(1-R80)+INDEX(Models!$BJ80:$BT80,,T80+1)*R80-ERP_i)*Q80*Ramure*Pc/MaxiM</f>
        <v>2.4429516790215496E-3</v>
      </c>
      <c r="Q80" s="305">
        <f t="shared" si="27"/>
        <v>0.7</v>
      </c>
      <c r="R80" s="177">
        <f t="shared" si="28"/>
        <v>0.905520601950069</v>
      </c>
      <c r="S80" s="817">
        <f t="shared" si="29"/>
        <v>-2</v>
      </c>
      <c r="T80" s="176">
        <f t="shared" si="30"/>
        <v>4</v>
      </c>
      <c r="U80" s="251">
        <f t="shared" si="31"/>
        <v>-1.094479398049931</v>
      </c>
      <c r="V80" s="383">
        <f t="shared" si="32"/>
        <v>27.817315774016112</v>
      </c>
      <c r="W80" s="402"/>
      <c r="X80" s="157">
        <f t="shared" si="33"/>
        <v>43896</v>
      </c>
      <c r="Y80" s="385">
        <f t="shared" si="34"/>
        <v>15.268000000000001</v>
      </c>
      <c r="Z80" s="385">
        <f t="shared" si="35"/>
        <v>15.499478261481038</v>
      </c>
      <c r="AA80" s="386">
        <f t="shared" si="36"/>
        <v>16.946919352248514</v>
      </c>
      <c r="AB80" s="197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8.5410277861234396E-2</v>
      </c>
      <c r="AD80" s="231">
        <f>(INDEX(Models!$BJ80:$BT80,,AH80)*(1-AF80)+INDEX(Models!$BJ80:$BT80,,AH80+1)*AF80-ERP_i)*AE80*Ramure*Pc/MaxiM</f>
        <v>2.4429516790215496E-3</v>
      </c>
      <c r="AE80" s="305">
        <f t="shared" si="38"/>
        <v>0.7</v>
      </c>
      <c r="AF80" s="177">
        <f t="shared" si="39"/>
        <v>0.905520601950069</v>
      </c>
      <c r="AG80" s="817">
        <f t="shared" ref="AG80:AG143" si="47">INDEX(Echel_vg,AH80)</f>
        <v>-2</v>
      </c>
      <c r="AH80" s="176">
        <f t="shared" si="40"/>
        <v>4</v>
      </c>
      <c r="AI80" s="225">
        <f t="shared" si="41"/>
        <v>-1.094479398049931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43897</v>
      </c>
      <c r="B81" s="617">
        <v>18.957999999999998</v>
      </c>
      <c r="C81" s="390"/>
      <c r="D81" s="393">
        <f t="shared" si="24"/>
        <v>19.24584391228219</v>
      </c>
      <c r="E81" s="385">
        <f t="shared" si="45"/>
        <v>21.044896862497733</v>
      </c>
      <c r="F81" s="385">
        <f t="shared" si="25"/>
        <v>21.068846265603575</v>
      </c>
      <c r="G81" s="110">
        <f t="shared" si="46"/>
        <v>0.67412439936663515</v>
      </c>
      <c r="H81" s="414" t="b">
        <f>Wh_hp&gt;='2019'!Maxi_hp</f>
        <v>1</v>
      </c>
      <c r="I81" s="380">
        <f>IF(H81,Wh_hp,'2019'!Maxi_hp)</f>
        <v>21.068846265603575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1.4956159552894199E-2</v>
      </c>
      <c r="M81" s="850"/>
      <c r="N81" s="850"/>
      <c r="O81" s="48">
        <f>IF(t&lt;Tnet,'2019'!Resal+('2019'!Salim-'2019'!Resal)*(1-EXP(('2019'!Tnet-t)/('2019'!Tau_j))),Resal+(Salim-Resal)*(1-EXP((Tnet-t)/(Tau_j))))*Salcycl</f>
        <v>8.5486422764156106E-2</v>
      </c>
      <c r="P81" s="169">
        <f>(INDEX(Models!$BJ81:$BT81,,T81)*(1-R81)+INDEX(Models!$BJ81:$BT81,,T81+1)*R81-ERP_i)*Q81*Ramure*Pc/MaxiM</f>
        <v>2.1230642473890589E-3</v>
      </c>
      <c r="Q81" s="305">
        <f t="shared" si="27"/>
        <v>0.7</v>
      </c>
      <c r="R81" s="177">
        <f t="shared" si="28"/>
        <v>0.90576460389730507</v>
      </c>
      <c r="S81" s="817">
        <f t="shared" si="29"/>
        <v>-2</v>
      </c>
      <c r="T81" s="176">
        <f t="shared" si="30"/>
        <v>4</v>
      </c>
      <c r="U81" s="251">
        <f t="shared" si="31"/>
        <v>-1.0942353961026949</v>
      </c>
      <c r="V81" s="383">
        <f t="shared" si="32"/>
        <v>28.094636012975368</v>
      </c>
      <c r="W81" s="402"/>
      <c r="X81" s="157">
        <f t="shared" si="33"/>
        <v>43897</v>
      </c>
      <c r="Y81" s="385">
        <f t="shared" si="34"/>
        <v>18.957999999999998</v>
      </c>
      <c r="Z81" s="385">
        <f t="shared" si="35"/>
        <v>19.24584391228219</v>
      </c>
      <c r="AA81" s="386">
        <f t="shared" si="36"/>
        <v>21.044896862497733</v>
      </c>
      <c r="AB81" s="197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8.5486422764156106E-2</v>
      </c>
      <c r="AD81" s="231">
        <f>(INDEX(Models!$BJ81:$BT81,,AH81)*(1-AF81)+INDEX(Models!$BJ81:$BT81,,AH81+1)*AF81-ERP_i)*AE81*Ramure*Pc/MaxiM</f>
        <v>2.1230642473890589E-3</v>
      </c>
      <c r="AE81" s="305">
        <f t="shared" si="38"/>
        <v>0.7</v>
      </c>
      <c r="AF81" s="177">
        <f t="shared" si="39"/>
        <v>0.90576460389730507</v>
      </c>
      <c r="AG81" s="817">
        <f t="shared" si="47"/>
        <v>-2</v>
      </c>
      <c r="AH81" s="176">
        <f t="shared" si="40"/>
        <v>4</v>
      </c>
      <c r="AI81" s="225">
        <f t="shared" si="41"/>
        <v>-1.0942353961026949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43898</v>
      </c>
      <c r="B82" s="617">
        <v>21.324000000000002</v>
      </c>
      <c r="C82" s="390"/>
      <c r="D82" s="393">
        <f t="shared" si="24"/>
        <v>21.64824161620804</v>
      </c>
      <c r="E82" s="385">
        <f t="shared" si="45"/>
        <v>23.673835795424015</v>
      </c>
      <c r="F82" s="385">
        <f t="shared" si="25"/>
        <v>23.701789622355072</v>
      </c>
      <c r="G82" s="110">
        <f t="shared" si="46"/>
        <v>0.75112159802293921</v>
      </c>
      <c r="H82" s="414" t="b">
        <f>Wh_hp&gt;='2019'!Maxi_hp</f>
        <v>1</v>
      </c>
      <c r="I82" s="380">
        <f>IF(H82,Wh_hp,'2019'!Maxi_hp)</f>
        <v>23.701789622355072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1.4977734541048338E-2</v>
      </c>
      <c r="M82" s="850"/>
      <c r="N82" s="850"/>
      <c r="O82" s="48">
        <f>IF(t&lt;Tnet,'2019'!Resal+('2019'!Salim-'2019'!Resal)*(1-EXP(('2019'!Tnet-t)/('2019'!Tau_j))),Resal+(Salim-Resal)*(1-EXP((Tnet-t)/(Tau_j))))*Salcycl</f>
        <v>8.5562567752856811E-2</v>
      </c>
      <c r="P82" s="169">
        <f>(INDEX(Models!$BJ82:$BT82,,T82)*(1-R82)+INDEX(Models!$BJ82:$BT82,,T82+1)*R82-ERP_i)*Q82*Ramure*Pc/MaxiM</f>
        <v>1.8280786801478648E-3</v>
      </c>
      <c r="Q82" s="305">
        <f t="shared" si="27"/>
        <v>0.7</v>
      </c>
      <c r="R82" s="177">
        <f t="shared" si="28"/>
        <v>0.90601841257858906</v>
      </c>
      <c r="S82" s="817">
        <f t="shared" si="29"/>
        <v>-2</v>
      </c>
      <c r="T82" s="176">
        <f t="shared" si="30"/>
        <v>4</v>
      </c>
      <c r="U82" s="251">
        <f t="shared" si="31"/>
        <v>-1.0939815874214109</v>
      </c>
      <c r="V82" s="383">
        <f t="shared" si="32"/>
        <v>28.371106943678491</v>
      </c>
      <c r="W82" s="402"/>
      <c r="X82" s="157">
        <f t="shared" si="33"/>
        <v>43898</v>
      </c>
      <c r="Y82" s="385">
        <f t="shared" si="34"/>
        <v>21.324000000000002</v>
      </c>
      <c r="Z82" s="385">
        <f t="shared" si="35"/>
        <v>21.64824161620804</v>
      </c>
      <c r="AA82" s="386">
        <f t="shared" si="36"/>
        <v>23.673835795424015</v>
      </c>
      <c r="AB82" s="197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8.5562567752856811E-2</v>
      </c>
      <c r="AD82" s="231">
        <f>(INDEX(Models!$BJ82:$BT82,,AH82)*(1-AF82)+INDEX(Models!$BJ82:$BT82,,AH82+1)*AF82-ERP_i)*AE82*Ramure*Pc/MaxiM</f>
        <v>1.8280786801478648E-3</v>
      </c>
      <c r="AE82" s="305">
        <f t="shared" si="38"/>
        <v>0.7</v>
      </c>
      <c r="AF82" s="177">
        <f t="shared" si="39"/>
        <v>0.90601841257858906</v>
      </c>
      <c r="AG82" s="817">
        <f t="shared" si="47"/>
        <v>-2</v>
      </c>
      <c r="AH82" s="176">
        <f t="shared" si="40"/>
        <v>4</v>
      </c>
      <c r="AI82" s="225">
        <f t="shared" si="41"/>
        <v>-1.0939815874214109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4"/>
        <v>43899</v>
      </c>
      <c r="B83" s="617">
        <v>18.260999999999999</v>
      </c>
      <c r="C83" s="390"/>
      <c r="D83" s="393">
        <f t="shared" si="24"/>
        <v>18.539073289899171</v>
      </c>
      <c r="E83" s="385">
        <f t="shared" si="45"/>
        <v>20.275435969102563</v>
      </c>
      <c r="F83" s="385">
        <f t="shared" si="25"/>
        <v>20.290669503739892</v>
      </c>
      <c r="G83" s="110">
        <f t="shared" si="46"/>
        <v>0.63694905439588823</v>
      </c>
      <c r="H83" s="414" t="b">
        <f>Wh_hp&gt;='2019'!Maxi_hp</f>
        <v>1</v>
      </c>
      <c r="I83" s="380">
        <f>IF(H83,Wh_hp,'2019'!Maxi_hp)</f>
        <v>20.290669503739892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1.4999309056654919E-2</v>
      </c>
      <c r="M83" s="850"/>
      <c r="N83" s="850"/>
      <c r="O83" s="48">
        <f>IF(t&lt;Tnet,'2019'!Resal+('2019'!Salim-'2019'!Resal)*(1-EXP(('2019'!Tnet-t)/('2019'!Tau_j))),Resal+(Salim-Resal)*(1-EXP((Tnet-t)/(Tau_j))))*Salcycl</f>
        <v>8.5638734567750327E-2</v>
      </c>
      <c r="P83" s="169">
        <f>(INDEX(Models!$BJ83:$BT83,,T83)*(1-R83)+INDEX(Models!$BJ83:$BT83,,T83+1)*R83-ERP_i)*Q83*Ramure*Pc/MaxiM</f>
        <v>1.5573112910101836E-3</v>
      </c>
      <c r="Q83" s="305">
        <f t="shared" si="27"/>
        <v>0.7</v>
      </c>
      <c r="R83" s="177">
        <f t="shared" si="28"/>
        <v>0.90628240380782255</v>
      </c>
      <c r="S83" s="817">
        <f t="shared" si="29"/>
        <v>-2</v>
      </c>
      <c r="T83" s="176">
        <f t="shared" si="30"/>
        <v>4</v>
      </c>
      <c r="U83" s="251">
        <f t="shared" si="31"/>
        <v>-1.0937175961921775</v>
      </c>
      <c r="V83" s="383">
        <f t="shared" si="32"/>
        <v>28.646342239703721</v>
      </c>
      <c r="W83" s="402"/>
      <c r="X83" s="157">
        <f t="shared" si="33"/>
        <v>43899</v>
      </c>
      <c r="Y83" s="385">
        <f t="shared" si="34"/>
        <v>18.260999999999999</v>
      </c>
      <c r="Z83" s="385">
        <f t="shared" si="35"/>
        <v>18.539073289899171</v>
      </c>
      <c r="AA83" s="386">
        <f t="shared" si="36"/>
        <v>20.275435969102563</v>
      </c>
      <c r="AB83" s="197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8.5638734567750327E-2</v>
      </c>
      <c r="AD83" s="231">
        <f>(INDEX(Models!$BJ83:$BT83,,AH83)*(1-AF83)+INDEX(Models!$BJ83:$BT83,,AH83+1)*AF83-ERP_i)*AE83*Ramure*Pc/MaxiM</f>
        <v>1.5573112910101836E-3</v>
      </c>
      <c r="AE83" s="305">
        <f t="shared" si="38"/>
        <v>0.7</v>
      </c>
      <c r="AF83" s="177">
        <f t="shared" si="39"/>
        <v>0.90628240380782255</v>
      </c>
      <c r="AG83" s="817">
        <f t="shared" si="47"/>
        <v>-2</v>
      </c>
      <c r="AH83" s="176">
        <f t="shared" si="40"/>
        <v>4</v>
      </c>
      <c r="AI83" s="225">
        <f t="shared" si="41"/>
        <v>-1.0937175961921775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4"/>
        <v>43900</v>
      </c>
      <c r="B84" s="617">
        <v>21.311</v>
      </c>
      <c r="C84" s="390"/>
      <c r="D84" s="393">
        <f t="shared" si="24"/>
        <v>21.635991702103905</v>
      </c>
      <c r="E84" s="385">
        <f t="shared" si="45"/>
        <v>23.66438302594841</v>
      </c>
      <c r="F84" s="385">
        <f t="shared" si="25"/>
        <v>23.683748695587767</v>
      </c>
      <c r="G84" s="110">
        <f t="shared" si="46"/>
        <v>0.7365328568236813</v>
      </c>
      <c r="H84" s="414" t="b">
        <f>Wh_hp&gt;='2019'!Maxi_hp</f>
        <v>1</v>
      </c>
      <c r="I84" s="380">
        <f>IF(H84,Wh_hp,'2019'!Maxi_hp)</f>
        <v>23.683748695587767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1.5020883099724158E-2</v>
      </c>
      <c r="M84" s="850"/>
      <c r="N84" s="850"/>
      <c r="O84" s="48">
        <f>IF(t&lt;Tnet,'2019'!Resal+('2019'!Salim-'2019'!Resal)*(1-EXP(('2019'!Tnet-t)/('2019'!Tau_j))),Resal+(Salim-Resal)*(1-EXP((Tnet-t)/(Tau_j))))*Salcycl</f>
        <v>8.5714946450128726E-2</v>
      </c>
      <c r="P84" s="169">
        <f>(INDEX(Models!$BJ84:$BT84,,T84)*(1-R84)+INDEX(Models!$BJ84:$BT84,,T84+1)*R84-ERP_i)*Q84*Ramure*Pc/MaxiM</f>
        <v>1.3100927211226376E-3</v>
      </c>
      <c r="Q84" s="305">
        <f t="shared" si="27"/>
        <v>0.7</v>
      </c>
      <c r="R84" s="177">
        <f t="shared" si="28"/>
        <v>0.90655696626903248</v>
      </c>
      <c r="S84" s="817">
        <f t="shared" si="29"/>
        <v>-2</v>
      </c>
      <c r="T84" s="176">
        <f t="shared" si="30"/>
        <v>4</v>
      </c>
      <c r="U84" s="251">
        <f t="shared" si="31"/>
        <v>-1.0934430337309675</v>
      </c>
      <c r="V84" s="383">
        <f t="shared" si="32"/>
        <v>28.919955648088568</v>
      </c>
      <c r="W84" s="402"/>
      <c r="X84" s="157">
        <f t="shared" si="33"/>
        <v>43900</v>
      </c>
      <c r="Y84" s="385">
        <f t="shared" si="34"/>
        <v>21.311</v>
      </c>
      <c r="Z84" s="385">
        <f t="shared" si="35"/>
        <v>21.635991702103905</v>
      </c>
      <c r="AA84" s="386">
        <f t="shared" si="36"/>
        <v>23.66438302594841</v>
      </c>
      <c r="AB84" s="197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8.5714946450128726E-2</v>
      </c>
      <c r="AD84" s="231">
        <f>(INDEX(Models!$BJ84:$BT84,,AH84)*(1-AF84)+INDEX(Models!$BJ84:$BT84,,AH84+1)*AF84-ERP_i)*AE84*Ramure*Pc/MaxiM</f>
        <v>1.3100927211226376E-3</v>
      </c>
      <c r="AE84" s="305">
        <f t="shared" si="38"/>
        <v>0.7</v>
      </c>
      <c r="AF84" s="177">
        <f t="shared" si="39"/>
        <v>0.90655696626903248</v>
      </c>
      <c r="AG84" s="817">
        <f t="shared" si="47"/>
        <v>-2</v>
      </c>
      <c r="AH84" s="176">
        <f t="shared" si="40"/>
        <v>4</v>
      </c>
      <c r="AI84" s="225">
        <f t="shared" si="41"/>
        <v>-1.0934430337309675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4"/>
        <v>43901</v>
      </c>
      <c r="B85" s="617">
        <v>26.459</v>
      </c>
      <c r="C85" s="390"/>
      <c r="D85" s="393">
        <f t="shared" si="24"/>
        <v>26.86308681951212</v>
      </c>
      <c r="E85" s="385">
        <f t="shared" si="45"/>
        <v>29.38397403789353</v>
      </c>
      <c r="F85" s="385">
        <f t="shared" si="25"/>
        <v>29.411637891813143</v>
      </c>
      <c r="G85" s="110">
        <f t="shared" si="46"/>
        <v>0.90626036330033088</v>
      </c>
      <c r="H85" s="414" t="b">
        <f>Wh_hp&gt;='2019'!Maxi_hp</f>
        <v>1</v>
      </c>
      <c r="I85" s="380">
        <f>IF(H85,Wh_hp,'2019'!Maxi_hp)</f>
        <v>29.411637891813143</v>
      </c>
      <c r="J85" s="85">
        <f>IF(H85,An,'2019'!An_max)</f>
        <v>2020</v>
      </c>
      <c r="K85" s="197">
        <f t="shared" si="26"/>
        <v>43901</v>
      </c>
      <c r="L85" s="147">
        <f>IF(t&lt;Tvie,1-EXP((T0-t)*PertePVj)+'2019'!Pspv,1-EXP((T0-t)*PertePVj)+Pspv)</f>
        <v>1.5042456670266602E-2</v>
      </c>
      <c r="M85" s="850"/>
      <c r="N85" s="850"/>
      <c r="O85" s="48">
        <f>IF(t&lt;Tnet,'2019'!Resal+('2019'!Salim-'2019'!Resal)*(1-EXP(('2019'!Tnet-t)/('2019'!Tau_j))),Resal+(Salim-Resal)*(1-EXP((Tnet-t)/(Tau_j))))*Salcycl</f>
        <v>8.5791228073182998E-2</v>
      </c>
      <c r="P85" s="169">
        <f>(INDEX(Models!$BJ85:$BT85,,T85)*(1-R85)+INDEX(Models!$BJ85:$BT85,,T85+1)*R85-ERP_i)*Q85*Ramure*Pc/MaxiM</f>
        <v>1.0857703651219399E-3</v>
      </c>
      <c r="Q85" s="305">
        <f t="shared" si="27"/>
        <v>0.7</v>
      </c>
      <c r="R85" s="177">
        <f t="shared" si="28"/>
        <v>0.90684250182751924</v>
      </c>
      <c r="S85" s="817">
        <f t="shared" si="29"/>
        <v>-2</v>
      </c>
      <c r="T85" s="176">
        <f t="shared" si="30"/>
        <v>4</v>
      </c>
      <c r="U85" s="251">
        <f t="shared" si="31"/>
        <v>-1.0931574981724808</v>
      </c>
      <c r="V85" s="383">
        <f t="shared" si="32"/>
        <v>29.191560982552783</v>
      </c>
      <c r="W85" s="402"/>
      <c r="X85" s="157">
        <f t="shared" si="33"/>
        <v>43901</v>
      </c>
      <c r="Y85" s="385">
        <f t="shared" si="34"/>
        <v>26.459</v>
      </c>
      <c r="Z85" s="385">
        <f t="shared" si="35"/>
        <v>26.86308681951212</v>
      </c>
      <c r="AA85" s="386">
        <f t="shared" si="36"/>
        <v>29.38397403789353</v>
      </c>
      <c r="AB85" s="197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8.5791228073182998E-2</v>
      </c>
      <c r="AD85" s="231">
        <f>(INDEX(Models!$BJ85:$BT85,,AH85)*(1-AF85)+INDEX(Models!$BJ85:$BT85,,AH85+1)*AF85-ERP_i)*AE85*Ramure*Pc/MaxiM</f>
        <v>1.0857703651219399E-3</v>
      </c>
      <c r="AE85" s="305">
        <f t="shared" si="38"/>
        <v>0.7</v>
      </c>
      <c r="AF85" s="177">
        <f t="shared" si="39"/>
        <v>0.90684250182751924</v>
      </c>
      <c r="AG85" s="817">
        <f t="shared" si="47"/>
        <v>-2</v>
      </c>
      <c r="AH85" s="176">
        <f t="shared" si="40"/>
        <v>4</v>
      </c>
      <c r="AI85" s="225">
        <f t="shared" si="41"/>
        <v>-1.0931574981724808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4"/>
        <v>43902</v>
      </c>
      <c r="B86" s="617">
        <v>10.009</v>
      </c>
      <c r="C86" s="390"/>
      <c r="D86" s="393">
        <f t="shared" si="24"/>
        <v>10.162081904314418</v>
      </c>
      <c r="E86" s="385">
        <f t="shared" si="45"/>
        <v>11.116641271084745</v>
      </c>
      <c r="F86" s="385">
        <f t="shared" si="25"/>
        <v>11.11720256184903</v>
      </c>
      <c r="G86" s="110">
        <f t="shared" si="46"/>
        <v>0.33945681456317839</v>
      </c>
      <c r="H86" s="414" t="b">
        <f>Wh_hp&gt;='2019'!Maxi_hp</f>
        <v>0</v>
      </c>
      <c r="I86" s="380">
        <f>IF(H86,Wh_hp,'2019'!Maxi_hp)</f>
        <v>16.91817916030363</v>
      </c>
      <c r="J86" s="85">
        <f>IF(H86,An,'2019'!An_max)</f>
        <v>2019</v>
      </c>
      <c r="K86" s="197">
        <f t="shared" si="26"/>
        <v>43902</v>
      </c>
      <c r="L86" s="147">
        <f>IF(t&lt;Tvie,1-EXP((T0-t)*PertePVj)+'2019'!Pspv,1-EXP((T0-t)*PertePVj)+Pspv)</f>
        <v>1.5064029768292353E-2</v>
      </c>
      <c r="M86" s="850"/>
      <c r="N86" s="850"/>
      <c r="O86" s="48">
        <f>IF(t&lt;Tnet,'2019'!Resal+('2019'!Salim-'2019'!Resal)*(1-EXP(('2019'!Tnet-t)/('2019'!Tau_j))),Resal+(Salim-Resal)*(1-EXP((Tnet-t)/(Tau_j))))*Salcycl</f>
        <v>8.5867605465799454E-2</v>
      </c>
      <c r="P86" s="169">
        <f>(INDEX(Models!$BJ86:$BT86,,T86)*(1-R86)+INDEX(Models!$BJ86:$BT86,,T86+1)*R86-ERP_i)*Q86*Ramure*Pc/MaxiM</f>
        <v>8.8928882492860396E-4</v>
      </c>
      <c r="Q86" s="305">
        <f t="shared" si="27"/>
        <v>0.7</v>
      </c>
      <c r="R86" s="177">
        <f t="shared" si="28"/>
        <v>0.90713942583684837</v>
      </c>
      <c r="S86" s="817">
        <f t="shared" si="29"/>
        <v>-2</v>
      </c>
      <c r="T86" s="176">
        <f t="shared" si="30"/>
        <v>4</v>
      </c>
      <c r="U86" s="251">
        <f t="shared" si="31"/>
        <v>-1.0928605741631516</v>
      </c>
      <c r="V86" s="383">
        <f t="shared" si="32"/>
        <v>29.46060763697168</v>
      </c>
      <c r="W86" s="402"/>
      <c r="X86" s="157">
        <f t="shared" si="33"/>
        <v>43902</v>
      </c>
      <c r="Y86" s="385">
        <f t="shared" si="34"/>
        <v>10.009</v>
      </c>
      <c r="Z86" s="385">
        <f t="shared" si="35"/>
        <v>10.162081904314418</v>
      </c>
      <c r="AA86" s="386">
        <f t="shared" si="36"/>
        <v>11.116641271084745</v>
      </c>
      <c r="AB86" s="197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8.5867605465799454E-2</v>
      </c>
      <c r="AD86" s="231">
        <f>(INDEX(Models!$BJ86:$BT86,,AH86)*(1-AF86)+INDEX(Models!$BJ86:$BT86,,AH86+1)*AF86-ERP_i)*AE86*Ramure*Pc/MaxiM</f>
        <v>8.8928882492860396E-4</v>
      </c>
      <c r="AE86" s="305">
        <f t="shared" si="38"/>
        <v>0.7</v>
      </c>
      <c r="AF86" s="177">
        <f t="shared" si="39"/>
        <v>0.90713942583684837</v>
      </c>
      <c r="AG86" s="817">
        <f t="shared" si="47"/>
        <v>-2</v>
      </c>
      <c r="AH86" s="176">
        <f t="shared" si="40"/>
        <v>4</v>
      </c>
      <c r="AI86" s="225">
        <f t="shared" si="41"/>
        <v>-1.0928605741631516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4"/>
        <v>43903</v>
      </c>
      <c r="B87" s="617">
        <v>24.332000000000001</v>
      </c>
      <c r="C87" s="390"/>
      <c r="D87" s="393">
        <f t="shared" si="24"/>
        <v>24.704685056019457</v>
      </c>
      <c r="E87" s="385">
        <f t="shared" si="45"/>
        <v>27.027543081655402</v>
      </c>
      <c r="F87" s="385">
        <f t="shared" si="25"/>
        <v>27.041870864735497</v>
      </c>
      <c r="G87" s="110">
        <f t="shared" si="46"/>
        <v>0.81836750814187931</v>
      </c>
      <c r="H87" s="414" t="b">
        <f>Wh_hp&gt;='2019'!Maxi_hp</f>
        <v>1</v>
      </c>
      <c r="I87" s="380">
        <f>IF(H87,Wh_hp,'2019'!Maxi_hp)</f>
        <v>27.041870864735497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1.5085602393811959E-2</v>
      </c>
      <c r="M87" s="850"/>
      <c r="N87" s="850"/>
      <c r="O87" s="48">
        <f>IF(t&lt;Tnet,'2019'!Resal+('2019'!Salim-'2019'!Resal)*(1-EXP(('2019'!Tnet-t)/('2019'!Tau_j))),Resal+(Salim-Resal)*(1-EXP((Tnet-t)/(Tau_j))))*Salcycl</f>
        <v>8.5944105929945086E-2</v>
      </c>
      <c r="P87" s="169">
        <f>(INDEX(Models!$BJ87:$BT87,,T87)*(1-R87)+INDEX(Models!$BJ87:$BT87,,T87+1)*R87-ERP_i)*Q87*Ramure*Pc/MaxiM</f>
        <v>7.152787341350703E-4</v>
      </c>
      <c r="Q87" s="305">
        <f t="shared" si="27"/>
        <v>0.7</v>
      </c>
      <c r="R87" s="177">
        <f t="shared" si="28"/>
        <v>0.90744816744032941</v>
      </c>
      <c r="S87" s="817">
        <f t="shared" si="29"/>
        <v>-2</v>
      </c>
      <c r="T87" s="176">
        <f t="shared" si="30"/>
        <v>4</v>
      </c>
      <c r="U87" s="251">
        <f t="shared" si="31"/>
        <v>-1.0925518325596706</v>
      </c>
      <c r="V87" s="383">
        <f t="shared" si="32"/>
        <v>29.726846676002602</v>
      </c>
      <c r="W87" s="402"/>
      <c r="X87" s="157">
        <f t="shared" si="33"/>
        <v>43903</v>
      </c>
      <c r="Y87" s="385">
        <f t="shared" si="34"/>
        <v>24.332000000000001</v>
      </c>
      <c r="Z87" s="385">
        <f t="shared" si="35"/>
        <v>24.704685056019457</v>
      </c>
      <c r="AA87" s="386">
        <f t="shared" si="36"/>
        <v>27.027543081655402</v>
      </c>
      <c r="AB87" s="197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8.5944105929945086E-2</v>
      </c>
      <c r="AD87" s="231">
        <f>(INDEX(Models!$BJ87:$BT87,,AH87)*(1-AF87)+INDEX(Models!$BJ87:$BT87,,AH87+1)*AF87-ERP_i)*AE87*Ramure*Pc/MaxiM</f>
        <v>7.152787341350703E-4</v>
      </c>
      <c r="AE87" s="305">
        <f t="shared" si="38"/>
        <v>0.7</v>
      </c>
      <c r="AF87" s="177">
        <f t="shared" si="39"/>
        <v>0.90744816744032941</v>
      </c>
      <c r="AG87" s="817">
        <f t="shared" si="47"/>
        <v>-2</v>
      </c>
      <c r="AH87" s="176">
        <f t="shared" si="40"/>
        <v>4</v>
      </c>
      <c r="AI87" s="225">
        <f t="shared" si="41"/>
        <v>-1.0925518325596706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43904</v>
      </c>
      <c r="B88" s="617">
        <v>26.195</v>
      </c>
      <c r="C88" s="390"/>
      <c r="D88" s="393">
        <f t="shared" si="24"/>
        <v>26.596802538334341</v>
      </c>
      <c r="E88" s="385">
        <f t="shared" si="45"/>
        <v>29.100007215428178</v>
      </c>
      <c r="F88" s="385">
        <f t="shared" si="25"/>
        <v>29.113438237494268</v>
      </c>
      <c r="G88" s="110">
        <f t="shared" si="46"/>
        <v>0.87337200619132238</v>
      </c>
      <c r="H88" s="414" t="b">
        <f>Wh_hp&gt;='2019'!Maxi_hp</f>
        <v>1</v>
      </c>
      <c r="I88" s="380">
        <f>IF(H88,Wh_hp,'2019'!Maxi_hp)</f>
        <v>29.113438237494268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1.5107174546835744E-2</v>
      </c>
      <c r="M88" s="850"/>
      <c r="N88" s="850"/>
      <c r="O88" s="48">
        <f>IF(t&lt;Tnet,'2019'!Resal+('2019'!Salim-'2019'!Resal)*(1-EXP(('2019'!Tnet-t)/('2019'!Tau_j))),Resal+(Salim-Resal)*(1-EXP((Tnet-t)/(Tau_j))))*Salcycl</f>
        <v>8.6020757952482374E-2</v>
      </c>
      <c r="P88" s="169">
        <f>(INDEX(Models!$BJ88:$BT88,,T88)*(1-R88)+INDEX(Models!$BJ88:$BT88,,T88+1)*R88-ERP_i)*Q88*Ramure*Pc/MaxiM</f>
        <v>5.6313140121413909E-4</v>
      </c>
      <c r="Q88" s="305">
        <f t="shared" si="27"/>
        <v>0.7</v>
      </c>
      <c r="R88" s="177">
        <f t="shared" si="28"/>
        <v>0.90776916986549461</v>
      </c>
      <c r="S88" s="817">
        <f t="shared" si="29"/>
        <v>-2</v>
      </c>
      <c r="T88" s="176">
        <f t="shared" si="30"/>
        <v>4</v>
      </c>
      <c r="U88" s="251">
        <f t="shared" si="31"/>
        <v>-1.0922308301345054</v>
      </c>
      <c r="V88" s="383">
        <f t="shared" si="32"/>
        <v>29.989892054565992</v>
      </c>
      <c r="W88" s="402"/>
      <c r="X88" s="157">
        <f t="shared" si="33"/>
        <v>43904</v>
      </c>
      <c r="Y88" s="385">
        <f t="shared" si="34"/>
        <v>26.195</v>
      </c>
      <c r="Z88" s="385">
        <f t="shared" si="35"/>
        <v>26.596802538334341</v>
      </c>
      <c r="AA88" s="386">
        <f t="shared" si="36"/>
        <v>29.100007215428178</v>
      </c>
      <c r="AB88" s="197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8.6020757952482374E-2</v>
      </c>
      <c r="AD88" s="231">
        <f>(INDEX(Models!$BJ88:$BT88,,AH88)*(1-AF88)+INDEX(Models!$BJ88:$BT88,,AH88+1)*AF88-ERP_i)*AE88*Ramure*Pc/MaxiM</f>
        <v>5.6313140121413909E-4</v>
      </c>
      <c r="AE88" s="305">
        <f t="shared" si="38"/>
        <v>0.7</v>
      </c>
      <c r="AF88" s="177">
        <f t="shared" si="39"/>
        <v>0.90776916986549461</v>
      </c>
      <c r="AG88" s="817">
        <f t="shared" si="47"/>
        <v>-2</v>
      </c>
      <c r="AH88" s="176">
        <f t="shared" si="40"/>
        <v>4</v>
      </c>
      <c r="AI88" s="225">
        <f t="shared" si="41"/>
        <v>-1.0922308301345054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4"/>
        <v>43905</v>
      </c>
      <c r="B89" s="617">
        <v>30.373000000000001</v>
      </c>
      <c r="C89" s="390"/>
      <c r="D89" s="393">
        <f t="shared" si="24"/>
        <v>30.839563936559077</v>
      </c>
      <c r="E89" s="385">
        <f t="shared" si="45"/>
        <v>33.744920285408234</v>
      </c>
      <c r="F89" s="385">
        <f t="shared" si="25"/>
        <v>33.759513299417414</v>
      </c>
      <c r="G89" s="110">
        <f t="shared" si="46"/>
        <v>1.0040874330349654</v>
      </c>
      <c r="H89" s="414" t="b">
        <f>Wh_hp&gt;='2019'!Maxi_hp</f>
        <v>1</v>
      </c>
      <c r="I89" s="380">
        <f>IF(H89,Wh_hp,'2019'!Maxi_hp)</f>
        <v>33.759513299417414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1.5128746227373924E-2</v>
      </c>
      <c r="M89" s="850"/>
      <c r="N89" s="850"/>
      <c r="O89" s="48">
        <f>IF(t&lt;Tnet,'2019'!Resal+('2019'!Salim-'2019'!Resal)*(1-EXP(('2019'!Tnet-t)/('2019'!Tau_j))),Resal+(Salim-Resal)*(1-EXP((Tnet-t)/(Tau_j))))*Salcycl</f>
        <v>8.609759111226814E-2</v>
      </c>
      <c r="P89" s="169">
        <f>(INDEX(Models!$BJ89:$BT89,,T89)*(1-R89)+INDEX(Models!$BJ89:$BT89,,T89+1)*R89-ERP_i)*Q89*Ramure*Pc/MaxiM</f>
        <v>4.3226375569316468E-4</v>
      </c>
      <c r="Q89" s="305">
        <f t="shared" si="27"/>
        <v>0.7</v>
      </c>
      <c r="R89" s="177">
        <f t="shared" si="28"/>
        <v>0.90810289070996641</v>
      </c>
      <c r="S89" s="817">
        <f t="shared" si="29"/>
        <v>-2</v>
      </c>
      <c r="T89" s="176">
        <f t="shared" si="30"/>
        <v>4</v>
      </c>
      <c r="U89" s="251">
        <f t="shared" si="31"/>
        <v>-1.0918971092900336</v>
      </c>
      <c r="V89" s="383">
        <f t="shared" si="32"/>
        <v>30.249357775740954</v>
      </c>
      <c r="W89" s="402"/>
      <c r="X89" s="157">
        <f t="shared" si="33"/>
        <v>43905</v>
      </c>
      <c r="Y89" s="385">
        <f t="shared" si="34"/>
        <v>30.372999999999998</v>
      </c>
      <c r="Z89" s="385">
        <f t="shared" si="35"/>
        <v>30.839563936559074</v>
      </c>
      <c r="AA89" s="386">
        <f t="shared" si="36"/>
        <v>33.744920285408234</v>
      </c>
      <c r="AB89" s="197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8.609759111226814E-2</v>
      </c>
      <c r="AD89" s="231">
        <f>(INDEX(Models!$BJ89:$BT89,,AH89)*(1-AF89)+INDEX(Models!$BJ89:$BT89,,AH89+1)*AF89-ERP_i)*AE89*Ramure*Pc/MaxiM</f>
        <v>4.3226375569316468E-4</v>
      </c>
      <c r="AE89" s="305">
        <f t="shared" si="38"/>
        <v>0.7</v>
      </c>
      <c r="AF89" s="177">
        <f t="shared" si="39"/>
        <v>0.90810289070996641</v>
      </c>
      <c r="AG89" s="817">
        <f t="shared" si="47"/>
        <v>-2</v>
      </c>
      <c r="AH89" s="176">
        <f t="shared" si="40"/>
        <v>4</v>
      </c>
      <c r="AI89" s="225">
        <f t="shared" si="41"/>
        <v>-1.0918971092900336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4"/>
        <v>43906</v>
      </c>
      <c r="B90" s="617">
        <v>6.07</v>
      </c>
      <c r="C90" s="390"/>
      <c r="D90" s="393">
        <f t="shared" si="24"/>
        <v>6.1633771198398843</v>
      </c>
      <c r="E90" s="385">
        <f t="shared" si="45"/>
        <v>6.7445896804062508</v>
      </c>
      <c r="F90" s="385">
        <f t="shared" si="25"/>
        <v>6.7445896804062508</v>
      </c>
      <c r="G90" s="110">
        <f t="shared" si="46"/>
        <v>0.19892060328786224</v>
      </c>
      <c r="H90" s="414" t="b">
        <f>Wh_hp&gt;='2019'!Maxi_hp</f>
        <v>0</v>
      </c>
      <c r="I90" s="380">
        <f>IF(H90,Wh_hp,'2019'!Maxi_hp)</f>
        <v>11.956450098244028</v>
      </c>
      <c r="J90" s="85">
        <f>IF(H90,An,'2019'!An_max)</f>
        <v>2019</v>
      </c>
      <c r="K90" s="197">
        <f t="shared" si="26"/>
        <v>43906</v>
      </c>
      <c r="L90" s="147">
        <f>IF(t&lt;Tvie,1-EXP((T0-t)*PertePVj)+'2019'!Pspv,1-EXP((T0-t)*PertePVj)+Pspv)</f>
        <v>1.5150317435437044E-2</v>
      </c>
      <c r="M90" s="850"/>
      <c r="N90" s="850"/>
      <c r="O90" s="48">
        <f>IF(t&lt;Tnet,'2019'!Resal+('2019'!Salim-'2019'!Resal)*(1-EXP(('2019'!Tnet-t)/('2019'!Tau_j))),Resal+(Salim-Resal)*(1-EXP((Tnet-t)/(Tau_j))))*Salcycl</f>
        <v>8.6174635983394393E-2</v>
      </c>
      <c r="P90" s="169">
        <f>(INDEX(Models!$BJ90:$BT90,,T90)*(1-R90)+INDEX(Models!$BJ90:$BT90,,T90+1)*R90-ERP_i)*Q90*Ramure*Pc/MaxiM</f>
        <v>3.2211972839742327E-4</v>
      </c>
      <c r="Q90" s="305">
        <f t="shared" si="27"/>
        <v>0.7</v>
      </c>
      <c r="R90" s="177">
        <f t="shared" si="28"/>
        <v>0.90844980221695359</v>
      </c>
      <c r="S90" s="817">
        <f t="shared" si="29"/>
        <v>-2</v>
      </c>
      <c r="T90" s="176">
        <f t="shared" si="30"/>
        <v>4</v>
      </c>
      <c r="U90" s="251">
        <f t="shared" si="31"/>
        <v>-1.0915501977830464</v>
      </c>
      <c r="V90" s="383">
        <f t="shared" si="32"/>
        <v>30.504857882757527</v>
      </c>
      <c r="W90" s="402"/>
      <c r="X90" s="157">
        <f t="shared" si="33"/>
        <v>43906</v>
      </c>
      <c r="Y90" s="385">
        <f t="shared" si="34"/>
        <v>6.07</v>
      </c>
      <c r="Z90" s="385">
        <f t="shared" si="35"/>
        <v>6.1633771198398843</v>
      </c>
      <c r="AA90" s="386">
        <f t="shared" si="36"/>
        <v>6.7445896804062508</v>
      </c>
      <c r="AB90" s="197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8.6174635983394393E-2</v>
      </c>
      <c r="AD90" s="231">
        <f>(INDEX(Models!$BJ90:$BT90,,AH90)*(1-AF90)+INDEX(Models!$BJ90:$BT90,,AH90+1)*AF90-ERP_i)*AE90*Ramure*Pc/MaxiM</f>
        <v>3.2211972839742327E-4</v>
      </c>
      <c r="AE90" s="305">
        <f t="shared" si="38"/>
        <v>0.7</v>
      </c>
      <c r="AF90" s="177">
        <f t="shared" si="39"/>
        <v>0.90844980221695359</v>
      </c>
      <c r="AG90" s="817">
        <f t="shared" si="47"/>
        <v>-2</v>
      </c>
      <c r="AH90" s="176">
        <f t="shared" si="40"/>
        <v>4</v>
      </c>
      <c r="AI90" s="225">
        <f t="shared" si="41"/>
        <v>-1.0915501977830464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4"/>
        <v>43907</v>
      </c>
      <c r="B91" s="617">
        <v>7.149</v>
      </c>
      <c r="C91" s="390"/>
      <c r="D91" s="393">
        <f t="shared" si="24"/>
        <v>7.2591347811175879</v>
      </c>
      <c r="E91" s="385">
        <f t="shared" si="45"/>
        <v>7.9443502777881614</v>
      </c>
      <c r="F91" s="385">
        <f t="shared" si="25"/>
        <v>7.9443502777881614</v>
      </c>
      <c r="G91" s="110">
        <f t="shared" si="46"/>
        <v>0.23238843496613093</v>
      </c>
      <c r="H91" s="414" t="b">
        <f>Wh_hp&gt;='2019'!Maxi_hp</f>
        <v>0</v>
      </c>
      <c r="I91" s="380">
        <f>IF(H91,Wh_hp,'2019'!Maxi_hp)</f>
        <v>22.615966613904025</v>
      </c>
      <c r="J91" s="85">
        <f>IF(H91,An,'2019'!An_max)</f>
        <v>2019</v>
      </c>
      <c r="K91" s="197">
        <f t="shared" si="26"/>
        <v>43907</v>
      </c>
      <c r="L91" s="147">
        <f>IF(t&lt;Tvie,1-EXP((T0-t)*PertePVj)+'2019'!Pspv,1-EXP((T0-t)*PertePVj)+Pspv)</f>
        <v>1.5171888171035208E-2</v>
      </c>
      <c r="M91" s="850"/>
      <c r="N91" s="850"/>
      <c r="O91" s="48">
        <f>IF(t&lt;Tnet,'2019'!Resal+('2019'!Salim-'2019'!Resal)*(1-EXP(('2019'!Tnet-t)/('2019'!Tau_j))),Resal+(Salim-Resal)*(1-EXP((Tnet-t)/(Tau_j))))*Salcycl</f>
        <v>8.6251924035422756E-2</v>
      </c>
      <c r="P91" s="169">
        <f>(INDEX(Models!$BJ91:$BT91,,T91)*(1-R91)+INDEX(Models!$BJ91:$BT91,,T91+1)*R91-ERP_i)*Q91*Ramure*Pc/MaxiM</f>
        <v>2.3217148159557609E-4</v>
      </c>
      <c r="Q91" s="305">
        <f t="shared" si="27"/>
        <v>0.7</v>
      </c>
      <c r="R91" s="177">
        <f t="shared" si="28"/>
        <v>0.90881039153847754</v>
      </c>
      <c r="S91" s="817">
        <f t="shared" si="29"/>
        <v>-2</v>
      </c>
      <c r="T91" s="176">
        <f t="shared" si="30"/>
        <v>4</v>
      </c>
      <c r="U91" s="251">
        <f t="shared" si="31"/>
        <v>-1.0911896084615225</v>
      </c>
      <c r="V91" s="383">
        <f t="shared" si="32"/>
        <v>30.756006455827929</v>
      </c>
      <c r="W91" s="402"/>
      <c r="X91" s="157">
        <f t="shared" si="33"/>
        <v>43907</v>
      </c>
      <c r="Y91" s="385">
        <f t="shared" si="34"/>
        <v>7.149</v>
      </c>
      <c r="Z91" s="385">
        <f t="shared" si="35"/>
        <v>7.2591347811175879</v>
      </c>
      <c r="AA91" s="386">
        <f t="shared" si="36"/>
        <v>7.9443502777881614</v>
      </c>
      <c r="AB91" s="197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8.6251924035422756E-2</v>
      </c>
      <c r="AD91" s="231">
        <f>(INDEX(Models!$BJ91:$BT91,,AH91)*(1-AF91)+INDEX(Models!$BJ91:$BT91,,AH91+1)*AF91-ERP_i)*AE91*Ramure*Pc/MaxiM</f>
        <v>2.3217148159557609E-4</v>
      </c>
      <c r="AE91" s="305">
        <f t="shared" si="38"/>
        <v>0.7</v>
      </c>
      <c r="AF91" s="177">
        <f t="shared" si="39"/>
        <v>0.90881039153847754</v>
      </c>
      <c r="AG91" s="817">
        <f t="shared" si="47"/>
        <v>-2</v>
      </c>
      <c r="AH91" s="176">
        <f t="shared" si="40"/>
        <v>4</v>
      </c>
      <c r="AI91" s="225">
        <f t="shared" si="41"/>
        <v>-1.0911896084615225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4"/>
        <v>43908</v>
      </c>
      <c r="B92" s="617">
        <v>28.331</v>
      </c>
      <c r="C92" s="390"/>
      <c r="D92" s="393">
        <f t="shared" si="24"/>
        <v>28.768086729962544</v>
      </c>
      <c r="E92" s="385">
        <f t="shared" si="45"/>
        <v>31.486281254975477</v>
      </c>
      <c r="F92" s="385">
        <f t="shared" si="25"/>
        <v>31.49075258123468</v>
      </c>
      <c r="G92" s="110">
        <f t="shared" si="46"/>
        <v>0.91381374143893002</v>
      </c>
      <c r="H92" s="414" t="b">
        <f>Wh_hp&gt;='2019'!Maxi_hp</f>
        <v>1</v>
      </c>
      <c r="I92" s="380">
        <f>IF(H92,Wh_hp,'2019'!Maxi_hp)</f>
        <v>31.49075258123468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1.5193458434179075E-2</v>
      </c>
      <c r="M92" s="850"/>
      <c r="N92" s="850"/>
      <c r="O92" s="48">
        <f>IF(t&lt;Tnet,'2019'!Resal+('2019'!Salim-'2019'!Resal)*(1-EXP(('2019'!Tnet-t)/('2019'!Tau_j))),Resal+(Salim-Resal)*(1-EXP((Tnet-t)/(Tau_j))))*Salcycl</f>
        <v>8.6329487531443677E-2</v>
      </c>
      <c r="P92" s="169">
        <f>(INDEX(Models!$BJ92:$BT92,,T92)*(1-R92)+INDEX(Models!$BJ92:$BT92,,T92+1)*R92-ERP_i)*Q92*Ramure*Pc/MaxiM</f>
        <v>1.6192051061521387E-4</v>
      </c>
      <c r="Q92" s="305">
        <f t="shared" si="27"/>
        <v>0.7</v>
      </c>
      <c r="R92" s="177">
        <f t="shared" si="28"/>
        <v>0.90918516098427382</v>
      </c>
      <c r="S92" s="817">
        <f t="shared" si="29"/>
        <v>-2</v>
      </c>
      <c r="T92" s="176">
        <f t="shared" si="30"/>
        <v>4</v>
      </c>
      <c r="U92" s="251">
        <f t="shared" si="31"/>
        <v>-1.0908148390157262</v>
      </c>
      <c r="V92" s="383">
        <f t="shared" si="32"/>
        <v>31.002417607321021</v>
      </c>
      <c r="W92" s="402"/>
      <c r="X92" s="157">
        <f t="shared" si="33"/>
        <v>43908</v>
      </c>
      <c r="Y92" s="385">
        <f t="shared" si="34"/>
        <v>28.331</v>
      </c>
      <c r="Z92" s="385">
        <f t="shared" si="35"/>
        <v>28.768086729962544</v>
      </c>
      <c r="AA92" s="386">
        <f t="shared" si="36"/>
        <v>31.486281254975477</v>
      </c>
      <c r="AB92" s="197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8.6329487531443677E-2</v>
      </c>
      <c r="AD92" s="231">
        <f>(INDEX(Models!$BJ92:$BT92,,AH92)*(1-AF92)+INDEX(Models!$BJ92:$BT92,,AH92+1)*AF92-ERP_i)*AE92*Ramure*Pc/MaxiM</f>
        <v>1.6192051061521387E-4</v>
      </c>
      <c r="AE92" s="305">
        <f t="shared" si="38"/>
        <v>0.7</v>
      </c>
      <c r="AF92" s="177">
        <f t="shared" si="39"/>
        <v>0.90918516098427382</v>
      </c>
      <c r="AG92" s="817">
        <f t="shared" si="47"/>
        <v>-2</v>
      </c>
      <c r="AH92" s="176">
        <f t="shared" si="40"/>
        <v>4</v>
      </c>
      <c r="AI92" s="225">
        <f t="shared" si="41"/>
        <v>-1.0908148390157262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43909</v>
      </c>
      <c r="B93" s="617">
        <v>27.954999999999998</v>
      </c>
      <c r="C93" s="390"/>
      <c r="D93" s="393">
        <f t="shared" si="24"/>
        <v>28.386907600356448</v>
      </c>
      <c r="E93" s="385">
        <f t="shared" si="45"/>
        <v>31.07173409637242</v>
      </c>
      <c r="F93" s="385">
        <f t="shared" si="25"/>
        <v>31.074661563771556</v>
      </c>
      <c r="G93" s="110">
        <f t="shared" si="46"/>
        <v>0.89466784603083349</v>
      </c>
      <c r="H93" s="414" t="b">
        <f>Wh_hp&gt;='2019'!Maxi_hp</f>
        <v>0</v>
      </c>
      <c r="I93" s="380">
        <f>IF(H93,Wh_hp,'2019'!Maxi_hp)</f>
        <v>35.290557656198175</v>
      </c>
      <c r="J93" s="85">
        <f>IF(H93,An,'2019'!An_max)</f>
        <v>2019</v>
      </c>
      <c r="K93" s="197">
        <f t="shared" si="26"/>
        <v>43909</v>
      </c>
      <c r="L93" s="147">
        <f>IF(t&lt;Tvie,1-EXP((T0-t)*PertePVj)+'2019'!Pspv,1-EXP((T0-t)*PertePVj)+Pspv)</f>
        <v>1.5215028224878746E-2</v>
      </c>
      <c r="M93" s="850"/>
      <c r="N93" s="850"/>
      <c r="O93" s="48">
        <f>IF(t&lt;Tnet,'2019'!Resal+('2019'!Salim-'2019'!Resal)*(1-EXP(('2019'!Tnet-t)/('2019'!Tau_j))),Resal+(Salim-Resal)*(1-EXP((Tnet-t)/(Tau_j))))*Salcycl</f>
        <v>8.6407359424764824E-2</v>
      </c>
      <c r="P93" s="169">
        <f>(INDEX(Models!$BJ93:$BT93,,T93)*(1-R93)+INDEX(Models!$BJ93:$BT93,,T93+1)*R93-ERP_i)*Q93*Ramure*Pc/MaxiM</f>
        <v>1.1089152120797899E-4</v>
      </c>
      <c r="Q93" s="305">
        <f t="shared" si="27"/>
        <v>0.7</v>
      </c>
      <c r="R93" s="177">
        <f t="shared" si="28"/>
        <v>0.90957462825414948</v>
      </c>
      <c r="S93" s="817">
        <f t="shared" si="29"/>
        <v>-2</v>
      </c>
      <c r="T93" s="176">
        <f t="shared" si="30"/>
        <v>4</v>
      </c>
      <c r="U93" s="251">
        <f t="shared" si="31"/>
        <v>-1.0904253717458505</v>
      </c>
      <c r="V93" s="383">
        <f t="shared" si="32"/>
        <v>31.245711667588544</v>
      </c>
      <c r="W93" s="402"/>
      <c r="X93" s="157">
        <f t="shared" si="33"/>
        <v>43909</v>
      </c>
      <c r="Y93" s="385">
        <f t="shared" si="34"/>
        <v>27.954999999999998</v>
      </c>
      <c r="Z93" s="385">
        <f t="shared" si="35"/>
        <v>28.386907600356448</v>
      </c>
      <c r="AA93" s="386">
        <f t="shared" si="36"/>
        <v>31.07173409637242</v>
      </c>
      <c r="AB93" s="197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8.6407359424764824E-2</v>
      </c>
      <c r="AD93" s="231">
        <f>(INDEX(Models!$BJ93:$BT93,,AH93)*(1-AF93)+INDEX(Models!$BJ93:$BT93,,AH93+1)*AF93-ERP_i)*AE93*Ramure*Pc/MaxiM</f>
        <v>1.1089152120797899E-4</v>
      </c>
      <c r="AE93" s="305">
        <f t="shared" si="38"/>
        <v>0.7</v>
      </c>
      <c r="AF93" s="177">
        <f t="shared" si="39"/>
        <v>0.90957462825414948</v>
      </c>
      <c r="AG93" s="817">
        <f t="shared" si="47"/>
        <v>-2</v>
      </c>
      <c r="AH93" s="176">
        <f t="shared" si="40"/>
        <v>4</v>
      </c>
      <c r="AI93" s="225">
        <f t="shared" si="41"/>
        <v>-1.0904253717458505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4"/>
        <v>43910</v>
      </c>
      <c r="B94" s="617">
        <v>31.495000000000001</v>
      </c>
      <c r="C94" s="390"/>
      <c r="D94" s="393">
        <f t="shared" si="24"/>
        <v>31.982301455785329</v>
      </c>
      <c r="E94" s="385">
        <f t="shared" si="45"/>
        <v>35.010176653414476</v>
      </c>
      <c r="F94" s="385">
        <f t="shared" si="25"/>
        <v>35.012930403409207</v>
      </c>
      <c r="G94" s="110">
        <f t="shared" si="46"/>
        <v>1.0002399712853629</v>
      </c>
      <c r="H94" s="414" t="b">
        <f>Wh_hp&gt;='2019'!Maxi_hp</f>
        <v>0</v>
      </c>
      <c r="I94" s="380">
        <f>IF(H94,Wh_hp,'2019'!Maxi_hp)</f>
        <v>35.232626438185896</v>
      </c>
      <c r="J94" s="85">
        <f>IF(H94,An,'2019'!An_max)</f>
        <v>2019</v>
      </c>
      <c r="K94" s="197">
        <f t="shared" si="26"/>
        <v>43910</v>
      </c>
      <c r="L94" s="147">
        <f>IF(t&lt;Tvie,1-EXP((T0-t)*PertePVj)+'2019'!Pspv,1-EXP((T0-t)*PertePVj)+Pspv)</f>
        <v>1.5236597543144548E-2</v>
      </c>
      <c r="M94" s="850"/>
      <c r="N94" s="850"/>
      <c r="O94" s="48">
        <f>IF(t&lt;Tnet,'2019'!Resal+('2019'!Salim-'2019'!Resal)*(1-EXP(('2019'!Tnet-t)/('2019'!Tau_j))),Resal+(Salim-Resal)*(1-EXP((Tnet-t)/(Tau_j))))*Salcycl</f>
        <v>8.6485573254993703E-2</v>
      </c>
      <c r="P94" s="169">
        <f>(INDEX(Models!$BJ94:$BT94,,T94)*(1-R94)+INDEX(Models!$BJ94:$BT94,,T94+1)*R94-ERP_i)*Q94*Ramure*Pc/MaxiM</f>
        <v>7.8649514993438843E-5</v>
      </c>
      <c r="Q94" s="305">
        <f t="shared" si="27"/>
        <v>0.7</v>
      </c>
      <c r="R94" s="177">
        <f t="shared" si="28"/>
        <v>0.90997932665141312</v>
      </c>
      <c r="S94" s="817">
        <f t="shared" si="29"/>
        <v>-2</v>
      </c>
      <c r="T94" s="176">
        <f t="shared" si="30"/>
        <v>4</v>
      </c>
      <c r="U94" s="251">
        <f t="shared" si="31"/>
        <v>-1.0900206733485869</v>
      </c>
      <c r="V94" s="383">
        <f t="shared" si="32"/>
        <v>31.4874439176103</v>
      </c>
      <c r="W94" s="402"/>
      <c r="X94" s="157">
        <f t="shared" si="33"/>
        <v>43910</v>
      </c>
      <c r="Y94" s="385">
        <f t="shared" si="34"/>
        <v>31.494999999999997</v>
      </c>
      <c r="Z94" s="385">
        <f t="shared" si="35"/>
        <v>31.982301455785326</v>
      </c>
      <c r="AA94" s="386">
        <f t="shared" si="36"/>
        <v>35.010176653414476</v>
      </c>
      <c r="AB94" s="197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8.6485573254993703E-2</v>
      </c>
      <c r="AD94" s="231">
        <f>(INDEX(Models!$BJ94:$BT94,,AH94)*(1-AF94)+INDEX(Models!$BJ94:$BT94,,AH94+1)*AF94-ERP_i)*AE94*Ramure*Pc/MaxiM</f>
        <v>7.8649514993438843E-5</v>
      </c>
      <c r="AE94" s="305">
        <f t="shared" si="38"/>
        <v>0.7</v>
      </c>
      <c r="AF94" s="177">
        <f t="shared" si="39"/>
        <v>0.90997932665141312</v>
      </c>
      <c r="AG94" s="817">
        <f t="shared" si="47"/>
        <v>-2</v>
      </c>
      <c r="AH94" s="176">
        <f t="shared" si="40"/>
        <v>4</v>
      </c>
      <c r="AI94" s="225">
        <f t="shared" si="41"/>
        <v>-1.0900206733485869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4"/>
        <v>43911</v>
      </c>
      <c r="B95" s="617">
        <v>30.327000000000002</v>
      </c>
      <c r="C95" s="390"/>
      <c r="D95" s="393">
        <f t="shared" si="24"/>
        <v>30.796904289921329</v>
      </c>
      <c r="E95" s="385">
        <f t="shared" si="45"/>
        <v>33.715454379980315</v>
      </c>
      <c r="F95" s="385">
        <f t="shared" si="25"/>
        <v>33.717099380496911</v>
      </c>
      <c r="G95" s="110">
        <f t="shared" si="46"/>
        <v>0.95585430242715341</v>
      </c>
      <c r="H95" s="414" t="b">
        <f>Wh_hp&gt;='2019'!Maxi_hp</f>
        <v>0</v>
      </c>
      <c r="I95" s="380">
        <f>IF(H95,Wh_hp,'2019'!Maxi_hp)</f>
        <v>34.33751568572859</v>
      </c>
      <c r="J95" s="85">
        <f>IF(H95,An,'2019'!An_max)</f>
        <v>2019</v>
      </c>
      <c r="K95" s="197">
        <f t="shared" si="26"/>
        <v>43911</v>
      </c>
      <c r="L95" s="147">
        <f>IF(t&lt;Tvie,1-EXP((T0-t)*PertePVj)+'2019'!Pspv,1-EXP((T0-t)*PertePVj)+Pspv)</f>
        <v>1.5258166388987027E-2</v>
      </c>
      <c r="M95" s="850"/>
      <c r="N95" s="850"/>
      <c r="O95" s="48">
        <f>IF(t&lt;Tnet,'2019'!Resal+('2019'!Salim-'2019'!Resal)*(1-EXP(('2019'!Tnet-t)/('2019'!Tau_j))),Resal+(Salim-Resal)*(1-EXP((Tnet-t)/(Tau_j))))*Salcycl</f>
        <v>8.6564163044232229E-2</v>
      </c>
      <c r="P95" s="169">
        <f>(INDEX(Models!$BJ95:$BT95,,T95)*(1-R95)+INDEX(Models!$BJ95:$BT95,,T95+1)*R95-ERP_i)*Q95*Ramure*Pc/MaxiM</f>
        <v>5.2072019633278963E-5</v>
      </c>
      <c r="Q95" s="305">
        <f t="shared" si="27"/>
        <v>0.7</v>
      </c>
      <c r="R95" s="177">
        <f t="shared" si="28"/>
        <v>0.91039980527481479</v>
      </c>
      <c r="S95" s="817">
        <f t="shared" si="29"/>
        <v>-2</v>
      </c>
      <c r="T95" s="176">
        <f t="shared" si="30"/>
        <v>4</v>
      </c>
      <c r="U95" s="251">
        <f t="shared" si="31"/>
        <v>-1.0896001947251852</v>
      </c>
      <c r="V95" s="383">
        <f t="shared" si="32"/>
        <v>31.727534555495719</v>
      </c>
      <c r="W95" s="402"/>
      <c r="X95" s="157">
        <f t="shared" si="33"/>
        <v>43911</v>
      </c>
      <c r="Y95" s="385">
        <f t="shared" si="34"/>
        <v>30.326999999999998</v>
      </c>
      <c r="Z95" s="385">
        <f t="shared" si="35"/>
        <v>30.796904289921326</v>
      </c>
      <c r="AA95" s="386">
        <f t="shared" si="36"/>
        <v>33.715454379980315</v>
      </c>
      <c r="AB95" s="197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8.6564163044232229E-2</v>
      </c>
      <c r="AD95" s="231">
        <f>(INDEX(Models!$BJ95:$BT95,,AH95)*(1-AF95)+INDEX(Models!$BJ95:$BT95,,AH95+1)*AF95-ERP_i)*AE95*Ramure*Pc/MaxiM</f>
        <v>5.2072019633278963E-5</v>
      </c>
      <c r="AE95" s="305">
        <f t="shared" si="38"/>
        <v>0.7</v>
      </c>
      <c r="AF95" s="177">
        <f t="shared" si="39"/>
        <v>0.91039980527481479</v>
      </c>
      <c r="AG95" s="817">
        <f t="shared" si="47"/>
        <v>-2</v>
      </c>
      <c r="AH95" s="176">
        <f t="shared" si="40"/>
        <v>4</v>
      </c>
      <c r="AI95" s="225">
        <f t="shared" si="41"/>
        <v>-1.0896001947251852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43912</v>
      </c>
      <c r="B96" s="617">
        <v>28.582000000000001</v>
      </c>
      <c r="C96" s="390"/>
      <c r="D96" s="393">
        <f t="shared" si="24"/>
        <v>29.025501971470057</v>
      </c>
      <c r="E96" s="385">
        <f t="shared" si="45"/>
        <v>31.778928893742584</v>
      </c>
      <c r="F96" s="385">
        <f t="shared" si="25"/>
        <v>31.779766031430405</v>
      </c>
      <c r="G96" s="110">
        <f t="shared" si="46"/>
        <v>0.89414728250127073</v>
      </c>
      <c r="H96" s="414" t="b">
        <f>Wh_hp&gt;='2019'!Maxi_hp</f>
        <v>0</v>
      </c>
      <c r="I96" s="380">
        <f>IF(H96,Wh_hp,'2019'!Maxi_hp)</f>
        <v>32.55072052003672</v>
      </c>
      <c r="J96" s="85">
        <f>IF(H96,An,'2019'!An_max)</f>
        <v>2019</v>
      </c>
      <c r="K96" s="197">
        <f t="shared" si="26"/>
        <v>43912</v>
      </c>
      <c r="L96" s="147">
        <f>IF(t&lt;Tvie,1-EXP((T0-t)*PertePVj)+'2019'!Pspv,1-EXP((T0-t)*PertePVj)+Pspv)</f>
        <v>1.5279734762416397E-2</v>
      </c>
      <c r="M96" s="850"/>
      <c r="N96" s="850"/>
      <c r="O96" s="48">
        <f>IF(t&lt;Tnet,'2019'!Resal+('2019'!Salim-'2019'!Resal)*(1-EXP(('2019'!Tnet-t)/('2019'!Tau_j))),Resal+(Salim-Resal)*(1-EXP((Tnet-t)/(Tau_j))))*Salcycl</f>
        <v>8.6643163194046233E-2</v>
      </c>
      <c r="P96" s="169">
        <f>(INDEX(Models!$BJ96:$BT96,,T96)*(1-R96)+INDEX(Models!$BJ96:$BT96,,T96+1)*R96-ERP_i)*Q96*Ramure*Pc/MaxiM</f>
        <v>3.1034664614701538E-5</v>
      </c>
      <c r="Q96" s="305">
        <f t="shared" si="27"/>
        <v>0.7</v>
      </c>
      <c r="R96" s="177">
        <f t="shared" si="28"/>
        <v>0.91083662918625885</v>
      </c>
      <c r="S96" s="817">
        <f t="shared" si="29"/>
        <v>-2</v>
      </c>
      <c r="T96" s="176">
        <f t="shared" si="30"/>
        <v>4</v>
      </c>
      <c r="U96" s="251">
        <f t="shared" si="31"/>
        <v>-1.0891633708137411</v>
      </c>
      <c r="V96" s="383">
        <f t="shared" si="32"/>
        <v>31.965501014952764</v>
      </c>
      <c r="W96" s="402"/>
      <c r="X96" s="157">
        <f t="shared" si="33"/>
        <v>43912</v>
      </c>
      <c r="Y96" s="385">
        <f t="shared" si="34"/>
        <v>28.582000000000001</v>
      </c>
      <c r="Z96" s="385">
        <f t="shared" si="35"/>
        <v>29.025501971470057</v>
      </c>
      <c r="AA96" s="386">
        <f t="shared" si="36"/>
        <v>31.778928893742584</v>
      </c>
      <c r="AB96" s="197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8.6643163194046233E-2</v>
      </c>
      <c r="AD96" s="231">
        <f>(INDEX(Models!$BJ96:$BT96,,AH96)*(1-AF96)+INDEX(Models!$BJ96:$BT96,,AH96+1)*AF96-ERP_i)*AE96*Ramure*Pc/MaxiM</f>
        <v>3.1034664614701538E-5</v>
      </c>
      <c r="AE96" s="305">
        <f t="shared" si="38"/>
        <v>0.7</v>
      </c>
      <c r="AF96" s="177">
        <f t="shared" si="39"/>
        <v>0.91083662918625885</v>
      </c>
      <c r="AG96" s="817">
        <f t="shared" si="47"/>
        <v>-2</v>
      </c>
      <c r="AH96" s="176">
        <f t="shared" si="40"/>
        <v>4</v>
      </c>
      <c r="AI96" s="225">
        <f t="shared" si="41"/>
        <v>-1.0891633708137411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4"/>
        <v>43913</v>
      </c>
      <c r="B97" s="617">
        <v>24.024000000000001</v>
      </c>
      <c r="C97" s="390"/>
      <c r="D97" s="393">
        <f t="shared" si="24"/>
        <v>24.397310634187747</v>
      </c>
      <c r="E97" s="385">
        <f t="shared" si="45"/>
        <v>26.714020141255016</v>
      </c>
      <c r="F97" s="385">
        <f t="shared" si="25"/>
        <v>26.714282617295869</v>
      </c>
      <c r="G97" s="110">
        <f t="shared" si="46"/>
        <v>0.74606283764189485</v>
      </c>
      <c r="H97" s="414" t="b">
        <f>Wh_hp&gt;='2019'!Maxi_hp</f>
        <v>0</v>
      </c>
      <c r="I97" s="380">
        <f>IF(H97,Wh_hp,'2019'!Maxi_hp)</f>
        <v>35.41439867664031</v>
      </c>
      <c r="J97" s="85">
        <f>IF(H97,An,'2019'!An_max)</f>
        <v>2019</v>
      </c>
      <c r="K97" s="197">
        <f t="shared" si="26"/>
        <v>43913</v>
      </c>
      <c r="L97" s="147">
        <f>IF(t&lt;Tvie,1-EXP((T0-t)*PertePVj)+'2019'!Pspv,1-EXP((T0-t)*PertePVj)+Pspv)</f>
        <v>1.5301302663443095E-2</v>
      </c>
      <c r="M97" s="850"/>
      <c r="N97" s="850"/>
      <c r="O97" s="48">
        <f>IF(t&lt;Tnet,'2019'!Resal+('2019'!Salim-'2019'!Resal)*(1-EXP(('2019'!Tnet-t)/('2019'!Tau_j))),Resal+(Salim-Resal)*(1-EXP((Tnet-t)/(Tau_j))))*Salcycl</f>
        <v>8.6722608383810004E-2</v>
      </c>
      <c r="P97" s="169">
        <f>(INDEX(Models!$BJ97:$BT97,,T97)*(1-R97)+INDEX(Models!$BJ97:$BT97,,T97+1)*R97-ERP_i)*Q97*Ramure*Pc/MaxiM</f>
        <v>1.5418569571197437E-5</v>
      </c>
      <c r="Q97" s="305">
        <f t="shared" si="27"/>
        <v>0.7</v>
      </c>
      <c r="R97" s="177">
        <f t="shared" si="28"/>
        <v>0.91129037955135184</v>
      </c>
      <c r="S97" s="817">
        <f t="shared" si="29"/>
        <v>-2</v>
      </c>
      <c r="T97" s="176">
        <f t="shared" si="30"/>
        <v>4</v>
      </c>
      <c r="U97" s="251">
        <f t="shared" si="31"/>
        <v>-1.0887096204486482</v>
      </c>
      <c r="V97" s="383">
        <f t="shared" si="32"/>
        <v>32.200860857892749</v>
      </c>
      <c r="W97" s="402"/>
      <c r="X97" s="157">
        <f t="shared" si="33"/>
        <v>43913</v>
      </c>
      <c r="Y97" s="385">
        <f t="shared" si="34"/>
        <v>24.024000000000001</v>
      </c>
      <c r="Z97" s="385">
        <f t="shared" si="35"/>
        <v>24.397310634187747</v>
      </c>
      <c r="AA97" s="386">
        <f t="shared" si="36"/>
        <v>26.714020141255016</v>
      </c>
      <c r="AB97" s="197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8.6722608383810004E-2</v>
      </c>
      <c r="AD97" s="231">
        <f>(INDEX(Models!$BJ97:$BT97,,AH97)*(1-AF97)+INDEX(Models!$BJ97:$BT97,,AH97+1)*AF97-ERP_i)*AE97*Ramure*Pc/MaxiM</f>
        <v>1.5418569571197437E-5</v>
      </c>
      <c r="AE97" s="305">
        <f t="shared" si="38"/>
        <v>0.7</v>
      </c>
      <c r="AF97" s="177">
        <f t="shared" si="39"/>
        <v>0.91129037955135184</v>
      </c>
      <c r="AG97" s="817">
        <f t="shared" si="47"/>
        <v>-2</v>
      </c>
      <c r="AH97" s="176">
        <f t="shared" si="40"/>
        <v>4</v>
      </c>
      <c r="AI97" s="225">
        <f t="shared" si="41"/>
        <v>-1.0887096204486482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43914</v>
      </c>
      <c r="B98" s="617">
        <v>30.158999999999999</v>
      </c>
      <c r="C98" s="390"/>
      <c r="D98" s="393">
        <f t="shared" si="24"/>
        <v>30.628313671528222</v>
      </c>
      <c r="E98" s="385">
        <f t="shared" si="45"/>
        <v>33.539639337746827</v>
      </c>
      <c r="F98" s="385">
        <f t="shared" si="25"/>
        <v>33.539793588319633</v>
      </c>
      <c r="G98" s="110">
        <f t="shared" si="46"/>
        <v>0.92988197269831196</v>
      </c>
      <c r="H98" s="414" t="b">
        <f>Wh_hp&gt;='2019'!Maxi_hp</f>
        <v>1</v>
      </c>
      <c r="I98" s="380">
        <f>IF(H98,Wh_hp,'2019'!Maxi_hp)</f>
        <v>33.539793588319633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1.5322870092077334E-2</v>
      </c>
      <c r="M98" s="850"/>
      <c r="N98" s="850"/>
      <c r="O98" s="48">
        <f>IF(t&lt;Tnet,'2019'!Resal+('2019'!Salim-'2019'!Resal)*(1-EXP(('2019'!Tnet-t)/('2019'!Tau_j))),Resal+(Salim-Resal)*(1-EXP((Tnet-t)/(Tau_j))))*Salcycl</f>
        <v>8.680253347095733E-2</v>
      </c>
      <c r="P98" s="169">
        <f>(INDEX(Models!$BJ98:$BT98,,T98)*(1-R98)+INDEX(Models!$BJ98:$BT98,,T98+1)*R98-ERP_i)*Q98*Ramure*Pc/MaxiM</f>
        <v>5.1109888407640949E-6</v>
      </c>
      <c r="Q98" s="305">
        <f t="shared" si="27"/>
        <v>0.7</v>
      </c>
      <c r="R98" s="177">
        <f t="shared" si="28"/>
        <v>0.91176165374967066</v>
      </c>
      <c r="S98" s="817">
        <f t="shared" si="29"/>
        <v>-2</v>
      </c>
      <c r="T98" s="176">
        <f t="shared" si="30"/>
        <v>4</v>
      </c>
      <c r="U98" s="251">
        <f t="shared" si="31"/>
        <v>-1.0882383462503293</v>
      </c>
      <c r="V98" s="383">
        <f t="shared" si="32"/>
        <v>32.433131779399773</v>
      </c>
      <c r="W98" s="402"/>
      <c r="X98" s="157">
        <f t="shared" si="33"/>
        <v>43914</v>
      </c>
      <c r="Y98" s="385">
        <f t="shared" si="34"/>
        <v>30.158999999999999</v>
      </c>
      <c r="Z98" s="385">
        <f t="shared" si="35"/>
        <v>30.628313671528222</v>
      </c>
      <c r="AA98" s="386">
        <f t="shared" si="36"/>
        <v>33.539639337746827</v>
      </c>
      <c r="AB98" s="197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8.680253347095733E-2</v>
      </c>
      <c r="AD98" s="231">
        <f>(INDEX(Models!$BJ98:$BT98,,AH98)*(1-AF98)+INDEX(Models!$BJ98:$BT98,,AH98+1)*AF98-ERP_i)*AE98*Ramure*Pc/MaxiM</f>
        <v>5.1109888407640949E-6</v>
      </c>
      <c r="AE98" s="305">
        <f t="shared" si="38"/>
        <v>0.7</v>
      </c>
      <c r="AF98" s="177">
        <f t="shared" si="39"/>
        <v>0.91176165374967066</v>
      </c>
      <c r="AG98" s="817">
        <f t="shared" si="47"/>
        <v>-2</v>
      </c>
      <c r="AH98" s="176">
        <f t="shared" si="40"/>
        <v>4</v>
      </c>
      <c r="AI98" s="225">
        <f t="shared" si="41"/>
        <v>-1.0882383462503293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43915</v>
      </c>
      <c r="B99" s="617">
        <v>32.799999999999997</v>
      </c>
      <c r="C99" s="390"/>
      <c r="D99" s="393">
        <f t="shared" si="24"/>
        <v>33.311140701502246</v>
      </c>
      <c r="E99" s="385">
        <f t="shared" si="45"/>
        <v>36.48069166479462</v>
      </c>
      <c r="F99" s="385">
        <f t="shared" si="25"/>
        <v>36.48069188014005</v>
      </c>
      <c r="G99" s="110">
        <f t="shared" si="46"/>
        <v>1.0042302708777084</v>
      </c>
      <c r="H99" s="414" t="b">
        <f>Wh_hp&gt;='2019'!Maxi_hp</f>
        <v>0</v>
      </c>
      <c r="I99" s="380">
        <f>IF(H99,Wh_hp,'2019'!Maxi_hp)</f>
        <v>37.971121713669092</v>
      </c>
      <c r="J99" s="85">
        <f>IF(H99,An,'2019'!An_max)</f>
        <v>2019</v>
      </c>
      <c r="K99" s="197">
        <f t="shared" si="26"/>
        <v>43915</v>
      </c>
      <c r="L99" s="147">
        <f>IF(t&lt;Tvie,1-EXP((T0-t)*PertePVj)+'2019'!Pspv,1-EXP((T0-t)*PertePVj)+Pspv)</f>
        <v>1.5344437048329551E-2</v>
      </c>
      <c r="M99" s="850"/>
      <c r="N99" s="850"/>
      <c r="O99" s="48">
        <f>IF(t&lt;Tnet,'2019'!Resal+('2019'!Salim-'2019'!Resal)*(1-EXP(('2019'!Tnet-t)/('2019'!Tau_j))),Resal+(Salim-Resal)*(1-EXP((Tnet-t)/(Tau_j))))*Salcycl</f>
        <v>8.6882973393597129E-2</v>
      </c>
      <c r="P99" s="169">
        <f>(INDEX(Models!$BJ99:$BT99,,T99)*(1-R99)+INDEX(Models!$BJ99:$BT99,,T99+1)*R99-ERP_i)*Q99*Ramure*Pc/MaxiM</f>
        <v>5.9029974323347151E-9</v>
      </c>
      <c r="Q99" s="305">
        <f t="shared" si="27"/>
        <v>0.7</v>
      </c>
      <c r="R99" s="177">
        <f t="shared" si="28"/>
        <v>0.91225106545142287</v>
      </c>
      <c r="S99" s="817">
        <f t="shared" si="29"/>
        <v>-2</v>
      </c>
      <c r="T99" s="176">
        <f t="shared" si="30"/>
        <v>4</v>
      </c>
      <c r="U99" s="251">
        <f t="shared" si="31"/>
        <v>-1.0877489345485771</v>
      </c>
      <c r="V99" s="383">
        <f t="shared" si="32"/>
        <v>32.661831604948958</v>
      </c>
      <c r="W99" s="402"/>
      <c r="X99" s="157">
        <f t="shared" si="33"/>
        <v>43915</v>
      </c>
      <c r="Y99" s="385">
        <f t="shared" si="34"/>
        <v>32.799999999999997</v>
      </c>
      <c r="Z99" s="385">
        <f t="shared" si="35"/>
        <v>33.311140701502246</v>
      </c>
      <c r="AA99" s="386">
        <f t="shared" si="36"/>
        <v>36.48069166479462</v>
      </c>
      <c r="AB99" s="197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8.6882973393597129E-2</v>
      </c>
      <c r="AD99" s="231">
        <f>(INDEX(Models!$BJ99:$BT99,,AH99)*(1-AF99)+INDEX(Models!$BJ99:$BT99,,AH99+1)*AF99-ERP_i)*AE99*Ramure*Pc/MaxiM</f>
        <v>5.9029974323347151E-9</v>
      </c>
      <c r="AE99" s="305">
        <f t="shared" si="38"/>
        <v>0.7</v>
      </c>
      <c r="AF99" s="177">
        <f t="shared" si="39"/>
        <v>0.91225106545142287</v>
      </c>
      <c r="AG99" s="817">
        <f t="shared" si="47"/>
        <v>-2</v>
      </c>
      <c r="AH99" s="176">
        <f t="shared" si="40"/>
        <v>4</v>
      </c>
      <c r="AI99" s="225">
        <f t="shared" si="41"/>
        <v>-1.0877489345485771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43916</v>
      </c>
      <c r="B100" s="617">
        <v>18.678999999999998</v>
      </c>
      <c r="C100" s="390"/>
      <c r="D100" s="393">
        <f t="shared" si="24"/>
        <v>18.970500782024381</v>
      </c>
      <c r="E100" s="385">
        <f t="shared" si="45"/>
        <v>20.777384478637885</v>
      </c>
      <c r="F100" s="385">
        <f t="shared" si="25"/>
        <v>20.777384514939381</v>
      </c>
      <c r="G100" s="110">
        <f t="shared" si="46"/>
        <v>0.56798419637178976</v>
      </c>
      <c r="H100" s="414" t="b">
        <f>Wh_hp&gt;='2019'!Maxi_hp</f>
        <v>0</v>
      </c>
      <c r="I100" s="380">
        <f>IF(H100,Wh_hp,'2019'!Maxi_hp)</f>
        <v>37.339002876856433</v>
      </c>
      <c r="J100" s="85">
        <f>IF(H100,An,'2019'!An_max)</f>
        <v>2019</v>
      </c>
      <c r="K100" s="197">
        <f t="shared" si="26"/>
        <v>43916</v>
      </c>
      <c r="L100" s="147">
        <f>IF(t&lt;Tvie,1-EXP((T0-t)*PertePVj)+'2019'!Pspv,1-EXP((T0-t)*PertePVj)+Pspv)</f>
        <v>1.5366003532210071E-2</v>
      </c>
      <c r="M100" s="850"/>
      <c r="N100" s="850"/>
      <c r="O100" s="48">
        <f>IF(t&lt;Tnet,'2019'!Resal+('2019'!Salim-'2019'!Resal)*(1-EXP(('2019'!Tnet-t)/('2019'!Tau_j))),Resal+(Salim-Resal)*(1-EXP((Tnet-t)/(Tau_j))))*Salcycl</f>
        <v>8.6963963075874118E-2</v>
      </c>
      <c r="P100" s="169">
        <f>(INDEX(Models!$BJ100:$BT100,,T100)*(1-R100)+INDEX(Models!$BJ100:$BT100,,T100+1)*R100-ERP_i)*Q100*Ramure*Pc/MaxiM</f>
        <v>4.5637570672326569E-9</v>
      </c>
      <c r="Q100" s="305">
        <f t="shared" si="27"/>
        <v>0.7</v>
      </c>
      <c r="R100" s="177">
        <f t="shared" si="28"/>
        <v>0.91275924465698122</v>
      </c>
      <c r="S100" s="817">
        <f t="shared" si="29"/>
        <v>-2</v>
      </c>
      <c r="T100" s="176">
        <f t="shared" si="30"/>
        <v>4</v>
      </c>
      <c r="U100" s="251">
        <f t="shared" si="31"/>
        <v>-1.0872407553430188</v>
      </c>
      <c r="V100" s="383">
        <f t="shared" si="32"/>
        <v>32.886478297649674</v>
      </c>
      <c r="W100" s="402"/>
      <c r="X100" s="157">
        <f t="shared" si="33"/>
        <v>43916</v>
      </c>
      <c r="Y100" s="385">
        <f t="shared" si="34"/>
        <v>18.678999999999998</v>
      </c>
      <c r="Z100" s="385">
        <f t="shared" si="35"/>
        <v>18.970500782024381</v>
      </c>
      <c r="AA100" s="386">
        <f t="shared" si="36"/>
        <v>20.777384478637885</v>
      </c>
      <c r="AB100" s="197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8.6963963075874118E-2</v>
      </c>
      <c r="AD100" s="231">
        <f>(INDEX(Models!$BJ100:$BT100,,AH100)*(1-AF100)+INDEX(Models!$BJ100:$BT100,,AH100+1)*AF100-ERP_i)*AE100*Ramure*Pc/MaxiM</f>
        <v>4.5637570672326569E-9</v>
      </c>
      <c r="AE100" s="305">
        <f t="shared" si="38"/>
        <v>0.7</v>
      </c>
      <c r="AF100" s="177">
        <f t="shared" si="39"/>
        <v>0.91275924465698122</v>
      </c>
      <c r="AG100" s="817">
        <f t="shared" si="47"/>
        <v>-2</v>
      </c>
      <c r="AH100" s="176">
        <f t="shared" si="40"/>
        <v>4</v>
      </c>
      <c r="AI100" s="225">
        <f t="shared" si="41"/>
        <v>-1.0872407553430188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43917</v>
      </c>
      <c r="B101" s="617">
        <v>31.274999999999999</v>
      </c>
      <c r="C101" s="390"/>
      <c r="D101" s="393">
        <f t="shared" si="24"/>
        <v>31.763767176397639</v>
      </c>
      <c r="E101" s="385">
        <f t="shared" si="45"/>
        <v>34.79227987311004</v>
      </c>
      <c r="F101" s="385">
        <f t="shared" si="25"/>
        <v>34.792279982154454</v>
      </c>
      <c r="G101" s="110">
        <f t="shared" si="46"/>
        <v>0.94467123483343585</v>
      </c>
      <c r="H101" s="414" t="b">
        <f>Wh_hp&gt;='2019'!Maxi_hp</f>
        <v>0</v>
      </c>
      <c r="I101" s="380">
        <f>IF(H101,Wh_hp,'2019'!Maxi_hp)</f>
        <v>36.534422327632868</v>
      </c>
      <c r="J101" s="85">
        <f>IF(H101,An,'2019'!An_max)</f>
        <v>2019</v>
      </c>
      <c r="K101" s="197">
        <f t="shared" si="26"/>
        <v>43917</v>
      </c>
      <c r="L101" s="147">
        <f>IF(t&lt;Tvie,1-EXP((T0-t)*PertePVj)+'2019'!Pspv,1-EXP((T0-t)*PertePVj)+Pspv)</f>
        <v>1.5387569543729218E-2</v>
      </c>
      <c r="M101" s="850"/>
      <c r="N101" s="850"/>
      <c r="O101" s="48">
        <f>IF(t&lt;Tnet,'2019'!Resal+('2019'!Salim-'2019'!Resal)*(1-EXP(('2019'!Tnet-t)/('2019'!Tau_j))),Resal+(Salim-Resal)*(1-EXP((Tnet-t)/(Tau_j))))*Salcycl</f>
        <v>8.7045537336374754E-2</v>
      </c>
      <c r="P101" s="169">
        <f>(INDEX(Models!$BJ101:$BT101,,T101)*(1-R101)+INDEX(Models!$BJ101:$BT101,,T101+1)*R101-ERP_i)*Q101*Ramure*Pc/MaxiM</f>
        <v>3.4031435562899316E-9</v>
      </c>
      <c r="Q101" s="305">
        <f t="shared" si="27"/>
        <v>0.7</v>
      </c>
      <c r="R101" s="177">
        <f t="shared" si="28"/>
        <v>0.91328683769556229</v>
      </c>
      <c r="S101" s="817">
        <f t="shared" si="29"/>
        <v>-2</v>
      </c>
      <c r="T101" s="176">
        <f t="shared" si="30"/>
        <v>4</v>
      </c>
      <c r="U101" s="251">
        <f t="shared" si="31"/>
        <v>-1.0867131623044377</v>
      </c>
      <c r="V101" s="383">
        <f t="shared" si="32"/>
        <v>33.106755915037247</v>
      </c>
      <c r="W101" s="402"/>
      <c r="X101" s="157">
        <f t="shared" si="33"/>
        <v>43917</v>
      </c>
      <c r="Y101" s="385">
        <f t="shared" si="34"/>
        <v>31.274999999999999</v>
      </c>
      <c r="Z101" s="385">
        <f t="shared" si="35"/>
        <v>31.763767176397639</v>
      </c>
      <c r="AA101" s="386">
        <f t="shared" si="36"/>
        <v>34.79227987311004</v>
      </c>
      <c r="AB101" s="197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8.7045537336374754E-2</v>
      </c>
      <c r="AD101" s="231">
        <f>(INDEX(Models!$BJ101:$BT101,,AH101)*(1-AF101)+INDEX(Models!$BJ101:$BT101,,AH101+1)*AF101-ERP_i)*AE101*Ramure*Pc/MaxiM</f>
        <v>3.4031435562899316E-9</v>
      </c>
      <c r="AE101" s="305">
        <f t="shared" si="38"/>
        <v>0.7</v>
      </c>
      <c r="AF101" s="177">
        <f t="shared" si="39"/>
        <v>0.91328683769556229</v>
      </c>
      <c r="AG101" s="817">
        <f t="shared" si="47"/>
        <v>-2</v>
      </c>
      <c r="AH101" s="176">
        <f t="shared" si="40"/>
        <v>4</v>
      </c>
      <c r="AI101" s="225">
        <f t="shared" si="41"/>
        <v>-1.0867131623044377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43918</v>
      </c>
      <c r="B102" s="617">
        <v>31.605</v>
      </c>
      <c r="C102" s="390"/>
      <c r="D102" s="393">
        <f t="shared" si="24"/>
        <v>32.099627496199631</v>
      </c>
      <c r="E102" s="385">
        <f t="shared" si="45"/>
        <v>35.16332851727784</v>
      </c>
      <c r="F102" s="385">
        <f t="shared" si="25"/>
        <v>35.163328596025309</v>
      </c>
      <c r="G102" s="110">
        <f t="shared" si="46"/>
        <v>0.94846726626023004</v>
      </c>
      <c r="H102" s="414" t="b">
        <f>Wh_hp&gt;='2019'!Maxi_hp</f>
        <v>0</v>
      </c>
      <c r="I102" s="380">
        <f>IF(H102,Wh_hp,'2019'!Maxi_hp)</f>
        <v>35.75832135172314</v>
      </c>
      <c r="J102" s="85">
        <f>IF(H102,An,'2019'!An_max)</f>
        <v>2019</v>
      </c>
      <c r="K102" s="197">
        <f t="shared" si="26"/>
        <v>43918</v>
      </c>
      <c r="L102" s="147">
        <f>IF(t&lt;Tvie,1-EXP((T0-t)*PertePVj)+'2019'!Pspv,1-EXP((T0-t)*PertePVj)+Pspv)</f>
        <v>1.5409135082897429E-2</v>
      </c>
      <c r="M102" s="850"/>
      <c r="N102" s="850"/>
      <c r="O102" s="48">
        <f>IF(t&lt;Tnet,'2019'!Resal+('2019'!Salim-'2019'!Resal)*(1-EXP(('2019'!Tnet-t)/('2019'!Tau_j))),Resal+(Salim-Resal)*(1-EXP((Tnet-t)/(Tau_j))))*Salcycl</f>
        <v>8.7127730799797007E-2</v>
      </c>
      <c r="P102" s="169">
        <f>(INDEX(Models!$BJ102:$BT102,,T102)*(1-R102)+INDEX(Models!$BJ102:$BT102,,T102+1)*R102-ERP_i)*Q102*Ramure*Pc/MaxiM</f>
        <v>2.4174450419812316E-9</v>
      </c>
      <c r="Q102" s="305">
        <f t="shared" si="27"/>
        <v>0.7</v>
      </c>
      <c r="R102" s="177">
        <f t="shared" si="28"/>
        <v>0.9138345071791163</v>
      </c>
      <c r="S102" s="817">
        <f t="shared" si="29"/>
        <v>-2</v>
      </c>
      <c r="T102" s="176">
        <f t="shared" si="30"/>
        <v>4</v>
      </c>
      <c r="U102" s="251">
        <f t="shared" si="31"/>
        <v>-1.0861654928208837</v>
      </c>
      <c r="V102" s="383">
        <f t="shared" si="32"/>
        <v>33.322183188242889</v>
      </c>
      <c r="W102" s="402"/>
      <c r="X102" s="157">
        <f t="shared" si="33"/>
        <v>43918</v>
      </c>
      <c r="Y102" s="385">
        <f t="shared" si="34"/>
        <v>31.605</v>
      </c>
      <c r="Z102" s="385">
        <f t="shared" si="35"/>
        <v>32.099627496199631</v>
      </c>
      <c r="AA102" s="386">
        <f t="shared" si="36"/>
        <v>35.16332851727784</v>
      </c>
      <c r="AB102" s="197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8.7127730799797007E-2</v>
      </c>
      <c r="AD102" s="231">
        <f>(INDEX(Models!$BJ102:$BT102,,AH102)*(1-AF102)+INDEX(Models!$BJ102:$BT102,,AH102+1)*AF102-ERP_i)*AE102*Ramure*Pc/MaxiM</f>
        <v>2.4174450419812316E-9</v>
      </c>
      <c r="AE102" s="305">
        <f t="shared" si="38"/>
        <v>0.7</v>
      </c>
      <c r="AF102" s="177">
        <f t="shared" si="39"/>
        <v>0.9138345071791163</v>
      </c>
      <c r="AG102" s="817">
        <f t="shared" si="47"/>
        <v>-2</v>
      </c>
      <c r="AH102" s="176">
        <f t="shared" si="40"/>
        <v>4</v>
      </c>
      <c r="AI102" s="225">
        <f t="shared" si="41"/>
        <v>-1.0861654928208837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43919</v>
      </c>
      <c r="B103" s="617">
        <v>19.981999999999999</v>
      </c>
      <c r="C103" s="390"/>
      <c r="D103" s="393">
        <f t="shared" si="24"/>
        <v>20.295168662113163</v>
      </c>
      <c r="E103" s="385">
        <f t="shared" si="45"/>
        <v>22.234228584140617</v>
      </c>
      <c r="F103" s="385">
        <f t="shared" si="25"/>
        <v>22.234228599208677</v>
      </c>
      <c r="G103" s="110">
        <f t="shared" si="46"/>
        <v>0.59590342617313641</v>
      </c>
      <c r="H103" s="414" t="b">
        <f>Wh_hp&gt;='2019'!Maxi_hp</f>
        <v>0</v>
      </c>
      <c r="I103" s="380">
        <f>IF(H103,Wh_hp,'2019'!Maxi_hp)</f>
        <v>36.462755841463355</v>
      </c>
      <c r="J103" s="85">
        <f>IF(H103,An,'2019'!An_max)</f>
        <v>2019</v>
      </c>
      <c r="K103" s="197">
        <f t="shared" si="26"/>
        <v>43919</v>
      </c>
      <c r="L103" s="147">
        <f>IF(t&lt;Tvie,1-EXP((T0-t)*PertePVj)+'2019'!Pspv,1-EXP((T0-t)*PertePVj)+Pspv)</f>
        <v>1.5430700149724919E-2</v>
      </c>
      <c r="M103" s="850"/>
      <c r="N103" s="850"/>
      <c r="O103" s="48">
        <f>IF(t&lt;Tnet,'2019'!Resal+('2019'!Salim-'2019'!Resal)*(1-EXP(('2019'!Tnet-t)/('2019'!Tau_j))),Resal+(Salim-Resal)*(1-EXP((Tnet-t)/(Tau_j))))*Salcycl</f>
        <v>8.7210577812020865E-2</v>
      </c>
      <c r="P103" s="169">
        <f>(INDEX(Models!$BJ103:$BT103,,T103)*(1-R103)+INDEX(Models!$BJ103:$BT103,,T103+1)*R103-ERP_i)*Q103*Ramure*Pc/MaxiM</f>
        <v>1.6031837378948431E-9</v>
      </c>
      <c r="Q103" s="305">
        <f t="shared" si="27"/>
        <v>0.7</v>
      </c>
      <c r="R103" s="177">
        <f t="shared" si="28"/>
        <v>0.91440293190728883</v>
      </c>
      <c r="S103" s="817">
        <f t="shared" si="29"/>
        <v>-2</v>
      </c>
      <c r="T103" s="176">
        <f t="shared" si="30"/>
        <v>4</v>
      </c>
      <c r="U103" s="251">
        <f t="shared" si="31"/>
        <v>-1.0855970680927112</v>
      </c>
      <c r="V103" s="383">
        <f t="shared" si="32"/>
        <v>33.532279063791208</v>
      </c>
      <c r="W103" s="402"/>
      <c r="X103" s="157">
        <f t="shared" si="33"/>
        <v>43919</v>
      </c>
      <c r="Y103" s="385">
        <f t="shared" si="34"/>
        <v>19.981999999999999</v>
      </c>
      <c r="Z103" s="385">
        <f t="shared" si="35"/>
        <v>20.295168662113163</v>
      </c>
      <c r="AA103" s="386">
        <f t="shared" si="36"/>
        <v>22.234228584140617</v>
      </c>
      <c r="AB103" s="197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8.7210577812020865E-2</v>
      </c>
      <c r="AD103" s="231">
        <f>(INDEX(Models!$BJ103:$BT103,,AH103)*(1-AF103)+INDEX(Models!$BJ103:$BT103,,AH103+1)*AF103-ERP_i)*AE103*Ramure*Pc/MaxiM</f>
        <v>1.6031837378948431E-9</v>
      </c>
      <c r="AE103" s="305">
        <f t="shared" si="38"/>
        <v>0.7</v>
      </c>
      <c r="AF103" s="177">
        <f t="shared" si="39"/>
        <v>0.91440293190728883</v>
      </c>
      <c r="AG103" s="817">
        <f t="shared" si="47"/>
        <v>-2</v>
      </c>
      <c r="AH103" s="176">
        <f t="shared" si="40"/>
        <v>4</v>
      </c>
      <c r="AI103" s="225">
        <f t="shared" si="41"/>
        <v>-1.0855970680927112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43920</v>
      </c>
      <c r="B104" s="617">
        <v>13.004</v>
      </c>
      <c r="C104" s="390"/>
      <c r="D104" s="393">
        <f t="shared" si="24"/>
        <v>13.208094980404034</v>
      </c>
      <c r="E104" s="385">
        <f t="shared" si="45"/>
        <v>14.471359459000189</v>
      </c>
      <c r="F104" s="385">
        <f t="shared" si="25"/>
        <v>14.471359460691142</v>
      </c>
      <c r="G104" s="110">
        <f t="shared" si="46"/>
        <v>0.38545717014065983</v>
      </c>
      <c r="H104" s="414" t="b">
        <f>Wh_hp&gt;='2019'!Maxi_hp</f>
        <v>0</v>
      </c>
      <c r="I104" s="380">
        <f>IF(H104,Wh_hp,'2019'!Maxi_hp)</f>
        <v>31.057256455126787</v>
      </c>
      <c r="J104" s="85">
        <f>IF(H104,An,'2019'!An_max)</f>
        <v>2019</v>
      </c>
      <c r="K104" s="197">
        <f t="shared" si="26"/>
        <v>43920</v>
      </c>
      <c r="L104" s="147">
        <f>IF(t&lt;Tvie,1-EXP((T0-t)*PertePVj)+'2019'!Pspv,1-EXP((T0-t)*PertePVj)+Pspv)</f>
        <v>1.5452264744222122E-2</v>
      </c>
      <c r="M104" s="850"/>
      <c r="N104" s="850"/>
      <c r="O104" s="48">
        <f>IF(t&lt;Tnet,'2019'!Resal+('2019'!Salim-'2019'!Resal)*(1-EXP(('2019'!Tnet-t)/('2019'!Tau_j))),Resal+(Salim-Resal)*(1-EXP((Tnet-t)/(Tau_j))))*Salcycl</f>
        <v>8.729411235863474E-2</v>
      </c>
      <c r="P104" s="169">
        <f>(INDEX(Models!$BJ104:$BT104,,T104)*(1-R104)+INDEX(Models!$BJ104:$BT104,,T104+1)*R104-ERP_i)*Q104*Ramure*Pc/MaxiM</f>
        <v>9.5713159818355819E-10</v>
      </c>
      <c r="Q104" s="305">
        <f t="shared" si="27"/>
        <v>0.7</v>
      </c>
      <c r="R104" s="177">
        <f t="shared" si="28"/>
        <v>0.91499280671911154</v>
      </c>
      <c r="S104" s="817">
        <f t="shared" si="29"/>
        <v>-2</v>
      </c>
      <c r="T104" s="176">
        <f t="shared" si="30"/>
        <v>4</v>
      </c>
      <c r="U104" s="251">
        <f t="shared" si="31"/>
        <v>-1.0850071932808885</v>
      </c>
      <c r="V104" s="383">
        <f t="shared" si="32"/>
        <v>33.736562701188241</v>
      </c>
      <c r="W104" s="402"/>
      <c r="X104" s="157">
        <f t="shared" si="33"/>
        <v>43920</v>
      </c>
      <c r="Y104" s="385">
        <f t="shared" si="34"/>
        <v>13.004</v>
      </c>
      <c r="Z104" s="385">
        <f t="shared" si="35"/>
        <v>13.208094980404034</v>
      </c>
      <c r="AA104" s="386">
        <f t="shared" si="36"/>
        <v>14.471359459000189</v>
      </c>
      <c r="AB104" s="197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8.729411235863474E-2</v>
      </c>
      <c r="AD104" s="231">
        <f>(INDEX(Models!$BJ104:$BT104,,AH104)*(1-AF104)+INDEX(Models!$BJ104:$BT104,,AH104+1)*AF104-ERP_i)*AE104*Ramure*Pc/MaxiM</f>
        <v>9.5713159818355819E-10</v>
      </c>
      <c r="AE104" s="305">
        <f t="shared" si="38"/>
        <v>0.7</v>
      </c>
      <c r="AF104" s="177">
        <f t="shared" si="39"/>
        <v>0.91499280671911154</v>
      </c>
      <c r="AG104" s="817">
        <f t="shared" si="47"/>
        <v>-2</v>
      </c>
      <c r="AH104" s="176">
        <f t="shared" si="40"/>
        <v>4</v>
      </c>
      <c r="AI104" s="225">
        <f t="shared" si="41"/>
        <v>-1.0850071932808885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4"/>
        <v>43921</v>
      </c>
      <c r="B105" s="617">
        <v>29.768000000000001</v>
      </c>
      <c r="C105" s="390"/>
      <c r="D105" s="393">
        <f t="shared" si="24"/>
        <v>30.235864594360766</v>
      </c>
      <c r="E105" s="385">
        <f t="shared" si="45"/>
        <v>33.13077789715004</v>
      </c>
      <c r="F105" s="385">
        <f t="shared" si="25"/>
        <v>33.130777910163026</v>
      </c>
      <c r="G105" s="110">
        <f t="shared" si="46"/>
        <v>0.8772179660959446</v>
      </c>
      <c r="H105" s="414" t="b">
        <f>Wh_hp&gt;='2019'!Maxi_hp</f>
        <v>1</v>
      </c>
      <c r="I105" s="380">
        <f>IF(H105,Wh_hp,'2019'!Maxi_hp)</f>
        <v>33.130777910163026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1.5473828866399475E-2</v>
      </c>
      <c r="M105" s="850"/>
      <c r="N105" s="850"/>
      <c r="O105" s="48">
        <f>IF(t&lt;Tnet,'2019'!Resal+('2019'!Salim-'2019'!Resal)*(1-EXP(('2019'!Tnet-t)/('2019'!Tau_j))),Resal+(Salim-Resal)*(1-EXP((Tnet-t)/(Tau_j))))*Salcycl</f>
        <v>8.7378367986895314E-2</v>
      </c>
      <c r="P105" s="169">
        <f>(INDEX(Models!$BJ105:$BT105,,T105)*(1-R105)+INDEX(Models!$BJ105:$BT105,,T105+1)*R105-ERP_i)*Q105*Ramure*Pc/MaxiM</f>
        <v>4.7632503992415341E-10</v>
      </c>
      <c r="Q105" s="305">
        <f t="shared" si="27"/>
        <v>0.7</v>
      </c>
      <c r="R105" s="177">
        <f t="shared" si="28"/>
        <v>0.91560484228687611</v>
      </c>
      <c r="S105" s="817">
        <f t="shared" si="29"/>
        <v>-2</v>
      </c>
      <c r="T105" s="176">
        <f t="shared" si="30"/>
        <v>4</v>
      </c>
      <c r="U105" s="251">
        <f t="shared" si="31"/>
        <v>-1.0843951577131239</v>
      </c>
      <c r="V105" s="383">
        <f t="shared" si="32"/>
        <v>33.934553495290686</v>
      </c>
      <c r="W105" s="402"/>
      <c r="X105" s="157">
        <f t="shared" si="33"/>
        <v>43921</v>
      </c>
      <c r="Y105" s="385">
        <f t="shared" si="34"/>
        <v>29.768000000000001</v>
      </c>
      <c r="Z105" s="385">
        <f t="shared" si="35"/>
        <v>30.235864594360766</v>
      </c>
      <c r="AA105" s="386">
        <f t="shared" si="36"/>
        <v>33.13077789715004</v>
      </c>
      <c r="AB105" s="197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8.7378367986895314E-2</v>
      </c>
      <c r="AD105" s="231">
        <f>(INDEX(Models!$BJ105:$BT105,,AH105)*(1-AF105)+INDEX(Models!$BJ105:$BT105,,AH105+1)*AF105-ERP_i)*AE105*Ramure*Pc/MaxiM</f>
        <v>4.7632503992415341E-10</v>
      </c>
      <c r="AE105" s="305">
        <f t="shared" si="38"/>
        <v>0.7</v>
      </c>
      <c r="AF105" s="177">
        <f t="shared" si="39"/>
        <v>0.91560484228687611</v>
      </c>
      <c r="AG105" s="817">
        <f t="shared" si="47"/>
        <v>-2</v>
      </c>
      <c r="AH105" s="176">
        <f t="shared" si="40"/>
        <v>4</v>
      </c>
      <c r="AI105" s="225">
        <f t="shared" si="41"/>
        <v>-1.0843951577131239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4"/>
        <v>43922</v>
      </c>
      <c r="B106" s="617">
        <v>24.634</v>
      </c>
      <c r="C106" s="390"/>
      <c r="D106" s="393">
        <f t="shared" si="24"/>
        <v>25.021721394439517</v>
      </c>
      <c r="E106" s="385">
        <f t="shared" si="45"/>
        <v>27.419964069194521</v>
      </c>
      <c r="F106" s="385">
        <f t="shared" si="25"/>
        <v>27.419964071806746</v>
      </c>
      <c r="G106" s="110">
        <f t="shared" si="46"/>
        <v>0.72185914704890997</v>
      </c>
      <c r="H106" s="414" t="b">
        <f>Wh_hp&gt;='2019'!Maxi_hp</f>
        <v>1</v>
      </c>
      <c r="I106" s="380">
        <f>IF(H106,Wh_hp,'2019'!Maxi_hp)</f>
        <v>27.419964071806746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1.5495392516267081E-2</v>
      </c>
      <c r="M106" s="850"/>
      <c r="N106" s="850"/>
      <c r="O106" s="48">
        <f>IF(t&lt;Tnet,'2019'!Resal+('2019'!Salim-'2019'!Resal)*(1-EXP(('2019'!Tnet-t)/('2019'!Tau_j))),Resal+(Salim-Resal)*(1-EXP((Tnet-t)/(Tau_j))))*Salcycl</f>
        <v>8.7463377731021766E-2</v>
      </c>
      <c r="P106" s="169">
        <f>(INDEX(Models!$BJ106:$BT106,,T106)*(1-R106)+INDEX(Models!$BJ106:$BT106,,T106+1)*R106-ERP_i)*Q106*Ramure*Pc/MaxiM</f>
        <v>1.5807892483156783E-10</v>
      </c>
      <c r="Q106" s="305">
        <f t="shared" si="27"/>
        <v>0.7</v>
      </c>
      <c r="R106" s="177">
        <f t="shared" si="28"/>
        <v>0.91623976484745229</v>
      </c>
      <c r="S106" s="817">
        <f t="shared" si="29"/>
        <v>-2</v>
      </c>
      <c r="T106" s="176">
        <f t="shared" si="30"/>
        <v>4</v>
      </c>
      <c r="U106" s="251">
        <f t="shared" si="31"/>
        <v>-1.0837602351525477</v>
      </c>
      <c r="V106" s="383">
        <f t="shared" si="32"/>
        <v>34.125771072044891</v>
      </c>
      <c r="W106" s="402"/>
      <c r="X106" s="157">
        <f t="shared" si="33"/>
        <v>43922</v>
      </c>
      <c r="Y106" s="385">
        <f t="shared" si="34"/>
        <v>24.634</v>
      </c>
      <c r="Z106" s="385">
        <f t="shared" si="35"/>
        <v>25.021721394439517</v>
      </c>
      <c r="AA106" s="386">
        <f t="shared" si="36"/>
        <v>27.419964069194521</v>
      </c>
      <c r="AB106" s="197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8.7463377731021766E-2</v>
      </c>
      <c r="AD106" s="231">
        <f>(INDEX(Models!$BJ106:$BT106,,AH106)*(1-AF106)+INDEX(Models!$BJ106:$BT106,,AH106+1)*AF106-ERP_i)*AE106*Ramure*Pc/MaxiM</f>
        <v>1.5807892483156783E-10</v>
      </c>
      <c r="AE106" s="305">
        <f t="shared" si="38"/>
        <v>0.7</v>
      </c>
      <c r="AF106" s="177">
        <f t="shared" si="39"/>
        <v>0.91623976484745229</v>
      </c>
      <c r="AG106" s="817">
        <f t="shared" si="47"/>
        <v>-2</v>
      </c>
      <c r="AH106" s="176">
        <f t="shared" si="40"/>
        <v>4</v>
      </c>
      <c r="AI106" s="225">
        <f t="shared" si="41"/>
        <v>-1.0837602351525477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43923</v>
      </c>
      <c r="B107" s="617">
        <v>16.295000000000002</v>
      </c>
      <c r="C107" s="390"/>
      <c r="D107" s="393">
        <f t="shared" si="24"/>
        <v>16.55183407600915</v>
      </c>
      <c r="E107" s="385">
        <f t="shared" si="45"/>
        <v>18.139973799252857</v>
      </c>
      <c r="F107" s="385">
        <f t="shared" si="25"/>
        <v>18.139973799252857</v>
      </c>
      <c r="G107" s="110">
        <f t="shared" si="46"/>
        <v>0.47493586721054781</v>
      </c>
      <c r="H107" s="414" t="b">
        <f>Wh_hp&gt;='2019'!Maxi_hp</f>
        <v>1</v>
      </c>
      <c r="I107" s="380">
        <f>IF(H107,Wh_hp,'2019'!Maxi_hp)</f>
        <v>18.139973799252857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1.5516955693835377E-2</v>
      </c>
      <c r="M107" s="850"/>
      <c r="N107" s="850"/>
      <c r="O107" s="48">
        <f>IF(t&lt;Tnet,'2019'!Resal+('2019'!Salim-'2019'!Resal)*(1-EXP(('2019'!Tnet-t)/('2019'!Tau_j))),Resal+(Salim-Resal)*(1-EXP((Tnet-t)/(Tau_j))))*Salcycl</f>
        <v>8.7549174040654917E-2</v>
      </c>
      <c r="P107" s="169">
        <f>(INDEX(Models!$BJ107:$BT107,,T107)*(1-R107)+INDEX(Models!$BJ107:$BT107,,T107+1)*R107-ERP_i)*Q107*Ramure*Pc/MaxiM</f>
        <v>0</v>
      </c>
      <c r="Q107" s="305">
        <f t="shared" si="27"/>
        <v>0.7</v>
      </c>
      <c r="R107" s="177">
        <f t="shared" si="28"/>
        <v>0.91689831586612458</v>
      </c>
      <c r="S107" s="817">
        <f t="shared" si="29"/>
        <v>-2</v>
      </c>
      <c r="T107" s="176">
        <f t="shared" si="30"/>
        <v>4</v>
      </c>
      <c r="U107" s="251">
        <f t="shared" si="31"/>
        <v>-1.0831016841338754</v>
      </c>
      <c r="V107" s="383">
        <f t="shared" si="32"/>
        <v>34.309895556437574</v>
      </c>
      <c r="W107" s="402"/>
      <c r="X107" s="157">
        <f t="shared" si="33"/>
        <v>43923</v>
      </c>
      <c r="Y107" s="385">
        <f t="shared" si="34"/>
        <v>16.295000000000002</v>
      </c>
      <c r="Z107" s="385">
        <f t="shared" si="35"/>
        <v>16.55183407600915</v>
      </c>
      <c r="AA107" s="386">
        <f t="shared" si="36"/>
        <v>18.139973799252857</v>
      </c>
      <c r="AB107" s="197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8.7549174040654917E-2</v>
      </c>
      <c r="AD107" s="231">
        <f>(INDEX(Models!$BJ107:$BT107,,AH107)*(1-AF107)+INDEX(Models!$BJ107:$BT107,,AH107+1)*AF107-ERP_i)*AE107*Ramure*Pc/MaxiM</f>
        <v>0</v>
      </c>
      <c r="AE107" s="305">
        <f t="shared" si="38"/>
        <v>0.7</v>
      </c>
      <c r="AF107" s="177">
        <f t="shared" si="39"/>
        <v>0.91689831586612458</v>
      </c>
      <c r="AG107" s="817">
        <f t="shared" si="47"/>
        <v>-2</v>
      </c>
      <c r="AH107" s="176">
        <f t="shared" si="40"/>
        <v>4</v>
      </c>
      <c r="AI107" s="225">
        <f t="shared" si="41"/>
        <v>-1.0831016841338754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43924</v>
      </c>
      <c r="B108" s="617">
        <v>35.634999999999998</v>
      </c>
      <c r="C108" s="390"/>
      <c r="D108" s="393">
        <f t="shared" si="24"/>
        <v>36.197454817685738</v>
      </c>
      <c r="E108" s="385">
        <f t="shared" si="45"/>
        <v>39.674347557533999</v>
      </c>
      <c r="F108" s="385">
        <f t="shared" si="25"/>
        <v>39.674347557533999</v>
      </c>
      <c r="G108" s="110">
        <f t="shared" si="46"/>
        <v>1.0332804704071055</v>
      </c>
      <c r="H108" s="414" t="b">
        <f>Wh_hp&gt;='2019'!Maxi_hp</f>
        <v>1</v>
      </c>
      <c r="I108" s="380">
        <f>IF(H108,Wh_hp,'2019'!Maxi_hp)</f>
        <v>39.674347557533999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1.5538518399114909E-2</v>
      </c>
      <c r="M108" s="850"/>
      <c r="N108" s="850"/>
      <c r="O108" s="48">
        <f>IF(t&lt;Tnet,'2019'!Resal+('2019'!Salim-'2019'!Resal)*(1-EXP(('2019'!Tnet-t)/('2019'!Tau_j))),Resal+(Salim-Resal)*(1-EXP((Tnet-t)/(Tau_j))))*Salcycl</f>
        <v>8.7635788712245838E-2</v>
      </c>
      <c r="P108" s="169">
        <f>(INDEX(Models!$BJ108:$BT108,,T108)*(1-R108)+INDEX(Models!$BJ108:$BT108,,T108+1)*R108-ERP_i)*Q108*Ramure*Pc/MaxiM</f>
        <v>0</v>
      </c>
      <c r="Q108" s="305">
        <f t="shared" si="27"/>
        <v>0.7</v>
      </c>
      <c r="R108" s="177">
        <f t="shared" si="28"/>
        <v>0.91758125162784832</v>
      </c>
      <c r="S108" s="817">
        <f t="shared" si="29"/>
        <v>-2</v>
      </c>
      <c r="T108" s="176">
        <f t="shared" si="30"/>
        <v>4</v>
      </c>
      <c r="U108" s="251">
        <f t="shared" si="31"/>
        <v>-1.0824187483721517</v>
      </c>
      <c r="V108" s="383">
        <f t="shared" si="32"/>
        <v>34.487248158246956</v>
      </c>
      <c r="W108" s="402"/>
      <c r="X108" s="157">
        <f t="shared" si="33"/>
        <v>43924</v>
      </c>
      <c r="Y108" s="385">
        <f t="shared" si="34"/>
        <v>35.634999999999998</v>
      </c>
      <c r="Z108" s="385">
        <f t="shared" si="35"/>
        <v>36.197454817685738</v>
      </c>
      <c r="AA108" s="386">
        <f t="shared" si="36"/>
        <v>39.674347557533999</v>
      </c>
      <c r="AB108" s="197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8.7635788712245838E-2</v>
      </c>
      <c r="AD108" s="231">
        <f>(INDEX(Models!$BJ108:$BT108,,AH108)*(1-AF108)+INDEX(Models!$BJ108:$BT108,,AH108+1)*AF108-ERP_i)*AE108*Ramure*Pc/MaxiM</f>
        <v>0</v>
      </c>
      <c r="AE108" s="305">
        <f t="shared" si="38"/>
        <v>0.7</v>
      </c>
      <c r="AF108" s="177">
        <f t="shared" si="39"/>
        <v>0.91758125162784832</v>
      </c>
      <c r="AG108" s="817">
        <f t="shared" si="47"/>
        <v>-2</v>
      </c>
      <c r="AH108" s="176">
        <f t="shared" si="40"/>
        <v>4</v>
      </c>
      <c r="AI108" s="225">
        <f t="shared" si="41"/>
        <v>-1.0824187483721517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43925</v>
      </c>
      <c r="B109" s="617">
        <v>35.518999999999998</v>
      </c>
      <c r="C109" s="390"/>
      <c r="D109" s="393">
        <f t="shared" si="24"/>
        <v>36.080414153468091</v>
      </c>
      <c r="E109" s="385">
        <f t="shared" si="45"/>
        <v>39.549856186864908</v>
      </c>
      <c r="F109" s="385">
        <f t="shared" si="25"/>
        <v>39.549856186864908</v>
      </c>
      <c r="G109" s="110">
        <f t="shared" si="46"/>
        <v>1.0248335768948438</v>
      </c>
      <c r="H109" s="414" t="b">
        <f>Wh_hp&gt;='2019'!Maxi_hp</f>
        <v>1</v>
      </c>
      <c r="I109" s="380">
        <f>IF(H109,Wh_hp,'2019'!Maxi_hp)</f>
        <v>39.549856186864908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1.5560080632115669E-2</v>
      </c>
      <c r="M109" s="850"/>
      <c r="N109" s="850"/>
      <c r="O109" s="48">
        <f>IF(t&lt;Tnet,'2019'!Resal+('2019'!Salim-'2019'!Resal)*(1-EXP(('2019'!Tnet-t)/('2019'!Tau_j))),Resal+(Salim-Resal)*(1-EXP((Tnet-t)/(Tau_j))))*Salcycl</f>
        <v>8.77232528230803E-2</v>
      </c>
      <c r="P109" s="169">
        <f>(INDEX(Models!$BJ109:$BT109,,T109)*(1-R109)+INDEX(Models!$BJ109:$BT109,,T109+1)*R109-ERP_i)*Q109*Ramure*Pc/MaxiM</f>
        <v>0</v>
      </c>
      <c r="Q109" s="305">
        <f t="shared" si="27"/>
        <v>0.7</v>
      </c>
      <c r="R109" s="177">
        <f t="shared" si="28"/>
        <v>0.91828934275065843</v>
      </c>
      <c r="S109" s="817">
        <f t="shared" si="29"/>
        <v>-2</v>
      </c>
      <c r="T109" s="176">
        <f t="shared" si="30"/>
        <v>4</v>
      </c>
      <c r="U109" s="251">
        <f t="shared" si="31"/>
        <v>-1.0817106572493416</v>
      </c>
      <c r="V109" s="383">
        <f t="shared" si="32"/>
        <v>34.658310188879128</v>
      </c>
      <c r="W109" s="402"/>
      <c r="X109" s="157">
        <f t="shared" si="33"/>
        <v>43925</v>
      </c>
      <c r="Y109" s="385">
        <f t="shared" si="34"/>
        <v>35.518999999999998</v>
      </c>
      <c r="Z109" s="385">
        <f t="shared" si="35"/>
        <v>36.080414153468091</v>
      </c>
      <c r="AA109" s="386">
        <f t="shared" si="36"/>
        <v>39.549856186864908</v>
      </c>
      <c r="AB109" s="197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8.77232528230803E-2</v>
      </c>
      <c r="AD109" s="231">
        <f>(INDEX(Models!$BJ109:$BT109,,AH109)*(1-AF109)+INDEX(Models!$BJ109:$BT109,,AH109+1)*AF109-ERP_i)*AE109*Ramure*Pc/MaxiM</f>
        <v>0</v>
      </c>
      <c r="AE109" s="305">
        <f t="shared" si="38"/>
        <v>0.7</v>
      </c>
      <c r="AF109" s="177">
        <f t="shared" si="39"/>
        <v>0.91828934275065843</v>
      </c>
      <c r="AG109" s="817">
        <f t="shared" si="47"/>
        <v>-2</v>
      </c>
      <c r="AH109" s="176">
        <f t="shared" si="40"/>
        <v>4</v>
      </c>
      <c r="AI109" s="225">
        <f t="shared" si="41"/>
        <v>-1.0817106572493416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4"/>
        <v>43926</v>
      </c>
      <c r="B110" s="617">
        <v>35.447000000000003</v>
      </c>
      <c r="C110" s="390"/>
      <c r="D110" s="393">
        <f t="shared" si="24"/>
        <v>36.008064788797562</v>
      </c>
      <c r="E110" s="385">
        <f t="shared" si="45"/>
        <v>39.474372462150207</v>
      </c>
      <c r="F110" s="385">
        <f t="shared" si="25"/>
        <v>39.474372462150207</v>
      </c>
      <c r="G110" s="110">
        <f t="shared" si="46"/>
        <v>1.0179027410402692</v>
      </c>
      <c r="H110" s="414" t="b">
        <f>Wh_hp&gt;='2019'!Maxi_hp</f>
        <v>1</v>
      </c>
      <c r="I110" s="380">
        <f>IF(H110,Wh_hp,'2019'!Maxi_hp)</f>
        <v>39.474372462150207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1.5581642392848316E-2</v>
      </c>
      <c r="M110" s="850"/>
      <c r="N110" s="850"/>
      <c r="O110" s="48">
        <f>IF(t&lt;Tnet,'2019'!Resal+('2019'!Salim-'2019'!Resal)*(1-EXP(('2019'!Tnet-t)/('2019'!Tau_j))),Resal+(Salim-Resal)*(1-EXP((Tnet-t)/(Tau_j))))*Salcycl</f>
        <v>8.7811596667592251E-2</v>
      </c>
      <c r="P110" s="169">
        <f>(INDEX(Models!$BJ110:$BT110,,T110)*(1-R110)+INDEX(Models!$BJ110:$BT110,,T110+1)*R110-ERP_i)*Q110*Ramure*Pc/MaxiM</f>
        <v>0</v>
      </c>
      <c r="Q110" s="305">
        <f t="shared" si="27"/>
        <v>0.7</v>
      </c>
      <c r="R110" s="177">
        <f t="shared" si="28"/>
        <v>0.91902337361582975</v>
      </c>
      <c r="S110" s="817">
        <f t="shared" si="29"/>
        <v>-2</v>
      </c>
      <c r="T110" s="176">
        <f t="shared" si="30"/>
        <v>4</v>
      </c>
      <c r="U110" s="251">
        <f t="shared" si="31"/>
        <v>-1.0809766263841702</v>
      </c>
      <c r="V110" s="383">
        <f t="shared" si="32"/>
        <v>34.8235627735653</v>
      </c>
      <c r="W110" s="402"/>
      <c r="X110" s="157">
        <f t="shared" si="33"/>
        <v>43926</v>
      </c>
      <c r="Y110" s="385">
        <f t="shared" si="34"/>
        <v>35.447000000000003</v>
      </c>
      <c r="Z110" s="385">
        <f t="shared" si="35"/>
        <v>36.008064788797562</v>
      </c>
      <c r="AA110" s="386">
        <f t="shared" si="36"/>
        <v>39.474372462150207</v>
      </c>
      <c r="AB110" s="197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8.7811596667592251E-2</v>
      </c>
      <c r="AD110" s="231">
        <f>(INDEX(Models!$BJ110:$BT110,,AH110)*(1-AF110)+INDEX(Models!$BJ110:$BT110,,AH110+1)*AF110-ERP_i)*AE110*Ramure*Pc/MaxiM</f>
        <v>0</v>
      </c>
      <c r="AE110" s="305">
        <f t="shared" si="38"/>
        <v>0.7</v>
      </c>
      <c r="AF110" s="177">
        <f t="shared" si="39"/>
        <v>0.91902337361582975</v>
      </c>
      <c r="AG110" s="817">
        <f t="shared" si="47"/>
        <v>-2</v>
      </c>
      <c r="AH110" s="176">
        <f t="shared" si="40"/>
        <v>4</v>
      </c>
      <c r="AI110" s="225">
        <f t="shared" si="41"/>
        <v>-1.0809766263841702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43927</v>
      </c>
      <c r="B111" s="617">
        <v>19.048999999999999</v>
      </c>
      <c r="C111" s="390"/>
      <c r="D111" s="393">
        <f t="shared" si="24"/>
        <v>19.350936605276498</v>
      </c>
      <c r="E111" s="385">
        <f t="shared" si="45"/>
        <v>21.215825712388746</v>
      </c>
      <c r="F111" s="385">
        <f t="shared" si="25"/>
        <v>21.215825712388746</v>
      </c>
      <c r="G111" s="110">
        <f t="shared" si="46"/>
        <v>0.54451404695619887</v>
      </c>
      <c r="H111" s="414" t="b">
        <f>Wh_hp&gt;='2019'!Maxi_hp</f>
        <v>0</v>
      </c>
      <c r="I111" s="380">
        <f>IF(H111,Wh_hp,'2019'!Maxi_hp)</f>
        <v>24.406826432818441</v>
      </c>
      <c r="J111" s="85">
        <f>IF(H111,An,'2019'!An_max)</f>
        <v>2019</v>
      </c>
      <c r="K111" s="197">
        <f t="shared" si="26"/>
        <v>43927</v>
      </c>
      <c r="L111" s="147">
        <f>IF(t&lt;Tvie,1-EXP((T0-t)*PertePVj)+'2019'!Pspv,1-EXP((T0-t)*PertePVj)+Pspv)</f>
        <v>1.5603203681323063E-2</v>
      </c>
      <c r="M111" s="850"/>
      <c r="N111" s="850"/>
      <c r="O111" s="48">
        <f>IF(t&lt;Tnet,'2019'!Resal+('2019'!Salim-'2019'!Resal)*(1-EXP(('2019'!Tnet-t)/('2019'!Tau_j))),Resal+(Salim-Resal)*(1-EXP((Tnet-t)/(Tau_j))))*Salcycl</f>
        <v>8.7900849695577349E-2</v>
      </c>
      <c r="P111" s="169">
        <f>(INDEX(Models!$BJ111:$BT111,,T111)*(1-R111)+INDEX(Models!$BJ111:$BT111,,T111+1)*R111-ERP_i)*Q111*Ramure*Pc/MaxiM</f>
        <v>0</v>
      </c>
      <c r="Q111" s="305">
        <f t="shared" si="27"/>
        <v>0.7</v>
      </c>
      <c r="R111" s="177">
        <f t="shared" si="28"/>
        <v>0.91978414170925937</v>
      </c>
      <c r="S111" s="817">
        <f t="shared" si="29"/>
        <v>-2</v>
      </c>
      <c r="T111" s="176">
        <f t="shared" si="30"/>
        <v>4</v>
      </c>
      <c r="U111" s="251">
        <f t="shared" si="31"/>
        <v>-1.0802158582907406</v>
      </c>
      <c r="V111" s="383">
        <f t="shared" si="32"/>
        <v>34.983486847552918</v>
      </c>
      <c r="W111" s="402"/>
      <c r="X111" s="157">
        <f t="shared" si="33"/>
        <v>43927</v>
      </c>
      <c r="Y111" s="385">
        <f t="shared" si="34"/>
        <v>19.048999999999999</v>
      </c>
      <c r="Z111" s="385">
        <f t="shared" si="35"/>
        <v>19.350936605276498</v>
      </c>
      <c r="AA111" s="386">
        <f t="shared" si="36"/>
        <v>21.215825712388746</v>
      </c>
      <c r="AB111" s="197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8.7900849695577349E-2</v>
      </c>
      <c r="AD111" s="231">
        <f>(INDEX(Models!$BJ111:$BT111,,AH111)*(1-AF111)+INDEX(Models!$BJ111:$BT111,,AH111+1)*AF111-ERP_i)*AE111*Ramure*Pc/MaxiM</f>
        <v>0</v>
      </c>
      <c r="AE111" s="305">
        <f t="shared" si="38"/>
        <v>0.7</v>
      </c>
      <c r="AF111" s="177">
        <f t="shared" si="39"/>
        <v>0.91978414170925937</v>
      </c>
      <c r="AG111" s="817">
        <f t="shared" si="47"/>
        <v>-2</v>
      </c>
      <c r="AH111" s="176">
        <f t="shared" si="40"/>
        <v>4</v>
      </c>
      <c r="AI111" s="225">
        <f t="shared" si="41"/>
        <v>-1.0802158582907406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4"/>
        <v>43928</v>
      </c>
      <c r="B112" s="617">
        <v>21.33</v>
      </c>
      <c r="C112" s="390"/>
      <c r="D112" s="393">
        <f t="shared" si="24"/>
        <v>21.668566244570986</v>
      </c>
      <c r="E112" s="385">
        <f t="shared" si="45"/>
        <v>23.759159400481455</v>
      </c>
      <c r="F112" s="385">
        <f t="shared" si="25"/>
        <v>23.759159400481455</v>
      </c>
      <c r="G112" s="110">
        <f t="shared" si="46"/>
        <v>0.60702538971266318</v>
      </c>
      <c r="H112" s="414" t="b">
        <f>Wh_hp&gt;='2019'!Maxi_hp</f>
        <v>1</v>
      </c>
      <c r="I112" s="380">
        <f>IF(H112,Wh_hp,'2019'!Maxi_hp)</f>
        <v>23.759159400481455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1.5624764497550236E-2</v>
      </c>
      <c r="M112" s="850"/>
      <c r="N112" s="850"/>
      <c r="O112" s="48">
        <f>IF(t&lt;Tnet,'2019'!Resal+('2019'!Salim-'2019'!Resal)*(1-EXP(('2019'!Tnet-t)/('2019'!Tau_j))),Resal+(Salim-Resal)*(1-EXP((Tnet-t)/(Tau_j))))*Salcycl</f>
        <v>8.7991040451881677E-2</v>
      </c>
      <c r="P112" s="169">
        <f>(INDEX(Models!$BJ112:$BT112,,T112)*(1-R112)+INDEX(Models!$BJ112:$BT112,,T112+1)*R112-ERP_i)*Q112*Ramure*Pc/MaxiM</f>
        <v>0</v>
      </c>
      <c r="Q112" s="305">
        <f t="shared" si="27"/>
        <v>0.7</v>
      </c>
      <c r="R112" s="177">
        <f t="shared" si="28"/>
        <v>0.92057245686844547</v>
      </c>
      <c r="S112" s="817">
        <f t="shared" si="29"/>
        <v>-2</v>
      </c>
      <c r="T112" s="176">
        <f t="shared" si="30"/>
        <v>4</v>
      </c>
      <c r="U112" s="251">
        <f t="shared" si="31"/>
        <v>-1.0794275431315545</v>
      </c>
      <c r="V112" s="383">
        <f t="shared" si="32"/>
        <v>35.138563166355532</v>
      </c>
      <c r="W112" s="402"/>
      <c r="X112" s="157">
        <f t="shared" si="33"/>
        <v>43928</v>
      </c>
      <c r="Y112" s="385">
        <f t="shared" si="34"/>
        <v>21.33</v>
      </c>
      <c r="Z112" s="385">
        <f t="shared" si="35"/>
        <v>21.668566244570986</v>
      </c>
      <c r="AA112" s="386">
        <f t="shared" si="36"/>
        <v>23.759159400481455</v>
      </c>
      <c r="AB112" s="197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8.7991040451881677E-2</v>
      </c>
      <c r="AD112" s="231">
        <f>(INDEX(Models!$BJ112:$BT112,,AH112)*(1-AF112)+INDEX(Models!$BJ112:$BT112,,AH112+1)*AF112-ERP_i)*AE112*Ramure*Pc/MaxiM</f>
        <v>0</v>
      </c>
      <c r="AE112" s="305">
        <f t="shared" si="38"/>
        <v>0.7</v>
      </c>
      <c r="AF112" s="177">
        <f t="shared" si="39"/>
        <v>0.92057245686844547</v>
      </c>
      <c r="AG112" s="817">
        <f t="shared" si="47"/>
        <v>-2</v>
      </c>
      <c r="AH112" s="176">
        <f t="shared" si="40"/>
        <v>4</v>
      </c>
      <c r="AI112" s="225">
        <f t="shared" si="41"/>
        <v>-1.0794275431315545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43929</v>
      </c>
      <c r="B113" s="617">
        <v>29.887</v>
      </c>
      <c r="C113" s="390"/>
      <c r="D113" s="393">
        <f t="shared" si="24"/>
        <v>30.362054568637472</v>
      </c>
      <c r="E113" s="385">
        <f t="shared" si="45"/>
        <v>33.294727279888392</v>
      </c>
      <c r="F113" s="385">
        <f t="shared" si="25"/>
        <v>33.294727279888392</v>
      </c>
      <c r="G113" s="110">
        <f t="shared" si="46"/>
        <v>0.84691460194714985</v>
      </c>
      <c r="H113" s="414" t="b">
        <f>Wh_hp&gt;='2019'!Maxi_hp</f>
        <v>1</v>
      </c>
      <c r="I113" s="380">
        <f>IF(H113,Wh_hp,'2019'!Maxi_hp)</f>
        <v>33.294727279888392</v>
      </c>
      <c r="J113" s="85">
        <f>IF(H113,An,'2019'!An_max)</f>
        <v>2020</v>
      </c>
      <c r="K113" s="197">
        <f t="shared" si="26"/>
        <v>43929</v>
      </c>
      <c r="L113" s="147">
        <f>IF(t&lt;Tvie,1-EXP((T0-t)*PertePVj)+'2019'!Pspv,1-EXP((T0-t)*PertePVj)+Pspv)</f>
        <v>1.564632484154016E-2</v>
      </c>
      <c r="M113" s="850"/>
      <c r="N113" s="850"/>
      <c r="O113" s="48">
        <f>IF(t&lt;Tnet,'2019'!Resal+('2019'!Salim-'2019'!Resal)*(1-EXP(('2019'!Tnet-t)/('2019'!Tau_j))),Resal+(Salim-Resal)*(1-EXP((Tnet-t)/(Tau_j))))*Salcycl</f>
        <v>8.8082196517116282E-2</v>
      </c>
      <c r="P113" s="169">
        <f>(INDEX(Models!$BJ113:$BT113,,T113)*(1-R113)+INDEX(Models!$BJ113:$BT113,,T113+1)*R113-ERP_i)*Q113*Ramure*Pc/MaxiM</f>
        <v>0</v>
      </c>
      <c r="Q113" s="305">
        <f t="shared" si="27"/>
        <v>0.7</v>
      </c>
      <c r="R113" s="177">
        <f t="shared" si="28"/>
        <v>0.92138914042937414</v>
      </c>
      <c r="S113" s="817">
        <f t="shared" si="29"/>
        <v>-2</v>
      </c>
      <c r="T113" s="176">
        <f t="shared" si="30"/>
        <v>4</v>
      </c>
      <c r="U113" s="251">
        <f t="shared" si="31"/>
        <v>-1.0786108595706259</v>
      </c>
      <c r="V113" s="383">
        <f t="shared" si="32"/>
        <v>35.289272296506049</v>
      </c>
      <c r="W113" s="402"/>
      <c r="X113" s="157">
        <f t="shared" si="33"/>
        <v>43929</v>
      </c>
      <c r="Y113" s="385">
        <f t="shared" si="34"/>
        <v>29.887</v>
      </c>
      <c r="Z113" s="385">
        <f t="shared" si="35"/>
        <v>30.362054568637472</v>
      </c>
      <c r="AA113" s="386">
        <f t="shared" si="36"/>
        <v>33.294727279888392</v>
      </c>
      <c r="AB113" s="197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8.8082196517116282E-2</v>
      </c>
      <c r="AD113" s="231">
        <f>(INDEX(Models!$BJ113:$BT113,,AH113)*(1-AF113)+INDEX(Models!$BJ113:$BT113,,AH113+1)*AF113-ERP_i)*AE113*Ramure*Pc/MaxiM</f>
        <v>0</v>
      </c>
      <c r="AE113" s="305">
        <f t="shared" si="38"/>
        <v>0.7</v>
      </c>
      <c r="AF113" s="177">
        <f t="shared" si="39"/>
        <v>0.92138914042937414</v>
      </c>
      <c r="AG113" s="817">
        <f t="shared" si="47"/>
        <v>-2</v>
      </c>
      <c r="AH113" s="176">
        <f t="shared" si="40"/>
        <v>4</v>
      </c>
      <c r="AI113" s="225">
        <f t="shared" si="41"/>
        <v>-1.0786108595706259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43930</v>
      </c>
      <c r="B114" s="617">
        <v>34.582999999999998</v>
      </c>
      <c r="C114" s="390"/>
      <c r="D114" s="393">
        <f t="shared" si="24"/>
        <v>35.133467112294056</v>
      </c>
      <c r="E114" s="385">
        <f t="shared" si="45"/>
        <v>38.530904343836326</v>
      </c>
      <c r="F114" s="385">
        <f t="shared" si="25"/>
        <v>38.530904343836326</v>
      </c>
      <c r="G114" s="110">
        <f t="shared" si="46"/>
        <v>0.97592582839162223</v>
      </c>
      <c r="H114" s="414" t="b">
        <f>Wh_hp&gt;='2019'!Maxi_hp</f>
        <v>1</v>
      </c>
      <c r="I114" s="380">
        <f>IF(H114,Wh_hp,'2019'!Maxi_hp)</f>
        <v>38.530904343836326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1.5667884713303271E-2</v>
      </c>
      <c r="M114" s="850"/>
      <c r="N114" s="850"/>
      <c r="O114" s="48">
        <f>IF(t&lt;Tnet,'2019'!Resal+('2019'!Salim-'2019'!Resal)*(1-EXP(('2019'!Tnet-t)/('2019'!Tau_j))),Resal+(Salim-Resal)*(1-EXP((Tnet-t)/(Tau_j))))*Salcycl</f>
        <v>8.817434444893188E-2</v>
      </c>
      <c r="P114" s="169">
        <f>(INDEX(Models!$BJ114:$BT114,,T114)*(1-R114)+INDEX(Models!$BJ114:$BT114,,T114+1)*R114-ERP_i)*Q114*Ramure*Pc/MaxiM</f>
        <v>0</v>
      </c>
      <c r="Q114" s="305">
        <f t="shared" si="27"/>
        <v>0.7</v>
      </c>
      <c r="R114" s="177">
        <f t="shared" si="28"/>
        <v>0.92223502426758941</v>
      </c>
      <c r="S114" s="817">
        <f t="shared" si="29"/>
        <v>-2</v>
      </c>
      <c r="T114" s="176">
        <f t="shared" si="30"/>
        <v>4</v>
      </c>
      <c r="U114" s="251">
        <f t="shared" si="31"/>
        <v>-1.0777649757324106</v>
      </c>
      <c r="V114" s="383">
        <f t="shared" si="32"/>
        <v>35.436094623086902</v>
      </c>
      <c r="W114" s="402"/>
      <c r="X114" s="157">
        <f t="shared" si="33"/>
        <v>43930</v>
      </c>
      <c r="Y114" s="385">
        <f t="shared" si="34"/>
        <v>34.582999999999998</v>
      </c>
      <c r="Z114" s="385">
        <f t="shared" si="35"/>
        <v>35.133467112294056</v>
      </c>
      <c r="AA114" s="386">
        <f t="shared" si="36"/>
        <v>38.530904343836326</v>
      </c>
      <c r="AB114" s="197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8.817434444893188E-2</v>
      </c>
      <c r="AD114" s="231">
        <f>(INDEX(Models!$BJ114:$BT114,,AH114)*(1-AF114)+INDEX(Models!$BJ114:$BT114,,AH114+1)*AF114-ERP_i)*AE114*Ramure*Pc/MaxiM</f>
        <v>0</v>
      </c>
      <c r="AE114" s="305">
        <f t="shared" si="38"/>
        <v>0.7</v>
      </c>
      <c r="AF114" s="177">
        <f t="shared" si="39"/>
        <v>0.92223502426758941</v>
      </c>
      <c r="AG114" s="817">
        <f t="shared" si="47"/>
        <v>-2</v>
      </c>
      <c r="AH114" s="176">
        <f t="shared" si="40"/>
        <v>4</v>
      </c>
      <c r="AI114" s="225">
        <f t="shared" si="41"/>
        <v>-1.0777649757324106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43931</v>
      </c>
      <c r="B115" s="617">
        <v>35.277999999999999</v>
      </c>
      <c r="C115" s="390"/>
      <c r="D115" s="393">
        <f t="shared" si="24"/>
        <v>35.840314613109328</v>
      </c>
      <c r="E115" s="385">
        <f t="shared" si="45"/>
        <v>39.310121110453636</v>
      </c>
      <c r="F115" s="385">
        <f t="shared" si="25"/>
        <v>39.310121110453636</v>
      </c>
      <c r="G115" s="110">
        <f t="shared" si="46"/>
        <v>0.99152573098453334</v>
      </c>
      <c r="H115" s="414" t="b">
        <f>Wh_hp&gt;='2019'!Maxi_hp</f>
        <v>1</v>
      </c>
      <c r="I115" s="380">
        <f>IF(H115,Wh_hp,'2019'!Maxi_hp)</f>
        <v>39.310121110453636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1.5689444112849782E-2</v>
      </c>
      <c r="M115" s="850"/>
      <c r="N115" s="850"/>
      <c r="O115" s="48">
        <f>IF(t&lt;Tnet,'2019'!Resal+('2019'!Salim-'2019'!Resal)*(1-EXP(('2019'!Tnet-t)/('2019'!Tau_j))),Resal+(Salim-Resal)*(1-EXP((Tnet-t)/(Tau_j))))*Salcycl</f>
        <v>8.8267509723382417E-2</v>
      </c>
      <c r="P115" s="169">
        <f>(INDEX(Models!$BJ115:$BT115,,T115)*(1-R115)+INDEX(Models!$BJ115:$BT115,,T115+1)*R115-ERP_i)*Q115*Ramure*Pc/MaxiM</f>
        <v>0</v>
      </c>
      <c r="Q115" s="305">
        <f t="shared" si="27"/>
        <v>0.7</v>
      </c>
      <c r="R115" s="177">
        <f t="shared" si="28"/>
        <v>0.92311094972773167</v>
      </c>
      <c r="S115" s="817">
        <f t="shared" si="29"/>
        <v>-2</v>
      </c>
      <c r="T115" s="176">
        <f t="shared" si="30"/>
        <v>4</v>
      </c>
      <c r="U115" s="251">
        <f t="shared" si="31"/>
        <v>-1.0768890502722683</v>
      </c>
      <c r="V115" s="383">
        <f t="shared" si="32"/>
        <v>35.579510342077342</v>
      </c>
      <c r="W115" s="402"/>
      <c r="X115" s="157">
        <f t="shared" si="33"/>
        <v>43931</v>
      </c>
      <c r="Y115" s="385">
        <f t="shared" si="34"/>
        <v>35.277999999999999</v>
      </c>
      <c r="Z115" s="385">
        <f t="shared" si="35"/>
        <v>35.840314613109328</v>
      </c>
      <c r="AA115" s="386">
        <f t="shared" si="36"/>
        <v>39.310121110453636</v>
      </c>
      <c r="AB115" s="197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8.8267509723382417E-2</v>
      </c>
      <c r="AD115" s="231">
        <f>(INDEX(Models!$BJ115:$BT115,,AH115)*(1-AF115)+INDEX(Models!$BJ115:$BT115,,AH115+1)*AF115-ERP_i)*AE115*Ramure*Pc/MaxiM</f>
        <v>0</v>
      </c>
      <c r="AE115" s="305">
        <f t="shared" si="38"/>
        <v>0.7</v>
      </c>
      <c r="AF115" s="177">
        <f t="shared" si="39"/>
        <v>0.92311094972773167</v>
      </c>
      <c r="AG115" s="817">
        <f t="shared" si="47"/>
        <v>-2</v>
      </c>
      <c r="AH115" s="176">
        <f t="shared" si="40"/>
        <v>4</v>
      </c>
      <c r="AI115" s="225">
        <f t="shared" si="41"/>
        <v>-1.0768890502722683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43932</v>
      </c>
      <c r="B116" s="617">
        <v>34.746000000000002</v>
      </c>
      <c r="C116" s="390"/>
      <c r="D116" s="393">
        <f t="shared" si="24"/>
        <v>35.300607958963845</v>
      </c>
      <c r="E116" s="385">
        <f t="shared" si="45"/>
        <v>38.722164925158651</v>
      </c>
      <c r="F116" s="385">
        <f t="shared" si="25"/>
        <v>38.722164925158651</v>
      </c>
      <c r="G116" s="110">
        <f t="shared" si="46"/>
        <v>0.97273237739642704</v>
      </c>
      <c r="H116" s="414" t="b">
        <f>Wh_hp&gt;='2019'!Maxi_hp</f>
        <v>0</v>
      </c>
      <c r="I116" s="380">
        <f>IF(H116,Wh_hp,'2019'!Maxi_hp)</f>
        <v>40.636382536630947</v>
      </c>
      <c r="J116" s="85">
        <f>IF(H116,An,'2019'!An_max)</f>
        <v>2019</v>
      </c>
      <c r="K116" s="197">
        <f t="shared" si="26"/>
        <v>43932</v>
      </c>
      <c r="L116" s="147">
        <f>IF(t&lt;Tvie,1-EXP((T0-t)*PertePVj)+'2019'!Pspv,1-EXP((T0-t)*PertePVj)+Pspv)</f>
        <v>1.571100304019013E-2</v>
      </c>
      <c r="M116" s="850"/>
      <c r="N116" s="850"/>
      <c r="O116" s="48">
        <f>IF(t&lt;Tnet,'2019'!Resal+('2019'!Salim-'2019'!Resal)*(1-EXP(('2019'!Tnet-t)/('2019'!Tau_j))),Resal+(Salim-Resal)*(1-EXP((Tnet-t)/(Tau_j))))*Salcycl</f>
        <v>8.8361716675911972E-2</v>
      </c>
      <c r="P116" s="169">
        <f>(INDEX(Models!$BJ116:$BT116,,T116)*(1-R116)+INDEX(Models!$BJ116:$BT116,,T116+1)*R116-ERP_i)*Q116*Ramure*Pc/MaxiM</f>
        <v>0</v>
      </c>
      <c r="Q116" s="305">
        <f t="shared" si="27"/>
        <v>0.7</v>
      </c>
      <c r="R116" s="177">
        <f t="shared" si="28"/>
        <v>0.92401776643588196</v>
      </c>
      <c r="S116" s="817">
        <f t="shared" si="29"/>
        <v>-2</v>
      </c>
      <c r="T116" s="176">
        <f t="shared" si="30"/>
        <v>4</v>
      </c>
      <c r="U116" s="251">
        <f t="shared" si="31"/>
        <v>-1.075982233564118</v>
      </c>
      <c r="V116" s="383">
        <f t="shared" si="32"/>
        <v>35.719999464806165</v>
      </c>
      <c r="W116" s="402"/>
      <c r="X116" s="157">
        <f t="shared" si="33"/>
        <v>43932</v>
      </c>
      <c r="Y116" s="385">
        <f t="shared" si="34"/>
        <v>34.746000000000002</v>
      </c>
      <c r="Z116" s="385">
        <f t="shared" si="35"/>
        <v>35.300607958963845</v>
      </c>
      <c r="AA116" s="386">
        <f t="shared" si="36"/>
        <v>38.722164925158651</v>
      </c>
      <c r="AB116" s="197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8.8361716675911972E-2</v>
      </c>
      <c r="AD116" s="231">
        <f>(INDEX(Models!$BJ116:$BT116,,AH116)*(1-AF116)+INDEX(Models!$BJ116:$BT116,,AH116+1)*AF116-ERP_i)*AE116*Ramure*Pc/MaxiM</f>
        <v>0</v>
      </c>
      <c r="AE116" s="305">
        <f t="shared" si="38"/>
        <v>0.7</v>
      </c>
      <c r="AF116" s="177">
        <f t="shared" si="39"/>
        <v>0.92401776643588196</v>
      </c>
      <c r="AG116" s="817">
        <f t="shared" si="47"/>
        <v>-2</v>
      </c>
      <c r="AH116" s="176">
        <f t="shared" si="40"/>
        <v>4</v>
      </c>
      <c r="AI116" s="225">
        <f t="shared" si="41"/>
        <v>-1.075982233564118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43933</v>
      </c>
      <c r="B117" s="617">
        <v>27.062999999999999</v>
      </c>
      <c r="C117" s="390"/>
      <c r="D117" s="393">
        <f t="shared" si="24"/>
        <v>27.495575837716512</v>
      </c>
      <c r="E117" s="385">
        <f t="shared" si="45"/>
        <v>30.163772294964627</v>
      </c>
      <c r="F117" s="385">
        <f t="shared" si="25"/>
        <v>30.163772294964627</v>
      </c>
      <c r="G117" s="110">
        <f t="shared" si="46"/>
        <v>0.75472609859632711</v>
      </c>
      <c r="H117" s="414" t="b">
        <f>Wh_hp&gt;='2019'!Maxi_hp</f>
        <v>0</v>
      </c>
      <c r="I117" s="380">
        <f>IF(H117,Wh_hp,'2019'!Maxi_hp)</f>
        <v>40.953213285754423</v>
      </c>
      <c r="J117" s="85">
        <f>IF(H117,An,'2019'!An_max)</f>
        <v>2019</v>
      </c>
      <c r="K117" s="197">
        <f t="shared" si="26"/>
        <v>43933</v>
      </c>
      <c r="L117" s="147">
        <f>IF(t&lt;Tvie,1-EXP((T0-t)*PertePVj)+'2019'!Pspv,1-EXP((T0-t)*PertePVj)+Pspv)</f>
        <v>1.573256149533464E-2</v>
      </c>
      <c r="M117" s="850"/>
      <c r="N117" s="850"/>
      <c r="O117" s="48">
        <f>IF(t&lt;Tnet,'2019'!Resal+('2019'!Salim-'2019'!Resal)*(1-EXP(('2019'!Tnet-t)/('2019'!Tau_j))),Resal+(Salim-Resal)*(1-EXP((Tnet-t)/(Tau_j))))*Salcycl</f>
        <v>8.8456988441512993E-2</v>
      </c>
      <c r="P117" s="169">
        <f>(INDEX(Models!$BJ117:$BT117,,T117)*(1-R117)+INDEX(Models!$BJ117:$BT117,,T117+1)*R117-ERP_i)*Q117*Ramure*Pc/MaxiM</f>
        <v>0</v>
      </c>
      <c r="Q117" s="305">
        <f t="shared" si="27"/>
        <v>0.7</v>
      </c>
      <c r="R117" s="177">
        <f t="shared" si="28"/>
        <v>0.9249563309891542</v>
      </c>
      <c r="S117" s="817">
        <f t="shared" si="29"/>
        <v>-2</v>
      </c>
      <c r="T117" s="176">
        <f t="shared" si="30"/>
        <v>4</v>
      </c>
      <c r="U117" s="251">
        <f t="shared" si="31"/>
        <v>-1.0750436690108458</v>
      </c>
      <c r="V117" s="383">
        <f t="shared" si="32"/>
        <v>35.858041811900982</v>
      </c>
      <c r="W117" s="402"/>
      <c r="X117" s="157">
        <f t="shared" si="33"/>
        <v>43933</v>
      </c>
      <c r="Y117" s="385">
        <f t="shared" si="34"/>
        <v>27.062999999999999</v>
      </c>
      <c r="Z117" s="385">
        <f t="shared" si="35"/>
        <v>27.495575837716512</v>
      </c>
      <c r="AA117" s="386">
        <f t="shared" si="36"/>
        <v>30.163772294964627</v>
      </c>
      <c r="AB117" s="197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8.8456988441512993E-2</v>
      </c>
      <c r="AD117" s="231">
        <f>(INDEX(Models!$BJ117:$BT117,,AH117)*(1-AF117)+INDEX(Models!$BJ117:$BT117,,AH117+1)*AF117-ERP_i)*AE117*Ramure*Pc/MaxiM</f>
        <v>0</v>
      </c>
      <c r="AE117" s="305">
        <f t="shared" si="38"/>
        <v>0.7</v>
      </c>
      <c r="AF117" s="177">
        <f t="shared" si="39"/>
        <v>0.9249563309891542</v>
      </c>
      <c r="AG117" s="817">
        <f t="shared" si="47"/>
        <v>-2</v>
      </c>
      <c r="AH117" s="176">
        <f t="shared" si="40"/>
        <v>4</v>
      </c>
      <c r="AI117" s="225">
        <f t="shared" si="41"/>
        <v>-1.0750436690108458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43934</v>
      </c>
      <c r="B118" s="617">
        <v>9.4849999999999994</v>
      </c>
      <c r="C118" s="390"/>
      <c r="D118" s="393">
        <f t="shared" si="24"/>
        <v>9.6368196074871157</v>
      </c>
      <c r="E118" s="385">
        <f t="shared" si="45"/>
        <v>10.573103290953062</v>
      </c>
      <c r="F118" s="385">
        <f t="shared" si="25"/>
        <v>10.573103290953062</v>
      </c>
      <c r="G118" s="110">
        <f t="shared" si="46"/>
        <v>0.26351528488780834</v>
      </c>
      <c r="H118" s="414" t="b">
        <f>Wh_hp&gt;='2019'!Maxi_hp</f>
        <v>0</v>
      </c>
      <c r="I118" s="380">
        <f>IF(H118,Wh_hp,'2019'!Maxi_hp)</f>
        <v>19.66368497396893</v>
      </c>
      <c r="J118" s="85">
        <f>IF(H118,An,'2019'!An_max)</f>
        <v>2019</v>
      </c>
      <c r="K118" s="197">
        <f t="shared" si="26"/>
        <v>43934</v>
      </c>
      <c r="L118" s="147">
        <f>IF(t&lt;Tvie,1-EXP((T0-t)*PertePVj)+'2019'!Pspv,1-EXP((T0-t)*PertePVj)+Pspv)</f>
        <v>1.5754119478293749E-2</v>
      </c>
      <c r="M118" s="850"/>
      <c r="N118" s="850"/>
      <c r="O118" s="48">
        <f>IF(t&lt;Tnet,'2019'!Resal+('2019'!Salim-'2019'!Resal)*(1-EXP(('2019'!Tnet-t)/('2019'!Tau_j))),Resal+(Salim-Resal)*(1-EXP((Tnet-t)/(Tau_j))))*Salcycl</f>
        <v>8.8553346893629953E-2</v>
      </c>
      <c r="P118" s="169">
        <f>(INDEX(Models!$BJ118:$BT118,,T118)*(1-R118)+INDEX(Models!$BJ118:$BT118,,T118+1)*R118-ERP_i)*Q118*Ramure*Pc/MaxiM</f>
        <v>0</v>
      </c>
      <c r="Q118" s="305">
        <f t="shared" si="27"/>
        <v>0.7</v>
      </c>
      <c r="R118" s="177">
        <f t="shared" si="28"/>
        <v>0.92592750551713543</v>
      </c>
      <c r="S118" s="817">
        <f t="shared" si="29"/>
        <v>-2</v>
      </c>
      <c r="T118" s="176">
        <f t="shared" si="30"/>
        <v>4</v>
      </c>
      <c r="U118" s="251">
        <f t="shared" si="31"/>
        <v>-1.0740724944828646</v>
      </c>
      <c r="V118" s="383">
        <f t="shared" si="32"/>
        <v>35.994117016924612</v>
      </c>
      <c r="W118" s="402"/>
      <c r="X118" s="157">
        <f t="shared" si="33"/>
        <v>43934</v>
      </c>
      <c r="Y118" s="385">
        <f t="shared" si="34"/>
        <v>9.4849999999999994</v>
      </c>
      <c r="Z118" s="385">
        <f t="shared" si="35"/>
        <v>9.6368196074871157</v>
      </c>
      <c r="AA118" s="386">
        <f t="shared" si="36"/>
        <v>10.573103290953062</v>
      </c>
      <c r="AB118" s="197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8.8553346893629953E-2</v>
      </c>
      <c r="AD118" s="231">
        <f>(INDEX(Models!$BJ118:$BT118,,AH118)*(1-AF118)+INDEX(Models!$BJ118:$BT118,,AH118+1)*AF118-ERP_i)*AE118*Ramure*Pc/MaxiM</f>
        <v>0</v>
      </c>
      <c r="AE118" s="305">
        <f t="shared" si="38"/>
        <v>0.7</v>
      </c>
      <c r="AF118" s="177">
        <f t="shared" si="39"/>
        <v>0.92592750551713543</v>
      </c>
      <c r="AG118" s="817">
        <f t="shared" si="47"/>
        <v>-2</v>
      </c>
      <c r="AH118" s="176">
        <f t="shared" si="40"/>
        <v>4</v>
      </c>
      <c r="AI118" s="225">
        <f t="shared" si="41"/>
        <v>-1.0740724944828646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43935</v>
      </c>
      <c r="B119" s="617">
        <v>34.856000000000002</v>
      </c>
      <c r="C119" s="390"/>
      <c r="D119" s="393">
        <f t="shared" si="24"/>
        <v>35.414690721490317</v>
      </c>
      <c r="E119" s="385">
        <f t="shared" si="45"/>
        <v>38.859628351459044</v>
      </c>
      <c r="F119" s="385">
        <f t="shared" si="25"/>
        <v>38.859628351459044</v>
      </c>
      <c r="G119" s="110">
        <f t="shared" si="46"/>
        <v>0.96477303746819532</v>
      </c>
      <c r="H119" s="414" t="b">
        <f>Wh_hp&gt;='2019'!Maxi_hp</f>
        <v>1</v>
      </c>
      <c r="I119" s="380">
        <f>IF(H119,Wh_hp,'2019'!Maxi_hp)</f>
        <v>38.859628351459044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1.5775676989077669E-2</v>
      </c>
      <c r="M119" s="850"/>
      <c r="N119" s="850"/>
      <c r="O119" s="48">
        <f>IF(t&lt;Tnet,'2019'!Resal+('2019'!Salim-'2019'!Resal)*(1-EXP(('2019'!Tnet-t)/('2019'!Tau_j))),Resal+(Salim-Resal)*(1-EXP((Tnet-t)/(Tau_j))))*Salcycl</f>
        <v>8.8650812581417396E-2</v>
      </c>
      <c r="P119" s="169">
        <f>(INDEX(Models!$BJ119:$BT119,,T119)*(1-R119)+INDEX(Models!$BJ119:$BT119,,T119+1)*R119-ERP_i)*Q119*Ramure*Pc/MaxiM</f>
        <v>0</v>
      </c>
      <c r="Q119" s="305">
        <f t="shared" si="27"/>
        <v>0.7</v>
      </c>
      <c r="R119" s="177">
        <f t="shared" si="28"/>
        <v>0.92693215610999968</v>
      </c>
      <c r="S119" s="817">
        <f t="shared" si="29"/>
        <v>-2</v>
      </c>
      <c r="T119" s="176">
        <f t="shared" si="30"/>
        <v>4</v>
      </c>
      <c r="U119" s="251">
        <f t="shared" si="31"/>
        <v>-1.0730678438900003</v>
      </c>
      <c r="V119" s="383">
        <f t="shared" si="32"/>
        <v>36.128704520465057</v>
      </c>
      <c r="W119" s="402"/>
      <c r="X119" s="157">
        <f t="shared" si="33"/>
        <v>43935</v>
      </c>
      <c r="Y119" s="385">
        <f t="shared" si="34"/>
        <v>34.856000000000002</v>
      </c>
      <c r="Z119" s="385">
        <f t="shared" si="35"/>
        <v>35.414690721490317</v>
      </c>
      <c r="AA119" s="386">
        <f t="shared" si="36"/>
        <v>38.859628351459044</v>
      </c>
      <c r="AB119" s="197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8.8650812581417396E-2</v>
      </c>
      <c r="AD119" s="231">
        <f>(INDEX(Models!$BJ119:$BT119,,AH119)*(1-AF119)+INDEX(Models!$BJ119:$BT119,,AH119+1)*AF119-ERP_i)*AE119*Ramure*Pc/MaxiM</f>
        <v>0</v>
      </c>
      <c r="AE119" s="305">
        <f t="shared" si="38"/>
        <v>0.7</v>
      </c>
      <c r="AF119" s="177">
        <f t="shared" si="39"/>
        <v>0.92693215610999968</v>
      </c>
      <c r="AG119" s="817">
        <f t="shared" si="47"/>
        <v>-2</v>
      </c>
      <c r="AH119" s="176">
        <f t="shared" si="40"/>
        <v>4</v>
      </c>
      <c r="AI119" s="225">
        <f t="shared" si="41"/>
        <v>-1.0730678438900003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43936</v>
      </c>
      <c r="B120" s="617">
        <v>30.914000000000001</v>
      </c>
      <c r="C120" s="390"/>
      <c r="D120" s="393">
        <f t="shared" si="24"/>
        <v>31.410194188450351</v>
      </c>
      <c r="E120" s="385">
        <f t="shared" si="45"/>
        <v>34.469326384256924</v>
      </c>
      <c r="F120" s="385">
        <f t="shared" si="25"/>
        <v>34.469326384256924</v>
      </c>
      <c r="G120" s="110">
        <f t="shared" si="46"/>
        <v>0.8525111205606476</v>
      </c>
      <c r="H120" s="414" t="b">
        <f>Wh_hp&gt;='2019'!Maxi_hp</f>
        <v>1</v>
      </c>
      <c r="I120" s="380">
        <f>IF(H120,Wh_hp,'2019'!Maxi_hp)</f>
        <v>34.469326384256924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1.5797234027696727E-2</v>
      </c>
      <c r="M120" s="850"/>
      <c r="N120" s="850"/>
      <c r="O120" s="48">
        <f>IF(t&lt;Tnet,'2019'!Resal+('2019'!Salim-'2019'!Resal)*(1-EXP(('2019'!Tnet-t)/('2019'!Tau_j))),Resal+(Salim-Resal)*(1-EXP((Tnet-t)/(Tau_j))))*Salcycl</f>
        <v>8.8749404665005555E-2</v>
      </c>
      <c r="P120" s="169">
        <f>(INDEX(Models!$BJ120:$BT120,,T120)*(1-R120)+INDEX(Models!$BJ120:$BT120,,T120+1)*R120-ERP_i)*Q120*Ramure*Pc/MaxiM</f>
        <v>0</v>
      </c>
      <c r="Q120" s="305">
        <f t="shared" si="27"/>
        <v>0.7</v>
      </c>
      <c r="R120" s="177">
        <f t="shared" si="28"/>
        <v>0.92797115110841188</v>
      </c>
      <c r="S120" s="817">
        <f t="shared" si="29"/>
        <v>-2</v>
      </c>
      <c r="T120" s="176">
        <f t="shared" si="30"/>
        <v>4</v>
      </c>
      <c r="U120" s="251">
        <f t="shared" si="31"/>
        <v>-1.0720288488915881</v>
      </c>
      <c r="V120" s="383">
        <f t="shared" si="32"/>
        <v>36.26228356959102</v>
      </c>
      <c r="W120" s="402"/>
      <c r="X120" s="157">
        <f t="shared" si="33"/>
        <v>43936</v>
      </c>
      <c r="Y120" s="385">
        <f t="shared" si="34"/>
        <v>30.914000000000001</v>
      </c>
      <c r="Z120" s="385">
        <f t="shared" si="35"/>
        <v>31.410194188450351</v>
      </c>
      <c r="AA120" s="386">
        <f t="shared" si="36"/>
        <v>34.469326384256924</v>
      </c>
      <c r="AB120" s="197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8.8749404665005555E-2</v>
      </c>
      <c r="AD120" s="231">
        <f>(INDEX(Models!$BJ120:$BT120,,AH120)*(1-AF120)+INDEX(Models!$BJ120:$BT120,,AH120+1)*AF120-ERP_i)*AE120*Ramure*Pc/MaxiM</f>
        <v>0</v>
      </c>
      <c r="AE120" s="305">
        <f t="shared" si="38"/>
        <v>0.7</v>
      </c>
      <c r="AF120" s="177">
        <f t="shared" si="39"/>
        <v>0.92797115110841188</v>
      </c>
      <c r="AG120" s="817">
        <f t="shared" si="47"/>
        <v>-2</v>
      </c>
      <c r="AH120" s="176">
        <f t="shared" si="40"/>
        <v>4</v>
      </c>
      <c r="AI120" s="225">
        <f t="shared" si="41"/>
        <v>-1.0720288488915881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43937</v>
      </c>
      <c r="B121" s="617">
        <v>26.477</v>
      </c>
      <c r="C121" s="390"/>
      <c r="D121" s="393">
        <f t="shared" si="24"/>
        <v>26.902566058931836</v>
      </c>
      <c r="E121" s="385">
        <f t="shared" si="45"/>
        <v>29.525918555335611</v>
      </c>
      <c r="F121" s="385">
        <f t="shared" si="25"/>
        <v>29.525918555335611</v>
      </c>
      <c r="G121" s="110">
        <f t="shared" si="46"/>
        <v>0.72749904744407068</v>
      </c>
      <c r="H121" s="414" t="b">
        <f>Wh_hp&gt;='2019'!Maxi_hp</f>
        <v>1</v>
      </c>
      <c r="I121" s="380">
        <f>IF(H121,Wh_hp,'2019'!Maxi_hp)</f>
        <v>29.525918555335611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1.5818790594161358E-2</v>
      </c>
      <c r="M121" s="850"/>
      <c r="N121" s="850"/>
      <c r="O121" s="48">
        <f>IF(t&lt;Tnet,'2019'!Resal+('2019'!Salim-'2019'!Resal)*(1-EXP(('2019'!Tnet-t)/('2019'!Tau_j))),Resal+(Salim-Resal)*(1-EXP((Tnet-t)/(Tau_j))))*Salcycl</f>
        <v>8.8849140848480446E-2</v>
      </c>
      <c r="P121" s="169">
        <f>(INDEX(Models!$BJ121:$BT121,,T121)*(1-R121)+INDEX(Models!$BJ121:$BT121,,T121+1)*R121-ERP_i)*Q121*Ramure*Pc/MaxiM</f>
        <v>0</v>
      </c>
      <c r="Q121" s="305">
        <f t="shared" si="27"/>
        <v>0.7</v>
      </c>
      <c r="R121" s="177">
        <f t="shared" si="28"/>
        <v>0.9290453592507053</v>
      </c>
      <c r="S121" s="817">
        <f t="shared" si="29"/>
        <v>-2</v>
      </c>
      <c r="T121" s="176">
        <f t="shared" si="30"/>
        <v>4</v>
      </c>
      <c r="U121" s="251">
        <f t="shared" si="31"/>
        <v>-1.0709546407492947</v>
      </c>
      <c r="V121" s="383">
        <f t="shared" si="32"/>
        <v>36.394549371606601</v>
      </c>
      <c r="W121" s="402"/>
      <c r="X121" s="157">
        <f t="shared" si="33"/>
        <v>43937</v>
      </c>
      <c r="Y121" s="385">
        <f t="shared" si="34"/>
        <v>26.477</v>
      </c>
      <c r="Z121" s="385">
        <f t="shared" si="35"/>
        <v>26.902566058931836</v>
      </c>
      <c r="AA121" s="386">
        <f t="shared" si="36"/>
        <v>29.525918555335611</v>
      </c>
      <c r="AB121" s="197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8.8849140848480446E-2</v>
      </c>
      <c r="AD121" s="231">
        <f>(INDEX(Models!$BJ121:$BT121,,AH121)*(1-AF121)+INDEX(Models!$BJ121:$BT121,,AH121+1)*AF121-ERP_i)*AE121*Ramure*Pc/MaxiM</f>
        <v>0</v>
      </c>
      <c r="AE121" s="305">
        <f t="shared" si="38"/>
        <v>0.7</v>
      </c>
      <c r="AF121" s="177">
        <f t="shared" si="39"/>
        <v>0.9290453592507053</v>
      </c>
      <c r="AG121" s="817">
        <f t="shared" si="47"/>
        <v>-2</v>
      </c>
      <c r="AH121" s="176">
        <f t="shared" si="40"/>
        <v>4</v>
      </c>
      <c r="AI121" s="225">
        <f t="shared" si="41"/>
        <v>-1.0709546407492947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43938</v>
      </c>
      <c r="B122" s="617">
        <v>20.334</v>
      </c>
      <c r="C122" s="390"/>
      <c r="D122" s="393">
        <f t="shared" si="24"/>
        <v>20.661281867814626</v>
      </c>
      <c r="E122" s="385">
        <f t="shared" si="45"/>
        <v>22.678538734382062</v>
      </c>
      <c r="F122" s="385">
        <f t="shared" si="25"/>
        <v>22.678538734382062</v>
      </c>
      <c r="G122" s="110">
        <f t="shared" si="46"/>
        <v>0.55671839719350691</v>
      </c>
      <c r="H122" s="414" t="b">
        <f>Wh_hp&gt;='2019'!Maxi_hp</f>
        <v>1</v>
      </c>
      <c r="I122" s="380">
        <f>IF(H122,Wh_hp,'2019'!Maxi_hp)</f>
        <v>22.678538734382062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1.5840346688481777E-2</v>
      </c>
      <c r="M122" s="850"/>
      <c r="N122" s="850"/>
      <c r="O122" s="48">
        <f>IF(t&lt;Tnet,'2019'!Resal+('2019'!Salim-'2019'!Resal)*(1-EXP(('2019'!Tnet-t)/('2019'!Tau_j))),Resal+(Salim-Resal)*(1-EXP((Tnet-t)/(Tau_j))))*Salcycl</f>
        <v>8.8950037310347119E-2</v>
      </c>
      <c r="P122" s="169">
        <f>(INDEX(Models!$BJ122:$BT122,,T122)*(1-R122)+INDEX(Models!$BJ122:$BT122,,T122+1)*R122-ERP_i)*Q122*Ramure*Pc/MaxiM</f>
        <v>0</v>
      </c>
      <c r="Q122" s="305">
        <f t="shared" si="27"/>
        <v>0.7</v>
      </c>
      <c r="R122" s="177">
        <f t="shared" si="28"/>
        <v>0.93015564767326531</v>
      </c>
      <c r="S122" s="817">
        <f t="shared" si="29"/>
        <v>-2</v>
      </c>
      <c r="T122" s="176">
        <f t="shared" si="30"/>
        <v>4</v>
      </c>
      <c r="U122" s="251">
        <f t="shared" si="31"/>
        <v>-1.0698443523267347</v>
      </c>
      <c r="V122" s="383">
        <f t="shared" si="32"/>
        <v>36.524749500836435</v>
      </c>
      <c r="W122" s="402"/>
      <c r="X122" s="157">
        <f t="shared" si="33"/>
        <v>43938</v>
      </c>
      <c r="Y122" s="385">
        <f t="shared" si="34"/>
        <v>20.334</v>
      </c>
      <c r="Z122" s="385">
        <f t="shared" si="35"/>
        <v>20.661281867814626</v>
      </c>
      <c r="AA122" s="386">
        <f t="shared" si="36"/>
        <v>22.678538734382062</v>
      </c>
      <c r="AB122" s="197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8.8950037310347119E-2</v>
      </c>
      <c r="AD122" s="231">
        <f>(INDEX(Models!$BJ122:$BT122,,AH122)*(1-AF122)+INDEX(Models!$BJ122:$BT122,,AH122+1)*AF122-ERP_i)*AE122*Ramure*Pc/MaxiM</f>
        <v>0</v>
      </c>
      <c r="AE122" s="305">
        <f t="shared" si="38"/>
        <v>0.7</v>
      </c>
      <c r="AF122" s="177">
        <f t="shared" si="39"/>
        <v>0.93015564767326531</v>
      </c>
      <c r="AG122" s="817">
        <f t="shared" si="47"/>
        <v>-2</v>
      </c>
      <c r="AH122" s="176">
        <f t="shared" si="40"/>
        <v>4</v>
      </c>
      <c r="AI122" s="225">
        <f t="shared" si="41"/>
        <v>-1.0698443523267347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43939</v>
      </c>
      <c r="B123" s="617">
        <v>27.66</v>
      </c>
      <c r="C123" s="390"/>
      <c r="D123" s="393">
        <f t="shared" si="24"/>
        <v>28.105811638573098</v>
      </c>
      <c r="E123" s="385">
        <f t="shared" si="45"/>
        <v>30.853369226580604</v>
      </c>
      <c r="F123" s="385">
        <f t="shared" si="25"/>
        <v>30.853369226580604</v>
      </c>
      <c r="G123" s="110">
        <f t="shared" si="46"/>
        <v>0.7546512599069064</v>
      </c>
      <c r="H123" s="414" t="b">
        <f>Wh_hp&gt;='2019'!Maxi_hp</f>
        <v>0</v>
      </c>
      <c r="I123" s="380">
        <f>IF(H123,Wh_hp,'2019'!Maxi_hp)</f>
        <v>35.601186875279716</v>
      </c>
      <c r="J123" s="85">
        <f>IF(H123,An,'2019'!An_max)</f>
        <v>2019</v>
      </c>
      <c r="K123" s="197">
        <f t="shared" si="26"/>
        <v>43939</v>
      </c>
      <c r="L123" s="147">
        <f>IF(t&lt;Tvie,1-EXP((T0-t)*PertePVj)+'2019'!Pspv,1-EXP((T0-t)*PertePVj)+Pspv)</f>
        <v>1.586190231066853E-2</v>
      </c>
      <c r="M123" s="850"/>
      <c r="N123" s="850"/>
      <c r="O123" s="48">
        <f>IF(t&lt;Tnet,'2019'!Resal+('2019'!Salim-'2019'!Resal)*(1-EXP(('2019'!Tnet-t)/('2019'!Tau_j))),Resal+(Salim-Resal)*(1-EXP((Tnet-t)/(Tau_j))))*Salcycl</f>
        <v>8.9052108631314242E-2</v>
      </c>
      <c r="P123" s="169">
        <f>(INDEX(Models!$BJ123:$BT123,,T123)*(1-R123)+INDEX(Models!$BJ123:$BT123,,T123+1)*R123-ERP_i)*Q123*Ramure*Pc/MaxiM</f>
        <v>0</v>
      </c>
      <c r="Q123" s="305">
        <f t="shared" si="27"/>
        <v>0.7</v>
      </c>
      <c r="R123" s="177">
        <f t="shared" si="28"/>
        <v>0.93130287976059134</v>
      </c>
      <c r="S123" s="817">
        <f t="shared" si="29"/>
        <v>-2</v>
      </c>
      <c r="T123" s="176">
        <f t="shared" si="30"/>
        <v>4</v>
      </c>
      <c r="U123" s="251">
        <f t="shared" si="31"/>
        <v>-1.0686971202394087</v>
      </c>
      <c r="V123" s="383">
        <f t="shared" si="32"/>
        <v>36.652691739244069</v>
      </c>
      <c r="W123" s="402"/>
      <c r="X123" s="157">
        <f t="shared" si="33"/>
        <v>43939</v>
      </c>
      <c r="Y123" s="385">
        <f t="shared" si="34"/>
        <v>27.66</v>
      </c>
      <c r="Z123" s="385">
        <f t="shared" si="35"/>
        <v>28.105811638573098</v>
      </c>
      <c r="AA123" s="386">
        <f t="shared" si="36"/>
        <v>30.853369226580604</v>
      </c>
      <c r="AB123" s="197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8.9052108631314242E-2</v>
      </c>
      <c r="AD123" s="231">
        <f>(INDEX(Models!$BJ123:$BT123,,AH123)*(1-AF123)+INDEX(Models!$BJ123:$BT123,,AH123+1)*AF123-ERP_i)*AE123*Ramure*Pc/MaxiM</f>
        <v>0</v>
      </c>
      <c r="AE123" s="305">
        <f t="shared" si="38"/>
        <v>0.7</v>
      </c>
      <c r="AF123" s="177">
        <f t="shared" si="39"/>
        <v>0.93130287976059134</v>
      </c>
      <c r="AG123" s="817">
        <f t="shared" si="47"/>
        <v>-2</v>
      </c>
      <c r="AH123" s="176">
        <f t="shared" si="40"/>
        <v>4</v>
      </c>
      <c r="AI123" s="225">
        <f t="shared" si="41"/>
        <v>-1.0686971202394087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4"/>
        <v>43940</v>
      </c>
      <c r="B124" s="617">
        <v>11.116</v>
      </c>
      <c r="C124" s="390"/>
      <c r="D124" s="393">
        <f t="shared" si="24"/>
        <v>11.295410166887271</v>
      </c>
      <c r="E124" s="385">
        <f t="shared" si="45"/>
        <v>12.401028415355992</v>
      </c>
      <c r="F124" s="385">
        <f t="shared" si="25"/>
        <v>12.401028415355992</v>
      </c>
      <c r="G124" s="110">
        <f t="shared" si="46"/>
        <v>0.30224439537839276</v>
      </c>
      <c r="H124" s="414" t="b">
        <f>Wh_hp&gt;='2019'!Maxi_hp</f>
        <v>0</v>
      </c>
      <c r="I124" s="380">
        <f>IF(H124,Wh_hp,'2019'!Maxi_hp)</f>
        <v>34.517360529046911</v>
      </c>
      <c r="J124" s="85">
        <f>IF(H124,An,'2019'!An_max)</f>
        <v>2019</v>
      </c>
      <c r="K124" s="197">
        <f t="shared" si="26"/>
        <v>43940</v>
      </c>
      <c r="L124" s="147">
        <f>IF(t&lt;Tvie,1-EXP((T0-t)*PertePVj)+'2019'!Pspv,1-EXP((T0-t)*PertePVj)+Pspv)</f>
        <v>1.588345746073172E-2</v>
      </c>
      <c r="M124" s="850"/>
      <c r="N124" s="850"/>
      <c r="O124" s="48">
        <f>IF(t&lt;Tnet,'2019'!Resal+('2019'!Salim-'2019'!Resal)*(1-EXP(('2019'!Tnet-t)/('2019'!Tau_j))),Resal+(Salim-Resal)*(1-EXP((Tnet-t)/(Tau_j))))*Salcycl</f>
        <v>8.915536771931365E-2</v>
      </c>
      <c r="P124" s="169">
        <f>(INDEX(Models!$BJ124:$BT124,,T124)*(1-R124)+INDEX(Models!$BJ124:$BT124,,T124+1)*R124-ERP_i)*Q124*Ramure*Pc/MaxiM</f>
        <v>0</v>
      </c>
      <c r="Q124" s="305">
        <f t="shared" si="27"/>
        <v>0.7</v>
      </c>
      <c r="R124" s="177">
        <f t="shared" si="28"/>
        <v>0.93248791284213062</v>
      </c>
      <c r="S124" s="817">
        <f t="shared" si="29"/>
        <v>-2</v>
      </c>
      <c r="T124" s="176">
        <f t="shared" si="30"/>
        <v>4</v>
      </c>
      <c r="U124" s="251">
        <f t="shared" si="31"/>
        <v>-1.0675120871578694</v>
      </c>
      <c r="V124" s="383">
        <f t="shared" si="32"/>
        <v>36.778184045674038</v>
      </c>
      <c r="W124" s="402"/>
      <c r="X124" s="157">
        <f t="shared" si="33"/>
        <v>43940</v>
      </c>
      <c r="Y124" s="385">
        <f t="shared" si="34"/>
        <v>11.116</v>
      </c>
      <c r="Z124" s="385">
        <f t="shared" si="35"/>
        <v>11.295410166887271</v>
      </c>
      <c r="AA124" s="386">
        <f t="shared" si="36"/>
        <v>12.401028415355992</v>
      </c>
      <c r="AB124" s="197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8.915536771931365E-2</v>
      </c>
      <c r="AD124" s="231">
        <f>(INDEX(Models!$BJ124:$BT124,,AH124)*(1-AF124)+INDEX(Models!$BJ124:$BT124,,AH124+1)*AF124-ERP_i)*AE124*Ramure*Pc/MaxiM</f>
        <v>0</v>
      </c>
      <c r="AE124" s="305">
        <f t="shared" si="38"/>
        <v>0.7</v>
      </c>
      <c r="AF124" s="177">
        <f t="shared" si="39"/>
        <v>0.93248791284213062</v>
      </c>
      <c r="AG124" s="817">
        <f t="shared" si="47"/>
        <v>-2</v>
      </c>
      <c r="AH124" s="176">
        <f t="shared" si="40"/>
        <v>4</v>
      </c>
      <c r="AI124" s="225">
        <f t="shared" si="41"/>
        <v>-1.0675120871578694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43941</v>
      </c>
      <c r="B125" s="617">
        <v>9.2010000000000005</v>
      </c>
      <c r="C125" s="390"/>
      <c r="D125" s="393">
        <f t="shared" si="24"/>
        <v>9.3497072066143225</v>
      </c>
      <c r="E125" s="385">
        <f t="shared" si="45"/>
        <v>10.26605333856774</v>
      </c>
      <c r="F125" s="385">
        <f t="shared" si="25"/>
        <v>10.26605333856774</v>
      </c>
      <c r="G125" s="110">
        <f t="shared" si="46"/>
        <v>0.24934260268607303</v>
      </c>
      <c r="H125" s="414" t="b">
        <f>Wh_hp&gt;='2019'!Maxi_hp</f>
        <v>0</v>
      </c>
      <c r="I125" s="380">
        <f>IF(H125,Wh_hp,'2019'!Maxi_hp)</f>
        <v>13.174502796207468</v>
      </c>
      <c r="J125" s="85">
        <f>IF(H125,An,'2019'!An_max)</f>
        <v>2019</v>
      </c>
      <c r="K125" s="197">
        <f t="shared" si="26"/>
        <v>43941</v>
      </c>
      <c r="L125" s="147">
        <f>IF(t&lt;Tvie,1-EXP((T0-t)*PertePVj)+'2019'!Pspv,1-EXP((T0-t)*PertePVj)+Pspv)</f>
        <v>1.5905012138681895E-2</v>
      </c>
      <c r="M125" s="850"/>
      <c r="N125" s="850"/>
      <c r="O125" s="48">
        <f>IF(t&lt;Tnet,'2019'!Resal+('2019'!Salim-'2019'!Resal)*(1-EXP(('2019'!Tnet-t)/('2019'!Tau_j))),Resal+(Salim-Resal)*(1-EXP((Tnet-t)/(Tau_j))))*Salcycl</f>
        <v>8.925982573175105E-2</v>
      </c>
      <c r="P125" s="169">
        <f>(INDEX(Models!$BJ125:$BT125,,T125)*(1-R125)+INDEX(Models!$BJ125:$BT125,,T125+1)*R125-ERP_i)*Q125*Ramure*Pc/MaxiM</f>
        <v>0</v>
      </c>
      <c r="Q125" s="305">
        <f t="shared" si="27"/>
        <v>0.7</v>
      </c>
      <c r="R125" s="177">
        <f t="shared" si="28"/>
        <v>0.93371159573372142</v>
      </c>
      <c r="S125" s="817">
        <f t="shared" si="29"/>
        <v>-2</v>
      </c>
      <c r="T125" s="176">
        <f t="shared" si="30"/>
        <v>4</v>
      </c>
      <c r="U125" s="251">
        <f t="shared" si="31"/>
        <v>-1.0662884042662786</v>
      </c>
      <c r="V125" s="383">
        <f t="shared" si="32"/>
        <v>36.90103456401404</v>
      </c>
      <c r="W125" s="402"/>
      <c r="X125" s="157">
        <f t="shared" si="33"/>
        <v>43941</v>
      </c>
      <c r="Y125" s="385">
        <f t="shared" si="34"/>
        <v>9.2010000000000005</v>
      </c>
      <c r="Z125" s="385">
        <f t="shared" si="35"/>
        <v>9.3497072066143225</v>
      </c>
      <c r="AA125" s="386">
        <f t="shared" si="36"/>
        <v>10.26605333856774</v>
      </c>
      <c r="AB125" s="197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8.925982573175105E-2</v>
      </c>
      <c r="AD125" s="231">
        <f>(INDEX(Models!$BJ125:$BT125,,AH125)*(1-AF125)+INDEX(Models!$BJ125:$BT125,,AH125+1)*AF125-ERP_i)*AE125*Ramure*Pc/MaxiM</f>
        <v>0</v>
      </c>
      <c r="AE125" s="305">
        <f t="shared" si="38"/>
        <v>0.7</v>
      </c>
      <c r="AF125" s="177">
        <f t="shared" si="39"/>
        <v>0.93371159573372142</v>
      </c>
      <c r="AG125" s="817">
        <f t="shared" si="47"/>
        <v>-2</v>
      </c>
      <c r="AH125" s="176">
        <f t="shared" si="40"/>
        <v>4</v>
      </c>
      <c r="AI125" s="225">
        <f t="shared" si="41"/>
        <v>-1.0662884042662786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4"/>
        <v>43942</v>
      </c>
      <c r="B126" s="617">
        <v>10.686999999999999</v>
      </c>
      <c r="C126" s="390"/>
      <c r="D126" s="393">
        <f t="shared" si="24"/>
        <v>10.859961903759283</v>
      </c>
      <c r="E126" s="385">
        <f t="shared" si="45"/>
        <v>11.925708731982828</v>
      </c>
      <c r="F126" s="385">
        <f t="shared" si="25"/>
        <v>11.925708731982828</v>
      </c>
      <c r="G126" s="110">
        <f t="shared" si="46"/>
        <v>0.28867359323089514</v>
      </c>
      <c r="H126" s="414" t="b">
        <f>Wh_hp&gt;='2019'!Maxi_hp</f>
        <v>0</v>
      </c>
      <c r="I126" s="380">
        <f>IF(H126,Wh_hp,'2019'!Maxi_hp)</f>
        <v>23.414017276976725</v>
      </c>
      <c r="J126" s="85">
        <f>IF(H126,An,'2019'!An_max)</f>
        <v>2019</v>
      </c>
      <c r="K126" s="197">
        <f t="shared" si="26"/>
        <v>43942</v>
      </c>
      <c r="L126" s="147">
        <f>IF(t&lt;Tvie,1-EXP((T0-t)*PertePVj)+'2019'!Pspv,1-EXP((T0-t)*PertePVj)+Pspv)</f>
        <v>1.5926566344529269E-2</v>
      </c>
      <c r="M126" s="850"/>
      <c r="N126" s="850"/>
      <c r="O126" s="48">
        <f>IF(t&lt;Tnet,'2019'!Resal+('2019'!Salim-'2019'!Resal)*(1-EXP(('2019'!Tnet-t)/('2019'!Tau_j))),Resal+(Salim-Resal)*(1-EXP((Tnet-t)/(Tau_j))))*Salcycl</f>
        <v>8.9365491995069823E-2</v>
      </c>
      <c r="P126" s="169">
        <f>(INDEX(Models!$BJ126:$BT126,,T126)*(1-R126)+INDEX(Models!$BJ126:$BT126,,T126+1)*R126-ERP_i)*Q126*Ramure*Pc/MaxiM</f>
        <v>0</v>
      </c>
      <c r="Q126" s="305">
        <f t="shared" si="27"/>
        <v>0.7</v>
      </c>
      <c r="R126" s="177">
        <f t="shared" si="28"/>
        <v>0.93497476612229935</v>
      </c>
      <c r="S126" s="817">
        <f t="shared" si="29"/>
        <v>-2</v>
      </c>
      <c r="T126" s="176">
        <f t="shared" si="30"/>
        <v>4</v>
      </c>
      <c r="U126" s="251">
        <f t="shared" si="31"/>
        <v>-1.0650252338777006</v>
      </c>
      <c r="V126" s="383">
        <f t="shared" si="32"/>
        <v>37.021051632706907</v>
      </c>
      <c r="W126" s="402"/>
      <c r="X126" s="157">
        <f t="shared" si="33"/>
        <v>43942</v>
      </c>
      <c r="Y126" s="385">
        <f t="shared" si="34"/>
        <v>10.686999999999999</v>
      </c>
      <c r="Z126" s="385">
        <f t="shared" si="35"/>
        <v>10.859961903759283</v>
      </c>
      <c r="AA126" s="386">
        <f t="shared" si="36"/>
        <v>11.925708731982828</v>
      </c>
      <c r="AB126" s="197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8.9365491995069823E-2</v>
      </c>
      <c r="AD126" s="231">
        <f>(INDEX(Models!$BJ126:$BT126,,AH126)*(1-AF126)+INDEX(Models!$BJ126:$BT126,,AH126+1)*AF126-ERP_i)*AE126*Ramure*Pc/MaxiM</f>
        <v>0</v>
      </c>
      <c r="AE126" s="305">
        <f t="shared" si="38"/>
        <v>0.7</v>
      </c>
      <c r="AF126" s="177">
        <f t="shared" si="39"/>
        <v>0.93497476612229935</v>
      </c>
      <c r="AG126" s="817">
        <f t="shared" si="47"/>
        <v>-2</v>
      </c>
      <c r="AH126" s="176">
        <f t="shared" si="40"/>
        <v>4</v>
      </c>
      <c r="AI126" s="225">
        <f t="shared" si="41"/>
        <v>-1.0650252338777006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4"/>
        <v>43943</v>
      </c>
      <c r="B127" s="617">
        <v>5.8780000000000001</v>
      </c>
      <c r="C127" s="390"/>
      <c r="D127" s="393">
        <f t="shared" si="24"/>
        <v>5.9732623044911124</v>
      </c>
      <c r="E127" s="385">
        <f t="shared" si="45"/>
        <v>6.560220836152971</v>
      </c>
      <c r="F127" s="385">
        <f t="shared" si="25"/>
        <v>6.560220836152971</v>
      </c>
      <c r="G127" s="110">
        <f t="shared" si="46"/>
        <v>0.15827435697501196</v>
      </c>
      <c r="H127" s="414" t="b">
        <f>Wh_hp&gt;='2019'!Maxi_hp</f>
        <v>0</v>
      </c>
      <c r="I127" s="380">
        <f>IF(H127,Wh_hp,'2019'!Maxi_hp)</f>
        <v>26.174234141553573</v>
      </c>
      <c r="J127" s="85">
        <f>IF(H127,An,'2019'!An_max)</f>
        <v>2019</v>
      </c>
      <c r="K127" s="197">
        <f t="shared" si="26"/>
        <v>43943</v>
      </c>
      <c r="L127" s="147">
        <f>IF(t&lt;Tvie,1-EXP((T0-t)*PertePVj)+'2019'!Pspv,1-EXP((T0-t)*PertePVj)+Pspv)</f>
        <v>1.5948120078284167E-2</v>
      </c>
      <c r="M127" s="850"/>
      <c r="N127" s="850"/>
      <c r="O127" s="48">
        <f>IF(t&lt;Tnet,'2019'!Resal+('2019'!Salim-'2019'!Resal)*(1-EXP(('2019'!Tnet-t)/('2019'!Tau_j))),Resal+(Salim-Resal)*(1-EXP((Tnet-t)/(Tau_j))))*Salcycl</f>
        <v>8.947237392179952E-2</v>
      </c>
      <c r="P127" s="169">
        <f>(INDEX(Models!$BJ127:$BT127,,T127)*(1-R127)+INDEX(Models!$BJ127:$BT127,,T127+1)*R127-ERP_i)*Q127*Ramure*Pc/MaxiM</f>
        <v>0</v>
      </c>
      <c r="Q127" s="305">
        <f t="shared" si="27"/>
        <v>0.7</v>
      </c>
      <c r="R127" s="177">
        <f t="shared" si="28"/>
        <v>0.93627824779347968</v>
      </c>
      <c r="S127" s="817">
        <f t="shared" si="29"/>
        <v>-2</v>
      </c>
      <c r="T127" s="176">
        <f t="shared" si="30"/>
        <v>4</v>
      </c>
      <c r="U127" s="251">
        <f t="shared" si="31"/>
        <v>-1.0637217522065203</v>
      </c>
      <c r="V127" s="383">
        <f t="shared" si="32"/>
        <v>37.138043788912732</v>
      </c>
      <c r="W127" s="402"/>
      <c r="X127" s="157">
        <f t="shared" si="33"/>
        <v>43943</v>
      </c>
      <c r="Y127" s="385">
        <f t="shared" si="34"/>
        <v>5.8780000000000001</v>
      </c>
      <c r="Z127" s="385">
        <f t="shared" si="35"/>
        <v>5.9732623044911124</v>
      </c>
      <c r="AA127" s="386">
        <f t="shared" si="36"/>
        <v>6.560220836152971</v>
      </c>
      <c r="AB127" s="197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8.947237392179952E-2</v>
      </c>
      <c r="AD127" s="231">
        <f>(INDEX(Models!$BJ127:$BT127,,AH127)*(1-AF127)+INDEX(Models!$BJ127:$BT127,,AH127+1)*AF127-ERP_i)*AE127*Ramure*Pc/MaxiM</f>
        <v>0</v>
      </c>
      <c r="AE127" s="305">
        <f t="shared" si="38"/>
        <v>0.7</v>
      </c>
      <c r="AF127" s="177">
        <f t="shared" si="39"/>
        <v>0.93627824779347968</v>
      </c>
      <c r="AG127" s="817">
        <f t="shared" si="47"/>
        <v>-2</v>
      </c>
      <c r="AH127" s="176">
        <f t="shared" si="40"/>
        <v>4</v>
      </c>
      <c r="AI127" s="225">
        <f t="shared" si="41"/>
        <v>-1.0637217522065203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4"/>
        <v>43944</v>
      </c>
      <c r="B128" s="617">
        <v>10.083</v>
      </c>
      <c r="C128" s="390"/>
      <c r="D128" s="393">
        <f t="shared" si="24"/>
        <v>10.246635420499002</v>
      </c>
      <c r="E128" s="385">
        <f t="shared" si="45"/>
        <v>11.254850275941264</v>
      </c>
      <c r="F128" s="385">
        <f t="shared" si="25"/>
        <v>11.254850275941264</v>
      </c>
      <c r="G128" s="110">
        <f t="shared" si="46"/>
        <v>0.27067134063433218</v>
      </c>
      <c r="H128" s="414" t="b">
        <f>Wh_hp&gt;='2019'!Maxi_hp</f>
        <v>0</v>
      </c>
      <c r="I128" s="380">
        <f>IF(H128,Wh_hp,'2019'!Maxi_hp)</f>
        <v>35.991157775413882</v>
      </c>
      <c r="J128" s="85">
        <f>IF(H128,An,'2019'!An_max)</f>
        <v>2019</v>
      </c>
      <c r="K128" s="197">
        <f t="shared" si="26"/>
        <v>43944</v>
      </c>
      <c r="L128" s="147">
        <f>IF(t&lt;Tvie,1-EXP((T0-t)*PertePVj)+'2019'!Pspv,1-EXP((T0-t)*PertePVj)+Pspv)</f>
        <v>1.5969673339957025E-2</v>
      </c>
      <c r="M128" s="850"/>
      <c r="N128" s="850"/>
      <c r="O128" s="48">
        <f>IF(t&lt;Tnet,'2019'!Resal+('2019'!Salim-'2019'!Resal)*(1-EXP(('2019'!Tnet-t)/('2019'!Tau_j))),Resal+(Salim-Resal)*(1-EXP((Tnet-t)/(Tau_j))))*Salcycl</f>
        <v>8.9580476925353189E-2</v>
      </c>
      <c r="P128" s="169">
        <f>(INDEX(Models!$BJ128:$BT128,,T128)*(1-R128)+INDEX(Models!$BJ128:$BT128,,T128+1)*R128-ERP_i)*Q128*Ramure*Pc/MaxiM</f>
        <v>0</v>
      </c>
      <c r="Q128" s="305">
        <f t="shared" si="27"/>
        <v>0.7</v>
      </c>
      <c r="R128" s="177">
        <f t="shared" si="28"/>
        <v>0.93762284770266691</v>
      </c>
      <c r="S128" s="817">
        <f t="shared" si="29"/>
        <v>-2</v>
      </c>
      <c r="T128" s="176">
        <f t="shared" si="30"/>
        <v>4</v>
      </c>
      <c r="U128" s="251">
        <f t="shared" si="31"/>
        <v>-1.0623771522973331</v>
      </c>
      <c r="V128" s="383">
        <f t="shared" si="32"/>
        <v>37.251819776596854</v>
      </c>
      <c r="W128" s="402"/>
      <c r="X128" s="157">
        <f t="shared" si="33"/>
        <v>43944</v>
      </c>
      <c r="Y128" s="385">
        <f t="shared" si="34"/>
        <v>10.083</v>
      </c>
      <c r="Z128" s="385">
        <f t="shared" si="35"/>
        <v>10.246635420499002</v>
      </c>
      <c r="AA128" s="386">
        <f t="shared" si="36"/>
        <v>11.254850275941264</v>
      </c>
      <c r="AB128" s="197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8.9580476925353189E-2</v>
      </c>
      <c r="AD128" s="231">
        <f>(INDEX(Models!$BJ128:$BT128,,AH128)*(1-AF128)+INDEX(Models!$BJ128:$BT128,,AH128+1)*AF128-ERP_i)*AE128*Ramure*Pc/MaxiM</f>
        <v>0</v>
      </c>
      <c r="AE128" s="305">
        <f t="shared" si="38"/>
        <v>0.7</v>
      </c>
      <c r="AF128" s="177">
        <f t="shared" si="39"/>
        <v>0.93762284770266691</v>
      </c>
      <c r="AG128" s="817">
        <f t="shared" si="47"/>
        <v>-2</v>
      </c>
      <c r="AH128" s="176">
        <f t="shared" si="40"/>
        <v>4</v>
      </c>
      <c r="AI128" s="225">
        <f t="shared" si="41"/>
        <v>-1.0623771522973331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4"/>
        <v>43945</v>
      </c>
      <c r="B129" s="617">
        <v>33.593000000000004</v>
      </c>
      <c r="C129" s="390"/>
      <c r="D129" s="393">
        <f t="shared" si="24"/>
        <v>34.138923241372417</v>
      </c>
      <c r="E129" s="385">
        <f t="shared" si="45"/>
        <v>37.502516618915408</v>
      </c>
      <c r="F129" s="385">
        <f t="shared" si="25"/>
        <v>37.502516618915408</v>
      </c>
      <c r="G129" s="110">
        <f t="shared" si="46"/>
        <v>0.89911756503529405</v>
      </c>
      <c r="H129" s="414" t="b">
        <f>Wh_hp&gt;='2019'!Maxi_hp</f>
        <v>1</v>
      </c>
      <c r="I129" s="380">
        <f>IF(H129,Wh_hp,'2019'!Maxi_hp)</f>
        <v>37.502516618915408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1.5991226129558167E-2</v>
      </c>
      <c r="M129" s="850"/>
      <c r="N129" s="850"/>
      <c r="O129" s="48">
        <f>IF(t&lt;Tnet,'2019'!Resal+('2019'!Salim-'2019'!Resal)*(1-EXP(('2019'!Tnet-t)/('2019'!Tau_j))),Resal+(Salim-Resal)*(1-EXP((Tnet-t)/(Tau_j))))*Salcycl</f>
        <v>8.968980433293032E-2</v>
      </c>
      <c r="P129" s="169">
        <f>(INDEX(Models!$BJ129:$BT129,,T129)*(1-R129)+INDEX(Models!$BJ129:$BT129,,T129+1)*R129-ERP_i)*Q129*Ramure*Pc/MaxiM</f>
        <v>0</v>
      </c>
      <c r="Q129" s="305">
        <f t="shared" si="27"/>
        <v>0.7</v>
      </c>
      <c r="R129" s="177">
        <f t="shared" si="28"/>
        <v>0.9390093528915251</v>
      </c>
      <c r="S129" s="817">
        <f t="shared" si="29"/>
        <v>-2</v>
      </c>
      <c r="T129" s="176">
        <f t="shared" si="30"/>
        <v>4</v>
      </c>
      <c r="U129" s="251">
        <f t="shared" si="31"/>
        <v>-1.0609906471084749</v>
      </c>
      <c r="V129" s="383">
        <f t="shared" si="32"/>
        <v>37.362188557267636</v>
      </c>
      <c r="W129" s="402"/>
      <c r="X129" s="157">
        <f t="shared" si="33"/>
        <v>43945</v>
      </c>
      <c r="Y129" s="385">
        <f t="shared" si="34"/>
        <v>33.593000000000004</v>
      </c>
      <c r="Z129" s="385">
        <f t="shared" si="35"/>
        <v>34.138923241372417</v>
      </c>
      <c r="AA129" s="386">
        <f t="shared" si="36"/>
        <v>37.502516618915408</v>
      </c>
      <c r="AB129" s="197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8.968980433293032E-2</v>
      </c>
      <c r="AD129" s="231">
        <f>(INDEX(Models!$BJ129:$BT129,,AH129)*(1-AF129)+INDEX(Models!$BJ129:$BT129,,AH129+1)*AF129-ERP_i)*AE129*Ramure*Pc/MaxiM</f>
        <v>0</v>
      </c>
      <c r="AE129" s="305">
        <f t="shared" si="38"/>
        <v>0.7</v>
      </c>
      <c r="AF129" s="177">
        <f t="shared" si="39"/>
        <v>0.9390093528915251</v>
      </c>
      <c r="AG129" s="817">
        <f t="shared" si="47"/>
        <v>-2</v>
      </c>
      <c r="AH129" s="176">
        <f t="shared" si="40"/>
        <v>4</v>
      </c>
      <c r="AI129" s="225">
        <f t="shared" si="41"/>
        <v>-1.0609906471084749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4"/>
        <v>43946</v>
      </c>
      <c r="B130" s="617">
        <v>29.7</v>
      </c>
      <c r="C130" s="390"/>
      <c r="D130" s="393">
        <f t="shared" si="24"/>
        <v>30.183318796689512</v>
      </c>
      <c r="E130" s="385">
        <f t="shared" si="45"/>
        <v>33.161207037012161</v>
      </c>
      <c r="F130" s="385">
        <f t="shared" si="25"/>
        <v>33.161207037012161</v>
      </c>
      <c r="G130" s="110">
        <f t="shared" si="46"/>
        <v>0.79265612239710248</v>
      </c>
      <c r="H130" s="414" t="b">
        <f>Wh_hp&gt;='2019'!Maxi_hp</f>
        <v>1</v>
      </c>
      <c r="I130" s="380">
        <f>IF(H130,Wh_hp,'2019'!Maxi_hp)</f>
        <v>33.161207037012161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1.6012778447097809E-2</v>
      </c>
      <c r="M130" s="850"/>
      <c r="N130" s="850"/>
      <c r="O130" s="48">
        <f>IF(t&lt;Tnet,'2019'!Resal+('2019'!Salim-'2019'!Resal)*(1-EXP(('2019'!Tnet-t)/('2019'!Tau_j))),Resal+(Salim-Resal)*(1-EXP((Tnet-t)/(Tau_j))))*Salcycl</f>
        <v>8.980035729697472E-2</v>
      </c>
      <c r="P130" s="169">
        <f>(INDEX(Models!$BJ130:$BT130,,T130)*(1-R130)+INDEX(Models!$BJ130:$BT130,,T130+1)*R130-ERP_i)*Q130*Ramure*Pc/MaxiM</f>
        <v>0</v>
      </c>
      <c r="Q130" s="305">
        <f t="shared" si="27"/>
        <v>0.7</v>
      </c>
      <c r="R130" s="177">
        <f t="shared" si="28"/>
        <v>0.94043852725291699</v>
      </c>
      <c r="S130" s="817">
        <f t="shared" si="29"/>
        <v>-2</v>
      </c>
      <c r="T130" s="176">
        <f t="shared" si="30"/>
        <v>4</v>
      </c>
      <c r="U130" s="251">
        <f t="shared" si="31"/>
        <v>-1.059561472747083</v>
      </c>
      <c r="V130" s="383">
        <f t="shared" si="32"/>
        <v>37.468959313886415</v>
      </c>
      <c r="W130" s="402"/>
      <c r="X130" s="157">
        <f t="shared" si="33"/>
        <v>43946</v>
      </c>
      <c r="Y130" s="385">
        <f t="shared" si="34"/>
        <v>29.700000000000003</v>
      </c>
      <c r="Z130" s="385">
        <f t="shared" si="35"/>
        <v>30.183318796689516</v>
      </c>
      <c r="AA130" s="386">
        <f t="shared" si="36"/>
        <v>33.161207037012161</v>
      </c>
      <c r="AB130" s="197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8.980035729697472E-2</v>
      </c>
      <c r="AD130" s="231">
        <f>(INDEX(Models!$BJ130:$BT130,,AH130)*(1-AF130)+INDEX(Models!$BJ130:$BT130,,AH130+1)*AF130-ERP_i)*AE130*Ramure*Pc/MaxiM</f>
        <v>0</v>
      </c>
      <c r="AE130" s="305">
        <f t="shared" si="38"/>
        <v>0.7</v>
      </c>
      <c r="AF130" s="177">
        <f t="shared" si="39"/>
        <v>0.94043852725291699</v>
      </c>
      <c r="AG130" s="817">
        <f t="shared" si="47"/>
        <v>-2</v>
      </c>
      <c r="AH130" s="176">
        <f t="shared" si="40"/>
        <v>4</v>
      </c>
      <c r="AI130" s="225">
        <f t="shared" si="41"/>
        <v>-1.059561472747083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4"/>
        <v>43947</v>
      </c>
      <c r="B131" s="617">
        <v>16.274000000000001</v>
      </c>
      <c r="C131" s="390"/>
      <c r="D131" s="393">
        <f t="shared" si="24"/>
        <v>16.539194914024943</v>
      </c>
      <c r="E131" s="385">
        <f t="shared" si="45"/>
        <v>18.17318474922978</v>
      </c>
      <c r="F131" s="385">
        <f t="shared" si="25"/>
        <v>18.17318474922978</v>
      </c>
      <c r="G131" s="110">
        <f t="shared" si="46"/>
        <v>0.433142376128755</v>
      </c>
      <c r="H131" s="414" t="b">
        <f>Wh_hp&gt;='2019'!Maxi_hp</f>
        <v>0</v>
      </c>
      <c r="I131" s="380">
        <f>IF(H131,Wh_hp,'2019'!Maxi_hp)</f>
        <v>22.248928801884318</v>
      </c>
      <c r="J131" s="85">
        <f>IF(H131,An,'2019'!An_max)</f>
        <v>2019</v>
      </c>
      <c r="K131" s="197">
        <f t="shared" si="26"/>
        <v>43947</v>
      </c>
      <c r="L131" s="147">
        <f>IF(t&lt;Tvie,1-EXP((T0-t)*PertePVj)+'2019'!Pspv,1-EXP((T0-t)*PertePVj)+Pspv)</f>
        <v>1.6034330292586496E-2</v>
      </c>
      <c r="M131" s="850"/>
      <c r="N131" s="850"/>
      <c r="O131" s="48">
        <f>IF(t&lt;Tnet,'2019'!Resal+('2019'!Salim-'2019'!Resal)*(1-EXP(('2019'!Tnet-t)/('2019'!Tau_j))),Resal+(Salim-Resal)*(1-EXP((Tnet-t)/(Tau_j))))*Salcycl</f>
        <v>8.9912134705728466E-2</v>
      </c>
      <c r="P131" s="169">
        <f>(INDEX(Models!$BJ131:$BT131,,T131)*(1-R131)+INDEX(Models!$BJ131:$BT131,,T131+1)*R131-ERP_i)*Q131*Ramure*Pc/MaxiM</f>
        <v>0</v>
      </c>
      <c r="Q131" s="305">
        <f t="shared" si="27"/>
        <v>0.7</v>
      </c>
      <c r="R131" s="177">
        <f t="shared" si="28"/>
        <v>0.94191110814882428</v>
      </c>
      <c r="S131" s="817">
        <f t="shared" si="29"/>
        <v>-2</v>
      </c>
      <c r="T131" s="176">
        <f t="shared" si="30"/>
        <v>4</v>
      </c>
      <c r="U131" s="251">
        <f t="shared" si="31"/>
        <v>-1.0580888918511757</v>
      </c>
      <c r="V131" s="383">
        <f t="shared" si="32"/>
        <v>37.571941460565895</v>
      </c>
      <c r="W131" s="402"/>
      <c r="X131" s="157">
        <f t="shared" si="33"/>
        <v>43947</v>
      </c>
      <c r="Y131" s="385">
        <f t="shared" si="34"/>
        <v>16.274000000000001</v>
      </c>
      <c r="Z131" s="385">
        <f t="shared" si="35"/>
        <v>16.539194914024943</v>
      </c>
      <c r="AA131" s="386">
        <f t="shared" si="36"/>
        <v>18.17318474922978</v>
      </c>
      <c r="AB131" s="197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8.9912134705728466E-2</v>
      </c>
      <c r="AD131" s="231">
        <f>(INDEX(Models!$BJ131:$BT131,,AH131)*(1-AF131)+INDEX(Models!$BJ131:$BT131,,AH131+1)*AF131-ERP_i)*AE131*Ramure*Pc/MaxiM</f>
        <v>0</v>
      </c>
      <c r="AE131" s="305">
        <f t="shared" si="38"/>
        <v>0.7</v>
      </c>
      <c r="AF131" s="177">
        <f t="shared" si="39"/>
        <v>0.94191110814882428</v>
      </c>
      <c r="AG131" s="817">
        <f t="shared" si="47"/>
        <v>-2</v>
      </c>
      <c r="AH131" s="176">
        <f t="shared" si="40"/>
        <v>4</v>
      </c>
      <c r="AI131" s="225">
        <f t="shared" si="41"/>
        <v>-1.0580888918511757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4"/>
        <v>43948</v>
      </c>
      <c r="B132" s="617">
        <v>12.651999999999999</v>
      </c>
      <c r="C132" s="390"/>
      <c r="D132" s="393">
        <f t="shared" si="24"/>
        <v>12.858453812826918</v>
      </c>
      <c r="E132" s="385">
        <f t="shared" si="45"/>
        <v>14.130559293950556</v>
      </c>
      <c r="F132" s="385">
        <f t="shared" si="25"/>
        <v>14.130559293950556</v>
      </c>
      <c r="G132" s="110">
        <f t="shared" si="46"/>
        <v>0.33585566058909422</v>
      </c>
      <c r="H132" s="414" t="b">
        <f>Wh_hp&gt;='2019'!Maxi_hp</f>
        <v>0</v>
      </c>
      <c r="I132" s="380">
        <f>IF(H132,Wh_hp,'2019'!Maxi_hp)</f>
        <v>31.162451823892468</v>
      </c>
      <c r="J132" s="85">
        <f>IF(H132,An,'2019'!An_max)</f>
        <v>2019</v>
      </c>
      <c r="K132" s="197">
        <f t="shared" si="26"/>
        <v>43948</v>
      </c>
      <c r="L132" s="147">
        <f>IF(t&lt;Tvie,1-EXP((T0-t)*PertePVj)+'2019'!Pspv,1-EXP((T0-t)*PertePVj)+Pspv)</f>
        <v>1.6055881666034444E-2</v>
      </c>
      <c r="M132" s="850"/>
      <c r="N132" s="850"/>
      <c r="O132" s="48">
        <f>IF(t&lt;Tnet,'2019'!Resal+('2019'!Salim-'2019'!Resal)*(1-EXP(('2019'!Tnet-t)/('2019'!Tau_j))),Resal+(Salim-Resal)*(1-EXP((Tnet-t)/(Tau_j))))*Salcycl</f>
        <v>9.0025133093510332E-2</v>
      </c>
      <c r="P132" s="169">
        <f>(INDEX(Models!$BJ132:$BT132,,T132)*(1-R132)+INDEX(Models!$BJ132:$BT132,,T132+1)*R132-ERP_i)*Q132*Ramure*Pc/MaxiM</f>
        <v>0</v>
      </c>
      <c r="Q132" s="305">
        <f t="shared" si="27"/>
        <v>0.7</v>
      </c>
      <c r="R132" s="177">
        <f t="shared" si="28"/>
        <v>0.94342780288727246</v>
      </c>
      <c r="S132" s="817">
        <f t="shared" si="29"/>
        <v>-2</v>
      </c>
      <c r="T132" s="176">
        <f t="shared" si="30"/>
        <v>4</v>
      </c>
      <c r="U132" s="251">
        <f t="shared" si="31"/>
        <v>-1.0565721971127275</v>
      </c>
      <c r="V132" s="383">
        <f t="shared" si="32"/>
        <v>37.670944648687069</v>
      </c>
      <c r="W132" s="402"/>
      <c r="X132" s="157">
        <f t="shared" si="33"/>
        <v>43948</v>
      </c>
      <c r="Y132" s="385">
        <f t="shared" si="34"/>
        <v>12.651999999999999</v>
      </c>
      <c r="Z132" s="385">
        <f t="shared" si="35"/>
        <v>12.858453812826918</v>
      </c>
      <c r="AA132" s="386">
        <f t="shared" si="36"/>
        <v>14.130559293950556</v>
      </c>
      <c r="AB132" s="197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9.0025133093510332E-2</v>
      </c>
      <c r="AD132" s="231">
        <f>(INDEX(Models!$BJ132:$BT132,,AH132)*(1-AF132)+INDEX(Models!$BJ132:$BT132,,AH132+1)*AF132-ERP_i)*AE132*Ramure*Pc/MaxiM</f>
        <v>0</v>
      </c>
      <c r="AE132" s="305">
        <f t="shared" si="38"/>
        <v>0.7</v>
      </c>
      <c r="AF132" s="177">
        <f t="shared" si="39"/>
        <v>0.94342780288727246</v>
      </c>
      <c r="AG132" s="817">
        <f t="shared" si="47"/>
        <v>-2</v>
      </c>
      <c r="AH132" s="176">
        <f t="shared" si="40"/>
        <v>4</v>
      </c>
      <c r="AI132" s="225">
        <f t="shared" si="41"/>
        <v>-1.0565721971127275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4"/>
        <v>43949</v>
      </c>
      <c r="B133" s="617">
        <v>19.97</v>
      </c>
      <c r="C133" s="390"/>
      <c r="D133" s="393">
        <f t="shared" si="24"/>
        <v>20.296312597148582</v>
      </c>
      <c r="E133" s="385">
        <f t="shared" si="45"/>
        <v>22.30705605327713</v>
      </c>
      <c r="F133" s="385">
        <f t="shared" si="25"/>
        <v>22.30705605327713</v>
      </c>
      <c r="G133" s="110">
        <f t="shared" si="46"/>
        <v>0.52878560025901389</v>
      </c>
      <c r="H133" s="414" t="b">
        <f>Wh_hp&gt;='2019'!Maxi_hp</f>
        <v>0</v>
      </c>
      <c r="I133" s="380">
        <f>IF(H133,Wh_hp,'2019'!Maxi_hp)</f>
        <v>39.72311913554482</v>
      </c>
      <c r="J133" s="85">
        <f>IF(H133,An,'2019'!An_max)</f>
        <v>2019</v>
      </c>
      <c r="K133" s="197">
        <f t="shared" si="26"/>
        <v>43949</v>
      </c>
      <c r="L133" s="147">
        <f>IF(t&lt;Tvie,1-EXP((T0-t)*PertePVj)+'2019'!Pspv,1-EXP((T0-t)*PertePVj)+Pspv)</f>
        <v>1.6077432567451977E-2</v>
      </c>
      <c r="M133" s="850"/>
      <c r="N133" s="850"/>
      <c r="O133" s="48">
        <f>IF(t&lt;Tnet,'2019'!Resal+('2019'!Salim-'2019'!Resal)*(1-EXP(('2019'!Tnet-t)/('2019'!Tau_j))),Resal+(Salim-Resal)*(1-EXP((Tnet-t)/(Tau_j))))*Salcycl</f>
        <v>9.0139346551431215E-2</v>
      </c>
      <c r="P133" s="169">
        <f>(INDEX(Models!$BJ133:$BT133,,T133)*(1-R133)+INDEX(Models!$BJ133:$BT133,,T133+1)*R133-ERP_i)*Q133*Ramure*Pc/MaxiM</f>
        <v>0</v>
      </c>
      <c r="Q133" s="305">
        <f t="shared" si="27"/>
        <v>0.7</v>
      </c>
      <c r="R133" s="177">
        <f t="shared" si="28"/>
        <v>0.94498928506590829</v>
      </c>
      <c r="S133" s="817">
        <f t="shared" si="29"/>
        <v>-2</v>
      </c>
      <c r="T133" s="176">
        <f t="shared" si="30"/>
        <v>4</v>
      </c>
      <c r="U133" s="251">
        <f t="shared" si="31"/>
        <v>-1.0550107149340917</v>
      </c>
      <c r="V133" s="383">
        <f t="shared" si="32"/>
        <v>37.765778777292986</v>
      </c>
      <c r="W133" s="402"/>
      <c r="X133" s="157">
        <f t="shared" si="33"/>
        <v>43949</v>
      </c>
      <c r="Y133" s="385">
        <f t="shared" si="34"/>
        <v>19.97</v>
      </c>
      <c r="Z133" s="385">
        <f t="shared" si="35"/>
        <v>20.296312597148582</v>
      </c>
      <c r="AA133" s="386">
        <f t="shared" si="36"/>
        <v>22.30705605327713</v>
      </c>
      <c r="AB133" s="197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9.0139346551431215E-2</v>
      </c>
      <c r="AD133" s="231">
        <f>(INDEX(Models!$BJ133:$BT133,,AH133)*(1-AF133)+INDEX(Models!$BJ133:$BT133,,AH133+1)*AF133-ERP_i)*AE133*Ramure*Pc/MaxiM</f>
        <v>0</v>
      </c>
      <c r="AE133" s="305">
        <f t="shared" si="38"/>
        <v>0.7</v>
      </c>
      <c r="AF133" s="177">
        <f t="shared" si="39"/>
        <v>0.94498928506590829</v>
      </c>
      <c r="AG133" s="817">
        <f t="shared" si="47"/>
        <v>-2</v>
      </c>
      <c r="AH133" s="176">
        <f t="shared" si="40"/>
        <v>4</v>
      </c>
      <c r="AI133" s="225">
        <f t="shared" si="41"/>
        <v>-1.0550107149340917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4"/>
        <v>43950</v>
      </c>
      <c r="B134" s="617">
        <v>33.027000000000001</v>
      </c>
      <c r="C134" s="390"/>
      <c r="D134" s="393">
        <f t="shared" si="24"/>
        <v>33.567401018241092</v>
      </c>
      <c r="E134" s="385">
        <f t="shared" si="45"/>
        <v>36.897583837005463</v>
      </c>
      <c r="F134" s="385">
        <f t="shared" si="25"/>
        <v>36.897583837005463</v>
      </c>
      <c r="G134" s="110">
        <f t="shared" si="46"/>
        <v>0.87243180484822591</v>
      </c>
      <c r="H134" s="414" t="b">
        <f>Wh_hp&gt;='2019'!Maxi_hp</f>
        <v>0</v>
      </c>
      <c r="I134" s="380">
        <f>IF(H134,Wh_hp,'2019'!Maxi_hp)</f>
        <v>43.204941551644787</v>
      </c>
      <c r="J134" s="85">
        <f>IF(H134,An,'2019'!An_max)</f>
        <v>2019</v>
      </c>
      <c r="K134" s="197">
        <f t="shared" si="26"/>
        <v>43950</v>
      </c>
      <c r="L134" s="147">
        <f>IF(t&lt;Tvie,1-EXP((T0-t)*PertePVj)+'2019'!Pspv,1-EXP((T0-t)*PertePVj)+Pspv)</f>
        <v>1.609898299684942E-2</v>
      </c>
      <c r="M134" s="850"/>
      <c r="N134" s="850"/>
      <c r="O134" s="48">
        <f>IF(t&lt;Tnet,'2019'!Resal+('2019'!Salim-'2019'!Resal)*(1-EXP(('2019'!Tnet-t)/('2019'!Tau_j))),Resal+(Salim-Resal)*(1-EXP((Tnet-t)/(Tau_j))))*Salcycl</f>
        <v>9.0254766639338874E-2</v>
      </c>
      <c r="P134" s="169">
        <f>(INDEX(Models!$BJ134:$BT134,,T134)*(1-R134)+INDEX(Models!$BJ134:$BT134,,T134+1)*R134-ERP_i)*Q134*Ramure*Pc/MaxiM</f>
        <v>0</v>
      </c>
      <c r="Q134" s="305">
        <f t="shared" si="27"/>
        <v>0.7</v>
      </c>
      <c r="R134" s="177">
        <f t="shared" si="28"/>
        <v>0.94659619079159807</v>
      </c>
      <c r="S134" s="817">
        <f t="shared" si="29"/>
        <v>-2</v>
      </c>
      <c r="T134" s="176">
        <f t="shared" si="30"/>
        <v>4</v>
      </c>
      <c r="U134" s="251">
        <f t="shared" si="31"/>
        <v>-1.0534038092084019</v>
      </c>
      <c r="V134" s="383">
        <f t="shared" si="32"/>
        <v>37.856253997692811</v>
      </c>
      <c r="W134" s="402"/>
      <c r="X134" s="157">
        <f t="shared" si="33"/>
        <v>43950</v>
      </c>
      <c r="Y134" s="385">
        <f t="shared" si="34"/>
        <v>33.027000000000001</v>
      </c>
      <c r="Z134" s="385">
        <f t="shared" si="35"/>
        <v>33.567401018241092</v>
      </c>
      <c r="AA134" s="386">
        <f t="shared" si="36"/>
        <v>36.897583837005463</v>
      </c>
      <c r="AB134" s="197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9.0254766639338874E-2</v>
      </c>
      <c r="AD134" s="231">
        <f>(INDEX(Models!$BJ134:$BT134,,AH134)*(1-AF134)+INDEX(Models!$BJ134:$BT134,,AH134+1)*AF134-ERP_i)*AE134*Ramure*Pc/MaxiM</f>
        <v>0</v>
      </c>
      <c r="AE134" s="305">
        <f t="shared" si="38"/>
        <v>0.7</v>
      </c>
      <c r="AF134" s="177">
        <f t="shared" si="39"/>
        <v>0.94659619079159807</v>
      </c>
      <c r="AG134" s="817">
        <f t="shared" si="47"/>
        <v>-2</v>
      </c>
      <c r="AH134" s="176">
        <f t="shared" si="40"/>
        <v>4</v>
      </c>
      <c r="AI134" s="225">
        <f t="shared" si="41"/>
        <v>-1.0534038092084019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4"/>
        <v>43951</v>
      </c>
      <c r="B135" s="617">
        <v>28.571999999999999</v>
      </c>
      <c r="C135" s="390"/>
      <c r="D135" s="393">
        <f t="shared" si="24"/>
        <v>29.040142575382195</v>
      </c>
      <c r="E135" s="385">
        <f t="shared" si="45"/>
        <v>31.925273688954107</v>
      </c>
      <c r="F135" s="385">
        <f t="shared" si="25"/>
        <v>31.925273688954107</v>
      </c>
      <c r="G135" s="110">
        <f t="shared" si="46"/>
        <v>0.75302690837626007</v>
      </c>
      <c r="H135" s="414" t="b">
        <f>Wh_hp&gt;='2019'!Maxi_hp</f>
        <v>0</v>
      </c>
      <c r="I135" s="380">
        <f>IF(H135,Wh_hp,'2019'!Maxi_hp)</f>
        <v>40.273883228930465</v>
      </c>
      <c r="J135" s="85">
        <f>IF(H135,An,'2019'!An_max)</f>
        <v>2019</v>
      </c>
      <c r="K135" s="197">
        <f t="shared" si="26"/>
        <v>43951</v>
      </c>
      <c r="L135" s="147">
        <f>IF(t&lt;Tvie,1-EXP((T0-t)*PertePVj)+'2019'!Pspv,1-EXP((T0-t)*PertePVj)+Pspv)</f>
        <v>1.612053295423721E-2</v>
      </c>
      <c r="M135" s="850"/>
      <c r="N135" s="850"/>
      <c r="O135" s="48">
        <f>IF(t&lt;Tnet,'2019'!Resal+('2019'!Salim-'2019'!Resal)*(1-EXP(('2019'!Tnet-t)/('2019'!Tau_j))),Resal+(Salim-Resal)*(1-EXP((Tnet-t)/(Tau_j))))*Salcycl</f>
        <v>9.0371382299853115E-2</v>
      </c>
      <c r="P135" s="169">
        <f>(INDEX(Models!$BJ135:$BT135,,T135)*(1-R135)+INDEX(Models!$BJ135:$BT135,,T135+1)*R135-ERP_i)*Q135*Ramure*Pc/MaxiM</f>
        <v>0</v>
      </c>
      <c r="Q135" s="305">
        <f t="shared" si="27"/>
        <v>0.7</v>
      </c>
      <c r="R135" s="177">
        <f t="shared" si="28"/>
        <v>0.94824911478724472</v>
      </c>
      <c r="S135" s="817">
        <f t="shared" si="29"/>
        <v>-2</v>
      </c>
      <c r="T135" s="176">
        <f t="shared" si="30"/>
        <v>4</v>
      </c>
      <c r="U135" s="251">
        <f t="shared" si="31"/>
        <v>-1.0517508852127553</v>
      </c>
      <c r="V135" s="383">
        <f t="shared" si="32"/>
        <v>37.942867223177117</v>
      </c>
      <c r="W135" s="402"/>
      <c r="X135" s="157">
        <f t="shared" si="33"/>
        <v>43951</v>
      </c>
      <c r="Y135" s="385">
        <f t="shared" si="34"/>
        <v>28.571999999999999</v>
      </c>
      <c r="Z135" s="385">
        <f t="shared" si="35"/>
        <v>29.040142575382195</v>
      </c>
      <c r="AA135" s="386">
        <f t="shared" si="36"/>
        <v>31.925273688954107</v>
      </c>
      <c r="AB135" s="197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9.0371382299853115E-2</v>
      </c>
      <c r="AD135" s="231">
        <f>(INDEX(Models!$BJ135:$BT135,,AH135)*(1-AF135)+INDEX(Models!$BJ135:$BT135,,AH135+1)*AF135-ERP_i)*AE135*Ramure*Pc/MaxiM</f>
        <v>0</v>
      </c>
      <c r="AE135" s="305">
        <f t="shared" si="38"/>
        <v>0.7</v>
      </c>
      <c r="AF135" s="177">
        <f t="shared" si="39"/>
        <v>0.94824911478724472</v>
      </c>
      <c r="AG135" s="817">
        <f t="shared" si="47"/>
        <v>-2</v>
      </c>
      <c r="AH135" s="176">
        <f t="shared" si="40"/>
        <v>4</v>
      </c>
      <c r="AI135" s="225">
        <f t="shared" si="41"/>
        <v>-1.0517508852127553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4"/>
        <v>43952</v>
      </c>
      <c r="B136" s="617">
        <v>14.544</v>
      </c>
      <c r="C136" s="390"/>
      <c r="D136" s="393">
        <f t="shared" si="24"/>
        <v>14.782622307969085</v>
      </c>
      <c r="E136" s="385">
        <f t="shared" si="45"/>
        <v>16.253377067376611</v>
      </c>
      <c r="F136" s="385">
        <f t="shared" si="25"/>
        <v>16.253377067376611</v>
      </c>
      <c r="G136" s="110">
        <f t="shared" si="46"/>
        <v>0.38247334741739453</v>
      </c>
      <c r="H136" s="414" t="b">
        <f>Wh_hp&gt;='2019'!Maxi_hp</f>
        <v>0</v>
      </c>
      <c r="I136" s="380">
        <f>IF(H136,Wh_hp,'2019'!Maxi_hp)</f>
        <v>26.088899160935565</v>
      </c>
      <c r="J136" s="85">
        <f>IF(H136,An,'2019'!An_max)</f>
        <v>2019</v>
      </c>
      <c r="K136" s="197">
        <f t="shared" si="26"/>
        <v>43952</v>
      </c>
      <c r="L136" s="147">
        <f>IF(t&lt;Tvie,1-EXP((T0-t)*PertePVj)+'2019'!Pspv,1-EXP((T0-t)*PertePVj)+Pspv)</f>
        <v>1.614208243962556E-2</v>
      </c>
      <c r="M136" s="850"/>
      <c r="N136" s="850"/>
      <c r="O136" s="48">
        <f>IF(t&lt;Tnet,'2019'!Resal+('2019'!Salim-'2019'!Resal)*(1-EXP(('2019'!Tnet-t)/('2019'!Tau_j))),Resal+(Salim-Resal)*(1-EXP((Tnet-t)/(Tau_j))))*Salcycl</f>
        <v>9.0489179775419745E-2</v>
      </c>
      <c r="P136" s="169">
        <f>(INDEX(Models!$BJ136:$BT136,,T136)*(1-R136)+INDEX(Models!$BJ136:$BT136,,T136+1)*R136-ERP_i)*Q136*Ramure*Pc/MaxiM</f>
        <v>0</v>
      </c>
      <c r="Q136" s="305">
        <f t="shared" si="27"/>
        <v>0.7</v>
      </c>
      <c r="R136" s="177">
        <f t="shared" si="28"/>
        <v>0.94994860639891776</v>
      </c>
      <c r="S136" s="817">
        <f t="shared" si="29"/>
        <v>-2</v>
      </c>
      <c r="T136" s="176">
        <f t="shared" si="30"/>
        <v>4</v>
      </c>
      <c r="U136" s="251">
        <f t="shared" si="31"/>
        <v>-1.0500513936010822</v>
      </c>
      <c r="V136" s="383">
        <f t="shared" si="32"/>
        <v>38.026179074193323</v>
      </c>
      <c r="W136" s="402"/>
      <c r="X136" s="157">
        <f t="shared" si="33"/>
        <v>43952</v>
      </c>
      <c r="Y136" s="385">
        <f t="shared" si="34"/>
        <v>14.544</v>
      </c>
      <c r="Z136" s="385">
        <f t="shared" si="35"/>
        <v>14.782622307969085</v>
      </c>
      <c r="AA136" s="386">
        <f t="shared" si="36"/>
        <v>16.253377067376611</v>
      </c>
      <c r="AB136" s="197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9.0489179775419745E-2</v>
      </c>
      <c r="AD136" s="231">
        <f>(INDEX(Models!$BJ136:$BT136,,AH136)*(1-AF136)+INDEX(Models!$BJ136:$BT136,,AH136+1)*AF136-ERP_i)*AE136*Ramure*Pc/MaxiM</f>
        <v>0</v>
      </c>
      <c r="AE136" s="305">
        <f t="shared" si="38"/>
        <v>0.7</v>
      </c>
      <c r="AF136" s="177">
        <f t="shared" si="39"/>
        <v>0.94994860639891776</v>
      </c>
      <c r="AG136" s="817">
        <f t="shared" si="47"/>
        <v>-2</v>
      </c>
      <c r="AH136" s="176">
        <f t="shared" si="40"/>
        <v>4</v>
      </c>
      <c r="AI136" s="225">
        <f t="shared" si="41"/>
        <v>-1.0500513936010822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4"/>
        <v>43953</v>
      </c>
      <c r="B137" s="617">
        <v>26.472999999999999</v>
      </c>
      <c r="C137" s="390"/>
      <c r="D137" s="393">
        <f t="shared" si="24"/>
        <v>26.907929861444227</v>
      </c>
      <c r="E137" s="385">
        <f t="shared" si="45"/>
        <v>29.588927633776482</v>
      </c>
      <c r="F137" s="385">
        <f t="shared" si="25"/>
        <v>29.588927633776482</v>
      </c>
      <c r="G137" s="110">
        <f t="shared" si="46"/>
        <v>0.69471824864486309</v>
      </c>
      <c r="H137" s="414" t="b">
        <f>Wh_hp&gt;='2019'!Maxi_hp</f>
        <v>1</v>
      </c>
      <c r="I137" s="380">
        <f>IF(H137,Wh_hp,'2019'!Maxi_hp)</f>
        <v>29.588927633776482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1.6163631453024907E-2</v>
      </c>
      <c r="M137" s="850"/>
      <c r="N137" s="850"/>
      <c r="O137" s="48">
        <f>IF(t&lt;Tnet,'2019'!Resal+('2019'!Salim-'2019'!Resal)*(1-EXP(('2019'!Tnet-t)/('2019'!Tau_j))),Resal+(Salim-Resal)*(1-EXP((Tnet-t)/(Tau_j))))*Salcycl</f>
        <v>9.0608142529363889E-2</v>
      </c>
      <c r="P137" s="169">
        <f>(INDEX(Models!$BJ137:$BT137,,T137)*(1-R137)+INDEX(Models!$BJ137:$BT137,,T137+1)*R137-ERP_i)*Q137*Ramure*Pc/MaxiM</f>
        <v>0</v>
      </c>
      <c r="Q137" s="305">
        <f t="shared" si="27"/>
        <v>0.7</v>
      </c>
      <c r="R137" s="177">
        <f t="shared" si="28"/>
        <v>0.95169516551837297</v>
      </c>
      <c r="S137" s="817">
        <f t="shared" si="29"/>
        <v>-2</v>
      </c>
      <c r="T137" s="176">
        <f t="shared" si="30"/>
        <v>4</v>
      </c>
      <c r="U137" s="251">
        <f t="shared" si="31"/>
        <v>-1.048304834481627</v>
      </c>
      <c r="V137" s="383">
        <f t="shared" si="32"/>
        <v>38.106095602985782</v>
      </c>
      <c r="W137" s="402"/>
      <c r="X137" s="157">
        <f t="shared" si="33"/>
        <v>43953</v>
      </c>
      <c r="Y137" s="385">
        <f t="shared" si="34"/>
        <v>26.472999999999999</v>
      </c>
      <c r="Z137" s="385">
        <f t="shared" si="35"/>
        <v>26.907929861444227</v>
      </c>
      <c r="AA137" s="386">
        <f t="shared" si="36"/>
        <v>29.588927633776482</v>
      </c>
      <c r="AB137" s="197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9.0608142529363889E-2</v>
      </c>
      <c r="AD137" s="231">
        <f>(INDEX(Models!$BJ137:$BT137,,AH137)*(1-AF137)+INDEX(Models!$BJ137:$BT137,,AH137+1)*AF137-ERP_i)*AE137*Ramure*Pc/MaxiM</f>
        <v>0</v>
      </c>
      <c r="AE137" s="305">
        <f t="shared" si="38"/>
        <v>0.7</v>
      </c>
      <c r="AF137" s="177">
        <f t="shared" si="39"/>
        <v>0.95169516551837297</v>
      </c>
      <c r="AG137" s="817">
        <f t="shared" si="47"/>
        <v>-2</v>
      </c>
      <c r="AH137" s="176">
        <f t="shared" si="40"/>
        <v>4</v>
      </c>
      <c r="AI137" s="225">
        <f t="shared" si="41"/>
        <v>-1.048304834481627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4"/>
        <v>43954</v>
      </c>
      <c r="B138" s="617">
        <v>35.594999999999999</v>
      </c>
      <c r="C138" s="390"/>
      <c r="D138" s="393">
        <f t="shared" si="24"/>
        <v>36.18058935095025</v>
      </c>
      <c r="E138" s="385">
        <f t="shared" si="45"/>
        <v>39.79073296578693</v>
      </c>
      <c r="F138" s="385">
        <f t="shared" si="25"/>
        <v>39.79073296578693</v>
      </c>
      <c r="G138" s="110">
        <f t="shared" si="46"/>
        <v>0.93223278968352485</v>
      </c>
      <c r="H138" s="414" t="b">
        <f>Wh_hp&gt;='2019'!Maxi_hp</f>
        <v>1</v>
      </c>
      <c r="I138" s="380">
        <f>IF(H138,Wh_hp,'2019'!Maxi_hp)</f>
        <v>39.79073296578693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1.6185179994445575E-2</v>
      </c>
      <c r="M138" s="850"/>
      <c r="N138" s="850"/>
      <c r="O138" s="48">
        <f>IF(t&lt;Tnet,'2019'!Resal+('2019'!Salim-'2019'!Resal)*(1-EXP(('2019'!Tnet-t)/('2019'!Tau_j))),Resal+(Salim-Resal)*(1-EXP((Tnet-t)/(Tau_j))))*Salcycl</f>
        <v>9.0728251171969379E-2</v>
      </c>
      <c r="P138" s="169">
        <f>(INDEX(Models!$BJ138:$BT138,,T138)*(1-R138)+INDEX(Models!$BJ138:$BT138,,T138+1)*R138-ERP_i)*Q138*Ramure*Pc/MaxiM</f>
        <v>0</v>
      </c>
      <c r="Q138" s="305">
        <f t="shared" si="27"/>
        <v>0.7</v>
      </c>
      <c r="R138" s="177">
        <f t="shared" si="28"/>
        <v>0.95348923843806088</v>
      </c>
      <c r="S138" s="817">
        <f t="shared" si="29"/>
        <v>-2</v>
      </c>
      <c r="T138" s="176">
        <f t="shared" si="30"/>
        <v>4</v>
      </c>
      <c r="U138" s="251">
        <f t="shared" si="31"/>
        <v>-1.0465107615619391</v>
      </c>
      <c r="V138" s="383">
        <f t="shared" si="32"/>
        <v>38.182523071392737</v>
      </c>
      <c r="W138" s="402"/>
      <c r="X138" s="157">
        <f t="shared" si="33"/>
        <v>43954</v>
      </c>
      <c r="Y138" s="385">
        <f t="shared" si="34"/>
        <v>35.594999999999999</v>
      </c>
      <c r="Z138" s="385">
        <f t="shared" si="35"/>
        <v>36.18058935095025</v>
      </c>
      <c r="AA138" s="386">
        <f t="shared" si="36"/>
        <v>39.79073296578693</v>
      </c>
      <c r="AB138" s="197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9.0728251171969379E-2</v>
      </c>
      <c r="AD138" s="231">
        <f>(INDEX(Models!$BJ138:$BT138,,AH138)*(1-AF138)+INDEX(Models!$BJ138:$BT138,,AH138+1)*AF138-ERP_i)*AE138*Ramure*Pc/MaxiM</f>
        <v>0</v>
      </c>
      <c r="AE138" s="305">
        <f t="shared" si="38"/>
        <v>0.7</v>
      </c>
      <c r="AF138" s="177">
        <f t="shared" si="39"/>
        <v>0.95348923843806088</v>
      </c>
      <c r="AG138" s="817">
        <f t="shared" si="47"/>
        <v>-2</v>
      </c>
      <c r="AH138" s="176">
        <f t="shared" si="40"/>
        <v>4</v>
      </c>
      <c r="AI138" s="225">
        <f t="shared" si="41"/>
        <v>-1.0465107615619391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4"/>
        <v>43955</v>
      </c>
      <c r="B139" s="617">
        <v>36.316000000000003</v>
      </c>
      <c r="C139" s="390"/>
      <c r="D139" s="393">
        <f t="shared" si="24"/>
        <v>36.914259363179248</v>
      </c>
      <c r="E139" s="385">
        <f t="shared" si="45"/>
        <v>40.603023029597871</v>
      </c>
      <c r="F139" s="385">
        <f t="shared" si="25"/>
        <v>40.603023029597871</v>
      </c>
      <c r="G139" s="110">
        <f t="shared" si="46"/>
        <v>0.94930468420731073</v>
      </c>
      <c r="H139" s="414" t="b">
        <f>Wh_hp&gt;='2019'!Maxi_hp</f>
        <v>1</v>
      </c>
      <c r="I139" s="380">
        <f>IF(H139,Wh_hp,'2019'!Maxi_hp)</f>
        <v>40.603023029597871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1.6206728063897891E-2</v>
      </c>
      <c r="M139" s="850"/>
      <c r="N139" s="850"/>
      <c r="O139" s="48">
        <f>IF(t&lt;Tnet,'2019'!Resal+('2019'!Salim-'2019'!Resal)*(1-EXP(('2019'!Tnet-t)/('2019'!Tau_j))),Resal+(Salim-Resal)*(1-EXP((Tnet-t)/(Tau_j))))*Salcycl</f>
        <v>9.08494833926448E-2</v>
      </c>
      <c r="P139" s="169">
        <f>(INDEX(Models!$BJ139:$BT139,,T139)*(1-R139)+INDEX(Models!$BJ139:$BT139,,T139+1)*R139-ERP_i)*Q139*Ramure*Pc/MaxiM</f>
        <v>0</v>
      </c>
      <c r="Q139" s="305">
        <f t="shared" si="27"/>
        <v>0.7</v>
      </c>
      <c r="R139" s="177">
        <f t="shared" si="28"/>
        <v>0.95533121365779716</v>
      </c>
      <c r="S139" s="817">
        <f t="shared" si="29"/>
        <v>-2</v>
      </c>
      <c r="T139" s="176">
        <f t="shared" si="30"/>
        <v>4</v>
      </c>
      <c r="U139" s="251">
        <f t="shared" si="31"/>
        <v>-1.0446687863422028</v>
      </c>
      <c r="V139" s="383">
        <f t="shared" si="32"/>
        <v>38.25536795947091</v>
      </c>
      <c r="W139" s="402"/>
      <c r="X139" s="157">
        <f t="shared" si="33"/>
        <v>43955</v>
      </c>
      <c r="Y139" s="385">
        <f t="shared" si="34"/>
        <v>36.316000000000003</v>
      </c>
      <c r="Z139" s="385">
        <f t="shared" si="35"/>
        <v>36.914259363179248</v>
      </c>
      <c r="AA139" s="386">
        <f t="shared" si="36"/>
        <v>40.603023029597871</v>
      </c>
      <c r="AB139" s="197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9.08494833926448E-2</v>
      </c>
      <c r="AD139" s="231">
        <f>(INDEX(Models!$BJ139:$BT139,,AH139)*(1-AF139)+INDEX(Models!$BJ139:$BT139,,AH139+1)*AF139-ERP_i)*AE139*Ramure*Pc/MaxiM</f>
        <v>0</v>
      </c>
      <c r="AE139" s="305">
        <f t="shared" si="38"/>
        <v>0.7</v>
      </c>
      <c r="AF139" s="177">
        <f t="shared" si="39"/>
        <v>0.95533121365779716</v>
      </c>
      <c r="AG139" s="817">
        <f t="shared" si="47"/>
        <v>-2</v>
      </c>
      <c r="AH139" s="176">
        <f t="shared" si="40"/>
        <v>4</v>
      </c>
      <c r="AI139" s="225">
        <f t="shared" si="41"/>
        <v>-1.0446687863422028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4"/>
        <v>43956</v>
      </c>
      <c r="B140" s="617">
        <v>33.651000000000003</v>
      </c>
      <c r="C140" s="390"/>
      <c r="D140" s="393">
        <f t="shared" si="24"/>
        <v>34.206106119408602</v>
      </c>
      <c r="E140" s="385">
        <f t="shared" si="45"/>
        <v>37.629312976680112</v>
      </c>
      <c r="F140" s="385">
        <f t="shared" si="25"/>
        <v>37.629312976680112</v>
      </c>
      <c r="G140" s="110">
        <f t="shared" si="46"/>
        <v>0.87805366137468166</v>
      </c>
      <c r="H140" s="414" t="b">
        <f>Wh_hp&gt;='2019'!Maxi_hp</f>
        <v>0</v>
      </c>
      <c r="I140" s="380">
        <f>IF(H140,Wh_hp,'2019'!Maxi_hp)</f>
        <v>44.619992536921345</v>
      </c>
      <c r="J140" s="85">
        <f>IF(H140,An,'2019'!An_max)</f>
        <v>2019</v>
      </c>
      <c r="K140" s="197">
        <f t="shared" si="26"/>
        <v>43956</v>
      </c>
      <c r="L140" s="147">
        <f>IF(t&lt;Tvie,1-EXP((T0-t)*PertePVj)+'2019'!Pspv,1-EXP((T0-t)*PertePVj)+Pspv)</f>
        <v>1.6228275661392177E-2</v>
      </c>
      <c r="M140" s="850"/>
      <c r="N140" s="850"/>
      <c r="O140" s="48">
        <f>IF(t&lt;Tnet,'2019'!Resal+('2019'!Salim-'2019'!Resal)*(1-EXP(('2019'!Tnet-t)/('2019'!Tau_j))),Resal+(Salim-Resal)*(1-EXP((Tnet-t)/(Tau_j))))*Salcycl</f>
        <v>9.0971813899258888E-2</v>
      </c>
      <c r="P140" s="169">
        <f>(INDEX(Models!$BJ140:$BT140,,T140)*(1-R140)+INDEX(Models!$BJ140:$BT140,,T140+1)*R140-ERP_i)*Q140*Ramure*Pc/MaxiM</f>
        <v>0</v>
      </c>
      <c r="Q140" s="305">
        <f t="shared" si="27"/>
        <v>0.7</v>
      </c>
      <c r="R140" s="177">
        <f t="shared" si="28"/>
        <v>0.95722141766433633</v>
      </c>
      <c r="S140" s="817">
        <f t="shared" si="29"/>
        <v>-2</v>
      </c>
      <c r="T140" s="176">
        <f t="shared" si="30"/>
        <v>4</v>
      </c>
      <c r="U140" s="251">
        <f t="shared" si="31"/>
        <v>-1.0427785823356637</v>
      </c>
      <c r="V140" s="383">
        <f t="shared" si="32"/>
        <v>38.32453696203028</v>
      </c>
      <c r="W140" s="402"/>
      <c r="X140" s="157">
        <f t="shared" si="33"/>
        <v>43956</v>
      </c>
      <c r="Y140" s="385">
        <f t="shared" si="34"/>
        <v>33.651000000000003</v>
      </c>
      <c r="Z140" s="385">
        <f t="shared" si="35"/>
        <v>34.206106119408602</v>
      </c>
      <c r="AA140" s="386">
        <f t="shared" si="36"/>
        <v>37.629312976680112</v>
      </c>
      <c r="AB140" s="197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9.0971813899258888E-2</v>
      </c>
      <c r="AD140" s="231">
        <f>(INDEX(Models!$BJ140:$BT140,,AH140)*(1-AF140)+INDEX(Models!$BJ140:$BT140,,AH140+1)*AF140-ERP_i)*AE140*Ramure*Pc/MaxiM</f>
        <v>0</v>
      </c>
      <c r="AE140" s="305">
        <f t="shared" si="38"/>
        <v>0.7</v>
      </c>
      <c r="AF140" s="177">
        <f t="shared" si="39"/>
        <v>0.95722141766433633</v>
      </c>
      <c r="AG140" s="817">
        <f t="shared" si="47"/>
        <v>-2</v>
      </c>
      <c r="AH140" s="176">
        <f t="shared" si="40"/>
        <v>4</v>
      </c>
      <c r="AI140" s="225">
        <f t="shared" si="41"/>
        <v>-1.0427785823356637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4"/>
        <v>43957</v>
      </c>
      <c r="B141" s="617">
        <v>37.093000000000004</v>
      </c>
      <c r="C141" s="390"/>
      <c r="D141" s="393">
        <f t="shared" si="24"/>
        <v>37.705711123817544</v>
      </c>
      <c r="E141" s="385">
        <f t="shared" si="45"/>
        <v>41.484775655026766</v>
      </c>
      <c r="F141" s="385">
        <f t="shared" si="25"/>
        <v>41.484775655026766</v>
      </c>
      <c r="G141" s="110">
        <f t="shared" si="46"/>
        <v>0.9662167458687797</v>
      </c>
      <c r="H141" s="414" t="b">
        <f>Wh_hp&gt;='2019'!Maxi_hp</f>
        <v>1</v>
      </c>
      <c r="I141" s="380">
        <f>IF(H141,Wh_hp,'2019'!Maxi_hp)</f>
        <v>41.484775655026766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1.6249822786938761E-2</v>
      </c>
      <c r="M141" s="850"/>
      <c r="N141" s="850"/>
      <c r="O141" s="48">
        <f>IF(t&lt;Tnet,'2019'!Resal+('2019'!Salim-'2019'!Resal)*(1-EXP(('2019'!Tnet-t)/('2019'!Tau_j))),Resal+(Salim-Resal)*(1-EXP((Tnet-t)/(Tau_j))))*Salcycl</f>
        <v>9.1095214365738197E-2</v>
      </c>
      <c r="P141" s="169">
        <f>(INDEX(Models!$BJ141:$BT141,,T141)*(1-R141)+INDEX(Models!$BJ141:$BT141,,T141+1)*R141-ERP_i)*Q141*Ramure*Pc/MaxiM</f>
        <v>0</v>
      </c>
      <c r="Q141" s="305">
        <f t="shared" si="27"/>
        <v>0.7</v>
      </c>
      <c r="R141" s="177">
        <f t="shared" si="28"/>
        <v>0.95916011070716012</v>
      </c>
      <c r="S141" s="817">
        <f t="shared" si="29"/>
        <v>-2</v>
      </c>
      <c r="T141" s="176">
        <f t="shared" si="30"/>
        <v>4</v>
      </c>
      <c r="U141" s="251">
        <f t="shared" si="31"/>
        <v>-1.0408398892928399</v>
      </c>
      <c r="V141" s="383">
        <f t="shared" si="32"/>
        <v>38.389936997673964</v>
      </c>
      <c r="W141" s="402"/>
      <c r="X141" s="157">
        <f t="shared" si="33"/>
        <v>43957</v>
      </c>
      <c r="Y141" s="385">
        <f t="shared" si="34"/>
        <v>37.093000000000004</v>
      </c>
      <c r="Z141" s="385">
        <f t="shared" si="35"/>
        <v>37.705711123817544</v>
      </c>
      <c r="AA141" s="386">
        <f t="shared" si="36"/>
        <v>41.484775655026766</v>
      </c>
      <c r="AB141" s="197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9.1095214365738197E-2</v>
      </c>
      <c r="AD141" s="231">
        <f>(INDEX(Models!$BJ141:$BT141,,AH141)*(1-AF141)+INDEX(Models!$BJ141:$BT141,,AH141+1)*AF141-ERP_i)*AE141*Ramure*Pc/MaxiM</f>
        <v>0</v>
      </c>
      <c r="AE141" s="305">
        <f t="shared" si="38"/>
        <v>0.7</v>
      </c>
      <c r="AF141" s="177">
        <f t="shared" si="39"/>
        <v>0.95916011070716012</v>
      </c>
      <c r="AG141" s="817">
        <f t="shared" si="47"/>
        <v>-2</v>
      </c>
      <c r="AH141" s="176">
        <f t="shared" si="40"/>
        <v>4</v>
      </c>
      <c r="AI141" s="225">
        <f t="shared" si="41"/>
        <v>-1.0408398892928399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4"/>
        <v>43958</v>
      </c>
      <c r="B142" s="617">
        <v>31.457999999999998</v>
      </c>
      <c r="C142" s="390"/>
      <c r="D142" s="393">
        <f t="shared" si="24"/>
        <v>31.978331241726345</v>
      </c>
      <c r="E142" s="385">
        <f t="shared" si="45"/>
        <v>35.188185309002016</v>
      </c>
      <c r="F142" s="385">
        <f t="shared" si="25"/>
        <v>35.188185309002016</v>
      </c>
      <c r="G142" s="110">
        <f t="shared" si="46"/>
        <v>0.81812205717954334</v>
      </c>
      <c r="H142" s="414" t="b">
        <f>Wh_hp&gt;='2019'!Maxi_hp</f>
        <v>1</v>
      </c>
      <c r="I142" s="380">
        <f>IF(H142,Wh_hp,'2019'!Maxi_hp)</f>
        <v>35.188185309002016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1.6271369440547967E-2</v>
      </c>
      <c r="M142" s="850"/>
      <c r="N142" s="850"/>
      <c r="O142" s="48">
        <f>IF(t&lt;Tnet,'2019'!Resal+('2019'!Salim-'2019'!Resal)*(1-EXP(('2019'!Tnet-t)/('2019'!Tau_j))),Resal+(Salim-Resal)*(1-EXP((Tnet-t)/(Tau_j))))*Salcycl</f>
        <v>9.1219653389017288E-2</v>
      </c>
      <c r="P142" s="169">
        <f>(INDEX(Models!$BJ142:$BT142,,T142)*(1-R142)+INDEX(Models!$BJ142:$BT142,,T142+1)*R142-ERP_i)*Q142*Ramure*Pc/MaxiM</f>
        <v>0</v>
      </c>
      <c r="Q142" s="305">
        <f t="shared" si="27"/>
        <v>0.7</v>
      </c>
      <c r="R142" s="177">
        <f t="shared" si="28"/>
        <v>0.96114748259580907</v>
      </c>
      <c r="S142" s="817">
        <f t="shared" si="29"/>
        <v>-2</v>
      </c>
      <c r="T142" s="176">
        <f t="shared" si="30"/>
        <v>4</v>
      </c>
      <c r="U142" s="251">
        <f t="shared" si="31"/>
        <v>-1.0388525174041909</v>
      </c>
      <c r="V142" s="383">
        <f t="shared" si="32"/>
        <v>38.451475209519124</v>
      </c>
      <c r="W142" s="402"/>
      <c r="X142" s="157">
        <f t="shared" si="33"/>
        <v>43958</v>
      </c>
      <c r="Y142" s="385">
        <f t="shared" si="34"/>
        <v>31.457999999999995</v>
      </c>
      <c r="Z142" s="385">
        <f t="shared" si="35"/>
        <v>31.978331241726341</v>
      </c>
      <c r="AA142" s="386">
        <f t="shared" si="36"/>
        <v>35.188185309002016</v>
      </c>
      <c r="AB142" s="197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9.1219653389017288E-2</v>
      </c>
      <c r="AD142" s="231">
        <f>(INDEX(Models!$BJ142:$BT142,,AH142)*(1-AF142)+INDEX(Models!$BJ142:$BT142,,AH142+1)*AF142-ERP_i)*AE142*Ramure*Pc/MaxiM</f>
        <v>0</v>
      </c>
      <c r="AE142" s="305">
        <f t="shared" si="38"/>
        <v>0.7</v>
      </c>
      <c r="AF142" s="177">
        <f t="shared" si="39"/>
        <v>0.96114748259580907</v>
      </c>
      <c r="AG142" s="817">
        <f t="shared" si="47"/>
        <v>-2</v>
      </c>
      <c r="AH142" s="176">
        <f t="shared" si="40"/>
        <v>4</v>
      </c>
      <c r="AI142" s="225">
        <f t="shared" si="41"/>
        <v>-1.0388525174041909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43959</v>
      </c>
      <c r="B143" s="617">
        <v>32.886000000000003</v>
      </c>
      <c r="C143" s="390"/>
      <c r="D143" s="393">
        <f t="shared" ref="D143:D206" si="48">Wh/(1-Ppv)</f>
        <v>33.430683302236851</v>
      </c>
      <c r="E143" s="385">
        <f t="shared" si="45"/>
        <v>36.791397010970201</v>
      </c>
      <c r="F143" s="385">
        <f t="shared" ref="F143:F206" si="49">Wh_sa/(1-Pvg*MEDIAN((-Sdif+Wh/Env_an)/Csdif,0,1))</f>
        <v>36.791397010970201</v>
      </c>
      <c r="G143" s="110">
        <f t="shared" si="46"/>
        <v>0.85398087824607394</v>
      </c>
      <c r="H143" s="414" t="b">
        <f>Wh_hp&gt;='2019'!Maxi_hp</f>
        <v>1</v>
      </c>
      <c r="I143" s="380">
        <f>IF(H143,Wh_hp,'2019'!Maxi_hp)</f>
        <v>36.791397010970201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1.6292915622230231E-2</v>
      </c>
      <c r="M143" s="850"/>
      <c r="N143" s="850"/>
      <c r="O143" s="48">
        <f>IF(t&lt;Tnet,'2019'!Resal+('2019'!Salim-'2019'!Resal)*(1-EXP(('2019'!Tnet-t)/('2019'!Tau_j))),Resal+(Salim-Resal)*(1-EXP((Tnet-t)/(Tau_j))))*Salcycl</f>
        <v>9.1345096456415448E-2</v>
      </c>
      <c r="P143" s="169">
        <f>(INDEX(Models!$BJ143:$BT143,,T143)*(1-R143)+INDEX(Models!$BJ143:$BT143,,T143+1)*R143-ERP_i)*Q143*Ramure*Pc/MaxiM</f>
        <v>0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0.9631836485460461</v>
      </c>
      <c r="S143" s="817">
        <f t="shared" ref="S143:S206" si="53">INDEX(Echel_vg,T143)</f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-1.0368163514539539</v>
      </c>
      <c r="V143" s="383">
        <f t="shared" ref="V143:V206" si="56">MaxiM*(1-Ppv)*(1-Pvg)*(1-Psa)</f>
        <v>38.50905897043274</v>
      </c>
      <c r="W143" s="402"/>
      <c r="X143" s="157">
        <f t="shared" ref="X143:X206" si="57">t</f>
        <v>43959</v>
      </c>
      <c r="Y143" s="385">
        <f t="shared" ref="Y143:Y206" si="58">Wh_pvt_s*(1-Ppv)</f>
        <v>32.886000000000003</v>
      </c>
      <c r="Z143" s="385">
        <f t="shared" ref="Z143:Z206" si="59">Wh_sa_s*(1-Psa_s)</f>
        <v>33.430683302236851</v>
      </c>
      <c r="AA143" s="386">
        <f t="shared" ref="AA143:AA206" si="60">Wh_hp*(1-Pvg_s*MEDIAN((-Sdif+Wh/Env_an)/Csdif,0,1))</f>
        <v>36.791397010970201</v>
      </c>
      <c r="AB143" s="197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9.1345096456415448E-2</v>
      </c>
      <c r="AD143" s="231">
        <f>(INDEX(Models!$BJ143:$BT143,,AH143)*(1-AF143)+INDEX(Models!$BJ143:$BT143,,AH143+1)*AF143-ERP_i)*AE143*Ramure*Pc/MaxiM</f>
        <v>0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0.9631836485460461</v>
      </c>
      <c r="AG143" s="817">
        <f t="shared" si="47"/>
        <v>-2</v>
      </c>
      <c r="AH143" s="176">
        <f t="shared" ref="AH143:AH206" si="64">MIN(MATCH(Hp_vg_s,Echel_vg),10)</f>
        <v>4</v>
      </c>
      <c r="AI143" s="225">
        <f t="shared" ref="AI143:AI206" si="65">IF(OR(t&lt;Ttai,Notai),Hdd_s+PousH*Croivg,Hdtai_s+PousH*(Croivg-Croi_tai))</f>
        <v>-1.0368163514539539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43960</v>
      </c>
      <c r="B144" s="617">
        <v>28.692</v>
      </c>
      <c r="C144" s="390"/>
      <c r="D144" s="393">
        <f t="shared" si="48"/>
        <v>29.167857889678306</v>
      </c>
      <c r="E144" s="385">
        <f t="shared" ref="E144:E169" si="69">Wh_pvt/(1-Psa)</f>
        <v>32.104505340097717</v>
      </c>
      <c r="F144" s="385">
        <f t="shared" si="49"/>
        <v>32.104505340097717</v>
      </c>
      <c r="G144" s="110">
        <f t="shared" ref="G144:G169" si="70">+Wh_hp/MaxiM</f>
        <v>0.74403704792074843</v>
      </c>
      <c r="H144" s="414" t="b">
        <f>Wh_hp&gt;='2019'!Maxi_hp</f>
        <v>1</v>
      </c>
      <c r="I144" s="380">
        <f>IF(H144,Wh_hp,'2019'!Maxi_hp)</f>
        <v>32.104505340097717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1.6314461331995767E-2</v>
      </c>
      <c r="M144" s="850"/>
      <c r="N144" s="850"/>
      <c r="O144" s="48">
        <f>IF(t&lt;Tnet,'2019'!Resal+('2019'!Salim-'2019'!Resal)*(1-EXP(('2019'!Tnet-t)/('2019'!Tau_j))),Resal+(Salim-Resal)*(1-EXP((Tnet-t)/(Tau_j))))*Salcycl</f>
        <v>9.1471505924485205E-2</v>
      </c>
      <c r="P144" s="169">
        <f>(INDEX(Models!$BJ144:$BT144,,T144)*(1-R144)+INDEX(Models!$BJ144:$BT144,,T144+1)*R144-ERP_i)*Q144*Ramure*Pc/MaxiM</f>
        <v>0</v>
      </c>
      <c r="Q144" s="305">
        <f t="shared" si="51"/>
        <v>0.7</v>
      </c>
      <c r="R144" s="177">
        <f t="shared" si="52"/>
        <v>0.96526864510397536</v>
      </c>
      <c r="S144" s="817">
        <f t="shared" si="53"/>
        <v>-2</v>
      </c>
      <c r="T144" s="176">
        <f t="shared" si="54"/>
        <v>4</v>
      </c>
      <c r="U144" s="251">
        <f t="shared" si="55"/>
        <v>-1.0347313548960246</v>
      </c>
      <c r="V144" s="383">
        <f t="shared" si="56"/>
        <v>38.562595881725699</v>
      </c>
      <c r="W144" s="402"/>
      <c r="X144" s="157">
        <f t="shared" si="57"/>
        <v>43960</v>
      </c>
      <c r="Y144" s="385">
        <f t="shared" si="58"/>
        <v>28.691999999999997</v>
      </c>
      <c r="Z144" s="385">
        <f t="shared" si="59"/>
        <v>29.167857889678302</v>
      </c>
      <c r="AA144" s="386">
        <f t="shared" si="60"/>
        <v>32.104505340097717</v>
      </c>
      <c r="AB144" s="197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9.1471505924485205E-2</v>
      </c>
      <c r="AD144" s="231">
        <f>(INDEX(Models!$BJ144:$BT144,,AH144)*(1-AF144)+INDEX(Models!$BJ144:$BT144,,AH144+1)*AF144-ERP_i)*AE144*Ramure*Pc/MaxiM</f>
        <v>0</v>
      </c>
      <c r="AE144" s="305">
        <f t="shared" si="62"/>
        <v>0.7</v>
      </c>
      <c r="AF144" s="177">
        <f t="shared" si="63"/>
        <v>0.96526864510397536</v>
      </c>
      <c r="AG144" s="817">
        <f t="shared" ref="AG144:AG207" si="71">INDEX(Echel_vg,AH144)</f>
        <v>-2</v>
      </c>
      <c r="AH144" s="176">
        <f t="shared" si="64"/>
        <v>4</v>
      </c>
      <c r="AI144" s="225">
        <f t="shared" si="65"/>
        <v>-1.0347313548960246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8"/>
        <v>43961</v>
      </c>
      <c r="B145" s="617">
        <v>8.2279999999999998</v>
      </c>
      <c r="C145" s="390"/>
      <c r="D145" s="393">
        <f t="shared" si="48"/>
        <v>8.3646448939419393</v>
      </c>
      <c r="E145" s="385">
        <f t="shared" si="69"/>
        <v>9.208095796845079</v>
      </c>
      <c r="F145" s="385">
        <f t="shared" si="49"/>
        <v>9.208095796845079</v>
      </c>
      <c r="G145" s="110">
        <f t="shared" si="70"/>
        <v>0.21309440917041308</v>
      </c>
      <c r="H145" s="414" t="b">
        <f>Wh_hp&gt;='2019'!Maxi_hp</f>
        <v>0</v>
      </c>
      <c r="I145" s="380">
        <f>IF(H145,Wh_hp,'2019'!Maxi_hp)</f>
        <v>27.740369982963095</v>
      </c>
      <c r="J145" s="85">
        <f>IF(H145,An,'2019'!An_max)</f>
        <v>2019</v>
      </c>
      <c r="K145" s="197">
        <f t="shared" si="50"/>
        <v>43961</v>
      </c>
      <c r="L145" s="147">
        <f>IF(t&lt;Tvie,1-EXP((T0-t)*PertePVj)+'2019'!Pspv,1-EXP((T0-t)*PertePVj)+Pspv)</f>
        <v>1.6336006569855011E-2</v>
      </c>
      <c r="M145" s="850"/>
      <c r="N145" s="850"/>
      <c r="O145" s="48">
        <f>IF(t&lt;Tnet,'2019'!Resal+('2019'!Salim-'2019'!Resal)*(1-EXP(('2019'!Tnet-t)/('2019'!Tau_j))),Resal+(Salim-Resal)*(1-EXP((Tnet-t)/(Tau_j))))*Salcycl</f>
        <v>9.1598841010334289E-2</v>
      </c>
      <c r="P145" s="169">
        <f>(INDEX(Models!$BJ145:$BT145,,T145)*(1-R145)+INDEX(Models!$BJ145:$BT145,,T145+1)*R145-ERP_i)*Q145*Ramure*Pc/MaxiM</f>
        <v>0</v>
      </c>
      <c r="Q145" s="305">
        <f t="shared" si="51"/>
        <v>0.7</v>
      </c>
      <c r="R145" s="177">
        <f t="shared" si="52"/>
        <v>0.96740242617895067</v>
      </c>
      <c r="S145" s="817">
        <f t="shared" si="53"/>
        <v>-2</v>
      </c>
      <c r="T145" s="176">
        <f t="shared" si="54"/>
        <v>4</v>
      </c>
      <c r="U145" s="251">
        <f t="shared" si="55"/>
        <v>-1.0325975738210493</v>
      </c>
      <c r="V145" s="383">
        <f t="shared" si="56"/>
        <v>38.611993773238837</v>
      </c>
      <c r="W145" s="402"/>
      <c r="X145" s="157">
        <f t="shared" si="57"/>
        <v>43961</v>
      </c>
      <c r="Y145" s="385">
        <f t="shared" si="58"/>
        <v>8.2279999999999998</v>
      </c>
      <c r="Z145" s="385">
        <f t="shared" si="59"/>
        <v>8.3646448939419393</v>
      </c>
      <c r="AA145" s="386">
        <f t="shared" si="60"/>
        <v>9.208095796845079</v>
      </c>
      <c r="AB145" s="197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9.1598841010334289E-2</v>
      </c>
      <c r="AD145" s="231">
        <f>(INDEX(Models!$BJ145:$BT145,,AH145)*(1-AF145)+INDEX(Models!$BJ145:$BT145,,AH145+1)*AF145-ERP_i)*AE145*Ramure*Pc/MaxiM</f>
        <v>0</v>
      </c>
      <c r="AE145" s="305">
        <f t="shared" si="62"/>
        <v>0.7</v>
      </c>
      <c r="AF145" s="177">
        <f t="shared" si="63"/>
        <v>0.96740242617895067</v>
      </c>
      <c r="AG145" s="817">
        <f t="shared" si="71"/>
        <v>-2</v>
      </c>
      <c r="AH145" s="176">
        <f t="shared" si="64"/>
        <v>4</v>
      </c>
      <c r="AI145" s="225">
        <f t="shared" si="65"/>
        <v>-1.0325975738210493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8"/>
        <v>43962</v>
      </c>
      <c r="B146" s="617">
        <v>6.34</v>
      </c>
      <c r="C146" s="390"/>
      <c r="D146" s="393">
        <f t="shared" si="48"/>
        <v>6.4454314762543286</v>
      </c>
      <c r="E146" s="385">
        <f t="shared" si="69"/>
        <v>7.0963596698328963</v>
      </c>
      <c r="F146" s="385">
        <f t="shared" si="49"/>
        <v>7.0963596698328963</v>
      </c>
      <c r="G146" s="110">
        <f t="shared" si="70"/>
        <v>0.16400583705322802</v>
      </c>
      <c r="H146" s="414" t="b">
        <f>Wh_hp&gt;='2019'!Maxi_hp</f>
        <v>0</v>
      </c>
      <c r="I146" s="380">
        <f>IF(H146,Wh_hp,'2019'!Maxi_hp)</f>
        <v>40.951725833965142</v>
      </c>
      <c r="J146" s="85">
        <f>IF(H146,An,'2019'!An_max)</f>
        <v>2019</v>
      </c>
      <c r="K146" s="197">
        <f t="shared" si="50"/>
        <v>43962</v>
      </c>
      <c r="L146" s="147">
        <f>IF(t&lt;Tvie,1-EXP((T0-t)*PertePVj)+'2019'!Pspv,1-EXP((T0-t)*PertePVj)+Pspv)</f>
        <v>1.6357551335818177E-2</v>
      </c>
      <c r="M146" s="850"/>
      <c r="N146" s="850"/>
      <c r="O146" s="48">
        <f>IF(t&lt;Tnet,'2019'!Resal+('2019'!Salim-'2019'!Resal)*(1-EXP(('2019'!Tnet-t)/('2019'!Tau_j))),Resal+(Salim-Resal)*(1-EXP((Tnet-t)/(Tau_j))))*Salcycl</f>
        <v>9.1727057796366737E-2</v>
      </c>
      <c r="P146" s="169">
        <f>(INDEX(Models!$BJ146:$BT146,,T146)*(1-R146)+INDEX(Models!$BJ146:$BT146,,T146+1)*R146-ERP_i)*Q146*Ramure*Pc/MaxiM</f>
        <v>0</v>
      </c>
      <c r="Q146" s="305">
        <f t="shared" si="51"/>
        <v>0.7</v>
      </c>
      <c r="R146" s="177">
        <f t="shared" si="52"/>
        <v>0.96958485921763615</v>
      </c>
      <c r="S146" s="817">
        <f t="shared" si="53"/>
        <v>-2</v>
      </c>
      <c r="T146" s="176">
        <f t="shared" si="54"/>
        <v>4</v>
      </c>
      <c r="U146" s="251">
        <f t="shared" si="55"/>
        <v>-1.0304151407823638</v>
      </c>
      <c r="V146" s="383">
        <f t="shared" si="56"/>
        <v>38.6571607078982</v>
      </c>
      <c r="W146" s="402"/>
      <c r="X146" s="157">
        <f t="shared" si="57"/>
        <v>43962</v>
      </c>
      <c r="Y146" s="385">
        <f t="shared" si="58"/>
        <v>6.34</v>
      </c>
      <c r="Z146" s="385">
        <f t="shared" si="59"/>
        <v>6.4454314762543286</v>
      </c>
      <c r="AA146" s="386">
        <f t="shared" si="60"/>
        <v>7.0963596698328963</v>
      </c>
      <c r="AB146" s="197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9.1727057796366737E-2</v>
      </c>
      <c r="AD146" s="231">
        <f>(INDEX(Models!$BJ146:$BT146,,AH146)*(1-AF146)+INDEX(Models!$BJ146:$BT146,,AH146+1)*AF146-ERP_i)*AE146*Ramure*Pc/MaxiM</f>
        <v>0</v>
      </c>
      <c r="AE146" s="305">
        <f t="shared" si="62"/>
        <v>0.7</v>
      </c>
      <c r="AF146" s="177">
        <f t="shared" si="63"/>
        <v>0.96958485921763615</v>
      </c>
      <c r="AG146" s="817">
        <f t="shared" si="71"/>
        <v>-2</v>
      </c>
      <c r="AH146" s="176">
        <f t="shared" si="64"/>
        <v>4</v>
      </c>
      <c r="AI146" s="225">
        <f t="shared" si="65"/>
        <v>-1.0304151407823638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8"/>
        <v>43963</v>
      </c>
      <c r="B147" s="617">
        <v>14.542</v>
      </c>
      <c r="C147" s="390"/>
      <c r="D147" s="393">
        <f t="shared" si="48"/>
        <v>14.784151023419406</v>
      </c>
      <c r="E147" s="385">
        <f t="shared" si="69"/>
        <v>16.279524835209422</v>
      </c>
      <c r="F147" s="385">
        <f t="shared" si="49"/>
        <v>16.279524835209422</v>
      </c>
      <c r="G147" s="110">
        <f t="shared" si="70"/>
        <v>0.37578164583414547</v>
      </c>
      <c r="H147" s="414" t="b">
        <f>Wh_hp&gt;='2019'!Maxi_hp</f>
        <v>0</v>
      </c>
      <c r="I147" s="380">
        <f>IF(H147,Wh_hp,'2019'!Maxi_hp)</f>
        <v>45.292153927540518</v>
      </c>
      <c r="J147" s="85">
        <f>IF(H147,An,'2019'!An_max)</f>
        <v>2019</v>
      </c>
      <c r="K147" s="197">
        <f t="shared" si="50"/>
        <v>43963</v>
      </c>
      <c r="L147" s="147">
        <f>IF(t&lt;Tvie,1-EXP((T0-t)*PertePVj)+'2019'!Pspv,1-EXP((T0-t)*PertePVj)+Pspv)</f>
        <v>1.6379095629895701E-2</v>
      </c>
      <c r="M147" s="850"/>
      <c r="N147" s="850"/>
      <c r="O147" s="48">
        <f>IF(t&lt;Tnet,'2019'!Resal+('2019'!Salim-'2019'!Resal)*(1-EXP(('2019'!Tnet-t)/('2019'!Tau_j))),Resal+(Salim-Resal)*(1-EXP((Tnet-t)/(Tau_j))))*Salcycl</f>
        <v>9.1856109249319945E-2</v>
      </c>
      <c r="P147" s="169">
        <f>(INDEX(Models!$BJ147:$BT147,,T147)*(1-R147)+INDEX(Models!$BJ147:$BT147,,T147+1)*R147-ERP_i)*Q147*Ramure*Pc/MaxiM</f>
        <v>0</v>
      </c>
      <c r="Q147" s="305">
        <f t="shared" si="51"/>
        <v>0.7</v>
      </c>
      <c r="R147" s="177">
        <f t="shared" si="52"/>
        <v>0.97181572155288087</v>
      </c>
      <c r="S147" s="817">
        <f t="shared" si="53"/>
        <v>-2</v>
      </c>
      <c r="T147" s="176">
        <f t="shared" si="54"/>
        <v>4</v>
      </c>
      <c r="U147" s="251">
        <f t="shared" si="55"/>
        <v>-1.0281842784471191</v>
      </c>
      <c r="V147" s="383">
        <f t="shared" si="56"/>
        <v>38.698004974990816</v>
      </c>
      <c r="W147" s="402"/>
      <c r="X147" s="157">
        <f t="shared" si="57"/>
        <v>43963</v>
      </c>
      <c r="Y147" s="385">
        <f t="shared" si="58"/>
        <v>14.542000000000002</v>
      </c>
      <c r="Z147" s="385">
        <f t="shared" si="59"/>
        <v>14.784151023419408</v>
      </c>
      <c r="AA147" s="386">
        <f t="shared" si="60"/>
        <v>16.279524835209422</v>
      </c>
      <c r="AB147" s="197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9.1856109249319945E-2</v>
      </c>
      <c r="AD147" s="231">
        <f>(INDEX(Models!$BJ147:$BT147,,AH147)*(1-AF147)+INDEX(Models!$BJ147:$BT147,,AH147+1)*AF147-ERP_i)*AE147*Ramure*Pc/MaxiM</f>
        <v>0</v>
      </c>
      <c r="AE147" s="305">
        <f t="shared" si="62"/>
        <v>0.7</v>
      </c>
      <c r="AF147" s="177">
        <f t="shared" si="63"/>
        <v>0.97181572155288087</v>
      </c>
      <c r="AG147" s="817">
        <f t="shared" si="71"/>
        <v>-2</v>
      </c>
      <c r="AH147" s="176">
        <f t="shared" si="64"/>
        <v>4</v>
      </c>
      <c r="AI147" s="225">
        <f t="shared" si="65"/>
        <v>-1.0281842784471191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8"/>
        <v>43964</v>
      </c>
      <c r="B148" s="617">
        <v>22.007000000000001</v>
      </c>
      <c r="C148" s="390"/>
      <c r="D148" s="393">
        <f t="shared" si="48"/>
        <v>22.373947038498752</v>
      </c>
      <c r="E148" s="385">
        <f t="shared" si="69"/>
        <v>24.64052942965413</v>
      </c>
      <c r="F148" s="385">
        <f t="shared" si="49"/>
        <v>24.64052942965413</v>
      </c>
      <c r="G148" s="110">
        <f t="shared" si="70"/>
        <v>0.56815079260013845</v>
      </c>
      <c r="H148" s="414" t="b">
        <f>Wh_hp&gt;='2019'!Maxi_hp</f>
        <v>0</v>
      </c>
      <c r="I148" s="380">
        <f>IF(H148,Wh_hp,'2019'!Maxi_hp)</f>
        <v>43.95743971785987</v>
      </c>
      <c r="J148" s="85">
        <f>IF(H148,An,'2019'!An_max)</f>
        <v>2019</v>
      </c>
      <c r="K148" s="197">
        <f t="shared" si="50"/>
        <v>43964</v>
      </c>
      <c r="L148" s="147">
        <f>IF(t&lt;Tvie,1-EXP((T0-t)*PertePVj)+'2019'!Pspv,1-EXP((T0-t)*PertePVj)+Pspv)</f>
        <v>1.6400639452097909E-2</v>
      </c>
      <c r="M148" s="850"/>
      <c r="N148" s="850"/>
      <c r="O148" s="48">
        <f>IF(t&lt;Tnet,'2019'!Resal+('2019'!Salim-'2019'!Resal)*(1-EXP(('2019'!Tnet-t)/('2019'!Tau_j))),Resal+(Salim-Resal)*(1-EXP((Tnet-t)/(Tau_j))))*Salcycl</f>
        <v>9.1985945254391063E-2</v>
      </c>
      <c r="P148" s="169">
        <f>(INDEX(Models!$BJ148:$BT148,,T148)*(1-R148)+INDEX(Models!$BJ148:$BT148,,T148+1)*R148-ERP_i)*Q148*Ramure*Pc/MaxiM</f>
        <v>0</v>
      </c>
      <c r="Q148" s="305">
        <f t="shared" si="51"/>
        <v>0.7</v>
      </c>
      <c r="R148" s="177">
        <f t="shared" si="52"/>
        <v>0.97409469696213624</v>
      </c>
      <c r="S148" s="817">
        <f t="shared" si="53"/>
        <v>-2</v>
      </c>
      <c r="T148" s="176">
        <f t="shared" si="54"/>
        <v>4</v>
      </c>
      <c r="U148" s="251">
        <f t="shared" si="55"/>
        <v>-1.0259053030378638</v>
      </c>
      <c r="V148" s="383">
        <f t="shared" si="56"/>
        <v>38.734435094748541</v>
      </c>
      <c r="W148" s="402"/>
      <c r="X148" s="157">
        <f t="shared" si="57"/>
        <v>43964</v>
      </c>
      <c r="Y148" s="385">
        <f t="shared" si="58"/>
        <v>22.007000000000001</v>
      </c>
      <c r="Z148" s="385">
        <f t="shared" si="59"/>
        <v>22.373947038498752</v>
      </c>
      <c r="AA148" s="386">
        <f t="shared" si="60"/>
        <v>24.64052942965413</v>
      </c>
      <c r="AB148" s="197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9.1985945254391063E-2</v>
      </c>
      <c r="AD148" s="231">
        <f>(INDEX(Models!$BJ148:$BT148,,AH148)*(1-AF148)+INDEX(Models!$BJ148:$BT148,,AH148+1)*AF148-ERP_i)*AE148*Ramure*Pc/MaxiM</f>
        <v>0</v>
      </c>
      <c r="AE148" s="305">
        <f t="shared" si="62"/>
        <v>0.7</v>
      </c>
      <c r="AF148" s="177">
        <f t="shared" si="63"/>
        <v>0.97409469696213624</v>
      </c>
      <c r="AG148" s="817">
        <f t="shared" si="71"/>
        <v>-2</v>
      </c>
      <c r="AH148" s="176">
        <f t="shared" si="64"/>
        <v>4</v>
      </c>
      <c r="AI148" s="225">
        <f t="shared" si="65"/>
        <v>-1.0259053030378638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8"/>
        <v>43965</v>
      </c>
      <c r="B149" s="617">
        <v>10.67</v>
      </c>
      <c r="C149" s="390"/>
      <c r="D149" s="393">
        <f t="shared" si="48"/>
        <v>10.84815030741669</v>
      </c>
      <c r="E149" s="385">
        <f t="shared" si="69"/>
        <v>11.94883535029606</v>
      </c>
      <c r="F149" s="385">
        <f t="shared" si="49"/>
        <v>11.94883535029606</v>
      </c>
      <c r="G149" s="110">
        <f t="shared" si="70"/>
        <v>0.27524429119696353</v>
      </c>
      <c r="H149" s="414" t="b">
        <f>Wh_hp&gt;='2019'!Maxi_hp</f>
        <v>0</v>
      </c>
      <c r="I149" s="380">
        <f>IF(H149,Wh_hp,'2019'!Maxi_hp)</f>
        <v>44.25827136765831</v>
      </c>
      <c r="J149" s="85">
        <f>IF(H149,An,'2019'!An_max)</f>
        <v>2019</v>
      </c>
      <c r="K149" s="197">
        <f t="shared" si="50"/>
        <v>43965</v>
      </c>
      <c r="L149" s="147">
        <f>IF(t&lt;Tvie,1-EXP((T0-t)*PertePVj)+'2019'!Pspv,1-EXP((T0-t)*PertePVj)+Pspv)</f>
        <v>1.6422182802435126E-2</v>
      </c>
      <c r="M149" s="850"/>
      <c r="N149" s="850"/>
      <c r="O149" s="48">
        <f>IF(t&lt;Tnet,'2019'!Resal+('2019'!Salim-'2019'!Resal)*(1-EXP(('2019'!Tnet-t)/('2019'!Tau_j))),Resal+(Salim-Resal)*(1-EXP((Tnet-t)/(Tau_j))))*Salcycl</f>
        <v>9.2116512665152694E-2</v>
      </c>
      <c r="P149" s="169">
        <f>(INDEX(Models!$BJ149:$BT149,,T149)*(1-R149)+INDEX(Models!$BJ149:$BT149,,T149+1)*R149-ERP_i)*Q149*Ramure*Pc/MaxiM</f>
        <v>0</v>
      </c>
      <c r="Q149" s="305">
        <f t="shared" si="51"/>
        <v>0.7</v>
      </c>
      <c r="R149" s="177">
        <f t="shared" si="52"/>
        <v>0.97642137247088923</v>
      </c>
      <c r="S149" s="817">
        <f t="shared" si="53"/>
        <v>-2</v>
      </c>
      <c r="T149" s="176">
        <f t="shared" si="54"/>
        <v>4</v>
      </c>
      <c r="U149" s="251">
        <f t="shared" si="55"/>
        <v>-1.0235786275291108</v>
      </c>
      <c r="V149" s="383">
        <f t="shared" si="56"/>
        <v>38.765563324125758</v>
      </c>
      <c r="W149" s="402"/>
      <c r="X149" s="157">
        <f t="shared" si="57"/>
        <v>43965</v>
      </c>
      <c r="Y149" s="385">
        <f t="shared" si="58"/>
        <v>10.67</v>
      </c>
      <c r="Z149" s="385">
        <f t="shared" si="59"/>
        <v>10.84815030741669</v>
      </c>
      <c r="AA149" s="386">
        <f t="shared" si="60"/>
        <v>11.94883535029606</v>
      </c>
      <c r="AB149" s="197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9.2116512665152694E-2</v>
      </c>
      <c r="AD149" s="231">
        <f>(INDEX(Models!$BJ149:$BT149,,AH149)*(1-AF149)+INDEX(Models!$BJ149:$BT149,,AH149+1)*AF149-ERP_i)*AE149*Ramure*Pc/MaxiM</f>
        <v>0</v>
      </c>
      <c r="AE149" s="305">
        <f t="shared" si="62"/>
        <v>0.7</v>
      </c>
      <c r="AF149" s="177">
        <f t="shared" si="63"/>
        <v>0.97642137247088923</v>
      </c>
      <c r="AG149" s="817">
        <f t="shared" si="71"/>
        <v>-2</v>
      </c>
      <c r="AH149" s="176">
        <f t="shared" si="64"/>
        <v>4</v>
      </c>
      <c r="AI149" s="225">
        <f t="shared" si="65"/>
        <v>-1.0235786275291108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8"/>
        <v>43966</v>
      </c>
      <c r="B150" s="617">
        <v>13.231</v>
      </c>
      <c r="C150" s="390"/>
      <c r="D150" s="393">
        <f t="shared" si="48"/>
        <v>13.452204358271054</v>
      </c>
      <c r="E150" s="385">
        <f t="shared" si="69"/>
        <v>14.81924659272198</v>
      </c>
      <c r="F150" s="385">
        <f t="shared" si="49"/>
        <v>14.81924659272198</v>
      </c>
      <c r="G150" s="110">
        <f t="shared" si="70"/>
        <v>0.34108528400813087</v>
      </c>
      <c r="H150" s="414" t="b">
        <f>Wh_hp&gt;='2019'!Maxi_hp</f>
        <v>0</v>
      </c>
      <c r="I150" s="380">
        <f>IF(H150,Wh_hp,'2019'!Maxi_hp)</f>
        <v>36.452681586841123</v>
      </c>
      <c r="J150" s="85">
        <f>IF(H150,An,'2019'!An_max)</f>
        <v>2019</v>
      </c>
      <c r="K150" s="197">
        <f t="shared" si="50"/>
        <v>43966</v>
      </c>
      <c r="L150" s="147">
        <f>IF(t&lt;Tvie,1-EXP((T0-t)*PertePVj)+'2019'!Pspv,1-EXP((T0-t)*PertePVj)+Pspv)</f>
        <v>1.6443725680917676E-2</v>
      </c>
      <c r="M150" s="850"/>
      <c r="N150" s="850"/>
      <c r="O150" s="48">
        <f>IF(t&lt;Tnet,'2019'!Resal+('2019'!Salim-'2019'!Resal)*(1-EXP(('2019'!Tnet-t)/('2019'!Tau_j))),Resal+(Salim-Resal)*(1-EXP((Tnet-t)/(Tau_j))))*Salcycl</f>
        <v>9.2247755369851761E-2</v>
      </c>
      <c r="P150" s="169">
        <f>(INDEX(Models!$BJ150:$BT150,,T150)*(1-R150)+INDEX(Models!$BJ150:$BT150,,T150+1)*R150-ERP_i)*Q150*Ramure*Pc/MaxiM</f>
        <v>0</v>
      </c>
      <c r="Q150" s="305">
        <f t="shared" si="51"/>
        <v>0.7</v>
      </c>
      <c r="R150" s="177">
        <f t="shared" si="52"/>
        <v>0.97879523543702329</v>
      </c>
      <c r="S150" s="817">
        <f t="shared" si="53"/>
        <v>-2</v>
      </c>
      <c r="T150" s="176">
        <f t="shared" si="54"/>
        <v>4</v>
      </c>
      <c r="U150" s="251">
        <f t="shared" si="55"/>
        <v>-1.0212047645629767</v>
      </c>
      <c r="V150" s="383">
        <f t="shared" si="56"/>
        <v>38.790884920396024</v>
      </c>
      <c r="W150" s="402"/>
      <c r="X150" s="157">
        <f t="shared" si="57"/>
        <v>43966</v>
      </c>
      <c r="Y150" s="385">
        <f t="shared" si="58"/>
        <v>13.231</v>
      </c>
      <c r="Z150" s="385">
        <f t="shared" si="59"/>
        <v>13.452204358271054</v>
      </c>
      <c r="AA150" s="386">
        <f t="shared" si="60"/>
        <v>14.81924659272198</v>
      </c>
      <c r="AB150" s="197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9.2247755369851761E-2</v>
      </c>
      <c r="AD150" s="231">
        <f>(INDEX(Models!$BJ150:$BT150,,AH150)*(1-AF150)+INDEX(Models!$BJ150:$BT150,,AH150+1)*AF150-ERP_i)*AE150*Ramure*Pc/MaxiM</f>
        <v>0</v>
      </c>
      <c r="AE150" s="305">
        <f t="shared" si="62"/>
        <v>0.7</v>
      </c>
      <c r="AF150" s="177">
        <f t="shared" si="63"/>
        <v>0.97879523543702329</v>
      </c>
      <c r="AG150" s="817">
        <f t="shared" si="71"/>
        <v>-2</v>
      </c>
      <c r="AH150" s="176">
        <f t="shared" si="64"/>
        <v>4</v>
      </c>
      <c r="AI150" s="225">
        <f t="shared" si="65"/>
        <v>-1.0212047645629767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8"/>
        <v>43967</v>
      </c>
      <c r="B151" s="617">
        <v>22.71</v>
      </c>
      <c r="C151" s="390"/>
      <c r="D151" s="393">
        <f t="shared" si="48"/>
        <v>23.090186104400516</v>
      </c>
      <c r="E151" s="385">
        <f t="shared" si="69"/>
        <v>25.440356420034909</v>
      </c>
      <c r="F151" s="385">
        <f t="shared" si="49"/>
        <v>25.440356420034909</v>
      </c>
      <c r="G151" s="110">
        <f t="shared" si="70"/>
        <v>0.58514515190944627</v>
      </c>
      <c r="H151" s="414" t="b">
        <f>Wh_hp&gt;='2019'!Maxi_hp</f>
        <v>1</v>
      </c>
      <c r="I151" s="380">
        <f>IF(H151,Wh_hp,'2019'!Maxi_hp)</f>
        <v>25.440356420034909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1.6465268087555995E-2</v>
      </c>
      <c r="M151" s="850"/>
      <c r="N151" s="850"/>
      <c r="O151" s="48">
        <f>IF(t&lt;Tnet,'2019'!Resal+('2019'!Salim-'2019'!Resal)*(1-EXP(('2019'!Tnet-t)/('2019'!Tau_j))),Resal+(Salim-Resal)*(1-EXP((Tnet-t)/(Tau_j))))*Salcycl</f>
        <v>9.237961437456807E-2</v>
      </c>
      <c r="P151" s="169">
        <f>(INDEX(Models!$BJ151:$BT151,,T151)*(1-R151)+INDEX(Models!$BJ151:$BT151,,T151+1)*R151-ERP_i)*Q151*Ramure*Pc/MaxiM</f>
        <v>0</v>
      </c>
      <c r="Q151" s="305">
        <f t="shared" si="51"/>
        <v>0.7</v>
      </c>
      <c r="R151" s="177">
        <f t="shared" si="52"/>
        <v>0.98121567095206874</v>
      </c>
      <c r="S151" s="817">
        <f t="shared" si="53"/>
        <v>-2</v>
      </c>
      <c r="T151" s="176">
        <f t="shared" si="54"/>
        <v>4</v>
      </c>
      <c r="U151" s="251">
        <f t="shared" si="55"/>
        <v>-1.0187843290479313</v>
      </c>
      <c r="V151" s="383">
        <f t="shared" si="56"/>
        <v>38.810882950824606</v>
      </c>
      <c r="W151" s="402"/>
      <c r="X151" s="157">
        <f t="shared" si="57"/>
        <v>43967</v>
      </c>
      <c r="Y151" s="385">
        <f t="shared" si="58"/>
        <v>22.71</v>
      </c>
      <c r="Z151" s="385">
        <f t="shared" si="59"/>
        <v>23.090186104400516</v>
      </c>
      <c r="AA151" s="386">
        <f t="shared" si="60"/>
        <v>25.440356420034909</v>
      </c>
      <c r="AB151" s="197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9.237961437456807E-2</v>
      </c>
      <c r="AD151" s="231">
        <f>(INDEX(Models!$BJ151:$BT151,,AH151)*(1-AF151)+INDEX(Models!$BJ151:$BT151,,AH151+1)*AF151-ERP_i)*AE151*Ramure*Pc/MaxiM</f>
        <v>0</v>
      </c>
      <c r="AE151" s="305">
        <f t="shared" si="62"/>
        <v>0.7</v>
      </c>
      <c r="AF151" s="177">
        <f t="shared" si="63"/>
        <v>0.98121567095206874</v>
      </c>
      <c r="AG151" s="817">
        <f t="shared" si="71"/>
        <v>-2</v>
      </c>
      <c r="AH151" s="176">
        <f t="shared" si="64"/>
        <v>4</v>
      </c>
      <c r="AI151" s="225">
        <f t="shared" si="65"/>
        <v>-1.0187843290479313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8"/>
        <v>43968</v>
      </c>
      <c r="B152" s="617">
        <v>40.073</v>
      </c>
      <c r="C152" s="390"/>
      <c r="D152" s="393">
        <f t="shared" si="48"/>
        <v>40.744750968628146</v>
      </c>
      <c r="E152" s="385">
        <f t="shared" si="69"/>
        <v>44.898392288883365</v>
      </c>
      <c r="F152" s="385">
        <f t="shared" si="49"/>
        <v>44.898392288883365</v>
      </c>
      <c r="G152" s="110">
        <f t="shared" si="70"/>
        <v>1.0321165816091384</v>
      </c>
      <c r="H152" s="414" t="b">
        <f>Wh_hp&gt;='2019'!Maxi_hp</f>
        <v>1</v>
      </c>
      <c r="I152" s="380">
        <f>IF(H152,Wh_hp,'2019'!Maxi_hp)</f>
        <v>44.898392288883365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1.6486810022360188E-2</v>
      </c>
      <c r="M152" s="850"/>
      <c r="N152" s="850"/>
      <c r="O152" s="48">
        <f>IF(t&lt;Tnet,'2019'!Resal+('2019'!Salim-'2019'!Resal)*(1-EXP(('2019'!Tnet-t)/('2019'!Tau_j))),Resal+(Salim-Resal)*(1-EXP((Tnet-t)/(Tau_j))))*Salcycl</f>
        <v>9.2512027903583552E-2</v>
      </c>
      <c r="P152" s="169">
        <f>(INDEX(Models!$BJ152:$BT152,,T152)*(1-R152)+INDEX(Models!$BJ152:$BT152,,T152+1)*R152-ERP_i)*Q152*Ramure*Pc/MaxiM</f>
        <v>0</v>
      </c>
      <c r="Q152" s="305">
        <f t="shared" si="51"/>
        <v>0.7</v>
      </c>
      <c r="R152" s="177">
        <f t="shared" si="52"/>
        <v>0.98368195959495819</v>
      </c>
      <c r="S152" s="817">
        <f t="shared" si="53"/>
        <v>-2</v>
      </c>
      <c r="T152" s="176">
        <f t="shared" si="54"/>
        <v>4</v>
      </c>
      <c r="U152" s="251">
        <f t="shared" si="55"/>
        <v>-1.0163180404050418</v>
      </c>
      <c r="V152" s="383">
        <f t="shared" si="56"/>
        <v>38.826040307891887</v>
      </c>
      <c r="W152" s="402"/>
      <c r="X152" s="157">
        <f t="shared" si="57"/>
        <v>43968</v>
      </c>
      <c r="Y152" s="385">
        <f t="shared" si="58"/>
        <v>40.073</v>
      </c>
      <c r="Z152" s="385">
        <f t="shared" si="59"/>
        <v>40.744750968628146</v>
      </c>
      <c r="AA152" s="386">
        <f t="shared" si="60"/>
        <v>44.898392288883365</v>
      </c>
      <c r="AB152" s="197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9.2512027903583552E-2</v>
      </c>
      <c r="AD152" s="231">
        <f>(INDEX(Models!$BJ152:$BT152,,AH152)*(1-AF152)+INDEX(Models!$BJ152:$BT152,,AH152+1)*AF152-ERP_i)*AE152*Ramure*Pc/MaxiM</f>
        <v>0</v>
      </c>
      <c r="AE152" s="305">
        <f t="shared" si="62"/>
        <v>0.7</v>
      </c>
      <c r="AF152" s="177">
        <f t="shared" si="63"/>
        <v>0.98368195959495819</v>
      </c>
      <c r="AG152" s="817">
        <f t="shared" si="71"/>
        <v>-2</v>
      </c>
      <c r="AH152" s="176">
        <f t="shared" si="64"/>
        <v>4</v>
      </c>
      <c r="AI152" s="225">
        <f t="shared" si="65"/>
        <v>-1.0163180404050418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8"/>
        <v>43969</v>
      </c>
      <c r="B153" s="617">
        <v>39.473999999999997</v>
      </c>
      <c r="C153" s="390"/>
      <c r="D153" s="393">
        <f t="shared" si="48"/>
        <v>40.136588917268902</v>
      </c>
      <c r="E153" s="385">
        <f t="shared" si="69"/>
        <v>44.234710656745264</v>
      </c>
      <c r="F153" s="385">
        <f t="shared" si="49"/>
        <v>44.234710656745264</v>
      </c>
      <c r="G153" s="110">
        <f t="shared" si="70"/>
        <v>1.0164060799228849</v>
      </c>
      <c r="H153" s="414" t="b">
        <f>Wh_hp&gt;='2019'!Maxi_hp</f>
        <v>1</v>
      </c>
      <c r="I153" s="380">
        <f>IF(H153,Wh_hp,'2019'!Maxi_hp)</f>
        <v>44.234710656745264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1.65083514853408E-2</v>
      </c>
      <c r="M153" s="850"/>
      <c r="N153" s="850"/>
      <c r="O153" s="48">
        <f>IF(t&lt;Tnet,'2019'!Resal+('2019'!Salim-'2019'!Resal)*(1-EXP(('2019'!Tnet-t)/('2019'!Tau_j))),Resal+(Salim-Resal)*(1-EXP((Tnet-t)/(Tau_j))))*Salcycl</f>
        <v>9.2644931517178217E-2</v>
      </c>
      <c r="P153" s="169">
        <f>(INDEX(Models!$BJ153:$BT153,,T153)*(1-R153)+INDEX(Models!$BJ153:$BT153,,T153+1)*R153-ERP_i)*Q153*Ramure*Pc/MaxiM</f>
        <v>0</v>
      </c>
      <c r="Q153" s="305">
        <f t="shared" si="51"/>
        <v>0.7</v>
      </c>
      <c r="R153" s="177">
        <f t="shared" si="52"/>
        <v>0.98619327557313552</v>
      </c>
      <c r="S153" s="817">
        <f t="shared" si="53"/>
        <v>-2</v>
      </c>
      <c r="T153" s="176">
        <f t="shared" si="54"/>
        <v>4</v>
      </c>
      <c r="U153" s="251">
        <f t="shared" si="55"/>
        <v>-1.0138067244268645</v>
      </c>
      <c r="V153" s="383">
        <f t="shared" si="56"/>
        <v>38.836839703866097</v>
      </c>
      <c r="W153" s="402"/>
      <c r="X153" s="157">
        <f t="shared" si="57"/>
        <v>43969</v>
      </c>
      <c r="Y153" s="385">
        <f t="shared" si="58"/>
        <v>39.473999999999997</v>
      </c>
      <c r="Z153" s="385">
        <f t="shared" si="59"/>
        <v>40.136588917268902</v>
      </c>
      <c r="AA153" s="386">
        <f t="shared" si="60"/>
        <v>44.234710656745264</v>
      </c>
      <c r="AB153" s="197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9.2644931517178217E-2</v>
      </c>
      <c r="AD153" s="231">
        <f>(INDEX(Models!$BJ153:$BT153,,AH153)*(1-AF153)+INDEX(Models!$BJ153:$BT153,,AH153+1)*AF153-ERP_i)*AE153*Ramure*Pc/MaxiM</f>
        <v>0</v>
      </c>
      <c r="AE153" s="305">
        <f t="shared" si="62"/>
        <v>0.7</v>
      </c>
      <c r="AF153" s="177">
        <f t="shared" si="63"/>
        <v>0.98619327557313552</v>
      </c>
      <c r="AG153" s="817">
        <f t="shared" si="71"/>
        <v>-2</v>
      </c>
      <c r="AH153" s="176">
        <f t="shared" si="64"/>
        <v>4</v>
      </c>
      <c r="AI153" s="225">
        <f t="shared" si="65"/>
        <v>-1.0138067244268645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8"/>
        <v>43970</v>
      </c>
      <c r="B154" s="617">
        <v>37.93</v>
      </c>
      <c r="C154" s="390"/>
      <c r="D154" s="393">
        <f t="shared" si="48"/>
        <v>38.567516907568006</v>
      </c>
      <c r="E154" s="385">
        <f t="shared" si="69"/>
        <v>42.511676178573381</v>
      </c>
      <c r="F154" s="385">
        <f t="shared" si="49"/>
        <v>42.511676178573381</v>
      </c>
      <c r="G154" s="110">
        <f t="shared" si="70"/>
        <v>0.97647592374899783</v>
      </c>
      <c r="H154" s="414" t="b">
        <f>Wh_hp&gt;='2019'!Maxi_hp</f>
        <v>1</v>
      </c>
      <c r="I154" s="380">
        <f>IF(H154,Wh_hp,'2019'!Maxi_hp)</f>
        <v>42.511676178573381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1.6529892476508046E-2</v>
      </c>
      <c r="M154" s="850"/>
      <c r="N154" s="850"/>
      <c r="O154" s="48">
        <f>IF(t&lt;Tnet,'2019'!Resal+('2019'!Salim-'2019'!Resal)*(1-EXP(('2019'!Tnet-t)/('2019'!Tau_j))),Resal+(Salim-Resal)*(1-EXP((Tnet-t)/(Tau_j))))*Salcycl</f>
        <v>9.2778258246926079E-2</v>
      </c>
      <c r="P154" s="169">
        <f>(INDEX(Models!$BJ154:$BT154,,T154)*(1-R154)+INDEX(Models!$BJ154:$BT154,,T154+1)*R154-ERP_i)*Q154*Ramure*Pc/MaxiM</f>
        <v>0</v>
      </c>
      <c r="Q154" s="305">
        <f t="shared" si="51"/>
        <v>0.7</v>
      </c>
      <c r="R154" s="177">
        <f t="shared" si="52"/>
        <v>0.98874868528462301</v>
      </c>
      <c r="S154" s="817">
        <f t="shared" si="53"/>
        <v>-2</v>
      </c>
      <c r="T154" s="176">
        <f t="shared" si="54"/>
        <v>4</v>
      </c>
      <c r="U154" s="251">
        <f t="shared" si="55"/>
        <v>-1.011251314715377</v>
      </c>
      <c r="V154" s="383">
        <f t="shared" si="56"/>
        <v>38.843763658170715</v>
      </c>
      <c r="W154" s="402"/>
      <c r="X154" s="157">
        <f t="shared" si="57"/>
        <v>43970</v>
      </c>
      <c r="Y154" s="385">
        <f t="shared" si="58"/>
        <v>37.93</v>
      </c>
      <c r="Z154" s="385">
        <f t="shared" si="59"/>
        <v>38.567516907568006</v>
      </c>
      <c r="AA154" s="386">
        <f t="shared" si="60"/>
        <v>42.511676178573381</v>
      </c>
      <c r="AB154" s="197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9.2778258246926079E-2</v>
      </c>
      <c r="AD154" s="231">
        <f>(INDEX(Models!$BJ154:$BT154,,AH154)*(1-AF154)+INDEX(Models!$BJ154:$BT154,,AH154+1)*AF154-ERP_i)*AE154*Ramure*Pc/MaxiM</f>
        <v>0</v>
      </c>
      <c r="AE154" s="305">
        <f t="shared" si="62"/>
        <v>0.7</v>
      </c>
      <c r="AF154" s="177">
        <f t="shared" si="63"/>
        <v>0.98874868528462301</v>
      </c>
      <c r="AG154" s="817">
        <f t="shared" si="71"/>
        <v>-2</v>
      </c>
      <c r="AH154" s="176">
        <f t="shared" si="64"/>
        <v>4</v>
      </c>
      <c r="AI154" s="225">
        <f t="shared" si="65"/>
        <v>-1.011251314715377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43971</v>
      </c>
      <c r="B155" s="617">
        <v>38.03</v>
      </c>
      <c r="C155" s="390"/>
      <c r="D155" s="393">
        <f t="shared" si="48"/>
        <v>38.670044653021883</v>
      </c>
      <c r="E155" s="385">
        <f t="shared" si="69"/>
        <v>42.630970800856602</v>
      </c>
      <c r="F155" s="385">
        <f t="shared" si="49"/>
        <v>42.630970800856602</v>
      </c>
      <c r="G155" s="110">
        <f t="shared" si="70"/>
        <v>0.97896135382654781</v>
      </c>
      <c r="H155" s="414" t="b">
        <f>Wh_hp&gt;='2019'!Maxi_hp</f>
        <v>1</v>
      </c>
      <c r="I155" s="380">
        <f>IF(H155,Wh_hp,'2019'!Maxi_hp)</f>
        <v>42.630970800856602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1.6551432995872251E-2</v>
      </c>
      <c r="M155" s="850"/>
      <c r="N155" s="850"/>
      <c r="O155" s="48">
        <f>IF(t&lt;Tnet,'2019'!Resal+('2019'!Salim-'2019'!Resal)*(1-EXP(('2019'!Tnet-t)/('2019'!Tau_j))),Resal+(Salim-Resal)*(1-EXP((Tnet-t)/(Tau_j))))*Salcycl</f>
        <v>9.2911938748416467E-2</v>
      </c>
      <c r="P155" s="169">
        <f>(INDEX(Models!$BJ155:$BT155,,T155)*(1-R155)+INDEX(Models!$BJ155:$BT155,,T155+1)*R155-ERP_i)*Q155*Ramure*Pc/MaxiM</f>
        <v>0</v>
      </c>
      <c r="Q155" s="305">
        <f t="shared" si="51"/>
        <v>0.7</v>
      </c>
      <c r="R155" s="177">
        <f t="shared" si="52"/>
        <v>0.99134714633295618</v>
      </c>
      <c r="S155" s="817">
        <f t="shared" si="53"/>
        <v>-2</v>
      </c>
      <c r="T155" s="176">
        <f t="shared" si="54"/>
        <v>4</v>
      </c>
      <c r="U155" s="251">
        <f t="shared" si="55"/>
        <v>-1.0086528536670438</v>
      </c>
      <c r="V155" s="383">
        <f t="shared" si="56"/>
        <v>38.84729448343284</v>
      </c>
      <c r="W155" s="402"/>
      <c r="X155" s="157">
        <f t="shared" si="57"/>
        <v>43971</v>
      </c>
      <c r="Y155" s="385">
        <f t="shared" si="58"/>
        <v>38.03</v>
      </c>
      <c r="Z155" s="385">
        <f t="shared" si="59"/>
        <v>38.670044653021883</v>
      </c>
      <c r="AA155" s="386">
        <f t="shared" si="60"/>
        <v>42.630970800856602</v>
      </c>
      <c r="AB155" s="197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9.2911938748416467E-2</v>
      </c>
      <c r="AD155" s="231">
        <f>(INDEX(Models!$BJ155:$BT155,,AH155)*(1-AF155)+INDEX(Models!$BJ155:$BT155,,AH155+1)*AF155-ERP_i)*AE155*Ramure*Pc/MaxiM</f>
        <v>0</v>
      </c>
      <c r="AE155" s="305">
        <f t="shared" si="62"/>
        <v>0.7</v>
      </c>
      <c r="AF155" s="177">
        <f t="shared" si="63"/>
        <v>0.99134714633295618</v>
      </c>
      <c r="AG155" s="817">
        <f t="shared" si="71"/>
        <v>-2</v>
      </c>
      <c r="AH155" s="176">
        <f t="shared" si="64"/>
        <v>4</v>
      </c>
      <c r="AI155" s="225">
        <f t="shared" si="65"/>
        <v>-1.0086528536670438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8"/>
        <v>43972</v>
      </c>
      <c r="B156" s="617">
        <v>35.338999999999999</v>
      </c>
      <c r="C156" s="390"/>
      <c r="D156" s="393">
        <f t="shared" si="48"/>
        <v>35.934542199195768</v>
      </c>
      <c r="E156" s="385">
        <f t="shared" si="69"/>
        <v>39.621125542610514</v>
      </c>
      <c r="F156" s="385">
        <f t="shared" si="49"/>
        <v>39.621125542610514</v>
      </c>
      <c r="G156" s="110">
        <f t="shared" si="70"/>
        <v>0.90967560703872774</v>
      </c>
      <c r="H156" s="414" t="b">
        <f>Wh_hp&gt;='2019'!Maxi_hp</f>
        <v>0</v>
      </c>
      <c r="I156" s="380">
        <f>IF(H156,Wh_hp,'2019'!Maxi_hp)</f>
        <v>42.922836576302252</v>
      </c>
      <c r="J156" s="85">
        <f>IF(H156,An,'2019'!An_max)</f>
        <v>2019</v>
      </c>
      <c r="K156" s="197">
        <f t="shared" si="50"/>
        <v>43972</v>
      </c>
      <c r="L156" s="147">
        <f>IF(t&lt;Tvie,1-EXP((T0-t)*PertePVj)+'2019'!Pspv,1-EXP((T0-t)*PertePVj)+Pspv)</f>
        <v>1.657297304344385E-2</v>
      </c>
      <c r="M156" s="850"/>
      <c r="N156" s="850"/>
      <c r="O156" s="48">
        <f>IF(t&lt;Tnet,'2019'!Resal+('2019'!Salim-'2019'!Resal)*(1-EXP(('2019'!Tnet-t)/('2019'!Tau_j))),Resal+(Salim-Resal)*(1-EXP((Tnet-t)/(Tau_j))))*Salcycl</f>
        <v>9.3045901471173809E-2</v>
      </c>
      <c r="P156" s="169">
        <f>(INDEX(Models!$BJ156:$BT156,,T156)*(1-R156)+INDEX(Models!$BJ156:$BT156,,T156+1)*R156-ERP_i)*Q156*Ramure*Pc/MaxiM</f>
        <v>0</v>
      </c>
      <c r="Q156" s="305">
        <f t="shared" si="51"/>
        <v>0.7</v>
      </c>
      <c r="R156" s="177">
        <f t="shared" si="52"/>
        <v>0.99398750702469618</v>
      </c>
      <c r="S156" s="817">
        <f t="shared" si="53"/>
        <v>-2</v>
      </c>
      <c r="T156" s="176">
        <f t="shared" si="54"/>
        <v>4</v>
      </c>
      <c r="U156" s="251">
        <f t="shared" si="55"/>
        <v>-1.0060124929753038</v>
      </c>
      <c r="V156" s="383">
        <f t="shared" si="56"/>
        <v>38.847914274671226</v>
      </c>
      <c r="W156" s="402"/>
      <c r="X156" s="157">
        <f t="shared" si="57"/>
        <v>43972</v>
      </c>
      <c r="Y156" s="385">
        <f t="shared" si="58"/>
        <v>35.338999999999999</v>
      </c>
      <c r="Z156" s="385">
        <f t="shared" si="59"/>
        <v>35.934542199195768</v>
      </c>
      <c r="AA156" s="386">
        <f t="shared" si="60"/>
        <v>39.621125542610514</v>
      </c>
      <c r="AB156" s="197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9.3045901471173809E-2</v>
      </c>
      <c r="AD156" s="231">
        <f>(INDEX(Models!$BJ156:$BT156,,AH156)*(1-AF156)+INDEX(Models!$BJ156:$BT156,,AH156+1)*AF156-ERP_i)*AE156*Ramure*Pc/MaxiM</f>
        <v>0</v>
      </c>
      <c r="AE156" s="305">
        <f t="shared" si="62"/>
        <v>0.7</v>
      </c>
      <c r="AF156" s="177">
        <f t="shared" si="63"/>
        <v>0.99398750702469618</v>
      </c>
      <c r="AG156" s="817">
        <f t="shared" si="71"/>
        <v>-2</v>
      </c>
      <c r="AH156" s="176">
        <f t="shared" si="64"/>
        <v>4</v>
      </c>
      <c r="AI156" s="225">
        <f t="shared" si="65"/>
        <v>-1.0060124929753038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8"/>
        <v>43973</v>
      </c>
      <c r="B157" s="617">
        <v>34.901000000000003</v>
      </c>
      <c r="C157" s="390"/>
      <c r="D157" s="393">
        <f t="shared" si="48"/>
        <v>35.489938227776648</v>
      </c>
      <c r="E157" s="385">
        <f t="shared" si="69"/>
        <v>39.13669865982753</v>
      </c>
      <c r="F157" s="385">
        <f t="shared" si="49"/>
        <v>39.13669865982753</v>
      </c>
      <c r="G157" s="110">
        <f t="shared" si="70"/>
        <v>0.89844271621530236</v>
      </c>
      <c r="H157" s="414" t="b">
        <f>Wh_hp&gt;='2019'!Maxi_hp</f>
        <v>1</v>
      </c>
      <c r="I157" s="380">
        <f>IF(H157,Wh_hp,'2019'!Maxi_hp)</f>
        <v>39.13669865982753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1.659451261923317E-2</v>
      </c>
      <c r="M157" s="850"/>
      <c r="N157" s="850"/>
      <c r="O157" s="48">
        <f>IF(t&lt;Tnet,'2019'!Resal+('2019'!Salim-'2019'!Resal)*(1-EXP(('2019'!Tnet-t)/('2019'!Tau_j))),Resal+(Salim-Resal)*(1-EXP((Tnet-t)/(Tau_j))))*Salcycl</f>
        <v>9.3180072845391856E-2</v>
      </c>
      <c r="P157" s="169">
        <f>(INDEX(Models!$BJ157:$BT157,,T157)*(1-R157)+INDEX(Models!$BJ157:$BT157,,T157+1)*R157-ERP_i)*Q157*Ramure*Pc/MaxiM</f>
        <v>0</v>
      </c>
      <c r="Q157" s="305">
        <f t="shared" si="51"/>
        <v>0.7</v>
      </c>
      <c r="R157" s="177">
        <f t="shared" si="52"/>
        <v>0.99666850637654547</v>
      </c>
      <c r="S157" s="817">
        <f t="shared" si="53"/>
        <v>-2</v>
      </c>
      <c r="T157" s="176">
        <f t="shared" si="54"/>
        <v>4</v>
      </c>
      <c r="U157" s="251">
        <f t="shared" si="55"/>
        <v>-1.0033314936234545</v>
      </c>
      <c r="V157" s="383">
        <f t="shared" si="56"/>
        <v>38.846104899175728</v>
      </c>
      <c r="W157" s="402"/>
      <c r="X157" s="157">
        <f t="shared" si="57"/>
        <v>43973</v>
      </c>
      <c r="Y157" s="385">
        <f t="shared" si="58"/>
        <v>34.901000000000003</v>
      </c>
      <c r="Z157" s="385">
        <f t="shared" si="59"/>
        <v>35.489938227776648</v>
      </c>
      <c r="AA157" s="386">
        <f t="shared" si="60"/>
        <v>39.13669865982753</v>
      </c>
      <c r="AB157" s="197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9.3180072845391856E-2</v>
      </c>
      <c r="AD157" s="231">
        <f>(INDEX(Models!$BJ157:$BT157,,AH157)*(1-AF157)+INDEX(Models!$BJ157:$BT157,,AH157+1)*AF157-ERP_i)*AE157*Ramure*Pc/MaxiM</f>
        <v>0</v>
      </c>
      <c r="AE157" s="305">
        <f t="shared" si="62"/>
        <v>0.7</v>
      </c>
      <c r="AF157" s="177">
        <f t="shared" si="63"/>
        <v>0.99666850637654547</v>
      </c>
      <c r="AG157" s="817">
        <f t="shared" si="71"/>
        <v>-2</v>
      </c>
      <c r="AH157" s="176">
        <f t="shared" si="64"/>
        <v>4</v>
      </c>
      <c r="AI157" s="225">
        <f t="shared" si="65"/>
        <v>-1.0033314936234545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8"/>
        <v>43974</v>
      </c>
      <c r="B158" s="617">
        <v>10.657999999999999</v>
      </c>
      <c r="C158" s="390"/>
      <c r="D158" s="393">
        <f t="shared" si="48"/>
        <v>10.83808620089512</v>
      </c>
      <c r="E158" s="385">
        <f t="shared" si="69"/>
        <v>11.95352163060811</v>
      </c>
      <c r="F158" s="385">
        <f t="shared" si="49"/>
        <v>11.95352163060811</v>
      </c>
      <c r="G158" s="110">
        <f t="shared" si="70"/>
        <v>0.27439123929816794</v>
      </c>
      <c r="H158" s="414" t="b">
        <f>Wh_hp&gt;='2019'!Maxi_hp</f>
        <v>1</v>
      </c>
      <c r="I158" s="380">
        <f>IF(H158,Wh_hp,'2019'!Maxi_hp)</f>
        <v>11.95352163060811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1.6616051723250425E-2</v>
      </c>
      <c r="M158" s="850"/>
      <c r="N158" s="850"/>
      <c r="O158" s="48">
        <f>IF(t&lt;Tnet,'2019'!Resal+('2019'!Salim-'2019'!Resal)*(1-EXP(('2019'!Tnet-t)/('2019'!Tau_j))),Resal+(Salim-Resal)*(1-EXP((Tnet-t)/(Tau_j))))*Salcycl</f>
        <v>9.3314377484942507E-2</v>
      </c>
      <c r="P158" s="169">
        <f>(INDEX(Models!$BJ158:$BT158,,T158)*(1-R158)+INDEX(Models!$BJ158:$BT158,,T158+1)*R158-ERP_i)*Q158*Ramure*Pc/MaxiM</f>
        <v>0</v>
      </c>
      <c r="Q158" s="305">
        <f t="shared" si="51"/>
        <v>0.7</v>
      </c>
      <c r="R158" s="177">
        <f t="shared" si="52"/>
        <v>0.99938877465592579</v>
      </c>
      <c r="S158" s="817">
        <f t="shared" si="53"/>
        <v>-2</v>
      </c>
      <c r="T158" s="176">
        <f t="shared" si="54"/>
        <v>4</v>
      </c>
      <c r="U158" s="251">
        <f t="shared" si="55"/>
        <v>-1.0006112253440742</v>
      </c>
      <c r="V158" s="383">
        <f t="shared" si="56"/>
        <v>38.842347981884565</v>
      </c>
      <c r="W158" s="402"/>
      <c r="X158" s="157">
        <f t="shared" si="57"/>
        <v>43974</v>
      </c>
      <c r="Y158" s="385">
        <f t="shared" si="58"/>
        <v>10.657999999999999</v>
      </c>
      <c r="Z158" s="385">
        <f t="shared" si="59"/>
        <v>10.83808620089512</v>
      </c>
      <c r="AA158" s="386">
        <f t="shared" si="60"/>
        <v>11.95352163060811</v>
      </c>
      <c r="AB158" s="197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9.3314377484942507E-2</v>
      </c>
      <c r="AD158" s="231">
        <f>(INDEX(Models!$BJ158:$BT158,,AH158)*(1-AF158)+INDEX(Models!$BJ158:$BT158,,AH158+1)*AF158-ERP_i)*AE158*Ramure*Pc/MaxiM</f>
        <v>0</v>
      </c>
      <c r="AE158" s="305">
        <f t="shared" si="62"/>
        <v>0.7</v>
      </c>
      <c r="AF158" s="177">
        <f t="shared" si="63"/>
        <v>0.99938877465592579</v>
      </c>
      <c r="AG158" s="817">
        <f t="shared" si="71"/>
        <v>-2</v>
      </c>
      <c r="AH158" s="176">
        <f t="shared" si="64"/>
        <v>4</v>
      </c>
      <c r="AI158" s="225">
        <f t="shared" si="65"/>
        <v>-1.0006112253440742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8"/>
        <v>43975</v>
      </c>
      <c r="B159" s="617">
        <v>37.061999999999998</v>
      </c>
      <c r="C159" s="390"/>
      <c r="D159" s="393">
        <f t="shared" si="48"/>
        <v>37.689055058957038</v>
      </c>
      <c r="E159" s="385">
        <f t="shared" si="69"/>
        <v>41.574102486699203</v>
      </c>
      <c r="F159" s="385">
        <f t="shared" si="49"/>
        <v>41.574102486699203</v>
      </c>
      <c r="G159" s="110">
        <f t="shared" si="70"/>
        <v>0.95429309197936829</v>
      </c>
      <c r="H159" s="414" t="b">
        <f>Wh_hp&gt;='2019'!Maxi_hp</f>
        <v>1</v>
      </c>
      <c r="I159" s="380">
        <f>IF(H159,Wh_hp,'2019'!Maxi_hp)</f>
        <v>41.574102486699203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1.6637590355506049E-2</v>
      </c>
      <c r="M159" s="850"/>
      <c r="N159" s="850"/>
      <c r="O159" s="48">
        <f>IF(t&lt;Tnet,'2019'!Resal+('2019'!Salim-'2019'!Resal)*(1-EXP(('2019'!Tnet-t)/('2019'!Tau_j))),Resal+(Salim-Resal)*(1-EXP((Tnet-t)/(Tau_j))))*Salcycl</f>
        <v>9.3448738405960935E-2</v>
      </c>
      <c r="P159" s="169">
        <f>(INDEX(Models!$BJ159:$BT159,,T159)*(1-R159)+INDEX(Models!$BJ159:$BT159,,T159+1)*R159-ERP_i)*Q159*Ramure*Pc/MaxiM</f>
        <v>0</v>
      </c>
      <c r="Q159" s="305">
        <f t="shared" si="51"/>
        <v>0.7</v>
      </c>
      <c r="R159" s="177">
        <f t="shared" si="52"/>
        <v>2.1468344752305635E-3</v>
      </c>
      <c r="S159" s="817">
        <f t="shared" si="53"/>
        <v>-1</v>
      </c>
      <c r="T159" s="176">
        <f t="shared" si="54"/>
        <v>5</v>
      </c>
      <c r="U159" s="251">
        <f t="shared" si="55"/>
        <v>-0.99785316552476944</v>
      </c>
      <c r="V159" s="383">
        <f t="shared" si="56"/>
        <v>38.837124895378871</v>
      </c>
      <c r="W159" s="402"/>
      <c r="X159" s="157">
        <f t="shared" si="57"/>
        <v>43975</v>
      </c>
      <c r="Y159" s="385">
        <f t="shared" si="58"/>
        <v>37.061999999999998</v>
      </c>
      <c r="Z159" s="385">
        <f t="shared" si="59"/>
        <v>37.689055058957038</v>
      </c>
      <c r="AA159" s="386">
        <f t="shared" si="60"/>
        <v>41.574102486699203</v>
      </c>
      <c r="AB159" s="197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9.3448738405960935E-2</v>
      </c>
      <c r="AD159" s="231">
        <f>(INDEX(Models!$BJ159:$BT159,,AH159)*(1-AF159)+INDEX(Models!$BJ159:$BT159,,AH159+1)*AF159-ERP_i)*AE159*Ramure*Pc/MaxiM</f>
        <v>0</v>
      </c>
      <c r="AE159" s="305">
        <f t="shared" si="62"/>
        <v>0.7</v>
      </c>
      <c r="AF159" s="177">
        <f t="shared" si="63"/>
        <v>2.1468344752305635E-3</v>
      </c>
      <c r="AG159" s="817">
        <f t="shared" si="71"/>
        <v>-1</v>
      </c>
      <c r="AH159" s="176">
        <f t="shared" si="64"/>
        <v>5</v>
      </c>
      <c r="AI159" s="225">
        <f t="shared" si="65"/>
        <v>-0.99785316552476944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8"/>
        <v>43976</v>
      </c>
      <c r="B160" s="617">
        <v>38.462000000000003</v>
      </c>
      <c r="C160" s="390"/>
      <c r="D160" s="393">
        <f t="shared" si="48"/>
        <v>39.113598463527531</v>
      </c>
      <c r="E160" s="385">
        <f t="shared" si="69"/>
        <v>43.15188461541296</v>
      </c>
      <c r="F160" s="385">
        <f t="shared" si="49"/>
        <v>43.15188461541296</v>
      </c>
      <c r="G160" s="110">
        <f t="shared" si="70"/>
        <v>0.9904994067340771</v>
      </c>
      <c r="H160" s="414" t="b">
        <f>Wh_hp&gt;='2019'!Maxi_hp</f>
        <v>1</v>
      </c>
      <c r="I160" s="380">
        <f>IF(H160,Wh_hp,'2019'!Maxi_hp)</f>
        <v>43.15188461541296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1.6659128516010369E-2</v>
      </c>
      <c r="M160" s="850"/>
      <c r="N160" s="850"/>
      <c r="O160" s="48">
        <f>IF(t&lt;Tnet,'2019'!Resal+('2019'!Salim-'2019'!Resal)*(1-EXP(('2019'!Tnet-t)/('2019'!Tau_j))),Resal+(Salim-Resal)*(1-EXP((Tnet-t)/(Tau_j))))*Salcycl</f>
        <v>9.3583077260153733E-2</v>
      </c>
      <c r="P160" s="169">
        <f>(INDEX(Models!$BJ160:$BT160,,T160)*(1-R160)+INDEX(Models!$BJ160:$BT160,,T160+1)*R160-ERP_i)*Q160*Ramure*Pc/MaxiM</f>
        <v>0</v>
      </c>
      <c r="Q160" s="305">
        <f t="shared" si="51"/>
        <v>0.7</v>
      </c>
      <c r="R160" s="177">
        <f t="shared" si="52"/>
        <v>4.9411024558703165E-3</v>
      </c>
      <c r="S160" s="817">
        <f t="shared" si="53"/>
        <v>-1</v>
      </c>
      <c r="T160" s="176">
        <f t="shared" si="54"/>
        <v>5</v>
      </c>
      <c r="U160" s="251">
        <f t="shared" si="55"/>
        <v>-0.99505889754412968</v>
      </c>
      <c r="V160" s="383">
        <f t="shared" si="56"/>
        <v>38.83091674614807</v>
      </c>
      <c r="W160" s="402"/>
      <c r="X160" s="157">
        <f t="shared" si="57"/>
        <v>43976</v>
      </c>
      <c r="Y160" s="385">
        <f t="shared" si="58"/>
        <v>38.462000000000003</v>
      </c>
      <c r="Z160" s="385">
        <f t="shared" si="59"/>
        <v>39.113598463527531</v>
      </c>
      <c r="AA160" s="386">
        <f t="shared" si="60"/>
        <v>43.15188461541296</v>
      </c>
      <c r="AB160" s="197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9.3583077260153733E-2</v>
      </c>
      <c r="AD160" s="231">
        <f>(INDEX(Models!$BJ160:$BT160,,AH160)*(1-AF160)+INDEX(Models!$BJ160:$BT160,,AH160+1)*AF160-ERP_i)*AE160*Ramure*Pc/MaxiM</f>
        <v>0</v>
      </c>
      <c r="AE160" s="305">
        <f t="shared" si="62"/>
        <v>0.7</v>
      </c>
      <c r="AF160" s="177">
        <f t="shared" si="63"/>
        <v>4.9411024558703165E-3</v>
      </c>
      <c r="AG160" s="817">
        <f t="shared" si="71"/>
        <v>-1</v>
      </c>
      <c r="AH160" s="176">
        <f t="shared" si="64"/>
        <v>5</v>
      </c>
      <c r="AI160" s="225">
        <f t="shared" si="65"/>
        <v>-0.99505889754412968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8"/>
        <v>43977</v>
      </c>
      <c r="B161" s="617">
        <v>38.363999999999997</v>
      </c>
      <c r="C161" s="390"/>
      <c r="D161" s="393">
        <f t="shared" si="48"/>
        <v>39.014792734655209</v>
      </c>
      <c r="E161" s="385">
        <f t="shared" si="69"/>
        <v>43.049253133036608</v>
      </c>
      <c r="F161" s="385">
        <f t="shared" si="49"/>
        <v>43.049253133036608</v>
      </c>
      <c r="G161" s="110">
        <f t="shared" si="70"/>
        <v>0.98814645731136741</v>
      </c>
      <c r="H161" s="414" t="b">
        <f>Wh_hp&gt;='2019'!Maxi_hp</f>
        <v>1</v>
      </c>
      <c r="I161" s="380">
        <f>IF(H161,Wh_hp,'2019'!Maxi_hp)</f>
        <v>43.049253133036608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1.6680666204773709E-2</v>
      </c>
      <c r="M161" s="850"/>
      <c r="N161" s="850"/>
      <c r="O161" s="48">
        <f>IF(t&lt;Tnet,'2019'!Resal+('2019'!Salim-'2019'!Resal)*(1-EXP(('2019'!Tnet-t)/('2019'!Tau_j))),Resal+(Salim-Resal)*(1-EXP((Tnet-t)/(Tau_j))))*Salcycl</f>
        <v>9.3717314581824709E-2</v>
      </c>
      <c r="P161" s="169">
        <f>(INDEX(Models!$BJ161:$BT161,,T161)*(1-R161)+INDEX(Models!$BJ161:$BT161,,T161+1)*R161-ERP_i)*Q161*Ramure*Pc/MaxiM</f>
        <v>0</v>
      </c>
      <c r="Q161" s="305">
        <f t="shared" si="51"/>
        <v>0.7</v>
      </c>
      <c r="R161" s="177">
        <f t="shared" si="52"/>
        <v>7.7698914737138747E-3</v>
      </c>
      <c r="S161" s="817">
        <f t="shared" si="53"/>
        <v>-1</v>
      </c>
      <c r="T161" s="176">
        <f t="shared" si="54"/>
        <v>5</v>
      </c>
      <c r="U161" s="251">
        <f t="shared" si="55"/>
        <v>-0.99223010852628613</v>
      </c>
      <c r="V161" s="383">
        <f t="shared" si="56"/>
        <v>38.824204363778236</v>
      </c>
      <c r="W161" s="402"/>
      <c r="X161" s="157">
        <f t="shared" si="57"/>
        <v>43977</v>
      </c>
      <c r="Y161" s="385">
        <f t="shared" si="58"/>
        <v>38.363999999999997</v>
      </c>
      <c r="Z161" s="385">
        <f t="shared" si="59"/>
        <v>39.014792734655209</v>
      </c>
      <c r="AA161" s="386">
        <f t="shared" si="60"/>
        <v>43.049253133036608</v>
      </c>
      <c r="AB161" s="197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9.3717314581824709E-2</v>
      </c>
      <c r="AD161" s="231">
        <f>(INDEX(Models!$BJ161:$BT161,,AH161)*(1-AF161)+INDEX(Models!$BJ161:$BT161,,AH161+1)*AF161-ERP_i)*AE161*Ramure*Pc/MaxiM</f>
        <v>0</v>
      </c>
      <c r="AE161" s="305">
        <f t="shared" si="62"/>
        <v>0.7</v>
      </c>
      <c r="AF161" s="177">
        <f t="shared" si="63"/>
        <v>7.7698914737138747E-3</v>
      </c>
      <c r="AG161" s="817">
        <f t="shared" si="71"/>
        <v>-1</v>
      </c>
      <c r="AH161" s="176">
        <f t="shared" si="64"/>
        <v>5</v>
      </c>
      <c r="AI161" s="225">
        <f t="shared" si="65"/>
        <v>-0.99223010852628613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8"/>
        <v>43978</v>
      </c>
      <c r="B162" s="617">
        <v>37.268000000000001</v>
      </c>
      <c r="C162" s="390"/>
      <c r="D162" s="393">
        <f t="shared" si="48"/>
        <v>37.901030725066192</v>
      </c>
      <c r="E162" s="385">
        <f t="shared" si="69"/>
        <v>41.82650557784492</v>
      </c>
      <c r="F162" s="385">
        <f t="shared" si="49"/>
        <v>41.82650557784492</v>
      </c>
      <c r="G162" s="110">
        <f t="shared" si="70"/>
        <v>0.96008322130425383</v>
      </c>
      <c r="H162" s="414" t="b">
        <f>Wh_hp&gt;='2019'!Maxi_hp</f>
        <v>1</v>
      </c>
      <c r="I162" s="380">
        <f>IF(H162,Wh_hp,'2019'!Maxi_hp)</f>
        <v>41.82650557784492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1.6702203421806394E-2</v>
      </c>
      <c r="M162" s="850"/>
      <c r="N162" s="850"/>
      <c r="O162" s="48">
        <f>IF(t&lt;Tnet,'2019'!Resal+('2019'!Salim-'2019'!Resal)*(1-EXP(('2019'!Tnet-t)/('2019'!Tau_j))),Resal+(Salim-Resal)*(1-EXP((Tnet-t)/(Tau_j))))*Salcycl</f>
        <v>9.3851370047466062E-2</v>
      </c>
      <c r="P162" s="169">
        <f>(INDEX(Models!$BJ162:$BT162,,T162)*(1-R162)+INDEX(Models!$BJ162:$BT162,,T162+1)*R162-ERP_i)*Q162*Ramure*Pc/MaxiM</f>
        <v>0</v>
      </c>
      <c r="Q162" s="305">
        <f t="shared" si="51"/>
        <v>0.7</v>
      </c>
      <c r="R162" s="177">
        <f t="shared" si="52"/>
        <v>1.0631413492646402E-2</v>
      </c>
      <c r="S162" s="817">
        <f t="shared" si="53"/>
        <v>-1</v>
      </c>
      <c r="T162" s="176">
        <f t="shared" si="54"/>
        <v>5</v>
      </c>
      <c r="U162" s="251">
        <f t="shared" si="55"/>
        <v>-0.9893685865073536</v>
      </c>
      <c r="V162" s="383">
        <f t="shared" si="56"/>
        <v>38.81746829131351</v>
      </c>
      <c r="W162" s="402"/>
      <c r="X162" s="157">
        <f t="shared" si="57"/>
        <v>43978</v>
      </c>
      <c r="Y162" s="385">
        <f t="shared" si="58"/>
        <v>37.268000000000001</v>
      </c>
      <c r="Z162" s="385">
        <f t="shared" si="59"/>
        <v>37.901030725066192</v>
      </c>
      <c r="AA162" s="386">
        <f t="shared" si="60"/>
        <v>41.82650557784492</v>
      </c>
      <c r="AB162" s="197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9.3851370047466062E-2</v>
      </c>
      <c r="AD162" s="231">
        <f>(INDEX(Models!$BJ162:$BT162,,AH162)*(1-AF162)+INDEX(Models!$BJ162:$BT162,,AH162+1)*AF162-ERP_i)*AE162*Ramure*Pc/MaxiM</f>
        <v>0</v>
      </c>
      <c r="AE162" s="305">
        <f t="shared" si="62"/>
        <v>0.7</v>
      </c>
      <c r="AF162" s="177">
        <f t="shared" si="63"/>
        <v>1.0631413492646402E-2</v>
      </c>
      <c r="AG162" s="817">
        <f t="shared" si="71"/>
        <v>-1</v>
      </c>
      <c r="AH162" s="176">
        <f t="shared" si="64"/>
        <v>5</v>
      </c>
      <c r="AI162" s="225">
        <f t="shared" si="65"/>
        <v>-0.9893685865073536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43979</v>
      </c>
      <c r="B163" s="617">
        <v>37.417999999999999</v>
      </c>
      <c r="C163" s="390"/>
      <c r="D163" s="393">
        <f t="shared" si="48"/>
        <v>38.054412100175796</v>
      </c>
      <c r="E163" s="385">
        <f t="shared" si="69"/>
        <v>42.001974510196014</v>
      </c>
      <c r="F163" s="385">
        <f t="shared" si="49"/>
        <v>42.001974510196014</v>
      </c>
      <c r="G163" s="110">
        <f t="shared" si="70"/>
        <v>0.9641381656059459</v>
      </c>
      <c r="H163" s="414" t="b">
        <f>Wh_hp&gt;='2019'!Maxi_hp</f>
        <v>1</v>
      </c>
      <c r="I163" s="380">
        <f>IF(H163,Wh_hp,'2019'!Maxi_hp)</f>
        <v>42.001974510196014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1.672374016711875E-2</v>
      </c>
      <c r="M163" s="850"/>
      <c r="N163" s="850"/>
      <c r="O163" s="48">
        <f>IF(t&lt;Tnet,'2019'!Resal+('2019'!Salim-'2019'!Resal)*(1-EXP(('2019'!Tnet-t)/('2019'!Tau_j))),Resal+(Salim-Resal)*(1-EXP((Tnet-t)/(Tau_j))))*Salcycl</f>
        <v>9.3985162746621359E-2</v>
      </c>
      <c r="P163" s="169">
        <f>(INDEX(Models!$BJ163:$BT163,,T163)*(1-R163)+INDEX(Models!$BJ163:$BT163,,T163+1)*R163-ERP_i)*Q163*Ramure*Pc/MaxiM</f>
        <v>0</v>
      </c>
      <c r="Q163" s="305">
        <f t="shared" si="51"/>
        <v>0.7</v>
      </c>
      <c r="R163" s="177">
        <f t="shared" si="52"/>
        <v>1.3523782987747146E-2</v>
      </c>
      <c r="S163" s="817">
        <f t="shared" si="53"/>
        <v>-1</v>
      </c>
      <c r="T163" s="176">
        <f t="shared" si="54"/>
        <v>5</v>
      </c>
      <c r="U163" s="251">
        <f t="shared" si="55"/>
        <v>-0.98647621701225285</v>
      </c>
      <c r="V163" s="383">
        <f t="shared" si="56"/>
        <v>38.809790271587644</v>
      </c>
      <c r="W163" s="402"/>
      <c r="X163" s="157">
        <f t="shared" si="57"/>
        <v>43979</v>
      </c>
      <c r="Y163" s="385">
        <f t="shared" si="58"/>
        <v>37.417999999999999</v>
      </c>
      <c r="Z163" s="385">
        <f t="shared" si="59"/>
        <v>38.054412100175796</v>
      </c>
      <c r="AA163" s="386">
        <f t="shared" si="60"/>
        <v>42.001974510196014</v>
      </c>
      <c r="AB163" s="197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9.3985162746621359E-2</v>
      </c>
      <c r="AD163" s="231">
        <f>(INDEX(Models!$BJ163:$BT163,,AH163)*(1-AF163)+INDEX(Models!$BJ163:$BT163,,AH163+1)*AF163-ERP_i)*AE163*Ramure*Pc/MaxiM</f>
        <v>0</v>
      </c>
      <c r="AE163" s="305">
        <f t="shared" si="62"/>
        <v>0.7</v>
      </c>
      <c r="AF163" s="177">
        <f t="shared" si="63"/>
        <v>1.3523782987747146E-2</v>
      </c>
      <c r="AG163" s="817">
        <f t="shared" si="71"/>
        <v>-1</v>
      </c>
      <c r="AH163" s="176">
        <f t="shared" si="64"/>
        <v>5</v>
      </c>
      <c r="AI163" s="225">
        <f t="shared" si="65"/>
        <v>-0.98647621701225285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43980</v>
      </c>
      <c r="B164" s="617">
        <v>36.140999999999998</v>
      </c>
      <c r="C164" s="390"/>
      <c r="D164" s="393">
        <f t="shared" si="48"/>
        <v>36.756497715234325</v>
      </c>
      <c r="E164" s="385">
        <f t="shared" si="69"/>
        <v>40.575397817345319</v>
      </c>
      <c r="F164" s="385">
        <f t="shared" si="49"/>
        <v>40.575397817345319</v>
      </c>
      <c r="G164" s="110">
        <f t="shared" si="70"/>
        <v>0.93146910925639059</v>
      </c>
      <c r="H164" s="414" t="b">
        <f>Wh_hp&gt;='2019'!Maxi_hp</f>
        <v>0</v>
      </c>
      <c r="I164" s="380">
        <f>IF(H164,Wh_hp,'2019'!Maxi_hp)</f>
        <v>42.658493741310721</v>
      </c>
      <c r="J164" s="85">
        <f>IF(H164,An,'2019'!An_max)</f>
        <v>2019</v>
      </c>
      <c r="K164" s="197">
        <f t="shared" si="50"/>
        <v>43980</v>
      </c>
      <c r="L164" s="147">
        <f>IF(t&lt;Tvie,1-EXP((T0-t)*PertePVj)+'2019'!Pspv,1-EXP((T0-t)*PertePVj)+Pspv)</f>
        <v>1.6745276440720991E-2</v>
      </c>
      <c r="M164" s="850"/>
      <c r="N164" s="850"/>
      <c r="O164" s="48">
        <f>IF(t&lt;Tnet,'2019'!Resal+('2019'!Salim-'2019'!Resal)*(1-EXP(('2019'!Tnet-t)/('2019'!Tau_j))),Resal+(Salim-Resal)*(1-EXP((Tnet-t)/(Tau_j))))*Salcycl</f>
        <v>9.4118611462596161E-2</v>
      </c>
      <c r="P164" s="169">
        <f>(INDEX(Models!$BJ164:$BT164,,T164)*(1-R164)+INDEX(Models!$BJ164:$BT164,,T164+1)*R164-ERP_i)*Q164*Ramure*Pc/MaxiM</f>
        <v>0</v>
      </c>
      <c r="Q164" s="305">
        <f t="shared" si="51"/>
        <v>0.7</v>
      </c>
      <c r="R164" s="177">
        <f t="shared" si="52"/>
        <v>1.6445020954119483E-2</v>
      </c>
      <c r="S164" s="817">
        <f t="shared" si="53"/>
        <v>-1</v>
      </c>
      <c r="T164" s="176">
        <f t="shared" si="54"/>
        <v>5</v>
      </c>
      <c r="U164" s="251">
        <f t="shared" si="55"/>
        <v>-0.98355497904588052</v>
      </c>
      <c r="V164" s="383">
        <f t="shared" si="56"/>
        <v>38.799998454969739</v>
      </c>
      <c r="W164" s="402"/>
      <c r="X164" s="157">
        <f t="shared" si="57"/>
        <v>43980</v>
      </c>
      <c r="Y164" s="385">
        <f t="shared" si="58"/>
        <v>36.140999999999998</v>
      </c>
      <c r="Z164" s="385">
        <f t="shared" si="59"/>
        <v>36.756497715234325</v>
      </c>
      <c r="AA164" s="386">
        <f t="shared" si="60"/>
        <v>40.575397817345319</v>
      </c>
      <c r="AB164" s="197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9.4118611462596161E-2</v>
      </c>
      <c r="AD164" s="231">
        <f>(INDEX(Models!$BJ164:$BT164,,AH164)*(1-AF164)+INDEX(Models!$BJ164:$BT164,,AH164+1)*AF164-ERP_i)*AE164*Ramure*Pc/MaxiM</f>
        <v>0</v>
      </c>
      <c r="AE164" s="305">
        <f t="shared" si="62"/>
        <v>0.7</v>
      </c>
      <c r="AF164" s="177">
        <f t="shared" si="63"/>
        <v>1.6445020954119483E-2</v>
      </c>
      <c r="AG164" s="817">
        <f t="shared" si="71"/>
        <v>-1</v>
      </c>
      <c r="AH164" s="176">
        <f t="shared" si="64"/>
        <v>5</v>
      </c>
      <c r="AI164" s="225">
        <f t="shared" si="65"/>
        <v>-0.98355497904588052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43981</v>
      </c>
      <c r="B165" s="617">
        <v>37.844999999999999</v>
      </c>
      <c r="C165" s="390"/>
      <c r="D165" s="393">
        <f t="shared" si="48"/>
        <v>38.490360650172306</v>
      </c>
      <c r="E165" s="385">
        <f t="shared" si="69"/>
        <v>42.495644635841941</v>
      </c>
      <c r="F165" s="385">
        <f t="shared" si="49"/>
        <v>42.495644635841941</v>
      </c>
      <c r="G165" s="110">
        <f t="shared" si="70"/>
        <v>0.97568350956121175</v>
      </c>
      <c r="H165" s="414" t="b">
        <f>Wh_hp&gt;='2019'!Maxi_hp</f>
        <v>0</v>
      </c>
      <c r="I165" s="380">
        <f>IF(H165,Wh_hp,'2019'!Maxi_hp)</f>
        <v>43.393408345276015</v>
      </c>
      <c r="J165" s="85">
        <f>IF(H165,An,'2019'!An_max)</f>
        <v>2019</v>
      </c>
      <c r="K165" s="197">
        <f t="shared" si="50"/>
        <v>43981</v>
      </c>
      <c r="L165" s="147">
        <f>IF(t&lt;Tvie,1-EXP((T0-t)*PertePVj)+'2019'!Pspv,1-EXP((T0-t)*PertePVj)+Pspv)</f>
        <v>1.6766812242623663E-2</v>
      </c>
      <c r="M165" s="850"/>
      <c r="N165" s="850"/>
      <c r="O165" s="48">
        <f>IF(t&lt;Tnet,'2019'!Resal+('2019'!Salim-'2019'!Resal)*(1-EXP(('2019'!Tnet-t)/('2019'!Tau_j))),Resal+(Salim-Resal)*(1-EXP((Tnet-t)/(Tau_j))))*Salcycl</f>
        <v>9.4251634961467892E-2</v>
      </c>
      <c r="P165" s="169">
        <f>(INDEX(Models!$BJ165:$BT165,,T165)*(1-R165)+INDEX(Models!$BJ165:$BT165,,T165+1)*R165-ERP_i)*Q165*Ramure*Pc/MaxiM</f>
        <v>0</v>
      </c>
      <c r="Q165" s="305">
        <f t="shared" si="51"/>
        <v>0.7</v>
      </c>
      <c r="R165" s="177">
        <f t="shared" si="52"/>
        <v>1.9393059491741083E-2</v>
      </c>
      <c r="S165" s="817">
        <f t="shared" si="53"/>
        <v>-1</v>
      </c>
      <c r="T165" s="176">
        <f t="shared" si="54"/>
        <v>5</v>
      </c>
      <c r="U165" s="251">
        <f t="shared" si="55"/>
        <v>-0.98060694050825892</v>
      </c>
      <c r="V165" s="383">
        <f t="shared" si="56"/>
        <v>38.788192717349297</v>
      </c>
      <c r="W165" s="402"/>
      <c r="X165" s="157">
        <f t="shared" si="57"/>
        <v>43981</v>
      </c>
      <c r="Y165" s="385">
        <f t="shared" si="58"/>
        <v>37.844999999999999</v>
      </c>
      <c r="Z165" s="385">
        <f t="shared" si="59"/>
        <v>38.490360650172306</v>
      </c>
      <c r="AA165" s="386">
        <f t="shared" si="60"/>
        <v>42.495644635841941</v>
      </c>
      <c r="AB165" s="197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9.4251634961467892E-2</v>
      </c>
      <c r="AD165" s="231">
        <f>(INDEX(Models!$BJ165:$BT165,,AH165)*(1-AF165)+INDEX(Models!$BJ165:$BT165,,AH165+1)*AF165-ERP_i)*AE165*Ramure*Pc/MaxiM</f>
        <v>0</v>
      </c>
      <c r="AE165" s="305">
        <f t="shared" si="62"/>
        <v>0.7</v>
      </c>
      <c r="AF165" s="177">
        <f t="shared" si="63"/>
        <v>1.9393059491741083E-2</v>
      </c>
      <c r="AG165" s="817">
        <f t="shared" si="71"/>
        <v>-1</v>
      </c>
      <c r="AH165" s="176">
        <f t="shared" si="64"/>
        <v>5</v>
      </c>
      <c r="AI165" s="225">
        <f t="shared" si="65"/>
        <v>-0.98060694050825892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8"/>
        <v>43982</v>
      </c>
      <c r="B166" s="617">
        <v>37.677</v>
      </c>
      <c r="C166" s="390"/>
      <c r="D166" s="393">
        <f t="shared" si="48"/>
        <v>38.320335104847771</v>
      </c>
      <c r="E166" s="385">
        <f t="shared" si="69"/>
        <v>42.314117185174418</v>
      </c>
      <c r="F166" s="385">
        <f t="shared" si="49"/>
        <v>42.314117185174418</v>
      </c>
      <c r="G166" s="110">
        <f t="shared" si="70"/>
        <v>0.97169599563443021</v>
      </c>
      <c r="H166" s="414" t="b">
        <f>Wh_hp&gt;='2019'!Maxi_hp</f>
        <v>0</v>
      </c>
      <c r="I166" s="380">
        <f>IF(H166,Wh_hp,'2019'!Maxi_hp)</f>
        <v>43.566085731494503</v>
      </c>
      <c r="J166" s="85">
        <f>IF(H166,An,'2019'!An_max)</f>
        <v>2019</v>
      </c>
      <c r="K166" s="197">
        <f t="shared" si="50"/>
        <v>43982</v>
      </c>
      <c r="L166" s="147">
        <f>IF(t&lt;Tvie,1-EXP((T0-t)*PertePVj)+'2019'!Pspv,1-EXP((T0-t)*PertePVj)+Pspv)</f>
        <v>1.6788347572837092E-2</v>
      </c>
      <c r="M166" s="850"/>
      <c r="N166" s="850"/>
      <c r="O166" s="48">
        <f>IF(t&lt;Tnet,'2019'!Resal+('2019'!Salim-'2019'!Resal)*(1-EXP(('2019'!Tnet-t)/('2019'!Tau_j))),Resal+(Salim-Resal)*(1-EXP((Tnet-t)/(Tau_j))))*Salcycl</f>
        <v>9.438415228773693E-2</v>
      </c>
      <c r="P166" s="169">
        <f>(INDEX(Models!$BJ166:$BT166,,T166)*(1-R166)+INDEX(Models!$BJ166:$BT166,,T166+1)*R166-ERP_i)*Q166*Ramure*Pc/MaxiM</f>
        <v>0</v>
      </c>
      <c r="Q166" s="305">
        <f t="shared" si="51"/>
        <v>0.7</v>
      </c>
      <c r="R166" s="177">
        <f t="shared" si="52"/>
        <v>2.236574695091853E-2</v>
      </c>
      <c r="S166" s="817">
        <f t="shared" si="53"/>
        <v>-1</v>
      </c>
      <c r="T166" s="176">
        <f t="shared" si="54"/>
        <v>5</v>
      </c>
      <c r="U166" s="251">
        <f t="shared" si="55"/>
        <v>-0.97763425304908147</v>
      </c>
      <c r="V166" s="383">
        <f t="shared" si="56"/>
        <v>38.774472848784669</v>
      </c>
      <c r="W166" s="402"/>
      <c r="X166" s="157">
        <f t="shared" si="57"/>
        <v>43982</v>
      </c>
      <c r="Y166" s="385">
        <f t="shared" si="58"/>
        <v>37.677</v>
      </c>
      <c r="Z166" s="385">
        <f t="shared" si="59"/>
        <v>38.320335104847771</v>
      </c>
      <c r="AA166" s="386">
        <f t="shared" si="60"/>
        <v>42.314117185174418</v>
      </c>
      <c r="AB166" s="197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9.438415228773693E-2</v>
      </c>
      <c r="AD166" s="231">
        <f>(INDEX(Models!$BJ166:$BT166,,AH166)*(1-AF166)+INDEX(Models!$BJ166:$BT166,,AH166+1)*AF166-ERP_i)*AE166*Ramure*Pc/MaxiM</f>
        <v>0</v>
      </c>
      <c r="AE166" s="305">
        <f t="shared" si="62"/>
        <v>0.7</v>
      </c>
      <c r="AF166" s="177">
        <f t="shared" si="63"/>
        <v>2.236574695091853E-2</v>
      </c>
      <c r="AG166" s="817">
        <f t="shared" si="71"/>
        <v>-1</v>
      </c>
      <c r="AH166" s="176">
        <f t="shared" si="64"/>
        <v>5</v>
      </c>
      <c r="AI166" s="225">
        <f t="shared" si="65"/>
        <v>-0.97763425304908147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8"/>
        <v>43983</v>
      </c>
      <c r="B167" s="617">
        <v>18.681999999999999</v>
      </c>
      <c r="C167" s="390"/>
      <c r="D167" s="393">
        <f t="shared" si="48"/>
        <v>19.001411493231327</v>
      </c>
      <c r="E167" s="385">
        <f t="shared" si="69"/>
        <v>20.98481390762506</v>
      </c>
      <c r="F167" s="385">
        <f t="shared" si="49"/>
        <v>20.98481390762506</v>
      </c>
      <c r="G167" s="110">
        <f t="shared" si="70"/>
        <v>0.4820049439607163</v>
      </c>
      <c r="H167" s="414" t="b">
        <f>Wh_hp&gt;='2019'!Maxi_hp</f>
        <v>0</v>
      </c>
      <c r="I167" s="380">
        <f>IF(H167,Wh_hp,'2019'!Maxi_hp)</f>
        <v>42.879308484292096</v>
      </c>
      <c r="J167" s="85">
        <f>IF(H167,An,'2019'!An_max)</f>
        <v>2019</v>
      </c>
      <c r="K167" s="197">
        <f t="shared" si="50"/>
        <v>43983</v>
      </c>
      <c r="L167" s="147">
        <f>IF(t&lt;Tvie,1-EXP((T0-t)*PertePVj)+'2019'!Pspv,1-EXP((T0-t)*PertePVj)+Pspv)</f>
        <v>1.6809882431371381E-2</v>
      </c>
      <c r="M167" s="850"/>
      <c r="N167" s="850"/>
      <c r="O167" s="48">
        <f>IF(t&lt;Tnet,'2019'!Resal+('2019'!Salim-'2019'!Resal)*(1-EXP(('2019'!Tnet-t)/('2019'!Tau_j))),Resal+(Salim-Resal)*(1-EXP((Tnet-t)/(Tau_j))))*Salcycl</f>
        <v>9.4516083064860715E-2</v>
      </c>
      <c r="P167" s="169">
        <f>(INDEX(Models!$BJ167:$BT167,,T167)*(1-R167)+INDEX(Models!$BJ167:$BT167,,T167+1)*R167-ERP_i)*Q167*Ramure*Pc/MaxiM</f>
        <v>0</v>
      </c>
      <c r="Q167" s="305">
        <f t="shared" si="51"/>
        <v>0.7</v>
      </c>
      <c r="R167" s="177">
        <f t="shared" si="52"/>
        <v>2.5360853617116597E-2</v>
      </c>
      <c r="S167" s="817">
        <f t="shared" si="53"/>
        <v>-1</v>
      </c>
      <c r="T167" s="176">
        <f t="shared" si="54"/>
        <v>5</v>
      </c>
      <c r="U167" s="251">
        <f t="shared" si="55"/>
        <v>-0.9746391463828834</v>
      </c>
      <c r="V167" s="383">
        <f t="shared" si="56"/>
        <v>38.758938542179337</v>
      </c>
      <c r="W167" s="402"/>
      <c r="X167" s="157">
        <f t="shared" si="57"/>
        <v>43983</v>
      </c>
      <c r="Y167" s="385">
        <f t="shared" si="58"/>
        <v>18.681999999999999</v>
      </c>
      <c r="Z167" s="385">
        <f t="shared" si="59"/>
        <v>19.001411493231327</v>
      </c>
      <c r="AA167" s="386">
        <f t="shared" si="60"/>
        <v>20.98481390762506</v>
      </c>
      <c r="AB167" s="197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9.4516083064860715E-2</v>
      </c>
      <c r="AD167" s="231">
        <f>(INDEX(Models!$BJ167:$BT167,,AH167)*(1-AF167)+INDEX(Models!$BJ167:$BT167,,AH167+1)*AF167-ERP_i)*AE167*Ramure*Pc/MaxiM</f>
        <v>0</v>
      </c>
      <c r="AE167" s="305">
        <f t="shared" si="62"/>
        <v>0.7</v>
      </c>
      <c r="AF167" s="177">
        <f t="shared" si="63"/>
        <v>2.5360853617116597E-2</v>
      </c>
      <c r="AG167" s="817">
        <f t="shared" si="71"/>
        <v>-1</v>
      </c>
      <c r="AH167" s="176">
        <f t="shared" si="64"/>
        <v>5</v>
      </c>
      <c r="AI167" s="225">
        <f t="shared" si="65"/>
        <v>-0.9746391463828834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8"/>
        <v>43984</v>
      </c>
      <c r="B168" s="617">
        <v>36.405999999999999</v>
      </c>
      <c r="C168" s="390"/>
      <c r="D168" s="393">
        <f t="shared" si="48"/>
        <v>37.029254822384267</v>
      </c>
      <c r="E168" s="385">
        <f t="shared" si="69"/>
        <v>40.900365987061008</v>
      </c>
      <c r="F168" s="385">
        <f t="shared" si="49"/>
        <v>40.900365987061008</v>
      </c>
      <c r="G168" s="110">
        <f t="shared" si="70"/>
        <v>0.93971121506539035</v>
      </c>
      <c r="H168" s="414" t="b">
        <f>Wh_hp&gt;='2019'!Maxi_hp</f>
        <v>1</v>
      </c>
      <c r="I168" s="380">
        <f>IF(H168,Wh_hp,'2019'!Maxi_hp)</f>
        <v>40.900365987061008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1.6831416818237077E-2</v>
      </c>
      <c r="M168" s="850"/>
      <c r="N168" s="850"/>
      <c r="O168" s="48">
        <f>IF(t&lt;Tnet,'2019'!Resal+('2019'!Salim-'2019'!Resal)*(1-EXP(('2019'!Tnet-t)/('2019'!Tau_j))),Resal+(Salim-Resal)*(1-EXP((Tnet-t)/(Tau_j))))*Salcycl</f>
        <v>9.4647347798828496E-2</v>
      </c>
      <c r="P168" s="169">
        <f>(INDEX(Models!$BJ168:$BT168,,T168)*(1-R168)+INDEX(Models!$BJ168:$BT168,,T168+1)*R168-ERP_i)*Q168*Ramure*Pc/MaxiM</f>
        <v>0</v>
      </c>
      <c r="Q168" s="305">
        <f t="shared" si="51"/>
        <v>0.7</v>
      </c>
      <c r="R168" s="177">
        <f t="shared" si="52"/>
        <v>2.8376077908178199E-2</v>
      </c>
      <c r="S168" s="817">
        <f t="shared" si="53"/>
        <v>-1</v>
      </c>
      <c r="T168" s="176">
        <f t="shared" si="54"/>
        <v>5</v>
      </c>
      <c r="U168" s="251">
        <f t="shared" si="55"/>
        <v>-0.9716239220918218</v>
      </c>
      <c r="V168" s="383">
        <f t="shared" si="56"/>
        <v>38.741689378972318</v>
      </c>
      <c r="W168" s="402"/>
      <c r="X168" s="157">
        <f t="shared" si="57"/>
        <v>43984</v>
      </c>
      <c r="Y168" s="385">
        <f t="shared" si="58"/>
        <v>36.405999999999999</v>
      </c>
      <c r="Z168" s="385">
        <f t="shared" si="59"/>
        <v>37.029254822384267</v>
      </c>
      <c r="AA168" s="386">
        <f t="shared" si="60"/>
        <v>40.900365987061008</v>
      </c>
      <c r="AB168" s="197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9.4647347798828496E-2</v>
      </c>
      <c r="AD168" s="231">
        <f>(INDEX(Models!$BJ168:$BT168,,AH168)*(1-AF168)+INDEX(Models!$BJ168:$BT168,,AH168+1)*AF168-ERP_i)*AE168*Ramure*Pc/MaxiM</f>
        <v>0</v>
      </c>
      <c r="AE168" s="305">
        <f t="shared" si="62"/>
        <v>0.7</v>
      </c>
      <c r="AF168" s="177">
        <f t="shared" si="63"/>
        <v>2.8376077908178199E-2</v>
      </c>
      <c r="AG168" s="817">
        <f t="shared" si="71"/>
        <v>-1</v>
      </c>
      <c r="AH168" s="176">
        <f t="shared" si="64"/>
        <v>5</v>
      </c>
      <c r="AI168" s="225">
        <f t="shared" si="65"/>
        <v>-0.9716239220918218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8"/>
        <v>43985</v>
      </c>
      <c r="B169" s="617">
        <v>16.692</v>
      </c>
      <c r="C169" s="390"/>
      <c r="D169" s="393">
        <f t="shared" si="48"/>
        <v>16.978131615664733</v>
      </c>
      <c r="E169" s="385">
        <f t="shared" si="69"/>
        <v>18.755762833132419</v>
      </c>
      <c r="F169" s="385">
        <f t="shared" si="49"/>
        <v>18.755762833132419</v>
      </c>
      <c r="G169" s="110">
        <f t="shared" si="70"/>
        <v>0.43106359312706333</v>
      </c>
      <c r="H169" s="414" t="b">
        <f>Wh_hp&gt;='2019'!Maxi_hp</f>
        <v>0</v>
      </c>
      <c r="I169" s="380">
        <f>IF(H169,Wh_hp,'2019'!Maxi_hp)</f>
        <v>39.208479410281221</v>
      </c>
      <c r="J169" s="85">
        <f>IF(H169,An,'2019'!An_max)</f>
        <v>2019</v>
      </c>
      <c r="K169" s="197">
        <f t="shared" si="50"/>
        <v>43985</v>
      </c>
      <c r="L169" s="147">
        <f>IF(t&lt;Tvie,1-EXP((T0-t)*PertePVj)+'2019'!Pspv,1-EXP((T0-t)*PertePVj)+Pspv)</f>
        <v>1.6852950733444394E-2</v>
      </c>
      <c r="M169" s="850"/>
      <c r="N169" s="850"/>
      <c r="O169" s="48">
        <f>IF(t&lt;Tnet,'2019'!Resal+('2019'!Salim-'2019'!Resal)*(1-EXP(('2019'!Tnet-t)/('2019'!Tau_j))),Resal+(Salim-Resal)*(1-EXP((Tnet-t)/(Tau_j))))*Salcycl</f>
        <v>9.4777868182864142E-2</v>
      </c>
      <c r="P169" s="169">
        <f>(INDEX(Models!$BJ169:$BT169,,T169)*(1-R169)+INDEX(Models!$BJ169:$BT169,,T169+1)*R169-ERP_i)*Q169*Ramure*Pc/MaxiM</f>
        <v>0</v>
      </c>
      <c r="Q169" s="305">
        <f t="shared" si="51"/>
        <v>0.7</v>
      </c>
      <c r="R169" s="177">
        <f t="shared" si="52"/>
        <v>3.1409053051332569E-2</v>
      </c>
      <c r="S169" s="817">
        <f t="shared" si="53"/>
        <v>-1</v>
      </c>
      <c r="T169" s="176">
        <f t="shared" si="54"/>
        <v>5</v>
      </c>
      <c r="U169" s="251">
        <f t="shared" si="55"/>
        <v>-0.96859094694866743</v>
      </c>
      <c r="V169" s="383">
        <f t="shared" si="56"/>
        <v>38.722824813181916</v>
      </c>
      <c r="W169" s="402"/>
      <c r="X169" s="157">
        <f t="shared" si="57"/>
        <v>43985</v>
      </c>
      <c r="Y169" s="385">
        <f t="shared" si="58"/>
        <v>16.692</v>
      </c>
      <c r="Z169" s="385">
        <f t="shared" si="59"/>
        <v>16.978131615664733</v>
      </c>
      <c r="AA169" s="386">
        <f t="shared" si="60"/>
        <v>18.755762833132419</v>
      </c>
      <c r="AB169" s="197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9.4777868182864142E-2</v>
      </c>
      <c r="AD169" s="231">
        <f>(INDEX(Models!$BJ169:$BT169,,AH169)*(1-AF169)+INDEX(Models!$BJ169:$BT169,,AH169+1)*AF169-ERP_i)*AE169*Ramure*Pc/MaxiM</f>
        <v>0</v>
      </c>
      <c r="AE169" s="305">
        <f t="shared" si="62"/>
        <v>0.7</v>
      </c>
      <c r="AF169" s="177">
        <f t="shared" si="63"/>
        <v>3.1409053051332569E-2</v>
      </c>
      <c r="AG169" s="817">
        <f t="shared" si="71"/>
        <v>-1</v>
      </c>
      <c r="AH169" s="176">
        <f t="shared" si="64"/>
        <v>5</v>
      </c>
      <c r="AI169" s="225">
        <f t="shared" si="65"/>
        <v>-0.96859094694866743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68"/>
        <v>43986</v>
      </c>
      <c r="B170" s="617">
        <v>23.151</v>
      </c>
      <c r="C170" s="390"/>
      <c r="D170" s="393">
        <f t="shared" si="48"/>
        <v>23.548366538549029</v>
      </c>
      <c r="E170" s="385">
        <f t="shared" ref="E170:E232" si="72">Wh_pvt/(1-Psa)</f>
        <v>26.017637194177738</v>
      </c>
      <c r="F170" s="385">
        <f t="shared" si="49"/>
        <v>26.017637194177738</v>
      </c>
      <c r="G170" s="110">
        <f t="shared" ref="G170:G232" si="73">+Wh_hp/MaxiM</f>
        <v>0.59817927530713599</v>
      </c>
      <c r="H170" s="414" t="b">
        <f>Wh_hp&gt;='2019'!Maxi_hp</f>
        <v>1</v>
      </c>
      <c r="I170" s="380">
        <f>IF(H170,Wh_hp,'2019'!Maxi_hp)</f>
        <v>26.017637194177738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1.6874484177003768E-2</v>
      </c>
      <c r="M170" s="850"/>
      <c r="N170" s="850"/>
      <c r="O170" s="48">
        <f>IF(t&lt;Tnet,'2019'!Resal+('2019'!Salim-'2019'!Resal)*(1-EXP(('2019'!Tnet-t)/('2019'!Tau_j))),Resal+(Salim-Resal)*(1-EXP((Tnet-t)/(Tau_j))))*Salcycl</f>
        <v>9.4907567401289014E-2</v>
      </c>
      <c r="P170" s="169">
        <f>(INDEX(Models!$BJ170:$BT170,,T170)*(1-R170)+INDEX(Models!$BJ170:$BT170,,T170+1)*R170-ERP_i)*Q170*Ramure*Pc/MaxiM</f>
        <v>0</v>
      </c>
      <c r="Q170" s="305">
        <f t="shared" si="51"/>
        <v>0.7</v>
      </c>
      <c r="R170" s="177">
        <f t="shared" si="52"/>
        <v>3.4457354202014234E-2</v>
      </c>
      <c r="S170" s="817">
        <f t="shared" si="53"/>
        <v>-1</v>
      </c>
      <c r="T170" s="176">
        <f t="shared" si="54"/>
        <v>5</v>
      </c>
      <c r="U170" s="251">
        <f t="shared" si="55"/>
        <v>-0.96554264579798577</v>
      </c>
      <c r="V170" s="383">
        <f t="shared" si="56"/>
        <v>38.702444159592602</v>
      </c>
      <c r="W170" s="402"/>
      <c r="X170" s="157">
        <f t="shared" si="57"/>
        <v>43986</v>
      </c>
      <c r="Y170" s="385">
        <f t="shared" si="58"/>
        <v>23.151</v>
      </c>
      <c r="Z170" s="385">
        <f t="shared" si="59"/>
        <v>23.548366538549029</v>
      </c>
      <c r="AA170" s="386">
        <f t="shared" si="60"/>
        <v>26.017637194177738</v>
      </c>
      <c r="AB170" s="197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9.4907567401289014E-2</v>
      </c>
      <c r="AD170" s="231">
        <f>(INDEX(Models!$BJ170:$BT170,,AH170)*(1-AF170)+INDEX(Models!$BJ170:$BT170,,AH170+1)*AF170-ERP_i)*AE170*Ramure*Pc/MaxiM</f>
        <v>0</v>
      </c>
      <c r="AE170" s="305">
        <f t="shared" si="62"/>
        <v>0.7</v>
      </c>
      <c r="AF170" s="177">
        <f t="shared" si="63"/>
        <v>3.4457354202014234E-2</v>
      </c>
      <c r="AG170" s="817">
        <f t="shared" si="71"/>
        <v>-1</v>
      </c>
      <c r="AH170" s="176">
        <f t="shared" si="64"/>
        <v>5</v>
      </c>
      <c r="AI170" s="225">
        <f t="shared" si="65"/>
        <v>-0.96554264579798577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68"/>
        <v>43987</v>
      </c>
      <c r="B171" s="617">
        <v>15.965</v>
      </c>
      <c r="C171" s="390"/>
      <c r="D171" s="393">
        <f t="shared" si="48"/>
        <v>16.239380857455497</v>
      </c>
      <c r="E171" s="385">
        <f t="shared" si="72"/>
        <v>17.944788416725057</v>
      </c>
      <c r="F171" s="385">
        <f t="shared" si="49"/>
        <v>17.944788416725057</v>
      </c>
      <c r="G171" s="110">
        <f t="shared" si="73"/>
        <v>0.41273870556170578</v>
      </c>
      <c r="H171" s="414" t="b">
        <f>Wh_hp&gt;='2019'!Maxi_hp</f>
        <v>0</v>
      </c>
      <c r="I171" s="380">
        <f>IF(H171,Wh_hp,'2019'!Maxi_hp)</f>
        <v>41.05414814635413</v>
      </c>
      <c r="J171" s="85">
        <f>IF(H171,An,'2019'!An_max)</f>
        <v>2019</v>
      </c>
      <c r="K171" s="197">
        <f t="shared" si="50"/>
        <v>43987</v>
      </c>
      <c r="L171" s="147">
        <f>IF(t&lt;Tvie,1-EXP((T0-t)*PertePVj)+'2019'!Pspv,1-EXP((T0-t)*PertePVj)+Pspv)</f>
        <v>1.6896017148925413E-2</v>
      </c>
      <c r="M171" s="850"/>
      <c r="N171" s="850"/>
      <c r="O171" s="48">
        <f>IF(t&lt;Tnet,'2019'!Resal+('2019'!Salim-'2019'!Resal)*(1-EXP(('2019'!Tnet-t)/('2019'!Tau_j))),Resal+(Salim-Resal)*(1-EXP((Tnet-t)/(Tau_j))))*Salcycl</f>
        <v>9.5036370430540681E-2</v>
      </c>
      <c r="P171" s="169">
        <f>(INDEX(Models!$BJ171:$BT171,,T171)*(1-R171)+INDEX(Models!$BJ171:$BT171,,T171+1)*R171-ERP_i)*Q171*Ramure*Pc/MaxiM</f>
        <v>0</v>
      </c>
      <c r="Q171" s="305">
        <f t="shared" si="51"/>
        <v>0.7</v>
      </c>
      <c r="R171" s="177">
        <f t="shared" si="52"/>
        <v>3.7518505961466331E-2</v>
      </c>
      <c r="S171" s="817">
        <f t="shared" si="53"/>
        <v>-1</v>
      </c>
      <c r="T171" s="176">
        <f t="shared" si="54"/>
        <v>5</v>
      </c>
      <c r="U171" s="251">
        <f t="shared" si="55"/>
        <v>-0.96248149403853367</v>
      </c>
      <c r="V171" s="383">
        <f t="shared" si="56"/>
        <v>38.680646580680765</v>
      </c>
      <c r="W171" s="402"/>
      <c r="X171" s="157">
        <f t="shared" si="57"/>
        <v>43987</v>
      </c>
      <c r="Y171" s="385">
        <f t="shared" si="58"/>
        <v>15.964999999999998</v>
      </c>
      <c r="Z171" s="385">
        <f t="shared" si="59"/>
        <v>16.239380857455497</v>
      </c>
      <c r="AA171" s="386">
        <f t="shared" si="60"/>
        <v>17.944788416725057</v>
      </c>
      <c r="AB171" s="197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9.5036370430540681E-2</v>
      </c>
      <c r="AD171" s="231">
        <f>(INDEX(Models!$BJ171:$BT171,,AH171)*(1-AF171)+INDEX(Models!$BJ171:$BT171,,AH171+1)*AF171-ERP_i)*AE171*Ramure*Pc/MaxiM</f>
        <v>0</v>
      </c>
      <c r="AE171" s="305">
        <f t="shared" si="62"/>
        <v>0.7</v>
      </c>
      <c r="AF171" s="177">
        <f t="shared" si="63"/>
        <v>3.7518505961466331E-2</v>
      </c>
      <c r="AG171" s="817">
        <f t="shared" si="71"/>
        <v>-1</v>
      </c>
      <c r="AH171" s="176">
        <f t="shared" si="64"/>
        <v>5</v>
      </c>
      <c r="AI171" s="225">
        <f t="shared" si="65"/>
        <v>-0.96248149403853367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68"/>
        <v>43988</v>
      </c>
      <c r="B172" s="617">
        <v>15.904999999999999</v>
      </c>
      <c r="C172" s="390"/>
      <c r="D172" s="393">
        <f t="shared" si="48"/>
        <v>16.178704028664971</v>
      </c>
      <c r="E172" s="385">
        <f t="shared" si="72"/>
        <v>17.880265243905754</v>
      </c>
      <c r="F172" s="385">
        <f t="shared" si="49"/>
        <v>17.880265243905754</v>
      </c>
      <c r="G172" s="110">
        <f t="shared" si="73"/>
        <v>0.41143341436907882</v>
      </c>
      <c r="H172" s="414" t="b">
        <f>Wh_hp&gt;='2019'!Maxi_hp</f>
        <v>0</v>
      </c>
      <c r="I172" s="380">
        <f>IF(H172,Wh_hp,'2019'!Maxi_hp)</f>
        <v>34.795669036926832</v>
      </c>
      <c r="J172" s="85">
        <f>IF(H172,An,'2019'!An_max)</f>
        <v>2018</v>
      </c>
      <c r="K172" s="197">
        <f t="shared" si="50"/>
        <v>43988</v>
      </c>
      <c r="L172" s="147">
        <f>IF(t&lt;Tvie,1-EXP((T0-t)*PertePVj)+'2019'!Pspv,1-EXP((T0-t)*PertePVj)+Pspv)</f>
        <v>1.6917549649219654E-2</v>
      </c>
      <c r="M172" s="850"/>
      <c r="N172" s="850"/>
      <c r="O172" s="48">
        <f>IF(t&lt;Tnet,'2019'!Resal+('2019'!Salim-'2019'!Resal)*(1-EXP(('2019'!Tnet-t)/('2019'!Tau_j))),Resal+(Salim-Resal)*(1-EXP((Tnet-t)/(Tau_j))))*Salcycl</f>
        <v>9.5164204335320815E-2</v>
      </c>
      <c r="P172" s="169">
        <f>(INDEX(Models!$BJ172:$BT172,,T172)*(1-R172)+INDEX(Models!$BJ172:$BT172,,T172+1)*R172-ERP_i)*Q172*Ramure*Pc/MaxiM</f>
        <v>0</v>
      </c>
      <c r="Q172" s="305">
        <f t="shared" si="51"/>
        <v>0.7</v>
      </c>
      <c r="R172" s="177">
        <f t="shared" si="52"/>
        <v>4.0589990245460394E-2</v>
      </c>
      <c r="S172" s="817">
        <f t="shared" si="53"/>
        <v>-1</v>
      </c>
      <c r="T172" s="176">
        <f t="shared" si="54"/>
        <v>5</v>
      </c>
      <c r="U172" s="251">
        <f t="shared" si="55"/>
        <v>-0.95941000975453961</v>
      </c>
      <c r="V172" s="383">
        <f t="shared" si="56"/>
        <v>38.657531071922918</v>
      </c>
      <c r="W172" s="402"/>
      <c r="X172" s="157">
        <f t="shared" si="57"/>
        <v>43988</v>
      </c>
      <c r="Y172" s="385">
        <f t="shared" si="58"/>
        <v>15.905000000000001</v>
      </c>
      <c r="Z172" s="385">
        <f t="shared" si="59"/>
        <v>16.178704028664971</v>
      </c>
      <c r="AA172" s="386">
        <f t="shared" si="60"/>
        <v>17.880265243905754</v>
      </c>
      <c r="AB172" s="197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9.5164204335320815E-2</v>
      </c>
      <c r="AD172" s="231">
        <f>(INDEX(Models!$BJ172:$BT172,,AH172)*(1-AF172)+INDEX(Models!$BJ172:$BT172,,AH172+1)*AF172-ERP_i)*AE172*Ramure*Pc/MaxiM</f>
        <v>0</v>
      </c>
      <c r="AE172" s="305">
        <f t="shared" si="62"/>
        <v>0.7</v>
      </c>
      <c r="AF172" s="177">
        <f t="shared" si="63"/>
        <v>4.0589990245460394E-2</v>
      </c>
      <c r="AG172" s="817">
        <f t="shared" si="71"/>
        <v>-1</v>
      </c>
      <c r="AH172" s="176">
        <f t="shared" si="64"/>
        <v>5</v>
      </c>
      <c r="AI172" s="225">
        <f t="shared" si="65"/>
        <v>-0.95941000975453961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68"/>
        <v>43989</v>
      </c>
      <c r="B173" s="617">
        <v>23.071999999999999</v>
      </c>
      <c r="C173" s="390"/>
      <c r="D173" s="393">
        <f t="shared" si="48"/>
        <v>23.469552669614298</v>
      </c>
      <c r="E173" s="385">
        <f t="shared" si="72"/>
        <v>25.941548754574733</v>
      </c>
      <c r="F173" s="385">
        <f t="shared" si="49"/>
        <v>25.941548754574733</v>
      </c>
      <c r="G173" s="110">
        <f t="shared" si="73"/>
        <v>0.59720660258754188</v>
      </c>
      <c r="H173" s="414" t="b">
        <f>Wh_hp&gt;='2019'!Maxi_hp</f>
        <v>0</v>
      </c>
      <c r="I173" s="380">
        <f>IF(H173,Wh_hp,'2019'!Maxi_hp)</f>
        <v>43.845518262110815</v>
      </c>
      <c r="J173" s="85">
        <f>IF(H173,An,'2019'!An_max)</f>
        <v>2019</v>
      </c>
      <c r="K173" s="197">
        <f t="shared" si="50"/>
        <v>43989</v>
      </c>
      <c r="L173" s="147">
        <f>IF(t&lt;Tvie,1-EXP((T0-t)*PertePVj)+'2019'!Pspv,1-EXP((T0-t)*PertePVj)+Pspv)</f>
        <v>1.6939081677896928E-2</v>
      </c>
      <c r="M173" s="850"/>
      <c r="N173" s="850"/>
      <c r="O173" s="48">
        <f>IF(t&lt;Tnet,'2019'!Resal+('2019'!Salim-'2019'!Resal)*(1-EXP(('2019'!Tnet-t)/('2019'!Tau_j))),Resal+(Salim-Resal)*(1-EXP((Tnet-t)/(Tau_j))))*Salcycl</f>
        <v>9.5290998557844536E-2</v>
      </c>
      <c r="P173" s="169">
        <f>(INDEX(Models!$BJ173:$BT173,,T173)*(1-R173)+INDEX(Models!$BJ173:$BT173,,T173+1)*R173-ERP_i)*Q173*Ramure*Pc/MaxiM</f>
        <v>0</v>
      </c>
      <c r="Q173" s="305">
        <f t="shared" si="51"/>
        <v>0.7</v>
      </c>
      <c r="R173" s="177">
        <f t="shared" si="52"/>
        <v>4.3669254452322948E-2</v>
      </c>
      <c r="S173" s="817">
        <f t="shared" si="53"/>
        <v>-1</v>
      </c>
      <c r="T173" s="176">
        <f t="shared" si="54"/>
        <v>5</v>
      </c>
      <c r="U173" s="251">
        <f t="shared" si="55"/>
        <v>-0.95633074554767705</v>
      </c>
      <c r="V173" s="383">
        <f t="shared" si="56"/>
        <v>38.633196451671807</v>
      </c>
      <c r="W173" s="402"/>
      <c r="X173" s="157">
        <f t="shared" si="57"/>
        <v>43989</v>
      </c>
      <c r="Y173" s="385">
        <f t="shared" si="58"/>
        <v>23.071999999999999</v>
      </c>
      <c r="Z173" s="385">
        <f t="shared" si="59"/>
        <v>23.469552669614298</v>
      </c>
      <c r="AA173" s="386">
        <f t="shared" si="60"/>
        <v>25.941548754574733</v>
      </c>
      <c r="AB173" s="197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9.5290998557844536E-2</v>
      </c>
      <c r="AD173" s="231">
        <f>(INDEX(Models!$BJ173:$BT173,,AH173)*(1-AF173)+INDEX(Models!$BJ173:$BT173,,AH173+1)*AF173-ERP_i)*AE173*Ramure*Pc/MaxiM</f>
        <v>0</v>
      </c>
      <c r="AE173" s="305">
        <f t="shared" si="62"/>
        <v>0.7</v>
      </c>
      <c r="AF173" s="177">
        <f t="shared" si="63"/>
        <v>4.3669254452322948E-2</v>
      </c>
      <c r="AG173" s="817">
        <f t="shared" si="71"/>
        <v>-1</v>
      </c>
      <c r="AH173" s="176">
        <f t="shared" si="64"/>
        <v>5</v>
      </c>
      <c r="AI173" s="225">
        <f t="shared" si="65"/>
        <v>-0.95633074554767705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68"/>
        <v>43990</v>
      </c>
      <c r="B174" s="617">
        <v>27.474</v>
      </c>
      <c r="C174" s="390"/>
      <c r="D174" s="393">
        <f t="shared" si="48"/>
        <v>27.94801548126258</v>
      </c>
      <c r="E174" s="385">
        <f t="shared" si="72"/>
        <v>30.896010377314408</v>
      </c>
      <c r="F174" s="385">
        <f t="shared" si="49"/>
        <v>30.896010377314408</v>
      </c>
      <c r="G174" s="110">
        <f t="shared" si="73"/>
        <v>0.71161894068402509</v>
      </c>
      <c r="H174" s="414" t="b">
        <f>Wh_hp&gt;='2019'!Maxi_hp</f>
        <v>0</v>
      </c>
      <c r="I174" s="380">
        <f>IF(H174,Wh_hp,'2019'!Maxi_hp)</f>
        <v>35.613618700698403</v>
      </c>
      <c r="J174" s="85">
        <f>IF(H174,An,'2019'!An_max)</f>
        <v>2019</v>
      </c>
      <c r="K174" s="197">
        <f t="shared" si="50"/>
        <v>43990</v>
      </c>
      <c r="L174" s="147">
        <f>IF(t&lt;Tvie,1-EXP((T0-t)*PertePVj)+'2019'!Pspv,1-EXP((T0-t)*PertePVj)+Pspv)</f>
        <v>1.6960613234967559E-2</v>
      </c>
      <c r="M174" s="850"/>
      <c r="N174" s="850"/>
      <c r="O174" s="48">
        <f>IF(t&lt;Tnet,'2019'!Resal+('2019'!Salim-'2019'!Resal)*(1-EXP(('2019'!Tnet-t)/('2019'!Tau_j))),Resal+(Salim-Resal)*(1-EXP((Tnet-t)/(Tau_j))))*Salcycl</f>
        <v>9.5416685198177198E-2</v>
      </c>
      <c r="P174" s="169">
        <f>(INDEX(Models!$BJ174:$BT174,,T174)*(1-R174)+INDEX(Models!$BJ174:$BT174,,T174+1)*R174-ERP_i)*Q174*Ramure*Pc/MaxiM</f>
        <v>0</v>
      </c>
      <c r="Q174" s="305">
        <f t="shared" si="51"/>
        <v>0.7</v>
      </c>
      <c r="R174" s="177">
        <f t="shared" si="52"/>
        <v>4.6753719874881527E-2</v>
      </c>
      <c r="S174" s="817">
        <f t="shared" si="53"/>
        <v>-1</v>
      </c>
      <c r="T174" s="176">
        <f t="shared" si="54"/>
        <v>5</v>
      </c>
      <c r="U174" s="251">
        <f t="shared" si="55"/>
        <v>-0.95324628012511847</v>
      </c>
      <c r="V174" s="383">
        <f t="shared" si="56"/>
        <v>38.607741347625371</v>
      </c>
      <c r="W174" s="402"/>
      <c r="X174" s="157">
        <f t="shared" si="57"/>
        <v>43990</v>
      </c>
      <c r="Y174" s="385">
        <f t="shared" si="58"/>
        <v>27.474</v>
      </c>
      <c r="Z174" s="385">
        <f t="shared" si="59"/>
        <v>27.94801548126258</v>
      </c>
      <c r="AA174" s="386">
        <f t="shared" si="60"/>
        <v>30.896010377314408</v>
      </c>
      <c r="AB174" s="197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9.5416685198177198E-2</v>
      </c>
      <c r="AD174" s="231">
        <f>(INDEX(Models!$BJ174:$BT174,,AH174)*(1-AF174)+INDEX(Models!$BJ174:$BT174,,AH174+1)*AF174-ERP_i)*AE174*Ramure*Pc/MaxiM</f>
        <v>0</v>
      </c>
      <c r="AE174" s="305">
        <f t="shared" si="62"/>
        <v>0.7</v>
      </c>
      <c r="AF174" s="177">
        <f t="shared" si="63"/>
        <v>4.6753719874881527E-2</v>
      </c>
      <c r="AG174" s="817">
        <f t="shared" si="71"/>
        <v>-1</v>
      </c>
      <c r="AH174" s="176">
        <f t="shared" si="64"/>
        <v>5</v>
      </c>
      <c r="AI174" s="225">
        <f t="shared" si="65"/>
        <v>-0.95324628012511847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68"/>
        <v>43991</v>
      </c>
      <c r="B175" s="617">
        <v>14.52</v>
      </c>
      <c r="C175" s="390"/>
      <c r="D175" s="393">
        <f t="shared" si="48"/>
        <v>14.770840545884441</v>
      </c>
      <c r="E175" s="385">
        <f t="shared" si="72"/>
        <v>16.331136956361203</v>
      </c>
      <c r="F175" s="385">
        <f t="shared" si="49"/>
        <v>16.331136956361203</v>
      </c>
      <c r="G175" s="110">
        <f t="shared" si="73"/>
        <v>0.37634847654827153</v>
      </c>
      <c r="H175" s="414" t="b">
        <f>Wh_hp&gt;='2019'!Maxi_hp</f>
        <v>0</v>
      </c>
      <c r="I175" s="380">
        <f>IF(H175,Wh_hp,'2019'!Maxi_hp)</f>
        <v>16.376149493779085</v>
      </c>
      <c r="J175" s="85">
        <f>IF(H175,An,'2019'!An_max)</f>
        <v>2019</v>
      </c>
      <c r="K175" s="197">
        <f t="shared" si="50"/>
        <v>43991</v>
      </c>
      <c r="L175" s="147">
        <f>IF(t&lt;Tvie,1-EXP((T0-t)*PertePVj)+'2019'!Pspv,1-EXP((T0-t)*PertePVj)+Pspv)</f>
        <v>1.6982144320441761E-2</v>
      </c>
      <c r="M175" s="850"/>
      <c r="N175" s="850"/>
      <c r="O175" s="48">
        <f>IF(t&lt;Tnet,'2019'!Resal+('2019'!Salim-'2019'!Resal)*(1-EXP(('2019'!Tnet-t)/('2019'!Tau_j))),Resal+(Salim-Resal)*(1-EXP((Tnet-t)/(Tau_j))))*Salcycl</f>
        <v>9.554119928367906E-2</v>
      </c>
      <c r="P175" s="169">
        <f>(INDEX(Models!$BJ175:$BT175,,T175)*(1-R175)+INDEX(Models!$BJ175:$BT175,,T175+1)*R175-ERP_i)*Q175*Ramure*Pc/MaxiM</f>
        <v>0</v>
      </c>
      <c r="Q175" s="305">
        <f t="shared" si="51"/>
        <v>0.7</v>
      </c>
      <c r="R175" s="177">
        <f t="shared" si="52"/>
        <v>4.9840790298000703E-2</v>
      </c>
      <c r="S175" s="817">
        <f t="shared" si="53"/>
        <v>-1</v>
      </c>
      <c r="T175" s="176">
        <f t="shared" si="54"/>
        <v>5</v>
      </c>
      <c r="U175" s="251">
        <f t="shared" si="55"/>
        <v>-0.9501592097019993</v>
      </c>
      <c r="V175" s="383">
        <f t="shared" si="56"/>
        <v>38.581264186777233</v>
      </c>
      <c r="W175" s="402"/>
      <c r="X175" s="157">
        <f t="shared" si="57"/>
        <v>43991</v>
      </c>
      <c r="Y175" s="385">
        <f t="shared" si="58"/>
        <v>14.519999999999998</v>
      </c>
      <c r="Z175" s="385">
        <f t="shared" si="59"/>
        <v>14.77084054588444</v>
      </c>
      <c r="AA175" s="386">
        <f t="shared" si="60"/>
        <v>16.331136956361203</v>
      </c>
      <c r="AB175" s="197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9.554119928367906E-2</v>
      </c>
      <c r="AD175" s="231">
        <f>(INDEX(Models!$BJ175:$BT175,,AH175)*(1-AF175)+INDEX(Models!$BJ175:$BT175,,AH175+1)*AF175-ERP_i)*AE175*Ramure*Pc/MaxiM</f>
        <v>0</v>
      </c>
      <c r="AE175" s="305">
        <f t="shared" si="62"/>
        <v>0.7</v>
      </c>
      <c r="AF175" s="177">
        <f t="shared" si="63"/>
        <v>4.9840790298000703E-2</v>
      </c>
      <c r="AG175" s="817">
        <f t="shared" si="71"/>
        <v>-1</v>
      </c>
      <c r="AH175" s="176">
        <f t="shared" si="64"/>
        <v>5</v>
      </c>
      <c r="AI175" s="225">
        <f t="shared" si="65"/>
        <v>-0.9501592097019993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68"/>
        <v>43992</v>
      </c>
      <c r="B176" s="617">
        <v>27.989000000000001</v>
      </c>
      <c r="C176" s="390"/>
      <c r="D176" s="393">
        <f t="shared" si="48"/>
        <v>28.47314815559475</v>
      </c>
      <c r="E176" s="385">
        <f t="shared" si="72"/>
        <v>31.485159540030601</v>
      </c>
      <c r="F176" s="385">
        <f t="shared" si="49"/>
        <v>31.485159540030601</v>
      </c>
      <c r="G176" s="110">
        <f t="shared" si="73"/>
        <v>0.72597134727979196</v>
      </c>
      <c r="H176" s="414" t="b">
        <f>Wh_hp&gt;='2019'!Maxi_hp</f>
        <v>1</v>
      </c>
      <c r="I176" s="380">
        <f>IF(H176,Wh_hp,'2019'!Maxi_hp)</f>
        <v>31.485159540030601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1.7003674934329971E-2</v>
      </c>
      <c r="M176" s="850"/>
      <c r="N176" s="850"/>
      <c r="O176" s="48">
        <f>IF(t&lt;Tnet,'2019'!Resal+('2019'!Salim-'2019'!Resal)*(1-EXP(('2019'!Tnet-t)/('2019'!Tau_j))),Resal+(Salim-Resal)*(1-EXP((Tnet-t)/(Tau_j))))*Salcycl</f>
        <v>9.5664479025629343E-2</v>
      </c>
      <c r="P176" s="169">
        <f>(INDEX(Models!$BJ176:$BT176,,T176)*(1-R176)+INDEX(Models!$BJ176:$BT176,,T176+1)*R176-ERP_i)*Q176*Ramure*Pc/MaxiM</f>
        <v>0</v>
      </c>
      <c r="Q176" s="305">
        <f t="shared" si="51"/>
        <v>0.7</v>
      </c>
      <c r="R176" s="177">
        <f t="shared" si="52"/>
        <v>5.2927860721119768E-2</v>
      </c>
      <c r="S176" s="817">
        <f t="shared" si="53"/>
        <v>-1</v>
      </c>
      <c r="T176" s="176">
        <f t="shared" si="54"/>
        <v>5</v>
      </c>
      <c r="U176" s="251">
        <f t="shared" si="55"/>
        <v>-0.94707213927888023</v>
      </c>
      <c r="V176" s="383">
        <f t="shared" si="56"/>
        <v>38.553863186025907</v>
      </c>
      <c r="W176" s="402"/>
      <c r="X176" s="157">
        <f t="shared" si="57"/>
        <v>43992</v>
      </c>
      <c r="Y176" s="385">
        <f t="shared" si="58"/>
        <v>27.989000000000001</v>
      </c>
      <c r="Z176" s="385">
        <f t="shared" si="59"/>
        <v>28.47314815559475</v>
      </c>
      <c r="AA176" s="386">
        <f t="shared" si="60"/>
        <v>31.485159540030601</v>
      </c>
      <c r="AB176" s="197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9.5664479025629343E-2</v>
      </c>
      <c r="AD176" s="231">
        <f>(INDEX(Models!$BJ176:$BT176,,AH176)*(1-AF176)+INDEX(Models!$BJ176:$BT176,,AH176+1)*AF176-ERP_i)*AE176*Ramure*Pc/MaxiM</f>
        <v>0</v>
      </c>
      <c r="AE176" s="305">
        <f t="shared" si="62"/>
        <v>0.7</v>
      </c>
      <c r="AF176" s="177">
        <f t="shared" si="63"/>
        <v>5.2927860721119768E-2</v>
      </c>
      <c r="AG176" s="817">
        <f t="shared" si="71"/>
        <v>-1</v>
      </c>
      <c r="AH176" s="176">
        <f t="shared" si="64"/>
        <v>5</v>
      </c>
      <c r="AI176" s="225">
        <f t="shared" si="65"/>
        <v>-0.94707213927888023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68"/>
        <v>43993</v>
      </c>
      <c r="B177" s="617">
        <v>17.273</v>
      </c>
      <c r="C177" s="390"/>
      <c r="D177" s="393">
        <f t="shared" si="48"/>
        <v>17.57216979439109</v>
      </c>
      <c r="E177" s="385">
        <f t="shared" si="72"/>
        <v>19.433650498290202</v>
      </c>
      <c r="F177" s="385">
        <f t="shared" si="49"/>
        <v>19.433650498290202</v>
      </c>
      <c r="G177" s="110">
        <f t="shared" si="73"/>
        <v>0.44835596997262128</v>
      </c>
      <c r="H177" s="414" t="b">
        <f>Wh_hp&gt;='2019'!Maxi_hp</f>
        <v>0</v>
      </c>
      <c r="I177" s="380">
        <f>IF(H177,Wh_hp,'2019'!Maxi_hp)</f>
        <v>42.346993291813639</v>
      </c>
      <c r="J177" s="85">
        <f>IF(H177,An,'2019'!An_max)</f>
        <v>2019</v>
      </c>
      <c r="K177" s="197">
        <f t="shared" si="50"/>
        <v>43993</v>
      </c>
      <c r="L177" s="147">
        <f>IF(t&lt;Tvie,1-EXP((T0-t)*PertePVj)+'2019'!Pspv,1-EXP((T0-t)*PertePVj)+Pspv)</f>
        <v>1.7025205076642513E-2</v>
      </c>
      <c r="M177" s="850"/>
      <c r="N177" s="850"/>
      <c r="O177" s="48">
        <f>IF(t&lt;Tnet,'2019'!Resal+('2019'!Salim-'2019'!Resal)*(1-EXP(('2019'!Tnet-t)/('2019'!Tau_j))),Resal+(Salim-Resal)*(1-EXP((Tnet-t)/(Tau_j))))*Salcycl</f>
        <v>9.5786466061169959E-2</v>
      </c>
      <c r="P177" s="169">
        <f>(INDEX(Models!$BJ177:$BT177,,T177)*(1-R177)+INDEX(Models!$BJ177:$BT177,,T177+1)*R177-ERP_i)*Q177*Ramure*Pc/MaxiM</f>
        <v>0</v>
      </c>
      <c r="Q177" s="305">
        <f t="shared" si="51"/>
        <v>0.7</v>
      </c>
      <c r="R177" s="177">
        <f t="shared" si="52"/>
        <v>5.6012326143678459E-2</v>
      </c>
      <c r="S177" s="817">
        <f t="shared" si="53"/>
        <v>-1</v>
      </c>
      <c r="T177" s="176">
        <f t="shared" si="54"/>
        <v>5</v>
      </c>
      <c r="U177" s="251">
        <f t="shared" si="55"/>
        <v>-0.94398767385632154</v>
      </c>
      <c r="V177" s="383">
        <f t="shared" si="56"/>
        <v>38.525192384646445</v>
      </c>
      <c r="W177" s="402"/>
      <c r="X177" s="157">
        <f t="shared" si="57"/>
        <v>43993</v>
      </c>
      <c r="Y177" s="385">
        <f t="shared" si="58"/>
        <v>17.273</v>
      </c>
      <c r="Z177" s="385">
        <f t="shared" si="59"/>
        <v>17.57216979439109</v>
      </c>
      <c r="AA177" s="386">
        <f t="shared" si="60"/>
        <v>19.433650498290202</v>
      </c>
      <c r="AB177" s="197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9.5786466061169959E-2</v>
      </c>
      <c r="AD177" s="231">
        <f>(INDEX(Models!$BJ177:$BT177,,AH177)*(1-AF177)+INDEX(Models!$BJ177:$BT177,,AH177+1)*AF177-ERP_i)*AE177*Ramure*Pc/MaxiM</f>
        <v>0</v>
      </c>
      <c r="AE177" s="305">
        <f t="shared" si="62"/>
        <v>0.7</v>
      </c>
      <c r="AF177" s="177">
        <f t="shared" si="63"/>
        <v>5.6012326143678459E-2</v>
      </c>
      <c r="AG177" s="817">
        <f t="shared" si="71"/>
        <v>-1</v>
      </c>
      <c r="AH177" s="176">
        <f t="shared" si="64"/>
        <v>5</v>
      </c>
      <c r="AI177" s="225">
        <f t="shared" si="65"/>
        <v>-0.94398767385632154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68"/>
        <v>43994</v>
      </c>
      <c r="B178" s="617">
        <v>33.173000000000002</v>
      </c>
      <c r="C178" s="390"/>
      <c r="D178" s="393">
        <f t="shared" si="48"/>
        <v>33.748298289110245</v>
      </c>
      <c r="E178" s="385">
        <f t="shared" si="72"/>
        <v>37.328352541083326</v>
      </c>
      <c r="F178" s="385">
        <f t="shared" si="49"/>
        <v>37.328352541083326</v>
      </c>
      <c r="G178" s="110">
        <f t="shared" si="73"/>
        <v>0.86175038622307076</v>
      </c>
      <c r="H178" s="414" t="b">
        <f>Wh_hp&gt;='2019'!Maxi_hp</f>
        <v>0</v>
      </c>
      <c r="I178" s="380">
        <f>IF(H178,Wh_hp,'2019'!Maxi_hp)</f>
        <v>42.331938879997239</v>
      </c>
      <c r="J178" s="85">
        <f>IF(H178,An,'2019'!An_max)</f>
        <v>2019</v>
      </c>
      <c r="K178" s="197">
        <f t="shared" si="50"/>
        <v>43994</v>
      </c>
      <c r="L178" s="147">
        <f>IF(t&lt;Tvie,1-EXP((T0-t)*PertePVj)+'2019'!Pspv,1-EXP((T0-t)*PertePVj)+Pspv)</f>
        <v>1.7046734747389602E-2</v>
      </c>
      <c r="M178" s="850"/>
      <c r="N178" s="850"/>
      <c r="O178" s="48">
        <f>IF(t&lt;Tnet,'2019'!Resal+('2019'!Salim-'2019'!Resal)*(1-EXP(('2019'!Tnet-t)/('2019'!Tau_j))),Resal+(Salim-Resal)*(1-EXP((Tnet-t)/(Tau_j))))*Salcycl</f>
        <v>9.590710567879733E-2</v>
      </c>
      <c r="P178" s="169">
        <f>(INDEX(Models!$BJ178:$BT178,,T178)*(1-R178)+INDEX(Models!$BJ178:$BT178,,T178+1)*R178-ERP_i)*Q178*Ramure*Pc/MaxiM</f>
        <v>0</v>
      </c>
      <c r="Q178" s="305">
        <f t="shared" si="51"/>
        <v>0.7</v>
      </c>
      <c r="R178" s="177">
        <f t="shared" si="52"/>
        <v>5.9091590350541012E-2</v>
      </c>
      <c r="S178" s="817">
        <f t="shared" si="53"/>
        <v>-1</v>
      </c>
      <c r="T178" s="176">
        <f t="shared" si="54"/>
        <v>5</v>
      </c>
      <c r="U178" s="251">
        <f t="shared" si="55"/>
        <v>-0.94090840964945899</v>
      </c>
      <c r="V178" s="383">
        <f t="shared" si="56"/>
        <v>38.494905868731358</v>
      </c>
      <c r="W178" s="402"/>
      <c r="X178" s="157">
        <f t="shared" si="57"/>
        <v>43994</v>
      </c>
      <c r="Y178" s="385">
        <f t="shared" si="58"/>
        <v>33.173000000000002</v>
      </c>
      <c r="Z178" s="385">
        <f t="shared" si="59"/>
        <v>33.748298289110245</v>
      </c>
      <c r="AA178" s="386">
        <f t="shared" si="60"/>
        <v>37.328352541083326</v>
      </c>
      <c r="AB178" s="197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9.590710567879733E-2</v>
      </c>
      <c r="AD178" s="231">
        <f>(INDEX(Models!$BJ178:$BT178,,AH178)*(1-AF178)+INDEX(Models!$BJ178:$BT178,,AH178+1)*AF178-ERP_i)*AE178*Ramure*Pc/MaxiM</f>
        <v>0</v>
      </c>
      <c r="AE178" s="305">
        <f t="shared" si="62"/>
        <v>0.7</v>
      </c>
      <c r="AF178" s="177">
        <f t="shared" si="63"/>
        <v>5.9091590350541012E-2</v>
      </c>
      <c r="AG178" s="817">
        <f t="shared" si="71"/>
        <v>-1</v>
      </c>
      <c r="AH178" s="176">
        <f t="shared" si="64"/>
        <v>5</v>
      </c>
      <c r="AI178" s="225">
        <f t="shared" si="65"/>
        <v>-0.94090840964945899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43995</v>
      </c>
      <c r="B179" s="617">
        <v>26.741</v>
      </c>
      <c r="C179" s="390"/>
      <c r="D179" s="393">
        <f t="shared" si="48"/>
        <v>27.205348061471824</v>
      </c>
      <c r="E179" s="385">
        <f t="shared" si="72"/>
        <v>30.095288697807067</v>
      </c>
      <c r="F179" s="385">
        <f t="shared" si="49"/>
        <v>30.095288697807067</v>
      </c>
      <c r="G179" s="110">
        <f t="shared" si="73"/>
        <v>0.69523774483981127</v>
      </c>
      <c r="H179" s="414" t="b">
        <f>Wh_hp&gt;='2019'!Maxi_hp</f>
        <v>0</v>
      </c>
      <c r="I179" s="380">
        <f>IF(H179,Wh_hp,'2019'!Maxi_hp)</f>
        <v>32.064754568132031</v>
      </c>
      <c r="J179" s="85">
        <f>IF(H179,An,'2019'!An_max)</f>
        <v>2018</v>
      </c>
      <c r="K179" s="197">
        <f t="shared" si="50"/>
        <v>43995</v>
      </c>
      <c r="L179" s="147">
        <f>IF(t&lt;Tvie,1-EXP((T0-t)*PertePVj)+'2019'!Pspv,1-EXP((T0-t)*PertePVj)+Pspv)</f>
        <v>1.7068263946581674E-2</v>
      </c>
      <c r="M179" s="850"/>
      <c r="N179" s="850"/>
      <c r="O179" s="48">
        <f>IF(t&lt;Tnet,'2019'!Resal+('2019'!Salim-'2019'!Resal)*(1-EXP(('2019'!Tnet-t)/('2019'!Tau_j))),Resal+(Salim-Resal)*(1-EXP((Tnet-t)/(Tau_j))))*Salcycl</f>
        <v>9.602634702573308E-2</v>
      </c>
      <c r="P179" s="169">
        <f>(INDEX(Models!$BJ179:$BT179,,T179)*(1-R179)+INDEX(Models!$BJ179:$BT179,,T179+1)*R179-ERP_i)*Q179*Ramure*Pc/MaxiM</f>
        <v>0</v>
      </c>
      <c r="Q179" s="305">
        <f t="shared" si="51"/>
        <v>0.7</v>
      </c>
      <c r="R179" s="177">
        <f t="shared" si="52"/>
        <v>6.2163074634535076E-2</v>
      </c>
      <c r="S179" s="817">
        <f t="shared" si="53"/>
        <v>-1</v>
      </c>
      <c r="T179" s="176">
        <f t="shared" si="54"/>
        <v>5</v>
      </c>
      <c r="U179" s="251">
        <f t="shared" si="55"/>
        <v>-0.93783692536546492</v>
      </c>
      <c r="V179" s="383">
        <f t="shared" si="56"/>
        <v>38.463101577089077</v>
      </c>
      <c r="W179" s="402"/>
      <c r="X179" s="157">
        <f t="shared" si="57"/>
        <v>43995</v>
      </c>
      <c r="Y179" s="385">
        <f t="shared" si="58"/>
        <v>26.741</v>
      </c>
      <c r="Z179" s="385">
        <f t="shared" si="59"/>
        <v>27.205348061471824</v>
      </c>
      <c r="AA179" s="386">
        <f t="shared" si="60"/>
        <v>30.095288697807067</v>
      </c>
      <c r="AB179" s="197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9.602634702573308E-2</v>
      </c>
      <c r="AD179" s="231">
        <f>(INDEX(Models!$BJ179:$BT179,,AH179)*(1-AF179)+INDEX(Models!$BJ179:$BT179,,AH179+1)*AF179-ERP_i)*AE179*Ramure*Pc/MaxiM</f>
        <v>0</v>
      </c>
      <c r="AE179" s="305">
        <f t="shared" si="62"/>
        <v>0.7</v>
      </c>
      <c r="AF179" s="177">
        <f t="shared" si="63"/>
        <v>6.2163074634535076E-2</v>
      </c>
      <c r="AG179" s="817">
        <f t="shared" si="71"/>
        <v>-1</v>
      </c>
      <c r="AH179" s="176">
        <f t="shared" si="64"/>
        <v>5</v>
      </c>
      <c r="AI179" s="225">
        <f t="shared" si="65"/>
        <v>-0.93783692536546492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43996</v>
      </c>
      <c r="B180" s="617">
        <v>31.65</v>
      </c>
      <c r="C180" s="390"/>
      <c r="D180" s="393">
        <f t="shared" si="48"/>
        <v>32.20029638934259</v>
      </c>
      <c r="E180" s="385">
        <f t="shared" si="72"/>
        <v>35.625477392767912</v>
      </c>
      <c r="F180" s="385">
        <f t="shared" si="49"/>
        <v>35.625477392767912</v>
      </c>
      <c r="G180" s="110">
        <f t="shared" si="73"/>
        <v>0.82357796353697343</v>
      </c>
      <c r="H180" s="414" t="b">
        <f>Wh_hp&gt;='2019'!Maxi_hp</f>
        <v>1</v>
      </c>
      <c r="I180" s="380">
        <f>IF(H180,Wh_hp,'2019'!Maxi_hp)</f>
        <v>35.625477392767912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1.7089792674229054E-2</v>
      </c>
      <c r="M180" s="850"/>
      <c r="N180" s="850"/>
      <c r="O180" s="48">
        <f>IF(t&lt;Tnet,'2019'!Resal+('2019'!Salim-'2019'!Resal)*(1-EXP(('2019'!Tnet-t)/('2019'!Tau_j))),Resal+(Salim-Resal)*(1-EXP((Tnet-t)/(Tau_j))))*Salcycl</f>
        <v>9.6144143295624845E-2</v>
      </c>
      <c r="P180" s="169">
        <f>(INDEX(Models!$BJ180:$BT180,,T180)*(1-R180)+INDEX(Models!$BJ180:$BT180,,T180+1)*R180-ERP_i)*Q180*Ramure*Pc/MaxiM</f>
        <v>0</v>
      </c>
      <c r="Q180" s="305">
        <f t="shared" si="51"/>
        <v>0.7</v>
      </c>
      <c r="R180" s="177">
        <f t="shared" si="52"/>
        <v>6.5224226393987284E-2</v>
      </c>
      <c r="S180" s="817">
        <f t="shared" si="53"/>
        <v>-1</v>
      </c>
      <c r="T180" s="176">
        <f t="shared" si="54"/>
        <v>5</v>
      </c>
      <c r="U180" s="251">
        <f t="shared" si="55"/>
        <v>-0.93477577360601272</v>
      </c>
      <c r="V180" s="383">
        <f t="shared" si="56"/>
        <v>38.429877195929997</v>
      </c>
      <c r="W180" s="402"/>
      <c r="X180" s="157">
        <f t="shared" si="57"/>
        <v>43996</v>
      </c>
      <c r="Y180" s="385">
        <f t="shared" si="58"/>
        <v>31.65</v>
      </c>
      <c r="Z180" s="385">
        <f t="shared" si="59"/>
        <v>32.20029638934259</v>
      </c>
      <c r="AA180" s="386">
        <f t="shared" si="60"/>
        <v>35.625477392767912</v>
      </c>
      <c r="AB180" s="197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9.6144143295624845E-2</v>
      </c>
      <c r="AD180" s="231">
        <f>(INDEX(Models!$BJ180:$BT180,,AH180)*(1-AF180)+INDEX(Models!$BJ180:$BT180,,AH180+1)*AF180-ERP_i)*AE180*Ramure*Pc/MaxiM</f>
        <v>0</v>
      </c>
      <c r="AE180" s="305">
        <f t="shared" si="62"/>
        <v>0.7</v>
      </c>
      <c r="AF180" s="177">
        <f t="shared" si="63"/>
        <v>6.5224226393987284E-2</v>
      </c>
      <c r="AG180" s="817">
        <f t="shared" si="71"/>
        <v>-1</v>
      </c>
      <c r="AH180" s="176">
        <f t="shared" si="64"/>
        <v>5</v>
      </c>
      <c r="AI180" s="225">
        <f t="shared" si="65"/>
        <v>-0.93477577360601272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43997</v>
      </c>
      <c r="B181" s="617">
        <v>26.616</v>
      </c>
      <c r="C181" s="390"/>
      <c r="D181" s="393">
        <f t="shared" si="48"/>
        <v>27.079363682561763</v>
      </c>
      <c r="E181" s="385">
        <f t="shared" si="72"/>
        <v>29.96368117268721</v>
      </c>
      <c r="F181" s="385">
        <f t="shared" si="49"/>
        <v>29.96368117268721</v>
      </c>
      <c r="G181" s="110">
        <f t="shared" si="73"/>
        <v>0.69320930157280491</v>
      </c>
      <c r="H181" s="414" t="b">
        <f>Wh_hp&gt;='2019'!Maxi_hp</f>
        <v>0</v>
      </c>
      <c r="I181" s="380">
        <f>IF(H181,Wh_hp,'2019'!Maxi_hp)</f>
        <v>44.363595434270344</v>
      </c>
      <c r="J181" s="85">
        <f>IF(H181,An,'2019'!An_max)</f>
        <v>2019</v>
      </c>
      <c r="K181" s="197">
        <f t="shared" si="50"/>
        <v>43997</v>
      </c>
      <c r="L181" s="147">
        <f>IF(t&lt;Tvie,1-EXP((T0-t)*PertePVj)+'2019'!Pspv,1-EXP((T0-t)*PertePVj)+Pspv)</f>
        <v>1.7111320930342067E-2</v>
      </c>
      <c r="M181" s="850"/>
      <c r="N181" s="850"/>
      <c r="O181" s="48">
        <f>IF(t&lt;Tnet,'2019'!Resal+('2019'!Salim-'2019'!Resal)*(1-EXP(('2019'!Tnet-t)/('2019'!Tau_j))),Resal+(Salim-Resal)*(1-EXP((Tnet-t)/(Tau_j))))*Salcycl</f>
        <v>9.6260451895162663E-2</v>
      </c>
      <c r="P181" s="169">
        <f>(INDEX(Models!$BJ181:$BT181,,T181)*(1-R181)+INDEX(Models!$BJ181:$BT181,,T181+1)*R181-ERP_i)*Q181*Ramure*Pc/MaxiM</f>
        <v>0</v>
      </c>
      <c r="Q181" s="305">
        <f t="shared" si="51"/>
        <v>0.7</v>
      </c>
      <c r="R181" s="177">
        <f t="shared" si="52"/>
        <v>6.8272527544668837E-2</v>
      </c>
      <c r="S181" s="817">
        <f t="shared" si="53"/>
        <v>-1</v>
      </c>
      <c r="T181" s="176">
        <f t="shared" si="54"/>
        <v>5</v>
      </c>
      <c r="U181" s="251">
        <f t="shared" si="55"/>
        <v>-0.93172747245533116</v>
      </c>
      <c r="V181" s="383">
        <f t="shared" si="56"/>
        <v>38.395330154416044</v>
      </c>
      <c r="W181" s="402"/>
      <c r="X181" s="157">
        <f t="shared" si="57"/>
        <v>43997</v>
      </c>
      <c r="Y181" s="385">
        <f t="shared" si="58"/>
        <v>26.616</v>
      </c>
      <c r="Z181" s="385">
        <f t="shared" si="59"/>
        <v>27.079363682561763</v>
      </c>
      <c r="AA181" s="386">
        <f t="shared" si="60"/>
        <v>29.96368117268721</v>
      </c>
      <c r="AB181" s="197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9.6260451895162663E-2</v>
      </c>
      <c r="AD181" s="231">
        <f>(INDEX(Models!$BJ181:$BT181,,AH181)*(1-AF181)+INDEX(Models!$BJ181:$BT181,,AH181+1)*AF181-ERP_i)*AE181*Ramure*Pc/MaxiM</f>
        <v>0</v>
      </c>
      <c r="AE181" s="305">
        <f t="shared" si="62"/>
        <v>0.7</v>
      </c>
      <c r="AF181" s="177">
        <f t="shared" si="63"/>
        <v>6.8272527544668837E-2</v>
      </c>
      <c r="AG181" s="817">
        <f t="shared" si="71"/>
        <v>-1</v>
      </c>
      <c r="AH181" s="176">
        <f t="shared" si="64"/>
        <v>5</v>
      </c>
      <c r="AI181" s="225">
        <f t="shared" si="65"/>
        <v>-0.93172747245533116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43998</v>
      </c>
      <c r="B182" s="617">
        <v>18.41</v>
      </c>
      <c r="C182" s="390"/>
      <c r="D182" s="393">
        <f t="shared" si="48"/>
        <v>18.7309139143876</v>
      </c>
      <c r="E182" s="385">
        <f t="shared" si="72"/>
        <v>20.728641612488964</v>
      </c>
      <c r="F182" s="385">
        <f t="shared" si="49"/>
        <v>20.728641612488964</v>
      </c>
      <c r="G182" s="110">
        <f t="shared" si="73"/>
        <v>0.47993254203581293</v>
      </c>
      <c r="H182" s="414" t="b">
        <f>Wh_hp&gt;='2019'!Maxi_hp</f>
        <v>0</v>
      </c>
      <c r="I182" s="380">
        <f>IF(H182,Wh_hp,'2019'!Maxi_hp)</f>
        <v>42.925961898835723</v>
      </c>
      <c r="J182" s="85">
        <f>IF(H182,An,'2019'!An_max)</f>
        <v>2019</v>
      </c>
      <c r="K182" s="197">
        <f t="shared" si="50"/>
        <v>43998</v>
      </c>
      <c r="L182" s="147">
        <f>IF(t&lt;Tvie,1-EXP((T0-t)*PertePVj)+'2019'!Pspv,1-EXP((T0-t)*PertePVj)+Pspv)</f>
        <v>1.7132848714931037E-2</v>
      </c>
      <c r="M182" s="850"/>
      <c r="N182" s="850"/>
      <c r="O182" s="48">
        <f>IF(t&lt;Tnet,'2019'!Resal+('2019'!Salim-'2019'!Resal)*(1-EXP(('2019'!Tnet-t)/('2019'!Tau_j))),Resal+(Salim-Resal)*(1-EXP((Tnet-t)/(Tau_j))))*Salcycl</f>
        <v>9.6375234588345515E-2</v>
      </c>
      <c r="P182" s="169">
        <f>(INDEX(Models!$BJ182:$BT182,,T182)*(1-R182)+INDEX(Models!$BJ182:$BT182,,T182+1)*R182-ERP_i)*Q182*Ramure*Pc/MaxiM</f>
        <v>0</v>
      </c>
      <c r="Q182" s="305">
        <f t="shared" si="51"/>
        <v>0.7</v>
      </c>
      <c r="R182" s="177">
        <f t="shared" si="52"/>
        <v>7.1305502687823208E-2</v>
      </c>
      <c r="S182" s="817">
        <f t="shared" si="53"/>
        <v>-1</v>
      </c>
      <c r="T182" s="176">
        <f t="shared" si="54"/>
        <v>5</v>
      </c>
      <c r="U182" s="251">
        <f t="shared" si="55"/>
        <v>-0.92869449731217679</v>
      </c>
      <c r="V182" s="383">
        <f t="shared" si="56"/>
        <v>38.359557620133685</v>
      </c>
      <c r="W182" s="402"/>
      <c r="X182" s="157">
        <f t="shared" si="57"/>
        <v>43998</v>
      </c>
      <c r="Y182" s="385">
        <f t="shared" si="58"/>
        <v>18.41</v>
      </c>
      <c r="Z182" s="385">
        <f t="shared" si="59"/>
        <v>18.7309139143876</v>
      </c>
      <c r="AA182" s="386">
        <f t="shared" si="60"/>
        <v>20.728641612488964</v>
      </c>
      <c r="AB182" s="197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9.6375234588345515E-2</v>
      </c>
      <c r="AD182" s="231">
        <f>(INDEX(Models!$BJ182:$BT182,,AH182)*(1-AF182)+INDEX(Models!$BJ182:$BT182,,AH182+1)*AF182-ERP_i)*AE182*Ramure*Pc/MaxiM</f>
        <v>0</v>
      </c>
      <c r="AE182" s="305">
        <f t="shared" si="62"/>
        <v>0.7</v>
      </c>
      <c r="AF182" s="177">
        <f t="shared" si="63"/>
        <v>7.1305502687823208E-2</v>
      </c>
      <c r="AG182" s="817">
        <f t="shared" si="71"/>
        <v>-1</v>
      </c>
      <c r="AH182" s="176">
        <f t="shared" si="64"/>
        <v>5</v>
      </c>
      <c r="AI182" s="225">
        <f t="shared" si="65"/>
        <v>-0.92869449731217679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43999</v>
      </c>
      <c r="B183" s="617">
        <v>31.891999999999999</v>
      </c>
      <c r="C183" s="390"/>
      <c r="D183" s="393">
        <f t="shared" si="48"/>
        <v>32.448636105347063</v>
      </c>
      <c r="E183" s="385">
        <f t="shared" si="72"/>
        <v>35.913914303490536</v>
      </c>
      <c r="F183" s="385">
        <f t="shared" si="49"/>
        <v>35.913914303490536</v>
      </c>
      <c r="G183" s="110">
        <f t="shared" si="73"/>
        <v>0.83219700606075819</v>
      </c>
      <c r="H183" s="414" t="b">
        <f>Wh_hp&gt;='2019'!Maxi_hp</f>
        <v>0</v>
      </c>
      <c r="I183" s="380">
        <f>IF(H183,Wh_hp,'2019'!Maxi_hp)</f>
        <v>41.455412731300569</v>
      </c>
      <c r="J183" s="85">
        <f>IF(H183,An,'2019'!An_max)</f>
        <v>2019</v>
      </c>
      <c r="K183" s="197">
        <f t="shared" si="50"/>
        <v>43999</v>
      </c>
      <c r="L183" s="147">
        <f>IF(t&lt;Tvie,1-EXP((T0-t)*PertePVj)+'2019'!Pspv,1-EXP((T0-t)*PertePVj)+Pspv)</f>
        <v>1.715437602800618E-2</v>
      </c>
      <c r="M183" s="850"/>
      <c r="N183" s="850"/>
      <c r="O183" s="48">
        <f>IF(t&lt;Tnet,'2019'!Resal+('2019'!Salim-'2019'!Resal)*(1-EXP(('2019'!Tnet-t)/('2019'!Tau_j))),Resal+(Salim-Resal)*(1-EXP((Tnet-t)/(Tau_j))))*Salcycl</f>
        <v>9.648845761729398E-2</v>
      </c>
      <c r="P183" s="169">
        <f>(INDEX(Models!$BJ183:$BT183,,T183)*(1-R183)+INDEX(Models!$BJ183:$BT183,,T183+1)*R183-ERP_i)*Q183*Ramure*Pc/MaxiM</f>
        <v>0</v>
      </c>
      <c r="Q183" s="305">
        <f t="shared" si="51"/>
        <v>0.7</v>
      </c>
      <c r="R183" s="177">
        <f t="shared" si="52"/>
        <v>7.432072697888481E-2</v>
      </c>
      <c r="S183" s="817">
        <f t="shared" si="53"/>
        <v>-1</v>
      </c>
      <c r="T183" s="176">
        <f t="shared" si="54"/>
        <v>5</v>
      </c>
      <c r="U183" s="251">
        <f t="shared" si="55"/>
        <v>-0.92567927302111519</v>
      </c>
      <c r="V183" s="383">
        <f t="shared" si="56"/>
        <v>38.322656495680285</v>
      </c>
      <c r="W183" s="402"/>
      <c r="X183" s="157">
        <f t="shared" si="57"/>
        <v>43999</v>
      </c>
      <c r="Y183" s="385">
        <f t="shared" si="58"/>
        <v>31.892000000000003</v>
      </c>
      <c r="Z183" s="385">
        <f t="shared" si="59"/>
        <v>32.448636105347063</v>
      </c>
      <c r="AA183" s="386">
        <f t="shared" si="60"/>
        <v>35.913914303490536</v>
      </c>
      <c r="AB183" s="197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9.648845761729398E-2</v>
      </c>
      <c r="AD183" s="231">
        <f>(INDEX(Models!$BJ183:$BT183,,AH183)*(1-AF183)+INDEX(Models!$BJ183:$BT183,,AH183+1)*AF183-ERP_i)*AE183*Ramure*Pc/MaxiM</f>
        <v>0</v>
      </c>
      <c r="AE183" s="305">
        <f t="shared" si="62"/>
        <v>0.7</v>
      </c>
      <c r="AF183" s="177">
        <f t="shared" si="63"/>
        <v>7.432072697888481E-2</v>
      </c>
      <c r="AG183" s="817">
        <f t="shared" si="71"/>
        <v>-1</v>
      </c>
      <c r="AH183" s="176">
        <f t="shared" si="64"/>
        <v>5</v>
      </c>
      <c r="AI183" s="225">
        <f t="shared" si="65"/>
        <v>-0.92567927302111519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44000</v>
      </c>
      <c r="B184" s="617">
        <v>26.114999999999998</v>
      </c>
      <c r="C184" s="390"/>
      <c r="D184" s="393">
        <f t="shared" si="48"/>
        <v>26.571387572047396</v>
      </c>
      <c r="E184" s="385">
        <f t="shared" si="72"/>
        <v>29.412652503973884</v>
      </c>
      <c r="F184" s="385">
        <f t="shared" si="49"/>
        <v>29.412652503973884</v>
      </c>
      <c r="G184" s="110">
        <f t="shared" si="73"/>
        <v>0.68212586300785416</v>
      </c>
      <c r="H184" s="414" t="b">
        <f>Wh_hp&gt;='2019'!Maxi_hp</f>
        <v>0</v>
      </c>
      <c r="I184" s="380">
        <f>IF(H184,Wh_hp,'2019'!Maxi_hp)</f>
        <v>39.3434208433533</v>
      </c>
      <c r="J184" s="85">
        <f>IF(H184,An,'2019'!An_max)</f>
        <v>2018</v>
      </c>
      <c r="K184" s="197">
        <f t="shared" si="50"/>
        <v>44000</v>
      </c>
      <c r="L184" s="147">
        <f>IF(t&lt;Tvie,1-EXP((T0-t)*PertePVj)+'2019'!Pspv,1-EXP((T0-t)*PertePVj)+Pspv)</f>
        <v>1.717590286957793E-2</v>
      </c>
      <c r="M184" s="850"/>
      <c r="N184" s="850"/>
      <c r="O184" s="48">
        <f>IF(t&lt;Tnet,'2019'!Resal+('2019'!Salim-'2019'!Resal)*(1-EXP(('2019'!Tnet-t)/('2019'!Tau_j))),Resal+(Salim-Resal)*(1-EXP((Tnet-t)/(Tau_j))))*Salcycl</f>
        <v>9.6600091798677762E-2</v>
      </c>
      <c r="P184" s="169">
        <f>(INDEX(Models!$BJ184:$BT184,,T184)*(1-R184)+INDEX(Models!$BJ184:$BT184,,T184+1)*R184-ERP_i)*Q184*Ramure*Pc/MaxiM</f>
        <v>0</v>
      </c>
      <c r="Q184" s="305">
        <f t="shared" si="51"/>
        <v>0.7</v>
      </c>
      <c r="R184" s="177">
        <f t="shared" si="52"/>
        <v>7.7315833645082876E-2</v>
      </c>
      <c r="S184" s="817">
        <f t="shared" si="53"/>
        <v>-1</v>
      </c>
      <c r="T184" s="176">
        <f t="shared" si="54"/>
        <v>5</v>
      </c>
      <c r="U184" s="251">
        <f t="shared" si="55"/>
        <v>-0.92268416635491712</v>
      </c>
      <c r="V184" s="383">
        <f t="shared" si="56"/>
        <v>38.284723415771296</v>
      </c>
      <c r="W184" s="402"/>
      <c r="X184" s="157">
        <f t="shared" si="57"/>
        <v>44000</v>
      </c>
      <c r="Y184" s="385">
        <f t="shared" si="58"/>
        <v>26.114999999999998</v>
      </c>
      <c r="Z184" s="385">
        <f t="shared" si="59"/>
        <v>26.571387572047396</v>
      </c>
      <c r="AA184" s="386">
        <f t="shared" si="60"/>
        <v>29.412652503973884</v>
      </c>
      <c r="AB184" s="197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9.6600091798677762E-2</v>
      </c>
      <c r="AD184" s="231">
        <f>(INDEX(Models!$BJ184:$BT184,,AH184)*(1-AF184)+INDEX(Models!$BJ184:$BT184,,AH184+1)*AF184-ERP_i)*AE184*Ramure*Pc/MaxiM</f>
        <v>0</v>
      </c>
      <c r="AE184" s="305">
        <f t="shared" si="62"/>
        <v>0.7</v>
      </c>
      <c r="AF184" s="177">
        <f t="shared" si="63"/>
        <v>7.7315833645082876E-2</v>
      </c>
      <c r="AG184" s="817">
        <f t="shared" si="71"/>
        <v>-1</v>
      </c>
      <c r="AH184" s="176">
        <f t="shared" si="64"/>
        <v>5</v>
      </c>
      <c r="AI184" s="225">
        <f t="shared" si="65"/>
        <v>-0.92268416635491712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44001</v>
      </c>
      <c r="B185" s="617">
        <v>34.642000000000003</v>
      </c>
      <c r="C185" s="390"/>
      <c r="D185" s="393">
        <f t="shared" si="48"/>
        <v>35.248178047803933</v>
      </c>
      <c r="E185" s="385">
        <f t="shared" si="72"/>
        <v>39.022000068069346</v>
      </c>
      <c r="F185" s="385">
        <f t="shared" si="49"/>
        <v>39.022000068069346</v>
      </c>
      <c r="G185" s="110">
        <f t="shared" si="73"/>
        <v>0.90577136343169629</v>
      </c>
      <c r="H185" s="414" t="b">
        <f>Wh_hp&gt;='2019'!Maxi_hp</f>
        <v>1</v>
      </c>
      <c r="I185" s="380">
        <f>IF(H185,Wh_hp,'2019'!Maxi_hp)</f>
        <v>39.022000068069346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1.7197429239656725E-2</v>
      </c>
      <c r="M185" s="850"/>
      <c r="N185" s="850"/>
      <c r="O185" s="48">
        <f>IF(t&lt;Tnet,'2019'!Resal+('2019'!Salim-'2019'!Resal)*(1-EXP(('2019'!Tnet-t)/('2019'!Tau_j))),Resal+(Salim-Resal)*(1-EXP((Tnet-t)/(Tau_j))))*Salcycl</f>
        <v>9.6710112595008543E-2</v>
      </c>
      <c r="P185" s="169">
        <f>(INDEX(Models!$BJ185:$BT185,,T185)*(1-R185)+INDEX(Models!$BJ185:$BT185,,T185+1)*R185-ERP_i)*Q185*Ramure*Pc/MaxiM</f>
        <v>0</v>
      </c>
      <c r="Q185" s="305">
        <f t="shared" si="51"/>
        <v>0.7</v>
      </c>
      <c r="R185" s="177">
        <f t="shared" si="52"/>
        <v>8.0288521104260213E-2</v>
      </c>
      <c r="S185" s="817">
        <f t="shared" si="53"/>
        <v>-1</v>
      </c>
      <c r="T185" s="176">
        <f t="shared" si="54"/>
        <v>5</v>
      </c>
      <c r="U185" s="251">
        <f t="shared" si="55"/>
        <v>-0.91971147889573979</v>
      </c>
      <c r="V185" s="383">
        <f t="shared" si="56"/>
        <v>38.245854747219916</v>
      </c>
      <c r="W185" s="402"/>
      <c r="X185" s="157">
        <f t="shared" si="57"/>
        <v>44001</v>
      </c>
      <c r="Y185" s="385">
        <f t="shared" si="58"/>
        <v>34.642000000000003</v>
      </c>
      <c r="Z185" s="385">
        <f t="shared" si="59"/>
        <v>35.248178047803933</v>
      </c>
      <c r="AA185" s="386">
        <f t="shared" si="60"/>
        <v>39.022000068069346</v>
      </c>
      <c r="AB185" s="197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9.6710112595008543E-2</v>
      </c>
      <c r="AD185" s="231">
        <f>(INDEX(Models!$BJ185:$BT185,,AH185)*(1-AF185)+INDEX(Models!$BJ185:$BT185,,AH185+1)*AF185-ERP_i)*AE185*Ramure*Pc/MaxiM</f>
        <v>0</v>
      </c>
      <c r="AE185" s="305">
        <f t="shared" si="62"/>
        <v>0.7</v>
      </c>
      <c r="AF185" s="177">
        <f t="shared" si="63"/>
        <v>8.0288521104260213E-2</v>
      </c>
      <c r="AG185" s="817">
        <f t="shared" si="71"/>
        <v>-1</v>
      </c>
      <c r="AH185" s="176">
        <f t="shared" si="64"/>
        <v>5</v>
      </c>
      <c r="AI185" s="225">
        <f t="shared" si="65"/>
        <v>-0.91971147889573979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44002</v>
      </c>
      <c r="B186" s="617">
        <v>31.227</v>
      </c>
      <c r="C186" s="390"/>
      <c r="D186" s="393">
        <f t="shared" si="48"/>
        <v>31.774117096848215</v>
      </c>
      <c r="E186" s="385">
        <f t="shared" si="72"/>
        <v>35.180212507104621</v>
      </c>
      <c r="F186" s="385">
        <f t="shared" si="49"/>
        <v>35.180212507104621</v>
      </c>
      <c r="G186" s="110">
        <f t="shared" si="73"/>
        <v>0.81732922025052945</v>
      </c>
      <c r="H186" s="414" t="b">
        <f>Wh_hp&gt;='2019'!Maxi_hp</f>
        <v>1</v>
      </c>
      <c r="I186" s="380">
        <f>IF(H186,Wh_hp,'2019'!Maxi_hp)</f>
        <v>35.180212507104621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1.7218955138252667E-2</v>
      </c>
      <c r="M186" s="850"/>
      <c r="N186" s="850"/>
      <c r="O186" s="48">
        <f>IF(t&lt;Tnet,'2019'!Resal+('2019'!Salim-'2019'!Resal)*(1-EXP(('2019'!Tnet-t)/('2019'!Tau_j))),Resal+(Salim-Resal)*(1-EXP((Tnet-t)/(Tau_j))))*Salcycl</f>
        <v>9.6818500160240503E-2</v>
      </c>
      <c r="P186" s="169">
        <f>(INDEX(Models!$BJ186:$BT186,,T186)*(1-R186)+INDEX(Models!$BJ186:$BT186,,T186+1)*R186-ERP_i)*Q186*Ramure*Pc/MaxiM</f>
        <v>0</v>
      </c>
      <c r="Q186" s="305">
        <f t="shared" si="51"/>
        <v>0.7</v>
      </c>
      <c r="R186" s="177">
        <f t="shared" si="52"/>
        <v>8.3236559641881924E-2</v>
      </c>
      <c r="S186" s="817">
        <f t="shared" si="53"/>
        <v>-1</v>
      </c>
      <c r="T186" s="176">
        <f t="shared" si="54"/>
        <v>5</v>
      </c>
      <c r="U186" s="251">
        <f t="shared" si="55"/>
        <v>-0.91676344035811808</v>
      </c>
      <c r="V186" s="383">
        <f t="shared" si="56"/>
        <v>38.206146588553672</v>
      </c>
      <c r="W186" s="402"/>
      <c r="X186" s="157">
        <f t="shared" si="57"/>
        <v>44002</v>
      </c>
      <c r="Y186" s="385">
        <f t="shared" si="58"/>
        <v>31.227</v>
      </c>
      <c r="Z186" s="385">
        <f t="shared" si="59"/>
        <v>31.774117096848215</v>
      </c>
      <c r="AA186" s="386">
        <f t="shared" si="60"/>
        <v>35.180212507104621</v>
      </c>
      <c r="AB186" s="197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9.6818500160240503E-2</v>
      </c>
      <c r="AD186" s="231">
        <f>(INDEX(Models!$BJ186:$BT186,,AH186)*(1-AF186)+INDEX(Models!$BJ186:$BT186,,AH186+1)*AF186-ERP_i)*AE186*Ramure*Pc/MaxiM</f>
        <v>0</v>
      </c>
      <c r="AE186" s="305">
        <f t="shared" si="62"/>
        <v>0.7</v>
      </c>
      <c r="AF186" s="177">
        <f t="shared" si="63"/>
        <v>8.3236559641881924E-2</v>
      </c>
      <c r="AG186" s="817">
        <f t="shared" si="71"/>
        <v>-1</v>
      </c>
      <c r="AH186" s="176">
        <f t="shared" si="64"/>
        <v>5</v>
      </c>
      <c r="AI186" s="225">
        <f t="shared" si="65"/>
        <v>-0.91676344035811808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44003</v>
      </c>
      <c r="B187" s="617">
        <v>38.515999999999998</v>
      </c>
      <c r="C187" s="390"/>
      <c r="D187" s="393">
        <f t="shared" si="48"/>
        <v>39.191683456964164</v>
      </c>
      <c r="E187" s="385">
        <f t="shared" si="72"/>
        <v>43.398049823870345</v>
      </c>
      <c r="F187" s="385">
        <f t="shared" si="49"/>
        <v>43.398049823870345</v>
      </c>
      <c r="G187" s="110">
        <f t="shared" si="73"/>
        <v>1.009178536631238</v>
      </c>
      <c r="H187" s="414" t="b">
        <f>Wh_hp&gt;='2019'!Maxi_hp</f>
        <v>1</v>
      </c>
      <c r="I187" s="380">
        <f>IF(H187,Wh_hp,'2019'!Maxi_hp)</f>
        <v>43.398049823870345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1.7240480565376193E-2</v>
      </c>
      <c r="M187" s="850"/>
      <c r="N187" s="850"/>
      <c r="O187" s="48">
        <f>IF(t&lt;Tnet,'2019'!Resal+('2019'!Salim-'2019'!Resal)*(1-EXP(('2019'!Tnet-t)/('2019'!Tau_j))),Resal+(Salim-Resal)*(1-EXP((Tnet-t)/(Tau_j))))*Salcycl</f>
        <v>9.6925239359316642E-2</v>
      </c>
      <c r="P187" s="169">
        <f>(INDEX(Models!$BJ187:$BT187,,T187)*(1-R187)+INDEX(Models!$BJ187:$BT187,,T187+1)*R187-ERP_i)*Q187*Ramure*Pc/MaxiM</f>
        <v>0</v>
      </c>
      <c r="Q187" s="305">
        <f t="shared" si="51"/>
        <v>0.7</v>
      </c>
      <c r="R187" s="177">
        <f t="shared" si="52"/>
        <v>8.6157797608254261E-2</v>
      </c>
      <c r="S187" s="817">
        <f t="shared" si="53"/>
        <v>-1</v>
      </c>
      <c r="T187" s="176">
        <f t="shared" si="54"/>
        <v>5</v>
      </c>
      <c r="U187" s="251">
        <f t="shared" si="55"/>
        <v>-0.91384220239174574</v>
      </c>
      <c r="V187" s="383">
        <f t="shared" si="56"/>
        <v>38.165694772474197</v>
      </c>
      <c r="W187" s="402"/>
      <c r="X187" s="157">
        <f t="shared" si="57"/>
        <v>44003</v>
      </c>
      <c r="Y187" s="385">
        <f t="shared" si="58"/>
        <v>38.515999999999998</v>
      </c>
      <c r="Z187" s="385">
        <f t="shared" si="59"/>
        <v>39.191683456964164</v>
      </c>
      <c r="AA187" s="386">
        <f t="shared" si="60"/>
        <v>43.398049823870345</v>
      </c>
      <c r="AB187" s="197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9.6925239359316642E-2</v>
      </c>
      <c r="AD187" s="231">
        <f>(INDEX(Models!$BJ187:$BT187,,AH187)*(1-AF187)+INDEX(Models!$BJ187:$BT187,,AH187+1)*AF187-ERP_i)*AE187*Ramure*Pc/MaxiM</f>
        <v>0</v>
      </c>
      <c r="AE187" s="305">
        <f t="shared" si="62"/>
        <v>0.7</v>
      </c>
      <c r="AF187" s="177">
        <f t="shared" si="63"/>
        <v>8.6157797608254261E-2</v>
      </c>
      <c r="AG187" s="817">
        <f t="shared" si="71"/>
        <v>-1</v>
      </c>
      <c r="AH187" s="176">
        <f t="shared" si="64"/>
        <v>5</v>
      </c>
      <c r="AI187" s="225">
        <f t="shared" si="65"/>
        <v>-0.91384220239174574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68"/>
        <v>44004</v>
      </c>
      <c r="B188" s="617">
        <v>33.048000000000002</v>
      </c>
      <c r="C188" s="390"/>
      <c r="D188" s="393">
        <f t="shared" si="48"/>
        <v>33.628495271032754</v>
      </c>
      <c r="E188" s="385">
        <f t="shared" si="72"/>
        <v>37.242109017603489</v>
      </c>
      <c r="F188" s="385">
        <f t="shared" si="49"/>
        <v>37.242109017603489</v>
      </c>
      <c r="G188" s="110">
        <f t="shared" si="73"/>
        <v>0.8668419983176755</v>
      </c>
      <c r="H188" s="414" t="b">
        <f>Wh_hp&gt;='2019'!Maxi_hp</f>
        <v>0</v>
      </c>
      <c r="I188" s="380">
        <f>IF(H188,Wh_hp,'2019'!Maxi_hp)</f>
        <v>43.321618231322205</v>
      </c>
      <c r="J188" s="85">
        <f>IF(H188,An,'2019'!An_max)</f>
        <v>2018</v>
      </c>
      <c r="K188" s="197">
        <f t="shared" si="50"/>
        <v>44004</v>
      </c>
      <c r="L188" s="147">
        <f>IF(t&lt;Tvie,1-EXP((T0-t)*PertePVj)+'2019'!Pspv,1-EXP((T0-t)*PertePVj)+Pspv)</f>
        <v>1.7262005521037627E-2</v>
      </c>
      <c r="M188" s="850"/>
      <c r="N188" s="850"/>
      <c r="O188" s="48">
        <f>IF(t&lt;Tnet,'2019'!Resal+('2019'!Salim-'2019'!Resal)*(1-EXP(('2019'!Tnet-t)/('2019'!Tau_j))),Resal+(Salim-Resal)*(1-EXP((Tnet-t)/(Tau_j))))*Salcycl</f>
        <v>9.7030319761500686E-2</v>
      </c>
      <c r="P188" s="169">
        <f>(INDEX(Models!$BJ188:$BT188,,T188)*(1-R188)+INDEX(Models!$BJ188:$BT188,,T188+1)*R188-ERP_i)*Q188*Ramure*Pc/MaxiM</f>
        <v>0</v>
      </c>
      <c r="Q188" s="305">
        <f t="shared" si="51"/>
        <v>0.7</v>
      </c>
      <c r="R188" s="177">
        <f t="shared" si="52"/>
        <v>8.9050167103354894E-2</v>
      </c>
      <c r="S188" s="817">
        <f t="shared" si="53"/>
        <v>-1</v>
      </c>
      <c r="T188" s="176">
        <f t="shared" si="54"/>
        <v>5</v>
      </c>
      <c r="U188" s="251">
        <f t="shared" si="55"/>
        <v>-0.91094983289664511</v>
      </c>
      <c r="V188" s="383">
        <f t="shared" si="56"/>
        <v>38.124594867505202</v>
      </c>
      <c r="W188" s="402"/>
      <c r="X188" s="157">
        <f t="shared" si="57"/>
        <v>44004</v>
      </c>
      <c r="Y188" s="385">
        <f t="shared" si="58"/>
        <v>33.048000000000002</v>
      </c>
      <c r="Z188" s="385">
        <f t="shared" si="59"/>
        <v>33.628495271032754</v>
      </c>
      <c r="AA188" s="386">
        <f t="shared" si="60"/>
        <v>37.242109017603489</v>
      </c>
      <c r="AB188" s="197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9.7030319761500686E-2</v>
      </c>
      <c r="AD188" s="231">
        <f>(INDEX(Models!$BJ188:$BT188,,AH188)*(1-AF188)+INDEX(Models!$BJ188:$BT188,,AH188+1)*AF188-ERP_i)*AE188*Ramure*Pc/MaxiM</f>
        <v>0</v>
      </c>
      <c r="AE188" s="305">
        <f t="shared" si="62"/>
        <v>0.7</v>
      </c>
      <c r="AF188" s="177">
        <f t="shared" si="63"/>
        <v>8.9050167103354894E-2</v>
      </c>
      <c r="AG188" s="817">
        <f t="shared" si="71"/>
        <v>-1</v>
      </c>
      <c r="AH188" s="176">
        <f t="shared" si="64"/>
        <v>5</v>
      </c>
      <c r="AI188" s="225">
        <f t="shared" si="65"/>
        <v>-0.91094983289664511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44005</v>
      </c>
      <c r="B189" s="617">
        <v>37.892000000000003</v>
      </c>
      <c r="C189" s="390"/>
      <c r="D189" s="393">
        <f t="shared" si="48"/>
        <v>38.558425707673678</v>
      </c>
      <c r="E189" s="385">
        <f t="shared" si="72"/>
        <v>42.706685617077156</v>
      </c>
      <c r="F189" s="385">
        <f t="shared" si="49"/>
        <v>42.706685617077156</v>
      </c>
      <c r="G189" s="110">
        <f t="shared" si="73"/>
        <v>0.9949861493966291</v>
      </c>
      <c r="H189" s="414" t="b">
        <f>Wh_hp&gt;='2019'!Maxi_hp</f>
        <v>1</v>
      </c>
      <c r="I189" s="380">
        <f>IF(H189,Wh_hp,'2019'!Maxi_hp)</f>
        <v>42.706685617077156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1.7283530005247294E-2</v>
      </c>
      <c r="M189" s="850"/>
      <c r="N189" s="850"/>
      <c r="O189" s="48">
        <f>IF(t&lt;Tnet,'2019'!Resal+('2019'!Salim-'2019'!Resal)*(1-EXP(('2019'!Tnet-t)/('2019'!Tau_j))),Resal+(Salim-Resal)*(1-EXP((Tnet-t)/(Tau_j))))*Salcycl</f>
        <v>9.7133735607539351E-2</v>
      </c>
      <c r="P189" s="169">
        <f>(INDEX(Models!$BJ189:$BT189,,T189)*(1-R189)+INDEX(Models!$BJ189:$BT189,,T189+1)*R189-ERP_i)*Q189*Ramure*Pc/MaxiM</f>
        <v>0</v>
      </c>
      <c r="Q189" s="305">
        <f t="shared" si="51"/>
        <v>0.7</v>
      </c>
      <c r="R189" s="177">
        <f t="shared" si="52"/>
        <v>9.1911689122287532E-2</v>
      </c>
      <c r="S189" s="817">
        <f t="shared" si="53"/>
        <v>-1</v>
      </c>
      <c r="T189" s="176">
        <f t="shared" si="54"/>
        <v>5</v>
      </c>
      <c r="U189" s="251">
        <f t="shared" si="55"/>
        <v>-0.90808831087771247</v>
      </c>
      <c r="V189" s="383">
        <f t="shared" si="56"/>
        <v>38.082942182640572</v>
      </c>
      <c r="W189" s="402"/>
      <c r="X189" s="157">
        <f t="shared" si="57"/>
        <v>44005</v>
      </c>
      <c r="Y189" s="385">
        <f t="shared" si="58"/>
        <v>37.892000000000003</v>
      </c>
      <c r="Z189" s="385">
        <f t="shared" si="59"/>
        <v>38.558425707673678</v>
      </c>
      <c r="AA189" s="386">
        <f t="shared" si="60"/>
        <v>42.706685617077156</v>
      </c>
      <c r="AB189" s="197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9.7133735607539351E-2</v>
      </c>
      <c r="AD189" s="231">
        <f>(INDEX(Models!$BJ189:$BT189,,AH189)*(1-AF189)+INDEX(Models!$BJ189:$BT189,,AH189+1)*AF189-ERP_i)*AE189*Ramure*Pc/MaxiM</f>
        <v>0</v>
      </c>
      <c r="AE189" s="305">
        <f t="shared" si="62"/>
        <v>0.7</v>
      </c>
      <c r="AF189" s="177">
        <f t="shared" si="63"/>
        <v>9.1911689122287532E-2</v>
      </c>
      <c r="AG189" s="817">
        <f t="shared" si="71"/>
        <v>-1</v>
      </c>
      <c r="AH189" s="176">
        <f t="shared" si="64"/>
        <v>5</v>
      </c>
      <c r="AI189" s="225">
        <f t="shared" si="65"/>
        <v>-0.90808831087771247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44006</v>
      </c>
      <c r="B190" s="617">
        <v>34.58</v>
      </c>
      <c r="C190" s="390"/>
      <c r="D190" s="393">
        <f t="shared" si="48"/>
        <v>35.188946622133074</v>
      </c>
      <c r="E190" s="385">
        <f t="shared" si="72"/>
        <v>38.979098166483183</v>
      </c>
      <c r="F190" s="385">
        <f t="shared" si="49"/>
        <v>38.979098166483183</v>
      </c>
      <c r="G190" s="110">
        <f t="shared" si="73"/>
        <v>0.90902323605590218</v>
      </c>
      <c r="H190" s="414" t="b">
        <f>Wh_hp&gt;='2019'!Maxi_hp</f>
        <v>0</v>
      </c>
      <c r="I190" s="380">
        <f>IF(H190,Wh_hp,'2019'!Maxi_hp)</f>
        <v>42.181442408546353</v>
      </c>
      <c r="J190" s="85">
        <f>IF(H190,An,'2019'!An_max)</f>
        <v>2018</v>
      </c>
      <c r="K190" s="197">
        <f t="shared" si="50"/>
        <v>44006</v>
      </c>
      <c r="L190" s="147">
        <f>IF(t&lt;Tvie,1-EXP((T0-t)*PertePVj)+'2019'!Pspv,1-EXP((T0-t)*PertePVj)+Pspv)</f>
        <v>1.730505401801552E-2</v>
      </c>
      <c r="M190" s="850"/>
      <c r="N190" s="850"/>
      <c r="O190" s="48">
        <f>IF(t&lt;Tnet,'2019'!Resal+('2019'!Salim-'2019'!Resal)*(1-EXP(('2019'!Tnet-t)/('2019'!Tau_j))),Resal+(Salim-Resal)*(1-EXP((Tnet-t)/(Tau_j))))*Salcycl</f>
        <v>9.7235485750902628E-2</v>
      </c>
      <c r="P190" s="169">
        <f>(INDEX(Models!$BJ190:$BT190,,T190)*(1-R190)+INDEX(Models!$BJ190:$BT190,,T190+1)*R190-ERP_i)*Q190*Ramure*Pc/MaxiM</f>
        <v>0</v>
      </c>
      <c r="Q190" s="305">
        <f t="shared" si="51"/>
        <v>0.7</v>
      </c>
      <c r="R190" s="177">
        <f t="shared" si="52"/>
        <v>9.474047814013109E-2</v>
      </c>
      <c r="S190" s="817">
        <f t="shared" si="53"/>
        <v>-1</v>
      </c>
      <c r="T190" s="176">
        <f t="shared" si="54"/>
        <v>5</v>
      </c>
      <c r="U190" s="251">
        <f t="shared" si="55"/>
        <v>-0.90525952185986891</v>
      </c>
      <c r="V190" s="383">
        <f t="shared" si="56"/>
        <v>38.040831772394249</v>
      </c>
      <c r="W190" s="402"/>
      <c r="X190" s="157">
        <f t="shared" si="57"/>
        <v>44006</v>
      </c>
      <c r="Y190" s="385">
        <f t="shared" si="58"/>
        <v>34.58</v>
      </c>
      <c r="Z190" s="385">
        <f t="shared" si="59"/>
        <v>35.188946622133074</v>
      </c>
      <c r="AA190" s="386">
        <f t="shared" si="60"/>
        <v>38.979098166483183</v>
      </c>
      <c r="AB190" s="197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9.7235485750902628E-2</v>
      </c>
      <c r="AD190" s="231">
        <f>(INDEX(Models!$BJ190:$BT190,,AH190)*(1-AF190)+INDEX(Models!$BJ190:$BT190,,AH190+1)*AF190-ERP_i)*AE190*Ramure*Pc/MaxiM</f>
        <v>0</v>
      </c>
      <c r="AE190" s="305">
        <f t="shared" si="62"/>
        <v>0.7</v>
      </c>
      <c r="AF190" s="177">
        <f t="shared" si="63"/>
        <v>9.474047814013109E-2</v>
      </c>
      <c r="AG190" s="817">
        <f t="shared" si="71"/>
        <v>-1</v>
      </c>
      <c r="AH190" s="176">
        <f t="shared" si="64"/>
        <v>5</v>
      </c>
      <c r="AI190" s="225">
        <f t="shared" si="65"/>
        <v>-0.90525952185986891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44007</v>
      </c>
      <c r="B191" s="617">
        <v>30.565999999999999</v>
      </c>
      <c r="C191" s="390"/>
      <c r="D191" s="393">
        <f t="shared" si="48"/>
        <v>31.104942193393004</v>
      </c>
      <c r="E191" s="385">
        <f t="shared" si="72"/>
        <v>34.459031820423306</v>
      </c>
      <c r="F191" s="385">
        <f t="shared" si="49"/>
        <v>34.459031820423306</v>
      </c>
      <c r="G191" s="110">
        <f t="shared" si="73"/>
        <v>0.80439513101410698</v>
      </c>
      <c r="H191" s="414" t="b">
        <f>Wh_hp&gt;='2019'!Maxi_hp</f>
        <v>0</v>
      </c>
      <c r="I191" s="380">
        <f>IF(H191,Wh_hp,'2019'!Maxi_hp)</f>
        <v>41.033603666370098</v>
      </c>
      <c r="J191" s="85">
        <f>IF(H191,An,'2019'!An_max)</f>
        <v>2018</v>
      </c>
      <c r="K191" s="197">
        <f t="shared" si="50"/>
        <v>44007</v>
      </c>
      <c r="L191" s="147">
        <f>IF(t&lt;Tvie,1-EXP((T0-t)*PertePVj)+'2019'!Pspv,1-EXP((T0-t)*PertePVj)+Pspv)</f>
        <v>1.7326577559352629E-2</v>
      </c>
      <c r="M191" s="850"/>
      <c r="N191" s="850"/>
      <c r="O191" s="48">
        <f>IF(t&lt;Tnet,'2019'!Resal+('2019'!Salim-'2019'!Resal)*(1-EXP(('2019'!Tnet-t)/('2019'!Tau_j))),Resal+(Salim-Resal)*(1-EXP((Tnet-t)/(Tau_j))))*Salcycl</f>
        <v>9.7335573573555531E-2</v>
      </c>
      <c r="P191" s="169">
        <f>(INDEX(Models!$BJ191:$BT191,,T191)*(1-R191)+INDEX(Models!$BJ191:$BT191,,T191+1)*R191-ERP_i)*Q191*Ramure*Pc/MaxiM</f>
        <v>0</v>
      </c>
      <c r="Q191" s="305">
        <f t="shared" si="51"/>
        <v>0.7</v>
      </c>
      <c r="R191" s="177">
        <f t="shared" si="52"/>
        <v>9.7534746120770732E-2</v>
      </c>
      <c r="S191" s="817">
        <f t="shared" si="53"/>
        <v>-1</v>
      </c>
      <c r="T191" s="176">
        <f t="shared" si="54"/>
        <v>5</v>
      </c>
      <c r="U191" s="251">
        <f t="shared" si="55"/>
        <v>-0.90246525387922927</v>
      </c>
      <c r="V191" s="383">
        <f t="shared" si="56"/>
        <v>37.998738209000855</v>
      </c>
      <c r="W191" s="402"/>
      <c r="X191" s="157">
        <f t="shared" si="57"/>
        <v>44007</v>
      </c>
      <c r="Y191" s="385">
        <f t="shared" si="58"/>
        <v>30.565999999999999</v>
      </c>
      <c r="Z191" s="385">
        <f t="shared" si="59"/>
        <v>31.104942193393004</v>
      </c>
      <c r="AA191" s="386">
        <f t="shared" si="60"/>
        <v>34.459031820423306</v>
      </c>
      <c r="AB191" s="197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9.7335573573555531E-2</v>
      </c>
      <c r="AD191" s="231">
        <f>(INDEX(Models!$BJ191:$BT191,,AH191)*(1-AF191)+INDEX(Models!$BJ191:$BT191,,AH191+1)*AF191-ERP_i)*AE191*Ramure*Pc/MaxiM</f>
        <v>0</v>
      </c>
      <c r="AE191" s="305">
        <f t="shared" si="62"/>
        <v>0.7</v>
      </c>
      <c r="AF191" s="177">
        <f t="shared" si="63"/>
        <v>9.7534746120770732E-2</v>
      </c>
      <c r="AG191" s="817">
        <f t="shared" si="71"/>
        <v>-1</v>
      </c>
      <c r="AH191" s="176">
        <f t="shared" si="64"/>
        <v>5</v>
      </c>
      <c r="AI191" s="225">
        <f t="shared" si="65"/>
        <v>-0.90246525387922927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68"/>
        <v>44008</v>
      </c>
      <c r="B192" s="617">
        <v>30.768000000000001</v>
      </c>
      <c r="C192" s="390"/>
      <c r="D192" s="393">
        <f t="shared" si="48"/>
        <v>31.311189669203468</v>
      </c>
      <c r="E192" s="385">
        <f t="shared" si="72"/>
        <v>34.691302251328501</v>
      </c>
      <c r="F192" s="385">
        <f t="shared" si="49"/>
        <v>34.691302251328501</v>
      </c>
      <c r="G192" s="110">
        <f t="shared" si="73"/>
        <v>0.810603979824709</v>
      </c>
      <c r="H192" s="414" t="b">
        <f>Wh_hp&gt;='2019'!Maxi_hp</f>
        <v>0</v>
      </c>
      <c r="I192" s="380">
        <f>IF(H192,Wh_hp,'2019'!Maxi_hp)</f>
        <v>40.70663915680317</v>
      </c>
      <c r="J192" s="85">
        <f>IF(H192,An,'2019'!An_max)</f>
        <v>2019</v>
      </c>
      <c r="K192" s="197">
        <f t="shared" si="50"/>
        <v>44008</v>
      </c>
      <c r="L192" s="147">
        <f>IF(t&lt;Tvie,1-EXP((T0-t)*PertePVj)+'2019'!Pspv,1-EXP((T0-t)*PertePVj)+Pspv)</f>
        <v>1.7348100629268948E-2</v>
      </c>
      <c r="M192" s="850"/>
      <c r="N192" s="850"/>
      <c r="O192" s="48">
        <f>IF(t&lt;Tnet,'2019'!Resal+('2019'!Salim-'2019'!Resal)*(1-EXP(('2019'!Tnet-t)/('2019'!Tau_j))),Resal+(Salim-Resal)*(1-EXP((Tnet-t)/(Tau_j))))*Salcycl</f>
        <v>9.7434006876913629E-2</v>
      </c>
      <c r="P192" s="169">
        <f>(INDEX(Models!$BJ192:$BT192,,T192)*(1-R192)+INDEX(Models!$BJ192:$BT192,,T192+1)*R192-ERP_i)*Q192*Ramure*Pc/MaxiM</f>
        <v>0</v>
      </c>
      <c r="Q192" s="305">
        <f t="shared" si="51"/>
        <v>0.7</v>
      </c>
      <c r="R192" s="177">
        <f t="shared" si="52"/>
        <v>0.10029280594007572</v>
      </c>
      <c r="S192" s="817">
        <f t="shared" si="53"/>
        <v>-1</v>
      </c>
      <c r="T192" s="176">
        <f t="shared" si="54"/>
        <v>5</v>
      </c>
      <c r="U192" s="251">
        <f t="shared" si="55"/>
        <v>-0.89970719405992428</v>
      </c>
      <c r="V192" s="383">
        <f t="shared" si="56"/>
        <v>37.956882479966978</v>
      </c>
      <c r="W192" s="402"/>
      <c r="X192" s="157">
        <f t="shared" si="57"/>
        <v>44008</v>
      </c>
      <c r="Y192" s="385">
        <f t="shared" si="58"/>
        <v>30.768000000000004</v>
      </c>
      <c r="Z192" s="385">
        <f t="shared" si="59"/>
        <v>31.311189669203472</v>
      </c>
      <c r="AA192" s="386">
        <f t="shared" si="60"/>
        <v>34.691302251328501</v>
      </c>
      <c r="AB192" s="197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9.7434006876913629E-2</v>
      </c>
      <c r="AD192" s="231">
        <f>(INDEX(Models!$BJ192:$BT192,,AH192)*(1-AF192)+INDEX(Models!$BJ192:$BT192,,AH192+1)*AF192-ERP_i)*AE192*Ramure*Pc/MaxiM</f>
        <v>0</v>
      </c>
      <c r="AE192" s="305">
        <f t="shared" si="62"/>
        <v>0.7</v>
      </c>
      <c r="AF192" s="177">
        <f t="shared" si="63"/>
        <v>0.10029280594007572</v>
      </c>
      <c r="AG192" s="817">
        <f t="shared" si="71"/>
        <v>-1</v>
      </c>
      <c r="AH192" s="176">
        <f t="shared" si="64"/>
        <v>5</v>
      </c>
      <c r="AI192" s="225">
        <f t="shared" si="65"/>
        <v>-0.89970719405992428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44009</v>
      </c>
      <c r="B193" s="617">
        <v>27.158000000000001</v>
      </c>
      <c r="C193" s="390"/>
      <c r="D193" s="393">
        <f t="shared" si="48"/>
        <v>27.638062736478229</v>
      </c>
      <c r="E193" s="385">
        <f t="shared" si="72"/>
        <v>30.624937302609666</v>
      </c>
      <c r="F193" s="385">
        <f t="shared" si="49"/>
        <v>30.624937302609666</v>
      </c>
      <c r="G193" s="110">
        <f t="shared" si="73"/>
        <v>0.7162868258157703</v>
      </c>
      <c r="H193" s="414" t="b">
        <f>Wh_hp&gt;='2019'!Maxi_hp</f>
        <v>0</v>
      </c>
      <c r="I193" s="380">
        <f>IF(H193,Wh_hp,'2019'!Maxi_hp)</f>
        <v>39.708225678666537</v>
      </c>
      <c r="J193" s="85">
        <f>IF(H193,An,'2019'!An_max)</f>
        <v>2019</v>
      </c>
      <c r="K193" s="197">
        <f t="shared" si="50"/>
        <v>44009</v>
      </c>
      <c r="L193" s="147">
        <f>IF(t&lt;Tvie,1-EXP((T0-t)*PertePVj)+'2019'!Pspv,1-EXP((T0-t)*PertePVj)+Pspv)</f>
        <v>1.73696232277748E-2</v>
      </c>
      <c r="M193" s="850"/>
      <c r="N193" s="850"/>
      <c r="O193" s="48">
        <f>IF(t&lt;Tnet,'2019'!Resal+('2019'!Salim-'2019'!Resal)*(1-EXP(('2019'!Tnet-t)/('2019'!Tau_j))),Resal+(Salim-Resal)*(1-EXP((Tnet-t)/(Tau_j))))*Salcycl</f>
        <v>9.7530797748830486E-2</v>
      </c>
      <c r="P193" s="169">
        <f>(INDEX(Models!$BJ193:$BT193,,T193)*(1-R193)+INDEX(Models!$BJ193:$BT193,,T193+1)*R193-ERP_i)*Q193*Ramure*Pc/MaxiM</f>
        <v>0</v>
      </c>
      <c r="Q193" s="305">
        <f t="shared" si="51"/>
        <v>0.7</v>
      </c>
      <c r="R193" s="177">
        <f t="shared" si="52"/>
        <v>0.10301307421945594</v>
      </c>
      <c r="S193" s="817">
        <f t="shared" si="53"/>
        <v>-1</v>
      </c>
      <c r="T193" s="176">
        <f t="shared" si="54"/>
        <v>5</v>
      </c>
      <c r="U193" s="251">
        <f t="shared" si="55"/>
        <v>-0.89698692578054406</v>
      </c>
      <c r="V193" s="383">
        <f t="shared" si="56"/>
        <v>37.914979057544564</v>
      </c>
      <c r="W193" s="402"/>
      <c r="X193" s="157">
        <f t="shared" si="57"/>
        <v>44009</v>
      </c>
      <c r="Y193" s="385">
        <f t="shared" si="58"/>
        <v>27.158000000000001</v>
      </c>
      <c r="Z193" s="385">
        <f t="shared" si="59"/>
        <v>27.638062736478229</v>
      </c>
      <c r="AA193" s="386">
        <f t="shared" si="60"/>
        <v>30.624937302609666</v>
      </c>
      <c r="AB193" s="197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9.7530797748830486E-2</v>
      </c>
      <c r="AD193" s="231">
        <f>(INDEX(Models!$BJ193:$BT193,,AH193)*(1-AF193)+INDEX(Models!$BJ193:$BT193,,AH193+1)*AF193-ERP_i)*AE193*Ramure*Pc/MaxiM</f>
        <v>0</v>
      </c>
      <c r="AE193" s="305">
        <f t="shared" si="62"/>
        <v>0.7</v>
      </c>
      <c r="AF193" s="177">
        <f t="shared" si="63"/>
        <v>0.10301307421945594</v>
      </c>
      <c r="AG193" s="817">
        <f t="shared" si="71"/>
        <v>-1</v>
      </c>
      <c r="AH193" s="176">
        <f t="shared" si="64"/>
        <v>5</v>
      </c>
      <c r="AI193" s="225">
        <f t="shared" si="65"/>
        <v>-0.89698692578054406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68"/>
        <v>44010</v>
      </c>
      <c r="B194" s="617">
        <v>32.619</v>
      </c>
      <c r="C194" s="390"/>
      <c r="D194" s="393">
        <f t="shared" si="48"/>
        <v>33.196322062231694</v>
      </c>
      <c r="E194" s="385">
        <f t="shared" si="72"/>
        <v>36.787762811531991</v>
      </c>
      <c r="F194" s="385">
        <f t="shared" si="49"/>
        <v>36.787762811531991</v>
      </c>
      <c r="G194" s="110">
        <f t="shared" si="73"/>
        <v>0.8612790609364247</v>
      </c>
      <c r="H194" s="414" t="b">
        <f>Wh_hp&gt;='2019'!Maxi_hp</f>
        <v>0</v>
      </c>
      <c r="I194" s="380">
        <f>IF(H194,Wh_hp,'2019'!Maxi_hp)</f>
        <v>39.066110780082134</v>
      </c>
      <c r="J194" s="85">
        <f>IF(H194,An,'2019'!An_max)</f>
        <v>2019</v>
      </c>
      <c r="K194" s="197">
        <f t="shared" si="50"/>
        <v>44010</v>
      </c>
      <c r="L194" s="147">
        <f>IF(t&lt;Tvie,1-EXP((T0-t)*PertePVj)+'2019'!Pspv,1-EXP((T0-t)*PertePVj)+Pspv)</f>
        <v>1.73911453548804E-2</v>
      </c>
      <c r="M194" s="850"/>
      <c r="N194" s="850"/>
      <c r="O194" s="48">
        <f>IF(t&lt;Tnet,'2019'!Resal+('2019'!Salim-'2019'!Resal)*(1-EXP(('2019'!Tnet-t)/('2019'!Tau_j))),Resal+(Salim-Resal)*(1-EXP((Tnet-t)/(Tau_j))))*Salcycl</f>
        <v>9.7625962407653533E-2</v>
      </c>
      <c r="P194" s="169">
        <f>(INDEX(Models!$BJ194:$BT194,,T194)*(1-R194)+INDEX(Models!$BJ194:$BT194,,T194+1)*R194-ERP_i)*Q194*Ramure*Pc/MaxiM</f>
        <v>0</v>
      </c>
      <c r="Q194" s="305">
        <f t="shared" si="51"/>
        <v>0.7</v>
      </c>
      <c r="R194" s="177">
        <f t="shared" si="52"/>
        <v>0.10569407357130522</v>
      </c>
      <c r="S194" s="817">
        <f t="shared" si="53"/>
        <v>-1</v>
      </c>
      <c r="T194" s="176">
        <f t="shared" si="54"/>
        <v>5</v>
      </c>
      <c r="U194" s="251">
        <f t="shared" si="55"/>
        <v>-0.89430592642869478</v>
      </c>
      <c r="V194" s="383">
        <f t="shared" si="56"/>
        <v>37.872742389133471</v>
      </c>
      <c r="W194" s="402"/>
      <c r="X194" s="157">
        <f t="shared" si="57"/>
        <v>44010</v>
      </c>
      <c r="Y194" s="385">
        <f t="shared" si="58"/>
        <v>32.619</v>
      </c>
      <c r="Z194" s="385">
        <f t="shared" si="59"/>
        <v>33.196322062231694</v>
      </c>
      <c r="AA194" s="386">
        <f t="shared" si="60"/>
        <v>36.787762811531991</v>
      </c>
      <c r="AB194" s="197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9.7625962407653533E-2</v>
      </c>
      <c r="AD194" s="231">
        <f>(INDEX(Models!$BJ194:$BT194,,AH194)*(1-AF194)+INDEX(Models!$BJ194:$BT194,,AH194+1)*AF194-ERP_i)*AE194*Ramure*Pc/MaxiM</f>
        <v>0</v>
      </c>
      <c r="AE194" s="305">
        <f t="shared" si="62"/>
        <v>0.7</v>
      </c>
      <c r="AF194" s="177">
        <f t="shared" si="63"/>
        <v>0.10569407357130522</v>
      </c>
      <c r="AG194" s="817">
        <f t="shared" si="71"/>
        <v>-1</v>
      </c>
      <c r="AH194" s="176">
        <f t="shared" si="64"/>
        <v>5</v>
      </c>
      <c r="AI194" s="225">
        <f t="shared" si="65"/>
        <v>-0.89430592642869478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68"/>
        <v>44011</v>
      </c>
      <c r="B195" s="617">
        <v>15.917999999999999</v>
      </c>
      <c r="C195" s="390"/>
      <c r="D195" s="393">
        <f t="shared" si="48"/>
        <v>16.200086715520136</v>
      </c>
      <c r="E195" s="385">
        <f t="shared" si="72"/>
        <v>17.954601803993125</v>
      </c>
      <c r="F195" s="385">
        <f t="shared" si="49"/>
        <v>17.954601803993125</v>
      </c>
      <c r="G195" s="110">
        <f t="shared" si="73"/>
        <v>0.42077841896708212</v>
      </c>
      <c r="H195" s="414" t="b">
        <f>Wh_hp&gt;='2019'!Maxi_hp</f>
        <v>0</v>
      </c>
      <c r="I195" s="380">
        <f>IF(H195,Wh_hp,'2019'!Maxi_hp)</f>
        <v>39.940934900012763</v>
      </c>
      <c r="J195" s="85">
        <f>IF(H195,An,'2019'!An_max)</f>
        <v>2018</v>
      </c>
      <c r="K195" s="197">
        <f t="shared" si="50"/>
        <v>44011</v>
      </c>
      <c r="L195" s="147">
        <f>IF(t&lt;Tvie,1-EXP((T0-t)*PertePVj)+'2019'!Pspv,1-EXP((T0-t)*PertePVj)+Pspv)</f>
        <v>1.7412667010596294E-2</v>
      </c>
      <c r="M195" s="850"/>
      <c r="N195" s="850"/>
      <c r="O195" s="48">
        <f>IF(t&lt;Tnet,'2019'!Resal+('2019'!Salim-'2019'!Resal)*(1-EXP(('2019'!Tnet-t)/('2019'!Tau_j))),Resal+(Salim-Resal)*(1-EXP((Tnet-t)/(Tau_j))))*Salcycl</f>
        <v>9.771952102456434E-2</v>
      </c>
      <c r="P195" s="169">
        <f>(INDEX(Models!$BJ195:$BT195,,T195)*(1-R195)+INDEX(Models!$BJ195:$BT195,,T195+1)*R195-ERP_i)*Q195*Ramure*Pc/MaxiM</f>
        <v>0</v>
      </c>
      <c r="Q195" s="305">
        <f t="shared" si="51"/>
        <v>0.7</v>
      </c>
      <c r="R195" s="177">
        <f t="shared" si="52"/>
        <v>0.10833443426304523</v>
      </c>
      <c r="S195" s="817">
        <f t="shared" si="53"/>
        <v>-1</v>
      </c>
      <c r="T195" s="176">
        <f t="shared" si="54"/>
        <v>5</v>
      </c>
      <c r="U195" s="251">
        <f t="shared" si="55"/>
        <v>-0.89166556573695477</v>
      </c>
      <c r="V195" s="383">
        <f t="shared" si="56"/>
        <v>37.829886901222658</v>
      </c>
      <c r="W195" s="402"/>
      <c r="X195" s="157">
        <f t="shared" si="57"/>
        <v>44011</v>
      </c>
      <c r="Y195" s="385">
        <f t="shared" si="58"/>
        <v>15.917999999999999</v>
      </c>
      <c r="Z195" s="385">
        <f t="shared" si="59"/>
        <v>16.200086715520136</v>
      </c>
      <c r="AA195" s="386">
        <f t="shared" si="60"/>
        <v>17.954601803993125</v>
      </c>
      <c r="AB195" s="197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9.771952102456434E-2</v>
      </c>
      <c r="AD195" s="231">
        <f>(INDEX(Models!$BJ195:$BT195,,AH195)*(1-AF195)+INDEX(Models!$BJ195:$BT195,,AH195+1)*AF195-ERP_i)*AE195*Ramure*Pc/MaxiM</f>
        <v>0</v>
      </c>
      <c r="AE195" s="305">
        <f t="shared" si="62"/>
        <v>0.7</v>
      </c>
      <c r="AF195" s="177">
        <f t="shared" si="63"/>
        <v>0.10833443426304523</v>
      </c>
      <c r="AG195" s="817">
        <f t="shared" si="71"/>
        <v>-1</v>
      </c>
      <c r="AH195" s="176">
        <f t="shared" si="64"/>
        <v>5</v>
      </c>
      <c r="AI195" s="225">
        <f t="shared" si="65"/>
        <v>-0.89166556573695477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68"/>
        <v>44012</v>
      </c>
      <c r="B196" s="617">
        <v>36.68</v>
      </c>
      <c r="C196" s="390"/>
      <c r="D196" s="393">
        <f t="shared" si="48"/>
        <v>37.330832763879023</v>
      </c>
      <c r="E196" s="385">
        <f t="shared" si="72"/>
        <v>41.378085246589393</v>
      </c>
      <c r="F196" s="385">
        <f t="shared" si="49"/>
        <v>41.378085246589393</v>
      </c>
      <c r="G196" s="110">
        <f t="shared" si="73"/>
        <v>0.97072663725825659</v>
      </c>
      <c r="H196" s="414" t="b">
        <f>Wh_hp&gt;='2019'!Maxi_hp</f>
        <v>1</v>
      </c>
      <c r="I196" s="380">
        <f>IF(H196,Wh_hp,'2019'!Maxi_hp)</f>
        <v>41.378085246589393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1.7434188194932698E-2</v>
      </c>
      <c r="M196" s="850"/>
      <c r="N196" s="850"/>
      <c r="O196" s="48">
        <f>IF(t&lt;Tnet,'2019'!Resal+('2019'!Salim-'2019'!Resal)*(1-EXP(('2019'!Tnet-t)/('2019'!Tau_j))),Resal+(Salim-Resal)*(1-EXP((Tnet-t)/(Tau_j))))*Salcycl</f>
        <v>9.7811497525588487E-2</v>
      </c>
      <c r="P196" s="169">
        <f>(INDEX(Models!$BJ196:$BT196,,T196)*(1-R196)+INDEX(Models!$BJ196:$BT196,,T196+1)*R196-ERP_i)*Q196*Ramure*Pc/MaxiM</f>
        <v>0</v>
      </c>
      <c r="Q196" s="305">
        <f t="shared" si="51"/>
        <v>0.7</v>
      </c>
      <c r="R196" s="177">
        <f t="shared" si="52"/>
        <v>0.11093289531137851</v>
      </c>
      <c r="S196" s="817">
        <f t="shared" si="53"/>
        <v>-1</v>
      </c>
      <c r="T196" s="176">
        <f t="shared" si="54"/>
        <v>5</v>
      </c>
      <c r="U196" s="251">
        <f t="shared" si="55"/>
        <v>-0.88906710468862149</v>
      </c>
      <c r="V196" s="383">
        <f t="shared" si="56"/>
        <v>37.786127002345232</v>
      </c>
      <c r="W196" s="402"/>
      <c r="X196" s="157">
        <f t="shared" si="57"/>
        <v>44012</v>
      </c>
      <c r="Y196" s="385">
        <f t="shared" si="58"/>
        <v>36.68</v>
      </c>
      <c r="Z196" s="385">
        <f t="shared" si="59"/>
        <v>37.330832763879023</v>
      </c>
      <c r="AA196" s="386">
        <f t="shared" si="60"/>
        <v>41.378085246589393</v>
      </c>
      <c r="AB196" s="197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9.7811497525588487E-2</v>
      </c>
      <c r="AD196" s="231">
        <f>(INDEX(Models!$BJ196:$BT196,,AH196)*(1-AF196)+INDEX(Models!$BJ196:$BT196,,AH196+1)*AF196-ERP_i)*AE196*Ramure*Pc/MaxiM</f>
        <v>0</v>
      </c>
      <c r="AE196" s="305">
        <f t="shared" si="62"/>
        <v>0.7</v>
      </c>
      <c r="AF196" s="177">
        <f t="shared" si="63"/>
        <v>0.11093289531137851</v>
      </c>
      <c r="AG196" s="817">
        <f t="shared" si="71"/>
        <v>-1</v>
      </c>
      <c r="AH196" s="176">
        <f t="shared" si="64"/>
        <v>5</v>
      </c>
      <c r="AI196" s="225">
        <f t="shared" si="65"/>
        <v>-0.88906710468862149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68"/>
        <v>44013</v>
      </c>
      <c r="B197" s="617">
        <v>28.815999999999999</v>
      </c>
      <c r="C197" s="390"/>
      <c r="D197" s="393">
        <f t="shared" si="48"/>
        <v>29.327939983215366</v>
      </c>
      <c r="E197" s="385">
        <f t="shared" si="72"/>
        <v>32.510810756730727</v>
      </c>
      <c r="F197" s="385">
        <f t="shared" si="49"/>
        <v>32.510810756730727</v>
      </c>
      <c r="G197" s="110">
        <f t="shared" si="73"/>
        <v>0.76351619694933548</v>
      </c>
      <c r="H197" s="414" t="b">
        <f>Wh_hp&gt;='2019'!Maxi_hp</f>
        <v>0</v>
      </c>
      <c r="I197" s="380">
        <f>IF(H197,Wh_hp,'2019'!Maxi_hp)</f>
        <v>32.870177170465055</v>
      </c>
      <c r="J197" s="85">
        <f>IF(H197,An,'2019'!An_max)</f>
        <v>2018</v>
      </c>
      <c r="K197" s="197">
        <f t="shared" si="50"/>
        <v>44013</v>
      </c>
      <c r="L197" s="147">
        <f>IF(t&lt;Tvie,1-EXP((T0-t)*PertePVj)+'2019'!Pspv,1-EXP((T0-t)*PertePVj)+Pspv)</f>
        <v>1.7455708907899936E-2</v>
      </c>
      <c r="M197" s="850"/>
      <c r="N197" s="850"/>
      <c r="O197" s="48">
        <f>IF(t&lt;Tnet,'2019'!Resal+('2019'!Salim-'2019'!Resal)*(1-EXP(('2019'!Tnet-t)/('2019'!Tau_j))),Resal+(Salim-Resal)*(1-EXP((Tnet-t)/(Tau_j))))*Salcycl</f>
        <v>9.7901919374816265E-2</v>
      </c>
      <c r="P197" s="169">
        <f>(INDEX(Models!$BJ197:$BT197,,T197)*(1-R197)+INDEX(Models!$BJ197:$BT197,,T197+1)*R197-ERP_i)*Q197*Ramure*Pc/MaxiM</f>
        <v>0</v>
      </c>
      <c r="Q197" s="305">
        <f t="shared" si="51"/>
        <v>0.7</v>
      </c>
      <c r="R197" s="177">
        <f t="shared" si="52"/>
        <v>0.11348830502286578</v>
      </c>
      <c r="S197" s="817">
        <f t="shared" si="53"/>
        <v>-1</v>
      </c>
      <c r="T197" s="176">
        <f t="shared" si="54"/>
        <v>5</v>
      </c>
      <c r="U197" s="251">
        <f t="shared" si="55"/>
        <v>-0.88651169497713422</v>
      </c>
      <c r="V197" s="383">
        <f t="shared" si="56"/>
        <v>37.741177089805909</v>
      </c>
      <c r="W197" s="402"/>
      <c r="X197" s="157">
        <f t="shared" si="57"/>
        <v>44013</v>
      </c>
      <c r="Y197" s="385">
        <f t="shared" si="58"/>
        <v>28.815999999999999</v>
      </c>
      <c r="Z197" s="385">
        <f t="shared" si="59"/>
        <v>29.327939983215366</v>
      </c>
      <c r="AA197" s="386">
        <f t="shared" si="60"/>
        <v>32.510810756730727</v>
      </c>
      <c r="AB197" s="197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9.7901919374816265E-2</v>
      </c>
      <c r="AD197" s="231">
        <f>(INDEX(Models!$BJ197:$BT197,,AH197)*(1-AF197)+INDEX(Models!$BJ197:$BT197,,AH197+1)*AF197-ERP_i)*AE197*Ramure*Pc/MaxiM</f>
        <v>0</v>
      </c>
      <c r="AE197" s="305">
        <f t="shared" si="62"/>
        <v>0.7</v>
      </c>
      <c r="AF197" s="177">
        <f t="shared" si="63"/>
        <v>0.11348830502286578</v>
      </c>
      <c r="AG197" s="817">
        <f t="shared" si="71"/>
        <v>-1</v>
      </c>
      <c r="AH197" s="176">
        <f t="shared" si="64"/>
        <v>5</v>
      </c>
      <c r="AI197" s="225">
        <f t="shared" si="65"/>
        <v>-0.88651169497713422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68"/>
        <v>44014</v>
      </c>
      <c r="B198" s="617">
        <v>12.526</v>
      </c>
      <c r="C198" s="390"/>
      <c r="D198" s="393">
        <f t="shared" si="48"/>
        <v>12.748813942660322</v>
      </c>
      <c r="E198" s="385">
        <f t="shared" si="72"/>
        <v>14.133796182730393</v>
      </c>
      <c r="F198" s="385">
        <f t="shared" si="49"/>
        <v>14.133796182730393</v>
      </c>
      <c r="G198" s="110">
        <f t="shared" si="73"/>
        <v>0.3323009035378498</v>
      </c>
      <c r="H198" s="414" t="b">
        <f>Wh_hp&gt;='2019'!Maxi_hp</f>
        <v>0</v>
      </c>
      <c r="I198" s="380">
        <f>IF(H198,Wh_hp,'2019'!Maxi_hp)</f>
        <v>34.016353689339262</v>
      </c>
      <c r="J198" s="85">
        <f>IF(H198,An,'2019'!An_max)</f>
        <v>2019</v>
      </c>
      <c r="K198" s="197">
        <f t="shared" si="50"/>
        <v>44014</v>
      </c>
      <c r="L198" s="147">
        <f>IF(t&lt;Tvie,1-EXP((T0-t)*PertePVj)+'2019'!Pspv,1-EXP((T0-t)*PertePVj)+Pspv)</f>
        <v>1.7477229149508333E-2</v>
      </c>
      <c r="M198" s="850"/>
      <c r="N198" s="850"/>
      <c r="O198" s="48">
        <f>IF(t&lt;Tnet,'2019'!Resal+('2019'!Salim-'2019'!Resal)*(1-EXP(('2019'!Tnet-t)/('2019'!Tau_j))),Resal+(Salim-Resal)*(1-EXP((Tnet-t)/(Tau_j))))*Salcycl</f>
        <v>9.7990817340519829E-2</v>
      </c>
      <c r="P198" s="169">
        <f>(INDEX(Models!$BJ198:$BT198,,T198)*(1-R198)+INDEX(Models!$BJ198:$BT198,,T198+1)*R198-ERP_i)*Q198*Ramure*Pc/MaxiM</f>
        <v>0</v>
      </c>
      <c r="Q198" s="305">
        <f t="shared" si="51"/>
        <v>0.7</v>
      </c>
      <c r="R198" s="177">
        <f t="shared" si="52"/>
        <v>0.11599962100104311</v>
      </c>
      <c r="S198" s="817">
        <f t="shared" si="53"/>
        <v>-1</v>
      </c>
      <c r="T198" s="176">
        <f t="shared" si="54"/>
        <v>5</v>
      </c>
      <c r="U198" s="251">
        <f t="shared" si="55"/>
        <v>-0.88400037899895689</v>
      </c>
      <c r="V198" s="383">
        <f t="shared" si="56"/>
        <v>37.694751553912823</v>
      </c>
      <c r="W198" s="402"/>
      <c r="X198" s="157">
        <f t="shared" si="57"/>
        <v>44014</v>
      </c>
      <c r="Y198" s="385">
        <f t="shared" si="58"/>
        <v>12.526</v>
      </c>
      <c r="Z198" s="385">
        <f t="shared" si="59"/>
        <v>12.748813942660322</v>
      </c>
      <c r="AA198" s="386">
        <f t="shared" si="60"/>
        <v>14.133796182730393</v>
      </c>
      <c r="AB198" s="197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9.7990817340519829E-2</v>
      </c>
      <c r="AD198" s="231">
        <f>(INDEX(Models!$BJ198:$BT198,,AH198)*(1-AF198)+INDEX(Models!$BJ198:$BT198,,AH198+1)*AF198-ERP_i)*AE198*Ramure*Pc/MaxiM</f>
        <v>0</v>
      </c>
      <c r="AE198" s="305">
        <f t="shared" si="62"/>
        <v>0.7</v>
      </c>
      <c r="AF198" s="177">
        <f t="shared" si="63"/>
        <v>0.11599962100104311</v>
      </c>
      <c r="AG198" s="817">
        <f t="shared" si="71"/>
        <v>-1</v>
      </c>
      <c r="AH198" s="176">
        <f t="shared" si="64"/>
        <v>5</v>
      </c>
      <c r="AI198" s="225">
        <f t="shared" si="65"/>
        <v>-0.88400037899895689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68"/>
        <v>44015</v>
      </c>
      <c r="B199" s="617">
        <v>29.19</v>
      </c>
      <c r="C199" s="390"/>
      <c r="D199" s="393">
        <f t="shared" si="48"/>
        <v>29.709885832619992</v>
      </c>
      <c r="E199" s="385">
        <f t="shared" si="72"/>
        <v>32.940645923226207</v>
      </c>
      <c r="F199" s="385">
        <f t="shared" si="49"/>
        <v>32.940645923226207</v>
      </c>
      <c r="G199" s="110">
        <f t="shared" si="73"/>
        <v>0.77536955008501207</v>
      </c>
      <c r="H199" s="414" t="b">
        <f>Wh_hp&gt;='2019'!Maxi_hp</f>
        <v>0</v>
      </c>
      <c r="I199" s="380">
        <f>IF(H199,Wh_hp,'2019'!Maxi_hp)</f>
        <v>39.345572837234378</v>
      </c>
      <c r="J199" s="85">
        <f>IF(H199,An,'2019'!An_max)</f>
        <v>2019</v>
      </c>
      <c r="K199" s="197">
        <f t="shared" si="50"/>
        <v>44015</v>
      </c>
      <c r="L199" s="147">
        <f>IF(t&lt;Tvie,1-EXP((T0-t)*PertePVj)+'2019'!Pspv,1-EXP((T0-t)*PertePVj)+Pspv)</f>
        <v>1.7498748919768103E-2</v>
      </c>
      <c r="M199" s="850"/>
      <c r="N199" s="850"/>
      <c r="O199" s="48">
        <f>IF(t&lt;Tnet,'2019'!Resal+('2019'!Salim-'2019'!Resal)*(1-EXP(('2019'!Tnet-t)/('2019'!Tau_j))),Resal+(Salim-Resal)*(1-EXP((Tnet-t)/(Tau_j))))*Salcycl</f>
        <v>9.8078225245978728E-2</v>
      </c>
      <c r="P199" s="169">
        <f>(INDEX(Models!$BJ199:$BT199,,T199)*(1-R199)+INDEX(Models!$BJ199:$BT199,,T199+1)*R199-ERP_i)*Q199*Ramure*Pc/MaxiM</f>
        <v>0</v>
      </c>
      <c r="Q199" s="305">
        <f t="shared" si="51"/>
        <v>0.7</v>
      </c>
      <c r="R199" s="177">
        <f t="shared" si="52"/>
        <v>0.11846590964393267</v>
      </c>
      <c r="S199" s="817">
        <f t="shared" si="53"/>
        <v>-1</v>
      </c>
      <c r="T199" s="176">
        <f t="shared" si="54"/>
        <v>5</v>
      </c>
      <c r="U199" s="251">
        <f t="shared" si="55"/>
        <v>-0.88153409035606733</v>
      </c>
      <c r="V199" s="383">
        <f t="shared" si="56"/>
        <v>37.646564785526571</v>
      </c>
      <c r="W199" s="402"/>
      <c r="X199" s="157">
        <f t="shared" si="57"/>
        <v>44015</v>
      </c>
      <c r="Y199" s="385">
        <f t="shared" si="58"/>
        <v>29.190000000000005</v>
      </c>
      <c r="Z199" s="385">
        <f t="shared" si="59"/>
        <v>29.709885832619996</v>
      </c>
      <c r="AA199" s="386">
        <f t="shared" si="60"/>
        <v>32.940645923226207</v>
      </c>
      <c r="AB199" s="197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9.8078225245978728E-2</v>
      </c>
      <c r="AD199" s="231">
        <f>(INDEX(Models!$BJ199:$BT199,,AH199)*(1-AF199)+INDEX(Models!$BJ199:$BT199,,AH199+1)*AF199-ERP_i)*AE199*Ramure*Pc/MaxiM</f>
        <v>0</v>
      </c>
      <c r="AE199" s="305">
        <f t="shared" si="62"/>
        <v>0.7</v>
      </c>
      <c r="AF199" s="177">
        <f t="shared" si="63"/>
        <v>0.11846590964393267</v>
      </c>
      <c r="AG199" s="817">
        <f t="shared" si="71"/>
        <v>-1</v>
      </c>
      <c r="AH199" s="176">
        <f t="shared" si="64"/>
        <v>5</v>
      </c>
      <c r="AI199" s="225">
        <f t="shared" si="65"/>
        <v>-0.88153409035606733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68"/>
        <v>44016</v>
      </c>
      <c r="B200" s="617">
        <v>37.820999999999998</v>
      </c>
      <c r="C200" s="390"/>
      <c r="D200" s="393">
        <f t="shared" si="48"/>
        <v>38.495450620062826</v>
      </c>
      <c r="E200" s="385">
        <f t="shared" si="72"/>
        <v>42.685652702898089</v>
      </c>
      <c r="F200" s="385">
        <f t="shared" si="49"/>
        <v>42.685652702898089</v>
      </c>
      <c r="G200" s="110">
        <f t="shared" si="73"/>
        <v>1.0059758175313134</v>
      </c>
      <c r="H200" s="414" t="b">
        <f>Wh_hp&gt;='2019'!Maxi_hp</f>
        <v>1</v>
      </c>
      <c r="I200" s="380">
        <f>IF(H200,Wh_hp,'2019'!Maxi_hp)</f>
        <v>42.685652702898089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1.7520268218689794E-2</v>
      </c>
      <c r="M200" s="850"/>
      <c r="N200" s="850"/>
      <c r="O200" s="48">
        <f>IF(t&lt;Tnet,'2019'!Resal+('2019'!Salim-'2019'!Resal)*(1-EXP(('2019'!Tnet-t)/('2019'!Tau_j))),Resal+(Salim-Resal)*(1-EXP((Tnet-t)/(Tau_j))))*Salcycl</f>
        <v>9.8164179706938678E-2</v>
      </c>
      <c r="P200" s="169">
        <f>(INDEX(Models!$BJ200:$BT200,,T200)*(1-R200)+INDEX(Models!$BJ200:$BT200,,T200+1)*R200-ERP_i)*Q200*Ramure*Pc/MaxiM</f>
        <v>0</v>
      </c>
      <c r="Q200" s="305">
        <f t="shared" si="51"/>
        <v>0.7</v>
      </c>
      <c r="R200" s="177">
        <f t="shared" si="52"/>
        <v>0.12088634515897811</v>
      </c>
      <c r="S200" s="817">
        <f t="shared" si="53"/>
        <v>-1</v>
      </c>
      <c r="T200" s="176">
        <f t="shared" si="54"/>
        <v>5</v>
      </c>
      <c r="U200" s="251">
        <f t="shared" si="55"/>
        <v>-0.87911365484102189</v>
      </c>
      <c r="V200" s="383">
        <f t="shared" si="56"/>
        <v>37.596331184991662</v>
      </c>
      <c r="W200" s="402"/>
      <c r="X200" s="157">
        <f t="shared" si="57"/>
        <v>44016</v>
      </c>
      <c r="Y200" s="385">
        <f t="shared" si="58"/>
        <v>37.820999999999998</v>
      </c>
      <c r="Z200" s="385">
        <f t="shared" si="59"/>
        <v>38.495450620062826</v>
      </c>
      <c r="AA200" s="386">
        <f t="shared" si="60"/>
        <v>42.685652702898089</v>
      </c>
      <c r="AB200" s="197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9.8164179706938678E-2</v>
      </c>
      <c r="AD200" s="231">
        <f>(INDEX(Models!$BJ200:$BT200,,AH200)*(1-AF200)+INDEX(Models!$BJ200:$BT200,,AH200+1)*AF200-ERP_i)*AE200*Ramure*Pc/MaxiM</f>
        <v>0</v>
      </c>
      <c r="AE200" s="305">
        <f t="shared" si="62"/>
        <v>0.7</v>
      </c>
      <c r="AF200" s="177">
        <f t="shared" si="63"/>
        <v>0.12088634515897811</v>
      </c>
      <c r="AG200" s="817">
        <f t="shared" si="71"/>
        <v>-1</v>
      </c>
      <c r="AH200" s="176">
        <f t="shared" si="64"/>
        <v>5</v>
      </c>
      <c r="AI200" s="225">
        <f t="shared" si="65"/>
        <v>-0.87911365484102189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68"/>
        <v>44017</v>
      </c>
      <c r="B201" s="617">
        <v>37.554000000000002</v>
      </c>
      <c r="C201" s="390"/>
      <c r="D201" s="393">
        <f t="shared" si="48"/>
        <v>38.224526503876014</v>
      </c>
      <c r="E201" s="385">
        <f t="shared" si="72"/>
        <v>42.389212353371924</v>
      </c>
      <c r="F201" s="385">
        <f t="shared" si="49"/>
        <v>42.389212353371924</v>
      </c>
      <c r="G201" s="110">
        <f t="shared" si="73"/>
        <v>1.0002726107249234</v>
      </c>
      <c r="H201" s="414" t="b">
        <f>Wh_hp&gt;='2019'!Maxi_hp</f>
        <v>1</v>
      </c>
      <c r="I201" s="380">
        <f>IF(H201,Wh_hp,'2019'!Maxi_hp)</f>
        <v>42.389212353371924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1.7541787046283508E-2</v>
      </c>
      <c r="M201" s="850"/>
      <c r="N201" s="850"/>
      <c r="O201" s="48">
        <f>IF(t&lt;Tnet,'2019'!Resal+('2019'!Salim-'2019'!Resal)*(1-EXP(('2019'!Tnet-t)/('2019'!Tau_j))),Resal+(Salim-Resal)*(1-EXP((Tnet-t)/(Tau_j))))*Salcycl</f>
        <v>9.8248719857721531E-2</v>
      </c>
      <c r="P201" s="169">
        <f>(INDEX(Models!$BJ201:$BT201,,T201)*(1-R201)+INDEX(Models!$BJ201:$BT201,,T201+1)*R201-ERP_i)*Q201*Ramure*Pc/MaxiM</f>
        <v>0</v>
      </c>
      <c r="Q201" s="305">
        <f t="shared" si="51"/>
        <v>0.7</v>
      </c>
      <c r="R201" s="177">
        <f t="shared" si="52"/>
        <v>0.12326020812511218</v>
      </c>
      <c r="S201" s="817">
        <f t="shared" si="53"/>
        <v>-1</v>
      </c>
      <c r="T201" s="176">
        <f t="shared" si="54"/>
        <v>5</v>
      </c>
      <c r="U201" s="251">
        <f t="shared" si="55"/>
        <v>-0.87673979187488782</v>
      </c>
      <c r="V201" s="383">
        <f t="shared" si="56"/>
        <v>37.543765166961485</v>
      </c>
      <c r="W201" s="402"/>
      <c r="X201" s="157">
        <f t="shared" si="57"/>
        <v>44017</v>
      </c>
      <c r="Y201" s="385">
        <f t="shared" si="58"/>
        <v>37.554000000000002</v>
      </c>
      <c r="Z201" s="385">
        <f t="shared" si="59"/>
        <v>38.224526503876014</v>
      </c>
      <c r="AA201" s="386">
        <f t="shared" si="60"/>
        <v>42.389212353371924</v>
      </c>
      <c r="AB201" s="197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9.8248719857721531E-2</v>
      </c>
      <c r="AD201" s="231">
        <f>(INDEX(Models!$BJ201:$BT201,,AH201)*(1-AF201)+INDEX(Models!$BJ201:$BT201,,AH201+1)*AF201-ERP_i)*AE201*Ramure*Pc/MaxiM</f>
        <v>0</v>
      </c>
      <c r="AE201" s="305">
        <f t="shared" si="62"/>
        <v>0.7</v>
      </c>
      <c r="AF201" s="177">
        <f t="shared" si="63"/>
        <v>0.12326020812511218</v>
      </c>
      <c r="AG201" s="817">
        <f t="shared" si="71"/>
        <v>-1</v>
      </c>
      <c r="AH201" s="176">
        <f t="shared" si="64"/>
        <v>5</v>
      </c>
      <c r="AI201" s="225">
        <f t="shared" si="65"/>
        <v>-0.87673979187488782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68"/>
        <v>44018</v>
      </c>
      <c r="B202" s="617">
        <v>24.594000000000001</v>
      </c>
      <c r="C202" s="390"/>
      <c r="D202" s="393">
        <f t="shared" si="48"/>
        <v>25.033674062915118</v>
      </c>
      <c r="E202" s="385">
        <f t="shared" si="72"/>
        <v>27.763734464906477</v>
      </c>
      <c r="F202" s="385">
        <f t="shared" si="49"/>
        <v>27.763734464906477</v>
      </c>
      <c r="G202" s="110">
        <f t="shared" si="73"/>
        <v>0.6560397654635417</v>
      </c>
      <c r="H202" s="414" t="b">
        <f>Wh_hp&gt;='2019'!Maxi_hp</f>
        <v>0</v>
      </c>
      <c r="I202" s="380">
        <f>IF(H202,Wh_hp,'2019'!Maxi_hp)</f>
        <v>39.031144025328409</v>
      </c>
      <c r="J202" s="85">
        <f>IF(H202,An,'2019'!An_max)</f>
        <v>2018</v>
      </c>
      <c r="K202" s="197">
        <f t="shared" si="50"/>
        <v>44018</v>
      </c>
      <c r="L202" s="147">
        <f>IF(t&lt;Tvie,1-EXP((T0-t)*PertePVj)+'2019'!Pspv,1-EXP((T0-t)*PertePVj)+Pspv)</f>
        <v>1.7563305402559792E-2</v>
      </c>
      <c r="M202" s="850"/>
      <c r="N202" s="850"/>
      <c r="O202" s="48">
        <f>IF(t&lt;Tnet,'2019'!Resal+('2019'!Salim-'2019'!Resal)*(1-EXP(('2019'!Tnet-t)/('2019'!Tau_j))),Resal+(Salim-Resal)*(1-EXP((Tnet-t)/(Tau_j))))*Salcycl</f>
        <v>9.8331887068080479E-2</v>
      </c>
      <c r="P202" s="169">
        <f>(INDEX(Models!$BJ202:$BT202,,T202)*(1-R202)+INDEX(Models!$BJ202:$BT202,,T202+1)*R202-ERP_i)*Q202*Ramure*Pc/MaxiM</f>
        <v>0</v>
      </c>
      <c r="Q202" s="305">
        <f t="shared" si="51"/>
        <v>0.7</v>
      </c>
      <c r="R202" s="177">
        <f t="shared" si="52"/>
        <v>0.12558688363386505</v>
      </c>
      <c r="S202" s="817">
        <f t="shared" si="53"/>
        <v>-1</v>
      </c>
      <c r="T202" s="176">
        <f t="shared" si="54"/>
        <v>5</v>
      </c>
      <c r="U202" s="251">
        <f t="shared" si="55"/>
        <v>-0.87441311636613495</v>
      </c>
      <c r="V202" s="383">
        <f t="shared" si="56"/>
        <v>37.488581172549019</v>
      </c>
      <c r="W202" s="402"/>
      <c r="X202" s="157">
        <f t="shared" si="57"/>
        <v>44018</v>
      </c>
      <c r="Y202" s="385">
        <f t="shared" si="58"/>
        <v>24.594000000000001</v>
      </c>
      <c r="Z202" s="385">
        <f t="shared" si="59"/>
        <v>25.033674062915118</v>
      </c>
      <c r="AA202" s="386">
        <f t="shared" si="60"/>
        <v>27.763734464906477</v>
      </c>
      <c r="AB202" s="197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9.8331887068080479E-2</v>
      </c>
      <c r="AD202" s="231">
        <f>(INDEX(Models!$BJ202:$BT202,,AH202)*(1-AF202)+INDEX(Models!$BJ202:$BT202,,AH202+1)*AF202-ERP_i)*AE202*Ramure*Pc/MaxiM</f>
        <v>0</v>
      </c>
      <c r="AE202" s="305">
        <f t="shared" si="62"/>
        <v>0.7</v>
      </c>
      <c r="AF202" s="177">
        <f t="shared" si="63"/>
        <v>0.12558688363386505</v>
      </c>
      <c r="AG202" s="817">
        <f t="shared" si="71"/>
        <v>-1</v>
      </c>
      <c r="AH202" s="176">
        <f t="shared" si="64"/>
        <v>5</v>
      </c>
      <c r="AI202" s="225">
        <f t="shared" si="65"/>
        <v>-0.87441311636613495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68"/>
        <v>44019</v>
      </c>
      <c r="B203" s="617">
        <v>39.076999999999998</v>
      </c>
      <c r="C203" s="390"/>
      <c r="D203" s="393">
        <f t="shared" si="48"/>
        <v>39.776462056262467</v>
      </c>
      <c r="E203" s="385">
        <f t="shared" si="72"/>
        <v>44.11830918893618</v>
      </c>
      <c r="F203" s="385">
        <f t="shared" si="49"/>
        <v>44.11830918893618</v>
      </c>
      <c r="G203" s="110">
        <f t="shared" si="73"/>
        <v>1.0439883677763544</v>
      </c>
      <c r="H203" s="414" t="b">
        <f>Wh_hp&gt;='2019'!Maxi_hp</f>
        <v>1</v>
      </c>
      <c r="I203" s="380">
        <f>IF(H203,Wh_hp,'2019'!Maxi_hp)</f>
        <v>44.11830918893618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1.758482328752875E-2</v>
      </c>
      <c r="M203" s="850"/>
      <c r="N203" s="850"/>
      <c r="O203" s="48">
        <f>IF(t&lt;Tnet,'2019'!Resal+('2019'!Salim-'2019'!Resal)*(1-EXP(('2019'!Tnet-t)/('2019'!Tau_j))),Resal+(Salim-Resal)*(1-EXP((Tnet-t)/(Tau_j))))*Salcycl</f>
        <v>9.8413724652950688E-2</v>
      </c>
      <c r="P203" s="169">
        <f>(INDEX(Models!$BJ203:$BT203,,T203)*(1-R203)+INDEX(Models!$BJ203:$BT203,,T203+1)*R203-ERP_i)*Q203*Ramure*Pc/MaxiM</f>
        <v>0</v>
      </c>
      <c r="Q203" s="305">
        <f t="shared" si="51"/>
        <v>0.7</v>
      </c>
      <c r="R203" s="177">
        <f t="shared" si="52"/>
        <v>0.12786585904312042</v>
      </c>
      <c r="S203" s="817">
        <f t="shared" si="53"/>
        <v>-1</v>
      </c>
      <c r="T203" s="176">
        <f t="shared" si="54"/>
        <v>5</v>
      </c>
      <c r="U203" s="251">
        <f t="shared" si="55"/>
        <v>-0.87213414095687958</v>
      </c>
      <c r="V203" s="383">
        <f t="shared" si="56"/>
        <v>37.430493678039873</v>
      </c>
      <c r="W203" s="402"/>
      <c r="X203" s="157">
        <f t="shared" si="57"/>
        <v>44019</v>
      </c>
      <c r="Y203" s="385">
        <f t="shared" si="58"/>
        <v>39.076999999999998</v>
      </c>
      <c r="Z203" s="385">
        <f t="shared" si="59"/>
        <v>39.776462056262467</v>
      </c>
      <c r="AA203" s="386">
        <f t="shared" si="60"/>
        <v>44.11830918893618</v>
      </c>
      <c r="AB203" s="197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9.8413724652950688E-2</v>
      </c>
      <c r="AD203" s="231">
        <f>(INDEX(Models!$BJ203:$BT203,,AH203)*(1-AF203)+INDEX(Models!$BJ203:$BT203,,AH203+1)*AF203-ERP_i)*AE203*Ramure*Pc/MaxiM</f>
        <v>0</v>
      </c>
      <c r="AE203" s="305">
        <f t="shared" si="62"/>
        <v>0.7</v>
      </c>
      <c r="AF203" s="177">
        <f t="shared" si="63"/>
        <v>0.12786585904312042</v>
      </c>
      <c r="AG203" s="817">
        <f t="shared" si="71"/>
        <v>-1</v>
      </c>
      <c r="AH203" s="176">
        <f t="shared" si="64"/>
        <v>5</v>
      </c>
      <c r="AI203" s="225">
        <f t="shared" si="65"/>
        <v>-0.87213414095687958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68"/>
        <v>44020</v>
      </c>
      <c r="B204" s="617">
        <v>37.363999999999997</v>
      </c>
      <c r="C204" s="390"/>
      <c r="D204" s="393">
        <f t="shared" si="48"/>
        <v>38.03363310250721</v>
      </c>
      <c r="E204" s="385">
        <f t="shared" si="72"/>
        <v>42.189009072837784</v>
      </c>
      <c r="F204" s="385">
        <f t="shared" si="49"/>
        <v>42.189009072837784</v>
      </c>
      <c r="G204" s="110">
        <f t="shared" si="73"/>
        <v>0.99986038767712393</v>
      </c>
      <c r="H204" s="414" t="b">
        <f>Wh_hp&gt;='2019'!Maxi_hp</f>
        <v>1</v>
      </c>
      <c r="I204" s="380">
        <f>IF(H204,Wh_hp,'2019'!Maxi_hp)</f>
        <v>42.189009072837784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1.7606340701200818E-2</v>
      </c>
      <c r="M204" s="850"/>
      <c r="N204" s="850"/>
      <c r="O204" s="48">
        <f>IF(t&lt;Tnet,'2019'!Resal+('2019'!Salim-'2019'!Resal)*(1-EXP(('2019'!Tnet-t)/('2019'!Tau_j))),Resal+(Salim-Resal)*(1-EXP((Tnet-t)/(Tau_j))))*Salcycl</f>
        <v>9.8494277577282477E-2</v>
      </c>
      <c r="P204" s="169">
        <f>(INDEX(Models!$BJ204:$BT204,,T204)*(1-R204)+INDEX(Models!$BJ204:$BT204,,T204+1)*R204-ERP_i)*Q204*Ramure*Pc/MaxiM</f>
        <v>0</v>
      </c>
      <c r="Q204" s="305">
        <f t="shared" si="51"/>
        <v>0.7</v>
      </c>
      <c r="R204" s="177">
        <f t="shared" si="52"/>
        <v>0.13009672137836525</v>
      </c>
      <c r="S204" s="817">
        <f t="shared" si="53"/>
        <v>-1</v>
      </c>
      <c r="T204" s="176">
        <f t="shared" si="54"/>
        <v>5</v>
      </c>
      <c r="U204" s="251">
        <f t="shared" si="55"/>
        <v>-0.86990327862163475</v>
      </c>
      <c r="V204" s="383">
        <f t="shared" si="56"/>
        <v>37.369217203217808</v>
      </c>
      <c r="W204" s="402"/>
      <c r="X204" s="157">
        <f t="shared" si="57"/>
        <v>44020</v>
      </c>
      <c r="Y204" s="385">
        <f t="shared" si="58"/>
        <v>37.363999999999997</v>
      </c>
      <c r="Z204" s="385">
        <f t="shared" si="59"/>
        <v>38.03363310250721</v>
      </c>
      <c r="AA204" s="386">
        <f t="shared" si="60"/>
        <v>42.189009072837784</v>
      </c>
      <c r="AB204" s="197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9.8494277577282477E-2</v>
      </c>
      <c r="AD204" s="231">
        <f>(INDEX(Models!$BJ204:$BT204,,AH204)*(1-AF204)+INDEX(Models!$BJ204:$BT204,,AH204+1)*AF204-ERP_i)*AE204*Ramure*Pc/MaxiM</f>
        <v>0</v>
      </c>
      <c r="AE204" s="305">
        <f t="shared" si="62"/>
        <v>0.7</v>
      </c>
      <c r="AF204" s="177">
        <f t="shared" si="63"/>
        <v>0.13009672137836525</v>
      </c>
      <c r="AG204" s="817">
        <f t="shared" si="71"/>
        <v>-1</v>
      </c>
      <c r="AH204" s="176">
        <f t="shared" si="64"/>
        <v>5</v>
      </c>
      <c r="AI204" s="225">
        <f t="shared" si="65"/>
        <v>-0.86990327862163475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68"/>
        <v>44021</v>
      </c>
      <c r="B205" s="617">
        <v>34.811999999999998</v>
      </c>
      <c r="C205" s="390"/>
      <c r="D205" s="393">
        <f t="shared" si="48"/>
        <v>35.436672620313253</v>
      </c>
      <c r="E205" s="385">
        <f t="shared" si="72"/>
        <v>39.31177555043498</v>
      </c>
      <c r="F205" s="385">
        <f t="shared" si="49"/>
        <v>39.31177555043498</v>
      </c>
      <c r="G205" s="110">
        <f t="shared" si="73"/>
        <v>0.93318861313907953</v>
      </c>
      <c r="H205" s="414" t="b">
        <f>Wh_hp&gt;='2019'!Maxi_hp</f>
        <v>0</v>
      </c>
      <c r="I205" s="380">
        <f>IF(H205,Wh_hp,'2019'!Maxi_hp)</f>
        <v>40.920756350188782</v>
      </c>
      <c r="J205" s="85">
        <f>IF(H205,An,'2019'!An_max)</f>
        <v>2019</v>
      </c>
      <c r="K205" s="197">
        <f t="shared" si="50"/>
        <v>44021</v>
      </c>
      <c r="L205" s="147">
        <f>IF(t&lt;Tvie,1-EXP((T0-t)*PertePVj)+'2019'!Pspv,1-EXP((T0-t)*PertePVj)+Pspv)</f>
        <v>1.762785764358632E-2</v>
      </c>
      <c r="M205" s="850"/>
      <c r="N205" s="850"/>
      <c r="O205" s="48">
        <f>IF(t&lt;Tnet,'2019'!Resal+('2019'!Salim-'2019'!Resal)*(1-EXP(('2019'!Tnet-t)/('2019'!Tau_j))),Resal+(Salim-Resal)*(1-EXP((Tnet-t)/(Tau_j))))*Salcycl</f>
        <v>9.8573592158160528E-2</v>
      </c>
      <c r="P205" s="169">
        <f>(INDEX(Models!$BJ205:$BT205,,T205)*(1-R205)+INDEX(Models!$BJ205:$BT205,,T205+1)*R205-ERP_i)*Q205*Ramure*Pc/MaxiM</f>
        <v>0</v>
      </c>
      <c r="Q205" s="305">
        <f t="shared" si="51"/>
        <v>0.7</v>
      </c>
      <c r="R205" s="177">
        <f t="shared" si="52"/>
        <v>0.13227915441705074</v>
      </c>
      <c r="S205" s="817">
        <f t="shared" si="53"/>
        <v>-1</v>
      </c>
      <c r="T205" s="176">
        <f t="shared" si="54"/>
        <v>5</v>
      </c>
      <c r="U205" s="251">
        <f t="shared" si="55"/>
        <v>-0.86772084558294926</v>
      </c>
      <c r="V205" s="383">
        <f t="shared" si="56"/>
        <v>37.304355743153209</v>
      </c>
      <c r="W205" s="402"/>
      <c r="X205" s="157">
        <f t="shared" si="57"/>
        <v>44021</v>
      </c>
      <c r="Y205" s="385">
        <f t="shared" si="58"/>
        <v>34.811999999999998</v>
      </c>
      <c r="Z205" s="385">
        <f t="shared" si="59"/>
        <v>35.436672620313253</v>
      </c>
      <c r="AA205" s="386">
        <f t="shared" si="60"/>
        <v>39.31177555043498</v>
      </c>
      <c r="AB205" s="197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9.8573592158160528E-2</v>
      </c>
      <c r="AD205" s="231">
        <f>(INDEX(Models!$BJ205:$BT205,,AH205)*(1-AF205)+INDEX(Models!$BJ205:$BT205,,AH205+1)*AF205-ERP_i)*AE205*Ramure*Pc/MaxiM</f>
        <v>0</v>
      </c>
      <c r="AE205" s="305">
        <f t="shared" si="62"/>
        <v>0.7</v>
      </c>
      <c r="AF205" s="177">
        <f t="shared" si="63"/>
        <v>0.13227915441705074</v>
      </c>
      <c r="AG205" s="817">
        <f t="shared" si="71"/>
        <v>-1</v>
      </c>
      <c r="AH205" s="176">
        <f t="shared" si="64"/>
        <v>5</v>
      </c>
      <c r="AI205" s="225">
        <f t="shared" si="65"/>
        <v>-0.86772084558294926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68"/>
        <v>44022</v>
      </c>
      <c r="B206" s="617">
        <v>30.167999999999999</v>
      </c>
      <c r="C206" s="390"/>
      <c r="D206" s="393">
        <f t="shared" si="48"/>
        <v>30.71001249967372</v>
      </c>
      <c r="E206" s="385">
        <f t="shared" si="72"/>
        <v>34.071194272906631</v>
      </c>
      <c r="F206" s="385">
        <f t="shared" si="49"/>
        <v>34.071194272906631</v>
      </c>
      <c r="G206" s="110">
        <f t="shared" si="73"/>
        <v>0.81018465761346659</v>
      </c>
      <c r="H206" s="414" t="b">
        <f>Wh_hp&gt;='2019'!Maxi_hp</f>
        <v>0</v>
      </c>
      <c r="I206" s="380">
        <f>IF(H206,Wh_hp,'2019'!Maxi_hp)</f>
        <v>41.921892854152688</v>
      </c>
      <c r="J206" s="85">
        <f>IF(H206,An,'2019'!An_max)</f>
        <v>2019</v>
      </c>
      <c r="K206" s="197">
        <f t="shared" si="50"/>
        <v>44022</v>
      </c>
      <c r="L206" s="147">
        <f>IF(t&lt;Tvie,1-EXP((T0-t)*PertePVj)+'2019'!Pspv,1-EXP((T0-t)*PertePVj)+Pspv)</f>
        <v>1.7649374114695582E-2</v>
      </c>
      <c r="M206" s="850"/>
      <c r="N206" s="850"/>
      <c r="O206" s="48">
        <f>IF(t&lt;Tnet,'2019'!Resal+('2019'!Salim-'2019'!Resal)*(1-EXP(('2019'!Tnet-t)/('2019'!Tau_j))),Resal+(Salim-Resal)*(1-EXP((Tnet-t)/(Tau_j))))*Salcycl</f>
        <v>9.8651715766409687E-2</v>
      </c>
      <c r="P206" s="169">
        <f>(INDEX(Models!$BJ206:$BT206,,T206)*(1-R206)+INDEX(Models!$BJ206:$BT206,,T206+1)*R206-ERP_i)*Q206*Ramure*Pc/MaxiM</f>
        <v>0</v>
      </c>
      <c r="Q206" s="305">
        <f t="shared" si="51"/>
        <v>0.7</v>
      </c>
      <c r="R206" s="177">
        <f t="shared" si="52"/>
        <v>0.13441293549202615</v>
      </c>
      <c r="S206" s="817">
        <f t="shared" si="53"/>
        <v>-1</v>
      </c>
      <c r="T206" s="176">
        <f t="shared" si="54"/>
        <v>5</v>
      </c>
      <c r="U206" s="251">
        <f t="shared" si="55"/>
        <v>-0.86558706450797385</v>
      </c>
      <c r="V206" s="383">
        <f t="shared" si="56"/>
        <v>37.235955675666396</v>
      </c>
      <c r="W206" s="402"/>
      <c r="X206" s="157">
        <f t="shared" si="57"/>
        <v>44022</v>
      </c>
      <c r="Y206" s="385">
        <f t="shared" si="58"/>
        <v>30.167999999999999</v>
      </c>
      <c r="Z206" s="385">
        <f t="shared" si="59"/>
        <v>30.71001249967372</v>
      </c>
      <c r="AA206" s="386">
        <f t="shared" si="60"/>
        <v>34.071194272906631</v>
      </c>
      <c r="AB206" s="197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9.8651715766409687E-2</v>
      </c>
      <c r="AD206" s="231">
        <f>(INDEX(Models!$BJ206:$BT206,,AH206)*(1-AF206)+INDEX(Models!$BJ206:$BT206,,AH206+1)*AF206-ERP_i)*AE206*Ramure*Pc/MaxiM</f>
        <v>0</v>
      </c>
      <c r="AE206" s="305">
        <f t="shared" si="62"/>
        <v>0.7</v>
      </c>
      <c r="AF206" s="177">
        <f t="shared" si="63"/>
        <v>0.13441293549202615</v>
      </c>
      <c r="AG206" s="817">
        <f t="shared" si="71"/>
        <v>-1</v>
      </c>
      <c r="AH206" s="176">
        <f t="shared" si="64"/>
        <v>5</v>
      </c>
      <c r="AI206" s="225">
        <f t="shared" si="65"/>
        <v>-0.86558706450797385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68"/>
        <v>44023</v>
      </c>
      <c r="B207" s="617">
        <v>29.097000000000001</v>
      </c>
      <c r="C207" s="390"/>
      <c r="D207" s="393">
        <f t="shared" ref="D207:D270" si="74">Wh/(1-Ppv)</f>
        <v>29.620419172341023</v>
      </c>
      <c r="E207" s="385">
        <f t="shared" si="72"/>
        <v>32.865152877157456</v>
      </c>
      <c r="F207" s="385">
        <f t="shared" ref="F207:F270" si="75">Wh_sa/(1-Pvg*MEDIAN((-Sdif+Wh/Env_an)/Csdif,0,1))</f>
        <v>32.865152877157456</v>
      </c>
      <c r="G207" s="110">
        <f t="shared" si="73"/>
        <v>0.78292677758166873</v>
      </c>
      <c r="H207" s="414" t="b">
        <f>Wh_hp&gt;='2019'!Maxi_hp</f>
        <v>0</v>
      </c>
      <c r="I207" s="380">
        <f>IF(H207,Wh_hp,'2019'!Maxi_hp)</f>
        <v>42.496597456132768</v>
      </c>
      <c r="J207" s="85">
        <f>IF(H207,An,'2019'!An_max)</f>
        <v>2019</v>
      </c>
      <c r="K207" s="197">
        <f t="shared" ref="K207:K270" si="76">t</f>
        <v>44023</v>
      </c>
      <c r="L207" s="147">
        <f>IF(t&lt;Tvie,1-EXP((T0-t)*PertePVj)+'2019'!Pspv,1-EXP((T0-t)*PertePVj)+Pspv)</f>
        <v>1.7670890114538929E-2</v>
      </c>
      <c r="M207" s="850"/>
      <c r="N207" s="850"/>
      <c r="O207" s="48">
        <f>IF(t&lt;Tnet,'2019'!Resal+('2019'!Salim-'2019'!Resal)*(1-EXP(('2019'!Tnet-t)/('2019'!Tau_j))),Resal+(Salim-Resal)*(1-EXP((Tnet-t)/(Tau_j))))*Salcycl</f>
        <v>9.872869652986295E-2</v>
      </c>
      <c r="P207" s="169">
        <f>(INDEX(Models!$BJ207:$BT207,,T207)*(1-R207)+INDEX(Models!$BJ207:$BT207,,T207+1)*R207-ERP_i)*Q207*Ramure*Pc/MaxiM</f>
        <v>0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0.1364979320499552</v>
      </c>
      <c r="S207" s="817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-0.8635020679500448</v>
      </c>
      <c r="V207" s="383">
        <f t="shared" ref="V207:V270" si="82">MaxiM*(1-Ppv)*(1-Pvg)*(1-Psa)</f>
        <v>37.164394976853167</v>
      </c>
      <c r="W207" s="402"/>
      <c r="X207" s="157">
        <f t="shared" ref="X207:X270" si="83">t</f>
        <v>44023</v>
      </c>
      <c r="Y207" s="385">
        <f t="shared" ref="Y207:Y270" si="84">Wh_pvt_s*(1-Ppv)</f>
        <v>29.097000000000005</v>
      </c>
      <c r="Z207" s="385">
        <f t="shared" ref="Z207:Z270" si="85">Wh_sa_s*(1-Psa_s)</f>
        <v>29.620419172341027</v>
      </c>
      <c r="AA207" s="386">
        <f t="shared" ref="AA207:AA270" si="86">Wh_hp*(1-Pvg_s*MEDIAN((-Sdif+Wh/Env_an)/Csdif,0,1))</f>
        <v>32.865152877157456</v>
      </c>
      <c r="AB207" s="197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9.872869652986295E-2</v>
      </c>
      <c r="AD207" s="231">
        <f>(INDEX(Models!$BJ207:$BT207,,AH207)*(1-AF207)+INDEX(Models!$BJ207:$BT207,,AH207+1)*AF207-ERP_i)*AE207*Ramure*Pc/MaxiM</f>
        <v>0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0.1364979320499552</v>
      </c>
      <c r="AG207" s="817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-0.8635020679500448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7">
        <v>24.141999999999999</v>
      </c>
      <c r="C208" s="390"/>
      <c r="D208" s="393">
        <f t="shared" si="74"/>
        <v>24.576823124131508</v>
      </c>
      <c r="E208" s="385">
        <f t="shared" si="72"/>
        <v>27.271358310995449</v>
      </c>
      <c r="F208" s="385">
        <f t="shared" si="75"/>
        <v>27.271358310995449</v>
      </c>
      <c r="G208" s="110">
        <f t="shared" si="73"/>
        <v>0.65090230586377884</v>
      </c>
      <c r="H208" s="414" t="b">
        <f>Wh_hp&gt;='2019'!Maxi_hp</f>
        <v>0</v>
      </c>
      <c r="I208" s="380">
        <f>IF(H208,Wh_hp,'2019'!Maxi_hp)</f>
        <v>37.46044469353064</v>
      </c>
      <c r="J208" s="85">
        <f>IF(H208,An,'2019'!An_max)</f>
        <v>2018</v>
      </c>
      <c r="K208" s="197">
        <f t="shared" si="76"/>
        <v>44024</v>
      </c>
      <c r="L208" s="147">
        <f>IF(t&lt;Tvie,1-EXP((T0-t)*PertePVj)+'2019'!Pspv,1-EXP((T0-t)*PertePVj)+Pspv)</f>
        <v>1.7692405643126574E-2</v>
      </c>
      <c r="M208" s="850"/>
      <c r="N208" s="850"/>
      <c r="O208" s="48">
        <f>IF(t&lt;Tnet,'2019'!Resal+('2019'!Salim-'2019'!Resal)*(1-EXP(('2019'!Tnet-t)/('2019'!Tau_j))),Resal+(Salim-Resal)*(1-EXP((Tnet-t)/(Tau_j))))*Salcycl</f>
        <v>9.8804583040425248E-2</v>
      </c>
      <c r="P208" s="169">
        <f>(INDEX(Models!$BJ208:$BT208,,T208)*(1-R208)+INDEX(Models!$BJ208:$BT208,,T208+1)*R208-ERP_i)*Q208*Ramure*Pc/MaxiM</f>
        <v>0</v>
      </c>
      <c r="Q208" s="305">
        <f t="shared" si="77"/>
        <v>0.7</v>
      </c>
      <c r="R208" s="177">
        <f t="shared" si="78"/>
        <v>0.13853409800019234</v>
      </c>
      <c r="S208" s="817">
        <f t="shared" si="79"/>
        <v>-1</v>
      </c>
      <c r="T208" s="176">
        <f t="shared" si="80"/>
        <v>5</v>
      </c>
      <c r="U208" s="251">
        <f t="shared" si="81"/>
        <v>-0.86146590199980766</v>
      </c>
      <c r="V208" s="383">
        <f t="shared" si="82"/>
        <v>37.090051429395992</v>
      </c>
      <c r="W208" s="402"/>
      <c r="X208" s="157">
        <f t="shared" si="83"/>
        <v>44024</v>
      </c>
      <c r="Y208" s="385">
        <f t="shared" si="84"/>
        <v>24.141999999999999</v>
      </c>
      <c r="Z208" s="385">
        <f t="shared" si="85"/>
        <v>24.576823124131508</v>
      </c>
      <c r="AA208" s="386">
        <f t="shared" si="86"/>
        <v>27.271358310995449</v>
      </c>
      <c r="AB208" s="197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9.8804583040425248E-2</v>
      </c>
      <c r="AD208" s="231">
        <f>(INDEX(Models!$BJ208:$BT208,,AH208)*(1-AF208)+INDEX(Models!$BJ208:$BT208,,AH208+1)*AF208-ERP_i)*AE208*Ramure*Pc/MaxiM</f>
        <v>0</v>
      </c>
      <c r="AE208" s="305">
        <f t="shared" si="88"/>
        <v>0.7</v>
      </c>
      <c r="AF208" s="177">
        <f t="shared" si="89"/>
        <v>0.13853409800019234</v>
      </c>
      <c r="AG208" s="817">
        <f t="shared" ref="AG208:AG271" si="95">INDEX(Echel_vg,AH208)</f>
        <v>-1</v>
      </c>
      <c r="AH208" s="176">
        <f t="shared" si="90"/>
        <v>5</v>
      </c>
      <c r="AI208" s="225">
        <f t="shared" si="91"/>
        <v>-0.86146590199980766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4"/>
        <v>44025</v>
      </c>
      <c r="B209" s="617">
        <v>37.72</v>
      </c>
      <c r="C209" s="390"/>
      <c r="D209" s="393">
        <f t="shared" si="74"/>
        <v>38.400218424044212</v>
      </c>
      <c r="E209" s="385">
        <f t="shared" si="72"/>
        <v>42.613851519576691</v>
      </c>
      <c r="F209" s="385">
        <f t="shared" si="75"/>
        <v>42.613851519576691</v>
      </c>
      <c r="G209" s="110">
        <f t="shared" si="73"/>
        <v>1.0190930640943299</v>
      </c>
      <c r="H209" s="414" t="b">
        <f>Wh_hp&gt;='2019'!Maxi_hp</f>
        <v>1</v>
      </c>
      <c r="I209" s="380">
        <f>IF(H209,Wh_hp,'2019'!Maxi_hp)</f>
        <v>42.613851519576691</v>
      </c>
      <c r="J209" s="85">
        <f>IF(H209,An,'2019'!An_max)</f>
        <v>2020</v>
      </c>
      <c r="K209" s="197">
        <f t="shared" si="76"/>
        <v>44025</v>
      </c>
      <c r="L209" s="147">
        <f>IF(t&lt;Tvie,1-EXP((T0-t)*PertePVj)+'2019'!Pspv,1-EXP((T0-t)*PertePVj)+Pspv)</f>
        <v>1.7713920700469066E-2</v>
      </c>
      <c r="M209" s="850"/>
      <c r="N209" s="850"/>
      <c r="O209" s="48">
        <f>IF(t&lt;Tnet,'2019'!Resal+('2019'!Salim-'2019'!Resal)*(1-EXP(('2019'!Tnet-t)/('2019'!Tau_j))),Resal+(Salim-Resal)*(1-EXP((Tnet-t)/(Tau_j))))*Salcycl</f>
        <v>9.8879424067001842E-2</v>
      </c>
      <c r="P209" s="169">
        <f>(INDEX(Models!$BJ209:$BT209,,T209)*(1-R209)+INDEX(Models!$BJ209:$BT209,,T209+1)*R209-ERP_i)*Q209*Ramure*Pc/MaxiM</f>
        <v>0</v>
      </c>
      <c r="Q209" s="305">
        <f t="shared" si="77"/>
        <v>0.7</v>
      </c>
      <c r="R209" s="177">
        <f t="shared" si="78"/>
        <v>0.14052146988884129</v>
      </c>
      <c r="S209" s="817">
        <f t="shared" si="79"/>
        <v>-1</v>
      </c>
      <c r="T209" s="176">
        <f t="shared" si="80"/>
        <v>5</v>
      </c>
      <c r="U209" s="251">
        <f t="shared" si="81"/>
        <v>-0.85947853011115871</v>
      </c>
      <c r="V209" s="383">
        <f t="shared" si="82"/>
        <v>37.01330264034506</v>
      </c>
      <c r="W209" s="402"/>
      <c r="X209" s="157">
        <f t="shared" si="83"/>
        <v>44025</v>
      </c>
      <c r="Y209" s="385">
        <f t="shared" si="84"/>
        <v>37.72</v>
      </c>
      <c r="Z209" s="385">
        <f t="shared" si="85"/>
        <v>38.400218424044212</v>
      </c>
      <c r="AA209" s="386">
        <f t="shared" si="86"/>
        <v>42.613851519576691</v>
      </c>
      <c r="AB209" s="197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9.8879424067001842E-2</v>
      </c>
      <c r="AD209" s="231">
        <f>(INDEX(Models!$BJ209:$BT209,,AH209)*(1-AF209)+INDEX(Models!$BJ209:$BT209,,AH209+1)*AF209-ERP_i)*AE209*Ramure*Pc/MaxiM</f>
        <v>0</v>
      </c>
      <c r="AE209" s="305">
        <f t="shared" si="88"/>
        <v>0.7</v>
      </c>
      <c r="AF209" s="177">
        <f t="shared" si="89"/>
        <v>0.14052146988884129</v>
      </c>
      <c r="AG209" s="817">
        <f t="shared" si="95"/>
        <v>-1</v>
      </c>
      <c r="AH209" s="176">
        <f t="shared" si="90"/>
        <v>5</v>
      </c>
      <c r="AI209" s="225">
        <f t="shared" si="91"/>
        <v>-0.85947853011115871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44026</v>
      </c>
      <c r="B210" s="617">
        <v>30.899000000000001</v>
      </c>
      <c r="C210" s="390"/>
      <c r="D210" s="393">
        <f t="shared" si="74"/>
        <v>31.456901847024081</v>
      </c>
      <c r="E210" s="385">
        <f t="shared" si="72"/>
        <v>34.911509846827137</v>
      </c>
      <c r="F210" s="385">
        <f t="shared" si="75"/>
        <v>34.911509846827137</v>
      </c>
      <c r="G210" s="110">
        <f t="shared" si="73"/>
        <v>0.83658850660479733</v>
      </c>
      <c r="H210" s="414" t="b">
        <f>Wh_hp&gt;='2019'!Maxi_hp</f>
        <v>0</v>
      </c>
      <c r="I210" s="380">
        <f>IF(H210,Wh_hp,'2019'!Maxi_hp)</f>
        <v>43.03729894617058</v>
      </c>
      <c r="J210" s="85">
        <f>IF(H210,An,'2019'!An_max)</f>
        <v>2019</v>
      </c>
      <c r="K210" s="197">
        <f t="shared" si="76"/>
        <v>44026</v>
      </c>
      <c r="L210" s="147">
        <f>IF(t&lt;Tvie,1-EXP((T0-t)*PertePVj)+'2019'!Pspv,1-EXP((T0-t)*PertePVj)+Pspv)</f>
        <v>1.7735435286576395E-2</v>
      </c>
      <c r="M210" s="850"/>
      <c r="N210" s="850"/>
      <c r="O210" s="48">
        <f>IF(t&lt;Tnet,'2019'!Resal+('2019'!Salim-'2019'!Resal)*(1-EXP(('2019'!Tnet-t)/('2019'!Tau_j))),Resal+(Salim-Resal)*(1-EXP((Tnet-t)/(Tau_j))))*Salcycl</f>
        <v>9.8953268276279524E-2</v>
      </c>
      <c r="P210" s="169">
        <f>(INDEX(Models!$BJ210:$BT210,,T210)*(1-R210)+INDEX(Models!$BJ210:$BT210,,T210+1)*R210-ERP_i)*Q210*Ramure*Pc/MaxiM</f>
        <v>0</v>
      </c>
      <c r="Q210" s="305">
        <f t="shared" si="77"/>
        <v>0.7</v>
      </c>
      <c r="R210" s="177">
        <f t="shared" si="78"/>
        <v>0.14246016293166508</v>
      </c>
      <c r="S210" s="817">
        <f t="shared" si="79"/>
        <v>-1</v>
      </c>
      <c r="T210" s="176">
        <f t="shared" si="80"/>
        <v>5</v>
      </c>
      <c r="U210" s="251">
        <f t="shared" si="81"/>
        <v>-0.85753983706833492</v>
      </c>
      <c r="V210" s="383">
        <f t="shared" si="82"/>
        <v>36.934526061564242</v>
      </c>
      <c r="W210" s="402"/>
      <c r="X210" s="157">
        <f t="shared" si="83"/>
        <v>44026</v>
      </c>
      <c r="Y210" s="385">
        <f t="shared" si="84"/>
        <v>30.898999999999997</v>
      </c>
      <c r="Z210" s="385">
        <f t="shared" si="85"/>
        <v>31.456901847024078</v>
      </c>
      <c r="AA210" s="386">
        <f t="shared" si="86"/>
        <v>34.911509846827137</v>
      </c>
      <c r="AB210" s="197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9.8953268276279524E-2</v>
      </c>
      <c r="AD210" s="231">
        <f>(INDEX(Models!$BJ210:$BT210,,AH210)*(1-AF210)+INDEX(Models!$BJ210:$BT210,,AH210+1)*AF210-ERP_i)*AE210*Ramure*Pc/MaxiM</f>
        <v>0</v>
      </c>
      <c r="AE210" s="305">
        <f t="shared" si="88"/>
        <v>0.7</v>
      </c>
      <c r="AF210" s="177">
        <f t="shared" si="89"/>
        <v>0.14246016293166508</v>
      </c>
      <c r="AG210" s="817">
        <f t="shared" si="95"/>
        <v>-1</v>
      </c>
      <c r="AH210" s="176">
        <f t="shared" si="90"/>
        <v>5</v>
      </c>
      <c r="AI210" s="225">
        <f t="shared" si="91"/>
        <v>-0.85753983706833492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44027</v>
      </c>
      <c r="B211" s="617">
        <v>15.269</v>
      </c>
      <c r="C211" s="390"/>
      <c r="D211" s="393">
        <f t="shared" si="74"/>
        <v>15.545032352935115</v>
      </c>
      <c r="E211" s="385">
        <f t="shared" si="72"/>
        <v>17.253589095678265</v>
      </c>
      <c r="F211" s="385">
        <f t="shared" si="75"/>
        <v>17.253589095678265</v>
      </c>
      <c r="G211" s="110">
        <f t="shared" si="73"/>
        <v>0.41430940963290303</v>
      </c>
      <c r="H211" s="414" t="b">
        <f>Wh_hp&gt;='2019'!Maxi_hp</f>
        <v>0</v>
      </c>
      <c r="I211" s="380">
        <f>IF(H211,Wh_hp,'2019'!Maxi_hp)</f>
        <v>41.785421826741953</v>
      </c>
      <c r="J211" s="85">
        <f>IF(H211,An,'2019'!An_max)</f>
        <v>2019</v>
      </c>
      <c r="K211" s="197">
        <f t="shared" si="76"/>
        <v>44027</v>
      </c>
      <c r="L211" s="147">
        <f>IF(t&lt;Tvie,1-EXP((T0-t)*PertePVj)+'2019'!Pspv,1-EXP((T0-t)*PertePVj)+Pspv)</f>
        <v>1.7756949401459221E-2</v>
      </c>
      <c r="M211" s="850"/>
      <c r="N211" s="850"/>
      <c r="O211" s="48">
        <f>IF(t&lt;Tnet,'2019'!Resal+('2019'!Salim-'2019'!Resal)*(1-EXP(('2019'!Tnet-t)/('2019'!Tau_j))),Resal+(Salim-Resal)*(1-EXP((Tnet-t)/(Tau_j))))*Salcycl</f>
        <v>9.9026163963248315E-2</v>
      </c>
      <c r="P211" s="169">
        <f>(INDEX(Models!$BJ211:$BT211,,T211)*(1-R211)+INDEX(Models!$BJ211:$BT211,,T211+1)*R211-ERP_i)*Q211*Ramure*Pc/MaxiM</f>
        <v>0</v>
      </c>
      <c r="Q211" s="305">
        <f t="shared" si="77"/>
        <v>0.7</v>
      </c>
      <c r="R211" s="177">
        <f t="shared" si="78"/>
        <v>0.14435036693820436</v>
      </c>
      <c r="S211" s="817">
        <f t="shared" si="79"/>
        <v>-1</v>
      </c>
      <c r="T211" s="176">
        <f t="shared" si="80"/>
        <v>5</v>
      </c>
      <c r="U211" s="251">
        <f t="shared" si="81"/>
        <v>-0.85564963306179564</v>
      </c>
      <c r="V211" s="383">
        <f t="shared" si="82"/>
        <v>36.854099001828196</v>
      </c>
      <c r="W211" s="402"/>
      <c r="X211" s="157">
        <f t="shared" si="83"/>
        <v>44027</v>
      </c>
      <c r="Y211" s="385">
        <f t="shared" si="84"/>
        <v>15.269</v>
      </c>
      <c r="Z211" s="385">
        <f t="shared" si="85"/>
        <v>15.545032352935115</v>
      </c>
      <c r="AA211" s="386">
        <f t="shared" si="86"/>
        <v>17.253589095678265</v>
      </c>
      <c r="AB211" s="197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9.9026163963248315E-2</v>
      </c>
      <c r="AD211" s="231">
        <f>(INDEX(Models!$BJ211:$BT211,,AH211)*(1-AF211)+INDEX(Models!$BJ211:$BT211,,AH211+1)*AF211-ERP_i)*AE211*Ramure*Pc/MaxiM</f>
        <v>0</v>
      </c>
      <c r="AE211" s="305">
        <f t="shared" si="88"/>
        <v>0.7</v>
      </c>
      <c r="AF211" s="177">
        <f t="shared" si="89"/>
        <v>0.14435036693820436</v>
      </c>
      <c r="AG211" s="817">
        <f t="shared" si="95"/>
        <v>-1</v>
      </c>
      <c r="AH211" s="176">
        <f t="shared" si="90"/>
        <v>5</v>
      </c>
      <c r="AI211" s="225">
        <f t="shared" si="91"/>
        <v>-0.85564963306179564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44028</v>
      </c>
      <c r="B212" s="617">
        <v>14.645</v>
      </c>
      <c r="C212" s="390"/>
      <c r="D212" s="393">
        <f t="shared" si="74"/>
        <v>14.910078275623126</v>
      </c>
      <c r="E212" s="385">
        <f t="shared" si="72"/>
        <v>16.550169611875763</v>
      </c>
      <c r="F212" s="385">
        <f t="shared" si="75"/>
        <v>16.550169611875763</v>
      </c>
      <c r="G212" s="110">
        <f t="shared" si="73"/>
        <v>0.3982606666828159</v>
      </c>
      <c r="H212" s="414" t="b">
        <f>Wh_hp&gt;='2019'!Maxi_hp</f>
        <v>0</v>
      </c>
      <c r="I212" s="380">
        <f>IF(H212,Wh_hp,'2019'!Maxi_hp)</f>
        <v>39.522020816983201</v>
      </c>
      <c r="J212" s="85">
        <f>IF(H212,An,'2019'!An_max)</f>
        <v>2019</v>
      </c>
      <c r="K212" s="197">
        <f t="shared" si="76"/>
        <v>44028</v>
      </c>
      <c r="L212" s="147">
        <f>IF(t&lt;Tvie,1-EXP((T0-t)*PertePVj)+'2019'!Pspv,1-EXP((T0-t)*PertePVj)+Pspv)</f>
        <v>1.7778463045127646E-2</v>
      </c>
      <c r="M212" s="850"/>
      <c r="N212" s="850"/>
      <c r="O212" s="48">
        <f>IF(t&lt;Tnet,'2019'!Resal+('2019'!Salim-'2019'!Resal)*(1-EXP(('2019'!Tnet-t)/('2019'!Tau_j))),Resal+(Salim-Resal)*(1-EXP((Tnet-t)/(Tau_j))))*Salcycl</f>
        <v>9.9098158793235053E-2</v>
      </c>
      <c r="P212" s="169">
        <f>(INDEX(Models!$BJ212:$BT212,,T212)*(1-R212)+INDEX(Models!$BJ212:$BT212,,T212+1)*R212-ERP_i)*Q212*Ramure*Pc/MaxiM</f>
        <v>0</v>
      </c>
      <c r="Q212" s="305">
        <f t="shared" si="77"/>
        <v>0.7</v>
      </c>
      <c r="R212" s="177">
        <f t="shared" si="78"/>
        <v>0.14619234215794052</v>
      </c>
      <c r="S212" s="817">
        <f t="shared" si="79"/>
        <v>-1</v>
      </c>
      <c r="T212" s="176">
        <f t="shared" si="80"/>
        <v>5</v>
      </c>
      <c r="U212" s="251">
        <f t="shared" si="81"/>
        <v>-0.85380765784205948</v>
      </c>
      <c r="V212" s="383">
        <f t="shared" si="82"/>
        <v>36.772398645291325</v>
      </c>
      <c r="W212" s="402"/>
      <c r="X212" s="157">
        <f t="shared" si="83"/>
        <v>44028</v>
      </c>
      <c r="Y212" s="385">
        <f t="shared" si="84"/>
        <v>14.645</v>
      </c>
      <c r="Z212" s="385">
        <f t="shared" si="85"/>
        <v>14.910078275623126</v>
      </c>
      <c r="AA212" s="386">
        <f t="shared" si="86"/>
        <v>16.550169611875763</v>
      </c>
      <c r="AB212" s="197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9.9098158793235053E-2</v>
      </c>
      <c r="AD212" s="231">
        <f>(INDEX(Models!$BJ212:$BT212,,AH212)*(1-AF212)+INDEX(Models!$BJ212:$BT212,,AH212+1)*AF212-ERP_i)*AE212*Ramure*Pc/MaxiM</f>
        <v>0</v>
      </c>
      <c r="AE212" s="305">
        <f t="shared" si="88"/>
        <v>0.7</v>
      </c>
      <c r="AF212" s="177">
        <f t="shared" si="89"/>
        <v>0.14619234215794052</v>
      </c>
      <c r="AG212" s="817">
        <f t="shared" si="95"/>
        <v>-1</v>
      </c>
      <c r="AH212" s="176">
        <f t="shared" si="90"/>
        <v>5</v>
      </c>
      <c r="AI212" s="225">
        <f t="shared" si="91"/>
        <v>-0.85380765784205948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4"/>
        <v>44029</v>
      </c>
      <c r="B213" s="617">
        <v>16.744</v>
      </c>
      <c r="C213" s="390"/>
      <c r="D213" s="393">
        <f t="shared" si="74"/>
        <v>17.047444099542588</v>
      </c>
      <c r="E213" s="385">
        <f t="shared" si="72"/>
        <v>18.924137566760152</v>
      </c>
      <c r="F213" s="385">
        <f t="shared" si="75"/>
        <v>18.924137566760152</v>
      </c>
      <c r="G213" s="110">
        <f t="shared" si="73"/>
        <v>0.4563665939069646</v>
      </c>
      <c r="H213" s="414" t="b">
        <f>Wh_hp&gt;='2019'!Maxi_hp</f>
        <v>0</v>
      </c>
      <c r="I213" s="380">
        <f>IF(H213,Wh_hp,'2019'!Maxi_hp)</f>
        <v>28.574401402308087</v>
      </c>
      <c r="J213" s="85">
        <f>IF(H213,An,'2019'!An_max)</f>
        <v>2018</v>
      </c>
      <c r="K213" s="197">
        <f t="shared" si="76"/>
        <v>44029</v>
      </c>
      <c r="L213" s="147">
        <f>IF(t&lt;Tvie,1-EXP((T0-t)*PertePVj)+'2019'!Pspv,1-EXP((T0-t)*PertePVj)+Pspv)</f>
        <v>1.7799976217592106E-2</v>
      </c>
      <c r="M213" s="850"/>
      <c r="N213" s="850"/>
      <c r="O213" s="48">
        <f>IF(t&lt;Tnet,'2019'!Resal+('2019'!Salim-'2019'!Resal)*(1-EXP(('2019'!Tnet-t)/('2019'!Tau_j))),Resal+(Salim-Resal)*(1-EXP((Tnet-t)/(Tau_j))))*Salcycl</f>
        <v>9.9169299557087212E-2</v>
      </c>
      <c r="P213" s="169">
        <f>(INDEX(Models!$BJ213:$BT213,,T213)*(1-R213)+INDEX(Models!$BJ213:$BT213,,T213+1)*R213-ERP_i)*Q213*Ramure*Pc/MaxiM</f>
        <v>0</v>
      </c>
      <c r="Q213" s="305">
        <f t="shared" si="77"/>
        <v>0.7</v>
      </c>
      <c r="R213" s="177">
        <f t="shared" si="78"/>
        <v>0.14798641507762844</v>
      </c>
      <c r="S213" s="817">
        <f t="shared" si="79"/>
        <v>-1</v>
      </c>
      <c r="T213" s="176">
        <f t="shared" si="80"/>
        <v>5</v>
      </c>
      <c r="U213" s="251">
        <f t="shared" si="81"/>
        <v>-0.85201358492237156</v>
      </c>
      <c r="V213" s="383">
        <f t="shared" si="82"/>
        <v>36.689802066041338</v>
      </c>
      <c r="W213" s="402"/>
      <c r="X213" s="157">
        <f t="shared" si="83"/>
        <v>44029</v>
      </c>
      <c r="Y213" s="385">
        <f t="shared" si="84"/>
        <v>16.744</v>
      </c>
      <c r="Z213" s="385">
        <f t="shared" si="85"/>
        <v>17.047444099542588</v>
      </c>
      <c r="AA213" s="386">
        <f t="shared" si="86"/>
        <v>18.924137566760152</v>
      </c>
      <c r="AB213" s="197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9.9169299557087212E-2</v>
      </c>
      <c r="AD213" s="231">
        <f>(INDEX(Models!$BJ213:$BT213,,AH213)*(1-AF213)+INDEX(Models!$BJ213:$BT213,,AH213+1)*AF213-ERP_i)*AE213*Ramure*Pc/MaxiM</f>
        <v>0</v>
      </c>
      <c r="AE213" s="305">
        <f t="shared" si="88"/>
        <v>0.7</v>
      </c>
      <c r="AF213" s="177">
        <f t="shared" si="89"/>
        <v>0.14798641507762844</v>
      </c>
      <c r="AG213" s="817">
        <f t="shared" si="95"/>
        <v>-1</v>
      </c>
      <c r="AH213" s="176">
        <f t="shared" si="90"/>
        <v>5</v>
      </c>
      <c r="AI213" s="225">
        <f t="shared" si="91"/>
        <v>-0.85201358492237156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4"/>
        <v>44030</v>
      </c>
      <c r="B214" s="617">
        <v>37.540999999999997</v>
      </c>
      <c r="C214" s="390"/>
      <c r="D214" s="393">
        <f t="shared" si="74"/>
        <v>38.222176087599983</v>
      </c>
      <c r="E214" s="385">
        <f t="shared" si="72"/>
        <v>42.433234679233138</v>
      </c>
      <c r="F214" s="385">
        <f t="shared" si="75"/>
        <v>42.433234679233138</v>
      </c>
      <c r="G214" s="110">
        <f t="shared" si="73"/>
        <v>1.0255230357138723</v>
      </c>
      <c r="H214" s="414" t="b">
        <f>Wh_hp&gt;='2019'!Maxi_hp</f>
        <v>1</v>
      </c>
      <c r="I214" s="380">
        <f>IF(H214,Wh_hp,'2019'!Maxi_hp)</f>
        <v>42.433234679233138</v>
      </c>
      <c r="J214" s="85">
        <f>IF(H214,An,'2019'!An_max)</f>
        <v>2020</v>
      </c>
      <c r="K214" s="197">
        <f t="shared" si="76"/>
        <v>44030</v>
      </c>
      <c r="L214" s="147">
        <f>IF(t&lt;Tvie,1-EXP((T0-t)*PertePVj)+'2019'!Pspv,1-EXP((T0-t)*PertePVj)+Pspv)</f>
        <v>1.7821488918862816E-2</v>
      </c>
      <c r="M214" s="850"/>
      <c r="N214" s="850"/>
      <c r="O214" s="48">
        <f>IF(t&lt;Tnet,'2019'!Resal+('2019'!Salim-'2019'!Resal)*(1-EXP(('2019'!Tnet-t)/('2019'!Tau_j))),Resal+(Salim-Resal)*(1-EXP((Tnet-t)/(Tau_j))))*Salcycl</f>
        <v>9.923963194099962E-2</v>
      </c>
      <c r="P214" s="169">
        <f>(INDEX(Models!$BJ214:$BT214,,T214)*(1-R214)+INDEX(Models!$BJ214:$BT214,,T214+1)*R214-ERP_i)*Q214*Ramure*Pc/MaxiM</f>
        <v>0</v>
      </c>
      <c r="Q214" s="305">
        <f t="shared" si="77"/>
        <v>0.7</v>
      </c>
      <c r="R214" s="177">
        <f t="shared" si="78"/>
        <v>0.14973297419708353</v>
      </c>
      <c r="S214" s="817">
        <f t="shared" si="79"/>
        <v>-1</v>
      </c>
      <c r="T214" s="176">
        <f t="shared" si="80"/>
        <v>5</v>
      </c>
      <c r="U214" s="251">
        <f t="shared" si="81"/>
        <v>-0.85026702580291647</v>
      </c>
      <c r="V214" s="383">
        <f t="shared" si="82"/>
        <v>36.606686239736682</v>
      </c>
      <c r="W214" s="402"/>
      <c r="X214" s="157">
        <f t="shared" si="83"/>
        <v>44030</v>
      </c>
      <c r="Y214" s="385">
        <f t="shared" si="84"/>
        <v>37.540999999999997</v>
      </c>
      <c r="Z214" s="385">
        <f t="shared" si="85"/>
        <v>38.222176087599983</v>
      </c>
      <c r="AA214" s="386">
        <f t="shared" si="86"/>
        <v>42.433234679233138</v>
      </c>
      <c r="AB214" s="197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9.923963194099962E-2</v>
      </c>
      <c r="AD214" s="231">
        <f>(INDEX(Models!$BJ214:$BT214,,AH214)*(1-AF214)+INDEX(Models!$BJ214:$BT214,,AH214+1)*AF214-ERP_i)*AE214*Ramure*Pc/MaxiM</f>
        <v>0</v>
      </c>
      <c r="AE214" s="305">
        <f t="shared" si="88"/>
        <v>0.7</v>
      </c>
      <c r="AF214" s="177">
        <f t="shared" si="89"/>
        <v>0.14973297419708353</v>
      </c>
      <c r="AG214" s="817">
        <f t="shared" si="95"/>
        <v>-1</v>
      </c>
      <c r="AH214" s="176">
        <f t="shared" si="90"/>
        <v>5</v>
      </c>
      <c r="AI214" s="225">
        <f t="shared" si="91"/>
        <v>-0.85026702580291647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4"/>
        <v>44031</v>
      </c>
      <c r="B215" s="617">
        <v>36.384999999999998</v>
      </c>
      <c r="C215" s="390"/>
      <c r="D215" s="393">
        <f t="shared" si="74"/>
        <v>37.046012035310056</v>
      </c>
      <c r="E215" s="385">
        <f t="shared" si="72"/>
        <v>41.130665538224456</v>
      </c>
      <c r="F215" s="385">
        <f t="shared" si="75"/>
        <v>41.130665538224456</v>
      </c>
      <c r="G215" s="110">
        <f t="shared" si="73"/>
        <v>0.99620988325682014</v>
      </c>
      <c r="H215" s="414" t="b">
        <f>Wh_hp&gt;='2019'!Maxi_hp</f>
        <v>1</v>
      </c>
      <c r="I215" s="380">
        <f>IF(H215,Wh_hp,'2019'!Maxi_hp)</f>
        <v>41.130665538224456</v>
      </c>
      <c r="J215" s="85">
        <f>IF(H215,An,'2019'!An_max)</f>
        <v>2020</v>
      </c>
      <c r="K215" s="197">
        <f t="shared" si="76"/>
        <v>44031</v>
      </c>
      <c r="L215" s="147">
        <f>IF(t&lt;Tvie,1-EXP((T0-t)*PertePVj)+'2019'!Pspv,1-EXP((T0-t)*PertePVj)+Pspv)</f>
        <v>1.784300114895021E-2</v>
      </c>
      <c r="M215" s="850"/>
      <c r="N215" s="850"/>
      <c r="O215" s="48">
        <f>IF(t&lt;Tnet,'2019'!Resal+('2019'!Salim-'2019'!Resal)*(1-EXP(('2019'!Tnet-t)/('2019'!Tau_j))),Resal+(Salim-Resal)*(1-EXP((Tnet-t)/(Tau_j))))*Salcycl</f>
        <v>9.9309200312315951E-2</v>
      </c>
      <c r="P215" s="169">
        <f>(INDEX(Models!$BJ215:$BT215,,T215)*(1-R215)+INDEX(Models!$BJ215:$BT215,,T215+1)*R215-ERP_i)*Q215*Ramure*Pc/MaxiM</f>
        <v>0</v>
      </c>
      <c r="Q215" s="305">
        <f t="shared" si="77"/>
        <v>0.7</v>
      </c>
      <c r="R215" s="177">
        <f t="shared" si="78"/>
        <v>0.1514324658087568</v>
      </c>
      <c r="S215" s="817">
        <f t="shared" si="79"/>
        <v>-1</v>
      </c>
      <c r="T215" s="176">
        <f t="shared" si="80"/>
        <v>5</v>
      </c>
      <c r="U215" s="251">
        <f t="shared" si="81"/>
        <v>-0.8485675341912432</v>
      </c>
      <c r="V215" s="383">
        <f t="shared" si="82"/>
        <v>36.523428056194106</v>
      </c>
      <c r="W215" s="402"/>
      <c r="X215" s="157">
        <f t="shared" si="83"/>
        <v>44031</v>
      </c>
      <c r="Y215" s="385">
        <f t="shared" si="84"/>
        <v>36.384999999999998</v>
      </c>
      <c r="Z215" s="385">
        <f t="shared" si="85"/>
        <v>37.046012035310056</v>
      </c>
      <c r="AA215" s="386">
        <f t="shared" si="86"/>
        <v>41.130665538224456</v>
      </c>
      <c r="AB215" s="197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9.9309200312315951E-2</v>
      </c>
      <c r="AD215" s="231">
        <f>(INDEX(Models!$BJ215:$BT215,,AH215)*(1-AF215)+INDEX(Models!$BJ215:$BT215,,AH215+1)*AF215-ERP_i)*AE215*Ramure*Pc/MaxiM</f>
        <v>0</v>
      </c>
      <c r="AE215" s="305">
        <f t="shared" si="88"/>
        <v>0.7</v>
      </c>
      <c r="AF215" s="177">
        <f t="shared" si="89"/>
        <v>0.1514324658087568</v>
      </c>
      <c r="AG215" s="817">
        <f t="shared" si="95"/>
        <v>-1</v>
      </c>
      <c r="AH215" s="176">
        <f t="shared" si="90"/>
        <v>5</v>
      </c>
      <c r="AI215" s="225">
        <f t="shared" si="91"/>
        <v>-0.8485675341912432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4"/>
        <v>44032</v>
      </c>
      <c r="B216" s="617">
        <v>30.356000000000002</v>
      </c>
      <c r="C216" s="390"/>
      <c r="D216" s="393">
        <f t="shared" si="74"/>
        <v>30.908159209150195</v>
      </c>
      <c r="E216" s="385">
        <f t="shared" si="72"/>
        <v>34.318682910320518</v>
      </c>
      <c r="F216" s="385">
        <f t="shared" si="75"/>
        <v>34.318682910320518</v>
      </c>
      <c r="G216" s="110">
        <f t="shared" si="73"/>
        <v>0.83303137154692619</v>
      </c>
      <c r="H216" s="414" t="b">
        <f>Wh_hp&gt;='2019'!Maxi_hp</f>
        <v>1</v>
      </c>
      <c r="I216" s="380">
        <f>IF(H216,Wh_hp,'2019'!Maxi_hp)</f>
        <v>34.318682910320518</v>
      </c>
      <c r="J216" s="85">
        <f>IF(H216,An,'2019'!An_max)</f>
        <v>2020</v>
      </c>
      <c r="K216" s="197">
        <f t="shared" si="76"/>
        <v>44032</v>
      </c>
      <c r="L216" s="147">
        <f>IF(t&lt;Tvie,1-EXP((T0-t)*PertePVj)+'2019'!Pspv,1-EXP((T0-t)*PertePVj)+Pspv)</f>
        <v>1.7864512907864505E-2</v>
      </c>
      <c r="M216" s="850"/>
      <c r="N216" s="850"/>
      <c r="O216" s="48">
        <f>IF(t&lt;Tnet,'2019'!Resal+('2019'!Salim-'2019'!Resal)*(1-EXP(('2019'!Tnet-t)/('2019'!Tau_j))),Resal+(Salim-Resal)*(1-EXP((Tnet-t)/(Tau_j))))*Salcycl</f>
        <v>9.9378047522467428E-2</v>
      </c>
      <c r="P216" s="169">
        <f>(INDEX(Models!$BJ216:$BT216,,T216)*(1-R216)+INDEX(Models!$BJ216:$BT216,,T216+1)*R216-ERP_i)*Q216*Ramure*Pc/MaxiM</f>
        <v>0</v>
      </c>
      <c r="Q216" s="305">
        <f t="shared" si="77"/>
        <v>0.7</v>
      </c>
      <c r="R216" s="177">
        <f t="shared" si="78"/>
        <v>0.15308538980440334</v>
      </c>
      <c r="S216" s="817">
        <f t="shared" si="79"/>
        <v>-1</v>
      </c>
      <c r="T216" s="176">
        <f t="shared" si="80"/>
        <v>5</v>
      </c>
      <c r="U216" s="251">
        <f t="shared" si="81"/>
        <v>-0.84691461019559666</v>
      </c>
      <c r="V216" s="383">
        <f t="shared" si="82"/>
        <v>36.44040433150721</v>
      </c>
      <c r="W216" s="402"/>
      <c r="X216" s="157">
        <f t="shared" si="83"/>
        <v>44032</v>
      </c>
      <c r="Y216" s="385">
        <f t="shared" si="84"/>
        <v>30.355999999999998</v>
      </c>
      <c r="Z216" s="385">
        <f t="shared" si="85"/>
        <v>30.908159209150192</v>
      </c>
      <c r="AA216" s="386">
        <f t="shared" si="86"/>
        <v>34.318682910320518</v>
      </c>
      <c r="AB216" s="197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9.9378047522467428E-2</v>
      </c>
      <c r="AD216" s="231">
        <f>(INDEX(Models!$BJ216:$BT216,,AH216)*(1-AF216)+INDEX(Models!$BJ216:$BT216,,AH216+1)*AF216-ERP_i)*AE216*Ramure*Pc/MaxiM</f>
        <v>0</v>
      </c>
      <c r="AE216" s="305">
        <f t="shared" si="88"/>
        <v>0.7</v>
      </c>
      <c r="AF216" s="177">
        <f t="shared" si="89"/>
        <v>0.15308538980440334</v>
      </c>
      <c r="AG216" s="817">
        <f t="shared" si="95"/>
        <v>-1</v>
      </c>
      <c r="AH216" s="176">
        <f t="shared" si="90"/>
        <v>5</v>
      </c>
      <c r="AI216" s="225">
        <f t="shared" si="91"/>
        <v>-0.84691461019559666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4"/>
        <v>44033</v>
      </c>
      <c r="B217" s="617">
        <v>33.674999999999997</v>
      </c>
      <c r="C217" s="390"/>
      <c r="D217" s="393">
        <f t="shared" si="74"/>
        <v>34.288281024021735</v>
      </c>
      <c r="E217" s="385">
        <f t="shared" si="72"/>
        <v>38.074662041053536</v>
      </c>
      <c r="F217" s="385">
        <f t="shared" si="75"/>
        <v>38.074662041053536</v>
      </c>
      <c r="G217" s="110">
        <f t="shared" si="73"/>
        <v>0.92620627042773063</v>
      </c>
      <c r="H217" s="414" t="b">
        <f>Wh_hp&gt;='2019'!Maxi_hp</f>
        <v>0</v>
      </c>
      <c r="I217" s="380">
        <f>IF(H217,Wh_hp,'2019'!Maxi_hp)</f>
        <v>39.921621323756099</v>
      </c>
      <c r="J217" s="85">
        <f>IF(H217,An,'2019'!An_max)</f>
        <v>2018</v>
      </c>
      <c r="K217" s="197">
        <f t="shared" si="76"/>
        <v>44033</v>
      </c>
      <c r="L217" s="147">
        <f>IF(t&lt;Tvie,1-EXP((T0-t)*PertePVj)+'2019'!Pspv,1-EXP((T0-t)*PertePVj)+Pspv)</f>
        <v>1.7886024195616135E-2</v>
      </c>
      <c r="M217" s="850"/>
      <c r="N217" s="850"/>
      <c r="O217" s="48">
        <f>IF(t&lt;Tnet,'2019'!Resal+('2019'!Salim-'2019'!Resal)*(1-EXP(('2019'!Tnet-t)/('2019'!Tau_j))),Resal+(Salim-Resal)*(1-EXP((Tnet-t)/(Tau_j))))*Salcycl</f>
        <v>9.9446214728030335E-2</v>
      </c>
      <c r="P217" s="169">
        <f>(INDEX(Models!$BJ217:$BT217,,T217)*(1-R217)+INDEX(Models!$BJ217:$BT217,,T217+1)*R217-ERP_i)*Q217*Ramure*Pc/MaxiM</f>
        <v>0</v>
      </c>
      <c r="Q217" s="305">
        <f t="shared" si="77"/>
        <v>0.7</v>
      </c>
      <c r="R217" s="177">
        <f t="shared" si="78"/>
        <v>0.15469229553009312</v>
      </c>
      <c r="S217" s="817">
        <f t="shared" si="79"/>
        <v>-1</v>
      </c>
      <c r="T217" s="176">
        <f t="shared" si="80"/>
        <v>5</v>
      </c>
      <c r="U217" s="251">
        <f t="shared" si="81"/>
        <v>-0.84530770446990688</v>
      </c>
      <c r="V217" s="383">
        <f t="shared" si="82"/>
        <v>36.357991815849587</v>
      </c>
      <c r="W217" s="402"/>
      <c r="X217" s="157">
        <f t="shared" si="83"/>
        <v>44033</v>
      </c>
      <c r="Y217" s="385">
        <f t="shared" si="84"/>
        <v>33.674999999999997</v>
      </c>
      <c r="Z217" s="385">
        <f t="shared" si="85"/>
        <v>34.288281024021735</v>
      </c>
      <c r="AA217" s="386">
        <f t="shared" si="86"/>
        <v>38.074662041053536</v>
      </c>
      <c r="AB217" s="197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9.9446214728030335E-2</v>
      </c>
      <c r="AD217" s="231">
        <f>(INDEX(Models!$BJ217:$BT217,,AH217)*(1-AF217)+INDEX(Models!$BJ217:$BT217,,AH217+1)*AF217-ERP_i)*AE217*Ramure*Pc/MaxiM</f>
        <v>0</v>
      </c>
      <c r="AE217" s="305">
        <f t="shared" si="88"/>
        <v>0.7</v>
      </c>
      <c r="AF217" s="177">
        <f t="shared" si="89"/>
        <v>0.15469229553009312</v>
      </c>
      <c r="AG217" s="817">
        <f t="shared" si="95"/>
        <v>-1</v>
      </c>
      <c r="AH217" s="176">
        <f t="shared" si="90"/>
        <v>5</v>
      </c>
      <c r="AI217" s="225">
        <f t="shared" si="91"/>
        <v>-0.84530770446990688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44034</v>
      </c>
      <c r="B218" s="617">
        <v>31.094000000000001</v>
      </c>
      <c r="C218" s="390"/>
      <c r="D218" s="393">
        <f t="shared" si="74"/>
        <v>31.660969927497355</v>
      </c>
      <c r="E218" s="385">
        <f t="shared" si="72"/>
        <v>35.159859041900859</v>
      </c>
      <c r="F218" s="385">
        <f t="shared" si="75"/>
        <v>35.159859041900859</v>
      </c>
      <c r="G218" s="110">
        <f t="shared" si="73"/>
        <v>0.85713733126029679</v>
      </c>
      <c r="H218" s="414" t="b">
        <f>Wh_hp&gt;='2019'!Maxi_hp</f>
        <v>0</v>
      </c>
      <c r="I218" s="380">
        <f>IF(H218,Wh_hp,'2019'!Maxi_hp)</f>
        <v>40.234800142137267</v>
      </c>
      <c r="J218" s="85">
        <f>IF(H218,An,'2019'!An_max)</f>
        <v>2018</v>
      </c>
      <c r="K218" s="197">
        <f t="shared" si="76"/>
        <v>44034</v>
      </c>
      <c r="L218" s="147">
        <f>IF(t&lt;Tvie,1-EXP((T0-t)*PertePVj)+'2019'!Pspv,1-EXP((T0-t)*PertePVj)+Pspv)</f>
        <v>1.7907535012215314E-2</v>
      </c>
      <c r="M218" s="850"/>
      <c r="N218" s="850"/>
      <c r="O218" s="48">
        <f>IF(t&lt;Tnet,'2019'!Resal+('2019'!Salim-'2019'!Resal)*(1-EXP(('2019'!Tnet-t)/('2019'!Tau_j))),Resal+(Salim-Resal)*(1-EXP((Tnet-t)/(Tau_j))))*Salcycl</f>
        <v>9.9513741230696853E-2</v>
      </c>
      <c r="P218" s="169">
        <f>(INDEX(Models!$BJ218:$BT218,,T218)*(1-R218)+INDEX(Models!$BJ218:$BT218,,T218+1)*R218-ERP_i)*Q218*Ramure*Pc/MaxiM</f>
        <v>0</v>
      </c>
      <c r="Q218" s="305">
        <f t="shared" si="77"/>
        <v>0.7</v>
      </c>
      <c r="R218" s="177">
        <f t="shared" si="78"/>
        <v>0.15625377770872884</v>
      </c>
      <c r="S218" s="817">
        <f t="shared" si="79"/>
        <v>-1</v>
      </c>
      <c r="T218" s="176">
        <f t="shared" si="80"/>
        <v>5</v>
      </c>
      <c r="U218" s="251">
        <f t="shared" si="81"/>
        <v>-0.84374622229127116</v>
      </c>
      <c r="V218" s="383">
        <f t="shared" si="82"/>
        <v>36.276567203391743</v>
      </c>
      <c r="W218" s="402"/>
      <c r="X218" s="157">
        <f t="shared" si="83"/>
        <v>44034</v>
      </c>
      <c r="Y218" s="385">
        <f t="shared" si="84"/>
        <v>31.094000000000005</v>
      </c>
      <c r="Z218" s="385">
        <f t="shared" si="85"/>
        <v>31.660969927497359</v>
      </c>
      <c r="AA218" s="386">
        <f t="shared" si="86"/>
        <v>35.159859041900859</v>
      </c>
      <c r="AB218" s="197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9.9513741230696853E-2</v>
      </c>
      <c r="AD218" s="231">
        <f>(INDEX(Models!$BJ218:$BT218,,AH218)*(1-AF218)+INDEX(Models!$BJ218:$BT218,,AH218+1)*AF218-ERP_i)*AE218*Ramure*Pc/MaxiM</f>
        <v>0</v>
      </c>
      <c r="AE218" s="305">
        <f t="shared" si="88"/>
        <v>0.7</v>
      </c>
      <c r="AF218" s="177">
        <f t="shared" si="89"/>
        <v>0.15625377770872884</v>
      </c>
      <c r="AG218" s="817">
        <f t="shared" si="95"/>
        <v>-1</v>
      </c>
      <c r="AH218" s="176">
        <f t="shared" si="90"/>
        <v>5</v>
      </c>
      <c r="AI218" s="225">
        <f t="shared" si="91"/>
        <v>-0.84374622229127116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4"/>
        <v>44035</v>
      </c>
      <c r="B219" s="617">
        <v>29.189</v>
      </c>
      <c r="C219" s="390"/>
      <c r="D219" s="393">
        <f t="shared" si="74"/>
        <v>29.7218850247238</v>
      </c>
      <c r="E219" s="385">
        <f t="shared" si="72"/>
        <v>33.008936889200591</v>
      </c>
      <c r="F219" s="385">
        <f t="shared" si="75"/>
        <v>33.008936889200591</v>
      </c>
      <c r="G219" s="110">
        <f t="shared" si="73"/>
        <v>0.80641572391683014</v>
      </c>
      <c r="H219" s="414" t="b">
        <f>Wh_hp&gt;='2019'!Maxi_hp</f>
        <v>0</v>
      </c>
      <c r="I219" s="380">
        <f>IF(H219,Wh_hp,'2019'!Maxi_hp)</f>
        <v>37.592958508530771</v>
      </c>
      <c r="J219" s="85">
        <f>IF(H219,An,'2019'!An_max)</f>
        <v>2019</v>
      </c>
      <c r="K219" s="197">
        <f t="shared" si="76"/>
        <v>44035</v>
      </c>
      <c r="L219" s="147">
        <f>IF(t&lt;Tvie,1-EXP((T0-t)*PertePVj)+'2019'!Pspv,1-EXP((T0-t)*PertePVj)+Pspv)</f>
        <v>1.792904535767248E-2</v>
      </c>
      <c r="M219" s="850"/>
      <c r="N219" s="850"/>
      <c r="O219" s="48">
        <f>IF(t&lt;Tnet,'2019'!Resal+('2019'!Salim-'2019'!Resal)*(1-EXP(('2019'!Tnet-t)/('2019'!Tau_j))),Resal+(Salim-Resal)*(1-EXP((Tnet-t)/(Tau_j))))*Salcycl</f>
        <v>9.9580664336760299E-2</v>
      </c>
      <c r="P219" s="169">
        <f>(INDEX(Models!$BJ219:$BT219,,T219)*(1-R219)+INDEX(Models!$BJ219:$BT219,,T219+1)*R219-ERP_i)*Q219*Ramure*Pc/MaxiM</f>
        <v>0</v>
      </c>
      <c r="Q219" s="305">
        <f t="shared" si="77"/>
        <v>0.7</v>
      </c>
      <c r="R219" s="177">
        <f t="shared" si="78"/>
        <v>0.15777047244717712</v>
      </c>
      <c r="S219" s="817">
        <f t="shared" si="79"/>
        <v>-1</v>
      </c>
      <c r="T219" s="176">
        <f t="shared" si="80"/>
        <v>5</v>
      </c>
      <c r="U219" s="251">
        <f t="shared" si="81"/>
        <v>-0.84222952755282288</v>
      </c>
      <c r="V219" s="383">
        <f t="shared" si="82"/>
        <v>36.195970805512736</v>
      </c>
      <c r="W219" s="402"/>
      <c r="X219" s="157">
        <f t="shared" si="83"/>
        <v>44035</v>
      </c>
      <c r="Y219" s="385">
        <f t="shared" si="84"/>
        <v>29.189000000000004</v>
      </c>
      <c r="Z219" s="385">
        <f t="shared" si="85"/>
        <v>29.721885024723804</v>
      </c>
      <c r="AA219" s="386">
        <f t="shared" si="86"/>
        <v>33.008936889200591</v>
      </c>
      <c r="AB219" s="197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9.9580664336760299E-2</v>
      </c>
      <c r="AD219" s="231">
        <f>(INDEX(Models!$BJ219:$BT219,,AH219)*(1-AF219)+INDEX(Models!$BJ219:$BT219,,AH219+1)*AF219-ERP_i)*AE219*Ramure*Pc/MaxiM</f>
        <v>0</v>
      </c>
      <c r="AE219" s="305">
        <f t="shared" si="88"/>
        <v>0.7</v>
      </c>
      <c r="AF219" s="177">
        <f t="shared" si="89"/>
        <v>0.15777047244717712</v>
      </c>
      <c r="AG219" s="817">
        <f t="shared" si="95"/>
        <v>-1</v>
      </c>
      <c r="AH219" s="176">
        <f t="shared" si="90"/>
        <v>5</v>
      </c>
      <c r="AI219" s="225">
        <f t="shared" si="91"/>
        <v>-0.84222952755282288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4"/>
        <v>44036</v>
      </c>
      <c r="B220" s="617">
        <v>36.709000000000003</v>
      </c>
      <c r="C220" s="390"/>
      <c r="D220" s="393">
        <f t="shared" si="74"/>
        <v>37.379991603856645</v>
      </c>
      <c r="E220" s="385">
        <f t="shared" si="72"/>
        <v>41.517040985591251</v>
      </c>
      <c r="F220" s="385">
        <f t="shared" si="75"/>
        <v>41.517040985591251</v>
      </c>
      <c r="G220" s="110">
        <f t="shared" si="73"/>
        <v>1.0164287564677796</v>
      </c>
      <c r="H220" s="414" t="b">
        <f>Wh_hp&gt;='2019'!Maxi_hp</f>
        <v>1</v>
      </c>
      <c r="I220" s="380">
        <f>IF(H220,Wh_hp,'2019'!Maxi_hp)</f>
        <v>41.517040985591251</v>
      </c>
      <c r="J220" s="85">
        <f>IF(H220,An,'2019'!An_max)</f>
        <v>2020</v>
      </c>
      <c r="K220" s="197">
        <f t="shared" si="76"/>
        <v>44036</v>
      </c>
      <c r="L220" s="147">
        <f>IF(t&lt;Tvie,1-EXP((T0-t)*PertePVj)+'2019'!Pspv,1-EXP((T0-t)*PertePVj)+Pspv)</f>
        <v>1.7950555231997734E-2</v>
      </c>
      <c r="M220" s="850"/>
      <c r="N220" s="850"/>
      <c r="O220" s="48">
        <f>IF(t&lt;Tnet,'2019'!Resal+('2019'!Salim-'2019'!Resal)*(1-EXP(('2019'!Tnet-t)/('2019'!Tau_j))),Resal+(Salim-Resal)*(1-EXP((Tnet-t)/(Tau_j))))*Salcycl</f>
        <v>9.9647019236520085E-2</v>
      </c>
      <c r="P220" s="169">
        <f>(INDEX(Models!$BJ220:$BT220,,T220)*(1-R220)+INDEX(Models!$BJ220:$BT220,,T220+1)*R220-ERP_i)*Q220*Ramure*Pc/MaxiM</f>
        <v>0</v>
      </c>
      <c r="Q220" s="305">
        <f t="shared" si="77"/>
        <v>0.7</v>
      </c>
      <c r="R220" s="177">
        <f t="shared" si="78"/>
        <v>0.15924305334308442</v>
      </c>
      <c r="S220" s="817">
        <f t="shared" si="79"/>
        <v>-1</v>
      </c>
      <c r="T220" s="176">
        <f t="shared" si="80"/>
        <v>5</v>
      </c>
      <c r="U220" s="251">
        <f t="shared" si="81"/>
        <v>-0.84075694665691558</v>
      </c>
      <c r="V220" s="383">
        <f t="shared" si="82"/>
        <v>36.115664542558299</v>
      </c>
      <c r="W220" s="402"/>
      <c r="X220" s="157">
        <f t="shared" si="83"/>
        <v>44036</v>
      </c>
      <c r="Y220" s="385">
        <f t="shared" si="84"/>
        <v>36.709000000000003</v>
      </c>
      <c r="Z220" s="385">
        <f t="shared" si="85"/>
        <v>37.379991603856645</v>
      </c>
      <c r="AA220" s="386">
        <f t="shared" si="86"/>
        <v>41.517040985591251</v>
      </c>
      <c r="AB220" s="197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9.9647019236520085E-2</v>
      </c>
      <c r="AD220" s="231">
        <f>(INDEX(Models!$BJ220:$BT220,,AH220)*(1-AF220)+INDEX(Models!$BJ220:$BT220,,AH220+1)*AF220-ERP_i)*AE220*Ramure*Pc/MaxiM</f>
        <v>0</v>
      </c>
      <c r="AE220" s="305">
        <f t="shared" si="88"/>
        <v>0.7</v>
      </c>
      <c r="AF220" s="177">
        <f t="shared" si="89"/>
        <v>0.15924305334308442</v>
      </c>
      <c r="AG220" s="817">
        <f t="shared" si="95"/>
        <v>-1</v>
      </c>
      <c r="AH220" s="176">
        <f t="shared" si="90"/>
        <v>5</v>
      </c>
      <c r="AI220" s="225">
        <f t="shared" si="91"/>
        <v>-0.84075694665691558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4"/>
        <v>44037</v>
      </c>
      <c r="B221" s="617">
        <v>35.774999999999999</v>
      </c>
      <c r="C221" s="390"/>
      <c r="D221" s="393">
        <f t="shared" si="74"/>
        <v>36.429717232749084</v>
      </c>
      <c r="E221" s="385">
        <f t="shared" si="72"/>
        <v>40.464552652725096</v>
      </c>
      <c r="F221" s="385">
        <f t="shared" si="75"/>
        <v>40.464552652725096</v>
      </c>
      <c r="G221" s="110">
        <f t="shared" si="73"/>
        <v>0.99277218513462628</v>
      </c>
      <c r="H221" s="414" t="b">
        <f>Wh_hp&gt;='2019'!Maxi_hp</f>
        <v>1</v>
      </c>
      <c r="I221" s="380">
        <f>IF(H221,Wh_hp,'2019'!Maxi_hp)</f>
        <v>40.464552652725096</v>
      </c>
      <c r="J221" s="85">
        <f>IF(H221,An,'2019'!An_max)</f>
        <v>2020</v>
      </c>
      <c r="K221" s="197">
        <f t="shared" si="76"/>
        <v>44037</v>
      </c>
      <c r="L221" s="147">
        <f>IF(t&lt;Tvie,1-EXP((T0-t)*PertePVj)+'2019'!Pspv,1-EXP((T0-t)*PertePVj)+Pspv)</f>
        <v>1.7972064635201623E-2</v>
      </c>
      <c r="M221" s="850"/>
      <c r="N221" s="850"/>
      <c r="O221" s="48">
        <f>IF(t&lt;Tnet,'2019'!Resal+('2019'!Salim-'2019'!Resal)*(1-EXP(('2019'!Tnet-t)/('2019'!Tau_j))),Resal+(Salim-Resal)*(1-EXP((Tnet-t)/(Tau_j))))*Salcycl</f>
        <v>9.9712838903812356E-2</v>
      </c>
      <c r="P221" s="169">
        <f>(INDEX(Models!$BJ221:$BT221,,T221)*(1-R221)+INDEX(Models!$BJ221:$BT221,,T221+1)*R221-ERP_i)*Q221*Ramure*Pc/MaxiM</f>
        <v>0</v>
      </c>
      <c r="Q221" s="305">
        <f t="shared" si="77"/>
        <v>0.7</v>
      </c>
      <c r="R221" s="177">
        <f t="shared" si="78"/>
        <v>0.16067222770447631</v>
      </c>
      <c r="S221" s="817">
        <f t="shared" si="79"/>
        <v>-1</v>
      </c>
      <c r="T221" s="176">
        <f t="shared" si="80"/>
        <v>5</v>
      </c>
      <c r="U221" s="251">
        <f t="shared" si="81"/>
        <v>-0.83932777229552369</v>
      </c>
      <c r="V221" s="383">
        <f t="shared" si="82"/>
        <v>36.035457616239199</v>
      </c>
      <c r="W221" s="402"/>
      <c r="X221" s="157">
        <f t="shared" si="83"/>
        <v>44037</v>
      </c>
      <c r="Y221" s="385">
        <f t="shared" si="84"/>
        <v>35.774999999999999</v>
      </c>
      <c r="Z221" s="385">
        <f t="shared" si="85"/>
        <v>36.429717232749084</v>
      </c>
      <c r="AA221" s="386">
        <f t="shared" si="86"/>
        <v>40.464552652725096</v>
      </c>
      <c r="AB221" s="197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9.9712838903812356E-2</v>
      </c>
      <c r="AD221" s="231">
        <f>(INDEX(Models!$BJ221:$BT221,,AH221)*(1-AF221)+INDEX(Models!$BJ221:$BT221,,AH221+1)*AF221-ERP_i)*AE221*Ramure*Pc/MaxiM</f>
        <v>0</v>
      </c>
      <c r="AE221" s="305">
        <f t="shared" si="88"/>
        <v>0.7</v>
      </c>
      <c r="AF221" s="177">
        <f t="shared" si="89"/>
        <v>0.16067222770447631</v>
      </c>
      <c r="AG221" s="817">
        <f t="shared" si="95"/>
        <v>-1</v>
      </c>
      <c r="AH221" s="176">
        <f t="shared" si="90"/>
        <v>5</v>
      </c>
      <c r="AI221" s="225">
        <f t="shared" si="91"/>
        <v>-0.83932777229552369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4"/>
        <v>44038</v>
      </c>
      <c r="B222" s="617">
        <v>28.504999999999999</v>
      </c>
      <c r="C222" s="390"/>
      <c r="D222" s="393">
        <f t="shared" si="74"/>
        <v>29.027304947024572</v>
      </c>
      <c r="E222" s="385">
        <f t="shared" si="72"/>
        <v>32.244612899040931</v>
      </c>
      <c r="F222" s="385">
        <f t="shared" si="75"/>
        <v>32.244612899040931</v>
      </c>
      <c r="G222" s="110">
        <f t="shared" si="73"/>
        <v>0.79279303645058352</v>
      </c>
      <c r="H222" s="414" t="b">
        <f>Wh_hp&gt;='2019'!Maxi_hp</f>
        <v>0</v>
      </c>
      <c r="I222" s="380">
        <f>IF(H222,Wh_hp,'2019'!Maxi_hp)</f>
        <v>33.70499204234882</v>
      </c>
      <c r="J222" s="85">
        <f>IF(H222,An,'2019'!An_max)</f>
        <v>2018</v>
      </c>
      <c r="K222" s="197">
        <f t="shared" si="76"/>
        <v>44038</v>
      </c>
      <c r="L222" s="147">
        <f>IF(t&lt;Tvie,1-EXP((T0-t)*PertePVj)+'2019'!Pspv,1-EXP((T0-t)*PertePVj)+Pspv)</f>
        <v>1.7993573567294363E-2</v>
      </c>
      <c r="M222" s="850"/>
      <c r="N222" s="850"/>
      <c r="O222" s="48">
        <f>IF(t&lt;Tnet,'2019'!Resal+('2019'!Salim-'2019'!Resal)*(1-EXP(('2019'!Tnet-t)/('2019'!Tau_j))),Resal+(Salim-Resal)*(1-EXP((Tnet-t)/(Tau_j))))*Salcycl</f>
        <v>9.9778154015675913E-2</v>
      </c>
      <c r="P222" s="169">
        <f>(INDEX(Models!$BJ222:$BT222,,T222)*(1-R222)+INDEX(Models!$BJ222:$BT222,,T222+1)*R222-ERP_i)*Q222*Ramure*Pc/MaxiM</f>
        <v>0</v>
      </c>
      <c r="Q222" s="305">
        <f t="shared" si="77"/>
        <v>0.7</v>
      </c>
      <c r="R222" s="177">
        <f t="shared" si="78"/>
        <v>0.16205873289333439</v>
      </c>
      <c r="S222" s="817">
        <f t="shared" si="79"/>
        <v>-1</v>
      </c>
      <c r="T222" s="176">
        <f t="shared" si="80"/>
        <v>5</v>
      </c>
      <c r="U222" s="251">
        <f t="shared" si="81"/>
        <v>-0.83794126710666561</v>
      </c>
      <c r="V222" s="383">
        <f t="shared" si="82"/>
        <v>35.95515940404804</v>
      </c>
      <c r="W222" s="402"/>
      <c r="X222" s="157">
        <f t="shared" si="83"/>
        <v>44038</v>
      </c>
      <c r="Y222" s="385">
        <f t="shared" si="84"/>
        <v>28.505000000000003</v>
      </c>
      <c r="Z222" s="385">
        <f t="shared" si="85"/>
        <v>29.027304947024575</v>
      </c>
      <c r="AA222" s="386">
        <f t="shared" si="86"/>
        <v>32.244612899040931</v>
      </c>
      <c r="AB222" s="197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9.9778154015675913E-2</v>
      </c>
      <c r="AD222" s="231">
        <f>(INDEX(Models!$BJ222:$BT222,,AH222)*(1-AF222)+INDEX(Models!$BJ222:$BT222,,AH222+1)*AF222-ERP_i)*AE222*Ramure*Pc/MaxiM</f>
        <v>0</v>
      </c>
      <c r="AE222" s="305">
        <f t="shared" si="88"/>
        <v>0.7</v>
      </c>
      <c r="AF222" s="177">
        <f t="shared" si="89"/>
        <v>0.16205873289333439</v>
      </c>
      <c r="AG222" s="817">
        <f t="shared" si="95"/>
        <v>-1</v>
      </c>
      <c r="AH222" s="176">
        <f t="shared" si="90"/>
        <v>5</v>
      </c>
      <c r="AI222" s="225">
        <f t="shared" si="91"/>
        <v>-0.83794126710666561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4"/>
        <v>44039</v>
      </c>
      <c r="B223" s="617">
        <v>33.886000000000003</v>
      </c>
      <c r="C223" s="390"/>
      <c r="D223" s="393">
        <f t="shared" si="74"/>
        <v>34.507658294784619</v>
      </c>
      <c r="E223" s="385">
        <f t="shared" si="72"/>
        <v>38.335154892198894</v>
      </c>
      <c r="F223" s="385">
        <f t="shared" si="75"/>
        <v>38.335154892198894</v>
      </c>
      <c r="G223" s="110">
        <f t="shared" si="73"/>
        <v>0.94456856390279087</v>
      </c>
      <c r="H223" s="414" t="b">
        <f>Wh_hp&gt;='2019'!Maxi_hp</f>
        <v>0</v>
      </c>
      <c r="I223" s="380">
        <f>IF(H223,Wh_hp,'2019'!Maxi_hp)</f>
        <v>39.810455578458225</v>
      </c>
      <c r="J223" s="85">
        <f>IF(H223,An,'2019'!An_max)</f>
        <v>2019</v>
      </c>
      <c r="K223" s="197">
        <f t="shared" si="76"/>
        <v>44039</v>
      </c>
      <c r="L223" s="147">
        <f>IF(t&lt;Tvie,1-EXP((T0-t)*PertePVj)+'2019'!Pspv,1-EXP((T0-t)*PertePVj)+Pspv)</f>
        <v>1.8015082028286278E-2</v>
      </c>
      <c r="M223" s="850"/>
      <c r="N223" s="850"/>
      <c r="O223" s="48">
        <f>IF(t&lt;Tnet,'2019'!Resal+('2019'!Salim-'2019'!Resal)*(1-EXP(('2019'!Tnet-t)/('2019'!Tau_j))),Resal+(Salim-Resal)*(1-EXP((Tnet-t)/(Tau_j))))*Salcycl</f>
        <v>9.9842992891967186E-2</v>
      </c>
      <c r="P223" s="169">
        <f>(INDEX(Models!$BJ223:$BT223,,T223)*(1-R223)+INDEX(Models!$BJ223:$BT223,,T223+1)*R223-ERP_i)*Q223*Ramure*Pc/MaxiM</f>
        <v>0</v>
      </c>
      <c r="Q223" s="305">
        <f t="shared" si="77"/>
        <v>0.7</v>
      </c>
      <c r="R223" s="177">
        <f t="shared" si="78"/>
        <v>0.16340333280252162</v>
      </c>
      <c r="S223" s="817">
        <f t="shared" si="79"/>
        <v>-1</v>
      </c>
      <c r="T223" s="176">
        <f t="shared" si="80"/>
        <v>5</v>
      </c>
      <c r="U223" s="251">
        <f t="shared" si="81"/>
        <v>-0.83659666719747838</v>
      </c>
      <c r="V223" s="383">
        <f t="shared" si="82"/>
        <v>35.874579458783828</v>
      </c>
      <c r="W223" s="402"/>
      <c r="X223" s="157">
        <f t="shared" si="83"/>
        <v>44039</v>
      </c>
      <c r="Y223" s="385">
        <f t="shared" si="84"/>
        <v>33.886000000000003</v>
      </c>
      <c r="Z223" s="385">
        <f t="shared" si="85"/>
        <v>34.507658294784619</v>
      </c>
      <c r="AA223" s="386">
        <f t="shared" si="86"/>
        <v>38.335154892198894</v>
      </c>
      <c r="AB223" s="197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9.9842992891967186E-2</v>
      </c>
      <c r="AD223" s="231">
        <f>(INDEX(Models!$BJ223:$BT223,,AH223)*(1-AF223)+INDEX(Models!$BJ223:$BT223,,AH223+1)*AF223-ERP_i)*AE223*Ramure*Pc/MaxiM</f>
        <v>0</v>
      </c>
      <c r="AE223" s="305">
        <f t="shared" si="88"/>
        <v>0.7</v>
      </c>
      <c r="AF223" s="177">
        <f t="shared" si="89"/>
        <v>0.16340333280252162</v>
      </c>
      <c r="AG223" s="817">
        <f t="shared" si="95"/>
        <v>-1</v>
      </c>
      <c r="AH223" s="176">
        <f t="shared" si="90"/>
        <v>5</v>
      </c>
      <c r="AI223" s="225">
        <f t="shared" si="91"/>
        <v>-0.83659666719747838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4"/>
        <v>44040</v>
      </c>
      <c r="B224" s="617">
        <v>20.713999999999999</v>
      </c>
      <c r="C224" s="390"/>
      <c r="D224" s="393">
        <f t="shared" si="74"/>
        <v>21.094472349416421</v>
      </c>
      <c r="E224" s="385">
        <f t="shared" si="72"/>
        <v>23.435890834773272</v>
      </c>
      <c r="F224" s="385">
        <f t="shared" si="75"/>
        <v>23.435890834773272</v>
      </c>
      <c r="G224" s="110">
        <f t="shared" si="73"/>
        <v>0.57870797995105139</v>
      </c>
      <c r="H224" s="414" t="b">
        <f>Wh_hp&gt;='2019'!Maxi_hp</f>
        <v>0</v>
      </c>
      <c r="I224" s="380">
        <f>IF(H224,Wh_hp,'2019'!Maxi_hp)</f>
        <v>37.668653668976141</v>
      </c>
      <c r="J224" s="85">
        <f>IF(H224,An,'2019'!An_max)</f>
        <v>2019</v>
      </c>
      <c r="K224" s="197">
        <f t="shared" si="76"/>
        <v>44040</v>
      </c>
      <c r="L224" s="147">
        <f>IF(t&lt;Tvie,1-EXP((T0-t)*PertePVj)+'2019'!Pspv,1-EXP((T0-t)*PertePVj)+Pspv)</f>
        <v>1.8036590018187804E-2</v>
      </c>
      <c r="M224" s="850"/>
      <c r="N224" s="850"/>
      <c r="O224" s="48">
        <f>IF(t&lt;Tnet,'2019'!Resal+('2019'!Salim-'2019'!Resal)*(1-EXP(('2019'!Tnet-t)/('2019'!Tau_j))),Resal+(Salim-Resal)*(1-EXP((Tnet-t)/(Tau_j))))*Salcycl</f>
        <v>9.9907381454548597E-2</v>
      </c>
      <c r="P224" s="169">
        <f>(INDEX(Models!$BJ224:$BT224,,T224)*(1-R224)+INDEX(Models!$BJ224:$BT224,,T224+1)*R224-ERP_i)*Q224*Ramure*Pc/MaxiM</f>
        <v>0</v>
      </c>
      <c r="Q224" s="305">
        <f t="shared" si="77"/>
        <v>0.7</v>
      </c>
      <c r="R224" s="177">
        <f t="shared" si="78"/>
        <v>0.16470681447370195</v>
      </c>
      <c r="S224" s="817">
        <f t="shared" si="79"/>
        <v>-1</v>
      </c>
      <c r="T224" s="176">
        <f t="shared" si="80"/>
        <v>5</v>
      </c>
      <c r="U224" s="251">
        <f t="shared" si="81"/>
        <v>-0.83529318552629805</v>
      </c>
      <c r="V224" s="383">
        <f t="shared" si="82"/>
        <v>35.793527508903608</v>
      </c>
      <c r="W224" s="402"/>
      <c r="X224" s="157">
        <f t="shared" si="83"/>
        <v>44040</v>
      </c>
      <c r="Y224" s="385">
        <f t="shared" si="84"/>
        <v>20.713999999999999</v>
      </c>
      <c r="Z224" s="385">
        <f t="shared" si="85"/>
        <v>21.094472349416421</v>
      </c>
      <c r="AA224" s="386">
        <f t="shared" si="86"/>
        <v>23.435890834773272</v>
      </c>
      <c r="AB224" s="197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9.9907381454548597E-2</v>
      </c>
      <c r="AD224" s="231">
        <f>(INDEX(Models!$BJ224:$BT224,,AH224)*(1-AF224)+INDEX(Models!$BJ224:$BT224,,AH224+1)*AF224-ERP_i)*AE224*Ramure*Pc/MaxiM</f>
        <v>0</v>
      </c>
      <c r="AE224" s="305">
        <f t="shared" si="88"/>
        <v>0.7</v>
      </c>
      <c r="AF224" s="177">
        <f t="shared" si="89"/>
        <v>0.16470681447370195</v>
      </c>
      <c r="AG224" s="817">
        <f t="shared" si="95"/>
        <v>-1</v>
      </c>
      <c r="AH224" s="176">
        <f t="shared" si="90"/>
        <v>5</v>
      </c>
      <c r="AI224" s="225">
        <f t="shared" si="91"/>
        <v>-0.83529318552629805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4"/>
        <v>44041</v>
      </c>
      <c r="B225" s="617">
        <v>31.427</v>
      </c>
      <c r="C225" s="390"/>
      <c r="D225" s="393">
        <f t="shared" si="74"/>
        <v>32.004948481343042</v>
      </c>
      <c r="E225" s="385">
        <f t="shared" si="72"/>
        <v>35.559921608863014</v>
      </c>
      <c r="F225" s="385">
        <f t="shared" si="75"/>
        <v>35.559921608863014</v>
      </c>
      <c r="G225" s="110">
        <f t="shared" si="73"/>
        <v>0.88001691757031941</v>
      </c>
      <c r="H225" s="414" t="b">
        <f>Wh_hp&gt;='2019'!Maxi_hp</f>
        <v>0</v>
      </c>
      <c r="I225" s="380">
        <f>IF(H225,Wh_hp,'2019'!Maxi_hp)</f>
        <v>37.359921298844867</v>
      </c>
      <c r="J225" s="85">
        <f>IF(H225,An,'2019'!An_max)</f>
        <v>2018</v>
      </c>
      <c r="K225" s="197">
        <f t="shared" si="76"/>
        <v>44041</v>
      </c>
      <c r="L225" s="147">
        <f>IF(t&lt;Tvie,1-EXP((T0-t)*PertePVj)+'2019'!Pspv,1-EXP((T0-t)*PertePVj)+Pspv)</f>
        <v>1.8058097537009044E-2</v>
      </c>
      <c r="M225" s="850"/>
      <c r="N225" s="850"/>
      <c r="O225" s="48">
        <f>IF(t&lt;Tnet,'2019'!Resal+('2019'!Salim-'2019'!Resal)*(1-EXP(('2019'!Tnet-t)/('2019'!Tau_j))),Resal+(Salim-Resal)*(1-EXP((Tnet-t)/(Tau_j))))*Salcycl</f>
        <v>9.9971343205490143E-2</v>
      </c>
      <c r="P225" s="169">
        <f>(INDEX(Models!$BJ225:$BT225,,T225)*(1-R225)+INDEX(Models!$BJ225:$BT225,,T225+1)*R225-ERP_i)*Q225*Ramure*Pc/MaxiM</f>
        <v>0</v>
      </c>
      <c r="Q225" s="305">
        <f t="shared" si="77"/>
        <v>0.7</v>
      </c>
      <c r="R225" s="177">
        <f t="shared" si="78"/>
        <v>0.16596998486227998</v>
      </c>
      <c r="S225" s="817">
        <f t="shared" si="79"/>
        <v>-1</v>
      </c>
      <c r="T225" s="176">
        <f t="shared" si="80"/>
        <v>5</v>
      </c>
      <c r="U225" s="251">
        <f t="shared" si="81"/>
        <v>-0.83403001513772002</v>
      </c>
      <c r="V225" s="383">
        <f t="shared" si="82"/>
        <v>35.711813457823403</v>
      </c>
      <c r="W225" s="402"/>
      <c r="X225" s="157">
        <f t="shared" si="83"/>
        <v>44041</v>
      </c>
      <c r="Y225" s="385">
        <f t="shared" si="84"/>
        <v>31.427</v>
      </c>
      <c r="Z225" s="385">
        <f t="shared" si="85"/>
        <v>32.004948481343042</v>
      </c>
      <c r="AA225" s="386">
        <f t="shared" si="86"/>
        <v>35.559921608863014</v>
      </c>
      <c r="AB225" s="197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9.9971343205490143E-2</v>
      </c>
      <c r="AD225" s="231">
        <f>(INDEX(Models!$BJ225:$BT225,,AH225)*(1-AF225)+INDEX(Models!$BJ225:$BT225,,AH225+1)*AF225-ERP_i)*AE225*Ramure*Pc/MaxiM</f>
        <v>0</v>
      </c>
      <c r="AE225" s="305">
        <f t="shared" si="88"/>
        <v>0.7</v>
      </c>
      <c r="AF225" s="177">
        <f t="shared" si="89"/>
        <v>0.16596998486227998</v>
      </c>
      <c r="AG225" s="817">
        <f t="shared" si="95"/>
        <v>-1</v>
      </c>
      <c r="AH225" s="176">
        <f t="shared" si="90"/>
        <v>5</v>
      </c>
      <c r="AI225" s="225">
        <f t="shared" si="91"/>
        <v>-0.83403001513772002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4"/>
        <v>44042</v>
      </c>
      <c r="B226" s="617">
        <v>33.719000000000001</v>
      </c>
      <c r="C226" s="390"/>
      <c r="D226" s="393">
        <f t="shared" si="74"/>
        <v>34.33985092624615</v>
      </c>
      <c r="E226" s="385">
        <f t="shared" si="72"/>
        <v>38.156869523739545</v>
      </c>
      <c r="F226" s="385">
        <f t="shared" si="75"/>
        <v>38.156869523739545</v>
      </c>
      <c r="G226" s="110">
        <f t="shared" si="73"/>
        <v>0.9463854130737398</v>
      </c>
      <c r="H226" s="414" t="b">
        <f>Wh_hp&gt;='2019'!Maxi_hp</f>
        <v>0</v>
      </c>
      <c r="I226" s="380">
        <f>IF(H226,Wh_hp,'2019'!Maxi_hp)</f>
        <v>38.397697002447323</v>
      </c>
      <c r="J226" s="85">
        <f>IF(H226,An,'2019'!An_max)</f>
        <v>2019</v>
      </c>
      <c r="K226" s="197">
        <f t="shared" si="76"/>
        <v>44042</v>
      </c>
      <c r="L226" s="147">
        <f>IF(t&lt;Tvie,1-EXP((T0-t)*PertePVj)+'2019'!Pspv,1-EXP((T0-t)*PertePVj)+Pspv)</f>
        <v>1.8079604584760434E-2</v>
      </c>
      <c r="M226" s="850"/>
      <c r="N226" s="850"/>
      <c r="O226" s="48">
        <f>IF(t&lt;Tnet,'2019'!Resal+('2019'!Salim-'2019'!Resal)*(1-EXP(('2019'!Tnet-t)/('2019'!Tau_j))),Resal+(Salim-Resal)*(1-EXP((Tnet-t)/(Tau_j))))*Salcycl</f>
        <v>0.10003489922354901</v>
      </c>
      <c r="P226" s="169">
        <f>(INDEX(Models!$BJ226:$BT226,,T226)*(1-R226)+INDEX(Models!$BJ226:$BT226,,T226+1)*R226-ERP_i)*Q226*Ramure*Pc/MaxiM</f>
        <v>0</v>
      </c>
      <c r="Q226" s="305">
        <f t="shared" si="77"/>
        <v>0.7</v>
      </c>
      <c r="R226" s="177">
        <f t="shared" si="78"/>
        <v>0.16719366775387079</v>
      </c>
      <c r="S226" s="817">
        <f t="shared" si="79"/>
        <v>-1</v>
      </c>
      <c r="T226" s="176">
        <f t="shared" si="80"/>
        <v>5</v>
      </c>
      <c r="U226" s="251">
        <f t="shared" si="81"/>
        <v>-0.83280633224612921</v>
      </c>
      <c r="V226" s="383">
        <f t="shared" si="82"/>
        <v>35.62924738081599</v>
      </c>
      <c r="W226" s="402"/>
      <c r="X226" s="157">
        <f t="shared" si="83"/>
        <v>44042</v>
      </c>
      <c r="Y226" s="385">
        <f t="shared" si="84"/>
        <v>33.719000000000001</v>
      </c>
      <c r="Z226" s="385">
        <f t="shared" si="85"/>
        <v>34.33985092624615</v>
      </c>
      <c r="AA226" s="386">
        <f t="shared" si="86"/>
        <v>38.156869523739545</v>
      </c>
      <c r="AB226" s="197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0.10003489922354901</v>
      </c>
      <c r="AD226" s="231">
        <f>(INDEX(Models!$BJ226:$BT226,,AH226)*(1-AF226)+INDEX(Models!$BJ226:$BT226,,AH226+1)*AF226-ERP_i)*AE226*Ramure*Pc/MaxiM</f>
        <v>0</v>
      </c>
      <c r="AE226" s="305">
        <f t="shared" si="88"/>
        <v>0.7</v>
      </c>
      <c r="AF226" s="177">
        <f t="shared" si="89"/>
        <v>0.16719366775387079</v>
      </c>
      <c r="AG226" s="817">
        <f t="shared" si="95"/>
        <v>-1</v>
      </c>
      <c r="AH226" s="176">
        <f t="shared" si="90"/>
        <v>5</v>
      </c>
      <c r="AI226" s="225">
        <f t="shared" si="91"/>
        <v>-0.83280633224612921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4"/>
        <v>44043</v>
      </c>
      <c r="B227" s="617">
        <v>32.591999999999999</v>
      </c>
      <c r="C227" s="390"/>
      <c r="D227" s="393">
        <f t="shared" si="74"/>
        <v>33.192827052235373</v>
      </c>
      <c r="E227" s="385">
        <f t="shared" si="72"/>
        <v>36.884938101012906</v>
      </c>
      <c r="F227" s="385">
        <f t="shared" si="75"/>
        <v>36.884938101012906</v>
      </c>
      <c r="G227" s="110">
        <f t="shared" si="73"/>
        <v>0.91690571435139789</v>
      </c>
      <c r="H227" s="414" t="b">
        <f>Wh_hp&gt;='2019'!Maxi_hp</f>
        <v>1</v>
      </c>
      <c r="I227" s="380">
        <f>IF(H227,Wh_hp,'2019'!Maxi_hp)</f>
        <v>36.884938101012906</v>
      </c>
      <c r="J227" s="85">
        <f>IF(H227,An,'2019'!An_max)</f>
        <v>2020</v>
      </c>
      <c r="K227" s="197">
        <f t="shared" si="76"/>
        <v>44043</v>
      </c>
      <c r="L227" s="147">
        <f>IF(t&lt;Tvie,1-EXP((T0-t)*PertePVj)+'2019'!Pspv,1-EXP((T0-t)*PertePVj)+Pspv)</f>
        <v>1.8101111161452299E-2</v>
      </c>
      <c r="M227" s="850"/>
      <c r="N227" s="850"/>
      <c r="O227" s="48">
        <f>IF(t&lt;Tnet,'2019'!Resal+('2019'!Salim-'2019'!Resal)*(1-EXP(('2019'!Tnet-t)/('2019'!Tau_j))),Resal+(Salim-Resal)*(1-EXP((Tnet-t)/(Tau_j))))*Salcycl</f>
        <v>0.10009806817802801</v>
      </c>
      <c r="P227" s="169">
        <f>(INDEX(Models!$BJ227:$BT227,,T227)*(1-R227)+INDEX(Models!$BJ227:$BT227,,T227+1)*R227-ERP_i)*Q227*Ramure*Pc/MaxiM</f>
        <v>0</v>
      </c>
      <c r="Q227" s="305">
        <f t="shared" si="77"/>
        <v>0.7</v>
      </c>
      <c r="R227" s="177">
        <f t="shared" si="78"/>
        <v>0.16837870083541007</v>
      </c>
      <c r="S227" s="817">
        <f t="shared" si="79"/>
        <v>-1</v>
      </c>
      <c r="T227" s="176">
        <f t="shared" si="80"/>
        <v>5</v>
      </c>
      <c r="U227" s="251">
        <f t="shared" si="81"/>
        <v>-0.83162129916458993</v>
      </c>
      <c r="V227" s="383">
        <f t="shared" si="82"/>
        <v>35.545639524184857</v>
      </c>
      <c r="W227" s="402"/>
      <c r="X227" s="157">
        <f t="shared" si="83"/>
        <v>44043</v>
      </c>
      <c r="Y227" s="385">
        <f t="shared" si="84"/>
        <v>32.591999999999999</v>
      </c>
      <c r="Z227" s="385">
        <f t="shared" si="85"/>
        <v>33.192827052235373</v>
      </c>
      <c r="AA227" s="386">
        <f t="shared" si="86"/>
        <v>36.884938101012906</v>
      </c>
      <c r="AB227" s="197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0.10009806817802801</v>
      </c>
      <c r="AD227" s="231">
        <f>(INDEX(Models!$BJ227:$BT227,,AH227)*(1-AF227)+INDEX(Models!$BJ227:$BT227,,AH227+1)*AF227-ERP_i)*AE227*Ramure*Pc/MaxiM</f>
        <v>0</v>
      </c>
      <c r="AE227" s="305">
        <f t="shared" si="88"/>
        <v>0.7</v>
      </c>
      <c r="AF227" s="177">
        <f t="shared" si="89"/>
        <v>0.16837870083541007</v>
      </c>
      <c r="AG227" s="817">
        <f t="shared" si="95"/>
        <v>-1</v>
      </c>
      <c r="AH227" s="176">
        <f t="shared" si="90"/>
        <v>5</v>
      </c>
      <c r="AI227" s="225">
        <f t="shared" si="91"/>
        <v>-0.83162129916458993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4"/>
        <v>44044</v>
      </c>
      <c r="B228" s="617">
        <v>27.251999999999999</v>
      </c>
      <c r="C228" s="390"/>
      <c r="D228" s="393">
        <f t="shared" si="74"/>
        <v>27.754993117519664</v>
      </c>
      <c r="E228" s="385">
        <f t="shared" si="72"/>
        <v>30.844394381042271</v>
      </c>
      <c r="F228" s="385">
        <f t="shared" si="75"/>
        <v>30.844394381042271</v>
      </c>
      <c r="G228" s="110">
        <f t="shared" si="73"/>
        <v>0.76851057416293289</v>
      </c>
      <c r="H228" s="414" t="b">
        <f>Wh_hp&gt;='2019'!Maxi_hp</f>
        <v>0</v>
      </c>
      <c r="I228" s="380">
        <f>IF(H228,Wh_hp,'2019'!Maxi_hp)</f>
        <v>36.981536414152679</v>
      </c>
      <c r="J228" s="85">
        <f>IF(H228,An,'2019'!An_max)</f>
        <v>2018</v>
      </c>
      <c r="K228" s="197">
        <f t="shared" si="76"/>
        <v>44044</v>
      </c>
      <c r="L228" s="147">
        <f>IF(t&lt;Tvie,1-EXP((T0-t)*PertePVj)+'2019'!Pspv,1-EXP((T0-t)*PertePVj)+Pspv)</f>
        <v>1.8122617267094965E-2</v>
      </c>
      <c r="M228" s="850"/>
      <c r="N228" s="850"/>
      <c r="O228" s="48">
        <f>IF(t&lt;Tnet,'2019'!Resal+('2019'!Salim-'2019'!Resal)*(1-EXP(('2019'!Tnet-t)/('2019'!Tau_j))),Resal+(Salim-Resal)*(1-EXP((Tnet-t)/(Tau_j))))*Salcycl</f>
        <v>0.10016086635895917</v>
      </c>
      <c r="P228" s="169">
        <f>(INDEX(Models!$BJ228:$BT228,,T228)*(1-R228)+INDEX(Models!$BJ228:$BT228,,T228+1)*R228-ERP_i)*Q228*Ramure*Pc/MaxiM</f>
        <v>0</v>
      </c>
      <c r="Q228" s="305">
        <f t="shared" si="77"/>
        <v>0.7</v>
      </c>
      <c r="R228" s="177">
        <f t="shared" si="78"/>
        <v>0.16952593292273588</v>
      </c>
      <c r="S228" s="817">
        <f t="shared" si="79"/>
        <v>-1</v>
      </c>
      <c r="T228" s="176">
        <f t="shared" si="80"/>
        <v>5</v>
      </c>
      <c r="U228" s="251">
        <f t="shared" si="81"/>
        <v>-0.83047406707726412</v>
      </c>
      <c r="V228" s="383">
        <f t="shared" si="82"/>
        <v>35.460800301522291</v>
      </c>
      <c r="W228" s="402"/>
      <c r="X228" s="157">
        <f t="shared" si="83"/>
        <v>44044</v>
      </c>
      <c r="Y228" s="385">
        <f t="shared" si="84"/>
        <v>27.251999999999999</v>
      </c>
      <c r="Z228" s="385">
        <f t="shared" si="85"/>
        <v>27.754993117519664</v>
      </c>
      <c r="AA228" s="386">
        <f t="shared" si="86"/>
        <v>30.844394381042271</v>
      </c>
      <c r="AB228" s="197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0.10016086635895917</v>
      </c>
      <c r="AD228" s="231">
        <f>(INDEX(Models!$BJ228:$BT228,,AH228)*(1-AF228)+INDEX(Models!$BJ228:$BT228,,AH228+1)*AF228-ERP_i)*AE228*Ramure*Pc/MaxiM</f>
        <v>0</v>
      </c>
      <c r="AE228" s="305">
        <f t="shared" si="88"/>
        <v>0.7</v>
      </c>
      <c r="AF228" s="177">
        <f t="shared" si="89"/>
        <v>0.16952593292273588</v>
      </c>
      <c r="AG228" s="817">
        <f t="shared" si="95"/>
        <v>-1</v>
      </c>
      <c r="AH228" s="176">
        <f t="shared" si="90"/>
        <v>5</v>
      </c>
      <c r="AI228" s="225">
        <f t="shared" si="91"/>
        <v>-0.83047406707726412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4"/>
        <v>44045</v>
      </c>
      <c r="B229" s="617">
        <v>21.274000000000001</v>
      </c>
      <c r="C229" s="390"/>
      <c r="D229" s="393">
        <f t="shared" si="74"/>
        <v>21.667131089413537</v>
      </c>
      <c r="E229" s="385">
        <f t="shared" si="72"/>
        <v>24.080564961699732</v>
      </c>
      <c r="F229" s="385">
        <f t="shared" si="75"/>
        <v>24.080564961699732</v>
      </c>
      <c r="G229" s="110">
        <f t="shared" si="73"/>
        <v>0.60139297430445438</v>
      </c>
      <c r="H229" s="414" t="b">
        <f>Wh_hp&gt;='2019'!Maxi_hp</f>
        <v>0</v>
      </c>
      <c r="I229" s="380">
        <f>IF(H229,Wh_hp,'2019'!Maxi_hp)</f>
        <v>38.935712166326411</v>
      </c>
      <c r="J229" s="85">
        <f>IF(H229,An,'2019'!An_max)</f>
        <v>2019</v>
      </c>
      <c r="K229" s="197">
        <f t="shared" si="76"/>
        <v>44045</v>
      </c>
      <c r="L229" s="147">
        <f>IF(t&lt;Tvie,1-EXP((T0-t)*PertePVj)+'2019'!Pspv,1-EXP((T0-t)*PertePVj)+Pspv)</f>
        <v>1.8144122901698645E-2</v>
      </c>
      <c r="M229" s="850"/>
      <c r="N229" s="850"/>
      <c r="O229" s="48">
        <f>IF(t&lt;Tnet,'2019'!Resal+('2019'!Salim-'2019'!Resal)*(1-EXP(('2019'!Tnet-t)/('2019'!Tau_j))),Resal+(Salim-Resal)*(1-EXP((Tnet-t)/(Tau_j))))*Salcycl</f>
        <v>0.10022330772242144</v>
      </c>
      <c r="P229" s="169">
        <f>(INDEX(Models!$BJ229:$BT229,,T229)*(1-R229)+INDEX(Models!$BJ229:$BT229,,T229+1)*R229-ERP_i)*Q229*Ramure*Pc/MaxiM</f>
        <v>0</v>
      </c>
      <c r="Q229" s="305">
        <f t="shared" si="77"/>
        <v>0.7</v>
      </c>
      <c r="R229" s="177">
        <f t="shared" si="78"/>
        <v>0.17063622134529621</v>
      </c>
      <c r="S229" s="817">
        <f t="shared" si="79"/>
        <v>-1</v>
      </c>
      <c r="T229" s="176">
        <f t="shared" si="80"/>
        <v>5</v>
      </c>
      <c r="U229" s="251">
        <f t="shared" si="81"/>
        <v>-0.82936377865470379</v>
      </c>
      <c r="V229" s="383">
        <f t="shared" si="82"/>
        <v>35.374540290572256</v>
      </c>
      <c r="W229" s="402"/>
      <c r="X229" s="157">
        <f t="shared" si="83"/>
        <v>44045</v>
      </c>
      <c r="Y229" s="385">
        <f t="shared" si="84"/>
        <v>21.274000000000001</v>
      </c>
      <c r="Z229" s="385">
        <f t="shared" si="85"/>
        <v>21.667131089413537</v>
      </c>
      <c r="AA229" s="386">
        <f t="shared" si="86"/>
        <v>24.080564961699732</v>
      </c>
      <c r="AB229" s="197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0.10022330772242144</v>
      </c>
      <c r="AD229" s="231">
        <f>(INDEX(Models!$BJ229:$BT229,,AH229)*(1-AF229)+INDEX(Models!$BJ229:$BT229,,AH229+1)*AF229-ERP_i)*AE229*Ramure*Pc/MaxiM</f>
        <v>0</v>
      </c>
      <c r="AE229" s="305">
        <f t="shared" si="88"/>
        <v>0.7</v>
      </c>
      <c r="AF229" s="177">
        <f t="shared" si="89"/>
        <v>0.17063622134529621</v>
      </c>
      <c r="AG229" s="817">
        <f t="shared" si="95"/>
        <v>-1</v>
      </c>
      <c r="AH229" s="176">
        <f t="shared" si="90"/>
        <v>5</v>
      </c>
      <c r="AI229" s="225">
        <f t="shared" si="91"/>
        <v>-0.82936377865470379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4"/>
        <v>44046</v>
      </c>
      <c r="B230" s="617">
        <v>31.123000000000001</v>
      </c>
      <c r="C230" s="390"/>
      <c r="D230" s="393">
        <f t="shared" si="74"/>
        <v>31.698829140266749</v>
      </c>
      <c r="E230" s="385">
        <f t="shared" si="72"/>
        <v>35.232093910026677</v>
      </c>
      <c r="F230" s="385">
        <f t="shared" si="75"/>
        <v>35.232093910026677</v>
      </c>
      <c r="G230" s="110">
        <f t="shared" si="73"/>
        <v>0.88200444523884614</v>
      </c>
      <c r="H230" s="414" t="b">
        <f>Wh_hp&gt;='2019'!Maxi_hp</f>
        <v>0</v>
      </c>
      <c r="I230" s="380">
        <f>IF(H230,Wh_hp,'2019'!Maxi_hp)</f>
        <v>36.542089306289583</v>
      </c>
      <c r="J230" s="85">
        <f>IF(H230,An,'2019'!An_max)</f>
        <v>2019</v>
      </c>
      <c r="K230" s="197">
        <f t="shared" si="76"/>
        <v>44046</v>
      </c>
      <c r="L230" s="147">
        <f>IF(t&lt;Tvie,1-EXP((T0-t)*PertePVj)+'2019'!Pspv,1-EXP((T0-t)*PertePVj)+Pspv)</f>
        <v>1.8165628065273776E-2</v>
      </c>
      <c r="M230" s="850"/>
      <c r="N230" s="850"/>
      <c r="O230" s="48">
        <f>IF(t&lt;Tnet,'2019'!Resal+('2019'!Salim-'2019'!Resal)*(1-EXP(('2019'!Tnet-t)/('2019'!Tau_j))),Resal+(Salim-Resal)*(1-EXP((Tnet-t)/(Tau_j))))*Salcycl</f>
        <v>0.10028540394967546</v>
      </c>
      <c r="P230" s="169">
        <f>(INDEX(Models!$BJ230:$BT230,,T230)*(1-R230)+INDEX(Models!$BJ230:$BT230,,T230+1)*R230-ERP_i)*Q230*Ramure*Pc/MaxiM</f>
        <v>0</v>
      </c>
      <c r="Q230" s="305">
        <f t="shared" si="77"/>
        <v>0.7</v>
      </c>
      <c r="R230" s="177">
        <f t="shared" si="78"/>
        <v>0.17171042948758952</v>
      </c>
      <c r="S230" s="817">
        <f t="shared" si="79"/>
        <v>-1</v>
      </c>
      <c r="T230" s="176">
        <f t="shared" si="80"/>
        <v>5</v>
      </c>
      <c r="U230" s="251">
        <f t="shared" si="81"/>
        <v>-0.82828957051241048</v>
      </c>
      <c r="V230" s="383">
        <f t="shared" si="82"/>
        <v>35.286670229390872</v>
      </c>
      <c r="W230" s="402"/>
      <c r="X230" s="157">
        <f t="shared" si="83"/>
        <v>44046</v>
      </c>
      <c r="Y230" s="385">
        <f t="shared" si="84"/>
        <v>31.123000000000005</v>
      </c>
      <c r="Z230" s="385">
        <f t="shared" si="85"/>
        <v>31.698829140266753</v>
      </c>
      <c r="AA230" s="386">
        <f t="shared" si="86"/>
        <v>35.232093910026677</v>
      </c>
      <c r="AB230" s="197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0.10028540394967546</v>
      </c>
      <c r="AD230" s="231">
        <f>(INDEX(Models!$BJ230:$BT230,,AH230)*(1-AF230)+INDEX(Models!$BJ230:$BT230,,AH230+1)*AF230-ERP_i)*AE230*Ramure*Pc/MaxiM</f>
        <v>0</v>
      </c>
      <c r="AE230" s="305">
        <f t="shared" si="88"/>
        <v>0.7</v>
      </c>
      <c r="AF230" s="177">
        <f t="shared" si="89"/>
        <v>0.17171042948758952</v>
      </c>
      <c r="AG230" s="817">
        <f t="shared" si="95"/>
        <v>-1</v>
      </c>
      <c r="AH230" s="176">
        <f t="shared" si="90"/>
        <v>5</v>
      </c>
      <c r="AI230" s="225">
        <f t="shared" si="91"/>
        <v>-0.82828957051241048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4"/>
        <v>44047</v>
      </c>
      <c r="B231" s="617">
        <v>35.784999999999997</v>
      </c>
      <c r="C231" s="390"/>
      <c r="D231" s="393">
        <f t="shared" si="74"/>
        <v>36.44788247735751</v>
      </c>
      <c r="E231" s="385">
        <f t="shared" si="72"/>
        <v>40.51327472097406</v>
      </c>
      <c r="F231" s="385">
        <f t="shared" si="75"/>
        <v>40.51327472097406</v>
      </c>
      <c r="G231" s="110">
        <f t="shared" si="73"/>
        <v>1.0167059400483305</v>
      </c>
      <c r="H231" s="414" t="b">
        <f>Wh_hp&gt;='2019'!Maxi_hp</f>
        <v>1</v>
      </c>
      <c r="I231" s="380">
        <f>IF(H231,Wh_hp,'2019'!Maxi_hp)</f>
        <v>40.51327472097406</v>
      </c>
      <c r="J231" s="85">
        <f>IF(H231,An,'2019'!An_max)</f>
        <v>2020</v>
      </c>
      <c r="K231" s="197">
        <f t="shared" si="76"/>
        <v>44047</v>
      </c>
      <c r="L231" s="147">
        <f>IF(t&lt;Tvie,1-EXP((T0-t)*PertePVj)+'2019'!Pspv,1-EXP((T0-t)*PertePVj)+Pspv)</f>
        <v>1.8187132757830682E-2</v>
      </c>
      <c r="M231" s="850"/>
      <c r="N231" s="850"/>
      <c r="O231" s="48">
        <f>IF(t&lt;Tnet,'2019'!Resal+('2019'!Salim-'2019'!Resal)*(1-EXP(('2019'!Tnet-t)/('2019'!Tau_j))),Resal+(Salim-Resal)*(1-EXP((Tnet-t)/(Tau_j))))*Salcycl</f>
        <v>0.10034716451869201</v>
      </c>
      <c r="P231" s="169">
        <f>(INDEX(Models!$BJ231:$BT231,,T231)*(1-R231)+INDEX(Models!$BJ231:$BT231,,T231+1)*R231-ERP_i)*Q231*Ramure*Pc/MaxiM</f>
        <v>0</v>
      </c>
      <c r="Q231" s="305">
        <f t="shared" si="77"/>
        <v>0.7</v>
      </c>
      <c r="R231" s="177">
        <f t="shared" si="78"/>
        <v>0.17274942448600161</v>
      </c>
      <c r="S231" s="817">
        <f t="shared" si="79"/>
        <v>-1</v>
      </c>
      <c r="T231" s="176">
        <f t="shared" si="80"/>
        <v>5</v>
      </c>
      <c r="U231" s="251">
        <f t="shared" si="81"/>
        <v>-0.82725057551399839</v>
      </c>
      <c r="V231" s="383">
        <f t="shared" si="82"/>
        <v>35.197001011225446</v>
      </c>
      <c r="W231" s="402"/>
      <c r="X231" s="157">
        <f t="shared" si="83"/>
        <v>44047</v>
      </c>
      <c r="Y231" s="385">
        <f t="shared" si="84"/>
        <v>35.784999999999997</v>
      </c>
      <c r="Z231" s="385">
        <f t="shared" si="85"/>
        <v>36.44788247735751</v>
      </c>
      <c r="AA231" s="386">
        <f t="shared" si="86"/>
        <v>40.51327472097406</v>
      </c>
      <c r="AB231" s="197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0.10034716451869201</v>
      </c>
      <c r="AD231" s="231">
        <f>(INDEX(Models!$BJ231:$BT231,,AH231)*(1-AF231)+INDEX(Models!$BJ231:$BT231,,AH231+1)*AF231-ERP_i)*AE231*Ramure*Pc/MaxiM</f>
        <v>0</v>
      </c>
      <c r="AE231" s="305">
        <f t="shared" si="88"/>
        <v>0.7</v>
      </c>
      <c r="AF231" s="177">
        <f t="shared" si="89"/>
        <v>0.17274942448600161</v>
      </c>
      <c r="AG231" s="817">
        <f t="shared" si="95"/>
        <v>-1</v>
      </c>
      <c r="AH231" s="176">
        <f t="shared" si="90"/>
        <v>5</v>
      </c>
      <c r="AI231" s="225">
        <f t="shared" si="91"/>
        <v>-0.82725057551399839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4"/>
        <v>44048</v>
      </c>
      <c r="B232" s="617">
        <v>35.332999999999998</v>
      </c>
      <c r="C232" s="390"/>
      <c r="D232" s="393">
        <f t="shared" si="74"/>
        <v>35.988297851076027</v>
      </c>
      <c r="E232" s="385">
        <f t="shared" si="72"/>
        <v>40.005159812023336</v>
      </c>
      <c r="F232" s="385">
        <f t="shared" si="75"/>
        <v>40.005159812023336</v>
      </c>
      <c r="G232" s="110">
        <f t="shared" si="73"/>
        <v>1.0064849477469553</v>
      </c>
      <c r="H232" s="414" t="b">
        <f>Wh_hp&gt;='2019'!Maxi_hp</f>
        <v>1</v>
      </c>
      <c r="I232" s="380">
        <f>IF(H232,Wh_hp,'2019'!Maxi_hp)</f>
        <v>40.005159812023336</v>
      </c>
      <c r="J232" s="85">
        <f>IF(H232,An,'2019'!An_max)</f>
        <v>2020</v>
      </c>
      <c r="K232" s="197">
        <f t="shared" si="76"/>
        <v>44048</v>
      </c>
      <c r="L232" s="147">
        <f>IF(t&lt;Tvie,1-EXP((T0-t)*PertePVj)+'2019'!Pspv,1-EXP((T0-t)*PertePVj)+Pspv)</f>
        <v>1.8208636979379578E-2</v>
      </c>
      <c r="M232" s="850"/>
      <c r="N232" s="850"/>
      <c r="O232" s="48">
        <f>IF(t&lt;Tnet,'2019'!Resal+('2019'!Salim-'2019'!Resal)*(1-EXP(('2019'!Tnet-t)/('2019'!Tau_j))),Resal+(Salim-Resal)*(1-EXP((Tnet-t)/(Tau_j))))*Salcycl</f>
        <v>0.10040859678655915</v>
      </c>
      <c r="P232" s="169">
        <f>(INDEX(Models!$BJ232:$BT232,,T232)*(1-R232)+INDEX(Models!$BJ232:$BT232,,T232+1)*R232-ERP_i)*Q232*Ramure*Pc/MaxiM</f>
        <v>0</v>
      </c>
      <c r="Q232" s="305">
        <f t="shared" si="77"/>
        <v>0.7</v>
      </c>
      <c r="R232" s="177">
        <f t="shared" si="78"/>
        <v>0.17375407507886598</v>
      </c>
      <c r="S232" s="817">
        <f t="shared" si="79"/>
        <v>-1</v>
      </c>
      <c r="T232" s="176">
        <f t="shared" si="80"/>
        <v>5</v>
      </c>
      <c r="U232" s="251">
        <f t="shared" si="81"/>
        <v>-0.82624592492113402</v>
      </c>
      <c r="V232" s="383">
        <f t="shared" si="82"/>
        <v>35.105343680592448</v>
      </c>
      <c r="W232" s="402"/>
      <c r="X232" s="157">
        <f t="shared" si="83"/>
        <v>44048</v>
      </c>
      <c r="Y232" s="385">
        <f t="shared" si="84"/>
        <v>35.332999999999998</v>
      </c>
      <c r="Z232" s="385">
        <f t="shared" si="85"/>
        <v>35.988297851076027</v>
      </c>
      <c r="AA232" s="386">
        <f t="shared" si="86"/>
        <v>40.005159812023336</v>
      </c>
      <c r="AB232" s="197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0.10040859678655915</v>
      </c>
      <c r="AD232" s="231">
        <f>(INDEX(Models!$BJ232:$BT232,,AH232)*(1-AF232)+INDEX(Models!$BJ232:$BT232,,AH232+1)*AF232-ERP_i)*AE232*Ramure*Pc/MaxiM</f>
        <v>0</v>
      </c>
      <c r="AE232" s="305">
        <f t="shared" si="88"/>
        <v>0.7</v>
      </c>
      <c r="AF232" s="177">
        <f t="shared" si="89"/>
        <v>0.17375407507886598</v>
      </c>
      <c r="AG232" s="817">
        <f t="shared" si="95"/>
        <v>-1</v>
      </c>
      <c r="AH232" s="176">
        <f t="shared" si="90"/>
        <v>5</v>
      </c>
      <c r="AI232" s="225">
        <f t="shared" si="91"/>
        <v>-0.82624592492113402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4"/>
        <v>44049</v>
      </c>
      <c r="B233" s="617">
        <v>34.128</v>
      </c>
      <c r="C233" s="390"/>
      <c r="D233" s="393">
        <f t="shared" si="74"/>
        <v>34.761710881380736</v>
      </c>
      <c r="E233" s="385">
        <f t="shared" ref="E233:E296" si="96">Wh_pvt/(1-Psa)</f>
        <v>38.644291488995613</v>
      </c>
      <c r="F233" s="385">
        <f t="shared" si="75"/>
        <v>38.644291488995613</v>
      </c>
      <c r="G233" s="110">
        <f t="shared" ref="G233:G296" si="97">+Wh_hp/MaxiM</f>
        <v>0.97475201347336549</v>
      </c>
      <c r="H233" s="414" t="b">
        <f>Wh_hp&gt;='2019'!Maxi_hp</f>
        <v>1</v>
      </c>
      <c r="I233" s="380">
        <f>IF(H233,Wh_hp,'2019'!Maxi_hp)</f>
        <v>38.644291488995613</v>
      </c>
      <c r="J233" s="85">
        <f>IF(H233,An,'2019'!An_max)</f>
        <v>2020</v>
      </c>
      <c r="K233" s="197">
        <f t="shared" si="76"/>
        <v>44049</v>
      </c>
      <c r="L233" s="147">
        <f>IF(t&lt;Tvie,1-EXP((T0-t)*PertePVj)+'2019'!Pspv,1-EXP((T0-t)*PertePVj)+Pspv)</f>
        <v>1.8230140729930788E-2</v>
      </c>
      <c r="M233" s="850"/>
      <c r="N233" s="850"/>
      <c r="O233" s="48">
        <f>IF(t&lt;Tnet,'2019'!Resal+('2019'!Salim-'2019'!Resal)*(1-EXP(('2019'!Tnet-t)/('2019'!Tau_j))),Resal+(Salim-Resal)*(1-EXP((Tnet-t)/(Tau_j))))*Salcycl</f>
        <v>0.10046970608118104</v>
      </c>
      <c r="P233" s="169">
        <f>(INDEX(Models!$BJ233:$BT233,,T233)*(1-R233)+INDEX(Models!$BJ233:$BT233,,T233+1)*R233-ERP_i)*Q233*Ramure*Pc/MaxiM</f>
        <v>0</v>
      </c>
      <c r="Q233" s="305">
        <f t="shared" si="77"/>
        <v>0.7</v>
      </c>
      <c r="R233" s="177">
        <f t="shared" si="78"/>
        <v>0.1747252496068471</v>
      </c>
      <c r="S233" s="817">
        <f t="shared" si="79"/>
        <v>-1</v>
      </c>
      <c r="T233" s="176">
        <f t="shared" si="80"/>
        <v>5</v>
      </c>
      <c r="U233" s="251">
        <f t="shared" si="81"/>
        <v>-0.8252747503931529</v>
      </c>
      <c r="V233" s="383">
        <f t="shared" si="82"/>
        <v>35.011982051096865</v>
      </c>
      <c r="W233" s="402"/>
      <c r="X233" s="157">
        <f t="shared" si="83"/>
        <v>44049</v>
      </c>
      <c r="Y233" s="385">
        <f t="shared" si="84"/>
        <v>34.128</v>
      </c>
      <c r="Z233" s="385">
        <f t="shared" si="85"/>
        <v>34.761710881380736</v>
      </c>
      <c r="AA233" s="386">
        <f t="shared" si="86"/>
        <v>38.644291488995613</v>
      </c>
      <c r="AB233" s="197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0.10046970608118104</v>
      </c>
      <c r="AD233" s="231">
        <f>(INDEX(Models!$BJ233:$BT233,,AH233)*(1-AF233)+INDEX(Models!$BJ233:$BT233,,AH233+1)*AF233-ERP_i)*AE233*Ramure*Pc/MaxiM</f>
        <v>0</v>
      </c>
      <c r="AE233" s="305">
        <f t="shared" si="88"/>
        <v>0.7</v>
      </c>
      <c r="AF233" s="177">
        <f t="shared" si="89"/>
        <v>0.1747252496068471</v>
      </c>
      <c r="AG233" s="817">
        <f t="shared" si="95"/>
        <v>-1</v>
      </c>
      <c r="AH233" s="176">
        <f t="shared" si="90"/>
        <v>5</v>
      </c>
      <c r="AI233" s="225">
        <f t="shared" si="91"/>
        <v>-0.8252747503931529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4"/>
        <v>44050</v>
      </c>
      <c r="B234" s="617">
        <v>32.695999999999998</v>
      </c>
      <c r="C234" s="390"/>
      <c r="D234" s="393">
        <f t="shared" si="74"/>
        <v>33.303850014612308</v>
      </c>
      <c r="E234" s="385">
        <f t="shared" si="96"/>
        <v>37.026102451640625</v>
      </c>
      <c r="F234" s="385">
        <f t="shared" si="75"/>
        <v>37.026102451640625</v>
      </c>
      <c r="G234" s="110">
        <f t="shared" si="97"/>
        <v>0.93638327475386474</v>
      </c>
      <c r="H234" s="414" t="b">
        <f>Wh_hp&gt;='2019'!Maxi_hp</f>
        <v>0</v>
      </c>
      <c r="I234" s="380">
        <f>IF(H234,Wh_hp,'2019'!Maxi_hp)</f>
        <v>37.709435293865099</v>
      </c>
      <c r="J234" s="85">
        <f>IF(H234,An,'2019'!An_max)</f>
        <v>2019</v>
      </c>
      <c r="K234" s="197">
        <f t="shared" si="76"/>
        <v>44050</v>
      </c>
      <c r="L234" s="147">
        <f>IF(t&lt;Tvie,1-EXP((T0-t)*PertePVj)+'2019'!Pspv,1-EXP((T0-t)*PertePVj)+Pspv)</f>
        <v>1.825164400949475E-2</v>
      </c>
      <c r="M234" s="850"/>
      <c r="N234" s="850"/>
      <c r="O234" s="48">
        <f>IF(t&lt;Tnet,'2019'!Resal+('2019'!Salim-'2019'!Resal)*(1-EXP(('2019'!Tnet-t)/('2019'!Tau_j))),Resal+(Salim-Resal)*(1-EXP((Tnet-t)/(Tau_j))))*Salcycl</f>
        <v>0.10053049580062902</v>
      </c>
      <c r="P234" s="169">
        <f>(INDEX(Models!$BJ234:$BT234,,T234)*(1-R234)+INDEX(Models!$BJ234:$BT234,,T234+1)*R234-ERP_i)*Q234*Ramure*Pc/MaxiM</f>
        <v>0</v>
      </c>
      <c r="Q234" s="305">
        <f t="shared" si="77"/>
        <v>0.7</v>
      </c>
      <c r="R234" s="177">
        <f t="shared" si="78"/>
        <v>0.17566381416011934</v>
      </c>
      <c r="S234" s="817">
        <f t="shared" si="79"/>
        <v>-1</v>
      </c>
      <c r="T234" s="176">
        <f t="shared" si="80"/>
        <v>5</v>
      </c>
      <c r="U234" s="251">
        <f t="shared" si="81"/>
        <v>-0.82433618583988066</v>
      </c>
      <c r="V234" s="383">
        <f t="shared" si="82"/>
        <v>34.917325930019821</v>
      </c>
      <c r="W234" s="402"/>
      <c r="X234" s="157">
        <f t="shared" si="83"/>
        <v>44050</v>
      </c>
      <c r="Y234" s="385">
        <f t="shared" si="84"/>
        <v>32.695999999999998</v>
      </c>
      <c r="Z234" s="385">
        <f t="shared" si="85"/>
        <v>33.303850014612308</v>
      </c>
      <c r="AA234" s="386">
        <f t="shared" si="86"/>
        <v>37.026102451640625</v>
      </c>
      <c r="AB234" s="197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0.10053049580062902</v>
      </c>
      <c r="AD234" s="231">
        <f>(INDEX(Models!$BJ234:$BT234,,AH234)*(1-AF234)+INDEX(Models!$BJ234:$BT234,,AH234+1)*AF234-ERP_i)*AE234*Ramure*Pc/MaxiM</f>
        <v>0</v>
      </c>
      <c r="AE234" s="305">
        <f t="shared" si="88"/>
        <v>0.7</v>
      </c>
      <c r="AF234" s="177">
        <f t="shared" si="89"/>
        <v>0.17566381416011934</v>
      </c>
      <c r="AG234" s="817">
        <f t="shared" si="95"/>
        <v>-1</v>
      </c>
      <c r="AH234" s="176">
        <f t="shared" si="90"/>
        <v>5</v>
      </c>
      <c r="AI234" s="225">
        <f t="shared" si="91"/>
        <v>-0.82433618583988066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4"/>
        <v>44051</v>
      </c>
      <c r="B235" s="617">
        <v>32.070999999999998</v>
      </c>
      <c r="C235" s="390"/>
      <c r="D235" s="393">
        <f t="shared" si="74"/>
        <v>32.66794617673262</v>
      </c>
      <c r="E235" s="385">
        <f t="shared" si="96"/>
        <v>36.3215678261531</v>
      </c>
      <c r="F235" s="385">
        <f t="shared" si="75"/>
        <v>36.3215678261531</v>
      </c>
      <c r="G235" s="110">
        <f t="shared" si="97"/>
        <v>0.92101473673785417</v>
      </c>
      <c r="H235" s="414" t="b">
        <f>Wh_hp&gt;='2019'!Maxi_hp</f>
        <v>1</v>
      </c>
      <c r="I235" s="380">
        <f>IF(H235,Wh_hp,'2019'!Maxi_hp)</f>
        <v>36.3215678261531</v>
      </c>
      <c r="J235" s="85">
        <f>IF(H235,An,'2019'!An_max)</f>
        <v>2020</v>
      </c>
      <c r="K235" s="197">
        <f t="shared" si="76"/>
        <v>44051</v>
      </c>
      <c r="L235" s="147">
        <f>IF(t&lt;Tvie,1-EXP((T0-t)*PertePVj)+'2019'!Pspv,1-EXP((T0-t)*PertePVj)+Pspv)</f>
        <v>1.8273146818081676E-2</v>
      </c>
      <c r="M235" s="850"/>
      <c r="N235" s="850"/>
      <c r="O235" s="48">
        <f>IF(t&lt;Tnet,'2019'!Resal+('2019'!Salim-'2019'!Resal)*(1-EXP(('2019'!Tnet-t)/('2019'!Tau_j))),Resal+(Salim-Resal)*(1-EXP((Tnet-t)/(Tau_j))))*Salcycl</f>
        <v>0.10059096751847033</v>
      </c>
      <c r="P235" s="169">
        <f>(INDEX(Models!$BJ235:$BT235,,T235)*(1-R235)+INDEX(Models!$BJ235:$BT235,,T235+1)*R235-ERP_i)*Q235*Ramure*Pc/MaxiM</f>
        <v>0</v>
      </c>
      <c r="Q235" s="305">
        <f t="shared" si="77"/>
        <v>0.7</v>
      </c>
      <c r="R235" s="177">
        <f t="shared" si="78"/>
        <v>0.17657063086826974</v>
      </c>
      <c r="S235" s="817">
        <f t="shared" si="79"/>
        <v>-1</v>
      </c>
      <c r="T235" s="176">
        <f t="shared" si="80"/>
        <v>5</v>
      </c>
      <c r="U235" s="251">
        <f t="shared" si="81"/>
        <v>-0.82342936913173026</v>
      </c>
      <c r="V235" s="383">
        <f t="shared" si="82"/>
        <v>34.821375511962373</v>
      </c>
      <c r="W235" s="402"/>
      <c r="X235" s="157">
        <f t="shared" si="83"/>
        <v>44051</v>
      </c>
      <c r="Y235" s="385">
        <f t="shared" si="84"/>
        <v>32.070999999999998</v>
      </c>
      <c r="Z235" s="385">
        <f t="shared" si="85"/>
        <v>32.66794617673262</v>
      </c>
      <c r="AA235" s="386">
        <f t="shared" si="86"/>
        <v>36.3215678261531</v>
      </c>
      <c r="AB235" s="197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0.10059096751847033</v>
      </c>
      <c r="AD235" s="231">
        <f>(INDEX(Models!$BJ235:$BT235,,AH235)*(1-AF235)+INDEX(Models!$BJ235:$BT235,,AH235+1)*AF235-ERP_i)*AE235*Ramure*Pc/MaxiM</f>
        <v>0</v>
      </c>
      <c r="AE235" s="305">
        <f t="shared" si="88"/>
        <v>0.7</v>
      </c>
      <c r="AF235" s="177">
        <f t="shared" si="89"/>
        <v>0.17657063086826974</v>
      </c>
      <c r="AG235" s="817">
        <f t="shared" si="95"/>
        <v>-1</v>
      </c>
      <c r="AH235" s="176">
        <f t="shared" si="90"/>
        <v>5</v>
      </c>
      <c r="AI235" s="225">
        <f t="shared" si="91"/>
        <v>-0.82342936913173026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4"/>
        <v>44052</v>
      </c>
      <c r="B236" s="617">
        <v>24.812999999999999</v>
      </c>
      <c r="C236" s="390"/>
      <c r="D236" s="393">
        <f t="shared" si="74"/>
        <v>25.275404660532839</v>
      </c>
      <c r="E236" s="385">
        <f t="shared" si="96"/>
        <v>28.104115380964867</v>
      </c>
      <c r="F236" s="385">
        <f t="shared" si="75"/>
        <v>28.104115380964867</v>
      </c>
      <c r="G236" s="110">
        <f t="shared" si="97"/>
        <v>0.71457511665527107</v>
      </c>
      <c r="H236" s="414" t="b">
        <f>Wh_hp&gt;='2019'!Maxi_hp</f>
        <v>0</v>
      </c>
      <c r="I236" s="380">
        <f>IF(H236,Wh_hp,'2019'!Maxi_hp)</f>
        <v>35.976281897663725</v>
      </c>
      <c r="J236" s="85">
        <f>IF(H236,An,'2019'!An_max)</f>
        <v>2018</v>
      </c>
      <c r="K236" s="197">
        <f t="shared" si="76"/>
        <v>44052</v>
      </c>
      <c r="L236" s="147">
        <f>IF(t&lt;Tvie,1-EXP((T0-t)*PertePVj)+'2019'!Pspv,1-EXP((T0-t)*PertePVj)+Pspv)</f>
        <v>1.8294649155701892E-2</v>
      </c>
      <c r="M236" s="850"/>
      <c r="N236" s="850"/>
      <c r="O236" s="48">
        <f>IF(t&lt;Tnet,'2019'!Resal+('2019'!Salim-'2019'!Resal)*(1-EXP(('2019'!Tnet-t)/('2019'!Tau_j))),Resal+(Salim-Resal)*(1-EXP((Tnet-t)/(Tau_j))))*Salcycl</f>
        <v>0.1006511210933875</v>
      </c>
      <c r="P236" s="169">
        <f>(INDEX(Models!$BJ236:$BT236,,T236)*(1-R236)+INDEX(Models!$BJ236:$BT236,,T236+1)*R236-ERP_i)*Q236*Ramure*Pc/MaxiM</f>
        <v>0</v>
      </c>
      <c r="Q236" s="305">
        <f t="shared" si="77"/>
        <v>0.7</v>
      </c>
      <c r="R236" s="177">
        <f t="shared" si="78"/>
        <v>0.177446556328412</v>
      </c>
      <c r="S236" s="817">
        <f t="shared" si="79"/>
        <v>-1</v>
      </c>
      <c r="T236" s="176">
        <f t="shared" si="80"/>
        <v>5</v>
      </c>
      <c r="U236" s="251">
        <f t="shared" si="81"/>
        <v>-0.822553443671588</v>
      </c>
      <c r="V236" s="383">
        <f t="shared" si="82"/>
        <v>34.724131055868284</v>
      </c>
      <c r="W236" s="402"/>
      <c r="X236" s="157">
        <f t="shared" si="83"/>
        <v>44052</v>
      </c>
      <c r="Y236" s="385">
        <f t="shared" si="84"/>
        <v>24.812999999999999</v>
      </c>
      <c r="Z236" s="385">
        <f t="shared" si="85"/>
        <v>25.275404660532839</v>
      </c>
      <c r="AA236" s="386">
        <f t="shared" si="86"/>
        <v>28.104115380964867</v>
      </c>
      <c r="AB236" s="197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0.1006511210933875</v>
      </c>
      <c r="AD236" s="231">
        <f>(INDEX(Models!$BJ236:$BT236,,AH236)*(1-AF236)+INDEX(Models!$BJ236:$BT236,,AH236+1)*AF236-ERP_i)*AE236*Ramure*Pc/MaxiM</f>
        <v>0</v>
      </c>
      <c r="AE236" s="305">
        <f t="shared" si="88"/>
        <v>0.7</v>
      </c>
      <c r="AF236" s="177">
        <f t="shared" si="89"/>
        <v>0.177446556328412</v>
      </c>
      <c r="AG236" s="817">
        <f t="shared" si="95"/>
        <v>-1</v>
      </c>
      <c r="AH236" s="176">
        <f t="shared" si="90"/>
        <v>5</v>
      </c>
      <c r="AI236" s="225">
        <f t="shared" si="91"/>
        <v>-0.822553443671588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4"/>
        <v>44053</v>
      </c>
      <c r="B237" s="617">
        <v>23.803000000000001</v>
      </c>
      <c r="C237" s="390"/>
      <c r="D237" s="393">
        <f t="shared" si="74"/>
        <v>24.247113798184028</v>
      </c>
      <c r="E237" s="385">
        <f t="shared" si="96"/>
        <v>26.96253660277846</v>
      </c>
      <c r="F237" s="385">
        <f t="shared" si="75"/>
        <v>26.96253660277846</v>
      </c>
      <c r="G237" s="110">
        <f t="shared" si="97"/>
        <v>0.68743949259360815</v>
      </c>
      <c r="H237" s="414" t="b">
        <f>Wh_hp&gt;='2019'!Maxi_hp</f>
        <v>0</v>
      </c>
      <c r="I237" s="380">
        <f>IF(H237,Wh_hp,'2019'!Maxi_hp)</f>
        <v>36.771034850041509</v>
      </c>
      <c r="J237" s="85">
        <f>IF(H237,An,'2019'!An_max)</f>
        <v>2018</v>
      </c>
      <c r="K237" s="197">
        <f t="shared" si="76"/>
        <v>44053</v>
      </c>
      <c r="L237" s="147">
        <f>IF(t&lt;Tvie,1-EXP((T0-t)*PertePVj)+'2019'!Pspv,1-EXP((T0-t)*PertePVj)+Pspv)</f>
        <v>1.8316151022365723E-2</v>
      </c>
      <c r="M237" s="850"/>
      <c r="N237" s="850"/>
      <c r="O237" s="48">
        <f>IF(t&lt;Tnet,'2019'!Resal+('2019'!Salim-'2019'!Resal)*(1-EXP(('2019'!Tnet-t)/('2019'!Tau_j))),Resal+(Salim-Resal)*(1-EXP((Tnet-t)/(Tau_j))))*Salcycl</f>
        <v>0.10071095478140624</v>
      </c>
      <c r="P237" s="169">
        <f>(INDEX(Models!$BJ237:$BT237,,T237)*(1-R237)+INDEX(Models!$BJ237:$BT237,,T237+1)*R237-ERP_i)*Q237*Ramure*Pc/MaxiM</f>
        <v>0</v>
      </c>
      <c r="Q237" s="305">
        <f t="shared" si="77"/>
        <v>0.7</v>
      </c>
      <c r="R237" s="177">
        <f t="shared" si="78"/>
        <v>0.17829244016662726</v>
      </c>
      <c r="S237" s="817">
        <f t="shared" si="79"/>
        <v>-1</v>
      </c>
      <c r="T237" s="176">
        <f t="shared" si="80"/>
        <v>5</v>
      </c>
      <c r="U237" s="251">
        <f t="shared" si="81"/>
        <v>-0.82170755983337274</v>
      </c>
      <c r="V237" s="383">
        <f t="shared" si="82"/>
        <v>34.625592879738093</v>
      </c>
      <c r="W237" s="402"/>
      <c r="X237" s="157">
        <f t="shared" si="83"/>
        <v>44053</v>
      </c>
      <c r="Y237" s="385">
        <f t="shared" si="84"/>
        <v>23.803000000000001</v>
      </c>
      <c r="Z237" s="385">
        <f t="shared" si="85"/>
        <v>24.247113798184028</v>
      </c>
      <c r="AA237" s="386">
        <f t="shared" si="86"/>
        <v>26.96253660277846</v>
      </c>
      <c r="AB237" s="197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0.10071095478140624</v>
      </c>
      <c r="AD237" s="231">
        <f>(INDEX(Models!$BJ237:$BT237,,AH237)*(1-AF237)+INDEX(Models!$BJ237:$BT237,,AH237+1)*AF237-ERP_i)*AE237*Ramure*Pc/MaxiM</f>
        <v>0</v>
      </c>
      <c r="AE237" s="305">
        <f t="shared" si="88"/>
        <v>0.7</v>
      </c>
      <c r="AF237" s="177">
        <f t="shared" si="89"/>
        <v>0.17829244016662726</v>
      </c>
      <c r="AG237" s="817">
        <f t="shared" si="95"/>
        <v>-1</v>
      </c>
      <c r="AH237" s="176">
        <f t="shared" si="90"/>
        <v>5</v>
      </c>
      <c r="AI237" s="225">
        <f t="shared" si="91"/>
        <v>-0.82170755983337274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4"/>
        <v>44054</v>
      </c>
      <c r="B238" s="617">
        <v>27.567</v>
      </c>
      <c r="C238" s="390"/>
      <c r="D238" s="393">
        <f t="shared" si="74"/>
        <v>28.081957169799292</v>
      </c>
      <c r="E238" s="385">
        <f t="shared" si="96"/>
        <v>31.22890884661674</v>
      </c>
      <c r="F238" s="385">
        <f t="shared" si="75"/>
        <v>31.22890884661674</v>
      </c>
      <c r="G238" s="110">
        <f t="shared" si="97"/>
        <v>0.79844727293692142</v>
      </c>
      <c r="H238" s="414" t="b">
        <f>Wh_hp&gt;='2019'!Maxi_hp</f>
        <v>0</v>
      </c>
      <c r="I238" s="380">
        <f>IF(H238,Wh_hp,'2019'!Maxi_hp)</f>
        <v>34.183307751409572</v>
      </c>
      <c r="J238" s="85">
        <f>IF(H238,An,'2019'!An_max)</f>
        <v>2018</v>
      </c>
      <c r="K238" s="197">
        <f t="shared" si="76"/>
        <v>44054</v>
      </c>
      <c r="L238" s="147">
        <f>IF(t&lt;Tvie,1-EXP((T0-t)*PertePVj)+'2019'!Pspv,1-EXP((T0-t)*PertePVj)+Pspv)</f>
        <v>1.8337652418083605E-2</v>
      </c>
      <c r="M238" s="850"/>
      <c r="N238" s="850"/>
      <c r="O238" s="48">
        <f>IF(t&lt;Tnet,'2019'!Resal+('2019'!Salim-'2019'!Resal)*(1-EXP(('2019'!Tnet-t)/('2019'!Tau_j))),Resal+(Salim-Resal)*(1-EXP((Tnet-t)/(Tau_j))))*Salcycl</f>
        <v>0.10077046534907612</v>
      </c>
      <c r="P238" s="169">
        <f>(INDEX(Models!$BJ238:$BT238,,T238)*(1-R238)+INDEX(Models!$BJ238:$BT238,,T238+1)*R238-ERP_i)*Q238*Ramure*Pc/MaxiM</f>
        <v>0</v>
      </c>
      <c r="Q238" s="305">
        <f t="shared" si="77"/>
        <v>0.7</v>
      </c>
      <c r="R238" s="177">
        <f t="shared" si="78"/>
        <v>0.17910912372755594</v>
      </c>
      <c r="S238" s="817">
        <f t="shared" si="79"/>
        <v>-1</v>
      </c>
      <c r="T238" s="176">
        <f t="shared" si="80"/>
        <v>5</v>
      </c>
      <c r="U238" s="251">
        <f t="shared" si="81"/>
        <v>-0.82089087627244406</v>
      </c>
      <c r="V238" s="383">
        <f t="shared" si="82"/>
        <v>34.5257613550367</v>
      </c>
      <c r="W238" s="402"/>
      <c r="X238" s="157">
        <f t="shared" si="83"/>
        <v>44054</v>
      </c>
      <c r="Y238" s="385">
        <f t="shared" si="84"/>
        <v>27.567</v>
      </c>
      <c r="Z238" s="385">
        <f t="shared" si="85"/>
        <v>28.081957169799292</v>
      </c>
      <c r="AA238" s="386">
        <f t="shared" si="86"/>
        <v>31.22890884661674</v>
      </c>
      <c r="AB238" s="197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0.10077046534907612</v>
      </c>
      <c r="AD238" s="231">
        <f>(INDEX(Models!$BJ238:$BT238,,AH238)*(1-AF238)+INDEX(Models!$BJ238:$BT238,,AH238+1)*AF238-ERP_i)*AE238*Ramure*Pc/MaxiM</f>
        <v>0</v>
      </c>
      <c r="AE238" s="305">
        <f t="shared" si="88"/>
        <v>0.7</v>
      </c>
      <c r="AF238" s="177">
        <f t="shared" si="89"/>
        <v>0.17910912372755594</v>
      </c>
      <c r="AG238" s="817">
        <f t="shared" si="95"/>
        <v>-1</v>
      </c>
      <c r="AH238" s="176">
        <f t="shared" si="90"/>
        <v>5</v>
      </c>
      <c r="AI238" s="225">
        <f t="shared" si="91"/>
        <v>-0.82089087627244406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4"/>
        <v>44055</v>
      </c>
      <c r="B239" s="617">
        <v>17.152000000000001</v>
      </c>
      <c r="C239" s="390"/>
      <c r="D239" s="393">
        <f t="shared" si="74"/>
        <v>17.472785549225232</v>
      </c>
      <c r="E239" s="385">
        <f t="shared" si="96"/>
        <v>19.43211930194899</v>
      </c>
      <c r="F239" s="385">
        <f t="shared" si="75"/>
        <v>19.43211930194899</v>
      </c>
      <c r="G239" s="110">
        <f t="shared" si="97"/>
        <v>0.49824781155968267</v>
      </c>
      <c r="H239" s="414" t="b">
        <f>Wh_hp&gt;='2019'!Maxi_hp</f>
        <v>0</v>
      </c>
      <c r="I239" s="380">
        <f>IF(H239,Wh_hp,'2019'!Maxi_hp)</f>
        <v>34.50916616392346</v>
      </c>
      <c r="J239" s="85">
        <f>IF(H239,An,'2019'!An_max)</f>
        <v>2019</v>
      </c>
      <c r="K239" s="197">
        <f t="shared" si="76"/>
        <v>44055</v>
      </c>
      <c r="L239" s="147">
        <f>IF(t&lt;Tvie,1-EXP((T0-t)*PertePVj)+'2019'!Pspv,1-EXP((T0-t)*PertePVj)+Pspv)</f>
        <v>1.8359153342865642E-2</v>
      </c>
      <c r="M239" s="850"/>
      <c r="N239" s="850"/>
      <c r="O239" s="48">
        <f>IF(t&lt;Tnet,'2019'!Resal+('2019'!Salim-'2019'!Resal)*(1-EXP(('2019'!Tnet-t)/('2019'!Tau_j))),Resal+(Salim-Resal)*(1-EXP((Tnet-t)/(Tau_j))))*Salcycl</f>
        <v>0.10082964818599294</v>
      </c>
      <c r="P239" s="169">
        <f>(INDEX(Models!$BJ239:$BT239,,T239)*(1-R239)+INDEX(Models!$BJ239:$BT239,,T239+1)*R239-ERP_i)*Q239*Ramure*Pc/MaxiM</f>
        <v>0</v>
      </c>
      <c r="Q239" s="305">
        <f t="shared" si="77"/>
        <v>0.7</v>
      </c>
      <c r="R239" s="177">
        <f t="shared" si="78"/>
        <v>0.17989743888674203</v>
      </c>
      <c r="S239" s="817">
        <f t="shared" si="79"/>
        <v>-1</v>
      </c>
      <c r="T239" s="176">
        <f t="shared" si="80"/>
        <v>5</v>
      </c>
      <c r="U239" s="251">
        <f t="shared" si="81"/>
        <v>-0.82010256111325797</v>
      </c>
      <c r="V239" s="383">
        <f t="shared" si="82"/>
        <v>34.424636901682497</v>
      </c>
      <c r="W239" s="402"/>
      <c r="X239" s="157">
        <f t="shared" si="83"/>
        <v>44055</v>
      </c>
      <c r="Y239" s="385">
        <f t="shared" si="84"/>
        <v>17.152000000000001</v>
      </c>
      <c r="Z239" s="385">
        <f t="shared" si="85"/>
        <v>17.472785549225232</v>
      </c>
      <c r="AA239" s="386">
        <f t="shared" si="86"/>
        <v>19.43211930194899</v>
      </c>
      <c r="AB239" s="197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0.10082964818599294</v>
      </c>
      <c r="AD239" s="231">
        <f>(INDEX(Models!$BJ239:$BT239,,AH239)*(1-AF239)+INDEX(Models!$BJ239:$BT239,,AH239+1)*AF239-ERP_i)*AE239*Ramure*Pc/MaxiM</f>
        <v>0</v>
      </c>
      <c r="AE239" s="305">
        <f t="shared" si="88"/>
        <v>0.7</v>
      </c>
      <c r="AF239" s="177">
        <f t="shared" si="89"/>
        <v>0.17989743888674203</v>
      </c>
      <c r="AG239" s="817">
        <f t="shared" si="95"/>
        <v>-1</v>
      </c>
      <c r="AH239" s="176">
        <f t="shared" si="90"/>
        <v>5</v>
      </c>
      <c r="AI239" s="225">
        <f t="shared" si="91"/>
        <v>-0.82010256111325797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4"/>
        <v>44056</v>
      </c>
      <c r="B240" s="617">
        <v>10.396000000000001</v>
      </c>
      <c r="C240" s="390"/>
      <c r="D240" s="393">
        <f t="shared" si="74"/>
        <v>10.590663315886966</v>
      </c>
      <c r="E240" s="385">
        <f t="shared" si="96"/>
        <v>11.77903217280563</v>
      </c>
      <c r="F240" s="385">
        <f t="shared" si="75"/>
        <v>11.77903217280563</v>
      </c>
      <c r="G240" s="110">
        <f t="shared" si="97"/>
        <v>0.30289416026180088</v>
      </c>
      <c r="H240" s="414" t="b">
        <f>Wh_hp&gt;='2019'!Maxi_hp</f>
        <v>0</v>
      </c>
      <c r="I240" s="380">
        <f>IF(H240,Wh_hp,'2019'!Maxi_hp)</f>
        <v>38.844476104478311</v>
      </c>
      <c r="J240" s="85">
        <f>IF(H240,An,'2019'!An_max)</f>
        <v>2019</v>
      </c>
      <c r="K240" s="197">
        <f t="shared" si="76"/>
        <v>44056</v>
      </c>
      <c r="L240" s="147">
        <f>IF(t&lt;Tvie,1-EXP((T0-t)*PertePVj)+'2019'!Pspv,1-EXP((T0-t)*PertePVj)+Pspv)</f>
        <v>1.8380653796722268E-2</v>
      </c>
      <c r="M240" s="850"/>
      <c r="N240" s="850"/>
      <c r="O240" s="48">
        <f>IF(t&lt;Tnet,'2019'!Resal+('2019'!Salim-'2019'!Resal)*(1-EXP(('2019'!Tnet-t)/('2019'!Tau_j))),Resal+(Salim-Resal)*(1-EXP((Tnet-t)/(Tau_j))))*Salcycl</f>
        <v>0.1008884974151156</v>
      </c>
      <c r="P240" s="169">
        <f>(INDEX(Models!$BJ240:$BT240,,T240)*(1-R240)+INDEX(Models!$BJ240:$BT240,,T240+1)*R240-ERP_i)*Q240*Ramure*Pc/MaxiM</f>
        <v>0</v>
      </c>
      <c r="Q240" s="305">
        <f t="shared" si="77"/>
        <v>0.7</v>
      </c>
      <c r="R240" s="177">
        <f t="shared" si="78"/>
        <v>0.18065820698017154</v>
      </c>
      <c r="S240" s="817">
        <f t="shared" si="79"/>
        <v>-1</v>
      </c>
      <c r="T240" s="176">
        <f t="shared" si="80"/>
        <v>5</v>
      </c>
      <c r="U240" s="251">
        <f t="shared" si="81"/>
        <v>-0.81934179301982846</v>
      </c>
      <c r="V240" s="383">
        <f t="shared" si="82"/>
        <v>34.322219982763656</v>
      </c>
      <c r="W240" s="402"/>
      <c r="X240" s="157">
        <f t="shared" si="83"/>
        <v>44056</v>
      </c>
      <c r="Y240" s="385">
        <f t="shared" si="84"/>
        <v>10.396000000000001</v>
      </c>
      <c r="Z240" s="385">
        <f t="shared" si="85"/>
        <v>10.590663315886966</v>
      </c>
      <c r="AA240" s="386">
        <f t="shared" si="86"/>
        <v>11.77903217280563</v>
      </c>
      <c r="AB240" s="197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0.1008884974151156</v>
      </c>
      <c r="AD240" s="231">
        <f>(INDEX(Models!$BJ240:$BT240,,AH240)*(1-AF240)+INDEX(Models!$BJ240:$BT240,,AH240+1)*AF240-ERP_i)*AE240*Ramure*Pc/MaxiM</f>
        <v>0</v>
      </c>
      <c r="AE240" s="305">
        <f t="shared" si="88"/>
        <v>0.7</v>
      </c>
      <c r="AF240" s="177">
        <f t="shared" si="89"/>
        <v>0.18065820698017154</v>
      </c>
      <c r="AG240" s="817">
        <f t="shared" si="95"/>
        <v>-1</v>
      </c>
      <c r="AH240" s="176">
        <f t="shared" si="90"/>
        <v>5</v>
      </c>
      <c r="AI240" s="225">
        <f t="shared" si="91"/>
        <v>-0.81934179301982846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4"/>
        <v>44057</v>
      </c>
      <c r="B241" s="617">
        <v>31.771999999999998</v>
      </c>
      <c r="C241" s="390"/>
      <c r="D241" s="393">
        <f t="shared" si="74"/>
        <v>32.367634181695458</v>
      </c>
      <c r="E241" s="385">
        <f t="shared" si="96"/>
        <v>36.001920240170314</v>
      </c>
      <c r="F241" s="385">
        <f t="shared" si="75"/>
        <v>36.001920240170314</v>
      </c>
      <c r="G241" s="110">
        <f t="shared" si="97"/>
        <v>0.92850328603237509</v>
      </c>
      <c r="H241" s="414" t="b">
        <f>Wh_hp&gt;='2019'!Maxi_hp</f>
        <v>0</v>
      </c>
      <c r="I241" s="380">
        <f>IF(H241,Wh_hp,'2019'!Maxi_hp)</f>
        <v>38.017729507891737</v>
      </c>
      <c r="J241" s="85">
        <f>IF(H241,An,'2019'!An_max)</f>
        <v>2018</v>
      </c>
      <c r="K241" s="197">
        <f t="shared" si="76"/>
        <v>44057</v>
      </c>
      <c r="L241" s="147">
        <f>IF(t&lt;Tvie,1-EXP((T0-t)*PertePVj)+'2019'!Pspv,1-EXP((T0-t)*PertePVj)+Pspv)</f>
        <v>1.8402153779663699E-2</v>
      </c>
      <c r="M241" s="850"/>
      <c r="N241" s="850"/>
      <c r="O241" s="48">
        <f>IF(t&lt;Tnet,'2019'!Resal+('2019'!Salim-'2019'!Resal)*(1-EXP(('2019'!Tnet-t)/('2019'!Tau_j))),Resal+(Salim-Resal)*(1-EXP((Tnet-t)/(Tau_j))))*Salcycl</f>
        <v>0.10094700599941284</v>
      </c>
      <c r="P241" s="169">
        <f>(INDEX(Models!$BJ241:$BT241,,T241)*(1-R241)+INDEX(Models!$BJ241:$BT241,,T241+1)*R241-ERP_i)*Q241*Ramure*Pc/MaxiM</f>
        <v>0</v>
      </c>
      <c r="Q241" s="305">
        <f t="shared" si="77"/>
        <v>0.7</v>
      </c>
      <c r="R241" s="177">
        <f t="shared" si="78"/>
        <v>0.18139223784534297</v>
      </c>
      <c r="S241" s="817">
        <f t="shared" si="79"/>
        <v>-1</v>
      </c>
      <c r="T241" s="176">
        <f t="shared" si="80"/>
        <v>5</v>
      </c>
      <c r="U241" s="251">
        <f t="shared" si="81"/>
        <v>-0.81860776215465703</v>
      </c>
      <c r="V241" s="383">
        <f t="shared" si="82"/>
        <v>34.218511100554323</v>
      </c>
      <c r="W241" s="402"/>
      <c r="X241" s="157">
        <f t="shared" si="83"/>
        <v>44057</v>
      </c>
      <c r="Y241" s="385">
        <f t="shared" si="84"/>
        <v>31.771999999999998</v>
      </c>
      <c r="Z241" s="385">
        <f t="shared" si="85"/>
        <v>32.367634181695458</v>
      </c>
      <c r="AA241" s="386">
        <f t="shared" si="86"/>
        <v>36.001920240170314</v>
      </c>
      <c r="AB241" s="197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0.10094700599941284</v>
      </c>
      <c r="AD241" s="231">
        <f>(INDEX(Models!$BJ241:$BT241,,AH241)*(1-AF241)+INDEX(Models!$BJ241:$BT241,,AH241+1)*AF241-ERP_i)*AE241*Ramure*Pc/MaxiM</f>
        <v>0</v>
      </c>
      <c r="AE241" s="305">
        <f t="shared" si="88"/>
        <v>0.7</v>
      </c>
      <c r="AF241" s="177">
        <f t="shared" si="89"/>
        <v>0.18139223784534297</v>
      </c>
      <c r="AG241" s="817">
        <f t="shared" si="95"/>
        <v>-1</v>
      </c>
      <c r="AH241" s="176">
        <f t="shared" si="90"/>
        <v>5</v>
      </c>
      <c r="AI241" s="225">
        <f t="shared" si="91"/>
        <v>-0.81860776215465703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4"/>
        <v>44058</v>
      </c>
      <c r="B242" s="617">
        <v>28.361000000000001</v>
      </c>
      <c r="C242" s="390"/>
      <c r="D242" s="393">
        <f t="shared" si="74"/>
        <v>28.893320519700943</v>
      </c>
      <c r="E242" s="385">
        <f t="shared" si="96"/>
        <v>32.139584591506384</v>
      </c>
      <c r="F242" s="385">
        <f t="shared" si="75"/>
        <v>32.139584591506384</v>
      </c>
      <c r="G242" s="110">
        <f t="shared" si="97"/>
        <v>0.8313714813432318</v>
      </c>
      <c r="H242" s="414" t="b">
        <f>Wh_hp&gt;='2019'!Maxi_hp</f>
        <v>0</v>
      </c>
      <c r="I242" s="380">
        <f>IF(H242,Wh_hp,'2019'!Maxi_hp)</f>
        <v>38.177761326018796</v>
      </c>
      <c r="J242" s="85">
        <f>IF(H242,An,'2019'!An_max)</f>
        <v>2019</v>
      </c>
      <c r="K242" s="197">
        <f t="shared" si="76"/>
        <v>44058</v>
      </c>
      <c r="L242" s="147">
        <f>IF(t&lt;Tvie,1-EXP((T0-t)*PertePVj)+'2019'!Pspv,1-EXP((T0-t)*PertePVj)+Pspv)</f>
        <v>1.842365329170037E-2</v>
      </c>
      <c r="M242" s="850"/>
      <c r="N242" s="850"/>
      <c r="O242" s="48">
        <f>IF(t&lt;Tnet,'2019'!Resal+('2019'!Salim-'2019'!Resal)*(1-EXP(('2019'!Tnet-t)/('2019'!Tau_j))),Resal+(Salim-Resal)*(1-EXP((Tnet-t)/(Tau_j))))*Salcycl</f>
        <v>0.10100516584347334</v>
      </c>
      <c r="P242" s="169">
        <f>(INDEX(Models!$BJ242:$BT242,,T242)*(1-R242)+INDEX(Models!$BJ242:$BT242,,T242+1)*R242-ERP_i)*Q242*Ramure*Pc/MaxiM</f>
        <v>0</v>
      </c>
      <c r="Q242" s="305">
        <f t="shared" si="77"/>
        <v>0.7</v>
      </c>
      <c r="R242" s="177">
        <f t="shared" si="78"/>
        <v>0.18210032896815298</v>
      </c>
      <c r="S242" s="817">
        <f t="shared" si="79"/>
        <v>-1</v>
      </c>
      <c r="T242" s="176">
        <f t="shared" si="80"/>
        <v>5</v>
      </c>
      <c r="U242" s="251">
        <f t="shared" si="81"/>
        <v>-0.81789967103184702</v>
      </c>
      <c r="V242" s="383">
        <f t="shared" si="82"/>
        <v>34.113510790841239</v>
      </c>
      <c r="W242" s="402"/>
      <c r="X242" s="157">
        <f t="shared" si="83"/>
        <v>44058</v>
      </c>
      <c r="Y242" s="385">
        <f t="shared" si="84"/>
        <v>28.361000000000001</v>
      </c>
      <c r="Z242" s="385">
        <f t="shared" si="85"/>
        <v>28.893320519700943</v>
      </c>
      <c r="AA242" s="386">
        <f t="shared" si="86"/>
        <v>32.139584591506384</v>
      </c>
      <c r="AB242" s="197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0.10100516584347334</v>
      </c>
      <c r="AD242" s="231">
        <f>(INDEX(Models!$BJ242:$BT242,,AH242)*(1-AF242)+INDEX(Models!$BJ242:$BT242,,AH242+1)*AF242-ERP_i)*AE242*Ramure*Pc/MaxiM</f>
        <v>0</v>
      </c>
      <c r="AE242" s="305">
        <f t="shared" si="88"/>
        <v>0.7</v>
      </c>
      <c r="AF242" s="177">
        <f t="shared" si="89"/>
        <v>0.18210032896815298</v>
      </c>
      <c r="AG242" s="817">
        <f t="shared" si="95"/>
        <v>-1</v>
      </c>
      <c r="AH242" s="176">
        <f t="shared" si="90"/>
        <v>5</v>
      </c>
      <c r="AI242" s="225">
        <f t="shared" si="91"/>
        <v>-0.81789967103184702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44059</v>
      </c>
      <c r="B243" s="617">
        <v>12.02</v>
      </c>
      <c r="C243" s="390"/>
      <c r="D243" s="393">
        <f t="shared" si="74"/>
        <v>12.245877067967932</v>
      </c>
      <c r="E243" s="385">
        <f t="shared" si="96"/>
        <v>13.622619416632817</v>
      </c>
      <c r="F243" s="385">
        <f t="shared" si="75"/>
        <v>13.622619416632817</v>
      </c>
      <c r="G243" s="110">
        <f t="shared" si="97"/>
        <v>0.35345435865099806</v>
      </c>
      <c r="H243" s="414" t="b">
        <f>Wh_hp&gt;='2019'!Maxi_hp</f>
        <v>0</v>
      </c>
      <c r="I243" s="380">
        <f>IF(H243,Wh_hp,'2019'!Maxi_hp)</f>
        <v>37.316431373615615</v>
      </c>
      <c r="J243" s="85">
        <f>IF(H243,An,'2019'!An_max)</f>
        <v>2019</v>
      </c>
      <c r="K243" s="197">
        <f t="shared" si="76"/>
        <v>44059</v>
      </c>
      <c r="L243" s="147">
        <f>IF(t&lt;Tvie,1-EXP((T0-t)*PertePVj)+'2019'!Pspv,1-EXP((T0-t)*PertePVj)+Pspv)</f>
        <v>1.8445152332842607E-2</v>
      </c>
      <c r="M243" s="850"/>
      <c r="N243" s="850"/>
      <c r="O243" s="48">
        <f>IF(t&lt;Tnet,'2019'!Resal+('2019'!Salim-'2019'!Resal)*(1-EXP(('2019'!Tnet-t)/('2019'!Tau_j))),Resal+(Salim-Resal)*(1-EXP((Tnet-t)/(Tau_j))))*Salcycl</f>
        <v>0.10106296788882785</v>
      </c>
      <c r="P243" s="169">
        <f>(INDEX(Models!$BJ243:$BT243,,T243)*(1-R243)+INDEX(Models!$BJ243:$BT243,,T243+1)*R243-ERP_i)*Q243*Ramure*Pc/MaxiM</f>
        <v>0</v>
      </c>
      <c r="Q243" s="305">
        <f t="shared" si="77"/>
        <v>0.7</v>
      </c>
      <c r="R243" s="177">
        <f t="shared" si="78"/>
        <v>0.18278326472987672</v>
      </c>
      <c r="S243" s="817">
        <f t="shared" si="79"/>
        <v>-1</v>
      </c>
      <c r="T243" s="176">
        <f t="shared" si="80"/>
        <v>5</v>
      </c>
      <c r="U243" s="251">
        <f t="shared" si="81"/>
        <v>-0.81721673527012328</v>
      </c>
      <c r="V243" s="383">
        <f t="shared" si="82"/>
        <v>34.007219619177434</v>
      </c>
      <c r="W243" s="402"/>
      <c r="X243" s="157">
        <f t="shared" si="83"/>
        <v>44059</v>
      </c>
      <c r="Y243" s="385">
        <f t="shared" si="84"/>
        <v>12.02</v>
      </c>
      <c r="Z243" s="385">
        <f t="shared" si="85"/>
        <v>12.245877067967932</v>
      </c>
      <c r="AA243" s="386">
        <f t="shared" si="86"/>
        <v>13.622619416632817</v>
      </c>
      <c r="AB243" s="197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0.10106296788882785</v>
      </c>
      <c r="AD243" s="231">
        <f>(INDEX(Models!$BJ243:$BT243,,AH243)*(1-AF243)+INDEX(Models!$BJ243:$BT243,,AH243+1)*AF243-ERP_i)*AE243*Ramure*Pc/MaxiM</f>
        <v>0</v>
      </c>
      <c r="AE243" s="305">
        <f t="shared" si="88"/>
        <v>0.7</v>
      </c>
      <c r="AF243" s="177">
        <f t="shared" si="89"/>
        <v>0.18278326472987672</v>
      </c>
      <c r="AG243" s="817">
        <f t="shared" si="95"/>
        <v>-1</v>
      </c>
      <c r="AH243" s="176">
        <f t="shared" si="90"/>
        <v>5</v>
      </c>
      <c r="AI243" s="225">
        <f t="shared" si="91"/>
        <v>-0.81721673527012328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44060</v>
      </c>
      <c r="B244" s="617">
        <v>26.814</v>
      </c>
      <c r="C244" s="390"/>
      <c r="D244" s="393">
        <f t="shared" si="74"/>
        <v>27.318480849042306</v>
      </c>
      <c r="E244" s="385">
        <f t="shared" si="96"/>
        <v>30.39170197650569</v>
      </c>
      <c r="F244" s="385">
        <f t="shared" si="75"/>
        <v>30.39170197650569</v>
      </c>
      <c r="G244" s="110">
        <f t="shared" si="97"/>
        <v>0.79098189367492844</v>
      </c>
      <c r="H244" s="414" t="b">
        <f>Wh_hp&gt;='2019'!Maxi_hp</f>
        <v>1</v>
      </c>
      <c r="I244" s="380">
        <f>IF(H244,Wh_hp,'2019'!Maxi_hp)</f>
        <v>30.39170197650569</v>
      </c>
      <c r="J244" s="85">
        <f>IF(H244,An,'2019'!An_max)</f>
        <v>2020</v>
      </c>
      <c r="K244" s="197">
        <f t="shared" si="76"/>
        <v>44060</v>
      </c>
      <c r="L244" s="147">
        <f>IF(t&lt;Tvie,1-EXP((T0-t)*PertePVj)+'2019'!Pspv,1-EXP((T0-t)*PertePVj)+Pspv)</f>
        <v>1.8466650903100623E-2</v>
      </c>
      <c r="M244" s="850"/>
      <c r="N244" s="850"/>
      <c r="O244" s="48">
        <f>IF(t&lt;Tnet,'2019'!Resal+('2019'!Salim-'2019'!Resal)*(1-EXP(('2019'!Tnet-t)/('2019'!Tau_j))),Resal+(Salim-Resal)*(1-EXP((Tnet-t)/(Tau_j))))*Salcycl</f>
        <v>0.10112040220186214</v>
      </c>
      <c r="P244" s="169">
        <f>(INDEX(Models!$BJ244:$BT244,,T244)*(1-R244)+INDEX(Models!$BJ244:$BT244,,T244+1)*R244-ERP_i)*Q244*Ramure*Pc/MaxiM</f>
        <v>0</v>
      </c>
      <c r="Q244" s="305">
        <f t="shared" si="77"/>
        <v>0.7</v>
      </c>
      <c r="R244" s="177">
        <f t="shared" si="78"/>
        <v>0.18344181574854912</v>
      </c>
      <c r="S244" s="817">
        <f t="shared" si="79"/>
        <v>-1</v>
      </c>
      <c r="T244" s="176">
        <f t="shared" si="80"/>
        <v>5</v>
      </c>
      <c r="U244" s="251">
        <f t="shared" si="81"/>
        <v>-0.81655818425145088</v>
      </c>
      <c r="V244" s="383">
        <f t="shared" si="82"/>
        <v>33.899638176825079</v>
      </c>
      <c r="W244" s="402"/>
      <c r="X244" s="157">
        <f t="shared" si="83"/>
        <v>44060</v>
      </c>
      <c r="Y244" s="385">
        <f t="shared" si="84"/>
        <v>26.814</v>
      </c>
      <c r="Z244" s="385">
        <f t="shared" si="85"/>
        <v>27.318480849042306</v>
      </c>
      <c r="AA244" s="386">
        <f t="shared" si="86"/>
        <v>30.39170197650569</v>
      </c>
      <c r="AB244" s="197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0.10112040220186214</v>
      </c>
      <c r="AD244" s="231">
        <f>(INDEX(Models!$BJ244:$BT244,,AH244)*(1-AF244)+INDEX(Models!$BJ244:$BT244,,AH244+1)*AF244-ERP_i)*AE244*Ramure*Pc/MaxiM</f>
        <v>0</v>
      </c>
      <c r="AE244" s="305">
        <f t="shared" si="88"/>
        <v>0.7</v>
      </c>
      <c r="AF244" s="177">
        <f t="shared" si="89"/>
        <v>0.18344181574854912</v>
      </c>
      <c r="AG244" s="817">
        <f t="shared" si="95"/>
        <v>-1</v>
      </c>
      <c r="AH244" s="176">
        <f t="shared" si="90"/>
        <v>5</v>
      </c>
      <c r="AI244" s="225">
        <f t="shared" si="91"/>
        <v>-0.81655818425145088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4"/>
        <v>44061</v>
      </c>
      <c r="B245" s="617">
        <v>24.491</v>
      </c>
      <c r="C245" s="390"/>
      <c r="D245" s="393">
        <f t="shared" si="74"/>
        <v>24.952322251748338</v>
      </c>
      <c r="E245" s="385">
        <f t="shared" si="96"/>
        <v>27.761122009364488</v>
      </c>
      <c r="F245" s="385">
        <f t="shared" si="75"/>
        <v>27.761122009364488</v>
      </c>
      <c r="G245" s="110">
        <f t="shared" si="97"/>
        <v>0.72478378321858428</v>
      </c>
      <c r="H245" s="414" t="b">
        <f>Wh_hp&gt;='2019'!Maxi_hp</f>
        <v>0</v>
      </c>
      <c r="I245" s="380">
        <f>IF(H245,Wh_hp,'2019'!Maxi_hp)</f>
        <v>35.384293693834039</v>
      </c>
      <c r="J245" s="85">
        <f>IF(H245,An,'2019'!An_max)</f>
        <v>2018</v>
      </c>
      <c r="K245" s="197">
        <f t="shared" si="76"/>
        <v>44061</v>
      </c>
      <c r="L245" s="147">
        <f>IF(t&lt;Tvie,1-EXP((T0-t)*PertePVj)+'2019'!Pspv,1-EXP((T0-t)*PertePVj)+Pspv)</f>
        <v>1.8488149002484744E-2</v>
      </c>
      <c r="M245" s="850"/>
      <c r="N245" s="850"/>
      <c r="O245" s="48">
        <f>IF(t&lt;Tnet,'2019'!Resal+('2019'!Salim-'2019'!Resal)*(1-EXP(('2019'!Tnet-t)/('2019'!Tau_j))),Resal+(Salim-Resal)*(1-EXP((Tnet-t)/(Tau_j))))*Salcycl</f>
        <v>0.1011774580533408</v>
      </c>
      <c r="P245" s="169">
        <f>(INDEX(Models!$BJ245:$BT245,,T245)*(1-R245)+INDEX(Models!$BJ245:$BT245,,T245+1)*R245-ERP_i)*Q245*Ramure*Pc/MaxiM</f>
        <v>0</v>
      </c>
      <c r="Q245" s="305">
        <f t="shared" si="77"/>
        <v>0.7</v>
      </c>
      <c r="R245" s="177">
        <f t="shared" si="78"/>
        <v>0.1840767383091253</v>
      </c>
      <c r="S245" s="817">
        <f t="shared" si="79"/>
        <v>-1</v>
      </c>
      <c r="T245" s="176">
        <f t="shared" si="80"/>
        <v>5</v>
      </c>
      <c r="U245" s="251">
        <f t="shared" si="81"/>
        <v>-0.8159232616908747</v>
      </c>
      <c r="V245" s="383">
        <f t="shared" si="82"/>
        <v>33.790767077102039</v>
      </c>
      <c r="W245" s="402"/>
      <c r="X245" s="157">
        <f t="shared" si="83"/>
        <v>44061</v>
      </c>
      <c r="Y245" s="385">
        <f t="shared" si="84"/>
        <v>24.491</v>
      </c>
      <c r="Z245" s="385">
        <f t="shared" si="85"/>
        <v>24.952322251748338</v>
      </c>
      <c r="AA245" s="386">
        <f t="shared" si="86"/>
        <v>27.761122009364488</v>
      </c>
      <c r="AB245" s="197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0.1011774580533408</v>
      </c>
      <c r="AD245" s="231">
        <f>(INDEX(Models!$BJ245:$BT245,,AH245)*(1-AF245)+INDEX(Models!$BJ245:$BT245,,AH245+1)*AF245-ERP_i)*AE245*Ramure*Pc/MaxiM</f>
        <v>0</v>
      </c>
      <c r="AE245" s="305">
        <f t="shared" si="88"/>
        <v>0.7</v>
      </c>
      <c r="AF245" s="177">
        <f t="shared" si="89"/>
        <v>0.1840767383091253</v>
      </c>
      <c r="AG245" s="817">
        <f t="shared" si="95"/>
        <v>-1</v>
      </c>
      <c r="AH245" s="176">
        <f t="shared" si="90"/>
        <v>5</v>
      </c>
      <c r="AI245" s="225">
        <f t="shared" si="91"/>
        <v>-0.8159232616908747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44062</v>
      </c>
      <c r="B246" s="617">
        <v>32.201000000000001</v>
      </c>
      <c r="C246" s="390"/>
      <c r="D246" s="393">
        <f t="shared" si="74"/>
        <v>32.808269474548702</v>
      </c>
      <c r="E246" s="385">
        <f t="shared" si="96"/>
        <v>36.503688391187687</v>
      </c>
      <c r="F246" s="385">
        <f t="shared" si="75"/>
        <v>36.503688391187687</v>
      </c>
      <c r="G246" s="110">
        <f t="shared" si="97"/>
        <v>0.95606946887556188</v>
      </c>
      <c r="H246" s="414" t="b">
        <f>Wh_hp&gt;='2019'!Maxi_hp</f>
        <v>1</v>
      </c>
      <c r="I246" s="380">
        <f>IF(H246,Wh_hp,'2019'!Maxi_hp)</f>
        <v>36.503688391187687</v>
      </c>
      <c r="J246" s="85">
        <f>IF(H246,An,'2019'!An_max)</f>
        <v>2020</v>
      </c>
      <c r="K246" s="197">
        <f t="shared" si="76"/>
        <v>44062</v>
      </c>
      <c r="L246" s="147">
        <f>IF(t&lt;Tvie,1-EXP((T0-t)*PertePVj)+'2019'!Pspv,1-EXP((T0-t)*PertePVj)+Pspv)</f>
        <v>1.8509646631005405E-2</v>
      </c>
      <c r="M246" s="850"/>
      <c r="N246" s="850"/>
      <c r="O246" s="48">
        <f>IF(t&lt;Tnet,'2019'!Resal+('2019'!Salim-'2019'!Resal)*(1-EXP(('2019'!Tnet-t)/('2019'!Tau_j))),Resal+(Salim-Resal)*(1-EXP((Tnet-t)/(Tau_j))))*Salcycl</f>
        <v>0.10123412398871701</v>
      </c>
      <c r="P246" s="169">
        <f>(INDEX(Models!$BJ246:$BT246,,T246)*(1-R246)+INDEX(Models!$BJ246:$BT246,,T246+1)*R246-ERP_i)*Q246*Ramure*Pc/MaxiM</f>
        <v>0</v>
      </c>
      <c r="Q246" s="305">
        <f t="shared" si="77"/>
        <v>0.7</v>
      </c>
      <c r="R246" s="177">
        <f t="shared" si="78"/>
        <v>0.18468877387688987</v>
      </c>
      <c r="S246" s="817">
        <f t="shared" si="79"/>
        <v>-1</v>
      </c>
      <c r="T246" s="176">
        <f t="shared" si="80"/>
        <v>5</v>
      </c>
      <c r="U246" s="251">
        <f t="shared" si="81"/>
        <v>-0.81531122612311013</v>
      </c>
      <c r="V246" s="383">
        <f t="shared" si="82"/>
        <v>33.680606951994569</v>
      </c>
      <c r="W246" s="402"/>
      <c r="X246" s="157">
        <f t="shared" si="83"/>
        <v>44062</v>
      </c>
      <c r="Y246" s="385">
        <f t="shared" si="84"/>
        <v>32.201000000000001</v>
      </c>
      <c r="Z246" s="385">
        <f t="shared" si="85"/>
        <v>32.808269474548702</v>
      </c>
      <c r="AA246" s="386">
        <f t="shared" si="86"/>
        <v>36.503688391187687</v>
      </c>
      <c r="AB246" s="197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0.10123412398871701</v>
      </c>
      <c r="AD246" s="231">
        <f>(INDEX(Models!$BJ246:$BT246,,AH246)*(1-AF246)+INDEX(Models!$BJ246:$BT246,,AH246+1)*AF246-ERP_i)*AE246*Ramure*Pc/MaxiM</f>
        <v>0</v>
      </c>
      <c r="AE246" s="305">
        <f t="shared" si="88"/>
        <v>0.7</v>
      </c>
      <c r="AF246" s="177">
        <f t="shared" si="89"/>
        <v>0.18468877387688987</v>
      </c>
      <c r="AG246" s="817">
        <f t="shared" si="95"/>
        <v>-1</v>
      </c>
      <c r="AH246" s="176">
        <f t="shared" si="90"/>
        <v>5</v>
      </c>
      <c r="AI246" s="225">
        <f t="shared" si="91"/>
        <v>-0.81531122612311013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4"/>
        <v>44063</v>
      </c>
      <c r="B247" s="617">
        <v>32.276000000000003</v>
      </c>
      <c r="C247" s="390"/>
      <c r="D247" s="393">
        <f t="shared" si="74"/>
        <v>32.885404152906119</v>
      </c>
      <c r="E247" s="385">
        <f t="shared" si="96"/>
        <v>36.591801967762351</v>
      </c>
      <c r="F247" s="385">
        <f t="shared" si="75"/>
        <v>36.591801967762351</v>
      </c>
      <c r="G247" s="110">
        <f t="shared" si="97"/>
        <v>0.96143677206328948</v>
      </c>
      <c r="H247" s="414" t="b">
        <f>Wh_hp&gt;='2019'!Maxi_hp</f>
        <v>1</v>
      </c>
      <c r="I247" s="380">
        <f>IF(H247,Wh_hp,'2019'!Maxi_hp)</f>
        <v>36.591801967762351</v>
      </c>
      <c r="J247" s="85">
        <f>IF(H247,An,'2019'!An_max)</f>
        <v>2020</v>
      </c>
      <c r="K247" s="197">
        <f t="shared" si="76"/>
        <v>44063</v>
      </c>
      <c r="L247" s="147">
        <f>IF(t&lt;Tvie,1-EXP((T0-t)*PertePVj)+'2019'!Pspv,1-EXP((T0-t)*PertePVj)+Pspv)</f>
        <v>1.853114378867271E-2</v>
      </c>
      <c r="M247" s="850"/>
      <c r="N247" s="850"/>
      <c r="O247" s="48">
        <f>IF(t&lt;Tnet,'2019'!Resal+('2019'!Salim-'2019'!Resal)*(1-EXP(('2019'!Tnet-t)/('2019'!Tau_j))),Resal+(Salim-Resal)*(1-EXP((Tnet-t)/(Tau_j))))*Salcycl</f>
        <v>0.10129038788856583</v>
      </c>
      <c r="P247" s="169">
        <f>(INDEX(Models!$BJ247:$BT247,,T247)*(1-R247)+INDEX(Models!$BJ247:$BT247,,T247+1)*R247-ERP_i)*Q247*Ramure*Pc/MaxiM</f>
        <v>0</v>
      </c>
      <c r="Q247" s="305">
        <f t="shared" si="77"/>
        <v>0.7</v>
      </c>
      <c r="R247" s="177">
        <f t="shared" si="78"/>
        <v>0.18527864868871258</v>
      </c>
      <c r="S247" s="817">
        <f t="shared" si="79"/>
        <v>-1</v>
      </c>
      <c r="T247" s="176">
        <f t="shared" si="80"/>
        <v>5</v>
      </c>
      <c r="U247" s="251">
        <f t="shared" si="81"/>
        <v>-0.81472135131128742</v>
      </c>
      <c r="V247" s="383">
        <f t="shared" si="82"/>
        <v>33.570590326739996</v>
      </c>
      <c r="W247" s="402"/>
      <c r="X247" s="157">
        <f t="shared" si="83"/>
        <v>44063</v>
      </c>
      <c r="Y247" s="385">
        <f t="shared" si="84"/>
        <v>32.276000000000003</v>
      </c>
      <c r="Z247" s="385">
        <f t="shared" si="85"/>
        <v>32.885404152906119</v>
      </c>
      <c r="AA247" s="386">
        <f t="shared" si="86"/>
        <v>36.591801967762351</v>
      </c>
      <c r="AB247" s="197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0.10129038788856583</v>
      </c>
      <c r="AD247" s="231">
        <f>(INDEX(Models!$BJ247:$BT247,,AH247)*(1-AF247)+INDEX(Models!$BJ247:$BT247,,AH247+1)*AF247-ERP_i)*AE247*Ramure*Pc/MaxiM</f>
        <v>0</v>
      </c>
      <c r="AE247" s="305">
        <f t="shared" si="88"/>
        <v>0.7</v>
      </c>
      <c r="AF247" s="177">
        <f t="shared" si="89"/>
        <v>0.18527864868871258</v>
      </c>
      <c r="AG247" s="817">
        <f t="shared" si="95"/>
        <v>-1</v>
      </c>
      <c r="AH247" s="176">
        <f t="shared" si="90"/>
        <v>5</v>
      </c>
      <c r="AI247" s="225">
        <f t="shared" si="91"/>
        <v>-0.81472135131128742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4"/>
        <v>44064</v>
      </c>
      <c r="B248" s="617">
        <v>28.602</v>
      </c>
      <c r="C248" s="390"/>
      <c r="D248" s="393">
        <f t="shared" si="74"/>
        <v>29.142673544770918</v>
      </c>
      <c r="E248" s="385">
        <f t="shared" si="96"/>
        <v>32.429256678443075</v>
      </c>
      <c r="F248" s="385">
        <f t="shared" si="75"/>
        <v>32.429256678443075</v>
      </c>
      <c r="G248" s="110">
        <f t="shared" si="97"/>
        <v>0.85476806460596055</v>
      </c>
      <c r="H248" s="414" t="b">
        <f>Wh_hp&gt;='2019'!Maxi_hp</f>
        <v>0</v>
      </c>
      <c r="I248" s="380">
        <f>IF(H248,Wh_hp,'2019'!Maxi_hp)</f>
        <v>38.793135012494737</v>
      </c>
      <c r="J248" s="85">
        <f>IF(H248,An,'2019'!An_max)</f>
        <v>2019</v>
      </c>
      <c r="K248" s="197">
        <f t="shared" si="76"/>
        <v>44064</v>
      </c>
      <c r="L248" s="147">
        <f>IF(t&lt;Tvie,1-EXP((T0-t)*PertePVj)+'2019'!Pspv,1-EXP((T0-t)*PertePVj)+Pspv)</f>
        <v>1.8552640475497206E-2</v>
      </c>
      <c r="M248" s="850"/>
      <c r="N248" s="850"/>
      <c r="O248" s="48">
        <f>IF(t&lt;Tnet,'2019'!Resal+('2019'!Salim-'2019'!Resal)*(1-EXP(('2019'!Tnet-t)/('2019'!Tau_j))),Resal+(Salim-Resal)*(1-EXP((Tnet-t)/(Tau_j))))*Salcycl</f>
        <v>0.10134623701865092</v>
      </c>
      <c r="P248" s="169">
        <f>(INDEX(Models!$BJ248:$BT248,,T248)*(1-R248)+INDEX(Models!$BJ248:$BT248,,T248+1)*R248-ERP_i)*Q248*Ramure*Pc/MaxiM</f>
        <v>0</v>
      </c>
      <c r="Q248" s="305">
        <f t="shared" si="77"/>
        <v>0.7</v>
      </c>
      <c r="R248" s="177">
        <f t="shared" si="78"/>
        <v>0.18584707341688511</v>
      </c>
      <c r="S248" s="817">
        <f t="shared" si="79"/>
        <v>-1</v>
      </c>
      <c r="T248" s="176">
        <f t="shared" si="80"/>
        <v>5</v>
      </c>
      <c r="U248" s="251">
        <f t="shared" si="81"/>
        <v>-0.81415292658311489</v>
      </c>
      <c r="V248" s="383">
        <f t="shared" si="82"/>
        <v>33.46170871882682</v>
      </c>
      <c r="W248" s="402"/>
      <c r="X248" s="157">
        <f t="shared" si="83"/>
        <v>44064</v>
      </c>
      <c r="Y248" s="385">
        <f t="shared" si="84"/>
        <v>28.601999999999997</v>
      </c>
      <c r="Z248" s="385">
        <f t="shared" si="85"/>
        <v>29.142673544770915</v>
      </c>
      <c r="AA248" s="386">
        <f t="shared" si="86"/>
        <v>32.429256678443075</v>
      </c>
      <c r="AB248" s="197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0.10134623701865092</v>
      </c>
      <c r="AD248" s="231">
        <f>(INDEX(Models!$BJ248:$BT248,,AH248)*(1-AF248)+INDEX(Models!$BJ248:$BT248,,AH248+1)*AF248-ERP_i)*AE248*Ramure*Pc/MaxiM</f>
        <v>0</v>
      </c>
      <c r="AE248" s="305">
        <f t="shared" si="88"/>
        <v>0.7</v>
      </c>
      <c r="AF248" s="177">
        <f t="shared" si="89"/>
        <v>0.18584707341688511</v>
      </c>
      <c r="AG248" s="817">
        <f t="shared" si="95"/>
        <v>-1</v>
      </c>
      <c r="AH248" s="176">
        <f t="shared" si="90"/>
        <v>5</v>
      </c>
      <c r="AI248" s="225">
        <f t="shared" si="91"/>
        <v>-0.81415292658311489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4"/>
        <v>44065</v>
      </c>
      <c r="B249" s="617">
        <v>22.972000000000001</v>
      </c>
      <c r="C249" s="390"/>
      <c r="D249" s="393">
        <f t="shared" si="74"/>
        <v>23.406760366553289</v>
      </c>
      <c r="E249" s="385">
        <f t="shared" si="96"/>
        <v>26.048078740344131</v>
      </c>
      <c r="F249" s="385">
        <f t="shared" si="75"/>
        <v>26.048078740344131</v>
      </c>
      <c r="G249" s="110">
        <f t="shared" si="97"/>
        <v>0.68874741056098454</v>
      </c>
      <c r="H249" s="414" t="b">
        <f>Wh_hp&gt;='2019'!Maxi_hp</f>
        <v>0</v>
      </c>
      <c r="I249" s="380">
        <f>IF(H249,Wh_hp,'2019'!Maxi_hp)</f>
        <v>36.458624208406086</v>
      </c>
      <c r="J249" s="85">
        <f>IF(H249,An,'2019'!An_max)</f>
        <v>2019</v>
      </c>
      <c r="K249" s="197">
        <f t="shared" si="76"/>
        <v>44065</v>
      </c>
      <c r="L249" s="147">
        <f>IF(t&lt;Tvie,1-EXP((T0-t)*PertePVj)+'2019'!Pspv,1-EXP((T0-t)*PertePVj)+Pspv)</f>
        <v>1.8574136691488996E-2</v>
      </c>
      <c r="M249" s="850"/>
      <c r="N249" s="850"/>
      <c r="O249" s="48">
        <f>IF(t&lt;Tnet,'2019'!Resal+('2019'!Salim-'2019'!Resal)*(1-EXP(('2019'!Tnet-t)/('2019'!Tau_j))),Resal+(Salim-Resal)*(1-EXP((Tnet-t)/(Tau_j))))*Salcycl</f>
        <v>0.10140165806931013</v>
      </c>
      <c r="P249" s="169">
        <f>(INDEX(Models!$BJ249:$BT249,,T249)*(1-R249)+INDEX(Models!$BJ249:$BT249,,T249+1)*R249-ERP_i)*Q249*Ramure*Pc/MaxiM</f>
        <v>0</v>
      </c>
      <c r="Q249" s="305">
        <f t="shared" si="77"/>
        <v>0.7</v>
      </c>
      <c r="R249" s="177">
        <f t="shared" si="78"/>
        <v>0.18639474290043889</v>
      </c>
      <c r="S249" s="817">
        <f t="shared" si="79"/>
        <v>-1</v>
      </c>
      <c r="T249" s="176">
        <f t="shared" si="80"/>
        <v>5</v>
      </c>
      <c r="U249" s="251">
        <f t="shared" si="81"/>
        <v>-0.81360525709956111</v>
      </c>
      <c r="V249" s="383">
        <f t="shared" si="82"/>
        <v>33.353301439332185</v>
      </c>
      <c r="W249" s="402"/>
      <c r="X249" s="157">
        <f t="shared" si="83"/>
        <v>44065</v>
      </c>
      <c r="Y249" s="385">
        <f t="shared" si="84"/>
        <v>22.972000000000001</v>
      </c>
      <c r="Z249" s="385">
        <f t="shared" si="85"/>
        <v>23.406760366553289</v>
      </c>
      <c r="AA249" s="386">
        <f t="shared" si="86"/>
        <v>26.048078740344131</v>
      </c>
      <c r="AB249" s="197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0.10140165806931013</v>
      </c>
      <c r="AD249" s="231">
        <f>(INDEX(Models!$BJ249:$BT249,,AH249)*(1-AF249)+INDEX(Models!$BJ249:$BT249,,AH249+1)*AF249-ERP_i)*AE249*Ramure*Pc/MaxiM</f>
        <v>0</v>
      </c>
      <c r="AE249" s="305">
        <f t="shared" si="88"/>
        <v>0.7</v>
      </c>
      <c r="AF249" s="177">
        <f t="shared" si="89"/>
        <v>0.18639474290043889</v>
      </c>
      <c r="AG249" s="817">
        <f t="shared" si="95"/>
        <v>-1</v>
      </c>
      <c r="AH249" s="176">
        <f t="shared" si="90"/>
        <v>5</v>
      </c>
      <c r="AI249" s="225">
        <f t="shared" si="91"/>
        <v>-0.81360525709956111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44066</v>
      </c>
      <c r="B250" s="617">
        <v>26.369</v>
      </c>
      <c r="C250" s="390"/>
      <c r="D250" s="393">
        <f t="shared" si="74"/>
        <v>26.868639341263279</v>
      </c>
      <c r="E250" s="385">
        <f t="shared" si="96"/>
        <v>29.902440386470417</v>
      </c>
      <c r="F250" s="385">
        <f t="shared" si="75"/>
        <v>29.902440386470417</v>
      </c>
      <c r="G250" s="110">
        <f t="shared" si="97"/>
        <v>0.79317887137590415</v>
      </c>
      <c r="H250" s="414" t="b">
        <f>Wh_hp&gt;='2019'!Maxi_hp</f>
        <v>0</v>
      </c>
      <c r="I250" s="380">
        <f>IF(H250,Wh_hp,'2019'!Maxi_hp)</f>
        <v>36.227969880355467</v>
      </c>
      <c r="J250" s="85">
        <f>IF(H250,An,'2019'!An_max)</f>
        <v>2019</v>
      </c>
      <c r="K250" s="197">
        <f t="shared" si="76"/>
        <v>44066</v>
      </c>
      <c r="L250" s="147">
        <f>IF(t&lt;Tvie,1-EXP((T0-t)*PertePVj)+'2019'!Pspv,1-EXP((T0-t)*PertePVj)+Pspv)</f>
        <v>1.8595632436658627E-2</v>
      </c>
      <c r="M250" s="850"/>
      <c r="N250" s="850"/>
      <c r="O250" s="48">
        <f>IF(t&lt;Tnet,'2019'!Resal+('2019'!Salim-'2019'!Resal)*(1-EXP(('2019'!Tnet-t)/('2019'!Tau_j))),Resal+(Salim-Resal)*(1-EXP((Tnet-t)/(Tau_j))))*Salcycl</f>
        <v>0.10145663718402739</v>
      </c>
      <c r="P250" s="169">
        <f>(INDEX(Models!$BJ250:$BT250,,T250)*(1-R250)+INDEX(Models!$BJ250:$BT250,,T250+1)*R250-ERP_i)*Q250*Ramure*Pc/MaxiM</f>
        <v>0</v>
      </c>
      <c r="Q250" s="305">
        <f t="shared" si="77"/>
        <v>0.7</v>
      </c>
      <c r="R250" s="177">
        <f t="shared" si="78"/>
        <v>0.18692233593902008</v>
      </c>
      <c r="S250" s="817">
        <f t="shared" si="79"/>
        <v>-1</v>
      </c>
      <c r="T250" s="176">
        <f t="shared" si="80"/>
        <v>5</v>
      </c>
      <c r="U250" s="251">
        <f t="shared" si="81"/>
        <v>-0.81307766406097992</v>
      </c>
      <c r="V250" s="383">
        <f t="shared" si="82"/>
        <v>33.24470803698852</v>
      </c>
      <c r="W250" s="402"/>
      <c r="X250" s="157">
        <f t="shared" si="83"/>
        <v>44066</v>
      </c>
      <c r="Y250" s="385">
        <f t="shared" si="84"/>
        <v>26.369</v>
      </c>
      <c r="Z250" s="385">
        <f t="shared" si="85"/>
        <v>26.868639341263279</v>
      </c>
      <c r="AA250" s="386">
        <f t="shared" si="86"/>
        <v>29.902440386470417</v>
      </c>
      <c r="AB250" s="197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0.10145663718402739</v>
      </c>
      <c r="AD250" s="231">
        <f>(INDEX(Models!$BJ250:$BT250,,AH250)*(1-AF250)+INDEX(Models!$BJ250:$BT250,,AH250+1)*AF250-ERP_i)*AE250*Ramure*Pc/MaxiM</f>
        <v>0</v>
      </c>
      <c r="AE250" s="305">
        <f t="shared" si="88"/>
        <v>0.7</v>
      </c>
      <c r="AF250" s="177">
        <f t="shared" si="89"/>
        <v>0.18692233593902008</v>
      </c>
      <c r="AG250" s="817">
        <f t="shared" si="95"/>
        <v>-1</v>
      </c>
      <c r="AH250" s="176">
        <f t="shared" si="90"/>
        <v>5</v>
      </c>
      <c r="AI250" s="225">
        <f t="shared" si="91"/>
        <v>-0.81307766406097992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44067</v>
      </c>
      <c r="B251" s="617">
        <v>30.821999999999999</v>
      </c>
      <c r="C251" s="390"/>
      <c r="D251" s="393">
        <f t="shared" si="74"/>
        <v>31.406702593158734</v>
      </c>
      <c r="E251" s="385">
        <f t="shared" si="96"/>
        <v>34.955028036144711</v>
      </c>
      <c r="F251" s="385">
        <f t="shared" si="75"/>
        <v>34.955028036144711</v>
      </c>
      <c r="G251" s="110">
        <f t="shared" si="97"/>
        <v>0.93018712654101876</v>
      </c>
      <c r="H251" s="414" t="b">
        <f>Wh_hp&gt;='2019'!Maxi_hp</f>
        <v>1</v>
      </c>
      <c r="I251" s="380">
        <f>IF(H251,Wh_hp,'2019'!Maxi_hp)</f>
        <v>34.955028036144711</v>
      </c>
      <c r="J251" s="85">
        <f>IF(H251,An,'2019'!An_max)</f>
        <v>2020</v>
      </c>
      <c r="K251" s="197">
        <f t="shared" si="76"/>
        <v>44067</v>
      </c>
      <c r="L251" s="147">
        <f>IF(t&lt;Tvie,1-EXP((T0-t)*PertePVj)+'2019'!Pspv,1-EXP((T0-t)*PertePVj)+Pspv)</f>
        <v>1.861712771101609E-2</v>
      </c>
      <c r="M251" s="850"/>
      <c r="N251" s="850"/>
      <c r="O251" s="48">
        <f>IF(t&lt;Tnet,'2019'!Resal+('2019'!Salim-'2019'!Resal)*(1-EXP(('2019'!Tnet-t)/('2019'!Tau_j))),Resal+(Salim-Resal)*(1-EXP((Tnet-t)/(Tau_j))))*Salcycl</f>
        <v>0.10151115997723952</v>
      </c>
      <c r="P251" s="169">
        <f>(INDEX(Models!$BJ251:$BT251,,T251)*(1-R251)+INDEX(Models!$BJ251:$BT251,,T251+1)*R251-ERP_i)*Q251*Ramure*Pc/MaxiM</f>
        <v>0</v>
      </c>
      <c r="Q251" s="305">
        <f t="shared" si="77"/>
        <v>0.7</v>
      </c>
      <c r="R251" s="177">
        <f t="shared" si="78"/>
        <v>0.18743051514457854</v>
      </c>
      <c r="S251" s="817">
        <f t="shared" si="79"/>
        <v>-1</v>
      </c>
      <c r="T251" s="176">
        <f t="shared" si="80"/>
        <v>5</v>
      </c>
      <c r="U251" s="251">
        <f t="shared" si="81"/>
        <v>-0.81256948485542146</v>
      </c>
      <c r="V251" s="383">
        <f t="shared" si="82"/>
        <v>33.135268292321214</v>
      </c>
      <c r="W251" s="402"/>
      <c r="X251" s="157">
        <f t="shared" si="83"/>
        <v>44067</v>
      </c>
      <c r="Y251" s="385">
        <f t="shared" si="84"/>
        <v>30.821999999999999</v>
      </c>
      <c r="Z251" s="385">
        <f t="shared" si="85"/>
        <v>31.406702593158734</v>
      </c>
      <c r="AA251" s="386">
        <f t="shared" si="86"/>
        <v>34.955028036144711</v>
      </c>
      <c r="AB251" s="197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0.10151115997723952</v>
      </c>
      <c r="AD251" s="231">
        <f>(INDEX(Models!$BJ251:$BT251,,AH251)*(1-AF251)+INDEX(Models!$BJ251:$BT251,,AH251+1)*AF251-ERP_i)*AE251*Ramure*Pc/MaxiM</f>
        <v>0</v>
      </c>
      <c r="AE251" s="305">
        <f t="shared" si="88"/>
        <v>0.7</v>
      </c>
      <c r="AF251" s="177">
        <f t="shared" si="89"/>
        <v>0.18743051514457854</v>
      </c>
      <c r="AG251" s="817">
        <f t="shared" si="95"/>
        <v>-1</v>
      </c>
      <c r="AH251" s="176">
        <f t="shared" si="90"/>
        <v>5</v>
      </c>
      <c r="AI251" s="225">
        <f t="shared" si="91"/>
        <v>-0.81256948485542146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4"/>
        <v>44068</v>
      </c>
      <c r="B252" s="617">
        <v>32.261000000000003</v>
      </c>
      <c r="C252" s="390"/>
      <c r="D252" s="393">
        <f t="shared" si="74"/>
        <v>32.873720874020272</v>
      </c>
      <c r="E252" s="385">
        <f t="shared" si="96"/>
        <v>36.589991055920372</v>
      </c>
      <c r="F252" s="385">
        <f t="shared" si="75"/>
        <v>36.589991055920372</v>
      </c>
      <c r="G252" s="110">
        <f t="shared" si="97"/>
        <v>0.97688605960033692</v>
      </c>
      <c r="H252" s="414" t="b">
        <f>Wh_hp&gt;='2019'!Maxi_hp</f>
        <v>1</v>
      </c>
      <c r="I252" s="380">
        <f>IF(H252,Wh_hp,'2019'!Maxi_hp)</f>
        <v>36.589991055920372</v>
      </c>
      <c r="J252" s="85">
        <f>IF(H252,An,'2019'!An_max)</f>
        <v>2020</v>
      </c>
      <c r="K252" s="197">
        <f t="shared" si="76"/>
        <v>44068</v>
      </c>
      <c r="L252" s="147">
        <f>IF(t&lt;Tvie,1-EXP((T0-t)*PertePVj)+'2019'!Pspv,1-EXP((T0-t)*PertePVj)+Pspv)</f>
        <v>1.8638622514572045E-2</v>
      </c>
      <c r="M252" s="850"/>
      <c r="N252" s="850"/>
      <c r="O252" s="48">
        <f>IF(t&lt;Tnet,'2019'!Resal+('2019'!Salim-'2019'!Resal)*(1-EXP(('2019'!Tnet-t)/('2019'!Tau_j))),Resal+(Salim-Resal)*(1-EXP((Tnet-t)/(Tau_j))))*Salcycl</f>
        <v>0.10156521154160818</v>
      </c>
      <c r="P252" s="169">
        <f>(INDEX(Models!$BJ252:$BT252,,T252)*(1-R252)+INDEX(Models!$BJ252:$BT252,,T252+1)*R252-ERP_i)*Q252*Ramure*Pc/MaxiM</f>
        <v>0</v>
      </c>
      <c r="Q252" s="305">
        <f t="shared" si="77"/>
        <v>0.7</v>
      </c>
      <c r="R252" s="177">
        <f t="shared" si="78"/>
        <v>0.18791992684633074</v>
      </c>
      <c r="S252" s="817">
        <f t="shared" si="79"/>
        <v>-1</v>
      </c>
      <c r="T252" s="176">
        <f t="shared" si="80"/>
        <v>5</v>
      </c>
      <c r="U252" s="251">
        <f t="shared" si="81"/>
        <v>-0.81208007315366926</v>
      </c>
      <c r="V252" s="383">
        <f t="shared" si="82"/>
        <v>33.024322215426643</v>
      </c>
      <c r="W252" s="402"/>
      <c r="X252" s="157">
        <f t="shared" si="83"/>
        <v>44068</v>
      </c>
      <c r="Y252" s="385">
        <f t="shared" si="84"/>
        <v>32.261000000000003</v>
      </c>
      <c r="Z252" s="385">
        <f t="shared" si="85"/>
        <v>32.873720874020272</v>
      </c>
      <c r="AA252" s="386">
        <f t="shared" si="86"/>
        <v>36.589991055920372</v>
      </c>
      <c r="AB252" s="197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0.10156521154160818</v>
      </c>
      <c r="AD252" s="231">
        <f>(INDEX(Models!$BJ252:$BT252,,AH252)*(1-AF252)+INDEX(Models!$BJ252:$BT252,,AH252+1)*AF252-ERP_i)*AE252*Ramure*Pc/MaxiM</f>
        <v>0</v>
      </c>
      <c r="AE252" s="305">
        <f t="shared" si="88"/>
        <v>0.7</v>
      </c>
      <c r="AF252" s="177">
        <f t="shared" si="89"/>
        <v>0.18791992684633074</v>
      </c>
      <c r="AG252" s="817">
        <f t="shared" si="95"/>
        <v>-1</v>
      </c>
      <c r="AH252" s="176">
        <f t="shared" si="90"/>
        <v>5</v>
      </c>
      <c r="AI252" s="225">
        <f t="shared" si="91"/>
        <v>-0.81208007315366926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4"/>
        <v>44069</v>
      </c>
      <c r="B253" s="617">
        <v>16.724</v>
      </c>
      <c r="C253" s="390"/>
      <c r="D253" s="393">
        <f t="shared" si="74"/>
        <v>17.042005819912557</v>
      </c>
      <c r="E253" s="385">
        <f t="shared" si="96"/>
        <v>18.969681659728487</v>
      </c>
      <c r="F253" s="385">
        <f t="shared" si="75"/>
        <v>18.969681659728487</v>
      </c>
      <c r="G253" s="110">
        <f t="shared" si="97"/>
        <v>0.50815512344382174</v>
      </c>
      <c r="H253" s="414" t="b">
        <f>Wh_hp&gt;='2019'!Maxi_hp</f>
        <v>0</v>
      </c>
      <c r="I253" s="380">
        <f>IF(H253,Wh_hp,'2019'!Maxi_hp)</f>
        <v>27.48042649543239</v>
      </c>
      <c r="J253" s="85">
        <f>IF(H253,An,'2019'!An_max)</f>
        <v>2018</v>
      </c>
      <c r="K253" s="197">
        <f t="shared" si="76"/>
        <v>44069</v>
      </c>
      <c r="L253" s="147">
        <f>IF(t&lt;Tvie,1-EXP((T0-t)*PertePVj)+'2019'!Pspv,1-EXP((T0-t)*PertePVj)+Pspv)</f>
        <v>1.8660116847336483E-2</v>
      </c>
      <c r="M253" s="850"/>
      <c r="N253" s="850"/>
      <c r="O253" s="48">
        <f>IF(t&lt;Tnet,'2019'!Resal+('2019'!Salim-'2019'!Resal)*(1-EXP(('2019'!Tnet-t)/('2019'!Tau_j))),Resal+(Salim-Resal)*(1-EXP((Tnet-t)/(Tau_j))))*Salcycl</f>
        <v>0.10161877644516686</v>
      </c>
      <c r="P253" s="169">
        <f>(INDEX(Models!$BJ253:$BT253,,T253)*(1-R253)+INDEX(Models!$BJ253:$BT253,,T253+1)*R253-ERP_i)*Q253*Ramure*Pc/MaxiM</f>
        <v>0</v>
      </c>
      <c r="Q253" s="305">
        <f t="shared" si="77"/>
        <v>0.7</v>
      </c>
      <c r="R253" s="177">
        <f t="shared" si="78"/>
        <v>0.18839120104464946</v>
      </c>
      <c r="S253" s="817">
        <f t="shared" si="79"/>
        <v>-1</v>
      </c>
      <c r="T253" s="176">
        <f t="shared" si="80"/>
        <v>5</v>
      </c>
      <c r="U253" s="251">
        <f t="shared" si="81"/>
        <v>-0.81160879895535054</v>
      </c>
      <c r="V253" s="383">
        <f t="shared" si="82"/>
        <v>32.911210038894538</v>
      </c>
      <c r="W253" s="402"/>
      <c r="X253" s="157">
        <f t="shared" si="83"/>
        <v>44069</v>
      </c>
      <c r="Y253" s="385">
        <f t="shared" si="84"/>
        <v>16.724</v>
      </c>
      <c r="Z253" s="385">
        <f t="shared" si="85"/>
        <v>17.042005819912557</v>
      </c>
      <c r="AA253" s="386">
        <f t="shared" si="86"/>
        <v>18.969681659728487</v>
      </c>
      <c r="AB253" s="197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0.10161877644516686</v>
      </c>
      <c r="AD253" s="231">
        <f>(INDEX(Models!$BJ253:$BT253,,AH253)*(1-AF253)+INDEX(Models!$BJ253:$BT253,,AH253+1)*AF253-ERP_i)*AE253*Ramure*Pc/MaxiM</f>
        <v>0</v>
      </c>
      <c r="AE253" s="305">
        <f t="shared" si="88"/>
        <v>0.7</v>
      </c>
      <c r="AF253" s="177">
        <f t="shared" si="89"/>
        <v>0.18839120104464946</v>
      </c>
      <c r="AG253" s="817">
        <f t="shared" si="95"/>
        <v>-1</v>
      </c>
      <c r="AH253" s="176">
        <f t="shared" si="90"/>
        <v>5</v>
      </c>
      <c r="AI253" s="225">
        <f t="shared" si="91"/>
        <v>-0.81160879895535054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44070</v>
      </c>
      <c r="B254" s="617">
        <v>30.747</v>
      </c>
      <c r="C254" s="390"/>
      <c r="D254" s="393">
        <f t="shared" si="74"/>
        <v>31.332338551430443</v>
      </c>
      <c r="E254" s="385">
        <f t="shared" si="96"/>
        <v>34.8784997530841</v>
      </c>
      <c r="F254" s="385">
        <f t="shared" si="75"/>
        <v>34.878499753123599</v>
      </c>
      <c r="G254" s="110">
        <f t="shared" si="97"/>
        <v>0.93754367382504999</v>
      </c>
      <c r="H254" s="414" t="b">
        <f>Wh_hp&gt;='2019'!Maxi_hp</f>
        <v>1</v>
      </c>
      <c r="I254" s="380">
        <f>IF(H254,Wh_hp,'2019'!Maxi_hp)</f>
        <v>34.878499753123599</v>
      </c>
      <c r="J254" s="85">
        <f>IF(H254,An,'2019'!An_max)</f>
        <v>2020</v>
      </c>
      <c r="K254" s="197">
        <f t="shared" si="76"/>
        <v>44070</v>
      </c>
      <c r="L254" s="147">
        <f>IF(t&lt;Tvie,1-EXP((T0-t)*PertePVj)+'2019'!Pspv,1-EXP((T0-t)*PertePVj)+Pspv)</f>
        <v>1.8681610709319951E-2</v>
      </c>
      <c r="M254" s="850"/>
      <c r="N254" s="850"/>
      <c r="O254" s="48">
        <f>IF(t&lt;Tnet,'2019'!Resal+('2019'!Salim-'2019'!Resal)*(1-EXP(('2019'!Tnet-t)/('2019'!Tau_j))),Resal+(Salim-Resal)*(1-EXP((Tnet-t)/(Tau_j))))*Salcycl</f>
        <v>0.10167183871892566</v>
      </c>
      <c r="P254" s="169">
        <f>(INDEX(Models!$BJ254:$BT254,,T254)*(1-R254)+INDEX(Models!$BJ254:$BT254,,T254+1)*R254-ERP_i)*Q254*Ramure*Pc/MaxiM</f>
        <v>1.2434428146852151E-12</v>
      </c>
      <c r="Q254" s="305">
        <f t="shared" si="77"/>
        <v>0.7</v>
      </c>
      <c r="R254" s="177">
        <f t="shared" si="78"/>
        <v>0.18884495140974256</v>
      </c>
      <c r="S254" s="817">
        <f t="shared" si="79"/>
        <v>-1</v>
      </c>
      <c r="T254" s="176">
        <f t="shared" si="80"/>
        <v>5</v>
      </c>
      <c r="U254" s="251">
        <f t="shared" si="81"/>
        <v>-0.81115504859025744</v>
      </c>
      <c r="V254" s="383">
        <f t="shared" si="82"/>
        <v>32.795272218682925</v>
      </c>
      <c r="W254" s="402"/>
      <c r="X254" s="157">
        <f t="shared" si="83"/>
        <v>44070</v>
      </c>
      <c r="Y254" s="385">
        <f t="shared" si="84"/>
        <v>30.747</v>
      </c>
      <c r="Z254" s="385">
        <f t="shared" si="85"/>
        <v>31.332338551430443</v>
      </c>
      <c r="AA254" s="386">
        <f t="shared" si="86"/>
        <v>34.8784997530841</v>
      </c>
      <c r="AB254" s="197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0.10167183871892566</v>
      </c>
      <c r="AD254" s="231">
        <f>(INDEX(Models!$BJ254:$BT254,,AH254)*(1-AF254)+INDEX(Models!$BJ254:$BT254,,AH254+1)*AF254-ERP_i)*AE254*Ramure*Pc/MaxiM</f>
        <v>1.2434428146852151E-12</v>
      </c>
      <c r="AE254" s="305">
        <f t="shared" si="88"/>
        <v>0.7</v>
      </c>
      <c r="AF254" s="177">
        <f t="shared" si="89"/>
        <v>0.18884495140974256</v>
      </c>
      <c r="AG254" s="817">
        <f t="shared" si="95"/>
        <v>-1</v>
      </c>
      <c r="AH254" s="176">
        <f t="shared" si="90"/>
        <v>5</v>
      </c>
      <c r="AI254" s="225">
        <f t="shared" si="91"/>
        <v>-0.81115504859025744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44071</v>
      </c>
      <c r="B255" s="617">
        <v>5.194</v>
      </c>
      <c r="C255" s="390"/>
      <c r="D255" s="393">
        <f t="shared" si="74"/>
        <v>5.2929954448078869</v>
      </c>
      <c r="E255" s="385">
        <f t="shared" si="96"/>
        <v>5.8923957611411808</v>
      </c>
      <c r="F255" s="385">
        <f t="shared" si="75"/>
        <v>5.8923957611411808</v>
      </c>
      <c r="G255" s="110">
        <f t="shared" si="97"/>
        <v>0.15895531687400544</v>
      </c>
      <c r="H255" s="414" t="b">
        <f>Wh_hp&gt;='2019'!Maxi_hp</f>
        <v>0</v>
      </c>
      <c r="I255" s="380">
        <f>IF(H255,Wh_hp,'2019'!Maxi_hp)</f>
        <v>34.430502322400969</v>
      </c>
      <c r="J255" s="85">
        <f>IF(H255,An,'2019'!An_max)</f>
        <v>2019</v>
      </c>
      <c r="K255" s="197">
        <f t="shared" si="76"/>
        <v>44071</v>
      </c>
      <c r="L255" s="147">
        <f>IF(t&lt;Tvie,1-EXP((T0-t)*PertePVj)+'2019'!Pspv,1-EXP((T0-t)*PertePVj)+Pspv)</f>
        <v>1.8703104100532664E-2</v>
      </c>
      <c r="M255" s="850"/>
      <c r="N255" s="850"/>
      <c r="O255" s="48">
        <f>IF(t&lt;Tnet,'2019'!Resal+('2019'!Salim-'2019'!Resal)*(1-EXP(('2019'!Tnet-t)/('2019'!Tau_j))),Resal+(Salim-Resal)*(1-EXP((Tnet-t)/(Tau_j))))*Salcycl</f>
        <v>0.10172438183568441</v>
      </c>
      <c r="P255" s="169">
        <f>(INDEX(Models!$BJ255:$BT255,,T255)*(1-R255)+INDEX(Models!$BJ255:$BT255,,T255+1)*R255-ERP_i)*Q255*Ramure*Pc/MaxiM</f>
        <v>3.7512176132022356E-12</v>
      </c>
      <c r="Q255" s="305">
        <f t="shared" si="77"/>
        <v>0.7</v>
      </c>
      <c r="R255" s="177">
        <f t="shared" si="78"/>
        <v>0.18928177532118662</v>
      </c>
      <c r="S255" s="817">
        <f t="shared" si="79"/>
        <v>-1</v>
      </c>
      <c r="T255" s="176">
        <f t="shared" si="80"/>
        <v>5</v>
      </c>
      <c r="U255" s="251">
        <f t="shared" si="81"/>
        <v>-0.81071822467881338</v>
      </c>
      <c r="V255" s="383">
        <f t="shared" si="82"/>
        <v>32.67584942816034</v>
      </c>
      <c r="W255" s="402"/>
      <c r="X255" s="157">
        <f t="shared" si="83"/>
        <v>44071</v>
      </c>
      <c r="Y255" s="385">
        <f t="shared" si="84"/>
        <v>5.194</v>
      </c>
      <c r="Z255" s="385">
        <f t="shared" si="85"/>
        <v>5.2929954448078869</v>
      </c>
      <c r="AA255" s="386">
        <f t="shared" si="86"/>
        <v>5.8923957611411808</v>
      </c>
      <c r="AB255" s="197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0.10172438183568441</v>
      </c>
      <c r="AD255" s="231">
        <f>(INDEX(Models!$BJ255:$BT255,,AH255)*(1-AF255)+INDEX(Models!$BJ255:$BT255,,AH255+1)*AF255-ERP_i)*AE255*Ramure*Pc/MaxiM</f>
        <v>3.7512176132022356E-12</v>
      </c>
      <c r="AE255" s="305">
        <f t="shared" si="88"/>
        <v>0.7</v>
      </c>
      <c r="AF255" s="177">
        <f t="shared" si="89"/>
        <v>0.18928177532118662</v>
      </c>
      <c r="AG255" s="817">
        <f t="shared" si="95"/>
        <v>-1</v>
      </c>
      <c r="AH255" s="176">
        <f t="shared" si="90"/>
        <v>5</v>
      </c>
      <c r="AI255" s="225">
        <f t="shared" si="91"/>
        <v>-0.81071822467881338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4"/>
        <v>44072</v>
      </c>
      <c r="B256" s="617">
        <v>14.474</v>
      </c>
      <c r="C256" s="390"/>
      <c r="D256" s="393">
        <f t="shared" si="74"/>
        <v>14.750191389755576</v>
      </c>
      <c r="E256" s="385">
        <f t="shared" si="96"/>
        <v>16.421513756574484</v>
      </c>
      <c r="F256" s="385">
        <f t="shared" si="75"/>
        <v>16.421513756600085</v>
      </c>
      <c r="G256" s="110">
        <f t="shared" si="97"/>
        <v>0.44463855881967096</v>
      </c>
      <c r="H256" s="414" t="b">
        <f>Wh_hp&gt;='2019'!Maxi_hp</f>
        <v>0</v>
      </c>
      <c r="I256" s="380">
        <f>IF(H256,Wh_hp,'2019'!Maxi_hp)</f>
        <v>33.999831442657019</v>
      </c>
      <c r="J256" s="85">
        <f>IF(H256,An,'2019'!An_max)</f>
        <v>2019</v>
      </c>
      <c r="K256" s="197">
        <f t="shared" si="76"/>
        <v>44072</v>
      </c>
      <c r="L256" s="147">
        <f>IF(t&lt;Tvie,1-EXP((T0-t)*PertePVj)+'2019'!Pspv,1-EXP((T0-t)*PertePVj)+Pspv)</f>
        <v>1.8724597020985057E-2</v>
      </c>
      <c r="M256" s="850"/>
      <c r="N256" s="850"/>
      <c r="O256" s="48">
        <f>IF(t&lt;Tnet,'2019'!Resal+('2019'!Salim-'2019'!Resal)*(1-EXP(('2019'!Tnet-t)/('2019'!Tau_j))),Resal+(Salim-Resal)*(1-EXP((Tnet-t)/(Tau_j))))*Salcycl</f>
        <v>0.10177638868096305</v>
      </c>
      <c r="P256" s="169">
        <f>(INDEX(Models!$BJ256:$BT256,,T256)*(1-R256)+INDEX(Models!$BJ256:$BT256,,T256+1)*R256-ERP_i)*Q256*Ramure*Pc/MaxiM</f>
        <v>7.5447406407608647E-12</v>
      </c>
      <c r="Q256" s="305">
        <f t="shared" si="77"/>
        <v>0.7</v>
      </c>
      <c r="R256" s="177">
        <f t="shared" si="78"/>
        <v>0.18970225394458828</v>
      </c>
      <c r="S256" s="817">
        <f t="shared" si="79"/>
        <v>-1</v>
      </c>
      <c r="T256" s="176">
        <f t="shared" si="80"/>
        <v>5</v>
      </c>
      <c r="U256" s="251">
        <f t="shared" si="81"/>
        <v>-0.81029774605541172</v>
      </c>
      <c r="V256" s="383">
        <f t="shared" si="82"/>
        <v>32.552282551328354</v>
      </c>
      <c r="W256" s="402"/>
      <c r="X256" s="157">
        <f t="shared" si="83"/>
        <v>44072</v>
      </c>
      <c r="Y256" s="385">
        <f t="shared" si="84"/>
        <v>14.474000000000002</v>
      </c>
      <c r="Z256" s="385">
        <f t="shared" si="85"/>
        <v>14.750191389755578</v>
      </c>
      <c r="AA256" s="386">
        <f t="shared" si="86"/>
        <v>16.421513756574484</v>
      </c>
      <c r="AB256" s="197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0.10177638868096305</v>
      </c>
      <c r="AD256" s="231">
        <f>(INDEX(Models!$BJ256:$BT256,,AH256)*(1-AF256)+INDEX(Models!$BJ256:$BT256,,AH256+1)*AF256-ERP_i)*AE256*Ramure*Pc/MaxiM</f>
        <v>7.5447406407608647E-12</v>
      </c>
      <c r="AE256" s="305">
        <f t="shared" si="88"/>
        <v>0.7</v>
      </c>
      <c r="AF256" s="177">
        <f t="shared" si="89"/>
        <v>0.18970225394458828</v>
      </c>
      <c r="AG256" s="817">
        <f t="shared" si="95"/>
        <v>-1</v>
      </c>
      <c r="AH256" s="176">
        <f t="shared" si="90"/>
        <v>5</v>
      </c>
      <c r="AI256" s="225">
        <f t="shared" si="91"/>
        <v>-0.81029774605541172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44073</v>
      </c>
      <c r="B257" s="617">
        <v>18.334</v>
      </c>
      <c r="C257" s="390"/>
      <c r="D257" s="393">
        <f t="shared" si="74"/>
        <v>18.684256748704506</v>
      </c>
      <c r="E257" s="385">
        <f t="shared" si="96"/>
        <v>20.802533870860703</v>
      </c>
      <c r="F257" s="385">
        <f t="shared" si="75"/>
        <v>20.802533870960463</v>
      </c>
      <c r="G257" s="110">
        <f t="shared" si="97"/>
        <v>0.56544687181422393</v>
      </c>
      <c r="H257" s="414" t="b">
        <f>Wh_hp&gt;='2019'!Maxi_hp</f>
        <v>0</v>
      </c>
      <c r="I257" s="380">
        <f>IF(H257,Wh_hp,'2019'!Maxi_hp)</f>
        <v>32.150656633680441</v>
      </c>
      <c r="J257" s="85">
        <f>IF(H257,An,'2019'!An_max)</f>
        <v>2019</v>
      </c>
      <c r="K257" s="197">
        <f t="shared" si="76"/>
        <v>44073</v>
      </c>
      <c r="L257" s="147">
        <f>IF(t&lt;Tvie,1-EXP((T0-t)*PertePVj)+'2019'!Pspv,1-EXP((T0-t)*PertePVj)+Pspv)</f>
        <v>1.8746089470687233E-2</v>
      </c>
      <c r="M257" s="850"/>
      <c r="N257" s="850"/>
      <c r="O257" s="48">
        <f>IF(t&lt;Tnet,'2019'!Resal+('2019'!Salim-'2019'!Resal)*(1-EXP(('2019'!Tnet-t)/('2019'!Tau_j))),Resal+(Salim-Resal)*(1-EXP((Tnet-t)/(Tau_j))))*Salcycl</f>
        <v>0.10182784151710433</v>
      </c>
      <c r="P257" s="169">
        <f>(INDEX(Models!$BJ257:$BT257,,T257)*(1-R257)+INDEX(Models!$BJ257:$BT257,,T257+1)*R257-ERP_i)*Q257*Ramure*Pc/MaxiM</f>
        <v>1.2646280643860439E-11</v>
      </c>
      <c r="Q257" s="305">
        <f t="shared" si="77"/>
        <v>0.7</v>
      </c>
      <c r="R257" s="177">
        <f t="shared" si="78"/>
        <v>0.19010695234185182</v>
      </c>
      <c r="S257" s="817">
        <f t="shared" si="79"/>
        <v>-1</v>
      </c>
      <c r="T257" s="176">
        <f t="shared" si="80"/>
        <v>5</v>
      </c>
      <c r="U257" s="251">
        <f t="shared" si="81"/>
        <v>-0.80989304765814818</v>
      </c>
      <c r="V257" s="383">
        <f t="shared" si="82"/>
        <v>32.423912685256923</v>
      </c>
      <c r="W257" s="402"/>
      <c r="X257" s="157">
        <f t="shared" si="83"/>
        <v>44073</v>
      </c>
      <c r="Y257" s="385">
        <f t="shared" si="84"/>
        <v>18.334</v>
      </c>
      <c r="Z257" s="385">
        <f t="shared" si="85"/>
        <v>18.684256748704506</v>
      </c>
      <c r="AA257" s="386">
        <f t="shared" si="86"/>
        <v>20.802533870860703</v>
      </c>
      <c r="AB257" s="197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0.10182784151710433</v>
      </c>
      <c r="AD257" s="231">
        <f>(INDEX(Models!$BJ257:$BT257,,AH257)*(1-AF257)+INDEX(Models!$BJ257:$BT257,,AH257+1)*AF257-ERP_i)*AE257*Ramure*Pc/MaxiM</f>
        <v>1.2646280643860439E-11</v>
      </c>
      <c r="AE257" s="305">
        <f t="shared" si="88"/>
        <v>0.7</v>
      </c>
      <c r="AF257" s="177">
        <f t="shared" si="89"/>
        <v>0.19010695234185182</v>
      </c>
      <c r="AG257" s="817">
        <f t="shared" si="95"/>
        <v>-1</v>
      </c>
      <c r="AH257" s="176">
        <f t="shared" si="90"/>
        <v>5</v>
      </c>
      <c r="AI257" s="225">
        <f t="shared" si="91"/>
        <v>-0.80989304765814818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4"/>
        <v>44074</v>
      </c>
      <c r="B258" s="617">
        <v>26.492000000000001</v>
      </c>
      <c r="C258" s="390"/>
      <c r="D258" s="393">
        <f t="shared" si="74"/>
        <v>26.998700307047187</v>
      </c>
      <c r="E258" s="385">
        <f t="shared" si="96"/>
        <v>30.06130793985691</v>
      </c>
      <c r="F258" s="385">
        <f t="shared" si="75"/>
        <v>30.061307940283331</v>
      </c>
      <c r="G258" s="110">
        <f t="shared" si="97"/>
        <v>0.82043770317734754</v>
      </c>
      <c r="H258" s="414" t="b">
        <f>Wh_hp&gt;='2019'!Maxi_hp</f>
        <v>0</v>
      </c>
      <c r="I258" s="380">
        <f>IF(H258,Wh_hp,'2019'!Maxi_hp)</f>
        <v>36.800779305473014</v>
      </c>
      <c r="J258" s="85">
        <f>IF(H258,An,'2019'!An_max)</f>
        <v>2018</v>
      </c>
      <c r="K258" s="197">
        <f t="shared" si="76"/>
        <v>44074</v>
      </c>
      <c r="L258" s="147">
        <f>IF(t&lt;Tvie,1-EXP((T0-t)*PertePVj)+'2019'!Pspv,1-EXP((T0-t)*PertePVj)+Pspv)</f>
        <v>1.8767581449649517E-2</v>
      </c>
      <c r="M258" s="850"/>
      <c r="N258" s="850"/>
      <c r="O258" s="48">
        <f>IF(t&lt;Tnet,'2019'!Resal+('2019'!Salim-'2019'!Resal)*(1-EXP(('2019'!Tnet-t)/('2019'!Tau_j))),Resal+(Salim-Resal)*(1-EXP((Tnet-t)/(Tau_j))))*Salcycl</f>
        <v>0.10187872194174062</v>
      </c>
      <c r="P258" s="169">
        <f>(INDEX(Models!$BJ258:$BT258,,T258)*(1-R258)+INDEX(Models!$BJ258:$BT258,,T258+1)*R258-ERP_i)*Q258*Ramure*Pc/MaxiM</f>
        <v>1.9079299950694817E-11</v>
      </c>
      <c r="Q258" s="305">
        <f t="shared" si="77"/>
        <v>0.7</v>
      </c>
      <c r="R258" s="177">
        <f t="shared" si="78"/>
        <v>0.19049641961172759</v>
      </c>
      <c r="S258" s="817">
        <f t="shared" si="79"/>
        <v>-1</v>
      </c>
      <c r="T258" s="176">
        <f t="shared" si="80"/>
        <v>5</v>
      </c>
      <c r="U258" s="251">
        <f t="shared" si="81"/>
        <v>-0.80950358038827241</v>
      </c>
      <c r="V258" s="383">
        <f t="shared" si="82"/>
        <v>32.290081132636317</v>
      </c>
      <c r="W258" s="402"/>
      <c r="X258" s="157">
        <f t="shared" si="83"/>
        <v>44074</v>
      </c>
      <c r="Y258" s="385">
        <f t="shared" si="84"/>
        <v>26.492000000000001</v>
      </c>
      <c r="Z258" s="385">
        <f t="shared" si="85"/>
        <v>26.998700307047187</v>
      </c>
      <c r="AA258" s="386">
        <f t="shared" si="86"/>
        <v>30.06130793985691</v>
      </c>
      <c r="AB258" s="197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0.10187872194174062</v>
      </c>
      <c r="AD258" s="231">
        <f>(INDEX(Models!$BJ258:$BT258,,AH258)*(1-AF258)+INDEX(Models!$BJ258:$BT258,,AH258+1)*AF258-ERP_i)*AE258*Ramure*Pc/MaxiM</f>
        <v>1.9079299950694817E-11</v>
      </c>
      <c r="AE258" s="305">
        <f t="shared" si="88"/>
        <v>0.7</v>
      </c>
      <c r="AF258" s="177">
        <f t="shared" si="89"/>
        <v>0.19049641961172759</v>
      </c>
      <c r="AG258" s="817">
        <f t="shared" si="95"/>
        <v>-1</v>
      </c>
      <c r="AH258" s="176">
        <f t="shared" si="90"/>
        <v>5</v>
      </c>
      <c r="AI258" s="225">
        <f t="shared" si="91"/>
        <v>-0.80950358038827241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44075</v>
      </c>
      <c r="B259" s="617">
        <v>29.402999999999999</v>
      </c>
      <c r="C259" s="390"/>
      <c r="D259" s="393">
        <f t="shared" si="74"/>
        <v>29.966033999066852</v>
      </c>
      <c r="E259" s="385">
        <f t="shared" si="96"/>
        <v>33.367110574588068</v>
      </c>
      <c r="F259" s="385">
        <f t="shared" si="75"/>
        <v>33.367110575375165</v>
      </c>
      <c r="G259" s="110">
        <f t="shared" si="97"/>
        <v>0.91455308431070104</v>
      </c>
      <c r="H259" s="414" t="b">
        <f>Wh_hp&gt;='2019'!Maxi_hp</f>
        <v>0</v>
      </c>
      <c r="I259" s="380">
        <f>IF(H259,Wh_hp,'2019'!Maxi_hp)</f>
        <v>34.771079559810111</v>
      </c>
      <c r="J259" s="85">
        <f>IF(H259,An,'2019'!An_max)</f>
        <v>2018</v>
      </c>
      <c r="K259" s="197">
        <f t="shared" si="76"/>
        <v>44075</v>
      </c>
      <c r="L259" s="147">
        <f>IF(t&lt;Tvie,1-EXP((T0-t)*PertePVj)+'2019'!Pspv,1-EXP((T0-t)*PertePVj)+Pspv)</f>
        <v>1.8789072957882458E-2</v>
      </c>
      <c r="M259" s="850"/>
      <c r="N259" s="850"/>
      <c r="O259" s="48">
        <f>IF(t&lt;Tnet,'2019'!Resal+('2019'!Salim-'2019'!Resal)*(1-EXP(('2019'!Tnet-t)/('2019'!Tau_j))),Resal+(Salim-Resal)*(1-EXP((Tnet-t)/(Tau_j))))*Salcycl</f>
        <v>0.10192901084193449</v>
      </c>
      <c r="P259" s="169">
        <f>(INDEX(Models!$BJ259:$BT259,,T259)*(1-R259)+INDEX(Models!$BJ259:$BT259,,T259+1)*R259-ERP_i)*Q259*Ramure*Pc/MaxiM</f>
        <v>2.686881333652406E-11</v>
      </c>
      <c r="Q259" s="305">
        <f t="shared" si="77"/>
        <v>0.7</v>
      </c>
      <c r="R259" s="177">
        <f t="shared" si="78"/>
        <v>0.19087118905752387</v>
      </c>
      <c r="S259" s="817">
        <f t="shared" si="79"/>
        <v>-1</v>
      </c>
      <c r="T259" s="176">
        <f t="shared" si="80"/>
        <v>5</v>
      </c>
      <c r="U259" s="251">
        <f t="shared" si="81"/>
        <v>-0.80912881094247613</v>
      </c>
      <c r="V259" s="383">
        <f t="shared" si="82"/>
        <v>32.150129395785278</v>
      </c>
      <c r="W259" s="402"/>
      <c r="X259" s="157">
        <f t="shared" si="83"/>
        <v>44075</v>
      </c>
      <c r="Y259" s="385">
        <f t="shared" si="84"/>
        <v>29.402999999999999</v>
      </c>
      <c r="Z259" s="385">
        <f t="shared" si="85"/>
        <v>29.966033999066852</v>
      </c>
      <c r="AA259" s="386">
        <f t="shared" si="86"/>
        <v>33.367110574588068</v>
      </c>
      <c r="AB259" s="197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0.10192901084193449</v>
      </c>
      <c r="AD259" s="231">
        <f>(INDEX(Models!$BJ259:$BT259,,AH259)*(1-AF259)+INDEX(Models!$BJ259:$BT259,,AH259+1)*AF259-ERP_i)*AE259*Ramure*Pc/MaxiM</f>
        <v>2.686881333652406E-11</v>
      </c>
      <c r="AE259" s="305">
        <f t="shared" si="88"/>
        <v>0.7</v>
      </c>
      <c r="AF259" s="177">
        <f t="shared" si="89"/>
        <v>0.19087118905752387</v>
      </c>
      <c r="AG259" s="817">
        <f t="shared" si="95"/>
        <v>-1</v>
      </c>
      <c r="AH259" s="176">
        <f t="shared" si="90"/>
        <v>5</v>
      </c>
      <c r="AI259" s="225">
        <f t="shared" si="91"/>
        <v>-0.80912881094247613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44076</v>
      </c>
      <c r="B260" s="617">
        <v>33.094000000000001</v>
      </c>
      <c r="C260" s="390"/>
      <c r="D260" s="393">
        <f t="shared" si="74"/>
        <v>33.72845118956694</v>
      </c>
      <c r="E260" s="385">
        <f t="shared" si="96"/>
        <v>37.558631128055062</v>
      </c>
      <c r="F260" s="385">
        <f t="shared" si="75"/>
        <v>37.558631129408738</v>
      </c>
      <c r="G260" s="110">
        <f t="shared" si="97"/>
        <v>1.0340776558057592</v>
      </c>
      <c r="H260" s="414" t="b">
        <f>Wh_hp&gt;='2019'!Maxi_hp</f>
        <v>1</v>
      </c>
      <c r="I260" s="380">
        <f>IF(H260,Wh_hp,'2019'!Maxi_hp)</f>
        <v>37.558631129408738</v>
      </c>
      <c r="J260" s="85">
        <f>IF(H260,An,'2019'!An_max)</f>
        <v>2020</v>
      </c>
      <c r="K260" s="197">
        <f t="shared" si="76"/>
        <v>44076</v>
      </c>
      <c r="L260" s="147">
        <f>IF(t&lt;Tvie,1-EXP((T0-t)*PertePVj)+'2019'!Pspv,1-EXP((T0-t)*PertePVj)+Pspv)</f>
        <v>1.8810563995396046E-2</v>
      </c>
      <c r="M260" s="850"/>
      <c r="N260" s="850"/>
      <c r="O260" s="48">
        <f>IF(t&lt;Tnet,'2019'!Resal+('2019'!Salim-'2019'!Resal)*(1-EXP(('2019'!Tnet-t)/('2019'!Tau_j))),Resal+(Salim-Resal)*(1-EXP((Tnet-t)/(Tau_j))))*Salcycl</f>
        <v>0.10197868834540942</v>
      </c>
      <c r="P260" s="169">
        <f>(INDEX(Models!$BJ260:$BT260,,T260)*(1-R260)+INDEX(Models!$BJ260:$BT260,,T260+1)*R260-ERP_i)*Q260*Ramure*Pc/MaxiM</f>
        <v>3.6041767340721929E-11</v>
      </c>
      <c r="Q260" s="305">
        <f t="shared" si="77"/>
        <v>0.7</v>
      </c>
      <c r="R260" s="177">
        <f t="shared" si="78"/>
        <v>0.19123177837904781</v>
      </c>
      <c r="S260" s="817">
        <f t="shared" si="79"/>
        <v>-1</v>
      </c>
      <c r="T260" s="176">
        <f t="shared" si="80"/>
        <v>5</v>
      </c>
      <c r="U260" s="251">
        <f t="shared" si="81"/>
        <v>-0.80876822162095219</v>
      </c>
      <c r="V260" s="383">
        <f t="shared" si="82"/>
        <v>32.00339917819128</v>
      </c>
      <c r="W260" s="402"/>
      <c r="X260" s="157">
        <f t="shared" si="83"/>
        <v>44076</v>
      </c>
      <c r="Y260" s="385">
        <f t="shared" si="84"/>
        <v>33.094000000000001</v>
      </c>
      <c r="Z260" s="385">
        <f t="shared" si="85"/>
        <v>33.72845118956694</v>
      </c>
      <c r="AA260" s="386">
        <f t="shared" si="86"/>
        <v>37.558631128055062</v>
      </c>
      <c r="AB260" s="197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0.10197868834540942</v>
      </c>
      <c r="AD260" s="231">
        <f>(INDEX(Models!$BJ260:$BT260,,AH260)*(1-AF260)+INDEX(Models!$BJ260:$BT260,,AH260+1)*AF260-ERP_i)*AE260*Ramure*Pc/MaxiM</f>
        <v>3.6041767340721929E-11</v>
      </c>
      <c r="AE260" s="305">
        <f t="shared" si="88"/>
        <v>0.7</v>
      </c>
      <c r="AF260" s="177">
        <f t="shared" si="89"/>
        <v>0.19123177837904781</v>
      </c>
      <c r="AG260" s="817">
        <f t="shared" si="95"/>
        <v>-1</v>
      </c>
      <c r="AH260" s="176">
        <f t="shared" si="90"/>
        <v>5</v>
      </c>
      <c r="AI260" s="225">
        <f t="shared" si="91"/>
        <v>-0.80876822162095219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44077</v>
      </c>
      <c r="B261" s="617">
        <v>31.646000000000001</v>
      </c>
      <c r="C261" s="390"/>
      <c r="D261" s="393">
        <f t="shared" si="74"/>
        <v>32.253397746172283</v>
      </c>
      <c r="E261" s="385">
        <f t="shared" si="96"/>
        <v>35.918033283585316</v>
      </c>
      <c r="F261" s="385">
        <f t="shared" si="75"/>
        <v>35.918033285244761</v>
      </c>
      <c r="G261" s="110">
        <f t="shared" si="97"/>
        <v>0.9936056850734809</v>
      </c>
      <c r="H261" s="414" t="b">
        <f>Wh_hp&gt;='2019'!Maxi_hp</f>
        <v>0</v>
      </c>
      <c r="I261" s="380">
        <f>IF(H261,Wh_hp,'2019'!Maxi_hp)</f>
        <v>36.263260924320456</v>
      </c>
      <c r="J261" s="85">
        <f>IF(H261,An,'2019'!An_max)</f>
        <v>2019</v>
      </c>
      <c r="K261" s="197">
        <f t="shared" si="76"/>
        <v>44077</v>
      </c>
      <c r="L261" s="147">
        <f>IF(t&lt;Tvie,1-EXP((T0-t)*PertePVj)+'2019'!Pspv,1-EXP((T0-t)*PertePVj)+Pspv)</f>
        <v>1.8832054562200939E-2</v>
      </c>
      <c r="M261" s="850"/>
      <c r="N261" s="850"/>
      <c r="O261" s="48">
        <f>IF(t&lt;Tnet,'2019'!Resal+('2019'!Salim-'2019'!Resal)*(1-EXP(('2019'!Tnet-t)/('2019'!Tau_j))),Resal+(Salim-Resal)*(1-EXP((Tnet-t)/(Tau_j))))*Salcycl</f>
        <v>0.1020277337703728</v>
      </c>
      <c r="P261" s="169">
        <f>(INDEX(Models!$BJ261:$BT261,,T261)*(1-R261)+INDEX(Models!$BJ261:$BT261,,T261+1)*R261-ERP_i)*Q261*Ramure*Pc/MaxiM</f>
        <v>4.6626822078998455E-11</v>
      </c>
      <c r="Q261" s="305">
        <f t="shared" si="77"/>
        <v>0.7</v>
      </c>
      <c r="R261" s="177">
        <f t="shared" si="78"/>
        <v>0.19157868988603488</v>
      </c>
      <c r="S261" s="817">
        <f t="shared" si="79"/>
        <v>-1</v>
      </c>
      <c r="T261" s="176">
        <f t="shared" si="80"/>
        <v>5</v>
      </c>
      <c r="U261" s="251">
        <f t="shared" si="81"/>
        <v>-0.80842131011396512</v>
      </c>
      <c r="V261" s="383">
        <f t="shared" si="82"/>
        <v>31.849656735454541</v>
      </c>
      <c r="W261" s="402"/>
      <c r="X261" s="157">
        <f t="shared" si="83"/>
        <v>44077</v>
      </c>
      <c r="Y261" s="385">
        <f t="shared" si="84"/>
        <v>31.645999999999997</v>
      </c>
      <c r="Z261" s="385">
        <f t="shared" si="85"/>
        <v>32.253397746172283</v>
      </c>
      <c r="AA261" s="386">
        <f t="shared" si="86"/>
        <v>35.918033283585316</v>
      </c>
      <c r="AB261" s="197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0.1020277337703728</v>
      </c>
      <c r="AD261" s="231">
        <f>(INDEX(Models!$BJ261:$BT261,,AH261)*(1-AF261)+INDEX(Models!$BJ261:$BT261,,AH261+1)*AF261-ERP_i)*AE261*Ramure*Pc/MaxiM</f>
        <v>4.6626822078998455E-11</v>
      </c>
      <c r="AE261" s="305">
        <f t="shared" si="88"/>
        <v>0.7</v>
      </c>
      <c r="AF261" s="177">
        <f t="shared" si="89"/>
        <v>0.19157868988603488</v>
      </c>
      <c r="AG261" s="817">
        <f t="shared" si="95"/>
        <v>-1</v>
      </c>
      <c r="AH261" s="176">
        <f t="shared" si="90"/>
        <v>5</v>
      </c>
      <c r="AI261" s="225">
        <f t="shared" si="91"/>
        <v>-0.80842131011396512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44078</v>
      </c>
      <c r="B262" s="617">
        <v>31.417999999999999</v>
      </c>
      <c r="C262" s="390"/>
      <c r="D262" s="393">
        <f t="shared" si="74"/>
        <v>32.021722984320832</v>
      </c>
      <c r="E262" s="385">
        <f t="shared" si="96"/>
        <v>35.661957429124378</v>
      </c>
      <c r="F262" s="385">
        <f t="shared" si="75"/>
        <v>35.661957440699879</v>
      </c>
      <c r="G262" s="110">
        <f t="shared" si="97"/>
        <v>0.99143294352464217</v>
      </c>
      <c r="H262" s="414" t="b">
        <f>Wh_hp&gt;='2019'!Maxi_hp</f>
        <v>1</v>
      </c>
      <c r="I262" s="380">
        <f>IF(H262,Wh_hp,'2019'!Maxi_hp)</f>
        <v>35.661957440699879</v>
      </c>
      <c r="J262" s="85">
        <f>IF(H262,An,'2019'!An_max)</f>
        <v>2020</v>
      </c>
      <c r="K262" s="197">
        <f t="shared" si="76"/>
        <v>44078</v>
      </c>
      <c r="L262" s="147">
        <f>IF(t&lt;Tvie,1-EXP((T0-t)*PertePVj)+'2019'!Pspv,1-EXP((T0-t)*PertePVj)+Pspv)</f>
        <v>1.8853544658307131E-2</v>
      </c>
      <c r="M262" s="850"/>
      <c r="N262" s="850"/>
      <c r="O262" s="48">
        <f>IF(t&lt;Tnet,'2019'!Resal+('2019'!Salim-'2019'!Resal)*(1-EXP(('2019'!Tnet-t)/('2019'!Tau_j))),Resal+(Salim-Resal)*(1-EXP((Tnet-t)/(Tau_j))))*Salcycl</f>
        <v>0.10207612557550312</v>
      </c>
      <c r="P262" s="169">
        <f>(INDEX(Models!$BJ262:$BT262,,T262)*(1-R262)+INDEX(Models!$BJ262:$BT262,,T262+1)*R262-ERP_i)*Q262*Ramure*Pc/MaxiM</f>
        <v>3.2861148129882219E-10</v>
      </c>
      <c r="Q262" s="305">
        <f t="shared" si="77"/>
        <v>0.7</v>
      </c>
      <c r="R262" s="177">
        <f t="shared" si="78"/>
        <v>0.1919124107305068</v>
      </c>
      <c r="S262" s="817">
        <f t="shared" si="79"/>
        <v>-1</v>
      </c>
      <c r="T262" s="176">
        <f t="shared" si="80"/>
        <v>5</v>
      </c>
      <c r="U262" s="251">
        <f t="shared" si="81"/>
        <v>-0.8080875892694932</v>
      </c>
      <c r="V262" s="383">
        <f t="shared" si="82"/>
        <v>31.689485612793476</v>
      </c>
      <c r="W262" s="402"/>
      <c r="X262" s="157">
        <f t="shared" si="83"/>
        <v>44078</v>
      </c>
      <c r="Y262" s="385">
        <f t="shared" si="84"/>
        <v>31.417999999999999</v>
      </c>
      <c r="Z262" s="385">
        <f t="shared" si="85"/>
        <v>32.021722984320832</v>
      </c>
      <c r="AA262" s="386">
        <f t="shared" si="86"/>
        <v>35.661957429124378</v>
      </c>
      <c r="AB262" s="197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0.10207612557550312</v>
      </c>
      <c r="AD262" s="231">
        <f>(INDEX(Models!$BJ262:$BT262,,AH262)*(1-AF262)+INDEX(Models!$BJ262:$BT262,,AH262+1)*AF262-ERP_i)*AE262*Ramure*Pc/MaxiM</f>
        <v>3.2861148129882219E-10</v>
      </c>
      <c r="AE262" s="305">
        <f t="shared" si="88"/>
        <v>0.7</v>
      </c>
      <c r="AF262" s="177">
        <f t="shared" si="89"/>
        <v>0.1919124107305068</v>
      </c>
      <c r="AG262" s="817">
        <f t="shared" si="95"/>
        <v>-1</v>
      </c>
      <c r="AH262" s="176">
        <f t="shared" si="90"/>
        <v>5</v>
      </c>
      <c r="AI262" s="225">
        <f t="shared" si="91"/>
        <v>-0.8080875892694932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44079</v>
      </c>
      <c r="B263" s="617">
        <v>28.911999999999999</v>
      </c>
      <c r="C263" s="390"/>
      <c r="D263" s="393">
        <f t="shared" si="74"/>
        <v>29.468213540863939</v>
      </c>
      <c r="E263" s="385">
        <f t="shared" si="96"/>
        <v>32.819908687534955</v>
      </c>
      <c r="F263" s="385">
        <f t="shared" si="75"/>
        <v>32.819908713208768</v>
      </c>
      <c r="G263" s="110">
        <f t="shared" si="97"/>
        <v>0.91715839566391288</v>
      </c>
      <c r="H263" s="414" t="b">
        <f>Wh_hp&gt;='2019'!Maxi_hp</f>
        <v>0</v>
      </c>
      <c r="I263" s="380">
        <f>IF(H263,Wh_hp,'2019'!Maxi_hp)</f>
        <v>37.214641888290501</v>
      </c>
      <c r="J263" s="85">
        <f>IF(H263,An,'2019'!An_max)</f>
        <v>2019</v>
      </c>
      <c r="K263" s="197">
        <f t="shared" si="76"/>
        <v>44079</v>
      </c>
      <c r="L263" s="147">
        <f>IF(t&lt;Tvie,1-EXP((T0-t)*PertePVj)+'2019'!Pspv,1-EXP((T0-t)*PertePVj)+Pspv)</f>
        <v>1.8875034283725167E-2</v>
      </c>
      <c r="M263" s="850"/>
      <c r="N263" s="850"/>
      <c r="O263" s="48">
        <f>IF(t&lt;Tnet,'2019'!Resal+('2019'!Salim-'2019'!Resal)*(1-EXP(('2019'!Tnet-t)/('2019'!Tau_j))),Resal+(Salim-Resal)*(1-EXP((Tnet-t)/(Tau_j))))*Salcycl</f>
        <v>0.10212384131172167</v>
      </c>
      <c r="P263" s="169">
        <f>(INDEX(Models!$BJ263:$BT263,,T263)*(1-R263)+INDEX(Models!$BJ263:$BT263,,T263+1)*R263-ERP_i)*Q263*Ramure*Pc/MaxiM</f>
        <v>8.8726714754083102E-10</v>
      </c>
      <c r="Q263" s="305">
        <f t="shared" si="77"/>
        <v>0.7</v>
      </c>
      <c r="R263" s="177">
        <f t="shared" si="78"/>
        <v>0.19223341315567211</v>
      </c>
      <c r="S263" s="817">
        <f t="shared" si="79"/>
        <v>-1</v>
      </c>
      <c r="T263" s="176">
        <f t="shared" si="80"/>
        <v>5</v>
      </c>
      <c r="U263" s="251">
        <f t="shared" si="81"/>
        <v>-0.80776658684432789</v>
      </c>
      <c r="V263" s="383">
        <f t="shared" si="82"/>
        <v>31.523453455425553</v>
      </c>
      <c r="W263" s="402"/>
      <c r="X263" s="157">
        <f t="shared" si="83"/>
        <v>44079</v>
      </c>
      <c r="Y263" s="385">
        <f t="shared" si="84"/>
        <v>28.911999999999999</v>
      </c>
      <c r="Z263" s="385">
        <f t="shared" si="85"/>
        <v>29.468213540863939</v>
      </c>
      <c r="AA263" s="386">
        <f t="shared" si="86"/>
        <v>32.819908687534955</v>
      </c>
      <c r="AB263" s="197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0.10212384131172167</v>
      </c>
      <c r="AD263" s="231">
        <f>(INDEX(Models!$BJ263:$BT263,,AH263)*(1-AF263)+INDEX(Models!$BJ263:$BT263,,AH263+1)*AF263-ERP_i)*AE263*Ramure*Pc/MaxiM</f>
        <v>8.8726714754083102E-10</v>
      </c>
      <c r="AE263" s="305">
        <f t="shared" si="88"/>
        <v>0.7</v>
      </c>
      <c r="AF263" s="177">
        <f t="shared" si="89"/>
        <v>0.19223341315567211</v>
      </c>
      <c r="AG263" s="817">
        <f t="shared" si="95"/>
        <v>-1</v>
      </c>
      <c r="AH263" s="176">
        <f t="shared" si="90"/>
        <v>5</v>
      </c>
      <c r="AI263" s="225">
        <f t="shared" si="91"/>
        <v>-0.80776658684432789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4"/>
        <v>44080</v>
      </c>
      <c r="B264" s="617">
        <v>17.498999999999999</v>
      </c>
      <c r="C264" s="390"/>
      <c r="D264" s="393">
        <f t="shared" si="74"/>
        <v>17.836039131497728</v>
      </c>
      <c r="E264" s="385">
        <f t="shared" si="96"/>
        <v>19.865738689848026</v>
      </c>
      <c r="F264" s="385">
        <f t="shared" si="75"/>
        <v>19.865738702508295</v>
      </c>
      <c r="G264" s="110">
        <f t="shared" si="97"/>
        <v>0.55814393627505654</v>
      </c>
      <c r="H264" s="414" t="b">
        <f>Wh_hp&gt;='2019'!Maxi_hp</f>
        <v>0</v>
      </c>
      <c r="I264" s="380">
        <f>IF(H264,Wh_hp,'2019'!Maxi_hp)</f>
        <v>35.695847850032024</v>
      </c>
      <c r="J264" s="85">
        <f>IF(H264,An,'2019'!An_max)</f>
        <v>2019</v>
      </c>
      <c r="K264" s="197">
        <f t="shared" si="76"/>
        <v>44080</v>
      </c>
      <c r="L264" s="147">
        <f>IF(t&lt;Tvie,1-EXP((T0-t)*PertePVj)+'2019'!Pspv,1-EXP((T0-t)*PertePVj)+Pspv)</f>
        <v>1.8896523438465151E-2</v>
      </c>
      <c r="M264" s="850"/>
      <c r="N264" s="850"/>
      <c r="O264" s="48">
        <f>IF(t&lt;Tnet,'2019'!Resal+('2019'!Salim-'2019'!Resal)*(1-EXP(('2019'!Tnet-t)/('2019'!Tau_j))),Resal+(Salim-Resal)*(1-EXP((Tnet-t)/(Tau_j))))*Salcycl</f>
        <v>0.10217085757739956</v>
      </c>
      <c r="P264" s="169">
        <f>(INDEX(Models!$BJ264:$BT264,,T264)*(1-R264)+INDEX(Models!$BJ264:$BT264,,T264+1)*R264-ERP_i)*Q264*Ramure*Pc/MaxiM</f>
        <v>1.72812189516103E-9</v>
      </c>
      <c r="Q264" s="305">
        <f t="shared" si="77"/>
        <v>0.7</v>
      </c>
      <c r="R264" s="177">
        <f t="shared" si="78"/>
        <v>0.19254215475915304</v>
      </c>
      <c r="S264" s="817">
        <f t="shared" si="79"/>
        <v>-1</v>
      </c>
      <c r="T264" s="176">
        <f t="shared" si="80"/>
        <v>5</v>
      </c>
      <c r="U264" s="251">
        <f t="shared" si="81"/>
        <v>-0.80745784524084696</v>
      </c>
      <c r="V264" s="383">
        <f t="shared" si="82"/>
        <v>31.352127728371403</v>
      </c>
      <c r="W264" s="402"/>
      <c r="X264" s="157">
        <f t="shared" si="83"/>
        <v>44080</v>
      </c>
      <c r="Y264" s="385">
        <f t="shared" si="84"/>
        <v>17.498999999999999</v>
      </c>
      <c r="Z264" s="385">
        <f t="shared" si="85"/>
        <v>17.836039131497728</v>
      </c>
      <c r="AA264" s="386">
        <f t="shared" si="86"/>
        <v>19.865738689848026</v>
      </c>
      <c r="AB264" s="197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0.10217085757739956</v>
      </c>
      <c r="AD264" s="231">
        <f>(INDEX(Models!$BJ264:$BT264,,AH264)*(1-AF264)+INDEX(Models!$BJ264:$BT264,,AH264+1)*AF264-ERP_i)*AE264*Ramure*Pc/MaxiM</f>
        <v>1.72812189516103E-9</v>
      </c>
      <c r="AE264" s="305">
        <f t="shared" si="88"/>
        <v>0.7</v>
      </c>
      <c r="AF264" s="177">
        <f t="shared" si="89"/>
        <v>0.19254215475915304</v>
      </c>
      <c r="AG264" s="817">
        <f t="shared" si="95"/>
        <v>-1</v>
      </c>
      <c r="AH264" s="176">
        <f t="shared" si="90"/>
        <v>5</v>
      </c>
      <c r="AI264" s="225">
        <f t="shared" si="91"/>
        <v>-0.80745784524084696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customHeight="1" x14ac:dyDescent="0.2">
      <c r="A265" s="56">
        <f t="shared" si="94"/>
        <v>44081</v>
      </c>
      <c r="B265" s="617">
        <v>27.266999999999999</v>
      </c>
      <c r="C265" s="390"/>
      <c r="D265" s="393">
        <f t="shared" si="74"/>
        <v>27.792784228962581</v>
      </c>
      <c r="E265" s="385">
        <f t="shared" si="96"/>
        <v>30.957134265041827</v>
      </c>
      <c r="F265" s="385">
        <f t="shared" si="75"/>
        <v>30.957134337642024</v>
      </c>
      <c r="G265" s="110">
        <f t="shared" si="97"/>
        <v>0.87461296375159014</v>
      </c>
      <c r="H265" s="414" t="b">
        <f>Wh_hp&gt;='2019'!Maxi_hp</f>
        <v>0</v>
      </c>
      <c r="I265" s="380">
        <f>IF(H265,Wh_hp,'2019'!Maxi_hp)</f>
        <v>32.004308101052679</v>
      </c>
      <c r="J265" s="85">
        <f>IF(H265,An,'2019'!An_max)</f>
        <v>2018</v>
      </c>
      <c r="K265" s="197">
        <f t="shared" si="76"/>
        <v>44081</v>
      </c>
      <c r="L265" s="147">
        <f>IF(t&lt;Tvie,1-EXP((T0-t)*PertePVj)+'2019'!Pspv,1-EXP((T0-t)*PertePVj)+Pspv)</f>
        <v>1.891801212253752E-2</v>
      </c>
      <c r="M265" s="850"/>
      <c r="N265" s="850"/>
      <c r="O265" s="48">
        <f>IF(t&lt;Tnet,'2019'!Resal+('2019'!Salim-'2019'!Resal)*(1-EXP(('2019'!Tnet-t)/('2019'!Tau_j))),Resal+(Salim-Resal)*(1-EXP((Tnet-t)/(Tau_j))))*Salcycl</f>
        <v>0.10221714997865834</v>
      </c>
      <c r="P265" s="169">
        <f>(INDEX(Models!$BJ265:$BT265,,T265)*(1-R265)+INDEX(Models!$BJ265:$BT265,,T265+1)*R265-ERP_i)*Q265*Ramure*Pc/MaxiM</f>
        <v>2.8569305353090979E-9</v>
      </c>
      <c r="Q265" s="305">
        <f t="shared" si="77"/>
        <v>0.7</v>
      </c>
      <c r="R265" s="177">
        <f t="shared" si="78"/>
        <v>0.19283907876848216</v>
      </c>
      <c r="S265" s="817">
        <f t="shared" si="79"/>
        <v>-1</v>
      </c>
      <c r="T265" s="176">
        <f t="shared" si="80"/>
        <v>5</v>
      </c>
      <c r="U265" s="251">
        <f t="shared" si="81"/>
        <v>-0.80716092123151784</v>
      </c>
      <c r="V265" s="383">
        <f t="shared" si="82"/>
        <v>31.176075722781842</v>
      </c>
      <c r="W265" s="402"/>
      <c r="X265" s="157">
        <f t="shared" si="83"/>
        <v>44081</v>
      </c>
      <c r="Y265" s="385">
        <f t="shared" si="84"/>
        <v>27.266999999999999</v>
      </c>
      <c r="Z265" s="385">
        <f t="shared" si="85"/>
        <v>27.792784228962581</v>
      </c>
      <c r="AA265" s="386">
        <f t="shared" si="86"/>
        <v>30.957134265041827</v>
      </c>
      <c r="AB265" s="197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0.10221714997865834</v>
      </c>
      <c r="AD265" s="231">
        <f>(INDEX(Models!$BJ265:$BT265,,AH265)*(1-AF265)+INDEX(Models!$BJ265:$BT265,,AH265+1)*AF265-ERP_i)*AE265*Ramure*Pc/MaxiM</f>
        <v>2.8569305353090979E-9</v>
      </c>
      <c r="AE265" s="305">
        <f t="shared" si="88"/>
        <v>0.7</v>
      </c>
      <c r="AF265" s="177">
        <f t="shared" si="89"/>
        <v>0.19283907876848216</v>
      </c>
      <c r="AG265" s="817">
        <f t="shared" si="95"/>
        <v>-1</v>
      </c>
      <c r="AH265" s="176">
        <f t="shared" si="90"/>
        <v>5</v>
      </c>
      <c r="AI265" s="225">
        <f t="shared" si="91"/>
        <v>-0.80716092123151784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44082</v>
      </c>
      <c r="B266" s="617">
        <v>29.49</v>
      </c>
      <c r="C266" s="390"/>
      <c r="D266" s="393">
        <f t="shared" si="74"/>
        <v>30.059308279253422</v>
      </c>
      <c r="E266" s="385">
        <f t="shared" si="96"/>
        <v>33.483412183160574</v>
      </c>
      <c r="F266" s="385">
        <f t="shared" si="75"/>
        <v>33.483412316512208</v>
      </c>
      <c r="G266" s="110">
        <f t="shared" si="97"/>
        <v>0.95141724280180329</v>
      </c>
      <c r="H266" s="414" t="b">
        <f>Wh_hp&gt;='2019'!Maxi_hp</f>
        <v>1</v>
      </c>
      <c r="I266" s="380">
        <f>IF(H266,Wh_hp,'2019'!Maxi_hp)</f>
        <v>33.483412316512208</v>
      </c>
      <c r="J266" s="85">
        <f>IF(H266,An,'2019'!An_max)</f>
        <v>2020</v>
      </c>
      <c r="K266" s="197">
        <f t="shared" si="76"/>
        <v>44082</v>
      </c>
      <c r="L266" s="147">
        <f>IF(t&lt;Tvie,1-EXP((T0-t)*PertePVj)+'2019'!Pspv,1-EXP((T0-t)*PertePVj)+Pspv)</f>
        <v>1.8939500335952597E-2</v>
      </c>
      <c r="M266" s="850"/>
      <c r="N266" s="850"/>
      <c r="O266" s="48">
        <f>IF(t&lt;Tnet,'2019'!Resal+('2019'!Salim-'2019'!Resal)*(1-EXP(('2019'!Tnet-t)/('2019'!Tau_j))),Resal+(Salim-Resal)*(1-EXP((Tnet-t)/(Tau_j))))*Salcycl</f>
        <v>0.10226269309641013</v>
      </c>
      <c r="P266" s="169">
        <f>(INDEX(Models!$BJ266:$BT266,,T266)*(1-R266)+INDEX(Models!$BJ266:$BT266,,T266+1)*R266-ERP_i)*Q266*Ramure*Pc/MaxiM</f>
        <v>4.2796417542959684E-9</v>
      </c>
      <c r="Q266" s="305">
        <f t="shared" si="77"/>
        <v>0.7</v>
      </c>
      <c r="R266" s="177">
        <f t="shared" si="78"/>
        <v>0.19312461432696892</v>
      </c>
      <c r="S266" s="817">
        <f t="shared" si="79"/>
        <v>-1</v>
      </c>
      <c r="T266" s="176">
        <f t="shared" si="80"/>
        <v>5</v>
      </c>
      <c r="U266" s="251">
        <f t="shared" si="81"/>
        <v>-0.80687538567303108</v>
      </c>
      <c r="V266" s="383">
        <f t="shared" si="82"/>
        <v>30.995864552965692</v>
      </c>
      <c r="W266" s="402"/>
      <c r="X266" s="157">
        <f t="shared" si="83"/>
        <v>44082</v>
      </c>
      <c r="Y266" s="385">
        <f t="shared" si="84"/>
        <v>29.490000000000002</v>
      </c>
      <c r="Z266" s="385">
        <f t="shared" si="85"/>
        <v>30.059308279253425</v>
      </c>
      <c r="AA266" s="386">
        <f t="shared" si="86"/>
        <v>33.483412183160574</v>
      </c>
      <c r="AB266" s="197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0.10226269309641013</v>
      </c>
      <c r="AD266" s="231">
        <f>(INDEX(Models!$BJ266:$BT266,,AH266)*(1-AF266)+INDEX(Models!$BJ266:$BT266,,AH266+1)*AF266-ERP_i)*AE266*Ramure*Pc/MaxiM</f>
        <v>4.2796417542959684E-9</v>
      </c>
      <c r="AE266" s="305">
        <f t="shared" si="88"/>
        <v>0.7</v>
      </c>
      <c r="AF266" s="177">
        <f t="shared" si="89"/>
        <v>0.19312461432696892</v>
      </c>
      <c r="AG266" s="817">
        <f t="shared" si="95"/>
        <v>-1</v>
      </c>
      <c r="AH266" s="176">
        <f t="shared" si="90"/>
        <v>5</v>
      </c>
      <c r="AI266" s="225">
        <f t="shared" si="91"/>
        <v>-0.80687538567303108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44083</v>
      </c>
      <c r="B267" s="617">
        <v>16.803000000000001</v>
      </c>
      <c r="C267" s="390"/>
      <c r="D267" s="393">
        <f t="shared" si="74"/>
        <v>17.127759238740968</v>
      </c>
      <c r="E267" s="385">
        <f t="shared" si="96"/>
        <v>19.0797611480107</v>
      </c>
      <c r="F267" s="385">
        <f t="shared" si="75"/>
        <v>19.079761188149337</v>
      </c>
      <c r="G267" s="110">
        <f t="shared" si="97"/>
        <v>0.54533839345342638</v>
      </c>
      <c r="H267" s="414" t="b">
        <f>Wh_hp&gt;='2019'!Maxi_hp</f>
        <v>0</v>
      </c>
      <c r="I267" s="380">
        <f>IF(H267,Wh_hp,'2019'!Maxi_hp)</f>
        <v>27.425766872188039</v>
      </c>
      <c r="J267" s="85">
        <f>IF(H267,An,'2019'!An_max)</f>
        <v>2018</v>
      </c>
      <c r="K267" s="197">
        <f t="shared" si="76"/>
        <v>44083</v>
      </c>
      <c r="L267" s="147">
        <f>IF(t&lt;Tvie,1-EXP((T0-t)*PertePVj)+'2019'!Pspv,1-EXP((T0-t)*PertePVj)+Pspv)</f>
        <v>1.8960988078720709E-2</v>
      </c>
      <c r="M267" s="850"/>
      <c r="N267" s="850"/>
      <c r="O267" s="48">
        <f>IF(t&lt;Tnet,'2019'!Resal+('2019'!Salim-'2019'!Resal)*(1-EXP(('2019'!Tnet-t)/('2019'!Tau_j))),Resal+(Salim-Resal)*(1-EXP((Tnet-t)/(Tau_j))))*Salcycl</f>
        <v>0.10230746046174968</v>
      </c>
      <c r="P267" s="169">
        <f>(INDEX(Models!$BJ267:$BT267,,T267)*(1-R267)+INDEX(Models!$BJ267:$BT267,,T267+1)*R267-ERP_i)*Q267*Ramure*Pc/MaxiM</f>
        <v>6.0023619666947325E-9</v>
      </c>
      <c r="Q267" s="305">
        <f t="shared" si="77"/>
        <v>0.7</v>
      </c>
      <c r="R267" s="177">
        <f t="shared" si="78"/>
        <v>0.19339917678817886</v>
      </c>
      <c r="S267" s="817">
        <f t="shared" si="79"/>
        <v>-1</v>
      </c>
      <c r="T267" s="176">
        <f t="shared" si="80"/>
        <v>5</v>
      </c>
      <c r="U267" s="251">
        <f t="shared" si="81"/>
        <v>-0.80660082321182114</v>
      </c>
      <c r="V267" s="383">
        <f t="shared" si="82"/>
        <v>30.812061164599246</v>
      </c>
      <c r="W267" s="402"/>
      <c r="X267" s="157">
        <f t="shared" si="83"/>
        <v>44083</v>
      </c>
      <c r="Y267" s="385">
        <f t="shared" si="84"/>
        <v>16.803000000000001</v>
      </c>
      <c r="Z267" s="385">
        <f t="shared" si="85"/>
        <v>17.127759238740968</v>
      </c>
      <c r="AA267" s="386">
        <f t="shared" si="86"/>
        <v>19.0797611480107</v>
      </c>
      <c r="AB267" s="197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0.10230746046174968</v>
      </c>
      <c r="AD267" s="231">
        <f>(INDEX(Models!$BJ267:$BT267,,AH267)*(1-AF267)+INDEX(Models!$BJ267:$BT267,,AH267+1)*AF267-ERP_i)*AE267*Ramure*Pc/MaxiM</f>
        <v>6.0023619666947325E-9</v>
      </c>
      <c r="AE267" s="305">
        <f t="shared" si="88"/>
        <v>0.7</v>
      </c>
      <c r="AF267" s="177">
        <f t="shared" si="89"/>
        <v>0.19339917678817886</v>
      </c>
      <c r="AG267" s="817">
        <f t="shared" si="95"/>
        <v>-1</v>
      </c>
      <c r="AH267" s="176">
        <f t="shared" si="90"/>
        <v>5</v>
      </c>
      <c r="AI267" s="225">
        <f t="shared" si="91"/>
        <v>-0.80660082321182114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44084</v>
      </c>
      <c r="B268" s="617">
        <v>26.716999999999999</v>
      </c>
      <c r="C268" s="390"/>
      <c r="D268" s="393">
        <f t="shared" si="74"/>
        <v>27.233968128709108</v>
      </c>
      <c r="E268" s="385">
        <f t="shared" si="96"/>
        <v>30.339231714138407</v>
      </c>
      <c r="F268" s="385">
        <f t="shared" si="75"/>
        <v>30.339270385723363</v>
      </c>
      <c r="G268" s="110">
        <f t="shared" si="97"/>
        <v>0.8723863233311564</v>
      </c>
      <c r="H268" s="414" t="b">
        <f>Wh_hp&gt;='2019'!Maxi_hp</f>
        <v>0</v>
      </c>
      <c r="I268" s="380">
        <f>IF(H268,Wh_hp,'2019'!Maxi_hp)</f>
        <v>31.816202174963337</v>
      </c>
      <c r="J268" s="85">
        <f>IF(H268,An,'2019'!An_max)</f>
        <v>2018</v>
      </c>
      <c r="K268" s="197">
        <f t="shared" si="76"/>
        <v>44084</v>
      </c>
      <c r="L268" s="147">
        <f>IF(t&lt;Tvie,1-EXP((T0-t)*PertePVj)+'2019'!Pspv,1-EXP((T0-t)*PertePVj)+Pspv)</f>
        <v>1.8982475350851957E-2</v>
      </c>
      <c r="M268" s="850"/>
      <c r="N268" s="850"/>
      <c r="O268" s="48">
        <f>IF(t&lt;Tnet,'2019'!Resal+('2019'!Salim-'2019'!Resal)*(1-EXP(('2019'!Tnet-t)/('2019'!Tau_j))),Resal+(Salim-Resal)*(1-EXP((Tnet-t)/(Tau_j))))*Salcycl</f>
        <v>0.10235142454125534</v>
      </c>
      <c r="P268" s="169">
        <f>(INDEX(Models!$BJ268:$BT268,,T268)*(1-R268)+INDEX(Models!$BJ268:$BT268,,T268+1)*R268-ERP_i)*Q268*Ramure*Pc/MaxiM</f>
        <v>1.5588181124063413E-6</v>
      </c>
      <c r="Q268" s="305">
        <f t="shared" si="77"/>
        <v>0.7</v>
      </c>
      <c r="R268" s="177">
        <f t="shared" si="78"/>
        <v>0.19366316801741235</v>
      </c>
      <c r="S268" s="817">
        <f t="shared" si="79"/>
        <v>-1</v>
      </c>
      <c r="T268" s="176">
        <f t="shared" si="80"/>
        <v>5</v>
      </c>
      <c r="U268" s="251">
        <f t="shared" si="81"/>
        <v>-0.80633683198258765</v>
      </c>
      <c r="V268" s="383">
        <f t="shared" si="82"/>
        <v>30.625184844176882</v>
      </c>
      <c r="W268" s="402"/>
      <c r="X268" s="157">
        <f t="shared" si="83"/>
        <v>44084</v>
      </c>
      <c r="Y268" s="385">
        <f t="shared" si="84"/>
        <v>26.716999999999999</v>
      </c>
      <c r="Z268" s="385">
        <f t="shared" si="85"/>
        <v>27.233968128709108</v>
      </c>
      <c r="AA268" s="386">
        <f t="shared" si="86"/>
        <v>30.339231714138407</v>
      </c>
      <c r="AB268" s="197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0.10235142454125534</v>
      </c>
      <c r="AD268" s="231">
        <f>(INDEX(Models!$BJ268:$BT268,,AH268)*(1-AF268)+INDEX(Models!$BJ268:$BT268,,AH268+1)*AF268-ERP_i)*AE268*Ramure*Pc/MaxiM</f>
        <v>1.5588181124063413E-6</v>
      </c>
      <c r="AE268" s="305">
        <f t="shared" si="88"/>
        <v>0.7</v>
      </c>
      <c r="AF268" s="177">
        <f t="shared" si="89"/>
        <v>0.19366316801741235</v>
      </c>
      <c r="AG268" s="817">
        <f t="shared" si="95"/>
        <v>-1</v>
      </c>
      <c r="AH268" s="176">
        <f t="shared" si="90"/>
        <v>5</v>
      </c>
      <c r="AI268" s="225">
        <f t="shared" si="91"/>
        <v>-0.80633683198258765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44085</v>
      </c>
      <c r="B269" s="617">
        <v>28.771000000000001</v>
      </c>
      <c r="C269" s="390"/>
      <c r="D269" s="393">
        <f t="shared" si="74"/>
        <v>29.328354947411498</v>
      </c>
      <c r="E269" s="385">
        <f t="shared" si="96"/>
        <v>32.673994088859139</v>
      </c>
      <c r="F269" s="385">
        <f t="shared" si="75"/>
        <v>32.674135509186392</v>
      </c>
      <c r="G269" s="110">
        <f t="shared" si="97"/>
        <v>0.94530084502063594</v>
      </c>
      <c r="H269" s="414" t="b">
        <f>Wh_hp&gt;='2019'!Maxi_hp</f>
        <v>0</v>
      </c>
      <c r="I269" s="380">
        <f>IF(H269,Wh_hp,'2019'!Maxi_hp)</f>
        <v>34.361918081315721</v>
      </c>
      <c r="J269" s="85">
        <f>IF(H269,An,'2019'!An_max)</f>
        <v>2019</v>
      </c>
      <c r="K269" s="197">
        <f t="shared" si="76"/>
        <v>44085</v>
      </c>
      <c r="L269" s="147">
        <f>IF(t&lt;Tvie,1-EXP((T0-t)*PertePVj)+'2019'!Pspv,1-EXP((T0-t)*PertePVj)+Pspv)</f>
        <v>1.900396215235689E-2</v>
      </c>
      <c r="M269" s="850"/>
      <c r="N269" s="850"/>
      <c r="O269" s="48">
        <f>IF(t&lt;Tnet,'2019'!Resal+('2019'!Salim-'2019'!Resal)*(1-EXP(('2019'!Tnet-t)/('2019'!Tau_j))),Resal+(Salim-Resal)*(1-EXP((Tnet-t)/(Tau_j))))*Salcycl</f>
        <v>0.10239455673368084</v>
      </c>
      <c r="P269" s="169">
        <f>(INDEX(Models!$BJ269:$BT269,,T269)*(1-R269)+INDEX(Models!$BJ269:$BT269,,T269+1)*R269-ERP_i)*Q269*Ramure*Pc/MaxiM</f>
        <v>4.6950833313403259E-6</v>
      </c>
      <c r="Q269" s="305">
        <f t="shared" si="77"/>
        <v>0.7</v>
      </c>
      <c r="R269" s="177">
        <f t="shared" si="78"/>
        <v>0.19391697669869645</v>
      </c>
      <c r="S269" s="817">
        <f t="shared" si="79"/>
        <v>-1</v>
      </c>
      <c r="T269" s="176">
        <f t="shared" si="80"/>
        <v>5</v>
      </c>
      <c r="U269" s="251">
        <f t="shared" si="81"/>
        <v>-0.80608302330130355</v>
      </c>
      <c r="V269" s="383">
        <f t="shared" si="82"/>
        <v>30.43580210048777</v>
      </c>
      <c r="W269" s="402"/>
      <c r="X269" s="157">
        <f t="shared" si="83"/>
        <v>44085</v>
      </c>
      <c r="Y269" s="385">
        <f t="shared" si="84"/>
        <v>28.771000000000004</v>
      </c>
      <c r="Z269" s="385">
        <f t="shared" si="85"/>
        <v>29.328354947411501</v>
      </c>
      <c r="AA269" s="386">
        <f t="shared" si="86"/>
        <v>32.673994088859139</v>
      </c>
      <c r="AB269" s="197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0.10239455673368084</v>
      </c>
      <c r="AD269" s="231">
        <f>(INDEX(Models!$BJ269:$BT269,,AH269)*(1-AF269)+INDEX(Models!$BJ269:$BT269,,AH269+1)*AF269-ERP_i)*AE269*Ramure*Pc/MaxiM</f>
        <v>4.6950833313403259E-6</v>
      </c>
      <c r="AE269" s="305">
        <f t="shared" si="88"/>
        <v>0.7</v>
      </c>
      <c r="AF269" s="177">
        <f t="shared" si="89"/>
        <v>0.19391697669869645</v>
      </c>
      <c r="AG269" s="817">
        <f t="shared" si="95"/>
        <v>-1</v>
      </c>
      <c r="AH269" s="176">
        <f t="shared" si="90"/>
        <v>5</v>
      </c>
      <c r="AI269" s="225">
        <f t="shared" si="91"/>
        <v>-0.80608302330130355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44086</v>
      </c>
      <c r="B270" s="617">
        <v>28.742000000000001</v>
      </c>
      <c r="C270" s="390"/>
      <c r="D270" s="393">
        <f t="shared" si="74"/>
        <v>29.29943488907022</v>
      </c>
      <c r="E270" s="385">
        <f t="shared" si="96"/>
        <v>32.643312228960902</v>
      </c>
      <c r="F270" s="385">
        <f t="shared" si="75"/>
        <v>32.643598753916862</v>
      </c>
      <c r="G270" s="110">
        <f t="shared" si="97"/>
        <v>0.95032155919693218</v>
      </c>
      <c r="H270" s="414" t="b">
        <f>Wh_hp&gt;='2019'!Maxi_hp</f>
        <v>1</v>
      </c>
      <c r="I270" s="380">
        <f>IF(H270,Wh_hp,'2019'!Maxi_hp)</f>
        <v>32.643598753916862</v>
      </c>
      <c r="J270" s="85">
        <f>IF(H270,An,'2019'!An_max)</f>
        <v>2020</v>
      </c>
      <c r="K270" s="197">
        <f t="shared" si="76"/>
        <v>44086</v>
      </c>
      <c r="L270" s="147">
        <f>IF(t&lt;Tvie,1-EXP((T0-t)*PertePVj)+'2019'!Pspv,1-EXP((T0-t)*PertePVj)+Pspv)</f>
        <v>1.9025448483245722E-2</v>
      </c>
      <c r="M270" s="850"/>
      <c r="N270" s="850"/>
      <c r="O270" s="48">
        <f>IF(t&lt;Tnet,'2019'!Resal+('2019'!Salim-'2019'!Resal)*(1-EXP(('2019'!Tnet-t)/('2019'!Tau_j))),Resal+(Salim-Resal)*(1-EXP((Tnet-t)/(Tau_j))))*Salcycl</f>
        <v>0.10243682737942318</v>
      </c>
      <c r="P270" s="169">
        <f>(INDEX(Models!$BJ270:$BT270,,T270)*(1-R270)+INDEX(Models!$BJ270:$BT270,,T270+1)*R270-ERP_i)*Q270*Ramure*Pc/MaxiM</f>
        <v>9.4478695054165755E-6</v>
      </c>
      <c r="Q270" s="305">
        <f t="shared" si="77"/>
        <v>0.7</v>
      </c>
      <c r="R270" s="177">
        <f t="shared" si="78"/>
        <v>0.1941609786459324</v>
      </c>
      <c r="S270" s="817">
        <f t="shared" si="79"/>
        <v>-1</v>
      </c>
      <c r="T270" s="176">
        <f t="shared" si="80"/>
        <v>5</v>
      </c>
      <c r="U270" s="251">
        <f t="shared" si="81"/>
        <v>-0.8058390213540676</v>
      </c>
      <c r="V270" s="383">
        <f t="shared" si="82"/>
        <v>30.244479303018878</v>
      </c>
      <c r="W270" s="402"/>
      <c r="X270" s="157">
        <f t="shared" si="83"/>
        <v>44086</v>
      </c>
      <c r="Y270" s="385">
        <f t="shared" si="84"/>
        <v>28.742000000000001</v>
      </c>
      <c r="Z270" s="385">
        <f t="shared" si="85"/>
        <v>29.29943488907022</v>
      </c>
      <c r="AA270" s="386">
        <f t="shared" si="86"/>
        <v>32.643312228960902</v>
      </c>
      <c r="AB270" s="197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0.10243682737942318</v>
      </c>
      <c r="AD270" s="231">
        <f>(INDEX(Models!$BJ270:$BT270,,AH270)*(1-AF270)+INDEX(Models!$BJ270:$BT270,,AH270+1)*AF270-ERP_i)*AE270*Ramure*Pc/MaxiM</f>
        <v>9.4478695054165755E-6</v>
      </c>
      <c r="AE270" s="305">
        <f t="shared" si="88"/>
        <v>0.7</v>
      </c>
      <c r="AF270" s="177">
        <f t="shared" si="89"/>
        <v>0.1941609786459324</v>
      </c>
      <c r="AG270" s="817">
        <f t="shared" si="95"/>
        <v>-1</v>
      </c>
      <c r="AH270" s="176">
        <f t="shared" si="90"/>
        <v>5</v>
      </c>
      <c r="AI270" s="225">
        <f t="shared" si="91"/>
        <v>-0.8058390213540676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44087</v>
      </c>
      <c r="B271" s="617">
        <v>28.009</v>
      </c>
      <c r="C271" s="390"/>
      <c r="D271" s="393">
        <f t="shared" ref="D271:D334" si="98">Wh/(1-Ppv)</f>
        <v>28.552844147804237</v>
      </c>
      <c r="E271" s="385">
        <f t="shared" si="96"/>
        <v>31.812981402581777</v>
      </c>
      <c r="F271" s="385">
        <f t="shared" ref="F271:F334" si="99">Wh_sa/(1-Pvg*MEDIAN((-Sdif+Wh/Env_an)/Csdif,0,1))</f>
        <v>31.813436700328825</v>
      </c>
      <c r="G271" s="110">
        <f t="shared" si="97"/>
        <v>0.93202314091445371</v>
      </c>
      <c r="H271" s="414" t="b">
        <f>Wh_hp&gt;='2019'!Maxi_hp</f>
        <v>1</v>
      </c>
      <c r="I271" s="380">
        <f>IF(H271,Wh_hp,'2019'!Maxi_hp)</f>
        <v>31.813436700328825</v>
      </c>
      <c r="J271" s="85">
        <f>IF(H271,An,'2019'!An_max)</f>
        <v>2020</v>
      </c>
      <c r="K271" s="197">
        <f t="shared" ref="K271:K334" si="100">t</f>
        <v>44087</v>
      </c>
      <c r="L271" s="147">
        <f>IF(t&lt;Tvie,1-EXP((T0-t)*PertePVj)+'2019'!Pspv,1-EXP((T0-t)*PertePVj)+Pspv)</f>
        <v>1.9046934343528776E-2</v>
      </c>
      <c r="M271" s="850"/>
      <c r="N271" s="850"/>
      <c r="O271" s="48">
        <f>IF(t&lt;Tnet,'2019'!Resal+('2019'!Salim-'2019'!Resal)*(1-EXP(('2019'!Tnet-t)/('2019'!Tau_j))),Resal+(Salim-Resal)*(1-EXP((Tnet-t)/(Tau_j))))*Salcycl</f>
        <v>0.1024782057840377</v>
      </c>
      <c r="P271" s="169">
        <f>(INDEX(Models!$BJ271:$BT271,,T271)*(1-R271)+INDEX(Models!$BJ271:$BT271,,T271+1)*R271-ERP_i)*Q271*Ramure*Pc/MaxiM</f>
        <v>1.5850719792694702E-5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0.19439553711695656</v>
      </c>
      <c r="S271" s="817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-0.80560446288304344</v>
      </c>
      <c r="V271" s="383">
        <f t="shared" ref="V271:V334" si="106">MaxiM*(1-Ppv)*(1-Pvg)*(1-Psa)</f>
        <v>30.051782683928568</v>
      </c>
      <c r="W271" s="402"/>
      <c r="X271" s="157">
        <f t="shared" ref="X271:X334" si="107">t</f>
        <v>44087</v>
      </c>
      <c r="Y271" s="385">
        <f t="shared" ref="Y271:Y334" si="108">Wh_pvt_s*(1-Ppv)</f>
        <v>28.009</v>
      </c>
      <c r="Z271" s="385">
        <f t="shared" ref="Z271:Z334" si="109">Wh_sa_s*(1-Psa_s)</f>
        <v>28.552844147804237</v>
      </c>
      <c r="AA271" s="386">
        <f t="shared" ref="AA271:AA334" si="110">Wh_hp*(1-Pvg_s*MEDIAN((-Sdif+Wh/Env_an)/Csdif,0,1))</f>
        <v>31.812981402581777</v>
      </c>
      <c r="AB271" s="197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0.1024782057840377</v>
      </c>
      <c r="AD271" s="231">
        <f>(INDEX(Models!$BJ271:$BT271,,AH271)*(1-AF271)+INDEX(Models!$BJ271:$BT271,,AH271+1)*AF271-ERP_i)*AE271*Ramure*Pc/MaxiM</f>
        <v>1.5850719792694702E-5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0.19439553711695656</v>
      </c>
      <c r="AG271" s="817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-0.80560446288304344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44088</v>
      </c>
      <c r="B272" s="617">
        <v>28.309000000000001</v>
      </c>
      <c r="C272" s="390"/>
      <c r="D272" s="393">
        <f t="shared" si="98"/>
        <v>28.859301269820278</v>
      </c>
      <c r="E272" s="385">
        <f t="shared" si="96"/>
        <v>32.155878893350952</v>
      </c>
      <c r="F272" s="385">
        <f t="shared" si="99"/>
        <v>32.156591580426863</v>
      </c>
      <c r="G272" s="110">
        <f t="shared" si="97"/>
        <v>0.94811058588370045</v>
      </c>
      <c r="H272" s="414" t="b">
        <f>Wh_hp&gt;='2019'!Maxi_hp</f>
        <v>1</v>
      </c>
      <c r="I272" s="380">
        <f>IF(H272,Wh_hp,'2019'!Maxi_hp)</f>
        <v>32.156591580426863</v>
      </c>
      <c r="J272" s="85">
        <f>IF(H272,An,'2019'!An_max)</f>
        <v>2020</v>
      </c>
      <c r="K272" s="197">
        <f t="shared" si="100"/>
        <v>44088</v>
      </c>
      <c r="L272" s="147">
        <f>IF(t&lt;Tvie,1-EXP((T0-t)*PertePVj)+'2019'!Pspv,1-EXP((T0-t)*PertePVj)+Pspv)</f>
        <v>1.906841973321638E-2</v>
      </c>
      <c r="M272" s="850"/>
      <c r="N272" s="850"/>
      <c r="O272" s="48">
        <f>IF(t&lt;Tnet,'2019'!Resal+('2019'!Salim-'2019'!Resal)*(1-EXP(('2019'!Tnet-t)/('2019'!Tau_j))),Resal+(Salim-Resal)*(1-EXP((Tnet-t)/(Tau_j))))*Salcycl</f>
        <v>0.10251866025693741</v>
      </c>
      <c r="P272" s="169">
        <f>(INDEX(Models!$BJ272:$BT272,,T272)*(1-R272)+INDEX(Models!$BJ272:$BT272,,T272+1)*R272-ERP_i)*Q272*Ramure*Pc/MaxiM</f>
        <v>2.393738314215848E-5</v>
      </c>
      <c r="Q272" s="305">
        <f t="shared" si="101"/>
        <v>0.7</v>
      </c>
      <c r="R272" s="177">
        <f t="shared" si="102"/>
        <v>0.19462100312938335</v>
      </c>
      <c r="S272" s="817">
        <f t="shared" si="103"/>
        <v>-1</v>
      </c>
      <c r="T272" s="176">
        <f t="shared" si="104"/>
        <v>5</v>
      </c>
      <c r="U272" s="251">
        <f t="shared" si="105"/>
        <v>-0.80537899687061665</v>
      </c>
      <c r="V272" s="383">
        <f t="shared" si="106"/>
        <v>29.858278337817598</v>
      </c>
      <c r="W272" s="402"/>
      <c r="X272" s="157">
        <f t="shared" si="107"/>
        <v>44088</v>
      </c>
      <c r="Y272" s="385">
        <f t="shared" si="108"/>
        <v>28.309000000000001</v>
      </c>
      <c r="Z272" s="385">
        <f t="shared" si="109"/>
        <v>28.859301269820278</v>
      </c>
      <c r="AA272" s="386">
        <f t="shared" si="110"/>
        <v>32.155878893350952</v>
      </c>
      <c r="AB272" s="197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0.10251866025693741</v>
      </c>
      <c r="AD272" s="231">
        <f>(INDEX(Models!$BJ272:$BT272,,AH272)*(1-AF272)+INDEX(Models!$BJ272:$BT272,,AH272+1)*AF272-ERP_i)*AE272*Ramure*Pc/MaxiM</f>
        <v>2.393738314215848E-5</v>
      </c>
      <c r="AE272" s="305">
        <f t="shared" si="112"/>
        <v>0.7</v>
      </c>
      <c r="AF272" s="177">
        <f t="shared" si="113"/>
        <v>0.19462100312938335</v>
      </c>
      <c r="AG272" s="817">
        <f t="shared" ref="AG272:AG335" si="119">INDEX(Echel_vg,AH272)</f>
        <v>-1</v>
      </c>
      <c r="AH272" s="176">
        <f t="shared" si="114"/>
        <v>5</v>
      </c>
      <c r="AI272" s="225">
        <f t="shared" si="115"/>
        <v>-0.80537899687061665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44089</v>
      </c>
      <c r="B273" s="617">
        <v>26.036000000000001</v>
      </c>
      <c r="C273" s="390"/>
      <c r="D273" s="393">
        <f t="shared" si="98"/>
        <v>26.542697565745414</v>
      </c>
      <c r="E273" s="385">
        <f t="shared" si="96"/>
        <v>29.575952812174325</v>
      </c>
      <c r="F273" s="385">
        <f t="shared" si="99"/>
        <v>29.576776391921278</v>
      </c>
      <c r="G273" s="110">
        <f t="shared" si="97"/>
        <v>0.87767594944321659</v>
      </c>
      <c r="H273" s="414" t="b">
        <f>Wh_hp&gt;='2019'!Maxi_hp</f>
        <v>0</v>
      </c>
      <c r="I273" s="380">
        <f>IF(H273,Wh_hp,'2019'!Maxi_hp)</f>
        <v>31.548663581663206</v>
      </c>
      <c r="J273" s="85">
        <f>IF(H273,An,'2019'!An_max)</f>
        <v>2018</v>
      </c>
      <c r="K273" s="197">
        <f t="shared" si="100"/>
        <v>44089</v>
      </c>
      <c r="L273" s="147">
        <f>IF(t&lt;Tvie,1-EXP((T0-t)*PertePVj)+'2019'!Pspv,1-EXP((T0-t)*PertePVj)+Pspv)</f>
        <v>1.9089904652318745E-2</v>
      </c>
      <c r="M273" s="850"/>
      <c r="N273" s="850"/>
      <c r="O273" s="48">
        <f>IF(t&lt;Tnet,'2019'!Resal+('2019'!Salim-'2019'!Resal)*(1-EXP(('2019'!Tnet-t)/('2019'!Tau_j))),Resal+(Salim-Resal)*(1-EXP((Tnet-t)/(Tau_j))))*Salcycl</f>
        <v>0.10255815816626321</v>
      </c>
      <c r="P273" s="169">
        <f>(INDEX(Models!$BJ273:$BT273,,T273)*(1-R273)+INDEX(Models!$BJ273:$BT273,,T273+1)*R273-ERP_i)*Q273*Ramure*Pc/MaxiM</f>
        <v>3.3741523100878268E-5</v>
      </c>
      <c r="Q273" s="305">
        <f t="shared" si="101"/>
        <v>0.7</v>
      </c>
      <c r="R273" s="177">
        <f t="shared" si="102"/>
        <v>0.1948377157772041</v>
      </c>
      <c r="S273" s="817">
        <f t="shared" si="103"/>
        <v>-1</v>
      </c>
      <c r="T273" s="176">
        <f t="shared" si="104"/>
        <v>5</v>
      </c>
      <c r="U273" s="251">
        <f t="shared" si="105"/>
        <v>-0.8051622842227959</v>
      </c>
      <c r="V273" s="383">
        <f t="shared" si="106"/>
        <v>29.66453222633028</v>
      </c>
      <c r="W273" s="402"/>
      <c r="X273" s="157">
        <f t="shared" si="107"/>
        <v>44089</v>
      </c>
      <c r="Y273" s="385">
        <f t="shared" si="108"/>
        <v>26.036000000000001</v>
      </c>
      <c r="Z273" s="385">
        <f t="shared" si="109"/>
        <v>26.542697565745414</v>
      </c>
      <c r="AA273" s="386">
        <f t="shared" si="110"/>
        <v>29.575952812174325</v>
      </c>
      <c r="AB273" s="197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0.10255815816626321</v>
      </c>
      <c r="AD273" s="231">
        <f>(INDEX(Models!$BJ273:$BT273,,AH273)*(1-AF273)+INDEX(Models!$BJ273:$BT273,,AH273+1)*AF273-ERP_i)*AE273*Ramure*Pc/MaxiM</f>
        <v>3.3741523100878268E-5</v>
      </c>
      <c r="AE273" s="305">
        <f t="shared" si="112"/>
        <v>0.7</v>
      </c>
      <c r="AF273" s="177">
        <f t="shared" si="113"/>
        <v>0.1948377157772041</v>
      </c>
      <c r="AG273" s="817">
        <f t="shared" si="119"/>
        <v>-1</v>
      </c>
      <c r="AH273" s="176">
        <f t="shared" si="114"/>
        <v>5</v>
      </c>
      <c r="AI273" s="225">
        <f t="shared" si="115"/>
        <v>-0.8051622842227959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8"/>
        <v>44090</v>
      </c>
      <c r="B274" s="617">
        <v>24.969000000000001</v>
      </c>
      <c r="C274" s="390"/>
      <c r="D274" s="393">
        <f t="shared" si="98"/>
        <v>25.455489769742154</v>
      </c>
      <c r="E274" s="385">
        <f t="shared" si="96"/>
        <v>28.365717850171215</v>
      </c>
      <c r="F274" s="385">
        <f t="shared" si="99"/>
        <v>28.366722349973955</v>
      </c>
      <c r="G274" s="110">
        <f t="shared" si="97"/>
        <v>0.84722811646854346</v>
      </c>
      <c r="H274" s="414" t="b">
        <f>Wh_hp&gt;='2019'!Maxi_hp</f>
        <v>0</v>
      </c>
      <c r="I274" s="380">
        <f>IF(H274,Wh_hp,'2019'!Maxi_hp)</f>
        <v>28.727042109266584</v>
      </c>
      <c r="J274" s="85">
        <f>IF(H274,An,'2019'!An_max)</f>
        <v>2018</v>
      </c>
      <c r="K274" s="197">
        <f t="shared" si="100"/>
        <v>44090</v>
      </c>
      <c r="L274" s="147">
        <f>IF(t&lt;Tvie,1-EXP((T0-t)*PertePVj)+'2019'!Pspv,1-EXP((T0-t)*PertePVj)+Pspv)</f>
        <v>1.9111389100846199E-2</v>
      </c>
      <c r="M274" s="850"/>
      <c r="N274" s="850"/>
      <c r="O274" s="48">
        <f>IF(t&lt;Tnet,'2019'!Resal+('2019'!Salim-'2019'!Resal)*(1-EXP(('2019'!Tnet-t)/('2019'!Tau_j))),Resal+(Salim-Resal)*(1-EXP((Tnet-t)/(Tau_j))))*Salcycl</f>
        <v>0.10259666601074556</v>
      </c>
      <c r="P274" s="169">
        <f>(INDEX(Models!$BJ274:$BT274,,T274)*(1-R274)+INDEX(Models!$BJ274:$BT274,,T274+1)*R274-ERP_i)*Q274*Ramure*Pc/MaxiM</f>
        <v>4.5296400066223295E-5</v>
      </c>
      <c r="Q274" s="305">
        <f t="shared" si="101"/>
        <v>0.7</v>
      </c>
      <c r="R274" s="177">
        <f t="shared" si="102"/>
        <v>0.19504600254720894</v>
      </c>
      <c r="S274" s="817">
        <f t="shared" si="103"/>
        <v>-1</v>
      </c>
      <c r="T274" s="176">
        <f t="shared" si="104"/>
        <v>5</v>
      </c>
      <c r="U274" s="251">
        <f t="shared" si="105"/>
        <v>-0.80495399745279106</v>
      </c>
      <c r="V274" s="383">
        <f t="shared" si="106"/>
        <v>29.471110179728509</v>
      </c>
      <c r="W274" s="402"/>
      <c r="X274" s="157">
        <f t="shared" si="107"/>
        <v>44090</v>
      </c>
      <c r="Y274" s="385">
        <f t="shared" si="108"/>
        <v>24.969000000000001</v>
      </c>
      <c r="Z274" s="385">
        <f t="shared" si="109"/>
        <v>25.455489769742154</v>
      </c>
      <c r="AA274" s="386">
        <f t="shared" si="110"/>
        <v>28.365717850171215</v>
      </c>
      <c r="AB274" s="197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0.10259666601074556</v>
      </c>
      <c r="AD274" s="231">
        <f>(INDEX(Models!$BJ274:$BT274,,AH274)*(1-AF274)+INDEX(Models!$BJ274:$BT274,,AH274+1)*AF274-ERP_i)*AE274*Ramure*Pc/MaxiM</f>
        <v>4.5296400066223295E-5</v>
      </c>
      <c r="AE274" s="305">
        <f t="shared" si="112"/>
        <v>0.7</v>
      </c>
      <c r="AF274" s="177">
        <f t="shared" si="113"/>
        <v>0.19504600254720894</v>
      </c>
      <c r="AG274" s="817">
        <f t="shared" si="119"/>
        <v>-1</v>
      </c>
      <c r="AH274" s="176">
        <f t="shared" si="114"/>
        <v>5</v>
      </c>
      <c r="AI274" s="225">
        <f t="shared" si="115"/>
        <v>-0.80495399745279106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44091</v>
      </c>
      <c r="B275" s="617">
        <v>25.2</v>
      </c>
      <c r="C275" s="390"/>
      <c r="D275" s="393">
        <f t="shared" si="98"/>
        <v>25.691553227091408</v>
      </c>
      <c r="E275" s="385">
        <f t="shared" si="96"/>
        <v>28.629965373698784</v>
      </c>
      <c r="F275" s="385">
        <f t="shared" si="99"/>
        <v>28.631310190231179</v>
      </c>
      <c r="G275" s="110">
        <f t="shared" si="97"/>
        <v>0.86071704115854542</v>
      </c>
      <c r="H275" s="414" t="b">
        <f>Wh_hp&gt;='2019'!Maxi_hp</f>
        <v>1</v>
      </c>
      <c r="I275" s="380">
        <f>IF(H275,Wh_hp,'2019'!Maxi_hp)</f>
        <v>28.631310190231179</v>
      </c>
      <c r="J275" s="85">
        <f>IF(H275,An,'2019'!An_max)</f>
        <v>2020</v>
      </c>
      <c r="K275" s="197">
        <f t="shared" si="100"/>
        <v>44091</v>
      </c>
      <c r="L275" s="147">
        <f>IF(t&lt;Tvie,1-EXP((T0-t)*PertePVj)+'2019'!Pspv,1-EXP((T0-t)*PertePVj)+Pspv)</f>
        <v>1.9132873078809176E-2</v>
      </c>
      <c r="M275" s="850"/>
      <c r="N275" s="850"/>
      <c r="O275" s="48">
        <f>IF(t&lt;Tnet,'2019'!Resal+('2019'!Salim-'2019'!Resal)*(1-EXP(('2019'!Tnet-t)/('2019'!Tau_j))),Resal+(Salim-Resal)*(1-EXP((Tnet-t)/(Tau_j))))*Salcycl</f>
        <v>0.10263414950919848</v>
      </c>
      <c r="P275" s="169">
        <f>(INDEX(Models!$BJ275:$BT275,,T275)*(1-R275)+INDEX(Models!$BJ275:$BT275,,T275+1)*R275-ERP_i)*Q275*Ramure*Pc/MaxiM</f>
        <v>5.8636538446494062E-5</v>
      </c>
      <c r="Q275" s="305">
        <f t="shared" si="101"/>
        <v>0.7</v>
      </c>
      <c r="R275" s="177">
        <f t="shared" si="102"/>
        <v>0.19524617963439739</v>
      </c>
      <c r="S275" s="817">
        <f t="shared" si="103"/>
        <v>-1</v>
      </c>
      <c r="T275" s="176">
        <f t="shared" si="104"/>
        <v>5</v>
      </c>
      <c r="U275" s="251">
        <f t="shared" si="105"/>
        <v>-0.80475382036560261</v>
      </c>
      <c r="V275" s="383">
        <f t="shared" si="106"/>
        <v>29.277572986040131</v>
      </c>
      <c r="W275" s="402"/>
      <c r="X275" s="157">
        <f t="shared" si="107"/>
        <v>44091</v>
      </c>
      <c r="Y275" s="385">
        <f t="shared" si="108"/>
        <v>25.2</v>
      </c>
      <c r="Z275" s="385">
        <f t="shared" si="109"/>
        <v>25.691553227091408</v>
      </c>
      <c r="AA275" s="386">
        <f t="shared" si="110"/>
        <v>28.629965373698784</v>
      </c>
      <c r="AB275" s="197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0.10263414950919848</v>
      </c>
      <c r="AD275" s="231">
        <f>(INDEX(Models!$BJ275:$BT275,,AH275)*(1-AF275)+INDEX(Models!$BJ275:$BT275,,AH275+1)*AF275-ERP_i)*AE275*Ramure*Pc/MaxiM</f>
        <v>5.8636538446494062E-5</v>
      </c>
      <c r="AE275" s="305">
        <f t="shared" si="112"/>
        <v>0.7</v>
      </c>
      <c r="AF275" s="177">
        <f t="shared" si="113"/>
        <v>0.19524617963439739</v>
      </c>
      <c r="AG275" s="817">
        <f t="shared" si="119"/>
        <v>-1</v>
      </c>
      <c r="AH275" s="176">
        <f t="shared" si="114"/>
        <v>5</v>
      </c>
      <c r="AI275" s="225">
        <f t="shared" si="115"/>
        <v>-0.80475382036560261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44092</v>
      </c>
      <c r="B276" s="617">
        <v>11.571</v>
      </c>
      <c r="C276" s="390"/>
      <c r="D276" s="393">
        <f t="shared" si="98"/>
        <v>11.796963240543882</v>
      </c>
      <c r="E276" s="385">
        <f t="shared" si="96"/>
        <v>13.146747331460254</v>
      </c>
      <c r="F276" s="385">
        <f t="shared" si="99"/>
        <v>13.1469027777198</v>
      </c>
      <c r="G276" s="110">
        <f t="shared" si="97"/>
        <v>0.3978369212625042</v>
      </c>
      <c r="H276" s="414" t="b">
        <f>Wh_hp&gt;='2019'!Maxi_hp</f>
        <v>0</v>
      </c>
      <c r="I276" s="380">
        <f>IF(H276,Wh_hp,'2019'!Maxi_hp)</f>
        <v>28.687751308125605</v>
      </c>
      <c r="J276" s="85">
        <f>IF(H276,An,'2019'!An_max)</f>
        <v>2019</v>
      </c>
      <c r="K276" s="197">
        <f t="shared" si="100"/>
        <v>44092</v>
      </c>
      <c r="L276" s="147">
        <f>IF(t&lt;Tvie,1-EXP((T0-t)*PertePVj)+'2019'!Pspv,1-EXP((T0-t)*PertePVj)+Pspv)</f>
        <v>1.9154356586217891E-2</v>
      </c>
      <c r="M276" s="850"/>
      <c r="N276" s="850"/>
      <c r="O276" s="48">
        <f>IF(t&lt;Tnet,'2019'!Resal+('2019'!Salim-'2019'!Resal)*(1-EXP(('2019'!Tnet-t)/('2019'!Tau_j))),Resal+(Salim-Resal)*(1-EXP((Tnet-t)/(Tau_j))))*Salcycl</f>
        <v>0.10267057370809358</v>
      </c>
      <c r="P276" s="169">
        <f>(INDEX(Models!$BJ276:$BT276,,T276)*(1-R276)+INDEX(Models!$BJ276:$BT276,,T276+1)*R276-ERP_i)*Q276*Ramure*Pc/MaxiM</f>
        <v>8.4571420276706381E-5</v>
      </c>
      <c r="Q276" s="305">
        <f t="shared" si="101"/>
        <v>0.7</v>
      </c>
      <c r="R276" s="177">
        <f t="shared" si="102"/>
        <v>0.19543855225561901</v>
      </c>
      <c r="S276" s="817">
        <f t="shared" si="103"/>
        <v>-1</v>
      </c>
      <c r="T276" s="176">
        <f t="shared" si="104"/>
        <v>5</v>
      </c>
      <c r="U276" s="251">
        <f t="shared" si="105"/>
        <v>-0.80456144774438099</v>
      </c>
      <c r="V276" s="383">
        <f t="shared" si="106"/>
        <v>29.082665808233827</v>
      </c>
      <c r="W276" s="402"/>
      <c r="X276" s="157">
        <f t="shared" si="107"/>
        <v>44092</v>
      </c>
      <c r="Y276" s="385">
        <f t="shared" si="108"/>
        <v>11.571</v>
      </c>
      <c r="Z276" s="385">
        <f t="shared" si="109"/>
        <v>11.796963240543882</v>
      </c>
      <c r="AA276" s="386">
        <f t="shared" si="110"/>
        <v>13.146747331460254</v>
      </c>
      <c r="AB276" s="197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0.10267057370809358</v>
      </c>
      <c r="AD276" s="231">
        <f>(INDEX(Models!$BJ276:$BT276,,AH276)*(1-AF276)+INDEX(Models!$BJ276:$BT276,,AH276+1)*AF276-ERP_i)*AE276*Ramure*Pc/MaxiM</f>
        <v>8.4571420276706381E-5</v>
      </c>
      <c r="AE276" s="305">
        <f t="shared" si="112"/>
        <v>0.7</v>
      </c>
      <c r="AF276" s="177">
        <f t="shared" si="113"/>
        <v>0.19543855225561901</v>
      </c>
      <c r="AG276" s="817">
        <f t="shared" si="119"/>
        <v>-1</v>
      </c>
      <c r="AH276" s="176">
        <f t="shared" si="114"/>
        <v>5</v>
      </c>
      <c r="AI276" s="225">
        <f t="shared" si="115"/>
        <v>-0.80456144774438099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8"/>
        <v>44093</v>
      </c>
      <c r="B277" s="617">
        <v>18.931999999999999</v>
      </c>
      <c r="C277" s="390"/>
      <c r="D277" s="393">
        <f t="shared" si="98"/>
        <v>19.302134638205374</v>
      </c>
      <c r="E277" s="385">
        <f t="shared" si="96"/>
        <v>21.511491834228579</v>
      </c>
      <c r="F277" s="385">
        <f t="shared" si="99"/>
        <v>21.512839011505537</v>
      </c>
      <c r="G277" s="110">
        <f t="shared" si="97"/>
        <v>0.65535963435637279</v>
      </c>
      <c r="H277" s="414" t="b">
        <f>Wh_hp&gt;='2019'!Maxi_hp</f>
        <v>0</v>
      </c>
      <c r="I277" s="380">
        <f>IF(H277,Wh_hp,'2019'!Maxi_hp)</f>
        <v>30.97190061425955</v>
      </c>
      <c r="J277" s="85">
        <f>IF(H277,An,'2019'!An_max)</f>
        <v>2019</v>
      </c>
      <c r="K277" s="197">
        <f t="shared" si="100"/>
        <v>44093</v>
      </c>
      <c r="L277" s="147">
        <f>IF(t&lt;Tvie,1-EXP((T0-t)*PertePVj)+'2019'!Pspv,1-EXP((T0-t)*PertePVj)+Pspv)</f>
        <v>1.9175839623082669E-2</v>
      </c>
      <c r="M277" s="850"/>
      <c r="N277" s="850"/>
      <c r="O277" s="48">
        <f>IF(t&lt;Tnet,'2019'!Resal+('2019'!Salim-'2019'!Resal)*(1-EXP(('2019'!Tnet-t)/('2019'!Tau_j))),Resal+(Salim-Resal)*(1-EXP((Tnet-t)/(Tau_j))))*Salcycl</f>
        <v>0.10270590310746026</v>
      </c>
      <c r="P277" s="169">
        <f>(INDEX(Models!$BJ277:$BT277,,T277)*(1-R277)+INDEX(Models!$BJ277:$BT277,,T277+1)*R277-ERP_i)*Q277*Ramure*Pc/MaxiM</f>
        <v>1.2334124619050105E-4</v>
      </c>
      <c r="Q277" s="305">
        <f t="shared" si="101"/>
        <v>0.7</v>
      </c>
      <c r="R277" s="177">
        <f t="shared" si="102"/>
        <v>0.19562341496077051</v>
      </c>
      <c r="S277" s="817">
        <f t="shared" si="103"/>
        <v>-1</v>
      </c>
      <c r="T277" s="176">
        <f t="shared" si="104"/>
        <v>5</v>
      </c>
      <c r="U277" s="251">
        <f t="shared" si="105"/>
        <v>-0.80437658503922949</v>
      </c>
      <c r="V277" s="383">
        <f t="shared" si="106"/>
        <v>28.886201406151553</v>
      </c>
      <c r="W277" s="402"/>
      <c r="X277" s="157">
        <f t="shared" si="107"/>
        <v>44093</v>
      </c>
      <c r="Y277" s="385">
        <f t="shared" si="108"/>
        <v>18.931999999999999</v>
      </c>
      <c r="Z277" s="385">
        <f t="shared" si="109"/>
        <v>19.302134638205374</v>
      </c>
      <c r="AA277" s="386">
        <f t="shared" si="110"/>
        <v>21.511491834228579</v>
      </c>
      <c r="AB277" s="197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0.10270590310746026</v>
      </c>
      <c r="AD277" s="231">
        <f>(INDEX(Models!$BJ277:$BT277,,AH277)*(1-AF277)+INDEX(Models!$BJ277:$BT277,,AH277+1)*AF277-ERP_i)*AE277*Ramure*Pc/MaxiM</f>
        <v>1.2334124619050105E-4</v>
      </c>
      <c r="AE277" s="305">
        <f t="shared" si="112"/>
        <v>0.7</v>
      </c>
      <c r="AF277" s="177">
        <f t="shared" si="113"/>
        <v>0.19562341496077051</v>
      </c>
      <c r="AG277" s="817">
        <f t="shared" si="119"/>
        <v>-1</v>
      </c>
      <c r="AH277" s="176">
        <f t="shared" si="114"/>
        <v>5</v>
      </c>
      <c r="AI277" s="225">
        <f t="shared" si="115"/>
        <v>-0.80437658503922949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44094</v>
      </c>
      <c r="B278" s="617">
        <v>20.047000000000001</v>
      </c>
      <c r="C278" s="390"/>
      <c r="D278" s="393">
        <f t="shared" si="98"/>
        <v>20.439381389894105</v>
      </c>
      <c r="E278" s="385">
        <f t="shared" si="96"/>
        <v>22.779778112244781</v>
      </c>
      <c r="F278" s="385">
        <f t="shared" si="99"/>
        <v>22.7820519618408</v>
      </c>
      <c r="G278" s="110">
        <f t="shared" si="97"/>
        <v>0.69874141612484686</v>
      </c>
      <c r="H278" s="414" t="b">
        <f>Wh_hp&gt;='2019'!Maxi_hp</f>
        <v>0</v>
      </c>
      <c r="I278" s="380">
        <f>IF(H278,Wh_hp,'2019'!Maxi_hp)</f>
        <v>23.739692830331293</v>
      </c>
      <c r="J278" s="85">
        <f>IF(H278,An,'2019'!An_max)</f>
        <v>2018</v>
      </c>
      <c r="K278" s="197">
        <f t="shared" si="100"/>
        <v>44094</v>
      </c>
      <c r="L278" s="147">
        <f>IF(t&lt;Tvie,1-EXP((T0-t)*PertePVj)+'2019'!Pspv,1-EXP((T0-t)*PertePVj)+Pspv)</f>
        <v>1.9197322189413724E-2</v>
      </c>
      <c r="M278" s="850"/>
      <c r="N278" s="850"/>
      <c r="O278" s="48">
        <f>IF(t&lt;Tnet,'2019'!Resal+('2019'!Salim-'2019'!Resal)*(1-EXP(('2019'!Tnet-t)/('2019'!Tau_j))),Resal+(Salim-Resal)*(1-EXP((Tnet-t)/(Tau_j))))*Salcycl</f>
        <v>0.10274010180514651</v>
      </c>
      <c r="P278" s="169">
        <f>(INDEX(Models!$BJ278:$BT278,,T278)*(1-R278)+INDEX(Models!$BJ278:$BT278,,T278+1)*R278-ERP_i)*Q278*Ramure*Pc/MaxiM</f>
        <v>1.7519359016324006E-4</v>
      </c>
      <c r="Q278" s="305">
        <f t="shared" si="101"/>
        <v>0.7</v>
      </c>
      <c r="R278" s="177">
        <f t="shared" si="102"/>
        <v>0.19580105194094943</v>
      </c>
      <c r="S278" s="817">
        <f t="shared" si="103"/>
        <v>-1</v>
      </c>
      <c r="T278" s="176">
        <f t="shared" si="104"/>
        <v>5</v>
      </c>
      <c r="U278" s="251">
        <f t="shared" si="105"/>
        <v>-0.80419894805905057</v>
      </c>
      <c r="V278" s="383">
        <f t="shared" si="106"/>
        <v>28.687992650730145</v>
      </c>
      <c r="W278" s="402"/>
      <c r="X278" s="157">
        <f t="shared" si="107"/>
        <v>44094</v>
      </c>
      <c r="Y278" s="385">
        <f t="shared" si="108"/>
        <v>20.047000000000001</v>
      </c>
      <c r="Z278" s="385">
        <f t="shared" si="109"/>
        <v>20.439381389894105</v>
      </c>
      <c r="AA278" s="386">
        <f t="shared" si="110"/>
        <v>22.779778112244781</v>
      </c>
      <c r="AB278" s="197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0.10274010180514651</v>
      </c>
      <c r="AD278" s="231">
        <f>(INDEX(Models!$BJ278:$BT278,,AH278)*(1-AF278)+INDEX(Models!$BJ278:$BT278,,AH278+1)*AF278-ERP_i)*AE278*Ramure*Pc/MaxiM</f>
        <v>1.7519359016324006E-4</v>
      </c>
      <c r="AE278" s="305">
        <f t="shared" si="112"/>
        <v>0.7</v>
      </c>
      <c r="AF278" s="177">
        <f t="shared" si="113"/>
        <v>0.19580105194094943</v>
      </c>
      <c r="AG278" s="817">
        <f t="shared" si="119"/>
        <v>-1</v>
      </c>
      <c r="AH278" s="176">
        <f t="shared" si="114"/>
        <v>5</v>
      </c>
      <c r="AI278" s="225">
        <f t="shared" si="115"/>
        <v>-0.80419894805905057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44095</v>
      </c>
      <c r="B279" s="617">
        <v>19.3</v>
      </c>
      <c r="C279" s="390"/>
      <c r="D279" s="393">
        <f t="shared" si="98"/>
        <v>19.678191307424541</v>
      </c>
      <c r="E279" s="385">
        <f t="shared" si="96"/>
        <v>21.932235921200476</v>
      </c>
      <c r="F279" s="385">
        <f t="shared" si="99"/>
        <v>21.935079354886209</v>
      </c>
      <c r="G279" s="110">
        <f t="shared" si="97"/>
        <v>0.67740669953156818</v>
      </c>
      <c r="H279" s="414" t="b">
        <f>Wh_hp&gt;='2019'!Maxi_hp</f>
        <v>0</v>
      </c>
      <c r="I279" s="380">
        <f>IF(H279,Wh_hp,'2019'!Maxi_hp)</f>
        <v>30.132537637462182</v>
      </c>
      <c r="J279" s="85">
        <f>IF(H279,An,'2019'!An_max)</f>
        <v>2018</v>
      </c>
      <c r="K279" s="197">
        <f t="shared" si="100"/>
        <v>44095</v>
      </c>
      <c r="L279" s="147">
        <f>IF(t&lt;Tvie,1-EXP((T0-t)*PertePVj)+'2019'!Pspv,1-EXP((T0-t)*PertePVj)+Pspv)</f>
        <v>1.9218804285221491E-2</v>
      </c>
      <c r="M279" s="850"/>
      <c r="N279" s="850"/>
      <c r="O279" s="48">
        <f>IF(t&lt;Tnet,'2019'!Resal+('2019'!Salim-'2019'!Resal)*(1-EXP(('2019'!Tnet-t)/('2019'!Tau_j))),Resal+(Salim-Resal)*(1-EXP((Tnet-t)/(Tau_j))))*Salcycl</f>
        <v>0.10277313365925891</v>
      </c>
      <c r="P279" s="169">
        <f>(INDEX(Models!$BJ279:$BT279,,T279)*(1-R279)+INDEX(Models!$BJ279:$BT279,,T279+1)*R279-ERP_i)*Q279*Ramure*Pc/MaxiM</f>
        <v>2.4038423486229802E-4</v>
      </c>
      <c r="Q279" s="305">
        <f t="shared" si="101"/>
        <v>0.7</v>
      </c>
      <c r="R279" s="177">
        <f t="shared" si="102"/>
        <v>0.19597173733302853</v>
      </c>
      <c r="S279" s="817">
        <f t="shared" si="103"/>
        <v>-1</v>
      </c>
      <c r="T279" s="176">
        <f t="shared" si="104"/>
        <v>5</v>
      </c>
      <c r="U279" s="251">
        <f t="shared" si="105"/>
        <v>-0.80402826266697147</v>
      </c>
      <c r="V279" s="383">
        <f t="shared" si="106"/>
        <v>28.487852526573288</v>
      </c>
      <c r="W279" s="402"/>
      <c r="X279" s="157">
        <f t="shared" si="107"/>
        <v>44095</v>
      </c>
      <c r="Y279" s="385">
        <f t="shared" si="108"/>
        <v>19.3</v>
      </c>
      <c r="Z279" s="385">
        <f t="shared" si="109"/>
        <v>19.678191307424541</v>
      </c>
      <c r="AA279" s="386">
        <f t="shared" si="110"/>
        <v>21.932235921200476</v>
      </c>
      <c r="AB279" s="197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0.10277313365925891</v>
      </c>
      <c r="AD279" s="231">
        <f>(INDEX(Models!$BJ279:$BT279,,AH279)*(1-AF279)+INDEX(Models!$BJ279:$BT279,,AH279+1)*AF279-ERP_i)*AE279*Ramure*Pc/MaxiM</f>
        <v>2.4038423486229802E-4</v>
      </c>
      <c r="AE279" s="305">
        <f t="shared" si="112"/>
        <v>0.7</v>
      </c>
      <c r="AF279" s="177">
        <f t="shared" si="113"/>
        <v>0.19597173733302853</v>
      </c>
      <c r="AG279" s="817">
        <f t="shared" si="119"/>
        <v>-1</v>
      </c>
      <c r="AH279" s="176">
        <f t="shared" si="114"/>
        <v>5</v>
      </c>
      <c r="AI279" s="225">
        <f t="shared" si="115"/>
        <v>-0.80402826266697147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44096</v>
      </c>
      <c r="B280" s="617">
        <v>14.04</v>
      </c>
      <c r="C280" s="390"/>
      <c r="D280" s="393">
        <f t="shared" si="98"/>
        <v>14.315433024320777</v>
      </c>
      <c r="E280" s="385">
        <f t="shared" si="96"/>
        <v>15.955764828688373</v>
      </c>
      <c r="F280" s="385">
        <f t="shared" si="99"/>
        <v>15.95719359101278</v>
      </c>
      <c r="G280" s="110">
        <f t="shared" si="97"/>
        <v>0.49625174870952254</v>
      </c>
      <c r="H280" s="414" t="b">
        <f>Wh_hp&gt;='2019'!Maxi_hp</f>
        <v>0</v>
      </c>
      <c r="I280" s="380">
        <f>IF(H280,Wh_hp,'2019'!Maxi_hp)</f>
        <v>30.447289439965701</v>
      </c>
      <c r="J280" s="85">
        <f>IF(H280,An,'2019'!An_max)</f>
        <v>2018</v>
      </c>
      <c r="K280" s="197">
        <f t="shared" si="100"/>
        <v>44096</v>
      </c>
      <c r="L280" s="147">
        <f>IF(t&lt;Tvie,1-EXP((T0-t)*PertePVj)+'2019'!Pspv,1-EXP((T0-t)*PertePVj)+Pspv)</f>
        <v>1.9240285910516186E-2</v>
      </c>
      <c r="M280" s="850"/>
      <c r="N280" s="850"/>
      <c r="O280" s="48">
        <f>IF(t&lt;Tnet,'2019'!Resal+('2019'!Salim-'2019'!Resal)*(1-EXP(('2019'!Tnet-t)/('2019'!Tau_j))),Resal+(Salim-Resal)*(1-EXP((Tnet-t)/(Tau_j))))*Salcycl</f>
        <v>0.10280496246837949</v>
      </c>
      <c r="P280" s="169">
        <f>(INDEX(Models!$BJ280:$BT280,,T280)*(1-R280)+INDEX(Models!$BJ280:$BT280,,T280+1)*R280-ERP_i)*Q280*Ramure*Pc/MaxiM</f>
        <v>3.1918008379307086E-4</v>
      </c>
      <c r="Q280" s="305">
        <f t="shared" si="101"/>
        <v>0.7</v>
      </c>
      <c r="R280" s="177">
        <f t="shared" si="102"/>
        <v>0.19613573552018182</v>
      </c>
      <c r="S280" s="817">
        <f t="shared" si="103"/>
        <v>-1</v>
      </c>
      <c r="T280" s="176">
        <f t="shared" si="104"/>
        <v>5</v>
      </c>
      <c r="U280" s="251">
        <f t="shared" si="105"/>
        <v>-0.80386426447981818</v>
      </c>
      <c r="V280" s="383">
        <f t="shared" si="106"/>
        <v>28.285594079228158</v>
      </c>
      <c r="W280" s="402"/>
      <c r="X280" s="157">
        <f t="shared" si="107"/>
        <v>44096</v>
      </c>
      <c r="Y280" s="385">
        <f t="shared" si="108"/>
        <v>14.04</v>
      </c>
      <c r="Z280" s="385">
        <f t="shared" si="109"/>
        <v>14.315433024320777</v>
      </c>
      <c r="AA280" s="386">
        <f t="shared" si="110"/>
        <v>15.955764828688373</v>
      </c>
      <c r="AB280" s="197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0.10280496246837949</v>
      </c>
      <c r="AD280" s="231">
        <f>(INDEX(Models!$BJ280:$BT280,,AH280)*(1-AF280)+INDEX(Models!$BJ280:$BT280,,AH280+1)*AF280-ERP_i)*AE280*Ramure*Pc/MaxiM</f>
        <v>3.1918008379307086E-4</v>
      </c>
      <c r="AE280" s="305">
        <f t="shared" si="112"/>
        <v>0.7</v>
      </c>
      <c r="AF280" s="177">
        <f t="shared" si="113"/>
        <v>0.19613573552018182</v>
      </c>
      <c r="AG280" s="817">
        <f t="shared" si="119"/>
        <v>-1</v>
      </c>
      <c r="AH280" s="176">
        <f t="shared" si="114"/>
        <v>5</v>
      </c>
      <c r="AI280" s="225">
        <f t="shared" si="115"/>
        <v>-0.80386426447981818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44097</v>
      </c>
      <c r="B281" s="617">
        <v>22.651</v>
      </c>
      <c r="C281" s="390"/>
      <c r="D281" s="393">
        <f t="shared" si="98"/>
        <v>23.095867214456142</v>
      </c>
      <c r="E281" s="385">
        <f t="shared" si="96"/>
        <v>25.743181498432573</v>
      </c>
      <c r="F281" s="385">
        <f t="shared" si="99"/>
        <v>25.750857477049546</v>
      </c>
      <c r="G281" s="110">
        <f t="shared" si="97"/>
        <v>0.80653814353770326</v>
      </c>
      <c r="H281" s="414" t="b">
        <f>Wh_hp&gt;='2019'!Maxi_hp</f>
        <v>1</v>
      </c>
      <c r="I281" s="380">
        <f>IF(H281,Wh_hp,'2019'!Maxi_hp)</f>
        <v>25.750857477049546</v>
      </c>
      <c r="J281" s="85">
        <f>IF(H281,An,'2019'!An_max)</f>
        <v>2020</v>
      </c>
      <c r="K281" s="197">
        <f t="shared" si="100"/>
        <v>44097</v>
      </c>
      <c r="L281" s="147">
        <f>IF(t&lt;Tvie,1-EXP((T0-t)*PertePVj)+'2019'!Pspv,1-EXP((T0-t)*PertePVj)+Pspv)</f>
        <v>1.9261767065308244E-2</v>
      </c>
      <c r="M281" s="850"/>
      <c r="N281" s="850"/>
      <c r="O281" s="48">
        <f>IF(t&lt;Tnet,'2019'!Resal+('2019'!Salim-'2019'!Resal)*(1-EXP(('2019'!Tnet-t)/('2019'!Tau_j))),Resal+(Salim-Resal)*(1-EXP((Tnet-t)/(Tau_j))))*Salcycl</f>
        <v>0.10283555216893531</v>
      </c>
      <c r="P281" s="169">
        <f>(INDEX(Models!$BJ281:$BT281,,T281)*(1-R281)+INDEX(Models!$BJ281:$BT281,,T281+1)*R281-ERP_i)*Q281*Ramure*Pc/MaxiM</f>
        <v>4.1185965021463706E-4</v>
      </c>
      <c r="Q281" s="305">
        <f t="shared" si="101"/>
        <v>0.7</v>
      </c>
      <c r="R281" s="177">
        <f t="shared" si="102"/>
        <v>0.19629330142795154</v>
      </c>
      <c r="S281" s="817">
        <f t="shared" si="103"/>
        <v>-1</v>
      </c>
      <c r="T281" s="176">
        <f t="shared" si="104"/>
        <v>5</v>
      </c>
      <c r="U281" s="251">
        <f t="shared" si="105"/>
        <v>-0.80370669857204846</v>
      </c>
      <c r="V281" s="383">
        <f t="shared" si="106"/>
        <v>28.081030430594954</v>
      </c>
      <c r="W281" s="402"/>
      <c r="X281" s="157">
        <f t="shared" si="107"/>
        <v>44097</v>
      </c>
      <c r="Y281" s="385">
        <f t="shared" si="108"/>
        <v>22.651</v>
      </c>
      <c r="Z281" s="385">
        <f t="shared" si="109"/>
        <v>23.095867214456142</v>
      </c>
      <c r="AA281" s="386">
        <f t="shared" si="110"/>
        <v>25.743181498432573</v>
      </c>
      <c r="AB281" s="197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0.10283555216893531</v>
      </c>
      <c r="AD281" s="231">
        <f>(INDEX(Models!$BJ281:$BT281,,AH281)*(1-AF281)+INDEX(Models!$BJ281:$BT281,,AH281+1)*AF281-ERP_i)*AE281*Ramure*Pc/MaxiM</f>
        <v>4.1185965021463706E-4</v>
      </c>
      <c r="AE281" s="305">
        <f t="shared" si="112"/>
        <v>0.7</v>
      </c>
      <c r="AF281" s="177">
        <f t="shared" si="113"/>
        <v>0.19629330142795154</v>
      </c>
      <c r="AG281" s="817">
        <f t="shared" si="119"/>
        <v>-1</v>
      </c>
      <c r="AH281" s="176">
        <f t="shared" si="114"/>
        <v>5</v>
      </c>
      <c r="AI281" s="225">
        <f t="shared" si="115"/>
        <v>-0.80370669857204846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44098</v>
      </c>
      <c r="B282" s="617">
        <v>12.63</v>
      </c>
      <c r="C282" s="390"/>
      <c r="D282" s="393">
        <f t="shared" si="98"/>
        <v>12.878336146515998</v>
      </c>
      <c r="E282" s="385">
        <f t="shared" si="96"/>
        <v>14.354956877179402</v>
      </c>
      <c r="F282" s="385">
        <f t="shared" si="99"/>
        <v>14.356654807127939</v>
      </c>
      <c r="G282" s="110">
        <f t="shared" si="97"/>
        <v>0.45292936738464357</v>
      </c>
      <c r="H282" s="414" t="b">
        <f>Wh_hp&gt;='2019'!Maxi_hp</f>
        <v>0</v>
      </c>
      <c r="I282" s="380">
        <f>IF(H282,Wh_hp,'2019'!Maxi_hp)</f>
        <v>31.944717903389673</v>
      </c>
      <c r="J282" s="85">
        <f>IF(H282,An,'2019'!An_max)</f>
        <v>2018</v>
      </c>
      <c r="K282" s="197">
        <f t="shared" si="100"/>
        <v>44098</v>
      </c>
      <c r="L282" s="147">
        <f>IF(t&lt;Tvie,1-EXP((T0-t)*PertePVj)+'2019'!Pspv,1-EXP((T0-t)*PertePVj)+Pspv)</f>
        <v>1.9283247749607879E-2</v>
      </c>
      <c r="M282" s="850"/>
      <c r="N282" s="850"/>
      <c r="O282" s="48">
        <f>IF(t&lt;Tnet,'2019'!Resal+('2019'!Salim-'2019'!Resal)*(1-EXP(('2019'!Tnet-t)/('2019'!Tau_j))),Resal+(Salim-Resal)*(1-EXP((Tnet-t)/(Tau_j))))*Salcycl</f>
        <v>0.10286486704887576</v>
      </c>
      <c r="P282" s="169">
        <f>(INDEX(Models!$BJ282:$BT282,,T282)*(1-R282)+INDEX(Models!$BJ282:$BT282,,T282+1)*R282-ERP_i)*Q282*Ramure*Pc/MaxiM</f>
        <v>5.4066766163954555E-4</v>
      </c>
      <c r="Q282" s="305">
        <f t="shared" si="101"/>
        <v>0.7</v>
      </c>
      <c r="R282" s="177">
        <f t="shared" si="102"/>
        <v>0.19644468081549482</v>
      </c>
      <c r="S282" s="817">
        <f t="shared" si="103"/>
        <v>-1</v>
      </c>
      <c r="T282" s="176">
        <f t="shared" si="104"/>
        <v>5</v>
      </c>
      <c r="U282" s="251">
        <f t="shared" si="105"/>
        <v>-0.80355531918450518</v>
      </c>
      <c r="V282" s="383">
        <f t="shared" si="106"/>
        <v>27.873362532432814</v>
      </c>
      <c r="W282" s="402"/>
      <c r="X282" s="157">
        <f t="shared" si="107"/>
        <v>44098</v>
      </c>
      <c r="Y282" s="385">
        <f t="shared" si="108"/>
        <v>12.63</v>
      </c>
      <c r="Z282" s="385">
        <f t="shared" si="109"/>
        <v>12.878336146515998</v>
      </c>
      <c r="AA282" s="386">
        <f t="shared" si="110"/>
        <v>14.354956877179402</v>
      </c>
      <c r="AB282" s="197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0.10286486704887576</v>
      </c>
      <c r="AD282" s="231">
        <f>(INDEX(Models!$BJ282:$BT282,,AH282)*(1-AF282)+INDEX(Models!$BJ282:$BT282,,AH282+1)*AF282-ERP_i)*AE282*Ramure*Pc/MaxiM</f>
        <v>5.4066766163954555E-4</v>
      </c>
      <c r="AE282" s="305">
        <f t="shared" si="112"/>
        <v>0.7</v>
      </c>
      <c r="AF282" s="177">
        <f t="shared" si="113"/>
        <v>0.19644468081549482</v>
      </c>
      <c r="AG282" s="817">
        <f t="shared" si="119"/>
        <v>-1</v>
      </c>
      <c r="AH282" s="176">
        <f t="shared" si="114"/>
        <v>5</v>
      </c>
      <c r="AI282" s="225">
        <f t="shared" si="115"/>
        <v>-0.80355531918450518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44099</v>
      </c>
      <c r="B283" s="617">
        <v>12.420999999999999</v>
      </c>
      <c r="C283" s="390"/>
      <c r="D283" s="393">
        <f t="shared" si="98"/>
        <v>12.665504111390028</v>
      </c>
      <c r="E283" s="385">
        <f t="shared" si="96"/>
        <v>14.118162386353928</v>
      </c>
      <c r="F283" s="385">
        <f t="shared" si="99"/>
        <v>14.120280487648083</v>
      </c>
      <c r="G283" s="110">
        <f t="shared" si="97"/>
        <v>0.44877112320449325</v>
      </c>
      <c r="H283" s="414" t="b">
        <f>Wh_hp&gt;='2019'!Maxi_hp</f>
        <v>0</v>
      </c>
      <c r="I283" s="380">
        <f>IF(H283,Wh_hp,'2019'!Maxi_hp)</f>
        <v>30.905032154620368</v>
      </c>
      <c r="J283" s="85">
        <f>IF(H283,An,'2019'!An_max)</f>
        <v>2018</v>
      </c>
      <c r="K283" s="197">
        <f t="shared" si="100"/>
        <v>44099</v>
      </c>
      <c r="L283" s="147">
        <f>IF(t&lt;Tvie,1-EXP((T0-t)*PertePVj)+'2019'!Pspv,1-EXP((T0-t)*PertePVj)+Pspv)</f>
        <v>1.9304727963425306E-2</v>
      </c>
      <c r="M283" s="850"/>
      <c r="N283" s="850"/>
      <c r="O283" s="48">
        <f>IF(t&lt;Tnet,'2019'!Resal+('2019'!Salim-'2019'!Resal)*(1-EXP(('2019'!Tnet-t)/('2019'!Tau_j))),Resal+(Salim-Resal)*(1-EXP((Tnet-t)/(Tau_j))))*Salcycl</f>
        <v>0.10289287197659544</v>
      </c>
      <c r="P283" s="169">
        <f>(INDEX(Models!$BJ283:$BT283,,T283)*(1-R283)+INDEX(Models!$BJ283:$BT283,,T283+1)*R283-ERP_i)*Q283*Ramure*Pc/MaxiM</f>
        <v>7.0462218663849819E-4</v>
      </c>
      <c r="Q283" s="305">
        <f t="shared" si="101"/>
        <v>0.7</v>
      </c>
      <c r="R283" s="177">
        <f t="shared" si="102"/>
        <v>0.19659011056170717</v>
      </c>
      <c r="S283" s="817">
        <f t="shared" si="103"/>
        <v>-1</v>
      </c>
      <c r="T283" s="176">
        <f t="shared" si="104"/>
        <v>5</v>
      </c>
      <c r="U283" s="251">
        <f t="shared" si="105"/>
        <v>-0.80340988943829283</v>
      </c>
      <c r="V283" s="383">
        <f t="shared" si="106"/>
        <v>27.662452895251683</v>
      </c>
      <c r="W283" s="402"/>
      <c r="X283" s="157">
        <f t="shared" si="107"/>
        <v>44099</v>
      </c>
      <c r="Y283" s="385">
        <f t="shared" si="108"/>
        <v>12.420999999999999</v>
      </c>
      <c r="Z283" s="385">
        <f t="shared" si="109"/>
        <v>12.665504111390028</v>
      </c>
      <c r="AA283" s="386">
        <f t="shared" si="110"/>
        <v>14.118162386353928</v>
      </c>
      <c r="AB283" s="197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0.10289287197659544</v>
      </c>
      <c r="AD283" s="231">
        <f>(INDEX(Models!$BJ283:$BT283,,AH283)*(1-AF283)+INDEX(Models!$BJ283:$BT283,,AH283+1)*AF283-ERP_i)*AE283*Ramure*Pc/MaxiM</f>
        <v>7.0462218663849819E-4</v>
      </c>
      <c r="AE283" s="305">
        <f t="shared" si="112"/>
        <v>0.7</v>
      </c>
      <c r="AF283" s="177">
        <f t="shared" si="113"/>
        <v>0.19659011056170717</v>
      </c>
      <c r="AG283" s="817">
        <f t="shared" si="119"/>
        <v>-1</v>
      </c>
      <c r="AH283" s="176">
        <f t="shared" si="114"/>
        <v>5</v>
      </c>
      <c r="AI283" s="225">
        <f t="shared" si="115"/>
        <v>-0.80340988943829283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44100</v>
      </c>
      <c r="B284" s="617">
        <v>10.06</v>
      </c>
      <c r="C284" s="390"/>
      <c r="D284" s="393">
        <f t="shared" si="98"/>
        <v>10.25825313071279</v>
      </c>
      <c r="E284" s="385">
        <f t="shared" si="96"/>
        <v>11.435153817299557</v>
      </c>
      <c r="F284" s="385">
        <f t="shared" si="99"/>
        <v>11.436136595920198</v>
      </c>
      <c r="G284" s="110">
        <f t="shared" si="97"/>
        <v>0.3662096420779391</v>
      </c>
      <c r="H284" s="414" t="b">
        <f>Wh_hp&gt;='2019'!Maxi_hp</f>
        <v>0</v>
      </c>
      <c r="I284" s="380">
        <f>IF(H284,Wh_hp,'2019'!Maxi_hp)</f>
        <v>30.281766812625989</v>
      </c>
      <c r="J284" s="85">
        <f>IF(H284,An,'2019'!An_max)</f>
        <v>2018</v>
      </c>
      <c r="K284" s="197">
        <f t="shared" si="100"/>
        <v>44100</v>
      </c>
      <c r="L284" s="147">
        <f>IF(t&lt;Tvie,1-EXP((T0-t)*PertePVj)+'2019'!Pspv,1-EXP((T0-t)*PertePVj)+Pspv)</f>
        <v>1.9326207706770959E-2</v>
      </c>
      <c r="M284" s="850"/>
      <c r="N284" s="850"/>
      <c r="O284" s="48">
        <f>IF(t&lt;Tnet,'2019'!Resal+('2019'!Salim-'2019'!Resal)*(1-EXP(('2019'!Tnet-t)/('2019'!Tau_j))),Resal+(Salim-Resal)*(1-EXP((Tnet-t)/(Tau_j))))*Salcycl</f>
        <v>0.10291953264382908</v>
      </c>
      <c r="P284" s="169">
        <f>(INDEX(Models!$BJ284:$BT284,,T284)*(1-R284)+INDEX(Models!$BJ284:$BT284,,T284+1)*R284-ERP_i)*Q284*Ramure*Pc/MaxiM</f>
        <v>9.0446058612812851E-4</v>
      </c>
      <c r="Q284" s="305">
        <f t="shared" si="101"/>
        <v>0.7</v>
      </c>
      <c r="R284" s="177">
        <f t="shared" si="102"/>
        <v>0.19672981894595476</v>
      </c>
      <c r="S284" s="817">
        <f t="shared" si="103"/>
        <v>-1</v>
      </c>
      <c r="T284" s="176">
        <f t="shared" si="104"/>
        <v>5</v>
      </c>
      <c r="U284" s="251">
        <f t="shared" si="105"/>
        <v>-0.80327018105404524</v>
      </c>
      <c r="V284" s="383">
        <f t="shared" si="106"/>
        <v>27.448116549822569</v>
      </c>
      <c r="W284" s="402"/>
      <c r="X284" s="157">
        <f t="shared" si="107"/>
        <v>44100</v>
      </c>
      <c r="Y284" s="385">
        <f t="shared" si="108"/>
        <v>10.06</v>
      </c>
      <c r="Z284" s="385">
        <f t="shared" si="109"/>
        <v>10.25825313071279</v>
      </c>
      <c r="AA284" s="386">
        <f t="shared" si="110"/>
        <v>11.435153817299557</v>
      </c>
      <c r="AB284" s="197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0.10291953264382908</v>
      </c>
      <c r="AD284" s="231">
        <f>(INDEX(Models!$BJ284:$BT284,,AH284)*(1-AF284)+INDEX(Models!$BJ284:$BT284,,AH284+1)*AF284-ERP_i)*AE284*Ramure*Pc/MaxiM</f>
        <v>9.0446058612812851E-4</v>
      </c>
      <c r="AE284" s="305">
        <f t="shared" si="112"/>
        <v>0.7</v>
      </c>
      <c r="AF284" s="177">
        <f t="shared" si="113"/>
        <v>0.19672981894595476</v>
      </c>
      <c r="AG284" s="817">
        <f t="shared" si="119"/>
        <v>-1</v>
      </c>
      <c r="AH284" s="176">
        <f t="shared" si="114"/>
        <v>5</v>
      </c>
      <c r="AI284" s="225">
        <f t="shared" si="115"/>
        <v>-0.80327018105404524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44101</v>
      </c>
      <c r="B285" s="617">
        <v>7.6980000000000004</v>
      </c>
      <c r="C285" s="390"/>
      <c r="D285" s="393">
        <f t="shared" si="98"/>
        <v>7.849876962295296</v>
      </c>
      <c r="E285" s="385">
        <f t="shared" si="96"/>
        <v>8.7507180168408301</v>
      </c>
      <c r="F285" s="385">
        <f t="shared" si="99"/>
        <v>8.7507180168408301</v>
      </c>
      <c r="G285" s="110">
        <f t="shared" si="97"/>
        <v>0.28237859922685737</v>
      </c>
      <c r="H285" s="414" t="b">
        <f>Wh_hp&gt;='2019'!Maxi_hp</f>
        <v>0</v>
      </c>
      <c r="I285" s="380">
        <f>IF(H285,Wh_hp,'2019'!Maxi_hp)</f>
        <v>29.367871929004963</v>
      </c>
      <c r="J285" s="85">
        <f>IF(H285,An,'2019'!An_max)</f>
        <v>2018</v>
      </c>
      <c r="K285" s="197">
        <f t="shared" si="100"/>
        <v>44101</v>
      </c>
      <c r="L285" s="147">
        <f>IF(t&lt;Tvie,1-EXP((T0-t)*PertePVj)+'2019'!Pspv,1-EXP((T0-t)*PertePVj)+Pspv)</f>
        <v>1.9347686979655165E-2</v>
      </c>
      <c r="M285" s="850"/>
      <c r="N285" s="850"/>
      <c r="O285" s="48">
        <f>IF(t&lt;Tnet,'2019'!Resal+('2019'!Salim-'2019'!Resal)*(1-EXP(('2019'!Tnet-t)/('2019'!Tau_j))),Resal+(Salim-Resal)*(1-EXP((Tnet-t)/(Tau_j))))*Salcycl</f>
        <v>0.10294481582103986</v>
      </c>
      <c r="P285" s="169">
        <f>(INDEX(Models!$BJ285:$BT285,,T285)*(1-R285)+INDEX(Models!$BJ285:$BT285,,T285+1)*R285-ERP_i)*Q285*Ramure*Pc/MaxiM</f>
        <v>1.1409577672961682E-3</v>
      </c>
      <c r="Q285" s="305">
        <f t="shared" si="101"/>
        <v>0.7</v>
      </c>
      <c r="R285" s="177">
        <f t="shared" si="102"/>
        <v>0.1968640259231984</v>
      </c>
      <c r="S285" s="817">
        <f t="shared" si="103"/>
        <v>-1</v>
      </c>
      <c r="T285" s="176">
        <f t="shared" si="104"/>
        <v>5</v>
      </c>
      <c r="U285" s="251">
        <f t="shared" si="105"/>
        <v>-0.8031359740768016</v>
      </c>
      <c r="V285" s="383">
        <f t="shared" si="106"/>
        <v>27.230168745649127</v>
      </c>
      <c r="W285" s="402"/>
      <c r="X285" s="157">
        <f t="shared" si="107"/>
        <v>44101</v>
      </c>
      <c r="Y285" s="385">
        <f t="shared" si="108"/>
        <v>7.6980000000000004</v>
      </c>
      <c r="Z285" s="385">
        <f t="shared" si="109"/>
        <v>7.849876962295296</v>
      </c>
      <c r="AA285" s="386">
        <f t="shared" si="110"/>
        <v>8.7507180168408301</v>
      </c>
      <c r="AB285" s="197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0.10294481582103986</v>
      </c>
      <c r="AD285" s="231">
        <f>(INDEX(Models!$BJ285:$BT285,,AH285)*(1-AF285)+INDEX(Models!$BJ285:$BT285,,AH285+1)*AF285-ERP_i)*AE285*Ramure*Pc/MaxiM</f>
        <v>1.1409577672961682E-3</v>
      </c>
      <c r="AE285" s="305">
        <f t="shared" si="112"/>
        <v>0.7</v>
      </c>
      <c r="AF285" s="177">
        <f t="shared" si="113"/>
        <v>0.1968640259231984</v>
      </c>
      <c r="AG285" s="817">
        <f t="shared" si="119"/>
        <v>-1</v>
      </c>
      <c r="AH285" s="176">
        <f t="shared" si="114"/>
        <v>5</v>
      </c>
      <c r="AI285" s="225">
        <f t="shared" si="115"/>
        <v>-0.8031359740768016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44102</v>
      </c>
      <c r="B286" s="617">
        <v>19.318999999999999</v>
      </c>
      <c r="C286" s="390"/>
      <c r="D286" s="393">
        <f t="shared" si="98"/>
        <v>19.700583875080362</v>
      </c>
      <c r="E286" s="385">
        <f t="shared" si="96"/>
        <v>21.961980197563651</v>
      </c>
      <c r="F286" s="385">
        <f t="shared" si="99"/>
        <v>21.980431635880969</v>
      </c>
      <c r="G286" s="110">
        <f t="shared" si="97"/>
        <v>0.71488333566629769</v>
      </c>
      <c r="H286" s="414" t="b">
        <f>Wh_hp&gt;='2019'!Maxi_hp</f>
        <v>0</v>
      </c>
      <c r="I286" s="380">
        <f>IF(H286,Wh_hp,'2019'!Maxi_hp)</f>
        <v>29.816399783631852</v>
      </c>
      <c r="J286" s="85">
        <f>IF(H286,An,'2019'!An_max)</f>
        <v>2018</v>
      </c>
      <c r="K286" s="197">
        <f t="shared" si="100"/>
        <v>44102</v>
      </c>
      <c r="L286" s="147">
        <f>IF(t&lt;Tvie,1-EXP((T0-t)*PertePVj)+'2019'!Pspv,1-EXP((T0-t)*PertePVj)+Pspv)</f>
        <v>1.9369165782088138E-2</v>
      </c>
      <c r="M286" s="850"/>
      <c r="N286" s="850"/>
      <c r="O286" s="48">
        <f>IF(t&lt;Tnet,'2019'!Resal+('2019'!Salim-'2019'!Resal)*(1-EXP(('2019'!Tnet-t)/('2019'!Tau_j))),Resal+(Salim-Resal)*(1-EXP((Tnet-t)/(Tau_j))))*Salcycl</f>
        <v>0.10296868962363229</v>
      </c>
      <c r="P286" s="169">
        <f>(INDEX(Models!$BJ286:$BT286,,T286)*(1-R286)+INDEX(Models!$BJ286:$BT286,,T286+1)*R286-ERP_i)*Q286*Ramure*Pc/MaxiM</f>
        <v>1.4149301837526602E-3</v>
      </c>
      <c r="Q286" s="305">
        <f t="shared" si="101"/>
        <v>0.7</v>
      </c>
      <c r="R286" s="177">
        <f t="shared" si="102"/>
        <v>0.19699294339332563</v>
      </c>
      <c r="S286" s="817">
        <f t="shared" si="103"/>
        <v>-1</v>
      </c>
      <c r="T286" s="176">
        <f t="shared" si="104"/>
        <v>5</v>
      </c>
      <c r="U286" s="251">
        <f t="shared" si="105"/>
        <v>-0.80300705660667437</v>
      </c>
      <c r="V286" s="383">
        <f t="shared" si="106"/>
        <v>27.00842496062868</v>
      </c>
      <c r="W286" s="402"/>
      <c r="X286" s="157">
        <f t="shared" si="107"/>
        <v>44102</v>
      </c>
      <c r="Y286" s="385">
        <f t="shared" si="108"/>
        <v>19.318999999999999</v>
      </c>
      <c r="Z286" s="385">
        <f t="shared" si="109"/>
        <v>19.700583875080362</v>
      </c>
      <c r="AA286" s="386">
        <f t="shared" si="110"/>
        <v>21.961980197563651</v>
      </c>
      <c r="AB286" s="197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0.10296868962363229</v>
      </c>
      <c r="AD286" s="231">
        <f>(INDEX(Models!$BJ286:$BT286,,AH286)*(1-AF286)+INDEX(Models!$BJ286:$BT286,,AH286+1)*AF286-ERP_i)*AE286*Ramure*Pc/MaxiM</f>
        <v>1.4149301837526602E-3</v>
      </c>
      <c r="AE286" s="305">
        <f t="shared" si="112"/>
        <v>0.7</v>
      </c>
      <c r="AF286" s="177">
        <f t="shared" si="113"/>
        <v>0.19699294339332563</v>
      </c>
      <c r="AG286" s="817">
        <f t="shared" si="119"/>
        <v>-1</v>
      </c>
      <c r="AH286" s="176">
        <f t="shared" si="114"/>
        <v>5</v>
      </c>
      <c r="AI286" s="225">
        <f t="shared" si="115"/>
        <v>-0.80300705660667437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customHeight="1" x14ac:dyDescent="0.2">
      <c r="A287" s="56">
        <f t="shared" si="118"/>
        <v>44103</v>
      </c>
      <c r="B287" s="617">
        <v>20.474</v>
      </c>
      <c r="C287" s="390"/>
      <c r="D287" s="393">
        <f t="shared" si="98"/>
        <v>20.878854435875752</v>
      </c>
      <c r="E287" s="385">
        <f t="shared" si="96"/>
        <v>23.276084540016463</v>
      </c>
      <c r="F287" s="385">
        <f t="shared" si="99"/>
        <v>23.302790017629189</v>
      </c>
      <c r="G287" s="110">
        <f t="shared" si="97"/>
        <v>0.76400384439855074</v>
      </c>
      <c r="H287" s="414" t="b">
        <f>Wh_hp&gt;='2019'!Maxi_hp</f>
        <v>0</v>
      </c>
      <c r="I287" s="380">
        <f>IF(H287,Wh_hp,'2019'!Maxi_hp)</f>
        <v>27.899503681565321</v>
      </c>
      <c r="J287" s="85">
        <f>IF(H287,An,'2019'!An_max)</f>
        <v>2018</v>
      </c>
      <c r="K287" s="197">
        <f t="shared" si="100"/>
        <v>44103</v>
      </c>
      <c r="L287" s="147">
        <f>IF(t&lt;Tvie,1-EXP((T0-t)*PertePVj)+'2019'!Pspv,1-EXP((T0-t)*PertePVj)+Pspv)</f>
        <v>1.9390644114080202E-2</v>
      </c>
      <c r="M287" s="850"/>
      <c r="N287" s="850"/>
      <c r="O287" s="48">
        <f>IF(t&lt;Tnet,'2019'!Resal+('2019'!Salim-'2019'!Resal)*(1-EXP(('2019'!Tnet-t)/('2019'!Tau_j))),Resal+(Salim-Resal)*(1-EXP((Tnet-t)/(Tau_j))))*Salcycl</f>
        <v>0.10299112378713741</v>
      </c>
      <c r="P287" s="169">
        <f>(INDEX(Models!$BJ287:$BT287,,T287)*(1-R287)+INDEX(Models!$BJ287:$BT287,,T287+1)*R287-ERP_i)*Q287*Ramure*Pc/MaxiM</f>
        <v>1.7272402396606844E-3</v>
      </c>
      <c r="Q287" s="305">
        <f t="shared" si="101"/>
        <v>0.7</v>
      </c>
      <c r="R287" s="177">
        <f t="shared" si="102"/>
        <v>0.19711677546454354</v>
      </c>
      <c r="S287" s="817">
        <f t="shared" si="103"/>
        <v>-1</v>
      </c>
      <c r="T287" s="176">
        <f t="shared" si="104"/>
        <v>5</v>
      </c>
      <c r="U287" s="251">
        <f t="shared" si="105"/>
        <v>-0.80288322453545646</v>
      </c>
      <c r="V287" s="383">
        <f t="shared" si="106"/>
        <v>26.782700906731893</v>
      </c>
      <c r="W287" s="402"/>
      <c r="X287" s="157">
        <f t="shared" si="107"/>
        <v>44103</v>
      </c>
      <c r="Y287" s="385">
        <f t="shared" si="108"/>
        <v>20.474</v>
      </c>
      <c r="Z287" s="385">
        <f t="shared" si="109"/>
        <v>20.878854435875752</v>
      </c>
      <c r="AA287" s="386">
        <f t="shared" si="110"/>
        <v>23.276084540016463</v>
      </c>
      <c r="AB287" s="197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0.10299112378713741</v>
      </c>
      <c r="AD287" s="231">
        <f>(INDEX(Models!$BJ287:$BT287,,AH287)*(1-AF287)+INDEX(Models!$BJ287:$BT287,,AH287+1)*AF287-ERP_i)*AE287*Ramure*Pc/MaxiM</f>
        <v>1.7272402396606844E-3</v>
      </c>
      <c r="AE287" s="305">
        <f t="shared" si="112"/>
        <v>0.7</v>
      </c>
      <c r="AF287" s="177">
        <f t="shared" si="113"/>
        <v>0.19711677546454354</v>
      </c>
      <c r="AG287" s="817">
        <f t="shared" si="119"/>
        <v>-1</v>
      </c>
      <c r="AH287" s="176">
        <f t="shared" si="114"/>
        <v>5</v>
      </c>
      <c r="AI287" s="225">
        <f t="shared" si="115"/>
        <v>-0.80288322453545646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44104</v>
      </c>
      <c r="B288" s="617">
        <v>25.933</v>
      </c>
      <c r="C288" s="390"/>
      <c r="D288" s="393">
        <f t="shared" si="98"/>
        <v>26.446380361389508</v>
      </c>
      <c r="E288" s="385">
        <f t="shared" si="96"/>
        <v>29.483541600796269</v>
      </c>
      <c r="F288" s="385">
        <f t="shared" si="99"/>
        <v>29.54290748735184</v>
      </c>
      <c r="G288" s="110">
        <f t="shared" si="97"/>
        <v>0.97658952853383996</v>
      </c>
      <c r="H288" s="414" t="b">
        <f>Wh_hp&gt;='2019'!Maxi_hp</f>
        <v>1</v>
      </c>
      <c r="I288" s="380">
        <f>IF(H288,Wh_hp,'2019'!Maxi_hp)</f>
        <v>29.54290748735184</v>
      </c>
      <c r="J288" s="85">
        <f>IF(H288,An,'2019'!An_max)</f>
        <v>2020</v>
      </c>
      <c r="K288" s="197">
        <f t="shared" si="100"/>
        <v>44104</v>
      </c>
      <c r="L288" s="147">
        <f>IF(t&lt;Tvie,1-EXP((T0-t)*PertePVj)+'2019'!Pspv,1-EXP((T0-t)*PertePVj)+Pspv)</f>
        <v>1.9412121975641683E-2</v>
      </c>
      <c r="M288" s="850"/>
      <c r="N288" s="850"/>
      <c r="O288" s="48">
        <f>IF(t&lt;Tnet,'2019'!Resal+('2019'!Salim-'2019'!Resal)*(1-EXP(('2019'!Tnet-t)/('2019'!Tau_j))),Resal+(Salim-Resal)*(1-EXP((Tnet-t)/(Tau_j))))*Salcycl</f>
        <v>0.10301208994935454</v>
      </c>
      <c r="P288" s="169">
        <f>(INDEX(Models!$BJ288:$BT288,,T288)*(1-R288)+INDEX(Models!$BJ288:$BT288,,T288+1)*R288-ERP_i)*Q288*Ramure*Pc/MaxiM</f>
        <v>2.0788011500140098E-3</v>
      </c>
      <c r="Q288" s="305">
        <f t="shared" si="101"/>
        <v>0.7</v>
      </c>
      <c r="R288" s="177">
        <f t="shared" si="102"/>
        <v>0.19723571871071699</v>
      </c>
      <c r="S288" s="817">
        <f t="shared" si="103"/>
        <v>-1</v>
      </c>
      <c r="T288" s="176">
        <f t="shared" si="104"/>
        <v>5</v>
      </c>
      <c r="U288" s="251">
        <f t="shared" si="105"/>
        <v>-0.80276428128928301</v>
      </c>
      <c r="V288" s="383">
        <f t="shared" si="106"/>
        <v>26.55281253942788</v>
      </c>
      <c r="W288" s="402"/>
      <c r="X288" s="157">
        <f t="shared" si="107"/>
        <v>44104</v>
      </c>
      <c r="Y288" s="385">
        <f t="shared" si="108"/>
        <v>25.933</v>
      </c>
      <c r="Z288" s="385">
        <f t="shared" si="109"/>
        <v>26.446380361389508</v>
      </c>
      <c r="AA288" s="386">
        <f t="shared" si="110"/>
        <v>29.483541600796269</v>
      </c>
      <c r="AB288" s="197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0.10301208994935454</v>
      </c>
      <c r="AD288" s="231">
        <f>(INDEX(Models!$BJ288:$BT288,,AH288)*(1-AF288)+INDEX(Models!$BJ288:$BT288,,AH288+1)*AF288-ERP_i)*AE288*Ramure*Pc/MaxiM</f>
        <v>2.0788011500140098E-3</v>
      </c>
      <c r="AE288" s="305">
        <f t="shared" si="112"/>
        <v>0.7</v>
      </c>
      <c r="AF288" s="177">
        <f t="shared" si="113"/>
        <v>0.19723571871071699</v>
      </c>
      <c r="AG288" s="817">
        <f t="shared" si="119"/>
        <v>-1</v>
      </c>
      <c r="AH288" s="176">
        <f t="shared" si="114"/>
        <v>5</v>
      </c>
      <c r="AI288" s="225">
        <f t="shared" si="115"/>
        <v>-0.80276428128928301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8"/>
        <v>44105</v>
      </c>
      <c r="B289" s="617">
        <v>5.4029999999999996</v>
      </c>
      <c r="C289" s="390"/>
      <c r="D289" s="393">
        <f t="shared" si="98"/>
        <v>5.510080700818345</v>
      </c>
      <c r="E289" s="385">
        <f t="shared" si="96"/>
        <v>6.1430039976870177</v>
      </c>
      <c r="F289" s="385">
        <f t="shared" si="99"/>
        <v>6.1430039976870177</v>
      </c>
      <c r="G289" s="110">
        <f t="shared" si="97"/>
        <v>0.2047814167127596</v>
      </c>
      <c r="H289" s="414" t="b">
        <f>Wh_hp&gt;='2019'!Maxi_hp</f>
        <v>0</v>
      </c>
      <c r="I289" s="380">
        <f>IF(H289,Wh_hp,'2019'!Maxi_hp)</f>
        <v>29.656559533352279</v>
      </c>
      <c r="J289" s="85">
        <f>IF(H289,An,'2019'!An_max)</f>
        <v>2018</v>
      </c>
      <c r="K289" s="197">
        <f t="shared" si="100"/>
        <v>44105</v>
      </c>
      <c r="L289" s="147">
        <f>IF(t&lt;Tvie,1-EXP((T0-t)*PertePVj)+'2019'!Pspv,1-EXP((T0-t)*PertePVj)+Pspv)</f>
        <v>1.9433599366782794E-2</v>
      </c>
      <c r="M289" s="850"/>
      <c r="N289" s="850"/>
      <c r="O289" s="48">
        <f>IF(t&lt;Tnet,'2019'!Resal+('2019'!Salim-'2019'!Resal)*(1-EXP(('2019'!Tnet-t)/('2019'!Tau_j))),Resal+(Salim-Resal)*(1-EXP((Tnet-t)/(Tau_j))))*Salcycl</f>
        <v>0.10303156193728392</v>
      </c>
      <c r="P289" s="169">
        <f>(INDEX(Models!$BJ289:$BT289,,T289)*(1-R289)+INDEX(Models!$BJ289:$BT289,,T289+1)*R289-ERP_i)*Q289*Ramure*Pc/MaxiM</f>
        <v>2.4705382413677431E-3</v>
      </c>
      <c r="Q289" s="305">
        <f t="shared" si="101"/>
        <v>0.7</v>
      </c>
      <c r="R289" s="177">
        <f t="shared" si="102"/>
        <v>0.19734996242256631</v>
      </c>
      <c r="S289" s="817">
        <f t="shared" si="103"/>
        <v>-1</v>
      </c>
      <c r="T289" s="176">
        <f t="shared" si="104"/>
        <v>5</v>
      </c>
      <c r="U289" s="251">
        <f t="shared" si="105"/>
        <v>-0.80265003757743369</v>
      </c>
      <c r="V289" s="383">
        <f t="shared" si="106"/>
        <v>26.319046759217329</v>
      </c>
      <c r="W289" s="402"/>
      <c r="X289" s="157">
        <f t="shared" si="107"/>
        <v>44105</v>
      </c>
      <c r="Y289" s="385">
        <f t="shared" si="108"/>
        <v>5.4029999999999996</v>
      </c>
      <c r="Z289" s="385">
        <f t="shared" si="109"/>
        <v>5.510080700818345</v>
      </c>
      <c r="AA289" s="386">
        <f t="shared" si="110"/>
        <v>6.1430039976870177</v>
      </c>
      <c r="AB289" s="197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0.10303156193728392</v>
      </c>
      <c r="AD289" s="231">
        <f>(INDEX(Models!$BJ289:$BT289,,AH289)*(1-AF289)+INDEX(Models!$BJ289:$BT289,,AH289+1)*AF289-ERP_i)*AE289*Ramure*Pc/MaxiM</f>
        <v>2.4705382413677431E-3</v>
      </c>
      <c r="AE289" s="305">
        <f t="shared" si="112"/>
        <v>0.7</v>
      </c>
      <c r="AF289" s="177">
        <f t="shared" si="113"/>
        <v>0.19734996242256631</v>
      </c>
      <c r="AG289" s="817">
        <f t="shared" si="119"/>
        <v>-1</v>
      </c>
      <c r="AH289" s="176">
        <f t="shared" si="114"/>
        <v>5</v>
      </c>
      <c r="AI289" s="225">
        <f t="shared" si="115"/>
        <v>-0.80265003757743369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44106</v>
      </c>
      <c r="B290" s="617">
        <v>3.246</v>
      </c>
      <c r="C290" s="390"/>
      <c r="D290" s="393">
        <f t="shared" si="98"/>
        <v>3.31040416558394</v>
      </c>
      <c r="E290" s="385">
        <f t="shared" si="96"/>
        <v>3.6907323479326739</v>
      </c>
      <c r="F290" s="385">
        <f t="shared" si="99"/>
        <v>3.6907323479326739</v>
      </c>
      <c r="G290" s="110">
        <f t="shared" si="97"/>
        <v>0.1240931831304618</v>
      </c>
      <c r="H290" s="414" t="b">
        <f>Wh_hp&gt;='2019'!Maxi_hp</f>
        <v>0</v>
      </c>
      <c r="I290" s="380">
        <f>IF(H290,Wh_hp,'2019'!Maxi_hp)</f>
        <v>28.585247689548495</v>
      </c>
      <c r="J290" s="85">
        <f>IF(H290,An,'2019'!An_max)</f>
        <v>2018</v>
      </c>
      <c r="K290" s="197">
        <f t="shared" si="100"/>
        <v>44106</v>
      </c>
      <c r="L290" s="147">
        <f>IF(t&lt;Tvie,1-EXP((T0-t)*PertePVj)+'2019'!Pspv,1-EXP((T0-t)*PertePVj)+Pspv)</f>
        <v>1.9455076287514084E-2</v>
      </c>
      <c r="M290" s="850"/>
      <c r="N290" s="850"/>
      <c r="O290" s="48">
        <f>IF(t&lt;Tnet,'2019'!Resal+('2019'!Salim-'2019'!Resal)*(1-EXP(('2019'!Tnet-t)/('2019'!Tau_j))),Resal+(Salim-Resal)*(1-EXP((Tnet-t)/(Tau_j))))*Salcycl</f>
        <v>0.10304951605655467</v>
      </c>
      <c r="P290" s="169">
        <f>(INDEX(Models!$BJ290:$BT290,,T290)*(1-R290)+INDEX(Models!$BJ290:$BT290,,T290+1)*R290-ERP_i)*Q290*Ramure*Pc/MaxiM</f>
        <v>2.9105731725312185E-3</v>
      </c>
      <c r="Q290" s="305">
        <f t="shared" si="101"/>
        <v>0.7</v>
      </c>
      <c r="R290" s="177">
        <f t="shared" si="102"/>
        <v>0.19745968885266318</v>
      </c>
      <c r="S290" s="817">
        <f t="shared" si="103"/>
        <v>-1</v>
      </c>
      <c r="T290" s="176">
        <f t="shared" si="104"/>
        <v>5</v>
      </c>
      <c r="U290" s="251">
        <f t="shared" si="105"/>
        <v>-0.80254031114733682</v>
      </c>
      <c r="V290" s="383">
        <f t="shared" si="106"/>
        <v>26.081628320222134</v>
      </c>
      <c r="W290" s="402"/>
      <c r="X290" s="157">
        <f t="shared" si="107"/>
        <v>44106</v>
      </c>
      <c r="Y290" s="385">
        <f t="shared" si="108"/>
        <v>3.246</v>
      </c>
      <c r="Z290" s="385">
        <f t="shared" si="109"/>
        <v>3.31040416558394</v>
      </c>
      <c r="AA290" s="386">
        <f t="shared" si="110"/>
        <v>3.6907323479326739</v>
      </c>
      <c r="AB290" s="197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0.10304951605655467</v>
      </c>
      <c r="AD290" s="231">
        <f>(INDEX(Models!$BJ290:$BT290,,AH290)*(1-AF290)+INDEX(Models!$BJ290:$BT290,,AH290+1)*AF290-ERP_i)*AE290*Ramure*Pc/MaxiM</f>
        <v>2.9105731725312185E-3</v>
      </c>
      <c r="AE290" s="305">
        <f t="shared" si="112"/>
        <v>0.7</v>
      </c>
      <c r="AF290" s="177">
        <f t="shared" si="113"/>
        <v>0.19745968885266318</v>
      </c>
      <c r="AG290" s="817">
        <f t="shared" si="119"/>
        <v>-1</v>
      </c>
      <c r="AH290" s="176">
        <f t="shared" si="114"/>
        <v>5</v>
      </c>
      <c r="AI290" s="225">
        <f t="shared" si="115"/>
        <v>-0.80254031114733682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8"/>
        <v>44107</v>
      </c>
      <c r="B291" s="617">
        <v>10.632999999999999</v>
      </c>
      <c r="C291" s="390"/>
      <c r="D291" s="393">
        <f t="shared" si="98"/>
        <v>10.844207784821226</v>
      </c>
      <c r="E291" s="385">
        <f t="shared" si="96"/>
        <v>12.090306483192498</v>
      </c>
      <c r="F291" s="385">
        <f t="shared" si="99"/>
        <v>12.096833745233374</v>
      </c>
      <c r="G291" s="110">
        <f t="shared" si="97"/>
        <v>0.41030716006287138</v>
      </c>
      <c r="H291" s="414" t="b">
        <f>Wh_hp&gt;='2019'!Maxi_hp</f>
        <v>0</v>
      </c>
      <c r="I291" s="380">
        <f>IF(H291,Wh_hp,'2019'!Maxi_hp)</f>
        <v>28.438494319444185</v>
      </c>
      <c r="J291" s="85">
        <f>IF(H291,An,'2019'!An_max)</f>
        <v>2018</v>
      </c>
      <c r="K291" s="197">
        <f t="shared" si="100"/>
        <v>44107</v>
      </c>
      <c r="L291" s="147">
        <f>IF(t&lt;Tvie,1-EXP((T0-t)*PertePVj)+'2019'!Pspv,1-EXP((T0-t)*PertePVj)+Pspv)</f>
        <v>1.9476552737845543E-2</v>
      </c>
      <c r="M291" s="850"/>
      <c r="N291" s="850"/>
      <c r="O291" s="48">
        <f>IF(t&lt;Tnet,'2019'!Resal+('2019'!Salim-'2019'!Resal)*(1-EXP(('2019'!Tnet-t)/('2019'!Tau_j))),Resal+(Salim-Resal)*(1-EXP((Tnet-t)/(Tau_j))))*Salcycl</f>
        <v>0.10306593138094162</v>
      </c>
      <c r="P291" s="169">
        <f>(INDEX(Models!$BJ291:$BT291,,T291)*(1-R291)+INDEX(Models!$BJ291:$BT291,,T291+1)*R291-ERP_i)*Q291*Ramure*Pc/MaxiM</f>
        <v>3.38813533733886E-3</v>
      </c>
      <c r="Q291" s="305">
        <f t="shared" si="101"/>
        <v>0.7</v>
      </c>
      <c r="R291" s="177">
        <f t="shared" si="102"/>
        <v>0.19756507345419039</v>
      </c>
      <c r="S291" s="817">
        <f t="shared" si="103"/>
        <v>-1</v>
      </c>
      <c r="T291" s="176">
        <f t="shared" si="104"/>
        <v>5</v>
      </c>
      <c r="U291" s="251">
        <f t="shared" si="105"/>
        <v>-0.80243492654580961</v>
      </c>
      <c r="V291" s="383">
        <f t="shared" si="106"/>
        <v>25.840872490525864</v>
      </c>
      <c r="W291" s="402"/>
      <c r="X291" s="157">
        <f t="shared" si="107"/>
        <v>44107</v>
      </c>
      <c r="Y291" s="385">
        <f t="shared" si="108"/>
        <v>10.632999999999999</v>
      </c>
      <c r="Z291" s="385">
        <f t="shared" si="109"/>
        <v>10.844207784821226</v>
      </c>
      <c r="AA291" s="386">
        <f t="shared" si="110"/>
        <v>12.090306483192498</v>
      </c>
      <c r="AB291" s="197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0.10306593138094162</v>
      </c>
      <c r="AD291" s="231">
        <f>(INDEX(Models!$BJ291:$BT291,,AH291)*(1-AF291)+INDEX(Models!$BJ291:$BT291,,AH291+1)*AF291-ERP_i)*AE291*Ramure*Pc/MaxiM</f>
        <v>3.38813533733886E-3</v>
      </c>
      <c r="AE291" s="305">
        <f t="shared" si="112"/>
        <v>0.7</v>
      </c>
      <c r="AF291" s="177">
        <f t="shared" si="113"/>
        <v>0.19756507345419039</v>
      </c>
      <c r="AG291" s="817">
        <f t="shared" si="119"/>
        <v>-1</v>
      </c>
      <c r="AH291" s="176">
        <f t="shared" si="114"/>
        <v>5</v>
      </c>
      <c r="AI291" s="225">
        <f t="shared" si="115"/>
        <v>-0.80243492654580961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44108</v>
      </c>
      <c r="B292" s="617">
        <v>11.868</v>
      </c>
      <c r="C292" s="390"/>
      <c r="D292" s="393">
        <f t="shared" si="98"/>
        <v>12.104004221919205</v>
      </c>
      <c r="E292" s="385">
        <f t="shared" si="96"/>
        <v>13.495088618351657</v>
      </c>
      <c r="F292" s="385">
        <f t="shared" si="99"/>
        <v>13.507417528498921</v>
      </c>
      <c r="G292" s="110">
        <f t="shared" si="97"/>
        <v>0.46226374995921188</v>
      </c>
      <c r="H292" s="414" t="b">
        <f>Wh_hp&gt;='2019'!Maxi_hp</f>
        <v>0</v>
      </c>
      <c r="I292" s="380">
        <f>IF(H292,Wh_hp,'2019'!Maxi_hp)</f>
        <v>27.917436042240162</v>
      </c>
      <c r="J292" s="85">
        <f>IF(H292,An,'2019'!An_max)</f>
        <v>2018</v>
      </c>
      <c r="K292" s="197">
        <f t="shared" si="100"/>
        <v>44108</v>
      </c>
      <c r="L292" s="147">
        <f>IF(t&lt;Tvie,1-EXP((T0-t)*PertePVj)+'2019'!Pspv,1-EXP((T0-t)*PertePVj)+Pspv)</f>
        <v>1.9498028717787719E-2</v>
      </c>
      <c r="M292" s="850"/>
      <c r="N292" s="850"/>
      <c r="O292" s="48">
        <f>IF(t&lt;Tnet,'2019'!Resal+('2019'!Salim-'2019'!Resal)*(1-EXP(('2019'!Tnet-t)/('2019'!Tau_j))),Resal+(Salim-Resal)*(1-EXP((Tnet-t)/(Tau_j))))*Salcycl</f>
        <v>0.10308079003947763</v>
      </c>
      <c r="P292" s="169">
        <f>(INDEX(Models!$BJ292:$BT292,,T292)*(1-R292)+INDEX(Models!$BJ292:$BT292,,T292+1)*R292-ERP_i)*Q292*Ramure*Pc/MaxiM</f>
        <v>3.9041733832638052E-3</v>
      </c>
      <c r="Q292" s="305">
        <f t="shared" si="101"/>
        <v>0.7</v>
      </c>
      <c r="R292" s="177">
        <f t="shared" si="102"/>
        <v>0.19766628511344786</v>
      </c>
      <c r="S292" s="817">
        <f t="shared" si="103"/>
        <v>-1</v>
      </c>
      <c r="T292" s="176">
        <f t="shared" si="104"/>
        <v>5</v>
      </c>
      <c r="U292" s="251">
        <f t="shared" si="105"/>
        <v>-0.80233371488655214</v>
      </c>
      <c r="V292" s="383">
        <f t="shared" si="106"/>
        <v>25.596784015743012</v>
      </c>
      <c r="W292" s="402"/>
      <c r="X292" s="157">
        <f t="shared" si="107"/>
        <v>44108</v>
      </c>
      <c r="Y292" s="385">
        <f t="shared" si="108"/>
        <v>11.868</v>
      </c>
      <c r="Z292" s="385">
        <f t="shared" si="109"/>
        <v>12.104004221919205</v>
      </c>
      <c r="AA292" s="386">
        <f t="shared" si="110"/>
        <v>13.495088618351657</v>
      </c>
      <c r="AB292" s="197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0.10308079003947763</v>
      </c>
      <c r="AD292" s="231">
        <f>(INDEX(Models!$BJ292:$BT292,,AH292)*(1-AF292)+INDEX(Models!$BJ292:$BT292,,AH292+1)*AF292-ERP_i)*AE292*Ramure*Pc/MaxiM</f>
        <v>3.9041733832638052E-3</v>
      </c>
      <c r="AE292" s="305">
        <f t="shared" si="112"/>
        <v>0.7</v>
      </c>
      <c r="AF292" s="177">
        <f t="shared" si="113"/>
        <v>0.19766628511344786</v>
      </c>
      <c r="AG292" s="817">
        <f t="shared" si="119"/>
        <v>-1</v>
      </c>
      <c r="AH292" s="176">
        <f t="shared" si="114"/>
        <v>5</v>
      </c>
      <c r="AI292" s="225">
        <f t="shared" si="115"/>
        <v>-0.80233371488655214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44109</v>
      </c>
      <c r="B293" s="617">
        <v>16.951000000000001</v>
      </c>
      <c r="C293" s="390"/>
      <c r="D293" s="393">
        <f t="shared" si="98"/>
        <v>17.288462211216228</v>
      </c>
      <c r="E293" s="385">
        <f t="shared" si="96"/>
        <v>19.275669585278322</v>
      </c>
      <c r="F293" s="385">
        <f t="shared" si="99"/>
        <v>19.321053712899626</v>
      </c>
      <c r="G293" s="110">
        <f t="shared" si="97"/>
        <v>0.66728041580131814</v>
      </c>
      <c r="H293" s="414" t="b">
        <f>Wh_hp&gt;='2019'!Maxi_hp</f>
        <v>0</v>
      </c>
      <c r="I293" s="380">
        <f>IF(H293,Wh_hp,'2019'!Maxi_hp)</f>
        <v>25.825303664148674</v>
      </c>
      <c r="J293" s="85">
        <f>IF(H293,An,'2019'!An_max)</f>
        <v>2018</v>
      </c>
      <c r="K293" s="197">
        <f t="shared" si="100"/>
        <v>44109</v>
      </c>
      <c r="L293" s="147">
        <f>IF(t&lt;Tvie,1-EXP((T0-t)*PertePVj)+'2019'!Pspv,1-EXP((T0-t)*PertePVj)+Pspv)</f>
        <v>1.9519504227350715E-2</v>
      </c>
      <c r="M293" s="850"/>
      <c r="N293" s="850"/>
      <c r="O293" s="48">
        <f>IF(t&lt;Tnet,'2019'!Resal+('2019'!Salim-'2019'!Resal)*(1-EXP(('2019'!Tnet-t)/('2019'!Tau_j))),Resal+(Salim-Resal)*(1-EXP((Tnet-t)/(Tau_j))))*Salcycl</f>
        <v>0.1030940774986002</v>
      </c>
      <c r="P293" s="169">
        <f>(INDEX(Models!$BJ293:$BT293,,T293)*(1-R293)+INDEX(Models!$BJ293:$BT293,,T293+1)*R293-ERP_i)*Q293*Ramure*Pc/MaxiM</f>
        <v>4.4596807237675994E-3</v>
      </c>
      <c r="Q293" s="305">
        <f t="shared" si="101"/>
        <v>0.7</v>
      </c>
      <c r="R293" s="177">
        <f t="shared" si="102"/>
        <v>0.19776348637611296</v>
      </c>
      <c r="S293" s="817">
        <f t="shared" si="103"/>
        <v>-1</v>
      </c>
      <c r="T293" s="176">
        <f t="shared" si="104"/>
        <v>5</v>
      </c>
      <c r="U293" s="251">
        <f t="shared" si="105"/>
        <v>-0.80223651362388704</v>
      </c>
      <c r="V293" s="383">
        <f t="shared" si="106"/>
        <v>25.349367834016821</v>
      </c>
      <c r="W293" s="402"/>
      <c r="X293" s="157">
        <f t="shared" si="107"/>
        <v>44109</v>
      </c>
      <c r="Y293" s="385">
        <f t="shared" si="108"/>
        <v>16.951000000000001</v>
      </c>
      <c r="Z293" s="385">
        <f t="shared" si="109"/>
        <v>17.288462211216228</v>
      </c>
      <c r="AA293" s="386">
        <f t="shared" si="110"/>
        <v>19.275669585278322</v>
      </c>
      <c r="AB293" s="197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0.1030940774986002</v>
      </c>
      <c r="AD293" s="231">
        <f>(INDEX(Models!$BJ293:$BT293,,AH293)*(1-AF293)+INDEX(Models!$BJ293:$BT293,,AH293+1)*AF293-ERP_i)*AE293*Ramure*Pc/MaxiM</f>
        <v>4.4596807237675994E-3</v>
      </c>
      <c r="AE293" s="305">
        <f t="shared" si="112"/>
        <v>0.7</v>
      </c>
      <c r="AF293" s="177">
        <f t="shared" si="113"/>
        <v>0.19776348637611296</v>
      </c>
      <c r="AG293" s="817">
        <f t="shared" si="119"/>
        <v>-1</v>
      </c>
      <c r="AH293" s="176">
        <f t="shared" si="114"/>
        <v>5</v>
      </c>
      <c r="AI293" s="225">
        <f t="shared" si="115"/>
        <v>-0.80223651362388704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8"/>
        <v>44110</v>
      </c>
      <c r="B294" s="617">
        <v>4.452</v>
      </c>
      <c r="C294" s="390"/>
      <c r="D294" s="393">
        <f t="shared" si="98"/>
        <v>4.5407303169790598</v>
      </c>
      <c r="E294" s="385">
        <f t="shared" si="96"/>
        <v>5.0627267185874603</v>
      </c>
      <c r="F294" s="385">
        <f t="shared" si="99"/>
        <v>5.0627267185874603</v>
      </c>
      <c r="G294" s="110">
        <f t="shared" si="97"/>
        <v>0.17648342537472275</v>
      </c>
      <c r="H294" s="414" t="b">
        <f>Wh_hp&gt;='2019'!Maxi_hp</f>
        <v>0</v>
      </c>
      <c r="I294" s="380">
        <f>IF(H294,Wh_hp,'2019'!Maxi_hp)</f>
        <v>21.179085021533062</v>
      </c>
      <c r="J294" s="85">
        <f>IF(H294,An,'2019'!An_max)</f>
        <v>2019</v>
      </c>
      <c r="K294" s="197">
        <f t="shared" si="100"/>
        <v>44110</v>
      </c>
      <c r="L294" s="147">
        <f>IF(t&lt;Tvie,1-EXP((T0-t)*PertePVj)+'2019'!Pspv,1-EXP((T0-t)*PertePVj)+Pspv)</f>
        <v>1.9540979266544967E-2</v>
      </c>
      <c r="M294" s="850"/>
      <c r="N294" s="850"/>
      <c r="O294" s="48">
        <f>IF(t&lt;Tnet,'2019'!Resal+('2019'!Salim-'2019'!Resal)*(1-EXP(('2019'!Tnet-t)/('2019'!Tau_j))),Resal+(Salim-Resal)*(1-EXP((Tnet-t)/(Tau_j))))*Salcycl</f>
        <v>0.10310578283673226</v>
      </c>
      <c r="P294" s="169">
        <f>(INDEX(Models!$BJ294:$BT294,,T294)*(1-R294)+INDEX(Models!$BJ294:$BT294,,T294+1)*R294-ERP_i)*Q294*Ramure*Pc/MaxiM</f>
        <v>5.0556985173479735E-3</v>
      </c>
      <c r="Q294" s="305">
        <f t="shared" si="101"/>
        <v>0.7</v>
      </c>
      <c r="R294" s="177">
        <f t="shared" si="102"/>
        <v>0.19785683366727369</v>
      </c>
      <c r="S294" s="817">
        <f t="shared" si="103"/>
        <v>-1</v>
      </c>
      <c r="T294" s="176">
        <f t="shared" si="104"/>
        <v>5</v>
      </c>
      <c r="U294" s="251">
        <f t="shared" si="105"/>
        <v>-0.80214316633272631</v>
      </c>
      <c r="V294" s="383">
        <f t="shared" si="106"/>
        <v>25.098629068399703</v>
      </c>
      <c r="W294" s="402"/>
      <c r="X294" s="157">
        <f t="shared" si="107"/>
        <v>44110</v>
      </c>
      <c r="Y294" s="385">
        <f t="shared" si="108"/>
        <v>4.452</v>
      </c>
      <c r="Z294" s="385">
        <f t="shared" si="109"/>
        <v>4.5407303169790598</v>
      </c>
      <c r="AA294" s="386">
        <f t="shared" si="110"/>
        <v>5.0627267185874603</v>
      </c>
      <c r="AB294" s="197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0.10310578283673226</v>
      </c>
      <c r="AD294" s="231">
        <f>(INDEX(Models!$BJ294:$BT294,,AH294)*(1-AF294)+INDEX(Models!$BJ294:$BT294,,AH294+1)*AF294-ERP_i)*AE294*Ramure*Pc/MaxiM</f>
        <v>5.0556985173479735E-3</v>
      </c>
      <c r="AE294" s="305">
        <f t="shared" si="112"/>
        <v>0.7</v>
      </c>
      <c r="AF294" s="177">
        <f t="shared" si="113"/>
        <v>0.19785683366727369</v>
      </c>
      <c r="AG294" s="817">
        <f t="shared" si="119"/>
        <v>-1</v>
      </c>
      <c r="AH294" s="176">
        <f t="shared" si="114"/>
        <v>5</v>
      </c>
      <c r="AI294" s="225">
        <f t="shared" si="115"/>
        <v>-0.80214316633272631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8"/>
        <v>44111</v>
      </c>
      <c r="B295" s="617">
        <v>19.062999999999999</v>
      </c>
      <c r="C295" s="390"/>
      <c r="D295" s="393">
        <f t="shared" si="98"/>
        <v>19.443359829060697</v>
      </c>
      <c r="E295" s="385">
        <f t="shared" si="96"/>
        <v>21.67878749056878</v>
      </c>
      <c r="F295" s="385">
        <f t="shared" si="99"/>
        <v>21.761494623909538</v>
      </c>
      <c r="G295" s="110">
        <f t="shared" si="97"/>
        <v>0.76583251287747411</v>
      </c>
      <c r="H295" s="414" t="b">
        <f>Wh_hp&gt;='2019'!Maxi_hp</f>
        <v>0</v>
      </c>
      <c r="I295" s="380">
        <f>IF(H295,Wh_hp,'2019'!Maxi_hp)</f>
        <v>25.994388501606341</v>
      </c>
      <c r="J295" s="85">
        <f>IF(H295,An,'2019'!An_max)</f>
        <v>2019</v>
      </c>
      <c r="K295" s="197">
        <f t="shared" si="100"/>
        <v>44111</v>
      </c>
      <c r="L295" s="147">
        <f>IF(t&lt;Tvie,1-EXP((T0-t)*PertePVj)+'2019'!Pspv,1-EXP((T0-t)*PertePVj)+Pspv)</f>
        <v>1.95624538353808E-2</v>
      </c>
      <c r="M295" s="850"/>
      <c r="N295" s="850"/>
      <c r="O295" s="48">
        <f>IF(t&lt;Tnet,'2019'!Resal+('2019'!Salim-'2019'!Resal)*(1-EXP(('2019'!Tnet-t)/('2019'!Tau_j))),Resal+(Salim-Resal)*(1-EXP((Tnet-t)/(Tau_j))))*Salcycl</f>
        <v>0.10311589900867803</v>
      </c>
      <c r="P295" s="169">
        <f>(INDEX(Models!$BJ295:$BT295,,T295)*(1-R295)+INDEX(Models!$BJ295:$BT295,,T295+1)*R295-ERP_i)*Q295*Ramure*Pc/MaxiM</f>
        <v>5.6933189958052154E-3</v>
      </c>
      <c r="Q295" s="305">
        <f t="shared" si="101"/>
        <v>0.7</v>
      </c>
      <c r="R295" s="177">
        <f t="shared" si="102"/>
        <v>0.19794647750527372</v>
      </c>
      <c r="S295" s="817">
        <f t="shared" si="103"/>
        <v>-1</v>
      </c>
      <c r="T295" s="176">
        <f t="shared" si="104"/>
        <v>5</v>
      </c>
      <c r="U295" s="251">
        <f t="shared" si="105"/>
        <v>-0.80205352249472628</v>
      </c>
      <c r="V295" s="383">
        <f t="shared" si="106"/>
        <v>24.844573028609343</v>
      </c>
      <c r="W295" s="402"/>
      <c r="X295" s="157">
        <f t="shared" si="107"/>
        <v>44111</v>
      </c>
      <c r="Y295" s="385">
        <f t="shared" si="108"/>
        <v>19.062999999999999</v>
      </c>
      <c r="Z295" s="385">
        <f t="shared" si="109"/>
        <v>19.443359829060697</v>
      </c>
      <c r="AA295" s="386">
        <f t="shared" si="110"/>
        <v>21.67878749056878</v>
      </c>
      <c r="AB295" s="197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0.10311589900867803</v>
      </c>
      <c r="AD295" s="231">
        <f>(INDEX(Models!$BJ295:$BT295,,AH295)*(1-AF295)+INDEX(Models!$BJ295:$BT295,,AH295+1)*AF295-ERP_i)*AE295*Ramure*Pc/MaxiM</f>
        <v>5.6933189958052154E-3</v>
      </c>
      <c r="AE295" s="305">
        <f t="shared" si="112"/>
        <v>0.7</v>
      </c>
      <c r="AF295" s="177">
        <f t="shared" si="113"/>
        <v>0.19794647750527372</v>
      </c>
      <c r="AG295" s="817">
        <f t="shared" si="119"/>
        <v>-1</v>
      </c>
      <c r="AH295" s="176">
        <f t="shared" si="114"/>
        <v>5</v>
      </c>
      <c r="AI295" s="225">
        <f t="shared" si="115"/>
        <v>-0.80205352249472628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8"/>
        <v>44112</v>
      </c>
      <c r="B296" s="617">
        <v>20.768999999999998</v>
      </c>
      <c r="C296" s="390"/>
      <c r="D296" s="393">
        <f t="shared" si="98"/>
        <v>21.18386325127387</v>
      </c>
      <c r="E296" s="385">
        <f t="shared" si="96"/>
        <v>23.619623275314449</v>
      </c>
      <c r="F296" s="385">
        <f t="shared" si="99"/>
        <v>23.737292391066141</v>
      </c>
      <c r="G296" s="110">
        <f t="shared" si="97"/>
        <v>0.84350510681968116</v>
      </c>
      <c r="H296" s="414" t="b">
        <f>Wh_hp&gt;='2019'!Maxi_hp</f>
        <v>0</v>
      </c>
      <c r="I296" s="380">
        <f>IF(H296,Wh_hp,'2019'!Maxi_hp)</f>
        <v>24.685598541559333</v>
      </c>
      <c r="J296" s="85">
        <f>IF(H296,An,'2019'!An_max)</f>
        <v>2018</v>
      </c>
      <c r="K296" s="197">
        <f t="shared" si="100"/>
        <v>44112</v>
      </c>
      <c r="L296" s="147">
        <f>IF(t&lt;Tvie,1-EXP((T0-t)*PertePVj)+'2019'!Pspv,1-EXP((T0-t)*PertePVj)+Pspv)</f>
        <v>1.9583927933868428E-2</v>
      </c>
      <c r="M296" s="850"/>
      <c r="N296" s="850"/>
      <c r="O296" s="48">
        <f>IF(t&lt;Tnet,'2019'!Resal+('2019'!Salim-'2019'!Resal)*(1-EXP(('2019'!Tnet-t)/('2019'!Tau_j))),Resal+(Salim-Resal)*(1-EXP((Tnet-t)/(Tau_j))))*Salcycl</f>
        <v>0.10312442309722457</v>
      </c>
      <c r="P296" s="169">
        <f>(INDEX(Models!$BJ296:$BT296,,T296)*(1-R296)+INDEX(Models!$BJ296:$BT296,,T296+1)*R296-ERP_i)*Q296*Ramure*Pc/MaxiM</f>
        <v>6.3704205257311963E-3</v>
      </c>
      <c r="Q296" s="305">
        <f t="shared" si="101"/>
        <v>0.7</v>
      </c>
      <c r="R296" s="177">
        <f t="shared" si="102"/>
        <v>0.19803256270942082</v>
      </c>
      <c r="S296" s="817">
        <f t="shared" si="103"/>
        <v>-1</v>
      </c>
      <c r="T296" s="176">
        <f t="shared" si="104"/>
        <v>5</v>
      </c>
      <c r="U296" s="251">
        <f t="shared" si="105"/>
        <v>-0.80196743729057918</v>
      </c>
      <c r="V296" s="383">
        <f t="shared" si="106"/>
        <v>24.587286087682475</v>
      </c>
      <c r="W296" s="402"/>
      <c r="X296" s="157">
        <f t="shared" si="107"/>
        <v>44112</v>
      </c>
      <c r="Y296" s="385">
        <f t="shared" si="108"/>
        <v>20.768999999999998</v>
      </c>
      <c r="Z296" s="385">
        <f t="shared" si="109"/>
        <v>21.18386325127387</v>
      </c>
      <c r="AA296" s="386">
        <f t="shared" si="110"/>
        <v>23.619623275314449</v>
      </c>
      <c r="AB296" s="197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0.10312442309722457</v>
      </c>
      <c r="AD296" s="231">
        <f>(INDEX(Models!$BJ296:$BT296,,AH296)*(1-AF296)+INDEX(Models!$BJ296:$BT296,,AH296+1)*AF296-ERP_i)*AE296*Ramure*Pc/MaxiM</f>
        <v>6.3704205257311963E-3</v>
      </c>
      <c r="AE296" s="305">
        <f t="shared" si="112"/>
        <v>0.7</v>
      </c>
      <c r="AF296" s="177">
        <f t="shared" si="113"/>
        <v>0.19803256270942082</v>
      </c>
      <c r="AG296" s="817">
        <f t="shared" si="119"/>
        <v>-1</v>
      </c>
      <c r="AH296" s="176">
        <f t="shared" si="114"/>
        <v>5</v>
      </c>
      <c r="AI296" s="225">
        <f t="shared" si="115"/>
        <v>-0.80196743729057918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8"/>
        <v>44113</v>
      </c>
      <c r="B297" s="617">
        <v>15.349</v>
      </c>
      <c r="C297" s="390"/>
      <c r="D297" s="393">
        <f t="shared" si="98"/>
        <v>15.655941010338964</v>
      </c>
      <c r="E297" s="385">
        <f t="shared" ref="E297:E360" si="120">Wh_pvt/(1-Psa)</f>
        <v>17.456225194922695</v>
      </c>
      <c r="F297" s="385">
        <f t="shared" si="99"/>
        <v>17.514713938283542</v>
      </c>
      <c r="G297" s="110">
        <f t="shared" ref="G297:G360" si="121">+Wh_hp/MaxiM</f>
        <v>0.62857773060022237</v>
      </c>
      <c r="H297" s="414" t="b">
        <f>Wh_hp&gt;='2019'!Maxi_hp</f>
        <v>0</v>
      </c>
      <c r="I297" s="380">
        <f>IF(H297,Wh_hp,'2019'!Maxi_hp)</f>
        <v>20.599874346938165</v>
      </c>
      <c r="J297" s="85">
        <f>IF(H297,An,'2019'!An_max)</f>
        <v>2019</v>
      </c>
      <c r="K297" s="197">
        <f t="shared" si="100"/>
        <v>44113</v>
      </c>
      <c r="L297" s="147">
        <f>IF(t&lt;Tvie,1-EXP((T0-t)*PertePVj)+'2019'!Pspv,1-EXP((T0-t)*PertePVj)+Pspv)</f>
        <v>1.9605401562018177E-2</v>
      </c>
      <c r="M297" s="850"/>
      <c r="N297" s="850"/>
      <c r="O297" s="48">
        <f>IF(t&lt;Tnet,'2019'!Resal+('2019'!Salim-'2019'!Resal)*(1-EXP(('2019'!Tnet-t)/('2019'!Tau_j))),Resal+(Salim-Resal)*(1-EXP((Tnet-t)/(Tau_j))))*Salcycl</f>
        <v>0.10313135654937365</v>
      </c>
      <c r="P297" s="169">
        <f>(INDEX(Models!$BJ297:$BT297,,T297)*(1-R297)+INDEX(Models!$BJ297:$BT297,,T297+1)*R297-ERP_i)*Q297*Ramure*Pc/MaxiM</f>
        <v>7.0635687305638925E-3</v>
      </c>
      <c r="Q297" s="305">
        <f t="shared" si="101"/>
        <v>0.7</v>
      </c>
      <c r="R297" s="177">
        <f t="shared" si="102"/>
        <v>0.19811522860162012</v>
      </c>
      <c r="S297" s="817">
        <f t="shared" si="103"/>
        <v>-1</v>
      </c>
      <c r="T297" s="176">
        <f t="shared" si="104"/>
        <v>5</v>
      </c>
      <c r="U297" s="251">
        <f t="shared" si="105"/>
        <v>-0.80188477139837988</v>
      </c>
      <c r="V297" s="383">
        <f t="shared" si="106"/>
        <v>24.32737521035715</v>
      </c>
      <c r="W297" s="402"/>
      <c r="X297" s="157">
        <f t="shared" si="107"/>
        <v>44113</v>
      </c>
      <c r="Y297" s="385">
        <f t="shared" si="108"/>
        <v>15.348999999999998</v>
      </c>
      <c r="Z297" s="385">
        <f t="shared" si="109"/>
        <v>15.655941010338962</v>
      </c>
      <c r="AA297" s="386">
        <f t="shared" si="110"/>
        <v>17.456225194922695</v>
      </c>
      <c r="AB297" s="197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0.10313135654937365</v>
      </c>
      <c r="AD297" s="231">
        <f>(INDEX(Models!$BJ297:$BT297,,AH297)*(1-AF297)+INDEX(Models!$BJ297:$BT297,,AH297+1)*AF297-ERP_i)*AE297*Ramure*Pc/MaxiM</f>
        <v>7.0635687305638925E-3</v>
      </c>
      <c r="AE297" s="305">
        <f t="shared" si="112"/>
        <v>0.7</v>
      </c>
      <c r="AF297" s="177">
        <f t="shared" si="113"/>
        <v>0.19811522860162012</v>
      </c>
      <c r="AG297" s="817">
        <f t="shared" si="119"/>
        <v>-1</v>
      </c>
      <c r="AH297" s="176">
        <f t="shared" si="114"/>
        <v>5</v>
      </c>
      <c r="AI297" s="225">
        <f t="shared" si="115"/>
        <v>-0.80188477139837988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8"/>
        <v>44114</v>
      </c>
      <c r="B298" s="617">
        <v>13.242000000000001</v>
      </c>
      <c r="C298" s="390"/>
      <c r="D298" s="393">
        <f t="shared" si="98"/>
        <v>13.507102202761684</v>
      </c>
      <c r="E298" s="385">
        <f t="shared" si="120"/>
        <v>15.06038019841791</v>
      </c>
      <c r="F298" s="385">
        <f t="shared" si="99"/>
        <v>15.1023512557783</v>
      </c>
      <c r="G298" s="110">
        <f t="shared" si="121"/>
        <v>0.54750751699913514</v>
      </c>
      <c r="H298" s="414" t="b">
        <f>Wh_hp&gt;='2019'!Maxi_hp</f>
        <v>0</v>
      </c>
      <c r="I298" s="380">
        <f>IF(H298,Wh_hp,'2019'!Maxi_hp)</f>
        <v>26.924407109708781</v>
      </c>
      <c r="J298" s="85">
        <f>IF(H298,An,'2019'!An_max)</f>
        <v>2019</v>
      </c>
      <c r="K298" s="197">
        <f t="shared" si="100"/>
        <v>44114</v>
      </c>
      <c r="L298" s="147">
        <f>IF(t&lt;Tvie,1-EXP((T0-t)*PertePVj)+'2019'!Pspv,1-EXP((T0-t)*PertePVj)+Pspv)</f>
        <v>1.962687471984037E-2</v>
      </c>
      <c r="M298" s="850"/>
      <c r="N298" s="850"/>
      <c r="O298" s="48">
        <f>IF(t&lt;Tnet,'2019'!Resal+('2019'!Salim-'2019'!Resal)*(1-EXP(('2019'!Tnet-t)/('2019'!Tau_j))),Resal+(Salim-Resal)*(1-EXP((Tnet-t)/(Tau_j))))*Salcycl</f>
        <v>0.10313670539468835</v>
      </c>
      <c r="P298" s="169">
        <f>(INDEX(Models!$BJ298:$BT298,,T298)*(1-R298)+INDEX(Models!$BJ298:$BT298,,T298+1)*R298-ERP_i)*Q298*Ramure*Pc/MaxiM</f>
        <v>7.7733139631857278E-3</v>
      </c>
      <c r="Q298" s="305">
        <f t="shared" si="101"/>
        <v>0.7</v>
      </c>
      <c r="R298" s="177">
        <f t="shared" si="102"/>
        <v>0.19819460920200704</v>
      </c>
      <c r="S298" s="817">
        <f t="shared" si="103"/>
        <v>-1</v>
      </c>
      <c r="T298" s="176">
        <f t="shared" si="104"/>
        <v>5</v>
      </c>
      <c r="U298" s="251">
        <f t="shared" si="105"/>
        <v>-0.80180539079799296</v>
      </c>
      <c r="V298" s="383">
        <f t="shared" si="106"/>
        <v>24.064842956464258</v>
      </c>
      <c r="W298" s="402"/>
      <c r="X298" s="157">
        <f t="shared" si="107"/>
        <v>44114</v>
      </c>
      <c r="Y298" s="385">
        <f t="shared" si="108"/>
        <v>13.242000000000001</v>
      </c>
      <c r="Z298" s="385">
        <f t="shared" si="109"/>
        <v>13.507102202761684</v>
      </c>
      <c r="AA298" s="386">
        <f t="shared" si="110"/>
        <v>15.06038019841791</v>
      </c>
      <c r="AB298" s="197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0.10313670539468835</v>
      </c>
      <c r="AD298" s="231">
        <f>(INDEX(Models!$BJ298:$BT298,,AH298)*(1-AF298)+INDEX(Models!$BJ298:$BT298,,AH298+1)*AF298-ERP_i)*AE298*Ramure*Pc/MaxiM</f>
        <v>7.7733139631857278E-3</v>
      </c>
      <c r="AE298" s="305">
        <f t="shared" si="112"/>
        <v>0.7</v>
      </c>
      <c r="AF298" s="177">
        <f t="shared" si="113"/>
        <v>0.19819460920200704</v>
      </c>
      <c r="AG298" s="817">
        <f t="shared" si="119"/>
        <v>-1</v>
      </c>
      <c r="AH298" s="176">
        <f t="shared" si="114"/>
        <v>5</v>
      </c>
      <c r="AI298" s="225">
        <f t="shared" si="115"/>
        <v>-0.80180539079799296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8"/>
        <v>44115</v>
      </c>
      <c r="B299" s="617">
        <v>10.641999999999999</v>
      </c>
      <c r="C299" s="390"/>
      <c r="D299" s="393">
        <f t="shared" si="98"/>
        <v>10.855288479247202</v>
      </c>
      <c r="E299" s="385">
        <f t="shared" si="120"/>
        <v>12.103666452258935</v>
      </c>
      <c r="F299" s="385">
        <f t="shared" si="99"/>
        <v>12.12533266597117</v>
      </c>
      <c r="G299" s="110">
        <f t="shared" si="121"/>
        <v>0.44414139423974902</v>
      </c>
      <c r="H299" s="414" t="b">
        <f>Wh_hp&gt;='2019'!Maxi_hp</f>
        <v>0</v>
      </c>
      <c r="I299" s="380">
        <f>IF(H299,Wh_hp,'2019'!Maxi_hp)</f>
        <v>23.90841465362735</v>
      </c>
      <c r="J299" s="85">
        <f>IF(H299,An,'2019'!An_max)</f>
        <v>2018</v>
      </c>
      <c r="K299" s="197">
        <f t="shared" si="100"/>
        <v>44115</v>
      </c>
      <c r="L299" s="147">
        <f>IF(t&lt;Tvie,1-EXP((T0-t)*PertePVj)+'2019'!Pspv,1-EXP((T0-t)*PertePVj)+Pspv)</f>
        <v>1.9648347407345335E-2</v>
      </c>
      <c r="M299" s="850"/>
      <c r="N299" s="850"/>
      <c r="O299" s="48">
        <f>IF(t&lt;Tnet,'2019'!Resal+('2019'!Salim-'2019'!Resal)*(1-EXP(('2019'!Tnet-t)/('2019'!Tau_j))),Resal+(Salim-Resal)*(1-EXP((Tnet-t)/(Tau_j))))*Salcycl</f>
        <v>0.1031404804433244</v>
      </c>
      <c r="P299" s="169">
        <f>(INDEX(Models!$BJ299:$BT299,,T299)*(1-R299)+INDEX(Models!$BJ299:$BT299,,T299+1)*R299-ERP_i)*Q299*Ramure*Pc/MaxiM</f>
        <v>8.5002387382486413E-3</v>
      </c>
      <c r="Q299" s="305">
        <f t="shared" si="101"/>
        <v>0.7</v>
      </c>
      <c r="R299" s="177">
        <f t="shared" si="102"/>
        <v>0.19827083341866425</v>
      </c>
      <c r="S299" s="817">
        <f t="shared" si="103"/>
        <v>-1</v>
      </c>
      <c r="T299" s="176">
        <f t="shared" si="104"/>
        <v>5</v>
      </c>
      <c r="U299" s="251">
        <f t="shared" si="105"/>
        <v>-0.80172916658133575</v>
      </c>
      <c r="V299" s="383">
        <f t="shared" si="106"/>
        <v>23.799691767471938</v>
      </c>
      <c r="W299" s="402"/>
      <c r="X299" s="157">
        <f t="shared" si="107"/>
        <v>44115</v>
      </c>
      <c r="Y299" s="385">
        <f t="shared" si="108"/>
        <v>10.641999999999999</v>
      </c>
      <c r="Z299" s="385">
        <f t="shared" si="109"/>
        <v>10.855288479247202</v>
      </c>
      <c r="AA299" s="386">
        <f t="shared" si="110"/>
        <v>12.103666452258935</v>
      </c>
      <c r="AB299" s="197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0.1031404804433244</v>
      </c>
      <c r="AD299" s="231">
        <f>(INDEX(Models!$BJ299:$BT299,,AH299)*(1-AF299)+INDEX(Models!$BJ299:$BT299,,AH299+1)*AF299-ERP_i)*AE299*Ramure*Pc/MaxiM</f>
        <v>8.5002387382486413E-3</v>
      </c>
      <c r="AE299" s="305">
        <f t="shared" si="112"/>
        <v>0.7</v>
      </c>
      <c r="AF299" s="177">
        <f t="shared" si="113"/>
        <v>0.19827083341866425</v>
      </c>
      <c r="AG299" s="817">
        <f t="shared" si="119"/>
        <v>-1</v>
      </c>
      <c r="AH299" s="176">
        <f t="shared" si="114"/>
        <v>5</v>
      </c>
      <c r="AI299" s="225">
        <f t="shared" si="115"/>
        <v>-0.80172916658133575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8"/>
        <v>44116</v>
      </c>
      <c r="B300" s="617">
        <v>16.190999999999999</v>
      </c>
      <c r="C300" s="390"/>
      <c r="D300" s="393">
        <f t="shared" si="98"/>
        <v>16.5158640671442</v>
      </c>
      <c r="E300" s="385">
        <f t="shared" si="120"/>
        <v>18.415264078684196</v>
      </c>
      <c r="F300" s="385">
        <f t="shared" si="99"/>
        <v>18.510127208969521</v>
      </c>
      <c r="G300" s="110">
        <f t="shared" si="121"/>
        <v>0.68519467446137439</v>
      </c>
      <c r="H300" s="414" t="b">
        <f>Wh_hp&gt;='2019'!Maxi_hp</f>
        <v>0</v>
      </c>
      <c r="I300" s="380">
        <f>IF(H300,Wh_hp,'2019'!Maxi_hp)</f>
        <v>24.609346213352122</v>
      </c>
      <c r="J300" s="85">
        <f>IF(H300,An,'2019'!An_max)</f>
        <v>2019</v>
      </c>
      <c r="K300" s="197">
        <f t="shared" si="100"/>
        <v>44116</v>
      </c>
      <c r="L300" s="147">
        <f>IF(t&lt;Tvie,1-EXP((T0-t)*PertePVj)+'2019'!Pspv,1-EXP((T0-t)*PertePVj)+Pspv)</f>
        <v>1.9669819624543283E-2</v>
      </c>
      <c r="M300" s="850"/>
      <c r="N300" s="850"/>
      <c r="O300" s="48">
        <f>IF(t&lt;Tnet,'2019'!Resal+('2019'!Salim-'2019'!Resal)*(1-EXP(('2019'!Tnet-t)/('2019'!Tau_j))),Resal+(Salim-Resal)*(1-EXP((Tnet-t)/(Tau_j))))*Salcycl</f>
        <v>0.10314269746142628</v>
      </c>
      <c r="P300" s="169">
        <f>(INDEX(Models!$BJ300:$BT300,,T300)*(1-R300)+INDEX(Models!$BJ300:$BT300,,T300+1)*R300-ERP_i)*Q300*Ramure*Pc/MaxiM</f>
        <v>9.2449607498859363E-3</v>
      </c>
      <c r="Q300" s="305">
        <f t="shared" si="101"/>
        <v>0.7</v>
      </c>
      <c r="R300" s="177">
        <f t="shared" si="102"/>
        <v>0.19834402523151196</v>
      </c>
      <c r="S300" s="817">
        <f t="shared" si="103"/>
        <v>-1</v>
      </c>
      <c r="T300" s="176">
        <f t="shared" si="104"/>
        <v>5</v>
      </c>
      <c r="U300" s="251">
        <f t="shared" si="105"/>
        <v>-0.80165597476848804</v>
      </c>
      <c r="V300" s="383">
        <f t="shared" si="106"/>
        <v>23.531923951281232</v>
      </c>
      <c r="W300" s="402"/>
      <c r="X300" s="157">
        <f t="shared" si="107"/>
        <v>44116</v>
      </c>
      <c r="Y300" s="385">
        <f t="shared" si="108"/>
        <v>16.190999999999999</v>
      </c>
      <c r="Z300" s="385">
        <f t="shared" si="109"/>
        <v>16.5158640671442</v>
      </c>
      <c r="AA300" s="386">
        <f t="shared" si="110"/>
        <v>18.415264078684196</v>
      </c>
      <c r="AB300" s="197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0.10314269746142628</v>
      </c>
      <c r="AD300" s="231">
        <f>(INDEX(Models!$BJ300:$BT300,,AH300)*(1-AF300)+INDEX(Models!$BJ300:$BT300,,AH300+1)*AF300-ERP_i)*AE300*Ramure*Pc/MaxiM</f>
        <v>9.2449607498859363E-3</v>
      </c>
      <c r="AE300" s="305">
        <f t="shared" si="112"/>
        <v>0.7</v>
      </c>
      <c r="AF300" s="177">
        <f t="shared" si="113"/>
        <v>0.19834402523151196</v>
      </c>
      <c r="AG300" s="817">
        <f t="shared" si="119"/>
        <v>-1</v>
      </c>
      <c r="AH300" s="176">
        <f t="shared" si="114"/>
        <v>5</v>
      </c>
      <c r="AI300" s="225">
        <f t="shared" si="115"/>
        <v>-0.80165597476848804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8"/>
        <v>44117</v>
      </c>
      <c r="B301" s="617">
        <v>14.6</v>
      </c>
      <c r="C301" s="390"/>
      <c r="D301" s="393">
        <f t="shared" si="98"/>
        <v>14.893267673226418</v>
      </c>
      <c r="E301" s="385">
        <f t="shared" si="120"/>
        <v>16.606074256050459</v>
      </c>
      <c r="F301" s="385">
        <f t="shared" si="99"/>
        <v>16.68423081889739</v>
      </c>
      <c r="G301" s="110">
        <f t="shared" si="121"/>
        <v>0.62428830702917237</v>
      </c>
      <c r="H301" s="414" t="b">
        <f>Wh_hp&gt;='2019'!Maxi_hp</f>
        <v>0</v>
      </c>
      <c r="I301" s="380">
        <f>IF(H301,Wh_hp,'2019'!Maxi_hp)</f>
        <v>22.920666386979544</v>
      </c>
      <c r="J301" s="85">
        <f>IF(H301,An,'2019'!An_max)</f>
        <v>2018</v>
      </c>
      <c r="K301" s="197">
        <f t="shared" si="100"/>
        <v>44117</v>
      </c>
      <c r="L301" s="147">
        <f>IF(t&lt;Tvie,1-EXP((T0-t)*PertePVj)+'2019'!Pspv,1-EXP((T0-t)*PertePVj)+Pspv)</f>
        <v>1.9691291371444652E-2</v>
      </c>
      <c r="M301" s="850"/>
      <c r="N301" s="850"/>
      <c r="O301" s="48">
        <f>IF(t&lt;Tnet,'2019'!Resal+('2019'!Salim-'2019'!Resal)*(1-EXP(('2019'!Tnet-t)/('2019'!Tau_j))),Resal+(Salim-Resal)*(1-EXP((Tnet-t)/(Tau_j))))*Salcycl</f>
        <v>0.10314337732170367</v>
      </c>
      <c r="P301" s="169">
        <f>(INDEX(Models!$BJ301:$BT301,,T301)*(1-R301)+INDEX(Models!$BJ301:$BT301,,T301+1)*R301-ERP_i)*Q301*Ramure*Pc/MaxiM</f>
        <v>1.000813617758404E-2</v>
      </c>
      <c r="Q301" s="305">
        <f t="shared" si="101"/>
        <v>0.7</v>
      </c>
      <c r="R301" s="177">
        <f t="shared" si="102"/>
        <v>0.19841430387047099</v>
      </c>
      <c r="S301" s="817">
        <f t="shared" si="103"/>
        <v>-1</v>
      </c>
      <c r="T301" s="176">
        <f t="shared" si="104"/>
        <v>5</v>
      </c>
      <c r="U301" s="251">
        <f t="shared" si="105"/>
        <v>-0.80158569612952901</v>
      </c>
      <c r="V301" s="383">
        <f t="shared" si="106"/>
        <v>23.261541670642746</v>
      </c>
      <c r="W301" s="402"/>
      <c r="X301" s="157">
        <f t="shared" si="107"/>
        <v>44117</v>
      </c>
      <c r="Y301" s="385">
        <f t="shared" si="108"/>
        <v>14.599999999999998</v>
      </c>
      <c r="Z301" s="385">
        <f t="shared" si="109"/>
        <v>14.893267673226417</v>
      </c>
      <c r="AA301" s="386">
        <f t="shared" si="110"/>
        <v>16.606074256050459</v>
      </c>
      <c r="AB301" s="197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0.10314337732170367</v>
      </c>
      <c r="AD301" s="231">
        <f>(INDEX(Models!$BJ301:$BT301,,AH301)*(1-AF301)+INDEX(Models!$BJ301:$BT301,,AH301+1)*AF301-ERP_i)*AE301*Ramure*Pc/MaxiM</f>
        <v>1.000813617758404E-2</v>
      </c>
      <c r="AE301" s="305">
        <f t="shared" si="112"/>
        <v>0.7</v>
      </c>
      <c r="AF301" s="177">
        <f t="shared" si="113"/>
        <v>0.19841430387047099</v>
      </c>
      <c r="AG301" s="817">
        <f t="shared" si="119"/>
        <v>-1</v>
      </c>
      <c r="AH301" s="176">
        <f t="shared" si="114"/>
        <v>5</v>
      </c>
      <c r="AI301" s="225">
        <f t="shared" si="115"/>
        <v>-0.80158569612952901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8"/>
        <v>44118</v>
      </c>
      <c r="B302" s="617">
        <v>9.3979999999999997</v>
      </c>
      <c r="C302" s="390"/>
      <c r="D302" s="393">
        <f t="shared" si="98"/>
        <v>9.5869859791165997</v>
      </c>
      <c r="E302" s="385">
        <f t="shared" si="120"/>
        <v>10.689531472050287</v>
      </c>
      <c r="F302" s="385">
        <f t="shared" si="99"/>
        <v>10.707491526660181</v>
      </c>
      <c r="G302" s="110">
        <f t="shared" si="121"/>
        <v>0.40508044968719825</v>
      </c>
      <c r="H302" s="414" t="b">
        <f>Wh_hp&gt;='2019'!Maxi_hp</f>
        <v>0</v>
      </c>
      <c r="I302" s="380">
        <f>IF(H302,Wh_hp,'2019'!Maxi_hp)</f>
        <v>21.76037530092211</v>
      </c>
      <c r="J302" s="85">
        <f>IF(H302,An,'2019'!An_max)</f>
        <v>2019</v>
      </c>
      <c r="K302" s="197">
        <f t="shared" si="100"/>
        <v>44118</v>
      </c>
      <c r="L302" s="147">
        <f>IF(t&lt;Tvie,1-EXP((T0-t)*PertePVj)+'2019'!Pspv,1-EXP((T0-t)*PertePVj)+Pspv)</f>
        <v>1.9712762648059545E-2</v>
      </c>
      <c r="M302" s="850"/>
      <c r="N302" s="850"/>
      <c r="O302" s="48">
        <f>IF(t&lt;Tnet,'2019'!Resal+('2019'!Salim-'2019'!Resal)*(1-EXP(('2019'!Tnet-t)/('2019'!Tau_j))),Resal+(Salim-Resal)*(1-EXP((Tnet-t)/(Tau_j))))*Salcycl</f>
        <v>0.10314254612716112</v>
      </c>
      <c r="P302" s="169">
        <f>(INDEX(Models!$BJ302:$BT302,,T302)*(1-R302)+INDEX(Models!$BJ302:$BT302,,T302+1)*R302-ERP_i)*Q302*Ramure*Pc/MaxiM</f>
        <v>1.0790463306942076E-2</v>
      </c>
      <c r="Q302" s="305">
        <f t="shared" si="101"/>
        <v>0.7</v>
      </c>
      <c r="R302" s="177">
        <f t="shared" si="102"/>
        <v>0.19848178398800398</v>
      </c>
      <c r="S302" s="817">
        <f t="shared" si="103"/>
        <v>-1</v>
      </c>
      <c r="T302" s="176">
        <f t="shared" si="104"/>
        <v>5</v>
      </c>
      <c r="U302" s="251">
        <f t="shared" si="105"/>
        <v>-0.80151821601199602</v>
      </c>
      <c r="V302" s="383">
        <f t="shared" si="106"/>
        <v>22.988546927149127</v>
      </c>
      <c r="W302" s="402"/>
      <c r="X302" s="157">
        <f t="shared" si="107"/>
        <v>44118</v>
      </c>
      <c r="Y302" s="385">
        <f t="shared" si="108"/>
        <v>9.3979999999999997</v>
      </c>
      <c r="Z302" s="385">
        <f t="shared" si="109"/>
        <v>9.5869859791165997</v>
      </c>
      <c r="AA302" s="386">
        <f t="shared" si="110"/>
        <v>10.689531472050287</v>
      </c>
      <c r="AB302" s="197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0.10314254612716112</v>
      </c>
      <c r="AD302" s="231">
        <f>(INDEX(Models!$BJ302:$BT302,,AH302)*(1-AF302)+INDEX(Models!$BJ302:$BT302,,AH302+1)*AF302-ERP_i)*AE302*Ramure*Pc/MaxiM</f>
        <v>1.0790463306942076E-2</v>
      </c>
      <c r="AE302" s="305">
        <f t="shared" si="112"/>
        <v>0.7</v>
      </c>
      <c r="AF302" s="177">
        <f t="shared" si="113"/>
        <v>0.19848178398800398</v>
      </c>
      <c r="AG302" s="817">
        <f t="shared" si="119"/>
        <v>-1</v>
      </c>
      <c r="AH302" s="176">
        <f t="shared" si="114"/>
        <v>5</v>
      </c>
      <c r="AI302" s="225">
        <f t="shared" si="115"/>
        <v>-0.80151821601199602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8"/>
        <v>44119</v>
      </c>
      <c r="B303" s="617">
        <v>11.959</v>
      </c>
      <c r="C303" s="390"/>
      <c r="D303" s="393">
        <f t="shared" si="98"/>
        <v>12.199752769234008</v>
      </c>
      <c r="E303" s="385">
        <f t="shared" si="120"/>
        <v>13.602742869614934</v>
      </c>
      <c r="F303" s="385">
        <f t="shared" si="99"/>
        <v>13.653970666273697</v>
      </c>
      <c r="G303" s="110">
        <f t="shared" si="121"/>
        <v>0.52239795652112153</v>
      </c>
      <c r="H303" s="414" t="b">
        <f>Wh_hp&gt;='2019'!Maxi_hp</f>
        <v>0</v>
      </c>
      <c r="I303" s="380">
        <f>IF(H303,Wh_hp,'2019'!Maxi_hp)</f>
        <v>22.191841217096588</v>
      </c>
      <c r="J303" s="85">
        <f>IF(H303,An,'2019'!An_max)</f>
        <v>2019</v>
      </c>
      <c r="K303" s="197">
        <f t="shared" si="100"/>
        <v>44119</v>
      </c>
      <c r="L303" s="147">
        <f>IF(t&lt;Tvie,1-EXP((T0-t)*PertePVj)+'2019'!Pspv,1-EXP((T0-t)*PertePVj)+Pspv)</f>
        <v>1.9734233454398509E-2</v>
      </c>
      <c r="M303" s="850"/>
      <c r="N303" s="850"/>
      <c r="O303" s="48">
        <f>IF(t&lt;Tnet,'2019'!Resal+('2019'!Salim-'2019'!Resal)*(1-EXP(('2019'!Tnet-t)/('2019'!Tau_j))),Resal+(Salim-Resal)*(1-EXP((Tnet-t)/(Tau_j))))*Salcycl</f>
        <v>0.10314023530613442</v>
      </c>
      <c r="P303" s="169">
        <f>(INDEX(Models!$BJ303:$BT303,,T303)*(1-R303)+INDEX(Models!$BJ303:$BT303,,T303+1)*R303-ERP_i)*Q303*Ramure*Pc/MaxiM</f>
        <v>1.1592995061708683E-2</v>
      </c>
      <c r="Q303" s="305">
        <f t="shared" si="101"/>
        <v>0.7</v>
      </c>
      <c r="R303" s="177">
        <f t="shared" si="102"/>
        <v>0.1985465758261431</v>
      </c>
      <c r="S303" s="817">
        <f t="shared" si="103"/>
        <v>-1</v>
      </c>
      <c r="T303" s="176">
        <f t="shared" si="104"/>
        <v>5</v>
      </c>
      <c r="U303" s="251">
        <f t="shared" si="105"/>
        <v>-0.8014534241738569</v>
      </c>
      <c r="V303" s="383">
        <f t="shared" si="106"/>
        <v>22.712329904395155</v>
      </c>
      <c r="W303" s="402"/>
      <c r="X303" s="157">
        <f t="shared" si="107"/>
        <v>44119</v>
      </c>
      <c r="Y303" s="385">
        <f t="shared" si="108"/>
        <v>11.959</v>
      </c>
      <c r="Z303" s="385">
        <f t="shared" si="109"/>
        <v>12.199752769234008</v>
      </c>
      <c r="AA303" s="386">
        <f t="shared" si="110"/>
        <v>13.602742869614934</v>
      </c>
      <c r="AB303" s="197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0.10314023530613442</v>
      </c>
      <c r="AD303" s="231">
        <f>(INDEX(Models!$BJ303:$BT303,,AH303)*(1-AF303)+INDEX(Models!$BJ303:$BT303,,AH303+1)*AF303-ERP_i)*AE303*Ramure*Pc/MaxiM</f>
        <v>1.1592995061708683E-2</v>
      </c>
      <c r="AE303" s="305">
        <f t="shared" si="112"/>
        <v>0.7</v>
      </c>
      <c r="AF303" s="177">
        <f t="shared" si="113"/>
        <v>0.1985465758261431</v>
      </c>
      <c r="AG303" s="817">
        <f t="shared" si="119"/>
        <v>-1</v>
      </c>
      <c r="AH303" s="176">
        <f t="shared" si="114"/>
        <v>5</v>
      </c>
      <c r="AI303" s="225">
        <f t="shared" si="115"/>
        <v>-0.8014534241738569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8"/>
        <v>44120</v>
      </c>
      <c r="B304" s="617">
        <v>6.7140000000000004</v>
      </c>
      <c r="C304" s="390"/>
      <c r="D304" s="393">
        <f t="shared" si="98"/>
        <v>6.8493129987719659</v>
      </c>
      <c r="E304" s="385">
        <f t="shared" si="120"/>
        <v>7.6369624350191696</v>
      </c>
      <c r="F304" s="385">
        <f t="shared" si="99"/>
        <v>7.6369624350191696</v>
      </c>
      <c r="G304" s="110">
        <f t="shared" si="121"/>
        <v>0.29558197176114648</v>
      </c>
      <c r="H304" s="414" t="b">
        <f>Wh_hp&gt;='2019'!Maxi_hp</f>
        <v>0</v>
      </c>
      <c r="I304" s="380">
        <f>IF(H304,Wh_hp,'2019'!Maxi_hp)</f>
        <v>14.937723797625093</v>
      </c>
      <c r="J304" s="85">
        <f>IF(H304,An,'2019'!An_max)</f>
        <v>2018</v>
      </c>
      <c r="K304" s="197">
        <f t="shared" si="100"/>
        <v>44120</v>
      </c>
      <c r="L304" s="147">
        <f>IF(t&lt;Tvie,1-EXP((T0-t)*PertePVj)+'2019'!Pspv,1-EXP((T0-t)*PertePVj)+Pspv)</f>
        <v>1.9755703790471535E-2</v>
      </c>
      <c r="M304" s="850"/>
      <c r="N304" s="850"/>
      <c r="O304" s="48">
        <f>IF(t&lt;Tnet,'2019'!Resal+('2019'!Salim-'2019'!Resal)*(1-EXP(('2019'!Tnet-t)/('2019'!Tau_j))),Resal+(Salim-Resal)*(1-EXP((Tnet-t)/(Tau_j))))*Salcycl</f>
        <v>0.10313648167698845</v>
      </c>
      <c r="P304" s="169">
        <f>(INDEX(Models!$BJ304:$BT304,,T304)*(1-R304)+INDEX(Models!$BJ304:$BT304,,T304+1)*R304-ERP_i)*Q304*Ramure*Pc/MaxiM</f>
        <v>1.2420304172161792E-2</v>
      </c>
      <c r="Q304" s="305">
        <f t="shared" si="101"/>
        <v>0.7</v>
      </c>
      <c r="R304" s="177">
        <f t="shared" si="102"/>
        <v>0.19860878537811666</v>
      </c>
      <c r="S304" s="817">
        <f t="shared" si="103"/>
        <v>-1</v>
      </c>
      <c r="T304" s="176">
        <f t="shared" si="104"/>
        <v>5</v>
      </c>
      <c r="U304" s="251">
        <f t="shared" si="105"/>
        <v>-0.80139121462188334</v>
      </c>
      <c r="V304" s="383">
        <f t="shared" si="106"/>
        <v>22.432390034755439</v>
      </c>
      <c r="W304" s="402"/>
      <c r="X304" s="157">
        <f t="shared" si="107"/>
        <v>44120</v>
      </c>
      <c r="Y304" s="385">
        <f t="shared" si="108"/>
        <v>6.7140000000000004</v>
      </c>
      <c r="Z304" s="385">
        <f t="shared" si="109"/>
        <v>6.8493129987719659</v>
      </c>
      <c r="AA304" s="386">
        <f t="shared" si="110"/>
        <v>7.6369624350191696</v>
      </c>
      <c r="AB304" s="197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0.10313648167698845</v>
      </c>
      <c r="AD304" s="231">
        <f>(INDEX(Models!$BJ304:$BT304,,AH304)*(1-AF304)+INDEX(Models!$BJ304:$BT304,,AH304+1)*AF304-ERP_i)*AE304*Ramure*Pc/MaxiM</f>
        <v>1.2420304172161792E-2</v>
      </c>
      <c r="AE304" s="305">
        <f t="shared" si="112"/>
        <v>0.7</v>
      </c>
      <c r="AF304" s="177">
        <f t="shared" si="113"/>
        <v>0.19860878537811666</v>
      </c>
      <c r="AG304" s="817">
        <f t="shared" si="119"/>
        <v>-1</v>
      </c>
      <c r="AH304" s="176">
        <f t="shared" si="114"/>
        <v>5</v>
      </c>
      <c r="AI304" s="225">
        <f t="shared" si="115"/>
        <v>-0.80139121462188334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8"/>
        <v>44121</v>
      </c>
      <c r="B305" s="617">
        <v>22.189</v>
      </c>
      <c r="C305" s="390"/>
      <c r="D305" s="393">
        <f t="shared" si="98"/>
        <v>22.636689744072054</v>
      </c>
      <c r="E305" s="385">
        <f t="shared" si="120"/>
        <v>25.239692764041518</v>
      </c>
      <c r="F305" s="385">
        <f t="shared" si="99"/>
        <v>25.579002164286386</v>
      </c>
      <c r="G305" s="110">
        <f t="shared" si="121"/>
        <v>1.0017971386237428</v>
      </c>
      <c r="H305" s="414" t="b">
        <f>Wh_hp&gt;='2019'!Maxi_hp</f>
        <v>1</v>
      </c>
      <c r="I305" s="380">
        <f>IF(H305,Wh_hp,'2019'!Maxi_hp)</f>
        <v>25.579002164286386</v>
      </c>
      <c r="J305" s="85">
        <f>IF(H305,An,'2019'!An_max)</f>
        <v>2020</v>
      </c>
      <c r="K305" s="197">
        <f t="shared" si="100"/>
        <v>44121</v>
      </c>
      <c r="L305" s="147">
        <f>IF(t&lt;Tvie,1-EXP((T0-t)*PertePVj)+'2019'!Pspv,1-EXP((T0-t)*PertePVj)+Pspv)</f>
        <v>1.9777173656289282E-2</v>
      </c>
      <c r="M305" s="850"/>
      <c r="N305" s="850"/>
      <c r="O305" s="48">
        <f>IF(t&lt;Tnet,'2019'!Resal+('2019'!Salim-'2019'!Resal)*(1-EXP(('2019'!Tnet-t)/('2019'!Tau_j))),Resal+(Salim-Resal)*(1-EXP((Tnet-t)/(Tau_j))))*Salcycl</f>
        <v>0.10313132748105042</v>
      </c>
      <c r="P305" s="169">
        <f>(INDEX(Models!$BJ305:$BT305,,T305)*(1-R305)+INDEX(Models!$BJ305:$BT305,,T305+1)*R305-ERP_i)*Q305*Ramure*Pc/MaxiM</f>
        <v>1.3265153897152967E-2</v>
      </c>
      <c r="Q305" s="305">
        <f t="shared" si="101"/>
        <v>0.7</v>
      </c>
      <c r="R305" s="177">
        <f t="shared" si="102"/>
        <v>0.19866851454469636</v>
      </c>
      <c r="S305" s="817">
        <f t="shared" si="103"/>
        <v>-1</v>
      </c>
      <c r="T305" s="176">
        <f t="shared" si="104"/>
        <v>5</v>
      </c>
      <c r="U305" s="251">
        <f t="shared" si="105"/>
        <v>-0.80133148545530364</v>
      </c>
      <c r="V305" s="383">
        <f t="shared" si="106"/>
        <v>22.149194826492504</v>
      </c>
      <c r="W305" s="402"/>
      <c r="X305" s="157">
        <f t="shared" si="107"/>
        <v>44121</v>
      </c>
      <c r="Y305" s="385">
        <f t="shared" si="108"/>
        <v>22.189</v>
      </c>
      <c r="Z305" s="385">
        <f t="shared" si="109"/>
        <v>22.636689744072054</v>
      </c>
      <c r="AA305" s="386">
        <f t="shared" si="110"/>
        <v>25.239692764041518</v>
      </c>
      <c r="AB305" s="197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0.10313132748105042</v>
      </c>
      <c r="AD305" s="231">
        <f>(INDEX(Models!$BJ305:$BT305,,AH305)*(1-AF305)+INDEX(Models!$BJ305:$BT305,,AH305+1)*AF305-ERP_i)*AE305*Ramure*Pc/MaxiM</f>
        <v>1.3265153897152967E-2</v>
      </c>
      <c r="AE305" s="305">
        <f t="shared" si="112"/>
        <v>0.7</v>
      </c>
      <c r="AF305" s="177">
        <f t="shared" si="113"/>
        <v>0.19866851454469636</v>
      </c>
      <c r="AG305" s="817">
        <f t="shared" si="119"/>
        <v>-1</v>
      </c>
      <c r="AH305" s="176">
        <f t="shared" si="114"/>
        <v>5</v>
      </c>
      <c r="AI305" s="225">
        <f t="shared" si="115"/>
        <v>-0.80133148545530364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8"/>
        <v>44122</v>
      </c>
      <c r="B306" s="617">
        <v>21.637</v>
      </c>
      <c r="C306" s="390"/>
      <c r="D306" s="393">
        <f t="shared" si="98"/>
        <v>22.074035958659461</v>
      </c>
      <c r="E306" s="385">
        <f t="shared" si="120"/>
        <v>24.612160599734555</v>
      </c>
      <c r="F306" s="385">
        <f t="shared" si="99"/>
        <v>24.959587812927008</v>
      </c>
      <c r="G306" s="110">
        <f t="shared" si="121"/>
        <v>0.98945224917427899</v>
      </c>
      <c r="H306" s="414" t="b">
        <f>Wh_hp&gt;='2019'!Maxi_hp</f>
        <v>1</v>
      </c>
      <c r="I306" s="380">
        <f>IF(H306,Wh_hp,'2019'!Maxi_hp)</f>
        <v>24.959587812927008</v>
      </c>
      <c r="J306" s="85">
        <f>IF(H306,An,'2019'!An_max)</f>
        <v>2020</v>
      </c>
      <c r="K306" s="197">
        <f t="shared" si="100"/>
        <v>44122</v>
      </c>
      <c r="L306" s="147">
        <f>IF(t&lt;Tvie,1-EXP((T0-t)*PertePVj)+'2019'!Pspv,1-EXP((T0-t)*PertePVj)+Pspv)</f>
        <v>1.9798643051861742E-2</v>
      </c>
      <c r="M306" s="850"/>
      <c r="N306" s="850"/>
      <c r="O306" s="48">
        <f>IF(t&lt;Tnet,'2019'!Resal+('2019'!Salim-'2019'!Resal)*(1-EXP(('2019'!Tnet-t)/('2019'!Tau_j))),Resal+(Salim-Resal)*(1-EXP((Tnet-t)/(Tau_j))))*Salcycl</f>
        <v>0.10312482038259024</v>
      </c>
      <c r="P306" s="169">
        <f>(INDEX(Models!$BJ306:$BT306,,T306)*(1-R306)+INDEX(Models!$BJ306:$BT306,,T306+1)*R306-ERP_i)*Q306*Ramure*Pc/MaxiM</f>
        <v>1.4128250146650237E-2</v>
      </c>
      <c r="Q306" s="305">
        <f t="shared" si="101"/>
        <v>0.7</v>
      </c>
      <c r="R306" s="177">
        <f t="shared" si="102"/>
        <v>0.19872586128537861</v>
      </c>
      <c r="S306" s="817">
        <f t="shared" si="103"/>
        <v>-1</v>
      </c>
      <c r="T306" s="176">
        <f t="shared" si="104"/>
        <v>5</v>
      </c>
      <c r="U306" s="251">
        <f t="shared" si="105"/>
        <v>-0.80127413871462139</v>
      </c>
      <c r="V306" s="383">
        <f t="shared" si="106"/>
        <v>21.863027239204094</v>
      </c>
      <c r="W306" s="402"/>
      <c r="X306" s="157">
        <f t="shared" si="107"/>
        <v>44122</v>
      </c>
      <c r="Y306" s="385">
        <f t="shared" si="108"/>
        <v>21.637</v>
      </c>
      <c r="Z306" s="385">
        <f t="shared" si="109"/>
        <v>22.074035958659461</v>
      </c>
      <c r="AA306" s="386">
        <f t="shared" si="110"/>
        <v>24.612160599734555</v>
      </c>
      <c r="AB306" s="197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0.10312482038259024</v>
      </c>
      <c r="AD306" s="231">
        <f>(INDEX(Models!$BJ306:$BT306,,AH306)*(1-AF306)+INDEX(Models!$BJ306:$BT306,,AH306+1)*AF306-ERP_i)*AE306*Ramure*Pc/MaxiM</f>
        <v>1.4128250146650237E-2</v>
      </c>
      <c r="AE306" s="305">
        <f t="shared" si="112"/>
        <v>0.7</v>
      </c>
      <c r="AF306" s="177">
        <f t="shared" si="113"/>
        <v>0.19872586128537861</v>
      </c>
      <c r="AG306" s="817">
        <f t="shared" si="119"/>
        <v>-1</v>
      </c>
      <c r="AH306" s="176">
        <f t="shared" si="114"/>
        <v>5</v>
      </c>
      <c r="AI306" s="225">
        <f t="shared" si="115"/>
        <v>-0.80127413871462139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8"/>
        <v>44123</v>
      </c>
      <c r="B307" s="617">
        <v>17.648</v>
      </c>
      <c r="C307" s="390"/>
      <c r="D307" s="393">
        <f t="shared" si="98"/>
        <v>18.004858307794088</v>
      </c>
      <c r="E307" s="385">
        <f t="shared" si="120"/>
        <v>20.074924574887618</v>
      </c>
      <c r="F307" s="385">
        <f t="shared" si="99"/>
        <v>20.300420803339481</v>
      </c>
      <c r="G307" s="110">
        <f t="shared" si="121"/>
        <v>0.81478720661581949</v>
      </c>
      <c r="H307" s="414" t="b">
        <f>Wh_hp&gt;='2019'!Maxi_hp</f>
        <v>1</v>
      </c>
      <c r="I307" s="380">
        <f>IF(H307,Wh_hp,'2019'!Maxi_hp)</f>
        <v>20.300420803339481</v>
      </c>
      <c r="J307" s="85">
        <f>IF(H307,An,'2019'!An_max)</f>
        <v>2020</v>
      </c>
      <c r="K307" s="197">
        <f t="shared" si="100"/>
        <v>44123</v>
      </c>
      <c r="L307" s="147">
        <f>IF(t&lt;Tvie,1-EXP((T0-t)*PertePVj)+'2019'!Pspv,1-EXP((T0-t)*PertePVj)+Pspv)</f>
        <v>1.9820111977199351E-2</v>
      </c>
      <c r="M307" s="850"/>
      <c r="N307" s="850"/>
      <c r="O307" s="48">
        <f>IF(t&lt;Tnet,'2019'!Resal+('2019'!Salim-'2019'!Resal)*(1-EXP(('2019'!Tnet-t)/('2019'!Tau_j))),Resal+(Salim-Resal)*(1-EXP((Tnet-t)/(Tau_j))))*Salcycl</f>
        <v>0.10311701343491202</v>
      </c>
      <c r="P307" s="169">
        <f>(INDEX(Models!$BJ307:$BT307,,T307)*(1-R307)+INDEX(Models!$BJ307:$BT307,,T307+1)*R307-ERP_i)*Q307*Ramure*Pc/MaxiM</f>
        <v>1.501031263182597E-2</v>
      </c>
      <c r="Q307" s="305">
        <f t="shared" si="101"/>
        <v>0.7</v>
      </c>
      <c r="R307" s="177">
        <f t="shared" si="102"/>
        <v>0.19878091976452694</v>
      </c>
      <c r="S307" s="817">
        <f t="shared" si="103"/>
        <v>-1</v>
      </c>
      <c r="T307" s="176">
        <f t="shared" si="104"/>
        <v>5</v>
      </c>
      <c r="U307" s="251">
        <f t="shared" si="105"/>
        <v>-0.80121908023547306</v>
      </c>
      <c r="V307" s="383">
        <f t="shared" si="106"/>
        <v>21.574169948294912</v>
      </c>
      <c r="W307" s="402"/>
      <c r="X307" s="157">
        <f t="shared" si="107"/>
        <v>44123</v>
      </c>
      <c r="Y307" s="385">
        <f t="shared" si="108"/>
        <v>17.648</v>
      </c>
      <c r="Z307" s="385">
        <f t="shared" si="109"/>
        <v>18.004858307794088</v>
      </c>
      <c r="AA307" s="386">
        <f t="shared" si="110"/>
        <v>20.074924574887618</v>
      </c>
      <c r="AB307" s="197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0.10311701343491202</v>
      </c>
      <c r="AD307" s="231">
        <f>(INDEX(Models!$BJ307:$BT307,,AH307)*(1-AF307)+INDEX(Models!$BJ307:$BT307,,AH307+1)*AF307-ERP_i)*AE307*Ramure*Pc/MaxiM</f>
        <v>1.501031263182597E-2</v>
      </c>
      <c r="AE307" s="305">
        <f t="shared" si="112"/>
        <v>0.7</v>
      </c>
      <c r="AF307" s="177">
        <f t="shared" si="113"/>
        <v>0.19878091976452694</v>
      </c>
      <c r="AG307" s="817">
        <f t="shared" si="119"/>
        <v>-1</v>
      </c>
      <c r="AH307" s="176">
        <f t="shared" si="114"/>
        <v>5</v>
      </c>
      <c r="AI307" s="225">
        <f t="shared" si="115"/>
        <v>-0.80121908023547306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8"/>
        <v>44124</v>
      </c>
      <c r="B308" s="617">
        <v>3.2629999999999999</v>
      </c>
      <c r="C308" s="390"/>
      <c r="D308" s="393">
        <f t="shared" si="98"/>
        <v>3.3290536864838556</v>
      </c>
      <c r="E308" s="385">
        <f t="shared" si="120"/>
        <v>3.711766362746181</v>
      </c>
      <c r="F308" s="385">
        <f t="shared" si="99"/>
        <v>3.711766362746181</v>
      </c>
      <c r="G308" s="110">
        <f t="shared" si="121"/>
        <v>0.15087596578209703</v>
      </c>
      <c r="H308" s="414" t="b">
        <f>Wh_hp&gt;='2019'!Maxi_hp</f>
        <v>0</v>
      </c>
      <c r="I308" s="380">
        <f>IF(H308,Wh_hp,'2019'!Maxi_hp)</f>
        <v>15.02935928669431</v>
      </c>
      <c r="J308" s="85">
        <f>IF(H308,An,'2019'!An_max)</f>
        <v>2019</v>
      </c>
      <c r="K308" s="197">
        <f t="shared" si="100"/>
        <v>44124</v>
      </c>
      <c r="L308" s="147">
        <f>IF(t&lt;Tvie,1-EXP((T0-t)*PertePVj)+'2019'!Pspv,1-EXP((T0-t)*PertePVj)+Pspv)</f>
        <v>1.9841580432312433E-2</v>
      </c>
      <c r="M308" s="850"/>
      <c r="N308" s="850"/>
      <c r="O308" s="48">
        <f>IF(t&lt;Tnet,'2019'!Resal+('2019'!Salim-'2019'!Resal)*(1-EXP(('2019'!Tnet-t)/('2019'!Tau_j))),Resal+(Salim-Resal)*(1-EXP((Tnet-t)/(Tau_j))))*Salcycl</f>
        <v>0.10310796501188511</v>
      </c>
      <c r="P308" s="169">
        <f>(INDEX(Models!$BJ308:$BT308,,T308)*(1-R308)+INDEX(Models!$BJ308:$BT308,,T308+1)*R308-ERP_i)*Q308*Ramure*Pc/MaxiM</f>
        <v>1.5912075102736175E-2</v>
      </c>
      <c r="Q308" s="305">
        <f t="shared" si="101"/>
        <v>0.7</v>
      </c>
      <c r="R308" s="177">
        <f t="shared" si="102"/>
        <v>0.19883378049259726</v>
      </c>
      <c r="S308" s="817">
        <f t="shared" si="103"/>
        <v>-1</v>
      </c>
      <c r="T308" s="176">
        <f t="shared" si="104"/>
        <v>5</v>
      </c>
      <c r="U308" s="251">
        <f t="shared" si="105"/>
        <v>-0.80116621950740274</v>
      </c>
      <c r="V308" s="383">
        <f t="shared" si="106"/>
        <v>21.282905347412189</v>
      </c>
      <c r="W308" s="402"/>
      <c r="X308" s="157">
        <f t="shared" si="107"/>
        <v>44124</v>
      </c>
      <c r="Y308" s="385">
        <f t="shared" si="108"/>
        <v>3.2629999999999999</v>
      </c>
      <c r="Z308" s="385">
        <f t="shared" si="109"/>
        <v>3.3290536864838556</v>
      </c>
      <c r="AA308" s="386">
        <f t="shared" si="110"/>
        <v>3.711766362746181</v>
      </c>
      <c r="AB308" s="197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0.10310796501188511</v>
      </c>
      <c r="AD308" s="231">
        <f>(INDEX(Models!$BJ308:$BT308,,AH308)*(1-AF308)+INDEX(Models!$BJ308:$BT308,,AH308+1)*AF308-ERP_i)*AE308*Ramure*Pc/MaxiM</f>
        <v>1.5912075102736175E-2</v>
      </c>
      <c r="AE308" s="305">
        <f t="shared" si="112"/>
        <v>0.7</v>
      </c>
      <c r="AF308" s="177">
        <f t="shared" si="113"/>
        <v>0.19883378049259726</v>
      </c>
      <c r="AG308" s="817">
        <f t="shared" si="119"/>
        <v>-1</v>
      </c>
      <c r="AH308" s="176">
        <f t="shared" si="114"/>
        <v>5</v>
      </c>
      <c r="AI308" s="225">
        <f t="shared" si="115"/>
        <v>-0.80116621950740274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8"/>
        <v>44125</v>
      </c>
      <c r="B309" s="617">
        <v>14.545</v>
      </c>
      <c r="C309" s="390"/>
      <c r="D309" s="393">
        <f t="shared" si="98"/>
        <v>14.839762929569984</v>
      </c>
      <c r="E309" s="385">
        <f t="shared" si="120"/>
        <v>16.545574216900203</v>
      </c>
      <c r="F309" s="385">
        <f t="shared" si="99"/>
        <v>16.703428422228029</v>
      </c>
      <c r="G309" s="110">
        <f t="shared" si="121"/>
        <v>0.68779943117401487</v>
      </c>
      <c r="H309" s="414" t="b">
        <f>Wh_hp&gt;='2019'!Maxi_hp</f>
        <v>1</v>
      </c>
      <c r="I309" s="380">
        <f>IF(H309,Wh_hp,'2019'!Maxi_hp)</f>
        <v>16.703428422228029</v>
      </c>
      <c r="J309" s="85">
        <f>IF(H309,An,'2019'!An_max)</f>
        <v>2020</v>
      </c>
      <c r="K309" s="197">
        <f t="shared" si="100"/>
        <v>44125</v>
      </c>
      <c r="L309" s="147">
        <f>IF(t&lt;Tvie,1-EXP((T0-t)*PertePVj)+'2019'!Pspv,1-EXP((T0-t)*PertePVj)+Pspv)</f>
        <v>1.9863048417211204E-2</v>
      </c>
      <c r="M309" s="850"/>
      <c r="N309" s="850"/>
      <c r="O309" s="48">
        <f>IF(t&lt;Tnet,'2019'!Resal+('2019'!Salim-'2019'!Resal)*(1-EXP(('2019'!Tnet-t)/('2019'!Tau_j))),Resal+(Salim-Resal)*(1-EXP((Tnet-t)/(Tau_j))))*Salcycl</f>
        <v>0.10309773870451985</v>
      </c>
      <c r="P309" s="169">
        <f>(INDEX(Models!$BJ309:$BT309,,T309)*(1-R309)+INDEX(Models!$BJ309:$BT309,,T309+1)*R309-ERP_i)*Q309*Ramure*Pc/MaxiM</f>
        <v>1.6834285407611255E-2</v>
      </c>
      <c r="Q309" s="305">
        <f t="shared" si="101"/>
        <v>0.7</v>
      </c>
      <c r="R309" s="177">
        <f t="shared" si="102"/>
        <v>0.19888453046256882</v>
      </c>
      <c r="S309" s="817">
        <f t="shared" si="103"/>
        <v>-1</v>
      </c>
      <c r="T309" s="176">
        <f t="shared" si="104"/>
        <v>5</v>
      </c>
      <c r="U309" s="251">
        <f t="shared" si="105"/>
        <v>-0.80111546953743118</v>
      </c>
      <c r="V309" s="383">
        <f t="shared" si="106"/>
        <v>20.989515545758014</v>
      </c>
      <c r="W309" s="402"/>
      <c r="X309" s="157">
        <f t="shared" si="107"/>
        <v>44125</v>
      </c>
      <c r="Y309" s="385">
        <f t="shared" si="108"/>
        <v>14.545</v>
      </c>
      <c r="Z309" s="385">
        <f t="shared" si="109"/>
        <v>14.839762929569984</v>
      </c>
      <c r="AA309" s="386">
        <f t="shared" si="110"/>
        <v>16.545574216900203</v>
      </c>
      <c r="AB309" s="197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0.10309773870451985</v>
      </c>
      <c r="AD309" s="231">
        <f>(INDEX(Models!$BJ309:$BT309,,AH309)*(1-AF309)+INDEX(Models!$BJ309:$BT309,,AH309+1)*AF309-ERP_i)*AE309*Ramure*Pc/MaxiM</f>
        <v>1.6834285407611255E-2</v>
      </c>
      <c r="AE309" s="305">
        <f t="shared" si="112"/>
        <v>0.7</v>
      </c>
      <c r="AF309" s="177">
        <f t="shared" si="113"/>
        <v>0.19888453046256882</v>
      </c>
      <c r="AG309" s="817">
        <f t="shared" si="119"/>
        <v>-1</v>
      </c>
      <c r="AH309" s="176">
        <f t="shared" si="114"/>
        <v>5</v>
      </c>
      <c r="AI309" s="225">
        <f t="shared" si="115"/>
        <v>-0.80111546953743118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8"/>
        <v>44126</v>
      </c>
      <c r="B310" s="617">
        <v>3.1040000000000001</v>
      </c>
      <c r="C310" s="390"/>
      <c r="D310" s="393">
        <f t="shared" si="98"/>
        <v>3.1669737397846767</v>
      </c>
      <c r="E310" s="385">
        <f t="shared" si="120"/>
        <v>3.5309685916479561</v>
      </c>
      <c r="F310" s="385">
        <f t="shared" si="99"/>
        <v>3.5309685916479561</v>
      </c>
      <c r="G310" s="110">
        <f t="shared" si="121"/>
        <v>0.14732658751696648</v>
      </c>
      <c r="H310" s="414" t="b">
        <f>Wh_hp&gt;='2019'!Maxi_hp</f>
        <v>0</v>
      </c>
      <c r="I310" s="380">
        <f>IF(H310,Wh_hp,'2019'!Maxi_hp)</f>
        <v>23.868421011205619</v>
      </c>
      <c r="J310" s="85">
        <f>IF(H310,An,'2019'!An_max)</f>
        <v>2018</v>
      </c>
      <c r="K310" s="197">
        <f t="shared" si="100"/>
        <v>44126</v>
      </c>
      <c r="L310" s="147">
        <f>IF(t&lt;Tvie,1-EXP((T0-t)*PertePVj)+'2019'!Pspv,1-EXP((T0-t)*PertePVj)+Pspv)</f>
        <v>1.9884515931906099E-2</v>
      </c>
      <c r="M310" s="850"/>
      <c r="N310" s="850"/>
      <c r="O310" s="48">
        <f>IF(t&lt;Tnet,'2019'!Resal+('2019'!Salim-'2019'!Resal)*(1-EXP(('2019'!Tnet-t)/('2019'!Tau_j))),Resal+(Salim-Resal)*(1-EXP((Tnet-t)/(Tau_j))))*Salcycl</f>
        <v>0.10308640318247567</v>
      </c>
      <c r="P310" s="169">
        <f>(INDEX(Models!$BJ310:$BT310,,T310)*(1-R310)+INDEX(Models!$BJ310:$BT310,,T310+1)*R310-ERP_i)*Q310*Ramure*Pc/MaxiM</f>
        <v>1.7752932154403961E-2</v>
      </c>
      <c r="Q310" s="305">
        <f t="shared" si="101"/>
        <v>0.7</v>
      </c>
      <c r="R310" s="177">
        <f t="shared" si="102"/>
        <v>0.19893325328170786</v>
      </c>
      <c r="S310" s="817">
        <f t="shared" si="103"/>
        <v>-1</v>
      </c>
      <c r="T310" s="176">
        <f t="shared" si="104"/>
        <v>5</v>
      </c>
      <c r="U310" s="251">
        <f t="shared" si="105"/>
        <v>-0.80106674671829214</v>
      </c>
      <c r="V310" s="383">
        <f t="shared" si="106"/>
        <v>20.694804311826008</v>
      </c>
      <c r="W310" s="402"/>
      <c r="X310" s="157">
        <f t="shared" si="107"/>
        <v>44126</v>
      </c>
      <c r="Y310" s="385">
        <f t="shared" si="108"/>
        <v>3.1040000000000001</v>
      </c>
      <c r="Z310" s="385">
        <f t="shared" si="109"/>
        <v>3.1669737397846767</v>
      </c>
      <c r="AA310" s="386">
        <f t="shared" si="110"/>
        <v>3.5309685916479561</v>
      </c>
      <c r="AB310" s="197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0.10308640318247567</v>
      </c>
      <c r="AD310" s="231">
        <f>(INDEX(Models!$BJ310:$BT310,,AH310)*(1-AF310)+INDEX(Models!$BJ310:$BT310,,AH310+1)*AF310-ERP_i)*AE310*Ramure*Pc/MaxiM</f>
        <v>1.7752932154403961E-2</v>
      </c>
      <c r="AE310" s="305">
        <f t="shared" si="112"/>
        <v>0.7</v>
      </c>
      <c r="AF310" s="177">
        <f t="shared" si="113"/>
        <v>0.19893325328170786</v>
      </c>
      <c r="AG310" s="817">
        <f t="shared" si="119"/>
        <v>-1</v>
      </c>
      <c r="AH310" s="176">
        <f t="shared" si="114"/>
        <v>5</v>
      </c>
      <c r="AI310" s="225">
        <f t="shared" si="115"/>
        <v>-0.80106674671829214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8"/>
        <v>44127</v>
      </c>
      <c r="B311" s="617">
        <v>5.31</v>
      </c>
      <c r="C311" s="390"/>
      <c r="D311" s="393">
        <f t="shared" si="98"/>
        <v>5.4178475817307001</v>
      </c>
      <c r="E311" s="385">
        <f t="shared" si="120"/>
        <v>6.0404623961736084</v>
      </c>
      <c r="F311" s="385">
        <f t="shared" si="99"/>
        <v>6.0404623961736084</v>
      </c>
      <c r="G311" s="110">
        <f t="shared" si="121"/>
        <v>0.25544685929373528</v>
      </c>
      <c r="H311" s="414" t="b">
        <f>Wh_hp&gt;='2019'!Maxi_hp</f>
        <v>0</v>
      </c>
      <c r="I311" s="380">
        <f>IF(H311,Wh_hp,'2019'!Maxi_hp)</f>
        <v>23.079409525247385</v>
      </c>
      <c r="J311" s="85">
        <f>IF(H311,An,'2019'!An_max)</f>
        <v>2018</v>
      </c>
      <c r="K311" s="197">
        <f t="shared" si="100"/>
        <v>44127</v>
      </c>
      <c r="L311" s="147">
        <f>IF(t&lt;Tvie,1-EXP((T0-t)*PertePVj)+'2019'!Pspv,1-EXP((T0-t)*PertePVj)+Pspv)</f>
        <v>1.9905982976407222E-2</v>
      </c>
      <c r="M311" s="850"/>
      <c r="N311" s="850"/>
      <c r="O311" s="48">
        <f>IF(t&lt;Tnet,'2019'!Resal+('2019'!Salim-'2019'!Resal)*(1-EXP(('2019'!Tnet-t)/('2019'!Tau_j))),Resal+(Salim-Resal)*(1-EXP((Tnet-t)/(Tau_j))))*Salcycl</f>
        <v>0.1030740320206794</v>
      </c>
      <c r="P311" s="169">
        <f>(INDEX(Models!$BJ311:$BT311,,T311)*(1-R311)+INDEX(Models!$BJ311:$BT311,,T311+1)*R311-ERP_i)*Q311*Ramure*Pc/MaxiM</f>
        <v>1.8671996732330241E-2</v>
      </c>
      <c r="Q311" s="305">
        <f t="shared" si="101"/>
        <v>0.7</v>
      </c>
      <c r="R311" s="177">
        <f t="shared" si="102"/>
        <v>0.198980029298788</v>
      </c>
      <c r="S311" s="817">
        <f t="shared" si="103"/>
        <v>-1</v>
      </c>
      <c r="T311" s="176">
        <f t="shared" si="104"/>
        <v>5</v>
      </c>
      <c r="U311" s="251">
        <f t="shared" si="105"/>
        <v>-0.801019970701212</v>
      </c>
      <c r="V311" s="383">
        <f t="shared" si="106"/>
        <v>20.398965607791759</v>
      </c>
      <c r="W311" s="402"/>
      <c r="X311" s="157">
        <f t="shared" si="107"/>
        <v>44127</v>
      </c>
      <c r="Y311" s="385">
        <f t="shared" si="108"/>
        <v>5.31</v>
      </c>
      <c r="Z311" s="385">
        <f t="shared" si="109"/>
        <v>5.4178475817307001</v>
      </c>
      <c r="AA311" s="386">
        <f t="shared" si="110"/>
        <v>6.0404623961736084</v>
      </c>
      <c r="AB311" s="197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0.1030740320206794</v>
      </c>
      <c r="AD311" s="231">
        <f>(INDEX(Models!$BJ311:$BT311,,AH311)*(1-AF311)+INDEX(Models!$BJ311:$BT311,,AH311+1)*AF311-ERP_i)*AE311*Ramure*Pc/MaxiM</f>
        <v>1.8671996732330241E-2</v>
      </c>
      <c r="AE311" s="305">
        <f t="shared" si="112"/>
        <v>0.7</v>
      </c>
      <c r="AF311" s="177">
        <f t="shared" si="113"/>
        <v>0.198980029298788</v>
      </c>
      <c r="AG311" s="817">
        <f t="shared" si="119"/>
        <v>-1</v>
      </c>
      <c r="AH311" s="176">
        <f t="shared" si="114"/>
        <v>5</v>
      </c>
      <c r="AI311" s="225">
        <f t="shared" si="115"/>
        <v>-0.801019970701212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8"/>
        <v>44128</v>
      </c>
      <c r="B312" s="617">
        <v>17.465</v>
      </c>
      <c r="C312" s="390"/>
      <c r="D312" s="393">
        <f t="shared" si="98"/>
        <v>17.820109329655107</v>
      </c>
      <c r="E312" s="385">
        <f t="shared" si="120"/>
        <v>19.867687143403792</v>
      </c>
      <c r="F312" s="385">
        <f t="shared" si="99"/>
        <v>20.189095193101526</v>
      </c>
      <c r="G312" s="110">
        <f t="shared" si="121"/>
        <v>0.86556547646891668</v>
      </c>
      <c r="H312" s="414" t="b">
        <f>Wh_hp&gt;='2019'!Maxi_hp</f>
        <v>0</v>
      </c>
      <c r="I312" s="380">
        <f>IF(H312,Wh_hp,'2019'!Maxi_hp)</f>
        <v>22.975160579894975</v>
      </c>
      <c r="J312" s="85">
        <f>IF(H312,An,'2019'!An_max)</f>
        <v>2018</v>
      </c>
      <c r="K312" s="197">
        <f t="shared" si="100"/>
        <v>44128</v>
      </c>
      <c r="L312" s="147">
        <f>IF(t&lt;Tvie,1-EXP((T0-t)*PertePVj)+'2019'!Pspv,1-EXP((T0-t)*PertePVj)+Pspv)</f>
        <v>1.9927449550725007E-2</v>
      </c>
      <c r="M312" s="850"/>
      <c r="N312" s="850"/>
      <c r="O312" s="48">
        <f>IF(t&lt;Tnet,'2019'!Resal+('2019'!Salim-'2019'!Resal)*(1-EXP(('2019'!Tnet-t)/('2019'!Tau_j))),Resal+(Salim-Resal)*(1-EXP((Tnet-t)/(Tau_j))))*Salcycl</f>
        <v>0.10306070349152315</v>
      </c>
      <c r="P312" s="169">
        <f>(INDEX(Models!$BJ312:$BT312,,T312)*(1-R312)+INDEX(Models!$BJ312:$BT312,,T312+1)*R312-ERP_i)*Q312*Ramure*Pc/MaxiM</f>
        <v>1.959173233340435E-2</v>
      </c>
      <c r="Q312" s="305">
        <f t="shared" si="101"/>
        <v>0.7</v>
      </c>
      <c r="R312" s="177">
        <f t="shared" si="102"/>
        <v>0.19902493572689206</v>
      </c>
      <c r="S312" s="817">
        <f t="shared" si="103"/>
        <v>-1</v>
      </c>
      <c r="T312" s="176">
        <f t="shared" si="104"/>
        <v>5</v>
      </c>
      <c r="U312" s="251">
        <f t="shared" si="105"/>
        <v>-0.80097506427310794</v>
      </c>
      <c r="V312" s="383">
        <f t="shared" si="106"/>
        <v>20.102273252633413</v>
      </c>
      <c r="W312" s="402"/>
      <c r="X312" s="157">
        <f t="shared" si="107"/>
        <v>44128</v>
      </c>
      <c r="Y312" s="385">
        <f t="shared" si="108"/>
        <v>17.465</v>
      </c>
      <c r="Z312" s="385">
        <f t="shared" si="109"/>
        <v>17.820109329655107</v>
      </c>
      <c r="AA312" s="386">
        <f t="shared" si="110"/>
        <v>19.867687143403792</v>
      </c>
      <c r="AB312" s="197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0.10306070349152315</v>
      </c>
      <c r="AD312" s="231">
        <f>(INDEX(Models!$BJ312:$BT312,,AH312)*(1-AF312)+INDEX(Models!$BJ312:$BT312,,AH312+1)*AF312-ERP_i)*AE312*Ramure*Pc/MaxiM</f>
        <v>1.959173233340435E-2</v>
      </c>
      <c r="AE312" s="305">
        <f t="shared" si="112"/>
        <v>0.7</v>
      </c>
      <c r="AF312" s="177">
        <f t="shared" si="113"/>
        <v>0.19902493572689206</v>
      </c>
      <c r="AG312" s="817">
        <f t="shared" si="119"/>
        <v>-1</v>
      </c>
      <c r="AH312" s="176">
        <f t="shared" si="114"/>
        <v>5</v>
      </c>
      <c r="AI312" s="225">
        <f t="shared" si="115"/>
        <v>-0.80097506427310794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8"/>
        <v>44129</v>
      </c>
      <c r="B313" s="617">
        <v>13.446999999999999</v>
      </c>
      <c r="C313" s="390"/>
      <c r="D313" s="393">
        <f t="shared" si="98"/>
        <v>13.720713353411858</v>
      </c>
      <c r="E313" s="385">
        <f t="shared" si="120"/>
        <v>15.297017468975762</v>
      </c>
      <c r="F313" s="385">
        <f t="shared" si="99"/>
        <v>15.468798790295672</v>
      </c>
      <c r="G313" s="110">
        <f t="shared" si="121"/>
        <v>0.67251089574479705</v>
      </c>
      <c r="H313" s="414" t="b">
        <f>Wh_hp&gt;='2019'!Maxi_hp</f>
        <v>0</v>
      </c>
      <c r="I313" s="380">
        <f>IF(H313,Wh_hp,'2019'!Maxi_hp)</f>
        <v>22.259943902038003</v>
      </c>
      <c r="J313" s="85">
        <f>IF(H313,An,'2019'!An_max)</f>
        <v>2019</v>
      </c>
      <c r="K313" s="197">
        <f t="shared" si="100"/>
        <v>44129</v>
      </c>
      <c r="L313" s="147">
        <f>IF(t&lt;Tvie,1-EXP((T0-t)*PertePVj)+'2019'!Pspv,1-EXP((T0-t)*PertePVj)+Pspv)</f>
        <v>1.9948915654869781E-2</v>
      </c>
      <c r="M313" s="850"/>
      <c r="N313" s="850"/>
      <c r="O313" s="48">
        <f>IF(t&lt;Tnet,'2019'!Resal+('2019'!Salim-'2019'!Resal)*(1-EXP(('2019'!Tnet-t)/('2019'!Tau_j))),Resal+(Salim-Resal)*(1-EXP((Tnet-t)/(Tau_j))))*Salcycl</f>
        <v>0.10304650032340246</v>
      </c>
      <c r="P313" s="169">
        <f>(INDEX(Models!$BJ313:$BT313,,T313)*(1-R313)+INDEX(Models!$BJ313:$BT313,,T313+1)*R313-ERP_i)*Q313*Ramure*Pc/MaxiM</f>
        <v>2.0512224052312709E-2</v>
      </c>
      <c r="Q313" s="305">
        <f t="shared" si="101"/>
        <v>0.7</v>
      </c>
      <c r="R313" s="177">
        <f t="shared" si="102"/>
        <v>0.19906804676191858</v>
      </c>
      <c r="S313" s="817">
        <f t="shared" si="103"/>
        <v>-1</v>
      </c>
      <c r="T313" s="176">
        <f t="shared" si="104"/>
        <v>5</v>
      </c>
      <c r="U313" s="251">
        <f t="shared" si="105"/>
        <v>-0.80093195323808142</v>
      </c>
      <c r="V313" s="383">
        <f t="shared" si="106"/>
        <v>19.805003706414336</v>
      </c>
      <c r="W313" s="402"/>
      <c r="X313" s="157">
        <f t="shared" si="107"/>
        <v>44129</v>
      </c>
      <c r="Y313" s="385">
        <f t="shared" si="108"/>
        <v>13.446999999999999</v>
      </c>
      <c r="Z313" s="385">
        <f t="shared" si="109"/>
        <v>13.720713353411858</v>
      </c>
      <c r="AA313" s="386">
        <f t="shared" si="110"/>
        <v>15.297017468975762</v>
      </c>
      <c r="AB313" s="197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0.10304650032340246</v>
      </c>
      <c r="AD313" s="231">
        <f>(INDEX(Models!$BJ313:$BT313,,AH313)*(1-AF313)+INDEX(Models!$BJ313:$BT313,,AH313+1)*AF313-ERP_i)*AE313*Ramure*Pc/MaxiM</f>
        <v>2.0512224052312709E-2</v>
      </c>
      <c r="AE313" s="305">
        <f t="shared" si="112"/>
        <v>0.7</v>
      </c>
      <c r="AF313" s="177">
        <f t="shared" si="113"/>
        <v>0.19906804676191858</v>
      </c>
      <c r="AG313" s="817">
        <f t="shared" si="119"/>
        <v>-1</v>
      </c>
      <c r="AH313" s="176">
        <f t="shared" si="114"/>
        <v>5</v>
      </c>
      <c r="AI313" s="225">
        <f t="shared" si="115"/>
        <v>-0.80093195323808142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8"/>
        <v>44130</v>
      </c>
      <c r="B314" s="617">
        <v>14.279</v>
      </c>
      <c r="C314" s="390"/>
      <c r="D314" s="393">
        <f t="shared" si="98"/>
        <v>14.569967812583592</v>
      </c>
      <c r="E314" s="385">
        <f t="shared" si="120"/>
        <v>16.24356704355387</v>
      </c>
      <c r="F314" s="385">
        <f t="shared" si="99"/>
        <v>16.46129825174096</v>
      </c>
      <c r="G314" s="110">
        <f t="shared" si="121"/>
        <v>0.72588977348907413</v>
      </c>
      <c r="H314" s="414" t="b">
        <f>Wh_hp&gt;='2019'!Maxi_hp</f>
        <v>1</v>
      </c>
      <c r="I314" s="380">
        <f>IF(H314,Wh_hp,'2019'!Maxi_hp)</f>
        <v>16.46129825174096</v>
      </c>
      <c r="J314" s="85">
        <f>IF(H314,An,'2019'!An_max)</f>
        <v>2020</v>
      </c>
      <c r="K314" s="197">
        <f t="shared" si="100"/>
        <v>44130</v>
      </c>
      <c r="L314" s="147">
        <f>IF(t&lt;Tvie,1-EXP((T0-t)*PertePVj)+'2019'!Pspv,1-EXP((T0-t)*PertePVj)+Pspv)</f>
        <v>1.9970381288851757E-2</v>
      </c>
      <c r="M314" s="850"/>
      <c r="N314" s="850"/>
      <c r="O314" s="48">
        <f>IF(t&lt;Tnet,'2019'!Resal+('2019'!Salim-'2019'!Resal)*(1-EXP(('2019'!Tnet-t)/('2019'!Tau_j))),Resal+(Salim-Resal)*(1-EXP((Tnet-t)/(Tau_j))))*Salcycl</f>
        <v>0.10303150942664618</v>
      </c>
      <c r="P314" s="169">
        <f>(INDEX(Models!$BJ314:$BT314,,T314)*(1-R314)+INDEX(Models!$BJ314:$BT314,,T314+1)*R314-ERP_i)*Q314*Ramure*Pc/MaxiM</f>
        <v>2.1433525977881916E-2</v>
      </c>
      <c r="Q314" s="305">
        <f t="shared" si="101"/>
        <v>0.7</v>
      </c>
      <c r="R314" s="177">
        <f t="shared" si="102"/>
        <v>0.19910943369691847</v>
      </c>
      <c r="S314" s="817">
        <f t="shared" si="103"/>
        <v>-1</v>
      </c>
      <c r="T314" s="176">
        <f t="shared" si="104"/>
        <v>5</v>
      </c>
      <c r="U314" s="251">
        <f t="shared" si="105"/>
        <v>-0.80089056630308153</v>
      </c>
      <c r="V314" s="383">
        <f t="shared" si="106"/>
        <v>19.507433119674069</v>
      </c>
      <c r="W314" s="402"/>
      <c r="X314" s="157">
        <f t="shared" si="107"/>
        <v>44130</v>
      </c>
      <c r="Y314" s="385">
        <f t="shared" si="108"/>
        <v>14.278999999999998</v>
      </c>
      <c r="Z314" s="385">
        <f t="shared" si="109"/>
        <v>14.56996781258359</v>
      </c>
      <c r="AA314" s="386">
        <f t="shared" si="110"/>
        <v>16.24356704355387</v>
      </c>
      <c r="AB314" s="197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0.10303150942664618</v>
      </c>
      <c r="AD314" s="231">
        <f>(INDEX(Models!$BJ314:$BT314,,AH314)*(1-AF314)+INDEX(Models!$BJ314:$BT314,,AH314+1)*AF314-ERP_i)*AE314*Ramure*Pc/MaxiM</f>
        <v>2.1433525977881916E-2</v>
      </c>
      <c r="AE314" s="305">
        <f t="shared" si="112"/>
        <v>0.7</v>
      </c>
      <c r="AF314" s="177">
        <f t="shared" si="113"/>
        <v>0.19910943369691847</v>
      </c>
      <c r="AG314" s="817">
        <f t="shared" si="119"/>
        <v>-1</v>
      </c>
      <c r="AH314" s="176">
        <f t="shared" si="114"/>
        <v>5</v>
      </c>
      <c r="AI314" s="225">
        <f t="shared" si="115"/>
        <v>-0.80089056630308153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8"/>
        <v>44131</v>
      </c>
      <c r="B315" s="617">
        <v>13.884</v>
      </c>
      <c r="C315" s="390"/>
      <c r="D315" s="393">
        <f t="shared" si="98"/>
        <v>14.167229068191242</v>
      </c>
      <c r="E315" s="385">
        <f t="shared" si="120"/>
        <v>15.794290924144605</v>
      </c>
      <c r="F315" s="385">
        <f t="shared" si="99"/>
        <v>16.010453998260999</v>
      </c>
      <c r="G315" s="110">
        <f t="shared" si="121"/>
        <v>0.71626762553593393</v>
      </c>
      <c r="H315" s="414" t="b">
        <f>Wh_hp&gt;='2019'!Maxi_hp</f>
        <v>1</v>
      </c>
      <c r="I315" s="380">
        <f>IF(H315,Wh_hp,'2019'!Maxi_hp)</f>
        <v>16.010453998260999</v>
      </c>
      <c r="J315" s="85">
        <f>IF(H315,An,'2019'!An_max)</f>
        <v>2020</v>
      </c>
      <c r="K315" s="197">
        <f t="shared" si="100"/>
        <v>44131</v>
      </c>
      <c r="L315" s="147">
        <f>IF(t&lt;Tvie,1-EXP((T0-t)*PertePVj)+'2019'!Pspv,1-EXP((T0-t)*PertePVj)+Pspv)</f>
        <v>1.9991846452681261E-2</v>
      </c>
      <c r="M315" s="850"/>
      <c r="N315" s="850"/>
      <c r="O315" s="48">
        <f>IF(t&lt;Tnet,'2019'!Resal+('2019'!Salim-'2019'!Resal)*(1-EXP(('2019'!Tnet-t)/('2019'!Tau_j))),Resal+(Salim-Resal)*(1-EXP((Tnet-t)/(Tau_j))))*Salcycl</f>
        <v>0.10301582158817195</v>
      </c>
      <c r="P315" s="169">
        <f>(INDEX(Models!$BJ315:$BT315,,T315)*(1-R315)+INDEX(Models!$BJ315:$BT315,,T315+1)*R315-ERP_i)*Q315*Ramure*Pc/MaxiM</f>
        <v>2.2355658598423464E-2</v>
      </c>
      <c r="Q315" s="305">
        <f t="shared" si="101"/>
        <v>0.7</v>
      </c>
      <c r="R315" s="177">
        <f t="shared" si="102"/>
        <v>0.19914916503237978</v>
      </c>
      <c r="S315" s="817">
        <f t="shared" si="103"/>
        <v>-1</v>
      </c>
      <c r="T315" s="176">
        <f t="shared" si="104"/>
        <v>5</v>
      </c>
      <c r="U315" s="251">
        <f t="shared" si="105"/>
        <v>-0.80085083496762022</v>
      </c>
      <c r="V315" s="383">
        <f t="shared" si="106"/>
        <v>19.209837352778226</v>
      </c>
      <c r="W315" s="402"/>
      <c r="X315" s="157">
        <f t="shared" si="107"/>
        <v>44131</v>
      </c>
      <c r="Y315" s="385">
        <f t="shared" si="108"/>
        <v>13.884</v>
      </c>
      <c r="Z315" s="385">
        <f t="shared" si="109"/>
        <v>14.167229068191242</v>
      </c>
      <c r="AA315" s="386">
        <f t="shared" si="110"/>
        <v>15.794290924144605</v>
      </c>
      <c r="AB315" s="197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0.10301582158817195</v>
      </c>
      <c r="AD315" s="231">
        <f>(INDEX(Models!$BJ315:$BT315,,AH315)*(1-AF315)+INDEX(Models!$BJ315:$BT315,,AH315+1)*AF315-ERP_i)*AE315*Ramure*Pc/MaxiM</f>
        <v>2.2355658598423464E-2</v>
      </c>
      <c r="AE315" s="305">
        <f t="shared" si="112"/>
        <v>0.7</v>
      </c>
      <c r="AF315" s="177">
        <f t="shared" si="113"/>
        <v>0.19914916503237978</v>
      </c>
      <c r="AG315" s="817">
        <f t="shared" si="119"/>
        <v>-1</v>
      </c>
      <c r="AH315" s="176">
        <f t="shared" si="114"/>
        <v>5</v>
      </c>
      <c r="AI315" s="225">
        <f t="shared" si="115"/>
        <v>-0.80085083496762022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8"/>
        <v>44132</v>
      </c>
      <c r="B316" s="617">
        <v>8.6</v>
      </c>
      <c r="C316" s="390"/>
      <c r="D316" s="393">
        <f t="shared" si="98"/>
        <v>8.7756294017218792</v>
      </c>
      <c r="E316" s="385">
        <f t="shared" si="120"/>
        <v>9.7833052560612241</v>
      </c>
      <c r="F316" s="385">
        <f t="shared" si="99"/>
        <v>9.8339049579436075</v>
      </c>
      <c r="G316" s="110">
        <f t="shared" si="121"/>
        <v>0.44643763286469079</v>
      </c>
      <c r="H316" s="414" t="b">
        <f>Wh_hp&gt;='2019'!Maxi_hp</f>
        <v>0</v>
      </c>
      <c r="I316" s="380">
        <f>IF(H316,Wh_hp,'2019'!Maxi_hp)</f>
        <v>17.744798531971291</v>
      </c>
      <c r="J316" s="85">
        <f>IF(H316,An,'2019'!An_max)</f>
        <v>2019</v>
      </c>
      <c r="K316" s="197">
        <f t="shared" si="100"/>
        <v>44132</v>
      </c>
      <c r="L316" s="147">
        <f>IF(t&lt;Tvie,1-EXP((T0-t)*PertePVj)+'2019'!Pspv,1-EXP((T0-t)*PertePVj)+Pspv)</f>
        <v>2.0013311146368506E-2</v>
      </c>
      <c r="M316" s="850"/>
      <c r="N316" s="850"/>
      <c r="O316" s="48">
        <f>IF(t&lt;Tnet,'2019'!Resal+('2019'!Salim-'2019'!Resal)*(1-EXP(('2019'!Tnet-t)/('2019'!Tau_j))),Resal+(Salim-Resal)*(1-EXP((Tnet-t)/(Tau_j))))*Salcycl</f>
        <v>0.10299953113647778</v>
      </c>
      <c r="P316" s="169">
        <f>(INDEX(Models!$BJ316:$BT316,,T316)*(1-R316)+INDEX(Models!$BJ316:$BT316,,T316+1)*R316-ERP_i)*Q316*Ramure*Pc/MaxiM</f>
        <v>2.3278605796015428E-2</v>
      </c>
      <c r="Q316" s="305">
        <f t="shared" si="101"/>
        <v>0.7</v>
      </c>
      <c r="R316" s="177">
        <f t="shared" si="102"/>
        <v>0.19918730658258577</v>
      </c>
      <c r="S316" s="817">
        <f t="shared" si="103"/>
        <v>-1</v>
      </c>
      <c r="T316" s="176">
        <f t="shared" si="104"/>
        <v>5</v>
      </c>
      <c r="U316" s="251">
        <f t="shared" si="105"/>
        <v>-0.80081269341741423</v>
      </c>
      <c r="V316" s="383">
        <f t="shared" si="106"/>
        <v>18.912492000472248</v>
      </c>
      <c r="W316" s="402"/>
      <c r="X316" s="157">
        <f t="shared" si="107"/>
        <v>44132</v>
      </c>
      <c r="Y316" s="385">
        <f t="shared" si="108"/>
        <v>8.6</v>
      </c>
      <c r="Z316" s="385">
        <f t="shared" si="109"/>
        <v>8.7756294017218792</v>
      </c>
      <c r="AA316" s="386">
        <f t="shared" si="110"/>
        <v>9.7833052560612241</v>
      </c>
      <c r="AB316" s="197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0.10299953113647778</v>
      </c>
      <c r="AD316" s="231">
        <f>(INDEX(Models!$BJ316:$BT316,,AH316)*(1-AF316)+INDEX(Models!$BJ316:$BT316,,AH316+1)*AF316-ERP_i)*AE316*Ramure*Pc/MaxiM</f>
        <v>2.3278605796015428E-2</v>
      </c>
      <c r="AE316" s="305">
        <f t="shared" si="112"/>
        <v>0.7</v>
      </c>
      <c r="AF316" s="177">
        <f t="shared" si="113"/>
        <v>0.19918730658258577</v>
      </c>
      <c r="AG316" s="817">
        <f t="shared" si="119"/>
        <v>-1</v>
      </c>
      <c r="AH316" s="176">
        <f t="shared" si="114"/>
        <v>5</v>
      </c>
      <c r="AI316" s="225">
        <f t="shared" si="115"/>
        <v>-0.80081269341741423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8"/>
        <v>44133</v>
      </c>
      <c r="B317" s="617">
        <v>16.552</v>
      </c>
      <c r="C317" s="390"/>
      <c r="D317" s="393">
        <f t="shared" si="98"/>
        <v>16.890395275248835</v>
      </c>
      <c r="E317" s="385">
        <f t="shared" si="120"/>
        <v>18.829509693047225</v>
      </c>
      <c r="F317" s="385">
        <f t="shared" si="99"/>
        <v>19.22125454871853</v>
      </c>
      <c r="G317" s="110">
        <f t="shared" si="121"/>
        <v>0.88586842162143931</v>
      </c>
      <c r="H317" s="414" t="b">
        <f>Wh_hp&gt;='2019'!Maxi_hp</f>
        <v>0</v>
      </c>
      <c r="I317" s="380">
        <f>IF(H317,Wh_hp,'2019'!Maxi_hp)</f>
        <v>19.915918764671726</v>
      </c>
      <c r="J317" s="85">
        <f>IF(H317,An,'2019'!An_max)</f>
        <v>2018</v>
      </c>
      <c r="K317" s="197">
        <f t="shared" si="100"/>
        <v>44133</v>
      </c>
      <c r="L317" s="147">
        <f>IF(t&lt;Tvie,1-EXP((T0-t)*PertePVj)+'2019'!Pspv,1-EXP((T0-t)*PertePVj)+Pspv)</f>
        <v>2.0034775369924041E-2</v>
      </c>
      <c r="M317" s="850"/>
      <c r="N317" s="850"/>
      <c r="O317" s="48">
        <f>IF(t&lt;Tnet,'2019'!Resal+('2019'!Salim-'2019'!Resal)*(1-EXP(('2019'!Tnet-t)/('2019'!Tau_j))),Resal+(Salim-Resal)*(1-EXP((Tnet-t)/(Tau_j))))*Salcycl</f>
        <v>0.10298273557884551</v>
      </c>
      <c r="P317" s="169">
        <f>(INDEX(Models!$BJ317:$BT317,,T317)*(1-R317)+INDEX(Models!$BJ317:$BT317,,T317+1)*R317-ERP_i)*Q317*Ramure*Pc/MaxiM</f>
        <v>2.4207604316665184E-2</v>
      </c>
      <c r="Q317" s="305">
        <f t="shared" si="101"/>
        <v>0.7</v>
      </c>
      <c r="R317" s="177">
        <f t="shared" si="102"/>
        <v>0.19922392157816082</v>
      </c>
      <c r="S317" s="817">
        <f t="shared" si="103"/>
        <v>-1</v>
      </c>
      <c r="T317" s="176">
        <f t="shared" si="104"/>
        <v>5</v>
      </c>
      <c r="U317" s="251">
        <f t="shared" si="105"/>
        <v>-0.80077607842183918</v>
      </c>
      <c r="V317" s="383">
        <f t="shared" si="106"/>
        <v>18.611501213139935</v>
      </c>
      <c r="W317" s="402"/>
      <c r="X317" s="157">
        <f t="shared" si="107"/>
        <v>44133</v>
      </c>
      <c r="Y317" s="385">
        <f t="shared" si="108"/>
        <v>16.552</v>
      </c>
      <c r="Z317" s="385">
        <f t="shared" si="109"/>
        <v>16.890395275248835</v>
      </c>
      <c r="AA317" s="386">
        <f t="shared" si="110"/>
        <v>18.829509693047225</v>
      </c>
      <c r="AB317" s="197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0.10298273557884551</v>
      </c>
      <c r="AD317" s="231">
        <f>(INDEX(Models!$BJ317:$BT317,,AH317)*(1-AF317)+INDEX(Models!$BJ317:$BT317,,AH317+1)*AF317-ERP_i)*AE317*Ramure*Pc/MaxiM</f>
        <v>2.4207604316665184E-2</v>
      </c>
      <c r="AE317" s="305">
        <f t="shared" si="112"/>
        <v>0.7</v>
      </c>
      <c r="AF317" s="177">
        <f t="shared" si="113"/>
        <v>0.19922392157816082</v>
      </c>
      <c r="AG317" s="817">
        <f t="shared" si="119"/>
        <v>-1</v>
      </c>
      <c r="AH317" s="176">
        <f t="shared" si="114"/>
        <v>5</v>
      </c>
      <c r="AI317" s="225">
        <f t="shared" si="115"/>
        <v>-0.80077607842183918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8"/>
        <v>44134</v>
      </c>
      <c r="B318" s="617">
        <v>18.044</v>
      </c>
      <c r="C318" s="390"/>
      <c r="D318" s="393">
        <f t="shared" si="98"/>
        <v>18.413301579529548</v>
      </c>
      <c r="E318" s="385">
        <f t="shared" si="120"/>
        <v>20.526860786669285</v>
      </c>
      <c r="F318" s="385">
        <f t="shared" si="99"/>
        <v>21.044547034866937</v>
      </c>
      <c r="G318" s="110">
        <f t="shared" si="121"/>
        <v>0.98524955555051186</v>
      </c>
      <c r="H318" s="414" t="b">
        <f>Wh_hp&gt;='2019'!Maxi_hp</f>
        <v>1</v>
      </c>
      <c r="I318" s="380">
        <f>IF(H318,Wh_hp,'2019'!Maxi_hp)</f>
        <v>21.044547034866937</v>
      </c>
      <c r="J318" s="85">
        <f>IF(H318,An,'2019'!An_max)</f>
        <v>2020</v>
      </c>
      <c r="K318" s="197">
        <f t="shared" si="100"/>
        <v>44134</v>
      </c>
      <c r="L318" s="147">
        <f>IF(t&lt;Tvie,1-EXP((T0-t)*PertePVj)+'2019'!Pspv,1-EXP((T0-t)*PertePVj)+Pspv)</f>
        <v>2.0056239123357855E-2</v>
      </c>
      <c r="M318" s="850"/>
      <c r="N318" s="850"/>
      <c r="O318" s="48">
        <f>IF(t&lt;Tnet,'2019'!Resal+('2019'!Salim-'2019'!Resal)*(1-EXP(('2019'!Tnet-t)/('2019'!Tau_j))),Resal+(Salim-Resal)*(1-EXP((Tnet-t)/(Tau_j))))*Salcycl</f>
        <v>0.10296553521288264</v>
      </c>
      <c r="P318" s="169">
        <f>(INDEX(Models!$BJ318:$BT318,,T318)*(1-R318)+INDEX(Models!$BJ318:$BT318,,T318+1)*R318-ERP_i)*Q318*Ramure*Pc/MaxiM</f>
        <v>2.5110155062089554E-2</v>
      </c>
      <c r="Q318" s="305">
        <f t="shared" si="101"/>
        <v>0.7</v>
      </c>
      <c r="R318" s="177">
        <f t="shared" si="102"/>
        <v>0.19925907076492466</v>
      </c>
      <c r="S318" s="817">
        <f t="shared" si="103"/>
        <v>-1</v>
      </c>
      <c r="T318" s="176">
        <f t="shared" si="104"/>
        <v>5</v>
      </c>
      <c r="U318" s="251">
        <f t="shared" si="105"/>
        <v>-0.80074092923507534</v>
      </c>
      <c r="V318" s="383">
        <f t="shared" si="106"/>
        <v>18.304554473822773</v>
      </c>
      <c r="W318" s="402"/>
      <c r="X318" s="157">
        <f t="shared" si="107"/>
        <v>44134</v>
      </c>
      <c r="Y318" s="385">
        <f t="shared" si="108"/>
        <v>18.044</v>
      </c>
      <c r="Z318" s="385">
        <f t="shared" si="109"/>
        <v>18.413301579529548</v>
      </c>
      <c r="AA318" s="386">
        <f t="shared" si="110"/>
        <v>20.526860786669285</v>
      </c>
      <c r="AB318" s="197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0.10296553521288264</v>
      </c>
      <c r="AD318" s="231">
        <f>(INDEX(Models!$BJ318:$BT318,,AH318)*(1-AF318)+INDEX(Models!$BJ318:$BT318,,AH318+1)*AF318-ERP_i)*AE318*Ramure*Pc/MaxiM</f>
        <v>2.5110155062089554E-2</v>
      </c>
      <c r="AE318" s="305">
        <f t="shared" si="112"/>
        <v>0.7</v>
      </c>
      <c r="AF318" s="177">
        <f t="shared" si="113"/>
        <v>0.19925907076492466</v>
      </c>
      <c r="AG318" s="817">
        <f t="shared" si="119"/>
        <v>-1</v>
      </c>
      <c r="AH318" s="176">
        <f t="shared" si="114"/>
        <v>5</v>
      </c>
      <c r="AI318" s="225">
        <f t="shared" si="115"/>
        <v>-0.80074092923507534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8"/>
        <v>44135</v>
      </c>
      <c r="B319" s="617">
        <v>16.908000000000001</v>
      </c>
      <c r="C319" s="390"/>
      <c r="D319" s="393">
        <f t="shared" si="98"/>
        <v>17.254429296614536</v>
      </c>
      <c r="E319" s="385">
        <f t="shared" si="120"/>
        <v>19.234592783773682</v>
      </c>
      <c r="F319" s="385">
        <f t="shared" si="99"/>
        <v>19.702358339343263</v>
      </c>
      <c r="G319" s="110">
        <f t="shared" si="121"/>
        <v>0.93752759085008575</v>
      </c>
      <c r="H319" s="414" t="b">
        <f>Wh_hp&gt;='2019'!Maxi_hp</f>
        <v>1</v>
      </c>
      <c r="I319" s="380">
        <f>IF(H319,Wh_hp,'2019'!Maxi_hp)</f>
        <v>19.702358339343263</v>
      </c>
      <c r="J319" s="85">
        <f>IF(H319,An,'2019'!An_max)</f>
        <v>2020</v>
      </c>
      <c r="K319" s="197">
        <f t="shared" si="100"/>
        <v>44135</v>
      </c>
      <c r="L319" s="147">
        <f>IF(t&lt;Tvie,1-EXP((T0-t)*PertePVj)+'2019'!Pspv,1-EXP((T0-t)*PertePVj)+Pspv)</f>
        <v>2.0077702406680387E-2</v>
      </c>
      <c r="M319" s="850"/>
      <c r="N319" s="850"/>
      <c r="O319" s="48">
        <f>IF(t&lt;Tnet,'2019'!Resal+('2019'!Salim-'2019'!Resal)*(1-EXP(('2019'!Tnet-t)/('2019'!Tau_j))),Resal+(Salim-Resal)*(1-EXP((Tnet-t)/(Tau_j))))*Salcycl</f>
        <v>0.10294803271476656</v>
      </c>
      <c r="P319" s="169">
        <f>(INDEX(Models!$BJ319:$BT319,,T319)*(1-R319)+INDEX(Models!$BJ319:$BT319,,T319+1)*R319-ERP_i)*Q319*Ramure*Pc/MaxiM</f>
        <v>2.5980270746217154E-2</v>
      </c>
      <c r="Q319" s="305">
        <f t="shared" si="101"/>
        <v>0.7</v>
      </c>
      <c r="R319" s="177">
        <f t="shared" si="102"/>
        <v>0.19929281249916686</v>
      </c>
      <c r="S319" s="817">
        <f t="shared" si="103"/>
        <v>-1</v>
      </c>
      <c r="T319" s="176">
        <f t="shared" si="104"/>
        <v>5</v>
      </c>
      <c r="U319" s="251">
        <f t="shared" si="105"/>
        <v>-0.80070718750083314</v>
      </c>
      <c r="V319" s="383">
        <f t="shared" si="106"/>
        <v>17.993313744326127</v>
      </c>
      <c r="W319" s="402"/>
      <c r="X319" s="157">
        <f t="shared" si="107"/>
        <v>44135</v>
      </c>
      <c r="Y319" s="385">
        <f t="shared" si="108"/>
        <v>16.908000000000001</v>
      </c>
      <c r="Z319" s="385">
        <f t="shared" si="109"/>
        <v>17.254429296614536</v>
      </c>
      <c r="AA319" s="386">
        <f t="shared" si="110"/>
        <v>19.234592783773682</v>
      </c>
      <c r="AB319" s="197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0.10294803271476656</v>
      </c>
      <c r="AD319" s="231">
        <f>(INDEX(Models!$BJ319:$BT319,,AH319)*(1-AF319)+INDEX(Models!$BJ319:$BT319,,AH319+1)*AF319-ERP_i)*AE319*Ramure*Pc/MaxiM</f>
        <v>2.5980270746217154E-2</v>
      </c>
      <c r="AE319" s="305">
        <f t="shared" si="112"/>
        <v>0.7</v>
      </c>
      <c r="AF319" s="177">
        <f t="shared" si="113"/>
        <v>0.19929281249916686</v>
      </c>
      <c r="AG319" s="817">
        <f t="shared" si="119"/>
        <v>-1</v>
      </c>
      <c r="AH319" s="176">
        <f t="shared" si="114"/>
        <v>5</v>
      </c>
      <c r="AI319" s="225">
        <f t="shared" si="115"/>
        <v>-0.80070718750083314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8"/>
        <v>44136</v>
      </c>
      <c r="B320" s="617">
        <v>15.865</v>
      </c>
      <c r="C320" s="390"/>
      <c r="D320" s="393">
        <f t="shared" si="98"/>
        <v>16.190413801984672</v>
      </c>
      <c r="E320" s="385">
        <f t="shared" si="120"/>
        <v>18.048111971990746</v>
      </c>
      <c r="F320" s="385">
        <f t="shared" si="99"/>
        <v>18.470798370056769</v>
      </c>
      <c r="G320" s="110">
        <f t="shared" si="121"/>
        <v>0.89376334577366601</v>
      </c>
      <c r="H320" s="414" t="b">
        <f>Wh_hp&gt;='2019'!Maxi_hp</f>
        <v>1</v>
      </c>
      <c r="I320" s="380">
        <f>IF(H320,Wh_hp,'2019'!Maxi_hp)</f>
        <v>18.470798370056769</v>
      </c>
      <c r="J320" s="85">
        <f>IF(H320,An,'2019'!An_max)</f>
        <v>2020</v>
      </c>
      <c r="K320" s="197">
        <f t="shared" si="100"/>
        <v>44136</v>
      </c>
      <c r="L320" s="147">
        <f>IF(t&lt;Tvie,1-EXP((T0-t)*PertePVj)+'2019'!Pspv,1-EXP((T0-t)*PertePVj)+Pspv)</f>
        <v>2.009916521990196E-2</v>
      </c>
      <c r="M320" s="850"/>
      <c r="N320" s="850"/>
      <c r="O320" s="48">
        <f>IF(t&lt;Tnet,'2019'!Resal+('2019'!Salim-'2019'!Resal)*(1-EXP(('2019'!Tnet-t)/('2019'!Tau_j))),Resal+(Salim-Resal)*(1-EXP((Tnet-t)/(Tau_j))))*Salcycl</f>
        <v>0.10293033270677156</v>
      </c>
      <c r="P320" s="169">
        <f>(INDEX(Models!$BJ320:$BT320,,T320)*(1-R320)+INDEX(Models!$BJ320:$BT320,,T320+1)*R320-ERP_i)*Q320*Ramure*Pc/MaxiM</f>
        <v>2.6815408358789452E-2</v>
      </c>
      <c r="Q320" s="305">
        <f t="shared" si="101"/>
        <v>0.7</v>
      </c>
      <c r="R320" s="177">
        <f t="shared" si="102"/>
        <v>0.19932520283945765</v>
      </c>
      <c r="S320" s="817">
        <f t="shared" si="103"/>
        <v>-1</v>
      </c>
      <c r="T320" s="176">
        <f t="shared" si="104"/>
        <v>5</v>
      </c>
      <c r="U320" s="251">
        <f t="shared" si="105"/>
        <v>-0.80067479716054235</v>
      </c>
      <c r="V320" s="383">
        <f t="shared" si="106"/>
        <v>17.679364570936524</v>
      </c>
      <c r="W320" s="402"/>
      <c r="X320" s="157">
        <f t="shared" si="107"/>
        <v>44136</v>
      </c>
      <c r="Y320" s="385">
        <f t="shared" si="108"/>
        <v>15.865</v>
      </c>
      <c r="Z320" s="385">
        <f t="shared" si="109"/>
        <v>16.190413801984672</v>
      </c>
      <c r="AA320" s="386">
        <f t="shared" si="110"/>
        <v>18.048111971990746</v>
      </c>
      <c r="AB320" s="197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0.10293033270677156</v>
      </c>
      <c r="AD320" s="231">
        <f>(INDEX(Models!$BJ320:$BT320,,AH320)*(1-AF320)+INDEX(Models!$BJ320:$BT320,,AH320+1)*AF320-ERP_i)*AE320*Ramure*Pc/MaxiM</f>
        <v>2.6815408358789452E-2</v>
      </c>
      <c r="AE320" s="305">
        <f t="shared" si="112"/>
        <v>0.7</v>
      </c>
      <c r="AF320" s="177">
        <f t="shared" si="113"/>
        <v>0.19932520283945765</v>
      </c>
      <c r="AG320" s="817">
        <f t="shared" si="119"/>
        <v>-1</v>
      </c>
      <c r="AH320" s="176">
        <f t="shared" si="114"/>
        <v>5</v>
      </c>
      <c r="AI320" s="225">
        <f t="shared" si="115"/>
        <v>-0.80067479716054235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8"/>
        <v>44137</v>
      </c>
      <c r="B321" s="617">
        <v>16.442</v>
      </c>
      <c r="C321" s="390"/>
      <c r="D321" s="393">
        <f t="shared" si="98"/>
        <v>16.779616412486188</v>
      </c>
      <c r="E321" s="385">
        <f t="shared" si="120"/>
        <v>18.704549093719784</v>
      </c>
      <c r="F321" s="385">
        <f t="shared" si="99"/>
        <v>19.194337554419008</v>
      </c>
      <c r="G321" s="110">
        <f t="shared" si="121"/>
        <v>0.94484985547598044</v>
      </c>
      <c r="H321" s="414" t="b">
        <f>Wh_hp&gt;='2019'!Maxi_hp</f>
        <v>1</v>
      </c>
      <c r="I321" s="380">
        <f>IF(H321,Wh_hp,'2019'!Maxi_hp)</f>
        <v>19.194337554419008</v>
      </c>
      <c r="J321" s="85">
        <f>IF(H321,An,'2019'!An_max)</f>
        <v>2020</v>
      </c>
      <c r="K321" s="197">
        <f t="shared" si="100"/>
        <v>44137</v>
      </c>
      <c r="L321" s="147">
        <f>IF(t&lt;Tvie,1-EXP((T0-t)*PertePVj)+'2019'!Pspv,1-EXP((T0-t)*PertePVj)+Pspv)</f>
        <v>2.01206275630329E-2</v>
      </c>
      <c r="M321" s="850"/>
      <c r="N321" s="850"/>
      <c r="O321" s="48">
        <f>IF(t&lt;Tnet,'2019'!Resal+('2019'!Salim-'2019'!Resal)*(1-EXP(('2019'!Tnet-t)/('2019'!Tau_j))),Resal+(Salim-Resal)*(1-EXP((Tnet-t)/(Tau_j))))*Salcycl</f>
        <v>0.10291254130685833</v>
      </c>
      <c r="P321" s="169">
        <f>(INDEX(Models!$BJ321:$BT321,,T321)*(1-R321)+INDEX(Models!$BJ321:$BT321,,T321+1)*R321-ERP_i)*Q321*Ramure*Pc/MaxiM</f>
        <v>2.7612511879826322E-2</v>
      </c>
      <c r="Q321" s="305">
        <f t="shared" si="101"/>
        <v>0.7</v>
      </c>
      <c r="R321" s="177">
        <f t="shared" si="102"/>
        <v>0.19935629563510449</v>
      </c>
      <c r="S321" s="817">
        <f t="shared" si="103"/>
        <v>-1</v>
      </c>
      <c r="T321" s="176">
        <f t="shared" si="104"/>
        <v>5</v>
      </c>
      <c r="U321" s="251">
        <f t="shared" si="105"/>
        <v>-0.80064370436489551</v>
      </c>
      <c r="V321" s="383">
        <f t="shared" si="106"/>
        <v>17.364292378228892</v>
      </c>
      <c r="W321" s="402"/>
      <c r="X321" s="157">
        <f t="shared" si="107"/>
        <v>44137</v>
      </c>
      <c r="Y321" s="385">
        <f t="shared" si="108"/>
        <v>16.442</v>
      </c>
      <c r="Z321" s="385">
        <f t="shared" si="109"/>
        <v>16.779616412486188</v>
      </c>
      <c r="AA321" s="386">
        <f t="shared" si="110"/>
        <v>18.704549093719784</v>
      </c>
      <c r="AB321" s="197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0.10291254130685833</v>
      </c>
      <c r="AD321" s="231">
        <f>(INDEX(Models!$BJ321:$BT321,,AH321)*(1-AF321)+INDEX(Models!$BJ321:$BT321,,AH321+1)*AF321-ERP_i)*AE321*Ramure*Pc/MaxiM</f>
        <v>2.7612511879826322E-2</v>
      </c>
      <c r="AE321" s="305">
        <f t="shared" si="112"/>
        <v>0.7</v>
      </c>
      <c r="AF321" s="177">
        <f t="shared" si="113"/>
        <v>0.19935629563510449</v>
      </c>
      <c r="AG321" s="817">
        <f t="shared" si="119"/>
        <v>-1</v>
      </c>
      <c r="AH321" s="176">
        <f t="shared" si="114"/>
        <v>5</v>
      </c>
      <c r="AI321" s="225">
        <f t="shared" si="115"/>
        <v>-0.80064370436489551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8"/>
        <v>44138</v>
      </c>
      <c r="B322" s="617">
        <v>3.1680000000000001</v>
      </c>
      <c r="C322" s="390"/>
      <c r="D322" s="393">
        <f t="shared" si="98"/>
        <v>3.2331218290382417</v>
      </c>
      <c r="E322" s="385">
        <f t="shared" si="120"/>
        <v>3.6039493531978666</v>
      </c>
      <c r="F322" s="385">
        <f t="shared" si="99"/>
        <v>3.6039493531978666</v>
      </c>
      <c r="G322" s="110">
        <f t="shared" si="121"/>
        <v>0.18053885716135618</v>
      </c>
      <c r="H322" s="414" t="b">
        <f>Wh_hp&gt;='2019'!Maxi_hp</f>
        <v>0</v>
      </c>
      <c r="I322" s="380">
        <f>IF(H322,Wh_hp,'2019'!Maxi_hp)</f>
        <v>14.185805406628766</v>
      </c>
      <c r="J322" s="85">
        <f>IF(H322,An,'2019'!An_max)</f>
        <v>2018</v>
      </c>
      <c r="K322" s="197">
        <f t="shared" si="100"/>
        <v>44138</v>
      </c>
      <c r="L322" s="147">
        <f>IF(t&lt;Tvie,1-EXP((T0-t)*PertePVj)+'2019'!Pspv,1-EXP((T0-t)*PertePVj)+Pspv)</f>
        <v>2.014208943608331E-2</v>
      </c>
      <c r="M322" s="850"/>
      <c r="N322" s="850"/>
      <c r="O322" s="48">
        <f>IF(t&lt;Tnet,'2019'!Resal+('2019'!Salim-'2019'!Resal)*(1-EXP(('2019'!Tnet-t)/('2019'!Tau_j))),Resal+(Salim-Resal)*(1-EXP((Tnet-t)/(Tau_j))))*Salcycl</f>
        <v>0.10289476566328029</v>
      </c>
      <c r="P322" s="169">
        <f>(INDEX(Models!$BJ322:$BT322,,T322)*(1-R322)+INDEX(Models!$BJ322:$BT322,,T322+1)*R322-ERP_i)*Q322*Ramure*Pc/MaxiM</f>
        <v>2.8367992349909534E-2</v>
      </c>
      <c r="Q322" s="305">
        <f t="shared" si="101"/>
        <v>0.7</v>
      </c>
      <c r="R322" s="177">
        <f t="shared" si="102"/>
        <v>0.19938614261136201</v>
      </c>
      <c r="S322" s="817">
        <f t="shared" si="103"/>
        <v>-1</v>
      </c>
      <c r="T322" s="176">
        <f t="shared" si="104"/>
        <v>5</v>
      </c>
      <c r="U322" s="251">
        <f t="shared" si="105"/>
        <v>-0.80061385738863799</v>
      </c>
      <c r="V322" s="383">
        <f t="shared" si="106"/>
        <v>17.049682537230282</v>
      </c>
      <c r="W322" s="402"/>
      <c r="X322" s="157">
        <f t="shared" si="107"/>
        <v>44138</v>
      </c>
      <c r="Y322" s="385">
        <f t="shared" si="108"/>
        <v>3.1680000000000001</v>
      </c>
      <c r="Z322" s="385">
        <f t="shared" si="109"/>
        <v>3.2331218290382417</v>
      </c>
      <c r="AA322" s="386">
        <f t="shared" si="110"/>
        <v>3.6039493531978666</v>
      </c>
      <c r="AB322" s="197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0.10289476566328029</v>
      </c>
      <c r="AD322" s="231">
        <f>(INDEX(Models!$BJ322:$BT322,,AH322)*(1-AF322)+INDEX(Models!$BJ322:$BT322,,AH322+1)*AF322-ERP_i)*AE322*Ramure*Pc/MaxiM</f>
        <v>2.8367992349909534E-2</v>
      </c>
      <c r="AE322" s="305">
        <f t="shared" si="112"/>
        <v>0.7</v>
      </c>
      <c r="AF322" s="177">
        <f t="shared" si="113"/>
        <v>0.19938614261136201</v>
      </c>
      <c r="AG322" s="817">
        <f t="shared" si="119"/>
        <v>-1</v>
      </c>
      <c r="AH322" s="176">
        <f t="shared" si="114"/>
        <v>5</v>
      </c>
      <c r="AI322" s="225">
        <f t="shared" si="115"/>
        <v>-0.80061385738863799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8"/>
        <v>44139</v>
      </c>
      <c r="B323" s="617">
        <v>9.1120000000000001</v>
      </c>
      <c r="C323" s="390"/>
      <c r="D323" s="393">
        <f t="shared" si="98"/>
        <v>9.2995111661776644</v>
      </c>
      <c r="E323" s="385">
        <f t="shared" si="120"/>
        <v>10.365927907851329</v>
      </c>
      <c r="F323" s="385">
        <f t="shared" si="99"/>
        <v>10.472253201988467</v>
      </c>
      <c r="G323" s="110">
        <f t="shared" si="121"/>
        <v>0.53401000169432422</v>
      </c>
      <c r="H323" s="414" t="b">
        <f>Wh_hp&gt;='2019'!Maxi_hp</f>
        <v>1</v>
      </c>
      <c r="I323" s="380">
        <f>IF(H323,Wh_hp,'2019'!Maxi_hp)</f>
        <v>10.472253201988467</v>
      </c>
      <c r="J323" s="85">
        <f>IF(H323,An,'2019'!An_max)</f>
        <v>2020</v>
      </c>
      <c r="K323" s="197">
        <f t="shared" si="100"/>
        <v>44139</v>
      </c>
      <c r="L323" s="147">
        <f>IF(t&lt;Tvie,1-EXP((T0-t)*PertePVj)+'2019'!Pspv,1-EXP((T0-t)*PertePVj)+Pspv)</f>
        <v>2.0163550839063737E-2</v>
      </c>
      <c r="M323" s="850"/>
      <c r="N323" s="850"/>
      <c r="O323" s="48">
        <f>IF(t&lt;Tnet,'2019'!Resal+('2019'!Salim-'2019'!Resal)*(1-EXP(('2019'!Tnet-t)/('2019'!Tau_j))),Resal+(Salim-Resal)*(1-EXP((Tnet-t)/(Tau_j))))*Salcycl</f>
        <v>0.10287711347731282</v>
      </c>
      <c r="P323" s="169">
        <f>(INDEX(Models!$BJ323:$BT323,,T323)*(1-R323)+INDEX(Models!$BJ323:$BT323,,T323+1)*R323-ERP_i)*Q323*Ramure*Pc/MaxiM</f>
        <v>2.9077710740263586E-2</v>
      </c>
      <c r="Q323" s="305">
        <f t="shared" si="101"/>
        <v>0.7</v>
      </c>
      <c r="R323" s="177">
        <f t="shared" si="102"/>
        <v>0.19941479345150315</v>
      </c>
      <c r="S323" s="817">
        <f t="shared" si="103"/>
        <v>-1</v>
      </c>
      <c r="T323" s="176">
        <f t="shared" si="104"/>
        <v>5</v>
      </c>
      <c r="U323" s="251">
        <f t="shared" si="105"/>
        <v>-0.80058520654849685</v>
      </c>
      <c r="V323" s="383">
        <f t="shared" si="106"/>
        <v>16.73712043473472</v>
      </c>
      <c r="W323" s="402"/>
      <c r="X323" s="157">
        <f t="shared" si="107"/>
        <v>44139</v>
      </c>
      <c r="Y323" s="385">
        <f t="shared" si="108"/>
        <v>9.1120000000000001</v>
      </c>
      <c r="Z323" s="385">
        <f t="shared" si="109"/>
        <v>9.2995111661776644</v>
      </c>
      <c r="AA323" s="386">
        <f t="shared" si="110"/>
        <v>10.365927907851329</v>
      </c>
      <c r="AB323" s="197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0.10287711347731282</v>
      </c>
      <c r="AD323" s="231">
        <f>(INDEX(Models!$BJ323:$BT323,,AH323)*(1-AF323)+INDEX(Models!$BJ323:$BT323,,AH323+1)*AF323-ERP_i)*AE323*Ramure*Pc/MaxiM</f>
        <v>2.9077710740263586E-2</v>
      </c>
      <c r="AE323" s="305">
        <f t="shared" si="112"/>
        <v>0.7</v>
      </c>
      <c r="AF323" s="177">
        <f t="shared" si="113"/>
        <v>0.19941479345150315</v>
      </c>
      <c r="AG323" s="817">
        <f t="shared" si="119"/>
        <v>-1</v>
      </c>
      <c r="AH323" s="176">
        <f t="shared" si="114"/>
        <v>5</v>
      </c>
      <c r="AI323" s="225">
        <f t="shared" si="115"/>
        <v>-0.80058520654849685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8"/>
        <v>44140</v>
      </c>
      <c r="B324" s="617">
        <v>11.787000000000001</v>
      </c>
      <c r="C324" s="390"/>
      <c r="D324" s="393">
        <f t="shared" si="98"/>
        <v>12.029822100717867</v>
      </c>
      <c r="E324" s="385">
        <f t="shared" si="120"/>
        <v>13.409075481708145</v>
      </c>
      <c r="F324" s="385">
        <f t="shared" si="99"/>
        <v>13.651112782957028</v>
      </c>
      <c r="G324" s="110">
        <f t="shared" si="121"/>
        <v>0.70871598892825372</v>
      </c>
      <c r="H324" s="414" t="b">
        <f>Wh_hp&gt;='2019'!Maxi_hp</f>
        <v>0</v>
      </c>
      <c r="I324" s="380">
        <f>IF(H324,Wh_hp,'2019'!Maxi_hp)</f>
        <v>14.059849014806639</v>
      </c>
      <c r="J324" s="85">
        <f>IF(H324,An,'2019'!An_max)</f>
        <v>2018</v>
      </c>
      <c r="K324" s="197">
        <f t="shared" si="100"/>
        <v>44140</v>
      </c>
      <c r="L324" s="147">
        <f>IF(t&lt;Tvie,1-EXP((T0-t)*PertePVj)+'2019'!Pspv,1-EXP((T0-t)*PertePVj)+Pspv)</f>
        <v>2.0185011771984285E-2</v>
      </c>
      <c r="M324" s="850"/>
      <c r="N324" s="850"/>
      <c r="O324" s="48">
        <f>IF(t&lt;Tnet,'2019'!Resal+('2019'!Salim-'2019'!Resal)*(1-EXP(('2019'!Tnet-t)/('2019'!Tau_j))),Resal+(Salim-Resal)*(1-EXP((Tnet-t)/(Tau_j))))*Salcycl</f>
        <v>0.10285969251733822</v>
      </c>
      <c r="P324" s="169">
        <f>(INDEX(Models!$BJ324:$BT324,,T324)*(1-R324)+INDEX(Models!$BJ324:$BT324,,T324+1)*R324-ERP_i)*Q324*Ramure*Pc/MaxiM</f>
        <v>2.9728742148160587E-2</v>
      </c>
      <c r="Q324" s="305">
        <f t="shared" si="101"/>
        <v>0.7</v>
      </c>
      <c r="R324" s="177">
        <f t="shared" si="102"/>
        <v>0.19944229587585527</v>
      </c>
      <c r="S324" s="817">
        <f t="shared" si="103"/>
        <v>-1</v>
      </c>
      <c r="T324" s="176">
        <f t="shared" si="104"/>
        <v>5</v>
      </c>
      <c r="U324" s="251">
        <f t="shared" si="105"/>
        <v>-0.80055770412414473</v>
      </c>
      <c r="V324" s="383">
        <f t="shared" si="106"/>
        <v>16.428330776850956</v>
      </c>
      <c r="W324" s="402"/>
      <c r="X324" s="157">
        <f t="shared" si="107"/>
        <v>44140</v>
      </c>
      <c r="Y324" s="385">
        <f t="shared" si="108"/>
        <v>11.787000000000001</v>
      </c>
      <c r="Z324" s="385">
        <f t="shared" si="109"/>
        <v>12.029822100717867</v>
      </c>
      <c r="AA324" s="386">
        <f t="shared" si="110"/>
        <v>13.409075481708145</v>
      </c>
      <c r="AB324" s="197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0.10285969251733822</v>
      </c>
      <c r="AD324" s="231">
        <f>(INDEX(Models!$BJ324:$BT324,,AH324)*(1-AF324)+INDEX(Models!$BJ324:$BT324,,AH324+1)*AF324-ERP_i)*AE324*Ramure*Pc/MaxiM</f>
        <v>2.9728742148160587E-2</v>
      </c>
      <c r="AE324" s="305">
        <f t="shared" si="112"/>
        <v>0.7</v>
      </c>
      <c r="AF324" s="177">
        <f t="shared" si="113"/>
        <v>0.19944229587585527</v>
      </c>
      <c r="AG324" s="817">
        <f t="shared" si="119"/>
        <v>-1</v>
      </c>
      <c r="AH324" s="176">
        <f t="shared" si="114"/>
        <v>5</v>
      </c>
      <c r="AI324" s="225">
        <f t="shared" si="115"/>
        <v>-0.80055770412414473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8"/>
        <v>44141</v>
      </c>
      <c r="B325" s="617">
        <v>9.17</v>
      </c>
      <c r="C325" s="390"/>
      <c r="D325" s="393">
        <f t="shared" si="98"/>
        <v>9.3591146911495411</v>
      </c>
      <c r="E325" s="385">
        <f t="shared" si="120"/>
        <v>10.431965223494226</v>
      </c>
      <c r="F325" s="385">
        <f t="shared" si="99"/>
        <v>10.554914354247522</v>
      </c>
      <c r="G325" s="110">
        <f t="shared" si="121"/>
        <v>0.55794504263098144</v>
      </c>
      <c r="H325" s="414" t="b">
        <f>Wh_hp&gt;='2019'!Maxi_hp</f>
        <v>1</v>
      </c>
      <c r="I325" s="380">
        <f>IF(H325,Wh_hp,'2019'!Maxi_hp)</f>
        <v>10.554914354247522</v>
      </c>
      <c r="J325" s="85">
        <f>IF(H325,An,'2019'!An_max)</f>
        <v>2020</v>
      </c>
      <c r="K325" s="197">
        <f t="shared" si="100"/>
        <v>44141</v>
      </c>
      <c r="L325" s="147">
        <f>IF(t&lt;Tvie,1-EXP((T0-t)*PertePVj)+'2019'!Pspv,1-EXP((T0-t)*PertePVj)+Pspv)</f>
        <v>2.0206472234855388E-2</v>
      </c>
      <c r="M325" s="850"/>
      <c r="N325" s="850"/>
      <c r="O325" s="48">
        <f>IF(t&lt;Tnet,'2019'!Resal+('2019'!Salim-'2019'!Resal)*(1-EXP(('2019'!Tnet-t)/('2019'!Tau_j))),Resal+(Salim-Resal)*(1-EXP((Tnet-t)/(Tau_j))))*Salcycl</f>
        <v>0.1028426101276179</v>
      </c>
      <c r="P325" s="169">
        <f>(INDEX(Models!$BJ325:$BT325,,T325)*(1-R325)+INDEX(Models!$BJ325:$BT325,,T325+1)*R325-ERP_i)*Q325*Ramure*Pc/MaxiM</f>
        <v>3.0345587380688391E-2</v>
      </c>
      <c r="Q325" s="305">
        <f t="shared" si="101"/>
        <v>0.7</v>
      </c>
      <c r="R325" s="177">
        <f t="shared" si="102"/>
        <v>0.19946869571790116</v>
      </c>
      <c r="S325" s="817">
        <f t="shared" si="103"/>
        <v>-1</v>
      </c>
      <c r="T325" s="176">
        <f t="shared" si="104"/>
        <v>5</v>
      </c>
      <c r="U325" s="251">
        <f t="shared" si="105"/>
        <v>-0.80053130428209884</v>
      </c>
      <c r="V325" s="383">
        <f t="shared" si="106"/>
        <v>16.124396675403425</v>
      </c>
      <c r="W325" s="402"/>
      <c r="X325" s="157">
        <f t="shared" si="107"/>
        <v>44141</v>
      </c>
      <c r="Y325" s="385">
        <f t="shared" si="108"/>
        <v>9.17</v>
      </c>
      <c r="Z325" s="385">
        <f t="shared" si="109"/>
        <v>9.3591146911495411</v>
      </c>
      <c r="AA325" s="386">
        <f t="shared" si="110"/>
        <v>10.431965223494226</v>
      </c>
      <c r="AB325" s="197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0.1028426101276179</v>
      </c>
      <c r="AD325" s="231">
        <f>(INDEX(Models!$BJ325:$BT325,,AH325)*(1-AF325)+INDEX(Models!$BJ325:$BT325,,AH325+1)*AF325-ERP_i)*AE325*Ramure*Pc/MaxiM</f>
        <v>3.0345587380688391E-2</v>
      </c>
      <c r="AE325" s="305">
        <f t="shared" si="112"/>
        <v>0.7</v>
      </c>
      <c r="AF325" s="177">
        <f t="shared" si="113"/>
        <v>0.19946869571790116</v>
      </c>
      <c r="AG325" s="817">
        <f t="shared" si="119"/>
        <v>-1</v>
      </c>
      <c r="AH325" s="176">
        <f t="shared" si="114"/>
        <v>5</v>
      </c>
      <c r="AI325" s="225">
        <f t="shared" si="115"/>
        <v>-0.80053130428209884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8"/>
        <v>44142</v>
      </c>
      <c r="B326" s="617">
        <v>2.1720000000000002</v>
      </c>
      <c r="C326" s="390"/>
      <c r="D326" s="393">
        <f t="shared" si="98"/>
        <v>2.2168421324139511</v>
      </c>
      <c r="E326" s="385">
        <f t="shared" si="120"/>
        <v>2.4709165279475283</v>
      </c>
      <c r="F326" s="385">
        <f t="shared" si="99"/>
        <v>2.4709165279475283</v>
      </c>
      <c r="G326" s="110">
        <f t="shared" si="121"/>
        <v>0.13299088352928051</v>
      </c>
      <c r="H326" s="414" t="b">
        <f>Wh_hp&gt;='2019'!Maxi_hp</f>
        <v>0</v>
      </c>
      <c r="I326" s="380">
        <f>IF(H326,Wh_hp,'2019'!Maxi_hp)</f>
        <v>10.684933775767622</v>
      </c>
      <c r="J326" s="85">
        <f>IF(H326,An,'2019'!An_max)</f>
        <v>2019</v>
      </c>
      <c r="K326" s="197">
        <f t="shared" si="100"/>
        <v>44142</v>
      </c>
      <c r="L326" s="147">
        <f>IF(t&lt;Tvie,1-EXP((T0-t)*PertePVj)+'2019'!Pspv,1-EXP((T0-t)*PertePVj)+Pspv)</f>
        <v>2.0227932227687262E-2</v>
      </c>
      <c r="M326" s="850"/>
      <c r="N326" s="850"/>
      <c r="O326" s="48">
        <f>IF(t&lt;Tnet,'2019'!Resal+('2019'!Salim-'2019'!Resal)*(1-EXP(('2019'!Tnet-t)/('2019'!Tau_j))),Resal+(Salim-Resal)*(1-EXP((Tnet-t)/(Tau_j))))*Salcycl</f>
        <v>0.10282597273515538</v>
      </c>
      <c r="P326" s="169">
        <f>(INDEX(Models!$BJ326:$BT326,,T326)*(1-R326)+INDEX(Models!$BJ326:$BT326,,T326+1)*R326-ERP_i)*Q326*Ramure*Pc/MaxiM</f>
        <v>3.0923418469459091E-2</v>
      </c>
      <c r="Q326" s="305">
        <f t="shared" si="101"/>
        <v>0.7</v>
      </c>
      <c r="R326" s="177">
        <f t="shared" si="102"/>
        <v>0.19949403699754575</v>
      </c>
      <c r="S326" s="817">
        <f t="shared" si="103"/>
        <v>-1</v>
      </c>
      <c r="T326" s="176">
        <f t="shared" si="104"/>
        <v>5</v>
      </c>
      <c r="U326" s="251">
        <f t="shared" si="105"/>
        <v>-0.80050596300245425</v>
      </c>
      <c r="V326" s="383">
        <f t="shared" si="106"/>
        <v>15.826906921938862</v>
      </c>
      <c r="W326" s="402"/>
      <c r="X326" s="157">
        <f t="shared" si="107"/>
        <v>44142</v>
      </c>
      <c r="Y326" s="385">
        <f t="shared" si="108"/>
        <v>2.1720000000000002</v>
      </c>
      <c r="Z326" s="385">
        <f t="shared" si="109"/>
        <v>2.2168421324139511</v>
      </c>
      <c r="AA326" s="386">
        <f t="shared" si="110"/>
        <v>2.4709165279475283</v>
      </c>
      <c r="AB326" s="197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0.10282597273515538</v>
      </c>
      <c r="AD326" s="231">
        <f>(INDEX(Models!$BJ326:$BT326,,AH326)*(1-AF326)+INDEX(Models!$BJ326:$BT326,,AH326+1)*AF326-ERP_i)*AE326*Ramure*Pc/MaxiM</f>
        <v>3.0923418469459091E-2</v>
      </c>
      <c r="AE326" s="305">
        <f t="shared" si="112"/>
        <v>0.7</v>
      </c>
      <c r="AF326" s="177">
        <f t="shared" si="113"/>
        <v>0.19949403699754575</v>
      </c>
      <c r="AG326" s="817">
        <f t="shared" si="119"/>
        <v>-1</v>
      </c>
      <c r="AH326" s="176">
        <f t="shared" si="114"/>
        <v>5</v>
      </c>
      <c r="AI326" s="225">
        <f t="shared" si="115"/>
        <v>-0.80050596300245425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8"/>
        <v>44143</v>
      </c>
      <c r="B327" s="617">
        <v>12.032999999999999</v>
      </c>
      <c r="C327" s="390"/>
      <c r="D327" s="393">
        <f t="shared" si="98"/>
        <v>12.281696891721241</v>
      </c>
      <c r="E327" s="385">
        <f t="shared" si="120"/>
        <v>13.689068449693337</v>
      </c>
      <c r="F327" s="385">
        <f t="shared" si="99"/>
        <v>13.987292778156712</v>
      </c>
      <c r="G327" s="110">
        <f t="shared" si="121"/>
        <v>0.76643068917968882</v>
      </c>
      <c r="H327" s="414" t="b">
        <f>Wh_hp&gt;='2019'!Maxi_hp</f>
        <v>1</v>
      </c>
      <c r="I327" s="380">
        <f>IF(H327,Wh_hp,'2019'!Maxi_hp)</f>
        <v>13.987292778156712</v>
      </c>
      <c r="J327" s="85">
        <f>IF(H327,An,'2019'!An_max)</f>
        <v>2020</v>
      </c>
      <c r="K327" s="197">
        <f t="shared" si="100"/>
        <v>44143</v>
      </c>
      <c r="L327" s="147">
        <f>IF(t&lt;Tvie,1-EXP((T0-t)*PertePVj)+'2019'!Pspv,1-EXP((T0-t)*PertePVj)+Pspv)</f>
        <v>2.0249391750490231E-2</v>
      </c>
      <c r="M327" s="850"/>
      <c r="N327" s="850"/>
      <c r="O327" s="48">
        <f>IF(t&lt;Tnet,'2019'!Resal+('2019'!Salim-'2019'!Resal)*(1-EXP(('2019'!Tnet-t)/('2019'!Tau_j))),Resal+(Salim-Resal)*(1-EXP((Tnet-t)/(Tau_j))))*Salcycl</f>
        <v>0.10280988535809571</v>
      </c>
      <c r="P327" s="169">
        <f>(INDEX(Models!$BJ327:$BT327,,T327)*(1-R327)+INDEX(Models!$BJ327:$BT327,,T327+1)*R327-ERP_i)*Q327*Ramure*Pc/MaxiM</f>
        <v>3.1456886066830857E-2</v>
      </c>
      <c r="Q327" s="305">
        <f t="shared" si="101"/>
        <v>0.7</v>
      </c>
      <c r="R327" s="177">
        <f t="shared" si="102"/>
        <v>0.19951836199164297</v>
      </c>
      <c r="S327" s="817">
        <f t="shared" si="103"/>
        <v>-1</v>
      </c>
      <c r="T327" s="176">
        <f t="shared" si="104"/>
        <v>5</v>
      </c>
      <c r="U327" s="251">
        <f t="shared" si="105"/>
        <v>-0.80048163800835703</v>
      </c>
      <c r="V327" s="383">
        <f t="shared" si="106"/>
        <v>15.537450518077334</v>
      </c>
      <c r="W327" s="402"/>
      <c r="X327" s="157">
        <f t="shared" si="107"/>
        <v>44143</v>
      </c>
      <c r="Y327" s="385">
        <f t="shared" si="108"/>
        <v>12.032999999999999</v>
      </c>
      <c r="Z327" s="385">
        <f t="shared" si="109"/>
        <v>12.281696891721241</v>
      </c>
      <c r="AA327" s="386">
        <f t="shared" si="110"/>
        <v>13.689068449693337</v>
      </c>
      <c r="AB327" s="197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0.10280988535809571</v>
      </c>
      <c r="AD327" s="231">
        <f>(INDEX(Models!$BJ327:$BT327,,AH327)*(1-AF327)+INDEX(Models!$BJ327:$BT327,,AH327+1)*AF327-ERP_i)*AE327*Ramure*Pc/MaxiM</f>
        <v>3.1456886066830857E-2</v>
      </c>
      <c r="AE327" s="305">
        <f t="shared" si="112"/>
        <v>0.7</v>
      </c>
      <c r="AF327" s="177">
        <f t="shared" si="113"/>
        <v>0.19951836199164297</v>
      </c>
      <c r="AG327" s="817">
        <f t="shared" si="119"/>
        <v>-1</v>
      </c>
      <c r="AH327" s="176">
        <f t="shared" si="114"/>
        <v>5</v>
      </c>
      <c r="AI327" s="225">
        <f t="shared" si="115"/>
        <v>-0.80048163800835703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8"/>
        <v>44144</v>
      </c>
      <c r="B328" s="617">
        <v>11.063000000000001</v>
      </c>
      <c r="C328" s="390"/>
      <c r="D328" s="393">
        <f t="shared" si="98"/>
        <v>11.291896346118204</v>
      </c>
      <c r="E328" s="385">
        <f t="shared" si="120"/>
        <v>12.585629190772444</v>
      </c>
      <c r="F328" s="385">
        <f t="shared" si="99"/>
        <v>12.834567106382801</v>
      </c>
      <c r="G328" s="110">
        <f t="shared" si="121"/>
        <v>0.71580498933913106</v>
      </c>
      <c r="H328" s="414" t="b">
        <f>Wh_hp&gt;='2019'!Maxi_hp</f>
        <v>0</v>
      </c>
      <c r="I328" s="380">
        <f>IF(H328,Wh_hp,'2019'!Maxi_hp)</f>
        <v>13.296915518161036</v>
      </c>
      <c r="J328" s="85">
        <f>IF(H328,An,'2019'!An_max)</f>
        <v>2019</v>
      </c>
      <c r="K328" s="197">
        <f t="shared" si="100"/>
        <v>44144</v>
      </c>
      <c r="L328" s="147">
        <f>IF(t&lt;Tvie,1-EXP((T0-t)*PertePVj)+'2019'!Pspv,1-EXP((T0-t)*PertePVj)+Pspv)</f>
        <v>2.0270850803274509E-2</v>
      </c>
      <c r="M328" s="850"/>
      <c r="N328" s="850"/>
      <c r="O328" s="48">
        <f>IF(t&lt;Tnet,'2019'!Resal+('2019'!Salim-'2019'!Resal)*(1-EXP(('2019'!Tnet-t)/('2019'!Tau_j))),Resal+(Salim-Resal)*(1-EXP((Tnet-t)/(Tau_j))))*Salcycl</f>
        <v>0.10279445111912103</v>
      </c>
      <c r="P328" s="169">
        <f>(INDEX(Models!$BJ328:$BT328,,T328)*(1-R328)+INDEX(Models!$BJ328:$BT328,,T328+1)*R328-ERP_i)*Q328*Ramure*Pc/MaxiM</f>
        <v>3.1940131847656074E-2</v>
      </c>
      <c r="Q328" s="305">
        <f t="shared" si="101"/>
        <v>0.7</v>
      </c>
      <c r="R328" s="177">
        <f t="shared" si="102"/>
        <v>0.19954171130187848</v>
      </c>
      <c r="S328" s="817">
        <f t="shared" si="103"/>
        <v>-1</v>
      </c>
      <c r="T328" s="176">
        <f t="shared" si="104"/>
        <v>5</v>
      </c>
      <c r="U328" s="251">
        <f t="shared" si="105"/>
        <v>-0.80045828869812152</v>
      </c>
      <c r="V328" s="383">
        <f t="shared" si="106"/>
        <v>15.257616707700427</v>
      </c>
      <c r="W328" s="402"/>
      <c r="X328" s="157">
        <f t="shared" si="107"/>
        <v>44144</v>
      </c>
      <c r="Y328" s="385">
        <f t="shared" si="108"/>
        <v>11.063000000000001</v>
      </c>
      <c r="Z328" s="385">
        <f t="shared" si="109"/>
        <v>11.291896346118204</v>
      </c>
      <c r="AA328" s="386">
        <f t="shared" si="110"/>
        <v>12.585629190772444</v>
      </c>
      <c r="AB328" s="197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0.10279445111912103</v>
      </c>
      <c r="AD328" s="231">
        <f>(INDEX(Models!$BJ328:$BT328,,AH328)*(1-AF328)+INDEX(Models!$BJ328:$BT328,,AH328+1)*AF328-ERP_i)*AE328*Ramure*Pc/MaxiM</f>
        <v>3.1940131847656074E-2</v>
      </c>
      <c r="AE328" s="305">
        <f t="shared" si="112"/>
        <v>0.7</v>
      </c>
      <c r="AF328" s="177">
        <f t="shared" si="113"/>
        <v>0.19954171130187848</v>
      </c>
      <c r="AG328" s="817">
        <f t="shared" si="119"/>
        <v>-1</v>
      </c>
      <c r="AH328" s="176">
        <f t="shared" si="114"/>
        <v>5</v>
      </c>
      <c r="AI328" s="225">
        <f t="shared" si="115"/>
        <v>-0.80045828869812152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8"/>
        <v>44145</v>
      </c>
      <c r="B329" s="617">
        <v>8.1590000000000007</v>
      </c>
      <c r="C329" s="390"/>
      <c r="D329" s="393">
        <f t="shared" si="98"/>
        <v>8.327994235593918</v>
      </c>
      <c r="E329" s="385">
        <f t="shared" si="120"/>
        <v>9.2819956174147595</v>
      </c>
      <c r="F329" s="385">
        <f t="shared" si="99"/>
        <v>9.3880574871912703</v>
      </c>
      <c r="G329" s="110">
        <f t="shared" si="121"/>
        <v>0.53273294188989029</v>
      </c>
      <c r="H329" s="414" t="b">
        <f>Wh_hp&gt;='2019'!Maxi_hp</f>
        <v>0</v>
      </c>
      <c r="I329" s="380">
        <f>IF(H329,Wh_hp,'2019'!Maxi_hp)</f>
        <v>15.857528713865515</v>
      </c>
      <c r="J329" s="85">
        <f>IF(H329,An,'2019'!An_max)</f>
        <v>2018</v>
      </c>
      <c r="K329" s="197">
        <f t="shared" si="100"/>
        <v>44145</v>
      </c>
      <c r="L329" s="147">
        <f>IF(t&lt;Tvie,1-EXP((T0-t)*PertePVj)+'2019'!Pspv,1-EXP((T0-t)*PertePVj)+Pspv)</f>
        <v>2.0292309386050533E-2</v>
      </c>
      <c r="M329" s="850"/>
      <c r="N329" s="850"/>
      <c r="O329" s="48">
        <f>IF(t&lt;Tnet,'2019'!Resal+('2019'!Salim-'2019'!Resal)*(1-EXP(('2019'!Tnet-t)/('2019'!Tau_j))),Resal+(Salim-Resal)*(1-EXP((Tnet-t)/(Tau_j))))*Salcycl</f>
        <v>0.10277977076728591</v>
      </c>
      <c r="P329" s="169">
        <f>(INDEX(Models!$BJ329:$BT329,,T329)*(1-R329)+INDEX(Models!$BJ329:$BT329,,T329+1)*R329-ERP_i)*Q329*Ramure*Pc/MaxiM</f>
        <v>3.2366817494662338E-2</v>
      </c>
      <c r="Q329" s="305">
        <f t="shared" si="101"/>
        <v>0.7</v>
      </c>
      <c r="R329" s="177">
        <f t="shared" si="102"/>
        <v>0.19956412392009781</v>
      </c>
      <c r="S329" s="817">
        <f t="shared" si="103"/>
        <v>-1</v>
      </c>
      <c r="T329" s="176">
        <f t="shared" si="104"/>
        <v>5</v>
      </c>
      <c r="U329" s="251">
        <f t="shared" si="105"/>
        <v>-0.80043587607990219</v>
      </c>
      <c r="V329" s="383">
        <f t="shared" si="106"/>
        <v>14.988995005101467</v>
      </c>
      <c r="W329" s="402"/>
      <c r="X329" s="157">
        <f t="shared" si="107"/>
        <v>44145</v>
      </c>
      <c r="Y329" s="385">
        <f t="shared" si="108"/>
        <v>8.1590000000000007</v>
      </c>
      <c r="Z329" s="385">
        <f t="shared" si="109"/>
        <v>8.327994235593918</v>
      </c>
      <c r="AA329" s="386">
        <f t="shared" si="110"/>
        <v>9.2819956174147595</v>
      </c>
      <c r="AB329" s="197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0.10277977076728591</v>
      </c>
      <c r="AD329" s="231">
        <f>(INDEX(Models!$BJ329:$BT329,,AH329)*(1-AF329)+INDEX(Models!$BJ329:$BT329,,AH329+1)*AF329-ERP_i)*AE329*Ramure*Pc/MaxiM</f>
        <v>3.2366817494662338E-2</v>
      </c>
      <c r="AE329" s="305">
        <f t="shared" si="112"/>
        <v>0.7</v>
      </c>
      <c r="AF329" s="177">
        <f t="shared" si="113"/>
        <v>0.19956412392009781</v>
      </c>
      <c r="AG329" s="817">
        <f t="shared" si="119"/>
        <v>-1</v>
      </c>
      <c r="AH329" s="176">
        <f t="shared" si="114"/>
        <v>5</v>
      </c>
      <c r="AI329" s="225">
        <f t="shared" si="115"/>
        <v>-0.80043587607990219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8"/>
        <v>44146</v>
      </c>
      <c r="B330" s="617">
        <v>10.048999999999999</v>
      </c>
      <c r="C330" s="390"/>
      <c r="D330" s="393">
        <f t="shared" si="98"/>
        <v>10.257365742850716</v>
      </c>
      <c r="E330" s="385">
        <f t="shared" si="120"/>
        <v>11.432207297319069</v>
      </c>
      <c r="F330" s="385">
        <f t="shared" si="99"/>
        <v>11.6401518140894</v>
      </c>
      <c r="G330" s="110">
        <f t="shared" si="121"/>
        <v>0.67174228361122768</v>
      </c>
      <c r="H330" s="414" t="b">
        <f>Wh_hp&gt;='2019'!Maxi_hp</f>
        <v>0</v>
      </c>
      <c r="I330" s="380">
        <f>IF(H330,Wh_hp,'2019'!Maxi_hp)</f>
        <v>15.263584587544319</v>
      </c>
      <c r="J330" s="85">
        <f>IF(H330,An,'2019'!An_max)</f>
        <v>2018</v>
      </c>
      <c r="K330" s="197">
        <f t="shared" si="100"/>
        <v>44146</v>
      </c>
      <c r="L330" s="147">
        <f>IF(t&lt;Tvie,1-EXP((T0-t)*PertePVj)+'2019'!Pspv,1-EXP((T0-t)*PertePVj)+Pspv)</f>
        <v>2.0313767498828406E-2</v>
      </c>
      <c r="M330" s="850"/>
      <c r="N330" s="850"/>
      <c r="O330" s="48">
        <f>IF(t&lt;Tnet,'2019'!Resal+('2019'!Salim-'2019'!Resal)*(1-EXP(('2019'!Tnet-t)/('2019'!Tau_j))),Resal+(Salim-Resal)*(1-EXP((Tnet-t)/(Tau_j))))*Salcycl</f>
        <v>0.10276594221168996</v>
      </c>
      <c r="P330" s="169">
        <f>(INDEX(Models!$BJ330:$BT330,,T330)*(1-R330)+INDEX(Models!$BJ330:$BT330,,T330+1)*R330-ERP_i)*Q330*Ramure*Pc/MaxiM</f>
        <v>3.2730173985643353E-2</v>
      </c>
      <c r="Q330" s="305">
        <f t="shared" si="101"/>
        <v>0.7</v>
      </c>
      <c r="R330" s="177">
        <f t="shared" si="102"/>
        <v>0.19958563729117151</v>
      </c>
      <c r="S330" s="817">
        <f t="shared" si="103"/>
        <v>-1</v>
      </c>
      <c r="T330" s="176">
        <f t="shared" si="104"/>
        <v>5</v>
      </c>
      <c r="U330" s="251">
        <f t="shared" si="105"/>
        <v>-0.80041436270882849</v>
      </c>
      <c r="V330" s="383">
        <f t="shared" si="106"/>
        <v>14.733175216271208</v>
      </c>
      <c r="W330" s="402"/>
      <c r="X330" s="157">
        <f t="shared" si="107"/>
        <v>44146</v>
      </c>
      <c r="Y330" s="385">
        <f t="shared" si="108"/>
        <v>10.048999999999999</v>
      </c>
      <c r="Z330" s="385">
        <f t="shared" si="109"/>
        <v>10.257365742850716</v>
      </c>
      <c r="AA330" s="386">
        <f t="shared" si="110"/>
        <v>11.432207297319069</v>
      </c>
      <c r="AB330" s="197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0.10276594221168996</v>
      </c>
      <c r="AD330" s="231">
        <f>(INDEX(Models!$BJ330:$BT330,,AH330)*(1-AF330)+INDEX(Models!$BJ330:$BT330,,AH330+1)*AF330-ERP_i)*AE330*Ramure*Pc/MaxiM</f>
        <v>3.2730173985643353E-2</v>
      </c>
      <c r="AE330" s="305">
        <f t="shared" si="112"/>
        <v>0.7</v>
      </c>
      <c r="AF330" s="177">
        <f t="shared" si="113"/>
        <v>0.19958563729117151</v>
      </c>
      <c r="AG330" s="817">
        <f t="shared" si="119"/>
        <v>-1</v>
      </c>
      <c r="AH330" s="176">
        <f t="shared" si="114"/>
        <v>5</v>
      </c>
      <c r="AI330" s="225">
        <f t="shared" si="115"/>
        <v>-0.80041436270882849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8"/>
        <v>44147</v>
      </c>
      <c r="B331" s="617">
        <v>14.590999999999999</v>
      </c>
      <c r="C331" s="390"/>
      <c r="D331" s="393">
        <f t="shared" si="98"/>
        <v>14.893870203824823</v>
      </c>
      <c r="E331" s="385">
        <f t="shared" si="120"/>
        <v>16.599521871862787</v>
      </c>
      <c r="F331" s="385">
        <f t="shared" si="99"/>
        <v>17.166565954887307</v>
      </c>
      <c r="G331" s="110">
        <f t="shared" si="121"/>
        <v>1.0071267838837608</v>
      </c>
      <c r="H331" s="414" t="b">
        <f>Wh_hp&gt;='2019'!Maxi_hp</f>
        <v>1</v>
      </c>
      <c r="I331" s="380">
        <f>IF(H331,Wh_hp,'2019'!Maxi_hp)</f>
        <v>17.166565954887307</v>
      </c>
      <c r="J331" s="85">
        <f>IF(H331,An,'2019'!An_max)</f>
        <v>2020</v>
      </c>
      <c r="K331" s="197">
        <f t="shared" si="100"/>
        <v>44147</v>
      </c>
      <c r="L331" s="147">
        <f>IF(t&lt;Tvie,1-EXP((T0-t)*PertePVj)+'2019'!Pspv,1-EXP((T0-t)*PertePVj)+Pspv)</f>
        <v>2.0335225141618674E-2</v>
      </c>
      <c r="M331" s="850"/>
      <c r="N331" s="850"/>
      <c r="O331" s="48">
        <f>IF(t&lt;Tnet,'2019'!Resal+('2019'!Salim-'2019'!Resal)*(1-EXP(('2019'!Tnet-t)/('2019'!Tau_j))),Resal+(Salim-Resal)*(1-EXP((Tnet-t)/(Tau_j))))*Salcycl</f>
        <v>0.10275306007031138</v>
      </c>
      <c r="P331" s="169">
        <f>(INDEX(Models!$BJ331:$BT331,,T331)*(1-R331)+INDEX(Models!$BJ331:$BT331,,T331+1)*R331-ERP_i)*Q331*Ramure*Pc/MaxiM</f>
        <v>3.3031887945129873E-2</v>
      </c>
      <c r="Q331" s="305">
        <f t="shared" si="101"/>
        <v>0.7</v>
      </c>
      <c r="R331" s="177">
        <f t="shared" si="102"/>
        <v>0.19960628737347974</v>
      </c>
      <c r="S331" s="817">
        <f t="shared" si="103"/>
        <v>-1</v>
      </c>
      <c r="T331" s="176">
        <f t="shared" si="104"/>
        <v>5</v>
      </c>
      <c r="U331" s="251">
        <f t="shared" si="105"/>
        <v>-0.80039371262652026</v>
      </c>
      <c r="V331" s="383">
        <f t="shared" si="106"/>
        <v>14.487748944311708</v>
      </c>
      <c r="W331" s="402"/>
      <c r="X331" s="157">
        <f t="shared" si="107"/>
        <v>44147</v>
      </c>
      <c r="Y331" s="385">
        <f t="shared" si="108"/>
        <v>14.590999999999999</v>
      </c>
      <c r="Z331" s="385">
        <f t="shared" si="109"/>
        <v>14.893870203824823</v>
      </c>
      <c r="AA331" s="386">
        <f t="shared" si="110"/>
        <v>16.599521871862787</v>
      </c>
      <c r="AB331" s="197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0.10275306007031138</v>
      </c>
      <c r="AD331" s="231">
        <f>(INDEX(Models!$BJ331:$BT331,,AH331)*(1-AF331)+INDEX(Models!$BJ331:$BT331,,AH331+1)*AF331-ERP_i)*AE331*Ramure*Pc/MaxiM</f>
        <v>3.3031887945129873E-2</v>
      </c>
      <c r="AE331" s="305">
        <f t="shared" si="112"/>
        <v>0.7</v>
      </c>
      <c r="AF331" s="177">
        <f t="shared" si="113"/>
        <v>0.19960628737347974</v>
      </c>
      <c r="AG331" s="817">
        <f t="shared" si="119"/>
        <v>-1</v>
      </c>
      <c r="AH331" s="176">
        <f t="shared" si="114"/>
        <v>5</v>
      </c>
      <c r="AI331" s="225">
        <f t="shared" si="115"/>
        <v>-0.80039371262652026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8"/>
        <v>44148</v>
      </c>
      <c r="B332" s="617">
        <v>10.378</v>
      </c>
      <c r="C332" s="390"/>
      <c r="D332" s="393">
        <f t="shared" si="98"/>
        <v>10.593651600174521</v>
      </c>
      <c r="E332" s="385">
        <f t="shared" si="120"/>
        <v>11.80668473808848</v>
      </c>
      <c r="F332" s="385">
        <f t="shared" si="99"/>
        <v>12.052084330395068</v>
      </c>
      <c r="G332" s="110">
        <f t="shared" si="121"/>
        <v>0.71871767760643324</v>
      </c>
      <c r="H332" s="414" t="b">
        <f>Wh_hp&gt;='2019'!Maxi_hp</f>
        <v>1</v>
      </c>
      <c r="I332" s="380">
        <f>IF(H332,Wh_hp,'2019'!Maxi_hp)</f>
        <v>12.052084330395068</v>
      </c>
      <c r="J332" s="85">
        <f>IF(H332,An,'2019'!An_max)</f>
        <v>2020</v>
      </c>
      <c r="K332" s="197">
        <f t="shared" si="100"/>
        <v>44148</v>
      </c>
      <c r="L332" s="147">
        <f>IF(t&lt;Tvie,1-EXP((T0-t)*PertePVj)+'2019'!Pspv,1-EXP((T0-t)*PertePVj)+Pspv)</f>
        <v>2.035668231443144E-2</v>
      </c>
      <c r="M332" s="850"/>
      <c r="N332" s="850"/>
      <c r="O332" s="48">
        <f>IF(t&lt;Tnet,'2019'!Resal+('2019'!Salim-'2019'!Resal)*(1-EXP(('2019'!Tnet-t)/('2019'!Tau_j))),Resal+(Salim-Resal)*(1-EXP((Tnet-t)/(Tau_j))))*Salcycl</f>
        <v>0.10274121523722084</v>
      </c>
      <c r="P332" s="169">
        <f>(INDEX(Models!$BJ332:$BT332,,T332)*(1-R332)+INDEX(Models!$BJ332:$BT332,,T332+1)*R332-ERP_i)*Q332*Ramure*Pc/MaxiM</f>
        <v>3.3276816052095815E-2</v>
      </c>
      <c r="Q332" s="305">
        <f t="shared" si="101"/>
        <v>0.7</v>
      </c>
      <c r="R332" s="177">
        <f t="shared" si="102"/>
        <v>0.19962610869710362</v>
      </c>
      <c r="S332" s="817">
        <f t="shared" si="103"/>
        <v>-1</v>
      </c>
      <c r="T332" s="176">
        <f t="shared" si="104"/>
        <v>5</v>
      </c>
      <c r="U332" s="251">
        <f t="shared" si="105"/>
        <v>-0.80037389130289638</v>
      </c>
      <c r="V332" s="383">
        <f t="shared" si="106"/>
        <v>14.249238918217378</v>
      </c>
      <c r="W332" s="402"/>
      <c r="X332" s="157">
        <f t="shared" si="107"/>
        <v>44148</v>
      </c>
      <c r="Y332" s="385">
        <f t="shared" si="108"/>
        <v>10.378</v>
      </c>
      <c r="Z332" s="385">
        <f t="shared" si="109"/>
        <v>10.593651600174521</v>
      </c>
      <c r="AA332" s="386">
        <f t="shared" si="110"/>
        <v>11.80668473808848</v>
      </c>
      <c r="AB332" s="197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0.10274121523722084</v>
      </c>
      <c r="AD332" s="231">
        <f>(INDEX(Models!$BJ332:$BT332,,AH332)*(1-AF332)+INDEX(Models!$BJ332:$BT332,,AH332+1)*AF332-ERP_i)*AE332*Ramure*Pc/MaxiM</f>
        <v>3.3276816052095815E-2</v>
      </c>
      <c r="AE332" s="305">
        <f t="shared" si="112"/>
        <v>0.7</v>
      </c>
      <c r="AF332" s="177">
        <f t="shared" si="113"/>
        <v>0.19962610869710362</v>
      </c>
      <c r="AG332" s="817">
        <f t="shared" si="119"/>
        <v>-1</v>
      </c>
      <c r="AH332" s="176">
        <f t="shared" si="114"/>
        <v>5</v>
      </c>
      <c r="AI332" s="225">
        <f t="shared" si="115"/>
        <v>-0.80037389130289638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8"/>
        <v>44149</v>
      </c>
      <c r="B333" s="617">
        <v>12.807</v>
      </c>
      <c r="C333" s="390"/>
      <c r="D333" s="393">
        <f t="shared" si="98"/>
        <v>13.0734118031548</v>
      </c>
      <c r="E333" s="385">
        <f t="shared" si="120"/>
        <v>14.570217445928913</v>
      </c>
      <c r="F333" s="385">
        <f t="shared" si="99"/>
        <v>15.011200511504091</v>
      </c>
      <c r="G333" s="110">
        <f t="shared" si="121"/>
        <v>0.90978922339010815</v>
      </c>
      <c r="H333" s="414" t="b">
        <f>Wh_hp&gt;='2019'!Maxi_hp</f>
        <v>1</v>
      </c>
      <c r="I333" s="380">
        <f>IF(H333,Wh_hp,'2019'!Maxi_hp)</f>
        <v>15.011200511504091</v>
      </c>
      <c r="J333" s="85">
        <f>IF(H333,An,'2019'!An_max)</f>
        <v>2020</v>
      </c>
      <c r="K333" s="197">
        <f t="shared" si="100"/>
        <v>44149</v>
      </c>
      <c r="L333" s="147">
        <f>IF(t&lt;Tvie,1-EXP((T0-t)*PertePVj)+'2019'!Pspv,1-EXP((T0-t)*PertePVj)+Pspv)</f>
        <v>2.037813901727703E-2</v>
      </c>
      <c r="M333" s="850"/>
      <c r="N333" s="850"/>
      <c r="O333" s="48">
        <f>IF(t&lt;Tnet,'2019'!Resal+('2019'!Salim-'2019'!Resal)*(1-EXP(('2019'!Tnet-t)/('2019'!Tau_j))),Resal+(Salim-Resal)*(1-EXP((Tnet-t)/(Tau_j))))*Salcycl</f>
        <v>0.10273049447126391</v>
      </c>
      <c r="P333" s="169">
        <f>(INDEX(Models!$BJ333:$BT333,,T333)*(1-R333)+INDEX(Models!$BJ333:$BT333,,T333+1)*R333-ERP_i)*Q333*Ramure*Pc/MaxiM</f>
        <v>3.3509138593405215E-2</v>
      </c>
      <c r="Q333" s="305">
        <f t="shared" si="101"/>
        <v>0.7</v>
      </c>
      <c r="R333" s="177">
        <f t="shared" si="102"/>
        <v>0.19964513441980358</v>
      </c>
      <c r="S333" s="817">
        <f t="shared" si="103"/>
        <v>-1</v>
      </c>
      <c r="T333" s="176">
        <f t="shared" si="104"/>
        <v>5</v>
      </c>
      <c r="U333" s="251">
        <f t="shared" si="105"/>
        <v>-0.80035486558019642</v>
      </c>
      <c r="V333" s="383">
        <f t="shared" si="106"/>
        <v>14.01695780739721</v>
      </c>
      <c r="W333" s="402"/>
      <c r="X333" s="157">
        <f t="shared" si="107"/>
        <v>44149</v>
      </c>
      <c r="Y333" s="385">
        <f t="shared" si="108"/>
        <v>12.807</v>
      </c>
      <c r="Z333" s="385">
        <f t="shared" si="109"/>
        <v>13.0734118031548</v>
      </c>
      <c r="AA333" s="386">
        <f t="shared" si="110"/>
        <v>14.570217445928913</v>
      </c>
      <c r="AB333" s="197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0.10273049447126391</v>
      </c>
      <c r="AD333" s="231">
        <f>(INDEX(Models!$BJ333:$BT333,,AH333)*(1-AF333)+INDEX(Models!$BJ333:$BT333,,AH333+1)*AF333-ERP_i)*AE333*Ramure*Pc/MaxiM</f>
        <v>3.3509138593405215E-2</v>
      </c>
      <c r="AE333" s="305">
        <f t="shared" si="112"/>
        <v>0.7</v>
      </c>
      <c r="AF333" s="177">
        <f t="shared" si="113"/>
        <v>0.19964513441980358</v>
      </c>
      <c r="AG333" s="817">
        <f t="shared" si="119"/>
        <v>-1</v>
      </c>
      <c r="AH333" s="176">
        <f t="shared" si="114"/>
        <v>5</v>
      </c>
      <c r="AI333" s="225">
        <f t="shared" si="115"/>
        <v>-0.80035486558019642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8"/>
        <v>44150</v>
      </c>
      <c r="B334" s="617">
        <v>10.901</v>
      </c>
      <c r="C334" s="390"/>
      <c r="D334" s="393">
        <f t="shared" si="98"/>
        <v>11.128006835382889</v>
      </c>
      <c r="E334" s="385">
        <f t="shared" si="120"/>
        <v>12.401946983555108</v>
      </c>
      <c r="F334" s="385">
        <f t="shared" si="99"/>
        <v>12.702114030857565</v>
      </c>
      <c r="G334" s="110">
        <f t="shared" si="121"/>
        <v>0.78227443153739351</v>
      </c>
      <c r="H334" s="414" t="b">
        <f>Wh_hp&gt;='2019'!Maxi_hp</f>
        <v>0</v>
      </c>
      <c r="I334" s="380">
        <f>IF(H334,Wh_hp,'2019'!Maxi_hp)</f>
        <v>12.77870882362072</v>
      </c>
      <c r="J334" s="85">
        <f>IF(H334,An,'2019'!An_max)</f>
        <v>2018</v>
      </c>
      <c r="K334" s="197">
        <f t="shared" si="100"/>
        <v>44150</v>
      </c>
      <c r="L334" s="147">
        <f>IF(t&lt;Tvie,1-EXP((T0-t)*PertePVj)+'2019'!Pspv,1-EXP((T0-t)*PertePVj)+Pspv)</f>
        <v>2.039959525016577E-2</v>
      </c>
      <c r="M334" s="850"/>
      <c r="N334" s="850"/>
      <c r="O334" s="48">
        <f>IF(t&lt;Tnet,'2019'!Resal+('2019'!Salim-'2019'!Resal)*(1-EXP(('2019'!Tnet-t)/('2019'!Tau_j))),Resal+(Salim-Resal)*(1-EXP((Tnet-t)/(Tau_j))))*Salcycl</f>
        <v>0.10272098000914329</v>
      </c>
      <c r="P334" s="169">
        <f>(INDEX(Models!$BJ334:$BT334,,T334)*(1-R334)+INDEX(Models!$BJ334:$BT334,,T334+1)*R334-ERP_i)*Q334*Ramure*Pc/MaxiM</f>
        <v>3.3728074045054568E-2</v>
      </c>
      <c r="Q334" s="305">
        <f t="shared" si="101"/>
        <v>0.7</v>
      </c>
      <c r="R334" s="177">
        <f t="shared" si="102"/>
        <v>0.19966339638086272</v>
      </c>
      <c r="S334" s="817">
        <f t="shared" si="103"/>
        <v>-1</v>
      </c>
      <c r="T334" s="176">
        <f t="shared" si="104"/>
        <v>5</v>
      </c>
      <c r="U334" s="251">
        <f t="shared" si="105"/>
        <v>-0.80033660361913728</v>
      </c>
      <c r="V334" s="383">
        <f t="shared" si="106"/>
        <v>13.790902957155843</v>
      </c>
      <c r="W334" s="402"/>
      <c r="X334" s="157">
        <f t="shared" si="107"/>
        <v>44150</v>
      </c>
      <c r="Y334" s="385">
        <f t="shared" si="108"/>
        <v>10.901</v>
      </c>
      <c r="Z334" s="385">
        <f t="shared" si="109"/>
        <v>11.128006835382889</v>
      </c>
      <c r="AA334" s="386">
        <f t="shared" si="110"/>
        <v>12.401946983555108</v>
      </c>
      <c r="AB334" s="197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0.10272098000914329</v>
      </c>
      <c r="AD334" s="231">
        <f>(INDEX(Models!$BJ334:$BT334,,AH334)*(1-AF334)+INDEX(Models!$BJ334:$BT334,,AH334+1)*AF334-ERP_i)*AE334*Ramure*Pc/MaxiM</f>
        <v>3.3728074045054568E-2</v>
      </c>
      <c r="AE334" s="305">
        <f t="shared" si="112"/>
        <v>0.7</v>
      </c>
      <c r="AF334" s="177">
        <f t="shared" si="113"/>
        <v>0.19966339638086272</v>
      </c>
      <c r="AG334" s="817">
        <f t="shared" si="119"/>
        <v>-1</v>
      </c>
      <c r="AH334" s="176">
        <f t="shared" si="114"/>
        <v>5</v>
      </c>
      <c r="AI334" s="225">
        <f t="shared" si="115"/>
        <v>-0.80033660361913728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8"/>
        <v>44151</v>
      </c>
      <c r="B335" s="617">
        <v>11.698</v>
      </c>
      <c r="C335" s="390"/>
      <c r="D335" s="393">
        <f t="shared" ref="D335:D380" si="122">Wh/(1-Ppv)</f>
        <v>11.941865443411579</v>
      </c>
      <c r="E335" s="385">
        <f t="shared" si="120"/>
        <v>13.30885447535295</v>
      </c>
      <c r="F335" s="385">
        <f t="shared" ref="F335:F380" si="123">Wh_sa/(1-Pvg*MEDIAN((-Sdif+Wh/Env_an)/Csdif,0,1))</f>
        <v>13.681571349452538</v>
      </c>
      <c r="G335" s="110">
        <f t="shared" si="121"/>
        <v>0.85605190459962455</v>
      </c>
      <c r="H335" s="414" t="b">
        <f>Wh_hp&gt;='2019'!Maxi_hp</f>
        <v>0</v>
      </c>
      <c r="I335" s="380">
        <f>IF(H335,Wh_hp,'2019'!Maxi_hp)</f>
        <v>16.318890198291346</v>
      </c>
      <c r="J335" s="85">
        <f>IF(H335,An,'2019'!An_max)</f>
        <v>2018</v>
      </c>
      <c r="K335" s="197">
        <f t="shared" ref="K335:K380" si="124">t</f>
        <v>44151</v>
      </c>
      <c r="L335" s="147">
        <f>IF(t&lt;Tvie,1-EXP((T0-t)*PertePVj)+'2019'!Pspv,1-EXP((T0-t)*PertePVj)+Pspv)</f>
        <v>2.0421051013107983E-2</v>
      </c>
      <c r="M335" s="850"/>
      <c r="N335" s="850"/>
      <c r="O335" s="48">
        <f>IF(t&lt;Tnet,'2019'!Resal+('2019'!Salim-'2019'!Resal)*(1-EXP(('2019'!Tnet-t)/('2019'!Tau_j))),Resal+(Salim-Resal)*(1-EXP((Tnet-t)/(Tau_j))))*Salcycl</f>
        <v>0.10271274920564628</v>
      </c>
      <c r="P335" s="169">
        <f>(INDEX(Models!$BJ335:$BT335,,T335)*(1-R335)+INDEX(Models!$BJ335:$BT335,,T335+1)*R335-ERP_i)*Q335*Ramure*Pc/MaxiM</f>
        <v>3.393281089026802E-2</v>
      </c>
      <c r="Q335" s="305">
        <f t="shared" ref="Q335:Q380" si="125">IF(OR(t&lt;Ttai,Notai),Dd+PousD*Croivg,Dens+PousD*(Croivg-Croi_tai))</f>
        <v>0.7</v>
      </c>
      <c r="R335" s="177">
        <f t="shared" ref="R335:R379" si="126">(Hp_vg-S335)/(INDEX(Echel_vg,T335+1)-S335)</f>
        <v>0.1996809251528735</v>
      </c>
      <c r="S335" s="817">
        <f t="shared" ref="S335:S379" si="127">INDEX(Echel_vg,T335)</f>
        <v>-1</v>
      </c>
      <c r="T335" s="176">
        <f t="shared" ref="T335:T380" si="128">MIN(MATCH(Hp_vg,Echel_vg),10)</f>
        <v>5</v>
      </c>
      <c r="U335" s="251">
        <f t="shared" ref="U335:U380" si="129">IF(OR(t&lt;Ttai,Notai),Hdd+PousH*Croivg,Hdtf+PousH*(Croivg-Croi_tai))</f>
        <v>-0.8003190748471265</v>
      </c>
      <c r="V335" s="383">
        <f t="shared" ref="V335:V380" si="130">MaxiM*(1-Ppv)*(1-Pvg)*(1-Psa)</f>
        <v>13.571072004174603</v>
      </c>
      <c r="W335" s="402"/>
      <c r="X335" s="157">
        <f t="shared" ref="X335:X380" si="131">t</f>
        <v>44151</v>
      </c>
      <c r="Y335" s="385">
        <f t="shared" ref="Y335:Y380" si="132">Wh_pvt_s*(1-Ppv)</f>
        <v>11.698</v>
      </c>
      <c r="Z335" s="385">
        <f t="shared" ref="Z335:Z380" si="133">Wh_sa_s*(1-Psa_s)</f>
        <v>11.941865443411579</v>
      </c>
      <c r="AA335" s="386">
        <f t="shared" ref="AA335:AA380" si="134">Wh_hp*(1-Pvg_s*MEDIAN((-Sdif+Wh/Env_an)/Csdif,0,1))</f>
        <v>13.30885447535295</v>
      </c>
      <c r="AB335" s="197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0.10271274920564628</v>
      </c>
      <c r="AD335" s="231">
        <f>(INDEX(Models!$BJ335:$BT335,,AH335)*(1-AF335)+INDEX(Models!$BJ335:$BT335,,AH335+1)*AF335-ERP_i)*AE335*Ramure*Pc/MaxiM</f>
        <v>3.393281089026802E-2</v>
      </c>
      <c r="AE335" s="305">
        <f t="shared" ref="AE335:AE380" si="136">IF(OR(t&lt;Ttai,Notai),Dd_s+PousD*Croivg,Dens_s+PousD*(Croivg-Croi_tai))</f>
        <v>0.7</v>
      </c>
      <c r="AF335" s="177">
        <f t="shared" ref="AF335:AF379" si="137">(Hp_vg_s-AG335)/(INDEX(Echel_vg,AH335+1)-AG335)</f>
        <v>0.1996809251528735</v>
      </c>
      <c r="AG335" s="817">
        <f t="shared" si="119"/>
        <v>-1</v>
      </c>
      <c r="AH335" s="176">
        <f t="shared" ref="AH335:AH380" si="138">MIN(MATCH(Hp_vg_s,Echel_vg),10)</f>
        <v>5</v>
      </c>
      <c r="AI335" s="225">
        <f t="shared" ref="AI335:AI380" si="139">IF(OR(t&lt;Ttai,Notai),Hdd_s+PousH*Croivg,Hdtai_s+PousH*(Croivg-Croi_tai))</f>
        <v>-0.8003190748471265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7">
        <v>12.337</v>
      </c>
      <c r="C336" s="390"/>
      <c r="D336" s="393">
        <f t="shared" si="122"/>
        <v>12.594462376554835</v>
      </c>
      <c r="E336" s="385">
        <f t="shared" si="120"/>
        <v>14.036046837346618</v>
      </c>
      <c r="F336" s="385">
        <f t="shared" si="123"/>
        <v>14.476097812144513</v>
      </c>
      <c r="G336" s="110">
        <f t="shared" si="121"/>
        <v>0.92005615413551378</v>
      </c>
      <c r="H336" s="414" t="b">
        <f>Wh_hp&gt;='2019'!Maxi_hp</f>
        <v>0</v>
      </c>
      <c r="I336" s="380">
        <f>IF(H336,Wh_hp,'2019'!Maxi_hp)</f>
        <v>14.520944266694507</v>
      </c>
      <c r="J336" s="85">
        <f>IF(H336,An,'2019'!An_max)</f>
        <v>2018</v>
      </c>
      <c r="K336" s="197">
        <f t="shared" si="124"/>
        <v>44152</v>
      </c>
      <c r="L336" s="147">
        <f>IF(t&lt;Tvie,1-EXP((T0-t)*PertePVj)+'2019'!Pspv,1-EXP((T0-t)*PertePVj)+Pspv)</f>
        <v>2.0442506306113883E-2</v>
      </c>
      <c r="M336" s="850"/>
      <c r="N336" s="850"/>
      <c r="O336" s="48">
        <f>IF(t&lt;Tnet,'2019'!Resal+('2019'!Salim-'2019'!Resal)*(1-EXP(('2019'!Tnet-t)/('2019'!Tau_j))),Resal+(Salim-Resal)*(1-EXP((Tnet-t)/(Tau_j))))*Salcycl</f>
        <v>0.10270587420355888</v>
      </c>
      <c r="P336" s="169">
        <f>(INDEX(Models!$BJ336:$BT336,,T336)*(1-R336)+INDEX(Models!$BJ336:$BT336,,T336+1)*R336-ERP_i)*Q336*Ramure*Pc/MaxiM</f>
        <v>3.4122508186203077E-2</v>
      </c>
      <c r="Q336" s="305">
        <f t="shared" si="125"/>
        <v>0.7</v>
      </c>
      <c r="R336" s="177">
        <f t="shared" si="126"/>
        <v>0.19969775009154045</v>
      </c>
      <c r="S336" s="817">
        <f t="shared" si="127"/>
        <v>-1</v>
      </c>
      <c r="T336" s="176">
        <f t="shared" si="128"/>
        <v>5</v>
      </c>
      <c r="U336" s="251">
        <f t="shared" si="129"/>
        <v>-0.80030224990845955</v>
      </c>
      <c r="V336" s="383">
        <f t="shared" si="130"/>
        <v>13.357462878558231</v>
      </c>
      <c r="W336" s="402"/>
      <c r="X336" s="157">
        <f t="shared" si="131"/>
        <v>44152</v>
      </c>
      <c r="Y336" s="385">
        <f t="shared" si="132"/>
        <v>12.337</v>
      </c>
      <c r="Z336" s="385">
        <f t="shared" si="133"/>
        <v>12.594462376554835</v>
      </c>
      <c r="AA336" s="386">
        <f t="shared" si="134"/>
        <v>14.036046837346618</v>
      </c>
      <c r="AB336" s="197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0.10270587420355888</v>
      </c>
      <c r="AD336" s="231">
        <f>(INDEX(Models!$BJ336:$BT336,,AH336)*(1-AF336)+INDEX(Models!$BJ336:$BT336,,AH336+1)*AF336-ERP_i)*AE336*Ramure*Pc/MaxiM</f>
        <v>3.4122508186203077E-2</v>
      </c>
      <c r="AE336" s="305">
        <f t="shared" si="136"/>
        <v>0.7</v>
      </c>
      <c r="AF336" s="177">
        <f t="shared" si="137"/>
        <v>0.19969775009154045</v>
      </c>
      <c r="AG336" s="817">
        <f t="shared" ref="AG336:AG379" si="143">INDEX(Echel_vg,AH336)</f>
        <v>-1</v>
      </c>
      <c r="AH336" s="176">
        <f t="shared" si="138"/>
        <v>5</v>
      </c>
      <c r="AI336" s="225">
        <f t="shared" si="139"/>
        <v>-0.80030224990845955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2"/>
        <v>44153</v>
      </c>
      <c r="B337" s="617">
        <v>12.782999999999999</v>
      </c>
      <c r="C337" s="390"/>
      <c r="D337" s="393">
        <f t="shared" si="122"/>
        <v>13.050055835348378</v>
      </c>
      <c r="E337" s="385">
        <f t="shared" si="120"/>
        <v>14.543699952624179</v>
      </c>
      <c r="F337" s="385">
        <f t="shared" si="123"/>
        <v>15.038910963249226</v>
      </c>
      <c r="G337" s="110">
        <f t="shared" si="121"/>
        <v>0.97071105946482827</v>
      </c>
      <c r="H337" s="414" t="b">
        <f>Wh_hp&gt;='2019'!Maxi_hp</f>
        <v>1</v>
      </c>
      <c r="I337" s="380">
        <f>IF(H337,Wh_hp,'2019'!Maxi_hp)</f>
        <v>15.038910963249226</v>
      </c>
      <c r="J337" s="85">
        <f>IF(H337,An,'2019'!An_max)</f>
        <v>2020</v>
      </c>
      <c r="K337" s="197">
        <f t="shared" si="124"/>
        <v>44153</v>
      </c>
      <c r="L337" s="147">
        <f>IF(t&lt;Tvie,1-EXP((T0-t)*PertePVj)+'2019'!Pspv,1-EXP((T0-t)*PertePVj)+Pspv)</f>
        <v>2.0463961129193797E-2</v>
      </c>
      <c r="M337" s="850"/>
      <c r="N337" s="850"/>
      <c r="O337" s="48">
        <f>IF(t&lt;Tnet,'2019'!Resal+('2019'!Salim-'2019'!Resal)*(1-EXP(('2019'!Tnet-t)/('2019'!Tau_j))),Resal+(Salim-Resal)*(1-EXP((Tnet-t)/(Tau_j))))*Salcycl</f>
        <v>0.1027004216355754</v>
      </c>
      <c r="P337" s="169">
        <f>(INDEX(Models!$BJ337:$BT337,,T337)*(1-R337)+INDEX(Models!$BJ337:$BT337,,T337+1)*R337-ERP_i)*Q337*Ramure*Pc/MaxiM</f>
        <v>3.4296296503067349E-2</v>
      </c>
      <c r="Q337" s="305">
        <f t="shared" si="125"/>
        <v>0.7</v>
      </c>
      <c r="R337" s="177">
        <f t="shared" si="126"/>
        <v>0.19971389938357254</v>
      </c>
      <c r="S337" s="817">
        <f t="shared" si="127"/>
        <v>-1</v>
      </c>
      <c r="T337" s="176">
        <f t="shared" si="128"/>
        <v>5</v>
      </c>
      <c r="U337" s="251">
        <f t="shared" si="129"/>
        <v>-0.80028610061642746</v>
      </c>
      <c r="V337" s="383">
        <f t="shared" si="130"/>
        <v>13.150073801483003</v>
      </c>
      <c r="W337" s="402"/>
      <c r="X337" s="157">
        <f t="shared" si="131"/>
        <v>44153</v>
      </c>
      <c r="Y337" s="385">
        <f t="shared" si="132"/>
        <v>12.782999999999999</v>
      </c>
      <c r="Z337" s="385">
        <f t="shared" si="133"/>
        <v>13.050055835348378</v>
      </c>
      <c r="AA337" s="386">
        <f t="shared" si="134"/>
        <v>14.543699952624179</v>
      </c>
      <c r="AB337" s="197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0.1027004216355754</v>
      </c>
      <c r="AD337" s="231">
        <f>(INDEX(Models!$BJ337:$BT337,,AH337)*(1-AF337)+INDEX(Models!$BJ337:$BT337,,AH337+1)*AF337-ERP_i)*AE337*Ramure*Pc/MaxiM</f>
        <v>3.4296296503067349E-2</v>
      </c>
      <c r="AE337" s="305">
        <f t="shared" si="136"/>
        <v>0.7</v>
      </c>
      <c r="AF337" s="177">
        <f t="shared" si="137"/>
        <v>0.19971389938357254</v>
      </c>
      <c r="AG337" s="817">
        <f t="shared" si="143"/>
        <v>-1</v>
      </c>
      <c r="AH337" s="176">
        <f t="shared" si="138"/>
        <v>5</v>
      </c>
      <c r="AI337" s="225">
        <f t="shared" si="139"/>
        <v>-0.80028610061642746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2"/>
        <v>44154</v>
      </c>
      <c r="B338" s="617">
        <v>4.2549999999999999</v>
      </c>
      <c r="C338" s="390"/>
      <c r="D338" s="393">
        <f t="shared" si="122"/>
        <v>4.3439884073756367</v>
      </c>
      <c r="E338" s="385">
        <f t="shared" si="120"/>
        <v>4.8411581775220398</v>
      </c>
      <c r="F338" s="385">
        <f t="shared" si="123"/>
        <v>4.8479786997931278</v>
      </c>
      <c r="G338" s="110">
        <f t="shared" si="121"/>
        <v>0.31772493582490985</v>
      </c>
      <c r="H338" s="414" t="b">
        <f>Wh_hp&gt;='2019'!Maxi_hp</f>
        <v>0</v>
      </c>
      <c r="I338" s="380">
        <f>IF(H338,Wh_hp,'2019'!Maxi_hp)</f>
        <v>14.953005209630511</v>
      </c>
      <c r="J338" s="85">
        <f>IF(H338,An,'2019'!An_max)</f>
        <v>2019</v>
      </c>
      <c r="K338" s="197">
        <f t="shared" si="124"/>
        <v>44154</v>
      </c>
      <c r="L338" s="147">
        <f>IF(t&lt;Tvie,1-EXP((T0-t)*PertePVj)+'2019'!Pspv,1-EXP((T0-t)*PertePVj)+Pspv)</f>
        <v>2.0485415482358049E-2</v>
      </c>
      <c r="M338" s="850"/>
      <c r="N338" s="850"/>
      <c r="O338" s="48">
        <f>IF(t&lt;Tnet,'2019'!Resal+('2019'!Salim-'2019'!Resal)*(1-EXP(('2019'!Tnet-t)/('2019'!Tau_j))),Resal+(Salim-Resal)*(1-EXP((Tnet-t)/(Tau_j))))*Salcycl</f>
        <v>0.10269645236026573</v>
      </c>
      <c r="P338" s="169">
        <f>(INDEX(Models!$BJ338:$BT338,,T338)*(1-R338)+INDEX(Models!$BJ338:$BT338,,T338+1)*R338-ERP_i)*Q338*Ramure*Pc/MaxiM</f>
        <v>3.4440320936518214E-2</v>
      </c>
      <c r="Q338" s="305">
        <f t="shared" si="125"/>
        <v>0.7</v>
      </c>
      <c r="R338" s="177">
        <f t="shared" si="126"/>
        <v>0.1997294000927321</v>
      </c>
      <c r="S338" s="817">
        <f t="shared" si="127"/>
        <v>-1</v>
      </c>
      <c r="T338" s="176">
        <f t="shared" si="128"/>
        <v>5</v>
      </c>
      <c r="U338" s="251">
        <f t="shared" si="129"/>
        <v>-0.8002705999072679</v>
      </c>
      <c r="V338" s="383">
        <f t="shared" si="130"/>
        <v>12.949077070678818</v>
      </c>
      <c r="W338" s="402"/>
      <c r="X338" s="157">
        <f t="shared" si="131"/>
        <v>44154</v>
      </c>
      <c r="Y338" s="385">
        <f t="shared" si="132"/>
        <v>4.2549999999999999</v>
      </c>
      <c r="Z338" s="385">
        <f t="shared" si="133"/>
        <v>4.3439884073756367</v>
      </c>
      <c r="AA338" s="386">
        <f t="shared" si="134"/>
        <v>4.8411581775220398</v>
      </c>
      <c r="AB338" s="197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0.10269645236026573</v>
      </c>
      <c r="AD338" s="231">
        <f>(INDEX(Models!$BJ338:$BT338,,AH338)*(1-AF338)+INDEX(Models!$BJ338:$BT338,,AH338+1)*AF338-ERP_i)*AE338*Ramure*Pc/MaxiM</f>
        <v>3.4440320936518214E-2</v>
      </c>
      <c r="AE338" s="305">
        <f t="shared" si="136"/>
        <v>0.7</v>
      </c>
      <c r="AF338" s="177">
        <f t="shared" si="137"/>
        <v>0.1997294000927321</v>
      </c>
      <c r="AG338" s="817">
        <f t="shared" si="143"/>
        <v>-1</v>
      </c>
      <c r="AH338" s="176">
        <f t="shared" si="138"/>
        <v>5</v>
      </c>
      <c r="AI338" s="225">
        <f t="shared" si="139"/>
        <v>-0.8002705999072679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2"/>
        <v>44155</v>
      </c>
      <c r="B339" s="617">
        <v>11.034000000000001</v>
      </c>
      <c r="C339" s="390"/>
      <c r="D339" s="393">
        <f t="shared" si="122"/>
        <v>11.265010090324644</v>
      </c>
      <c r="E339" s="385">
        <f t="shared" si="120"/>
        <v>12.554257251038567</v>
      </c>
      <c r="F339" s="385">
        <f t="shared" si="123"/>
        <v>12.914617948384514</v>
      </c>
      <c r="G339" s="110">
        <f t="shared" si="121"/>
        <v>0.85919048220219962</v>
      </c>
      <c r="H339" s="414" t="b">
        <f>Wh_hp&gt;='2019'!Maxi_hp</f>
        <v>0</v>
      </c>
      <c r="I339" s="380">
        <f>IF(H339,Wh_hp,'2019'!Maxi_hp)</f>
        <v>14.614708080024094</v>
      </c>
      <c r="J339" s="85">
        <f>IF(H339,An,'2019'!An_max)</f>
        <v>2018</v>
      </c>
      <c r="K339" s="197">
        <f t="shared" si="124"/>
        <v>44155</v>
      </c>
      <c r="L339" s="147">
        <f>IF(t&lt;Tvie,1-EXP((T0-t)*PertePVj)+'2019'!Pspv,1-EXP((T0-t)*PertePVj)+Pspv)</f>
        <v>2.0506869365616853E-2</v>
      </c>
      <c r="M339" s="850"/>
      <c r="N339" s="850"/>
      <c r="O339" s="48">
        <f>IF(t&lt;Tnet,'2019'!Resal+('2019'!Salim-'2019'!Resal)*(1-EXP(('2019'!Tnet-t)/('2019'!Tau_j))),Resal+(Salim-Resal)*(1-EXP((Tnet-t)/(Tau_j))))*Salcycl</f>
        <v>0.10269402123389401</v>
      </c>
      <c r="P339" s="169">
        <f>(INDEX(Models!$BJ339:$BT339,,T339)*(1-R339)+INDEX(Models!$BJ339:$BT339,,T339+1)*R339-ERP_i)*Q339*Ramure*Pc/MaxiM</f>
        <v>3.4563293418012168E-2</v>
      </c>
      <c r="Q339" s="305">
        <f t="shared" si="125"/>
        <v>0.7</v>
      </c>
      <c r="R339" s="177">
        <f t="shared" si="126"/>
        <v>0.19974427820411078</v>
      </c>
      <c r="S339" s="817">
        <f t="shared" si="127"/>
        <v>-1</v>
      </c>
      <c r="T339" s="176">
        <f t="shared" si="128"/>
        <v>5</v>
      </c>
      <c r="U339" s="251">
        <f t="shared" si="129"/>
        <v>-0.80025572179588922</v>
      </c>
      <c r="V339" s="383">
        <f t="shared" si="130"/>
        <v>12.754336433095609</v>
      </c>
      <c r="W339" s="402"/>
      <c r="X339" s="157">
        <f t="shared" si="131"/>
        <v>44155</v>
      </c>
      <c r="Y339" s="385">
        <f t="shared" si="132"/>
        <v>11.034000000000001</v>
      </c>
      <c r="Z339" s="385">
        <f t="shared" si="133"/>
        <v>11.265010090324644</v>
      </c>
      <c r="AA339" s="386">
        <f t="shared" si="134"/>
        <v>12.554257251038567</v>
      </c>
      <c r="AB339" s="197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0.10269402123389401</v>
      </c>
      <c r="AD339" s="231">
        <f>(INDEX(Models!$BJ339:$BT339,,AH339)*(1-AF339)+INDEX(Models!$BJ339:$BT339,,AH339+1)*AF339-ERP_i)*AE339*Ramure*Pc/MaxiM</f>
        <v>3.4563293418012168E-2</v>
      </c>
      <c r="AE339" s="305">
        <f t="shared" si="136"/>
        <v>0.7</v>
      </c>
      <c r="AF339" s="177">
        <f t="shared" si="137"/>
        <v>0.19974427820411078</v>
      </c>
      <c r="AG339" s="817">
        <f t="shared" si="143"/>
        <v>-1</v>
      </c>
      <c r="AH339" s="176">
        <f t="shared" si="138"/>
        <v>5</v>
      </c>
      <c r="AI339" s="225">
        <f t="shared" si="139"/>
        <v>-0.80025572179588922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2"/>
        <v>44156</v>
      </c>
      <c r="B340" s="617">
        <v>12.843999999999999</v>
      </c>
      <c r="C340" s="390"/>
      <c r="D340" s="393">
        <f t="shared" si="122"/>
        <v>13.113191834644271</v>
      </c>
      <c r="E340" s="385">
        <f t="shared" si="120"/>
        <v>14.613944190937374</v>
      </c>
      <c r="F340" s="385">
        <f t="shared" si="123"/>
        <v>15.138714921882022</v>
      </c>
      <c r="G340" s="110">
        <f t="shared" si="121"/>
        <v>1.0221353277043692</v>
      </c>
      <c r="H340" s="414" t="b">
        <f>Wh_hp&gt;='2019'!Maxi_hp</f>
        <v>1</v>
      </c>
      <c r="I340" s="380">
        <f>IF(H340,Wh_hp,'2019'!Maxi_hp)</f>
        <v>15.138714921882022</v>
      </c>
      <c r="J340" s="85">
        <f>IF(H340,An,'2019'!An_max)</f>
        <v>2020</v>
      </c>
      <c r="K340" s="197">
        <f t="shared" si="124"/>
        <v>44156</v>
      </c>
      <c r="L340" s="147">
        <f>IF(t&lt;Tvie,1-EXP((T0-t)*PertePVj)+'2019'!Pspv,1-EXP((T0-t)*PertePVj)+Pspv)</f>
        <v>2.0528322778980646E-2</v>
      </c>
      <c r="M340" s="850"/>
      <c r="N340" s="850"/>
      <c r="O340" s="48">
        <f>IF(t&lt;Tnet,'2019'!Resal+('2019'!Salim-'2019'!Resal)*(1-EXP(('2019'!Tnet-t)/('2019'!Tau_j))),Resal+(Salim-Resal)*(1-EXP((Tnet-t)/(Tau_j))))*Salcycl</f>
        <v>0.10269317691960078</v>
      </c>
      <c r="P340" s="169">
        <f>(INDEX(Models!$BJ340:$BT340,,T340)*(1-R340)+INDEX(Models!$BJ340:$BT340,,T340+1)*R340-ERP_i)*Q340*Ramure*Pc/MaxiM</f>
        <v>3.4664153044200979E-2</v>
      </c>
      <c r="Q340" s="305">
        <f t="shared" si="125"/>
        <v>0.7</v>
      </c>
      <c r="R340" s="177">
        <f t="shared" si="126"/>
        <v>0.19975855866669634</v>
      </c>
      <c r="S340" s="817">
        <f t="shared" si="127"/>
        <v>-1</v>
      </c>
      <c r="T340" s="176">
        <f t="shared" si="128"/>
        <v>5</v>
      </c>
      <c r="U340" s="251">
        <f t="shared" si="129"/>
        <v>-0.80024144133330366</v>
      </c>
      <c r="V340" s="383">
        <f t="shared" si="130"/>
        <v>12.565850775206599</v>
      </c>
      <c r="W340" s="402"/>
      <c r="X340" s="157">
        <f t="shared" si="131"/>
        <v>44156</v>
      </c>
      <c r="Y340" s="385">
        <f t="shared" si="132"/>
        <v>12.843999999999999</v>
      </c>
      <c r="Z340" s="385">
        <f t="shared" si="133"/>
        <v>13.113191834644271</v>
      </c>
      <c r="AA340" s="386">
        <f t="shared" si="134"/>
        <v>14.613944190937374</v>
      </c>
      <c r="AB340" s="197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0.10269317691960078</v>
      </c>
      <c r="AD340" s="231">
        <f>(INDEX(Models!$BJ340:$BT340,,AH340)*(1-AF340)+INDEX(Models!$BJ340:$BT340,,AH340+1)*AF340-ERP_i)*AE340*Ramure*Pc/MaxiM</f>
        <v>3.4664153044200979E-2</v>
      </c>
      <c r="AE340" s="305">
        <f t="shared" si="136"/>
        <v>0.7</v>
      </c>
      <c r="AF340" s="177">
        <f t="shared" si="137"/>
        <v>0.19975855866669634</v>
      </c>
      <c r="AG340" s="817">
        <f t="shared" si="143"/>
        <v>-1</v>
      </c>
      <c r="AH340" s="176">
        <f t="shared" si="138"/>
        <v>5</v>
      </c>
      <c r="AI340" s="225">
        <f t="shared" si="139"/>
        <v>-0.80024144133330366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2"/>
        <v>44157</v>
      </c>
      <c r="B341" s="617">
        <v>12.353</v>
      </c>
      <c r="C341" s="390"/>
      <c r="D341" s="393">
        <f t="shared" si="122"/>
        <v>12.61217741729733</v>
      </c>
      <c r="E341" s="385">
        <f t="shared" si="120"/>
        <v>14.055602970961965</v>
      </c>
      <c r="F341" s="385">
        <f t="shared" si="123"/>
        <v>14.559641419504979</v>
      </c>
      <c r="G341" s="110">
        <f t="shared" si="121"/>
        <v>0.99740040183462209</v>
      </c>
      <c r="H341" s="414" t="b">
        <f>Wh_hp&gt;='2019'!Maxi_hp</f>
        <v>1</v>
      </c>
      <c r="I341" s="380">
        <f>IF(H341,Wh_hp,'2019'!Maxi_hp)</f>
        <v>14.559641419504979</v>
      </c>
      <c r="J341" s="85">
        <f>IF(H341,An,'2019'!An_max)</f>
        <v>2020</v>
      </c>
      <c r="K341" s="197">
        <f t="shared" si="124"/>
        <v>44157</v>
      </c>
      <c r="L341" s="147">
        <f>IF(t&lt;Tvie,1-EXP((T0-t)*PertePVj)+'2019'!Pspv,1-EXP((T0-t)*PertePVj)+Pspv)</f>
        <v>2.054977572245964E-2</v>
      </c>
      <c r="M341" s="850"/>
      <c r="N341" s="850"/>
      <c r="O341" s="48">
        <f>IF(t&lt;Tnet,'2019'!Resal+('2019'!Salim-'2019'!Resal)*(1-EXP(('2019'!Tnet-t)/('2019'!Tau_j))),Resal+(Salim-Resal)*(1-EXP((Tnet-t)/(Tau_j))))*Salcycl</f>
        <v>0.10269396173516469</v>
      </c>
      <c r="P341" s="169">
        <f>(INDEX(Models!$BJ341:$BT341,,T341)*(1-R341)+INDEX(Models!$BJ341:$BT341,,T341+1)*R341-ERP_i)*Q341*Ramure*Pc/MaxiM</f>
        <v>3.4741604355453259E-2</v>
      </c>
      <c r="Q341" s="305">
        <f t="shared" si="125"/>
        <v>0.7</v>
      </c>
      <c r="R341" s="177">
        <f t="shared" si="126"/>
        <v>0.19977226543429238</v>
      </c>
      <c r="S341" s="817">
        <f t="shared" si="127"/>
        <v>-1</v>
      </c>
      <c r="T341" s="176">
        <f t="shared" si="128"/>
        <v>5</v>
      </c>
      <c r="U341" s="251">
        <f t="shared" si="129"/>
        <v>-0.80022773456570762</v>
      </c>
      <c r="V341" s="383">
        <f t="shared" si="130"/>
        <v>12.383622035517522</v>
      </c>
      <c r="W341" s="402"/>
      <c r="X341" s="157">
        <f t="shared" si="131"/>
        <v>44157</v>
      </c>
      <c r="Y341" s="385">
        <f t="shared" si="132"/>
        <v>12.353</v>
      </c>
      <c r="Z341" s="385">
        <f t="shared" si="133"/>
        <v>12.61217741729733</v>
      </c>
      <c r="AA341" s="386">
        <f t="shared" si="134"/>
        <v>14.055602970961965</v>
      </c>
      <c r="AB341" s="197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0.10269396173516469</v>
      </c>
      <c r="AD341" s="231">
        <f>(INDEX(Models!$BJ341:$BT341,,AH341)*(1-AF341)+INDEX(Models!$BJ341:$BT341,,AH341+1)*AF341-ERP_i)*AE341*Ramure*Pc/MaxiM</f>
        <v>3.4741604355453259E-2</v>
      </c>
      <c r="AE341" s="305">
        <f t="shared" si="136"/>
        <v>0.7</v>
      </c>
      <c r="AF341" s="177">
        <f t="shared" si="137"/>
        <v>0.19977226543429238</v>
      </c>
      <c r="AG341" s="817">
        <f t="shared" si="143"/>
        <v>-1</v>
      </c>
      <c r="AH341" s="176">
        <f t="shared" si="138"/>
        <v>5</v>
      </c>
      <c r="AI341" s="225">
        <f t="shared" si="139"/>
        <v>-0.80022773456570762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44158</v>
      </c>
      <c r="B342" s="617">
        <v>11.906000000000001</v>
      </c>
      <c r="C342" s="390"/>
      <c r="D342" s="393">
        <f t="shared" si="122"/>
        <v>12.156065191010509</v>
      </c>
      <c r="E342" s="385">
        <f t="shared" si="120"/>
        <v>13.547327066725385</v>
      </c>
      <c r="F342" s="385">
        <f t="shared" si="123"/>
        <v>14.017853674238541</v>
      </c>
      <c r="G342" s="110">
        <f t="shared" si="121"/>
        <v>0.97405054956056925</v>
      </c>
      <c r="H342" s="414" t="b">
        <f>Wh_hp&gt;='2019'!Maxi_hp</f>
        <v>1</v>
      </c>
      <c r="I342" s="380">
        <f>IF(H342,Wh_hp,'2019'!Maxi_hp)</f>
        <v>14.017853674238541</v>
      </c>
      <c r="J342" s="85">
        <f>IF(H342,An,'2019'!An_max)</f>
        <v>2020</v>
      </c>
      <c r="K342" s="197">
        <f t="shared" si="124"/>
        <v>44158</v>
      </c>
      <c r="L342" s="147">
        <f>IF(t&lt;Tvie,1-EXP((T0-t)*PertePVj)+'2019'!Pspv,1-EXP((T0-t)*PertePVj)+Pspv)</f>
        <v>2.0571228196064051E-2</v>
      </c>
      <c r="M342" s="850"/>
      <c r="N342" s="850"/>
      <c r="O342" s="48">
        <f>IF(t&lt;Tnet,'2019'!Resal+('2019'!Salim-'2019'!Resal)*(1-EXP(('2019'!Tnet-t)/('2019'!Tau_j))),Resal+(Salim-Resal)*(1-EXP((Tnet-t)/(Tau_j))))*Salcycl</f>
        <v>0.1026964115402558</v>
      </c>
      <c r="P342" s="169">
        <f>(INDEX(Models!$BJ342:$BT342,,T342)*(1-R342)+INDEX(Models!$BJ342:$BT342,,T342+1)*R342-ERP_i)*Q342*Ramure*Pc/MaxiM</f>
        <v>3.4794480413386446E-2</v>
      </c>
      <c r="Q342" s="305">
        <f t="shared" si="125"/>
        <v>0.7</v>
      </c>
      <c r="R342" s="177">
        <f t="shared" si="126"/>
        <v>0.19978542150485379</v>
      </c>
      <c r="S342" s="817">
        <f t="shared" si="127"/>
        <v>-1</v>
      </c>
      <c r="T342" s="176">
        <f t="shared" si="128"/>
        <v>5</v>
      </c>
      <c r="U342" s="251">
        <f t="shared" si="129"/>
        <v>-0.80021457849514621</v>
      </c>
      <c r="V342" s="383">
        <f t="shared" si="130"/>
        <v>12.207650459136575</v>
      </c>
      <c r="W342" s="402"/>
      <c r="X342" s="157">
        <f t="shared" si="131"/>
        <v>44158</v>
      </c>
      <c r="Y342" s="385">
        <f t="shared" si="132"/>
        <v>11.906000000000001</v>
      </c>
      <c r="Z342" s="385">
        <f t="shared" si="133"/>
        <v>12.156065191010509</v>
      </c>
      <c r="AA342" s="386">
        <f t="shared" si="134"/>
        <v>13.547327066725385</v>
      </c>
      <c r="AB342" s="197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0.1026964115402558</v>
      </c>
      <c r="AD342" s="231">
        <f>(INDEX(Models!$BJ342:$BT342,,AH342)*(1-AF342)+INDEX(Models!$BJ342:$BT342,,AH342+1)*AF342-ERP_i)*AE342*Ramure*Pc/MaxiM</f>
        <v>3.4794480413386446E-2</v>
      </c>
      <c r="AE342" s="305">
        <f t="shared" si="136"/>
        <v>0.7</v>
      </c>
      <c r="AF342" s="177">
        <f t="shared" si="137"/>
        <v>0.19978542150485379</v>
      </c>
      <c r="AG342" s="817">
        <f t="shared" si="143"/>
        <v>-1</v>
      </c>
      <c r="AH342" s="176">
        <f t="shared" si="138"/>
        <v>5</v>
      </c>
      <c r="AI342" s="225">
        <f t="shared" si="139"/>
        <v>-0.80021457849514621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2"/>
        <v>44159</v>
      </c>
      <c r="B343" s="617">
        <v>12.093</v>
      </c>
      <c r="C343" s="390"/>
      <c r="D343" s="393">
        <f t="shared" si="122"/>
        <v>12.347263243312328</v>
      </c>
      <c r="E343" s="385">
        <f t="shared" si="120"/>
        <v>13.760471291104187</v>
      </c>
      <c r="F343" s="385">
        <f t="shared" si="123"/>
        <v>14.256922771094214</v>
      </c>
      <c r="G343" s="110">
        <f t="shared" si="121"/>
        <v>1.0045743505784301</v>
      </c>
      <c r="H343" s="414" t="b">
        <f>Wh_hp&gt;='2019'!Maxi_hp</f>
        <v>1</v>
      </c>
      <c r="I343" s="380">
        <f>IF(H343,Wh_hp,'2019'!Maxi_hp)</f>
        <v>14.256922771094214</v>
      </c>
      <c r="J343" s="85">
        <f>IF(H343,An,'2019'!An_max)</f>
        <v>2020</v>
      </c>
      <c r="K343" s="197">
        <f t="shared" si="124"/>
        <v>44159</v>
      </c>
      <c r="L343" s="147">
        <f>IF(t&lt;Tvie,1-EXP((T0-t)*PertePVj)+'2019'!Pspv,1-EXP((T0-t)*PertePVj)+Pspv)</f>
        <v>2.0592680199804203E-2</v>
      </c>
      <c r="M343" s="850"/>
      <c r="N343" s="850"/>
      <c r="O343" s="48">
        <f>IF(t&lt;Tnet,'2019'!Resal+('2019'!Salim-'2019'!Resal)*(1-EXP(('2019'!Tnet-t)/('2019'!Tau_j))),Resal+(Salim-Resal)*(1-EXP((Tnet-t)/(Tau_j))))*Salcycl</f>
        <v>0.10270055566377759</v>
      </c>
      <c r="P343" s="169">
        <f>(INDEX(Models!$BJ343:$BT343,,T343)*(1-R343)+INDEX(Models!$BJ343:$BT343,,T343+1)*R343-ERP_i)*Q343*Ramure*Pc/MaxiM</f>
        <v>3.4821783631778985E-2</v>
      </c>
      <c r="Q343" s="305">
        <f t="shared" si="125"/>
        <v>0.7</v>
      </c>
      <c r="R343" s="177">
        <f t="shared" si="126"/>
        <v>0.19979804895829578</v>
      </c>
      <c r="S343" s="817">
        <f t="shared" si="127"/>
        <v>-1</v>
      </c>
      <c r="T343" s="176">
        <f t="shared" si="128"/>
        <v>5</v>
      </c>
      <c r="U343" s="251">
        <f t="shared" si="129"/>
        <v>-0.80020195104170422</v>
      </c>
      <c r="V343" s="383">
        <f t="shared" si="130"/>
        <v>12.037934268416166</v>
      </c>
      <c r="W343" s="402"/>
      <c r="X343" s="157">
        <f t="shared" si="131"/>
        <v>44159</v>
      </c>
      <c r="Y343" s="385">
        <f t="shared" si="132"/>
        <v>12.093</v>
      </c>
      <c r="Z343" s="385">
        <f t="shared" si="133"/>
        <v>12.347263243312328</v>
      </c>
      <c r="AA343" s="386">
        <f t="shared" si="134"/>
        <v>13.760471291104187</v>
      </c>
      <c r="AB343" s="197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0.10270055566377759</v>
      </c>
      <c r="AD343" s="231">
        <f>(INDEX(Models!$BJ343:$BT343,,AH343)*(1-AF343)+INDEX(Models!$BJ343:$BT343,,AH343+1)*AF343-ERP_i)*AE343*Ramure*Pc/MaxiM</f>
        <v>3.4821783631778985E-2</v>
      </c>
      <c r="AE343" s="305">
        <f t="shared" si="136"/>
        <v>0.7</v>
      </c>
      <c r="AF343" s="177">
        <f t="shared" si="137"/>
        <v>0.19979804895829578</v>
      </c>
      <c r="AG343" s="817">
        <f t="shared" si="143"/>
        <v>-1</v>
      </c>
      <c r="AH343" s="176">
        <f t="shared" si="138"/>
        <v>5</v>
      </c>
      <c r="AI343" s="225">
        <f t="shared" si="139"/>
        <v>-0.80020195104170422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44160</v>
      </c>
      <c r="B344" s="617">
        <v>11.335000000000001</v>
      </c>
      <c r="C344" s="390"/>
      <c r="D344" s="393">
        <f t="shared" si="122"/>
        <v>11.573579288074683</v>
      </c>
      <c r="E344" s="385">
        <f t="shared" si="120"/>
        <v>12.898319463874151</v>
      </c>
      <c r="F344" s="385">
        <f t="shared" si="123"/>
        <v>13.332457203646875</v>
      </c>
      <c r="G344" s="110">
        <f t="shared" si="121"/>
        <v>0.95233877893928565</v>
      </c>
      <c r="H344" s="414" t="b">
        <f>Wh_hp&gt;='2019'!Maxi_hp</f>
        <v>1</v>
      </c>
      <c r="I344" s="380">
        <f>IF(H344,Wh_hp,'2019'!Maxi_hp)</f>
        <v>13.332457203646875</v>
      </c>
      <c r="J344" s="85">
        <f>IF(H344,An,'2019'!An_max)</f>
        <v>2020</v>
      </c>
      <c r="K344" s="197">
        <f t="shared" si="124"/>
        <v>44160</v>
      </c>
      <c r="L344" s="147">
        <f>IF(t&lt;Tvie,1-EXP((T0-t)*PertePVj)+'2019'!Pspv,1-EXP((T0-t)*PertePVj)+Pspv)</f>
        <v>2.0614131733690422E-2</v>
      </c>
      <c r="M344" s="850"/>
      <c r="N344" s="850"/>
      <c r="O344" s="48">
        <f>IF(t&lt;Tnet,'2019'!Resal+('2019'!Salim-'2019'!Resal)*(1-EXP(('2019'!Tnet-t)/('2019'!Tau_j))),Resal+(Salim-Resal)*(1-EXP((Tnet-t)/(Tau_j))))*Salcycl</f>
        <v>0.10270641687157972</v>
      </c>
      <c r="P344" s="169">
        <f>(INDEX(Models!$BJ344:$BT344,,T344)*(1-R344)+INDEX(Models!$BJ344:$BT344,,T344+1)*R344-ERP_i)*Q344*Ramure*Pc/MaxiM</f>
        <v>3.4822512988319551E-2</v>
      </c>
      <c r="Q344" s="305">
        <f t="shared" si="125"/>
        <v>0.7</v>
      </c>
      <c r="R344" s="177">
        <f t="shared" si="126"/>
        <v>0.19981016899283377</v>
      </c>
      <c r="S344" s="817">
        <f t="shared" si="127"/>
        <v>-1</v>
      </c>
      <c r="T344" s="176">
        <f t="shared" si="128"/>
        <v>5</v>
      </c>
      <c r="U344" s="251">
        <f t="shared" si="129"/>
        <v>-0.80018983100716623</v>
      </c>
      <c r="V344" s="383">
        <f t="shared" si="130"/>
        <v>11.874472000659791</v>
      </c>
      <c r="W344" s="402"/>
      <c r="X344" s="157">
        <f t="shared" si="131"/>
        <v>44160</v>
      </c>
      <c r="Y344" s="385">
        <f t="shared" si="132"/>
        <v>11.335000000000001</v>
      </c>
      <c r="Z344" s="385">
        <f t="shared" si="133"/>
        <v>11.573579288074683</v>
      </c>
      <c r="AA344" s="386">
        <f t="shared" si="134"/>
        <v>12.898319463874151</v>
      </c>
      <c r="AB344" s="197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0.10270641687157972</v>
      </c>
      <c r="AD344" s="231">
        <f>(INDEX(Models!$BJ344:$BT344,,AH344)*(1-AF344)+INDEX(Models!$BJ344:$BT344,,AH344+1)*AF344-ERP_i)*AE344*Ramure*Pc/MaxiM</f>
        <v>3.4822512988319551E-2</v>
      </c>
      <c r="AE344" s="305">
        <f t="shared" si="136"/>
        <v>0.7</v>
      </c>
      <c r="AF344" s="177">
        <f t="shared" si="137"/>
        <v>0.19981016899283377</v>
      </c>
      <c r="AG344" s="817">
        <f t="shared" si="143"/>
        <v>-1</v>
      </c>
      <c r="AH344" s="176">
        <f t="shared" si="138"/>
        <v>5</v>
      </c>
      <c r="AI344" s="225">
        <f t="shared" si="139"/>
        <v>-0.80018983100716623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2"/>
        <v>44161</v>
      </c>
      <c r="B345" s="617">
        <v>10.401999999999999</v>
      </c>
      <c r="C345" s="390"/>
      <c r="D345" s="393">
        <f t="shared" si="122"/>
        <v>10.621174117919466</v>
      </c>
      <c r="E345" s="385">
        <f t="shared" si="120"/>
        <v>11.836999855742139</v>
      </c>
      <c r="F345" s="385">
        <f t="shared" si="123"/>
        <v>12.19341053529582</v>
      </c>
      <c r="G345" s="110">
        <f t="shared" si="121"/>
        <v>0.88282314434660758</v>
      </c>
      <c r="H345" s="414" t="b">
        <f>Wh_hp&gt;='2019'!Maxi_hp</f>
        <v>0</v>
      </c>
      <c r="I345" s="380">
        <f>IF(H345,Wh_hp,'2019'!Maxi_hp)</f>
        <v>14.406333862137721</v>
      </c>
      <c r="J345" s="85">
        <f>IF(H345,An,'2019'!An_max)</f>
        <v>2018</v>
      </c>
      <c r="K345" s="197">
        <f t="shared" si="124"/>
        <v>44161</v>
      </c>
      <c r="L345" s="147">
        <f>IF(t&lt;Tvie,1-EXP((T0-t)*PertePVj)+'2019'!Pspv,1-EXP((T0-t)*PertePVj)+Pspv)</f>
        <v>2.0635582797733032E-2</v>
      </c>
      <c r="M345" s="850"/>
      <c r="N345" s="850"/>
      <c r="O345" s="48">
        <f>IF(t&lt;Tnet,'2019'!Resal+('2019'!Salim-'2019'!Resal)*(1-EXP(('2019'!Tnet-t)/('2019'!Tau_j))),Resal+(Salim-Resal)*(1-EXP((Tnet-t)/(Tau_j))))*Salcycl</f>
        <v>0.10271401137450165</v>
      </c>
      <c r="P345" s="169">
        <f>(INDEX(Models!$BJ345:$BT345,,T345)*(1-R345)+INDEX(Models!$BJ345:$BT345,,T345+1)*R345-ERP_i)*Q345*Ramure*Pc/MaxiM</f>
        <v>3.4802095725093546E-2</v>
      </c>
      <c r="Q345" s="305">
        <f t="shared" si="125"/>
        <v>0.7</v>
      </c>
      <c r="R345" s="177">
        <f t="shared" si="126"/>
        <v>0.19982180195990873</v>
      </c>
      <c r="S345" s="817">
        <f t="shared" si="127"/>
        <v>-1</v>
      </c>
      <c r="T345" s="176">
        <f t="shared" si="128"/>
        <v>5</v>
      </c>
      <c r="U345" s="251">
        <f t="shared" si="129"/>
        <v>-0.80017819804009127</v>
      </c>
      <c r="V345" s="383">
        <f t="shared" si="130"/>
        <v>11.715020780296747</v>
      </c>
      <c r="W345" s="402"/>
      <c r="X345" s="157">
        <f t="shared" si="131"/>
        <v>44161</v>
      </c>
      <c r="Y345" s="385">
        <f t="shared" si="132"/>
        <v>10.401999999999999</v>
      </c>
      <c r="Z345" s="385">
        <f t="shared" si="133"/>
        <v>10.621174117919466</v>
      </c>
      <c r="AA345" s="386">
        <f t="shared" si="134"/>
        <v>11.836999855742139</v>
      </c>
      <c r="AB345" s="197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0.10271401137450165</v>
      </c>
      <c r="AD345" s="231">
        <f>(INDEX(Models!$BJ345:$BT345,,AH345)*(1-AF345)+INDEX(Models!$BJ345:$BT345,,AH345+1)*AF345-ERP_i)*AE345*Ramure*Pc/MaxiM</f>
        <v>3.4802095725093546E-2</v>
      </c>
      <c r="AE345" s="305">
        <f t="shared" si="136"/>
        <v>0.7</v>
      </c>
      <c r="AF345" s="177">
        <f t="shared" si="137"/>
        <v>0.19982180195990873</v>
      </c>
      <c r="AG345" s="817">
        <f t="shared" si="143"/>
        <v>-1</v>
      </c>
      <c r="AH345" s="176">
        <f t="shared" si="138"/>
        <v>5</v>
      </c>
      <c r="AI345" s="225">
        <f t="shared" si="139"/>
        <v>-0.80017819804009127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2"/>
        <v>44162</v>
      </c>
      <c r="B346" s="617">
        <v>8.7379999999999995</v>
      </c>
      <c r="C346" s="390"/>
      <c r="D346" s="393">
        <f t="shared" si="122"/>
        <v>8.9223084230276903</v>
      </c>
      <c r="E346" s="385">
        <f t="shared" si="120"/>
        <v>9.9437652945218051</v>
      </c>
      <c r="F346" s="385">
        <f t="shared" si="123"/>
        <v>10.174179366761834</v>
      </c>
      <c r="G346" s="110">
        <f t="shared" si="121"/>
        <v>0.74663820650498258</v>
      </c>
      <c r="H346" s="414" t="b">
        <f>Wh_hp&gt;='2019'!Maxi_hp</f>
        <v>0</v>
      </c>
      <c r="I346" s="380">
        <f>IF(H346,Wh_hp,'2019'!Maxi_hp)</f>
        <v>11.673950035161885</v>
      </c>
      <c r="J346" s="85">
        <f>IF(H346,An,'2019'!An_max)</f>
        <v>2018</v>
      </c>
      <c r="K346" s="197">
        <f t="shared" si="124"/>
        <v>44162</v>
      </c>
      <c r="L346" s="147">
        <f>IF(t&lt;Tvie,1-EXP((T0-t)*PertePVj)+'2019'!Pspv,1-EXP((T0-t)*PertePVj)+Pspv)</f>
        <v>2.0657033391942248E-2</v>
      </c>
      <c r="M346" s="850"/>
      <c r="N346" s="850"/>
      <c r="O346" s="48">
        <f>IF(t&lt;Tnet,'2019'!Resal+('2019'!Salim-'2019'!Resal)*(1-EXP(('2019'!Tnet-t)/('2019'!Tau_j))),Resal+(Salim-Resal)*(1-EXP((Tnet-t)/(Tau_j))))*Salcycl</f>
        <v>0.10272334887639122</v>
      </c>
      <c r="P346" s="169">
        <f>(INDEX(Models!$BJ346:$BT346,,T346)*(1-R346)+INDEX(Models!$BJ346:$BT346,,T346+1)*R346-ERP_i)*Q346*Ramure*Pc/MaxiM</f>
        <v>3.4764188219343427E-2</v>
      </c>
      <c r="Q346" s="305">
        <f t="shared" si="125"/>
        <v>0.7</v>
      </c>
      <c r="R346" s="177">
        <f t="shared" si="126"/>
        <v>0.19983296739775169</v>
      </c>
      <c r="S346" s="817">
        <f t="shared" si="127"/>
        <v>-1</v>
      </c>
      <c r="T346" s="176">
        <f t="shared" si="128"/>
        <v>5</v>
      </c>
      <c r="U346" s="251">
        <f t="shared" si="129"/>
        <v>-0.80016703260224831</v>
      </c>
      <c r="V346" s="383">
        <f t="shared" si="130"/>
        <v>11.558029062020717</v>
      </c>
      <c r="W346" s="402"/>
      <c r="X346" s="157">
        <f t="shared" si="131"/>
        <v>44162</v>
      </c>
      <c r="Y346" s="385">
        <f t="shared" si="132"/>
        <v>8.7379999999999995</v>
      </c>
      <c r="Z346" s="385">
        <f t="shared" si="133"/>
        <v>8.9223084230276903</v>
      </c>
      <c r="AA346" s="386">
        <f t="shared" si="134"/>
        <v>9.9437652945218051</v>
      </c>
      <c r="AB346" s="197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0.10272334887639122</v>
      </c>
      <c r="AD346" s="231">
        <f>(INDEX(Models!$BJ346:$BT346,,AH346)*(1-AF346)+INDEX(Models!$BJ346:$BT346,,AH346+1)*AF346-ERP_i)*AE346*Ramure*Pc/MaxiM</f>
        <v>3.4764188219343427E-2</v>
      </c>
      <c r="AE346" s="305">
        <f t="shared" si="136"/>
        <v>0.7</v>
      </c>
      <c r="AF346" s="177">
        <f t="shared" si="137"/>
        <v>0.19983296739775169</v>
      </c>
      <c r="AG346" s="817">
        <f t="shared" si="143"/>
        <v>-1</v>
      </c>
      <c r="AH346" s="176">
        <f t="shared" si="138"/>
        <v>5</v>
      </c>
      <c r="AI346" s="225">
        <f t="shared" si="139"/>
        <v>-0.80016703260224831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2"/>
        <v>44163</v>
      </c>
      <c r="B347" s="617">
        <v>5.492</v>
      </c>
      <c r="C347" s="390"/>
      <c r="D347" s="393">
        <f t="shared" si="122"/>
        <v>5.6079641951699832</v>
      </c>
      <c r="E347" s="385">
        <f t="shared" si="120"/>
        <v>6.2500606278741531</v>
      </c>
      <c r="F347" s="385">
        <f t="shared" si="123"/>
        <v>6.3068321651460746</v>
      </c>
      <c r="G347" s="110">
        <f t="shared" si="121"/>
        <v>0.46907267648545947</v>
      </c>
      <c r="H347" s="414" t="b">
        <f>Wh_hp&gt;='2019'!Maxi_hp</f>
        <v>0</v>
      </c>
      <c r="I347" s="380">
        <f>IF(H347,Wh_hp,'2019'!Maxi_hp)</f>
        <v>13.75945482004663</v>
      </c>
      <c r="J347" s="85">
        <f>IF(H347,An,'2019'!An_max)</f>
        <v>2018</v>
      </c>
      <c r="K347" s="197">
        <f t="shared" si="124"/>
        <v>44163</v>
      </c>
      <c r="L347" s="147">
        <f>IF(t&lt;Tvie,1-EXP((T0-t)*PertePVj)+'2019'!Pspv,1-EXP((T0-t)*PertePVj)+Pspv)</f>
        <v>2.0678483516328505E-2</v>
      </c>
      <c r="M347" s="850"/>
      <c r="N347" s="850"/>
      <c r="O347" s="48">
        <f>IF(t&lt;Tnet,'2019'!Resal+('2019'!Salim-'2019'!Resal)*(1-EXP(('2019'!Tnet-t)/('2019'!Tau_j))),Resal+(Salim-Resal)*(1-EXP((Tnet-t)/(Tau_j))))*Salcycl</f>
        <v>0.10273443266142648</v>
      </c>
      <c r="P347" s="169">
        <f>(INDEX(Models!$BJ347:$BT347,,T347)*(1-R347)+INDEX(Models!$BJ347:$BT347,,T347+1)*R347-ERP_i)*Q347*Ramure*Pc/MaxiM</f>
        <v>3.4704870312430018E-2</v>
      </c>
      <c r="Q347" s="305">
        <f t="shared" si="125"/>
        <v>0.7</v>
      </c>
      <c r="R347" s="177">
        <f t="shared" si="126"/>
        <v>0.19984368406363884</v>
      </c>
      <c r="S347" s="817">
        <f t="shared" si="127"/>
        <v>-1</v>
      </c>
      <c r="T347" s="176">
        <f t="shared" si="128"/>
        <v>5</v>
      </c>
      <c r="U347" s="251">
        <f t="shared" si="129"/>
        <v>-0.80015631593636116</v>
      </c>
      <c r="V347" s="383">
        <f t="shared" si="130"/>
        <v>11.404534183012078</v>
      </c>
      <c r="W347" s="402"/>
      <c r="X347" s="157">
        <f t="shared" si="131"/>
        <v>44163</v>
      </c>
      <c r="Y347" s="385">
        <f t="shared" si="132"/>
        <v>5.492</v>
      </c>
      <c r="Z347" s="385">
        <f t="shared" si="133"/>
        <v>5.6079641951699832</v>
      </c>
      <c r="AA347" s="386">
        <f t="shared" si="134"/>
        <v>6.2500606278741531</v>
      </c>
      <c r="AB347" s="197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0.10273443266142648</v>
      </c>
      <c r="AD347" s="231">
        <f>(INDEX(Models!$BJ347:$BT347,,AH347)*(1-AF347)+INDEX(Models!$BJ347:$BT347,,AH347+1)*AF347-ERP_i)*AE347*Ramure*Pc/MaxiM</f>
        <v>3.4704870312430018E-2</v>
      </c>
      <c r="AE347" s="305">
        <f t="shared" si="136"/>
        <v>0.7</v>
      </c>
      <c r="AF347" s="177">
        <f t="shared" si="137"/>
        <v>0.19984368406363884</v>
      </c>
      <c r="AG347" s="817">
        <f t="shared" si="143"/>
        <v>-1</v>
      </c>
      <c r="AH347" s="176">
        <f t="shared" si="138"/>
        <v>5</v>
      </c>
      <c r="AI347" s="225">
        <f t="shared" si="139"/>
        <v>-0.80015631593636116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2"/>
        <v>44164</v>
      </c>
      <c r="B348" s="617">
        <v>10.239000000000001</v>
      </c>
      <c r="C348" s="390"/>
      <c r="D348" s="393">
        <f t="shared" si="122"/>
        <v>10.455426632567415</v>
      </c>
      <c r="E348" s="385">
        <f t="shared" si="120"/>
        <v>11.652710728196704</v>
      </c>
      <c r="F348" s="385">
        <f t="shared" si="123"/>
        <v>12.01500433375004</v>
      </c>
      <c r="G348" s="110">
        <f t="shared" si="121"/>
        <v>0.90549312161224671</v>
      </c>
      <c r="H348" s="414" t="b">
        <f>Wh_hp&gt;='2019'!Maxi_hp</f>
        <v>1</v>
      </c>
      <c r="I348" s="380">
        <f>IF(H348,Wh_hp,'2019'!Maxi_hp)</f>
        <v>12.01500433375004</v>
      </c>
      <c r="J348" s="85">
        <f>IF(H348,An,'2019'!An_max)</f>
        <v>2020</v>
      </c>
      <c r="K348" s="197">
        <f t="shared" si="124"/>
        <v>44164</v>
      </c>
      <c r="L348" s="147">
        <f>IF(t&lt;Tvie,1-EXP((T0-t)*PertePVj)+'2019'!Pspv,1-EXP((T0-t)*PertePVj)+Pspv)</f>
        <v>2.0699933170901907E-2</v>
      </c>
      <c r="M348" s="850"/>
      <c r="N348" s="850"/>
      <c r="O348" s="48">
        <f>IF(t&lt;Tnet,'2019'!Resal+('2019'!Salim-'2019'!Resal)*(1-EXP(('2019'!Tnet-t)/('2019'!Tau_j))),Resal+(Salim-Resal)*(1-EXP((Tnet-t)/(Tau_j))))*Salcycl</f>
        <v>0.10274725971976245</v>
      </c>
      <c r="P348" s="169">
        <f>(INDEX(Models!$BJ348:$BT348,,T348)*(1-R348)+INDEX(Models!$BJ348:$BT348,,T348+1)*R348-ERP_i)*Q348*Ramure*Pc/MaxiM</f>
        <v>3.4620295585593368E-2</v>
      </c>
      <c r="Q348" s="305">
        <f t="shared" si="125"/>
        <v>0.7</v>
      </c>
      <c r="R348" s="177">
        <f t="shared" si="126"/>
        <v>0.19985396996488514</v>
      </c>
      <c r="S348" s="817">
        <f t="shared" si="127"/>
        <v>-1</v>
      </c>
      <c r="T348" s="176">
        <f t="shared" si="128"/>
        <v>5</v>
      </c>
      <c r="U348" s="251">
        <f t="shared" si="129"/>
        <v>-0.80014603003511486</v>
      </c>
      <c r="V348" s="383">
        <f t="shared" si="130"/>
        <v>11.255570638478392</v>
      </c>
      <c r="W348" s="402"/>
      <c r="X348" s="157">
        <f t="shared" si="131"/>
        <v>44164</v>
      </c>
      <c r="Y348" s="385">
        <f t="shared" si="132"/>
        <v>10.239000000000001</v>
      </c>
      <c r="Z348" s="385">
        <f t="shared" si="133"/>
        <v>10.455426632567415</v>
      </c>
      <c r="AA348" s="386">
        <f t="shared" si="134"/>
        <v>11.652710728196704</v>
      </c>
      <c r="AB348" s="197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0.10274725971976245</v>
      </c>
      <c r="AD348" s="231">
        <f>(INDEX(Models!$BJ348:$BT348,,AH348)*(1-AF348)+INDEX(Models!$BJ348:$BT348,,AH348+1)*AF348-ERP_i)*AE348*Ramure*Pc/MaxiM</f>
        <v>3.4620295585593368E-2</v>
      </c>
      <c r="AE348" s="305">
        <f t="shared" si="136"/>
        <v>0.7</v>
      </c>
      <c r="AF348" s="177">
        <f t="shared" si="137"/>
        <v>0.19985396996488514</v>
      </c>
      <c r="AG348" s="817">
        <f t="shared" si="143"/>
        <v>-1</v>
      </c>
      <c r="AH348" s="176">
        <f t="shared" si="138"/>
        <v>5</v>
      </c>
      <c r="AI348" s="225">
        <f t="shared" si="139"/>
        <v>-0.80014603003511486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2"/>
        <v>44165</v>
      </c>
      <c r="B349" s="617">
        <v>10.714</v>
      </c>
      <c r="C349" s="390"/>
      <c r="D349" s="393">
        <f t="shared" si="122"/>
        <v>10.940706563952887</v>
      </c>
      <c r="E349" s="385">
        <f t="shared" si="120"/>
        <v>12.193759493217238</v>
      </c>
      <c r="F349" s="385">
        <f t="shared" si="123"/>
        <v>12.606497833534238</v>
      </c>
      <c r="G349" s="110">
        <f t="shared" si="121"/>
        <v>0.96240715279496247</v>
      </c>
      <c r="H349" s="414" t="b">
        <f>Wh_hp&gt;='2019'!Maxi_hp</f>
        <v>1</v>
      </c>
      <c r="I349" s="380">
        <f>IF(H349,Wh_hp,'2019'!Maxi_hp)</f>
        <v>12.606497833534238</v>
      </c>
      <c r="J349" s="85">
        <f>IF(H349,An,'2019'!An_max)</f>
        <v>2020</v>
      </c>
      <c r="K349" s="197">
        <f t="shared" si="124"/>
        <v>44165</v>
      </c>
      <c r="L349" s="147">
        <f>IF(t&lt;Tvie,1-EXP((T0-t)*PertePVj)+'2019'!Pspv,1-EXP((T0-t)*PertePVj)+Pspv)</f>
        <v>2.0721382355672779E-2</v>
      </c>
      <c r="M349" s="850"/>
      <c r="N349" s="850"/>
      <c r="O349" s="48">
        <f>IF(t&lt;Tnet,'2019'!Resal+('2019'!Salim-'2019'!Resal)*(1-EXP(('2019'!Tnet-t)/('2019'!Tau_j))),Resal+(Salim-Resal)*(1-EXP((Tnet-t)/(Tau_j))))*Salcycl</f>
        <v>0.10276182091022541</v>
      </c>
      <c r="P349" s="169">
        <f>(INDEX(Models!$BJ349:$BT349,,T349)*(1-R349)+INDEX(Models!$BJ349:$BT349,,T349+1)*R349-ERP_i)*Q349*Ramure*Pc/MaxiM</f>
        <v>3.450647135147214E-2</v>
      </c>
      <c r="Q349" s="305">
        <f t="shared" si="125"/>
        <v>0.7</v>
      </c>
      <c r="R349" s="177">
        <f t="shared" si="126"/>
        <v>0.19986384238862587</v>
      </c>
      <c r="S349" s="817">
        <f t="shared" si="127"/>
        <v>-1</v>
      </c>
      <c r="T349" s="176">
        <f t="shared" si="128"/>
        <v>5</v>
      </c>
      <c r="U349" s="251">
        <f t="shared" si="129"/>
        <v>-0.80013615761137413</v>
      </c>
      <c r="V349" s="383">
        <f t="shared" si="130"/>
        <v>11.112173043686944</v>
      </c>
      <c r="W349" s="402"/>
      <c r="X349" s="157">
        <f t="shared" si="131"/>
        <v>44165</v>
      </c>
      <c r="Y349" s="385">
        <f t="shared" si="132"/>
        <v>10.714</v>
      </c>
      <c r="Z349" s="385">
        <f t="shared" si="133"/>
        <v>10.940706563952887</v>
      </c>
      <c r="AA349" s="386">
        <f t="shared" si="134"/>
        <v>12.193759493217238</v>
      </c>
      <c r="AB349" s="197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0.10276182091022541</v>
      </c>
      <c r="AD349" s="231">
        <f>(INDEX(Models!$BJ349:$BT349,,AH349)*(1-AF349)+INDEX(Models!$BJ349:$BT349,,AH349+1)*AF349-ERP_i)*AE349*Ramure*Pc/MaxiM</f>
        <v>3.450647135147214E-2</v>
      </c>
      <c r="AE349" s="305">
        <f t="shared" si="136"/>
        <v>0.7</v>
      </c>
      <c r="AF349" s="177">
        <f t="shared" si="137"/>
        <v>0.19986384238862587</v>
      </c>
      <c r="AG349" s="817">
        <f t="shared" si="143"/>
        <v>-1</v>
      </c>
      <c r="AH349" s="176">
        <f t="shared" si="138"/>
        <v>5</v>
      </c>
      <c r="AI349" s="225">
        <f t="shared" si="139"/>
        <v>-0.80013615761137413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2"/>
        <v>44166</v>
      </c>
      <c r="B350" s="617">
        <v>2.7480000000000002</v>
      </c>
      <c r="C350" s="390"/>
      <c r="D350" s="393">
        <f t="shared" si="122"/>
        <v>2.806208713288739</v>
      </c>
      <c r="E350" s="385">
        <f t="shared" si="120"/>
        <v>3.1276640894656205</v>
      </c>
      <c r="F350" s="385">
        <f t="shared" si="123"/>
        <v>3.1276640894656205</v>
      </c>
      <c r="G350" s="110">
        <f t="shared" si="121"/>
        <v>0.24177583020287127</v>
      </c>
      <c r="H350" s="414" t="b">
        <f>Wh_hp&gt;='2019'!Maxi_hp</f>
        <v>0</v>
      </c>
      <c r="I350" s="380">
        <f>IF(H350,Wh_hp,'2019'!Maxi_hp)</f>
        <v>5.2438116806521187</v>
      </c>
      <c r="J350" s="85">
        <f>IF(H350,An,'2019'!An_max)</f>
        <v>2018</v>
      </c>
      <c r="K350" s="197">
        <f t="shared" si="124"/>
        <v>44166</v>
      </c>
      <c r="L350" s="147">
        <f>IF(t&lt;Tvie,1-EXP((T0-t)*PertePVj)+'2019'!Pspv,1-EXP((T0-t)*PertePVj)+Pspv)</f>
        <v>2.0742831070651557E-2</v>
      </c>
      <c r="M350" s="850"/>
      <c r="N350" s="850"/>
      <c r="O350" s="48">
        <f>IF(t&lt;Tnet,'2019'!Resal+('2019'!Salim-'2019'!Resal)*(1-EXP(('2019'!Tnet-t)/('2019'!Tau_j))),Resal+(Salim-Resal)*(1-EXP((Tnet-t)/(Tau_j))))*Salcycl</f>
        <v>0.10277810115849235</v>
      </c>
      <c r="P350" s="169">
        <f>(INDEX(Models!$BJ350:$BT350,,T350)*(1-R350)+INDEX(Models!$BJ350:$BT350,,T350+1)*R350-ERP_i)*Q350*Ramure*Pc/MaxiM</f>
        <v>3.4359291867474155E-2</v>
      </c>
      <c r="Q350" s="305">
        <f t="shared" si="125"/>
        <v>0.7</v>
      </c>
      <c r="R350" s="177">
        <f t="shared" si="126"/>
        <v>0.19987331793043284</v>
      </c>
      <c r="S350" s="817">
        <f t="shared" si="127"/>
        <v>-1</v>
      </c>
      <c r="T350" s="176">
        <f t="shared" si="128"/>
        <v>5</v>
      </c>
      <c r="U350" s="251">
        <f t="shared" si="129"/>
        <v>-0.80012668206956716</v>
      </c>
      <c r="V350" s="383">
        <f t="shared" si="130"/>
        <v>10.97537608999871</v>
      </c>
      <c r="W350" s="402"/>
      <c r="X350" s="157">
        <f t="shared" si="131"/>
        <v>44166</v>
      </c>
      <c r="Y350" s="385">
        <f t="shared" si="132"/>
        <v>2.7480000000000002</v>
      </c>
      <c r="Z350" s="385">
        <f t="shared" si="133"/>
        <v>2.806208713288739</v>
      </c>
      <c r="AA350" s="386">
        <f t="shared" si="134"/>
        <v>3.1276640894656205</v>
      </c>
      <c r="AB350" s="197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0.10277810115849235</v>
      </c>
      <c r="AD350" s="231">
        <f>(INDEX(Models!$BJ350:$BT350,,AH350)*(1-AF350)+INDEX(Models!$BJ350:$BT350,,AH350+1)*AF350-ERP_i)*AE350*Ramure*Pc/MaxiM</f>
        <v>3.4359291867474155E-2</v>
      </c>
      <c r="AE350" s="305">
        <f t="shared" si="136"/>
        <v>0.7</v>
      </c>
      <c r="AF350" s="177">
        <f t="shared" si="137"/>
        <v>0.19987331793043284</v>
      </c>
      <c r="AG350" s="817">
        <f t="shared" si="143"/>
        <v>-1</v>
      </c>
      <c r="AH350" s="176">
        <f t="shared" si="138"/>
        <v>5</v>
      </c>
      <c r="AI350" s="225">
        <f t="shared" si="139"/>
        <v>-0.80012668206956716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2"/>
        <v>44167</v>
      </c>
      <c r="B351" s="617">
        <v>0.74</v>
      </c>
      <c r="C351" s="390"/>
      <c r="D351" s="393">
        <f t="shared" si="122"/>
        <v>0.75569138703701744</v>
      </c>
      <c r="E351" s="385">
        <f t="shared" si="120"/>
        <v>0.84227383533389422</v>
      </c>
      <c r="F351" s="385">
        <f t="shared" si="123"/>
        <v>0.84227383533389422</v>
      </c>
      <c r="G351" s="110">
        <f t="shared" si="121"/>
        <v>6.5894954235527214E-2</v>
      </c>
      <c r="H351" s="414" t="b">
        <f>Wh_hp&gt;='2019'!Maxi_hp</f>
        <v>0</v>
      </c>
      <c r="I351" s="380">
        <f>IF(H351,Wh_hp,'2019'!Maxi_hp)</f>
        <v>6.5097069408321904</v>
      </c>
      <c r="J351" s="85">
        <f>IF(H351,An,'2019'!An_max)</f>
        <v>2018</v>
      </c>
      <c r="K351" s="197">
        <f t="shared" si="124"/>
        <v>44167</v>
      </c>
      <c r="L351" s="147">
        <f>IF(t&lt;Tvie,1-EXP((T0-t)*PertePVj)+'2019'!Pspv,1-EXP((T0-t)*PertePVj)+Pspv)</f>
        <v>2.0764279315848344E-2</v>
      </c>
      <c r="M351" s="850"/>
      <c r="N351" s="850"/>
      <c r="O351" s="48">
        <f>IF(t&lt;Tnet,'2019'!Resal+('2019'!Salim-'2019'!Resal)*(1-EXP(('2019'!Tnet-t)/('2019'!Tau_j))),Resal+(Salim-Resal)*(1-EXP((Tnet-t)/(Tau_j))))*Salcycl</f>
        <v>0.10279607968892183</v>
      </c>
      <c r="P351" s="169">
        <f>(INDEX(Models!$BJ351:$BT351,,T351)*(1-R351)+INDEX(Models!$BJ351:$BT351,,T351+1)*R351-ERP_i)*Q351*Ramure*Pc/MaxiM</f>
        <v>3.4174582560160587E-2</v>
      </c>
      <c r="Q351" s="305">
        <f t="shared" si="125"/>
        <v>0.7</v>
      </c>
      <c r="R351" s="177">
        <f t="shared" si="126"/>
        <v>0.1998824125218055</v>
      </c>
      <c r="S351" s="817">
        <f t="shared" si="127"/>
        <v>-1</v>
      </c>
      <c r="T351" s="176">
        <f t="shared" si="128"/>
        <v>5</v>
      </c>
      <c r="U351" s="251">
        <f t="shared" si="129"/>
        <v>-0.8001175874781945</v>
      </c>
      <c r="V351" s="383">
        <f t="shared" si="130"/>
        <v>10.846214512129448</v>
      </c>
      <c r="W351" s="402"/>
      <c r="X351" s="157">
        <f t="shared" si="131"/>
        <v>44167</v>
      </c>
      <c r="Y351" s="385">
        <f t="shared" si="132"/>
        <v>0.74</v>
      </c>
      <c r="Z351" s="385">
        <f t="shared" si="133"/>
        <v>0.75569138703701744</v>
      </c>
      <c r="AA351" s="386">
        <f t="shared" si="134"/>
        <v>0.84227383533389422</v>
      </c>
      <c r="AB351" s="197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0.10279607968892183</v>
      </c>
      <c r="AD351" s="231">
        <f>(INDEX(Models!$BJ351:$BT351,,AH351)*(1-AF351)+INDEX(Models!$BJ351:$BT351,,AH351+1)*AF351-ERP_i)*AE351*Ramure*Pc/MaxiM</f>
        <v>3.4174582560160587E-2</v>
      </c>
      <c r="AE351" s="305">
        <f t="shared" si="136"/>
        <v>0.7</v>
      </c>
      <c r="AF351" s="177">
        <f t="shared" si="137"/>
        <v>0.1998824125218055</v>
      </c>
      <c r="AG351" s="817">
        <f t="shared" si="143"/>
        <v>-1</v>
      </c>
      <c r="AH351" s="176">
        <f t="shared" si="138"/>
        <v>5</v>
      </c>
      <c r="AI351" s="225">
        <f t="shared" si="139"/>
        <v>-0.8001175874781945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2"/>
        <v>44168</v>
      </c>
      <c r="B352" s="617">
        <v>7.226</v>
      </c>
      <c r="C352" s="390"/>
      <c r="D352" s="393">
        <f t="shared" si="122"/>
        <v>7.3793859014487042</v>
      </c>
      <c r="E352" s="385">
        <f t="shared" si="120"/>
        <v>8.2250504724264566</v>
      </c>
      <c r="F352" s="385">
        <f t="shared" si="123"/>
        <v>8.3769867614861973</v>
      </c>
      <c r="G352" s="110">
        <f t="shared" si="121"/>
        <v>0.66285886653993042</v>
      </c>
      <c r="H352" s="414" t="b">
        <f>Wh_hp&gt;='2019'!Maxi_hp</f>
        <v>1</v>
      </c>
      <c r="I352" s="380">
        <f>IF(H352,Wh_hp,'2019'!Maxi_hp)</f>
        <v>8.3769867614861973</v>
      </c>
      <c r="J352" s="85">
        <f>IF(H352,An,'2019'!An_max)</f>
        <v>2020</v>
      </c>
      <c r="K352" s="197">
        <f t="shared" si="124"/>
        <v>44168</v>
      </c>
      <c r="L352" s="147">
        <f>IF(t&lt;Tvie,1-EXP((T0-t)*PertePVj)+'2019'!Pspv,1-EXP((T0-t)*PertePVj)+Pspv)</f>
        <v>2.0785727091273576E-2</v>
      </c>
      <c r="M352" s="850"/>
      <c r="N352" s="850"/>
      <c r="O352" s="48">
        <f>IF(t&lt;Tnet,'2019'!Resal+('2019'!Salim-'2019'!Resal)*(1-EXP(('2019'!Tnet-t)/('2019'!Tau_j))),Resal+(Salim-Resal)*(1-EXP((Tnet-t)/(Tau_j))))*Salcycl</f>
        <v>0.10281573028794733</v>
      </c>
      <c r="P352" s="169">
        <f>(INDEX(Models!$BJ352:$BT352,,T352)*(1-R352)+INDEX(Models!$BJ352:$BT352,,T352+1)*R352-ERP_i)*Q352*Ramure*Pc/MaxiM</f>
        <v>3.3971961644368054E-2</v>
      </c>
      <c r="Q352" s="305">
        <f t="shared" si="125"/>
        <v>0.7</v>
      </c>
      <c r="R352" s="177">
        <f t="shared" si="126"/>
        <v>0.19989114145658626</v>
      </c>
      <c r="S352" s="817">
        <f t="shared" si="127"/>
        <v>-1</v>
      </c>
      <c r="T352" s="176">
        <f t="shared" si="128"/>
        <v>5</v>
      </c>
      <c r="U352" s="251">
        <f t="shared" si="129"/>
        <v>-0.80010885854341374</v>
      </c>
      <c r="V352" s="383">
        <f t="shared" si="130"/>
        <v>10.72545874060809</v>
      </c>
      <c r="W352" s="402"/>
      <c r="X352" s="157">
        <f t="shared" si="131"/>
        <v>44168</v>
      </c>
      <c r="Y352" s="385">
        <f t="shared" si="132"/>
        <v>7.226</v>
      </c>
      <c r="Z352" s="385">
        <f t="shared" si="133"/>
        <v>7.3793859014487042</v>
      </c>
      <c r="AA352" s="386">
        <f t="shared" si="134"/>
        <v>8.2250504724264566</v>
      </c>
      <c r="AB352" s="197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0.10281573028794733</v>
      </c>
      <c r="AD352" s="231">
        <f>(INDEX(Models!$BJ352:$BT352,,AH352)*(1-AF352)+INDEX(Models!$BJ352:$BT352,,AH352+1)*AF352-ERP_i)*AE352*Ramure*Pc/MaxiM</f>
        <v>3.3971961644368054E-2</v>
      </c>
      <c r="AE352" s="305">
        <f t="shared" si="136"/>
        <v>0.7</v>
      </c>
      <c r="AF352" s="177">
        <f t="shared" si="137"/>
        <v>0.19989114145658626</v>
      </c>
      <c r="AG352" s="817">
        <f t="shared" si="143"/>
        <v>-1</v>
      </c>
      <c r="AH352" s="176">
        <f t="shared" si="138"/>
        <v>5</v>
      </c>
      <c r="AI352" s="225">
        <f t="shared" si="139"/>
        <v>-0.80010885854341374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2"/>
        <v>44169</v>
      </c>
      <c r="B353" s="617">
        <v>4.8470000000000004</v>
      </c>
      <c r="C353" s="390"/>
      <c r="D353" s="393">
        <f t="shared" si="122"/>
        <v>4.9499954179248036</v>
      </c>
      <c r="E353" s="385">
        <f t="shared" si="120"/>
        <v>5.5173870713373345</v>
      </c>
      <c r="F353" s="385">
        <f t="shared" si="123"/>
        <v>5.559395718569883</v>
      </c>
      <c r="G353" s="110">
        <f t="shared" si="121"/>
        <v>0.44460319437270335</v>
      </c>
      <c r="H353" s="414" t="b">
        <f>Wh_hp&gt;='2019'!Maxi_hp</f>
        <v>0</v>
      </c>
      <c r="I353" s="380">
        <f>IF(H353,Wh_hp,'2019'!Maxi_hp)</f>
        <v>10.884661828669035</v>
      </c>
      <c r="J353" s="85">
        <f>IF(H353,An,'2019'!An_max)</f>
        <v>2018</v>
      </c>
      <c r="K353" s="197">
        <f t="shared" si="124"/>
        <v>44169</v>
      </c>
      <c r="L353" s="147">
        <f>IF(t&lt;Tvie,1-EXP((T0-t)*PertePVj)+'2019'!Pspv,1-EXP((T0-t)*PertePVj)+Pspv)</f>
        <v>2.0807174396937467E-2</v>
      </c>
      <c r="M353" s="850"/>
      <c r="N353" s="850"/>
      <c r="O353" s="48">
        <f>IF(t&lt;Tnet,'2019'!Resal+('2019'!Salim-'2019'!Resal)*(1-EXP(('2019'!Tnet-t)/('2019'!Tau_j))),Resal+(Salim-Resal)*(1-EXP((Tnet-t)/(Tau_j))))*Salcycl</f>
        <v>0.10283702159671089</v>
      </c>
      <c r="P353" s="169">
        <f>(INDEX(Models!$BJ353:$BT353,,T353)*(1-R353)+INDEX(Models!$BJ353:$BT353,,T353+1)*R353-ERP_i)*Q353*Ramure*Pc/MaxiM</f>
        <v>3.3763333708503512E-2</v>
      </c>
      <c r="Q353" s="305">
        <f t="shared" si="125"/>
        <v>0.7</v>
      </c>
      <c r="R353" s="177">
        <f t="shared" si="126"/>
        <v>0.1998995194163351</v>
      </c>
      <c r="S353" s="817">
        <f t="shared" si="127"/>
        <v>-1</v>
      </c>
      <c r="T353" s="176">
        <f t="shared" si="128"/>
        <v>5</v>
      </c>
      <c r="U353" s="251">
        <f t="shared" si="129"/>
        <v>-0.8001004805836649</v>
      </c>
      <c r="V353" s="383">
        <f t="shared" si="130"/>
        <v>10.613975731786768</v>
      </c>
      <c r="W353" s="402"/>
      <c r="X353" s="157">
        <f t="shared" si="131"/>
        <v>44169</v>
      </c>
      <c r="Y353" s="385">
        <f t="shared" si="132"/>
        <v>4.8470000000000004</v>
      </c>
      <c r="Z353" s="385">
        <f t="shared" si="133"/>
        <v>4.9499954179248036</v>
      </c>
      <c r="AA353" s="386">
        <f t="shared" si="134"/>
        <v>5.5173870713373345</v>
      </c>
      <c r="AB353" s="197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0.10283702159671089</v>
      </c>
      <c r="AD353" s="231">
        <f>(INDEX(Models!$BJ353:$BT353,,AH353)*(1-AF353)+INDEX(Models!$BJ353:$BT353,,AH353+1)*AF353-ERP_i)*AE353*Ramure*Pc/MaxiM</f>
        <v>3.3763333708503512E-2</v>
      </c>
      <c r="AE353" s="305">
        <f t="shared" si="136"/>
        <v>0.7</v>
      </c>
      <c r="AF353" s="177">
        <f t="shared" si="137"/>
        <v>0.1998995194163351</v>
      </c>
      <c r="AG353" s="817">
        <f t="shared" si="143"/>
        <v>-1</v>
      </c>
      <c r="AH353" s="176">
        <f t="shared" si="138"/>
        <v>5</v>
      </c>
      <c r="AI353" s="225">
        <f t="shared" si="139"/>
        <v>-0.8001004805836649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44170</v>
      </c>
      <c r="B354" s="617">
        <v>10.119</v>
      </c>
      <c r="C354" s="390"/>
      <c r="D354" s="393">
        <f t="shared" si="122"/>
        <v>10.334248140239334</v>
      </c>
      <c r="E354" s="385">
        <f t="shared" si="120"/>
        <v>11.51910202322011</v>
      </c>
      <c r="F354" s="385">
        <f t="shared" si="123"/>
        <v>11.896832592856089</v>
      </c>
      <c r="G354" s="110">
        <f t="shared" si="121"/>
        <v>0.96075618119863249</v>
      </c>
      <c r="H354" s="414" t="b">
        <f>Wh_hp&gt;='2019'!Maxi_hp</f>
        <v>1</v>
      </c>
      <c r="I354" s="380">
        <f>IF(H354,Wh_hp,'2019'!Maxi_hp)</f>
        <v>11.896832592856089</v>
      </c>
      <c r="J354" s="85">
        <f>IF(H354,An,'2019'!An_max)</f>
        <v>2020</v>
      </c>
      <c r="K354" s="197">
        <f t="shared" si="124"/>
        <v>44170</v>
      </c>
      <c r="L354" s="147">
        <f>IF(t&lt;Tvie,1-EXP((T0-t)*PertePVj)+'2019'!Pspv,1-EXP((T0-t)*PertePVj)+Pspv)</f>
        <v>2.0828621232850342E-2</v>
      </c>
      <c r="M354" s="850"/>
      <c r="N354" s="850"/>
      <c r="O354" s="48">
        <f>IF(t&lt;Tnet,'2019'!Resal+('2019'!Salim-'2019'!Resal)*(1-EXP(('2019'!Tnet-t)/('2019'!Tau_j))),Resal+(Salim-Resal)*(1-EXP((Tnet-t)/(Tau_j))))*Salcycl</f>
        <v>0.10285991743040022</v>
      </c>
      <c r="P354" s="169">
        <f>(INDEX(Models!$BJ354:$BT354,,T354)*(1-R354)+INDEX(Models!$BJ354:$BT354,,T354+1)*R354-ERP_i)*Q354*Ramure*Pc/MaxiM</f>
        <v>3.3545652123180843E-2</v>
      </c>
      <c r="Q354" s="305">
        <f t="shared" si="125"/>
        <v>0.7</v>
      </c>
      <c r="R354" s="177">
        <f t="shared" si="126"/>
        <v>0.19990756049470693</v>
      </c>
      <c r="S354" s="817">
        <f t="shared" si="127"/>
        <v>-1</v>
      </c>
      <c r="T354" s="176">
        <f t="shared" si="128"/>
        <v>5</v>
      </c>
      <c r="U354" s="251">
        <f t="shared" si="129"/>
        <v>-0.80009243950529307</v>
      </c>
      <c r="V354" s="383">
        <f t="shared" si="130"/>
        <v>10.512801844711953</v>
      </c>
      <c r="W354" s="402"/>
      <c r="X354" s="157">
        <f t="shared" si="131"/>
        <v>44170</v>
      </c>
      <c r="Y354" s="385">
        <f t="shared" si="132"/>
        <v>10.119</v>
      </c>
      <c r="Z354" s="385">
        <f t="shared" si="133"/>
        <v>10.334248140239334</v>
      </c>
      <c r="AA354" s="386">
        <f t="shared" si="134"/>
        <v>11.51910202322011</v>
      </c>
      <c r="AB354" s="197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0.10285991743040022</v>
      </c>
      <c r="AD354" s="231">
        <f>(INDEX(Models!$BJ354:$BT354,,AH354)*(1-AF354)+INDEX(Models!$BJ354:$BT354,,AH354+1)*AF354-ERP_i)*AE354*Ramure*Pc/MaxiM</f>
        <v>3.3545652123180843E-2</v>
      </c>
      <c r="AE354" s="305">
        <f t="shared" si="136"/>
        <v>0.7</v>
      </c>
      <c r="AF354" s="177">
        <f t="shared" si="137"/>
        <v>0.19990756049470693</v>
      </c>
      <c r="AG354" s="817">
        <f t="shared" si="143"/>
        <v>-1</v>
      </c>
      <c r="AH354" s="176">
        <f t="shared" si="138"/>
        <v>5</v>
      </c>
      <c r="AI354" s="225">
        <f t="shared" si="139"/>
        <v>-0.80009243950529307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44171</v>
      </c>
      <c r="B355" s="617">
        <v>6.181</v>
      </c>
      <c r="C355" s="390"/>
      <c r="D355" s="393">
        <f t="shared" si="122"/>
        <v>6.3126185229299301</v>
      </c>
      <c r="E355" s="385">
        <f t="shared" si="120"/>
        <v>7.0365718330437659</v>
      </c>
      <c r="F355" s="385">
        <f t="shared" si="123"/>
        <v>7.1360909332349527</v>
      </c>
      <c r="G355" s="110">
        <f t="shared" si="121"/>
        <v>0.58136777893044711</v>
      </c>
      <c r="H355" s="414" t="b">
        <f>Wh_hp&gt;='2019'!Maxi_hp</f>
        <v>0</v>
      </c>
      <c r="I355" s="380">
        <f>IF(H355,Wh_hp,'2019'!Maxi_hp)</f>
        <v>11.718067390953806</v>
      </c>
      <c r="J355" s="85">
        <f>IF(H355,An,'2019'!An_max)</f>
        <v>2018</v>
      </c>
      <c r="K355" s="197">
        <f t="shared" si="124"/>
        <v>44171</v>
      </c>
      <c r="L355" s="147">
        <f>IF(t&lt;Tvie,1-EXP((T0-t)*PertePVj)+'2019'!Pspv,1-EXP((T0-t)*PertePVj)+Pspv)</f>
        <v>2.0850067599022415E-2</v>
      </c>
      <c r="M355" s="850"/>
      <c r="N355" s="850"/>
      <c r="O355" s="48">
        <f>IF(t&lt;Tnet,'2019'!Resal+('2019'!Salim-'2019'!Resal)*(1-EXP(('2019'!Tnet-t)/('2019'!Tau_j))),Resal+(Salim-Resal)*(1-EXP((Tnet-t)/(Tau_j))))*Salcycl</f>
        <v>0.10288437712156205</v>
      </c>
      <c r="P355" s="169">
        <f>(INDEX(Models!$BJ355:$BT355,,T355)*(1-R355)+INDEX(Models!$BJ355:$BT355,,T355+1)*R355-ERP_i)*Q355*Ramure*Pc/MaxiM</f>
        <v>3.331588272264413E-2</v>
      </c>
      <c r="Q355" s="305">
        <f t="shared" si="125"/>
        <v>0.7</v>
      </c>
      <c r="R355" s="177">
        <f t="shared" si="126"/>
        <v>0.19991527822086919</v>
      </c>
      <c r="S355" s="817">
        <f t="shared" si="127"/>
        <v>-1</v>
      </c>
      <c r="T355" s="176">
        <f t="shared" si="128"/>
        <v>5</v>
      </c>
      <c r="U355" s="251">
        <f t="shared" si="129"/>
        <v>-0.80008472177913081</v>
      </c>
      <c r="V355" s="383">
        <f t="shared" si="130"/>
        <v>10.422973136566952</v>
      </c>
      <c r="W355" s="402"/>
      <c r="X355" s="157">
        <f t="shared" si="131"/>
        <v>44171</v>
      </c>
      <c r="Y355" s="385">
        <f t="shared" si="132"/>
        <v>6.181</v>
      </c>
      <c r="Z355" s="385">
        <f t="shared" si="133"/>
        <v>6.3126185229299301</v>
      </c>
      <c r="AA355" s="386">
        <f t="shared" si="134"/>
        <v>7.0365718330437659</v>
      </c>
      <c r="AB355" s="197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0.10288437712156205</v>
      </c>
      <c r="AD355" s="231">
        <f>(INDEX(Models!$BJ355:$BT355,,AH355)*(1-AF355)+INDEX(Models!$BJ355:$BT355,,AH355+1)*AF355-ERP_i)*AE355*Ramure*Pc/MaxiM</f>
        <v>3.331588272264413E-2</v>
      </c>
      <c r="AE355" s="305">
        <f t="shared" si="136"/>
        <v>0.7</v>
      </c>
      <c r="AF355" s="177">
        <f t="shared" si="137"/>
        <v>0.19991527822086919</v>
      </c>
      <c r="AG355" s="817">
        <f t="shared" si="143"/>
        <v>-1</v>
      </c>
      <c r="AH355" s="176">
        <f t="shared" si="138"/>
        <v>5</v>
      </c>
      <c r="AI355" s="225">
        <f t="shared" si="139"/>
        <v>-0.80008472177913081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2"/>
        <v>44172</v>
      </c>
      <c r="B356" s="617">
        <v>0.94399999999999995</v>
      </c>
      <c r="C356" s="390"/>
      <c r="D356" s="393">
        <f t="shared" si="122"/>
        <v>0.96412269994314648</v>
      </c>
      <c r="E356" s="385">
        <f t="shared" si="120"/>
        <v>1.0747228064300522</v>
      </c>
      <c r="F356" s="385">
        <f t="shared" si="123"/>
        <v>1.0747228064300522</v>
      </c>
      <c r="G356" s="110">
        <f t="shared" si="121"/>
        <v>8.8229539075187505E-2</v>
      </c>
      <c r="H356" s="414" t="b">
        <f>Wh_hp&gt;='2019'!Maxi_hp</f>
        <v>0</v>
      </c>
      <c r="I356" s="380">
        <f>IF(H356,Wh_hp,'2019'!Maxi_hp)</f>
        <v>10.360105711351219</v>
      </c>
      <c r="J356" s="85">
        <f>IF(H356,An,'2019'!An_max)</f>
        <v>2018</v>
      </c>
      <c r="K356" s="197">
        <f t="shared" si="124"/>
        <v>44172</v>
      </c>
      <c r="L356" s="147">
        <f>IF(t&lt;Tvie,1-EXP((T0-t)*PertePVj)+'2019'!Pspv,1-EXP((T0-t)*PertePVj)+Pspv)</f>
        <v>2.0871513495464011E-2</v>
      </c>
      <c r="M356" s="850"/>
      <c r="N356" s="850"/>
      <c r="O356" s="48">
        <f>IF(t&lt;Tnet,'2019'!Resal+('2019'!Salim-'2019'!Resal)*(1-EXP(('2019'!Tnet-t)/('2019'!Tau_j))),Resal+(Salim-Resal)*(1-EXP((Tnet-t)/(Tau_j))))*Salcycl</f>
        <v>0.10291035588450034</v>
      </c>
      <c r="P356" s="169">
        <f>(INDEX(Models!$BJ356:$BT356,,T356)*(1-R356)+INDEX(Models!$BJ356:$BT356,,T356+1)*R356-ERP_i)*Q356*Ramure*Pc/MaxiM</f>
        <v>3.3071047480160744E-2</v>
      </c>
      <c r="Q356" s="305">
        <f t="shared" si="125"/>
        <v>0.7</v>
      </c>
      <c r="R356" s="177">
        <f t="shared" si="126"/>
        <v>0.19992268558199688</v>
      </c>
      <c r="S356" s="817">
        <f t="shared" si="127"/>
        <v>-1</v>
      </c>
      <c r="T356" s="176">
        <f t="shared" si="128"/>
        <v>5</v>
      </c>
      <c r="U356" s="251">
        <f t="shared" si="129"/>
        <v>-0.80007731441800312</v>
      </c>
      <c r="V356" s="383">
        <f t="shared" si="130"/>
        <v>10.345525327984248</v>
      </c>
      <c r="W356" s="402"/>
      <c r="X356" s="157">
        <f t="shared" si="131"/>
        <v>44172</v>
      </c>
      <c r="Y356" s="385">
        <f t="shared" si="132"/>
        <v>0.94399999999999995</v>
      </c>
      <c r="Z356" s="385">
        <f t="shared" si="133"/>
        <v>0.96412269994314659</v>
      </c>
      <c r="AA356" s="386">
        <f t="shared" si="134"/>
        <v>1.0747228064300522</v>
      </c>
      <c r="AB356" s="197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0.10291035588450034</v>
      </c>
      <c r="AD356" s="231">
        <f>(INDEX(Models!$BJ356:$BT356,,AH356)*(1-AF356)+INDEX(Models!$BJ356:$BT356,,AH356+1)*AF356-ERP_i)*AE356*Ramure*Pc/MaxiM</f>
        <v>3.3071047480160744E-2</v>
      </c>
      <c r="AE356" s="305">
        <f t="shared" si="136"/>
        <v>0.7</v>
      </c>
      <c r="AF356" s="177">
        <f t="shared" si="137"/>
        <v>0.19992268558199688</v>
      </c>
      <c r="AG356" s="817">
        <f t="shared" si="143"/>
        <v>-1</v>
      </c>
      <c r="AH356" s="176">
        <f t="shared" si="138"/>
        <v>5</v>
      </c>
      <c r="AI356" s="225">
        <f t="shared" si="139"/>
        <v>-0.80007731441800312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44173</v>
      </c>
      <c r="B357" s="617">
        <v>3.8079999999999998</v>
      </c>
      <c r="C357" s="390"/>
      <c r="D357" s="393">
        <f t="shared" si="122"/>
        <v>3.8892581099285133</v>
      </c>
      <c r="E357" s="385">
        <f t="shared" si="120"/>
        <v>4.3355501240198455</v>
      </c>
      <c r="F357" s="385">
        <f t="shared" si="123"/>
        <v>4.3498976776078511</v>
      </c>
      <c r="G357" s="110">
        <f t="shared" si="121"/>
        <v>0.3594083183575561</v>
      </c>
      <c r="H357" s="414" t="b">
        <f>Wh_hp&gt;='2019'!Maxi_hp</f>
        <v>0</v>
      </c>
      <c r="I357" s="380">
        <f>IF(H357,Wh_hp,'2019'!Maxi_hp)</f>
        <v>6.3586080107423522</v>
      </c>
      <c r="J357" s="85">
        <f>IF(H357,An,'2019'!An_max)</f>
        <v>2019</v>
      </c>
      <c r="K357" s="197">
        <f t="shared" si="124"/>
        <v>44173</v>
      </c>
      <c r="L357" s="147">
        <f>IF(t&lt;Tvie,1-EXP((T0-t)*PertePVj)+'2019'!Pspv,1-EXP((T0-t)*PertePVj)+Pspv)</f>
        <v>2.0892958922185567E-2</v>
      </c>
      <c r="M357" s="850"/>
      <c r="N357" s="850"/>
      <c r="O357" s="48">
        <f>IF(t&lt;Tnet,'2019'!Resal+('2019'!Salim-'2019'!Resal)*(1-EXP(('2019'!Tnet-t)/('2019'!Tau_j))),Resal+(Salim-Resal)*(1-EXP((Tnet-t)/(Tau_j))))*Salcycl</f>
        <v>0.10293780519772626</v>
      </c>
      <c r="P357" s="169">
        <f>(INDEX(Models!$BJ357:$BT357,,T357)*(1-R357)+INDEX(Models!$BJ357:$BT357,,T357+1)*R357-ERP_i)*Q357*Ramure*Pc/MaxiM</f>
        <v>3.2808275437249922E-2</v>
      </c>
      <c r="Q357" s="305">
        <f t="shared" si="125"/>
        <v>0.7</v>
      </c>
      <c r="R357" s="177">
        <f t="shared" si="126"/>
        <v>0.19992979504487884</v>
      </c>
      <c r="S357" s="817">
        <f t="shared" si="127"/>
        <v>-1</v>
      </c>
      <c r="T357" s="176">
        <f t="shared" si="128"/>
        <v>5</v>
      </c>
      <c r="U357" s="251">
        <f t="shared" si="129"/>
        <v>-0.80007020495512116</v>
      </c>
      <c r="V357" s="383">
        <f t="shared" si="130"/>
        <v>10.2814937745264</v>
      </c>
      <c r="W357" s="402"/>
      <c r="X357" s="157">
        <f t="shared" si="131"/>
        <v>44173</v>
      </c>
      <c r="Y357" s="385">
        <f t="shared" si="132"/>
        <v>3.8079999999999994</v>
      </c>
      <c r="Z357" s="385">
        <f t="shared" si="133"/>
        <v>3.8892581099285128</v>
      </c>
      <c r="AA357" s="386">
        <f t="shared" si="134"/>
        <v>4.3355501240198455</v>
      </c>
      <c r="AB357" s="197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0.10293780519772626</v>
      </c>
      <c r="AD357" s="231">
        <f>(INDEX(Models!$BJ357:$BT357,,AH357)*(1-AF357)+INDEX(Models!$BJ357:$BT357,,AH357+1)*AF357-ERP_i)*AE357*Ramure*Pc/MaxiM</f>
        <v>3.2808275437249922E-2</v>
      </c>
      <c r="AE357" s="305">
        <f t="shared" si="136"/>
        <v>0.7</v>
      </c>
      <c r="AF357" s="177">
        <f t="shared" si="137"/>
        <v>0.19992979504487884</v>
      </c>
      <c r="AG357" s="817">
        <f t="shared" si="143"/>
        <v>-1</v>
      </c>
      <c r="AH357" s="176">
        <f t="shared" si="138"/>
        <v>5</v>
      </c>
      <c r="AI357" s="225">
        <f t="shared" si="139"/>
        <v>-0.80007020495512116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2"/>
        <v>44174</v>
      </c>
      <c r="B358" s="617">
        <v>4.21</v>
      </c>
      <c r="C358" s="390"/>
      <c r="D358" s="393">
        <f t="shared" si="122"/>
        <v>4.2999304827691036</v>
      </c>
      <c r="E358" s="385">
        <f t="shared" si="120"/>
        <v>4.793501372033325</v>
      </c>
      <c r="F358" s="385">
        <f t="shared" si="123"/>
        <v>4.8184551008375349</v>
      </c>
      <c r="G358" s="110">
        <f t="shared" si="121"/>
        <v>0.40014741287405647</v>
      </c>
      <c r="H358" s="414" t="b">
        <f>Wh_hp&gt;='2019'!Maxi_hp</f>
        <v>0</v>
      </c>
      <c r="I358" s="380">
        <f>IF(H358,Wh_hp,'2019'!Maxi_hp)</f>
        <v>11.203024909325297</v>
      </c>
      <c r="J358" s="85">
        <f>IF(H358,An,'2019'!An_max)</f>
        <v>2019</v>
      </c>
      <c r="K358" s="197">
        <f t="shared" si="124"/>
        <v>44174</v>
      </c>
      <c r="L358" s="147">
        <f>IF(t&lt;Tvie,1-EXP((T0-t)*PertePVj)+'2019'!Pspv,1-EXP((T0-t)*PertePVj)+Pspv)</f>
        <v>2.0914403879197074E-2</v>
      </c>
      <c r="M358" s="850"/>
      <c r="N358" s="850"/>
      <c r="O358" s="48">
        <f>IF(t&lt;Tnet,'2019'!Resal+('2019'!Salim-'2019'!Resal)*(1-EXP(('2019'!Tnet-t)/('2019'!Tau_j))),Resal+(Salim-Resal)*(1-EXP((Tnet-t)/(Tau_j))))*Salcycl</f>
        <v>0.10296667320131732</v>
      </c>
      <c r="P358" s="169">
        <f>(INDEX(Models!$BJ358:$BT358,,T358)*(1-R358)+INDEX(Models!$BJ358:$BT358,,T358+1)*R358-ERP_i)*Q358*Ramure*Pc/MaxiM</f>
        <v>3.252485984341346E-2</v>
      </c>
      <c r="Q358" s="305">
        <f t="shared" si="125"/>
        <v>0.7</v>
      </c>
      <c r="R358" s="177">
        <f t="shared" si="126"/>
        <v>0.19993661857667244</v>
      </c>
      <c r="S358" s="817">
        <f t="shared" si="127"/>
        <v>-1</v>
      </c>
      <c r="T358" s="176">
        <f t="shared" si="128"/>
        <v>5</v>
      </c>
      <c r="U358" s="251">
        <f t="shared" si="129"/>
        <v>-0.80006338142332756</v>
      </c>
      <c r="V358" s="383">
        <f t="shared" si="130"/>
        <v>10.231913438520431</v>
      </c>
      <c r="W358" s="402"/>
      <c r="X358" s="157">
        <f t="shared" si="131"/>
        <v>44174</v>
      </c>
      <c r="Y358" s="385">
        <f t="shared" si="132"/>
        <v>4.21</v>
      </c>
      <c r="Z358" s="385">
        <f t="shared" si="133"/>
        <v>4.2999304827691036</v>
      </c>
      <c r="AA358" s="386">
        <f t="shared" si="134"/>
        <v>4.793501372033325</v>
      </c>
      <c r="AB358" s="197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0.10296667320131732</v>
      </c>
      <c r="AD358" s="231">
        <f>(INDEX(Models!$BJ358:$BT358,,AH358)*(1-AF358)+INDEX(Models!$BJ358:$BT358,,AH358+1)*AF358-ERP_i)*AE358*Ramure*Pc/MaxiM</f>
        <v>3.252485984341346E-2</v>
      </c>
      <c r="AE358" s="305">
        <f t="shared" si="136"/>
        <v>0.7</v>
      </c>
      <c r="AF358" s="177">
        <f t="shared" si="137"/>
        <v>0.19993661857667244</v>
      </c>
      <c r="AG358" s="817">
        <f t="shared" si="143"/>
        <v>-1</v>
      </c>
      <c r="AH358" s="176">
        <f t="shared" si="138"/>
        <v>5</v>
      </c>
      <c r="AI358" s="225">
        <f t="shared" si="139"/>
        <v>-0.80006338142332756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2"/>
        <v>44175</v>
      </c>
      <c r="B359" s="617">
        <v>3.0129999999999999</v>
      </c>
      <c r="C359" s="390"/>
      <c r="D359" s="393">
        <f t="shared" si="122"/>
        <v>3.0774285780692185</v>
      </c>
      <c r="E359" s="385">
        <f t="shared" si="120"/>
        <v>3.430789253221846</v>
      </c>
      <c r="F359" s="385">
        <f t="shared" si="123"/>
        <v>3.430789253221846</v>
      </c>
      <c r="G359" s="110">
        <f t="shared" si="121"/>
        <v>0.28594614812040747</v>
      </c>
      <c r="H359" s="414" t="b">
        <f>Wh_hp&gt;='2019'!Maxi_hp</f>
        <v>0</v>
      </c>
      <c r="I359" s="380">
        <f>IF(H359,Wh_hp,'2019'!Maxi_hp)</f>
        <v>8.7230563178868117</v>
      </c>
      <c r="J359" s="85">
        <f>IF(H359,An,'2019'!An_max)</f>
        <v>2018</v>
      </c>
      <c r="K359" s="197">
        <f t="shared" si="124"/>
        <v>44175</v>
      </c>
      <c r="L359" s="147">
        <f>IF(t&lt;Tvie,1-EXP((T0-t)*PertePVj)+'2019'!Pspv,1-EXP((T0-t)*PertePVj)+Pspv)</f>
        <v>2.093584836650908E-2</v>
      </c>
      <c r="M359" s="850"/>
      <c r="N359" s="850"/>
      <c r="O359" s="48">
        <f>IF(t&lt;Tnet,'2019'!Resal+('2019'!Salim-'2019'!Resal)*(1-EXP(('2019'!Tnet-t)/('2019'!Tau_j))),Resal+(Salim-Resal)*(1-EXP((Tnet-t)/(Tau_j))))*Salcycl</f>
        <v>0.10299690510595688</v>
      </c>
      <c r="P359" s="169">
        <f>(INDEX(Models!$BJ359:$BT359,,T359)*(1-R359)+INDEX(Models!$BJ359:$BT359,,T359+1)*R359-ERP_i)*Q359*Ramure*Pc/MaxiM</f>
        <v>3.2219433844729382E-2</v>
      </c>
      <c r="Q359" s="305">
        <f t="shared" si="125"/>
        <v>0.7</v>
      </c>
      <c r="R359" s="177">
        <f t="shared" si="126"/>
        <v>0.19994316766483755</v>
      </c>
      <c r="S359" s="817">
        <f t="shared" si="127"/>
        <v>-1</v>
      </c>
      <c r="T359" s="176">
        <f t="shared" si="128"/>
        <v>5</v>
      </c>
      <c r="U359" s="251">
        <f t="shared" si="129"/>
        <v>-0.80005683233516245</v>
      </c>
      <c r="V359" s="383">
        <f t="shared" si="130"/>
        <v>10.197454538181015</v>
      </c>
      <c r="W359" s="402"/>
      <c r="X359" s="157">
        <f t="shared" si="131"/>
        <v>44175</v>
      </c>
      <c r="Y359" s="385">
        <f t="shared" si="132"/>
        <v>3.0129999999999999</v>
      </c>
      <c r="Z359" s="385">
        <f t="shared" si="133"/>
        <v>3.0774285780692185</v>
      </c>
      <c r="AA359" s="386">
        <f t="shared" si="134"/>
        <v>3.430789253221846</v>
      </c>
      <c r="AB359" s="197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0.10299690510595688</v>
      </c>
      <c r="AD359" s="231">
        <f>(INDEX(Models!$BJ359:$BT359,,AH359)*(1-AF359)+INDEX(Models!$BJ359:$BT359,,AH359+1)*AF359-ERP_i)*AE359*Ramure*Pc/MaxiM</f>
        <v>3.2219433844729382E-2</v>
      </c>
      <c r="AE359" s="305">
        <f t="shared" si="136"/>
        <v>0.7</v>
      </c>
      <c r="AF359" s="177">
        <f t="shared" si="137"/>
        <v>0.19994316766483755</v>
      </c>
      <c r="AG359" s="817">
        <f t="shared" si="143"/>
        <v>-1</v>
      </c>
      <c r="AH359" s="176">
        <f t="shared" si="138"/>
        <v>5</v>
      </c>
      <c r="AI359" s="225">
        <f t="shared" si="139"/>
        <v>-0.80005683233516245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2"/>
        <v>44176</v>
      </c>
      <c r="B360" s="617">
        <v>4.6920000000000002</v>
      </c>
      <c r="C360" s="390"/>
      <c r="D360" s="393">
        <f t="shared" si="122"/>
        <v>4.79243649281225</v>
      </c>
      <c r="E360" s="385">
        <f t="shared" si="120"/>
        <v>5.3429079870738958</v>
      </c>
      <c r="F360" s="385">
        <f t="shared" si="123"/>
        <v>5.3823976151491539</v>
      </c>
      <c r="G360" s="110">
        <f t="shared" si="121"/>
        <v>0.44961528701596598</v>
      </c>
      <c r="H360" s="414" t="b">
        <f>Wh_hp&gt;='2019'!Maxi_hp</f>
        <v>1</v>
      </c>
      <c r="I360" s="380">
        <f>IF(H360,Wh_hp,'2019'!Maxi_hp)</f>
        <v>5.3823976151491539</v>
      </c>
      <c r="J360" s="85">
        <f>IF(H360,An,'2019'!An_max)</f>
        <v>2020</v>
      </c>
      <c r="K360" s="197">
        <f t="shared" si="124"/>
        <v>44176</v>
      </c>
      <c r="L360" s="147">
        <f>IF(t&lt;Tvie,1-EXP((T0-t)*PertePVj)+'2019'!Pspv,1-EXP((T0-t)*PertePVj)+Pspv)</f>
        <v>2.0957292384131798E-2</v>
      </c>
      <c r="M360" s="850"/>
      <c r="N360" s="850"/>
      <c r="O360" s="48">
        <f>IF(t&lt;Tnet,'2019'!Resal+('2019'!Salim-'2019'!Resal)*(1-EXP(('2019'!Tnet-t)/('2019'!Tau_j))),Resal+(Salim-Resal)*(1-EXP((Tnet-t)/(Tau_j))))*Salcycl</f>
        <v>0.10302844361037142</v>
      </c>
      <c r="P360" s="169">
        <f>(INDEX(Models!$BJ360:$BT360,,T360)*(1-R360)+INDEX(Models!$BJ360:$BT360,,T360+1)*R360-ERP_i)*Q360*Ramure*Pc/MaxiM</f>
        <v>3.1895047629944655E-2</v>
      </c>
      <c r="Q360" s="305">
        <f t="shared" si="125"/>
        <v>0.7</v>
      </c>
      <c r="R360" s="177">
        <f t="shared" si="126"/>
        <v>0.19994945333628245</v>
      </c>
      <c r="S360" s="817">
        <f t="shared" si="127"/>
        <v>-1</v>
      </c>
      <c r="T360" s="176">
        <f t="shared" si="128"/>
        <v>5</v>
      </c>
      <c r="U360" s="251">
        <f t="shared" si="129"/>
        <v>-0.80005054666371755</v>
      </c>
      <c r="V360" s="383">
        <f t="shared" si="130"/>
        <v>10.177414407076251</v>
      </c>
      <c r="W360" s="402"/>
      <c r="X360" s="157">
        <f t="shared" si="131"/>
        <v>44176</v>
      </c>
      <c r="Y360" s="385">
        <f t="shared" si="132"/>
        <v>4.6920000000000002</v>
      </c>
      <c r="Z360" s="385">
        <f t="shared" si="133"/>
        <v>4.79243649281225</v>
      </c>
      <c r="AA360" s="386">
        <f t="shared" si="134"/>
        <v>5.3429079870738958</v>
      </c>
      <c r="AB360" s="197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0.10302844361037142</v>
      </c>
      <c r="AD360" s="231">
        <f>(INDEX(Models!$BJ360:$BT360,,AH360)*(1-AF360)+INDEX(Models!$BJ360:$BT360,,AH360+1)*AF360-ERP_i)*AE360*Ramure*Pc/MaxiM</f>
        <v>3.1895047629944655E-2</v>
      </c>
      <c r="AE360" s="305">
        <f t="shared" si="136"/>
        <v>0.7</v>
      </c>
      <c r="AF360" s="177">
        <f t="shared" si="137"/>
        <v>0.19994945333628245</v>
      </c>
      <c r="AG360" s="817">
        <f t="shared" si="143"/>
        <v>-1</v>
      </c>
      <c r="AH360" s="176">
        <f t="shared" si="138"/>
        <v>5</v>
      </c>
      <c r="AI360" s="225">
        <f t="shared" si="139"/>
        <v>-0.80005054666371755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2"/>
        <v>44177</v>
      </c>
      <c r="B361" s="617">
        <v>5.6040000000000001</v>
      </c>
      <c r="C361" s="390"/>
      <c r="D361" s="393">
        <f t="shared" si="122"/>
        <v>5.724084047689483</v>
      </c>
      <c r="E361" s="385">
        <f t="shared" ref="E361:E380" si="144">Wh_pvt/(1-Psa)</f>
        <v>6.3818002240827045</v>
      </c>
      <c r="F361" s="385">
        <f t="shared" si="123"/>
        <v>6.4548709275779519</v>
      </c>
      <c r="G361" s="110">
        <f t="shared" ref="G361:G380" si="145">+Wh_hp/MaxiM</f>
        <v>0.53971352874289535</v>
      </c>
      <c r="H361" s="414" t="b">
        <f>Wh_hp&gt;='2019'!Maxi_hp</f>
        <v>1</v>
      </c>
      <c r="I361" s="380">
        <f>IF(H361,Wh_hp,'2019'!Maxi_hp)</f>
        <v>6.4548709275779519</v>
      </c>
      <c r="J361" s="85">
        <f>IF(H361,An,'2019'!An_max)</f>
        <v>2020</v>
      </c>
      <c r="K361" s="197">
        <f t="shared" si="124"/>
        <v>44177</v>
      </c>
      <c r="L361" s="147">
        <f>IF(t&lt;Tvie,1-EXP((T0-t)*PertePVj)+'2019'!Pspv,1-EXP((T0-t)*PertePVj)+Pspv)</f>
        <v>2.0978735932075443E-2</v>
      </c>
      <c r="M361" s="850"/>
      <c r="N361" s="850"/>
      <c r="O361" s="48">
        <f>IF(t&lt;Tnet,'2019'!Resal+('2019'!Salim-'2019'!Resal)*(1-EXP(('2019'!Tnet-t)/('2019'!Tau_j))),Resal+(Salim-Resal)*(1-EXP((Tnet-t)/(Tau_j))))*Salcycl</f>
        <v>0.10306122932385577</v>
      </c>
      <c r="P361" s="169">
        <f>(INDEX(Models!$BJ361:$BT361,,T361)*(1-R361)+INDEX(Models!$BJ361:$BT361,,T361+1)*R361-ERP_i)*Q361*Ramure*Pc/MaxiM</f>
        <v>3.1570502602657431E-2</v>
      </c>
      <c r="Q361" s="305">
        <f t="shared" si="125"/>
        <v>0.7</v>
      </c>
      <c r="R361" s="177">
        <f t="shared" si="126"/>
        <v>0.19995548617575187</v>
      </c>
      <c r="S361" s="817">
        <f t="shared" si="127"/>
        <v>-1</v>
      </c>
      <c r="T361" s="176">
        <f t="shared" si="128"/>
        <v>5</v>
      </c>
      <c r="U361" s="251">
        <f t="shared" si="129"/>
        <v>-0.80004451382424813</v>
      </c>
      <c r="V361" s="383">
        <f t="shared" si="130"/>
        <v>10.170614393475276</v>
      </c>
      <c r="W361" s="402"/>
      <c r="X361" s="157">
        <f t="shared" si="131"/>
        <v>44177</v>
      </c>
      <c r="Y361" s="385">
        <f t="shared" si="132"/>
        <v>5.6040000000000001</v>
      </c>
      <c r="Z361" s="385">
        <f t="shared" si="133"/>
        <v>5.724084047689483</v>
      </c>
      <c r="AA361" s="386">
        <f t="shared" si="134"/>
        <v>6.3818002240827045</v>
      </c>
      <c r="AB361" s="197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0.10306122932385577</v>
      </c>
      <c r="AD361" s="231">
        <f>(INDEX(Models!$BJ361:$BT361,,AH361)*(1-AF361)+INDEX(Models!$BJ361:$BT361,,AH361+1)*AF361-ERP_i)*AE361*Ramure*Pc/MaxiM</f>
        <v>3.1570502602657431E-2</v>
      </c>
      <c r="AE361" s="305">
        <f t="shared" si="136"/>
        <v>0.7</v>
      </c>
      <c r="AF361" s="177">
        <f t="shared" si="137"/>
        <v>0.19995548617575187</v>
      </c>
      <c r="AG361" s="817">
        <f t="shared" si="143"/>
        <v>-1</v>
      </c>
      <c r="AH361" s="176">
        <f t="shared" si="138"/>
        <v>5</v>
      </c>
      <c r="AI361" s="225">
        <f t="shared" si="139"/>
        <v>-0.80004451382424813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2"/>
        <v>44178</v>
      </c>
      <c r="B362" s="617">
        <v>5.7</v>
      </c>
      <c r="C362" s="390"/>
      <c r="D362" s="393">
        <f t="shared" si="122"/>
        <v>5.8222686846234497</v>
      </c>
      <c r="E362" s="385">
        <f t="shared" si="144"/>
        <v>6.4915124686054932</v>
      </c>
      <c r="F362" s="385">
        <f t="shared" si="123"/>
        <v>6.5677865019382127</v>
      </c>
      <c r="G362" s="110">
        <f t="shared" si="145"/>
        <v>0.54901138463484189</v>
      </c>
      <c r="H362" s="414" t="b">
        <f>Wh_hp&gt;='2019'!Maxi_hp</f>
        <v>0</v>
      </c>
      <c r="I362" s="380">
        <f>IF(H362,Wh_hp,'2019'!Maxi_hp)</f>
        <v>10.254515741380915</v>
      </c>
      <c r="J362" s="85">
        <f>IF(H362,An,'2019'!An_max)</f>
        <v>2019</v>
      </c>
      <c r="K362" s="197">
        <f t="shared" si="124"/>
        <v>44178</v>
      </c>
      <c r="L362" s="147">
        <f>IF(t&lt;Tvie,1-EXP((T0-t)*PertePVj)+'2019'!Pspv,1-EXP((T0-t)*PertePVj)+Pspv)</f>
        <v>2.1000179010350339E-2</v>
      </c>
      <c r="M362" s="850"/>
      <c r="N362" s="850"/>
      <c r="O362" s="48">
        <f>IF(t&lt;Tnet,'2019'!Resal+('2019'!Salim-'2019'!Resal)*(1-EXP(('2019'!Tnet-t)/('2019'!Tau_j))),Resal+(Salim-Resal)*(1-EXP((Tnet-t)/(Tau_j))))*Salcycl</f>
        <v>0.10309520119058024</v>
      </c>
      <c r="P362" s="169">
        <f>(INDEX(Models!$BJ362:$BT362,,T362)*(1-R362)+INDEX(Models!$BJ362:$BT362,,T362+1)*R362-ERP_i)*Q362*Ramure*Pc/MaxiM</f>
        <v>3.1249915730844593E-2</v>
      </c>
      <c r="Q362" s="305">
        <f t="shared" si="125"/>
        <v>0.7</v>
      </c>
      <c r="R362" s="177">
        <f t="shared" si="126"/>
        <v>0.19996127634348737</v>
      </c>
      <c r="S362" s="817">
        <f t="shared" si="127"/>
        <v>-1</v>
      </c>
      <c r="T362" s="176">
        <f t="shared" si="128"/>
        <v>5</v>
      </c>
      <c r="U362" s="251">
        <f t="shared" si="129"/>
        <v>-0.80003872365651263</v>
      </c>
      <c r="V362" s="383">
        <f t="shared" si="130"/>
        <v>10.176030261588279</v>
      </c>
      <c r="W362" s="402"/>
      <c r="X362" s="157">
        <f t="shared" si="131"/>
        <v>44178</v>
      </c>
      <c r="Y362" s="385">
        <f t="shared" si="132"/>
        <v>5.7</v>
      </c>
      <c r="Z362" s="385">
        <f t="shared" si="133"/>
        <v>5.8222686846234497</v>
      </c>
      <c r="AA362" s="386">
        <f t="shared" si="134"/>
        <v>6.4915124686054932</v>
      </c>
      <c r="AB362" s="197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0.10309520119058024</v>
      </c>
      <c r="AD362" s="231">
        <f>(INDEX(Models!$BJ362:$BT362,,AH362)*(1-AF362)+INDEX(Models!$BJ362:$BT362,,AH362+1)*AF362-ERP_i)*AE362*Ramure*Pc/MaxiM</f>
        <v>3.1249915730844593E-2</v>
      </c>
      <c r="AE362" s="305">
        <f t="shared" si="136"/>
        <v>0.7</v>
      </c>
      <c r="AF362" s="177">
        <f t="shared" si="137"/>
        <v>0.19996127634348737</v>
      </c>
      <c r="AG362" s="817">
        <f t="shared" si="143"/>
        <v>-1</v>
      </c>
      <c r="AH362" s="176">
        <f t="shared" si="138"/>
        <v>5</v>
      </c>
      <c r="AI362" s="225">
        <f t="shared" si="139"/>
        <v>-0.80003872365651263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44179</v>
      </c>
      <c r="B363" s="617">
        <v>1.35</v>
      </c>
      <c r="C363" s="390"/>
      <c r="D363" s="393">
        <f t="shared" si="122"/>
        <v>1.3789885760628715</v>
      </c>
      <c r="E363" s="385">
        <f t="shared" si="144"/>
        <v>1.5375573188786698</v>
      </c>
      <c r="F363" s="385">
        <f t="shared" si="123"/>
        <v>1.5375573188786698</v>
      </c>
      <c r="G363" s="110">
        <f t="shared" si="145"/>
        <v>0.12835094436921984</v>
      </c>
      <c r="H363" s="414" t="b">
        <f>Wh_hp&gt;='2019'!Maxi_hp</f>
        <v>0</v>
      </c>
      <c r="I363" s="380">
        <f>IF(H363,Wh_hp,'2019'!Maxi_hp)</f>
        <v>11.185747568880981</v>
      </c>
      <c r="J363" s="85">
        <f>IF(H363,An,'2019'!An_max)</f>
        <v>2019</v>
      </c>
      <c r="K363" s="197">
        <f t="shared" si="124"/>
        <v>44179</v>
      </c>
      <c r="L363" s="147">
        <f>IF(t&lt;Tvie,1-EXP((T0-t)*PertePVj)+'2019'!Pspv,1-EXP((T0-t)*PertePVj)+Pspv)</f>
        <v>2.1021621618966813E-2</v>
      </c>
      <c r="M363" s="850"/>
      <c r="N363" s="850"/>
      <c r="O363" s="48">
        <f>IF(t&lt;Tnet,'2019'!Resal+('2019'!Salim-'2019'!Resal)*(1-EXP(('2019'!Tnet-t)/('2019'!Tau_j))),Resal+(Salim-Resal)*(1-EXP((Tnet-t)/(Tau_j))))*Salcycl</f>
        <v>0.10313029691240486</v>
      </c>
      <c r="P363" s="169">
        <f>(INDEX(Models!$BJ363:$BT363,,T363)*(1-R363)+INDEX(Models!$BJ363:$BT363,,T363+1)*R363-ERP_i)*Q363*Ramure*Pc/MaxiM</f>
        <v>3.0937272851922923E-2</v>
      </c>
      <c r="Q363" s="305">
        <f t="shared" si="125"/>
        <v>0.7</v>
      </c>
      <c r="R363" s="177">
        <f t="shared" si="126"/>
        <v>0.19996683359218714</v>
      </c>
      <c r="S363" s="817">
        <f t="shared" si="127"/>
        <v>-1</v>
      </c>
      <c r="T363" s="176">
        <f t="shared" si="128"/>
        <v>5</v>
      </c>
      <c r="U363" s="251">
        <f t="shared" si="129"/>
        <v>-0.80003316640781286</v>
      </c>
      <c r="V363" s="383">
        <f t="shared" si="130"/>
        <v>10.19263775642024</v>
      </c>
      <c r="W363" s="402"/>
      <c r="X363" s="157">
        <f t="shared" si="131"/>
        <v>44179</v>
      </c>
      <c r="Y363" s="385">
        <f t="shared" si="132"/>
        <v>1.35</v>
      </c>
      <c r="Z363" s="385">
        <f t="shared" si="133"/>
        <v>1.3789885760628715</v>
      </c>
      <c r="AA363" s="386">
        <f t="shared" si="134"/>
        <v>1.5375573188786698</v>
      </c>
      <c r="AB363" s="197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0.10313029691240486</v>
      </c>
      <c r="AD363" s="231">
        <f>(INDEX(Models!$BJ363:$BT363,,AH363)*(1-AF363)+INDEX(Models!$BJ363:$BT363,,AH363+1)*AF363-ERP_i)*AE363*Ramure*Pc/MaxiM</f>
        <v>3.0937272851922923E-2</v>
      </c>
      <c r="AE363" s="305">
        <f t="shared" si="136"/>
        <v>0.7</v>
      </c>
      <c r="AF363" s="177">
        <f t="shared" si="137"/>
        <v>0.19996683359218714</v>
      </c>
      <c r="AG363" s="817">
        <f t="shared" si="143"/>
        <v>-1</v>
      </c>
      <c r="AH363" s="176">
        <f t="shared" si="138"/>
        <v>5</v>
      </c>
      <c r="AI363" s="225">
        <f t="shared" si="139"/>
        <v>-0.80003316640781286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2"/>
        <v>44180</v>
      </c>
      <c r="B364" s="617">
        <v>1.214</v>
      </c>
      <c r="C364" s="390"/>
      <c r="D364" s="393">
        <f t="shared" si="122"/>
        <v>1.2400954067093064</v>
      </c>
      <c r="E364" s="385">
        <f t="shared" si="144"/>
        <v>1.3827486843740411</v>
      </c>
      <c r="F364" s="385">
        <f t="shared" si="123"/>
        <v>1.3827486843740411</v>
      </c>
      <c r="G364" s="110">
        <f t="shared" si="145"/>
        <v>0.11515411575994573</v>
      </c>
      <c r="H364" s="414" t="b">
        <f>Wh_hp&gt;='2019'!Maxi_hp</f>
        <v>0</v>
      </c>
      <c r="I364" s="380">
        <f>IF(H364,Wh_hp,'2019'!Maxi_hp)</f>
        <v>8.8074327359908793</v>
      </c>
      <c r="J364" s="85">
        <f>IF(H364,An,'2019'!An_max)</f>
        <v>2019</v>
      </c>
      <c r="K364" s="197">
        <f t="shared" si="124"/>
        <v>44180</v>
      </c>
      <c r="L364" s="147">
        <f>IF(t&lt;Tvie,1-EXP((T0-t)*PertePVj)+'2019'!Pspv,1-EXP((T0-t)*PertePVj)+Pspv)</f>
        <v>2.1043063757935188E-2</v>
      </c>
      <c r="M364" s="850"/>
      <c r="N364" s="850"/>
      <c r="O364" s="48">
        <f>IF(t&lt;Tnet,'2019'!Resal+('2019'!Salim-'2019'!Resal)*(1-EXP(('2019'!Tnet-t)/('2019'!Tau_j))),Resal+(Salim-Resal)*(1-EXP((Tnet-t)/(Tau_j))))*Salcycl</f>
        <v>0.10316645336698527</v>
      </c>
      <c r="P364" s="169">
        <f>(INDEX(Models!$BJ364:$BT364,,T364)*(1-R364)+INDEX(Models!$BJ364:$BT364,,T364+1)*R364-ERP_i)*Q364*Ramure*Pc/MaxiM</f>
        <v>3.0636388911442991E-2</v>
      </c>
      <c r="Q364" s="305">
        <f t="shared" si="125"/>
        <v>0.7</v>
      </c>
      <c r="R364" s="177">
        <f t="shared" si="126"/>
        <v>0.19997216728329392</v>
      </c>
      <c r="S364" s="817">
        <f t="shared" si="127"/>
        <v>-1</v>
      </c>
      <c r="T364" s="176">
        <f t="shared" si="128"/>
        <v>5</v>
      </c>
      <c r="U364" s="251">
        <f t="shared" si="129"/>
        <v>-0.80002783271670608</v>
      </c>
      <c r="V364" s="383">
        <f t="shared" si="130"/>
        <v>10.219412620168278</v>
      </c>
      <c r="W364" s="402"/>
      <c r="X364" s="157">
        <f t="shared" si="131"/>
        <v>44180</v>
      </c>
      <c r="Y364" s="385">
        <f t="shared" si="132"/>
        <v>1.214</v>
      </c>
      <c r="Z364" s="385">
        <f t="shared" si="133"/>
        <v>1.2400954067093064</v>
      </c>
      <c r="AA364" s="386">
        <f t="shared" si="134"/>
        <v>1.3827486843740411</v>
      </c>
      <c r="AB364" s="197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0.10316645336698527</v>
      </c>
      <c r="AD364" s="231">
        <f>(INDEX(Models!$BJ364:$BT364,,AH364)*(1-AF364)+INDEX(Models!$BJ364:$BT364,,AH364+1)*AF364-ERP_i)*AE364*Ramure*Pc/MaxiM</f>
        <v>3.0636388911442991E-2</v>
      </c>
      <c r="AE364" s="305">
        <f t="shared" si="136"/>
        <v>0.7</v>
      </c>
      <c r="AF364" s="177">
        <f t="shared" si="137"/>
        <v>0.19997216728329392</v>
      </c>
      <c r="AG364" s="817">
        <f t="shared" si="143"/>
        <v>-1</v>
      </c>
      <c r="AH364" s="176">
        <f t="shared" si="138"/>
        <v>5</v>
      </c>
      <c r="AI364" s="225">
        <f t="shared" si="139"/>
        <v>-0.80002783271670608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2"/>
        <v>44181</v>
      </c>
      <c r="B365" s="617">
        <v>9.0640000000000001</v>
      </c>
      <c r="C365" s="390"/>
      <c r="D365" s="393">
        <f t="shared" si="122"/>
        <v>9.2590370358938383</v>
      </c>
      <c r="E365" s="385">
        <f t="shared" si="144"/>
        <v>10.324569889388636</v>
      </c>
      <c r="F365" s="385">
        <f t="shared" si="123"/>
        <v>10.59271455732704</v>
      </c>
      <c r="G365" s="110">
        <f t="shared" si="145"/>
        <v>0.87926571830159506</v>
      </c>
      <c r="H365" s="414" t="b">
        <f>Wh_hp&gt;='2019'!Maxi_hp</f>
        <v>0</v>
      </c>
      <c r="I365" s="380">
        <f>IF(H365,Wh_hp,'2019'!Maxi_hp)</f>
        <v>12.021783785395716</v>
      </c>
      <c r="J365" s="85">
        <f>IF(H365,An,'2019'!An_max)</f>
        <v>2018</v>
      </c>
      <c r="K365" s="197">
        <f t="shared" si="124"/>
        <v>44181</v>
      </c>
      <c r="L365" s="147">
        <f>IF(t&lt;Tvie,1-EXP((T0-t)*PertePVj)+'2019'!Pspv,1-EXP((T0-t)*PertePVj)+Pspv)</f>
        <v>2.1064505427265567E-2</v>
      </c>
      <c r="M365" s="850"/>
      <c r="N365" s="850"/>
      <c r="O365" s="48">
        <f>IF(t&lt;Tnet,'2019'!Resal+('2019'!Salim-'2019'!Resal)*(1-EXP(('2019'!Tnet-t)/('2019'!Tau_j))),Resal+(Salim-Resal)*(1-EXP((Tnet-t)/(Tau_j))))*Salcycl</f>
        <v>0.10320360701804436</v>
      </c>
      <c r="P365" s="169">
        <f>(INDEX(Models!$BJ365:$BT365,,T365)*(1-R365)+INDEX(Models!$BJ365:$BT365,,T365+1)*R365-ERP_i)*Q365*Ramure*Pc/MaxiM</f>
        <v>3.035087868926984E-2</v>
      </c>
      <c r="Q365" s="305">
        <f t="shared" si="125"/>
        <v>0.7</v>
      </c>
      <c r="R365" s="177">
        <f t="shared" si="126"/>
        <v>0.1999772864026369</v>
      </c>
      <c r="S365" s="817">
        <f t="shared" si="127"/>
        <v>-1</v>
      </c>
      <c r="T365" s="176">
        <f t="shared" si="128"/>
        <v>5</v>
      </c>
      <c r="U365" s="251">
        <f t="shared" si="129"/>
        <v>-0.8000227135973631</v>
      </c>
      <c r="V365" s="383">
        <f t="shared" si="130"/>
        <v>10.255330602321489</v>
      </c>
      <c r="W365" s="402"/>
      <c r="X365" s="157">
        <f t="shared" si="131"/>
        <v>44181</v>
      </c>
      <c r="Y365" s="385">
        <f t="shared" si="132"/>
        <v>9.0640000000000001</v>
      </c>
      <c r="Z365" s="385">
        <f t="shared" si="133"/>
        <v>9.2590370358938383</v>
      </c>
      <c r="AA365" s="386">
        <f t="shared" si="134"/>
        <v>10.324569889388636</v>
      </c>
      <c r="AB365" s="197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0.10320360701804436</v>
      </c>
      <c r="AD365" s="231">
        <f>(INDEX(Models!$BJ365:$BT365,,AH365)*(1-AF365)+INDEX(Models!$BJ365:$BT365,,AH365+1)*AF365-ERP_i)*AE365*Ramure*Pc/MaxiM</f>
        <v>3.035087868926984E-2</v>
      </c>
      <c r="AE365" s="305">
        <f t="shared" si="136"/>
        <v>0.7</v>
      </c>
      <c r="AF365" s="177">
        <f t="shared" si="137"/>
        <v>0.1999772864026369</v>
      </c>
      <c r="AG365" s="817">
        <f t="shared" si="143"/>
        <v>-1</v>
      </c>
      <c r="AH365" s="176">
        <f t="shared" si="138"/>
        <v>5</v>
      </c>
      <c r="AI365" s="225">
        <f t="shared" si="139"/>
        <v>-0.8000227135973631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2"/>
        <v>44182</v>
      </c>
      <c r="B366" s="617">
        <v>4.4580000000000002</v>
      </c>
      <c r="C366" s="390"/>
      <c r="D366" s="393">
        <f t="shared" si="122"/>
        <v>4.5540259480790244</v>
      </c>
      <c r="E366" s="385">
        <f t="shared" si="144"/>
        <v>5.0783203447436591</v>
      </c>
      <c r="F366" s="385">
        <f t="shared" si="123"/>
        <v>5.1074953879380178</v>
      </c>
      <c r="G366" s="110">
        <f t="shared" si="145"/>
        <v>0.42223230919938964</v>
      </c>
      <c r="H366" s="414" t="b">
        <f>Wh_hp&gt;='2019'!Maxi_hp</f>
        <v>0</v>
      </c>
      <c r="I366" s="380">
        <f>IF(H366,Wh_hp,'2019'!Maxi_hp)</f>
        <v>9.3368224728379356</v>
      </c>
      <c r="J366" s="85">
        <f>IF(H366,An,'2019'!An_max)</f>
        <v>2019</v>
      </c>
      <c r="K366" s="197">
        <f t="shared" si="124"/>
        <v>44182</v>
      </c>
      <c r="L366" s="147">
        <f>IF(t&lt;Tvie,1-EXP((T0-t)*PertePVj)+'2019'!Pspv,1-EXP((T0-t)*PertePVj)+Pspv)</f>
        <v>2.1085946626968499E-2</v>
      </c>
      <c r="M366" s="850"/>
      <c r="N366" s="850"/>
      <c r="O366" s="48">
        <f>IF(t&lt;Tnet,'2019'!Resal+('2019'!Salim-'2019'!Resal)*(1-EXP(('2019'!Tnet-t)/('2019'!Tau_j))),Resal+(Salim-Resal)*(1-EXP((Tnet-t)/(Tau_j))))*Salcycl</f>
        <v>0.10324169431479596</v>
      </c>
      <c r="P366" s="169">
        <f>(INDEX(Models!$BJ366:$BT366,,T366)*(1-R366)+INDEX(Models!$BJ366:$BT366,,T366+1)*R366-ERP_i)*Q366*Ramure*Pc/MaxiM</f>
        <v>3.0098498555007992E-2</v>
      </c>
      <c r="Q366" s="305">
        <f t="shared" si="125"/>
        <v>0.7</v>
      </c>
      <c r="R366" s="177">
        <f t="shared" si="126"/>
        <v>0.19998219957545149</v>
      </c>
      <c r="S366" s="817">
        <f t="shared" si="127"/>
        <v>-1</v>
      </c>
      <c r="T366" s="176">
        <f t="shared" si="128"/>
        <v>5</v>
      </c>
      <c r="U366" s="251">
        <f t="shared" si="129"/>
        <v>-0.80001780042454851</v>
      </c>
      <c r="V366" s="383">
        <f t="shared" si="130"/>
        <v>10.299214978940078</v>
      </c>
      <c r="W366" s="402"/>
      <c r="X366" s="157">
        <f t="shared" si="131"/>
        <v>44182</v>
      </c>
      <c r="Y366" s="385">
        <f t="shared" si="132"/>
        <v>4.4580000000000002</v>
      </c>
      <c r="Z366" s="385">
        <f t="shared" si="133"/>
        <v>4.5540259480790244</v>
      </c>
      <c r="AA366" s="386">
        <f t="shared" si="134"/>
        <v>5.0783203447436591</v>
      </c>
      <c r="AB366" s="197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0.10324169431479596</v>
      </c>
      <c r="AD366" s="231">
        <f>(INDEX(Models!$BJ366:$BT366,,AH366)*(1-AF366)+INDEX(Models!$BJ366:$BT366,,AH366+1)*AF366-ERP_i)*AE366*Ramure*Pc/MaxiM</f>
        <v>3.0098498555007992E-2</v>
      </c>
      <c r="AE366" s="305">
        <f t="shared" si="136"/>
        <v>0.7</v>
      </c>
      <c r="AF366" s="177">
        <f t="shared" si="137"/>
        <v>0.19998219957545149</v>
      </c>
      <c r="AG366" s="817">
        <f t="shared" si="143"/>
        <v>-1</v>
      </c>
      <c r="AH366" s="176">
        <f t="shared" si="138"/>
        <v>5</v>
      </c>
      <c r="AI366" s="225">
        <f t="shared" si="139"/>
        <v>-0.80001780042454851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2"/>
        <v>44183</v>
      </c>
      <c r="B367" s="617">
        <v>3.4510000000000001</v>
      </c>
      <c r="C367" s="390"/>
      <c r="D367" s="393">
        <f t="shared" si="122"/>
        <v>3.5254122417805629</v>
      </c>
      <c r="E367" s="385">
        <f t="shared" si="144"/>
        <v>3.9314555328250038</v>
      </c>
      <c r="F367" s="385">
        <f t="shared" si="123"/>
        <v>3.9370678398673822</v>
      </c>
      <c r="G367" s="110">
        <f t="shared" si="145"/>
        <v>0.32392678683678428</v>
      </c>
      <c r="H367" s="414" t="b">
        <f>Wh_hp&gt;='2019'!Maxi_hp</f>
        <v>0</v>
      </c>
      <c r="I367" s="380">
        <f>IF(H367,Wh_hp,'2019'!Maxi_hp)</f>
        <v>11.853484514263302</v>
      </c>
      <c r="J367" s="85">
        <f>IF(H367,An,'2019'!An_max)</f>
        <v>2018</v>
      </c>
      <c r="K367" s="197">
        <f t="shared" si="124"/>
        <v>44183</v>
      </c>
      <c r="L367" s="147">
        <f>IF(t&lt;Tvie,1-EXP((T0-t)*PertePVj)+'2019'!Pspv,1-EXP((T0-t)*PertePVj)+Pspv)</f>
        <v>2.1107387357054086E-2</v>
      </c>
      <c r="M367" s="850"/>
      <c r="N367" s="850"/>
      <c r="O367" s="48">
        <f>IF(t&lt;Tnet,'2019'!Resal+('2019'!Salim-'2019'!Resal)*(1-EXP(('2019'!Tnet-t)/('2019'!Tau_j))),Resal+(Salim-Resal)*(1-EXP((Tnet-t)/(Tau_j))))*Salcycl</f>
        <v>0.10328065207764733</v>
      </c>
      <c r="P367" s="169">
        <f>(INDEX(Models!$BJ367:$BT367,,T367)*(1-R367)+INDEX(Models!$BJ367:$BT367,,T367+1)*R367-ERP_i)*Q367*Ramure*Pc/MaxiM</f>
        <v>2.9857769903815966E-2</v>
      </c>
      <c r="Q367" s="305">
        <f t="shared" si="125"/>
        <v>0.7</v>
      </c>
      <c r="R367" s="177">
        <f t="shared" si="126"/>
        <v>0.19998691508080357</v>
      </c>
      <c r="S367" s="817">
        <f t="shared" si="127"/>
        <v>-1</v>
      </c>
      <c r="T367" s="176">
        <f t="shared" si="128"/>
        <v>5</v>
      </c>
      <c r="U367" s="251">
        <f t="shared" si="129"/>
        <v>-0.80001308491919643</v>
      </c>
      <c r="V367" s="383">
        <f t="shared" si="130"/>
        <v>10.350302345381012</v>
      </c>
      <c r="W367" s="402"/>
      <c r="X367" s="157">
        <f t="shared" si="131"/>
        <v>44183</v>
      </c>
      <c r="Y367" s="385">
        <f t="shared" si="132"/>
        <v>3.4510000000000001</v>
      </c>
      <c r="Z367" s="385">
        <f t="shared" si="133"/>
        <v>3.5254122417805629</v>
      </c>
      <c r="AA367" s="386">
        <f t="shared" si="134"/>
        <v>3.9314555328250038</v>
      </c>
      <c r="AB367" s="197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0.10328065207764733</v>
      </c>
      <c r="AD367" s="231">
        <f>(INDEX(Models!$BJ367:$BT367,,AH367)*(1-AF367)+INDEX(Models!$BJ367:$BT367,,AH367+1)*AF367-ERP_i)*AE367*Ramure*Pc/MaxiM</f>
        <v>2.9857769903815966E-2</v>
      </c>
      <c r="AE367" s="305">
        <f t="shared" si="136"/>
        <v>0.7</v>
      </c>
      <c r="AF367" s="177">
        <f t="shared" si="137"/>
        <v>0.19998691508080357</v>
      </c>
      <c r="AG367" s="817">
        <f t="shared" si="143"/>
        <v>-1</v>
      </c>
      <c r="AH367" s="176">
        <f t="shared" si="138"/>
        <v>5</v>
      </c>
      <c r="AI367" s="225">
        <f t="shared" si="139"/>
        <v>-0.80001308491919643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2"/>
        <v>44184</v>
      </c>
      <c r="B368" s="617">
        <v>4.91</v>
      </c>
      <c r="C368" s="390"/>
      <c r="D368" s="393">
        <f t="shared" si="122"/>
        <v>5.015981815104011</v>
      </c>
      <c r="E368" s="385">
        <f t="shared" si="144"/>
        <v>5.5939511895372318</v>
      </c>
      <c r="F368" s="385">
        <f t="shared" si="123"/>
        <v>5.6349244359256287</v>
      </c>
      <c r="G368" s="110">
        <f t="shared" si="145"/>
        <v>0.46114574496675065</v>
      </c>
      <c r="H368" s="414" t="b">
        <f>Wh_hp&gt;='2019'!Maxi_hp</f>
        <v>0</v>
      </c>
      <c r="I368" s="380">
        <f>IF(H368,Wh_hp,'2019'!Maxi_hp)</f>
        <v>9.2439921132216334</v>
      </c>
      <c r="J368" s="85">
        <f>IF(H368,An,'2019'!An_max)</f>
        <v>2018</v>
      </c>
      <c r="K368" s="197">
        <f t="shared" si="124"/>
        <v>44184</v>
      </c>
      <c r="L368" s="147">
        <f>IF(t&lt;Tvie,1-EXP((T0-t)*PertePVj)+'2019'!Pspv,1-EXP((T0-t)*PertePVj)+Pspv)</f>
        <v>2.1128827617532542E-2</v>
      </c>
      <c r="M368" s="850"/>
      <c r="N368" s="850"/>
      <c r="O368" s="48">
        <f>IF(t&lt;Tnet,'2019'!Resal+('2019'!Salim-'2019'!Resal)*(1-EXP(('2019'!Tnet-t)/('2019'!Tau_j))),Resal+(Salim-Resal)*(1-EXP((Tnet-t)/(Tau_j))))*Salcycl</f>
        <v>0.10332041786747059</v>
      </c>
      <c r="P368" s="169">
        <f>(INDEX(Models!$BJ368:$BT368,,T368)*(1-R368)+INDEX(Models!$BJ368:$BT368,,T368+1)*R368-ERP_i)*Q368*Ramure*Pc/MaxiM</f>
        <v>2.9631783384449762E-2</v>
      </c>
      <c r="Q368" s="305">
        <f t="shared" si="125"/>
        <v>0.7</v>
      </c>
      <c r="R368" s="177">
        <f t="shared" si="126"/>
        <v>0.19999144086543974</v>
      </c>
      <c r="S368" s="817">
        <f t="shared" si="127"/>
        <v>-1</v>
      </c>
      <c r="T368" s="176">
        <f t="shared" si="128"/>
        <v>5</v>
      </c>
      <c r="U368" s="251">
        <f t="shared" si="129"/>
        <v>-0.80000855913456026</v>
      </c>
      <c r="V368" s="383">
        <f t="shared" si="130"/>
        <v>10.407568395176233</v>
      </c>
      <c r="W368" s="402"/>
      <c r="X368" s="157">
        <f t="shared" si="131"/>
        <v>44184</v>
      </c>
      <c r="Y368" s="385">
        <f t="shared" si="132"/>
        <v>4.91</v>
      </c>
      <c r="Z368" s="385">
        <f t="shared" si="133"/>
        <v>5.015981815104011</v>
      </c>
      <c r="AA368" s="386">
        <f t="shared" si="134"/>
        <v>5.5939511895372318</v>
      </c>
      <c r="AB368" s="197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0.10332041786747059</v>
      </c>
      <c r="AD368" s="231">
        <f>(INDEX(Models!$BJ368:$BT368,,AH368)*(1-AF368)+INDEX(Models!$BJ368:$BT368,,AH368+1)*AF368-ERP_i)*AE368*Ramure*Pc/MaxiM</f>
        <v>2.9631783384449762E-2</v>
      </c>
      <c r="AE368" s="305">
        <f t="shared" si="136"/>
        <v>0.7</v>
      </c>
      <c r="AF368" s="177">
        <f t="shared" si="137"/>
        <v>0.19999144086543974</v>
      </c>
      <c r="AG368" s="817">
        <f t="shared" si="143"/>
        <v>-1</v>
      </c>
      <c r="AH368" s="176">
        <f t="shared" si="138"/>
        <v>5</v>
      </c>
      <c r="AI368" s="225">
        <f t="shared" si="139"/>
        <v>-0.80000855913456026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2"/>
        <v>44185</v>
      </c>
      <c r="B369" s="617">
        <v>4.1790000000000003</v>
      </c>
      <c r="C369" s="390"/>
      <c r="D369" s="393">
        <f t="shared" si="122"/>
        <v>4.2692967682953258</v>
      </c>
      <c r="E369" s="385">
        <f t="shared" si="144"/>
        <v>4.7614440556274022</v>
      </c>
      <c r="F369" s="385">
        <f t="shared" si="123"/>
        <v>4.7813691414113153</v>
      </c>
      <c r="G369" s="110">
        <f t="shared" si="145"/>
        <v>0.38901785637438152</v>
      </c>
      <c r="H369" s="414" t="b">
        <f>Wh_hp&gt;='2019'!Maxi_hp</f>
        <v>0</v>
      </c>
      <c r="I369" s="380">
        <f>IF(H369,Wh_hp,'2019'!Maxi_hp)</f>
        <v>10.848973775920339</v>
      </c>
      <c r="J369" s="85">
        <f>IF(H369,An,'2019'!An_max)</f>
        <v>2019</v>
      </c>
      <c r="K369" s="197">
        <f t="shared" si="124"/>
        <v>44185</v>
      </c>
      <c r="L369" s="147">
        <f>IF(t&lt;Tvie,1-EXP((T0-t)*PertePVj)+'2019'!Pspv,1-EXP((T0-t)*PertePVj)+Pspv)</f>
        <v>2.1150267408414414E-2</v>
      </c>
      <c r="M369" s="850"/>
      <c r="N369" s="850"/>
      <c r="O369" s="48">
        <f>IF(t&lt;Tnet,'2019'!Resal+('2019'!Salim-'2019'!Resal)*(1-EXP(('2019'!Tnet-t)/('2019'!Tau_j))),Resal+(Salim-Resal)*(1-EXP((Tnet-t)/(Tau_j))))*Salcycl</f>
        <v>0.10336093033591845</v>
      </c>
      <c r="P369" s="169">
        <f>(INDEX(Models!$BJ369:$BT369,,T369)*(1-R369)+INDEX(Models!$BJ369:$BT369,,T369+1)*R369-ERP_i)*Q369*Ramure*Pc/MaxiM</f>
        <v>2.9423439734929318E-2</v>
      </c>
      <c r="Q369" s="305">
        <f t="shared" si="125"/>
        <v>0.7</v>
      </c>
      <c r="R369" s="177">
        <f t="shared" si="126"/>
        <v>0.19999578455708744</v>
      </c>
      <c r="S369" s="817">
        <f t="shared" si="127"/>
        <v>-1</v>
      </c>
      <c r="T369" s="176">
        <f t="shared" si="128"/>
        <v>5</v>
      </c>
      <c r="U369" s="251">
        <f t="shared" si="129"/>
        <v>-0.80000421544291256</v>
      </c>
      <c r="V369" s="383">
        <f t="shared" si="130"/>
        <v>10.469988914014163</v>
      </c>
      <c r="W369" s="402"/>
      <c r="X369" s="157">
        <f t="shared" si="131"/>
        <v>44185</v>
      </c>
      <c r="Y369" s="385">
        <f t="shared" si="132"/>
        <v>4.1790000000000003</v>
      </c>
      <c r="Z369" s="385">
        <f t="shared" si="133"/>
        <v>4.2692967682953258</v>
      </c>
      <c r="AA369" s="386">
        <f t="shared" si="134"/>
        <v>4.7614440556274022</v>
      </c>
      <c r="AB369" s="197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0.10336093033591845</v>
      </c>
      <c r="AD369" s="231">
        <f>(INDEX(Models!$BJ369:$BT369,,AH369)*(1-AF369)+INDEX(Models!$BJ369:$BT369,,AH369+1)*AF369-ERP_i)*AE369*Ramure*Pc/MaxiM</f>
        <v>2.9423439734929318E-2</v>
      </c>
      <c r="AE369" s="305">
        <f t="shared" si="136"/>
        <v>0.7</v>
      </c>
      <c r="AF369" s="177">
        <f t="shared" si="137"/>
        <v>0.19999578455708744</v>
      </c>
      <c r="AG369" s="817">
        <f t="shared" si="143"/>
        <v>-1</v>
      </c>
      <c r="AH369" s="176">
        <f t="shared" si="138"/>
        <v>5</v>
      </c>
      <c r="AI369" s="225">
        <f t="shared" si="139"/>
        <v>-0.80000421544291256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2"/>
        <v>44186</v>
      </c>
      <c r="B370" s="617">
        <v>5.1639999999999997</v>
      </c>
      <c r="C370" s="390"/>
      <c r="D370" s="393">
        <f t="shared" si="122"/>
        <v>5.2756954774436942</v>
      </c>
      <c r="E370" s="385">
        <f t="shared" si="144"/>
        <v>5.8841267098059316</v>
      </c>
      <c r="F370" s="385">
        <f t="shared" si="123"/>
        <v>5.9312186877116639</v>
      </c>
      <c r="G370" s="110">
        <f t="shared" si="145"/>
        <v>0.47958329759776336</v>
      </c>
      <c r="H370" s="414" t="b">
        <f>Wh_hp&gt;='2019'!Maxi_hp</f>
        <v>1</v>
      </c>
      <c r="I370" s="380">
        <f>IF(H370,Wh_hp,'2019'!Maxi_hp)</f>
        <v>5.9312186877116639</v>
      </c>
      <c r="J370" s="85">
        <f>IF(H370,An,'2019'!An_max)</f>
        <v>2020</v>
      </c>
      <c r="K370" s="197">
        <f t="shared" si="124"/>
        <v>44186</v>
      </c>
      <c r="L370" s="147">
        <f>IF(t&lt;Tvie,1-EXP((T0-t)*PertePVj)+'2019'!Pspv,1-EXP((T0-t)*PertePVj)+Pspv)</f>
        <v>2.1171706729709805E-2</v>
      </c>
      <c r="M370" s="850"/>
      <c r="N370" s="850"/>
      <c r="O370" s="48">
        <f>IF(t&lt;Tnet,'2019'!Resal+('2019'!Salim-'2019'!Resal)*(1-EXP(('2019'!Tnet-t)/('2019'!Tau_j))),Resal+(Salim-Resal)*(1-EXP((Tnet-t)/(Tau_j))))*Salcycl</f>
        <v>0.10340212955446448</v>
      </c>
      <c r="P370" s="169">
        <f>(INDEX(Models!$BJ370:$BT370,,T370)*(1-R370)+INDEX(Models!$BJ370:$BT370,,T370+1)*R370-ERP_i)*Q370*Ramure*Pc/MaxiM</f>
        <v>2.9235454091322676E-2</v>
      </c>
      <c r="Q370" s="305">
        <f t="shared" si="125"/>
        <v>0.7</v>
      </c>
      <c r="R370" s="177">
        <f t="shared" si="126"/>
        <v>0.19999995347722543</v>
      </c>
      <c r="S370" s="817">
        <f t="shared" si="127"/>
        <v>-1</v>
      </c>
      <c r="T370" s="176">
        <f t="shared" si="128"/>
        <v>5</v>
      </c>
      <c r="U370" s="251">
        <f t="shared" si="129"/>
        <v>-0.80000004652277457</v>
      </c>
      <c r="V370" s="383">
        <f t="shared" si="130"/>
        <v>10.536539787826467</v>
      </c>
      <c r="W370" s="402"/>
      <c r="X370" s="157">
        <f t="shared" si="131"/>
        <v>44186</v>
      </c>
      <c r="Y370" s="385">
        <f t="shared" si="132"/>
        <v>5.1639999999999997</v>
      </c>
      <c r="Z370" s="385">
        <f t="shared" si="133"/>
        <v>5.2756954774436942</v>
      </c>
      <c r="AA370" s="386">
        <f t="shared" si="134"/>
        <v>5.8841267098059316</v>
      </c>
      <c r="AB370" s="197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0.10340212955446448</v>
      </c>
      <c r="AD370" s="231">
        <f>(INDEX(Models!$BJ370:$BT370,,AH370)*(1-AF370)+INDEX(Models!$BJ370:$BT370,,AH370+1)*AF370-ERP_i)*AE370*Ramure*Pc/MaxiM</f>
        <v>2.9235454091322676E-2</v>
      </c>
      <c r="AE370" s="305">
        <f t="shared" si="136"/>
        <v>0.7</v>
      </c>
      <c r="AF370" s="177">
        <f t="shared" si="137"/>
        <v>0.19999995347722543</v>
      </c>
      <c r="AG370" s="817">
        <f t="shared" si="143"/>
        <v>-1</v>
      </c>
      <c r="AH370" s="176">
        <f t="shared" si="138"/>
        <v>5</v>
      </c>
      <c r="AI370" s="225">
        <f t="shared" si="139"/>
        <v>-0.80000004652277457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2"/>
        <v>44187</v>
      </c>
      <c r="B371" s="617">
        <v>10.048</v>
      </c>
      <c r="C371" s="390"/>
      <c r="D371" s="393">
        <f t="shared" si="122"/>
        <v>10.265559496892463</v>
      </c>
      <c r="E371" s="385">
        <f t="shared" si="144"/>
        <v>11.449991978423707</v>
      </c>
      <c r="F371" s="385">
        <f t="shared" si="123"/>
        <v>11.766325638958318</v>
      </c>
      <c r="G371" s="110">
        <f t="shared" si="145"/>
        <v>0.94524279111060838</v>
      </c>
      <c r="H371" s="414" t="b">
        <f>Wh_hp&gt;='2019'!Maxi_hp</f>
        <v>1</v>
      </c>
      <c r="I371" s="380">
        <f>IF(H371,Wh_hp,'2019'!Maxi_hp)</f>
        <v>11.766325638958318</v>
      </c>
      <c r="J371" s="85">
        <f>IF(H371,An,'2019'!An_max)</f>
        <v>2020</v>
      </c>
      <c r="K371" s="197">
        <f t="shared" si="124"/>
        <v>44187</v>
      </c>
      <c r="L371" s="147">
        <f>IF(t&lt;Tvie,1-EXP((T0-t)*PertePVj)+'2019'!Pspv,1-EXP((T0-t)*PertePVj)+Pspv)</f>
        <v>2.1193145581428929E-2</v>
      </c>
      <c r="M371" s="850"/>
      <c r="N371" s="850"/>
      <c r="O371" s="48">
        <f>IF(t&lt;Tnet,'2019'!Resal+('2019'!Salim-'2019'!Resal)*(1-EXP(('2019'!Tnet-t)/('2019'!Tau_j))),Resal+(Salim-Resal)*(1-EXP((Tnet-t)/(Tau_j))))*Salcycl</f>
        <v>0.10344395732007335</v>
      </c>
      <c r="P371" s="169">
        <f>(INDEX(Models!$BJ371:$BT371,,T371)*(1-R371)+INDEX(Models!$BJ371:$BT371,,T371+1)*R371-ERP_i)*Q371*Ramure*Pc/MaxiM</f>
        <v>2.9070305903069447E-2</v>
      </c>
      <c r="Q371" s="305">
        <f t="shared" si="125"/>
        <v>0.7</v>
      </c>
      <c r="R371" s="177">
        <f t="shared" si="126"/>
        <v>0.19999995347722543</v>
      </c>
      <c r="S371" s="817">
        <f t="shared" si="127"/>
        <v>-1</v>
      </c>
      <c r="T371" s="176">
        <f t="shared" si="128"/>
        <v>5</v>
      </c>
      <c r="U371" s="251">
        <f t="shared" si="129"/>
        <v>-0.80000004652277457</v>
      </c>
      <c r="V371" s="383">
        <f t="shared" si="130"/>
        <v>10.606197672322379</v>
      </c>
      <c r="W371" s="402"/>
      <c r="X371" s="157">
        <f t="shared" si="131"/>
        <v>44187</v>
      </c>
      <c r="Y371" s="385">
        <f t="shared" si="132"/>
        <v>10.048</v>
      </c>
      <c r="Z371" s="385">
        <f t="shared" si="133"/>
        <v>10.265559496892463</v>
      </c>
      <c r="AA371" s="386">
        <f t="shared" si="134"/>
        <v>11.449991978423707</v>
      </c>
      <c r="AB371" s="197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0.10344395732007335</v>
      </c>
      <c r="AD371" s="231">
        <f>(INDEX(Models!$BJ371:$BT371,,AH371)*(1-AF371)+INDEX(Models!$BJ371:$BT371,,AH371+1)*AF371-ERP_i)*AE371*Ramure*Pc/MaxiM</f>
        <v>2.9070305903069447E-2</v>
      </c>
      <c r="AE371" s="305">
        <f t="shared" si="136"/>
        <v>0.7</v>
      </c>
      <c r="AF371" s="177">
        <f t="shared" si="137"/>
        <v>0.19999995347722543</v>
      </c>
      <c r="AG371" s="817">
        <f t="shared" si="143"/>
        <v>-1</v>
      </c>
      <c r="AH371" s="176">
        <f t="shared" si="138"/>
        <v>5</v>
      </c>
      <c r="AI371" s="225">
        <f t="shared" si="139"/>
        <v>-0.80000004652277457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2"/>
        <v>44188</v>
      </c>
      <c r="B372" s="617">
        <v>6.375</v>
      </c>
      <c r="C372" s="390"/>
      <c r="D372" s="393">
        <f t="shared" si="122"/>
        <v>6.5131742826895627</v>
      </c>
      <c r="E372" s="385">
        <f t="shared" si="144"/>
        <v>7.2650029776005498</v>
      </c>
      <c r="F372" s="385">
        <f t="shared" si="123"/>
        <v>7.3552951276845722</v>
      </c>
      <c r="G372" s="110">
        <f t="shared" si="145"/>
        <v>0.58695856164964633</v>
      </c>
      <c r="H372" s="414" t="b">
        <f>Wh_hp&gt;='2019'!Maxi_hp</f>
        <v>0</v>
      </c>
      <c r="I372" s="380">
        <f>IF(H372,Wh_hp,'2019'!Maxi_hp)</f>
        <v>9.2563291557535248</v>
      </c>
      <c r="J372" s="85">
        <f>IF(H372,An,'2019'!An_max)</f>
        <v>2019</v>
      </c>
      <c r="K372" s="197">
        <f t="shared" si="124"/>
        <v>44188</v>
      </c>
      <c r="L372" s="147">
        <f>IF(t&lt;Tvie,1-EXP((T0-t)*PertePVj)+'2019'!Pspv,1-EXP((T0-t)*PertePVj)+Pspv)</f>
        <v>2.1214583963582334E-2</v>
      </c>
      <c r="M372" s="850"/>
      <c r="N372" s="850"/>
      <c r="O372" s="48">
        <f>IF(t&lt;Tnet,'2019'!Resal+('2019'!Salim-'2019'!Resal)*(1-EXP(('2019'!Tnet-t)/('2019'!Tau_j))),Resal+(Salim-Resal)*(1-EXP((Tnet-t)/(Tau_j))))*Salcycl</f>
        <v>0.10348635743564384</v>
      </c>
      <c r="P372" s="169">
        <f>(INDEX(Models!$BJ372:$BT372,,T372)*(1-R372)+INDEX(Models!$BJ372:$BT372,,T372+1)*R372-ERP_i)*Q372*Ramure*Pc/MaxiM</f>
        <v>2.8930397933063942E-2</v>
      </c>
      <c r="Q372" s="305">
        <f t="shared" si="125"/>
        <v>0.7</v>
      </c>
      <c r="R372" s="177">
        <f t="shared" si="126"/>
        <v>0.19999995347722543</v>
      </c>
      <c r="S372" s="817">
        <f t="shared" si="127"/>
        <v>-1</v>
      </c>
      <c r="T372" s="176">
        <f t="shared" si="128"/>
        <v>5</v>
      </c>
      <c r="U372" s="251">
        <f t="shared" si="129"/>
        <v>-0.80000004652277457</v>
      </c>
      <c r="V372" s="383">
        <f t="shared" si="130"/>
        <v>10.677938453310034</v>
      </c>
      <c r="W372" s="402"/>
      <c r="X372" s="157">
        <f t="shared" si="131"/>
        <v>44188</v>
      </c>
      <c r="Y372" s="385">
        <f t="shared" si="132"/>
        <v>6.375</v>
      </c>
      <c r="Z372" s="385">
        <f t="shared" si="133"/>
        <v>6.5131742826895627</v>
      </c>
      <c r="AA372" s="386">
        <f t="shared" si="134"/>
        <v>7.2650029776005498</v>
      </c>
      <c r="AB372" s="197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0.10348635743564384</v>
      </c>
      <c r="AD372" s="231">
        <f>(INDEX(Models!$BJ372:$BT372,,AH372)*(1-AF372)+INDEX(Models!$BJ372:$BT372,,AH372+1)*AF372-ERP_i)*AE372*Ramure*Pc/MaxiM</f>
        <v>2.8930397933063942E-2</v>
      </c>
      <c r="AE372" s="305">
        <f t="shared" si="136"/>
        <v>0.7</v>
      </c>
      <c r="AF372" s="177">
        <f t="shared" si="137"/>
        <v>0.19999995347722543</v>
      </c>
      <c r="AG372" s="817">
        <f t="shared" si="143"/>
        <v>-1</v>
      </c>
      <c r="AH372" s="176">
        <f t="shared" si="138"/>
        <v>5</v>
      </c>
      <c r="AI372" s="225">
        <f t="shared" si="139"/>
        <v>-0.80000004652277457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2"/>
        <v>44189</v>
      </c>
      <c r="B373" s="617">
        <v>6.17</v>
      </c>
      <c r="C373" s="390"/>
      <c r="D373" s="393">
        <f t="shared" si="122"/>
        <v>6.3038691021580036</v>
      </c>
      <c r="E373" s="385">
        <f t="shared" si="144"/>
        <v>7.0318739175047513</v>
      </c>
      <c r="F373" s="385">
        <f t="shared" si="123"/>
        <v>7.111995453134937</v>
      </c>
      <c r="G373" s="110">
        <f t="shared" si="145"/>
        <v>0.56355323767980292</v>
      </c>
      <c r="H373" s="414" t="b">
        <f>Wh_hp&gt;='2019'!Maxi_hp</f>
        <v>0</v>
      </c>
      <c r="I373" s="380">
        <f>IF(H373,Wh_hp,'2019'!Maxi_hp)</f>
        <v>7.2647215358617787</v>
      </c>
      <c r="J373" s="85">
        <f>IF(H373,An,'2019'!An_max)</f>
        <v>2018</v>
      </c>
      <c r="K373" s="197">
        <f t="shared" si="124"/>
        <v>44189</v>
      </c>
      <c r="L373" s="147">
        <f>IF(t&lt;Tvie,1-EXP((T0-t)*PertePVj)+'2019'!Pspv,1-EXP((T0-t)*PertePVj)+Pspv)</f>
        <v>2.1236021876180122E-2</v>
      </c>
      <c r="M373" s="850"/>
      <c r="N373" s="850"/>
      <c r="O373" s="48">
        <f>IF(t&lt;Tnet,'2019'!Resal+('2019'!Salim-'2019'!Resal)*(1-EXP(('2019'!Tnet-t)/('2019'!Tau_j))),Resal+(Salim-Resal)*(1-EXP((Tnet-t)/(Tau_j))))*Salcycl</f>
        <v>0.10352927596362242</v>
      </c>
      <c r="P373" s="169">
        <f>(INDEX(Models!$BJ373:$BT373,,T373)*(1-R373)+INDEX(Models!$BJ373:$BT373,,T373+1)*R373-ERP_i)*Q373*Ramure*Pc/MaxiM</f>
        <v>2.8809021063063794E-2</v>
      </c>
      <c r="Q373" s="305">
        <f t="shared" si="125"/>
        <v>0.7</v>
      </c>
      <c r="R373" s="177">
        <f t="shared" si="126"/>
        <v>0.19999995347722543</v>
      </c>
      <c r="S373" s="817">
        <f t="shared" si="127"/>
        <v>-1</v>
      </c>
      <c r="T373" s="176">
        <f t="shared" si="128"/>
        <v>5</v>
      </c>
      <c r="U373" s="251">
        <f t="shared" si="129"/>
        <v>-0.80000004652277457</v>
      </c>
      <c r="V373" s="383">
        <f t="shared" si="130"/>
        <v>10.754129198061239</v>
      </c>
      <c r="W373" s="402"/>
      <c r="X373" s="157">
        <f t="shared" si="131"/>
        <v>44189</v>
      </c>
      <c r="Y373" s="385">
        <f t="shared" si="132"/>
        <v>6.17</v>
      </c>
      <c r="Z373" s="385">
        <f t="shared" si="133"/>
        <v>6.3038691021580036</v>
      </c>
      <c r="AA373" s="386">
        <f t="shared" si="134"/>
        <v>7.0318739175047513</v>
      </c>
      <c r="AB373" s="197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0.10352927596362242</v>
      </c>
      <c r="AD373" s="231">
        <f>(INDEX(Models!$BJ373:$BT373,,AH373)*(1-AF373)+INDEX(Models!$BJ373:$BT373,,AH373+1)*AF373-ERP_i)*AE373*Ramure*Pc/MaxiM</f>
        <v>2.8809021063063794E-2</v>
      </c>
      <c r="AE373" s="305">
        <f t="shared" si="136"/>
        <v>0.7</v>
      </c>
      <c r="AF373" s="177">
        <f t="shared" si="137"/>
        <v>0.19999995347722543</v>
      </c>
      <c r="AG373" s="817">
        <f t="shared" si="143"/>
        <v>-1</v>
      </c>
      <c r="AH373" s="176">
        <f t="shared" si="138"/>
        <v>5</v>
      </c>
      <c r="AI373" s="225">
        <f t="shared" si="139"/>
        <v>-0.80000004652277457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2"/>
        <v>44190</v>
      </c>
      <c r="B374" s="617">
        <v>2.5619999999999998</v>
      </c>
      <c r="C374" s="390"/>
      <c r="D374" s="393">
        <f t="shared" si="122"/>
        <v>2.617644470851336</v>
      </c>
      <c r="E374" s="385">
        <f t="shared" si="144"/>
        <v>2.9200854974923969</v>
      </c>
      <c r="F374" s="385">
        <f t="shared" si="123"/>
        <v>2.9200854974923969</v>
      </c>
      <c r="G374" s="110">
        <f t="shared" si="145"/>
        <v>0.22961526665189294</v>
      </c>
      <c r="H374" s="414" t="b">
        <f>Wh_hp&gt;='2019'!Maxi_hp</f>
        <v>0</v>
      </c>
      <c r="I374" s="380">
        <f>IF(H374,Wh_hp,'2019'!Maxi_hp)</f>
        <v>12.958648457601393</v>
      </c>
      <c r="J374" s="85">
        <f>IF(H374,An,'2019'!An_max)</f>
        <v>2018</v>
      </c>
      <c r="K374" s="197">
        <f t="shared" si="124"/>
        <v>44190</v>
      </c>
      <c r="L374" s="147">
        <f>IF(t&lt;Tvie,1-EXP((T0-t)*PertePVj)+'2019'!Pspv,1-EXP((T0-t)*PertePVj)+Pspv)</f>
        <v>2.1257459319232508E-2</v>
      </c>
      <c r="M374" s="850"/>
      <c r="N374" s="850"/>
      <c r="O374" s="48">
        <f>IF(t&lt;Tnet,'2019'!Resal+('2019'!Salim-'2019'!Resal)*(1-EXP(('2019'!Tnet-t)/('2019'!Tau_j))),Resal+(Salim-Resal)*(1-EXP((Tnet-t)/(Tau_j))))*Salcycl</f>
        <v>0.10357266145144729</v>
      </c>
      <c r="P374" s="169">
        <f>(INDEX(Models!$BJ374:$BT374,,T374)*(1-R374)+INDEX(Models!$BJ374:$BT374,,T374+1)*R374-ERP_i)*Q374*Ramure*Pc/MaxiM</f>
        <v>2.869857892826316E-2</v>
      </c>
      <c r="Q374" s="305">
        <f t="shared" si="125"/>
        <v>0.7</v>
      </c>
      <c r="R374" s="177">
        <f t="shared" si="126"/>
        <v>0.19999995347722543</v>
      </c>
      <c r="S374" s="817">
        <f t="shared" si="127"/>
        <v>-1</v>
      </c>
      <c r="T374" s="176">
        <f t="shared" si="128"/>
        <v>5</v>
      </c>
      <c r="U374" s="251">
        <f t="shared" si="129"/>
        <v>-0.80000004652277457</v>
      </c>
      <c r="V374" s="383">
        <f t="shared" si="130"/>
        <v>10.837581825769576</v>
      </c>
      <c r="W374" s="402"/>
      <c r="X374" s="157">
        <f t="shared" si="131"/>
        <v>44190</v>
      </c>
      <c r="Y374" s="385">
        <f t="shared" si="132"/>
        <v>2.5619999999999998</v>
      </c>
      <c r="Z374" s="385">
        <f t="shared" si="133"/>
        <v>2.617644470851336</v>
      </c>
      <c r="AA374" s="386">
        <f t="shared" si="134"/>
        <v>2.9200854974923969</v>
      </c>
      <c r="AB374" s="197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0.10357266145144729</v>
      </c>
      <c r="AD374" s="231">
        <f>(INDEX(Models!$BJ374:$BT374,,AH374)*(1-AF374)+INDEX(Models!$BJ374:$BT374,,AH374+1)*AF374-ERP_i)*AE374*Ramure*Pc/MaxiM</f>
        <v>2.869857892826316E-2</v>
      </c>
      <c r="AE374" s="305">
        <f t="shared" si="136"/>
        <v>0.7</v>
      </c>
      <c r="AF374" s="177">
        <f t="shared" si="137"/>
        <v>0.19999995347722543</v>
      </c>
      <c r="AG374" s="817">
        <f t="shared" si="143"/>
        <v>-1</v>
      </c>
      <c r="AH374" s="176">
        <f t="shared" si="138"/>
        <v>5</v>
      </c>
      <c r="AI374" s="225">
        <f t="shared" si="139"/>
        <v>-0.80000004652277457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2"/>
        <v>44191</v>
      </c>
      <c r="B375" s="617">
        <v>8.5120000000000005</v>
      </c>
      <c r="C375" s="390"/>
      <c r="D375" s="393">
        <f t="shared" si="122"/>
        <v>8.6970639212312975</v>
      </c>
      <c r="E375" s="385">
        <f t="shared" si="144"/>
        <v>9.7023914238572431</v>
      </c>
      <c r="F375" s="385">
        <f t="shared" si="123"/>
        <v>9.8961965452542344</v>
      </c>
      <c r="G375" s="110">
        <f t="shared" si="145"/>
        <v>0.77175768161084768</v>
      </c>
      <c r="H375" s="414" t="b">
        <f>Wh_hp&gt;='2019'!Maxi_hp</f>
        <v>0</v>
      </c>
      <c r="I375" s="380">
        <f>IF(H375,Wh_hp,'2019'!Maxi_hp)</f>
        <v>13.195050919032267</v>
      </c>
      <c r="J375" s="85">
        <f>IF(H375,An,'2019'!An_max)</f>
        <v>2018</v>
      </c>
      <c r="K375" s="197">
        <f t="shared" si="124"/>
        <v>44191</v>
      </c>
      <c r="L375" s="147">
        <f>IF(t&lt;Tvie,1-EXP((T0-t)*PertePVj)+'2019'!Pspv,1-EXP((T0-t)*PertePVj)+Pspv)</f>
        <v>2.1278896292749927E-2</v>
      </c>
      <c r="M375" s="850"/>
      <c r="N375" s="850"/>
      <c r="O375" s="48">
        <f>IF(t&lt;Tnet,'2019'!Resal+('2019'!Salim-'2019'!Resal)*(1-EXP(('2019'!Tnet-t)/('2019'!Tau_j))),Resal+(Salim-Resal)*(1-EXP((Tnet-t)/(Tau_j))))*Salcycl</f>
        <v>0.10361646512775619</v>
      </c>
      <c r="P375" s="169">
        <f>(INDEX(Models!$BJ375:$BT375,,T375)*(1-R375)+INDEX(Models!$BJ375:$BT375,,T375+1)*R375-ERP_i)*Q375*Ramure*Pc/MaxiM</f>
        <v>2.8622958390374664E-2</v>
      </c>
      <c r="Q375" s="305">
        <f t="shared" si="125"/>
        <v>0.7</v>
      </c>
      <c r="R375" s="177">
        <f t="shared" si="126"/>
        <v>0.19999995347722543</v>
      </c>
      <c r="S375" s="817">
        <f t="shared" si="127"/>
        <v>-1</v>
      </c>
      <c r="T375" s="176">
        <f t="shared" si="128"/>
        <v>5</v>
      </c>
      <c r="U375" s="251">
        <f t="shared" si="129"/>
        <v>-0.80000004652277457</v>
      </c>
      <c r="V375" s="383">
        <f t="shared" si="130"/>
        <v>10.92768102234279</v>
      </c>
      <c r="W375" s="402"/>
      <c r="X375" s="157">
        <f t="shared" si="131"/>
        <v>44191</v>
      </c>
      <c r="Y375" s="385">
        <f t="shared" si="132"/>
        <v>8.5120000000000005</v>
      </c>
      <c r="Z375" s="385">
        <f t="shared" si="133"/>
        <v>8.6970639212312975</v>
      </c>
      <c r="AA375" s="386">
        <f t="shared" si="134"/>
        <v>9.7023914238572431</v>
      </c>
      <c r="AB375" s="197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0.10361646512775619</v>
      </c>
      <c r="AD375" s="231">
        <f>(INDEX(Models!$BJ375:$BT375,,AH375)*(1-AF375)+INDEX(Models!$BJ375:$BT375,,AH375+1)*AF375-ERP_i)*AE375*Ramure*Pc/MaxiM</f>
        <v>2.8622958390374664E-2</v>
      </c>
      <c r="AE375" s="305">
        <f t="shared" si="136"/>
        <v>0.7</v>
      </c>
      <c r="AF375" s="177">
        <f t="shared" si="137"/>
        <v>0.19999995347722543</v>
      </c>
      <c r="AG375" s="817">
        <f t="shared" si="143"/>
        <v>-1</v>
      </c>
      <c r="AH375" s="176">
        <f t="shared" si="138"/>
        <v>5</v>
      </c>
      <c r="AI375" s="225">
        <f t="shared" si="139"/>
        <v>-0.80000004652277457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2"/>
        <v>44192</v>
      </c>
      <c r="B376" s="617">
        <v>3.67</v>
      </c>
      <c r="C376" s="390"/>
      <c r="D376" s="393">
        <f t="shared" si="122"/>
        <v>3.7498735546599611</v>
      </c>
      <c r="E376" s="385">
        <f t="shared" si="144"/>
        <v>4.1835422234837107</v>
      </c>
      <c r="F376" s="385">
        <f t="shared" si="123"/>
        <v>4.189167722678377</v>
      </c>
      <c r="G376" s="110">
        <f t="shared" si="145"/>
        <v>0.32382745646485861</v>
      </c>
      <c r="H376" s="414" t="b">
        <f>Wh_hp&gt;='2019'!Maxi_hp</f>
        <v>1</v>
      </c>
      <c r="I376" s="380">
        <f>IF(H376,Wh_hp,'2019'!Maxi_hp)</f>
        <v>4.189167722678377</v>
      </c>
      <c r="J376" s="85">
        <f>IF(H376,An,'2019'!An_max)</f>
        <v>2020</v>
      </c>
      <c r="K376" s="197">
        <f t="shared" si="124"/>
        <v>44192</v>
      </c>
      <c r="L376" s="147">
        <f>IF(t&lt;Tvie,1-EXP((T0-t)*PertePVj)+'2019'!Pspv,1-EXP((T0-t)*PertePVj)+Pspv)</f>
        <v>2.1300332796742594E-2</v>
      </c>
      <c r="M376" s="850"/>
      <c r="N376" s="850"/>
      <c r="O376" s="48">
        <f>IF(t&lt;Tnet,'2019'!Resal+('2019'!Salim-'2019'!Resal)*(1-EXP(('2019'!Tnet-t)/('2019'!Tau_j))),Resal+(Salim-Resal)*(1-EXP((Tnet-t)/(Tau_j))))*Salcycl</f>
        <v>0.10366064106856936</v>
      </c>
      <c r="P376" s="169">
        <f>(INDEX(Models!$BJ376:$BT376,,T376)*(1-R376)+INDEX(Models!$BJ376:$BT376,,T376+1)*R376-ERP_i)*Q376*Ramure*Pc/MaxiM</f>
        <v>2.8568831732911051E-2</v>
      </c>
      <c r="Q376" s="305">
        <f t="shared" si="125"/>
        <v>0.7</v>
      </c>
      <c r="R376" s="177">
        <f t="shared" si="126"/>
        <v>0.19999995347722543</v>
      </c>
      <c r="S376" s="817">
        <f t="shared" si="127"/>
        <v>-1</v>
      </c>
      <c r="T376" s="176">
        <f t="shared" si="128"/>
        <v>5</v>
      </c>
      <c r="U376" s="251">
        <f t="shared" si="129"/>
        <v>-0.80000004652277457</v>
      </c>
      <c r="V376" s="383">
        <f t="shared" si="130"/>
        <v>11.024223804736117</v>
      </c>
      <c r="W376" s="402"/>
      <c r="X376" s="157">
        <f t="shared" si="131"/>
        <v>44192</v>
      </c>
      <c r="Y376" s="385">
        <f t="shared" si="132"/>
        <v>3.6700000000000004</v>
      </c>
      <c r="Z376" s="385">
        <f t="shared" si="133"/>
        <v>3.7498735546599615</v>
      </c>
      <c r="AA376" s="386">
        <f t="shared" si="134"/>
        <v>4.1835422234837107</v>
      </c>
      <c r="AB376" s="197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0.10366064106856936</v>
      </c>
      <c r="AD376" s="231">
        <f>(INDEX(Models!$BJ376:$BT376,,AH376)*(1-AF376)+INDEX(Models!$BJ376:$BT376,,AH376+1)*AF376-ERP_i)*AE376*Ramure*Pc/MaxiM</f>
        <v>2.8568831732911051E-2</v>
      </c>
      <c r="AE376" s="305">
        <f t="shared" si="136"/>
        <v>0.7</v>
      </c>
      <c r="AF376" s="177">
        <f t="shared" si="137"/>
        <v>0.19999995347722543</v>
      </c>
      <c r="AG376" s="817">
        <f t="shared" si="143"/>
        <v>-1</v>
      </c>
      <c r="AH376" s="176">
        <f t="shared" si="138"/>
        <v>5</v>
      </c>
      <c r="AI376" s="225">
        <f t="shared" si="139"/>
        <v>-0.80000004652277457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42"/>
        <v>44193</v>
      </c>
      <c r="B377" s="617">
        <v>4.9119999999999999</v>
      </c>
      <c r="C377" s="390"/>
      <c r="D377" s="393">
        <f t="shared" si="122"/>
        <v>5.0190142618518045</v>
      </c>
      <c r="E377" s="385">
        <f t="shared" si="144"/>
        <v>5.5997356688116975</v>
      </c>
      <c r="F377" s="385">
        <f t="shared" si="123"/>
        <v>5.6322143937523776</v>
      </c>
      <c r="G377" s="110">
        <f t="shared" si="145"/>
        <v>0.4313442955622489</v>
      </c>
      <c r="H377" s="414" t="b">
        <f>Wh_hp&gt;='2019'!Maxi_hp</f>
        <v>0</v>
      </c>
      <c r="I377" s="380">
        <f>IF(H377,Wh_hp,'2019'!Maxi_hp)</f>
        <v>12.09881611457118</v>
      </c>
      <c r="J377" s="85">
        <f>IF(H377,An,'2019'!An_max)</f>
        <v>2019</v>
      </c>
      <c r="K377" s="197">
        <f t="shared" si="124"/>
        <v>44193</v>
      </c>
      <c r="L377" s="147">
        <f>IF(t&lt;Tvie,1-EXP((T0-t)*PertePVj)+'2019'!Pspv,1-EXP((T0-t)*PertePVj)+Pspv)</f>
        <v>2.1321768831220833E-2</v>
      </c>
      <c r="M377" s="850"/>
      <c r="N377" s="850"/>
      <c r="O377" s="48">
        <f>IF(t&lt;Tnet,'2019'!Resal+('2019'!Salim-'2019'!Resal)*(1-EXP(('2019'!Tnet-t)/('2019'!Tau_j))),Resal+(Salim-Resal)*(1-EXP((Tnet-t)/(Tau_j))))*Salcycl</f>
        <v>0.10370514633293855</v>
      </c>
      <c r="P377" s="169">
        <f>(INDEX(Models!$BJ377:$BT377,,T377)*(1-R377)+INDEX(Models!$BJ377:$BT377,,T377+1)*R377-ERP_i)*Q377*Ramure*Pc/MaxiM</f>
        <v>2.8536526937959605E-2</v>
      </c>
      <c r="Q377" s="305">
        <f t="shared" si="125"/>
        <v>0.7</v>
      </c>
      <c r="R377" s="177">
        <f t="shared" si="126"/>
        <v>0.19999995347722543</v>
      </c>
      <c r="S377" s="817">
        <f t="shared" si="127"/>
        <v>-1</v>
      </c>
      <c r="T377" s="176">
        <f t="shared" si="128"/>
        <v>5</v>
      </c>
      <c r="U377" s="251">
        <f t="shared" si="129"/>
        <v>-0.80000004652277457</v>
      </c>
      <c r="V377" s="383">
        <f t="shared" si="130"/>
        <v>11.126854938685661</v>
      </c>
      <c r="W377" s="402"/>
      <c r="X377" s="157">
        <f t="shared" si="131"/>
        <v>44193</v>
      </c>
      <c r="Y377" s="385">
        <f t="shared" si="132"/>
        <v>4.9119999999999999</v>
      </c>
      <c r="Z377" s="385">
        <f t="shared" si="133"/>
        <v>5.0190142618518045</v>
      </c>
      <c r="AA377" s="386">
        <f t="shared" si="134"/>
        <v>5.5997356688116975</v>
      </c>
      <c r="AB377" s="197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0.10370514633293855</v>
      </c>
      <c r="AD377" s="231">
        <f>(INDEX(Models!$BJ377:$BT377,,AH377)*(1-AF377)+INDEX(Models!$BJ377:$BT377,,AH377+1)*AF377-ERP_i)*AE377*Ramure*Pc/MaxiM</f>
        <v>2.8536526937959605E-2</v>
      </c>
      <c r="AE377" s="305">
        <f t="shared" si="136"/>
        <v>0.7</v>
      </c>
      <c r="AF377" s="177">
        <f t="shared" si="137"/>
        <v>0.19999995347722543</v>
      </c>
      <c r="AG377" s="817">
        <f t="shared" si="143"/>
        <v>-1</v>
      </c>
      <c r="AH377" s="176">
        <f t="shared" si="138"/>
        <v>5</v>
      </c>
      <c r="AI377" s="225">
        <f t="shared" si="139"/>
        <v>-0.80000004652277457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2"/>
        <v>44194</v>
      </c>
      <c r="B378" s="617">
        <v>4.5609999999999999</v>
      </c>
      <c r="C378" s="390"/>
      <c r="D378" s="393">
        <f t="shared" si="122"/>
        <v>4.6604693499174905</v>
      </c>
      <c r="E378" s="385">
        <f t="shared" si="144"/>
        <v>5.1999654599411773</v>
      </c>
      <c r="F378" s="385">
        <f t="shared" si="123"/>
        <v>5.2225156843478251</v>
      </c>
      <c r="G378" s="110">
        <f t="shared" si="145"/>
        <v>0.3960854328138933</v>
      </c>
      <c r="H378" s="414" t="b">
        <f>Wh_hp&gt;='2019'!Maxi_hp</f>
        <v>0</v>
      </c>
      <c r="I378" s="380">
        <f>IF(H378,Wh_hp,'2019'!Maxi_hp)</f>
        <v>12.623938379603631</v>
      </c>
      <c r="J378" s="85">
        <f>IF(H378,An,'2019'!An_max)</f>
        <v>2019</v>
      </c>
      <c r="K378" s="197">
        <f t="shared" si="124"/>
        <v>44194</v>
      </c>
      <c r="L378" s="147">
        <f>IF(t&lt;Tvie,1-EXP((T0-t)*PertePVj)+'2019'!Pspv,1-EXP((T0-t)*PertePVj)+Pspv)</f>
        <v>2.134320439619497E-2</v>
      </c>
      <c r="M378" s="850"/>
      <c r="N378" s="850"/>
      <c r="O378" s="48">
        <f>IF(t&lt;Tnet,'2019'!Resal+('2019'!Salim-'2019'!Resal)*(1-EXP(('2019'!Tnet-t)/('2019'!Tau_j))),Resal+(Salim-Resal)*(1-EXP((Tnet-t)/(Tau_j))))*Salcycl</f>
        <v>0.10374994106783725</v>
      </c>
      <c r="P378" s="169">
        <f>(INDEX(Models!$BJ378:$BT378,,T378)*(1-R378)+INDEX(Models!$BJ378:$BT378,,T378+1)*R378-ERP_i)*Q378*Ramure*Pc/MaxiM</f>
        <v>2.852628974858952E-2</v>
      </c>
      <c r="Q378" s="305">
        <f t="shared" si="125"/>
        <v>0.7</v>
      </c>
      <c r="R378" s="177">
        <f t="shared" si="126"/>
        <v>0.19999995347722543</v>
      </c>
      <c r="S378" s="817">
        <f t="shared" si="127"/>
        <v>-1</v>
      </c>
      <c r="T378" s="176">
        <f t="shared" si="128"/>
        <v>5</v>
      </c>
      <c r="U378" s="251">
        <f t="shared" si="129"/>
        <v>-0.80000004652277457</v>
      </c>
      <c r="V378" s="383">
        <f t="shared" si="130"/>
        <v>11.235219158401623</v>
      </c>
      <c r="W378" s="402"/>
      <c r="X378" s="157">
        <f t="shared" si="131"/>
        <v>44194</v>
      </c>
      <c r="Y378" s="385">
        <f t="shared" si="132"/>
        <v>4.5609999999999999</v>
      </c>
      <c r="Z378" s="385">
        <f t="shared" si="133"/>
        <v>4.6604693499174905</v>
      </c>
      <c r="AA378" s="386">
        <f t="shared" si="134"/>
        <v>5.1999654599411773</v>
      </c>
      <c r="AB378" s="197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0.10374994106783725</v>
      </c>
      <c r="AD378" s="231">
        <f>(INDEX(Models!$BJ378:$BT378,,AH378)*(1-AF378)+INDEX(Models!$BJ378:$BT378,,AH378+1)*AF378-ERP_i)*AE378*Ramure*Pc/MaxiM</f>
        <v>2.852628974858952E-2</v>
      </c>
      <c r="AE378" s="305">
        <f t="shared" si="136"/>
        <v>0.7</v>
      </c>
      <c r="AF378" s="177">
        <f t="shared" si="137"/>
        <v>0.19999995347722543</v>
      </c>
      <c r="AG378" s="817">
        <f t="shared" si="143"/>
        <v>-1</v>
      </c>
      <c r="AH378" s="176">
        <f t="shared" si="138"/>
        <v>5</v>
      </c>
      <c r="AI378" s="225">
        <f t="shared" si="139"/>
        <v>-0.80000004652277457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44195</v>
      </c>
      <c r="B379" s="617">
        <v>4.93</v>
      </c>
      <c r="C379" s="390"/>
      <c r="D379" s="393">
        <f t="shared" si="122"/>
        <v>5.0376270865986781</v>
      </c>
      <c r="E379" s="385">
        <f t="shared" si="144"/>
        <v>5.6210655178438902</v>
      </c>
      <c r="F379" s="385">
        <f t="shared" si="123"/>
        <v>5.652035236810101</v>
      </c>
      <c r="G379" s="110">
        <f t="shared" si="145"/>
        <v>0.42432899539426744</v>
      </c>
      <c r="H379" s="414" t="b">
        <f>Wh_hp&gt;='2019'!Maxi_hp</f>
        <v>0</v>
      </c>
      <c r="I379" s="380">
        <f>IF(H379,Wh_hp,'2019'!Maxi_hp)</f>
        <v>10.610552702767615</v>
      </c>
      <c r="J379" s="85">
        <f>IF(H379,An,'2019'!An_max)</f>
        <v>2019</v>
      </c>
      <c r="K379" s="197">
        <f t="shared" si="124"/>
        <v>44195</v>
      </c>
      <c r="L379" s="147">
        <f>IF(t&lt;Tvie,1-EXP((T0-t)*PertePVj)+'2019'!Pspv,1-EXP((T0-t)*PertePVj)+Pspv)</f>
        <v>2.1364639491675108E-2</v>
      </c>
      <c r="M379" s="850"/>
      <c r="N379" s="850"/>
      <c r="O379" s="48">
        <f>IF(t&lt;Tnet,'2019'!Resal+('2019'!Salim-'2019'!Resal)*(1-EXP(('2019'!Tnet-t)/('2019'!Tau_j))),Resal+(Salim-Resal)*(1-EXP((Tnet-t)/(Tau_j))))*Salcycl</f>
        <v>0.10379498858234359</v>
      </c>
      <c r="P379" s="169">
        <f>(INDEX(Models!$BJ379:$BT379,,T379)*(1-R379)+INDEX(Models!$BJ379:$BT379,,T379+1)*R379-ERP_i)*Q379*Ramure*Pc/MaxiM</f>
        <v>2.8538291395385714E-2</v>
      </c>
      <c r="Q379" s="306">
        <f t="shared" si="125"/>
        <v>0.7</v>
      </c>
      <c r="R379" s="177">
        <f t="shared" si="126"/>
        <v>0.19999995347722543</v>
      </c>
      <c r="S379" s="817">
        <f t="shared" si="127"/>
        <v>-1</v>
      </c>
      <c r="T379" s="176">
        <f t="shared" si="128"/>
        <v>5</v>
      </c>
      <c r="U379" s="307">
        <f t="shared" si="129"/>
        <v>-0.80000004652277457</v>
      </c>
      <c r="V379" s="383">
        <f t="shared" si="130"/>
        <v>11.348961181017982</v>
      </c>
      <c r="W379" s="402"/>
      <c r="X379" s="157">
        <f t="shared" si="131"/>
        <v>44195</v>
      </c>
      <c r="Y379" s="385">
        <f t="shared" si="132"/>
        <v>4.93</v>
      </c>
      <c r="Z379" s="385">
        <f t="shared" si="133"/>
        <v>5.0376270865986781</v>
      </c>
      <c r="AA379" s="386">
        <f t="shared" si="134"/>
        <v>5.6210655178438902</v>
      </c>
      <c r="AB379" s="197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0.10379498858234359</v>
      </c>
      <c r="AD379" s="231">
        <f>(INDEX(Models!$BJ379:$BT379,,AH379)*(1-AF379)+INDEX(Models!$BJ379:$BT379,,AH379+1)*AF379-ERP_i)*AE379*Ramure*Pc/MaxiM</f>
        <v>2.8538291395385714E-2</v>
      </c>
      <c r="AE379" s="306">
        <f t="shared" si="136"/>
        <v>0.7</v>
      </c>
      <c r="AF379" s="177">
        <f t="shared" si="137"/>
        <v>0.19999995347722543</v>
      </c>
      <c r="AG379" s="817">
        <f t="shared" si="143"/>
        <v>-1</v>
      </c>
      <c r="AH379" s="176">
        <f t="shared" si="138"/>
        <v>5</v>
      </c>
      <c r="AI379" s="222">
        <f t="shared" si="139"/>
        <v>-0.80000004652277457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1.25" customHeight="1" thickBot="1" x14ac:dyDescent="0.25">
      <c r="A380" s="56">
        <f t="shared" si="142"/>
        <v>44196</v>
      </c>
      <c r="B380" s="618">
        <v>8.4670000000000005</v>
      </c>
      <c r="C380" s="390"/>
      <c r="D380" s="393">
        <f t="shared" si="122"/>
        <v>8.6520330194219</v>
      </c>
      <c r="E380" s="385">
        <f t="shared" si="144"/>
        <v>9.6545655743565373</v>
      </c>
      <c r="F380" s="385">
        <f t="shared" si="123"/>
        <v>9.8304510021791351</v>
      </c>
      <c r="G380" s="110">
        <f t="shared" si="145"/>
        <v>0.73030336402452734</v>
      </c>
      <c r="H380" s="414" t="b">
        <f>Wh_hp&gt;='2019'!Maxi_hp</f>
        <v>1</v>
      </c>
      <c r="I380" s="381">
        <f>IF(H380,Wh_hp,'2019'!Maxi_hp)</f>
        <v>9.8304510021791351</v>
      </c>
      <c r="J380" s="128">
        <f>IF(H380,An,'2019'!An_max)</f>
        <v>2020</v>
      </c>
      <c r="K380" s="234">
        <f t="shared" si="124"/>
        <v>44196</v>
      </c>
      <c r="L380" s="147">
        <f>IF(t&lt;Tvie,1-EXP((T0-t)*PertePVj)+'2019'!Pspv,1-EXP((T0-t)*PertePVj)+Pspv)</f>
        <v>2.1386074117671683E-2</v>
      </c>
      <c r="M380" s="850"/>
      <c r="N380" s="850"/>
      <c r="O380" s="324">
        <f>IF(t&lt;Tnet,'2019'!Resal+('2019'!Salim-'2019'!Resal)*(1-EXP(('2019'!Tnet-t)/('2019'!Tau_j))),Resal+(Salim-Resal)*(1-EXP((Tnet-t)/(Tau_j))))*Salcycl</f>
        <v>0.10384025539144512</v>
      </c>
      <c r="P380" s="231">
        <f>(INDEX(Models!$BJ380:$BT380,,T380)*(1-R380)+INDEX(Models!$BJ380:$BT380,,T380+1)*R380-ERP_i)*Q380*Ramure*Pc/MaxiM</f>
        <v>2.8572636633614382E-2</v>
      </c>
      <c r="Q380" s="328">
        <f t="shared" si="125"/>
        <v>0.7</v>
      </c>
      <c r="R380" s="314">
        <f>(Hp_vg-S380)/(INDEX(Echel_vg,T380+1)-S380)</f>
        <v>0.19999995347722543</v>
      </c>
      <c r="S380" s="818">
        <f>INDEX(Echel_vg,T380)</f>
        <v>-1</v>
      </c>
      <c r="T380" s="233">
        <f t="shared" si="128"/>
        <v>5</v>
      </c>
      <c r="U380" s="301">
        <f t="shared" si="129"/>
        <v>-0.80000004652277457</v>
      </c>
      <c r="V380" s="383">
        <f t="shared" si="130"/>
        <v>11.467725728696129</v>
      </c>
      <c r="W380" s="402"/>
      <c r="X380" s="326">
        <f t="shared" si="131"/>
        <v>44196</v>
      </c>
      <c r="Y380" s="398">
        <f t="shared" si="132"/>
        <v>8.4670000000000005</v>
      </c>
      <c r="Z380" s="398">
        <f t="shared" si="133"/>
        <v>8.6520330194219</v>
      </c>
      <c r="AA380" s="399">
        <f t="shared" si="134"/>
        <v>9.6545655743565373</v>
      </c>
      <c r="AB380" s="198">
        <f t="shared" si="135"/>
        <v>44196</v>
      </c>
      <c r="AC380" s="327">
        <f>IF(OR(t&lt;Tnet,NoTnet),'2019'!Resal_s+('2019'!Salim-'2019'!Resal_s)*(1-EXP(('2019'!Tnet_s-t)/'2019'!Tau_j)),Resal_s+(Salim-Resal_s)*(1-EXP((Tnet_s-t)/Tau_j)))*Salcycl</f>
        <v>0.10384025539144512</v>
      </c>
      <c r="AD380" s="819">
        <f>(INDEX(Models!$BJ380:$BT380,,AH380)*(1-AF380)+INDEX(Models!$BJ380:$BT380,,AH380+1)*AF380-ERP_i)*AE380*Ramure*Pc/MaxiM</f>
        <v>2.8572636633614382E-2</v>
      </c>
      <c r="AE380" s="328">
        <f t="shared" si="136"/>
        <v>0.7</v>
      </c>
      <c r="AF380" s="314">
        <f>(Hp_vg_s-AG380)/(INDEX(Echel_vg,AH380+1)-AG380)</f>
        <v>0.19999995347722543</v>
      </c>
      <c r="AG380" s="818">
        <f>INDEX(Echel_vg,AH380)</f>
        <v>-1</v>
      </c>
      <c r="AH380" s="233">
        <f t="shared" si="138"/>
        <v>5</v>
      </c>
      <c r="AI380" s="227">
        <f t="shared" si="139"/>
        <v>-0.80000004652277457</v>
      </c>
      <c r="AJ380" s="265" t="b">
        <f t="shared" si="140"/>
        <v>0</v>
      </c>
      <c r="AK380" s="265" t="b">
        <f t="shared" si="141"/>
        <v>0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0.74</v>
      </c>
      <c r="C381" s="375"/>
      <c r="D381" s="373">
        <f>MIN(D15:D380)</f>
        <v>0.75569138703701744</v>
      </c>
      <c r="E381" s="373">
        <f>MIN(E15:E380)</f>
        <v>0.84227383533389422</v>
      </c>
      <c r="F381" s="374">
        <f>MIN(F15:F380)</f>
        <v>0.84227383533389422</v>
      </c>
      <c r="G381" s="125">
        <f>+MIN(G15:G380)</f>
        <v>4.8983564161861032E-2</v>
      </c>
      <c r="H381" s="94"/>
      <c r="I381" s="374">
        <f>MIN(I15:I380)</f>
        <v>4.189167722678377</v>
      </c>
      <c r="J381" s="57">
        <f>MIN(J15:J380)</f>
        <v>2018</v>
      </c>
      <c r="K381" s="200" t="s">
        <v>7</v>
      </c>
      <c r="L381" s="146">
        <f t="shared" ref="L381:T381" si="146">MIN(L15:L380)</f>
        <v>1.3531165013053625E-2</v>
      </c>
      <c r="M381" s="852"/>
      <c r="N381" s="852"/>
      <c r="O381" s="47">
        <f t="shared" si="146"/>
        <v>8.0330684216889228E-2</v>
      </c>
      <c r="P381" s="168">
        <f t="shared" si="146"/>
        <v>0</v>
      </c>
      <c r="Q381" s="310">
        <f t="shared" si="146"/>
        <v>0.7</v>
      </c>
      <c r="R381" s="311">
        <f t="shared" si="146"/>
        <v>2.1468344752305635E-3</v>
      </c>
      <c r="S381" s="817">
        <f t="shared" si="146"/>
        <v>-2</v>
      </c>
      <c r="T381" s="176">
        <f t="shared" si="146"/>
        <v>4</v>
      </c>
      <c r="U381" s="252">
        <f>+MIN(U15:U380)</f>
        <v>-1.0999993445568721</v>
      </c>
      <c r="V381" s="373">
        <f>MIN(V15:V380)</f>
        <v>10.170614393475276</v>
      </c>
      <c r="W381" s="810" t="s">
        <v>40</v>
      </c>
      <c r="X381" s="112" t="s">
        <v>7</v>
      </c>
      <c r="Y381" s="375">
        <f>MIN(Y15:Y380)</f>
        <v>0.74</v>
      </c>
      <c r="Z381" s="375">
        <f>MIN(Z15:Z380)</f>
        <v>0.75569138703701744</v>
      </c>
      <c r="AA381" s="375">
        <f>MIN(AA15:AA380)</f>
        <v>0.84227383533389422</v>
      </c>
      <c r="AB381" s="200" t="s">
        <v>7</v>
      </c>
      <c r="AC381" s="48">
        <f t="shared" ref="AC381:AH381" si="147">MIN(AC15:AC380)</f>
        <v>8.0330684216889228E-2</v>
      </c>
      <c r="AD381" s="169">
        <f t="shared" si="147"/>
        <v>0</v>
      </c>
      <c r="AE381" s="310">
        <f t="shared" si="147"/>
        <v>0.7</v>
      </c>
      <c r="AF381" s="311">
        <f t="shared" si="147"/>
        <v>2.1468344752305635E-3</v>
      </c>
      <c r="AG381" s="817">
        <f t="shared" si="147"/>
        <v>-2</v>
      </c>
      <c r="AH381" s="176">
        <f t="shared" si="147"/>
        <v>4</v>
      </c>
      <c r="AI381" s="225">
        <f>MIN(AI15:AI380)</f>
        <v>-1.0999993445568721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19.262718579234974</v>
      </c>
      <c r="C382" s="375"/>
      <c r="D382" s="375">
        <f>AVERAGE(D15:D380)</f>
        <v>19.600991451397444</v>
      </c>
      <c r="E382" s="375">
        <f>AVERAGE(E15:E380)</f>
        <v>21.663828612897177</v>
      </c>
      <c r="F382" s="376">
        <f>AVERAGE(F15:F380)</f>
        <v>21.728798077533956</v>
      </c>
      <c r="G382" s="126">
        <f>AVERAGE(G15:G380)</f>
        <v>0.68327817128432489</v>
      </c>
      <c r="H382" s="94"/>
      <c r="I382" s="376">
        <f>AVERAGE(I15:I380)</f>
        <v>27.00280441468551</v>
      </c>
      <c r="J382" s="59">
        <f>AVERAGE(J15:J380)</f>
        <v>2019.1912568306011</v>
      </c>
      <c r="K382" s="200" t="s">
        <v>8</v>
      </c>
      <c r="L382" s="147">
        <f t="shared" ref="L382:V382" si="148">AVERAGE(L15:L380)</f>
        <v>1.7463838244565835E-2</v>
      </c>
      <c r="M382" s="850"/>
      <c r="N382" s="850"/>
      <c r="O382" s="48">
        <f t="shared" si="148"/>
        <v>9.5100471804352396E-2</v>
      </c>
      <c r="P382" s="169">
        <f t="shared" si="148"/>
        <v>9.3694883481595225E-3</v>
      </c>
      <c r="Q382" s="312">
        <f t="shared" si="148"/>
        <v>0.69999999999999529</v>
      </c>
      <c r="R382" s="177">
        <f t="shared" si="148"/>
        <v>0.46173431576812285</v>
      </c>
      <c r="S382" s="817">
        <f t="shared" si="148"/>
        <v>-1.3934426229508197</v>
      </c>
      <c r="T382" s="176">
        <f t="shared" si="148"/>
        <v>4.6065573770491799</v>
      </c>
      <c r="U382" s="251">
        <f t="shared" si="148"/>
        <v>-0.93170830718269582</v>
      </c>
      <c r="V382" s="375">
        <f t="shared" si="148"/>
        <v>27.273060213881859</v>
      </c>
      <c r="X382" s="112" t="s">
        <v>8</v>
      </c>
      <c r="Y382" s="375">
        <f>AVERAGE(Y15:Y380)</f>
        <v>19.262718579234974</v>
      </c>
      <c r="Z382" s="375">
        <f>AVERAGE(Z15:Z380)</f>
        <v>19.600991451397444</v>
      </c>
      <c r="AA382" s="375">
        <f>AVERAGE(AA15:AA380)</f>
        <v>21.663828612897177</v>
      </c>
      <c r="AB382" s="200" t="s">
        <v>8</v>
      </c>
      <c r="AC382" s="48">
        <f t="shared" ref="AC382:AH382" si="149">AVERAGE(AC15:AC380)</f>
        <v>9.5100471804352396E-2</v>
      </c>
      <c r="AD382" s="169">
        <f t="shared" si="149"/>
        <v>9.3694883481595225E-3</v>
      </c>
      <c r="AE382" s="312">
        <f t="shared" si="149"/>
        <v>0.69999999999999529</v>
      </c>
      <c r="AF382" s="177">
        <f t="shared" si="149"/>
        <v>0.46173431576812285</v>
      </c>
      <c r="AG382" s="817">
        <f t="shared" si="149"/>
        <v>-1.3934426229508197</v>
      </c>
      <c r="AH382" s="176">
        <f t="shared" si="149"/>
        <v>4.6065573770491799</v>
      </c>
      <c r="AI382" s="225">
        <f>AVERAGE(AI15:AI380)</f>
        <v>-0.93170830718269582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40.073</v>
      </c>
      <c r="C383" s="377"/>
      <c r="D383" s="377">
        <f>MAX(D15:D380)</f>
        <v>40.744750968628146</v>
      </c>
      <c r="E383" s="377">
        <f>MAX(E15:E380)</f>
        <v>44.898392288883365</v>
      </c>
      <c r="F383" s="378">
        <f>MAX(F15:F380)</f>
        <v>44.898392288883365</v>
      </c>
      <c r="G383" s="127">
        <f>+MAX(G15:G380)</f>
        <v>1.0439883677763544</v>
      </c>
      <c r="H383" s="94"/>
      <c r="I383" s="378">
        <f>MAX(I15:I380)</f>
        <v>45.292153927540518</v>
      </c>
      <c r="J383" s="60">
        <f>MAX(J15:J380)</f>
        <v>2020</v>
      </c>
      <c r="K383" s="200" t="s">
        <v>9</v>
      </c>
      <c r="L383" s="148">
        <f t="shared" ref="L383:T383" si="150">MAX(L15:L380)</f>
        <v>2.1386074117671683E-2</v>
      </c>
      <c r="M383" s="853"/>
      <c r="N383" s="853"/>
      <c r="O383" s="49">
        <f t="shared" si="150"/>
        <v>0.10384025539144512</v>
      </c>
      <c r="P383" s="170">
        <f t="shared" si="150"/>
        <v>3.4822512988319551E-2</v>
      </c>
      <c r="Q383" s="313">
        <f t="shared" si="150"/>
        <v>0.7</v>
      </c>
      <c r="R383" s="314">
        <f t="shared" si="150"/>
        <v>0.99938877465592579</v>
      </c>
      <c r="S383" s="818">
        <f t="shared" si="150"/>
        <v>-1</v>
      </c>
      <c r="T383" s="233">
        <f t="shared" si="150"/>
        <v>5</v>
      </c>
      <c r="U383" s="253">
        <f>+MAX(U15:U380)</f>
        <v>-0.80000004652277457</v>
      </c>
      <c r="V383" s="377">
        <f>MAX(V15:V380)</f>
        <v>38.847914274671226</v>
      </c>
      <c r="X383" s="112" t="s">
        <v>9</v>
      </c>
      <c r="Y383" s="377">
        <f>MAX(Y15:Y380)</f>
        <v>40.073</v>
      </c>
      <c r="Z383" s="377">
        <f>MAX(Z15:Z380)</f>
        <v>40.744750968628146</v>
      </c>
      <c r="AA383" s="377">
        <f>MAX(AA15:AA380)</f>
        <v>44.898392288883365</v>
      </c>
      <c r="AB383" s="200" t="s">
        <v>9</v>
      </c>
      <c r="AC383" s="49">
        <f t="shared" ref="AC383:AH383" si="151">MAX(AC15:AC380)</f>
        <v>0.10384025539144512</v>
      </c>
      <c r="AD383" s="170">
        <f t="shared" si="151"/>
        <v>3.4822512988319551E-2</v>
      </c>
      <c r="AE383" s="313">
        <f t="shared" si="151"/>
        <v>0.7</v>
      </c>
      <c r="AF383" s="314">
        <f t="shared" si="151"/>
        <v>0.99938877465592579</v>
      </c>
      <c r="AG383" s="818">
        <f t="shared" si="151"/>
        <v>-1</v>
      </c>
      <c r="AH383" s="233">
        <f t="shared" si="151"/>
        <v>5</v>
      </c>
      <c r="AI383" s="227">
        <f>MAX(AI15:AI380)</f>
        <v>-0.80000004652277457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65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67</v>
      </c>
      <c r="H384" s="404"/>
      <c r="I384" s="405" t="s">
        <v>6</v>
      </c>
      <c r="J384" s="405" t="s">
        <v>113</v>
      </c>
      <c r="K384" s="406"/>
      <c r="L384" s="405" t="s">
        <v>66</v>
      </c>
      <c r="M384" s="407"/>
      <c r="N384" s="407"/>
      <c r="O384" s="407" t="s">
        <v>66</v>
      </c>
      <c r="P384" s="407" t="s">
        <v>66</v>
      </c>
      <c r="Q384" s="405" t="s">
        <v>66</v>
      </c>
      <c r="R384" s="405" t="s">
        <v>67</v>
      </c>
      <c r="S384" s="405" t="s">
        <v>81</v>
      </c>
      <c r="T384" s="405" t="s">
        <v>67</v>
      </c>
      <c r="U384" s="408" t="s">
        <v>81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66</v>
      </c>
      <c r="AD384" s="405" t="s">
        <v>66</v>
      </c>
      <c r="AE384" s="405" t="s">
        <v>66</v>
      </c>
      <c r="AF384" s="405" t="s">
        <v>67</v>
      </c>
      <c r="AG384" s="405" t="s">
        <v>81</v>
      </c>
      <c r="AH384" s="405" t="s">
        <v>67</v>
      </c>
      <c r="AI384" s="408" t="s">
        <v>81</v>
      </c>
      <c r="AJ384" s="835"/>
      <c r="AK384" s="835"/>
      <c r="AL384" s="835"/>
      <c r="AM384" s="835"/>
      <c r="AN384" s="404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6" priority="4" stopIfTrue="1" operator="lessThan">
      <formula>0.01</formula>
    </cfRule>
    <cfRule type="cellIs" dxfId="15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39">
        <f>'2020'!An+1</f>
        <v>2021</v>
      </c>
      <c r="K1" s="1240"/>
      <c r="L1" s="113" t="str">
        <f>"Calcul pertes et enveloppes en "&amp;TEXT(An,0)</f>
        <v>Calcul pertes et enveloppes en 2021</v>
      </c>
      <c r="M1" s="243"/>
      <c r="N1" s="243"/>
      <c r="V1" s="458"/>
      <c r="W1" s="456"/>
      <c r="X1" s="486" t="str">
        <f>"Prévision sans nettoyage ni taille végétation en "&amp;TEXT(An,0)</f>
        <v>Prévision sans nettoyage ni taille végétation en 2021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4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91"/>
      <c r="R2" s="18"/>
      <c r="S2" s="494"/>
      <c r="T2" s="494"/>
      <c r="U2" s="294" t="s">
        <v>75</v>
      </c>
      <c r="V2" s="495">
        <f>PertePVan</f>
        <v>8.0000000000000002E-3</v>
      </c>
      <c r="W2" s="451" t="s">
        <v>14</v>
      </c>
      <c r="X2" s="496"/>
      <c r="Y2" s="497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40" t="s">
        <v>272</v>
      </c>
      <c r="AK2" s="840" t="s">
        <v>274</v>
      </c>
      <c r="AL2" s="840" t="s">
        <v>273</v>
      </c>
      <c r="AM2" s="840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49">
        <f>Tmaj</f>
        <v>44926</v>
      </c>
      <c r="F3" s="1249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51"/>
      <c r="U3" s="209" t="s">
        <v>164</v>
      </c>
      <c r="V3" s="634">
        <f>Salim_i</f>
        <v>0.14000000000000001</v>
      </c>
      <c r="W3" s="451"/>
      <c r="X3" s="501" t="s">
        <v>92</v>
      </c>
      <c r="Y3" s="502"/>
      <c r="Z3" s="503"/>
      <c r="AA3" s="497"/>
      <c r="AB3" s="497"/>
      <c r="AC3" s="429"/>
      <c r="AD3" s="429"/>
      <c r="AE3" s="429"/>
      <c r="AF3" s="429"/>
      <c r="AG3" s="429"/>
      <c r="AH3" s="429"/>
      <c r="AI3" s="429"/>
      <c r="AJ3" s="838">
        <f>AL11-AJ11</f>
        <v>0</v>
      </c>
      <c r="AK3" s="839">
        <f>AM11-AK11</f>
        <v>0</v>
      </c>
      <c r="AL3" s="838"/>
      <c r="AM3" s="839"/>
      <c r="AN3" s="837" t="s">
        <v>281</v>
      </c>
    </row>
    <row r="4" spans="1:40" s="19" customFormat="1" ht="16.5" customHeight="1" x14ac:dyDescent="0.3">
      <c r="A4" s="35"/>
      <c r="B4" s="28"/>
      <c r="C4" s="28"/>
      <c r="D4" s="83" t="s">
        <v>128</v>
      </c>
      <c r="E4" s="1188" t="str">
        <f>Station</f>
        <v>Donneville</v>
      </c>
      <c r="F4" s="1189"/>
      <c r="G4" s="1189"/>
      <c r="H4" s="1189"/>
      <c r="I4" s="1190"/>
      <c r="J4" s="158"/>
      <c r="K4" s="191"/>
      <c r="L4" s="505"/>
      <c r="M4" s="504"/>
      <c r="N4" s="504"/>
      <c r="O4" s="429"/>
      <c r="P4" s="34"/>
      <c r="Q4" s="504"/>
      <c r="R4" s="34"/>
      <c r="S4" s="494"/>
      <c r="T4" s="409"/>
      <c r="U4" s="295" t="s">
        <v>78</v>
      </c>
      <c r="V4" s="633">
        <f>Persistant</f>
        <v>0.8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9"/>
      <c r="AD4" s="429"/>
      <c r="AE4" s="429"/>
      <c r="AF4" s="429"/>
      <c r="AG4" s="429"/>
      <c r="AH4" s="429"/>
      <c r="AI4" s="429"/>
      <c r="AJ4" s="838">
        <f>AL12-AJ12</f>
        <v>462.59029586073643</v>
      </c>
      <c r="AK4" s="839">
        <f>AM12-AK12</f>
        <v>-1.6599989140942988</v>
      </c>
      <c r="AL4" s="838"/>
      <c r="AM4" s="839"/>
      <c r="AN4" s="837" t="s">
        <v>282</v>
      </c>
    </row>
    <row r="5" spans="1:40" s="35" customFormat="1" ht="16.5" customHeight="1" x14ac:dyDescent="0.25">
      <c r="D5" s="161" t="s">
        <v>20</v>
      </c>
      <c r="E5" s="1250">
        <f>T0</f>
        <v>43209</v>
      </c>
      <c r="F5" s="1250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462.97974451982009</v>
      </c>
      <c r="AA5" s="237">
        <f>Wh_Pvg_s-Wh_Pvg</f>
        <v>-1.6599989140942988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1692.5949999999998</v>
      </c>
      <c r="AK5" s="515">
        <f>SUMIF(AK15:AK380,"VRAI",Wh)</f>
        <v>0</v>
      </c>
      <c r="AL5" s="515">
        <f>SUMIF(AJ15:AJ380,"VRAI",Wh_s)</f>
        <v>1692.595</v>
      </c>
      <c r="AM5" s="515">
        <f>SUMIF(AK15:AK380,"VRAI",Wh_s)</f>
        <v>0</v>
      </c>
      <c r="AN5" s="837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51">
        <f>Tservice</f>
        <v>43249</v>
      </c>
      <c r="F6" s="1251"/>
      <c r="G6" s="95"/>
      <c r="H6" s="35"/>
      <c r="I6" s="35"/>
      <c r="J6" s="8"/>
      <c r="K6" s="193"/>
      <c r="L6" s="154" t="s">
        <v>79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2"/>
      <c r="X6" s="496"/>
      <c r="AB6" s="515"/>
      <c r="AC6" s="462"/>
      <c r="AD6" s="462"/>
      <c r="AE6" s="462"/>
      <c r="AF6" s="462"/>
      <c r="AG6" s="462"/>
      <c r="AH6" s="462"/>
      <c r="AI6" s="462"/>
      <c r="AJ6" s="515">
        <f>SUMIF(AJ15:AJ380,"FAUX",Wh)</f>
        <v>5376.0140000000029</v>
      </c>
      <c r="AK6" s="515">
        <f>SUMIF(AK15:AK380,"FAUX",Wh)</f>
        <v>7068.6090000000022</v>
      </c>
      <c r="AL6" s="515">
        <f>SUMIF(AJ15:AJ380,"FAUX",Wh_s)</f>
        <v>4913.3703499954017</v>
      </c>
      <c r="AM6" s="515">
        <f>SUMIF(AK15:AK380,"FAUX",Wh_s)</f>
        <v>6605.9653499954002</v>
      </c>
      <c r="AN6" s="837" t="s">
        <v>279</v>
      </c>
    </row>
    <row r="7" spans="1:40" s="40" customFormat="1" ht="15" customHeight="1" x14ac:dyDescent="0.25">
      <c r="A7" s="183"/>
      <c r="B7" s="178"/>
      <c r="C7" s="178"/>
      <c r="D7" s="22" t="s">
        <v>108</v>
      </c>
      <c r="E7" s="320" t="b">
        <f>AND(YEAR(Tnet)=An,Resal_2021="I")</f>
        <v>0</v>
      </c>
      <c r="F7" s="320" t="b">
        <f>YEAR(Tnet)=An</f>
        <v>1</v>
      </c>
      <c r="J7" s="178"/>
      <c r="K7" s="191"/>
      <c r="L7" s="189" t="s">
        <v>77</v>
      </c>
      <c r="M7" s="848"/>
      <c r="N7" s="848"/>
      <c r="O7" s="18"/>
      <c r="P7" s="118"/>
      <c r="Q7" s="118"/>
      <c r="R7" s="141"/>
      <c r="S7" s="141"/>
      <c r="T7" s="141"/>
      <c r="U7" s="141"/>
      <c r="V7" s="429"/>
      <c r="W7" s="517"/>
      <c r="X7" s="518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1732.2167648810591</v>
      </c>
      <c r="AK7" s="515">
        <f>SUMIF(AK15:AK380,"VRAI",Wh_sa)</f>
        <v>0</v>
      </c>
      <c r="AL7" s="515">
        <f>SUMIF(AJ15:AJ380,"VRAI",Wh_pvt_s)</f>
        <v>1732.2167648810591</v>
      </c>
      <c r="AM7" s="515">
        <f>SUMIF(AK15:AK380,"VRAI",Wh_sa_s)</f>
        <v>0</v>
      </c>
      <c r="AN7" s="837" t="s">
        <v>270</v>
      </c>
    </row>
    <row r="8" spans="1:40" s="6" customFormat="1" ht="15" customHeight="1" x14ac:dyDescent="0.25">
      <c r="A8" s="34"/>
      <c r="B8" s="210"/>
      <c r="C8" s="210"/>
      <c r="D8" s="22" t="s">
        <v>80</v>
      </c>
      <c r="E8" s="320" t="b">
        <f>AND(YEAR(Tnet)=An,Resal_2021&lt;&gt;"I")</f>
        <v>1</v>
      </c>
      <c r="F8" s="321" t="b">
        <f>YEAR(Ttai)=An</f>
        <v>0</v>
      </c>
      <c r="H8" s="179" t="s">
        <v>72</v>
      </c>
      <c r="I8" s="98"/>
      <c r="J8" s="158"/>
      <c r="K8" s="191"/>
      <c r="L8" s="114"/>
      <c r="M8" s="114"/>
      <c r="N8" s="114"/>
      <c r="O8" s="115" t="s">
        <v>59</v>
      </c>
      <c r="P8" s="18"/>
      <c r="Q8" s="18"/>
      <c r="R8" s="18"/>
      <c r="S8" s="18"/>
      <c r="T8" s="18"/>
      <c r="U8" s="18"/>
      <c r="V8" s="517"/>
      <c r="W8" s="404"/>
      <c r="X8" s="1237" t="s">
        <v>98</v>
      </c>
      <c r="Y8" s="1238"/>
      <c r="Z8" s="497"/>
      <c r="AA8" s="497"/>
      <c r="AB8" s="462"/>
      <c r="AC8" s="519" t="s">
        <v>59</v>
      </c>
      <c r="AD8" s="462"/>
      <c r="AE8" s="462"/>
      <c r="AF8" s="462"/>
      <c r="AG8" s="462"/>
      <c r="AH8" s="462"/>
      <c r="AI8" s="462"/>
      <c r="AJ8" s="515">
        <f>SUMIF(AJ15:AJ380,"FAUX",Wh_pvt)</f>
        <v>5519.0048205960966</v>
      </c>
      <c r="AK8" s="515">
        <f>SUMIF(AK15:AK380,"FAUX",Wh_sa)</f>
        <v>7660.4227345617201</v>
      </c>
      <c r="AL8" s="515">
        <f>SUMIF(AJ15:AJ380,"FAUX",Wh_pvt_s)</f>
        <v>5044.104108460815</v>
      </c>
      <c r="AM8" s="515">
        <f>SUMIF(AK15:AK380,"FAUX",Wh_sa_s)</f>
        <v>7660.4227345617201</v>
      </c>
      <c r="AN8" s="837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7251.2215854771503</v>
      </c>
      <c r="E9" s="184">
        <f>SUM(E$15:E$380)</f>
        <v>7660.4227345617201</v>
      </c>
      <c r="F9" s="184">
        <f>SUM(F$15:F$380)</f>
        <v>7687.9088859889562</v>
      </c>
      <c r="H9" s="1241">
        <f>+SUM(Wh)</f>
        <v>7068.6090000000022</v>
      </c>
      <c r="I9" s="1242"/>
      <c r="J9" s="1243"/>
      <c r="K9" s="191" t="s">
        <v>10</v>
      </c>
      <c r="L9" s="232"/>
      <c r="M9" s="232"/>
      <c r="N9" s="232"/>
      <c r="O9" s="223">
        <f>Tnet_2021</f>
        <v>44306</v>
      </c>
      <c r="P9" s="244" t="s">
        <v>87</v>
      </c>
      <c r="Q9" s="245"/>
      <c r="R9" s="245"/>
      <c r="S9" s="245"/>
      <c r="T9" s="245"/>
      <c r="U9" s="246"/>
      <c r="V9" s="462"/>
      <c r="W9" s="520"/>
      <c r="X9" s="1235">
        <f>+SUM(Wh_s)</f>
        <v>6605.9653499954002</v>
      </c>
      <c r="Y9" s="1236"/>
      <c r="Z9" s="515">
        <f>SUM(Wh_pvt_s)</f>
        <v>6776.3208733418742</v>
      </c>
      <c r="AA9" s="515">
        <f>SUM(Wh_sa_s)</f>
        <v>7660.4227345617201</v>
      </c>
      <c r="AB9" s="515">
        <f>F9</f>
        <v>7687.9088859889562</v>
      </c>
      <c r="AC9" s="325">
        <f>IF(An_Tnet,Tnet,'2020'!Tnet_s)</f>
        <v>44306</v>
      </c>
      <c r="AD9" s="316" t="s">
        <v>87</v>
      </c>
      <c r="AE9" s="316"/>
      <c r="AF9" s="316"/>
      <c r="AG9" s="316"/>
      <c r="AH9" s="316"/>
      <c r="AI9" s="317"/>
      <c r="AJ9" s="515">
        <f>SUMIF(AJ15:AJ380,"VRAI",Wh_sa)</f>
        <v>1940.212047153032</v>
      </c>
      <c r="AK9" s="515">
        <f>SUMIF(AK15:AK380,"VRAI",Wh_hp)</f>
        <v>0</v>
      </c>
      <c r="AL9" s="515">
        <f>SUMIF(AJ15:AJ380,"VRAI",Wh_sa_s)</f>
        <v>1940.212047153032</v>
      </c>
      <c r="AM9" s="515">
        <f>SUMIF(AK15:AK380,"VRAI",Wh_hp)</f>
        <v>0</v>
      </c>
      <c r="AN9" s="837" t="s">
        <v>276</v>
      </c>
    </row>
    <row r="10" spans="1:40" s="19" customFormat="1" ht="15" customHeight="1" x14ac:dyDescent="0.25">
      <c r="A10" s="206"/>
      <c r="B10" s="207"/>
      <c r="C10" s="844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IF(Inflex,'2020'!Resal+('2020'!Salim-'2020'!Resal)*(1-EXP(-(Tnet-'2020'!Tnet)/('2020'!Tau_j))),IF(An_Tnet,Resal_2021,'2020'!Resal))</f>
        <v>1.7000000000000001E-2</v>
      </c>
      <c r="P10" s="422" t="b">
        <f>NOT(Acti_tai)</f>
        <v>1</v>
      </c>
      <c r="Q10" s="257">
        <f>IF(Acti_tai,'2020'!PousD,Dens-Dd)</f>
        <v>0</v>
      </c>
      <c r="R10" s="274"/>
      <c r="S10" s="275"/>
      <c r="T10" s="276"/>
      <c r="U10" s="266">
        <f>IF(Acti_tai,'2020'!PousH,Hdtf-Hdd)</f>
        <v>0.30000006185595751</v>
      </c>
      <c r="V10" s="429"/>
      <c r="W10" s="504"/>
      <c r="X10" s="505"/>
      <c r="Y10" s="521" t="s">
        <v>26</v>
      </c>
      <c r="Z10" s="511" t="s">
        <v>27</v>
      </c>
      <c r="AA10" s="511" t="s">
        <v>28</v>
      </c>
      <c r="AB10" s="429"/>
      <c r="AC10" s="318">
        <f>IF(OR(Inflex,GainD),'2020'!Resal_s+('2020'!Salim-'2020'!Resal_s)*(1-EXP(('2020'!Tnet_s-Tnet)/('2020'!Tau_j))),IF(Acti_net,'2020'!Resal+('2020'!Salim-'2020'!Resal)*(1-EXP(('2020'!Tnet-Tnet)/'2020'!Tau_j)),'2020'!Resal_s))</f>
        <v>0.10884724461863916</v>
      </c>
      <c r="AD10" s="429"/>
      <c r="AE10" s="429"/>
      <c r="AF10" s="260"/>
      <c r="AG10" s="261"/>
      <c r="AH10" s="262"/>
      <c r="AI10" s="472"/>
      <c r="AJ10" s="515">
        <f>SUMIF(AJ15:AJ380,"FAUX",Wh_sa)</f>
        <v>5720.2106874086894</v>
      </c>
      <c r="AK10" s="515">
        <f>SUMIF(AK15:AK380,"FAUX",Wh_hp)</f>
        <v>7687.9088859889562</v>
      </c>
      <c r="AL10" s="515">
        <f>SUMIF(AJ15:AJ380,"FAUX",Wh_sa_s)</f>
        <v>5720.2106874086894</v>
      </c>
      <c r="AM10" s="515">
        <f>SUMIF(AK15:AK380,"FAUX",Wh_hp)</f>
        <v>7687.9088859889562</v>
      </c>
      <c r="AN10" s="837" t="s">
        <v>277</v>
      </c>
    </row>
    <row r="11" spans="1:40" s="40" customFormat="1" ht="15" customHeight="1" x14ac:dyDescent="0.25">
      <c r="A11" s="216"/>
      <c r="B11" s="217" t="s">
        <v>43</v>
      </c>
      <c r="C11" s="845"/>
      <c r="D11" s="50">
        <f>D$9-Prod_an</f>
        <v>182.61258547714806</v>
      </c>
      <c r="E11" s="51">
        <f>(E$9-D$9)*Prod_an/D$9</f>
        <v>398.89595030755072</v>
      </c>
      <c r="F11" s="186">
        <f>(F$9-E$9)*Prod_an/E$9</f>
        <v>25.362680897145037</v>
      </c>
      <c r="G11" s="185" t="s">
        <v>6</v>
      </c>
      <c r="K11" s="194"/>
      <c r="L11" s="211">
        <f>Tvie_2021</f>
        <v>43209</v>
      </c>
      <c r="M11" s="849"/>
      <c r="N11" s="849"/>
      <c r="O11" s="202">
        <f>IF(An_Tnet,Salim_2021,'2020'!Salim)</f>
        <v>0.15</v>
      </c>
      <c r="P11" s="256">
        <f>Ttai_2021</f>
        <v>43101</v>
      </c>
      <c r="Q11" s="272">
        <f>Dens_2021</f>
        <v>0.7</v>
      </c>
      <c r="R11" s="277"/>
      <c r="S11" s="230"/>
      <c r="T11" s="230"/>
      <c r="U11" s="266">
        <f>Htf_2021</f>
        <v>-0.49999998466681705</v>
      </c>
      <c r="V11" s="19"/>
      <c r="W11" s="841"/>
      <c r="X11" s="235" t="s">
        <v>43</v>
      </c>
      <c r="Y11" s="50">
        <f>Z$9-Prod_an_s</f>
        <v>170.355523346474</v>
      </c>
      <c r="Z11" s="51">
        <f>(AA$9-Z$9)*Prod_an_s/Z$9</f>
        <v>861.87569482737081</v>
      </c>
      <c r="AA11" s="186">
        <f>(AB$9-AA$9)*Prod_an_s/AA$9</f>
        <v>23.702681983050738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8">
        <f>IF($AJ7=0,0,($AJ9-$AJ7)*$AJ5/$AJ7)</f>
        <v>203.23771362488989</v>
      </c>
      <c r="AK11" s="839">
        <f>IF($AK7=0,0,($AK9-$AK7)*$AK5/$AK7)</f>
        <v>0</v>
      </c>
      <c r="AL11" s="838">
        <f>IF($AL7=0,0,($AL9-$AL7)*$AL5/$AL7)</f>
        <v>203.23771362488992</v>
      </c>
      <c r="AM11" s="839">
        <f>IF($AM7=0,0,($AM9-$AM7)*$AM5/$AM7)</f>
        <v>0</v>
      </c>
      <c r="AN11" s="837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4.3062264006309414E-2</v>
      </c>
      <c r="K12" s="191"/>
      <c r="L12" s="212">
        <f>Pspv_2021</f>
        <v>0</v>
      </c>
      <c r="M12" s="212"/>
      <c r="N12" s="212"/>
      <c r="O12" s="205">
        <f>IF(An_Tnet,Tau_2021*365,'2020'!Tau_j)</f>
        <v>730</v>
      </c>
      <c r="P12" s="281">
        <f>INDEX(Croivg,MIN(MAX(Ttai-$A$15,0)+1,366))</f>
        <v>2.3909964587625958E-6</v>
      </c>
      <c r="Q12" s="280">
        <f>'2020'!Df</f>
        <v>0.7</v>
      </c>
      <c r="R12" s="278"/>
      <c r="S12" s="279"/>
      <c r="T12" s="279"/>
      <c r="U12" s="267">
        <f>'2020'!Hdf</f>
        <v>-0.80000004652277457</v>
      </c>
      <c r="V12" s="40"/>
      <c r="W12" s="34"/>
      <c r="X12" s="54"/>
      <c r="Y12" s="34"/>
      <c r="AB12" s="319" t="s">
        <v>102</v>
      </c>
      <c r="AC12" s="318" t="b">
        <f>NOT(An_Tnet)</f>
        <v>0</v>
      </c>
      <c r="AE12" s="296">
        <f>'2020'!Df_s</f>
        <v>0.7</v>
      </c>
      <c r="AF12" s="203"/>
      <c r="AG12" s="203"/>
      <c r="AH12" s="203"/>
      <c r="AI12" s="297">
        <f>'2020'!Hdf_s</f>
        <v>-0.80000004652277457</v>
      </c>
      <c r="AJ12" s="838">
        <f>IF($AJ8=0,0,($AJ10-$AJ8)*$AJ6/$AJ8)</f>
        <v>195.99286321148827</v>
      </c>
      <c r="AK12" s="839">
        <f>IF($AK8=0,0,($AK10-$AK8)*$AK6/$AK8)</f>
        <v>25.362680897145037</v>
      </c>
      <c r="AL12" s="838">
        <f>IF($AL8=0,0,($AL10-$AL8)*$AL6/$AL8)</f>
        <v>658.5831590722247</v>
      </c>
      <c r="AM12" s="839">
        <f>IF($AM8=0,0,($AM10-$AM8)*$AM6/$AM8)</f>
        <v>23.702681983050738</v>
      </c>
      <c r="AN12" s="837" t="s">
        <v>284</v>
      </c>
    </row>
    <row r="13" spans="1:40" s="37" customFormat="1" ht="11.25" x14ac:dyDescent="0.2">
      <c r="A13" s="130" t="s">
        <v>64</v>
      </c>
      <c r="B13" s="124" t="s">
        <v>34</v>
      </c>
      <c r="C13" s="124"/>
      <c r="D13" s="124" t="s">
        <v>68</v>
      </c>
      <c r="E13" s="124" t="s">
        <v>69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42" t="s">
        <v>286</v>
      </c>
      <c r="X13" s="259"/>
      <c r="Y13" s="124" t="s">
        <v>96</v>
      </c>
      <c r="Z13" s="124" t="s">
        <v>97</v>
      </c>
      <c r="AA13" s="124" t="s">
        <v>70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399.23057683637819</v>
      </c>
      <c r="AK13" s="73">
        <f>+AK11+AK12</f>
        <v>25.362680897145037</v>
      </c>
      <c r="AL13" s="73">
        <f>+AL11+AL12</f>
        <v>861.82087269711462</v>
      </c>
      <c r="AM13" s="73">
        <f>+AM11+AM12</f>
        <v>23.702681983050738</v>
      </c>
      <c r="AN13" s="836" t="s">
        <v>285</v>
      </c>
    </row>
    <row r="14" spans="1:40" s="46" customFormat="1" ht="40.5" customHeight="1" thickBot="1" x14ac:dyDescent="0.25">
      <c r="A14" s="45" t="s">
        <v>2</v>
      </c>
      <c r="B14" s="389" t="s">
        <v>187</v>
      </c>
      <c r="C14" s="389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3" t="s">
        <v>112</v>
      </c>
      <c r="I14" s="79" t="s">
        <v>3</v>
      </c>
      <c r="J14" s="79" t="s">
        <v>31</v>
      </c>
      <c r="K14" s="196"/>
      <c r="L14" s="23" t="s">
        <v>63</v>
      </c>
      <c r="M14" s="23"/>
      <c r="N14" s="23"/>
      <c r="O14" s="23" t="s">
        <v>61</v>
      </c>
      <c r="P14" s="23" t="s">
        <v>83</v>
      </c>
      <c r="Q14" s="23" t="s">
        <v>84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2021</v>
      </c>
      <c r="W14" s="843"/>
      <c r="X14" s="258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131</v>
      </c>
      <c r="AD14" s="23" t="s">
        <v>132</v>
      </c>
      <c r="AE14" s="23" t="s">
        <v>95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7" t="s">
        <v>268</v>
      </c>
      <c r="AK14" s="697" t="s">
        <v>269</v>
      </c>
      <c r="AL14" s="265"/>
      <c r="AM14" s="265"/>
      <c r="AN14" s="75"/>
    </row>
    <row r="15" spans="1:40" s="6" customFormat="1" ht="11.25" x14ac:dyDescent="0.2">
      <c r="A15" s="56">
        <f>DATE(An,1,1)</f>
        <v>44197</v>
      </c>
      <c r="B15" s="616">
        <v>6.3550000000000004</v>
      </c>
      <c r="C15" s="390"/>
      <c r="D15" s="393">
        <f t="shared" ref="D15:D78" si="0">Wh/(1-Ppv)</f>
        <v>6.4940208040964897</v>
      </c>
      <c r="E15" s="400">
        <f t="shared" ref="E15:E79" si="1">Wh_pvt/(1-Psa)</f>
        <v>7.2469002981365209</v>
      </c>
      <c r="F15" s="400">
        <f t="shared" ref="F15:F78" si="2">Wh_sa/(1-Pvg*MEDIAN((-Sdif+Wh/Env_an)/Csdif,0,1))</f>
        <v>7.322884228088248</v>
      </c>
      <c r="G15" s="123">
        <f>+Wh_hp/MaxiM</f>
        <v>0.544016442928549</v>
      </c>
      <c r="H15" s="414" t="b">
        <f>Wh_hp&gt;='2020'!Maxi_hp</f>
        <v>0</v>
      </c>
      <c r="I15" s="379">
        <f>IF(H15,Wh_hp,'2020'!Maxi_hp)</f>
        <v>8.884177699949392</v>
      </c>
      <c r="J15" s="84">
        <f>IF(H15,An,'2020'!An_max)</f>
        <v>2020</v>
      </c>
      <c r="K15" s="197">
        <f t="shared" ref="K15:K78" si="3">t</f>
        <v>44197</v>
      </c>
      <c r="L15" s="146">
        <f>IF(t&lt;Tvie,1-EXP((T0-t)*PertePVj)+'2020'!Pspv,1-EXP((T0-t)*PertePVj)+Pspv)</f>
        <v>2.1407508274194909E-2</v>
      </c>
      <c r="M15" s="850"/>
      <c r="N15" s="850"/>
      <c r="O15" s="48">
        <f>IF(t&lt;Tnet,'2020'!Resal+('2020'!Salim-'2020'!Resal)*(1-EXP(('2020'!Tnet-t)/('2020'!Tau_j))),Resal+(Salim-Resal)*(1-EXP((Tnet-t)/(Tau_j))))*Salcycl</f>
        <v>0.10388986505494321</v>
      </c>
      <c r="P15" s="302">
        <f>(INDEX(Models!$BJ15:$BT15,,T15)*(1-R15)+INDEX(Models!$BJ15:$BT15,,T15+1)*R15-ERP_i)*Q15*Ramure*Pc/MaxiM</f>
        <v>2.8572650536753688E-2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0.20000067077631101</v>
      </c>
      <c r="S15" s="816">
        <f t="shared" ref="S15:S78" si="6">INDEX(Echel_vg,T15)</f>
        <v>-1</v>
      </c>
      <c r="T15" s="249">
        <f t="shared" ref="T15:T78" si="7">MIN(MATCH(Hp_vg,Echel_vg),10)</f>
        <v>5</v>
      </c>
      <c r="U15" s="250">
        <f t="shared" ref="U15:U78" si="8">IF(OR(t&lt;Ttai,Notai),Hdd+PousH*Croivg,Hdtf+PousH*(Croivg-Croi_tai))</f>
        <v>-0.79999932922368899</v>
      </c>
      <c r="V15" s="382">
        <f t="shared" ref="V15:V78" si="9">MaxiM*(1-Ppv)*(1-Pvg)*(1-Psa)</f>
        <v>11.46683957385765</v>
      </c>
      <c r="W15" s="402"/>
      <c r="X15" s="156">
        <f t="shared" ref="X15:X78" si="10">t</f>
        <v>44197</v>
      </c>
      <c r="Y15" s="385">
        <f t="shared" ref="Y15:Y78" si="11">Wh_pvt_s*(1-Ppv)</f>
        <v>6.3550000000000004</v>
      </c>
      <c r="Z15" s="385">
        <f t="shared" ref="Z15:Z78" si="12">Wh_sa_s*(1-Psa_s)</f>
        <v>6.4940208040964897</v>
      </c>
      <c r="AA15" s="386">
        <f t="shared" ref="AA15:AA78" si="13">Wh_hp*(1-Pvg_s*MEDIAN((-Sdif+Wh/Env_an)/Csdif,0,1))</f>
        <v>7.2469002981365209</v>
      </c>
      <c r="AB15" s="197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0.10388986505494321</v>
      </c>
      <c r="AD15" s="231">
        <f>(INDEX(Models!$BJ15:$BT15,,AH15)*(1-AF15)+INDEX(Models!$BJ15:$BT15,,AH15+1)*AF15-ERP_i)*AE15*Ramure*Pc/MaxiM</f>
        <v>2.8572650536753688E-2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0.20000067077631101</v>
      </c>
      <c r="AG15" s="816">
        <f>INDEX(Echel_vg,AH15)</f>
        <v>-1</v>
      </c>
      <c r="AH15" s="249">
        <f t="shared" ref="AH15:AH78" si="16">MIN(MATCH(Hp_vg_s,Echel_vg),10)</f>
        <v>5</v>
      </c>
      <c r="AI15" s="224">
        <f t="shared" ref="AI15:AI78" si="17">IF(OR(t&lt;Ttai,Notai),Hdd_s+PousH*Croivg,Hdtai_s+PousH*(Croivg-Croi_tai))</f>
        <v>-0.79999932922368899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44198</v>
      </c>
      <c r="B16" s="617">
        <v>2.444</v>
      </c>
      <c r="C16" s="390"/>
      <c r="D16" s="393">
        <f t="shared" si="0"/>
        <v>2.4975191938521788</v>
      </c>
      <c r="E16" s="385">
        <f t="shared" si="1"/>
        <v>2.7872083983235054</v>
      </c>
      <c r="F16" s="385">
        <f t="shared" si="2"/>
        <v>2.7872083983235054</v>
      </c>
      <c r="G16" s="110">
        <f t="shared" ref="G16:G79" si="21">+Wh_hp/MaxiM</f>
        <v>0.20482967808649985</v>
      </c>
      <c r="H16" s="414" t="b">
        <f>Wh_hp&gt;='2020'!Maxi_hp</f>
        <v>0</v>
      </c>
      <c r="I16" s="380">
        <f>IF(H16,Wh_hp,'2020'!Maxi_hp)</f>
        <v>13.53519224964062</v>
      </c>
      <c r="J16" s="85">
        <f>IF(H16,An,'2020'!An_max)</f>
        <v>2020</v>
      </c>
      <c r="K16" s="197">
        <f t="shared" si="3"/>
        <v>44198</v>
      </c>
      <c r="L16" s="147">
        <f>IF(t&lt;Tvie,1-EXP((T0-t)*PertePVj)+'2020'!Pspv,1-EXP((T0-t)*PertePVj)+Pspv)</f>
        <v>2.142894196125511E-2</v>
      </c>
      <c r="M16" s="850"/>
      <c r="N16" s="850"/>
      <c r="O16" s="48">
        <f>IF(t&lt;Tnet,'2020'!Resal+('2020'!Salim-'2020'!Resal)*(1-EXP(('2020'!Tnet-t)/('2020'!Tau_j))),Resal+(Salim-Resal)*(1-EXP((Tnet-t)/(Tau_j))))*Salcycl</f>
        <v>0.10393525100081273</v>
      </c>
      <c r="P16" s="169">
        <f>(INDEX(Models!$BJ16:$BT16,,T16)*(1-R16)+INDEX(Models!$BJ16:$BT16,,T16+1)*R16-ERP_i)*Q16*Ramure*Pc/MaxiM</f>
        <v>2.8616880322621732E-2</v>
      </c>
      <c r="Q16" s="305">
        <f t="shared" si="4"/>
        <v>0.7</v>
      </c>
      <c r="R16" s="177">
        <f t="shared" si="5"/>
        <v>0.20001819954832167</v>
      </c>
      <c r="S16" s="817">
        <f t="shared" si="6"/>
        <v>-1</v>
      </c>
      <c r="T16" s="176">
        <f t="shared" si="7"/>
        <v>5</v>
      </c>
      <c r="U16" s="251">
        <f t="shared" si="8"/>
        <v>-0.79998180045167833</v>
      </c>
      <c r="V16" s="383">
        <f t="shared" si="9"/>
        <v>11.590411929900819</v>
      </c>
      <c r="W16" s="402"/>
      <c r="X16" s="157">
        <f t="shared" si="10"/>
        <v>44198</v>
      </c>
      <c r="Y16" s="385">
        <f t="shared" si="11"/>
        <v>2.444</v>
      </c>
      <c r="Z16" s="385">
        <f t="shared" si="12"/>
        <v>2.4975191938521788</v>
      </c>
      <c r="AA16" s="386">
        <f t="shared" si="13"/>
        <v>2.7872083983235054</v>
      </c>
      <c r="AB16" s="197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0.10393525100081273</v>
      </c>
      <c r="AD16" s="231">
        <f>(INDEX(Models!$BJ16:$BT16,,AH16)*(1-AF16)+INDEX(Models!$BJ16:$BT16,,AH16+1)*AF16-ERP_i)*AE16*Ramure*Pc/MaxiM</f>
        <v>2.8616880322621732E-2</v>
      </c>
      <c r="AE16" s="305">
        <f t="shared" si="15"/>
        <v>0.7</v>
      </c>
      <c r="AF16" s="177">
        <f t="shared" ref="AF16:AF78" si="22">(Hp_vg_s-AG16)/(INDEX(Echel_vg,AH16+1)-AG16)</f>
        <v>0.20001819954832167</v>
      </c>
      <c r="AG16" s="817">
        <f t="shared" ref="AG16:AG79" si="23">INDEX(Echel_vg,AH16)</f>
        <v>-1</v>
      </c>
      <c r="AH16" s="176">
        <f t="shared" si="16"/>
        <v>5</v>
      </c>
      <c r="AI16" s="225">
        <f t="shared" si="17"/>
        <v>-0.79998180045167833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44199</v>
      </c>
      <c r="B17" s="617">
        <v>11.322000000000001</v>
      </c>
      <c r="C17" s="390"/>
      <c r="D17" s="393">
        <f t="shared" si="0"/>
        <v>11.570184804955062</v>
      </c>
      <c r="E17" s="385">
        <f t="shared" si="1"/>
        <v>12.912875967018257</v>
      </c>
      <c r="F17" s="385">
        <f t="shared" si="2"/>
        <v>13.275092206574762</v>
      </c>
      <c r="G17" s="110">
        <f t="shared" si="21"/>
        <v>0.96479245537922786</v>
      </c>
      <c r="H17" s="414" t="b">
        <f>Wh_hp&gt;='2020'!Maxi_hp</f>
        <v>0</v>
      </c>
      <c r="I17" s="380">
        <f>IF(H17,Wh_hp,'2020'!Maxi_hp)</f>
        <v>14.124165439868252</v>
      </c>
      <c r="J17" s="85">
        <f>IF(H17,An,'2020'!An_max)</f>
        <v>2019</v>
      </c>
      <c r="K17" s="197">
        <f t="shared" si="3"/>
        <v>44199</v>
      </c>
      <c r="L17" s="147">
        <f>IF(t&lt;Tvie,1-EXP((T0-t)*PertePVj)+'2020'!Pspv,1-EXP((T0-t)*PertePVj)+Pspv)</f>
        <v>2.1450375178862613E-2</v>
      </c>
      <c r="M17" s="850"/>
      <c r="N17" s="850"/>
      <c r="O17" s="48">
        <f>IF(t&lt;Tnet,'2020'!Resal+('2020'!Salim-'2020'!Resal)*(1-EXP(('2020'!Tnet-t)/('2020'!Tau_j))),Resal+(Salim-Resal)*(1-EXP((Tnet-t)/(Tau_j))))*Salcycl</f>
        <v>0.1039807991258231</v>
      </c>
      <c r="P17" s="169">
        <f>(INDEX(Models!$BJ17:$BT17,,T17)*(1-R17)+INDEX(Models!$BJ17:$BT17,,T17+1)*R17-ERP_i)*Q17*Ramure*Pc/MaxiM</f>
        <v>2.8671084117038875E-2</v>
      </c>
      <c r="Q17" s="305">
        <f t="shared" si="4"/>
        <v>0.7</v>
      </c>
      <c r="R17" s="177">
        <f t="shared" si="5"/>
        <v>0.20003646150938081</v>
      </c>
      <c r="S17" s="817">
        <f t="shared" si="6"/>
        <v>-1</v>
      </c>
      <c r="T17" s="176">
        <f t="shared" si="7"/>
        <v>5</v>
      </c>
      <c r="U17" s="251">
        <f t="shared" si="8"/>
        <v>-0.79996353849061919</v>
      </c>
      <c r="V17" s="383">
        <f t="shared" si="9"/>
        <v>11.718449055634329</v>
      </c>
      <c r="W17" s="402"/>
      <c r="X17" s="157">
        <f t="shared" si="10"/>
        <v>44199</v>
      </c>
      <c r="Y17" s="385">
        <f t="shared" si="11"/>
        <v>11.322000000000001</v>
      </c>
      <c r="Z17" s="385">
        <f t="shared" si="12"/>
        <v>11.570184804955062</v>
      </c>
      <c r="AA17" s="386">
        <f t="shared" si="13"/>
        <v>12.912875967018257</v>
      </c>
      <c r="AB17" s="197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0.1039807991258231</v>
      </c>
      <c r="AD17" s="231">
        <f>(INDEX(Models!$BJ17:$BT17,,AH17)*(1-AF17)+INDEX(Models!$BJ17:$BT17,,AH17+1)*AF17-ERP_i)*AE17*Ramure*Pc/MaxiM</f>
        <v>2.8671084117038875E-2</v>
      </c>
      <c r="AE17" s="305">
        <f t="shared" si="15"/>
        <v>0.7</v>
      </c>
      <c r="AF17" s="177">
        <f>(Hp_vg_s-AG17)/(INDEX(Echel_vg,AH17+1)-AG17)</f>
        <v>0.20003646150938081</v>
      </c>
      <c r="AG17" s="817">
        <f>INDEX(Echel_vg,AH17)</f>
        <v>-1</v>
      </c>
      <c r="AH17" s="176">
        <f t="shared" si="16"/>
        <v>5</v>
      </c>
      <c r="AI17" s="225">
        <f t="shared" si="17"/>
        <v>-0.79996353849061919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44200</v>
      </c>
      <c r="B18" s="617">
        <v>10.838000000000001</v>
      </c>
      <c r="C18" s="390"/>
      <c r="D18" s="393">
        <f t="shared" si="0"/>
        <v>11.075817833148104</v>
      </c>
      <c r="E18" s="385">
        <f t="shared" si="1"/>
        <v>12.361769242226403</v>
      </c>
      <c r="F18" s="385">
        <f t="shared" si="2"/>
        <v>12.681702888533227</v>
      </c>
      <c r="G18" s="110">
        <f t="shared" si="21"/>
        <v>0.91126219395391139</v>
      </c>
      <c r="H18" s="414" t="b">
        <f>Wh_hp&gt;='2020'!Maxi_hp</f>
        <v>0</v>
      </c>
      <c r="I18" s="380">
        <f>IF(H18,Wh_hp,'2020'!Maxi_hp)</f>
        <v>14.134069142951605</v>
      </c>
      <c r="J18" s="85">
        <f>IF(H18,An,'2020'!An_max)</f>
        <v>2019</v>
      </c>
      <c r="K18" s="197">
        <f t="shared" si="3"/>
        <v>44200</v>
      </c>
      <c r="L18" s="147">
        <f>IF(t&lt;Tvie,1-EXP((T0-t)*PertePVj)+'2020'!Pspv,1-EXP((T0-t)*PertePVj)+Pspv)</f>
        <v>2.1471807927027631E-2</v>
      </c>
      <c r="M18" s="850"/>
      <c r="N18" s="850"/>
      <c r="O18" s="48">
        <f>IF(t&lt;Tnet,'2020'!Resal+('2020'!Salim-'2020'!Resal)*(1-EXP(('2020'!Tnet-t)/('2020'!Tau_j))),Resal+(Salim-Resal)*(1-EXP((Tnet-t)/(Tau_j))))*Salcycl</f>
        <v>0.10402648552002045</v>
      </c>
      <c r="P18" s="169">
        <f>(INDEX(Models!$BJ18:$BT18,,T18)*(1-R18)+INDEX(Models!$BJ18:$BT18,,T18+1)*R18-ERP_i)*Q18*Ramure*Pc/MaxiM</f>
        <v>2.8735642919283693E-2</v>
      </c>
      <c r="Q18" s="305">
        <f t="shared" si="4"/>
        <v>0.7</v>
      </c>
      <c r="R18" s="177">
        <f t="shared" si="5"/>
        <v>0.20005548723208078</v>
      </c>
      <c r="S18" s="817">
        <f t="shared" si="6"/>
        <v>-1</v>
      </c>
      <c r="T18" s="176">
        <f t="shared" si="7"/>
        <v>5</v>
      </c>
      <c r="U18" s="251">
        <f t="shared" si="8"/>
        <v>-0.79994451276791922</v>
      </c>
      <c r="V18" s="383">
        <f t="shared" si="9"/>
        <v>11.850595847596088</v>
      </c>
      <c r="W18" s="402"/>
      <c r="X18" s="157">
        <f t="shared" si="10"/>
        <v>44200</v>
      </c>
      <c r="Y18" s="385">
        <f t="shared" si="11"/>
        <v>10.838000000000001</v>
      </c>
      <c r="Z18" s="385">
        <f>Wh_sa_s*(1-Psa_s)</f>
        <v>11.075817833148104</v>
      </c>
      <c r="AA18" s="386">
        <f t="shared" si="13"/>
        <v>12.361769242226403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0.10402648552002045</v>
      </c>
      <c r="AD18" s="231">
        <f>(INDEX(Models!$BJ18:$BT18,,AH18)*(1-AF18)+INDEX(Models!$BJ18:$BT18,,AH18+1)*AF18-ERP_i)*AE18*Ramure*Pc/MaxiM</f>
        <v>2.8735642919283693E-2</v>
      </c>
      <c r="AE18" s="305">
        <f t="shared" si="15"/>
        <v>0.7</v>
      </c>
      <c r="AF18" s="177">
        <f t="shared" si="22"/>
        <v>0.20005548723208078</v>
      </c>
      <c r="AG18" s="817">
        <f t="shared" si="23"/>
        <v>-1</v>
      </c>
      <c r="AH18" s="176">
        <f t="shared" si="16"/>
        <v>5</v>
      </c>
      <c r="AI18" s="225">
        <f t="shared" si="17"/>
        <v>-0.79994451276791922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44201</v>
      </c>
      <c r="B19" s="617">
        <v>2.1680000000000001</v>
      </c>
      <c r="C19" s="390"/>
      <c r="D19" s="393">
        <f t="shared" si="0"/>
        <v>2.2156208715981554</v>
      </c>
      <c r="E19" s="385">
        <f t="shared" si="1"/>
        <v>2.4729906724676201</v>
      </c>
      <c r="F19" s="385">
        <f t="shared" si="2"/>
        <v>2.4729906724676201</v>
      </c>
      <c r="G19" s="110">
        <f t="shared" si="21"/>
        <v>0.17565915282650066</v>
      </c>
      <c r="H19" s="414" t="b">
        <f>Wh_hp&gt;='2020'!Maxi_hp</f>
        <v>0</v>
      </c>
      <c r="I19" s="380">
        <f>IF(H19,Wh_hp,'2020'!Maxi_hp)</f>
        <v>14.283254951142144</v>
      </c>
      <c r="J19" s="85">
        <f>IF(H19,An,'2020'!An_max)</f>
        <v>2019</v>
      </c>
      <c r="K19" s="197">
        <f t="shared" si="3"/>
        <v>44201</v>
      </c>
      <c r="L19" s="147">
        <f>IF(t&lt;Tvie,1-EXP((T0-t)*PertePVj)+'2020'!Pspv,1-EXP((T0-t)*PertePVj)+Pspv)</f>
        <v>2.1493240205760378E-2</v>
      </c>
      <c r="M19" s="850"/>
      <c r="N19" s="850"/>
      <c r="O19" s="48">
        <f>IF(t&lt;Tnet,'2020'!Resal+('2020'!Salim-'2020'!Resal)*(1-EXP(('2020'!Tnet-t)/('2020'!Tau_j))),Resal+(Salim-Resal)*(1-EXP((Tnet-t)/(Tau_j))))*Salcycl</f>
        <v>0.10407228936802007</v>
      </c>
      <c r="P19" s="169">
        <f>(INDEX(Models!$BJ19:$BT19,,T19)*(1-R19)+INDEX(Models!$BJ19:$BT19,,T19+1)*R19-ERP_i)*Q19*Ramure*Pc/MaxiM</f>
        <v>2.8810906673181817E-2</v>
      </c>
      <c r="Q19" s="305">
        <f t="shared" si="4"/>
        <v>0.7</v>
      </c>
      <c r="R19" s="177">
        <f t="shared" si="5"/>
        <v>0.20007530855570466</v>
      </c>
      <c r="S19" s="817">
        <f t="shared" si="6"/>
        <v>-1</v>
      </c>
      <c r="T19" s="176">
        <f t="shared" si="7"/>
        <v>5</v>
      </c>
      <c r="U19" s="251">
        <f t="shared" si="8"/>
        <v>-0.79992469144429534</v>
      </c>
      <c r="V19" s="383">
        <f t="shared" si="9"/>
        <v>11.98649726161546</v>
      </c>
      <c r="W19" s="402"/>
      <c r="X19" s="157">
        <f t="shared" si="10"/>
        <v>44201</v>
      </c>
      <c r="Y19" s="385">
        <f t="shared" si="11"/>
        <v>2.1680000000000001</v>
      </c>
      <c r="Z19" s="385">
        <f t="shared" si="12"/>
        <v>2.2156208715981554</v>
      </c>
      <c r="AA19" s="386">
        <f t="shared" si="13"/>
        <v>2.4729906724676201</v>
      </c>
      <c r="AB19" s="197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0.10407228936802007</v>
      </c>
      <c r="AD19" s="231">
        <f>(INDEX(Models!$BJ19:$BT19,,AH19)*(1-AF19)+INDEX(Models!$BJ19:$BT19,,AH19+1)*AF19-ERP_i)*AE19*Ramure*Pc/MaxiM</f>
        <v>2.8810906673181817E-2</v>
      </c>
      <c r="AE19" s="305">
        <f t="shared" si="15"/>
        <v>0.7</v>
      </c>
      <c r="AF19" s="177">
        <f t="shared" si="22"/>
        <v>0.20007530855570466</v>
      </c>
      <c r="AG19" s="817">
        <f t="shared" si="23"/>
        <v>-1</v>
      </c>
      <c r="AH19" s="176">
        <f t="shared" si="16"/>
        <v>5</v>
      </c>
      <c r="AI19" s="225">
        <f t="shared" si="17"/>
        <v>-0.79992469144429534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44202</v>
      </c>
      <c r="B20" s="617">
        <v>4.5990000000000002</v>
      </c>
      <c r="C20" s="390"/>
      <c r="D20" s="393">
        <f t="shared" si="0"/>
        <v>4.7001215740976718</v>
      </c>
      <c r="E20" s="385">
        <f t="shared" si="1"/>
        <v>5.246363456218206</v>
      </c>
      <c r="F20" s="385">
        <f t="shared" si="2"/>
        <v>5.2635888993141311</v>
      </c>
      <c r="G20" s="110">
        <f t="shared" si="21"/>
        <v>0.36952333144917521</v>
      </c>
      <c r="H20" s="414" t="b">
        <f>Wh_hp&gt;='2020'!Maxi_hp</f>
        <v>0</v>
      </c>
      <c r="I20" s="380">
        <f>IF(H20,Wh_hp,'2020'!Maxi_hp)</f>
        <v>13.482308585209402</v>
      </c>
      <c r="J20" s="85">
        <f>IF(H20,An,'2020'!An_max)</f>
        <v>2020</v>
      </c>
      <c r="K20" s="197">
        <f t="shared" si="3"/>
        <v>44202</v>
      </c>
      <c r="L20" s="147">
        <f>IF(t&lt;Tvie,1-EXP((T0-t)*PertePVj)+'2020'!Pspv,1-EXP((T0-t)*PertePVj)+Pspv)</f>
        <v>2.151467201507129E-2</v>
      </c>
      <c r="M20" s="850"/>
      <c r="N20" s="850"/>
      <c r="O20" s="48">
        <f>IF(t&lt;Tnet,'2020'!Resal+('2020'!Salim-'2020'!Resal)*(1-EXP(('2020'!Tnet-t)/('2020'!Tau_j))),Resal+(Salim-Resal)*(1-EXP((Tnet-t)/(Tau_j))))*Salcycl</f>
        <v>0.1041181928547299</v>
      </c>
      <c r="P20" s="169">
        <f>(INDEX(Models!$BJ20:$BT20,,T20)*(1-R20)+INDEX(Models!$BJ20:$BT20,,T20+1)*R20-ERP_i)*Q20*Ramure*Pc/MaxiM</f>
        <v>2.8897197214193225E-2</v>
      </c>
      <c r="Q20" s="305">
        <f t="shared" si="4"/>
        <v>0.7</v>
      </c>
      <c r="R20" s="177">
        <f t="shared" si="5"/>
        <v>0.20009595863801277</v>
      </c>
      <c r="S20" s="817">
        <f t="shared" si="6"/>
        <v>-1</v>
      </c>
      <c r="T20" s="176">
        <f t="shared" si="7"/>
        <v>5</v>
      </c>
      <c r="U20" s="251">
        <f t="shared" si="8"/>
        <v>-0.79990404136198723</v>
      </c>
      <c r="V20" s="383">
        <f t="shared" si="9"/>
        <v>12.125798319112112</v>
      </c>
      <c r="W20" s="402"/>
      <c r="X20" s="157">
        <f t="shared" si="10"/>
        <v>44202</v>
      </c>
      <c r="Y20" s="385">
        <f t="shared" si="11"/>
        <v>4.5990000000000002</v>
      </c>
      <c r="Z20" s="385">
        <f t="shared" si="12"/>
        <v>4.7001215740976718</v>
      </c>
      <c r="AA20" s="386">
        <f t="shared" si="13"/>
        <v>5.246363456218206</v>
      </c>
      <c r="AB20" s="197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0.1041181928547299</v>
      </c>
      <c r="AD20" s="231">
        <f>(INDEX(Models!$BJ20:$BT20,,AH20)*(1-AF20)+INDEX(Models!$BJ20:$BT20,,AH20+1)*AF20-ERP_i)*AE20*Ramure*Pc/MaxiM</f>
        <v>2.8897197214193225E-2</v>
      </c>
      <c r="AE20" s="305">
        <f t="shared" si="15"/>
        <v>0.7</v>
      </c>
      <c r="AF20" s="177">
        <f t="shared" si="22"/>
        <v>0.20009595863801277</v>
      </c>
      <c r="AG20" s="817">
        <f t="shared" si="23"/>
        <v>-1</v>
      </c>
      <c r="AH20" s="176">
        <f t="shared" si="16"/>
        <v>5</v>
      </c>
      <c r="AI20" s="225">
        <f t="shared" si="17"/>
        <v>-0.79990404136198723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44203</v>
      </c>
      <c r="B21" s="617">
        <v>7.7560000000000002</v>
      </c>
      <c r="C21" s="390"/>
      <c r="D21" s="393">
        <f t="shared" si="0"/>
        <v>7.9267104556375365</v>
      </c>
      <c r="E21" s="385">
        <f t="shared" si="1"/>
        <v>8.8483964225824732</v>
      </c>
      <c r="F21" s="385">
        <f t="shared" si="2"/>
        <v>8.971852492930589</v>
      </c>
      <c r="G21" s="110">
        <f t="shared" si="21"/>
        <v>0.62244077536240983</v>
      </c>
      <c r="H21" s="414" t="b">
        <f>Wh_hp&gt;='2020'!Maxi_hp</f>
        <v>1</v>
      </c>
      <c r="I21" s="380">
        <f>IF(H21,Wh_hp,'2020'!Maxi_hp)</f>
        <v>8.971852492930589</v>
      </c>
      <c r="J21" s="85">
        <f>IF(H21,An,'2020'!An_max)</f>
        <v>2021</v>
      </c>
      <c r="K21" s="197">
        <f t="shared" si="3"/>
        <v>44203</v>
      </c>
      <c r="L21" s="147">
        <f>IF(t&lt;Tvie,1-EXP((T0-t)*PertePVj)+'2020'!Pspv,1-EXP((T0-t)*PertePVj)+Pspv)</f>
        <v>2.1536103354970582E-2</v>
      </c>
      <c r="M21" s="850"/>
      <c r="N21" s="850"/>
      <c r="O21" s="48">
        <f>IF(t&lt;Tnet,'2020'!Resal+('2020'!Salim-'2020'!Resal)*(1-EXP(('2020'!Tnet-t)/('2020'!Tau_j))),Resal+(Salim-Resal)*(1-EXP((Tnet-t)/(Tau_j))))*Salcycl</f>
        <v>0.10416418104783969</v>
      </c>
      <c r="P21" s="169">
        <f>(INDEX(Models!$BJ21:$BT21,,T21)*(1-R21)+INDEX(Models!$BJ21:$BT21,,T21+1)*R21-ERP_i)*Q21*Ramure*Pc/MaxiM</f>
        <v>2.8994811337201467E-2</v>
      </c>
      <c r="Q21" s="305">
        <f t="shared" si="4"/>
        <v>0.7</v>
      </c>
      <c r="R21" s="177">
        <f t="shared" si="5"/>
        <v>0.20011747200908647</v>
      </c>
      <c r="S21" s="817">
        <f t="shared" si="6"/>
        <v>-1</v>
      </c>
      <c r="T21" s="176">
        <f t="shared" si="7"/>
        <v>5</v>
      </c>
      <c r="U21" s="251">
        <f t="shared" si="8"/>
        <v>-0.79988252799091353</v>
      </c>
      <c r="V21" s="383">
        <f t="shared" si="9"/>
        <v>12.268144119009328</v>
      </c>
      <c r="W21" s="402"/>
      <c r="X21" s="157">
        <f t="shared" si="10"/>
        <v>44203</v>
      </c>
      <c r="Y21" s="385">
        <f t="shared" si="11"/>
        <v>7.7559999999999993</v>
      </c>
      <c r="Z21" s="385">
        <f t="shared" si="12"/>
        <v>7.9267104556375356</v>
      </c>
      <c r="AA21" s="386">
        <f t="shared" si="13"/>
        <v>8.8483964225824732</v>
      </c>
      <c r="AB21" s="197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0.10416418104783969</v>
      </c>
      <c r="AD21" s="231">
        <f>(INDEX(Models!$BJ21:$BT21,,AH21)*(1-AF21)+INDEX(Models!$BJ21:$BT21,,AH21+1)*AF21-ERP_i)*AE21*Ramure*Pc/MaxiM</f>
        <v>2.8994811337201467E-2</v>
      </c>
      <c r="AE21" s="305">
        <f t="shared" si="15"/>
        <v>0.7</v>
      </c>
      <c r="AF21" s="177">
        <f t="shared" si="22"/>
        <v>0.20011747200908647</v>
      </c>
      <c r="AG21" s="817">
        <f t="shared" si="23"/>
        <v>-1</v>
      </c>
      <c r="AH21" s="176">
        <f t="shared" si="16"/>
        <v>5</v>
      </c>
      <c r="AI21" s="225">
        <f t="shared" si="17"/>
        <v>-0.79988252799091353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44204</v>
      </c>
      <c r="B22" s="617">
        <v>10.569000000000001</v>
      </c>
      <c r="C22" s="390"/>
      <c r="D22" s="393">
        <f t="shared" si="0"/>
        <v>10.801861498962658</v>
      </c>
      <c r="E22" s="385">
        <f t="shared" si="1"/>
        <v>12.058478453887927</v>
      </c>
      <c r="F22" s="385">
        <f t="shared" si="2"/>
        <v>12.341431159322497</v>
      </c>
      <c r="G22" s="110">
        <f t="shared" si="21"/>
        <v>0.84605104235991557</v>
      </c>
      <c r="H22" s="414" t="b">
        <f>Wh_hp&gt;='2020'!Maxi_hp</f>
        <v>1</v>
      </c>
      <c r="I22" s="380">
        <f>IF(H22,Wh_hp,'2020'!Maxi_hp)</f>
        <v>12.341431159322497</v>
      </c>
      <c r="J22" s="85">
        <f>IF(H22,An,'2020'!An_max)</f>
        <v>2021</v>
      </c>
      <c r="K22" s="197">
        <f t="shared" si="3"/>
        <v>44204</v>
      </c>
      <c r="L22" s="147">
        <f>IF(t&lt;Tvie,1-EXP((T0-t)*PertePVj)+'2020'!Pspv,1-EXP((T0-t)*PertePVj)+Pspv)</f>
        <v>2.1557534225468467E-2</v>
      </c>
      <c r="M22" s="850"/>
      <c r="N22" s="850"/>
      <c r="O22" s="48">
        <f>IF(t&lt;Tnet,'2020'!Resal+('2020'!Salim-'2020'!Resal)*(1-EXP(('2020'!Tnet-t)/('2020'!Tau_j))),Resal+(Salim-Resal)*(1-EXP((Tnet-t)/(Tau_j))))*Salcycl</f>
        <v>0.10421024175899295</v>
      </c>
      <c r="P22" s="169">
        <f>(INDEX(Models!$BJ22:$BT22,,T22)*(1-R22)+INDEX(Models!$BJ22:$BT22,,T22+1)*R22-ERP_i)*Q22*Ramure*Pc/MaxiM</f>
        <v>2.9104023956131556E-2</v>
      </c>
      <c r="Q22" s="305">
        <f t="shared" si="4"/>
        <v>0.7</v>
      </c>
      <c r="R22" s="177">
        <f t="shared" si="5"/>
        <v>0.20013988462730592</v>
      </c>
      <c r="S22" s="817">
        <f t="shared" si="6"/>
        <v>-1</v>
      </c>
      <c r="T22" s="176">
        <f t="shared" si="7"/>
        <v>5</v>
      </c>
      <c r="U22" s="251">
        <f t="shared" si="8"/>
        <v>-0.79986011537269408</v>
      </c>
      <c r="V22" s="383">
        <f t="shared" si="9"/>
        <v>12.413179842167279</v>
      </c>
      <c r="W22" s="402"/>
      <c r="X22" s="157">
        <f t="shared" si="10"/>
        <v>44204</v>
      </c>
      <c r="Y22" s="385">
        <f t="shared" si="11"/>
        <v>10.569000000000001</v>
      </c>
      <c r="Z22" s="385">
        <f t="shared" si="12"/>
        <v>10.801861498962658</v>
      </c>
      <c r="AA22" s="386">
        <f t="shared" si="13"/>
        <v>12.058478453887927</v>
      </c>
      <c r="AB22" s="197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0.10421024175899295</v>
      </c>
      <c r="AD22" s="231">
        <f>(INDEX(Models!$BJ22:$BT22,,AH22)*(1-AF22)+INDEX(Models!$BJ22:$BT22,,AH22+1)*AF22-ERP_i)*AE22*Ramure*Pc/MaxiM</f>
        <v>2.9104023956131556E-2</v>
      </c>
      <c r="AE22" s="305">
        <f t="shared" si="15"/>
        <v>0.7</v>
      </c>
      <c r="AF22" s="177">
        <f t="shared" si="22"/>
        <v>0.20013988462730592</v>
      </c>
      <c r="AG22" s="817">
        <f t="shared" si="23"/>
        <v>-1</v>
      </c>
      <c r="AH22" s="176">
        <f t="shared" si="16"/>
        <v>5</v>
      </c>
      <c r="AI22" s="225">
        <f t="shared" si="17"/>
        <v>-0.79986011537269408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44205</v>
      </c>
      <c r="B23" s="617">
        <v>3.214</v>
      </c>
      <c r="C23" s="390"/>
      <c r="D23" s="393">
        <f t="shared" si="0"/>
        <v>3.2848844043641634</v>
      </c>
      <c r="E23" s="385">
        <f t="shared" si="1"/>
        <v>3.6672149010343378</v>
      </c>
      <c r="F23" s="385">
        <f t="shared" si="2"/>
        <v>3.6672149010343378</v>
      </c>
      <c r="G23" s="110">
        <f t="shared" si="21"/>
        <v>0.24838793320623329</v>
      </c>
      <c r="H23" s="414" t="b">
        <f>Wh_hp&gt;='2020'!Maxi_hp</f>
        <v>0</v>
      </c>
      <c r="I23" s="380">
        <f>IF(H23,Wh_hp,'2020'!Maxi_hp)</f>
        <v>13.592706813048993</v>
      </c>
      <c r="J23" s="85">
        <f>IF(H23,An,'2020'!An_max)</f>
        <v>2020</v>
      </c>
      <c r="K23" s="197">
        <f t="shared" si="3"/>
        <v>44205</v>
      </c>
      <c r="L23" s="147">
        <f>IF(t&lt;Tvie,1-EXP((T0-t)*PertePVj)+'2020'!Pspv,1-EXP((T0-t)*PertePVj)+Pspv)</f>
        <v>2.1578964626575381E-2</v>
      </c>
      <c r="M23" s="850"/>
      <c r="N23" s="850"/>
      <c r="O23" s="48">
        <f>IF(t&lt;Tnet,'2020'!Resal+('2020'!Salim-'2020'!Resal)*(1-EXP(('2020'!Tnet-t)/('2020'!Tau_j))),Resal+(Salim-Resal)*(1-EXP((Tnet-t)/(Tau_j))))*Salcycl</f>
        <v>0.10425636538571491</v>
      </c>
      <c r="P23" s="169">
        <f>(INDEX(Models!$BJ23:$BT23,,T23)*(1-R23)+INDEX(Models!$BJ23:$BT23,,T23+1)*R23-ERP_i)*Q23*Ramure*Pc/MaxiM</f>
        <v>2.9223392952548586E-2</v>
      </c>
      <c r="Q23" s="305">
        <f t="shared" si="4"/>
        <v>0.7</v>
      </c>
      <c r="R23" s="177">
        <f t="shared" si="5"/>
        <v>0.20016323393754132</v>
      </c>
      <c r="S23" s="817">
        <f t="shared" si="6"/>
        <v>-1</v>
      </c>
      <c r="T23" s="176">
        <f t="shared" si="7"/>
        <v>5</v>
      </c>
      <c r="U23" s="251">
        <f t="shared" si="8"/>
        <v>-0.79983676606245868</v>
      </c>
      <c r="V23" s="383">
        <f t="shared" si="9"/>
        <v>12.561302696053072</v>
      </c>
      <c r="W23" s="402"/>
      <c r="X23" s="157">
        <f t="shared" si="10"/>
        <v>44205</v>
      </c>
      <c r="Y23" s="385">
        <f t="shared" si="11"/>
        <v>3.214</v>
      </c>
      <c r="Z23" s="385">
        <f t="shared" si="12"/>
        <v>3.2848844043641634</v>
      </c>
      <c r="AA23" s="386">
        <f t="shared" si="13"/>
        <v>3.6672149010343378</v>
      </c>
      <c r="AB23" s="197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0.10425636538571491</v>
      </c>
      <c r="AD23" s="231">
        <f>(INDEX(Models!$BJ23:$BT23,,AH23)*(1-AF23)+INDEX(Models!$BJ23:$BT23,,AH23+1)*AF23-ERP_i)*AE23*Ramure*Pc/MaxiM</f>
        <v>2.9223392952548586E-2</v>
      </c>
      <c r="AE23" s="305">
        <f t="shared" si="15"/>
        <v>0.7</v>
      </c>
      <c r="AF23" s="177">
        <f t="shared" si="22"/>
        <v>0.20016323393754132</v>
      </c>
      <c r="AG23" s="817">
        <f t="shared" si="23"/>
        <v>-1</v>
      </c>
      <c r="AH23" s="176">
        <f t="shared" si="16"/>
        <v>5</v>
      </c>
      <c r="AI23" s="225">
        <f t="shared" si="17"/>
        <v>-0.79983676606245868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44206</v>
      </c>
      <c r="B24" s="617">
        <v>3.09</v>
      </c>
      <c r="C24" s="390"/>
      <c r="D24" s="393">
        <f t="shared" si="0"/>
        <v>3.1582187715672871</v>
      </c>
      <c r="E24" s="385">
        <f t="shared" si="1"/>
        <v>3.5259883267587191</v>
      </c>
      <c r="F24" s="385">
        <f t="shared" si="2"/>
        <v>3.5259883267587191</v>
      </c>
      <c r="G24" s="110">
        <f t="shared" si="21"/>
        <v>0.2359204900835068</v>
      </c>
      <c r="H24" s="414" t="b">
        <f>Wh_hp&gt;='2020'!Maxi_hp</f>
        <v>0</v>
      </c>
      <c r="I24" s="380">
        <f>IF(H24,Wh_hp,'2020'!Maxi_hp)</f>
        <v>10.238443369739281</v>
      </c>
      <c r="J24" s="85">
        <f>IF(H24,An,'2020'!An_max)</f>
        <v>2019</v>
      </c>
      <c r="K24" s="197">
        <f t="shared" si="3"/>
        <v>44206</v>
      </c>
      <c r="L24" s="147">
        <f>IF(t&lt;Tvie,1-EXP((T0-t)*PertePVj)+'2020'!Pspv,1-EXP((T0-t)*PertePVj)+Pspv)</f>
        <v>2.1600394558301428E-2</v>
      </c>
      <c r="M24" s="850"/>
      <c r="N24" s="850"/>
      <c r="O24" s="48">
        <f>IF(t&lt;Tnet,'2020'!Resal+('2020'!Salim-'2020'!Resal)*(1-EXP(('2020'!Tnet-t)/('2020'!Tau_j))),Resal+(Salim-Resal)*(1-EXP((Tnet-t)/(Tau_j))))*Salcycl</f>
        <v>0.10430254473630264</v>
      </c>
      <c r="P24" s="169">
        <f>(INDEX(Models!$BJ24:$BT24,,T24)*(1-R24)+INDEX(Models!$BJ24:$BT24,,T24+1)*R24-ERP_i)*Q24*Ramure*Pc/MaxiM</f>
        <v>2.9338093669308511E-2</v>
      </c>
      <c r="Q24" s="305">
        <f t="shared" si="4"/>
        <v>0.7</v>
      </c>
      <c r="R24" s="177">
        <f t="shared" si="5"/>
        <v>0.20018755893163853</v>
      </c>
      <c r="S24" s="817">
        <f t="shared" si="6"/>
        <v>-1</v>
      </c>
      <c r="T24" s="176">
        <f t="shared" si="7"/>
        <v>5</v>
      </c>
      <c r="U24" s="251">
        <f t="shared" si="8"/>
        <v>-0.79981244106836147</v>
      </c>
      <c r="V24" s="383">
        <f t="shared" si="9"/>
        <v>12.713373431447957</v>
      </c>
      <c r="W24" s="402"/>
      <c r="X24" s="157">
        <f t="shared" si="10"/>
        <v>44206</v>
      </c>
      <c r="Y24" s="385">
        <f t="shared" si="11"/>
        <v>3.09</v>
      </c>
      <c r="Z24" s="385">
        <f t="shared" si="12"/>
        <v>3.1582187715672871</v>
      </c>
      <c r="AA24" s="386">
        <f t="shared" si="13"/>
        <v>3.5259883267587191</v>
      </c>
      <c r="AB24" s="197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0.10430254473630264</v>
      </c>
      <c r="AD24" s="231">
        <f>(INDEX(Models!$BJ24:$BT24,,AH24)*(1-AF24)+INDEX(Models!$BJ24:$BT24,,AH24+1)*AF24-ERP_i)*AE24*Ramure*Pc/MaxiM</f>
        <v>2.9338093669308511E-2</v>
      </c>
      <c r="AE24" s="305">
        <f t="shared" si="15"/>
        <v>0.7</v>
      </c>
      <c r="AF24" s="177">
        <f t="shared" si="22"/>
        <v>0.20018755893163853</v>
      </c>
      <c r="AG24" s="817">
        <f t="shared" si="23"/>
        <v>-1</v>
      </c>
      <c r="AH24" s="176">
        <f t="shared" si="16"/>
        <v>5</v>
      </c>
      <c r="AI24" s="225">
        <f t="shared" si="17"/>
        <v>-0.79981244106836147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44207</v>
      </c>
      <c r="B25" s="617">
        <v>4.468</v>
      </c>
      <c r="C25" s="390"/>
      <c r="D25" s="393">
        <f t="shared" si="0"/>
        <v>4.5667412762223503</v>
      </c>
      <c r="E25" s="385">
        <f t="shared" si="1"/>
        <v>5.0987942046375396</v>
      </c>
      <c r="F25" s="385">
        <f t="shared" si="2"/>
        <v>5.108925604169622</v>
      </c>
      <c r="G25" s="110">
        <f t="shared" si="21"/>
        <v>0.33762378619755251</v>
      </c>
      <c r="H25" s="414" t="b">
        <f>Wh_hp&gt;='2020'!Maxi_hp</f>
        <v>0</v>
      </c>
      <c r="I25" s="380">
        <f>IF(H25,Wh_hp,'2020'!Maxi_hp)</f>
        <v>14.83810615534277</v>
      </c>
      <c r="J25" s="85">
        <f>IF(H25,An,'2020'!An_max)</f>
        <v>2019</v>
      </c>
      <c r="K25" s="197">
        <f t="shared" si="3"/>
        <v>44207</v>
      </c>
      <c r="L25" s="147">
        <f>IF(t&lt;Tvie,1-EXP((T0-t)*PertePVj)+'2020'!Pspv,1-EXP((T0-t)*PertePVj)+Pspv)</f>
        <v>2.1621824020657043E-2</v>
      </c>
      <c r="M25" s="850"/>
      <c r="N25" s="850"/>
      <c r="O25" s="48">
        <f>IF(t&lt;Tnet,'2020'!Resal+('2020'!Salim-'2020'!Resal)*(1-EXP(('2020'!Tnet-t)/('2020'!Tau_j))),Resal+(Salim-Resal)*(1-EXP((Tnet-t)/(Tau_j))))*Salcycl</f>
        <v>0.10434877483999419</v>
      </c>
      <c r="P25" s="169">
        <f>(INDEX(Models!$BJ25:$BT25,,T25)*(1-R25)+INDEX(Models!$BJ25:$BT25,,T25+1)*R25-ERP_i)*Q25*Ramure*Pc/MaxiM</f>
        <v>2.9428219955293548E-2</v>
      </c>
      <c r="Q25" s="305">
        <f t="shared" si="4"/>
        <v>0.7</v>
      </c>
      <c r="R25" s="177">
        <f t="shared" si="5"/>
        <v>0.20021290021128324</v>
      </c>
      <c r="S25" s="817">
        <f t="shared" si="6"/>
        <v>-1</v>
      </c>
      <c r="T25" s="176">
        <f t="shared" si="7"/>
        <v>5</v>
      </c>
      <c r="U25" s="251">
        <f t="shared" si="8"/>
        <v>-0.79978709978871676</v>
      </c>
      <c r="V25" s="383">
        <f t="shared" si="9"/>
        <v>12.869743266875142</v>
      </c>
      <c r="W25" s="402"/>
      <c r="X25" s="157">
        <f t="shared" si="10"/>
        <v>44207</v>
      </c>
      <c r="Y25" s="385">
        <f t="shared" si="11"/>
        <v>4.468</v>
      </c>
      <c r="Z25" s="385">
        <f t="shared" si="12"/>
        <v>4.5667412762223503</v>
      </c>
      <c r="AA25" s="386">
        <f t="shared" si="13"/>
        <v>5.0987942046375396</v>
      </c>
      <c r="AB25" s="197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0.10434877483999419</v>
      </c>
      <c r="AD25" s="231">
        <f>(INDEX(Models!$BJ25:$BT25,,AH25)*(1-AF25)+INDEX(Models!$BJ25:$BT25,,AH25+1)*AF25-ERP_i)*AE25*Ramure*Pc/MaxiM</f>
        <v>2.9428219955293548E-2</v>
      </c>
      <c r="AE25" s="305">
        <f t="shared" si="15"/>
        <v>0.7</v>
      </c>
      <c r="AF25" s="177">
        <f t="shared" si="22"/>
        <v>0.20021290021128324</v>
      </c>
      <c r="AG25" s="817">
        <f t="shared" si="23"/>
        <v>-1</v>
      </c>
      <c r="AH25" s="176">
        <f t="shared" si="16"/>
        <v>5</v>
      </c>
      <c r="AI25" s="225">
        <f t="shared" si="17"/>
        <v>-0.79978709978871676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44208</v>
      </c>
      <c r="B26" s="617">
        <v>8.3230000000000004</v>
      </c>
      <c r="C26" s="390"/>
      <c r="D26" s="393">
        <f t="shared" si="0"/>
        <v>8.5071217893038593</v>
      </c>
      <c r="E26" s="385">
        <f t="shared" si="1"/>
        <v>9.4987436317498926</v>
      </c>
      <c r="F26" s="385">
        <f t="shared" si="2"/>
        <v>9.6362761570342474</v>
      </c>
      <c r="G26" s="110">
        <f t="shared" si="21"/>
        <v>0.62886858136847312</v>
      </c>
      <c r="H26" s="414" t="b">
        <f>Wh_hp&gt;='2020'!Maxi_hp</f>
        <v>0</v>
      </c>
      <c r="I26" s="380">
        <f>IF(H26,Wh_hp,'2020'!Maxi_hp)</f>
        <v>15.033013193258533</v>
      </c>
      <c r="J26" s="85">
        <f>IF(H26,An,'2020'!An_max)</f>
        <v>2020</v>
      </c>
      <c r="K26" s="197">
        <f t="shared" si="3"/>
        <v>44208</v>
      </c>
      <c r="L26" s="147">
        <f>IF(t&lt;Tvie,1-EXP((T0-t)*PertePVj)+'2020'!Pspv,1-EXP((T0-t)*PertePVj)+Pspv)</f>
        <v>2.164325301365233E-2</v>
      </c>
      <c r="M26" s="850"/>
      <c r="N26" s="850"/>
      <c r="O26" s="48">
        <f>IF(t&lt;Tnet,'2020'!Resal+('2020'!Salim-'2020'!Resal)*(1-EXP(('2020'!Tnet-t)/('2020'!Tau_j))),Resal+(Salim-Resal)*(1-EXP((Tnet-t)/(Tau_j))))*Salcycl</f>
        <v>0.10439505274481781</v>
      </c>
      <c r="P26" s="169">
        <f>(INDEX(Models!$BJ26:$BT26,,T26)*(1-R26)+INDEX(Models!$BJ26:$BT26,,T26+1)*R26-ERP_i)*Q26*Ramure*Pc/MaxiM</f>
        <v>2.9494286131307008E-2</v>
      </c>
      <c r="Q26" s="305">
        <f t="shared" si="4"/>
        <v>0.7</v>
      </c>
      <c r="R26" s="177">
        <f t="shared" si="5"/>
        <v>0.20023930005332913</v>
      </c>
      <c r="S26" s="817">
        <f t="shared" si="6"/>
        <v>-1</v>
      </c>
      <c r="T26" s="176">
        <f t="shared" si="7"/>
        <v>5</v>
      </c>
      <c r="U26" s="251">
        <f t="shared" si="8"/>
        <v>-0.79976069994667087</v>
      </c>
      <c r="V26" s="383">
        <f t="shared" si="9"/>
        <v>13.030502527257116</v>
      </c>
      <c r="W26" s="402"/>
      <c r="X26" s="157">
        <f t="shared" si="10"/>
        <v>44208</v>
      </c>
      <c r="Y26" s="385">
        <f t="shared" si="11"/>
        <v>8.3230000000000004</v>
      </c>
      <c r="Z26" s="385">
        <f t="shared" si="12"/>
        <v>8.5071217893038593</v>
      </c>
      <c r="AA26" s="386">
        <f t="shared" si="13"/>
        <v>9.4987436317498926</v>
      </c>
      <c r="AB26" s="197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0.10439505274481781</v>
      </c>
      <c r="AD26" s="231">
        <f>(INDEX(Models!$BJ26:$BT26,,AH26)*(1-AF26)+INDEX(Models!$BJ26:$BT26,,AH26+1)*AF26-ERP_i)*AE26*Ramure*Pc/MaxiM</f>
        <v>2.9494286131307008E-2</v>
      </c>
      <c r="AE26" s="305">
        <f t="shared" si="15"/>
        <v>0.7</v>
      </c>
      <c r="AF26" s="177">
        <f t="shared" si="22"/>
        <v>0.20023930005332913</v>
      </c>
      <c r="AG26" s="817">
        <f t="shared" si="23"/>
        <v>-1</v>
      </c>
      <c r="AH26" s="176">
        <f t="shared" si="16"/>
        <v>5</v>
      </c>
      <c r="AI26" s="225">
        <f t="shared" si="17"/>
        <v>-0.79976069994667087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44209</v>
      </c>
      <c r="B27" s="617">
        <v>7.3170000000000002</v>
      </c>
      <c r="C27" s="390"/>
      <c r="D27" s="393">
        <f t="shared" si="0"/>
        <v>7.4790308209433727</v>
      </c>
      <c r="E27" s="385">
        <f t="shared" si="1"/>
        <v>8.3512465085106911</v>
      </c>
      <c r="F27" s="385">
        <f t="shared" si="2"/>
        <v>8.4419008861887921</v>
      </c>
      <c r="G27" s="110">
        <f t="shared" si="21"/>
        <v>0.54396037264801866</v>
      </c>
      <c r="H27" s="414" t="b">
        <f>Wh_hp&gt;='2020'!Maxi_hp</f>
        <v>0</v>
      </c>
      <c r="I27" s="380">
        <f>IF(H27,Wh_hp,'2020'!Maxi_hp)</f>
        <v>10.493774411231749</v>
      </c>
      <c r="J27" s="85">
        <f>IF(H27,An,'2020'!An_max)</f>
        <v>2020</v>
      </c>
      <c r="K27" s="197">
        <f t="shared" si="3"/>
        <v>44209</v>
      </c>
      <c r="L27" s="147">
        <f>IF(t&lt;Tvie,1-EXP((T0-t)*PertePVj)+'2020'!Pspv,1-EXP((T0-t)*PertePVj)+Pspv)</f>
        <v>2.1664681537297725E-2</v>
      </c>
      <c r="M27" s="850"/>
      <c r="N27" s="850"/>
      <c r="O27" s="48">
        <f>IF(t&lt;Tnet,'2020'!Resal+('2020'!Salim-'2020'!Resal)*(1-EXP(('2020'!Tnet-t)/('2020'!Tau_j))),Resal+(Salim-Resal)*(1-EXP((Tnet-t)/(Tau_j))))*Salcycl</f>
        <v>0.10444137730558541</v>
      </c>
      <c r="P27" s="169">
        <f>(INDEX(Models!$BJ27:$BT27,,T27)*(1-R27)+INDEX(Models!$BJ27:$BT27,,T27+1)*R27-ERP_i)*Q27*Ramure*Pc/MaxiM</f>
        <v>2.9536823311780092E-2</v>
      </c>
      <c r="Q27" s="305">
        <f t="shared" si="4"/>
        <v>0.7</v>
      </c>
      <c r="R27" s="177">
        <f t="shared" si="5"/>
        <v>0.20026680247768125</v>
      </c>
      <c r="S27" s="817">
        <f t="shared" si="6"/>
        <v>-1</v>
      </c>
      <c r="T27" s="176">
        <f t="shared" si="7"/>
        <v>5</v>
      </c>
      <c r="U27" s="251">
        <f t="shared" si="8"/>
        <v>-0.79973319752231875</v>
      </c>
      <c r="V27" s="383">
        <f t="shared" si="9"/>
        <v>13.195741500195103</v>
      </c>
      <c r="W27" s="402"/>
      <c r="X27" s="157">
        <f t="shared" si="10"/>
        <v>44209</v>
      </c>
      <c r="Y27" s="385">
        <f t="shared" si="11"/>
        <v>7.3170000000000002</v>
      </c>
      <c r="Z27" s="385">
        <f t="shared" si="12"/>
        <v>7.4790308209433727</v>
      </c>
      <c r="AA27" s="386">
        <f t="shared" si="13"/>
        <v>8.3512465085106911</v>
      </c>
      <c r="AB27" s="197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0.10444137730558541</v>
      </c>
      <c r="AD27" s="231">
        <f>(INDEX(Models!$BJ27:$BT27,,AH27)*(1-AF27)+INDEX(Models!$BJ27:$BT27,,AH27+1)*AF27-ERP_i)*AE27*Ramure*Pc/MaxiM</f>
        <v>2.9536823311780092E-2</v>
      </c>
      <c r="AE27" s="305">
        <f t="shared" si="15"/>
        <v>0.7</v>
      </c>
      <c r="AF27" s="177">
        <f t="shared" si="22"/>
        <v>0.20026680247768125</v>
      </c>
      <c r="AG27" s="817">
        <f t="shared" si="23"/>
        <v>-1</v>
      </c>
      <c r="AH27" s="176">
        <f t="shared" si="16"/>
        <v>5</v>
      </c>
      <c r="AI27" s="225">
        <f t="shared" si="17"/>
        <v>-0.79973319752231875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44210</v>
      </c>
      <c r="B28" s="617">
        <v>6.8719999999999999</v>
      </c>
      <c r="C28" s="390"/>
      <c r="D28" s="393">
        <f t="shared" si="0"/>
        <v>7.0243303988368062</v>
      </c>
      <c r="E28" s="385">
        <f t="shared" si="1"/>
        <v>7.8439244027255395</v>
      </c>
      <c r="F28" s="385">
        <f t="shared" si="2"/>
        <v>7.9155000238454916</v>
      </c>
      <c r="G28" s="110">
        <f t="shared" si="21"/>
        <v>0.50351401886190172</v>
      </c>
      <c r="H28" s="414" t="b">
        <f>Wh_hp&gt;='2020'!Maxi_hp</f>
        <v>0</v>
      </c>
      <c r="I28" s="380">
        <f>IF(H28,Wh_hp,'2020'!Maxi_hp)</f>
        <v>14.664441143503488</v>
      </c>
      <c r="J28" s="85">
        <f>IF(H28,An,'2020'!An_max)</f>
        <v>2020</v>
      </c>
      <c r="K28" s="197">
        <f t="shared" si="3"/>
        <v>44210</v>
      </c>
      <c r="L28" s="147">
        <f>IF(t&lt;Tvie,1-EXP((T0-t)*PertePVj)+'2020'!Pspv,1-EXP((T0-t)*PertePVj)+Pspv)</f>
        <v>2.1686109591603442E-2</v>
      </c>
      <c r="M28" s="850"/>
      <c r="N28" s="850"/>
      <c r="O28" s="48">
        <f>IF(t&lt;Tnet,'2020'!Resal+('2020'!Salim-'2020'!Resal)*(1-EXP(('2020'!Tnet-t)/('2020'!Tau_j))),Resal+(Salim-Resal)*(1-EXP((Tnet-t)/(Tau_j))))*Salcycl</f>
        <v>0.10448774896452948</v>
      </c>
      <c r="P28" s="169">
        <f>(INDEX(Models!$BJ28:$BT28,,T28)*(1-R28)+INDEX(Models!$BJ28:$BT28,,T28+1)*R28-ERP_i)*Q28*Ramure*Pc/MaxiM</f>
        <v>2.955637845478357E-2</v>
      </c>
      <c r="Q28" s="305">
        <f t="shared" si="4"/>
        <v>0.7</v>
      </c>
      <c r="R28" s="177">
        <f t="shared" si="5"/>
        <v>0.20029545331782239</v>
      </c>
      <c r="S28" s="817">
        <f t="shared" si="6"/>
        <v>-1</v>
      </c>
      <c r="T28" s="176">
        <f t="shared" si="7"/>
        <v>5</v>
      </c>
      <c r="U28" s="251">
        <f t="shared" si="8"/>
        <v>-0.79970454668217761</v>
      </c>
      <c r="V28" s="383">
        <f t="shared" si="9"/>
        <v>13.365550436732956</v>
      </c>
      <c r="W28" s="402"/>
      <c r="X28" s="157">
        <f t="shared" si="10"/>
        <v>44210</v>
      </c>
      <c r="Y28" s="385">
        <f t="shared" si="11"/>
        <v>6.8719999999999999</v>
      </c>
      <c r="Z28" s="385">
        <f t="shared" si="12"/>
        <v>7.0243303988368062</v>
      </c>
      <c r="AA28" s="386">
        <f t="shared" si="13"/>
        <v>7.8439244027255395</v>
      </c>
      <c r="AB28" s="197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0.10448774896452948</v>
      </c>
      <c r="AD28" s="231">
        <f>(INDEX(Models!$BJ28:$BT28,,AH28)*(1-AF28)+INDEX(Models!$BJ28:$BT28,,AH28+1)*AF28-ERP_i)*AE28*Ramure*Pc/MaxiM</f>
        <v>2.955637845478357E-2</v>
      </c>
      <c r="AE28" s="305">
        <f t="shared" si="15"/>
        <v>0.7</v>
      </c>
      <c r="AF28" s="177">
        <f t="shared" si="22"/>
        <v>0.20029545331782239</v>
      </c>
      <c r="AG28" s="817">
        <f t="shared" si="23"/>
        <v>-1</v>
      </c>
      <c r="AH28" s="176">
        <f t="shared" si="16"/>
        <v>5</v>
      </c>
      <c r="AI28" s="225">
        <f t="shared" si="17"/>
        <v>-0.79970454668217761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44211</v>
      </c>
      <c r="B29" s="617">
        <v>9.8800000000000008</v>
      </c>
      <c r="C29" s="390"/>
      <c r="D29" s="393">
        <f t="shared" si="0"/>
        <v>10.099229397603281</v>
      </c>
      <c r="E29" s="385">
        <f t="shared" si="1"/>
        <v>11.278185112065938</v>
      </c>
      <c r="F29" s="385">
        <f t="shared" si="2"/>
        <v>11.486564725704945</v>
      </c>
      <c r="G29" s="110">
        <f t="shared" si="21"/>
        <v>0.72120742763488022</v>
      </c>
      <c r="H29" s="414" t="b">
        <f>Wh_hp&gt;='2020'!Maxi_hp</f>
        <v>0</v>
      </c>
      <c r="I29" s="380">
        <f>IF(H29,Wh_hp,'2020'!Maxi_hp)</f>
        <v>15.949981702502878</v>
      </c>
      <c r="J29" s="85">
        <f>IF(H29,An,'2020'!An_max)</f>
        <v>2019</v>
      </c>
      <c r="K29" s="197">
        <f t="shared" si="3"/>
        <v>44211</v>
      </c>
      <c r="L29" s="147">
        <f>IF(t&lt;Tvie,1-EXP((T0-t)*PertePVj)+'2020'!Pspv,1-EXP((T0-t)*PertePVj)+Pspv)</f>
        <v>2.1707537176579805E-2</v>
      </c>
      <c r="M29" s="850"/>
      <c r="N29" s="850"/>
      <c r="O29" s="48">
        <f>IF(t&lt;Tnet,'2020'!Resal+('2020'!Salim-'2020'!Resal)*(1-EXP(('2020'!Tnet-t)/('2020'!Tau_j))),Resal+(Salim-Resal)*(1-EXP((Tnet-t)/(Tau_j))))*Salcycl</f>
        <v>0.10453416952709468</v>
      </c>
      <c r="P29" s="169">
        <f>(INDEX(Models!$BJ29:$BT29,,T29)*(1-R29)+INDEX(Models!$BJ29:$BT29,,T29+1)*R29-ERP_i)*Q29*Ramure*Pc/MaxiM</f>
        <v>2.9553513291731365E-2</v>
      </c>
      <c r="Q29" s="305">
        <f t="shared" si="4"/>
        <v>0.7</v>
      </c>
      <c r="R29" s="177">
        <f t="shared" si="5"/>
        <v>0.2003253002940798</v>
      </c>
      <c r="S29" s="817">
        <f t="shared" si="6"/>
        <v>-1</v>
      </c>
      <c r="T29" s="176">
        <f t="shared" si="7"/>
        <v>5</v>
      </c>
      <c r="U29" s="251">
        <f t="shared" si="8"/>
        <v>-0.7996746997059202</v>
      </c>
      <c r="V29" s="383">
        <f t="shared" si="9"/>
        <v>13.540019552330289</v>
      </c>
      <c r="W29" s="402"/>
      <c r="X29" s="157">
        <f t="shared" si="10"/>
        <v>44211</v>
      </c>
      <c r="Y29" s="385">
        <f t="shared" si="11"/>
        <v>9.8800000000000008</v>
      </c>
      <c r="Z29" s="385">
        <f t="shared" si="12"/>
        <v>10.099229397603281</v>
      </c>
      <c r="AA29" s="386">
        <f t="shared" si="13"/>
        <v>11.278185112065938</v>
      </c>
      <c r="AB29" s="197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0.10453416952709468</v>
      </c>
      <c r="AD29" s="231">
        <f>(INDEX(Models!$BJ29:$BT29,,AH29)*(1-AF29)+INDEX(Models!$BJ29:$BT29,,AH29+1)*AF29-ERP_i)*AE29*Ramure*Pc/MaxiM</f>
        <v>2.9553513291731365E-2</v>
      </c>
      <c r="AE29" s="305">
        <f t="shared" si="15"/>
        <v>0.7</v>
      </c>
      <c r="AF29" s="177">
        <f t="shared" si="22"/>
        <v>0.2003253002940798</v>
      </c>
      <c r="AG29" s="817">
        <f t="shared" si="23"/>
        <v>-1</v>
      </c>
      <c r="AH29" s="176">
        <f t="shared" si="16"/>
        <v>5</v>
      </c>
      <c r="AI29" s="225">
        <f t="shared" si="17"/>
        <v>-0.7996746997059202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44212</v>
      </c>
      <c r="B30" s="617">
        <v>10.75</v>
      </c>
      <c r="C30" s="390"/>
      <c r="D30" s="393">
        <f t="shared" si="0"/>
        <v>10.98877469291785</v>
      </c>
      <c r="E30" s="385">
        <f t="shared" si="1"/>
        <v>12.272210326867709</v>
      </c>
      <c r="F30" s="385">
        <f t="shared" si="2"/>
        <v>12.52776570116368</v>
      </c>
      <c r="G30" s="110">
        <f t="shared" si="21"/>
        <v>0.77626843040985793</v>
      </c>
      <c r="H30" s="414" t="b">
        <f>Wh_hp&gt;='2020'!Maxi_hp</f>
        <v>0</v>
      </c>
      <c r="I30" s="380">
        <f>IF(H30,Wh_hp,'2020'!Maxi_hp)</f>
        <v>16.019195087991264</v>
      </c>
      <c r="J30" s="85">
        <f>IF(H30,An,'2020'!An_max)</f>
        <v>2019</v>
      </c>
      <c r="K30" s="197">
        <f t="shared" si="3"/>
        <v>44212</v>
      </c>
      <c r="L30" s="147">
        <f>IF(t&lt;Tvie,1-EXP((T0-t)*PertePVj)+'2020'!Pspv,1-EXP((T0-t)*PertePVj)+Pspv)</f>
        <v>2.1728964292237141E-2</v>
      </c>
      <c r="M30" s="850"/>
      <c r="N30" s="850"/>
      <c r="O30" s="48">
        <f>IF(t&lt;Tnet,'2020'!Resal+('2020'!Salim-'2020'!Resal)*(1-EXP(('2020'!Tnet-t)/('2020'!Tau_j))),Resal+(Salim-Resal)*(1-EXP((Tnet-t)/(Tau_j))))*Salcycl</f>
        <v>0.1045806419353828</v>
      </c>
      <c r="P30" s="169">
        <f>(INDEX(Models!$BJ30:$BT30,,T30)*(1-R30)+INDEX(Models!$BJ30:$BT30,,T30+1)*R30-ERP_i)*Q30*Ramure*Pc/MaxiM</f>
        <v>2.9529010634474655E-2</v>
      </c>
      <c r="Q30" s="305">
        <f t="shared" si="4"/>
        <v>0.7</v>
      </c>
      <c r="R30" s="177">
        <f t="shared" si="5"/>
        <v>0.20035639308972664</v>
      </c>
      <c r="S30" s="817">
        <f t="shared" si="6"/>
        <v>-1</v>
      </c>
      <c r="T30" s="176">
        <f t="shared" si="7"/>
        <v>5</v>
      </c>
      <c r="U30" s="251">
        <f t="shared" si="8"/>
        <v>-0.79964360691027336</v>
      </c>
      <c r="V30" s="383">
        <f t="shared" si="9"/>
        <v>13.719236091008284</v>
      </c>
      <c r="W30" s="402"/>
      <c r="X30" s="157">
        <f t="shared" si="10"/>
        <v>44212</v>
      </c>
      <c r="Y30" s="385">
        <f t="shared" si="11"/>
        <v>10.75</v>
      </c>
      <c r="Z30" s="385">
        <f t="shared" si="12"/>
        <v>10.98877469291785</v>
      </c>
      <c r="AA30" s="386">
        <f t="shared" si="13"/>
        <v>12.272210326867709</v>
      </c>
      <c r="AB30" s="197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0.1045806419353828</v>
      </c>
      <c r="AD30" s="231">
        <f>(INDEX(Models!$BJ30:$BT30,,AH30)*(1-AF30)+INDEX(Models!$BJ30:$BT30,,AH30+1)*AF30-ERP_i)*AE30*Ramure*Pc/MaxiM</f>
        <v>2.9529010634474655E-2</v>
      </c>
      <c r="AE30" s="305">
        <f t="shared" si="15"/>
        <v>0.7</v>
      </c>
      <c r="AF30" s="177">
        <f t="shared" si="22"/>
        <v>0.20035639308972664</v>
      </c>
      <c r="AG30" s="817">
        <f t="shared" si="23"/>
        <v>-1</v>
      </c>
      <c r="AH30" s="176">
        <f t="shared" si="16"/>
        <v>5</v>
      </c>
      <c r="AI30" s="225">
        <f t="shared" si="17"/>
        <v>-0.79964360691027336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44213</v>
      </c>
      <c r="B31" s="617">
        <v>3.698</v>
      </c>
      <c r="C31" s="390"/>
      <c r="D31" s="393">
        <f t="shared" si="0"/>
        <v>3.7802212909116939</v>
      </c>
      <c r="E31" s="385">
        <f t="shared" si="1"/>
        <v>4.2219522018417734</v>
      </c>
      <c r="F31" s="385">
        <f t="shared" si="2"/>
        <v>4.2219522018417734</v>
      </c>
      <c r="G31" s="110">
        <f t="shared" si="21"/>
        <v>0.25813819262216892</v>
      </c>
      <c r="H31" s="414" t="b">
        <f>Wh_hp&gt;='2020'!Maxi_hp</f>
        <v>0</v>
      </c>
      <c r="I31" s="380">
        <f>IF(H31,Wh_hp,'2020'!Maxi_hp)</f>
        <v>6.9482737869840507</v>
      </c>
      <c r="J31" s="85">
        <f>IF(H31,An,'2020'!An_max)</f>
        <v>2019</v>
      </c>
      <c r="K31" s="197">
        <f t="shared" si="3"/>
        <v>44213</v>
      </c>
      <c r="L31" s="147">
        <f>IF(t&lt;Tvie,1-EXP((T0-t)*PertePVj)+'2020'!Pspv,1-EXP((T0-t)*PertePVj)+Pspv)</f>
        <v>2.1750390938585551E-2</v>
      </c>
      <c r="M31" s="850"/>
      <c r="N31" s="850"/>
      <c r="O31" s="48">
        <f>IF(t&lt;Tnet,'2020'!Resal+('2020'!Salim-'2020'!Resal)*(1-EXP(('2020'!Tnet-t)/('2020'!Tau_j))),Resal+(Salim-Resal)*(1-EXP((Tnet-t)/(Tau_j))))*Salcycl</f>
        <v>0.10462717004171199</v>
      </c>
      <c r="P31" s="169">
        <f>(INDEX(Models!$BJ31:$BT31,,T31)*(1-R31)+INDEX(Models!$BJ31:$BT31,,T31+1)*R31-ERP_i)*Q31*Ramure*Pc/MaxiM</f>
        <v>2.9483516570374076E-2</v>
      </c>
      <c r="Q31" s="305">
        <f t="shared" si="4"/>
        <v>0.7</v>
      </c>
      <c r="R31" s="177">
        <f t="shared" si="5"/>
        <v>0.20038878343001765</v>
      </c>
      <c r="S31" s="817">
        <f t="shared" si="6"/>
        <v>-1</v>
      </c>
      <c r="T31" s="176">
        <f t="shared" si="7"/>
        <v>5</v>
      </c>
      <c r="U31" s="251">
        <f t="shared" si="8"/>
        <v>-0.79961121656998235</v>
      </c>
      <c r="V31" s="383">
        <f t="shared" si="9"/>
        <v>13.90328923924811</v>
      </c>
      <c r="W31" s="402"/>
      <c r="X31" s="157">
        <f t="shared" si="10"/>
        <v>44213</v>
      </c>
      <c r="Y31" s="385">
        <f t="shared" si="11"/>
        <v>3.698</v>
      </c>
      <c r="Z31" s="385">
        <f t="shared" si="12"/>
        <v>3.7802212909116939</v>
      </c>
      <c r="AA31" s="386">
        <f t="shared" si="13"/>
        <v>4.2219522018417734</v>
      </c>
      <c r="AB31" s="197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0.10462717004171199</v>
      </c>
      <c r="AD31" s="231">
        <f>(INDEX(Models!$BJ31:$BT31,,AH31)*(1-AF31)+INDEX(Models!$BJ31:$BT31,,AH31+1)*AF31-ERP_i)*AE31*Ramure*Pc/MaxiM</f>
        <v>2.9483516570374076E-2</v>
      </c>
      <c r="AE31" s="305">
        <f t="shared" si="15"/>
        <v>0.7</v>
      </c>
      <c r="AF31" s="177">
        <f t="shared" si="22"/>
        <v>0.20038878343001765</v>
      </c>
      <c r="AG31" s="817">
        <f t="shared" si="23"/>
        <v>-1</v>
      </c>
      <c r="AH31" s="176">
        <f t="shared" si="16"/>
        <v>5</v>
      </c>
      <c r="AI31" s="225">
        <f t="shared" si="17"/>
        <v>-0.79961121656998235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44214</v>
      </c>
      <c r="B32" s="617">
        <v>13.895</v>
      </c>
      <c r="C32" s="390"/>
      <c r="D32" s="393">
        <f t="shared" si="0"/>
        <v>14.204252385194788</v>
      </c>
      <c r="E32" s="385">
        <f t="shared" si="1"/>
        <v>15.864890053449232</v>
      </c>
      <c r="F32" s="385">
        <f t="shared" si="2"/>
        <v>16.33584148224859</v>
      </c>
      <c r="G32" s="110">
        <f t="shared" si="21"/>
        <v>0.98540433911190217</v>
      </c>
      <c r="H32" s="414" t="b">
        <f>Wh_hp&gt;='2020'!Maxi_hp</f>
        <v>1</v>
      </c>
      <c r="I32" s="380">
        <f>IF(H32,Wh_hp,'2020'!Maxi_hp)</f>
        <v>16.33584148224859</v>
      </c>
      <c r="J32" s="85">
        <f>IF(H32,An,'2020'!An_max)</f>
        <v>2021</v>
      </c>
      <c r="K32" s="197">
        <f t="shared" si="3"/>
        <v>44214</v>
      </c>
      <c r="L32" s="147">
        <f>IF(t&lt;Tvie,1-EXP((T0-t)*PertePVj)+'2020'!Pspv,1-EXP((T0-t)*PertePVj)+Pspv)</f>
        <v>2.1771817115635361E-2</v>
      </c>
      <c r="M32" s="850"/>
      <c r="N32" s="850"/>
      <c r="O32" s="48">
        <f>IF(t&lt;Tnet,'2020'!Resal+('2020'!Salim-'2020'!Resal)*(1-EXP(('2020'!Tnet-t)/('2020'!Tau_j))),Resal+(Salim-Resal)*(1-EXP((Tnet-t)/(Tau_j))))*Salcycl</f>
        <v>0.10467375838469176</v>
      </c>
      <c r="P32" s="169">
        <f>(INDEX(Models!$BJ32:$BT32,,T32)*(1-R32)+INDEX(Models!$BJ32:$BT32,,T32+1)*R32-ERP_i)*Q32*Ramure*Pc/MaxiM</f>
        <v>2.9417618719426067E-2</v>
      </c>
      <c r="Q32" s="305">
        <f t="shared" si="4"/>
        <v>0.7</v>
      </c>
      <c r="R32" s="177">
        <f t="shared" si="5"/>
        <v>0.20042252516425973</v>
      </c>
      <c r="S32" s="817">
        <f t="shared" si="6"/>
        <v>-1</v>
      </c>
      <c r="T32" s="176">
        <f t="shared" si="7"/>
        <v>5</v>
      </c>
      <c r="U32" s="251">
        <f t="shared" si="8"/>
        <v>-0.79957747483574027</v>
      </c>
      <c r="V32" s="383">
        <f t="shared" si="9"/>
        <v>14.092269110904409</v>
      </c>
      <c r="W32" s="402"/>
      <c r="X32" s="157">
        <f t="shared" si="10"/>
        <v>44214</v>
      </c>
      <c r="Y32" s="385">
        <f t="shared" si="11"/>
        <v>13.895</v>
      </c>
      <c r="Z32" s="385">
        <f t="shared" si="12"/>
        <v>14.204252385194788</v>
      </c>
      <c r="AA32" s="386">
        <f t="shared" si="13"/>
        <v>15.864890053449232</v>
      </c>
      <c r="AB32" s="197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0.10467375838469176</v>
      </c>
      <c r="AD32" s="231">
        <f>(INDEX(Models!$BJ32:$BT32,,AH32)*(1-AF32)+INDEX(Models!$BJ32:$BT32,,AH32+1)*AF32-ERP_i)*AE32*Ramure*Pc/MaxiM</f>
        <v>2.9417618719426067E-2</v>
      </c>
      <c r="AE32" s="305">
        <f t="shared" si="15"/>
        <v>0.7</v>
      </c>
      <c r="AF32" s="177">
        <f t="shared" si="22"/>
        <v>0.20042252516425973</v>
      </c>
      <c r="AG32" s="817">
        <f t="shared" si="23"/>
        <v>-1</v>
      </c>
      <c r="AH32" s="176">
        <f t="shared" si="16"/>
        <v>5</v>
      </c>
      <c r="AI32" s="225">
        <f t="shared" si="17"/>
        <v>-0.79957747483574027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44215</v>
      </c>
      <c r="B33" s="617">
        <v>14.312000000000001</v>
      </c>
      <c r="C33" s="390"/>
      <c r="D33" s="393">
        <f t="shared" si="0"/>
        <v>14.63085374845366</v>
      </c>
      <c r="E33" s="385">
        <f t="shared" si="1"/>
        <v>16.342217497273655</v>
      </c>
      <c r="F33" s="385">
        <f t="shared" si="2"/>
        <v>16.836051106728092</v>
      </c>
      <c r="G33" s="110">
        <f t="shared" si="21"/>
        <v>1.0018013252302362</v>
      </c>
      <c r="H33" s="414" t="b">
        <f>Wh_hp&gt;='2020'!Maxi_hp</f>
        <v>1</v>
      </c>
      <c r="I33" s="380">
        <f>IF(H33,Wh_hp,'2020'!Maxi_hp)</f>
        <v>16.836051106728092</v>
      </c>
      <c r="J33" s="85">
        <f>IF(H33,An,'2020'!An_max)</f>
        <v>2021</v>
      </c>
      <c r="K33" s="197">
        <f t="shared" si="3"/>
        <v>44215</v>
      </c>
      <c r="L33" s="147">
        <f>IF(t&lt;Tvie,1-EXP((T0-t)*PertePVj)+'2020'!Pspv,1-EXP((T0-t)*PertePVj)+Pspv)</f>
        <v>2.1793242823397008E-2</v>
      </c>
      <c r="M33" s="850"/>
      <c r="N33" s="850"/>
      <c r="O33" s="48">
        <f>IF(t&lt;Tnet,'2020'!Resal+('2020'!Salim-'2020'!Resal)*(1-EXP(('2020'!Tnet-t)/('2020'!Tau_j))),Resal+(Salim-Resal)*(1-EXP((Tnet-t)/(Tau_j))))*Salcycl</f>
        <v>0.10472041197013189</v>
      </c>
      <c r="P33" s="169">
        <f>(INDEX(Models!$BJ33:$BT33,,T33)*(1-R33)+INDEX(Models!$BJ33:$BT33,,T33+1)*R33-ERP_i)*Q33*Ramure*Pc/MaxiM</f>
        <v>2.9331914373738711E-2</v>
      </c>
      <c r="Q33" s="305">
        <f t="shared" si="4"/>
        <v>0.7</v>
      </c>
      <c r="R33" s="177">
        <f t="shared" si="5"/>
        <v>0.20045767435102357</v>
      </c>
      <c r="S33" s="817">
        <f t="shared" si="6"/>
        <v>-1</v>
      </c>
      <c r="T33" s="176">
        <f t="shared" si="7"/>
        <v>5</v>
      </c>
      <c r="U33" s="251">
        <f t="shared" si="8"/>
        <v>-0.79954232564897643</v>
      </c>
      <c r="V33" s="383">
        <f t="shared" si="9"/>
        <v>14.286265788988434</v>
      </c>
      <c r="W33" s="402"/>
      <c r="X33" s="157">
        <f t="shared" si="10"/>
        <v>44215</v>
      </c>
      <c r="Y33" s="385">
        <f t="shared" si="11"/>
        <v>14.312000000000001</v>
      </c>
      <c r="Z33" s="385">
        <f t="shared" si="12"/>
        <v>14.63085374845366</v>
      </c>
      <c r="AA33" s="386">
        <f t="shared" si="13"/>
        <v>16.342217497273655</v>
      </c>
      <c r="AB33" s="197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0.10472041197013189</v>
      </c>
      <c r="AD33" s="231">
        <f>(INDEX(Models!$BJ33:$BT33,,AH33)*(1-AF33)+INDEX(Models!$BJ33:$BT33,,AH33+1)*AF33-ERP_i)*AE33*Ramure*Pc/MaxiM</f>
        <v>2.9331914373738711E-2</v>
      </c>
      <c r="AE33" s="305">
        <f t="shared" si="15"/>
        <v>0.7</v>
      </c>
      <c r="AF33" s="177">
        <f t="shared" si="22"/>
        <v>0.20045767435102357</v>
      </c>
      <c r="AG33" s="817">
        <f t="shared" si="23"/>
        <v>-1</v>
      </c>
      <c r="AH33" s="176">
        <f t="shared" si="16"/>
        <v>5</v>
      </c>
      <c r="AI33" s="225">
        <f t="shared" si="17"/>
        <v>-0.79954232564897643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44216</v>
      </c>
      <c r="B34" s="617">
        <v>3.8770000000000002</v>
      </c>
      <c r="C34" s="390"/>
      <c r="D34" s="393">
        <f t="shared" si="0"/>
        <v>3.9634615991617239</v>
      </c>
      <c r="E34" s="385">
        <f t="shared" si="1"/>
        <v>4.4272968060106166</v>
      </c>
      <c r="F34" s="385">
        <f t="shared" si="2"/>
        <v>4.4272968060106166</v>
      </c>
      <c r="G34" s="110">
        <f t="shared" si="21"/>
        <v>0.25982678103741169</v>
      </c>
      <c r="H34" s="414" t="b">
        <f>Wh_hp&gt;='2020'!Maxi_hp</f>
        <v>0</v>
      </c>
      <c r="I34" s="380">
        <f>IF(H34,Wh_hp,'2020'!Maxi_hp)</f>
        <v>7.5521238527845549</v>
      </c>
      <c r="J34" s="85">
        <f>IF(H34,An,'2020'!An_max)</f>
        <v>2020</v>
      </c>
      <c r="K34" s="197">
        <f t="shared" si="3"/>
        <v>44216</v>
      </c>
      <c r="L34" s="147">
        <f>IF(t&lt;Tvie,1-EXP((T0-t)*PertePVj)+'2020'!Pspv,1-EXP((T0-t)*PertePVj)+Pspv)</f>
        <v>2.1814668061880704E-2</v>
      </c>
      <c r="M34" s="850"/>
      <c r="N34" s="850"/>
      <c r="O34" s="48">
        <f>IF(t&lt;Tnet,'2020'!Resal+('2020'!Salim-'2020'!Resal)*(1-EXP(('2020'!Tnet-t)/('2020'!Tau_j))),Resal+(Salim-Resal)*(1-EXP((Tnet-t)/(Tau_j))))*Salcycl</f>
        <v>0.10476713605900052</v>
      </c>
      <c r="P34" s="169">
        <f>(INDEX(Models!$BJ34:$BT34,,T34)*(1-R34)+INDEX(Models!$BJ34:$BT34,,T34+1)*R34-ERP_i)*Q34*Ramure*Pc/MaxiM</f>
        <v>2.9227172137567713E-2</v>
      </c>
      <c r="Q34" s="305">
        <f t="shared" si="4"/>
        <v>0.7</v>
      </c>
      <c r="R34" s="177">
        <f t="shared" si="5"/>
        <v>0.20049428934659863</v>
      </c>
      <c r="S34" s="817">
        <f t="shared" si="6"/>
        <v>-1</v>
      </c>
      <c r="T34" s="176">
        <f t="shared" si="7"/>
        <v>5</v>
      </c>
      <c r="U34" s="251">
        <f t="shared" si="8"/>
        <v>-0.79950571065340137</v>
      </c>
      <c r="V34" s="383">
        <f t="shared" si="9"/>
        <v>14.485366899421839</v>
      </c>
      <c r="W34" s="402"/>
      <c r="X34" s="157">
        <f t="shared" si="10"/>
        <v>44216</v>
      </c>
      <c r="Y34" s="385">
        <f t="shared" si="11"/>
        <v>3.8770000000000002</v>
      </c>
      <c r="Z34" s="385">
        <f t="shared" si="12"/>
        <v>3.9634615991617239</v>
      </c>
      <c r="AA34" s="386">
        <f t="shared" si="13"/>
        <v>4.4272968060106166</v>
      </c>
      <c r="AB34" s="197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0.10476713605900052</v>
      </c>
      <c r="AD34" s="231">
        <f>(INDEX(Models!$BJ34:$BT34,,AH34)*(1-AF34)+INDEX(Models!$BJ34:$BT34,,AH34+1)*AF34-ERP_i)*AE34*Ramure*Pc/MaxiM</f>
        <v>2.9227172137567713E-2</v>
      </c>
      <c r="AE34" s="305">
        <f t="shared" si="15"/>
        <v>0.7</v>
      </c>
      <c r="AF34" s="177">
        <f t="shared" si="22"/>
        <v>0.20049428934659863</v>
      </c>
      <c r="AG34" s="817">
        <f t="shared" si="23"/>
        <v>-1</v>
      </c>
      <c r="AH34" s="176">
        <f t="shared" si="16"/>
        <v>5</v>
      </c>
      <c r="AI34" s="225">
        <f t="shared" si="17"/>
        <v>-0.79950571065340137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44217</v>
      </c>
      <c r="B35" s="617">
        <v>7.9060000000000006</v>
      </c>
      <c r="C35" s="390"/>
      <c r="D35" s="393">
        <f t="shared" si="0"/>
        <v>8.0824900019898607</v>
      </c>
      <c r="E35" s="385">
        <f t="shared" si="1"/>
        <v>9.0288380558050481</v>
      </c>
      <c r="F35" s="385">
        <f t="shared" si="2"/>
        <v>9.11915258308502</v>
      </c>
      <c r="G35" s="110">
        <f t="shared" si="21"/>
        <v>0.52776468297911838</v>
      </c>
      <c r="H35" s="414" t="b">
        <f>Wh_hp&gt;='2020'!Maxi_hp</f>
        <v>1</v>
      </c>
      <c r="I35" s="380">
        <f>IF(H35,Wh_hp,'2020'!Maxi_hp)</f>
        <v>9.11915258308502</v>
      </c>
      <c r="J35" s="85">
        <f>IF(H35,An,'2020'!An_max)</f>
        <v>2021</v>
      </c>
      <c r="K35" s="197">
        <f t="shared" si="3"/>
        <v>44217</v>
      </c>
      <c r="L35" s="147">
        <f>IF(t&lt;Tvie,1-EXP((T0-t)*PertePVj)+'2020'!Pspv,1-EXP((T0-t)*PertePVj)+Pspv)</f>
        <v>2.1836092831096554E-2</v>
      </c>
      <c r="M35" s="850"/>
      <c r="N35" s="850"/>
      <c r="O35" s="48">
        <f>IF(t&lt;Tnet,'2020'!Resal+('2020'!Salim-'2020'!Resal)*(1-EXP(('2020'!Tnet-t)/('2020'!Tau_j))),Resal+(Salim-Resal)*(1-EXP((Tnet-t)/(Tau_j))))*Salcycl</f>
        <v>0.10481393596452179</v>
      </c>
      <c r="P35" s="169">
        <f>(INDEX(Models!$BJ35:$BT35,,T35)*(1-R35)+INDEX(Models!$BJ35:$BT35,,T35+1)*R35-ERP_i)*Q35*Ramure*Pc/MaxiM</f>
        <v>2.9104238100197331E-2</v>
      </c>
      <c r="Q35" s="305">
        <f t="shared" si="4"/>
        <v>0.7</v>
      </c>
      <c r="R35" s="177">
        <f t="shared" si="5"/>
        <v>0.20053243089680461</v>
      </c>
      <c r="S35" s="817">
        <f t="shared" si="6"/>
        <v>-1</v>
      </c>
      <c r="T35" s="176">
        <f t="shared" si="7"/>
        <v>5</v>
      </c>
      <c r="U35" s="251">
        <f t="shared" si="8"/>
        <v>-0.79946756910319539</v>
      </c>
      <c r="V35" s="383">
        <f t="shared" si="9"/>
        <v>14.689658840927063</v>
      </c>
      <c r="W35" s="402"/>
      <c r="X35" s="157">
        <f t="shared" si="10"/>
        <v>44217</v>
      </c>
      <c r="Y35" s="385">
        <f t="shared" si="11"/>
        <v>7.9060000000000006</v>
      </c>
      <c r="Z35" s="385">
        <f t="shared" si="12"/>
        <v>8.0824900019898607</v>
      </c>
      <c r="AA35" s="386">
        <f t="shared" si="13"/>
        <v>9.0288380558050481</v>
      </c>
      <c r="AB35" s="197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0.10481393596452179</v>
      </c>
      <c r="AD35" s="231">
        <f>(INDEX(Models!$BJ35:$BT35,,AH35)*(1-AF35)+INDEX(Models!$BJ35:$BT35,,AH35+1)*AF35-ERP_i)*AE35*Ramure*Pc/MaxiM</f>
        <v>2.9104238100197331E-2</v>
      </c>
      <c r="AE35" s="305">
        <f t="shared" si="15"/>
        <v>0.7</v>
      </c>
      <c r="AF35" s="177">
        <f t="shared" si="22"/>
        <v>0.20053243089680461</v>
      </c>
      <c r="AG35" s="817">
        <f t="shared" si="23"/>
        <v>-1</v>
      </c>
      <c r="AH35" s="176">
        <f t="shared" si="16"/>
        <v>5</v>
      </c>
      <c r="AI35" s="225">
        <f t="shared" si="17"/>
        <v>-0.79946756910319539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44218</v>
      </c>
      <c r="B36" s="617">
        <v>3.52</v>
      </c>
      <c r="C36" s="390"/>
      <c r="D36" s="393">
        <f t="shared" si="0"/>
        <v>3.5986577228254615</v>
      </c>
      <c r="E36" s="385">
        <f t="shared" si="1"/>
        <v>4.0202214254585824</v>
      </c>
      <c r="F36" s="385">
        <f t="shared" si="2"/>
        <v>4.0202214254585824</v>
      </c>
      <c r="G36" s="110">
        <f t="shared" si="21"/>
        <v>0.22941100685303709</v>
      </c>
      <c r="H36" s="414" t="b">
        <f>Wh_hp&gt;='2020'!Maxi_hp</f>
        <v>0</v>
      </c>
      <c r="I36" s="380">
        <f>IF(H36,Wh_hp,'2020'!Maxi_hp)</f>
        <v>7.454712883307038</v>
      </c>
      <c r="J36" s="85">
        <f>IF(H36,An,'2020'!An_max)</f>
        <v>2019</v>
      </c>
      <c r="K36" s="197">
        <f t="shared" si="3"/>
        <v>44218</v>
      </c>
      <c r="L36" s="147">
        <f>IF(t&lt;Tvie,1-EXP((T0-t)*PertePVj)+'2020'!Pspv,1-EXP((T0-t)*PertePVj)+Pspv)</f>
        <v>2.1857517131055104E-2</v>
      </c>
      <c r="M36" s="850"/>
      <c r="N36" s="850"/>
      <c r="O36" s="48">
        <f>IF(t&lt;Tnet,'2020'!Resal+('2020'!Salim-'2020'!Resal)*(1-EXP(('2020'!Tnet-t)/('2020'!Tau_j))),Resal+(Salim-Resal)*(1-EXP((Tnet-t)/(Tau_j))))*Salcycl</f>
        <v>0.10486081686036319</v>
      </c>
      <c r="P36" s="169">
        <f>(INDEX(Models!$BJ36:$BT36,,T36)*(1-R36)+INDEX(Models!$BJ36:$BT36,,T36+1)*R36-ERP_i)*Q36*Ramure*Pc/MaxiM</f>
        <v>2.8963833656180795E-2</v>
      </c>
      <c r="Q36" s="305">
        <f t="shared" si="4"/>
        <v>0.7</v>
      </c>
      <c r="R36" s="177">
        <f t="shared" si="5"/>
        <v>0.20057216223226593</v>
      </c>
      <c r="S36" s="817">
        <f t="shared" si="6"/>
        <v>-1</v>
      </c>
      <c r="T36" s="176">
        <f t="shared" si="7"/>
        <v>5</v>
      </c>
      <c r="U36" s="251">
        <f t="shared" si="8"/>
        <v>-0.79942783776773407</v>
      </c>
      <c r="V36" s="383">
        <f t="shared" si="9"/>
        <v>14.899229781594039</v>
      </c>
      <c r="W36" s="402"/>
      <c r="X36" s="157">
        <f t="shared" si="10"/>
        <v>44218</v>
      </c>
      <c r="Y36" s="385">
        <f t="shared" si="11"/>
        <v>3.5200000000000005</v>
      </c>
      <c r="Z36" s="385">
        <f t="shared" si="12"/>
        <v>3.5986577228254619</v>
      </c>
      <c r="AA36" s="386">
        <f t="shared" si="13"/>
        <v>4.0202214254585824</v>
      </c>
      <c r="AB36" s="197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0.10486081686036319</v>
      </c>
      <c r="AD36" s="231">
        <f>(INDEX(Models!$BJ36:$BT36,,AH36)*(1-AF36)+INDEX(Models!$BJ36:$BT36,,AH36+1)*AF36-ERP_i)*AE36*Ramure*Pc/MaxiM</f>
        <v>2.8963833656180795E-2</v>
      </c>
      <c r="AE36" s="305">
        <f t="shared" si="15"/>
        <v>0.7</v>
      </c>
      <c r="AF36" s="177">
        <f t="shared" si="22"/>
        <v>0.20057216223226593</v>
      </c>
      <c r="AG36" s="817">
        <f t="shared" si="23"/>
        <v>-1</v>
      </c>
      <c r="AH36" s="176">
        <f t="shared" si="16"/>
        <v>5</v>
      </c>
      <c r="AI36" s="225">
        <f t="shared" si="17"/>
        <v>-0.79942783776773407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44219</v>
      </c>
      <c r="B37" s="617">
        <v>5.4470000000000001</v>
      </c>
      <c r="C37" s="390"/>
      <c r="D37" s="393">
        <f t="shared" si="0"/>
        <v>5.5688403287788564</v>
      </c>
      <c r="E37" s="385">
        <f t="shared" si="1"/>
        <v>6.2215269295793316</v>
      </c>
      <c r="F37" s="385">
        <f t="shared" si="2"/>
        <v>6.2370201472718199</v>
      </c>
      <c r="G37" s="110">
        <f t="shared" si="21"/>
        <v>0.35085789606651374</v>
      </c>
      <c r="H37" s="414" t="b">
        <f>Wh_hp&gt;='2020'!Maxi_hp</f>
        <v>0</v>
      </c>
      <c r="I37" s="380">
        <f>IF(H37,Wh_hp,'2020'!Maxi_hp)</f>
        <v>8.0143224068850838</v>
      </c>
      <c r="J37" s="85">
        <f>IF(H37,An,'2020'!An_max)</f>
        <v>2020</v>
      </c>
      <c r="K37" s="197">
        <f t="shared" si="3"/>
        <v>44219</v>
      </c>
      <c r="L37" s="147">
        <f>IF(t&lt;Tvie,1-EXP((T0-t)*PertePVj)+'2020'!Pspv,1-EXP((T0-t)*PertePVj)+Pspv)</f>
        <v>2.1878940961766347E-2</v>
      </c>
      <c r="M37" s="850"/>
      <c r="N37" s="850"/>
      <c r="O37" s="48">
        <f>IF(t&lt;Tnet,'2020'!Resal+('2020'!Salim-'2020'!Resal)*(1-EXP(('2020'!Tnet-t)/('2020'!Tau_j))),Resal+(Salim-Resal)*(1-EXP((Tnet-t)/(Tau_j))))*Salcycl</f>
        <v>0.1049077836017028</v>
      </c>
      <c r="P37" s="169">
        <f>(INDEX(Models!$BJ37:$BT37,,T37)*(1-R37)+INDEX(Models!$BJ37:$BT37,,T37+1)*R37-ERP_i)*Q37*Ramure*Pc/MaxiM</f>
        <v>2.8804841461479106E-2</v>
      </c>
      <c r="Q37" s="305">
        <f t="shared" si="4"/>
        <v>0.7</v>
      </c>
      <c r="R37" s="177">
        <f t="shared" si="5"/>
        <v>0.2006135491672657</v>
      </c>
      <c r="S37" s="817">
        <f t="shared" si="6"/>
        <v>-1</v>
      </c>
      <c r="T37" s="176">
        <f t="shared" si="7"/>
        <v>5</v>
      </c>
      <c r="U37" s="251">
        <f t="shared" si="8"/>
        <v>-0.7993864508327343</v>
      </c>
      <c r="V37" s="383">
        <f t="shared" si="9"/>
        <v>15.11516146806404</v>
      </c>
      <c r="W37" s="402"/>
      <c r="X37" s="157">
        <f t="shared" si="10"/>
        <v>44219</v>
      </c>
      <c r="Y37" s="385">
        <f t="shared" si="11"/>
        <v>5.4470000000000001</v>
      </c>
      <c r="Z37" s="385">
        <f t="shared" si="12"/>
        <v>5.5688403287788564</v>
      </c>
      <c r="AA37" s="386">
        <f t="shared" si="13"/>
        <v>6.2215269295793316</v>
      </c>
      <c r="AB37" s="197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0.1049077836017028</v>
      </c>
      <c r="AD37" s="231">
        <f>(INDEX(Models!$BJ37:$BT37,,AH37)*(1-AF37)+INDEX(Models!$BJ37:$BT37,,AH37+1)*AF37-ERP_i)*AE37*Ramure*Pc/MaxiM</f>
        <v>2.8804841461479106E-2</v>
      </c>
      <c r="AE37" s="305">
        <f t="shared" si="15"/>
        <v>0.7</v>
      </c>
      <c r="AF37" s="177">
        <f t="shared" si="22"/>
        <v>0.2006135491672657</v>
      </c>
      <c r="AG37" s="817">
        <f t="shared" si="23"/>
        <v>-1</v>
      </c>
      <c r="AH37" s="176">
        <f t="shared" si="16"/>
        <v>5</v>
      </c>
      <c r="AI37" s="225">
        <f t="shared" si="17"/>
        <v>-0.7993864508327343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44220</v>
      </c>
      <c r="B38" s="617">
        <v>9.8849999999999998</v>
      </c>
      <c r="C38" s="390"/>
      <c r="D38" s="393">
        <f t="shared" si="0"/>
        <v>10.106332360670441</v>
      </c>
      <c r="E38" s="385">
        <f t="shared" si="1"/>
        <v>11.291421727818308</v>
      </c>
      <c r="F38" s="385">
        <f t="shared" si="2"/>
        <v>11.452713657210023</v>
      </c>
      <c r="G38" s="110">
        <f t="shared" si="21"/>
        <v>0.63496656479181768</v>
      </c>
      <c r="H38" s="414" t="b">
        <f>Wh_hp&gt;='2020'!Maxi_hp</f>
        <v>1</v>
      </c>
      <c r="I38" s="380">
        <f>IF(H38,Wh_hp,'2020'!Maxi_hp)</f>
        <v>11.452713657210023</v>
      </c>
      <c r="J38" s="85">
        <f>IF(H38,An,'2020'!An_max)</f>
        <v>2021</v>
      </c>
      <c r="K38" s="197">
        <f t="shared" si="3"/>
        <v>44220</v>
      </c>
      <c r="L38" s="147">
        <f>IF(t&lt;Tvie,1-EXP((T0-t)*PertePVj)+'2020'!Pspv,1-EXP((T0-t)*PertePVj)+Pspv)</f>
        <v>2.1900364323240828E-2</v>
      </c>
      <c r="M38" s="850"/>
      <c r="N38" s="850"/>
      <c r="O38" s="48">
        <f>IF(t&lt;Tnet,'2020'!Resal+('2020'!Salim-'2020'!Resal)*(1-EXP(('2020'!Tnet-t)/('2020'!Tau_j))),Resal+(Salim-Resal)*(1-EXP((Tnet-t)/(Tau_j))))*Salcycl</f>
        <v>0.10495484056079504</v>
      </c>
      <c r="P38" s="169">
        <f>(INDEX(Models!$BJ38:$BT38,,T38)*(1-R38)+INDEX(Models!$BJ38:$BT38,,T38+1)*R38-ERP_i)*Q38*Ramure*Pc/MaxiM</f>
        <v>2.8618919471348515E-2</v>
      </c>
      <c r="Q38" s="305">
        <f t="shared" si="4"/>
        <v>0.7</v>
      </c>
      <c r="R38" s="177">
        <f t="shared" si="5"/>
        <v>0.20065666020229234</v>
      </c>
      <c r="S38" s="817">
        <f t="shared" si="6"/>
        <v>-1</v>
      </c>
      <c r="T38" s="176">
        <f t="shared" si="7"/>
        <v>5</v>
      </c>
      <c r="U38" s="251">
        <f t="shared" si="8"/>
        <v>-0.79934333979770766</v>
      </c>
      <c r="V38" s="383">
        <f t="shared" si="9"/>
        <v>15.33822947540536</v>
      </c>
      <c r="W38" s="402"/>
      <c r="X38" s="157">
        <f t="shared" si="10"/>
        <v>44220</v>
      </c>
      <c r="Y38" s="385">
        <f t="shared" si="11"/>
        <v>9.8849999999999998</v>
      </c>
      <c r="Z38" s="385">
        <f t="shared" si="12"/>
        <v>10.106332360670441</v>
      </c>
      <c r="AA38" s="386">
        <f t="shared" si="13"/>
        <v>11.291421727818308</v>
      </c>
      <c r="AB38" s="197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0.10495484056079504</v>
      </c>
      <c r="AD38" s="231">
        <f>(INDEX(Models!$BJ38:$BT38,,AH38)*(1-AF38)+INDEX(Models!$BJ38:$BT38,,AH38+1)*AF38-ERP_i)*AE38*Ramure*Pc/MaxiM</f>
        <v>2.8618919471348515E-2</v>
      </c>
      <c r="AE38" s="305">
        <f t="shared" si="15"/>
        <v>0.7</v>
      </c>
      <c r="AF38" s="177">
        <f t="shared" si="22"/>
        <v>0.20065666020229234</v>
      </c>
      <c r="AG38" s="817">
        <f t="shared" si="23"/>
        <v>-1</v>
      </c>
      <c r="AH38" s="176">
        <f t="shared" si="16"/>
        <v>5</v>
      </c>
      <c r="AI38" s="225">
        <f t="shared" si="17"/>
        <v>-0.79934333979770766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44221</v>
      </c>
      <c r="B39" s="617">
        <v>4.4489999999999998</v>
      </c>
      <c r="C39" s="390"/>
      <c r="D39" s="393">
        <f t="shared" si="0"/>
        <v>4.5487159839028095</v>
      </c>
      <c r="E39" s="385">
        <f t="shared" si="1"/>
        <v>5.0823755366974845</v>
      </c>
      <c r="F39" s="385">
        <f t="shared" si="2"/>
        <v>5.0823755366974845</v>
      </c>
      <c r="G39" s="110">
        <f t="shared" si="21"/>
        <v>0.27766231498217875</v>
      </c>
      <c r="H39" s="414" t="b">
        <f>Wh_hp&gt;='2020'!Maxi_hp</f>
        <v>0</v>
      </c>
      <c r="I39" s="380">
        <f>IF(H39,Wh_hp,'2020'!Maxi_hp)</f>
        <v>9.940295533409726</v>
      </c>
      <c r="J39" s="85">
        <f>IF(H39,An,'2020'!An_max)</f>
        <v>2020</v>
      </c>
      <c r="K39" s="197">
        <f t="shared" si="3"/>
        <v>44221</v>
      </c>
      <c r="L39" s="147">
        <f>IF(t&lt;Tvie,1-EXP((T0-t)*PertePVj)+'2020'!Pspv,1-EXP((T0-t)*PertePVj)+Pspv)</f>
        <v>2.1921787215488764E-2</v>
      </c>
      <c r="M39" s="850"/>
      <c r="N39" s="850"/>
      <c r="O39" s="48">
        <f>IF(t&lt;Tnet,'2020'!Resal+('2020'!Salim-'2020'!Resal)*(1-EXP(('2020'!Tnet-t)/('2020'!Tau_j))),Resal+(Salim-Resal)*(1-EXP((Tnet-t)/(Tau_j))))*Salcycl</f>
        <v>0.10500199147846639</v>
      </c>
      <c r="P39" s="169">
        <f>(INDEX(Models!$BJ39:$BT39,,T39)*(1-R39)+INDEX(Models!$BJ39:$BT39,,T39+1)*R39-ERP_i)*Q39*Ramure*Pc/MaxiM</f>
        <v>2.8418935383419202E-2</v>
      </c>
      <c r="Q39" s="305">
        <f t="shared" si="4"/>
        <v>0.7</v>
      </c>
      <c r="R39" s="177">
        <f t="shared" si="5"/>
        <v>0.2007015666303964</v>
      </c>
      <c r="S39" s="817">
        <f t="shared" si="6"/>
        <v>-1</v>
      </c>
      <c r="T39" s="176">
        <f t="shared" si="7"/>
        <v>5</v>
      </c>
      <c r="U39" s="251">
        <f t="shared" si="8"/>
        <v>-0.7992984333696036</v>
      </c>
      <c r="V39" s="383">
        <f t="shared" si="9"/>
        <v>15.567701928713674</v>
      </c>
      <c r="W39" s="402"/>
      <c r="X39" s="157">
        <f t="shared" si="10"/>
        <v>44221</v>
      </c>
      <c r="Y39" s="385">
        <f t="shared" si="11"/>
        <v>4.4489999999999998</v>
      </c>
      <c r="Z39" s="385">
        <f t="shared" si="12"/>
        <v>4.5487159839028095</v>
      </c>
      <c r="AA39" s="386">
        <f t="shared" si="13"/>
        <v>5.0823755366974845</v>
      </c>
      <c r="AB39" s="197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0.10500199147846639</v>
      </c>
      <c r="AD39" s="231">
        <f>(INDEX(Models!$BJ39:$BT39,,AH39)*(1-AF39)+INDEX(Models!$BJ39:$BT39,,AH39+1)*AF39-ERP_i)*AE39*Ramure*Pc/MaxiM</f>
        <v>2.8418935383419202E-2</v>
      </c>
      <c r="AE39" s="305">
        <f t="shared" si="15"/>
        <v>0.7</v>
      </c>
      <c r="AF39" s="177">
        <f t="shared" si="22"/>
        <v>0.2007015666303964</v>
      </c>
      <c r="AG39" s="817">
        <f t="shared" si="23"/>
        <v>-1</v>
      </c>
      <c r="AH39" s="176">
        <f t="shared" si="16"/>
        <v>5</v>
      </c>
      <c r="AI39" s="225">
        <f t="shared" si="17"/>
        <v>-0.7992984333696036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44222</v>
      </c>
      <c r="B40" s="617">
        <v>11.26</v>
      </c>
      <c r="C40" s="390"/>
      <c r="D40" s="393">
        <f t="shared" si="0"/>
        <v>11.512623920169727</v>
      </c>
      <c r="E40" s="385">
        <f t="shared" si="1"/>
        <v>12.863974674524652</v>
      </c>
      <c r="F40" s="385">
        <f t="shared" si="2"/>
        <v>13.081423590550905</v>
      </c>
      <c r="G40" s="110">
        <f t="shared" si="21"/>
        <v>0.70412889319698435</v>
      </c>
      <c r="H40" s="414" t="b">
        <f>Wh_hp&gt;='2020'!Maxi_hp</f>
        <v>1</v>
      </c>
      <c r="I40" s="380">
        <f>IF(H40,Wh_hp,'2020'!Maxi_hp)</f>
        <v>13.081423590550905</v>
      </c>
      <c r="J40" s="85">
        <f>IF(H40,An,'2020'!An_max)</f>
        <v>2021</v>
      </c>
      <c r="K40" s="197">
        <f t="shared" si="3"/>
        <v>44222</v>
      </c>
      <c r="L40" s="147">
        <f>IF(t&lt;Tvie,1-EXP((T0-t)*PertePVj)+'2020'!Pspv,1-EXP((T0-t)*PertePVj)+Pspv)</f>
        <v>2.1943209638520256E-2</v>
      </c>
      <c r="M40" s="850"/>
      <c r="N40" s="850"/>
      <c r="O40" s="48">
        <f>IF(t&lt;Tnet,'2020'!Resal+('2020'!Salim-'2020'!Resal)*(1-EXP(('2020'!Tnet-t)/('2020'!Tau_j))),Resal+(Salim-Resal)*(1-EXP((Tnet-t)/(Tau_j))))*Salcycl</f>
        <v>0.10504923933277721</v>
      </c>
      <c r="P40" s="169">
        <f>(INDEX(Models!$BJ40:$BT40,,T40)*(1-R40)+INDEX(Models!$BJ40:$BT40,,T40+1)*R40-ERP_i)*Q40*Ramure*Pc/MaxiM</f>
        <v>2.8206738195332495E-2</v>
      </c>
      <c r="Q40" s="305">
        <f t="shared" si="4"/>
        <v>0.7</v>
      </c>
      <c r="R40" s="177">
        <f t="shared" si="5"/>
        <v>0.20074834264747654</v>
      </c>
      <c r="S40" s="817">
        <f t="shared" si="6"/>
        <v>-1</v>
      </c>
      <c r="T40" s="176">
        <f t="shared" si="7"/>
        <v>5</v>
      </c>
      <c r="U40" s="251">
        <f t="shared" si="8"/>
        <v>-0.79925165735252346</v>
      </c>
      <c r="V40" s="383">
        <f t="shared" si="9"/>
        <v>15.803014582352226</v>
      </c>
      <c r="W40" s="402"/>
      <c r="X40" s="157">
        <f t="shared" si="10"/>
        <v>44222</v>
      </c>
      <c r="Y40" s="385">
        <f t="shared" si="11"/>
        <v>11.26</v>
      </c>
      <c r="Z40" s="385">
        <f t="shared" si="12"/>
        <v>11.512623920169727</v>
      </c>
      <c r="AA40" s="386">
        <f t="shared" si="13"/>
        <v>12.863974674524652</v>
      </c>
      <c r="AB40" s="197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0.10504923933277721</v>
      </c>
      <c r="AD40" s="231">
        <f>(INDEX(Models!$BJ40:$BT40,,AH40)*(1-AF40)+INDEX(Models!$BJ40:$BT40,,AH40+1)*AF40-ERP_i)*AE40*Ramure*Pc/MaxiM</f>
        <v>2.8206738195332495E-2</v>
      </c>
      <c r="AE40" s="305">
        <f t="shared" si="15"/>
        <v>0.7</v>
      </c>
      <c r="AF40" s="177">
        <f t="shared" si="22"/>
        <v>0.20074834264747654</v>
      </c>
      <c r="AG40" s="817">
        <f t="shared" si="23"/>
        <v>-1</v>
      </c>
      <c r="AH40" s="176">
        <f t="shared" si="16"/>
        <v>5</v>
      </c>
      <c r="AI40" s="225">
        <f t="shared" si="17"/>
        <v>-0.79925165735252346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44223</v>
      </c>
      <c r="B41" s="617">
        <v>3.6560000000000001</v>
      </c>
      <c r="C41" s="390"/>
      <c r="D41" s="393">
        <f t="shared" si="0"/>
        <v>3.738106123863759</v>
      </c>
      <c r="E41" s="385">
        <f t="shared" si="1"/>
        <v>4.177105670095572</v>
      </c>
      <c r="F41" s="385">
        <f t="shared" si="2"/>
        <v>4.177105670095572</v>
      </c>
      <c r="G41" s="110">
        <f t="shared" si="21"/>
        <v>0.22150200076947854</v>
      </c>
      <c r="H41" s="414" t="b">
        <f>Wh_hp&gt;='2020'!Maxi_hp</f>
        <v>0</v>
      </c>
      <c r="I41" s="380">
        <f>IF(H41,Wh_hp,'2020'!Maxi_hp)</f>
        <v>9.0958443225918373</v>
      </c>
      <c r="J41" s="85">
        <f>IF(H41,An,'2020'!An_max)</f>
        <v>2019</v>
      </c>
      <c r="K41" s="197">
        <f t="shared" si="3"/>
        <v>44223</v>
      </c>
      <c r="L41" s="147">
        <f>IF(t&lt;Tvie,1-EXP((T0-t)*PertePVj)+'2020'!Pspv,1-EXP((T0-t)*PertePVj)+Pspv)</f>
        <v>2.196463159234574E-2</v>
      </c>
      <c r="M41" s="850"/>
      <c r="N41" s="850"/>
      <c r="O41" s="48">
        <f>IF(t&lt;Tnet,'2020'!Resal+('2020'!Salim-'2020'!Resal)*(1-EXP(('2020'!Tnet-t)/('2020'!Tau_j))),Resal+(Salim-Resal)*(1-EXP((Tnet-t)/(Tau_j))))*Salcycl</f>
        <v>0.10509658622588039</v>
      </c>
      <c r="P41" s="169">
        <f>(INDEX(Models!$BJ41:$BT41,,T41)*(1-R41)+INDEX(Models!$BJ41:$BT41,,T41+1)*R41-ERP_i)*Q41*Ramure*Pc/MaxiM</f>
        <v>2.7984069028753257E-2</v>
      </c>
      <c r="Q41" s="305">
        <f t="shared" si="4"/>
        <v>0.7</v>
      </c>
      <c r="R41" s="177">
        <f t="shared" si="5"/>
        <v>0.20079706546661558</v>
      </c>
      <c r="S41" s="817">
        <f t="shared" si="6"/>
        <v>-1</v>
      </c>
      <c r="T41" s="176">
        <f t="shared" si="7"/>
        <v>5</v>
      </c>
      <c r="U41" s="251">
        <f t="shared" si="8"/>
        <v>-0.79920293453338442</v>
      </c>
      <c r="V41" s="383">
        <f t="shared" si="9"/>
        <v>16.043603359272915</v>
      </c>
      <c r="W41" s="402"/>
      <c r="X41" s="157">
        <f t="shared" si="10"/>
        <v>44223</v>
      </c>
      <c r="Y41" s="385">
        <f t="shared" si="11"/>
        <v>3.6560000000000001</v>
      </c>
      <c r="Z41" s="385">
        <f t="shared" si="12"/>
        <v>3.738106123863759</v>
      </c>
      <c r="AA41" s="386">
        <f t="shared" si="13"/>
        <v>4.177105670095572</v>
      </c>
      <c r="AB41" s="197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0.10509658622588039</v>
      </c>
      <c r="AD41" s="231">
        <f>(INDEX(Models!$BJ41:$BT41,,AH41)*(1-AF41)+INDEX(Models!$BJ41:$BT41,,AH41+1)*AF41-ERP_i)*AE41*Ramure*Pc/MaxiM</f>
        <v>2.7984069028753257E-2</v>
      </c>
      <c r="AE41" s="305">
        <f t="shared" si="15"/>
        <v>0.7</v>
      </c>
      <c r="AF41" s="177">
        <f t="shared" si="22"/>
        <v>0.20079706546661558</v>
      </c>
      <c r="AG41" s="817">
        <f t="shared" si="23"/>
        <v>-1</v>
      </c>
      <c r="AH41" s="176">
        <f t="shared" si="16"/>
        <v>5</v>
      </c>
      <c r="AI41" s="225">
        <f t="shared" si="17"/>
        <v>-0.79920293453338442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44224</v>
      </c>
      <c r="B42" s="617">
        <v>7.0940000000000003</v>
      </c>
      <c r="C42" s="390"/>
      <c r="D42" s="393">
        <f t="shared" si="0"/>
        <v>7.2534752927795827</v>
      </c>
      <c r="E42" s="385">
        <f t="shared" si="1"/>
        <v>8.1057461341478767</v>
      </c>
      <c r="F42" s="385">
        <f t="shared" si="2"/>
        <v>8.1495298571487158</v>
      </c>
      <c r="G42" s="110">
        <f t="shared" si="21"/>
        <v>0.42571178906701507</v>
      </c>
      <c r="H42" s="414" t="b">
        <f>Wh_hp&gt;='2020'!Maxi_hp</f>
        <v>0</v>
      </c>
      <c r="I42" s="380">
        <f>IF(H42,Wh_hp,'2020'!Maxi_hp)</f>
        <v>11.238202055607671</v>
      </c>
      <c r="J42" s="85">
        <f>IF(H42,An,'2020'!An_max)</f>
        <v>2020</v>
      </c>
      <c r="K42" s="197">
        <f t="shared" si="3"/>
        <v>44224</v>
      </c>
      <c r="L42" s="147">
        <f>IF(t&lt;Tvie,1-EXP((T0-t)*PertePVj)+'2020'!Pspv,1-EXP((T0-t)*PertePVj)+Pspv)</f>
        <v>2.1986053076975542E-2</v>
      </c>
      <c r="M42" s="850"/>
      <c r="N42" s="850"/>
      <c r="O42" s="48">
        <f>IF(t&lt;Tnet,'2020'!Resal+('2020'!Salim-'2020'!Resal)*(1-EXP(('2020'!Tnet-t)/('2020'!Tau_j))),Resal+(Salim-Resal)*(1-EXP((Tnet-t)/(Tau_j))))*Salcycl</f>
        <v>0.10514403328989654</v>
      </c>
      <c r="P42" s="169">
        <f>(INDEX(Models!$BJ42:$BT42,,T42)*(1-R42)+INDEX(Models!$BJ42:$BT42,,T42+1)*R42-ERP_i)*Q42*Ramure*Pc/MaxiM</f>
        <v>2.7752559113410506E-2</v>
      </c>
      <c r="Q42" s="305">
        <f t="shared" si="4"/>
        <v>0.7</v>
      </c>
      <c r="R42" s="177">
        <f t="shared" si="5"/>
        <v>0.20084781543658714</v>
      </c>
      <c r="S42" s="817">
        <f t="shared" si="6"/>
        <v>-1</v>
      </c>
      <c r="T42" s="176">
        <f t="shared" si="7"/>
        <v>5</v>
      </c>
      <c r="U42" s="251">
        <f t="shared" si="8"/>
        <v>-0.79915218456341286</v>
      </c>
      <c r="V42" s="383">
        <f t="shared" si="9"/>
        <v>16.288904350159008</v>
      </c>
      <c r="W42" s="402"/>
      <c r="X42" s="157">
        <f t="shared" si="10"/>
        <v>44224</v>
      </c>
      <c r="Y42" s="385">
        <f t="shared" si="11"/>
        <v>7.0940000000000003</v>
      </c>
      <c r="Z42" s="385">
        <f t="shared" si="12"/>
        <v>7.2534752927795827</v>
      </c>
      <c r="AA42" s="386">
        <f t="shared" si="13"/>
        <v>8.1057461341478767</v>
      </c>
      <c r="AB42" s="197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0.10514403328989654</v>
      </c>
      <c r="AD42" s="231">
        <f>(INDEX(Models!$BJ42:$BT42,,AH42)*(1-AF42)+INDEX(Models!$BJ42:$BT42,,AH42+1)*AF42-ERP_i)*AE42*Ramure*Pc/MaxiM</f>
        <v>2.7752559113410506E-2</v>
      </c>
      <c r="AE42" s="305">
        <f t="shared" si="15"/>
        <v>0.7</v>
      </c>
      <c r="AF42" s="177">
        <f t="shared" si="22"/>
        <v>0.20084781543658714</v>
      </c>
      <c r="AG42" s="817">
        <f t="shared" si="23"/>
        <v>-1</v>
      </c>
      <c r="AH42" s="176">
        <f t="shared" si="16"/>
        <v>5</v>
      </c>
      <c r="AI42" s="225">
        <f t="shared" si="17"/>
        <v>-0.79915218456341286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44225</v>
      </c>
      <c r="B43" s="617">
        <v>1.22</v>
      </c>
      <c r="C43" s="390"/>
      <c r="D43" s="393">
        <f t="shared" si="0"/>
        <v>1.2474532960953213</v>
      </c>
      <c r="E43" s="385">
        <f t="shared" si="1"/>
        <v>1.3941009819164225</v>
      </c>
      <c r="F43" s="385">
        <f t="shared" si="2"/>
        <v>1.3941009819164225</v>
      </c>
      <c r="G43" s="110">
        <f t="shared" si="21"/>
        <v>7.1738291626463307E-2</v>
      </c>
      <c r="H43" s="414" t="b">
        <f>Wh_hp&gt;='2020'!Maxi_hp</f>
        <v>0</v>
      </c>
      <c r="I43" s="380">
        <f>IF(H43,Wh_hp,'2020'!Maxi_hp)</f>
        <v>14.430567184560136</v>
      </c>
      <c r="J43" s="85">
        <f>IF(H43,An,'2020'!An_max)</f>
        <v>2020</v>
      </c>
      <c r="K43" s="197">
        <f t="shared" si="3"/>
        <v>44225</v>
      </c>
      <c r="L43" s="147">
        <f>IF(t&lt;Tvie,1-EXP((T0-t)*PertePVj)+'2020'!Pspv,1-EXP((T0-t)*PertePVj)+Pspv)</f>
        <v>2.2007474092419765E-2</v>
      </c>
      <c r="M43" s="850"/>
      <c r="N43" s="850"/>
      <c r="O43" s="48">
        <f>IF(t&lt;Tnet,'2020'!Resal+('2020'!Salim-'2020'!Resal)*(1-EXP(('2020'!Tnet-t)/('2020'!Tau_j))),Resal+(Salim-Resal)*(1-EXP((Tnet-t)/(Tau_j))))*Salcycl</f>
        <v>0.10519158061240996</v>
      </c>
      <c r="P43" s="169">
        <f>(INDEX(Models!$BJ43:$BT43,,T43)*(1-R43)+INDEX(Models!$BJ43:$BT43,,T43+1)*R43-ERP_i)*Q43*Ramure*Pc/MaxiM</f>
        <v>2.751372956117519E-2</v>
      </c>
      <c r="Q43" s="305">
        <f t="shared" si="4"/>
        <v>0.7</v>
      </c>
      <c r="R43" s="177">
        <f t="shared" si="5"/>
        <v>0.20090067616465745</v>
      </c>
      <c r="S43" s="817">
        <f t="shared" si="6"/>
        <v>-1</v>
      </c>
      <c r="T43" s="176">
        <f t="shared" si="7"/>
        <v>5</v>
      </c>
      <c r="U43" s="251">
        <f t="shared" si="8"/>
        <v>-0.79909932383534255</v>
      </c>
      <c r="V43" s="383">
        <f t="shared" si="9"/>
        <v>16.538353828009289</v>
      </c>
      <c r="W43" s="402"/>
      <c r="X43" s="157">
        <f t="shared" si="10"/>
        <v>44225</v>
      </c>
      <c r="Y43" s="385">
        <f t="shared" si="11"/>
        <v>1.22</v>
      </c>
      <c r="Z43" s="385">
        <f t="shared" si="12"/>
        <v>1.2474532960953213</v>
      </c>
      <c r="AA43" s="386">
        <f t="shared" si="13"/>
        <v>1.3941009819164225</v>
      </c>
      <c r="AB43" s="197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0.10519158061240996</v>
      </c>
      <c r="AD43" s="231">
        <f>(INDEX(Models!$BJ43:$BT43,,AH43)*(1-AF43)+INDEX(Models!$BJ43:$BT43,,AH43+1)*AF43-ERP_i)*AE43*Ramure*Pc/MaxiM</f>
        <v>2.751372956117519E-2</v>
      </c>
      <c r="AE43" s="305">
        <f t="shared" si="15"/>
        <v>0.7</v>
      </c>
      <c r="AF43" s="177">
        <f t="shared" si="22"/>
        <v>0.20090067616465745</v>
      </c>
      <c r="AG43" s="817">
        <f t="shared" si="23"/>
        <v>-1</v>
      </c>
      <c r="AH43" s="176">
        <f t="shared" si="16"/>
        <v>5</v>
      </c>
      <c r="AI43" s="225">
        <f t="shared" si="17"/>
        <v>-0.79909932383534255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44226</v>
      </c>
      <c r="B44" s="617">
        <v>4.6850000000000005</v>
      </c>
      <c r="C44" s="390"/>
      <c r="D44" s="393">
        <f t="shared" si="0"/>
        <v>4.790530082449755</v>
      </c>
      <c r="E44" s="385">
        <f t="shared" si="1"/>
        <v>5.3539786588566036</v>
      </c>
      <c r="F44" s="385">
        <f t="shared" si="2"/>
        <v>5.3539786588566036</v>
      </c>
      <c r="G44" s="110">
        <f t="shared" si="21"/>
        <v>0.27140369224934441</v>
      </c>
      <c r="H44" s="414" t="b">
        <f>Wh_hp&gt;='2020'!Maxi_hp</f>
        <v>0</v>
      </c>
      <c r="I44" s="380">
        <f>IF(H44,Wh_hp,'2020'!Maxi_hp)</f>
        <v>7.5125643185257411</v>
      </c>
      <c r="J44" s="85">
        <f>IF(H44,An,'2020'!An_max)</f>
        <v>2020</v>
      </c>
      <c r="K44" s="197">
        <f t="shared" si="3"/>
        <v>44226</v>
      </c>
      <c r="L44" s="147">
        <f>IF(t&lt;Tvie,1-EXP((T0-t)*PertePVj)+'2020'!Pspv,1-EXP((T0-t)*PertePVj)+Pspv)</f>
        <v>2.2028894638688734E-2</v>
      </c>
      <c r="M44" s="850"/>
      <c r="N44" s="850"/>
      <c r="O44" s="48">
        <f>IF(t&lt;Tnet,'2020'!Resal+('2020'!Salim-'2020'!Resal)*(1-EXP(('2020'!Tnet-t)/('2020'!Tau_j))),Resal+(Salim-Resal)*(1-EXP((Tnet-t)/(Tau_j))))*Salcycl</f>
        <v>0.10523922718197365</v>
      </c>
      <c r="P44" s="169">
        <f>(INDEX(Models!$BJ44:$BT44,,T44)*(1-R44)+INDEX(Models!$BJ44:$BT44,,T44+1)*R44-ERP_i)*Q44*Ramure*Pc/MaxiM</f>
        <v>2.7231625764934955E-2</v>
      </c>
      <c r="Q44" s="305">
        <f t="shared" si="4"/>
        <v>0.7</v>
      </c>
      <c r="R44" s="177">
        <f t="shared" si="5"/>
        <v>0.20095573464380589</v>
      </c>
      <c r="S44" s="817">
        <f t="shared" si="6"/>
        <v>-1</v>
      </c>
      <c r="T44" s="176">
        <f t="shared" si="7"/>
        <v>5</v>
      </c>
      <c r="U44" s="251">
        <f t="shared" si="8"/>
        <v>-0.79904426535619411</v>
      </c>
      <c r="V44" s="383">
        <f t="shared" si="9"/>
        <v>16.792033282672811</v>
      </c>
      <c r="W44" s="402"/>
      <c r="X44" s="157">
        <f t="shared" si="10"/>
        <v>44226</v>
      </c>
      <c r="Y44" s="385">
        <f t="shared" si="11"/>
        <v>4.6850000000000005</v>
      </c>
      <c r="Z44" s="385">
        <f t="shared" si="12"/>
        <v>4.790530082449755</v>
      </c>
      <c r="AA44" s="386">
        <f t="shared" si="13"/>
        <v>5.3539786588566036</v>
      </c>
      <c r="AB44" s="197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0.10523922718197365</v>
      </c>
      <c r="AD44" s="231">
        <f>(INDEX(Models!$BJ44:$BT44,,AH44)*(1-AF44)+INDEX(Models!$BJ44:$BT44,,AH44+1)*AF44-ERP_i)*AE44*Ramure*Pc/MaxiM</f>
        <v>2.7231625764934955E-2</v>
      </c>
      <c r="AE44" s="305">
        <f t="shared" si="15"/>
        <v>0.7</v>
      </c>
      <c r="AF44" s="177">
        <f t="shared" si="22"/>
        <v>0.20095573464380589</v>
      </c>
      <c r="AG44" s="817">
        <f t="shared" si="23"/>
        <v>-1</v>
      </c>
      <c r="AH44" s="176">
        <f t="shared" si="16"/>
        <v>5</v>
      </c>
      <c r="AI44" s="225">
        <f t="shared" si="17"/>
        <v>-0.79904426535619411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44227</v>
      </c>
      <c r="B45" s="617">
        <v>6.1459999999999999</v>
      </c>
      <c r="C45" s="390"/>
      <c r="D45" s="393">
        <f t="shared" si="0"/>
        <v>6.2845768984667947</v>
      </c>
      <c r="E45" s="385">
        <f t="shared" si="1"/>
        <v>7.0241258300037845</v>
      </c>
      <c r="F45" s="385">
        <f t="shared" si="2"/>
        <v>7.0404951851903359</v>
      </c>
      <c r="G45" s="110">
        <f t="shared" si="21"/>
        <v>0.35159951477390611</v>
      </c>
      <c r="H45" s="414" t="b">
        <f>Wh_hp&gt;='2020'!Maxi_hp</f>
        <v>0</v>
      </c>
      <c r="I45" s="380">
        <f>IF(H45,Wh_hp,'2020'!Maxi_hp)</f>
        <v>13.77882589725804</v>
      </c>
      <c r="J45" s="85">
        <f>IF(H45,An,'2020'!An_max)</f>
        <v>2020</v>
      </c>
      <c r="K45" s="197">
        <f t="shared" si="3"/>
        <v>44227</v>
      </c>
      <c r="L45" s="147">
        <f>IF(t&lt;Tvie,1-EXP((T0-t)*PertePVj)+'2020'!Pspv,1-EXP((T0-t)*PertePVj)+Pspv)</f>
        <v>2.2050314715792885E-2</v>
      </c>
      <c r="M45" s="850"/>
      <c r="N45" s="850"/>
      <c r="O45" s="48">
        <f>IF(t&lt;Tnet,'2020'!Resal+('2020'!Salim-'2020'!Resal)*(1-EXP(('2020'!Tnet-t)/('2020'!Tau_j))),Resal+(Salim-Resal)*(1-EXP((Tnet-t)/(Tau_j))))*Salcycl</f>
        <v>0.10528697085379397</v>
      </c>
      <c r="P45" s="169">
        <f>(INDEX(Models!$BJ45:$BT45,,T45)*(1-R45)+INDEX(Models!$BJ45:$BT45,,T45+1)*R45-ERP_i)*Q45*Ramure*Pc/MaxiM</f>
        <v>2.6909047325016734E-2</v>
      </c>
      <c r="Q45" s="305">
        <f t="shared" si="4"/>
        <v>0.7</v>
      </c>
      <c r="R45" s="177">
        <f t="shared" si="5"/>
        <v>0.20101308138448803</v>
      </c>
      <c r="S45" s="817">
        <f t="shared" si="6"/>
        <v>-1</v>
      </c>
      <c r="T45" s="176">
        <f t="shared" si="7"/>
        <v>5</v>
      </c>
      <c r="U45" s="251">
        <f t="shared" si="8"/>
        <v>-0.79898691861551197</v>
      </c>
      <c r="V45" s="383">
        <f t="shared" si="9"/>
        <v>17.049382197863704</v>
      </c>
      <c r="W45" s="402"/>
      <c r="X45" s="157">
        <f t="shared" si="10"/>
        <v>44227</v>
      </c>
      <c r="Y45" s="385">
        <f t="shared" si="11"/>
        <v>6.1459999999999999</v>
      </c>
      <c r="Z45" s="385">
        <f t="shared" si="12"/>
        <v>6.2845768984667947</v>
      </c>
      <c r="AA45" s="386">
        <f t="shared" si="13"/>
        <v>7.0241258300037845</v>
      </c>
      <c r="AB45" s="197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0.10528697085379397</v>
      </c>
      <c r="AD45" s="231">
        <f>(INDEX(Models!$BJ45:$BT45,,AH45)*(1-AF45)+INDEX(Models!$BJ45:$BT45,,AH45+1)*AF45-ERP_i)*AE45*Ramure*Pc/MaxiM</f>
        <v>2.6909047325016734E-2</v>
      </c>
      <c r="AE45" s="305">
        <f t="shared" si="15"/>
        <v>0.7</v>
      </c>
      <c r="AF45" s="177">
        <f t="shared" si="22"/>
        <v>0.20101308138448803</v>
      </c>
      <c r="AG45" s="817">
        <f t="shared" si="23"/>
        <v>-1</v>
      </c>
      <c r="AH45" s="176">
        <f t="shared" si="16"/>
        <v>5</v>
      </c>
      <c r="AI45" s="225">
        <f t="shared" si="17"/>
        <v>-0.79898691861551197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44228</v>
      </c>
      <c r="B46" s="617">
        <v>5.6269999999999998</v>
      </c>
      <c r="C46" s="390"/>
      <c r="D46" s="393">
        <f t="shared" si="0"/>
        <v>5.7540007764361043</v>
      </c>
      <c r="E46" s="385">
        <f t="shared" si="1"/>
        <v>6.4314570747200772</v>
      </c>
      <c r="F46" s="385">
        <f t="shared" si="2"/>
        <v>6.4375793806948858</v>
      </c>
      <c r="G46" s="110">
        <f t="shared" si="21"/>
        <v>0.31674614394048223</v>
      </c>
      <c r="H46" s="414" t="b">
        <f>Wh_hp&gt;='2020'!Maxi_hp</f>
        <v>0</v>
      </c>
      <c r="I46" s="380">
        <f>IF(H46,Wh_hp,'2020'!Maxi_hp)</f>
        <v>16.408521217221892</v>
      </c>
      <c r="J46" s="85">
        <f>IF(H46,An,'2020'!An_max)</f>
        <v>2019</v>
      </c>
      <c r="K46" s="197">
        <f t="shared" si="3"/>
        <v>44228</v>
      </c>
      <c r="L46" s="147">
        <f>IF(t&lt;Tvie,1-EXP((T0-t)*PertePVj)+'2020'!Pspv,1-EXP((T0-t)*PertePVj)+Pspv)</f>
        <v>2.207173432374232E-2</v>
      </c>
      <c r="M46" s="850"/>
      <c r="N46" s="850"/>
      <c r="O46" s="48">
        <f>IF(t&lt;Tnet,'2020'!Resal+('2020'!Salim-'2020'!Resal)*(1-EXP(('2020'!Tnet-t)/('2020'!Tau_j))),Resal+(Salim-Resal)*(1-EXP((Tnet-t)/(Tau_j))))*Salcycl</f>
        <v>0.10533480833555249</v>
      </c>
      <c r="P46" s="169">
        <f>(INDEX(Models!$BJ46:$BT46,,T46)*(1-R46)+INDEX(Models!$BJ46:$BT46,,T46+1)*R46-ERP_i)*Q46*Ramure*Pc/MaxiM</f>
        <v>2.6548799436428083E-2</v>
      </c>
      <c r="Q46" s="305">
        <f t="shared" si="4"/>
        <v>0.7</v>
      </c>
      <c r="R46" s="177">
        <f t="shared" si="5"/>
        <v>0.20107281055106763</v>
      </c>
      <c r="S46" s="817">
        <f t="shared" si="6"/>
        <v>-1</v>
      </c>
      <c r="T46" s="176">
        <f t="shared" si="7"/>
        <v>5</v>
      </c>
      <c r="U46" s="251">
        <f t="shared" si="8"/>
        <v>-0.79892718944893237</v>
      </c>
      <c r="V46" s="383">
        <f t="shared" si="9"/>
        <v>17.309837291972133</v>
      </c>
      <c r="W46" s="402"/>
      <c r="X46" s="157">
        <f t="shared" si="10"/>
        <v>44228</v>
      </c>
      <c r="Y46" s="385">
        <f t="shared" si="11"/>
        <v>5.6269999999999998</v>
      </c>
      <c r="Z46" s="385">
        <f t="shared" si="12"/>
        <v>5.7540007764361043</v>
      </c>
      <c r="AA46" s="386">
        <f t="shared" si="13"/>
        <v>6.4314570747200772</v>
      </c>
      <c r="AB46" s="197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0.10533480833555249</v>
      </c>
      <c r="AD46" s="231">
        <f>(INDEX(Models!$BJ46:$BT46,,AH46)*(1-AF46)+INDEX(Models!$BJ46:$BT46,,AH46+1)*AF46-ERP_i)*AE46*Ramure*Pc/MaxiM</f>
        <v>2.6548799436428083E-2</v>
      </c>
      <c r="AE46" s="305">
        <f t="shared" si="15"/>
        <v>0.7</v>
      </c>
      <c r="AF46" s="177">
        <f t="shared" si="22"/>
        <v>0.20107281055106763</v>
      </c>
      <c r="AG46" s="817">
        <f t="shared" si="23"/>
        <v>-1</v>
      </c>
      <c r="AH46" s="176">
        <f t="shared" si="16"/>
        <v>5</v>
      </c>
      <c r="AI46" s="225">
        <f t="shared" si="17"/>
        <v>-0.79892718944893237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44229</v>
      </c>
      <c r="B47" s="617">
        <v>15.959</v>
      </c>
      <c r="C47" s="390"/>
      <c r="D47" s="393">
        <f t="shared" si="0"/>
        <v>16.319550329877753</v>
      </c>
      <c r="E47" s="385">
        <f t="shared" si="1"/>
        <v>18.241935374900823</v>
      </c>
      <c r="F47" s="385">
        <f t="shared" si="2"/>
        <v>18.666071177776274</v>
      </c>
      <c r="G47" s="110">
        <f t="shared" si="21"/>
        <v>0.90497449327454105</v>
      </c>
      <c r="H47" s="414" t="b">
        <f>Wh_hp&gt;='2020'!Maxi_hp</f>
        <v>1</v>
      </c>
      <c r="I47" s="380">
        <f>IF(H47,Wh_hp,'2020'!Maxi_hp)</f>
        <v>18.666071177776274</v>
      </c>
      <c r="J47" s="85">
        <f>IF(H47,An,'2020'!An_max)</f>
        <v>2021</v>
      </c>
      <c r="K47" s="197">
        <f t="shared" si="3"/>
        <v>44229</v>
      </c>
      <c r="L47" s="147">
        <f>IF(t&lt;Tvie,1-EXP((T0-t)*PertePVj)+'2020'!Pspv,1-EXP((T0-t)*PertePVj)+Pspv)</f>
        <v>2.2093153462547366E-2</v>
      </c>
      <c r="M47" s="850"/>
      <c r="N47" s="850"/>
      <c r="O47" s="48">
        <f>IF(t&lt;Tnet,'2020'!Resal+('2020'!Salim-'2020'!Resal)*(1-EXP(('2020'!Tnet-t)/('2020'!Tau_j))),Resal+(Salim-Resal)*(1-EXP((Tnet-t)/(Tau_j))))*Salcycl</f>
        <v>0.10538273519311393</v>
      </c>
      <c r="P47" s="169">
        <f>(INDEX(Models!$BJ47:$BT47,,T47)*(1-R47)+INDEX(Models!$BJ47:$BT47,,T47+1)*R47-ERP_i)*Q47*Ramure*Pc/MaxiM</f>
        <v>2.6153512297811193E-2</v>
      </c>
      <c r="Q47" s="305">
        <f t="shared" si="4"/>
        <v>0.7</v>
      </c>
      <c r="R47" s="177">
        <f t="shared" si="5"/>
        <v>0.2011350201030413</v>
      </c>
      <c r="S47" s="817">
        <f t="shared" si="6"/>
        <v>-1</v>
      </c>
      <c r="T47" s="176">
        <f t="shared" si="7"/>
        <v>5</v>
      </c>
      <c r="U47" s="251">
        <f t="shared" si="8"/>
        <v>-0.7988649798969587</v>
      </c>
      <c r="V47" s="383">
        <f t="shared" si="9"/>
        <v>17.572835472811803</v>
      </c>
      <c r="W47" s="402"/>
      <c r="X47" s="157">
        <f t="shared" si="10"/>
        <v>44229</v>
      </c>
      <c r="Y47" s="385">
        <f t="shared" si="11"/>
        <v>15.958999999999998</v>
      </c>
      <c r="Z47" s="385">
        <f t="shared" si="12"/>
        <v>16.319550329877753</v>
      </c>
      <c r="AA47" s="386">
        <f t="shared" si="13"/>
        <v>18.241935374900823</v>
      </c>
      <c r="AB47" s="197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0.10538273519311393</v>
      </c>
      <c r="AD47" s="231">
        <f>(INDEX(Models!$BJ47:$BT47,,AH47)*(1-AF47)+INDEX(Models!$BJ47:$BT47,,AH47+1)*AF47-ERP_i)*AE47*Ramure*Pc/MaxiM</f>
        <v>2.6153512297811193E-2</v>
      </c>
      <c r="AE47" s="305">
        <f t="shared" si="15"/>
        <v>0.7</v>
      </c>
      <c r="AF47" s="177">
        <f t="shared" si="22"/>
        <v>0.2011350201030413</v>
      </c>
      <c r="AG47" s="817">
        <f t="shared" si="23"/>
        <v>-1</v>
      </c>
      <c r="AH47" s="176">
        <f t="shared" si="16"/>
        <v>5</v>
      </c>
      <c r="AI47" s="225">
        <f t="shared" si="17"/>
        <v>-0.7988649798969587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44230</v>
      </c>
      <c r="B48" s="617">
        <v>13.277000000000001</v>
      </c>
      <c r="C48" s="390"/>
      <c r="D48" s="393">
        <f t="shared" si="0"/>
        <v>13.577255189239983</v>
      </c>
      <c r="E48" s="385">
        <f t="shared" si="1"/>
        <v>15.177422124271793</v>
      </c>
      <c r="F48" s="385">
        <f t="shared" si="2"/>
        <v>15.429369532302985</v>
      </c>
      <c r="G48" s="110">
        <f t="shared" si="21"/>
        <v>0.73720754067504612</v>
      </c>
      <c r="H48" s="414" t="b">
        <f>Wh_hp&gt;='2020'!Maxi_hp</f>
        <v>0</v>
      </c>
      <c r="I48" s="380">
        <f>IF(H48,Wh_hp,'2020'!Maxi_hp)</f>
        <v>16.889504299779531</v>
      </c>
      <c r="J48" s="85">
        <f>IF(H48,An,'2020'!An_max)</f>
        <v>2020</v>
      </c>
      <c r="K48" s="197">
        <f t="shared" si="3"/>
        <v>44230</v>
      </c>
      <c r="L48" s="147">
        <f>IF(t&lt;Tvie,1-EXP((T0-t)*PertePVj)+'2020'!Pspv,1-EXP((T0-t)*PertePVj)+Pspv)</f>
        <v>2.2114572132218235E-2</v>
      </c>
      <c r="M48" s="850"/>
      <c r="N48" s="850"/>
      <c r="O48" s="48">
        <f>IF(t&lt;Tnet,'2020'!Resal+('2020'!Salim-'2020'!Resal)*(1-EXP(('2020'!Tnet-t)/('2020'!Tau_j))),Resal+(Salim-Resal)*(1-EXP((Tnet-t)/(Tau_j))))*Salcycl</f>
        <v>0.10543074587566599</v>
      </c>
      <c r="P48" s="169">
        <f>(INDEX(Models!$BJ48:$BT48,,T48)*(1-R48)+INDEX(Models!$BJ48:$BT48,,T48+1)*R48-ERP_i)*Q48*Ramure*Pc/MaxiM</f>
        <v>2.5725639047143554E-2</v>
      </c>
      <c r="Q48" s="305">
        <f t="shared" si="4"/>
        <v>0.7</v>
      </c>
      <c r="R48" s="177">
        <f t="shared" si="5"/>
        <v>0.20119981194118031</v>
      </c>
      <c r="S48" s="817">
        <f t="shared" si="6"/>
        <v>-1</v>
      </c>
      <c r="T48" s="176">
        <f t="shared" si="7"/>
        <v>5</v>
      </c>
      <c r="U48" s="251">
        <f t="shared" si="8"/>
        <v>-0.79880018805881969</v>
      </c>
      <c r="V48" s="383">
        <f t="shared" si="9"/>
        <v>17.83781385288686</v>
      </c>
      <c r="W48" s="402"/>
      <c r="X48" s="157">
        <f t="shared" si="10"/>
        <v>44230</v>
      </c>
      <c r="Y48" s="385">
        <f t="shared" si="11"/>
        <v>13.277000000000001</v>
      </c>
      <c r="Z48" s="385">
        <f t="shared" si="12"/>
        <v>13.577255189239983</v>
      </c>
      <c r="AA48" s="386">
        <f t="shared" si="13"/>
        <v>15.177422124271793</v>
      </c>
      <c r="AB48" s="197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0.10543074587566599</v>
      </c>
      <c r="AD48" s="231">
        <f>(INDEX(Models!$BJ48:$BT48,,AH48)*(1-AF48)+INDEX(Models!$BJ48:$BT48,,AH48+1)*AF48-ERP_i)*AE48*Ramure*Pc/MaxiM</f>
        <v>2.5725639047143554E-2</v>
      </c>
      <c r="AE48" s="305">
        <f t="shared" si="15"/>
        <v>0.7</v>
      </c>
      <c r="AF48" s="177">
        <f t="shared" si="22"/>
        <v>0.20119981194118031</v>
      </c>
      <c r="AG48" s="817">
        <f t="shared" si="23"/>
        <v>-1</v>
      </c>
      <c r="AH48" s="176">
        <f t="shared" si="16"/>
        <v>5</v>
      </c>
      <c r="AI48" s="225">
        <f t="shared" si="17"/>
        <v>-0.79880018805881969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44231</v>
      </c>
      <c r="B49" s="617">
        <v>9.5820000000000007</v>
      </c>
      <c r="C49" s="390"/>
      <c r="D49" s="393">
        <f t="shared" si="0"/>
        <v>9.798908544819783</v>
      </c>
      <c r="E49" s="385">
        <f t="shared" si="1"/>
        <v>10.954361858204306</v>
      </c>
      <c r="F49" s="385">
        <f t="shared" si="2"/>
        <v>11.045774295742186</v>
      </c>
      <c r="G49" s="110">
        <f t="shared" si="21"/>
        <v>0.52020095135153954</v>
      </c>
      <c r="H49" s="414" t="b">
        <f>Wh_hp&gt;='2020'!Maxi_hp</f>
        <v>0</v>
      </c>
      <c r="I49" s="380">
        <f>IF(H49,Wh_hp,'2020'!Maxi_hp)</f>
        <v>17.966121132529384</v>
      </c>
      <c r="J49" s="85">
        <f>IF(H49,An,'2020'!An_max)</f>
        <v>2019</v>
      </c>
      <c r="K49" s="197">
        <f t="shared" si="3"/>
        <v>44231</v>
      </c>
      <c r="L49" s="147">
        <f>IF(t&lt;Tvie,1-EXP((T0-t)*PertePVj)+'2020'!Pspv,1-EXP((T0-t)*PertePVj)+Pspv)</f>
        <v>2.2135990332765365E-2</v>
      </c>
      <c r="M49" s="850"/>
      <c r="N49" s="850"/>
      <c r="O49" s="48">
        <f>IF(t&lt;Tnet,'2020'!Resal+('2020'!Salim-'2020'!Resal)*(1-EXP(('2020'!Tnet-t)/('2020'!Tau_j))),Resal+(Salim-Resal)*(1-EXP((Tnet-t)/(Tau_j))))*Salcycl</f>
        <v>0.10547883375964467</v>
      </c>
      <c r="P49" s="169">
        <f>(INDEX(Models!$BJ49:$BT49,,T49)*(1-R49)+INDEX(Models!$BJ49:$BT49,,T49+1)*R49-ERP_i)*Q49*Ramure*Pc/MaxiM</f>
        <v>2.5267455735227769E-2</v>
      </c>
      <c r="Q49" s="305">
        <f t="shared" si="4"/>
        <v>0.7</v>
      </c>
      <c r="R49" s="177">
        <f t="shared" si="5"/>
        <v>0.20126729205871341</v>
      </c>
      <c r="S49" s="817">
        <f t="shared" si="6"/>
        <v>-1</v>
      </c>
      <c r="T49" s="176">
        <f t="shared" si="7"/>
        <v>5</v>
      </c>
      <c r="U49" s="251">
        <f t="shared" si="8"/>
        <v>-0.79873270794128659</v>
      </c>
      <c r="V49" s="383">
        <f t="shared" si="9"/>
        <v>18.104209755597353</v>
      </c>
      <c r="W49" s="402"/>
      <c r="X49" s="157">
        <f t="shared" si="10"/>
        <v>44231</v>
      </c>
      <c r="Y49" s="385">
        <f t="shared" si="11"/>
        <v>9.5820000000000007</v>
      </c>
      <c r="Z49" s="385">
        <f t="shared" si="12"/>
        <v>9.798908544819783</v>
      </c>
      <c r="AA49" s="386">
        <f t="shared" si="13"/>
        <v>10.954361858204306</v>
      </c>
      <c r="AB49" s="197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0.10547883375964467</v>
      </c>
      <c r="AD49" s="231">
        <f>(INDEX(Models!$BJ49:$BT49,,AH49)*(1-AF49)+INDEX(Models!$BJ49:$BT49,,AH49+1)*AF49-ERP_i)*AE49*Ramure*Pc/MaxiM</f>
        <v>2.5267455735227769E-2</v>
      </c>
      <c r="AE49" s="305">
        <f t="shared" si="15"/>
        <v>0.7</v>
      </c>
      <c r="AF49" s="177">
        <f t="shared" si="22"/>
        <v>0.20126729205871341</v>
      </c>
      <c r="AG49" s="817">
        <f t="shared" si="23"/>
        <v>-1</v>
      </c>
      <c r="AH49" s="176">
        <f t="shared" si="16"/>
        <v>5</v>
      </c>
      <c r="AI49" s="225">
        <f t="shared" si="17"/>
        <v>-0.79873270794128659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44232</v>
      </c>
      <c r="B50" s="617">
        <v>7.32</v>
      </c>
      <c r="C50" s="390"/>
      <c r="D50" s="393">
        <f t="shared" si="0"/>
        <v>7.4858674191199315</v>
      </c>
      <c r="E50" s="385">
        <f t="shared" si="1"/>
        <v>8.3690254994408431</v>
      </c>
      <c r="F50" s="385">
        <f t="shared" si="2"/>
        <v>8.3982941455499702</v>
      </c>
      <c r="G50" s="110">
        <f t="shared" si="21"/>
        <v>0.38992915524820798</v>
      </c>
      <c r="H50" s="414" t="b">
        <f>Wh_hp&gt;='2020'!Maxi_hp</f>
        <v>0</v>
      </c>
      <c r="I50" s="380">
        <f>IF(H50,Wh_hp,'2020'!Maxi_hp)</f>
        <v>21.61065608350567</v>
      </c>
      <c r="J50" s="85">
        <f>IF(H50,An,'2020'!An_max)</f>
        <v>2020</v>
      </c>
      <c r="K50" s="197">
        <f t="shared" si="3"/>
        <v>44232</v>
      </c>
      <c r="L50" s="147">
        <f>IF(t&lt;Tvie,1-EXP((T0-t)*PertePVj)+'2020'!Pspv,1-EXP((T0-t)*PertePVj)+Pspv)</f>
        <v>2.2157408064198858E-2</v>
      </c>
      <c r="M50" s="850"/>
      <c r="N50" s="850"/>
      <c r="O50" s="48">
        <f>IF(t&lt;Tnet,'2020'!Resal+('2020'!Salim-'2020'!Resal)*(1-EXP(('2020'!Tnet-t)/('2020'!Tau_j))),Resal+(Salim-Resal)*(1-EXP((Tnet-t)/(Tau_j))))*Salcycl</f>
        <v>0.10552699121061564</v>
      </c>
      <c r="P50" s="169">
        <f>(INDEX(Models!$BJ50:$BT50,,T50)*(1-R50)+INDEX(Models!$BJ50:$BT50,,T50+1)*R50-ERP_i)*Q50*Ramure*Pc/MaxiM</f>
        <v>2.4781062941300981E-2</v>
      </c>
      <c r="Q50" s="305">
        <f t="shared" si="4"/>
        <v>0.7</v>
      </c>
      <c r="R50" s="177">
        <f t="shared" si="5"/>
        <v>0.20133757069767244</v>
      </c>
      <c r="S50" s="817">
        <f t="shared" si="6"/>
        <v>-1</v>
      </c>
      <c r="T50" s="176">
        <f t="shared" si="7"/>
        <v>5</v>
      </c>
      <c r="U50" s="251">
        <f t="shared" si="8"/>
        <v>-0.79866242930232756</v>
      </c>
      <c r="V50" s="383">
        <f t="shared" si="9"/>
        <v>18.371460717941279</v>
      </c>
      <c r="W50" s="402"/>
      <c r="X50" s="157">
        <f t="shared" si="10"/>
        <v>44232</v>
      </c>
      <c r="Y50" s="385">
        <f t="shared" si="11"/>
        <v>7.32</v>
      </c>
      <c r="Z50" s="385">
        <f t="shared" si="12"/>
        <v>7.4858674191199315</v>
      </c>
      <c r="AA50" s="386">
        <f t="shared" si="13"/>
        <v>8.3690254994408431</v>
      </c>
      <c r="AB50" s="197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0.10552699121061564</v>
      </c>
      <c r="AD50" s="231">
        <f>(INDEX(Models!$BJ50:$BT50,,AH50)*(1-AF50)+INDEX(Models!$BJ50:$BT50,,AH50+1)*AF50-ERP_i)*AE50*Ramure*Pc/MaxiM</f>
        <v>2.4781062941300981E-2</v>
      </c>
      <c r="AE50" s="305">
        <f t="shared" si="15"/>
        <v>0.7</v>
      </c>
      <c r="AF50" s="177">
        <f t="shared" si="22"/>
        <v>0.20133757069767244</v>
      </c>
      <c r="AG50" s="817">
        <f t="shared" si="23"/>
        <v>-1</v>
      </c>
      <c r="AH50" s="176">
        <f t="shared" si="16"/>
        <v>5</v>
      </c>
      <c r="AI50" s="225">
        <f t="shared" si="17"/>
        <v>-0.79866242930232756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44233</v>
      </c>
      <c r="B51" s="617">
        <v>5.5190000000000001</v>
      </c>
      <c r="C51" s="390"/>
      <c r="D51" s="393">
        <f t="shared" si="0"/>
        <v>5.6441813114171824</v>
      </c>
      <c r="E51" s="385">
        <f t="shared" si="1"/>
        <v>6.3104034820915142</v>
      </c>
      <c r="F51" s="385">
        <f t="shared" si="2"/>
        <v>6.3104034820915142</v>
      </c>
      <c r="G51" s="110">
        <f t="shared" si="21"/>
        <v>0.28887094343052572</v>
      </c>
      <c r="H51" s="414" t="b">
        <f>Wh_hp&gt;='2020'!Maxi_hp</f>
        <v>0</v>
      </c>
      <c r="I51" s="380">
        <f>IF(H51,Wh_hp,'2020'!Maxi_hp)</f>
        <v>22.282786270723793</v>
      </c>
      <c r="J51" s="85">
        <f>IF(H51,An,'2020'!An_max)</f>
        <v>2020</v>
      </c>
      <c r="K51" s="197">
        <f t="shared" si="3"/>
        <v>44233</v>
      </c>
      <c r="L51" s="147">
        <f>IF(t&lt;Tvie,1-EXP((T0-t)*PertePVj)+'2020'!Pspv,1-EXP((T0-t)*PertePVj)+Pspv)</f>
        <v>2.217882532652915E-2</v>
      </c>
      <c r="M51" s="850"/>
      <c r="N51" s="850"/>
      <c r="O51" s="48">
        <f>IF(t&lt;Tnet,'2020'!Resal+('2020'!Salim-'2020'!Resal)*(1-EXP(('2020'!Tnet-t)/('2020'!Tau_j))),Resal+(Salim-Resal)*(1-EXP((Tnet-t)/(Tau_j))))*Salcycl</f>
        <v>0.10557520966211173</v>
      </c>
      <c r="P51" s="169">
        <f>(INDEX(Models!$BJ51:$BT51,,T51)*(1-R51)+INDEX(Models!$BJ51:$BT51,,T51+1)*R51-ERP_i)*Q51*Ramure*Pc/MaxiM</f>
        <v>2.4264801640217624E-2</v>
      </c>
      <c r="Q51" s="305">
        <f t="shared" si="4"/>
        <v>0.7</v>
      </c>
      <c r="R51" s="177">
        <f t="shared" si="5"/>
        <v>0.20141076251052004</v>
      </c>
      <c r="S51" s="817">
        <f t="shared" si="6"/>
        <v>-1</v>
      </c>
      <c r="T51" s="176">
        <f t="shared" si="7"/>
        <v>5</v>
      </c>
      <c r="U51" s="251">
        <f t="shared" si="8"/>
        <v>-0.79858923748947996</v>
      </c>
      <c r="V51" s="383">
        <f t="shared" si="9"/>
        <v>18.641828408895567</v>
      </c>
      <c r="W51" s="402"/>
      <c r="X51" s="157">
        <f t="shared" si="10"/>
        <v>44233</v>
      </c>
      <c r="Y51" s="385">
        <f t="shared" si="11"/>
        <v>5.5190000000000001</v>
      </c>
      <c r="Z51" s="385">
        <f t="shared" si="12"/>
        <v>5.6441813114171824</v>
      </c>
      <c r="AA51" s="386">
        <f t="shared" si="13"/>
        <v>6.3104034820915142</v>
      </c>
      <c r="AB51" s="197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0.10557520966211173</v>
      </c>
      <c r="AD51" s="231">
        <f>(INDEX(Models!$BJ51:$BT51,,AH51)*(1-AF51)+INDEX(Models!$BJ51:$BT51,,AH51+1)*AF51-ERP_i)*AE51*Ramure*Pc/MaxiM</f>
        <v>2.4264801640217624E-2</v>
      </c>
      <c r="AE51" s="305">
        <f t="shared" si="15"/>
        <v>0.7</v>
      </c>
      <c r="AF51" s="177">
        <f t="shared" si="22"/>
        <v>0.20141076251052004</v>
      </c>
      <c r="AG51" s="817">
        <f t="shared" si="23"/>
        <v>-1</v>
      </c>
      <c r="AH51" s="176">
        <f t="shared" si="16"/>
        <v>5</v>
      </c>
      <c r="AI51" s="225">
        <f t="shared" si="17"/>
        <v>-0.79858923748947996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44234</v>
      </c>
      <c r="B52" s="617">
        <v>12.965</v>
      </c>
      <c r="C52" s="390"/>
      <c r="D52" s="393">
        <f t="shared" si="0"/>
        <v>13.259361025110854</v>
      </c>
      <c r="E52" s="385">
        <f t="shared" si="1"/>
        <v>14.825256169309485</v>
      </c>
      <c r="F52" s="385">
        <f t="shared" si="2"/>
        <v>15.021168730859705</v>
      </c>
      <c r="G52" s="110">
        <f t="shared" si="21"/>
        <v>0.67793111411000329</v>
      </c>
      <c r="H52" s="414" t="b">
        <f>Wh_hp&gt;='2020'!Maxi_hp</f>
        <v>0</v>
      </c>
      <c r="I52" s="380">
        <f>IF(H52,Wh_hp,'2020'!Maxi_hp)</f>
        <v>15.348596284444294</v>
      </c>
      <c r="J52" s="85">
        <f>IF(H52,An,'2020'!An_max)</f>
        <v>2020</v>
      </c>
      <c r="K52" s="197">
        <f t="shared" si="3"/>
        <v>44234</v>
      </c>
      <c r="L52" s="147">
        <f>IF(t&lt;Tvie,1-EXP((T0-t)*PertePVj)+'2020'!Pspv,1-EXP((T0-t)*PertePVj)+Pspv)</f>
        <v>2.2200242119766345E-2</v>
      </c>
      <c r="M52" s="850"/>
      <c r="N52" s="850"/>
      <c r="O52" s="48">
        <f>IF(t&lt;Tnet,'2020'!Resal+('2020'!Salim-'2020'!Resal)*(1-EXP(('2020'!Tnet-t)/('2020'!Tau_j))),Resal+(Salim-Resal)*(1-EXP((Tnet-t)/(Tau_j))))*Salcycl</f>
        <v>0.10562347971027114</v>
      </c>
      <c r="P52" s="169">
        <f>(INDEX(Models!$BJ52:$BT52,,T52)*(1-R52)+INDEX(Models!$BJ52:$BT52,,T52+1)*R52-ERP_i)*Q52*Ramure*Pc/MaxiM</f>
        <v>2.3693389777531496E-2</v>
      </c>
      <c r="Q52" s="305">
        <f t="shared" si="4"/>
        <v>0.7</v>
      </c>
      <c r="R52" s="177">
        <f t="shared" si="5"/>
        <v>0.20148698672717735</v>
      </c>
      <c r="S52" s="817">
        <f t="shared" si="6"/>
        <v>-1</v>
      </c>
      <c r="T52" s="176">
        <f t="shared" si="7"/>
        <v>5</v>
      </c>
      <c r="U52" s="251">
        <f t="shared" si="8"/>
        <v>-0.79851301327282265</v>
      </c>
      <c r="V52" s="383">
        <f t="shared" si="9"/>
        <v>18.917977404214216</v>
      </c>
      <c r="W52" s="402"/>
      <c r="X52" s="157">
        <f t="shared" si="10"/>
        <v>44234</v>
      </c>
      <c r="Y52" s="385">
        <f t="shared" si="11"/>
        <v>12.965</v>
      </c>
      <c r="Z52" s="385">
        <f t="shared" si="12"/>
        <v>13.259361025110854</v>
      </c>
      <c r="AA52" s="386">
        <f t="shared" si="13"/>
        <v>14.825256169309485</v>
      </c>
      <c r="AB52" s="197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0.10562347971027114</v>
      </c>
      <c r="AD52" s="231">
        <f>(INDEX(Models!$BJ52:$BT52,,AH52)*(1-AF52)+INDEX(Models!$BJ52:$BT52,,AH52+1)*AF52-ERP_i)*AE52*Ramure*Pc/MaxiM</f>
        <v>2.3693389777531496E-2</v>
      </c>
      <c r="AE52" s="305">
        <f t="shared" si="15"/>
        <v>0.7</v>
      </c>
      <c r="AF52" s="177">
        <f t="shared" si="22"/>
        <v>0.20148698672717735</v>
      </c>
      <c r="AG52" s="817">
        <f t="shared" si="23"/>
        <v>-1</v>
      </c>
      <c r="AH52" s="176">
        <f t="shared" si="16"/>
        <v>5</v>
      </c>
      <c r="AI52" s="225">
        <f t="shared" si="17"/>
        <v>-0.79851301327282265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44235</v>
      </c>
      <c r="B53" s="617">
        <v>2.5150000000000001</v>
      </c>
      <c r="C53" s="390"/>
      <c r="D53" s="393">
        <f t="shared" si="0"/>
        <v>2.5721576078250203</v>
      </c>
      <c r="E53" s="385">
        <f t="shared" si="1"/>
        <v>2.8760779125399627</v>
      </c>
      <c r="F53" s="385">
        <f t="shared" si="2"/>
        <v>2.8760779125399627</v>
      </c>
      <c r="G53" s="110">
        <f t="shared" si="21"/>
        <v>0.12797260466035121</v>
      </c>
      <c r="H53" s="414" t="b">
        <f>Wh_hp&gt;='2020'!Maxi_hp</f>
        <v>0</v>
      </c>
      <c r="I53" s="380">
        <f>IF(H53,Wh_hp,'2020'!Maxi_hp)</f>
        <v>19.771135830891151</v>
      </c>
      <c r="J53" s="85">
        <f>IF(H53,An,'2020'!An_max)</f>
        <v>2019</v>
      </c>
      <c r="K53" s="197">
        <f t="shared" si="3"/>
        <v>44235</v>
      </c>
      <c r="L53" s="147">
        <f>IF(t&lt;Tvie,1-EXP((T0-t)*PertePVj)+'2020'!Pspv,1-EXP((T0-t)*PertePVj)+Pspv)</f>
        <v>2.2221658443920878E-2</v>
      </c>
      <c r="M53" s="850"/>
      <c r="N53" s="850"/>
      <c r="O53" s="48">
        <f>IF(t&lt;Tnet,'2020'!Resal+('2020'!Salim-'2020'!Resal)*(1-EXP(('2020'!Tnet-t)/('2020'!Tau_j))),Resal+(Salim-Resal)*(1-EXP((Tnet-t)/(Tau_j))))*Salcycl</f>
        <v>0.10567179122297839</v>
      </c>
      <c r="P53" s="169">
        <f>(INDEX(Models!$BJ53:$BT53,,T53)*(1-R53)+INDEX(Models!$BJ53:$BT53,,T53+1)*R53-ERP_i)*Q53*Ramure*Pc/MaxiM</f>
        <v>2.3076858159188727E-2</v>
      </c>
      <c r="Q53" s="305">
        <f t="shared" si="4"/>
        <v>0.7</v>
      </c>
      <c r="R53" s="177">
        <f t="shared" si="5"/>
        <v>0.20156636732756428</v>
      </c>
      <c r="S53" s="817">
        <f t="shared" si="6"/>
        <v>-1</v>
      </c>
      <c r="T53" s="176">
        <f t="shared" si="7"/>
        <v>5</v>
      </c>
      <c r="U53" s="251">
        <f t="shared" si="8"/>
        <v>-0.79843363267243572</v>
      </c>
      <c r="V53" s="383">
        <f t="shared" si="9"/>
        <v>19.199122407882527</v>
      </c>
      <c r="W53" s="402"/>
      <c r="X53" s="157">
        <f t="shared" si="10"/>
        <v>44235</v>
      </c>
      <c r="Y53" s="385">
        <f t="shared" si="11"/>
        <v>2.5150000000000001</v>
      </c>
      <c r="Z53" s="385">
        <f t="shared" si="12"/>
        <v>2.5721576078250203</v>
      </c>
      <c r="AA53" s="386">
        <f t="shared" si="13"/>
        <v>2.8760779125399627</v>
      </c>
      <c r="AB53" s="197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0.10567179122297839</v>
      </c>
      <c r="AD53" s="231">
        <f>(INDEX(Models!$BJ53:$BT53,,AH53)*(1-AF53)+INDEX(Models!$BJ53:$BT53,,AH53+1)*AF53-ERP_i)*AE53*Ramure*Pc/MaxiM</f>
        <v>2.3076858159188727E-2</v>
      </c>
      <c r="AE53" s="305">
        <f t="shared" si="15"/>
        <v>0.7</v>
      </c>
      <c r="AF53" s="177">
        <f t="shared" si="22"/>
        <v>0.20156636732756428</v>
      </c>
      <c r="AG53" s="817">
        <f t="shared" si="23"/>
        <v>-1</v>
      </c>
      <c r="AH53" s="176">
        <f t="shared" si="16"/>
        <v>5</v>
      </c>
      <c r="AI53" s="225">
        <f t="shared" si="17"/>
        <v>-0.79843363267243572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44236</v>
      </c>
      <c r="B54" s="617">
        <v>8.0640000000000001</v>
      </c>
      <c r="C54" s="390"/>
      <c r="D54" s="393">
        <f t="shared" si="0"/>
        <v>8.2474486122597011</v>
      </c>
      <c r="E54" s="385">
        <f t="shared" si="1"/>
        <v>9.2224469328473369</v>
      </c>
      <c r="F54" s="385">
        <f t="shared" si="2"/>
        <v>9.2562010256301139</v>
      </c>
      <c r="G54" s="110">
        <f t="shared" si="21"/>
        <v>0.40606783137706459</v>
      </c>
      <c r="H54" s="414" t="b">
        <f>Wh_hp&gt;='2020'!Maxi_hp</f>
        <v>0</v>
      </c>
      <c r="I54" s="380">
        <f>IF(H54,Wh_hp,'2020'!Maxi_hp)</f>
        <v>19.303475099472632</v>
      </c>
      <c r="J54" s="85">
        <f>IF(H54,An,'2020'!An_max)</f>
        <v>2019</v>
      </c>
      <c r="K54" s="197">
        <f t="shared" si="3"/>
        <v>44236</v>
      </c>
      <c r="L54" s="147">
        <f>IF(t&lt;Tvie,1-EXP((T0-t)*PertePVj)+'2020'!Pspv,1-EXP((T0-t)*PertePVj)+Pspv)</f>
        <v>2.2243074299002963E-2</v>
      </c>
      <c r="M54" s="850"/>
      <c r="N54" s="850"/>
      <c r="O54" s="48">
        <f>IF(t&lt;Tnet,'2020'!Resal+('2020'!Salim-'2020'!Resal)*(1-EXP(('2020'!Tnet-t)/('2020'!Tau_j))),Resal+(Salim-Resal)*(1-EXP((Tnet-t)/(Tau_j))))*Salcycl</f>
        <v>0.10572013346208706</v>
      </c>
      <c r="P54" s="169">
        <f>(INDEX(Models!$BJ54:$BT54,,T54)*(1-R54)+INDEX(Models!$BJ54:$BT54,,T54+1)*R54-ERP_i)*Q54*Ramure*Pc/MaxiM</f>
        <v>2.2418205316432311E-2</v>
      </c>
      <c r="Q54" s="305">
        <f t="shared" si="4"/>
        <v>0.7</v>
      </c>
      <c r="R54" s="177">
        <f t="shared" si="5"/>
        <v>0.20164903321976357</v>
      </c>
      <c r="S54" s="817">
        <f t="shared" si="6"/>
        <v>-1</v>
      </c>
      <c r="T54" s="176">
        <f t="shared" si="7"/>
        <v>5</v>
      </c>
      <c r="U54" s="251">
        <f t="shared" si="8"/>
        <v>-0.79835096678023643</v>
      </c>
      <c r="V54" s="383">
        <f t="shared" si="9"/>
        <v>19.484607030703309</v>
      </c>
      <c r="W54" s="402"/>
      <c r="X54" s="157">
        <f t="shared" si="10"/>
        <v>44236</v>
      </c>
      <c r="Y54" s="385">
        <f t="shared" si="11"/>
        <v>8.0640000000000001</v>
      </c>
      <c r="Z54" s="385">
        <f t="shared" si="12"/>
        <v>8.2474486122597011</v>
      </c>
      <c r="AA54" s="386">
        <f t="shared" si="13"/>
        <v>9.2224469328473369</v>
      </c>
      <c r="AB54" s="197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0.10572013346208706</v>
      </c>
      <c r="AD54" s="231">
        <f>(INDEX(Models!$BJ54:$BT54,,AH54)*(1-AF54)+INDEX(Models!$BJ54:$BT54,,AH54+1)*AF54-ERP_i)*AE54*Ramure*Pc/MaxiM</f>
        <v>2.2418205316432311E-2</v>
      </c>
      <c r="AE54" s="305">
        <f t="shared" si="15"/>
        <v>0.7</v>
      </c>
      <c r="AF54" s="177">
        <f t="shared" si="22"/>
        <v>0.20164903321976357</v>
      </c>
      <c r="AG54" s="817">
        <f t="shared" si="23"/>
        <v>-1</v>
      </c>
      <c r="AH54" s="176">
        <f t="shared" si="16"/>
        <v>5</v>
      </c>
      <c r="AI54" s="225">
        <f t="shared" si="17"/>
        <v>-0.79835096678023643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44237</v>
      </c>
      <c r="B55" s="617">
        <v>7.7240000000000002</v>
      </c>
      <c r="C55" s="390"/>
      <c r="D55" s="393">
        <f t="shared" si="0"/>
        <v>7.8998869515455317</v>
      </c>
      <c r="E55" s="385">
        <f t="shared" si="1"/>
        <v>8.834274915715806</v>
      </c>
      <c r="F55" s="385">
        <f t="shared" si="2"/>
        <v>8.859185060451269</v>
      </c>
      <c r="G55" s="110">
        <f t="shared" si="21"/>
        <v>0.3832115711978043</v>
      </c>
      <c r="H55" s="414" t="b">
        <f>Wh_hp&gt;='2020'!Maxi_hp</f>
        <v>0</v>
      </c>
      <c r="I55" s="380">
        <f>IF(H55,Wh_hp,'2020'!Maxi_hp)</f>
        <v>8.9713148408359711</v>
      </c>
      <c r="J55" s="85">
        <f>IF(H55,An,'2020'!An_max)</f>
        <v>2020</v>
      </c>
      <c r="K55" s="197">
        <f t="shared" si="3"/>
        <v>44237</v>
      </c>
      <c r="L55" s="147">
        <f>IF(t&lt;Tvie,1-EXP((T0-t)*PertePVj)+'2020'!Pspv,1-EXP((T0-t)*PertePVj)+Pspv)</f>
        <v>2.2264489685022815E-2</v>
      </c>
      <c r="M55" s="850"/>
      <c r="N55" s="850"/>
      <c r="O55" s="48">
        <f>IF(t&lt;Tnet,'2020'!Resal+('2020'!Salim-'2020'!Resal)*(1-EXP(('2020'!Tnet-t)/('2020'!Tau_j))),Resal+(Salim-Resal)*(1-EXP((Tnet-t)/(Tau_j))))*Salcycl</f>
        <v>0.10576849521719506</v>
      </c>
      <c r="P55" s="169">
        <f>(INDEX(Models!$BJ55:$BT55,,T55)*(1-R55)+INDEX(Models!$BJ55:$BT55,,T55+1)*R55-ERP_i)*Q55*Ramure*Pc/MaxiM</f>
        <v>2.1720220401698666E-2</v>
      </c>
      <c r="Q55" s="305">
        <f t="shared" si="4"/>
        <v>0.7</v>
      </c>
      <c r="R55" s="177">
        <f t="shared" si="5"/>
        <v>0.20173511842391068</v>
      </c>
      <c r="S55" s="817">
        <f t="shared" si="6"/>
        <v>-1</v>
      </c>
      <c r="T55" s="176">
        <f t="shared" si="7"/>
        <v>5</v>
      </c>
      <c r="U55" s="251">
        <f t="shared" si="8"/>
        <v>-0.79826488157608932</v>
      </c>
      <c r="V55" s="383">
        <f t="shared" si="9"/>
        <v>19.773775159526934</v>
      </c>
      <c r="W55" s="402"/>
      <c r="X55" s="157">
        <f t="shared" si="10"/>
        <v>44237</v>
      </c>
      <c r="Y55" s="385">
        <f t="shared" si="11"/>
        <v>7.7240000000000002</v>
      </c>
      <c r="Z55" s="385">
        <f t="shared" si="12"/>
        <v>7.8998869515455317</v>
      </c>
      <c r="AA55" s="386">
        <f t="shared" si="13"/>
        <v>8.834274915715806</v>
      </c>
      <c r="AB55" s="197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0.10576849521719506</v>
      </c>
      <c r="AD55" s="231">
        <f>(INDEX(Models!$BJ55:$BT55,,AH55)*(1-AF55)+INDEX(Models!$BJ55:$BT55,,AH55+1)*AF55-ERP_i)*AE55*Ramure*Pc/MaxiM</f>
        <v>2.1720220401698666E-2</v>
      </c>
      <c r="AE55" s="305">
        <f t="shared" si="15"/>
        <v>0.7</v>
      </c>
      <c r="AF55" s="177">
        <f t="shared" si="22"/>
        <v>0.20173511842391068</v>
      </c>
      <c r="AG55" s="817">
        <f t="shared" si="23"/>
        <v>-1</v>
      </c>
      <c r="AH55" s="176">
        <f t="shared" si="16"/>
        <v>5</v>
      </c>
      <c r="AI55" s="225">
        <f t="shared" si="17"/>
        <v>-0.79826488157608932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44238</v>
      </c>
      <c r="B56" s="617">
        <v>17.183</v>
      </c>
      <c r="C56" s="390"/>
      <c r="D56" s="393">
        <f t="shared" si="0"/>
        <v>17.574667360201165</v>
      </c>
      <c r="E56" s="385">
        <f t="shared" si="1"/>
        <v>19.654438415689583</v>
      </c>
      <c r="F56" s="385">
        <f t="shared" si="2"/>
        <v>19.987799360241688</v>
      </c>
      <c r="G56" s="110">
        <f t="shared" si="21"/>
        <v>0.8525743952167868</v>
      </c>
      <c r="H56" s="414" t="b">
        <f>Wh_hp&gt;='2020'!Maxi_hp</f>
        <v>1</v>
      </c>
      <c r="I56" s="380">
        <f>IF(H56,Wh_hp,'2020'!Maxi_hp)</f>
        <v>19.987799360241688</v>
      </c>
      <c r="J56" s="85">
        <f>IF(H56,An,'2020'!An_max)</f>
        <v>2021</v>
      </c>
      <c r="K56" s="197">
        <f t="shared" si="3"/>
        <v>44238</v>
      </c>
      <c r="L56" s="147">
        <f>IF(t&lt;Tvie,1-EXP((T0-t)*PertePVj)+'2020'!Pspv,1-EXP((T0-t)*PertePVj)+Pspv)</f>
        <v>2.2285904601990758E-2</v>
      </c>
      <c r="M56" s="850"/>
      <c r="N56" s="850"/>
      <c r="O56" s="48">
        <f>IF(t&lt;Tnet,'2020'!Resal+('2020'!Salim-'2020'!Resal)*(1-EXP(('2020'!Tnet-t)/('2020'!Tau_j))),Resal+(Salim-Resal)*(1-EXP((Tnet-t)/(Tau_j))))*Salcycl</f>
        <v>0.10581686494935398</v>
      </c>
      <c r="P56" s="169">
        <f>(INDEX(Models!$BJ56:$BT56,,T56)*(1-R56)+INDEX(Models!$BJ56:$BT56,,T56+1)*R56-ERP_i)*Q56*Ramure*Pc/MaxiM</f>
        <v>2.0985480204072569E-2</v>
      </c>
      <c r="Q56" s="305">
        <f t="shared" si="4"/>
        <v>0.7</v>
      </c>
      <c r="R56" s="177">
        <f t="shared" si="5"/>
        <v>0.20182476226191082</v>
      </c>
      <c r="S56" s="817">
        <f t="shared" si="6"/>
        <v>-1</v>
      </c>
      <c r="T56" s="176">
        <f t="shared" si="7"/>
        <v>5</v>
      </c>
      <c r="U56" s="251">
        <f t="shared" si="8"/>
        <v>-0.79817523773808918</v>
      </c>
      <c r="V56" s="383">
        <f t="shared" si="9"/>
        <v>20.065970958630583</v>
      </c>
      <c r="W56" s="402"/>
      <c r="X56" s="157">
        <f t="shared" si="10"/>
        <v>44238</v>
      </c>
      <c r="Y56" s="385">
        <f t="shared" si="11"/>
        <v>17.183</v>
      </c>
      <c r="Z56" s="385">
        <f t="shared" si="12"/>
        <v>17.574667360201165</v>
      </c>
      <c r="AA56" s="386">
        <f t="shared" si="13"/>
        <v>19.654438415689583</v>
      </c>
      <c r="AB56" s="197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0.10581686494935398</v>
      </c>
      <c r="AD56" s="231">
        <f>(INDEX(Models!$BJ56:$BT56,,AH56)*(1-AF56)+INDEX(Models!$BJ56:$BT56,,AH56+1)*AF56-ERP_i)*AE56*Ramure*Pc/MaxiM</f>
        <v>2.0985480204072569E-2</v>
      </c>
      <c r="AE56" s="305">
        <f t="shared" si="15"/>
        <v>0.7</v>
      </c>
      <c r="AF56" s="177">
        <f t="shared" si="22"/>
        <v>0.20182476226191082</v>
      </c>
      <c r="AG56" s="817">
        <f t="shared" si="23"/>
        <v>-1</v>
      </c>
      <c r="AH56" s="176">
        <f t="shared" si="16"/>
        <v>5</v>
      </c>
      <c r="AI56" s="225">
        <f t="shared" si="17"/>
        <v>-0.79817523773808918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44239</v>
      </c>
      <c r="B57" s="617">
        <v>2.4929999999999999</v>
      </c>
      <c r="C57" s="390"/>
      <c r="D57" s="393">
        <f t="shared" si="0"/>
        <v>2.5498810092118123</v>
      </c>
      <c r="E57" s="385">
        <f t="shared" si="1"/>
        <v>2.8517859918378035</v>
      </c>
      <c r="F57" s="385">
        <f t="shared" si="2"/>
        <v>2.8517859918378035</v>
      </c>
      <c r="G57" s="110">
        <f t="shared" si="21"/>
        <v>0.11996738686118263</v>
      </c>
      <c r="H57" s="414" t="b">
        <f>Wh_hp&gt;='2020'!Maxi_hp</f>
        <v>0</v>
      </c>
      <c r="I57" s="380">
        <f>IF(H57,Wh_hp,'2020'!Maxi_hp)</f>
        <v>24.323485541278668</v>
      </c>
      <c r="J57" s="85">
        <f>IF(H57,An,'2020'!An_max)</f>
        <v>2019</v>
      </c>
      <c r="K57" s="197">
        <f t="shared" si="3"/>
        <v>44239</v>
      </c>
      <c r="L57" s="147">
        <f>IF(t&lt;Tvie,1-EXP((T0-t)*PertePVj)+'2020'!Pspv,1-EXP((T0-t)*PertePVj)+Pspv)</f>
        <v>2.2307319049917007E-2</v>
      </c>
      <c r="M57" s="850"/>
      <c r="N57" s="850"/>
      <c r="O57" s="48">
        <f>IF(t&lt;Tnet,'2020'!Resal+('2020'!Salim-'2020'!Resal)*(1-EXP(('2020'!Tnet-t)/('2020'!Tau_j))),Resal+(Salim-Resal)*(1-EXP((Tnet-t)/(Tau_j))))*Salcycl</f>
        <v>0.10586523094302445</v>
      </c>
      <c r="P57" s="169">
        <f>(INDEX(Models!$BJ57:$BT57,,T57)*(1-R57)+INDEX(Models!$BJ57:$BT57,,T57+1)*R57-ERP_i)*Q57*Ramure*Pc/MaxiM</f>
        <v>2.0216348502253036E-2</v>
      </c>
      <c r="Q57" s="305">
        <f t="shared" si="4"/>
        <v>0.7</v>
      </c>
      <c r="R57" s="177">
        <f t="shared" si="5"/>
        <v>0.20191810955307143</v>
      </c>
      <c r="S57" s="817">
        <f t="shared" si="6"/>
        <v>-1</v>
      </c>
      <c r="T57" s="176">
        <f t="shared" si="7"/>
        <v>5</v>
      </c>
      <c r="U57" s="251">
        <f t="shared" si="8"/>
        <v>-0.79808189044692857</v>
      </c>
      <c r="V57" s="383">
        <f t="shared" si="9"/>
        <v>20.360538868870083</v>
      </c>
      <c r="W57" s="402"/>
      <c r="X57" s="157">
        <f t="shared" si="10"/>
        <v>44239</v>
      </c>
      <c r="Y57" s="385">
        <f t="shared" si="11"/>
        <v>2.4929999999999999</v>
      </c>
      <c r="Z57" s="385">
        <f t="shared" si="12"/>
        <v>2.5498810092118123</v>
      </c>
      <c r="AA57" s="386">
        <f t="shared" si="13"/>
        <v>2.8517859918378035</v>
      </c>
      <c r="AB57" s="197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0.10586523094302445</v>
      </c>
      <c r="AD57" s="231">
        <f>(INDEX(Models!$BJ57:$BT57,,AH57)*(1-AF57)+INDEX(Models!$BJ57:$BT57,,AH57+1)*AF57-ERP_i)*AE57*Ramure*Pc/MaxiM</f>
        <v>2.0216348502253036E-2</v>
      </c>
      <c r="AE57" s="305">
        <f t="shared" si="15"/>
        <v>0.7</v>
      </c>
      <c r="AF57" s="177">
        <f t="shared" si="22"/>
        <v>0.20191810955307143</v>
      </c>
      <c r="AG57" s="817">
        <f t="shared" si="23"/>
        <v>-1</v>
      </c>
      <c r="AH57" s="176">
        <f t="shared" si="16"/>
        <v>5</v>
      </c>
      <c r="AI57" s="225">
        <f t="shared" si="17"/>
        <v>-0.79808189044692857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44240</v>
      </c>
      <c r="B58" s="617">
        <v>5.0120000000000005</v>
      </c>
      <c r="C58" s="390"/>
      <c r="D58" s="393">
        <f t="shared" si="0"/>
        <v>5.1264675247408125</v>
      </c>
      <c r="E58" s="385">
        <f t="shared" si="1"/>
        <v>5.7337494658940322</v>
      </c>
      <c r="F58" s="385">
        <f t="shared" si="2"/>
        <v>5.7337494658940322</v>
      </c>
      <c r="G58" s="110">
        <f t="shared" si="21"/>
        <v>0.23792100011924877</v>
      </c>
      <c r="H58" s="414" t="b">
        <f>Wh_hp&gt;='2020'!Maxi_hp</f>
        <v>0</v>
      </c>
      <c r="I58" s="380">
        <f>IF(H58,Wh_hp,'2020'!Maxi_hp)</f>
        <v>24.939074122850123</v>
      </c>
      <c r="J58" s="85">
        <f>IF(H58,An,'2020'!An_max)</f>
        <v>2019</v>
      </c>
      <c r="K58" s="197">
        <f t="shared" si="3"/>
        <v>44240</v>
      </c>
      <c r="L58" s="147">
        <f>IF(t&lt;Tvie,1-EXP((T0-t)*PertePVj)+'2020'!Pspv,1-EXP((T0-t)*PertePVj)+Pspv)</f>
        <v>2.2328733028811998E-2</v>
      </c>
      <c r="M58" s="850"/>
      <c r="N58" s="850"/>
      <c r="O58" s="48">
        <f>IF(t&lt;Tnet,'2020'!Resal+('2020'!Salim-'2020'!Resal)*(1-EXP(('2020'!Tnet-t)/('2020'!Tau_j))),Resal+(Salim-Resal)*(1-EXP((Tnet-t)/(Tau_j))))*Salcycl</f>
        <v>0.10591358146453816</v>
      </c>
      <c r="P58" s="169">
        <f>(INDEX(Models!$BJ58:$BT58,,T58)*(1-R58)+INDEX(Models!$BJ58:$BT58,,T58+1)*R58-ERP_i)*Q58*Ramure*Pc/MaxiM</f>
        <v>1.9418194777424118E-2</v>
      </c>
      <c r="Q58" s="305">
        <f t="shared" si="4"/>
        <v>0.7</v>
      </c>
      <c r="R58" s="177">
        <f t="shared" si="5"/>
        <v>0.20201531081573654</v>
      </c>
      <c r="S58" s="817">
        <f t="shared" si="6"/>
        <v>-1</v>
      </c>
      <c r="T58" s="176">
        <f t="shared" si="7"/>
        <v>5</v>
      </c>
      <c r="U58" s="251">
        <f t="shared" si="8"/>
        <v>-0.79798468918426346</v>
      </c>
      <c r="V58" s="383">
        <f t="shared" si="9"/>
        <v>20.656755836232435</v>
      </c>
      <c r="W58" s="402"/>
      <c r="X58" s="157">
        <f t="shared" si="10"/>
        <v>44240</v>
      </c>
      <c r="Y58" s="385">
        <f t="shared" si="11"/>
        <v>5.0120000000000005</v>
      </c>
      <c r="Z58" s="385">
        <f t="shared" si="12"/>
        <v>5.1264675247408125</v>
      </c>
      <c r="AA58" s="386">
        <f t="shared" si="13"/>
        <v>5.7337494658940322</v>
      </c>
      <c r="AB58" s="197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0.10591358146453816</v>
      </c>
      <c r="AD58" s="231">
        <f>(INDEX(Models!$BJ58:$BT58,,AH58)*(1-AF58)+INDEX(Models!$BJ58:$BT58,,AH58+1)*AF58-ERP_i)*AE58*Ramure*Pc/MaxiM</f>
        <v>1.9418194777424118E-2</v>
      </c>
      <c r="AE58" s="305">
        <f t="shared" si="15"/>
        <v>0.7</v>
      </c>
      <c r="AF58" s="177">
        <f t="shared" si="22"/>
        <v>0.20201531081573654</v>
      </c>
      <c r="AG58" s="817">
        <f t="shared" si="23"/>
        <v>-1</v>
      </c>
      <c r="AH58" s="176">
        <f t="shared" si="16"/>
        <v>5</v>
      </c>
      <c r="AI58" s="225">
        <f t="shared" si="17"/>
        <v>-0.79798468918426346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44241</v>
      </c>
      <c r="B59" s="617">
        <v>18.288</v>
      </c>
      <c r="C59" s="390"/>
      <c r="D59" s="393">
        <f t="shared" si="0"/>
        <v>18.706083712131054</v>
      </c>
      <c r="E59" s="385">
        <f t="shared" si="1"/>
        <v>20.923139422339698</v>
      </c>
      <c r="F59" s="385">
        <f t="shared" si="2"/>
        <v>21.246918409597566</v>
      </c>
      <c r="G59" s="110">
        <f t="shared" si="21"/>
        <v>0.86979776337497394</v>
      </c>
      <c r="H59" s="414" t="b">
        <f>Wh_hp&gt;='2020'!Maxi_hp</f>
        <v>0</v>
      </c>
      <c r="I59" s="380">
        <f>IF(H59,Wh_hp,'2020'!Maxi_hp)</f>
        <v>25.04355830581331</v>
      </c>
      <c r="J59" s="85">
        <f>IF(H59,An,'2020'!An_max)</f>
        <v>2019</v>
      </c>
      <c r="K59" s="197">
        <f t="shared" si="3"/>
        <v>44241</v>
      </c>
      <c r="L59" s="147">
        <f>IF(t&lt;Tvie,1-EXP((T0-t)*PertePVj)+'2020'!Pspv,1-EXP((T0-t)*PertePVj)+Pspv)</f>
        <v>2.2350146538685833E-2</v>
      </c>
      <c r="M59" s="850"/>
      <c r="N59" s="850"/>
      <c r="O59" s="48">
        <f>IF(t&lt;Tnet,'2020'!Resal+('2020'!Salim-'2020'!Resal)*(1-EXP(('2020'!Tnet-t)/('2020'!Tau_j))),Resal+(Salim-Resal)*(1-EXP((Tnet-t)/(Tau_j))))*Salcycl</f>
        <v>0.1059619049252947</v>
      </c>
      <c r="P59" s="169">
        <f>(INDEX(Models!$BJ59:$BT59,,T59)*(1-R59)+INDEX(Models!$BJ59:$BT59,,T59+1)*R59-ERP_i)*Q59*Ramure*Pc/MaxiM</f>
        <v>1.8623011373375038E-2</v>
      </c>
      <c r="Q59" s="305">
        <f t="shared" si="4"/>
        <v>0.7</v>
      </c>
      <c r="R59" s="177">
        <f t="shared" si="5"/>
        <v>0.20211652247499401</v>
      </c>
      <c r="S59" s="817">
        <f t="shared" si="6"/>
        <v>-1</v>
      </c>
      <c r="T59" s="176">
        <f t="shared" si="7"/>
        <v>5</v>
      </c>
      <c r="U59" s="251">
        <f t="shared" si="8"/>
        <v>-0.79788347752500599</v>
      </c>
      <c r="V59" s="383">
        <f t="shared" si="9"/>
        <v>20.953322529965661</v>
      </c>
      <c r="W59" s="402"/>
      <c r="X59" s="157">
        <f t="shared" si="10"/>
        <v>44241</v>
      </c>
      <c r="Y59" s="385">
        <f t="shared" si="11"/>
        <v>18.288</v>
      </c>
      <c r="Z59" s="385">
        <f t="shared" si="12"/>
        <v>18.706083712131054</v>
      </c>
      <c r="AA59" s="386">
        <f t="shared" si="13"/>
        <v>20.923139422339698</v>
      </c>
      <c r="AB59" s="197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0.1059619049252947</v>
      </c>
      <c r="AD59" s="231">
        <f>(INDEX(Models!$BJ59:$BT59,,AH59)*(1-AF59)+INDEX(Models!$BJ59:$BT59,,AH59+1)*AF59-ERP_i)*AE59*Ramure*Pc/MaxiM</f>
        <v>1.8623011373375038E-2</v>
      </c>
      <c r="AE59" s="305">
        <f t="shared" si="15"/>
        <v>0.7</v>
      </c>
      <c r="AF59" s="177">
        <f t="shared" si="22"/>
        <v>0.20211652247499401</v>
      </c>
      <c r="AG59" s="817">
        <f t="shared" si="23"/>
        <v>-1</v>
      </c>
      <c r="AH59" s="176">
        <f t="shared" si="16"/>
        <v>5</v>
      </c>
      <c r="AI59" s="225">
        <f t="shared" si="17"/>
        <v>-0.79788347752500599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44242</v>
      </c>
      <c r="B60" s="617">
        <v>19.615000000000002</v>
      </c>
      <c r="C60" s="390"/>
      <c r="D60" s="393">
        <f t="shared" si="0"/>
        <v>20.063859835710311</v>
      </c>
      <c r="E60" s="385">
        <f t="shared" si="1"/>
        <v>22.443052048641977</v>
      </c>
      <c r="F60" s="385">
        <f t="shared" si="2"/>
        <v>22.805007195322833</v>
      </c>
      <c r="G60" s="110">
        <f t="shared" si="21"/>
        <v>0.9212389580548912</v>
      </c>
      <c r="H60" s="414" t="b">
        <f>Wh_hp&gt;='2020'!Maxi_hp</f>
        <v>0</v>
      </c>
      <c r="I60" s="380">
        <f>IF(H60,Wh_hp,'2020'!Maxi_hp)</f>
        <v>25.359879246140192</v>
      </c>
      <c r="J60" s="85">
        <f>IF(H60,An,'2020'!An_max)</f>
        <v>2019</v>
      </c>
      <c r="K60" s="197">
        <f t="shared" si="3"/>
        <v>44242</v>
      </c>
      <c r="L60" s="147">
        <f>IF(t&lt;Tvie,1-EXP((T0-t)*PertePVj)+'2020'!Pspv,1-EXP((T0-t)*PertePVj)+Pspv)</f>
        <v>2.2371559579548839E-2</v>
      </c>
      <c r="M60" s="850"/>
      <c r="N60" s="850"/>
      <c r="O60" s="48">
        <f>IF(t&lt;Tnet,'2020'!Resal+('2020'!Salim-'2020'!Resal)*(1-EXP(('2020'!Tnet-t)/('2020'!Tau_j))),Resal+(Salim-Resal)*(1-EXP((Tnet-t)/(Tau_j))))*Salcycl</f>
        <v>0.10601019004790982</v>
      </c>
      <c r="P60" s="169">
        <f>(INDEX(Models!$BJ60:$BT60,,T60)*(1-R60)+INDEX(Models!$BJ60:$BT60,,T60+1)*R60-ERP_i)*Q60*Ramure*Pc/MaxiM</f>
        <v>1.7831215523972557E-2</v>
      </c>
      <c r="Q60" s="305">
        <f t="shared" si="4"/>
        <v>0.7</v>
      </c>
      <c r="R60" s="177">
        <f t="shared" si="5"/>
        <v>0.2022219070765211</v>
      </c>
      <c r="S60" s="817">
        <f t="shared" si="6"/>
        <v>-1</v>
      </c>
      <c r="T60" s="176">
        <f t="shared" si="7"/>
        <v>5</v>
      </c>
      <c r="U60" s="251">
        <f t="shared" si="8"/>
        <v>-0.7977780929234789</v>
      </c>
      <c r="V60" s="383">
        <f t="shared" si="9"/>
        <v>21.249584429154506</v>
      </c>
      <c r="W60" s="402"/>
      <c r="X60" s="157">
        <f t="shared" si="10"/>
        <v>44242</v>
      </c>
      <c r="Y60" s="385">
        <f t="shared" si="11"/>
        <v>19.615000000000002</v>
      </c>
      <c r="Z60" s="385">
        <f t="shared" si="12"/>
        <v>20.063859835710311</v>
      </c>
      <c r="AA60" s="386">
        <f t="shared" si="13"/>
        <v>22.443052048641977</v>
      </c>
      <c r="AB60" s="197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0.10601019004790982</v>
      </c>
      <c r="AD60" s="231">
        <f>(INDEX(Models!$BJ60:$BT60,,AH60)*(1-AF60)+INDEX(Models!$BJ60:$BT60,,AH60+1)*AF60-ERP_i)*AE60*Ramure*Pc/MaxiM</f>
        <v>1.7831215523972557E-2</v>
      </c>
      <c r="AE60" s="305">
        <f t="shared" si="15"/>
        <v>0.7</v>
      </c>
      <c r="AF60" s="177">
        <f t="shared" si="22"/>
        <v>0.2022219070765211</v>
      </c>
      <c r="AG60" s="817">
        <f t="shared" si="23"/>
        <v>-1</v>
      </c>
      <c r="AH60" s="176">
        <f t="shared" si="16"/>
        <v>5</v>
      </c>
      <c r="AI60" s="225">
        <f t="shared" si="17"/>
        <v>-0.7977780929234789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44243</v>
      </c>
      <c r="B61" s="617">
        <v>18.553000000000001</v>
      </c>
      <c r="C61" s="390"/>
      <c r="D61" s="393">
        <f t="shared" si="0"/>
        <v>18.977973225938673</v>
      </c>
      <c r="E61" s="385">
        <f t="shared" si="1"/>
        <v>21.22954539605141</v>
      </c>
      <c r="F61" s="385">
        <f t="shared" si="2"/>
        <v>21.523602031820577</v>
      </c>
      <c r="G61" s="110">
        <f t="shared" si="21"/>
        <v>0.85818051670479067</v>
      </c>
      <c r="H61" s="414" t="b">
        <f>Wh_hp&gt;='2020'!Maxi_hp</f>
        <v>0</v>
      </c>
      <c r="I61" s="380">
        <f>IF(H61,Wh_hp,'2020'!Maxi_hp)</f>
        <v>25.832581952942551</v>
      </c>
      <c r="J61" s="85">
        <f>IF(H61,An,'2020'!An_max)</f>
        <v>2019</v>
      </c>
      <c r="K61" s="197">
        <f t="shared" si="3"/>
        <v>44243</v>
      </c>
      <c r="L61" s="147">
        <f>IF(t&lt;Tvie,1-EXP((T0-t)*PertePVj)+'2020'!Pspv,1-EXP((T0-t)*PertePVj)+Pspv)</f>
        <v>2.2392972151411228E-2</v>
      </c>
      <c r="M61" s="850"/>
      <c r="N61" s="850"/>
      <c r="O61" s="48">
        <f>IF(t&lt;Tnet,'2020'!Resal+('2020'!Salim-'2020'!Resal)*(1-EXP(('2020'!Tnet-t)/('2020'!Tau_j))),Resal+(Salim-Resal)*(1-EXP((Tnet-t)/(Tau_j))))*Salcycl</f>
        <v>0.10605842603353717</v>
      </c>
      <c r="P61" s="169">
        <f>(INDEX(Models!$BJ61:$BT61,,T61)*(1-R61)+INDEX(Models!$BJ61:$BT61,,T61+1)*R61-ERP_i)*Q61*Ramure*Pc/MaxiM</f>
        <v>1.7043105897263391E-2</v>
      </c>
      <c r="Q61" s="305">
        <f t="shared" si="4"/>
        <v>0.7</v>
      </c>
      <c r="R61" s="177">
        <f t="shared" si="5"/>
        <v>0.20233163350661809</v>
      </c>
      <c r="S61" s="817">
        <f t="shared" si="6"/>
        <v>-1</v>
      </c>
      <c r="T61" s="176">
        <f t="shared" si="7"/>
        <v>5</v>
      </c>
      <c r="U61" s="251">
        <f t="shared" si="8"/>
        <v>-0.79766836649338191</v>
      </c>
      <c r="V61" s="383">
        <f t="shared" si="9"/>
        <v>21.544887271387246</v>
      </c>
      <c r="W61" s="402"/>
      <c r="X61" s="157">
        <f t="shared" si="10"/>
        <v>44243</v>
      </c>
      <c r="Y61" s="385">
        <f t="shared" si="11"/>
        <v>18.553000000000001</v>
      </c>
      <c r="Z61" s="385">
        <f t="shared" si="12"/>
        <v>18.977973225938673</v>
      </c>
      <c r="AA61" s="386">
        <f t="shared" si="13"/>
        <v>21.22954539605141</v>
      </c>
      <c r="AB61" s="197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0.10605842603353717</v>
      </c>
      <c r="AD61" s="231">
        <f>(INDEX(Models!$BJ61:$BT61,,AH61)*(1-AF61)+INDEX(Models!$BJ61:$BT61,,AH61+1)*AF61-ERP_i)*AE61*Ramure*Pc/MaxiM</f>
        <v>1.7043105897263391E-2</v>
      </c>
      <c r="AE61" s="305">
        <f t="shared" si="15"/>
        <v>0.7</v>
      </c>
      <c r="AF61" s="177">
        <f t="shared" si="22"/>
        <v>0.20233163350661809</v>
      </c>
      <c r="AG61" s="817">
        <f t="shared" si="23"/>
        <v>-1</v>
      </c>
      <c r="AH61" s="176">
        <f t="shared" si="16"/>
        <v>5</v>
      </c>
      <c r="AI61" s="225">
        <f t="shared" si="17"/>
        <v>-0.79766836649338191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44244</v>
      </c>
      <c r="B62" s="617">
        <v>20.655000000000001</v>
      </c>
      <c r="C62" s="390"/>
      <c r="D62" s="393">
        <f t="shared" si="0"/>
        <v>21.128584205122603</v>
      </c>
      <c r="E62" s="385">
        <f t="shared" si="1"/>
        <v>23.636581576301658</v>
      </c>
      <c r="F62" s="385">
        <f t="shared" si="2"/>
        <v>23.996530703364176</v>
      </c>
      <c r="G62" s="110">
        <f t="shared" si="21"/>
        <v>0.94459465083635907</v>
      </c>
      <c r="H62" s="414" t="b">
        <f>Wh_hp&gt;='2020'!Maxi_hp</f>
        <v>0</v>
      </c>
      <c r="I62" s="380">
        <f>IF(H62,Wh_hp,'2020'!Maxi_hp)</f>
        <v>26.057323912775445</v>
      </c>
      <c r="J62" s="85">
        <f>IF(H62,An,'2020'!An_max)</f>
        <v>2019</v>
      </c>
      <c r="K62" s="197">
        <f t="shared" si="3"/>
        <v>44244</v>
      </c>
      <c r="L62" s="147">
        <f>IF(t&lt;Tvie,1-EXP((T0-t)*PertePVj)+'2020'!Pspv,1-EXP((T0-t)*PertePVj)+Pspv)</f>
        <v>2.2414384254283437E-2</v>
      </c>
      <c r="M62" s="850"/>
      <c r="N62" s="850"/>
      <c r="O62" s="48">
        <f>IF(t&lt;Tnet,'2020'!Resal+('2020'!Salim-'2020'!Resal)*(1-EXP(('2020'!Tnet-t)/('2020'!Tau_j))),Resal+(Salim-Resal)*(1-EXP((Tnet-t)/(Tau_j))))*Salcycl</f>
        <v>0.10610660272861137</v>
      </c>
      <c r="P62" s="169">
        <f>(INDEX(Models!$BJ62:$BT62,,T62)*(1-R62)+INDEX(Models!$BJ62:$BT62,,T62+1)*R62-ERP_i)*Q62*Ramure*Pc/MaxiM</f>
        <v>1.6258871266704507E-2</v>
      </c>
      <c r="Q62" s="305">
        <f t="shared" si="4"/>
        <v>0.7</v>
      </c>
      <c r="R62" s="177">
        <f t="shared" si="5"/>
        <v>0.20244587721846741</v>
      </c>
      <c r="S62" s="817">
        <f t="shared" si="6"/>
        <v>-1</v>
      </c>
      <c r="T62" s="176">
        <f t="shared" si="7"/>
        <v>5</v>
      </c>
      <c r="U62" s="251">
        <f t="shared" si="8"/>
        <v>-0.79755412278153259</v>
      </c>
      <c r="V62" s="383">
        <f t="shared" si="9"/>
        <v>21.838577049376138</v>
      </c>
      <c r="W62" s="402"/>
      <c r="X62" s="157">
        <f t="shared" si="10"/>
        <v>44244</v>
      </c>
      <c r="Y62" s="385">
        <f t="shared" si="11"/>
        <v>20.655000000000001</v>
      </c>
      <c r="Z62" s="385">
        <f t="shared" si="12"/>
        <v>21.128584205122603</v>
      </c>
      <c r="AA62" s="386">
        <f t="shared" si="13"/>
        <v>23.636581576301658</v>
      </c>
      <c r="AB62" s="197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0.10610660272861137</v>
      </c>
      <c r="AD62" s="231">
        <f>(INDEX(Models!$BJ62:$BT62,,AH62)*(1-AF62)+INDEX(Models!$BJ62:$BT62,,AH62+1)*AF62-ERP_i)*AE62*Ramure*Pc/MaxiM</f>
        <v>1.6258871266704507E-2</v>
      </c>
      <c r="AE62" s="305">
        <f t="shared" si="15"/>
        <v>0.7</v>
      </c>
      <c r="AF62" s="177">
        <f t="shared" si="22"/>
        <v>0.20244587721846741</v>
      </c>
      <c r="AG62" s="817">
        <f t="shared" si="23"/>
        <v>-1</v>
      </c>
      <c r="AH62" s="176">
        <f t="shared" si="16"/>
        <v>5</v>
      </c>
      <c r="AI62" s="225">
        <f t="shared" si="17"/>
        <v>-0.79755412278153259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44245</v>
      </c>
      <c r="B63" s="617">
        <v>9.5340000000000007</v>
      </c>
      <c r="C63" s="390"/>
      <c r="D63" s="393">
        <f t="shared" si="0"/>
        <v>9.7528121016483116</v>
      </c>
      <c r="E63" s="385">
        <f t="shared" si="1"/>
        <v>10.911074007293195</v>
      </c>
      <c r="F63" s="385">
        <f t="shared" si="2"/>
        <v>10.942727843253438</v>
      </c>
      <c r="G63" s="110">
        <f t="shared" si="21"/>
        <v>0.42537992582988376</v>
      </c>
      <c r="H63" s="414" t="b">
        <f>Wh_hp&gt;='2020'!Maxi_hp</f>
        <v>0</v>
      </c>
      <c r="I63" s="380">
        <f>IF(H63,Wh_hp,'2020'!Maxi_hp)</f>
        <v>25.702210502087123</v>
      </c>
      <c r="J63" s="85">
        <f>IF(H63,An,'2020'!An_max)</f>
        <v>2019</v>
      </c>
      <c r="K63" s="197">
        <f t="shared" si="3"/>
        <v>44245</v>
      </c>
      <c r="L63" s="147">
        <f>IF(t&lt;Tvie,1-EXP((T0-t)*PertePVj)+'2020'!Pspv,1-EXP((T0-t)*PertePVj)+Pspv)</f>
        <v>2.2435795888175569E-2</v>
      </c>
      <c r="M63" s="850"/>
      <c r="N63" s="850"/>
      <c r="O63" s="48">
        <f>IF(t&lt;Tnet,'2020'!Resal+('2020'!Salim-'2020'!Resal)*(1-EXP(('2020'!Tnet-t)/('2020'!Tau_j))),Resal+(Salim-Resal)*(1-EXP((Tnet-t)/(Tau_j))))*Salcycl</f>
        <v>0.10615471078930223</v>
      </c>
      <c r="P63" s="169">
        <f>(INDEX(Models!$BJ63:$BT63,,T63)*(1-R63)+INDEX(Models!$BJ63:$BT63,,T63+1)*R63-ERP_i)*Q63*Ramure*Pc/MaxiM</f>
        <v>1.5478598528177134E-2</v>
      </c>
      <c r="Q63" s="305">
        <f t="shared" si="4"/>
        <v>0.7</v>
      </c>
      <c r="R63" s="177">
        <f t="shared" si="5"/>
        <v>0.20256482046464086</v>
      </c>
      <c r="S63" s="817">
        <f t="shared" si="6"/>
        <v>-1</v>
      </c>
      <c r="T63" s="176">
        <f t="shared" si="7"/>
        <v>5</v>
      </c>
      <c r="U63" s="251">
        <f t="shared" si="8"/>
        <v>-0.79743517953535914</v>
      </c>
      <c r="V63" s="383">
        <f t="shared" si="9"/>
        <v>22.13000001153884</v>
      </c>
      <c r="W63" s="402"/>
      <c r="X63" s="157">
        <f t="shared" si="10"/>
        <v>44245</v>
      </c>
      <c r="Y63" s="385">
        <f t="shared" si="11"/>
        <v>9.5340000000000007</v>
      </c>
      <c r="Z63" s="385">
        <f t="shared" si="12"/>
        <v>9.7528121016483116</v>
      </c>
      <c r="AA63" s="386">
        <f t="shared" si="13"/>
        <v>10.911074007293195</v>
      </c>
      <c r="AB63" s="197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0.10615471078930223</v>
      </c>
      <c r="AD63" s="231">
        <f>(INDEX(Models!$BJ63:$BT63,,AH63)*(1-AF63)+INDEX(Models!$BJ63:$BT63,,AH63+1)*AF63-ERP_i)*AE63*Ramure*Pc/MaxiM</f>
        <v>1.5478598528177134E-2</v>
      </c>
      <c r="AE63" s="305">
        <f t="shared" si="15"/>
        <v>0.7</v>
      </c>
      <c r="AF63" s="177">
        <f t="shared" si="22"/>
        <v>0.20256482046464086</v>
      </c>
      <c r="AG63" s="817">
        <f t="shared" si="23"/>
        <v>-1</v>
      </c>
      <c r="AH63" s="176">
        <f t="shared" si="16"/>
        <v>5</v>
      </c>
      <c r="AI63" s="225">
        <f t="shared" si="17"/>
        <v>-0.79743517953535914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44246</v>
      </c>
      <c r="B64" s="617">
        <v>21.719000000000001</v>
      </c>
      <c r="C64" s="390"/>
      <c r="D64" s="393">
        <f t="shared" si="0"/>
        <v>22.217953174741201</v>
      </c>
      <c r="E64" s="385">
        <f t="shared" si="1"/>
        <v>24.857933912809568</v>
      </c>
      <c r="F64" s="385">
        <f t="shared" si="2"/>
        <v>25.212086475297145</v>
      </c>
      <c r="G64" s="110">
        <f t="shared" si="21"/>
        <v>0.96815403454573268</v>
      </c>
      <c r="H64" s="414" t="b">
        <f>Wh_hp&gt;='2020'!Maxi_hp</f>
        <v>1</v>
      </c>
      <c r="I64" s="380">
        <f>IF(H64,Wh_hp,'2020'!Maxi_hp)</f>
        <v>25.212086475297145</v>
      </c>
      <c r="J64" s="85">
        <f>IF(H64,An,'2020'!An_max)</f>
        <v>2021</v>
      </c>
      <c r="K64" s="197">
        <f t="shared" si="3"/>
        <v>44246</v>
      </c>
      <c r="L64" s="147">
        <f>IF(t&lt;Tvie,1-EXP((T0-t)*PertePVj)+'2020'!Pspv,1-EXP((T0-t)*PertePVj)+Pspv)</f>
        <v>2.2457207053098061E-2</v>
      </c>
      <c r="M64" s="850"/>
      <c r="N64" s="850"/>
      <c r="O64" s="48">
        <f>IF(t&lt;Tnet,'2020'!Resal+('2020'!Salim-'2020'!Resal)*(1-EXP(('2020'!Tnet-t)/('2020'!Tau_j))),Resal+(Salim-Resal)*(1-EXP((Tnet-t)/(Tau_j))))*Salcycl</f>
        <v>0.10620274184203041</v>
      </c>
      <c r="P64" s="169">
        <f>(INDEX(Models!$BJ64:$BT64,,T64)*(1-R64)+INDEX(Models!$BJ64:$BT64,,T64+1)*R64-ERP_i)*Q64*Ramure*Pc/MaxiM</f>
        <v>1.4702280028889569E-2</v>
      </c>
      <c r="Q64" s="305">
        <f t="shared" si="4"/>
        <v>0.7</v>
      </c>
      <c r="R64" s="177">
        <f t="shared" si="5"/>
        <v>0.20268865253585877</v>
      </c>
      <c r="S64" s="817">
        <f t="shared" si="6"/>
        <v>-1</v>
      </c>
      <c r="T64" s="176">
        <f t="shared" si="7"/>
        <v>5</v>
      </c>
      <c r="U64" s="251">
        <f t="shared" si="8"/>
        <v>-0.79731134746414123</v>
      </c>
      <c r="V64" s="383">
        <f t="shared" si="9"/>
        <v>22.418502657486389</v>
      </c>
      <c r="W64" s="402"/>
      <c r="X64" s="157">
        <f t="shared" si="10"/>
        <v>44246</v>
      </c>
      <c r="Y64" s="385">
        <f t="shared" si="11"/>
        <v>21.719000000000001</v>
      </c>
      <c r="Z64" s="385">
        <f t="shared" si="12"/>
        <v>22.217953174741201</v>
      </c>
      <c r="AA64" s="386">
        <f t="shared" si="13"/>
        <v>24.857933912809568</v>
      </c>
      <c r="AB64" s="197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0.10620274184203041</v>
      </c>
      <c r="AD64" s="231">
        <f>(INDEX(Models!$BJ64:$BT64,,AH64)*(1-AF64)+INDEX(Models!$BJ64:$BT64,,AH64+1)*AF64-ERP_i)*AE64*Ramure*Pc/MaxiM</f>
        <v>1.4702280028889569E-2</v>
      </c>
      <c r="AE64" s="305">
        <f t="shared" si="15"/>
        <v>0.7</v>
      </c>
      <c r="AF64" s="177">
        <f t="shared" si="22"/>
        <v>0.20268865253585877</v>
      </c>
      <c r="AG64" s="817">
        <f t="shared" si="23"/>
        <v>-1</v>
      </c>
      <c r="AH64" s="176">
        <f t="shared" si="16"/>
        <v>5</v>
      </c>
      <c r="AI64" s="225">
        <f t="shared" si="17"/>
        <v>-0.79731134746414123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44247</v>
      </c>
      <c r="B65" s="617">
        <v>18.442</v>
      </c>
      <c r="C65" s="390"/>
      <c r="D65" s="393">
        <f t="shared" si="0"/>
        <v>18.866083478945082</v>
      </c>
      <c r="E65" s="385">
        <f t="shared" si="1"/>
        <v>21.108920856346916</v>
      </c>
      <c r="F65" s="385">
        <f t="shared" si="2"/>
        <v>21.326294465690612</v>
      </c>
      <c r="G65" s="110">
        <f t="shared" si="21"/>
        <v>0.80917571189353765</v>
      </c>
      <c r="H65" s="414" t="b">
        <f>Wh_hp&gt;='2020'!Maxi_hp</f>
        <v>0</v>
      </c>
      <c r="I65" s="380">
        <f>IF(H65,Wh_hp,'2020'!Maxi_hp)</f>
        <v>26.392814303463727</v>
      </c>
      <c r="J65" s="85">
        <f>IF(H65,An,'2020'!An_max)</f>
        <v>2020</v>
      </c>
      <c r="K65" s="197">
        <f t="shared" si="3"/>
        <v>44247</v>
      </c>
      <c r="L65" s="147">
        <f>IF(t&lt;Tvie,1-EXP((T0-t)*PertePVj)+'2020'!Pspv,1-EXP((T0-t)*PertePVj)+Pspv)</f>
        <v>2.2478617749061014E-2</v>
      </c>
      <c r="M65" s="850"/>
      <c r="N65" s="850"/>
      <c r="O65" s="48">
        <f>IF(t&lt;Tnet,'2020'!Resal+('2020'!Salim-'2020'!Resal)*(1-EXP(('2020'!Tnet-t)/('2020'!Tau_j))),Resal+(Salim-Resal)*(1-EXP((Tnet-t)/(Tau_j))))*Salcycl</f>
        <v>0.10625068863847056</v>
      </c>
      <c r="P65" s="169">
        <f>(INDEX(Models!$BJ65:$BT65,,T65)*(1-R65)+INDEX(Models!$BJ65:$BT65,,T65+1)*R65-ERP_i)*Q65*Ramure*Pc/MaxiM</f>
        <v>1.3928830183056453E-2</v>
      </c>
      <c r="Q65" s="305">
        <f t="shared" si="4"/>
        <v>0.7</v>
      </c>
      <c r="R65" s="177">
        <f t="shared" si="5"/>
        <v>0.20281757000598599</v>
      </c>
      <c r="S65" s="817">
        <f t="shared" si="6"/>
        <v>-1</v>
      </c>
      <c r="T65" s="176">
        <f t="shared" si="7"/>
        <v>5</v>
      </c>
      <c r="U65" s="251">
        <f t="shared" si="8"/>
        <v>-0.79718242999401401</v>
      </c>
      <c r="V65" s="383">
        <f t="shared" si="9"/>
        <v>22.705068179100294</v>
      </c>
      <c r="W65" s="402"/>
      <c r="X65" s="157">
        <f t="shared" si="10"/>
        <v>44247</v>
      </c>
      <c r="Y65" s="385">
        <f t="shared" si="11"/>
        <v>18.442</v>
      </c>
      <c r="Z65" s="385">
        <f t="shared" si="12"/>
        <v>18.866083478945082</v>
      </c>
      <c r="AA65" s="386">
        <f t="shared" si="13"/>
        <v>21.108920856346916</v>
      </c>
      <c r="AB65" s="197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0.10625068863847056</v>
      </c>
      <c r="AD65" s="231">
        <f>(INDEX(Models!$BJ65:$BT65,,AH65)*(1-AF65)+INDEX(Models!$BJ65:$BT65,,AH65+1)*AF65-ERP_i)*AE65*Ramure*Pc/MaxiM</f>
        <v>1.3928830183056453E-2</v>
      </c>
      <c r="AE65" s="305">
        <f t="shared" si="15"/>
        <v>0.7</v>
      </c>
      <c r="AF65" s="177">
        <f t="shared" si="22"/>
        <v>0.20281757000598599</v>
      </c>
      <c r="AG65" s="817">
        <f t="shared" si="23"/>
        <v>-1</v>
      </c>
      <c r="AH65" s="176">
        <f t="shared" si="16"/>
        <v>5</v>
      </c>
      <c r="AI65" s="225">
        <f t="shared" si="17"/>
        <v>-0.79718242999401401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44248</v>
      </c>
      <c r="B66" s="617">
        <v>6.9690000000000003</v>
      </c>
      <c r="C66" s="390"/>
      <c r="D66" s="393">
        <f t="shared" si="0"/>
        <v>7.1294119687498343</v>
      </c>
      <c r="E66" s="385">
        <f t="shared" si="1"/>
        <v>7.9773977433814283</v>
      </c>
      <c r="F66" s="385">
        <f t="shared" si="2"/>
        <v>7.9778648984410054</v>
      </c>
      <c r="G66" s="110">
        <f t="shared" si="21"/>
        <v>0.29914645985087984</v>
      </c>
      <c r="H66" s="414" t="b">
        <f>Wh_hp&gt;='2020'!Maxi_hp</f>
        <v>0</v>
      </c>
      <c r="I66" s="380">
        <f>IF(H66,Wh_hp,'2020'!Maxi_hp)</f>
        <v>25.140056728294933</v>
      </c>
      <c r="J66" s="85">
        <f>IF(H66,An,'2020'!An_max)</f>
        <v>2019</v>
      </c>
      <c r="K66" s="197">
        <f t="shared" si="3"/>
        <v>44248</v>
      </c>
      <c r="L66" s="147">
        <f>IF(t&lt;Tvie,1-EXP((T0-t)*PertePVj)+'2020'!Pspv,1-EXP((T0-t)*PertePVj)+Pspv)</f>
        <v>2.2500027976074866E-2</v>
      </c>
      <c r="M66" s="850"/>
      <c r="N66" s="850"/>
      <c r="O66" s="48">
        <f>IF(t&lt;Tnet,'2020'!Resal+('2020'!Salim-'2020'!Resal)*(1-EXP(('2020'!Tnet-t)/('2020'!Tau_j))),Resal+(Salim-Resal)*(1-EXP((Tnet-t)/(Tau_j))))*Salcycl</f>
        <v>0.10629854520355818</v>
      </c>
      <c r="P66" s="169">
        <f>(INDEX(Models!$BJ66:$BT66,,T66)*(1-R66)+INDEX(Models!$BJ66:$BT66,,T66+1)*R66-ERP_i)*Q66*Ramure*Pc/MaxiM</f>
        <v>1.3153982374546683E-2</v>
      </c>
      <c r="Q66" s="305">
        <f t="shared" si="4"/>
        <v>0.7</v>
      </c>
      <c r="R66" s="177">
        <f t="shared" si="5"/>
        <v>0.20295177698322964</v>
      </c>
      <c r="S66" s="817">
        <f t="shared" si="6"/>
        <v>-1</v>
      </c>
      <c r="T66" s="176">
        <f t="shared" si="7"/>
        <v>5</v>
      </c>
      <c r="U66" s="251">
        <f t="shared" si="8"/>
        <v>-0.79704822301677036</v>
      </c>
      <c r="V66" s="383">
        <f t="shared" si="9"/>
        <v>22.99118844840482</v>
      </c>
      <c r="W66" s="402"/>
      <c r="X66" s="157">
        <f t="shared" si="10"/>
        <v>44248</v>
      </c>
      <c r="Y66" s="385">
        <f t="shared" si="11"/>
        <v>6.9690000000000003</v>
      </c>
      <c r="Z66" s="385">
        <f t="shared" si="12"/>
        <v>7.1294119687498343</v>
      </c>
      <c r="AA66" s="386">
        <f t="shared" si="13"/>
        <v>7.9773977433814283</v>
      </c>
      <c r="AB66" s="197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0.10629854520355818</v>
      </c>
      <c r="AD66" s="231">
        <f>(INDEX(Models!$BJ66:$BT66,,AH66)*(1-AF66)+INDEX(Models!$BJ66:$BT66,,AH66+1)*AF66-ERP_i)*AE66*Ramure*Pc/MaxiM</f>
        <v>1.3153982374546683E-2</v>
      </c>
      <c r="AE66" s="305">
        <f t="shared" si="15"/>
        <v>0.7</v>
      </c>
      <c r="AF66" s="177">
        <f t="shared" si="22"/>
        <v>0.20295177698322964</v>
      </c>
      <c r="AG66" s="817">
        <f t="shared" si="23"/>
        <v>-1</v>
      </c>
      <c r="AH66" s="176">
        <f t="shared" si="16"/>
        <v>5</v>
      </c>
      <c r="AI66" s="225">
        <f t="shared" si="17"/>
        <v>-0.79704822301677036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44249</v>
      </c>
      <c r="B67" s="617">
        <v>4.7439999999999998</v>
      </c>
      <c r="C67" s="390"/>
      <c r="D67" s="393">
        <f t="shared" si="0"/>
        <v>4.8533033696443848</v>
      </c>
      <c r="E67" s="385">
        <f t="shared" si="1"/>
        <v>5.4308547119821196</v>
      </c>
      <c r="F67" s="385">
        <f t="shared" si="2"/>
        <v>5.4308547119821196</v>
      </c>
      <c r="G67" s="110">
        <f t="shared" si="21"/>
        <v>0.2012848570271982</v>
      </c>
      <c r="H67" s="414" t="b">
        <f>Wh_hp&gt;='2020'!Maxi_hp</f>
        <v>0</v>
      </c>
      <c r="I67" s="380">
        <f>IF(H67,Wh_hp,'2020'!Maxi_hp)</f>
        <v>26.553607822777124</v>
      </c>
      <c r="J67" s="85">
        <f>IF(H67,An,'2020'!An_max)</f>
        <v>2019</v>
      </c>
      <c r="K67" s="197">
        <f t="shared" si="3"/>
        <v>44249</v>
      </c>
      <c r="L67" s="147">
        <f>IF(t&lt;Tvie,1-EXP((T0-t)*PertePVj)+'2020'!Pspv,1-EXP((T0-t)*PertePVj)+Pspv)</f>
        <v>2.2521437734149719E-2</v>
      </c>
      <c r="M67" s="850"/>
      <c r="N67" s="850"/>
      <c r="O67" s="48">
        <f>IF(t&lt;Tnet,'2020'!Resal+('2020'!Salim-'2020'!Resal)*(1-EXP(('2020'!Tnet-t)/('2020'!Tau_j))),Resal+(Salim-Resal)*(1-EXP((Tnet-t)/(Tau_j))))*Salcycl</f>
        <v>0.10634630697512142</v>
      </c>
      <c r="P67" s="169">
        <f>(INDEX(Models!$BJ67:$BT67,,T67)*(1-R67)+INDEX(Models!$BJ67:$BT67,,T67+1)*R67-ERP_i)*Q67*Ramure*Pc/MaxiM</f>
        <v>1.2397366270855508E-2</v>
      </c>
      <c r="Q67" s="305">
        <f t="shared" si="4"/>
        <v>0.7</v>
      </c>
      <c r="R67" s="177">
        <f t="shared" si="5"/>
        <v>0.20309148536747712</v>
      </c>
      <c r="S67" s="817">
        <f t="shared" si="6"/>
        <v>-1</v>
      </c>
      <c r="T67" s="176">
        <f t="shared" si="7"/>
        <v>5</v>
      </c>
      <c r="U67" s="251">
        <f t="shared" si="8"/>
        <v>-0.79690851463252288</v>
      </c>
      <c r="V67" s="383">
        <f t="shared" si="9"/>
        <v>23.276400239974262</v>
      </c>
      <c r="W67" s="402"/>
      <c r="X67" s="157">
        <f t="shared" si="10"/>
        <v>44249</v>
      </c>
      <c r="Y67" s="385">
        <f t="shared" si="11"/>
        <v>4.7439999999999998</v>
      </c>
      <c r="Z67" s="385">
        <f t="shared" si="12"/>
        <v>4.8533033696443848</v>
      </c>
      <c r="AA67" s="386">
        <f t="shared" si="13"/>
        <v>5.4308547119821196</v>
      </c>
      <c r="AB67" s="197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0.10634630697512142</v>
      </c>
      <c r="AD67" s="231">
        <f>(INDEX(Models!$BJ67:$BT67,,AH67)*(1-AF67)+INDEX(Models!$BJ67:$BT67,,AH67+1)*AF67-ERP_i)*AE67*Ramure*Pc/MaxiM</f>
        <v>1.2397366270855508E-2</v>
      </c>
      <c r="AE67" s="305">
        <f t="shared" si="15"/>
        <v>0.7</v>
      </c>
      <c r="AF67" s="177">
        <f t="shared" si="22"/>
        <v>0.20309148536747712</v>
      </c>
      <c r="AG67" s="817">
        <f t="shared" si="23"/>
        <v>-1</v>
      </c>
      <c r="AH67" s="176">
        <f t="shared" si="16"/>
        <v>5</v>
      </c>
      <c r="AI67" s="225">
        <f t="shared" si="17"/>
        <v>-0.79690851463252288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44250</v>
      </c>
      <c r="B68" s="617">
        <v>18.634</v>
      </c>
      <c r="C68" s="390"/>
      <c r="D68" s="393">
        <f t="shared" si="0"/>
        <v>19.063751227614279</v>
      </c>
      <c r="E68" s="385">
        <f t="shared" si="1"/>
        <v>21.333507840739507</v>
      </c>
      <c r="F68" s="385">
        <f t="shared" si="2"/>
        <v>21.509359722779628</v>
      </c>
      <c r="G68" s="110">
        <f t="shared" si="21"/>
        <v>0.78811604934294932</v>
      </c>
      <c r="H68" s="414" t="b">
        <f>Wh_hp&gt;='2020'!Maxi_hp</f>
        <v>0</v>
      </c>
      <c r="I68" s="380">
        <f>IF(H68,Wh_hp,'2020'!Maxi_hp)</f>
        <v>27.261868971635646</v>
      </c>
      <c r="J68" s="85">
        <f>IF(H68,An,'2020'!An_max)</f>
        <v>2019</v>
      </c>
      <c r="K68" s="197">
        <f t="shared" si="3"/>
        <v>44250</v>
      </c>
      <c r="L68" s="147">
        <f>IF(t&lt;Tvie,1-EXP((T0-t)*PertePVj)+'2020'!Pspv,1-EXP((T0-t)*PertePVj)+Pspv)</f>
        <v>2.2542847023295898E-2</v>
      </c>
      <c r="M68" s="850"/>
      <c r="N68" s="850"/>
      <c r="O68" s="48">
        <f>IF(t&lt;Tnet,'2020'!Resal+('2020'!Salim-'2020'!Resal)*(1-EXP(('2020'!Tnet-t)/('2020'!Tau_j))),Resal+(Salim-Resal)*(1-EXP((Tnet-t)/(Tau_j))))*Salcycl</f>
        <v>0.10639397093387475</v>
      </c>
      <c r="P68" s="169">
        <f>(INDEX(Models!$BJ68:$BT68,,T68)*(1-R68)+INDEX(Models!$BJ68:$BT68,,T68+1)*R68-ERP_i)*Q68*Ramure*Pc/MaxiM</f>
        <v>1.1658177123013711E-2</v>
      </c>
      <c r="Q68" s="305">
        <f t="shared" si="4"/>
        <v>0.7</v>
      </c>
      <c r="R68" s="177">
        <f t="shared" si="5"/>
        <v>0.20323691511368946</v>
      </c>
      <c r="S68" s="817">
        <f t="shared" si="6"/>
        <v>-1</v>
      </c>
      <c r="T68" s="176">
        <f t="shared" si="7"/>
        <v>5</v>
      </c>
      <c r="U68" s="251">
        <f t="shared" si="8"/>
        <v>-0.79676308488631054</v>
      </c>
      <c r="V68" s="383">
        <f t="shared" si="9"/>
        <v>23.560706212811763</v>
      </c>
      <c r="W68" s="402"/>
      <c r="X68" s="157">
        <f t="shared" si="10"/>
        <v>44250</v>
      </c>
      <c r="Y68" s="385">
        <f t="shared" si="11"/>
        <v>18.634</v>
      </c>
      <c r="Z68" s="385">
        <f t="shared" si="12"/>
        <v>19.063751227614279</v>
      </c>
      <c r="AA68" s="386">
        <f t="shared" si="13"/>
        <v>21.333507840739507</v>
      </c>
      <c r="AB68" s="197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0.10639397093387475</v>
      </c>
      <c r="AD68" s="231">
        <f>(INDEX(Models!$BJ68:$BT68,,AH68)*(1-AF68)+INDEX(Models!$BJ68:$BT68,,AH68+1)*AF68-ERP_i)*AE68*Ramure*Pc/MaxiM</f>
        <v>1.1658177123013711E-2</v>
      </c>
      <c r="AE68" s="305">
        <f t="shared" si="15"/>
        <v>0.7</v>
      </c>
      <c r="AF68" s="177">
        <f t="shared" si="22"/>
        <v>0.20323691511368946</v>
      </c>
      <c r="AG68" s="817">
        <f t="shared" si="23"/>
        <v>-1</v>
      </c>
      <c r="AH68" s="176">
        <f t="shared" si="16"/>
        <v>5</v>
      </c>
      <c r="AI68" s="225">
        <f t="shared" si="17"/>
        <v>-0.79676308488631054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44251</v>
      </c>
      <c r="B69" s="617">
        <v>22.772000000000002</v>
      </c>
      <c r="C69" s="390"/>
      <c r="D69" s="393">
        <f t="shared" si="0"/>
        <v>23.297695154019728</v>
      </c>
      <c r="E69" s="385">
        <f t="shared" si="1"/>
        <v>26.072938800776768</v>
      </c>
      <c r="F69" s="385">
        <f t="shared" si="2"/>
        <v>26.342509105259129</v>
      </c>
      <c r="G69" s="110">
        <f t="shared" si="21"/>
        <v>0.95435901171767634</v>
      </c>
      <c r="H69" s="414" t="b">
        <f>Wh_hp&gt;='2020'!Maxi_hp</f>
        <v>0</v>
      </c>
      <c r="I69" s="380">
        <f>IF(H69,Wh_hp,'2020'!Maxi_hp)</f>
        <v>27.125715294135134</v>
      </c>
      <c r="J69" s="85">
        <f>IF(H69,An,'2020'!An_max)</f>
        <v>2019</v>
      </c>
      <c r="K69" s="197">
        <f t="shared" si="3"/>
        <v>44251</v>
      </c>
      <c r="L69" s="147">
        <f>IF(t&lt;Tvie,1-EXP((T0-t)*PertePVj)+'2020'!Pspv,1-EXP((T0-t)*PertePVj)+Pspv)</f>
        <v>2.2564255843523728E-2</v>
      </c>
      <c r="M69" s="850"/>
      <c r="N69" s="850"/>
      <c r="O69" s="48">
        <f>IF(t&lt;Tnet,'2020'!Resal+('2020'!Salim-'2020'!Resal)*(1-EXP(('2020'!Tnet-t)/('2020'!Tau_j))),Resal+(Salim-Resal)*(1-EXP((Tnet-t)/(Tau_j))))*Salcycl</f>
        <v>0.1064415357226383</v>
      </c>
      <c r="P69" s="169">
        <f>(INDEX(Models!$BJ69:$BT69,,T69)*(1-R69)+INDEX(Models!$BJ69:$BT69,,T69+1)*R69-ERP_i)*Q69*Ramure*Pc/MaxiM</f>
        <v>1.0935716711915811E-2</v>
      </c>
      <c r="Q69" s="305">
        <f t="shared" si="4"/>
        <v>0.7</v>
      </c>
      <c r="R69" s="177">
        <f t="shared" si="5"/>
        <v>0.20338829450123286</v>
      </c>
      <c r="S69" s="817">
        <f t="shared" si="6"/>
        <v>-1</v>
      </c>
      <c r="T69" s="176">
        <f t="shared" si="7"/>
        <v>5</v>
      </c>
      <c r="U69" s="251">
        <f t="shared" si="8"/>
        <v>-0.79661170549876714</v>
      </c>
      <c r="V69" s="383">
        <f t="shared" si="9"/>
        <v>23.844107382756771</v>
      </c>
      <c r="W69" s="402"/>
      <c r="X69" s="157">
        <f t="shared" si="10"/>
        <v>44251</v>
      </c>
      <c r="Y69" s="385">
        <f t="shared" si="11"/>
        <v>22.772000000000002</v>
      </c>
      <c r="Z69" s="385">
        <f t="shared" si="12"/>
        <v>23.297695154019728</v>
      </c>
      <c r="AA69" s="386">
        <f t="shared" si="13"/>
        <v>26.072938800776768</v>
      </c>
      <c r="AB69" s="197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0.1064415357226383</v>
      </c>
      <c r="AD69" s="231">
        <f>(INDEX(Models!$BJ69:$BT69,,AH69)*(1-AF69)+INDEX(Models!$BJ69:$BT69,,AH69+1)*AF69-ERP_i)*AE69*Ramure*Pc/MaxiM</f>
        <v>1.0935716711915811E-2</v>
      </c>
      <c r="AE69" s="305">
        <f t="shared" si="15"/>
        <v>0.7</v>
      </c>
      <c r="AF69" s="177">
        <f t="shared" si="22"/>
        <v>0.20338829450123286</v>
      </c>
      <c r="AG69" s="817">
        <f t="shared" si="23"/>
        <v>-1</v>
      </c>
      <c r="AH69" s="176">
        <f t="shared" si="16"/>
        <v>5</v>
      </c>
      <c r="AI69" s="225">
        <f t="shared" si="17"/>
        <v>-0.79661170549876714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44252</v>
      </c>
      <c r="B70" s="617">
        <v>20.687000000000001</v>
      </c>
      <c r="C70" s="390"/>
      <c r="D70" s="393">
        <f t="shared" si="0"/>
        <v>21.165026173837365</v>
      </c>
      <c r="E70" s="385">
        <f t="shared" si="1"/>
        <v>23.687482544009054</v>
      </c>
      <c r="F70" s="385">
        <f t="shared" si="2"/>
        <v>23.88202497094478</v>
      </c>
      <c r="G70" s="110">
        <f t="shared" si="21"/>
        <v>0.85563419027983256</v>
      </c>
      <c r="H70" s="414" t="b">
        <f>Wh_hp&gt;='2020'!Maxi_hp</f>
        <v>0</v>
      </c>
      <c r="I70" s="380">
        <f>IF(H70,Wh_hp,'2020'!Maxi_hp)</f>
        <v>27.521029362463523</v>
      </c>
      <c r="J70" s="85">
        <f>IF(H70,An,'2020'!An_max)</f>
        <v>2019</v>
      </c>
      <c r="K70" s="197">
        <f t="shared" si="3"/>
        <v>44252</v>
      </c>
      <c r="L70" s="147">
        <f>IF(t&lt;Tvie,1-EXP((T0-t)*PertePVj)+'2020'!Pspv,1-EXP((T0-t)*PertePVj)+Pspv)</f>
        <v>2.2585664194843535E-2</v>
      </c>
      <c r="M70" s="850"/>
      <c r="N70" s="850"/>
      <c r="O70" s="48">
        <f>IF(t&lt;Tnet,'2020'!Resal+('2020'!Salim-'2020'!Resal)*(1-EXP(('2020'!Tnet-t)/('2020'!Tau_j))),Resal+(Salim-Resal)*(1-EXP((Tnet-t)/(Tau_j))))*Salcycl</f>
        <v>0.10648900175378315</v>
      </c>
      <c r="P70" s="169">
        <f>(INDEX(Models!$BJ70:$BT70,,T70)*(1-R70)+INDEX(Models!$BJ70:$BT70,,T70+1)*R70-ERP_i)*Q70*Ramure*Pc/MaxiM</f>
        <v>1.0229321690767972E-2</v>
      </c>
      <c r="Q70" s="305">
        <f t="shared" si="4"/>
        <v>0.7</v>
      </c>
      <c r="R70" s="177">
        <f t="shared" si="5"/>
        <v>0.20354586040900247</v>
      </c>
      <c r="S70" s="817">
        <f t="shared" si="6"/>
        <v>-1</v>
      </c>
      <c r="T70" s="176">
        <f t="shared" si="7"/>
        <v>5</v>
      </c>
      <c r="U70" s="251">
        <f t="shared" si="8"/>
        <v>-0.79645413959099753</v>
      </c>
      <c r="V70" s="383">
        <f t="shared" si="9"/>
        <v>24.126604714609016</v>
      </c>
      <c r="W70" s="402"/>
      <c r="X70" s="157">
        <f t="shared" si="10"/>
        <v>44252</v>
      </c>
      <c r="Y70" s="385">
        <f t="shared" si="11"/>
        <v>20.687000000000001</v>
      </c>
      <c r="Z70" s="385">
        <f t="shared" si="12"/>
        <v>21.165026173837365</v>
      </c>
      <c r="AA70" s="386">
        <f t="shared" si="13"/>
        <v>23.687482544009054</v>
      </c>
      <c r="AB70" s="197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0.10648900175378315</v>
      </c>
      <c r="AD70" s="231">
        <f>(INDEX(Models!$BJ70:$BT70,,AH70)*(1-AF70)+INDEX(Models!$BJ70:$BT70,,AH70+1)*AF70-ERP_i)*AE70*Ramure*Pc/MaxiM</f>
        <v>1.0229321690767972E-2</v>
      </c>
      <c r="AE70" s="305">
        <f t="shared" si="15"/>
        <v>0.7</v>
      </c>
      <c r="AF70" s="177">
        <f t="shared" si="22"/>
        <v>0.20354586040900247</v>
      </c>
      <c r="AG70" s="817">
        <f t="shared" si="23"/>
        <v>-1</v>
      </c>
      <c r="AH70" s="176">
        <f t="shared" si="16"/>
        <v>5</v>
      </c>
      <c r="AI70" s="225">
        <f t="shared" si="17"/>
        <v>-0.79645413959099753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44253</v>
      </c>
      <c r="B71" s="617">
        <v>5.3440000000000003</v>
      </c>
      <c r="C71" s="390"/>
      <c r="D71" s="393">
        <f t="shared" si="0"/>
        <v>5.4676065759526935</v>
      </c>
      <c r="E71" s="385">
        <f t="shared" si="1"/>
        <v>6.1195625656669117</v>
      </c>
      <c r="F71" s="385">
        <f t="shared" si="2"/>
        <v>6.1195625656669117</v>
      </c>
      <c r="G71" s="110">
        <f t="shared" si="21"/>
        <v>0.21685446645449072</v>
      </c>
      <c r="H71" s="414" t="b">
        <f>Wh_hp&gt;='2020'!Maxi_hp</f>
        <v>0</v>
      </c>
      <c r="I71" s="380">
        <f>IF(H71,Wh_hp,'2020'!Maxi_hp)</f>
        <v>25.164955933074054</v>
      </c>
      <c r="J71" s="85">
        <f>IF(H71,An,'2020'!An_max)</f>
        <v>2019</v>
      </c>
      <c r="K71" s="197">
        <f t="shared" si="3"/>
        <v>44253</v>
      </c>
      <c r="L71" s="147">
        <f>IF(t&lt;Tvie,1-EXP((T0-t)*PertePVj)+'2020'!Pspv,1-EXP((T0-t)*PertePVj)+Pspv)</f>
        <v>2.2607072077265422E-2</v>
      </c>
      <c r="M71" s="850"/>
      <c r="N71" s="850"/>
      <c r="O71" s="48">
        <f>IF(t&lt;Tnet,'2020'!Resal+('2020'!Salim-'2020'!Resal)*(1-EXP(('2020'!Tnet-t)/('2020'!Tau_j))),Resal+(Salim-Resal)*(1-EXP((Tnet-t)/(Tau_j))))*Salcycl</f>
        <v>0.10653637130404406</v>
      </c>
      <c r="P71" s="169">
        <f>(INDEX(Models!$BJ71:$BT71,,T71)*(1-R71)+INDEX(Models!$BJ71:$BT71,,T71+1)*R71-ERP_i)*Q71*Ramure*Pc/MaxiM</f>
        <v>9.5383611275969647E-3</v>
      </c>
      <c r="Q71" s="305">
        <f t="shared" si="4"/>
        <v>0.7</v>
      </c>
      <c r="R71" s="177">
        <f t="shared" si="5"/>
        <v>0.20370985859615587</v>
      </c>
      <c r="S71" s="817">
        <f t="shared" si="6"/>
        <v>-1</v>
      </c>
      <c r="T71" s="176">
        <f t="shared" si="7"/>
        <v>5</v>
      </c>
      <c r="U71" s="251">
        <f t="shared" si="8"/>
        <v>-0.79629014140384413</v>
      </c>
      <c r="V71" s="383">
        <f t="shared" si="9"/>
        <v>24.408199123926835</v>
      </c>
      <c r="W71" s="402"/>
      <c r="X71" s="157">
        <f t="shared" si="10"/>
        <v>44253</v>
      </c>
      <c r="Y71" s="385">
        <f t="shared" si="11"/>
        <v>5.3440000000000003</v>
      </c>
      <c r="Z71" s="385">
        <f t="shared" si="12"/>
        <v>5.4676065759526935</v>
      </c>
      <c r="AA71" s="386">
        <f t="shared" si="13"/>
        <v>6.1195625656669117</v>
      </c>
      <c r="AB71" s="197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0.10653637130404406</v>
      </c>
      <c r="AD71" s="231">
        <f>(INDEX(Models!$BJ71:$BT71,,AH71)*(1-AF71)+INDEX(Models!$BJ71:$BT71,,AH71+1)*AF71-ERP_i)*AE71*Ramure*Pc/MaxiM</f>
        <v>9.5383611275969647E-3</v>
      </c>
      <c r="AE71" s="305">
        <f t="shared" si="15"/>
        <v>0.7</v>
      </c>
      <c r="AF71" s="177">
        <f t="shared" si="22"/>
        <v>0.20370985859615587</v>
      </c>
      <c r="AG71" s="817">
        <f t="shared" si="23"/>
        <v>-1</v>
      </c>
      <c r="AH71" s="176">
        <f t="shared" si="16"/>
        <v>5</v>
      </c>
      <c r="AI71" s="225">
        <f t="shared" si="17"/>
        <v>-0.79629014140384413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44254</v>
      </c>
      <c r="B72" s="617">
        <v>24.754999999999999</v>
      </c>
      <c r="C72" s="390"/>
      <c r="D72" s="393">
        <f t="shared" si="0"/>
        <v>25.328137233938332</v>
      </c>
      <c r="E72" s="385">
        <f t="shared" si="1"/>
        <v>28.349757863883998</v>
      </c>
      <c r="F72" s="385">
        <f t="shared" si="2"/>
        <v>28.603433631443369</v>
      </c>
      <c r="G72" s="110">
        <f t="shared" si="21"/>
        <v>1.002684221244355</v>
      </c>
      <c r="H72" s="414" t="b">
        <f>Wh_hp&gt;='2020'!Maxi_hp</f>
        <v>1</v>
      </c>
      <c r="I72" s="380">
        <f>IF(H72,Wh_hp,'2020'!Maxi_hp)</f>
        <v>28.603433631443369</v>
      </c>
      <c r="J72" s="85">
        <f>IF(H72,An,'2020'!An_max)</f>
        <v>2021</v>
      </c>
      <c r="K72" s="197">
        <f t="shared" si="3"/>
        <v>44254</v>
      </c>
      <c r="L72" s="147">
        <f>IF(t&lt;Tvie,1-EXP((T0-t)*PertePVj)+'2020'!Pspv,1-EXP((T0-t)*PertePVj)+Pspv)</f>
        <v>2.2628479490799713E-2</v>
      </c>
      <c r="M72" s="850"/>
      <c r="N72" s="850"/>
      <c r="O72" s="48">
        <f>IF(t&lt;Tnet,'2020'!Resal+('2020'!Salim-'2020'!Resal)*(1-EXP(('2020'!Tnet-t)/('2020'!Tau_j))),Resal+(Salim-Resal)*(1-EXP((Tnet-t)/(Tau_j))))*Salcycl</f>
        <v>0.10658364859599175</v>
      </c>
      <c r="P72" s="169">
        <f>(INDEX(Models!$BJ72:$BT72,,T72)*(1-R72)+INDEX(Models!$BJ72:$BT72,,T72+1)*R72-ERP_i)*Q72*Ramure*Pc/MaxiM</f>
        <v>8.868717330513462E-3</v>
      </c>
      <c r="Q72" s="305">
        <f t="shared" si="4"/>
        <v>0.7</v>
      </c>
      <c r="R72" s="177">
        <f t="shared" si="5"/>
        <v>0.20388054398823496</v>
      </c>
      <c r="S72" s="817">
        <f t="shared" si="6"/>
        <v>-1</v>
      </c>
      <c r="T72" s="176">
        <f t="shared" si="7"/>
        <v>5</v>
      </c>
      <c r="U72" s="251">
        <f t="shared" si="8"/>
        <v>-0.79611945601176504</v>
      </c>
      <c r="V72" s="383">
        <f t="shared" si="9"/>
        <v>24.688729986474158</v>
      </c>
      <c r="W72" s="402"/>
      <c r="X72" s="157">
        <f t="shared" si="10"/>
        <v>44254</v>
      </c>
      <c r="Y72" s="385">
        <f t="shared" si="11"/>
        <v>24.754999999999999</v>
      </c>
      <c r="Z72" s="385">
        <f t="shared" si="12"/>
        <v>25.328137233938332</v>
      </c>
      <c r="AA72" s="386">
        <f t="shared" si="13"/>
        <v>28.349757863883998</v>
      </c>
      <c r="AB72" s="197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0.10658364859599175</v>
      </c>
      <c r="AD72" s="231">
        <f>(INDEX(Models!$BJ72:$BT72,,AH72)*(1-AF72)+INDEX(Models!$BJ72:$BT72,,AH72+1)*AF72-ERP_i)*AE72*Ramure*Pc/MaxiM</f>
        <v>8.868717330513462E-3</v>
      </c>
      <c r="AE72" s="305">
        <f t="shared" si="15"/>
        <v>0.7</v>
      </c>
      <c r="AF72" s="177">
        <f t="shared" si="22"/>
        <v>0.20388054398823496</v>
      </c>
      <c r="AG72" s="817">
        <f t="shared" si="23"/>
        <v>-1</v>
      </c>
      <c r="AH72" s="176">
        <f t="shared" si="16"/>
        <v>5</v>
      </c>
      <c r="AI72" s="225">
        <f t="shared" si="17"/>
        <v>-0.79611945601176504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44255</v>
      </c>
      <c r="B73" s="617">
        <v>19.978999999999999</v>
      </c>
      <c r="C73" s="390"/>
      <c r="D73" s="393">
        <f t="shared" si="0"/>
        <v>20.442009186588798</v>
      </c>
      <c r="E73" s="385">
        <f t="shared" si="1"/>
        <v>22.881928433161512</v>
      </c>
      <c r="F73" s="385">
        <f t="shared" si="2"/>
        <v>23.017068960881289</v>
      </c>
      <c r="G73" s="110">
        <f t="shared" si="21"/>
        <v>0.79828773517203988</v>
      </c>
      <c r="H73" s="414" t="b">
        <f>Wh_hp&gt;='2020'!Maxi_hp</f>
        <v>1</v>
      </c>
      <c r="I73" s="380">
        <f>IF(H73,Wh_hp,'2020'!Maxi_hp)</f>
        <v>23.017068960881289</v>
      </c>
      <c r="J73" s="85">
        <f>IF(H73,An,'2020'!An_max)</f>
        <v>2021</v>
      </c>
      <c r="K73" s="197">
        <f t="shared" si="3"/>
        <v>44255</v>
      </c>
      <c r="L73" s="147">
        <f>IF(t&lt;Tvie,1-EXP((T0-t)*PertePVj)+'2020'!Pspv,1-EXP((T0-t)*PertePVj)+Pspv)</f>
        <v>2.2649886435456734E-2</v>
      </c>
      <c r="M73" s="850"/>
      <c r="N73" s="850"/>
      <c r="O73" s="48">
        <f>IF(t&lt;Tnet,'2020'!Resal+('2020'!Salim-'2020'!Resal)*(1-EXP(('2020'!Tnet-t)/('2020'!Tau_j))),Resal+(Salim-Resal)*(1-EXP((Tnet-t)/(Tau_j))))*Salcycl</f>
        <v>0.10663083986560651</v>
      </c>
      <c r="P73" s="169">
        <f>(INDEX(Models!$BJ73:$BT73,,T73)*(1-R73)+INDEX(Models!$BJ73:$BT73,,T73+1)*R73-ERP_i)*Q73*Ramure*Pc/MaxiM</f>
        <v>8.2169568258347765E-3</v>
      </c>
      <c r="Q73" s="305">
        <f t="shared" si="4"/>
        <v>0.7</v>
      </c>
      <c r="R73" s="177">
        <f t="shared" si="5"/>
        <v>0.20405818096841388</v>
      </c>
      <c r="S73" s="817">
        <f t="shared" si="6"/>
        <v>-1</v>
      </c>
      <c r="T73" s="176">
        <f t="shared" si="7"/>
        <v>5</v>
      </c>
      <c r="U73" s="251">
        <f t="shared" si="8"/>
        <v>-0.79594181903158612</v>
      </c>
      <c r="V73" s="383">
        <f t="shared" si="9"/>
        <v>24.968264981337331</v>
      </c>
      <c r="W73" s="402"/>
      <c r="X73" s="157">
        <f t="shared" si="10"/>
        <v>44255</v>
      </c>
      <c r="Y73" s="385">
        <f t="shared" si="11"/>
        <v>19.978999999999999</v>
      </c>
      <c r="Z73" s="385">
        <f t="shared" si="12"/>
        <v>20.442009186588798</v>
      </c>
      <c r="AA73" s="386">
        <f t="shared" si="13"/>
        <v>22.881928433161512</v>
      </c>
      <c r="AB73" s="197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0.10663083986560651</v>
      </c>
      <c r="AD73" s="231">
        <f>(INDEX(Models!$BJ73:$BT73,,AH73)*(1-AF73)+INDEX(Models!$BJ73:$BT73,,AH73+1)*AF73-ERP_i)*AE73*Ramure*Pc/MaxiM</f>
        <v>8.2169568258347765E-3</v>
      </c>
      <c r="AE73" s="305">
        <f t="shared" si="15"/>
        <v>0.7</v>
      </c>
      <c r="AF73" s="177">
        <f t="shared" si="22"/>
        <v>0.20405818096841388</v>
      </c>
      <c r="AG73" s="817">
        <f t="shared" si="23"/>
        <v>-1</v>
      </c>
      <c r="AH73" s="176">
        <f t="shared" si="16"/>
        <v>5</v>
      </c>
      <c r="AI73" s="225">
        <f t="shared" si="17"/>
        <v>-0.79594181903158612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44256</v>
      </c>
      <c r="B74" s="617">
        <v>22.209</v>
      </c>
      <c r="C74" s="390"/>
      <c r="D74" s="393">
        <f t="shared" si="0"/>
        <v>22.724186692679595</v>
      </c>
      <c r="E74" s="385">
        <f t="shared" si="1"/>
        <v>25.4378438095912</v>
      </c>
      <c r="F74" s="385">
        <f t="shared" si="2"/>
        <v>25.598579149116329</v>
      </c>
      <c r="G74" s="110">
        <f t="shared" si="21"/>
        <v>0.8785219017262782</v>
      </c>
      <c r="H74" s="414" t="b">
        <f>Wh_hp&gt;='2020'!Maxi_hp</f>
        <v>1</v>
      </c>
      <c r="I74" s="380">
        <f>IF(H74,Wh_hp,'2020'!Maxi_hp)</f>
        <v>25.598579149116329</v>
      </c>
      <c r="J74" s="85">
        <f>IF(H74,An,'2020'!An_max)</f>
        <v>2021</v>
      </c>
      <c r="K74" s="197">
        <f t="shared" si="3"/>
        <v>44256</v>
      </c>
      <c r="L74" s="147">
        <f>IF(t&lt;Tvie,1-EXP((T0-t)*PertePVj)+'2020'!Pspv,1-EXP((T0-t)*PertePVj)+Pspv)</f>
        <v>2.267129291124681E-2</v>
      </c>
      <c r="M74" s="850"/>
      <c r="N74" s="850"/>
      <c r="O74" s="48">
        <f>IF(t&lt;Tnet,'2020'!Resal+('2020'!Salim-'2020'!Resal)*(1-EXP(('2020'!Tnet-t)/('2020'!Tau_j))),Resal+(Salim-Resal)*(1-EXP((Tnet-t)/(Tau_j))))*Salcycl</f>
        <v>0.10667795341554992</v>
      </c>
      <c r="P74" s="169">
        <f>(INDEX(Models!$BJ74:$BT74,,T74)*(1-R74)+INDEX(Models!$BJ74:$BT74,,T74+1)*R74-ERP_i)*Q74*Ramure*Pc/MaxiM</f>
        <v>7.5824310897908255E-3</v>
      </c>
      <c r="Q74" s="305">
        <f t="shared" si="4"/>
        <v>0.7</v>
      </c>
      <c r="R74" s="177">
        <f t="shared" si="5"/>
        <v>0.20424304367356538</v>
      </c>
      <c r="S74" s="817">
        <f t="shared" si="6"/>
        <v>-1</v>
      </c>
      <c r="T74" s="176">
        <f t="shared" si="7"/>
        <v>5</v>
      </c>
      <c r="U74" s="251">
        <f t="shared" si="8"/>
        <v>-0.79575695632643462</v>
      </c>
      <c r="V74" s="383">
        <f t="shared" si="9"/>
        <v>25.246804622239498</v>
      </c>
      <c r="W74" s="402"/>
      <c r="X74" s="157">
        <f t="shared" si="10"/>
        <v>44256</v>
      </c>
      <c r="Y74" s="385">
        <f t="shared" si="11"/>
        <v>22.209</v>
      </c>
      <c r="Z74" s="385">
        <f t="shared" si="12"/>
        <v>22.724186692679595</v>
      </c>
      <c r="AA74" s="386">
        <f t="shared" si="13"/>
        <v>25.4378438095912</v>
      </c>
      <c r="AB74" s="197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0.10667795341554992</v>
      </c>
      <c r="AD74" s="231">
        <f>(INDEX(Models!$BJ74:$BT74,,AH74)*(1-AF74)+INDEX(Models!$BJ74:$BT74,,AH74+1)*AF74-ERP_i)*AE74*Ramure*Pc/MaxiM</f>
        <v>7.5824310897908255E-3</v>
      </c>
      <c r="AE74" s="305">
        <f t="shared" si="15"/>
        <v>0.7</v>
      </c>
      <c r="AF74" s="177">
        <f t="shared" si="22"/>
        <v>0.20424304367356538</v>
      </c>
      <c r="AG74" s="817">
        <f t="shared" si="23"/>
        <v>-1</v>
      </c>
      <c r="AH74" s="176">
        <f t="shared" si="16"/>
        <v>5</v>
      </c>
      <c r="AI74" s="225">
        <f t="shared" si="17"/>
        <v>-0.79575695632643462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44257</v>
      </c>
      <c r="B75" s="617">
        <v>10.113</v>
      </c>
      <c r="C75" s="390"/>
      <c r="D75" s="393">
        <f t="shared" si="0"/>
        <v>10.347819962877102</v>
      </c>
      <c r="E75" s="385">
        <f t="shared" si="1"/>
        <v>11.584136977826159</v>
      </c>
      <c r="F75" s="385">
        <f t="shared" si="2"/>
        <v>11.595236201825202</v>
      </c>
      <c r="G75" s="110">
        <f t="shared" si="21"/>
        <v>0.39382747175244892</v>
      </c>
      <c r="H75" s="414" t="b">
        <f>Wh_hp&gt;='2020'!Maxi_hp</f>
        <v>0</v>
      </c>
      <c r="I75" s="380">
        <f>IF(H75,Wh_hp,'2020'!Maxi_hp)</f>
        <v>19.932639932535867</v>
      </c>
      <c r="J75" s="85">
        <f>IF(H75,An,'2020'!An_max)</f>
        <v>2020</v>
      </c>
      <c r="K75" s="197">
        <f t="shared" si="3"/>
        <v>44257</v>
      </c>
      <c r="L75" s="147">
        <f>IF(t&lt;Tvie,1-EXP((T0-t)*PertePVj)+'2020'!Pspv,1-EXP((T0-t)*PertePVj)+Pspv)</f>
        <v>2.2692698918180043E-2</v>
      </c>
      <c r="M75" s="850"/>
      <c r="N75" s="850"/>
      <c r="O75" s="48">
        <f>IF(t&lt;Tnet,'2020'!Resal+('2020'!Salim-'2020'!Resal)*(1-EXP(('2020'!Tnet-t)/('2020'!Tau_j))),Resal+(Salim-Resal)*(1-EXP((Tnet-t)/(Tau_j))))*Salcycl</f>
        <v>0.10672499965388524</v>
      </c>
      <c r="P75" s="169">
        <f>(INDEX(Models!$BJ75:$BT75,,T75)*(1-R75)+INDEX(Models!$BJ75:$BT75,,T75+1)*R75-ERP_i)*Q75*Ramure*Pc/MaxiM</f>
        <v>6.9645214023566623E-3</v>
      </c>
      <c r="Q75" s="305">
        <f t="shared" si="4"/>
        <v>0.7</v>
      </c>
      <c r="R75" s="177">
        <f t="shared" si="5"/>
        <v>0.2044354162947869</v>
      </c>
      <c r="S75" s="817">
        <f t="shared" si="6"/>
        <v>-1</v>
      </c>
      <c r="T75" s="176">
        <f t="shared" si="7"/>
        <v>5</v>
      </c>
      <c r="U75" s="251">
        <f t="shared" si="8"/>
        <v>-0.7955645837052131</v>
      </c>
      <c r="V75" s="383">
        <f t="shared" si="9"/>
        <v>25.524349368935184</v>
      </c>
      <c r="W75" s="402"/>
      <c r="X75" s="157">
        <f t="shared" si="10"/>
        <v>44257</v>
      </c>
      <c r="Y75" s="385">
        <f t="shared" si="11"/>
        <v>10.113</v>
      </c>
      <c r="Z75" s="385">
        <f t="shared" si="12"/>
        <v>10.347819962877102</v>
      </c>
      <c r="AA75" s="386">
        <f t="shared" si="13"/>
        <v>11.584136977826159</v>
      </c>
      <c r="AB75" s="197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0.10672499965388524</v>
      </c>
      <c r="AD75" s="231">
        <f>(INDEX(Models!$BJ75:$BT75,,AH75)*(1-AF75)+INDEX(Models!$BJ75:$BT75,,AH75+1)*AF75-ERP_i)*AE75*Ramure*Pc/MaxiM</f>
        <v>6.9645214023566623E-3</v>
      </c>
      <c r="AE75" s="305">
        <f t="shared" si="15"/>
        <v>0.7</v>
      </c>
      <c r="AF75" s="177">
        <f t="shared" si="22"/>
        <v>0.2044354162947869</v>
      </c>
      <c r="AG75" s="817">
        <f t="shared" si="23"/>
        <v>-1</v>
      </c>
      <c r="AH75" s="176">
        <f t="shared" si="16"/>
        <v>5</v>
      </c>
      <c r="AI75" s="225">
        <f t="shared" si="17"/>
        <v>-0.7955645837052131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44258</v>
      </c>
      <c r="B76" s="617">
        <v>10.052</v>
      </c>
      <c r="C76" s="390"/>
      <c r="D76" s="393">
        <f t="shared" si="0"/>
        <v>10.285628848053067</v>
      </c>
      <c r="E76" s="385">
        <f t="shared" si="1"/>
        <v>11.515121274498181</v>
      </c>
      <c r="F76" s="385">
        <f t="shared" si="2"/>
        <v>11.524506910883067</v>
      </c>
      <c r="G76" s="110">
        <f t="shared" si="21"/>
        <v>0.38743547231701442</v>
      </c>
      <c r="H76" s="414" t="b">
        <f>Wh_hp&gt;='2020'!Maxi_hp</f>
        <v>0</v>
      </c>
      <c r="I76" s="380">
        <f>IF(H76,Wh_hp,'2020'!Maxi_hp)</f>
        <v>25.743527818559492</v>
      </c>
      <c r="J76" s="85">
        <f>IF(H76,An,'2020'!An_max)</f>
        <v>2019</v>
      </c>
      <c r="K76" s="197">
        <f t="shared" si="3"/>
        <v>44258</v>
      </c>
      <c r="L76" s="147">
        <f>IF(t&lt;Tvie,1-EXP((T0-t)*PertePVj)+'2020'!Pspv,1-EXP((T0-t)*PertePVj)+Pspv)</f>
        <v>2.2714104456266759E-2</v>
      </c>
      <c r="M76" s="850"/>
      <c r="N76" s="850"/>
      <c r="O76" s="48">
        <f>IF(t&lt;Tnet,'2020'!Resal+('2020'!Salim-'2020'!Resal)*(1-EXP(('2020'!Tnet-t)/('2020'!Tau_j))),Resal+(Salim-Resal)*(1-EXP((Tnet-t)/(Tau_j))))*Salcycl</f>
        <v>0.10677199111814785</v>
      </c>
      <c r="P76" s="169">
        <f>(INDEX(Models!$BJ76:$BT76,,T76)*(1-R76)+INDEX(Models!$BJ76:$BT76,,T76+1)*R76-ERP_i)*Q76*Ramure*Pc/MaxiM</f>
        <v>6.3626367815307026E-3</v>
      </c>
      <c r="Q76" s="305">
        <f t="shared" si="4"/>
        <v>0.7</v>
      </c>
      <c r="R76" s="177">
        <f t="shared" si="5"/>
        <v>0.20463559338197546</v>
      </c>
      <c r="S76" s="817">
        <f t="shared" si="6"/>
        <v>-1</v>
      </c>
      <c r="T76" s="176">
        <f t="shared" si="7"/>
        <v>5</v>
      </c>
      <c r="U76" s="251">
        <f t="shared" si="8"/>
        <v>-0.79536440661802454</v>
      </c>
      <c r="V76" s="383">
        <f t="shared" si="9"/>
        <v>25.800899630957872</v>
      </c>
      <c r="W76" s="402"/>
      <c r="X76" s="157">
        <f t="shared" si="10"/>
        <v>44258</v>
      </c>
      <c r="Y76" s="385">
        <f t="shared" si="11"/>
        <v>10.052</v>
      </c>
      <c r="Z76" s="385">
        <f t="shared" si="12"/>
        <v>10.285628848053067</v>
      </c>
      <c r="AA76" s="386">
        <f t="shared" si="13"/>
        <v>11.515121274498181</v>
      </c>
      <c r="AB76" s="197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0.10677199111814785</v>
      </c>
      <c r="AD76" s="231">
        <f>(INDEX(Models!$BJ76:$BT76,,AH76)*(1-AF76)+INDEX(Models!$BJ76:$BT76,,AH76+1)*AF76-ERP_i)*AE76*Ramure*Pc/MaxiM</f>
        <v>6.3626367815307026E-3</v>
      </c>
      <c r="AE76" s="305">
        <f t="shared" si="15"/>
        <v>0.7</v>
      </c>
      <c r="AF76" s="177">
        <f t="shared" si="22"/>
        <v>0.20463559338197546</v>
      </c>
      <c r="AG76" s="817">
        <f t="shared" si="23"/>
        <v>-1</v>
      </c>
      <c r="AH76" s="176">
        <f t="shared" si="16"/>
        <v>5</v>
      </c>
      <c r="AI76" s="225">
        <f t="shared" si="17"/>
        <v>-0.79536440661802454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44259</v>
      </c>
      <c r="B77" s="617">
        <v>19.029</v>
      </c>
      <c r="C77" s="390"/>
      <c r="D77" s="393">
        <f t="shared" si="0"/>
        <v>19.471698998048129</v>
      </c>
      <c r="E77" s="385">
        <f t="shared" si="1"/>
        <v>21.8003940345736</v>
      </c>
      <c r="F77" s="385">
        <f t="shared" si="2"/>
        <v>21.87797527558812</v>
      </c>
      <c r="G77" s="110">
        <f t="shared" si="21"/>
        <v>0.72810554195239463</v>
      </c>
      <c r="H77" s="414" t="b">
        <f>Wh_hp&gt;='2020'!Maxi_hp</f>
        <v>1</v>
      </c>
      <c r="I77" s="380">
        <f>IF(H77,Wh_hp,'2020'!Maxi_hp)</f>
        <v>21.87797527558812</v>
      </c>
      <c r="J77" s="85">
        <f>IF(H77,An,'2020'!An_max)</f>
        <v>2021</v>
      </c>
      <c r="K77" s="197">
        <f t="shared" si="3"/>
        <v>44259</v>
      </c>
      <c r="L77" s="147">
        <f>IF(t&lt;Tvie,1-EXP((T0-t)*PertePVj)+'2020'!Pspv,1-EXP((T0-t)*PertePVj)+Pspv)</f>
        <v>2.2735509525517283E-2</v>
      </c>
      <c r="M77" s="850"/>
      <c r="N77" s="850"/>
      <c r="O77" s="48">
        <f>IF(t&lt;Tnet,'2020'!Resal+('2020'!Salim-'2020'!Resal)*(1-EXP(('2020'!Tnet-t)/('2020'!Tau_j))),Resal+(Salim-Resal)*(1-EXP((Tnet-t)/(Tau_j))))*Salcycl</f>
        <v>0.10681894248481731</v>
      </c>
      <c r="P77" s="169">
        <f>(INDEX(Models!$BJ77:$BT77,,T77)*(1-R77)+INDEX(Models!$BJ77:$BT77,,T77+1)*R77-ERP_i)*Q77*Ramure*Pc/MaxiM</f>
        <v>5.7762120510585465E-3</v>
      </c>
      <c r="Q77" s="305">
        <f t="shared" si="4"/>
        <v>0.7</v>
      </c>
      <c r="R77" s="177">
        <f t="shared" si="5"/>
        <v>0.2048438801519803</v>
      </c>
      <c r="S77" s="817">
        <f t="shared" si="6"/>
        <v>-1</v>
      </c>
      <c r="T77" s="176">
        <f t="shared" si="7"/>
        <v>5</v>
      </c>
      <c r="U77" s="251">
        <f t="shared" si="8"/>
        <v>-0.7951561198480197</v>
      </c>
      <c r="V77" s="383">
        <f t="shared" si="9"/>
        <v>26.076455771750748</v>
      </c>
      <c r="W77" s="402"/>
      <c r="X77" s="157">
        <f t="shared" si="10"/>
        <v>44259</v>
      </c>
      <c r="Y77" s="385">
        <f t="shared" si="11"/>
        <v>19.029</v>
      </c>
      <c r="Z77" s="385">
        <f t="shared" si="12"/>
        <v>19.471698998048129</v>
      </c>
      <c r="AA77" s="386">
        <f t="shared" si="13"/>
        <v>21.8003940345736</v>
      </c>
      <c r="AB77" s="197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0.10681894248481731</v>
      </c>
      <c r="AD77" s="231">
        <f>(INDEX(Models!$BJ77:$BT77,,AH77)*(1-AF77)+INDEX(Models!$BJ77:$BT77,,AH77+1)*AF77-ERP_i)*AE77*Ramure*Pc/MaxiM</f>
        <v>5.7762120510585465E-3</v>
      </c>
      <c r="AE77" s="305">
        <f t="shared" si="15"/>
        <v>0.7</v>
      </c>
      <c r="AF77" s="177">
        <f t="shared" si="22"/>
        <v>0.2048438801519803</v>
      </c>
      <c r="AG77" s="817">
        <f t="shared" si="23"/>
        <v>-1</v>
      </c>
      <c r="AH77" s="176">
        <f t="shared" si="16"/>
        <v>5</v>
      </c>
      <c r="AI77" s="225">
        <f t="shared" si="17"/>
        <v>-0.7951561198480197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44260</v>
      </c>
      <c r="B78" s="617">
        <v>20.513000000000002</v>
      </c>
      <c r="C78" s="390"/>
      <c r="D78" s="393">
        <f t="shared" si="0"/>
        <v>20.990683174445717</v>
      </c>
      <c r="E78" s="385">
        <f t="shared" si="1"/>
        <v>23.502274163131613</v>
      </c>
      <c r="F78" s="385">
        <f t="shared" si="2"/>
        <v>23.586180364461729</v>
      </c>
      <c r="G78" s="110">
        <f t="shared" si="21"/>
        <v>0.77716499273745809</v>
      </c>
      <c r="H78" s="414" t="b">
        <f>Wh_hp&gt;='2020'!Maxi_hp</f>
        <v>0</v>
      </c>
      <c r="I78" s="380">
        <f>IF(H78,Wh_hp,'2020'!Maxi_hp)</f>
        <v>29.771929629009751</v>
      </c>
      <c r="J78" s="85">
        <f>IF(H78,An,'2020'!An_max)</f>
        <v>2019</v>
      </c>
      <c r="K78" s="197">
        <f t="shared" si="3"/>
        <v>44260</v>
      </c>
      <c r="L78" s="147">
        <f>IF(t&lt;Tvie,1-EXP((T0-t)*PertePVj)+'2020'!Pspv,1-EXP((T0-t)*PertePVj)+Pspv)</f>
        <v>2.2756914125941941E-2</v>
      </c>
      <c r="M78" s="850"/>
      <c r="N78" s="850"/>
      <c r="O78" s="48">
        <f>IF(t&lt;Tnet,'2020'!Resal+('2020'!Salim-'2020'!Resal)*(1-EXP(('2020'!Tnet-t)/('2020'!Tau_j))),Resal+(Salim-Resal)*(1-EXP((Tnet-t)/(Tau_j))))*Salcycl</f>
        <v>0.10686587056438439</v>
      </c>
      <c r="P78" s="169">
        <f>(INDEX(Models!$BJ78:$BT78,,T78)*(1-R78)+INDEX(Models!$BJ78:$BT78,,T78+1)*R78-ERP_i)*Q78*Ramure*Pc/MaxiM</f>
        <v>5.204706032490714E-3</v>
      </c>
      <c r="Q78" s="305">
        <f t="shared" si="4"/>
        <v>0.7</v>
      </c>
      <c r="R78" s="177">
        <f t="shared" si="5"/>
        <v>0.20506059279980093</v>
      </c>
      <c r="S78" s="817">
        <f t="shared" si="6"/>
        <v>-1</v>
      </c>
      <c r="T78" s="176">
        <f t="shared" si="7"/>
        <v>5</v>
      </c>
      <c r="U78" s="251">
        <f t="shared" si="8"/>
        <v>-0.79493940720019907</v>
      </c>
      <c r="V78" s="383">
        <f t="shared" si="9"/>
        <v>26.351018117207548</v>
      </c>
      <c r="W78" s="402"/>
      <c r="X78" s="157">
        <f t="shared" si="10"/>
        <v>44260</v>
      </c>
      <c r="Y78" s="385">
        <f t="shared" si="11"/>
        <v>20.513000000000002</v>
      </c>
      <c r="Z78" s="385">
        <f t="shared" si="12"/>
        <v>20.990683174445717</v>
      </c>
      <c r="AA78" s="386">
        <f t="shared" si="13"/>
        <v>23.502274163131613</v>
      </c>
      <c r="AB78" s="197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0.10686587056438439</v>
      </c>
      <c r="AD78" s="231">
        <f>(INDEX(Models!$BJ78:$BT78,,AH78)*(1-AF78)+INDEX(Models!$BJ78:$BT78,,AH78+1)*AF78-ERP_i)*AE78*Ramure*Pc/MaxiM</f>
        <v>5.204706032490714E-3</v>
      </c>
      <c r="AE78" s="305">
        <f t="shared" si="15"/>
        <v>0.7</v>
      </c>
      <c r="AF78" s="177">
        <f t="shared" si="22"/>
        <v>0.20506059279980093</v>
      </c>
      <c r="AG78" s="817">
        <f t="shared" si="23"/>
        <v>-1</v>
      </c>
      <c r="AH78" s="176">
        <f t="shared" si="16"/>
        <v>5</v>
      </c>
      <c r="AI78" s="225">
        <f t="shared" si="17"/>
        <v>-0.79493940720019907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44261</v>
      </c>
      <c r="B79" s="617">
        <v>6.0000000000000001E-3</v>
      </c>
      <c r="C79" s="390"/>
      <c r="D79" s="393">
        <f t="shared" ref="D79:D142" si="24">Wh/(1-Ppv)</f>
        <v>6.1398555845605203E-3</v>
      </c>
      <c r="E79" s="385">
        <f t="shared" si="1"/>
        <v>6.874866805002244E-3</v>
      </c>
      <c r="F79" s="385">
        <f t="shared" ref="F79:F142" si="25">Wh_sa/(1-Pvg*MEDIAN((-Sdif+Wh/Env_an)/Csdif,0,1))</f>
        <v>6.874866805002244E-3</v>
      </c>
      <c r="G79" s="110">
        <f t="shared" si="21"/>
        <v>2.2430145730771071E-4</v>
      </c>
      <c r="H79" s="414" t="b">
        <f>Wh_hp&gt;='2020'!Maxi_hp</f>
        <v>0</v>
      </c>
      <c r="I79" s="380">
        <f>IF(H79,Wh_hp,'2020'!Maxi_hp)</f>
        <v>15.983360810169867</v>
      </c>
      <c r="J79" s="85">
        <f>IF(H79,An,'2020'!An_max)</f>
        <v>2019</v>
      </c>
      <c r="K79" s="197">
        <f t="shared" ref="K79:K142" si="26">t</f>
        <v>44261</v>
      </c>
      <c r="L79" s="147">
        <f>IF(t&lt;Tvie,1-EXP((T0-t)*PertePVj)+'2020'!Pspv,1-EXP((T0-t)*PertePVj)+Pspv)</f>
        <v>2.2778318257550834E-2</v>
      </c>
      <c r="M79" s="850"/>
      <c r="N79" s="850"/>
      <c r="O79" s="48">
        <f>IF(t&lt;Tnet,'2020'!Resal+('2020'!Salim-'2020'!Resal)*(1-EXP(('2020'!Tnet-t)/('2020'!Tau_j))),Resal+(Salim-Resal)*(1-EXP((Tnet-t)/(Tau_j))))*Salcycl</f>
        <v>0.10691279428234449</v>
      </c>
      <c r="P79" s="169">
        <f>(INDEX(Models!$BJ79:$BT79,,T79)*(1-R79)+INDEX(Models!$BJ79:$BT79,,T79+1)*R79-ERP_i)*Q79*Ramure*Pc/MaxiM</f>
        <v>4.6474591968188508E-3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0.20528605881222783</v>
      </c>
      <c r="S79" s="817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-0.79471394118777217</v>
      </c>
      <c r="V79" s="383">
        <f t="shared" ref="V79:V142" si="32">MaxiM*(1-Ppv)*(1-Pvg)*(1-Psa)</f>
        <v>26.625396537777135</v>
      </c>
      <c r="W79" s="402"/>
      <c r="X79" s="157">
        <f t="shared" ref="X79:X142" si="33">t</f>
        <v>44261</v>
      </c>
      <c r="Y79" s="385">
        <f t="shared" ref="Y79:Y142" si="34">Wh_pvt_s*(1-Ppv)</f>
        <v>6.0000000000000001E-3</v>
      </c>
      <c r="Z79" s="385">
        <f t="shared" ref="Z79:Z142" si="35">Wh_sa_s*(1-Psa_s)</f>
        <v>6.1398555845605203E-3</v>
      </c>
      <c r="AA79" s="386">
        <f t="shared" ref="AA79:AA142" si="36">Wh_hp*(1-Pvg_s*MEDIAN((-Sdif+Wh/Env_an)/Csdif,0,1))</f>
        <v>6.874866805002244E-3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0.10691279428234449</v>
      </c>
      <c r="AD79" s="231">
        <f>(INDEX(Models!$BJ79:$BT79,,AH79)*(1-AF79)+INDEX(Models!$BJ79:$BT79,,AH79+1)*AF79-ERP_i)*AE79*Ramure*Pc/MaxiM</f>
        <v>4.6474591968188508E-3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0.20528605881222783</v>
      </c>
      <c r="AG79" s="817">
        <f t="shared" si="23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-0.79471394118777217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44262</v>
      </c>
      <c r="B80" s="617">
        <v>5.0030000000000001</v>
      </c>
      <c r="C80" s="390"/>
      <c r="D80" s="393">
        <f t="shared" si="24"/>
        <v>5.1197283834504148</v>
      </c>
      <c r="E80" s="385">
        <f t="shared" ref="E80:E143" si="45">Wh_pvt/(1-Psa)</f>
        <v>5.7329199836518763</v>
      </c>
      <c r="F80" s="385">
        <f t="shared" si="25"/>
        <v>5.7329199836518763</v>
      </c>
      <c r="G80" s="110">
        <f t="shared" ref="G80:G143" si="46">+Wh_hp/MaxiM</f>
        <v>0.18522081454477687</v>
      </c>
      <c r="H80" s="414" t="b">
        <f>Wh_hp&gt;='2020'!Maxi_hp</f>
        <v>0</v>
      </c>
      <c r="I80" s="380">
        <f>IF(H80,Wh_hp,'2020'!Maxi_hp)</f>
        <v>29.519413340694289</v>
      </c>
      <c r="J80" s="85">
        <f>IF(H80,An,'2020'!An_max)</f>
        <v>2019</v>
      </c>
      <c r="K80" s="197">
        <f t="shared" si="26"/>
        <v>44262</v>
      </c>
      <c r="L80" s="147">
        <f>IF(t&lt;Tvie,1-EXP((T0-t)*PertePVj)+'2020'!Pspv,1-EXP((T0-t)*PertePVj)+Pspv)</f>
        <v>2.2799721920354288E-2</v>
      </c>
      <c r="M80" s="850"/>
      <c r="N80" s="850"/>
      <c r="O80" s="48">
        <f>IF(t&lt;Tnet,'2020'!Resal+('2020'!Salim-'2020'!Resal)*(1-EXP(('2020'!Tnet-t)/('2020'!Tau_j))),Resal+(Salim-Resal)*(1-EXP((Tnet-t)/(Tau_j))))*Salcycl</f>
        <v>0.10695973464657675</v>
      </c>
      <c r="P80" s="169">
        <f>(INDEX(Models!$BJ80:$BT80,,T80)*(1-R80)+INDEX(Models!$BJ80:$BT80,,T80+1)*R80-ERP_i)*Q80*Ramure*Pc/MaxiM</f>
        <v>4.1233585238014637E-3</v>
      </c>
      <c r="Q80" s="305">
        <f t="shared" si="27"/>
        <v>0.7</v>
      </c>
      <c r="R80" s="177">
        <f t="shared" si="28"/>
        <v>0.20552061728325199</v>
      </c>
      <c r="S80" s="817">
        <f t="shared" si="29"/>
        <v>-1</v>
      </c>
      <c r="T80" s="176">
        <f t="shared" si="30"/>
        <v>5</v>
      </c>
      <c r="U80" s="251">
        <f t="shared" si="31"/>
        <v>-0.79447938271674801</v>
      </c>
      <c r="V80" s="383">
        <f t="shared" si="32"/>
        <v>26.899627072425712</v>
      </c>
      <c r="W80" s="402"/>
      <c r="X80" s="157">
        <f t="shared" si="33"/>
        <v>44262</v>
      </c>
      <c r="Y80" s="385">
        <f t="shared" si="34"/>
        <v>5.0030000000000001</v>
      </c>
      <c r="Z80" s="385">
        <f t="shared" si="35"/>
        <v>5.1197283834504148</v>
      </c>
      <c r="AA80" s="386">
        <f t="shared" si="36"/>
        <v>5.7329199836518763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0.10695973464657675</v>
      </c>
      <c r="AD80" s="231">
        <f>(INDEX(Models!$BJ80:$BT80,,AH80)*(1-AF80)+INDEX(Models!$BJ80:$BT80,,AH80+1)*AF80-ERP_i)*AE80*Ramure*Pc/MaxiM</f>
        <v>4.1233585238014637E-3</v>
      </c>
      <c r="AE80" s="305">
        <f t="shared" si="38"/>
        <v>0.7</v>
      </c>
      <c r="AF80" s="177">
        <f t="shared" si="39"/>
        <v>0.20552061728325199</v>
      </c>
      <c r="AG80" s="817">
        <f t="shared" ref="AG80:AG143" si="47">INDEX(Echel_vg,AH80)</f>
        <v>-1</v>
      </c>
      <c r="AH80" s="176">
        <f t="shared" si="40"/>
        <v>5</v>
      </c>
      <c r="AI80" s="225">
        <f t="shared" si="41"/>
        <v>-0.79447938271674801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44263</v>
      </c>
      <c r="B81" s="617">
        <v>15.741</v>
      </c>
      <c r="C81" s="390"/>
      <c r="D81" s="393">
        <f t="shared" si="24"/>
        <v>16.10861675846423</v>
      </c>
      <c r="E81" s="385">
        <f t="shared" si="45"/>
        <v>18.038900206380617</v>
      </c>
      <c r="F81" s="385">
        <f t="shared" si="25"/>
        <v>18.065093998923249</v>
      </c>
      <c r="G81" s="110">
        <f t="shared" si="46"/>
        <v>0.57801554427817003</v>
      </c>
      <c r="H81" s="414" t="b">
        <f>Wh_hp&gt;='2020'!Maxi_hp</f>
        <v>0</v>
      </c>
      <c r="I81" s="380">
        <f>IF(H81,Wh_hp,'2020'!Maxi_hp)</f>
        <v>21.068846265603575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2.2821125114362628E-2</v>
      </c>
      <c r="M81" s="850"/>
      <c r="N81" s="850"/>
      <c r="O81" s="48">
        <f>IF(t&lt;Tnet,'2020'!Resal+('2020'!Salim-'2020'!Resal)*(1-EXP(('2020'!Tnet-t)/('2020'!Tau_j))),Resal+(Salim-Resal)*(1-EXP((Tnet-t)/(Tau_j))))*Salcycl</f>
        <v>0.10700671470168792</v>
      </c>
      <c r="P81" s="169">
        <f>(INDEX(Models!$BJ81:$BT81,,T81)*(1-R81)+INDEX(Models!$BJ81:$BT81,,T81+1)*R81-ERP_i)*Q81*Ramure*Pc/MaxiM</f>
        <v>3.6342281243019236E-3</v>
      </c>
      <c r="Q81" s="305">
        <f t="shared" si="27"/>
        <v>0.7</v>
      </c>
      <c r="R81" s="177">
        <f t="shared" si="28"/>
        <v>0.20576461923048794</v>
      </c>
      <c r="S81" s="817">
        <f t="shared" si="29"/>
        <v>-1</v>
      </c>
      <c r="T81" s="176">
        <f t="shared" si="30"/>
        <v>5</v>
      </c>
      <c r="U81" s="251">
        <f t="shared" si="31"/>
        <v>-0.79423538076951206</v>
      </c>
      <c r="V81" s="383">
        <f t="shared" si="32"/>
        <v>27.173261649087372</v>
      </c>
      <c r="W81" s="402"/>
      <c r="X81" s="157">
        <f t="shared" si="33"/>
        <v>44263</v>
      </c>
      <c r="Y81" s="385">
        <f t="shared" si="34"/>
        <v>15.741</v>
      </c>
      <c r="Z81" s="385">
        <f t="shared" si="35"/>
        <v>16.10861675846423</v>
      </c>
      <c r="AA81" s="386">
        <f t="shared" si="36"/>
        <v>18.038900206380617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0.10700671470168792</v>
      </c>
      <c r="AD81" s="231">
        <f>(INDEX(Models!$BJ81:$BT81,,AH81)*(1-AF81)+INDEX(Models!$BJ81:$BT81,,AH81+1)*AF81-ERP_i)*AE81*Ramure*Pc/MaxiM</f>
        <v>3.6342281243019236E-3</v>
      </c>
      <c r="AE81" s="305">
        <f t="shared" si="38"/>
        <v>0.7</v>
      </c>
      <c r="AF81" s="177">
        <f t="shared" si="39"/>
        <v>0.20576461923048794</v>
      </c>
      <c r="AG81" s="817">
        <f t="shared" si="47"/>
        <v>-1</v>
      </c>
      <c r="AH81" s="176">
        <f t="shared" si="40"/>
        <v>5</v>
      </c>
      <c r="AI81" s="225">
        <f t="shared" si="41"/>
        <v>-0.79423538076951206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44264</v>
      </c>
      <c r="B82" s="617">
        <v>26.315000000000001</v>
      </c>
      <c r="C82" s="390"/>
      <c r="D82" s="393">
        <f t="shared" si="24"/>
        <v>26.930152764241495</v>
      </c>
      <c r="E82" s="385">
        <f t="shared" si="45"/>
        <v>30.158761571455582</v>
      </c>
      <c r="F82" s="385">
        <f t="shared" si="25"/>
        <v>30.249266737760252</v>
      </c>
      <c r="G82" s="110">
        <f t="shared" si="46"/>
        <v>0.95861443093979393</v>
      </c>
      <c r="H82" s="414" t="b">
        <f>Wh_hp&gt;='2020'!Maxi_hp</f>
        <v>1</v>
      </c>
      <c r="I82" s="380">
        <f>IF(H82,Wh_hp,'2020'!Maxi_hp)</f>
        <v>30.249266737760252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2.284252783958618E-2</v>
      </c>
      <c r="M82" s="850"/>
      <c r="N82" s="850"/>
      <c r="O82" s="48">
        <f>IF(t&lt;Tnet,'2020'!Resal+('2020'!Salim-'2020'!Resal)*(1-EXP(('2020'!Tnet-t)/('2020'!Tau_j))),Resal+(Salim-Resal)*(1-EXP((Tnet-t)/(Tau_j))))*Salcycl</f>
        <v>0.10705375947100804</v>
      </c>
      <c r="P82" s="169">
        <f>(INDEX(Models!$BJ82:$BT82,,T82)*(1-R82)+INDEX(Models!$BJ82:$BT82,,T82+1)*R82-ERP_i)*Q82*Ramure*Pc/MaxiM</f>
        <v>3.1791181027081257E-3</v>
      </c>
      <c r="Q82" s="305">
        <f t="shared" si="27"/>
        <v>0.7</v>
      </c>
      <c r="R82" s="177">
        <f t="shared" si="28"/>
        <v>0.20601842791177205</v>
      </c>
      <c r="S82" s="817">
        <f t="shared" si="29"/>
        <v>-1</v>
      </c>
      <c r="T82" s="176">
        <f t="shared" si="30"/>
        <v>5</v>
      </c>
      <c r="U82" s="251">
        <f t="shared" si="31"/>
        <v>-0.79398157208822795</v>
      </c>
      <c r="V82" s="383">
        <f t="shared" si="32"/>
        <v>27.445925914493873</v>
      </c>
      <c r="W82" s="402"/>
      <c r="X82" s="157">
        <f t="shared" si="33"/>
        <v>44264</v>
      </c>
      <c r="Y82" s="385">
        <f t="shared" si="34"/>
        <v>26.315000000000001</v>
      </c>
      <c r="Z82" s="385">
        <f t="shared" si="35"/>
        <v>26.930152764241495</v>
      </c>
      <c r="AA82" s="386">
        <f t="shared" si="36"/>
        <v>30.158761571455582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0.10705375947100804</v>
      </c>
      <c r="AD82" s="231">
        <f>(INDEX(Models!$BJ82:$BT82,,AH82)*(1-AF82)+INDEX(Models!$BJ82:$BT82,,AH82+1)*AF82-ERP_i)*AE82*Ramure*Pc/MaxiM</f>
        <v>3.1791181027081257E-3</v>
      </c>
      <c r="AE82" s="305">
        <f t="shared" si="38"/>
        <v>0.7</v>
      </c>
      <c r="AF82" s="177">
        <f t="shared" si="39"/>
        <v>0.20601842791177205</v>
      </c>
      <c r="AG82" s="817">
        <f t="shared" si="47"/>
        <v>-1</v>
      </c>
      <c r="AH82" s="176">
        <f t="shared" si="40"/>
        <v>5</v>
      </c>
      <c r="AI82" s="225">
        <f t="shared" si="41"/>
        <v>-0.79398157208822795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44265</v>
      </c>
      <c r="B83" s="617">
        <v>26.542000000000002</v>
      </c>
      <c r="C83" s="390"/>
      <c r="D83" s="393">
        <f t="shared" si="24"/>
        <v>27.163054171778356</v>
      </c>
      <c r="E83" s="385">
        <f t="shared" si="45"/>
        <v>30.421190979648994</v>
      </c>
      <c r="F83" s="385">
        <f t="shared" si="25"/>
        <v>30.500189061416798</v>
      </c>
      <c r="G83" s="110">
        <f t="shared" si="46"/>
        <v>0.9574384215357965</v>
      </c>
      <c r="H83" s="414" t="b">
        <f>Wh_hp&gt;='2020'!Maxi_hp</f>
        <v>1</v>
      </c>
      <c r="I83" s="380">
        <f>IF(H83,Wh_hp,'2020'!Maxi_hp)</f>
        <v>30.500189061416798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2.2863930096035046E-2</v>
      </c>
      <c r="M83" s="850"/>
      <c r="N83" s="850"/>
      <c r="O83" s="48">
        <f>IF(t&lt;Tnet,'2020'!Resal+('2020'!Salim-'2020'!Resal)*(1-EXP(('2020'!Tnet-t)/('2020'!Tau_j))),Resal+(Salim-Resal)*(1-EXP((Tnet-t)/(Tau_j))))*Salcycl</f>
        <v>0.10710089588702328</v>
      </c>
      <c r="P83" s="169">
        <f>(INDEX(Models!$BJ83:$BT83,,T83)*(1-R83)+INDEX(Models!$BJ83:$BT83,,T83+1)*R83-ERP_i)*Q83*Ramure*Pc/MaxiM</f>
        <v>2.7570907928847112E-3</v>
      </c>
      <c r="Q83" s="305">
        <f t="shared" si="27"/>
        <v>0.7</v>
      </c>
      <c r="R83" s="177">
        <f t="shared" si="28"/>
        <v>0.20628241914100554</v>
      </c>
      <c r="S83" s="817">
        <f t="shared" si="29"/>
        <v>-1</v>
      </c>
      <c r="T83" s="176">
        <f t="shared" si="30"/>
        <v>5</v>
      </c>
      <c r="U83" s="251">
        <f t="shared" si="31"/>
        <v>-0.79371758085899446</v>
      </c>
      <c r="V83" s="383">
        <f t="shared" si="32"/>
        <v>27.717245542029676</v>
      </c>
      <c r="W83" s="402"/>
      <c r="X83" s="157">
        <f t="shared" si="33"/>
        <v>44265</v>
      </c>
      <c r="Y83" s="385">
        <f t="shared" si="34"/>
        <v>26.542000000000002</v>
      </c>
      <c r="Z83" s="385">
        <f t="shared" si="35"/>
        <v>27.163054171778356</v>
      </c>
      <c r="AA83" s="386">
        <f t="shared" si="36"/>
        <v>30.421190979648994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0.10710089588702328</v>
      </c>
      <c r="AD83" s="231">
        <f>(INDEX(Models!$BJ83:$BT83,,AH83)*(1-AF83)+INDEX(Models!$BJ83:$BT83,,AH83+1)*AF83-ERP_i)*AE83*Ramure*Pc/MaxiM</f>
        <v>2.7570907928847112E-3</v>
      </c>
      <c r="AE83" s="305">
        <f t="shared" si="38"/>
        <v>0.7</v>
      </c>
      <c r="AF83" s="177">
        <f t="shared" si="39"/>
        <v>0.20628241914100554</v>
      </c>
      <c r="AG83" s="817">
        <f t="shared" si="47"/>
        <v>-1</v>
      </c>
      <c r="AH83" s="176">
        <f t="shared" si="40"/>
        <v>5</v>
      </c>
      <c r="AI83" s="225">
        <f t="shared" si="41"/>
        <v>-0.79371758085899446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44266</v>
      </c>
      <c r="B84" s="617">
        <v>20.135999999999999</v>
      </c>
      <c r="C84" s="390"/>
      <c r="D84" s="393">
        <f t="shared" si="24"/>
        <v>20.607612040886625</v>
      </c>
      <c r="E84" s="385">
        <f t="shared" si="45"/>
        <v>23.080662378042817</v>
      </c>
      <c r="F84" s="385">
        <f t="shared" si="25"/>
        <v>23.113450636410171</v>
      </c>
      <c r="G84" s="110">
        <f t="shared" si="46"/>
        <v>0.71879735117523091</v>
      </c>
      <c r="H84" s="414" t="b">
        <f>Wh_hp&gt;='2020'!Maxi_hp</f>
        <v>0</v>
      </c>
      <c r="I84" s="380">
        <f>IF(H84,Wh_hp,'2020'!Maxi_hp)</f>
        <v>23.683748695587767</v>
      </c>
      <c r="J84" s="85">
        <f>IF(H84,An,'2020'!An_max)</f>
        <v>2020</v>
      </c>
      <c r="K84" s="197">
        <f t="shared" si="26"/>
        <v>44266</v>
      </c>
      <c r="L84" s="147">
        <f>IF(t&lt;Tvie,1-EXP((T0-t)*PertePVj)+'2020'!Pspv,1-EXP((T0-t)*PertePVj)+Pspv)</f>
        <v>2.2885331883719551E-2</v>
      </c>
      <c r="M84" s="850"/>
      <c r="N84" s="850"/>
      <c r="O84" s="48">
        <f>IF(t&lt;Tnet,'2020'!Resal+('2020'!Salim-'2020'!Resal)*(1-EXP(('2020'!Tnet-t)/('2020'!Tau_j))),Resal+(Salim-Resal)*(1-EXP((Tnet-t)/(Tau_j))))*Salcycl</f>
        <v>0.10714815271111391</v>
      </c>
      <c r="P84" s="169">
        <f>(INDEX(Models!$BJ84:$BT84,,T84)*(1-R84)+INDEX(Models!$BJ84:$BT84,,T84+1)*R84-ERP_i)*Q84*Ramure*Pc/MaxiM</f>
        <v>2.3672245680225342E-3</v>
      </c>
      <c r="Q84" s="305">
        <f t="shared" si="27"/>
        <v>0.7</v>
      </c>
      <c r="R84" s="177">
        <f t="shared" si="28"/>
        <v>0.20655698160221547</v>
      </c>
      <c r="S84" s="817">
        <f t="shared" si="29"/>
        <v>-1</v>
      </c>
      <c r="T84" s="176">
        <f t="shared" si="30"/>
        <v>5</v>
      </c>
      <c r="U84" s="251">
        <f t="shared" si="31"/>
        <v>-0.79344301839778453</v>
      </c>
      <c r="V84" s="383">
        <f t="shared" si="32"/>
        <v>27.986846231691217</v>
      </c>
      <c r="W84" s="402"/>
      <c r="X84" s="157">
        <f t="shared" si="33"/>
        <v>44266</v>
      </c>
      <c r="Y84" s="385">
        <f t="shared" si="34"/>
        <v>20.135999999999999</v>
      </c>
      <c r="Z84" s="385">
        <f t="shared" si="35"/>
        <v>20.607612040886625</v>
      </c>
      <c r="AA84" s="386">
        <f t="shared" si="36"/>
        <v>23.080662378042817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0.10714815271111391</v>
      </c>
      <c r="AD84" s="231">
        <f>(INDEX(Models!$BJ84:$BT84,,AH84)*(1-AF84)+INDEX(Models!$BJ84:$BT84,,AH84+1)*AF84-ERP_i)*AE84*Ramure*Pc/MaxiM</f>
        <v>2.3672245680225342E-3</v>
      </c>
      <c r="AE84" s="305">
        <f t="shared" si="38"/>
        <v>0.7</v>
      </c>
      <c r="AF84" s="177">
        <f t="shared" si="39"/>
        <v>0.20655698160221547</v>
      </c>
      <c r="AG84" s="817">
        <f t="shared" si="47"/>
        <v>-1</v>
      </c>
      <c r="AH84" s="176">
        <f t="shared" si="40"/>
        <v>5</v>
      </c>
      <c r="AI84" s="225">
        <f t="shared" si="41"/>
        <v>-0.79344301839778453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44267</v>
      </c>
      <c r="B85" s="617">
        <v>20.16</v>
      </c>
      <c r="C85" s="390"/>
      <c r="D85" s="393">
        <f t="shared" si="24"/>
        <v>20.632626060436461</v>
      </c>
      <c r="E85" s="385">
        <f t="shared" si="45"/>
        <v>23.109905312171833</v>
      </c>
      <c r="F85" s="385">
        <f t="shared" si="25"/>
        <v>23.137359445082506</v>
      </c>
      <c r="G85" s="110">
        <f t="shared" si="46"/>
        <v>0.71293111433102063</v>
      </c>
      <c r="H85" s="414" t="b">
        <f>Wh_hp&gt;='2020'!Maxi_hp</f>
        <v>0</v>
      </c>
      <c r="I85" s="380">
        <f>IF(H85,Wh_hp,'2020'!Maxi_hp)</f>
        <v>29.411637891813143</v>
      </c>
      <c r="J85" s="85">
        <f>IF(H85,An,'2020'!An_max)</f>
        <v>2020</v>
      </c>
      <c r="K85" s="197">
        <f t="shared" si="26"/>
        <v>44267</v>
      </c>
      <c r="L85" s="147">
        <f>IF(t&lt;Tvie,1-EXP((T0-t)*PertePVj)+'2020'!Pspv,1-EXP((T0-t)*PertePVj)+Pspv)</f>
        <v>2.2906733202649909E-2</v>
      </c>
      <c r="M85" s="850"/>
      <c r="N85" s="850"/>
      <c r="O85" s="48">
        <f>IF(t&lt;Tnet,'2020'!Resal+('2020'!Salim-'2020'!Resal)*(1-EXP(('2020'!Tnet-t)/('2020'!Tau_j))),Resal+(Salim-Resal)*(1-EXP((Tnet-t)/(Tau_j))))*Salcycl</f>
        <v>0.10719556044353859</v>
      </c>
      <c r="P85" s="169">
        <f>(INDEX(Models!$BJ85:$BT85,,T85)*(1-R85)+INDEX(Models!$BJ85:$BT85,,T85+1)*R85-ERP_i)*Q85*Ramure*Pc/MaxiM</f>
        <v>2.0086172402605214E-3</v>
      </c>
      <c r="Q85" s="305">
        <f t="shared" si="27"/>
        <v>0.7</v>
      </c>
      <c r="R85" s="177">
        <f t="shared" si="28"/>
        <v>0.20684251716070223</v>
      </c>
      <c r="S85" s="817">
        <f t="shared" si="29"/>
        <v>-1</v>
      </c>
      <c r="T85" s="176">
        <f t="shared" si="30"/>
        <v>5</v>
      </c>
      <c r="U85" s="251">
        <f t="shared" si="31"/>
        <v>-0.79315748283929777</v>
      </c>
      <c r="V85" s="383">
        <f t="shared" si="32"/>
        <v>28.254353704889134</v>
      </c>
      <c r="W85" s="402"/>
      <c r="X85" s="157">
        <f t="shared" si="33"/>
        <v>44267</v>
      </c>
      <c r="Y85" s="385">
        <f t="shared" si="34"/>
        <v>20.16</v>
      </c>
      <c r="Z85" s="385">
        <f t="shared" si="35"/>
        <v>20.632626060436461</v>
      </c>
      <c r="AA85" s="386">
        <f t="shared" si="36"/>
        <v>23.109905312171833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0.10719556044353859</v>
      </c>
      <c r="AD85" s="231">
        <f>(INDEX(Models!$BJ85:$BT85,,AH85)*(1-AF85)+INDEX(Models!$BJ85:$BT85,,AH85+1)*AF85-ERP_i)*AE85*Ramure*Pc/MaxiM</f>
        <v>2.0086172402605214E-3</v>
      </c>
      <c r="AE85" s="305">
        <f t="shared" si="38"/>
        <v>0.7</v>
      </c>
      <c r="AF85" s="177">
        <f t="shared" si="39"/>
        <v>0.20684251716070223</v>
      </c>
      <c r="AG85" s="817">
        <f t="shared" si="47"/>
        <v>-1</v>
      </c>
      <c r="AH85" s="176">
        <f t="shared" si="40"/>
        <v>5</v>
      </c>
      <c r="AI85" s="225">
        <f t="shared" si="41"/>
        <v>-0.79315748283929777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44268</v>
      </c>
      <c r="B86" s="617">
        <v>25.606000000000002</v>
      </c>
      <c r="C86" s="390"/>
      <c r="D86" s="393">
        <f t="shared" si="24"/>
        <v>26.206874737077612</v>
      </c>
      <c r="E86" s="385">
        <f t="shared" si="45"/>
        <v>29.354997133908928</v>
      </c>
      <c r="F86" s="385">
        <f t="shared" si="25"/>
        <v>29.39742528369991</v>
      </c>
      <c r="G86" s="110">
        <f t="shared" si="46"/>
        <v>0.89763196160600156</v>
      </c>
      <c r="H86" s="414" t="b">
        <f>Wh_hp&gt;='2020'!Maxi_hp</f>
        <v>1</v>
      </c>
      <c r="I86" s="380">
        <f>IF(H86,Wh_hp,'2020'!Maxi_hp)</f>
        <v>29.39742528369991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2.2928134052836557E-2</v>
      </c>
      <c r="M86" s="850"/>
      <c r="N86" s="850"/>
      <c r="O86" s="48">
        <f>IF(t&lt;Tnet,'2020'!Resal+('2020'!Salim-'2020'!Resal)*(1-EXP(('2020'!Tnet-t)/('2020'!Tau_j))),Resal+(Salim-Resal)*(1-EXP((Tnet-t)/(Tau_j))))*Salcycl</f>
        <v>0.10724315122466202</v>
      </c>
      <c r="P86" s="169">
        <f>(INDEX(Models!$BJ86:$BT86,,T86)*(1-R86)+INDEX(Models!$BJ86:$BT86,,T86+1)*R86-ERP_i)*Q86*Ramure*Pc/MaxiM</f>
        <v>1.6898491204855573E-3</v>
      </c>
      <c r="Q86" s="305">
        <f t="shared" si="27"/>
        <v>0.7</v>
      </c>
      <c r="R86" s="177">
        <f t="shared" si="28"/>
        <v>0.20713944117003136</v>
      </c>
      <c r="S86" s="817">
        <f t="shared" si="29"/>
        <v>-1</v>
      </c>
      <c r="T86" s="176">
        <f t="shared" si="30"/>
        <v>5</v>
      </c>
      <c r="U86" s="251">
        <f t="shared" si="31"/>
        <v>-0.79286055882996864</v>
      </c>
      <c r="V86" s="383">
        <f t="shared" si="32"/>
        <v>28.519123456814</v>
      </c>
      <c r="W86" s="402"/>
      <c r="X86" s="157">
        <f t="shared" si="33"/>
        <v>44268</v>
      </c>
      <c r="Y86" s="385">
        <f t="shared" si="34"/>
        <v>25.606000000000002</v>
      </c>
      <c r="Z86" s="385">
        <f t="shared" si="35"/>
        <v>26.206874737077612</v>
      </c>
      <c r="AA86" s="386">
        <f t="shared" si="36"/>
        <v>29.354997133908928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0.10724315122466202</v>
      </c>
      <c r="AD86" s="231">
        <f>(INDEX(Models!$BJ86:$BT86,,AH86)*(1-AF86)+INDEX(Models!$BJ86:$BT86,,AH86+1)*AF86-ERP_i)*AE86*Ramure*Pc/MaxiM</f>
        <v>1.6898491204855573E-3</v>
      </c>
      <c r="AE86" s="305">
        <f t="shared" si="38"/>
        <v>0.7</v>
      </c>
      <c r="AF86" s="177">
        <f t="shared" si="39"/>
        <v>0.20713944117003136</v>
      </c>
      <c r="AG86" s="817">
        <f t="shared" si="47"/>
        <v>-1</v>
      </c>
      <c r="AH86" s="176">
        <f t="shared" si="40"/>
        <v>5</v>
      </c>
      <c r="AI86" s="225">
        <f t="shared" si="41"/>
        <v>-0.79286055882996864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44269</v>
      </c>
      <c r="B87" s="617">
        <v>16.594999999999999</v>
      </c>
      <c r="C87" s="390"/>
      <c r="D87" s="393">
        <f t="shared" si="24"/>
        <v>16.984793093969333</v>
      </c>
      <c r="E87" s="385">
        <f t="shared" si="45"/>
        <v>19.026124200307184</v>
      </c>
      <c r="F87" s="385">
        <f t="shared" si="25"/>
        <v>19.036686905385508</v>
      </c>
      <c r="G87" s="110">
        <f t="shared" si="46"/>
        <v>0.57610681243040784</v>
      </c>
      <c r="H87" s="414" t="b">
        <f>Wh_hp&gt;='2020'!Maxi_hp</f>
        <v>0</v>
      </c>
      <c r="I87" s="380">
        <f>IF(H87,Wh_hp,'2020'!Maxi_hp)</f>
        <v>27.041870864735497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2.2949534434289709E-2</v>
      </c>
      <c r="M87" s="850"/>
      <c r="N87" s="850"/>
      <c r="O87" s="48">
        <f>IF(t&lt;Tnet,'2020'!Resal+('2020'!Salim-'2020'!Resal)*(1-EXP(('2020'!Tnet-t)/('2020'!Tau_j))),Resal+(Salim-Resal)*(1-EXP((Tnet-t)/(Tau_j))))*Salcycl</f>
        <v>0.10729095872846728</v>
      </c>
      <c r="P87" s="169">
        <f>(INDEX(Models!$BJ87:$BT87,,T87)*(1-R87)+INDEX(Models!$BJ87:$BT87,,T87+1)*R87-ERP_i)*Q87*Ramure*Pc/MaxiM</f>
        <v>1.4042183433637264E-3</v>
      </c>
      <c r="Q87" s="305">
        <f t="shared" si="27"/>
        <v>0.7</v>
      </c>
      <c r="R87" s="177">
        <f t="shared" si="28"/>
        <v>0.20744818277351229</v>
      </c>
      <c r="S87" s="817">
        <f t="shared" si="29"/>
        <v>-1</v>
      </c>
      <c r="T87" s="176">
        <f t="shared" si="30"/>
        <v>5</v>
      </c>
      <c r="U87" s="251">
        <f t="shared" si="31"/>
        <v>-0.79255181722648771</v>
      </c>
      <c r="V87" s="383">
        <f t="shared" si="32"/>
        <v>28.78094256691757</v>
      </c>
      <c r="W87" s="402"/>
      <c r="X87" s="157">
        <f t="shared" si="33"/>
        <v>44269</v>
      </c>
      <c r="Y87" s="385">
        <f t="shared" si="34"/>
        <v>16.594999999999999</v>
      </c>
      <c r="Z87" s="385">
        <f t="shared" si="35"/>
        <v>16.984793093969333</v>
      </c>
      <c r="AA87" s="386">
        <f t="shared" si="36"/>
        <v>19.026124200307184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0.10729095872846728</v>
      </c>
      <c r="AD87" s="231">
        <f>(INDEX(Models!$BJ87:$BT87,,AH87)*(1-AF87)+INDEX(Models!$BJ87:$BT87,,AH87+1)*AF87-ERP_i)*AE87*Ramure*Pc/MaxiM</f>
        <v>1.4042183433637264E-3</v>
      </c>
      <c r="AE87" s="305">
        <f t="shared" si="38"/>
        <v>0.7</v>
      </c>
      <c r="AF87" s="177">
        <f t="shared" si="39"/>
        <v>0.20744818277351229</v>
      </c>
      <c r="AG87" s="817">
        <f t="shared" si="47"/>
        <v>-1</v>
      </c>
      <c r="AH87" s="176">
        <f t="shared" si="40"/>
        <v>5</v>
      </c>
      <c r="AI87" s="225">
        <f t="shared" si="41"/>
        <v>-0.79255181722648771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44270</v>
      </c>
      <c r="B88" s="617">
        <v>10.691000000000001</v>
      </c>
      <c r="C88" s="390"/>
      <c r="D88" s="393">
        <f t="shared" si="24"/>
        <v>10.942356144599296</v>
      </c>
      <c r="E88" s="385">
        <f t="shared" si="45"/>
        <v>12.258131996190603</v>
      </c>
      <c r="F88" s="385">
        <f t="shared" si="25"/>
        <v>12.259505650050723</v>
      </c>
      <c r="G88" s="110">
        <f t="shared" si="46"/>
        <v>0.36777205622897907</v>
      </c>
      <c r="H88" s="414" t="b">
        <f>Wh_hp&gt;='2020'!Maxi_hp</f>
        <v>0</v>
      </c>
      <c r="I88" s="380">
        <f>IF(H88,Wh_hp,'2020'!Maxi_hp)</f>
        <v>29.113438237494268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2.2970934347019467E-2</v>
      </c>
      <c r="M88" s="850"/>
      <c r="N88" s="850"/>
      <c r="O88" s="48">
        <f>IF(t&lt;Tnet,'2020'!Resal+('2020'!Salim-'2020'!Resal)*(1-EXP(('2020'!Tnet-t)/('2020'!Tau_j))),Resal+(Salim-Resal)*(1-EXP((Tnet-t)/(Tau_j))))*Salcycl</f>
        <v>0.10733901804942249</v>
      </c>
      <c r="P88" s="169">
        <f>(INDEX(Models!$BJ88:$BT88,,T88)*(1-R88)+INDEX(Models!$BJ88:$BT88,,T88+1)*R88-ERP_i)*Q88*Ramure*Pc/MaxiM</f>
        <v>1.1508207361666427E-3</v>
      </c>
      <c r="Q88" s="305">
        <f t="shared" si="27"/>
        <v>0.7</v>
      </c>
      <c r="R88" s="177">
        <f t="shared" si="28"/>
        <v>0.2077691851986776</v>
      </c>
      <c r="S88" s="817">
        <f t="shared" si="29"/>
        <v>-1</v>
      </c>
      <c r="T88" s="176">
        <f t="shared" si="30"/>
        <v>5</v>
      </c>
      <c r="U88" s="251">
        <f t="shared" si="31"/>
        <v>-0.7922308148013224</v>
      </c>
      <c r="V88" s="383">
        <f t="shared" si="32"/>
        <v>29.039436400815944</v>
      </c>
      <c r="W88" s="402"/>
      <c r="X88" s="157">
        <f t="shared" si="33"/>
        <v>44270</v>
      </c>
      <c r="Y88" s="385">
        <f t="shared" si="34"/>
        <v>10.691000000000001</v>
      </c>
      <c r="Z88" s="385">
        <f t="shared" si="35"/>
        <v>10.942356144599296</v>
      </c>
      <c r="AA88" s="386">
        <f t="shared" si="36"/>
        <v>12.258131996190603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0.10733901804942249</v>
      </c>
      <c r="AD88" s="231">
        <f>(INDEX(Models!$BJ88:$BT88,,AH88)*(1-AF88)+INDEX(Models!$BJ88:$BT88,,AH88+1)*AF88-ERP_i)*AE88*Ramure*Pc/MaxiM</f>
        <v>1.1508207361666427E-3</v>
      </c>
      <c r="AE88" s="305">
        <f t="shared" si="38"/>
        <v>0.7</v>
      </c>
      <c r="AF88" s="177">
        <f t="shared" si="39"/>
        <v>0.2077691851986776</v>
      </c>
      <c r="AG88" s="817">
        <f t="shared" si="47"/>
        <v>-1</v>
      </c>
      <c r="AH88" s="176">
        <f t="shared" si="40"/>
        <v>5</v>
      </c>
      <c r="AI88" s="225">
        <f t="shared" si="41"/>
        <v>-0.7922308148013224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44271</v>
      </c>
      <c r="B89" s="617">
        <v>20.382000000000001</v>
      </c>
      <c r="C89" s="390"/>
      <c r="D89" s="393">
        <f t="shared" si="24"/>
        <v>20.861658208975271</v>
      </c>
      <c r="E89" s="385">
        <f t="shared" si="45"/>
        <v>23.371457454911795</v>
      </c>
      <c r="F89" s="385">
        <f t="shared" si="25"/>
        <v>23.383736758802026</v>
      </c>
      <c r="G89" s="110">
        <f t="shared" si="46"/>
        <v>0.69548740257804809</v>
      </c>
      <c r="H89" s="414" t="b">
        <f>Wh_hp&gt;='2020'!Maxi_hp</f>
        <v>0</v>
      </c>
      <c r="I89" s="380">
        <f>IF(H89,Wh_hp,'2020'!Maxi_hp)</f>
        <v>33.759513299417414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2.2992333791036268E-2</v>
      </c>
      <c r="M89" s="850"/>
      <c r="N89" s="850"/>
      <c r="O89" s="48">
        <f>IF(t&lt;Tnet,'2020'!Resal+('2020'!Salim-'2020'!Resal)*(1-EXP(('2020'!Tnet-t)/('2020'!Tau_j))),Resal+(Salim-Resal)*(1-EXP((Tnet-t)/(Tau_j))))*Salcycl</f>
        <v>0.10738736558378634</v>
      </c>
      <c r="P89" s="169">
        <f>(INDEX(Models!$BJ89:$BT89,,T89)*(1-R89)+INDEX(Models!$BJ89:$BT89,,T89+1)*R89-ERP_i)*Q89*Ramure*Pc/MaxiM</f>
        <v>9.2878832887158052E-4</v>
      </c>
      <c r="Q89" s="305">
        <f t="shared" si="27"/>
        <v>0.7</v>
      </c>
      <c r="R89" s="177">
        <f t="shared" si="28"/>
        <v>0.20810290604314952</v>
      </c>
      <c r="S89" s="817">
        <f t="shared" si="29"/>
        <v>-1</v>
      </c>
      <c r="T89" s="176">
        <f t="shared" si="30"/>
        <v>5</v>
      </c>
      <c r="U89" s="251">
        <f t="shared" si="31"/>
        <v>-0.79189709395685048</v>
      </c>
      <c r="V89" s="383">
        <f t="shared" si="32"/>
        <v>29.294230298477046</v>
      </c>
      <c r="W89" s="402"/>
      <c r="X89" s="157">
        <f t="shared" si="33"/>
        <v>44271</v>
      </c>
      <c r="Y89" s="385">
        <f t="shared" si="34"/>
        <v>20.382000000000001</v>
      </c>
      <c r="Z89" s="385">
        <f t="shared" si="35"/>
        <v>20.861658208975271</v>
      </c>
      <c r="AA89" s="386">
        <f t="shared" si="36"/>
        <v>23.371457454911795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0.10738736558378634</v>
      </c>
      <c r="AD89" s="231">
        <f>(INDEX(Models!$BJ89:$BT89,,AH89)*(1-AF89)+INDEX(Models!$BJ89:$BT89,,AH89+1)*AF89-ERP_i)*AE89*Ramure*Pc/MaxiM</f>
        <v>9.2878832887158052E-4</v>
      </c>
      <c r="AE89" s="305">
        <f t="shared" si="38"/>
        <v>0.7</v>
      </c>
      <c r="AF89" s="177">
        <f t="shared" si="39"/>
        <v>0.20810290604314952</v>
      </c>
      <c r="AG89" s="817">
        <f t="shared" si="47"/>
        <v>-1</v>
      </c>
      <c r="AH89" s="176">
        <f t="shared" si="40"/>
        <v>5</v>
      </c>
      <c r="AI89" s="225">
        <f t="shared" si="41"/>
        <v>-0.79189709395685048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44272</v>
      </c>
      <c r="B90" s="617">
        <v>15.871</v>
      </c>
      <c r="C90" s="390"/>
      <c r="D90" s="393">
        <f t="shared" si="24"/>
        <v>16.244854745951507</v>
      </c>
      <c r="E90" s="385">
        <f t="shared" si="45"/>
        <v>18.200213602673841</v>
      </c>
      <c r="F90" s="385">
        <f t="shared" si="25"/>
        <v>18.204761461001336</v>
      </c>
      <c r="G90" s="110">
        <f t="shared" si="46"/>
        <v>0.53691956132695184</v>
      </c>
      <c r="H90" s="414" t="b">
        <f>Wh_hp&gt;='2020'!Maxi_hp</f>
        <v>1</v>
      </c>
      <c r="I90" s="380">
        <f>IF(H90,Wh_hp,'2020'!Maxi_hp)</f>
        <v>18.204761461001336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2.3013732766350325E-2</v>
      </c>
      <c r="M90" s="850"/>
      <c r="N90" s="850"/>
      <c r="O90" s="48">
        <f>IF(t&lt;Tnet,'2020'!Resal+('2020'!Salim-'2020'!Resal)*(1-EXP(('2020'!Tnet-t)/('2020'!Tau_j))),Resal+(Salim-Resal)*(1-EXP((Tnet-t)/(Tau_j))))*Salcycl</f>
        <v>0.10743603890643728</v>
      </c>
      <c r="P90" s="169">
        <f>(INDEX(Models!$BJ90:$BT90,,T90)*(1-R90)+INDEX(Models!$BJ90:$BT90,,T90+1)*R90-ERP_i)*Q90*Ramure*Pc/MaxiM</f>
        <v>7.3729142584690055E-4</v>
      </c>
      <c r="Q90" s="305">
        <f t="shared" si="27"/>
        <v>0.7</v>
      </c>
      <c r="R90" s="177">
        <f t="shared" si="28"/>
        <v>0.20844981755013647</v>
      </c>
      <c r="S90" s="817">
        <f t="shared" si="29"/>
        <v>-1</v>
      </c>
      <c r="T90" s="176">
        <f t="shared" si="30"/>
        <v>5</v>
      </c>
      <c r="U90" s="251">
        <f t="shared" si="31"/>
        <v>-0.79155018244986353</v>
      </c>
      <c r="V90" s="383">
        <f t="shared" si="32"/>
        <v>29.544949564596209</v>
      </c>
      <c r="W90" s="402"/>
      <c r="X90" s="157">
        <f t="shared" si="33"/>
        <v>44272</v>
      </c>
      <c r="Y90" s="385">
        <f t="shared" si="34"/>
        <v>15.871</v>
      </c>
      <c r="Z90" s="385">
        <f t="shared" si="35"/>
        <v>16.244854745951507</v>
      </c>
      <c r="AA90" s="386">
        <f t="shared" si="36"/>
        <v>18.200213602673841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0.10743603890643728</v>
      </c>
      <c r="AD90" s="231">
        <f>(INDEX(Models!$BJ90:$BT90,,AH90)*(1-AF90)+INDEX(Models!$BJ90:$BT90,,AH90+1)*AF90-ERP_i)*AE90*Ramure*Pc/MaxiM</f>
        <v>7.3729142584690055E-4</v>
      </c>
      <c r="AE90" s="305">
        <f t="shared" si="38"/>
        <v>0.7</v>
      </c>
      <c r="AF90" s="177">
        <f t="shared" si="39"/>
        <v>0.20844981755013647</v>
      </c>
      <c r="AG90" s="817">
        <f t="shared" si="47"/>
        <v>-1</v>
      </c>
      <c r="AH90" s="176">
        <f t="shared" si="40"/>
        <v>5</v>
      </c>
      <c r="AI90" s="225">
        <f t="shared" si="41"/>
        <v>-0.79155018244986353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44273</v>
      </c>
      <c r="B91" s="617">
        <v>14.621</v>
      </c>
      <c r="C91" s="390"/>
      <c r="D91" s="393">
        <f t="shared" si="24"/>
        <v>14.965737733283044</v>
      </c>
      <c r="E91" s="385">
        <f t="shared" si="45"/>
        <v>16.768053218667148</v>
      </c>
      <c r="F91" s="385">
        <f t="shared" si="25"/>
        <v>16.770683888957699</v>
      </c>
      <c r="G91" s="110">
        <f t="shared" si="46"/>
        <v>0.4905766797774761</v>
      </c>
      <c r="H91" s="414" t="b">
        <f>Wh_hp&gt;='2020'!Maxi_hp</f>
        <v>0</v>
      </c>
      <c r="I91" s="380">
        <f>IF(H91,Wh_hp,'2020'!Maxi_hp)</f>
        <v>22.615966613904025</v>
      </c>
      <c r="J91" s="85">
        <f>IF(H91,An,'2020'!An_max)</f>
        <v>2019</v>
      </c>
      <c r="K91" s="197">
        <f t="shared" si="26"/>
        <v>44273</v>
      </c>
      <c r="L91" s="147">
        <f>IF(t&lt;Tvie,1-EXP((T0-t)*PertePVj)+'2020'!Pspv,1-EXP((T0-t)*PertePVj)+Pspv)</f>
        <v>2.3035131272971854E-2</v>
      </c>
      <c r="M91" s="850"/>
      <c r="N91" s="850"/>
      <c r="O91" s="48">
        <f>IF(t&lt;Tnet,'2020'!Resal+('2020'!Salim-'2020'!Resal)*(1-EXP(('2020'!Tnet-t)/('2020'!Tau_j))),Resal+(Salim-Resal)*(1-EXP((Tnet-t)/(Tau_j))))*Salcycl</f>
        <v>0.10748507664429791</v>
      </c>
      <c r="P91" s="169">
        <f>(INDEX(Models!$BJ91:$BT91,,T91)*(1-R91)+INDEX(Models!$BJ91:$BT91,,T91+1)*R91-ERP_i)*Q91*Ramure*Pc/MaxiM</f>
        <v>5.7554045011249115E-4</v>
      </c>
      <c r="Q91" s="305">
        <f t="shared" si="27"/>
        <v>0.7</v>
      </c>
      <c r="R91" s="177">
        <f t="shared" si="28"/>
        <v>0.20881040687166041</v>
      </c>
      <c r="S91" s="817">
        <f t="shared" si="29"/>
        <v>-1</v>
      </c>
      <c r="T91" s="176">
        <f t="shared" si="30"/>
        <v>5</v>
      </c>
      <c r="U91" s="251">
        <f t="shared" si="31"/>
        <v>-0.79118959312833959</v>
      </c>
      <c r="V91" s="383">
        <f t="shared" si="32"/>
        <v>29.79121946346412</v>
      </c>
      <c r="W91" s="402"/>
      <c r="X91" s="157">
        <f t="shared" si="33"/>
        <v>44273</v>
      </c>
      <c r="Y91" s="385">
        <f t="shared" si="34"/>
        <v>14.621</v>
      </c>
      <c r="Z91" s="385">
        <f t="shared" si="35"/>
        <v>14.965737733283044</v>
      </c>
      <c r="AA91" s="386">
        <f t="shared" si="36"/>
        <v>16.768053218667148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0.10748507664429791</v>
      </c>
      <c r="AD91" s="231">
        <f>(INDEX(Models!$BJ91:$BT91,,AH91)*(1-AF91)+INDEX(Models!$BJ91:$BT91,,AH91+1)*AF91-ERP_i)*AE91*Ramure*Pc/MaxiM</f>
        <v>5.7554045011249115E-4</v>
      </c>
      <c r="AE91" s="305">
        <f t="shared" si="38"/>
        <v>0.7</v>
      </c>
      <c r="AF91" s="177">
        <f t="shared" si="39"/>
        <v>0.20881040687166041</v>
      </c>
      <c r="AG91" s="817">
        <f t="shared" si="47"/>
        <v>-1</v>
      </c>
      <c r="AH91" s="176">
        <f t="shared" si="40"/>
        <v>5</v>
      </c>
      <c r="AI91" s="225">
        <f t="shared" si="41"/>
        <v>-0.79118959312833959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44274</v>
      </c>
      <c r="B92" s="617">
        <v>7.4770000000000003</v>
      </c>
      <c r="C92" s="390"/>
      <c r="D92" s="393">
        <f t="shared" si="24"/>
        <v>7.6534622773271472</v>
      </c>
      <c r="E92" s="385">
        <f t="shared" si="45"/>
        <v>8.5756395453581398</v>
      </c>
      <c r="F92" s="385">
        <f t="shared" si="25"/>
        <v>8.5756395453581398</v>
      </c>
      <c r="G92" s="110">
        <f t="shared" si="46"/>
        <v>0.24885201577701113</v>
      </c>
      <c r="H92" s="414" t="b">
        <f>Wh_hp&gt;='2020'!Maxi_hp</f>
        <v>0</v>
      </c>
      <c r="I92" s="380">
        <f>IF(H92,Wh_hp,'2020'!Maxi_hp)</f>
        <v>31.49075258123468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2.3056529310911289E-2</v>
      </c>
      <c r="M92" s="850"/>
      <c r="N92" s="850"/>
      <c r="O92" s="48">
        <f>IF(t&lt;Tnet,'2020'!Resal+('2020'!Salim-'2020'!Resal)*(1-EXP(('2020'!Tnet-t)/('2020'!Tau_j))),Resal+(Salim-Resal)*(1-EXP((Tnet-t)/(Tau_j))))*Salcycl</f>
        <v>0.10753451834739866</v>
      </c>
      <c r="P92" s="169">
        <f>(INDEX(Models!$BJ92:$BT92,,T92)*(1-R92)+INDEX(Models!$BJ92:$BT92,,T92+1)*R92-ERP_i)*Q92*Ramure*Pc/MaxiM</f>
        <v>4.4278759191727186E-4</v>
      </c>
      <c r="Q92" s="305">
        <f t="shared" si="27"/>
        <v>0.7</v>
      </c>
      <c r="R92" s="177">
        <f t="shared" si="28"/>
        <v>0.20918517631745681</v>
      </c>
      <c r="S92" s="817">
        <f t="shared" si="29"/>
        <v>-1</v>
      </c>
      <c r="T92" s="176">
        <f t="shared" si="30"/>
        <v>5</v>
      </c>
      <c r="U92" s="251">
        <f t="shared" si="31"/>
        <v>-0.79081482368254319</v>
      </c>
      <c r="V92" s="383">
        <f t="shared" si="32"/>
        <v>30.032665212051903</v>
      </c>
      <c r="W92" s="402"/>
      <c r="X92" s="157">
        <f t="shared" si="33"/>
        <v>44274</v>
      </c>
      <c r="Y92" s="385">
        <f t="shared" si="34"/>
        <v>7.4770000000000003</v>
      </c>
      <c r="Z92" s="385">
        <f t="shared" si="35"/>
        <v>7.6534622773271472</v>
      </c>
      <c r="AA92" s="386">
        <f t="shared" si="36"/>
        <v>8.5756395453581398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0.10753451834739866</v>
      </c>
      <c r="AD92" s="231">
        <f>(INDEX(Models!$BJ92:$BT92,,AH92)*(1-AF92)+INDEX(Models!$BJ92:$BT92,,AH92+1)*AF92-ERP_i)*AE92*Ramure*Pc/MaxiM</f>
        <v>4.4278759191727186E-4</v>
      </c>
      <c r="AE92" s="305">
        <f t="shared" si="38"/>
        <v>0.7</v>
      </c>
      <c r="AF92" s="177">
        <f t="shared" si="39"/>
        <v>0.20918517631745681</v>
      </c>
      <c r="AG92" s="817">
        <f t="shared" si="47"/>
        <v>-1</v>
      </c>
      <c r="AH92" s="176">
        <f t="shared" si="40"/>
        <v>5</v>
      </c>
      <c r="AI92" s="225">
        <f t="shared" si="41"/>
        <v>-0.79081482368254319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44275</v>
      </c>
      <c r="B93" s="617">
        <v>26.312999999999999</v>
      </c>
      <c r="C93" s="390"/>
      <c r="D93" s="393">
        <f t="shared" si="24"/>
        <v>26.934594604837695</v>
      </c>
      <c r="E93" s="385">
        <f t="shared" si="45"/>
        <v>30.181671786538828</v>
      </c>
      <c r="F93" s="385">
        <f t="shared" si="25"/>
        <v>30.189977552871664</v>
      </c>
      <c r="G93" s="110">
        <f t="shared" si="46"/>
        <v>0.86919698653891564</v>
      </c>
      <c r="H93" s="414" t="b">
        <f>Wh_hp&gt;='2020'!Maxi_hp</f>
        <v>0</v>
      </c>
      <c r="I93" s="380">
        <f>IF(H93,Wh_hp,'2020'!Maxi_hp)</f>
        <v>35.290557656198175</v>
      </c>
      <c r="J93" s="85">
        <f>IF(H93,An,'2020'!An_max)</f>
        <v>2019</v>
      </c>
      <c r="K93" s="197">
        <f t="shared" si="26"/>
        <v>44275</v>
      </c>
      <c r="L93" s="147">
        <f>IF(t&lt;Tvie,1-EXP((T0-t)*PertePVj)+'2020'!Pspv,1-EXP((T0-t)*PertePVj)+Pspv)</f>
        <v>2.3077926880178623E-2</v>
      </c>
      <c r="M93" s="850"/>
      <c r="N93" s="850"/>
      <c r="O93" s="48">
        <f>IF(t&lt;Tnet,'2020'!Resal+('2020'!Salim-'2020'!Resal)*(1-EXP(('2020'!Tnet-t)/('2020'!Tau_j))),Resal+(Salim-Resal)*(1-EXP((Tnet-t)/(Tau_j))))*Salcycl</f>
        <v>0.10758440435858641</v>
      </c>
      <c r="P93" s="169">
        <f>(INDEX(Models!$BJ93:$BT93,,T93)*(1-R93)+INDEX(Models!$BJ93:$BT93,,T93+1)*R93-ERP_i)*Q93*Ramure*Pc/MaxiM</f>
        <v>3.3830658198339921E-4</v>
      </c>
      <c r="Q93" s="305">
        <f t="shared" si="27"/>
        <v>0.7</v>
      </c>
      <c r="R93" s="177">
        <f t="shared" si="28"/>
        <v>0.20957464358733258</v>
      </c>
      <c r="S93" s="817">
        <f t="shared" si="29"/>
        <v>-1</v>
      </c>
      <c r="T93" s="176">
        <f t="shared" si="30"/>
        <v>5</v>
      </c>
      <c r="U93" s="251">
        <f t="shared" si="31"/>
        <v>-0.79042535641266742</v>
      </c>
      <c r="V93" s="383">
        <f t="shared" si="32"/>
        <v>30.270856013041811</v>
      </c>
      <c r="W93" s="402"/>
      <c r="X93" s="157">
        <f t="shared" si="33"/>
        <v>44275</v>
      </c>
      <c r="Y93" s="385">
        <f t="shared" si="34"/>
        <v>26.312999999999999</v>
      </c>
      <c r="Z93" s="385">
        <f t="shared" si="35"/>
        <v>26.934594604837695</v>
      </c>
      <c r="AA93" s="386">
        <f t="shared" si="36"/>
        <v>30.181671786538828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0.10758440435858641</v>
      </c>
      <c r="AD93" s="231">
        <f>(INDEX(Models!$BJ93:$BT93,,AH93)*(1-AF93)+INDEX(Models!$BJ93:$BT93,,AH93+1)*AF93-ERP_i)*AE93*Ramure*Pc/MaxiM</f>
        <v>3.3830658198339921E-4</v>
      </c>
      <c r="AE93" s="305">
        <f t="shared" si="38"/>
        <v>0.7</v>
      </c>
      <c r="AF93" s="177">
        <f t="shared" si="39"/>
        <v>0.20957464358733258</v>
      </c>
      <c r="AG93" s="817">
        <f t="shared" si="47"/>
        <v>-1</v>
      </c>
      <c r="AH93" s="176">
        <f t="shared" si="40"/>
        <v>5</v>
      </c>
      <c r="AI93" s="225">
        <f t="shared" si="41"/>
        <v>-0.79042535641266742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44276</v>
      </c>
      <c r="B94" s="617">
        <v>25.16</v>
      </c>
      <c r="C94" s="390"/>
      <c r="D94" s="393">
        <f t="shared" si="24"/>
        <v>25.754921270527511</v>
      </c>
      <c r="E94" s="385">
        <f t="shared" si="45"/>
        <v>28.861412982823254</v>
      </c>
      <c r="F94" s="385">
        <f t="shared" si="25"/>
        <v>28.867100923190424</v>
      </c>
      <c r="G94" s="110">
        <f t="shared" si="46"/>
        <v>0.82466756897595184</v>
      </c>
      <c r="H94" s="414" t="b">
        <f>Wh_hp&gt;='2020'!Maxi_hp</f>
        <v>0</v>
      </c>
      <c r="I94" s="380">
        <f>IF(H94,Wh_hp,'2020'!Maxi_hp)</f>
        <v>35.232626438185896</v>
      </c>
      <c r="J94" s="85">
        <f>IF(H94,An,'2020'!An_max)</f>
        <v>2019</v>
      </c>
      <c r="K94" s="197">
        <f t="shared" si="26"/>
        <v>44276</v>
      </c>
      <c r="L94" s="147">
        <f>IF(t&lt;Tvie,1-EXP((T0-t)*PertePVj)+'2020'!Pspv,1-EXP((T0-t)*PertePVj)+Pspv)</f>
        <v>2.3099323980784403E-2</v>
      </c>
      <c r="M94" s="850"/>
      <c r="N94" s="850"/>
      <c r="O94" s="48">
        <f>IF(t&lt;Tnet,'2020'!Resal+('2020'!Salim-'2020'!Resal)*(1-EXP(('2020'!Tnet-t)/('2020'!Tau_j))),Resal+(Salim-Resal)*(1-EXP((Tnet-t)/(Tau_j))))*Salcycl</f>
        <v>0.10763477568283157</v>
      </c>
      <c r="P94" s="169">
        <f>(INDEX(Models!$BJ94:$BT94,,T94)*(1-R94)+INDEX(Models!$BJ94:$BT94,,T94+1)*R94-ERP_i)*Q94*Ramure*Pc/MaxiM</f>
        <v>2.628577251427434E-4</v>
      </c>
      <c r="Q94" s="305">
        <f t="shared" si="27"/>
        <v>0.7</v>
      </c>
      <c r="R94" s="177">
        <f t="shared" si="28"/>
        <v>0.209979341984596</v>
      </c>
      <c r="S94" s="817">
        <f t="shared" si="29"/>
        <v>-1</v>
      </c>
      <c r="T94" s="176">
        <f t="shared" si="30"/>
        <v>5</v>
      </c>
      <c r="U94" s="251">
        <f t="shared" si="31"/>
        <v>-0.790020658015404</v>
      </c>
      <c r="V94" s="383">
        <f t="shared" si="32"/>
        <v>30.507254822667189</v>
      </c>
      <c r="W94" s="402"/>
      <c r="X94" s="157">
        <f t="shared" si="33"/>
        <v>44276</v>
      </c>
      <c r="Y94" s="385">
        <f t="shared" si="34"/>
        <v>25.16</v>
      </c>
      <c r="Z94" s="385">
        <f t="shared" si="35"/>
        <v>25.754921270527511</v>
      </c>
      <c r="AA94" s="386">
        <f t="shared" si="36"/>
        <v>28.861412982823254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0.10763477568283157</v>
      </c>
      <c r="AD94" s="231">
        <f>(INDEX(Models!$BJ94:$BT94,,AH94)*(1-AF94)+INDEX(Models!$BJ94:$BT94,,AH94+1)*AF94-ERP_i)*AE94*Ramure*Pc/MaxiM</f>
        <v>2.628577251427434E-4</v>
      </c>
      <c r="AE94" s="305">
        <f t="shared" si="38"/>
        <v>0.7</v>
      </c>
      <c r="AF94" s="177">
        <f t="shared" si="39"/>
        <v>0.209979341984596</v>
      </c>
      <c r="AG94" s="817">
        <f t="shared" si="47"/>
        <v>-1</v>
      </c>
      <c r="AH94" s="176">
        <f t="shared" si="40"/>
        <v>5</v>
      </c>
      <c r="AI94" s="225">
        <f t="shared" si="41"/>
        <v>-0.790020658015404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44277</v>
      </c>
      <c r="B95" s="617">
        <v>27.189</v>
      </c>
      <c r="C95" s="390"/>
      <c r="D95" s="393">
        <f t="shared" si="24"/>
        <v>27.832507632932963</v>
      </c>
      <c r="E95" s="385">
        <f t="shared" si="45"/>
        <v>31.191371490401682</v>
      </c>
      <c r="F95" s="385">
        <f t="shared" si="25"/>
        <v>31.196546040983264</v>
      </c>
      <c r="G95" s="110">
        <f t="shared" si="46"/>
        <v>0.88439851891260657</v>
      </c>
      <c r="H95" s="414" t="b">
        <f>Wh_hp&gt;='2020'!Maxi_hp</f>
        <v>0</v>
      </c>
      <c r="I95" s="380">
        <f>IF(H95,Wh_hp,'2020'!Maxi_hp)</f>
        <v>34.33751568572859</v>
      </c>
      <c r="J95" s="85">
        <f>IF(H95,An,'2020'!An_max)</f>
        <v>2019</v>
      </c>
      <c r="K95" s="197">
        <f t="shared" si="26"/>
        <v>44277</v>
      </c>
      <c r="L95" s="147">
        <f>IF(t&lt;Tvie,1-EXP((T0-t)*PertePVj)+'2020'!Pspv,1-EXP((T0-t)*PertePVj)+Pspv)</f>
        <v>2.3120720612738732E-2</v>
      </c>
      <c r="M95" s="850"/>
      <c r="N95" s="850"/>
      <c r="O95" s="48">
        <f>IF(t&lt;Tnet,'2020'!Resal+('2020'!Salim-'2020'!Resal)*(1-EXP(('2020'!Tnet-t)/('2020'!Tau_j))),Resal+(Salim-Resal)*(1-EXP((Tnet-t)/(Tau_j))))*Salcycl</f>
        <v>0.10768567385702549</v>
      </c>
      <c r="P95" s="169">
        <f>(INDEX(Models!$BJ95:$BT95,,T95)*(1-R95)+INDEX(Models!$BJ95:$BT95,,T95+1)*R95-ERP_i)*Q95*Ramure*Pc/MaxiM</f>
        <v>1.9867055028287674E-4</v>
      </c>
      <c r="Q95" s="305">
        <f t="shared" si="27"/>
        <v>0.7</v>
      </c>
      <c r="R95" s="177">
        <f t="shared" si="28"/>
        <v>0.21039982060799789</v>
      </c>
      <c r="S95" s="817">
        <f t="shared" si="29"/>
        <v>-1</v>
      </c>
      <c r="T95" s="176">
        <f t="shared" si="30"/>
        <v>5</v>
      </c>
      <c r="U95" s="251">
        <f t="shared" si="31"/>
        <v>-0.78960017939200211</v>
      </c>
      <c r="V95" s="383">
        <f t="shared" si="32"/>
        <v>30.741919438579931</v>
      </c>
      <c r="W95" s="402"/>
      <c r="X95" s="157">
        <f t="shared" si="33"/>
        <v>44277</v>
      </c>
      <c r="Y95" s="385">
        <f t="shared" si="34"/>
        <v>27.189</v>
      </c>
      <c r="Z95" s="385">
        <f t="shared" si="35"/>
        <v>27.832507632932963</v>
      </c>
      <c r="AA95" s="386">
        <f t="shared" si="36"/>
        <v>31.191371490401682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0.10768567385702549</v>
      </c>
      <c r="AD95" s="231">
        <f>(INDEX(Models!$BJ95:$BT95,,AH95)*(1-AF95)+INDEX(Models!$BJ95:$BT95,,AH95+1)*AF95-ERP_i)*AE95*Ramure*Pc/MaxiM</f>
        <v>1.9867055028287674E-4</v>
      </c>
      <c r="AE95" s="305">
        <f t="shared" si="38"/>
        <v>0.7</v>
      </c>
      <c r="AF95" s="177">
        <f t="shared" si="39"/>
        <v>0.21039982060799789</v>
      </c>
      <c r="AG95" s="817">
        <f t="shared" si="47"/>
        <v>-1</v>
      </c>
      <c r="AH95" s="176">
        <f t="shared" si="40"/>
        <v>5</v>
      </c>
      <c r="AI95" s="225">
        <f t="shared" si="41"/>
        <v>-0.78960017939200211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44278</v>
      </c>
      <c r="B96" s="617">
        <v>31.661999999999999</v>
      </c>
      <c r="C96" s="390"/>
      <c r="D96" s="393">
        <f t="shared" si="24"/>
        <v>32.41208423840029</v>
      </c>
      <c r="E96" s="385">
        <f t="shared" si="45"/>
        <v>36.32571265851734</v>
      </c>
      <c r="F96" s="385">
        <f t="shared" si="25"/>
        <v>36.330998993590491</v>
      </c>
      <c r="G96" s="110">
        <f t="shared" si="46"/>
        <v>1.0221995967039905</v>
      </c>
      <c r="H96" s="414" t="b">
        <f>Wh_hp&gt;='2020'!Maxi_hp</f>
        <v>1</v>
      </c>
      <c r="I96" s="380">
        <f>IF(H96,Wh_hp,'2020'!Maxi_hp)</f>
        <v>36.330998993590491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2.3142116776051824E-2</v>
      </c>
      <c r="M96" s="850"/>
      <c r="N96" s="850"/>
      <c r="O96" s="48">
        <f>IF(t&lt;Tnet,'2020'!Resal+('2020'!Salim-'2020'!Resal)*(1-EXP(('2020'!Tnet-t)/('2020'!Tau_j))),Resal+(Salim-Resal)*(1-EXP((Tnet-t)/(Tau_j))))*Salcycl</f>
        <v>0.10773714082108769</v>
      </c>
      <c r="P96" s="169">
        <f>(INDEX(Models!$BJ96:$BT96,,T96)*(1-R96)+INDEX(Models!$BJ96:$BT96,,T96+1)*R96-ERP_i)*Q96*Ramure*Pc/MaxiM</f>
        <v>1.4550480910478455E-4</v>
      </c>
      <c r="Q96" s="305">
        <f t="shared" si="27"/>
        <v>0.7</v>
      </c>
      <c r="R96" s="177">
        <f t="shared" si="28"/>
        <v>0.21083664451944184</v>
      </c>
      <c r="S96" s="817">
        <f t="shared" si="29"/>
        <v>-1</v>
      </c>
      <c r="T96" s="176">
        <f t="shared" si="30"/>
        <v>5</v>
      </c>
      <c r="U96" s="251">
        <f t="shared" si="31"/>
        <v>-0.78916335548055816</v>
      </c>
      <c r="V96" s="383">
        <f t="shared" si="32"/>
        <v>30.974381228570095</v>
      </c>
      <c r="W96" s="402"/>
      <c r="X96" s="157">
        <f t="shared" si="33"/>
        <v>44278</v>
      </c>
      <c r="Y96" s="385">
        <f t="shared" si="34"/>
        <v>31.662000000000003</v>
      </c>
      <c r="Z96" s="385">
        <f t="shared" si="35"/>
        <v>32.41208423840029</v>
      </c>
      <c r="AA96" s="386">
        <f t="shared" si="36"/>
        <v>36.32571265851734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0.10773714082108769</v>
      </c>
      <c r="AD96" s="231">
        <f>(INDEX(Models!$BJ96:$BT96,,AH96)*(1-AF96)+INDEX(Models!$BJ96:$BT96,,AH96+1)*AF96-ERP_i)*AE96*Ramure*Pc/MaxiM</f>
        <v>1.4550480910478455E-4</v>
      </c>
      <c r="AE96" s="305">
        <f t="shared" si="38"/>
        <v>0.7</v>
      </c>
      <c r="AF96" s="177">
        <f t="shared" si="39"/>
        <v>0.21083664451944184</v>
      </c>
      <c r="AG96" s="817">
        <f t="shared" si="47"/>
        <v>-1</v>
      </c>
      <c r="AH96" s="176">
        <f t="shared" si="40"/>
        <v>5</v>
      </c>
      <c r="AI96" s="225">
        <f t="shared" si="41"/>
        <v>-0.78916335548055816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44279</v>
      </c>
      <c r="B97" s="617">
        <v>31.347999999999999</v>
      </c>
      <c r="C97" s="390"/>
      <c r="D97" s="393">
        <f t="shared" si="24"/>
        <v>32.091348347653543</v>
      </c>
      <c r="E97" s="385">
        <f t="shared" si="45"/>
        <v>35.968348537743772</v>
      </c>
      <c r="F97" s="385">
        <f t="shared" si="25"/>
        <v>35.972058370872873</v>
      </c>
      <c r="G97" s="110">
        <f t="shared" si="46"/>
        <v>1.0046092694481603</v>
      </c>
      <c r="H97" s="414" t="b">
        <f>Wh_hp&gt;='2020'!Maxi_hp</f>
        <v>1</v>
      </c>
      <c r="I97" s="380">
        <f>IF(H97,Wh_hp,'2020'!Maxi_hp)</f>
        <v>35.972058370872873</v>
      </c>
      <c r="J97" s="85">
        <f>IF(H97,An,'2020'!An_max)</f>
        <v>2021</v>
      </c>
      <c r="K97" s="197">
        <f t="shared" si="26"/>
        <v>44279</v>
      </c>
      <c r="L97" s="147">
        <f>IF(t&lt;Tvie,1-EXP((T0-t)*PertePVj)+'2020'!Pspv,1-EXP((T0-t)*PertePVj)+Pspv)</f>
        <v>2.3163512470734116E-2</v>
      </c>
      <c r="M97" s="850"/>
      <c r="N97" s="850"/>
      <c r="O97" s="48">
        <f>IF(t&lt;Tnet,'2020'!Resal+('2020'!Salim-'2020'!Resal)*(1-EXP(('2020'!Tnet-t)/('2020'!Tau_j))),Resal+(Salim-Resal)*(1-EXP((Tnet-t)/(Tau_j))))*Salcycl</f>
        <v>0.10778921879112292</v>
      </c>
      <c r="P97" s="169">
        <f>(INDEX(Models!$BJ97:$BT97,,T97)*(1-R97)+INDEX(Models!$BJ97:$BT97,,T97+1)*R97-ERP_i)*Q97*Ramure*Pc/MaxiM</f>
        <v>1.0313096600843305E-4</v>
      </c>
      <c r="Q97" s="305">
        <f t="shared" si="27"/>
        <v>0.7</v>
      </c>
      <c r="R97" s="177">
        <f t="shared" si="28"/>
        <v>0.21129039488453494</v>
      </c>
      <c r="S97" s="817">
        <f t="shared" si="29"/>
        <v>-1</v>
      </c>
      <c r="T97" s="176">
        <f t="shared" si="30"/>
        <v>5</v>
      </c>
      <c r="U97" s="251">
        <f t="shared" si="31"/>
        <v>-0.78870960511546506</v>
      </c>
      <c r="V97" s="383">
        <f t="shared" si="32"/>
        <v>31.204171565348684</v>
      </c>
      <c r="W97" s="402"/>
      <c r="X97" s="157">
        <f t="shared" si="33"/>
        <v>44279</v>
      </c>
      <c r="Y97" s="385">
        <f t="shared" si="34"/>
        <v>31.347999999999999</v>
      </c>
      <c r="Z97" s="385">
        <f t="shared" si="35"/>
        <v>32.091348347653543</v>
      </c>
      <c r="AA97" s="386">
        <f t="shared" si="36"/>
        <v>35.968348537743772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0.10778921879112292</v>
      </c>
      <c r="AD97" s="231">
        <f>(INDEX(Models!$BJ97:$BT97,,AH97)*(1-AF97)+INDEX(Models!$BJ97:$BT97,,AH97+1)*AF97-ERP_i)*AE97*Ramure*Pc/MaxiM</f>
        <v>1.0313096600843305E-4</v>
      </c>
      <c r="AE97" s="305">
        <f t="shared" si="38"/>
        <v>0.7</v>
      </c>
      <c r="AF97" s="177">
        <f t="shared" si="39"/>
        <v>0.21129039488453494</v>
      </c>
      <c r="AG97" s="817">
        <f t="shared" si="47"/>
        <v>-1</v>
      </c>
      <c r="AH97" s="176">
        <f t="shared" si="40"/>
        <v>5</v>
      </c>
      <c r="AI97" s="225">
        <f t="shared" si="41"/>
        <v>-0.78870960511546506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44280</v>
      </c>
      <c r="B98" s="617">
        <v>22.247</v>
      </c>
      <c r="C98" s="390"/>
      <c r="D98" s="393">
        <f t="shared" si="24"/>
        <v>22.775037133736785</v>
      </c>
      <c r="E98" s="385">
        <f t="shared" si="45"/>
        <v>25.52802963240671</v>
      </c>
      <c r="F98" s="385">
        <f t="shared" si="25"/>
        <v>25.529090534006265</v>
      </c>
      <c r="G98" s="110">
        <f t="shared" si="46"/>
        <v>0.70778733340871736</v>
      </c>
      <c r="H98" s="414" t="b">
        <f>Wh_hp&gt;='2020'!Maxi_hp</f>
        <v>0</v>
      </c>
      <c r="I98" s="380">
        <f>IF(H98,Wh_hp,'2020'!Maxi_hp)</f>
        <v>33.539793588319633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2.318490769679582E-2</v>
      </c>
      <c r="M98" s="850"/>
      <c r="N98" s="850"/>
      <c r="O98" s="48">
        <f>IF(t&lt;Tnet,'2020'!Resal+('2020'!Salim-'2020'!Resal)*(1-EXP(('2020'!Tnet-t)/('2020'!Tau_j))),Resal+(Salim-Resal)*(1-EXP((Tnet-t)/(Tau_j))))*Salcycl</f>
        <v>0.10784195013527882</v>
      </c>
      <c r="P98" s="169">
        <f>(INDEX(Models!$BJ98:$BT98,,T98)*(1-R98)+INDEX(Models!$BJ98:$BT98,,T98+1)*R98-ERP_i)*Q98*Ramure*Pc/MaxiM</f>
        <v>7.1331543868588591E-5</v>
      </c>
      <c r="Q98" s="305">
        <f t="shared" si="27"/>
        <v>0.7</v>
      </c>
      <c r="R98" s="177">
        <f t="shared" si="28"/>
        <v>0.21176166908285365</v>
      </c>
      <c r="S98" s="817">
        <f t="shared" si="29"/>
        <v>-1</v>
      </c>
      <c r="T98" s="176">
        <f t="shared" si="30"/>
        <v>5</v>
      </c>
      <c r="U98" s="251">
        <f t="shared" si="31"/>
        <v>-0.78823833091714635</v>
      </c>
      <c r="V98" s="383">
        <f t="shared" si="32"/>
        <v>31.430821828401662</v>
      </c>
      <c r="W98" s="402"/>
      <c r="X98" s="157">
        <f t="shared" si="33"/>
        <v>44280</v>
      </c>
      <c r="Y98" s="385">
        <f t="shared" si="34"/>
        <v>22.247</v>
      </c>
      <c r="Z98" s="385">
        <f t="shared" si="35"/>
        <v>22.775037133736785</v>
      </c>
      <c r="AA98" s="386">
        <f t="shared" si="36"/>
        <v>25.52802963240671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0.10784195013527882</v>
      </c>
      <c r="AD98" s="231">
        <f>(INDEX(Models!$BJ98:$BT98,,AH98)*(1-AF98)+INDEX(Models!$BJ98:$BT98,,AH98+1)*AF98-ERP_i)*AE98*Ramure*Pc/MaxiM</f>
        <v>7.1331543868588591E-5</v>
      </c>
      <c r="AE98" s="305">
        <f t="shared" si="38"/>
        <v>0.7</v>
      </c>
      <c r="AF98" s="177">
        <f t="shared" si="39"/>
        <v>0.21176166908285365</v>
      </c>
      <c r="AG98" s="817">
        <f t="shared" si="47"/>
        <v>-1</v>
      </c>
      <c r="AH98" s="176">
        <f t="shared" si="40"/>
        <v>5</v>
      </c>
      <c r="AI98" s="225">
        <f t="shared" si="41"/>
        <v>-0.78823833091714635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44281</v>
      </c>
      <c r="B99" s="617">
        <v>26.145</v>
      </c>
      <c r="C99" s="390"/>
      <c r="D99" s="393">
        <f t="shared" si="24"/>
        <v>26.766143214980531</v>
      </c>
      <c r="E99" s="385">
        <f t="shared" si="45"/>
        <v>30.003367915029038</v>
      </c>
      <c r="F99" s="385">
        <f t="shared" si="25"/>
        <v>30.004492951698523</v>
      </c>
      <c r="G99" s="110">
        <f t="shared" si="46"/>
        <v>0.82595528021868292</v>
      </c>
      <c r="H99" s="414" t="b">
        <f>Wh_hp&gt;='2020'!Maxi_hp</f>
        <v>0</v>
      </c>
      <c r="I99" s="380">
        <f>IF(H99,Wh_hp,'2020'!Maxi_hp)</f>
        <v>37.971121713669092</v>
      </c>
      <c r="J99" s="85">
        <f>IF(H99,An,'2020'!An_max)</f>
        <v>2019</v>
      </c>
      <c r="K99" s="197">
        <f t="shared" si="26"/>
        <v>44281</v>
      </c>
      <c r="L99" s="147">
        <f>IF(t&lt;Tvie,1-EXP((T0-t)*PertePVj)+'2020'!Pspv,1-EXP((T0-t)*PertePVj)+Pspv)</f>
        <v>2.3206302454247041E-2</v>
      </c>
      <c r="M99" s="850"/>
      <c r="N99" s="850"/>
      <c r="O99" s="48">
        <f>IF(t&lt;Tnet,'2020'!Resal+('2020'!Salim-'2020'!Resal)*(1-EXP(('2020'!Tnet-t)/('2020'!Tau_j))),Resal+(Salim-Resal)*(1-EXP((Tnet-t)/(Tau_j))))*Salcycl</f>
        <v>0.10789537725286313</v>
      </c>
      <c r="P99" s="169">
        <f>(INDEX(Models!$BJ99:$BT99,,T99)*(1-R99)+INDEX(Models!$BJ99:$BT99,,T99+1)*R99-ERP_i)*Q99*Ramure*Pc/MaxiM</f>
        <v>4.9902366873734596E-5</v>
      </c>
      <c r="Q99" s="305">
        <f t="shared" si="27"/>
        <v>0.7</v>
      </c>
      <c r="R99" s="177">
        <f t="shared" si="28"/>
        <v>0.21225108078460586</v>
      </c>
      <c r="S99" s="817">
        <f t="shared" si="29"/>
        <v>-1</v>
      </c>
      <c r="T99" s="176">
        <f t="shared" si="30"/>
        <v>5</v>
      </c>
      <c r="U99" s="251">
        <f t="shared" si="31"/>
        <v>-0.78774891921539414</v>
      </c>
      <c r="V99" s="383">
        <f t="shared" si="32"/>
        <v>31.653863398236556</v>
      </c>
      <c r="W99" s="402"/>
      <c r="X99" s="157">
        <f t="shared" si="33"/>
        <v>44281</v>
      </c>
      <c r="Y99" s="385">
        <f t="shared" si="34"/>
        <v>26.145</v>
      </c>
      <c r="Z99" s="385">
        <f t="shared" si="35"/>
        <v>26.766143214980531</v>
      </c>
      <c r="AA99" s="386">
        <f t="shared" si="36"/>
        <v>30.003367915029038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0.10789537725286313</v>
      </c>
      <c r="AD99" s="231">
        <f>(INDEX(Models!$BJ99:$BT99,,AH99)*(1-AF99)+INDEX(Models!$BJ99:$BT99,,AH99+1)*AF99-ERP_i)*AE99*Ramure*Pc/MaxiM</f>
        <v>4.9902366873734596E-5</v>
      </c>
      <c r="AE99" s="305">
        <f t="shared" si="38"/>
        <v>0.7</v>
      </c>
      <c r="AF99" s="177">
        <f t="shared" si="39"/>
        <v>0.21225108078460586</v>
      </c>
      <c r="AG99" s="817">
        <f t="shared" si="47"/>
        <v>-1</v>
      </c>
      <c r="AH99" s="176">
        <f t="shared" si="40"/>
        <v>5</v>
      </c>
      <c r="AI99" s="225">
        <f t="shared" si="41"/>
        <v>-0.78774891921539414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44282</v>
      </c>
      <c r="B100" s="617">
        <v>26.286000000000001</v>
      </c>
      <c r="C100" s="390"/>
      <c r="D100" s="393">
        <f t="shared" si="24"/>
        <v>26.911082462466691</v>
      </c>
      <c r="E100" s="385">
        <f t="shared" si="45"/>
        <v>30.16766847090026</v>
      </c>
      <c r="F100" s="385">
        <f t="shared" si="25"/>
        <v>30.168542596467692</v>
      </c>
      <c r="G100" s="110">
        <f t="shared" si="46"/>
        <v>0.82470704674316431</v>
      </c>
      <c r="H100" s="414" t="b">
        <f>Wh_hp&gt;='2020'!Maxi_hp</f>
        <v>0</v>
      </c>
      <c r="I100" s="380">
        <f>IF(H100,Wh_hp,'2020'!Maxi_hp)</f>
        <v>37.339002876856433</v>
      </c>
      <c r="J100" s="85">
        <f>IF(H100,An,'2020'!An_max)</f>
        <v>2019</v>
      </c>
      <c r="K100" s="197">
        <f t="shared" si="26"/>
        <v>44282</v>
      </c>
      <c r="L100" s="147">
        <f>IF(t&lt;Tvie,1-EXP((T0-t)*PertePVj)+'2020'!Pspv,1-EXP((T0-t)*PertePVj)+Pspv)</f>
        <v>2.3227696743098325E-2</v>
      </c>
      <c r="M100" s="850"/>
      <c r="N100" s="850"/>
      <c r="O100" s="48">
        <f>IF(t&lt;Tnet,'2020'!Resal+('2020'!Salim-'2020'!Resal)*(1-EXP(('2020'!Tnet-t)/('2020'!Tau_j))),Resal+(Salim-Resal)*(1-EXP((Tnet-t)/(Tau_j))))*Salcycl</f>
        <v>0.10794954245717971</v>
      </c>
      <c r="P100" s="169">
        <f>(INDEX(Models!$BJ100:$BT100,,T100)*(1-R100)+INDEX(Models!$BJ100:$BT100,,T100+1)*R100-ERP_i)*Q100*Ramure*Pc/MaxiM</f>
        <v>3.8653963186169397E-5</v>
      </c>
      <c r="Q100" s="305">
        <f t="shared" si="27"/>
        <v>0.7</v>
      </c>
      <c r="R100" s="177">
        <f t="shared" si="28"/>
        <v>0.21275925999016432</v>
      </c>
      <c r="S100" s="817">
        <f t="shared" si="29"/>
        <v>-1</v>
      </c>
      <c r="T100" s="176">
        <f t="shared" si="30"/>
        <v>5</v>
      </c>
      <c r="U100" s="251">
        <f t="shared" si="31"/>
        <v>-0.78724074000983568</v>
      </c>
      <c r="V100" s="383">
        <f t="shared" si="32"/>
        <v>31.872827652286265</v>
      </c>
      <c r="W100" s="402"/>
      <c r="X100" s="157">
        <f t="shared" si="33"/>
        <v>44282</v>
      </c>
      <c r="Y100" s="385">
        <f t="shared" si="34"/>
        <v>26.286000000000001</v>
      </c>
      <c r="Z100" s="385">
        <f t="shared" si="35"/>
        <v>26.911082462466691</v>
      </c>
      <c r="AA100" s="386">
        <f t="shared" si="36"/>
        <v>30.16766847090026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0.10794954245717971</v>
      </c>
      <c r="AD100" s="231">
        <f>(INDEX(Models!$BJ100:$BT100,,AH100)*(1-AF100)+INDEX(Models!$BJ100:$BT100,,AH100+1)*AF100-ERP_i)*AE100*Ramure*Pc/MaxiM</f>
        <v>3.8653963186169397E-5</v>
      </c>
      <c r="AE100" s="305">
        <f t="shared" si="38"/>
        <v>0.7</v>
      </c>
      <c r="AF100" s="177">
        <f t="shared" si="39"/>
        <v>0.21275925999016432</v>
      </c>
      <c r="AG100" s="817">
        <f t="shared" si="47"/>
        <v>-1</v>
      </c>
      <c r="AH100" s="176">
        <f t="shared" si="40"/>
        <v>5</v>
      </c>
      <c r="AI100" s="225">
        <f t="shared" si="41"/>
        <v>-0.78724074000983568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44283</v>
      </c>
      <c r="B101" s="617">
        <v>31.446999999999999</v>
      </c>
      <c r="C101" s="390"/>
      <c r="D101" s="393">
        <f t="shared" si="24"/>
        <v>32.195516478339044</v>
      </c>
      <c r="E101" s="385">
        <f t="shared" si="45"/>
        <v>36.093809935418236</v>
      </c>
      <c r="F101" s="385">
        <f t="shared" si="25"/>
        <v>36.094822664919889</v>
      </c>
      <c r="G101" s="110">
        <f t="shared" si="46"/>
        <v>0.98003754612957417</v>
      </c>
      <c r="H101" s="414" t="b">
        <f>Wh_hp&gt;='2020'!Maxi_hp</f>
        <v>0</v>
      </c>
      <c r="I101" s="380">
        <f>IF(H101,Wh_hp,'2020'!Maxi_hp)</f>
        <v>36.534422327632868</v>
      </c>
      <c r="J101" s="85">
        <f>IF(H101,An,'2020'!An_max)</f>
        <v>2019</v>
      </c>
      <c r="K101" s="197">
        <f t="shared" si="26"/>
        <v>44283</v>
      </c>
      <c r="L101" s="147">
        <f>IF(t&lt;Tvie,1-EXP((T0-t)*PertePVj)+'2020'!Pspv,1-EXP((T0-t)*PertePVj)+Pspv)</f>
        <v>2.3249090563359665E-2</v>
      </c>
      <c r="M101" s="850"/>
      <c r="N101" s="850"/>
      <c r="O101" s="48">
        <f>IF(t&lt;Tnet,'2020'!Resal+('2020'!Salim-'2020'!Resal)*(1-EXP(('2020'!Tnet-t)/('2020'!Tau_j))),Resal+(Salim-Resal)*(1-EXP((Tnet-t)/(Tau_j))))*Salcycl</f>
        <v>0.10800448786244267</v>
      </c>
      <c r="P101" s="169">
        <f>(INDEX(Models!$BJ101:$BT101,,T101)*(1-R101)+INDEX(Models!$BJ101:$BT101,,T101+1)*R101-ERP_i)*Q101*Ramure*Pc/MaxiM</f>
        <v>2.8881063541473095E-5</v>
      </c>
      <c r="Q101" s="305">
        <f t="shared" si="27"/>
        <v>0.7</v>
      </c>
      <c r="R101" s="177">
        <f t="shared" si="28"/>
        <v>0.21328685302874539</v>
      </c>
      <c r="S101" s="817">
        <f t="shared" si="29"/>
        <v>-1</v>
      </c>
      <c r="T101" s="176">
        <f t="shared" si="30"/>
        <v>5</v>
      </c>
      <c r="U101" s="251">
        <f t="shared" si="31"/>
        <v>-0.78671314697125461</v>
      </c>
      <c r="V101" s="383">
        <f t="shared" si="32"/>
        <v>32.087519732284321</v>
      </c>
      <c r="W101" s="402"/>
      <c r="X101" s="157">
        <f t="shared" si="33"/>
        <v>44283</v>
      </c>
      <c r="Y101" s="385">
        <f t="shared" si="34"/>
        <v>31.447000000000003</v>
      </c>
      <c r="Z101" s="385">
        <f t="shared" si="35"/>
        <v>32.195516478339044</v>
      </c>
      <c r="AA101" s="386">
        <f t="shared" si="36"/>
        <v>36.093809935418236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0.10800448786244267</v>
      </c>
      <c r="AD101" s="231">
        <f>(INDEX(Models!$BJ101:$BT101,,AH101)*(1-AF101)+INDEX(Models!$BJ101:$BT101,,AH101+1)*AF101-ERP_i)*AE101*Ramure*Pc/MaxiM</f>
        <v>2.8881063541473095E-5</v>
      </c>
      <c r="AE101" s="305">
        <f t="shared" si="38"/>
        <v>0.7</v>
      </c>
      <c r="AF101" s="177">
        <f t="shared" si="39"/>
        <v>0.21328685302874539</v>
      </c>
      <c r="AG101" s="817">
        <f t="shared" si="47"/>
        <v>-1</v>
      </c>
      <c r="AH101" s="176">
        <f t="shared" si="40"/>
        <v>5</v>
      </c>
      <c r="AI101" s="225">
        <f t="shared" si="41"/>
        <v>-0.78671314697125461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44284</v>
      </c>
      <c r="B102" s="617">
        <v>31.965</v>
      </c>
      <c r="C102" s="390"/>
      <c r="D102" s="393">
        <f t="shared" si="24"/>
        <v>32.726562956882731</v>
      </c>
      <c r="E102" s="385">
        <f t="shared" si="45"/>
        <v>36.691450460001434</v>
      </c>
      <c r="F102" s="385">
        <f t="shared" si="25"/>
        <v>36.692193713560719</v>
      </c>
      <c r="G102" s="110">
        <f t="shared" si="46"/>
        <v>0.98970564090811097</v>
      </c>
      <c r="H102" s="414" t="b">
        <f>Wh_hp&gt;='2020'!Maxi_hp</f>
        <v>1</v>
      </c>
      <c r="I102" s="380">
        <f>IF(H102,Wh_hp,'2020'!Maxi_hp)</f>
        <v>36.692193713560719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2.3270483915041384E-2</v>
      </c>
      <c r="M102" s="850"/>
      <c r="N102" s="850"/>
      <c r="O102" s="48">
        <f>IF(t&lt;Tnet,'2020'!Resal+('2020'!Salim-'2020'!Resal)*(1-EXP(('2020'!Tnet-t)/('2020'!Tau_j))),Resal+(Salim-Resal)*(1-EXP((Tnet-t)/(Tau_j))))*Salcycl</f>
        <v>0.10806025527502543</v>
      </c>
      <c r="P102" s="169">
        <f>(INDEX(Models!$BJ102:$BT102,,T102)*(1-R102)+INDEX(Models!$BJ102:$BT102,,T102+1)*R102-ERP_i)*Q102*Ramure*Pc/MaxiM</f>
        <v>2.0558782575963493E-5</v>
      </c>
      <c r="Q102" s="305">
        <f t="shared" si="27"/>
        <v>0.7</v>
      </c>
      <c r="R102" s="177">
        <f t="shared" si="28"/>
        <v>0.21383452251229929</v>
      </c>
      <c r="S102" s="817">
        <f t="shared" si="29"/>
        <v>-1</v>
      </c>
      <c r="T102" s="176">
        <f t="shared" si="30"/>
        <v>5</v>
      </c>
      <c r="U102" s="251">
        <f t="shared" si="31"/>
        <v>-0.78616547748770071</v>
      </c>
      <c r="V102" s="383">
        <f t="shared" si="32"/>
        <v>32.297472111393958</v>
      </c>
      <c r="W102" s="402"/>
      <c r="X102" s="157">
        <f t="shared" si="33"/>
        <v>44284</v>
      </c>
      <c r="Y102" s="385">
        <f t="shared" si="34"/>
        <v>31.965000000000003</v>
      </c>
      <c r="Z102" s="385">
        <f t="shared" si="35"/>
        <v>32.726562956882731</v>
      </c>
      <c r="AA102" s="386">
        <f t="shared" si="36"/>
        <v>36.691450460001434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0.10806025527502543</v>
      </c>
      <c r="AD102" s="231">
        <f>(INDEX(Models!$BJ102:$BT102,,AH102)*(1-AF102)+INDEX(Models!$BJ102:$BT102,,AH102+1)*AF102-ERP_i)*AE102*Ramure*Pc/MaxiM</f>
        <v>2.0558782575963493E-5</v>
      </c>
      <c r="AE102" s="305">
        <f t="shared" si="38"/>
        <v>0.7</v>
      </c>
      <c r="AF102" s="177">
        <f t="shared" si="39"/>
        <v>0.21383452251229929</v>
      </c>
      <c r="AG102" s="817">
        <f t="shared" si="47"/>
        <v>-1</v>
      </c>
      <c r="AH102" s="176">
        <f t="shared" si="40"/>
        <v>5</v>
      </c>
      <c r="AI102" s="225">
        <f t="shared" si="41"/>
        <v>-0.78616547748770071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44285</v>
      </c>
      <c r="B103" s="617">
        <v>29.77</v>
      </c>
      <c r="C103" s="390"/>
      <c r="D103" s="393">
        <f t="shared" si="24"/>
        <v>30.479934888232464</v>
      </c>
      <c r="E103" s="385">
        <f t="shared" si="45"/>
        <v>34.174808798186099</v>
      </c>
      <c r="F103" s="385">
        <f t="shared" si="25"/>
        <v>34.175219706190312</v>
      </c>
      <c r="G103" s="110">
        <f t="shared" si="46"/>
        <v>0.91593600480761883</v>
      </c>
      <c r="H103" s="414" t="b">
        <f>Wh_hp&gt;='2020'!Maxi_hp</f>
        <v>0</v>
      </c>
      <c r="I103" s="380">
        <f>IF(H103,Wh_hp,'2020'!Maxi_hp)</f>
        <v>36.462755841463355</v>
      </c>
      <c r="J103" s="85">
        <f>IF(H103,An,'2020'!An_max)</f>
        <v>2019</v>
      </c>
      <c r="K103" s="197">
        <f t="shared" si="26"/>
        <v>44285</v>
      </c>
      <c r="L103" s="147">
        <f>IF(t&lt;Tvie,1-EXP((T0-t)*PertePVj)+'2020'!Pspv,1-EXP((T0-t)*PertePVj)+Pspv)</f>
        <v>2.3291876798153921E-2</v>
      </c>
      <c r="M103" s="850"/>
      <c r="N103" s="850"/>
      <c r="O103" s="48">
        <f>IF(t&lt;Tnet,'2020'!Resal+('2020'!Salim-'2020'!Resal)*(1-EXP(('2020'!Tnet-t)/('2020'!Tau_j))),Resal+(Salim-Resal)*(1-EXP((Tnet-t)/(Tau_j))))*Salcycl</f>
        <v>0.10811688608919877</v>
      </c>
      <c r="P103" s="169">
        <f>(INDEX(Models!$BJ103:$BT103,,T103)*(1-R103)+INDEX(Models!$BJ103:$BT103,,T103+1)*R103-ERP_i)*Q103*Ramure*Pc/MaxiM</f>
        <v>1.366452924248595E-5</v>
      </c>
      <c r="Q103" s="305">
        <f t="shared" si="27"/>
        <v>0.7</v>
      </c>
      <c r="R103" s="177">
        <f t="shared" si="28"/>
        <v>0.21440294724047171</v>
      </c>
      <c r="S103" s="817">
        <f t="shared" si="29"/>
        <v>-1</v>
      </c>
      <c r="T103" s="176">
        <f t="shared" si="30"/>
        <v>5</v>
      </c>
      <c r="U103" s="251">
        <f t="shared" si="31"/>
        <v>-0.78559705275952829</v>
      </c>
      <c r="V103" s="383">
        <f t="shared" si="32"/>
        <v>32.502217394745749</v>
      </c>
      <c r="W103" s="402"/>
      <c r="X103" s="157">
        <f t="shared" si="33"/>
        <v>44285</v>
      </c>
      <c r="Y103" s="385">
        <f t="shared" si="34"/>
        <v>29.77</v>
      </c>
      <c r="Z103" s="385">
        <f t="shared" si="35"/>
        <v>30.479934888232464</v>
      </c>
      <c r="AA103" s="386">
        <f t="shared" si="36"/>
        <v>34.174808798186099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0.10811688608919877</v>
      </c>
      <c r="AD103" s="231">
        <f>(INDEX(Models!$BJ103:$BT103,,AH103)*(1-AF103)+INDEX(Models!$BJ103:$BT103,,AH103+1)*AF103-ERP_i)*AE103*Ramure*Pc/MaxiM</f>
        <v>1.366452924248595E-5</v>
      </c>
      <c r="AE103" s="305">
        <f t="shared" si="38"/>
        <v>0.7</v>
      </c>
      <c r="AF103" s="177">
        <f t="shared" si="39"/>
        <v>0.21440294724047171</v>
      </c>
      <c r="AG103" s="817">
        <f t="shared" si="47"/>
        <v>-1</v>
      </c>
      <c r="AH103" s="176">
        <f t="shared" si="40"/>
        <v>5</v>
      </c>
      <c r="AI103" s="225">
        <f t="shared" si="41"/>
        <v>-0.78559705275952829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44286</v>
      </c>
      <c r="B104" s="617">
        <v>28.91</v>
      </c>
      <c r="C104" s="390"/>
      <c r="D104" s="393">
        <f t="shared" si="24"/>
        <v>29.600074505666807</v>
      </c>
      <c r="E104" s="385">
        <f t="shared" si="45"/>
        <v>33.190430067141044</v>
      </c>
      <c r="F104" s="385">
        <f t="shared" si="25"/>
        <v>33.190656549107899</v>
      </c>
      <c r="G104" s="110">
        <f t="shared" si="46"/>
        <v>0.88406183145966</v>
      </c>
      <c r="H104" s="414" t="b">
        <f>Wh_hp&gt;='2020'!Maxi_hp</f>
        <v>1</v>
      </c>
      <c r="I104" s="380">
        <f>IF(H104,Wh_hp,'2020'!Maxi_hp)</f>
        <v>33.190656549107899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2.3313269212707377E-2</v>
      </c>
      <c r="M104" s="850"/>
      <c r="N104" s="850"/>
      <c r="O104" s="48">
        <f>IF(t&lt;Tnet,'2020'!Resal+('2020'!Salim-'2020'!Resal)*(1-EXP(('2020'!Tnet-t)/('2020'!Tau_j))),Resal+(Salim-Resal)*(1-EXP((Tnet-t)/(Tau_j))))*Salcycl</f>
        <v>0.10817442118741126</v>
      </c>
      <c r="P104" s="169">
        <f>(INDEX(Models!$BJ104:$BT104,,T104)*(1-R104)+INDEX(Models!$BJ104:$BT104,,T104+1)*R104-ERP_i)*Q104*Ramure*Pc/MaxiM</f>
        <v>8.1781695153505331E-6</v>
      </c>
      <c r="Q104" s="305">
        <f t="shared" si="27"/>
        <v>0.7</v>
      </c>
      <c r="R104" s="177">
        <f t="shared" si="28"/>
        <v>0.21499282205229453</v>
      </c>
      <c r="S104" s="817">
        <f t="shared" si="29"/>
        <v>-1</v>
      </c>
      <c r="T104" s="176">
        <f t="shared" si="30"/>
        <v>5</v>
      </c>
      <c r="U104" s="251">
        <f t="shared" si="31"/>
        <v>-0.78500717794770547</v>
      </c>
      <c r="V104" s="383">
        <f t="shared" si="32"/>
        <v>32.701288317485748</v>
      </c>
      <c r="W104" s="402"/>
      <c r="X104" s="157">
        <f t="shared" si="33"/>
        <v>44286</v>
      </c>
      <c r="Y104" s="385">
        <f t="shared" si="34"/>
        <v>28.910000000000004</v>
      </c>
      <c r="Z104" s="385">
        <f t="shared" si="35"/>
        <v>29.600074505666811</v>
      </c>
      <c r="AA104" s="386">
        <f t="shared" si="36"/>
        <v>33.190430067141044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0.10817442118741126</v>
      </c>
      <c r="AD104" s="231">
        <f>(INDEX(Models!$BJ104:$BT104,,AH104)*(1-AF104)+INDEX(Models!$BJ104:$BT104,,AH104+1)*AF104-ERP_i)*AE104*Ramure*Pc/MaxiM</f>
        <v>8.1781695153505331E-6</v>
      </c>
      <c r="AE104" s="305">
        <f t="shared" si="38"/>
        <v>0.7</v>
      </c>
      <c r="AF104" s="177">
        <f t="shared" si="39"/>
        <v>0.21499282205229453</v>
      </c>
      <c r="AG104" s="817">
        <f t="shared" si="47"/>
        <v>-1</v>
      </c>
      <c r="AH104" s="176">
        <f t="shared" si="40"/>
        <v>5</v>
      </c>
      <c r="AI104" s="225">
        <f t="shared" si="41"/>
        <v>-0.78500717794770547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44287</v>
      </c>
      <c r="B105" s="617">
        <v>29.201000000000001</v>
      </c>
      <c r="C105" s="390"/>
      <c r="D105" s="393">
        <f t="shared" si="24"/>
        <v>29.898675460976175</v>
      </c>
      <c r="E105" s="385">
        <f t="shared" si="45"/>
        <v>33.527448466431608</v>
      </c>
      <c r="F105" s="385">
        <f t="shared" si="25"/>
        <v>33.527563379735113</v>
      </c>
      <c r="G105" s="110">
        <f t="shared" si="46"/>
        <v>0.88772382694648866</v>
      </c>
      <c r="H105" s="414" t="b">
        <f>Wh_hp&gt;='2020'!Maxi_hp</f>
        <v>1</v>
      </c>
      <c r="I105" s="380">
        <f>IF(H105,Wh_hp,'2020'!Maxi_hp)</f>
        <v>33.527563379735113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2.3334661158711967E-2</v>
      </c>
      <c r="M105" s="850"/>
      <c r="N105" s="850"/>
      <c r="O105" s="48">
        <f>IF(t&lt;Tnet,'2020'!Resal+('2020'!Salim-'2020'!Resal)*(1-EXP(('2020'!Tnet-t)/('2020'!Tau_j))),Resal+(Salim-Resal)*(1-EXP((Tnet-t)/(Tau_j))))*Salcycl</f>
        <v>0.10823290084506847</v>
      </c>
      <c r="P105" s="169">
        <f>(INDEX(Models!$BJ105:$BT105,,T105)*(1-R105)+INDEX(Models!$BJ105:$BT105,,T105+1)*R105-ERP_i)*Q105*Ramure*Pc/MaxiM</f>
        <v>4.0821845092583189E-6</v>
      </c>
      <c r="Q105" s="305">
        <f t="shared" si="27"/>
        <v>0.7</v>
      </c>
      <c r="R105" s="177">
        <f t="shared" si="28"/>
        <v>0.2156048576200591</v>
      </c>
      <c r="S105" s="817">
        <f t="shared" si="29"/>
        <v>-1</v>
      </c>
      <c r="T105" s="176">
        <f t="shared" si="30"/>
        <v>5</v>
      </c>
      <c r="U105" s="251">
        <f t="shared" si="31"/>
        <v>-0.7843951423799409</v>
      </c>
      <c r="V105" s="383">
        <f t="shared" si="32"/>
        <v>32.894217766833279</v>
      </c>
      <c r="W105" s="402"/>
      <c r="X105" s="157">
        <f t="shared" si="33"/>
        <v>44287</v>
      </c>
      <c r="Y105" s="385">
        <f t="shared" si="34"/>
        <v>29.201000000000001</v>
      </c>
      <c r="Z105" s="385">
        <f t="shared" si="35"/>
        <v>29.898675460976175</v>
      </c>
      <c r="AA105" s="386">
        <f t="shared" si="36"/>
        <v>33.527448466431608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0.10823290084506847</v>
      </c>
      <c r="AD105" s="231">
        <f>(INDEX(Models!$BJ105:$BT105,,AH105)*(1-AF105)+INDEX(Models!$BJ105:$BT105,,AH105+1)*AF105-ERP_i)*AE105*Ramure*Pc/MaxiM</f>
        <v>4.0821845092583189E-6</v>
      </c>
      <c r="AE105" s="305">
        <f t="shared" si="38"/>
        <v>0.7</v>
      </c>
      <c r="AF105" s="177">
        <f t="shared" si="39"/>
        <v>0.2156048576200591</v>
      </c>
      <c r="AG105" s="817">
        <f t="shared" si="47"/>
        <v>-1</v>
      </c>
      <c r="AH105" s="176">
        <f t="shared" si="40"/>
        <v>5</v>
      </c>
      <c r="AI105" s="225">
        <f t="shared" si="41"/>
        <v>-0.7843951423799409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44288</v>
      </c>
      <c r="B106" s="617">
        <v>25.269000000000002</v>
      </c>
      <c r="C106" s="390"/>
      <c r="D106" s="393">
        <f t="shared" si="24"/>
        <v>25.873298112589161</v>
      </c>
      <c r="E106" s="385">
        <f t="shared" si="45"/>
        <v>29.015449780391435</v>
      </c>
      <c r="F106" s="385">
        <f t="shared" si="25"/>
        <v>29.015475964814325</v>
      </c>
      <c r="G106" s="110">
        <f t="shared" si="46"/>
        <v>0.76386266139257242</v>
      </c>
      <c r="H106" s="414" t="b">
        <f>Wh_hp&gt;='2020'!Maxi_hp</f>
        <v>1</v>
      </c>
      <c r="I106" s="380">
        <f>IF(H106,Wh_hp,'2020'!Maxi_hp)</f>
        <v>29.015475964814325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2.3356052636178126E-2</v>
      </c>
      <c r="M106" s="850"/>
      <c r="N106" s="850"/>
      <c r="O106" s="48">
        <f>IF(t&lt;Tnet,'2020'!Resal+('2020'!Salim-'2020'!Resal)*(1-EXP(('2020'!Tnet-t)/('2020'!Tau_j))),Resal+(Salim-Resal)*(1-EXP((Tnet-t)/(Tau_j))))*Salcycl</f>
        <v>0.10829236463967315</v>
      </c>
      <c r="P106" s="169">
        <f>(INDEX(Models!$BJ106:$BT106,,T106)*(1-R106)+INDEX(Models!$BJ106:$BT106,,T106+1)*R106-ERP_i)*Q106*Ramure*Pc/MaxiM</f>
        <v>1.3618259432936587E-6</v>
      </c>
      <c r="Q106" s="305">
        <f t="shared" si="27"/>
        <v>0.7</v>
      </c>
      <c r="R106" s="177">
        <f t="shared" si="28"/>
        <v>0.21623978018063517</v>
      </c>
      <c r="S106" s="817">
        <f t="shared" si="29"/>
        <v>-1</v>
      </c>
      <c r="T106" s="176">
        <f t="shared" si="30"/>
        <v>5</v>
      </c>
      <c r="U106" s="251">
        <f t="shared" si="31"/>
        <v>-0.78376021981936483</v>
      </c>
      <c r="V106" s="383">
        <f t="shared" si="32"/>
        <v>33.080538778312572</v>
      </c>
      <c r="W106" s="402"/>
      <c r="X106" s="157">
        <f t="shared" si="33"/>
        <v>44288</v>
      </c>
      <c r="Y106" s="385">
        <f t="shared" si="34"/>
        <v>25.269000000000002</v>
      </c>
      <c r="Z106" s="385">
        <f t="shared" si="35"/>
        <v>25.873298112589161</v>
      </c>
      <c r="AA106" s="386">
        <f t="shared" si="36"/>
        <v>29.015449780391435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0.10829236463967315</v>
      </c>
      <c r="AD106" s="231">
        <f>(INDEX(Models!$BJ106:$BT106,,AH106)*(1-AF106)+INDEX(Models!$BJ106:$BT106,,AH106+1)*AF106-ERP_i)*AE106*Ramure*Pc/MaxiM</f>
        <v>1.3618259432936587E-6</v>
      </c>
      <c r="AE106" s="305">
        <f t="shared" si="38"/>
        <v>0.7</v>
      </c>
      <c r="AF106" s="177">
        <f t="shared" si="39"/>
        <v>0.21623978018063517</v>
      </c>
      <c r="AG106" s="817">
        <f t="shared" si="47"/>
        <v>-1</v>
      </c>
      <c r="AH106" s="176">
        <f t="shared" si="40"/>
        <v>5</v>
      </c>
      <c r="AI106" s="225">
        <f t="shared" si="41"/>
        <v>-0.78376021981936483</v>
      </c>
      <c r="AJ106" s="265" t="b">
        <f t="shared" si="42"/>
        <v>1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44289</v>
      </c>
      <c r="B107" s="617">
        <v>32.514000000000003</v>
      </c>
      <c r="C107" s="390"/>
      <c r="D107" s="393">
        <f t="shared" si="24"/>
        <v>33.292288600576931</v>
      </c>
      <c r="E107" s="385">
        <f t="shared" si="45"/>
        <v>37.337963398985494</v>
      </c>
      <c r="F107" s="385">
        <f t="shared" si="25"/>
        <v>37.337963589482051</v>
      </c>
      <c r="G107" s="110">
        <f t="shared" si="46"/>
        <v>0.97757242174059278</v>
      </c>
      <c r="H107" s="414" t="b">
        <f>Wh_hp&gt;='2020'!Maxi_hp</f>
        <v>1</v>
      </c>
      <c r="I107" s="380">
        <f>IF(H107,Wh_hp,'2020'!Maxi_hp)</f>
        <v>37.337963589482051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2.3377443645116069E-2</v>
      </c>
      <c r="M107" s="850"/>
      <c r="N107" s="850"/>
      <c r="O107" s="48">
        <f>IF(t&lt;Tnet,'2020'!Resal+('2020'!Salim-'2020'!Resal)*(1-EXP(('2020'!Tnet-t)/('2020'!Tau_j))),Resal+(Salim-Resal)*(1-EXP((Tnet-t)/(Tau_j))))*Salcycl</f>
        <v>0.10835285136410223</v>
      </c>
      <c r="P107" s="169">
        <f>(INDEX(Models!$BJ107:$BT107,,T107)*(1-R107)+INDEX(Models!$BJ107:$BT107,,T107+1)*R107-ERP_i)*Q107*Ramure*Pc/MaxiM</f>
        <v>5.2708277790904567E-9</v>
      </c>
      <c r="Q107" s="305">
        <f t="shared" si="27"/>
        <v>0.7</v>
      </c>
      <c r="R107" s="177">
        <f t="shared" si="28"/>
        <v>0.21689833119930768</v>
      </c>
      <c r="S107" s="817">
        <f t="shared" si="29"/>
        <v>-1</v>
      </c>
      <c r="T107" s="176">
        <f t="shared" si="30"/>
        <v>5</v>
      </c>
      <c r="U107" s="251">
        <f t="shared" si="31"/>
        <v>-0.78310166880069232</v>
      </c>
      <c r="V107" s="383">
        <f t="shared" si="32"/>
        <v>33.259939899508637</v>
      </c>
      <c r="W107" s="402"/>
      <c r="X107" s="157">
        <f t="shared" si="33"/>
        <v>44289</v>
      </c>
      <c r="Y107" s="385">
        <f t="shared" si="34"/>
        <v>32.514000000000003</v>
      </c>
      <c r="Z107" s="385">
        <f t="shared" si="35"/>
        <v>33.292288600576931</v>
      </c>
      <c r="AA107" s="386">
        <f t="shared" si="36"/>
        <v>37.337963398985494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0.10835285136410223</v>
      </c>
      <c r="AD107" s="231">
        <f>(INDEX(Models!$BJ107:$BT107,,AH107)*(1-AF107)+INDEX(Models!$BJ107:$BT107,,AH107+1)*AF107-ERP_i)*AE107*Ramure*Pc/MaxiM</f>
        <v>5.2708277790904567E-9</v>
      </c>
      <c r="AE107" s="305">
        <f t="shared" si="38"/>
        <v>0.7</v>
      </c>
      <c r="AF107" s="177">
        <f t="shared" si="39"/>
        <v>0.21689833119930768</v>
      </c>
      <c r="AG107" s="817">
        <f t="shared" si="47"/>
        <v>-1</v>
      </c>
      <c r="AH107" s="176">
        <f t="shared" si="40"/>
        <v>5</v>
      </c>
      <c r="AI107" s="225">
        <f t="shared" si="41"/>
        <v>-0.78310166880069232</v>
      </c>
      <c r="AJ107" s="265" t="b">
        <f t="shared" si="42"/>
        <v>1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44290</v>
      </c>
      <c r="B108" s="617">
        <v>32.640999999999998</v>
      </c>
      <c r="C108" s="390"/>
      <c r="D108" s="393">
        <f t="shared" si="24"/>
        <v>33.423060654221231</v>
      </c>
      <c r="E108" s="385">
        <f t="shared" si="45"/>
        <v>37.487214480162145</v>
      </c>
      <c r="F108" s="385">
        <f t="shared" si="25"/>
        <v>37.487214617017273</v>
      </c>
      <c r="G108" s="110">
        <f t="shared" si="46"/>
        <v>0.97631868293617718</v>
      </c>
      <c r="H108" s="414" t="b">
        <f>Wh_hp&gt;='2020'!Maxi_hp</f>
        <v>0</v>
      </c>
      <c r="I108" s="380">
        <f>IF(H108,Wh_hp,'2020'!Maxi_hp)</f>
        <v>39.674347557533999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2.3398834185535899E-2</v>
      </c>
      <c r="M108" s="850"/>
      <c r="N108" s="850"/>
      <c r="O108" s="48">
        <f>IF(t&lt;Tnet,'2020'!Resal+('2020'!Salim-'2020'!Resal)*(1-EXP(('2020'!Tnet-t)/('2020'!Tau_j))),Resal+(Salim-Resal)*(1-EXP((Tnet-t)/(Tau_j))))*Salcycl</f>
        <v>0.10841439894371516</v>
      </c>
      <c r="P108" s="169">
        <f>(INDEX(Models!$BJ108:$BT108,,T108)*(1-R108)+INDEX(Models!$BJ108:$BT108,,T108+1)*R108-ERP_i)*Q108*Ramure*Pc/MaxiM</f>
        <v>3.7785446510251587E-9</v>
      </c>
      <c r="Q108" s="305">
        <f t="shared" si="27"/>
        <v>0.7</v>
      </c>
      <c r="R108" s="177">
        <f t="shared" si="28"/>
        <v>0.21758126696103142</v>
      </c>
      <c r="S108" s="817">
        <f t="shared" si="29"/>
        <v>-1</v>
      </c>
      <c r="T108" s="176">
        <f t="shared" si="30"/>
        <v>5</v>
      </c>
      <c r="U108" s="251">
        <f t="shared" si="31"/>
        <v>-0.78241873303896858</v>
      </c>
      <c r="V108" s="383">
        <f t="shared" si="32"/>
        <v>33.432731101348061</v>
      </c>
      <c r="W108" s="402"/>
      <c r="X108" s="157">
        <f t="shared" si="33"/>
        <v>44290</v>
      </c>
      <c r="Y108" s="385">
        <f t="shared" si="34"/>
        <v>32.640999999999998</v>
      </c>
      <c r="Z108" s="385">
        <f t="shared" si="35"/>
        <v>33.423060654221231</v>
      </c>
      <c r="AA108" s="386">
        <f t="shared" si="36"/>
        <v>37.487214480162145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0.10841439894371516</v>
      </c>
      <c r="AD108" s="231">
        <f>(INDEX(Models!$BJ108:$BT108,,AH108)*(1-AF108)+INDEX(Models!$BJ108:$BT108,,AH108+1)*AF108-ERP_i)*AE108*Ramure*Pc/MaxiM</f>
        <v>3.7785446510251587E-9</v>
      </c>
      <c r="AE108" s="305">
        <f t="shared" si="38"/>
        <v>0.7</v>
      </c>
      <c r="AF108" s="177">
        <f t="shared" si="39"/>
        <v>0.21758126696103142</v>
      </c>
      <c r="AG108" s="817">
        <f t="shared" si="47"/>
        <v>-1</v>
      </c>
      <c r="AH108" s="176">
        <f t="shared" si="40"/>
        <v>5</v>
      </c>
      <c r="AI108" s="225">
        <f t="shared" si="41"/>
        <v>-0.78241873303896858</v>
      </c>
      <c r="AJ108" s="265" t="b">
        <f t="shared" si="42"/>
        <v>1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44291</v>
      </c>
      <c r="B109" s="617">
        <v>31.077000000000002</v>
      </c>
      <c r="C109" s="390"/>
      <c r="D109" s="393">
        <f t="shared" si="24"/>
        <v>31.822285052309528</v>
      </c>
      <c r="E109" s="385">
        <f t="shared" si="45"/>
        <v>35.694296878037377</v>
      </c>
      <c r="F109" s="385">
        <f t="shared" si="25"/>
        <v>35.694296958878311</v>
      </c>
      <c r="G109" s="110">
        <f t="shared" si="46"/>
        <v>0.92492660034660257</v>
      </c>
      <c r="H109" s="414" t="b">
        <f>Wh_hp&gt;='2020'!Maxi_hp</f>
        <v>0</v>
      </c>
      <c r="I109" s="380">
        <f>IF(H109,Wh_hp,'2020'!Maxi_hp)</f>
        <v>39.549856186864908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2.3420224257448052E-2</v>
      </c>
      <c r="M109" s="850"/>
      <c r="N109" s="850"/>
      <c r="O109" s="48">
        <f>IF(t&lt;Tnet,'2020'!Resal+('2020'!Salim-'2020'!Resal)*(1-EXP(('2020'!Tnet-t)/('2020'!Tau_j))),Resal+(Salim-Resal)*(1-EXP((Tnet-t)/(Tau_j))))*Salcycl</f>
        <v>0.10847704435691777</v>
      </c>
      <c r="P109" s="169">
        <f>(INDEX(Models!$BJ109:$BT109,,T109)*(1-R109)+INDEX(Models!$BJ109:$BT109,,T109+1)*R109-ERP_i)*Q109*Ramure*Pc/MaxiM</f>
        <v>2.5368892963888976E-9</v>
      </c>
      <c r="Q109" s="305">
        <f t="shared" si="27"/>
        <v>0.7</v>
      </c>
      <c r="R109" s="177">
        <f t="shared" si="28"/>
        <v>0.21828935808384142</v>
      </c>
      <c r="S109" s="817">
        <f t="shared" si="29"/>
        <v>-1</v>
      </c>
      <c r="T109" s="176">
        <f t="shared" si="30"/>
        <v>5</v>
      </c>
      <c r="U109" s="251">
        <f t="shared" si="31"/>
        <v>-0.78171064191615858</v>
      </c>
      <c r="V109" s="383">
        <f t="shared" si="32"/>
        <v>33.599422894637328</v>
      </c>
      <c r="W109" s="402"/>
      <c r="X109" s="157">
        <f t="shared" si="33"/>
        <v>44291</v>
      </c>
      <c r="Y109" s="385">
        <f t="shared" si="34"/>
        <v>31.077000000000002</v>
      </c>
      <c r="Z109" s="385">
        <f t="shared" si="35"/>
        <v>31.822285052309528</v>
      </c>
      <c r="AA109" s="386">
        <f t="shared" si="36"/>
        <v>35.694296878037377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0.10847704435691777</v>
      </c>
      <c r="AD109" s="231">
        <f>(INDEX(Models!$BJ109:$BT109,,AH109)*(1-AF109)+INDEX(Models!$BJ109:$BT109,,AH109+1)*AF109-ERP_i)*AE109*Ramure*Pc/MaxiM</f>
        <v>2.5368892963888976E-9</v>
      </c>
      <c r="AE109" s="305">
        <f t="shared" si="38"/>
        <v>0.7</v>
      </c>
      <c r="AF109" s="177">
        <f t="shared" si="39"/>
        <v>0.21828935808384142</v>
      </c>
      <c r="AG109" s="817">
        <f t="shared" si="47"/>
        <v>-1</v>
      </c>
      <c r="AH109" s="176">
        <f t="shared" si="40"/>
        <v>5</v>
      </c>
      <c r="AI109" s="225">
        <f t="shared" si="41"/>
        <v>-0.78171064191615858</v>
      </c>
      <c r="AJ109" s="265" t="b">
        <f t="shared" si="42"/>
        <v>1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44292</v>
      </c>
      <c r="B110" s="617">
        <v>20.411999999999999</v>
      </c>
      <c r="C110" s="390"/>
      <c r="D110" s="393">
        <f t="shared" si="24"/>
        <v>20.901976051528941</v>
      </c>
      <c r="E110" s="385">
        <f t="shared" si="45"/>
        <v>23.446924552361988</v>
      </c>
      <c r="F110" s="385">
        <f t="shared" si="25"/>
        <v>23.446924568112998</v>
      </c>
      <c r="G110" s="110">
        <f t="shared" si="46"/>
        <v>0.60461224075774989</v>
      </c>
      <c r="H110" s="414" t="b">
        <f>Wh_hp&gt;='2020'!Maxi_hp</f>
        <v>0</v>
      </c>
      <c r="I110" s="380">
        <f>IF(H110,Wh_hp,'2020'!Maxi_hp)</f>
        <v>39.474372462150207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2.3441613860862742E-2</v>
      </c>
      <c r="M110" s="850"/>
      <c r="N110" s="850"/>
      <c r="O110" s="48">
        <f>IF(t&lt;Tnet,'2020'!Resal+('2020'!Salim-'2020'!Resal)*(1-EXP(('2020'!Tnet-t)/('2020'!Tau_j))),Resal+(Salim-Resal)*(1-EXP((Tnet-t)/(Tau_j))))*Salcycl</f>
        <v>0.10854082355874146</v>
      </c>
      <c r="P110" s="169">
        <f>(INDEX(Models!$BJ110:$BT110,,T110)*(1-R110)+INDEX(Models!$BJ110:$BT110,,T110+1)*R110-ERP_i)*Q110*Ramure*Pc/MaxiM</f>
        <v>1.5437366980466381E-9</v>
      </c>
      <c r="Q110" s="305">
        <f t="shared" si="27"/>
        <v>0.7</v>
      </c>
      <c r="R110" s="177">
        <f t="shared" si="28"/>
        <v>0.21902338894901274</v>
      </c>
      <c r="S110" s="817">
        <f t="shared" si="29"/>
        <v>-1</v>
      </c>
      <c r="T110" s="176">
        <f t="shared" si="30"/>
        <v>5</v>
      </c>
      <c r="U110" s="251">
        <f t="shared" si="31"/>
        <v>-0.78097661105098726</v>
      </c>
      <c r="V110" s="383">
        <f t="shared" si="32"/>
        <v>33.760480860624789</v>
      </c>
      <c r="W110" s="402"/>
      <c r="X110" s="157">
        <f t="shared" si="33"/>
        <v>44292</v>
      </c>
      <c r="Y110" s="385">
        <f t="shared" si="34"/>
        <v>20.411999999999999</v>
      </c>
      <c r="Z110" s="385">
        <f t="shared" si="35"/>
        <v>20.901976051528941</v>
      </c>
      <c r="AA110" s="386">
        <f t="shared" si="36"/>
        <v>23.446924552361988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0.10854082355874146</v>
      </c>
      <c r="AD110" s="231">
        <f>(INDEX(Models!$BJ110:$BT110,,AH110)*(1-AF110)+INDEX(Models!$BJ110:$BT110,,AH110+1)*AF110-ERP_i)*AE110*Ramure*Pc/MaxiM</f>
        <v>1.5437366980466381E-9</v>
      </c>
      <c r="AE110" s="305">
        <f t="shared" si="38"/>
        <v>0.7</v>
      </c>
      <c r="AF110" s="177">
        <f t="shared" si="39"/>
        <v>0.21902338894901274</v>
      </c>
      <c r="AG110" s="817">
        <f t="shared" si="47"/>
        <v>-1</v>
      </c>
      <c r="AH110" s="176">
        <f t="shared" si="40"/>
        <v>5</v>
      </c>
      <c r="AI110" s="225">
        <f t="shared" si="41"/>
        <v>-0.78097661105098726</v>
      </c>
      <c r="AJ110" s="265" t="b">
        <f t="shared" si="42"/>
        <v>1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44293</v>
      </c>
      <c r="B111" s="617">
        <v>34.557000000000002</v>
      </c>
      <c r="C111" s="390"/>
      <c r="D111" s="393">
        <f t="shared" si="24"/>
        <v>35.38729214152962</v>
      </c>
      <c r="E111" s="385">
        <f t="shared" si="45"/>
        <v>39.698812272302611</v>
      </c>
      <c r="F111" s="385">
        <f t="shared" si="25"/>
        <v>39.698812303963905</v>
      </c>
      <c r="G111" s="110">
        <f t="shared" si="46"/>
        <v>1.0188885052144436</v>
      </c>
      <c r="H111" s="414" t="b">
        <f>Wh_hp&gt;='2020'!Maxi_hp</f>
        <v>1</v>
      </c>
      <c r="I111" s="380">
        <f>IF(H111,Wh_hp,'2020'!Maxi_hp)</f>
        <v>39.698812303963905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2.3463002995790294E-2</v>
      </c>
      <c r="M111" s="850"/>
      <c r="N111" s="850"/>
      <c r="O111" s="48">
        <f>IF(t&lt;Tnet,'2020'!Resal+('2020'!Salim-'2020'!Resal)*(1-EXP(('2020'!Tnet-t)/('2020'!Tau_j))),Resal+(Salim-Resal)*(1-EXP((Tnet-t)/(Tau_j))))*Salcycl</f>
        <v>0.10860577140694674</v>
      </c>
      <c r="P111" s="169">
        <f>(INDEX(Models!$BJ111:$BT111,,T111)*(1-R111)+INDEX(Models!$BJ111:$BT111,,T111+1)*R111-ERP_i)*Q111*Ramure*Pc/MaxiM</f>
        <v>7.9753742731413136E-10</v>
      </c>
      <c r="Q111" s="305">
        <f t="shared" si="27"/>
        <v>0.7</v>
      </c>
      <c r="R111" s="177">
        <f t="shared" si="28"/>
        <v>0.21978415704244225</v>
      </c>
      <c r="S111" s="817">
        <f t="shared" si="29"/>
        <v>-1</v>
      </c>
      <c r="T111" s="176">
        <f t="shared" si="30"/>
        <v>5</v>
      </c>
      <c r="U111" s="251">
        <f t="shared" si="31"/>
        <v>-0.78021584295755775</v>
      </c>
      <c r="V111" s="383">
        <f t="shared" si="32"/>
        <v>33.916370459716646</v>
      </c>
      <c r="W111" s="402"/>
      <c r="X111" s="157">
        <f t="shared" si="33"/>
        <v>44293</v>
      </c>
      <c r="Y111" s="385">
        <f t="shared" si="34"/>
        <v>34.557000000000002</v>
      </c>
      <c r="Z111" s="385">
        <f t="shared" si="35"/>
        <v>35.38729214152962</v>
      </c>
      <c r="AA111" s="386">
        <f t="shared" si="36"/>
        <v>39.698812272302611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0.10860577140694674</v>
      </c>
      <c r="AD111" s="231">
        <f>(INDEX(Models!$BJ111:$BT111,,AH111)*(1-AF111)+INDEX(Models!$BJ111:$BT111,,AH111+1)*AF111-ERP_i)*AE111*Ramure*Pc/MaxiM</f>
        <v>7.9753742731413136E-10</v>
      </c>
      <c r="AE111" s="305">
        <f t="shared" si="38"/>
        <v>0.7</v>
      </c>
      <c r="AF111" s="177">
        <f t="shared" si="39"/>
        <v>0.21978415704244225</v>
      </c>
      <c r="AG111" s="817">
        <f t="shared" si="47"/>
        <v>-1</v>
      </c>
      <c r="AH111" s="176">
        <f t="shared" si="40"/>
        <v>5</v>
      </c>
      <c r="AI111" s="225">
        <f t="shared" si="41"/>
        <v>-0.78021584295755775</v>
      </c>
      <c r="AJ111" s="265" t="b">
        <f t="shared" si="42"/>
        <v>1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44294</v>
      </c>
      <c r="B112" s="617">
        <v>32.055999999999997</v>
      </c>
      <c r="C112" s="390"/>
      <c r="D112" s="393">
        <f t="shared" si="24"/>
        <v>32.826920252269439</v>
      </c>
      <c r="E112" s="385">
        <f t="shared" si="45"/>
        <v>36.82922264810982</v>
      </c>
      <c r="F112" s="385">
        <f t="shared" si="25"/>
        <v>36.829222658134903</v>
      </c>
      <c r="G112" s="110">
        <f t="shared" si="46"/>
        <v>0.94095388056598328</v>
      </c>
      <c r="H112" s="414" t="b">
        <f>Wh_hp&gt;='2020'!Maxi_hp</f>
        <v>1</v>
      </c>
      <c r="I112" s="380">
        <f>IF(H112,Wh_hp,'2020'!Maxi_hp)</f>
        <v>36.829222658134903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2.3484391662240811E-2</v>
      </c>
      <c r="M112" s="850"/>
      <c r="N112" s="850"/>
      <c r="O112" s="48">
        <f>IF(t&lt;Tnet,'2020'!Resal+('2020'!Salim-'2020'!Resal)*(1-EXP(('2020'!Tnet-t)/('2020'!Tau_j))),Resal+(Salim-Resal)*(1-EXP((Tnet-t)/(Tau_j))))*Salcycl</f>
        <v>0.10867192159011771</v>
      </c>
      <c r="P112" s="169">
        <f>(INDEX(Models!$BJ112:$BT112,,T112)*(1-R112)+INDEX(Models!$BJ112:$BT112,,T112+1)*R112-ERP_i)*Q112*Ramure*Pc/MaxiM</f>
        <v>2.9728074856598461E-10</v>
      </c>
      <c r="Q112" s="305">
        <f t="shared" si="27"/>
        <v>0.7</v>
      </c>
      <c r="R112" s="177">
        <f t="shared" si="28"/>
        <v>0.22057247220162834</v>
      </c>
      <c r="S112" s="817">
        <f t="shared" si="29"/>
        <v>-1</v>
      </c>
      <c r="T112" s="176">
        <f t="shared" si="30"/>
        <v>5</v>
      </c>
      <c r="U112" s="251">
        <f t="shared" si="31"/>
        <v>-0.77942752779837166</v>
      </c>
      <c r="V112" s="383">
        <f t="shared" si="32"/>
        <v>34.067557041068255</v>
      </c>
      <c r="W112" s="402"/>
      <c r="X112" s="157">
        <f t="shared" si="33"/>
        <v>44294</v>
      </c>
      <c r="Y112" s="385">
        <f t="shared" si="34"/>
        <v>32.055999999999997</v>
      </c>
      <c r="Z112" s="385">
        <f t="shared" si="35"/>
        <v>32.826920252269439</v>
      </c>
      <c r="AA112" s="386">
        <f t="shared" si="36"/>
        <v>36.82922264810982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0.10867192159011771</v>
      </c>
      <c r="AD112" s="231">
        <f>(INDEX(Models!$BJ112:$BT112,,AH112)*(1-AF112)+INDEX(Models!$BJ112:$BT112,,AH112+1)*AF112-ERP_i)*AE112*Ramure*Pc/MaxiM</f>
        <v>2.9728074856598461E-10</v>
      </c>
      <c r="AE112" s="305">
        <f t="shared" si="38"/>
        <v>0.7</v>
      </c>
      <c r="AF112" s="177">
        <f t="shared" si="39"/>
        <v>0.22057247220162834</v>
      </c>
      <c r="AG112" s="817">
        <f t="shared" si="47"/>
        <v>-1</v>
      </c>
      <c r="AH112" s="176">
        <f t="shared" si="40"/>
        <v>5</v>
      </c>
      <c r="AI112" s="225">
        <f t="shared" si="41"/>
        <v>-0.77942752779837166</v>
      </c>
      <c r="AJ112" s="265" t="b">
        <f t="shared" si="42"/>
        <v>1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44295</v>
      </c>
      <c r="B113" s="617">
        <v>18.683</v>
      </c>
      <c r="C113" s="390"/>
      <c r="D113" s="393">
        <f t="shared" si="24"/>
        <v>19.132729733234587</v>
      </c>
      <c r="E113" s="385">
        <f t="shared" si="45"/>
        <v>21.467040871428484</v>
      </c>
      <c r="F113" s="385">
        <f t="shared" si="25"/>
        <v>21.467040871748882</v>
      </c>
      <c r="G113" s="110">
        <f t="shared" si="46"/>
        <v>0.54605494203469407</v>
      </c>
      <c r="H113" s="414" t="b">
        <f>Wh_hp&gt;='2020'!Maxi_hp</f>
        <v>0</v>
      </c>
      <c r="I113" s="380">
        <f>IF(H113,Wh_hp,'2020'!Maxi_hp)</f>
        <v>33.294727279888392</v>
      </c>
      <c r="J113" s="85">
        <f>IF(H113,An,'2020'!An_max)</f>
        <v>2020</v>
      </c>
      <c r="K113" s="197">
        <f t="shared" si="26"/>
        <v>44295</v>
      </c>
      <c r="L113" s="147">
        <f>IF(t&lt;Tvie,1-EXP((T0-t)*PertePVj)+'2020'!Pspv,1-EXP((T0-t)*PertePVj)+Pspv)</f>
        <v>2.3505779860224618E-2</v>
      </c>
      <c r="M113" s="850"/>
      <c r="N113" s="850"/>
      <c r="O113" s="48">
        <f>IF(t&lt;Tnet,'2020'!Resal+('2020'!Salim-'2020'!Resal)*(1-EXP(('2020'!Tnet-t)/('2020'!Tau_j))),Resal+(Salim-Resal)*(1-EXP((Tnet-t)/(Tau_j))))*Salcycl</f>
        <v>0.10873930655718565</v>
      </c>
      <c r="P113" s="169">
        <f>(INDEX(Models!$BJ113:$BT113,,T113)*(1-R113)+INDEX(Models!$BJ113:$BT113,,T113+1)*R113-ERP_i)*Q113*Ramure*Pc/MaxiM</f>
        <v>4.2460573574282686E-11</v>
      </c>
      <c r="Q113" s="305">
        <f t="shared" si="27"/>
        <v>0.7</v>
      </c>
      <c r="R113" s="177">
        <f t="shared" si="28"/>
        <v>0.22138915576255713</v>
      </c>
      <c r="S113" s="817">
        <f t="shared" si="29"/>
        <v>-1</v>
      </c>
      <c r="T113" s="176">
        <f t="shared" si="30"/>
        <v>5</v>
      </c>
      <c r="U113" s="251">
        <f t="shared" si="31"/>
        <v>-0.77861084423744287</v>
      </c>
      <c r="V113" s="383">
        <f t="shared" si="32"/>
        <v>34.214505833185044</v>
      </c>
      <c r="W113" s="402"/>
      <c r="X113" s="157">
        <f t="shared" si="33"/>
        <v>44295</v>
      </c>
      <c r="Y113" s="385">
        <f t="shared" si="34"/>
        <v>18.683</v>
      </c>
      <c r="Z113" s="385">
        <f t="shared" si="35"/>
        <v>19.132729733234587</v>
      </c>
      <c r="AA113" s="386">
        <f t="shared" si="36"/>
        <v>21.467040871428484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0.10873930655718565</v>
      </c>
      <c r="AD113" s="231">
        <f>(INDEX(Models!$BJ113:$BT113,,AH113)*(1-AF113)+INDEX(Models!$BJ113:$BT113,,AH113+1)*AF113-ERP_i)*AE113*Ramure*Pc/MaxiM</f>
        <v>4.2460573574282686E-11</v>
      </c>
      <c r="AE113" s="305">
        <f t="shared" si="38"/>
        <v>0.7</v>
      </c>
      <c r="AF113" s="177">
        <f t="shared" si="39"/>
        <v>0.22138915576255713</v>
      </c>
      <c r="AG113" s="817">
        <f t="shared" si="47"/>
        <v>-1</v>
      </c>
      <c r="AH113" s="176">
        <f t="shared" si="40"/>
        <v>5</v>
      </c>
      <c r="AI113" s="225">
        <f t="shared" si="41"/>
        <v>-0.77861084423744287</v>
      </c>
      <c r="AJ113" s="265" t="b">
        <f t="shared" si="42"/>
        <v>1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44296</v>
      </c>
      <c r="B114" s="617">
        <v>19.809999999999999</v>
      </c>
      <c r="C114" s="390"/>
      <c r="D114" s="393">
        <f t="shared" si="24"/>
        <v>20.287302772267168</v>
      </c>
      <c r="E114" s="385">
        <f t="shared" si="45"/>
        <v>22.764232402893022</v>
      </c>
      <c r="F114" s="385">
        <f t="shared" si="25"/>
        <v>22.764232403190235</v>
      </c>
      <c r="G114" s="110">
        <f t="shared" si="46"/>
        <v>0.57658138951355031</v>
      </c>
      <c r="H114" s="414" t="b">
        <f>Wh_hp&gt;='2020'!Maxi_hp</f>
        <v>0</v>
      </c>
      <c r="I114" s="380">
        <f>IF(H114,Wh_hp,'2020'!Maxi_hp)</f>
        <v>38.530904343836326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2.352716758975204E-2</v>
      </c>
      <c r="M114" s="850"/>
      <c r="N114" s="850"/>
      <c r="O114" s="48">
        <f>IF(t&lt;Tnet,'2020'!Resal+('2020'!Salim-'2020'!Resal)*(1-EXP(('2020'!Tnet-t)/('2020'!Tau_j))),Resal+(Salim-Resal)*(1-EXP((Tnet-t)/(Tau_j))))*Salcycl</f>
        <v>0.10880795744780167</v>
      </c>
      <c r="P114" s="169">
        <f>(INDEX(Models!$BJ114:$BT114,,T114)*(1-R114)+INDEX(Models!$BJ114:$BT114,,T114+1)*R114-ERP_i)*Q114*Ramure*Pc/MaxiM</f>
        <v>3.3043800660771751E-11</v>
      </c>
      <c r="Q114" s="305">
        <f t="shared" si="27"/>
        <v>0.7</v>
      </c>
      <c r="R114" s="177">
        <f t="shared" si="28"/>
        <v>0.2222350396007724</v>
      </c>
      <c r="S114" s="817">
        <f t="shared" si="29"/>
        <v>-1</v>
      </c>
      <c r="T114" s="176">
        <f t="shared" si="30"/>
        <v>5</v>
      </c>
      <c r="U114" s="251">
        <f t="shared" si="31"/>
        <v>-0.7777649603992276</v>
      </c>
      <c r="V114" s="383">
        <f t="shared" si="32"/>
        <v>34.357681950708347</v>
      </c>
      <c r="W114" s="402"/>
      <c r="X114" s="157">
        <f t="shared" si="33"/>
        <v>44296</v>
      </c>
      <c r="Y114" s="385">
        <f t="shared" si="34"/>
        <v>19.809999999999999</v>
      </c>
      <c r="Z114" s="385">
        <f t="shared" si="35"/>
        <v>20.287302772267168</v>
      </c>
      <c r="AA114" s="386">
        <f t="shared" si="36"/>
        <v>22.764232402893022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0.10880795744780167</v>
      </c>
      <c r="AD114" s="231">
        <f>(INDEX(Models!$BJ114:$BT114,,AH114)*(1-AF114)+INDEX(Models!$BJ114:$BT114,,AH114+1)*AF114-ERP_i)*AE114*Ramure*Pc/MaxiM</f>
        <v>3.3043800660771751E-11</v>
      </c>
      <c r="AE114" s="305">
        <f t="shared" si="38"/>
        <v>0.7</v>
      </c>
      <c r="AF114" s="177">
        <f t="shared" si="39"/>
        <v>0.2222350396007724</v>
      </c>
      <c r="AG114" s="817">
        <f t="shared" si="47"/>
        <v>-1</v>
      </c>
      <c r="AH114" s="176">
        <f t="shared" si="40"/>
        <v>5</v>
      </c>
      <c r="AI114" s="225">
        <f t="shared" si="41"/>
        <v>-0.7777649603992276</v>
      </c>
      <c r="AJ114" s="265" t="b">
        <f t="shared" si="42"/>
        <v>1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44297</v>
      </c>
      <c r="B115" s="617">
        <v>4.5410000000000004</v>
      </c>
      <c r="C115" s="390"/>
      <c r="D115" s="393">
        <f t="shared" si="24"/>
        <v>4.6505128570999235</v>
      </c>
      <c r="E115" s="385">
        <f t="shared" si="45"/>
        <v>5.2187156822781962</v>
      </c>
      <c r="F115" s="385">
        <f t="shared" si="25"/>
        <v>5.2187156822781962</v>
      </c>
      <c r="G115" s="110">
        <f t="shared" si="46"/>
        <v>0.13163253471369482</v>
      </c>
      <c r="H115" s="414" t="b">
        <f>Wh_hp&gt;='2020'!Maxi_hp</f>
        <v>0</v>
      </c>
      <c r="I115" s="380">
        <f>IF(H115,Wh_hp,'2020'!Maxi_hp)</f>
        <v>39.310121110453636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2.3548554850833292E-2</v>
      </c>
      <c r="M115" s="850"/>
      <c r="N115" s="850"/>
      <c r="O115" s="48">
        <f>IF(t&lt;Tnet,'2020'!Resal+('2020'!Salim-'2020'!Resal)*(1-EXP(('2020'!Tnet-t)/('2020'!Tau_j))),Resal+(Salim-Resal)*(1-EXP((Tnet-t)/(Tau_j))))*Salcycl</f>
        <v>0.10887790402297357</v>
      </c>
      <c r="P115" s="169">
        <f>(INDEX(Models!$BJ115:$BT115,,T115)*(1-R115)+INDEX(Models!$BJ115:$BT115,,T115+1)*R115-ERP_i)*Q115*Ramure*Pc/MaxiM</f>
        <v>2.4804098230924262E-11</v>
      </c>
      <c r="Q115" s="305">
        <f t="shared" si="27"/>
        <v>0.7</v>
      </c>
      <c r="R115" s="177">
        <f t="shared" si="28"/>
        <v>0.22311096506091466</v>
      </c>
      <c r="S115" s="817">
        <f t="shared" si="29"/>
        <v>-1</v>
      </c>
      <c r="T115" s="176">
        <f t="shared" si="30"/>
        <v>5</v>
      </c>
      <c r="U115" s="251">
        <f t="shared" si="31"/>
        <v>-0.77688903493908534</v>
      </c>
      <c r="V115" s="383">
        <f t="shared" si="32"/>
        <v>34.497550394848751</v>
      </c>
      <c r="W115" s="402"/>
      <c r="X115" s="157">
        <f t="shared" si="33"/>
        <v>44297</v>
      </c>
      <c r="Y115" s="385">
        <f t="shared" si="34"/>
        <v>4.5410000000000004</v>
      </c>
      <c r="Z115" s="385">
        <f t="shared" si="35"/>
        <v>4.6505128570999235</v>
      </c>
      <c r="AA115" s="386">
        <f t="shared" si="36"/>
        <v>5.2187156822781962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0.10887790402297357</v>
      </c>
      <c r="AD115" s="231">
        <f>(INDEX(Models!$BJ115:$BT115,,AH115)*(1-AF115)+INDEX(Models!$BJ115:$BT115,,AH115+1)*AF115-ERP_i)*AE115*Ramure*Pc/MaxiM</f>
        <v>2.4804098230924262E-11</v>
      </c>
      <c r="AE115" s="305">
        <f t="shared" si="38"/>
        <v>0.7</v>
      </c>
      <c r="AF115" s="177">
        <f t="shared" si="39"/>
        <v>0.22311096506091466</v>
      </c>
      <c r="AG115" s="817">
        <f t="shared" si="47"/>
        <v>-1</v>
      </c>
      <c r="AH115" s="176">
        <f t="shared" si="40"/>
        <v>5</v>
      </c>
      <c r="AI115" s="225">
        <f t="shared" si="41"/>
        <v>-0.77688903493908534</v>
      </c>
      <c r="AJ115" s="265" t="b">
        <f t="shared" si="42"/>
        <v>1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44298</v>
      </c>
      <c r="B116" s="617">
        <v>26.387</v>
      </c>
      <c r="C116" s="390"/>
      <c r="D116" s="393">
        <f t="shared" si="24"/>
        <v>27.023952995069905</v>
      </c>
      <c r="E116" s="385">
        <f t="shared" si="45"/>
        <v>30.328183561020591</v>
      </c>
      <c r="F116" s="385">
        <f t="shared" si="25"/>
        <v>30.328183561375532</v>
      </c>
      <c r="G116" s="110">
        <f t="shared" si="46"/>
        <v>0.76186871665856848</v>
      </c>
      <c r="H116" s="414" t="b">
        <f>Wh_hp&gt;='2020'!Maxi_hp</f>
        <v>0</v>
      </c>
      <c r="I116" s="380">
        <f>IF(H116,Wh_hp,'2020'!Maxi_hp)</f>
        <v>40.636382536630947</v>
      </c>
      <c r="J116" s="85">
        <f>IF(H116,An,'2020'!An_max)</f>
        <v>2019</v>
      </c>
      <c r="K116" s="197">
        <f t="shared" si="26"/>
        <v>44298</v>
      </c>
      <c r="L116" s="147">
        <f>IF(t&lt;Tvie,1-EXP((T0-t)*PertePVj)+'2020'!Pspv,1-EXP((T0-t)*PertePVj)+Pspv)</f>
        <v>2.3569941643478587E-2</v>
      </c>
      <c r="M116" s="850"/>
      <c r="N116" s="850"/>
      <c r="O116" s="48">
        <f>IF(t&lt;Tnet,'2020'!Resal+('2020'!Salim-'2020'!Resal)*(1-EXP(('2020'!Tnet-t)/('2020'!Tau_j))),Resal+(Salim-Resal)*(1-EXP((Tnet-t)/(Tau_j))))*Salcycl</f>
        <v>0.10894917459539058</v>
      </c>
      <c r="P116" s="169">
        <f>(INDEX(Models!$BJ116:$BT116,,T116)*(1-R116)+INDEX(Models!$BJ116:$BT116,,T116+1)*R116-ERP_i)*Q116*Ramure*Pc/MaxiM</f>
        <v>1.773724071611781E-11</v>
      </c>
      <c r="Q116" s="305">
        <f t="shared" si="27"/>
        <v>0.7</v>
      </c>
      <c r="R116" s="177">
        <f t="shared" si="28"/>
        <v>0.22401778176906506</v>
      </c>
      <c r="S116" s="817">
        <f t="shared" si="29"/>
        <v>-1</v>
      </c>
      <c r="T116" s="176">
        <f t="shared" si="30"/>
        <v>5</v>
      </c>
      <c r="U116" s="251">
        <f t="shared" si="31"/>
        <v>-0.77598221823093494</v>
      </c>
      <c r="V116" s="383">
        <f t="shared" si="32"/>
        <v>34.634576040305006</v>
      </c>
      <c r="W116" s="402"/>
      <c r="X116" s="157">
        <f t="shared" si="33"/>
        <v>44298</v>
      </c>
      <c r="Y116" s="385">
        <f t="shared" si="34"/>
        <v>26.387</v>
      </c>
      <c r="Z116" s="385">
        <f t="shared" si="35"/>
        <v>27.023952995069905</v>
      </c>
      <c r="AA116" s="386">
        <f t="shared" si="36"/>
        <v>30.328183561020591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0.10894917459539058</v>
      </c>
      <c r="AD116" s="231">
        <f>(INDEX(Models!$BJ116:$BT116,,AH116)*(1-AF116)+INDEX(Models!$BJ116:$BT116,,AH116+1)*AF116-ERP_i)*AE116*Ramure*Pc/MaxiM</f>
        <v>1.773724071611781E-11</v>
      </c>
      <c r="AE116" s="305">
        <f t="shared" si="38"/>
        <v>0.7</v>
      </c>
      <c r="AF116" s="177">
        <f t="shared" si="39"/>
        <v>0.22401778176906506</v>
      </c>
      <c r="AG116" s="817">
        <f t="shared" si="47"/>
        <v>-1</v>
      </c>
      <c r="AH116" s="176">
        <f t="shared" si="40"/>
        <v>5</v>
      </c>
      <c r="AI116" s="225">
        <f t="shared" si="41"/>
        <v>-0.77598221823093494</v>
      </c>
      <c r="AJ116" s="265" t="b">
        <f t="shared" si="42"/>
        <v>1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44299</v>
      </c>
      <c r="B117" s="617">
        <v>0</v>
      </c>
      <c r="C117" s="390"/>
      <c r="D117" s="393">
        <f t="shared" si="24"/>
        <v>0</v>
      </c>
      <c r="E117" s="385">
        <f t="shared" si="45"/>
        <v>0</v>
      </c>
      <c r="F117" s="385">
        <f t="shared" si="25"/>
        <v>0</v>
      </c>
      <c r="G117" s="110">
        <f t="shared" si="46"/>
        <v>0</v>
      </c>
      <c r="H117" s="414" t="b">
        <f>Wh_hp&gt;='2020'!Maxi_hp</f>
        <v>0</v>
      </c>
      <c r="I117" s="380">
        <f>IF(H117,Wh_hp,'2020'!Maxi_hp)</f>
        <v>40.953213285754423</v>
      </c>
      <c r="J117" s="85">
        <f>IF(H117,An,'2020'!An_max)</f>
        <v>2019</v>
      </c>
      <c r="K117" s="197">
        <f t="shared" si="26"/>
        <v>44299</v>
      </c>
      <c r="L117" s="147">
        <f>IF(t&lt;Tvie,1-EXP((T0-t)*PertePVj)+'2020'!Pspv,1-EXP((T0-t)*PertePVj)+Pspv)</f>
        <v>2.3591327967698361E-2</v>
      </c>
      <c r="M117" s="850"/>
      <c r="N117" s="850"/>
      <c r="O117" s="48">
        <f>IF(t&lt;Tnet,'2020'!Resal+('2020'!Salim-'2020'!Resal)*(1-EXP(('2020'!Tnet-t)/('2020'!Tau_j))),Resal+(Salim-Resal)*(1-EXP((Tnet-t)/(Tau_j))))*Salcycl</f>
        <v>0.10902179595887909</v>
      </c>
      <c r="P117" s="169">
        <f>(INDEX(Models!$BJ117:$BT117,,T117)*(1-R117)+INDEX(Models!$BJ117:$BT117,,T117+1)*R117-ERP_i)*Q117*Ramure*Pc/MaxiM</f>
        <v>1.1841285648554454E-11</v>
      </c>
      <c r="Q117" s="305">
        <f t="shared" si="27"/>
        <v>0.7</v>
      </c>
      <c r="R117" s="177">
        <f t="shared" si="28"/>
        <v>0.2249563463223373</v>
      </c>
      <c r="S117" s="817">
        <f t="shared" si="29"/>
        <v>-1</v>
      </c>
      <c r="T117" s="176">
        <f t="shared" si="30"/>
        <v>5</v>
      </c>
      <c r="U117" s="251">
        <f t="shared" si="31"/>
        <v>-0.7750436536776627</v>
      </c>
      <c r="V117" s="383">
        <f t="shared" si="32"/>
        <v>34.769223637015678</v>
      </c>
      <c r="W117" s="402"/>
      <c r="X117" s="157">
        <f t="shared" si="33"/>
        <v>44299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0.10902179595887909</v>
      </c>
      <c r="AD117" s="231">
        <f>(INDEX(Models!$BJ117:$BT117,,AH117)*(1-AF117)+INDEX(Models!$BJ117:$BT117,,AH117+1)*AF117-ERP_i)*AE117*Ramure*Pc/MaxiM</f>
        <v>1.1841285648554454E-11</v>
      </c>
      <c r="AE117" s="305">
        <f t="shared" si="38"/>
        <v>0.7</v>
      </c>
      <c r="AF117" s="177">
        <f t="shared" si="39"/>
        <v>0.2249563463223373</v>
      </c>
      <c r="AG117" s="817">
        <f t="shared" si="47"/>
        <v>-1</v>
      </c>
      <c r="AH117" s="176">
        <f t="shared" si="40"/>
        <v>5</v>
      </c>
      <c r="AI117" s="225">
        <f t="shared" si="41"/>
        <v>-0.7750436536776627</v>
      </c>
      <c r="AJ117" s="265" t="b">
        <f t="shared" si="42"/>
        <v>1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44300</v>
      </c>
      <c r="B118" s="617">
        <v>13.951000000000001</v>
      </c>
      <c r="C118" s="390"/>
      <c r="D118" s="393">
        <f t="shared" si="24"/>
        <v>14.288387607576997</v>
      </c>
      <c r="E118" s="385">
        <f t="shared" si="45"/>
        <v>16.038074015574267</v>
      </c>
      <c r="F118" s="385">
        <f t="shared" si="25"/>
        <v>16.038074015590524</v>
      </c>
      <c r="G118" s="110">
        <f t="shared" si="46"/>
        <v>0.39971969694898679</v>
      </c>
      <c r="H118" s="414" t="b">
        <f>Wh_hp&gt;='2020'!Maxi_hp</f>
        <v>0</v>
      </c>
      <c r="I118" s="380">
        <f>IF(H118,Wh_hp,'2020'!Maxi_hp)</f>
        <v>19.66368497396893</v>
      </c>
      <c r="J118" s="85">
        <f>IF(H118,An,'2020'!An_max)</f>
        <v>2019</v>
      </c>
      <c r="K118" s="197">
        <f t="shared" si="26"/>
        <v>44300</v>
      </c>
      <c r="L118" s="147">
        <f>IF(t&lt;Tvie,1-EXP((T0-t)*PertePVj)+'2020'!Pspv,1-EXP((T0-t)*PertePVj)+Pspv)</f>
        <v>2.3612713823502607E-2</v>
      </c>
      <c r="M118" s="850"/>
      <c r="N118" s="850"/>
      <c r="O118" s="48">
        <f>IF(t&lt;Tnet,'2020'!Resal+('2020'!Salim-'2020'!Resal)*(1-EXP(('2020'!Tnet-t)/('2020'!Tau_j))),Resal+(Salim-Resal)*(1-EXP((Tnet-t)/(Tau_j))))*Salcycl</f>
        <v>0.10909579331646571</v>
      </c>
      <c r="P118" s="169">
        <f>(INDEX(Models!$BJ118:$BT118,,T118)*(1-R118)+INDEX(Models!$BJ118:$BT118,,T118+1)*R118-ERP_i)*Q118*Ramure*Pc/MaxiM</f>
        <v>7.116435887788564E-12</v>
      </c>
      <c r="Q118" s="305">
        <f t="shared" si="27"/>
        <v>0.7</v>
      </c>
      <c r="R118" s="177">
        <f t="shared" si="28"/>
        <v>0.22592752085031853</v>
      </c>
      <c r="S118" s="817">
        <f t="shared" si="29"/>
        <v>-1</v>
      </c>
      <c r="T118" s="176">
        <f t="shared" si="30"/>
        <v>5</v>
      </c>
      <c r="U118" s="251">
        <f t="shared" si="31"/>
        <v>-0.77407247914968147</v>
      </c>
      <c r="V118" s="383">
        <f t="shared" si="32"/>
        <v>34.90195781294041</v>
      </c>
      <c r="W118" s="402"/>
      <c r="X118" s="157">
        <f t="shared" si="33"/>
        <v>44300</v>
      </c>
      <c r="Y118" s="385">
        <f t="shared" si="34"/>
        <v>13.951000000000002</v>
      </c>
      <c r="Z118" s="385">
        <f t="shared" si="35"/>
        <v>14.288387607576999</v>
      </c>
      <c r="AA118" s="386">
        <f t="shared" si="36"/>
        <v>16.038074015574267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0.10909579331646571</v>
      </c>
      <c r="AD118" s="231">
        <f>(INDEX(Models!$BJ118:$BT118,,AH118)*(1-AF118)+INDEX(Models!$BJ118:$BT118,,AH118+1)*AF118-ERP_i)*AE118*Ramure*Pc/MaxiM</f>
        <v>7.116435887788564E-12</v>
      </c>
      <c r="AE118" s="305">
        <f t="shared" si="38"/>
        <v>0.7</v>
      </c>
      <c r="AF118" s="177">
        <f t="shared" si="39"/>
        <v>0.22592752085031853</v>
      </c>
      <c r="AG118" s="817">
        <f t="shared" si="47"/>
        <v>-1</v>
      </c>
      <c r="AH118" s="176">
        <f t="shared" si="40"/>
        <v>5</v>
      </c>
      <c r="AI118" s="225">
        <f t="shared" si="41"/>
        <v>-0.77407247914968147</v>
      </c>
      <c r="AJ118" s="265" t="b">
        <f t="shared" si="42"/>
        <v>1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44301</v>
      </c>
      <c r="B119" s="617">
        <v>33.997</v>
      </c>
      <c r="C119" s="390"/>
      <c r="D119" s="393">
        <f t="shared" si="24"/>
        <v>34.81993786604351</v>
      </c>
      <c r="E119" s="385">
        <f t="shared" si="45"/>
        <v>39.087125925033448</v>
      </c>
      <c r="F119" s="385">
        <f t="shared" si="25"/>
        <v>39.087125925166902</v>
      </c>
      <c r="G119" s="110">
        <f t="shared" si="46"/>
        <v>0.97042114926220668</v>
      </c>
      <c r="H119" s="414" t="b">
        <f>Wh_hp&gt;='2020'!Maxi_hp</f>
        <v>1</v>
      </c>
      <c r="I119" s="380">
        <f>IF(H119,Wh_hp,'2020'!Maxi_hp)</f>
        <v>39.087125925166902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2.363409921090176E-2</v>
      </c>
      <c r="M119" s="850"/>
      <c r="N119" s="850"/>
      <c r="O119" s="48">
        <f>IF(t&lt;Tnet,'2020'!Resal+('2020'!Salim-'2020'!Resal)*(1-EXP(('2020'!Tnet-t)/('2020'!Tau_j))),Resal+(Salim-Resal)*(1-EXP((Tnet-t)/(Tau_j))))*Salcycl</f>
        <v>0.10917119020656889</v>
      </c>
      <c r="P119" s="169">
        <f>(INDEX(Models!$BJ119:$BT119,,T119)*(1-R119)+INDEX(Models!$BJ119:$BT119,,T119+1)*R119-ERP_i)*Q119*Ramure*Pc/MaxiM</f>
        <v>3.5649082074078646E-12</v>
      </c>
      <c r="Q119" s="305">
        <f t="shared" si="27"/>
        <v>0.7</v>
      </c>
      <c r="R119" s="177">
        <f t="shared" si="28"/>
        <v>0.22693217144318278</v>
      </c>
      <c r="S119" s="817">
        <f t="shared" si="29"/>
        <v>-1</v>
      </c>
      <c r="T119" s="176">
        <f t="shared" si="30"/>
        <v>5</v>
      </c>
      <c r="U119" s="251">
        <f t="shared" si="31"/>
        <v>-0.77306782855681722</v>
      </c>
      <c r="V119" s="383">
        <f t="shared" si="32"/>
        <v>35.033243067550799</v>
      </c>
      <c r="W119" s="402"/>
      <c r="X119" s="157">
        <f t="shared" si="33"/>
        <v>44301</v>
      </c>
      <c r="Y119" s="385">
        <f t="shared" si="34"/>
        <v>33.997</v>
      </c>
      <c r="Z119" s="385">
        <f t="shared" si="35"/>
        <v>34.81993786604351</v>
      </c>
      <c r="AA119" s="386">
        <f t="shared" si="36"/>
        <v>39.087125925033448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0.10917119020656889</v>
      </c>
      <c r="AD119" s="231">
        <f>(INDEX(Models!$BJ119:$BT119,,AH119)*(1-AF119)+INDEX(Models!$BJ119:$BT119,,AH119+1)*AF119-ERP_i)*AE119*Ramure*Pc/MaxiM</f>
        <v>3.5649082074078646E-12</v>
      </c>
      <c r="AE119" s="305">
        <f t="shared" si="38"/>
        <v>0.7</v>
      </c>
      <c r="AF119" s="177">
        <f t="shared" si="39"/>
        <v>0.22693217144318278</v>
      </c>
      <c r="AG119" s="817">
        <f t="shared" si="47"/>
        <v>-1</v>
      </c>
      <c r="AH119" s="176">
        <f t="shared" si="40"/>
        <v>5</v>
      </c>
      <c r="AI119" s="225">
        <f t="shared" si="41"/>
        <v>-0.77306782855681722</v>
      </c>
      <c r="AJ119" s="265" t="b">
        <f t="shared" si="42"/>
        <v>1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44302</v>
      </c>
      <c r="B120" s="617">
        <v>29.29</v>
      </c>
      <c r="C120" s="390"/>
      <c r="D120" s="393">
        <f t="shared" si="24"/>
        <v>29.999656395772842</v>
      </c>
      <c r="E120" s="385">
        <f t="shared" si="45"/>
        <v>33.67902253330049</v>
      </c>
      <c r="F120" s="385">
        <f t="shared" si="25"/>
        <v>33.679022533331022</v>
      </c>
      <c r="G120" s="110">
        <f t="shared" si="46"/>
        <v>0.83296496482712701</v>
      </c>
      <c r="H120" s="414" t="b">
        <f>Wh_hp&gt;='2020'!Maxi_hp</f>
        <v>0</v>
      </c>
      <c r="I120" s="380">
        <f>IF(H120,Wh_hp,'2020'!Maxi_hp)</f>
        <v>34.469326384256924</v>
      </c>
      <c r="J120" s="85">
        <f>IF(H120,An,'2020'!An_max)</f>
        <v>2020</v>
      </c>
      <c r="K120" s="197">
        <f t="shared" si="26"/>
        <v>44302</v>
      </c>
      <c r="L120" s="147">
        <f>IF(t&lt;Tvie,1-EXP((T0-t)*PertePVj)+'2020'!Pspv,1-EXP((T0-t)*PertePVj)+Pspv)</f>
        <v>2.3655484129906146E-2</v>
      </c>
      <c r="M120" s="850"/>
      <c r="N120" s="850"/>
      <c r="O120" s="48">
        <f>IF(t&lt;Tnet,'2020'!Resal+('2020'!Salim-'2020'!Resal)*(1-EXP(('2020'!Tnet-t)/('2020'!Tau_j))),Resal+(Salim-Resal)*(1-EXP((Tnet-t)/(Tau_j))))*Salcycl</f>
        <v>0.10924800842689639</v>
      </c>
      <c r="P120" s="169">
        <f>(INDEX(Models!$BJ120:$BT120,,T120)*(1-R120)+INDEX(Models!$BJ120:$BT120,,T120+1)*R120-ERP_i)*Q120*Ramure*Pc/MaxiM</f>
        <v>1.1908067508781142E-12</v>
      </c>
      <c r="Q120" s="305">
        <f t="shared" si="27"/>
        <v>0.7</v>
      </c>
      <c r="R120" s="177">
        <f t="shared" si="28"/>
        <v>0.22797116644159487</v>
      </c>
      <c r="S120" s="817">
        <f t="shared" si="29"/>
        <v>-1</v>
      </c>
      <c r="T120" s="176">
        <f t="shared" si="30"/>
        <v>5</v>
      </c>
      <c r="U120" s="251">
        <f t="shared" si="31"/>
        <v>-0.77202883355840513</v>
      </c>
      <c r="V120" s="383">
        <f t="shared" si="32"/>
        <v>35.163543770499999</v>
      </c>
      <c r="W120" s="402"/>
      <c r="X120" s="157">
        <f t="shared" si="33"/>
        <v>44302</v>
      </c>
      <c r="Y120" s="385">
        <f t="shared" si="34"/>
        <v>29.29</v>
      </c>
      <c r="Z120" s="385">
        <f t="shared" si="35"/>
        <v>29.999656395772842</v>
      </c>
      <c r="AA120" s="386">
        <f t="shared" si="36"/>
        <v>33.67902253330049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0.10924800842689639</v>
      </c>
      <c r="AD120" s="231">
        <f>(INDEX(Models!$BJ120:$BT120,,AH120)*(1-AF120)+INDEX(Models!$BJ120:$BT120,,AH120+1)*AF120-ERP_i)*AE120*Ramure*Pc/MaxiM</f>
        <v>1.1908067508781142E-12</v>
      </c>
      <c r="AE120" s="305">
        <f t="shared" si="38"/>
        <v>0.7</v>
      </c>
      <c r="AF120" s="177">
        <f t="shared" si="39"/>
        <v>0.22797116644159487</v>
      </c>
      <c r="AG120" s="817">
        <f t="shared" si="47"/>
        <v>-1</v>
      </c>
      <c r="AH120" s="176">
        <f t="shared" si="40"/>
        <v>5</v>
      </c>
      <c r="AI120" s="225">
        <f t="shared" si="41"/>
        <v>-0.77202883355840513</v>
      </c>
      <c r="AJ120" s="265" t="b">
        <f t="shared" si="42"/>
        <v>1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44303</v>
      </c>
      <c r="B121" s="617">
        <v>31.616</v>
      </c>
      <c r="C121" s="390"/>
      <c r="D121" s="393">
        <f t="shared" si="24"/>
        <v>32.382721439810162</v>
      </c>
      <c r="E121" s="385">
        <f t="shared" si="45"/>
        <v>36.357557514898495</v>
      </c>
      <c r="F121" s="385">
        <f t="shared" si="25"/>
        <v>36.357557514898495</v>
      </c>
      <c r="G121" s="110">
        <f t="shared" si="46"/>
        <v>0.89582609969984794</v>
      </c>
      <c r="H121" s="414" t="b">
        <f>Wh_hp&gt;='2020'!Maxi_hp</f>
        <v>1</v>
      </c>
      <c r="I121" s="380">
        <f>IF(H121,Wh_hp,'2020'!Maxi_hp)</f>
        <v>36.357557514898495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2.3676868580525867E-2</v>
      </c>
      <c r="M121" s="850"/>
      <c r="N121" s="850"/>
      <c r="O121" s="48">
        <f>IF(t&lt;Tnet,'2020'!Resal+('2020'!Salim-'2020'!Resal)*(1-EXP(('2020'!Tnet-t)/('2020'!Tau_j))),Resal+(Salim-Resal)*(1-EXP((Tnet-t)/(Tau_j))))*Salcycl</f>
        <v>0.10932626795569352</v>
      </c>
      <c r="P121" s="169">
        <f>(INDEX(Models!$BJ121:$BT121,,T121)*(1-R121)+INDEX(Models!$BJ121:$BT121,,T121+1)*R121-ERP_i)*Q121*Ramure*Pc/MaxiM</f>
        <v>0</v>
      </c>
      <c r="Q121" s="305">
        <f t="shared" si="27"/>
        <v>0.7</v>
      </c>
      <c r="R121" s="177">
        <f t="shared" si="28"/>
        <v>0.22904537458388818</v>
      </c>
      <c r="S121" s="817">
        <f t="shared" si="29"/>
        <v>-1</v>
      </c>
      <c r="T121" s="176">
        <f t="shared" si="30"/>
        <v>5</v>
      </c>
      <c r="U121" s="251">
        <f t="shared" si="31"/>
        <v>-0.77095462541611182</v>
      </c>
      <c r="V121" s="383">
        <f t="shared" si="32"/>
        <v>35.292564048528099</v>
      </c>
      <c r="W121" s="402"/>
      <c r="X121" s="157">
        <f t="shared" si="33"/>
        <v>44303</v>
      </c>
      <c r="Y121" s="385">
        <f t="shared" si="34"/>
        <v>31.616</v>
      </c>
      <c r="Z121" s="385">
        <f t="shared" si="35"/>
        <v>32.382721439810162</v>
      </c>
      <c r="AA121" s="386">
        <f t="shared" si="36"/>
        <v>36.357557514898495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0.10932626795569352</v>
      </c>
      <c r="AD121" s="231">
        <f>(INDEX(Models!$BJ121:$BT121,,AH121)*(1-AF121)+INDEX(Models!$BJ121:$BT121,,AH121+1)*AF121-ERP_i)*AE121*Ramure*Pc/MaxiM</f>
        <v>0</v>
      </c>
      <c r="AE121" s="305">
        <f t="shared" si="38"/>
        <v>0.7</v>
      </c>
      <c r="AF121" s="177">
        <f t="shared" si="39"/>
        <v>0.22904537458388818</v>
      </c>
      <c r="AG121" s="817">
        <f t="shared" si="47"/>
        <v>-1</v>
      </c>
      <c r="AH121" s="176">
        <f t="shared" si="40"/>
        <v>5</v>
      </c>
      <c r="AI121" s="225">
        <f t="shared" si="41"/>
        <v>-0.77095462541611182</v>
      </c>
      <c r="AJ121" s="265" t="b">
        <f t="shared" si="42"/>
        <v>1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44304</v>
      </c>
      <c r="B122" s="617">
        <v>22.283000000000001</v>
      </c>
      <c r="C122" s="390"/>
      <c r="D122" s="393">
        <f t="shared" si="24"/>
        <v>22.823886220108076</v>
      </c>
      <c r="E122" s="385">
        <f t="shared" si="45"/>
        <v>25.627711261941865</v>
      </c>
      <c r="F122" s="385">
        <f t="shared" si="25"/>
        <v>25.627711261941865</v>
      </c>
      <c r="G122" s="110">
        <f t="shared" si="46"/>
        <v>0.62911541632336199</v>
      </c>
      <c r="H122" s="414" t="b">
        <f>Wh_hp&gt;='2020'!Maxi_hp</f>
        <v>1</v>
      </c>
      <c r="I122" s="380">
        <f>IF(H122,Wh_hp,'2020'!Maxi_hp)</f>
        <v>25.627711261941865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2.3698252562771138E-2</v>
      </c>
      <c r="M122" s="850"/>
      <c r="N122" s="850"/>
      <c r="O122" s="48">
        <f>IF(t&lt;Tnet,'2020'!Resal+('2020'!Salim-'2020'!Resal)*(1-EXP(('2020'!Tnet-t)/('2020'!Tau_j))),Resal+(Salim-Resal)*(1-EXP((Tnet-t)/(Tau_j))))*Salcycl</f>
        <v>0.10940598687006346</v>
      </c>
      <c r="P122" s="169">
        <f>(INDEX(Models!$BJ122:$BT122,,T122)*(1-R122)+INDEX(Models!$BJ122:$BT122,,T122+1)*R122-ERP_i)*Q122*Ramure*Pc/MaxiM</f>
        <v>0</v>
      </c>
      <c r="Q122" s="305">
        <f t="shared" si="27"/>
        <v>0.7</v>
      </c>
      <c r="R122" s="177">
        <f t="shared" si="28"/>
        <v>0.23015566300644841</v>
      </c>
      <c r="S122" s="817">
        <f t="shared" si="29"/>
        <v>-1</v>
      </c>
      <c r="T122" s="176">
        <f t="shared" si="30"/>
        <v>5</v>
      </c>
      <c r="U122" s="251">
        <f t="shared" si="31"/>
        <v>-0.76984433699355159</v>
      </c>
      <c r="V122" s="383">
        <f t="shared" si="32"/>
        <v>35.419573931640329</v>
      </c>
      <c r="W122" s="402"/>
      <c r="X122" s="157">
        <f t="shared" si="33"/>
        <v>44304</v>
      </c>
      <c r="Y122" s="385">
        <f t="shared" si="34"/>
        <v>22.283000000000001</v>
      </c>
      <c r="Z122" s="385">
        <f t="shared" si="35"/>
        <v>22.823886220108076</v>
      </c>
      <c r="AA122" s="386">
        <f t="shared" si="36"/>
        <v>25.627711261941865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0.10940598687006346</v>
      </c>
      <c r="AD122" s="231">
        <f>(INDEX(Models!$BJ122:$BT122,,AH122)*(1-AF122)+INDEX(Models!$BJ122:$BT122,,AH122+1)*AF122-ERP_i)*AE122*Ramure*Pc/MaxiM</f>
        <v>0</v>
      </c>
      <c r="AE122" s="305">
        <f t="shared" si="38"/>
        <v>0.7</v>
      </c>
      <c r="AF122" s="177">
        <f t="shared" si="39"/>
        <v>0.23015566300644841</v>
      </c>
      <c r="AG122" s="817">
        <f t="shared" si="47"/>
        <v>-1</v>
      </c>
      <c r="AH122" s="176">
        <f t="shared" si="40"/>
        <v>5</v>
      </c>
      <c r="AI122" s="225">
        <f t="shared" si="41"/>
        <v>-0.76984433699355159</v>
      </c>
      <c r="AJ122" s="265" t="b">
        <f t="shared" si="42"/>
        <v>1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44305</v>
      </c>
      <c r="B123" s="617">
        <v>33.861000000000004</v>
      </c>
      <c r="C123" s="390"/>
      <c r="D123" s="393">
        <f t="shared" si="24"/>
        <v>34.683684371079487</v>
      </c>
      <c r="E123" s="385">
        <f t="shared" si="45"/>
        <v>38.947990013439039</v>
      </c>
      <c r="F123" s="385">
        <f t="shared" si="25"/>
        <v>38.947990013439039</v>
      </c>
      <c r="G123" s="110">
        <f t="shared" si="46"/>
        <v>0.95263987276830808</v>
      </c>
      <c r="H123" s="414" t="b">
        <f>Wh_hp&gt;='2020'!Maxi_hp</f>
        <v>1</v>
      </c>
      <c r="I123" s="380">
        <f>IF(H123,Wh_hp,'2020'!Maxi_hp)</f>
        <v>38.947990013439039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2.3719636076652395E-2</v>
      </c>
      <c r="M123" s="850"/>
      <c r="N123" s="850"/>
      <c r="O123" s="48">
        <f>IF(t&lt;Tnet,'2020'!Resal+('2020'!Salim-'2020'!Resal)*(1-EXP(('2020'!Tnet-t)/('2020'!Tau_j))),Resal+(Salim-Resal)*(1-EXP((Tnet-t)/(Tau_j))))*Salcycl</f>
        <v>0.10948718126116785</v>
      </c>
      <c r="P123" s="169">
        <f>(INDEX(Models!$BJ123:$BT123,,T123)*(1-R123)+INDEX(Models!$BJ123:$BT123,,T123+1)*R123-ERP_i)*Q123*Ramure*Pc/MaxiM</f>
        <v>0</v>
      </c>
      <c r="Q123" s="305">
        <f t="shared" si="27"/>
        <v>0.7</v>
      </c>
      <c r="R123" s="177">
        <f t="shared" si="28"/>
        <v>0.23130289509377422</v>
      </c>
      <c r="S123" s="817">
        <f t="shared" si="29"/>
        <v>-1</v>
      </c>
      <c r="T123" s="176">
        <f t="shared" si="30"/>
        <v>5</v>
      </c>
      <c r="U123" s="251">
        <f t="shared" si="31"/>
        <v>-0.76869710490622578</v>
      </c>
      <c r="V123" s="383">
        <f t="shared" si="32"/>
        <v>35.544386675315394</v>
      </c>
      <c r="W123" s="402"/>
      <c r="X123" s="157">
        <f t="shared" si="33"/>
        <v>44305</v>
      </c>
      <c r="Y123" s="385">
        <f t="shared" si="34"/>
        <v>33.861000000000004</v>
      </c>
      <c r="Z123" s="385">
        <f t="shared" si="35"/>
        <v>34.683684371079487</v>
      </c>
      <c r="AA123" s="386">
        <f t="shared" si="36"/>
        <v>38.947990013439039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0.10948718126116785</v>
      </c>
      <c r="AD123" s="231">
        <f>(INDEX(Models!$BJ123:$BT123,,AH123)*(1-AF123)+INDEX(Models!$BJ123:$BT123,,AH123+1)*AF123-ERP_i)*AE123*Ramure*Pc/MaxiM</f>
        <v>0</v>
      </c>
      <c r="AE123" s="305">
        <f t="shared" si="38"/>
        <v>0.7</v>
      </c>
      <c r="AF123" s="177">
        <f t="shared" si="39"/>
        <v>0.23130289509377422</v>
      </c>
      <c r="AG123" s="817">
        <f t="shared" si="47"/>
        <v>-1</v>
      </c>
      <c r="AH123" s="176">
        <f t="shared" si="40"/>
        <v>5</v>
      </c>
      <c r="AI123" s="225">
        <f t="shared" si="41"/>
        <v>-0.76869710490622578</v>
      </c>
      <c r="AJ123" s="265" t="b">
        <f t="shared" si="42"/>
        <v>1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44306</v>
      </c>
      <c r="B124" s="617">
        <v>24.797000000000001</v>
      </c>
      <c r="C124" s="390"/>
      <c r="D124" s="393">
        <f t="shared" si="24"/>
        <v>25.400022417927822</v>
      </c>
      <c r="E124" s="385">
        <f t="shared" si="45"/>
        <v>25.842257361864849</v>
      </c>
      <c r="F124" s="385">
        <f t="shared" si="25"/>
        <v>25.842257361864849</v>
      </c>
      <c r="G124" s="110">
        <f t="shared" si="46"/>
        <v>0.62984110591004105</v>
      </c>
      <c r="H124" s="414" t="b">
        <f>Wh_hp&gt;='2020'!Maxi_hp</f>
        <v>0</v>
      </c>
      <c r="I124" s="380">
        <f>IF(H124,Wh_hp,'2020'!Maxi_hp)</f>
        <v>34.517360529046911</v>
      </c>
      <c r="J124" s="85">
        <f>IF(H124,An,'2020'!An_max)</f>
        <v>2019</v>
      </c>
      <c r="K124" s="197">
        <f t="shared" si="26"/>
        <v>44306</v>
      </c>
      <c r="L124" s="147">
        <f>IF(t&lt;Tvie,1-EXP((T0-t)*PertePVj)+'2020'!Pspv,1-EXP((T0-t)*PertePVj)+Pspv)</f>
        <v>2.3741019122179852E-2</v>
      </c>
      <c r="M124" s="850"/>
      <c r="N124" s="850"/>
      <c r="O124" s="48">
        <f>IF(t&lt;Tnet,'2020'!Resal+('2020'!Salim-'2020'!Resal)*(1-EXP(('2020'!Tnet-t)/('2020'!Tau_j))),Resal+(Salim-Resal)*(1-EXP((Tnet-t)/(Tau_j))))*Salcycl</f>
        <v>1.7112860449630465E-2</v>
      </c>
      <c r="P124" s="169">
        <f>(INDEX(Models!$BJ124:$BT124,,T124)*(1-R124)+INDEX(Models!$BJ124:$BT124,,T124+1)*R124-ERP_i)*Q124*Ramure*Pc/MaxiM</f>
        <v>0</v>
      </c>
      <c r="Q124" s="305">
        <f t="shared" si="27"/>
        <v>0.7</v>
      </c>
      <c r="R124" s="177">
        <f t="shared" si="28"/>
        <v>0.23248792817531361</v>
      </c>
      <c r="S124" s="817">
        <f t="shared" si="29"/>
        <v>-1</v>
      </c>
      <c r="T124" s="176">
        <f t="shared" si="30"/>
        <v>5</v>
      </c>
      <c r="U124" s="251">
        <f t="shared" si="31"/>
        <v>-0.76751207182468639</v>
      </c>
      <c r="V124" s="383">
        <f t="shared" si="32"/>
        <v>39.370247142208129</v>
      </c>
      <c r="W124" s="402"/>
      <c r="X124" s="157">
        <f t="shared" si="33"/>
        <v>44306</v>
      </c>
      <c r="Y124" s="385">
        <f t="shared" si="34"/>
        <v>22.464426652352103</v>
      </c>
      <c r="Z124" s="385">
        <f t="shared" si="35"/>
        <v>23.010724707651676</v>
      </c>
      <c r="AA124" s="386">
        <f t="shared" si="36"/>
        <v>25.842257361864849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0.10956986514620956</v>
      </c>
      <c r="AD124" s="231">
        <f>(INDEX(Models!$BJ124:$BT124,,AH124)*(1-AF124)+INDEX(Models!$BJ124:$BT124,,AH124+1)*AF124-ERP_i)*AE124*Ramure*Pc/MaxiM</f>
        <v>0</v>
      </c>
      <c r="AE124" s="305">
        <f t="shared" si="38"/>
        <v>0.7</v>
      </c>
      <c r="AF124" s="177">
        <f t="shared" si="39"/>
        <v>0.23248792817531361</v>
      </c>
      <c r="AG124" s="817">
        <f t="shared" si="47"/>
        <v>-1</v>
      </c>
      <c r="AH124" s="176">
        <f t="shared" si="40"/>
        <v>5</v>
      </c>
      <c r="AI124" s="225">
        <f t="shared" si="41"/>
        <v>-0.76751207182468639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44307</v>
      </c>
      <c r="B125" s="617">
        <v>36.225000000000001</v>
      </c>
      <c r="C125" s="390"/>
      <c r="D125" s="393">
        <f t="shared" si="24"/>
        <v>37.106745389706212</v>
      </c>
      <c r="E125" s="385">
        <f t="shared" si="45"/>
        <v>37.760094952186769</v>
      </c>
      <c r="F125" s="385">
        <f t="shared" si="25"/>
        <v>37.760094952186769</v>
      </c>
      <c r="G125" s="110">
        <f t="shared" si="46"/>
        <v>0.91711975795803247</v>
      </c>
      <c r="H125" s="414" t="b">
        <f>Wh_hp&gt;='2020'!Maxi_hp</f>
        <v>1</v>
      </c>
      <c r="I125" s="380">
        <f>IF(H125,Wh_hp,'2020'!Maxi_hp)</f>
        <v>37.760094952186769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2.3762401699363722E-2</v>
      </c>
      <c r="M125" s="850"/>
      <c r="N125" s="850"/>
      <c r="O125" s="48">
        <f>IF(t&lt;Tnet,'2020'!Resal+('2020'!Salim-'2020'!Resal)*(1-EXP(('2020'!Tnet-t)/('2020'!Tau_j))),Resal+(Salim-Resal)*(1-EXP((Tnet-t)/(Tau_j))))*Salcycl</f>
        <v>1.7302646174694545E-2</v>
      </c>
      <c r="P125" s="169">
        <f>(INDEX(Models!$BJ125:$BT125,,T125)*(1-R125)+INDEX(Models!$BJ125:$BT125,,T125+1)*R125-ERP_i)*Q125*Ramure*Pc/MaxiM</f>
        <v>0</v>
      </c>
      <c r="Q125" s="305">
        <f t="shared" si="27"/>
        <v>0.7</v>
      </c>
      <c r="R125" s="177">
        <f t="shared" si="28"/>
        <v>0.2337116110669043</v>
      </c>
      <c r="S125" s="817">
        <f t="shared" si="29"/>
        <v>-1</v>
      </c>
      <c r="T125" s="176">
        <f t="shared" si="30"/>
        <v>5</v>
      </c>
      <c r="U125" s="251">
        <f t="shared" si="31"/>
        <v>-0.7662883889330957</v>
      </c>
      <c r="V125" s="383">
        <f t="shared" si="32"/>
        <v>39.498658365680591</v>
      </c>
      <c r="W125" s="402"/>
      <c r="X125" s="157">
        <f t="shared" si="33"/>
        <v>44307</v>
      </c>
      <c r="Y125" s="385">
        <f t="shared" si="34"/>
        <v>32.820158237271876</v>
      </c>
      <c r="Z125" s="385">
        <f t="shared" si="35"/>
        <v>33.619027063086726</v>
      </c>
      <c r="AA125" s="386">
        <f t="shared" si="36"/>
        <v>37.760094952186769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0.10966783569648361</v>
      </c>
      <c r="AD125" s="231">
        <f>(INDEX(Models!$BJ125:$BT125,,AH125)*(1-AF125)+INDEX(Models!$BJ125:$BT125,,AH125+1)*AF125-ERP_i)*AE125*Ramure*Pc/MaxiM</f>
        <v>0</v>
      </c>
      <c r="AE125" s="305">
        <f t="shared" si="38"/>
        <v>0.7</v>
      </c>
      <c r="AF125" s="177">
        <f t="shared" si="39"/>
        <v>0.2337116110669043</v>
      </c>
      <c r="AG125" s="817">
        <f t="shared" si="47"/>
        <v>-1</v>
      </c>
      <c r="AH125" s="176">
        <f t="shared" si="40"/>
        <v>5</v>
      </c>
      <c r="AI125" s="225">
        <f t="shared" si="41"/>
        <v>-0.7662883889330957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44308</v>
      </c>
      <c r="B126" s="617">
        <v>39.497999999999998</v>
      </c>
      <c r="C126" s="390"/>
      <c r="D126" s="393">
        <f t="shared" si="24"/>
        <v>40.4602990043348</v>
      </c>
      <c r="E126" s="385">
        <f t="shared" si="45"/>
        <v>41.180654227850937</v>
      </c>
      <c r="F126" s="385">
        <f t="shared" si="25"/>
        <v>41.180654227850937</v>
      </c>
      <c r="G126" s="110">
        <f t="shared" si="46"/>
        <v>0.99681852833380946</v>
      </c>
      <c r="H126" s="414" t="b">
        <f>Wh_hp&gt;='2020'!Maxi_hp</f>
        <v>1</v>
      </c>
      <c r="I126" s="380">
        <f>IF(H126,Wh_hp,'2020'!Maxi_hp)</f>
        <v>41.180654227850937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2.3783783808214221E-2</v>
      </c>
      <c r="M126" s="850"/>
      <c r="N126" s="850"/>
      <c r="O126" s="48">
        <f>IF(t&lt;Tnet,'2020'!Resal+('2020'!Salim-'2020'!Resal)*(1-EXP(('2020'!Tnet-t)/('2020'!Tau_j))),Resal+(Salim-Resal)*(1-EXP((Tnet-t)/(Tau_j))))*Salcycl</f>
        <v>1.7492563851230627E-2</v>
      </c>
      <c r="P126" s="169">
        <f>(INDEX(Models!$BJ126:$BT126,,T126)*(1-R126)+INDEX(Models!$BJ126:$BT126,,T126+1)*R126-ERP_i)*Q126*Ramure*Pc/MaxiM</f>
        <v>0</v>
      </c>
      <c r="Q126" s="305">
        <f t="shared" si="27"/>
        <v>0.7</v>
      </c>
      <c r="R126" s="177">
        <f t="shared" si="28"/>
        <v>0.23497478145548245</v>
      </c>
      <c r="S126" s="817">
        <f t="shared" si="29"/>
        <v>-1</v>
      </c>
      <c r="T126" s="176">
        <f t="shared" si="30"/>
        <v>5</v>
      </c>
      <c r="U126" s="251">
        <f t="shared" si="31"/>
        <v>-0.76502521854451755</v>
      </c>
      <c r="V126" s="383">
        <f t="shared" si="32"/>
        <v>39.62406283320319</v>
      </c>
      <c r="W126" s="402"/>
      <c r="X126" s="157">
        <f t="shared" si="33"/>
        <v>44308</v>
      </c>
      <c r="Y126" s="385">
        <f t="shared" si="34"/>
        <v>35.788442441032871</v>
      </c>
      <c r="Z126" s="385">
        <f t="shared" si="35"/>
        <v>36.660364627667619</v>
      </c>
      <c r="AA126" s="386">
        <f t="shared" si="36"/>
        <v>41.180654227850937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0.10976730906635762</v>
      </c>
      <c r="AD126" s="231">
        <f>(INDEX(Models!$BJ126:$BT126,,AH126)*(1-AF126)+INDEX(Models!$BJ126:$BT126,,AH126+1)*AF126-ERP_i)*AE126*Ramure*Pc/MaxiM</f>
        <v>0</v>
      </c>
      <c r="AE126" s="305">
        <f t="shared" si="38"/>
        <v>0.7</v>
      </c>
      <c r="AF126" s="177">
        <f t="shared" si="39"/>
        <v>0.23497478145548245</v>
      </c>
      <c r="AG126" s="817">
        <f t="shared" si="47"/>
        <v>-1</v>
      </c>
      <c r="AH126" s="176">
        <f t="shared" si="40"/>
        <v>5</v>
      </c>
      <c r="AI126" s="225">
        <f t="shared" si="41"/>
        <v>-0.76502521854451755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44309</v>
      </c>
      <c r="B127" s="617">
        <v>39.569000000000003</v>
      </c>
      <c r="C127" s="390"/>
      <c r="D127" s="393">
        <f t="shared" si="24"/>
        <v>40.53391659072777</v>
      </c>
      <c r="E127" s="385">
        <f t="shared" si="45"/>
        <v>41.263564610244281</v>
      </c>
      <c r="F127" s="385">
        <f t="shared" si="25"/>
        <v>41.263564610244281</v>
      </c>
      <c r="G127" s="110">
        <f t="shared" si="46"/>
        <v>0.9955402902279652</v>
      </c>
      <c r="H127" s="414" t="b">
        <f>Wh_hp&gt;='2020'!Maxi_hp</f>
        <v>1</v>
      </c>
      <c r="I127" s="380">
        <f>IF(H127,Wh_hp,'2020'!Maxi_hp)</f>
        <v>41.263564610244281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2.3805165448741672E-2</v>
      </c>
      <c r="M127" s="850"/>
      <c r="N127" s="850"/>
      <c r="O127" s="48">
        <f>IF(t&lt;Tnet,'2020'!Resal+('2020'!Salim-'2020'!Resal)*(1-EXP(('2020'!Tnet-t)/('2020'!Tau_j))),Resal+(Salim-Resal)*(1-EXP((Tnet-t)/(Tau_j))))*Salcycl</f>
        <v>1.768262210035455E-2</v>
      </c>
      <c r="P127" s="169">
        <f>(INDEX(Models!$BJ127:$BT127,,T127)*(1-R127)+INDEX(Models!$BJ127:$BT127,,T127+1)*R127-ERP_i)*Q127*Ramure*Pc/MaxiM</f>
        <v>0</v>
      </c>
      <c r="Q127" s="305">
        <f t="shared" si="27"/>
        <v>0.7</v>
      </c>
      <c r="R127" s="177">
        <f t="shared" si="28"/>
        <v>0.23627826312666278</v>
      </c>
      <c r="S127" s="817">
        <f t="shared" si="29"/>
        <v>-1</v>
      </c>
      <c r="T127" s="176">
        <f t="shared" si="30"/>
        <v>5</v>
      </c>
      <c r="U127" s="251">
        <f t="shared" si="31"/>
        <v>-0.76372173687333722</v>
      </c>
      <c r="V127" s="383">
        <f t="shared" si="32"/>
        <v>39.746256769717711</v>
      </c>
      <c r="W127" s="402"/>
      <c r="X127" s="157">
        <f t="shared" si="33"/>
        <v>44309</v>
      </c>
      <c r="Y127" s="385">
        <f t="shared" si="34"/>
        <v>35.855643301942301</v>
      </c>
      <c r="Z127" s="385">
        <f t="shared" si="35"/>
        <v>36.730007200278401</v>
      </c>
      <c r="AA127" s="386">
        <f t="shared" si="36"/>
        <v>41.263564610244281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0.1098682930761721</v>
      </c>
      <c r="AD127" s="231">
        <f>(INDEX(Models!$BJ127:$BT127,,AH127)*(1-AF127)+INDEX(Models!$BJ127:$BT127,,AH127+1)*AF127-ERP_i)*AE127*Ramure*Pc/MaxiM</f>
        <v>0</v>
      </c>
      <c r="AE127" s="305">
        <f t="shared" si="38"/>
        <v>0.7</v>
      </c>
      <c r="AF127" s="177">
        <f t="shared" si="39"/>
        <v>0.23627826312666278</v>
      </c>
      <c r="AG127" s="817">
        <f t="shared" si="47"/>
        <v>-1</v>
      </c>
      <c r="AH127" s="176">
        <f t="shared" si="40"/>
        <v>5</v>
      </c>
      <c r="AI127" s="225">
        <f t="shared" si="41"/>
        <v>-0.76372173687333722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44310</v>
      </c>
      <c r="B128" s="617">
        <v>37.169000000000004</v>
      </c>
      <c r="C128" s="390"/>
      <c r="D128" s="393">
        <f t="shared" si="24"/>
        <v>38.076224948894868</v>
      </c>
      <c r="E128" s="385">
        <f t="shared" si="45"/>
        <v>38.769139149526289</v>
      </c>
      <c r="F128" s="385">
        <f t="shared" si="25"/>
        <v>38.769139149526289</v>
      </c>
      <c r="G128" s="110">
        <f t="shared" si="46"/>
        <v>0.93237089890684011</v>
      </c>
      <c r="H128" s="414" t="b">
        <f>Wh_hp&gt;='2020'!Maxi_hp</f>
        <v>1</v>
      </c>
      <c r="I128" s="380">
        <f>IF(H128,Wh_hp,'2020'!Maxi_hp)</f>
        <v>38.769139149526289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2.3826546620956401E-2</v>
      </c>
      <c r="M128" s="850"/>
      <c r="N128" s="850"/>
      <c r="O128" s="48">
        <f>IF(t&lt;Tnet,'2020'!Resal+('2020'!Salim-'2020'!Resal)*(1-EXP(('2020'!Tnet-t)/('2020'!Tau_j))),Resal+(Salim-Resal)*(1-EXP((Tnet-t)/(Tau_j))))*Salcycl</f>
        <v>1.787282915823751E-2</v>
      </c>
      <c r="P128" s="169">
        <f>(INDEX(Models!$BJ128:$BT128,,T128)*(1-R128)+INDEX(Models!$BJ128:$BT128,,T128+1)*R128-ERP_i)*Q128*Ramure*Pc/MaxiM</f>
        <v>0</v>
      </c>
      <c r="Q128" s="305">
        <f t="shared" si="27"/>
        <v>0.7</v>
      </c>
      <c r="R128" s="177">
        <f t="shared" si="28"/>
        <v>0.23762286303585001</v>
      </c>
      <c r="S128" s="817">
        <f t="shared" si="29"/>
        <v>-1</v>
      </c>
      <c r="T128" s="176">
        <f t="shared" si="30"/>
        <v>5</v>
      </c>
      <c r="U128" s="251">
        <f t="shared" si="31"/>
        <v>-0.76237713696414999</v>
      </c>
      <c r="V128" s="383">
        <f t="shared" si="32"/>
        <v>39.865036589600621</v>
      </c>
      <c r="W128" s="402"/>
      <c r="X128" s="157">
        <f t="shared" si="33"/>
        <v>44310</v>
      </c>
      <c r="Y128" s="385">
        <f t="shared" si="34"/>
        <v>33.683515306167948</v>
      </c>
      <c r="Z128" s="385">
        <f t="shared" si="35"/>
        <v>34.505666169851061</v>
      </c>
      <c r="AA128" s="386">
        <f t="shared" si="36"/>
        <v>38.769139149526289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0.10997079308961967</v>
      </c>
      <c r="AD128" s="231">
        <f>(INDEX(Models!$BJ128:$BT128,,AH128)*(1-AF128)+INDEX(Models!$BJ128:$BT128,,AH128+1)*AF128-ERP_i)*AE128*Ramure*Pc/MaxiM</f>
        <v>0</v>
      </c>
      <c r="AE128" s="305">
        <f t="shared" si="38"/>
        <v>0.7</v>
      </c>
      <c r="AF128" s="177">
        <f t="shared" si="39"/>
        <v>0.23762286303585001</v>
      </c>
      <c r="AG128" s="817">
        <f t="shared" si="47"/>
        <v>-1</v>
      </c>
      <c r="AH128" s="176">
        <f t="shared" si="40"/>
        <v>5</v>
      </c>
      <c r="AI128" s="225">
        <f t="shared" si="41"/>
        <v>-0.76237713696414999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44311</v>
      </c>
      <c r="B129" s="617">
        <v>18.914000000000001</v>
      </c>
      <c r="C129" s="390"/>
      <c r="D129" s="393">
        <f t="shared" si="24"/>
        <v>19.376079331744329</v>
      </c>
      <c r="E129" s="385">
        <f t="shared" si="45"/>
        <v>19.732511492035702</v>
      </c>
      <c r="F129" s="385">
        <f t="shared" si="25"/>
        <v>19.732511492035702</v>
      </c>
      <c r="G129" s="110">
        <f t="shared" si="46"/>
        <v>0.47308418965679538</v>
      </c>
      <c r="H129" s="414" t="b">
        <f>Wh_hp&gt;='2020'!Maxi_hp</f>
        <v>0</v>
      </c>
      <c r="I129" s="380">
        <f>IF(H129,Wh_hp,'2020'!Maxi_hp)</f>
        <v>37.502516618915408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2.3847927324868512E-2</v>
      </c>
      <c r="M129" s="850"/>
      <c r="N129" s="850"/>
      <c r="O129" s="48">
        <f>IF(t&lt;Tnet,'2020'!Resal+('2020'!Salim-'2020'!Resal)*(1-EXP(('2020'!Tnet-t)/('2020'!Tau_j))),Resal+(Salim-Resal)*(1-EXP((Tnet-t)/(Tau_j))))*Salcycl</f>
        <v>1.8063192839656128E-2</v>
      </c>
      <c r="P129" s="169">
        <f>(INDEX(Models!$BJ129:$BT129,,T129)*(1-R129)+INDEX(Models!$BJ129:$BT129,,T129+1)*R129-ERP_i)*Q129*Ramure*Pc/MaxiM</f>
        <v>0</v>
      </c>
      <c r="Q129" s="305">
        <f t="shared" si="27"/>
        <v>0.7</v>
      </c>
      <c r="R129" s="177">
        <f t="shared" si="28"/>
        <v>0.23900936822470809</v>
      </c>
      <c r="S129" s="817">
        <f t="shared" si="29"/>
        <v>-1</v>
      </c>
      <c r="T129" s="176">
        <f t="shared" si="30"/>
        <v>5</v>
      </c>
      <c r="U129" s="251">
        <f t="shared" si="31"/>
        <v>-0.76099063177529191</v>
      </c>
      <c r="V129" s="383">
        <f t="shared" si="32"/>
        <v>39.980198902274438</v>
      </c>
      <c r="W129" s="402"/>
      <c r="X129" s="157">
        <f t="shared" si="33"/>
        <v>44311</v>
      </c>
      <c r="Y129" s="385">
        <f t="shared" si="34"/>
        <v>17.14167845098526</v>
      </c>
      <c r="Z129" s="385">
        <f t="shared" si="35"/>
        <v>17.560459001033234</v>
      </c>
      <c r="AA129" s="386">
        <f t="shared" si="36"/>
        <v>19.732511492035702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0.1100748119102395</v>
      </c>
      <c r="AD129" s="231">
        <f>(INDEX(Models!$BJ129:$BT129,,AH129)*(1-AF129)+INDEX(Models!$BJ129:$BT129,,AH129+1)*AF129-ERP_i)*AE129*Ramure*Pc/MaxiM</f>
        <v>0</v>
      </c>
      <c r="AE129" s="305">
        <f t="shared" si="38"/>
        <v>0.7</v>
      </c>
      <c r="AF129" s="177">
        <f t="shared" si="39"/>
        <v>0.23900936822470809</v>
      </c>
      <c r="AG129" s="817">
        <f t="shared" si="47"/>
        <v>-1</v>
      </c>
      <c r="AH129" s="176">
        <f t="shared" si="40"/>
        <v>5</v>
      </c>
      <c r="AI129" s="225">
        <f t="shared" si="41"/>
        <v>-0.76099063177529191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44312</v>
      </c>
      <c r="B130" s="617">
        <v>4.069</v>
      </c>
      <c r="C130" s="390"/>
      <c r="D130" s="393">
        <f t="shared" si="24"/>
        <v>4.1684991892129704</v>
      </c>
      <c r="E130" s="385">
        <f t="shared" si="45"/>
        <v>4.2460045698750442</v>
      </c>
      <c r="F130" s="385">
        <f t="shared" si="25"/>
        <v>4.2460045698750442</v>
      </c>
      <c r="G130" s="110">
        <f t="shared" si="46"/>
        <v>0.10149273258603235</v>
      </c>
      <c r="H130" s="414" t="b">
        <f>Wh_hp&gt;='2020'!Maxi_hp</f>
        <v>0</v>
      </c>
      <c r="I130" s="380">
        <f>IF(H130,Wh_hp,'2020'!Maxi_hp)</f>
        <v>33.161207037012161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2.3869307560488329E-2</v>
      </c>
      <c r="M130" s="850"/>
      <c r="N130" s="850"/>
      <c r="O130" s="48">
        <f>IF(t&lt;Tnet,'2020'!Resal+('2020'!Salim-'2020'!Resal)*(1-EXP(('2020'!Tnet-t)/('2020'!Tau_j))),Resal+(Salim-Resal)*(1-EXP((Tnet-t)/(Tau_j))))*Salcycl</f>
        <v>1.825372050043619E-2</v>
      </c>
      <c r="P130" s="169">
        <f>(INDEX(Models!$BJ130:$BT130,,T130)*(1-R130)+INDEX(Models!$BJ130:$BT130,,T130+1)*R130-ERP_i)*Q130*Ramure*Pc/MaxiM</f>
        <v>0</v>
      </c>
      <c r="Q130" s="305">
        <f t="shared" si="27"/>
        <v>0.7</v>
      </c>
      <c r="R130" s="177">
        <f t="shared" si="28"/>
        <v>0.24043854258609998</v>
      </c>
      <c r="S130" s="817">
        <f t="shared" si="29"/>
        <v>-1</v>
      </c>
      <c r="T130" s="176">
        <f t="shared" si="30"/>
        <v>5</v>
      </c>
      <c r="U130" s="251">
        <f t="shared" si="31"/>
        <v>-0.75956145741390002</v>
      </c>
      <c r="V130" s="383">
        <f t="shared" si="32"/>
        <v>40.091540510556555</v>
      </c>
      <c r="W130" s="402"/>
      <c r="X130" s="157">
        <f t="shared" si="33"/>
        <v>44312</v>
      </c>
      <c r="Y130" s="385">
        <f t="shared" si="34"/>
        <v>3.6879958017389232</v>
      </c>
      <c r="Z130" s="385">
        <f t="shared" si="35"/>
        <v>3.7781783016391106</v>
      </c>
      <c r="AA130" s="386">
        <f t="shared" si="36"/>
        <v>4.2460045698750442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0.11018034967628437</v>
      </c>
      <c r="AD130" s="231">
        <f>(INDEX(Models!$BJ130:$BT130,,AH130)*(1-AF130)+INDEX(Models!$BJ130:$BT130,,AH130+1)*AF130-ERP_i)*AE130*Ramure*Pc/MaxiM</f>
        <v>0</v>
      </c>
      <c r="AE130" s="305">
        <f t="shared" si="38"/>
        <v>0.7</v>
      </c>
      <c r="AF130" s="177">
        <f t="shared" si="39"/>
        <v>0.24043854258609998</v>
      </c>
      <c r="AG130" s="817">
        <f t="shared" si="47"/>
        <v>-1</v>
      </c>
      <c r="AH130" s="176">
        <f t="shared" si="40"/>
        <v>5</v>
      </c>
      <c r="AI130" s="225">
        <f t="shared" si="41"/>
        <v>-0.75956145741390002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44313</v>
      </c>
      <c r="B131" s="617">
        <v>13.869</v>
      </c>
      <c r="C131" s="390"/>
      <c r="D131" s="393">
        <f t="shared" si="24"/>
        <v>14.208449627462883</v>
      </c>
      <c r="E131" s="385">
        <f t="shared" si="45"/>
        <v>14.475440721320526</v>
      </c>
      <c r="F131" s="385">
        <f t="shared" si="25"/>
        <v>14.475440721320526</v>
      </c>
      <c r="G131" s="110">
        <f t="shared" si="46"/>
        <v>0.34500979746048338</v>
      </c>
      <c r="H131" s="414" t="b">
        <f>Wh_hp&gt;='2020'!Maxi_hp</f>
        <v>0</v>
      </c>
      <c r="I131" s="380">
        <f>IF(H131,Wh_hp,'2020'!Maxi_hp)</f>
        <v>22.248928801884318</v>
      </c>
      <c r="J131" s="85">
        <f>IF(H131,An,'2020'!An_max)</f>
        <v>2019</v>
      </c>
      <c r="K131" s="197">
        <f t="shared" si="26"/>
        <v>44313</v>
      </c>
      <c r="L131" s="147">
        <f>IF(t&lt;Tvie,1-EXP((T0-t)*PertePVj)+'2020'!Pspv,1-EXP((T0-t)*PertePVj)+Pspv)</f>
        <v>2.3890687327826177E-2</v>
      </c>
      <c r="M131" s="850"/>
      <c r="N131" s="850"/>
      <c r="O131" s="48">
        <f>IF(t&lt;Tnet,'2020'!Resal+('2020'!Salim-'2020'!Resal)*(1-EXP(('2020'!Tnet-t)/('2020'!Tau_j))),Resal+(Salim-Resal)*(1-EXP((Tnet-t)/(Tau_j))))*Salcycl</f>
        <v>1.8444418998890807E-2</v>
      </c>
      <c r="P131" s="169">
        <f>(INDEX(Models!$BJ131:$BT131,,T131)*(1-R131)+INDEX(Models!$BJ131:$BT131,,T131+1)*R131-ERP_i)*Q131*Ramure*Pc/MaxiM</f>
        <v>0</v>
      </c>
      <c r="Q131" s="305">
        <f t="shared" si="27"/>
        <v>0.7</v>
      </c>
      <c r="R131" s="177">
        <f t="shared" si="28"/>
        <v>0.24191112348200716</v>
      </c>
      <c r="S131" s="817">
        <f t="shared" si="29"/>
        <v>-1</v>
      </c>
      <c r="T131" s="176">
        <f t="shared" si="30"/>
        <v>5</v>
      </c>
      <c r="U131" s="251">
        <f t="shared" si="31"/>
        <v>-0.75808887651799284</v>
      </c>
      <c r="V131" s="383">
        <f t="shared" si="32"/>
        <v>40.198858415284633</v>
      </c>
      <c r="W131" s="402"/>
      <c r="X131" s="157">
        <f t="shared" si="33"/>
        <v>44313</v>
      </c>
      <c r="Y131" s="385">
        <f t="shared" si="34"/>
        <v>12.571294215190395</v>
      </c>
      <c r="Z131" s="385">
        <f t="shared" si="35"/>
        <v>12.878981945962094</v>
      </c>
      <c r="AA131" s="386">
        <f t="shared" si="36"/>
        <v>14.475440721320526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0.11028740375462594</v>
      </c>
      <c r="AD131" s="231">
        <f>(INDEX(Models!$BJ131:$BT131,,AH131)*(1-AF131)+INDEX(Models!$BJ131:$BT131,,AH131+1)*AF131-ERP_i)*AE131*Ramure*Pc/MaxiM</f>
        <v>0</v>
      </c>
      <c r="AE131" s="305">
        <f t="shared" si="38"/>
        <v>0.7</v>
      </c>
      <c r="AF131" s="177">
        <f t="shared" si="39"/>
        <v>0.24191112348200716</v>
      </c>
      <c r="AG131" s="817">
        <f t="shared" si="47"/>
        <v>-1</v>
      </c>
      <c r="AH131" s="176">
        <f t="shared" si="40"/>
        <v>5</v>
      </c>
      <c r="AI131" s="225">
        <f t="shared" si="41"/>
        <v>-0.75808887651799284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44314</v>
      </c>
      <c r="B132" s="617">
        <v>11.727</v>
      </c>
      <c r="C132" s="390"/>
      <c r="D132" s="393">
        <f t="shared" si="24"/>
        <v>12.014286417284676</v>
      </c>
      <c r="E132" s="385">
        <f t="shared" si="45"/>
        <v>12.242427664114871</v>
      </c>
      <c r="F132" s="385">
        <f t="shared" si="25"/>
        <v>12.242427664114871</v>
      </c>
      <c r="G132" s="110">
        <f t="shared" si="46"/>
        <v>0.29097847755437112</v>
      </c>
      <c r="H132" s="414" t="b">
        <f>Wh_hp&gt;='2020'!Maxi_hp</f>
        <v>0</v>
      </c>
      <c r="I132" s="380">
        <f>IF(H132,Wh_hp,'2020'!Maxi_hp)</f>
        <v>31.162451823892468</v>
      </c>
      <c r="J132" s="85">
        <f>IF(H132,An,'2020'!An_max)</f>
        <v>2019</v>
      </c>
      <c r="K132" s="197">
        <f t="shared" si="26"/>
        <v>44314</v>
      </c>
      <c r="L132" s="147">
        <f>IF(t&lt;Tvie,1-EXP((T0-t)*PertePVj)+'2020'!Pspv,1-EXP((T0-t)*PertePVj)+Pspv)</f>
        <v>2.3912066626892159E-2</v>
      </c>
      <c r="M132" s="850"/>
      <c r="N132" s="850"/>
      <c r="O132" s="48">
        <f>IF(t&lt;Tnet,'2020'!Resal+('2020'!Salim-'2020'!Resal)*(1-EXP(('2020'!Tnet-t)/('2020'!Tau_j))),Resal+(Salim-Resal)*(1-EXP((Tnet-t)/(Tau_j))))*Salcycl</f>
        <v>1.8635294656379753E-2</v>
      </c>
      <c r="P132" s="169">
        <f>(INDEX(Models!$BJ132:$BT132,,T132)*(1-R132)+INDEX(Models!$BJ132:$BT132,,T132+1)*R132-ERP_i)*Q132*Ramure*Pc/MaxiM</f>
        <v>0</v>
      </c>
      <c r="Q132" s="305">
        <f t="shared" si="27"/>
        <v>0.7</v>
      </c>
      <c r="R132" s="177">
        <f t="shared" si="28"/>
        <v>0.24342781822045556</v>
      </c>
      <c r="S132" s="817">
        <f t="shared" si="29"/>
        <v>-1</v>
      </c>
      <c r="T132" s="176">
        <f t="shared" si="30"/>
        <v>5</v>
      </c>
      <c r="U132" s="251">
        <f t="shared" si="31"/>
        <v>-0.75657218177954444</v>
      </c>
      <c r="V132" s="383">
        <f t="shared" si="32"/>
        <v>40.301949816232501</v>
      </c>
      <c r="W132" s="402"/>
      <c r="X132" s="157">
        <f t="shared" si="33"/>
        <v>44314</v>
      </c>
      <c r="Y132" s="385">
        <f t="shared" si="34"/>
        <v>10.630488766325387</v>
      </c>
      <c r="Z132" s="385">
        <f t="shared" si="35"/>
        <v>10.890913003697488</v>
      </c>
      <c r="AA132" s="386">
        <f t="shared" si="36"/>
        <v>12.242427664114871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0.11039596863446915</v>
      </c>
      <c r="AD132" s="231">
        <f>(INDEX(Models!$BJ132:$BT132,,AH132)*(1-AF132)+INDEX(Models!$BJ132:$BT132,,AH132+1)*AF132-ERP_i)*AE132*Ramure*Pc/MaxiM</f>
        <v>0</v>
      </c>
      <c r="AE132" s="305">
        <f t="shared" si="38"/>
        <v>0.7</v>
      </c>
      <c r="AF132" s="177">
        <f t="shared" si="39"/>
        <v>0.24342781822045556</v>
      </c>
      <c r="AG132" s="817">
        <f t="shared" si="47"/>
        <v>-1</v>
      </c>
      <c r="AH132" s="176">
        <f t="shared" si="40"/>
        <v>5</v>
      </c>
      <c r="AI132" s="225">
        <f t="shared" si="41"/>
        <v>-0.75657218177954444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44315</v>
      </c>
      <c r="B133" s="617">
        <v>18.141000000000002</v>
      </c>
      <c r="C133" s="390"/>
      <c r="D133" s="393">
        <f t="shared" si="24"/>
        <v>18.585822775688357</v>
      </c>
      <c r="E133" s="385">
        <f t="shared" si="45"/>
        <v>18.94243983888979</v>
      </c>
      <c r="F133" s="385">
        <f t="shared" si="25"/>
        <v>18.94243983888979</v>
      </c>
      <c r="G133" s="110">
        <f t="shared" si="46"/>
        <v>0.44902785005133267</v>
      </c>
      <c r="H133" s="414" t="b">
        <f>Wh_hp&gt;='2020'!Maxi_hp</f>
        <v>0</v>
      </c>
      <c r="I133" s="380">
        <f>IF(H133,Wh_hp,'2020'!Maxi_hp)</f>
        <v>39.72311913554482</v>
      </c>
      <c r="J133" s="85">
        <f>IF(H133,An,'2020'!An_max)</f>
        <v>2019</v>
      </c>
      <c r="K133" s="197">
        <f t="shared" si="26"/>
        <v>44315</v>
      </c>
      <c r="L133" s="147">
        <f>IF(t&lt;Tvie,1-EXP((T0-t)*PertePVj)+'2020'!Pspv,1-EXP((T0-t)*PertePVj)+Pspv)</f>
        <v>2.3933445457696712E-2</v>
      </c>
      <c r="M133" s="850"/>
      <c r="N133" s="850"/>
      <c r="O133" s="48">
        <f>IF(t&lt;Tnet,'2020'!Resal+('2020'!Salim-'2020'!Resal)*(1-EXP(('2020'!Tnet-t)/('2020'!Tau_j))),Resal+(Salim-Resal)*(1-EXP((Tnet-t)/(Tau_j))))*Salcycl</f>
        <v>1.8826353217143751E-2</v>
      </c>
      <c r="P133" s="169">
        <f>(INDEX(Models!$BJ133:$BT133,,T133)*(1-R133)+INDEX(Models!$BJ133:$BT133,,T133+1)*R133-ERP_i)*Q133*Ramure*Pc/MaxiM</f>
        <v>0</v>
      </c>
      <c r="Q133" s="305">
        <f t="shared" si="27"/>
        <v>0.7</v>
      </c>
      <c r="R133" s="177">
        <f t="shared" si="28"/>
        <v>0.24498930039909128</v>
      </c>
      <c r="S133" s="817">
        <f t="shared" si="29"/>
        <v>-1</v>
      </c>
      <c r="T133" s="176">
        <f t="shared" si="30"/>
        <v>5</v>
      </c>
      <c r="U133" s="251">
        <f t="shared" si="31"/>
        <v>-0.75501069960090872</v>
      </c>
      <c r="V133" s="383">
        <f t="shared" si="32"/>
        <v>40.400612117769825</v>
      </c>
      <c r="W133" s="402"/>
      <c r="X133" s="157">
        <f t="shared" si="33"/>
        <v>44315</v>
      </c>
      <c r="Y133" s="385">
        <f t="shared" si="34"/>
        <v>16.445926831674051</v>
      </c>
      <c r="Z133" s="385">
        <f t="shared" si="35"/>
        <v>16.849185903502111</v>
      </c>
      <c r="AA133" s="386">
        <f t="shared" si="36"/>
        <v>18.94243983888979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0.11050603582174905</v>
      </c>
      <c r="AD133" s="231">
        <f>(INDEX(Models!$BJ133:$BT133,,AH133)*(1-AF133)+INDEX(Models!$BJ133:$BT133,,AH133+1)*AF133-ERP_i)*AE133*Ramure*Pc/MaxiM</f>
        <v>0</v>
      </c>
      <c r="AE133" s="305">
        <f t="shared" si="38"/>
        <v>0.7</v>
      </c>
      <c r="AF133" s="177">
        <f t="shared" si="39"/>
        <v>0.24498930039909128</v>
      </c>
      <c r="AG133" s="817">
        <f t="shared" si="47"/>
        <v>-1</v>
      </c>
      <c r="AH133" s="176">
        <f t="shared" si="40"/>
        <v>5</v>
      </c>
      <c r="AI133" s="225">
        <f t="shared" si="41"/>
        <v>-0.75501069960090872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44316</v>
      </c>
      <c r="B134" s="617">
        <v>10.246</v>
      </c>
      <c r="C134" s="390"/>
      <c r="D134" s="393">
        <f t="shared" si="24"/>
        <v>10.497464922784559</v>
      </c>
      <c r="E134" s="385">
        <f t="shared" si="45"/>
        <v>10.700971720517755</v>
      </c>
      <c r="F134" s="385">
        <f t="shared" si="25"/>
        <v>10.700971720517755</v>
      </c>
      <c r="G134" s="110">
        <f t="shared" si="46"/>
        <v>0.2530211222773337</v>
      </c>
      <c r="H134" s="414" t="b">
        <f>Wh_hp&gt;='2020'!Maxi_hp</f>
        <v>0</v>
      </c>
      <c r="I134" s="380">
        <f>IF(H134,Wh_hp,'2020'!Maxi_hp)</f>
        <v>43.204941551644787</v>
      </c>
      <c r="J134" s="85">
        <f>IF(H134,An,'2020'!An_max)</f>
        <v>2019</v>
      </c>
      <c r="K134" s="197">
        <f t="shared" si="26"/>
        <v>44316</v>
      </c>
      <c r="L134" s="147">
        <f>IF(t&lt;Tvie,1-EXP((T0-t)*PertePVj)+'2020'!Pspv,1-EXP((T0-t)*PertePVj)+Pspv)</f>
        <v>2.3954823820249938E-2</v>
      </c>
      <c r="M134" s="850"/>
      <c r="N134" s="850"/>
      <c r="O134" s="48">
        <f>IF(t&lt;Tnet,'2020'!Resal+('2020'!Salim-'2020'!Resal)*(1-EXP(('2020'!Tnet-t)/('2020'!Tau_j))),Resal+(Salim-Resal)*(1-EXP((Tnet-t)/(Tau_j))))*Salcycl</f>
        <v>1.9017599807594845E-2</v>
      </c>
      <c r="P134" s="169">
        <f>(INDEX(Models!$BJ134:$BT134,,T134)*(1-R134)+INDEX(Models!$BJ134:$BT134,,T134+1)*R134-ERP_i)*Q134*Ramure*Pc/MaxiM</f>
        <v>0</v>
      </c>
      <c r="Q134" s="305">
        <f t="shared" si="27"/>
        <v>0.7</v>
      </c>
      <c r="R134" s="177">
        <f t="shared" si="28"/>
        <v>0.24659620612478106</v>
      </c>
      <c r="S134" s="817">
        <f t="shared" si="29"/>
        <v>-1</v>
      </c>
      <c r="T134" s="176">
        <f t="shared" si="30"/>
        <v>5</v>
      </c>
      <c r="U134" s="251">
        <f t="shared" si="31"/>
        <v>-0.75340379387521894</v>
      </c>
      <c r="V134" s="383">
        <f t="shared" si="32"/>
        <v>40.49464292854362</v>
      </c>
      <c r="W134" s="402"/>
      <c r="X134" s="157">
        <f t="shared" si="33"/>
        <v>44316</v>
      </c>
      <c r="Y134" s="385">
        <f t="shared" si="34"/>
        <v>9.2892717879567162</v>
      </c>
      <c r="Z134" s="385">
        <f t="shared" si="35"/>
        <v>9.5172559781659007</v>
      </c>
      <c r="AA134" s="386">
        <f t="shared" si="36"/>
        <v>10.700971720517755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0.11061759373517731</v>
      </c>
      <c r="AD134" s="231">
        <f>(INDEX(Models!$BJ134:$BT134,,AH134)*(1-AF134)+INDEX(Models!$BJ134:$BT134,,AH134+1)*AF134-ERP_i)*AE134*Ramure*Pc/MaxiM</f>
        <v>0</v>
      </c>
      <c r="AE134" s="305">
        <f t="shared" si="38"/>
        <v>0.7</v>
      </c>
      <c r="AF134" s="177">
        <f t="shared" si="39"/>
        <v>0.24659620612478106</v>
      </c>
      <c r="AG134" s="817">
        <f t="shared" si="47"/>
        <v>-1</v>
      </c>
      <c r="AH134" s="176">
        <f t="shared" si="40"/>
        <v>5</v>
      </c>
      <c r="AI134" s="225">
        <f t="shared" si="41"/>
        <v>-0.75340379387521894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44317</v>
      </c>
      <c r="B135" s="617">
        <v>13.23</v>
      </c>
      <c r="C135" s="390"/>
      <c r="D135" s="393">
        <f t="shared" si="24"/>
        <v>13.55499735072125</v>
      </c>
      <c r="E135" s="385">
        <f t="shared" si="45"/>
        <v>13.820475400235498</v>
      </c>
      <c r="F135" s="385">
        <f t="shared" si="25"/>
        <v>13.820475400235498</v>
      </c>
      <c r="G135" s="110">
        <f t="shared" si="46"/>
        <v>0.32598592464158888</v>
      </c>
      <c r="H135" s="414" t="b">
        <f>Wh_hp&gt;='2020'!Maxi_hp</f>
        <v>0</v>
      </c>
      <c r="I135" s="380">
        <f>IF(H135,Wh_hp,'2020'!Maxi_hp)</f>
        <v>40.273883228930465</v>
      </c>
      <c r="J135" s="85">
        <f>IF(H135,An,'2020'!An_max)</f>
        <v>2019</v>
      </c>
      <c r="K135" s="197">
        <f t="shared" si="26"/>
        <v>44317</v>
      </c>
      <c r="L135" s="147">
        <f>IF(t&lt;Tvie,1-EXP((T0-t)*PertePVj)+'2020'!Pspv,1-EXP((T0-t)*PertePVj)+Pspv)</f>
        <v>2.3976201714562162E-2</v>
      </c>
      <c r="M135" s="850"/>
      <c r="N135" s="850"/>
      <c r="O135" s="48">
        <f>IF(t&lt;Tnet,'2020'!Resal+('2020'!Salim-'2020'!Resal)*(1-EXP(('2020'!Tnet-t)/('2020'!Tau_j))),Resal+(Salim-Resal)*(1-EXP((Tnet-t)/(Tau_j))))*Salcycl</f>
        <v>1.920903889527014E-2</v>
      </c>
      <c r="P135" s="169">
        <f>(INDEX(Models!$BJ135:$BT135,,T135)*(1-R135)+INDEX(Models!$BJ135:$BT135,,T135+1)*R135-ERP_i)*Q135*Ramure*Pc/MaxiM</f>
        <v>0</v>
      </c>
      <c r="Q135" s="305">
        <f t="shared" si="27"/>
        <v>0.7</v>
      </c>
      <c r="R135" s="177">
        <f t="shared" si="28"/>
        <v>0.2482491301204276</v>
      </c>
      <c r="S135" s="817">
        <f t="shared" si="29"/>
        <v>-1</v>
      </c>
      <c r="T135" s="176">
        <f t="shared" si="30"/>
        <v>5</v>
      </c>
      <c r="U135" s="251">
        <f t="shared" si="31"/>
        <v>-0.7517508698795724</v>
      </c>
      <c r="V135" s="383">
        <f t="shared" si="32"/>
        <v>40.584574363282606</v>
      </c>
      <c r="W135" s="402"/>
      <c r="X135" s="157">
        <f t="shared" si="33"/>
        <v>44317</v>
      </c>
      <c r="Y135" s="385">
        <f t="shared" si="34"/>
        <v>11.995454957633616</v>
      </c>
      <c r="Z135" s="385">
        <f t="shared" si="35"/>
        <v>12.290125485368081</v>
      </c>
      <c r="AA135" s="386">
        <f t="shared" si="36"/>
        <v>13.820475400235498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0.11073062760499108</v>
      </c>
      <c r="AD135" s="231">
        <f>(INDEX(Models!$BJ135:$BT135,,AH135)*(1-AF135)+INDEX(Models!$BJ135:$BT135,,AH135+1)*AF135-ERP_i)*AE135*Ramure*Pc/MaxiM</f>
        <v>0</v>
      </c>
      <c r="AE135" s="305">
        <f t="shared" si="38"/>
        <v>0.7</v>
      </c>
      <c r="AF135" s="177">
        <f t="shared" si="39"/>
        <v>0.2482491301204276</v>
      </c>
      <c r="AG135" s="817">
        <f t="shared" si="47"/>
        <v>-1</v>
      </c>
      <c r="AH135" s="176">
        <f t="shared" si="40"/>
        <v>5</v>
      </c>
      <c r="AI135" s="225">
        <f t="shared" si="41"/>
        <v>-0.7517508698795724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44318</v>
      </c>
      <c r="B136" s="617">
        <v>26.882999999999999</v>
      </c>
      <c r="C136" s="390"/>
      <c r="D136" s="393">
        <f t="shared" si="24"/>
        <v>27.543989057250389</v>
      </c>
      <c r="E136" s="385">
        <f t="shared" si="45"/>
        <v>28.08893330221149</v>
      </c>
      <c r="F136" s="385">
        <f t="shared" si="25"/>
        <v>28.08893330221149</v>
      </c>
      <c r="G136" s="110">
        <f t="shared" si="46"/>
        <v>0.66098683990076057</v>
      </c>
      <c r="H136" s="414" t="b">
        <f>Wh_hp&gt;='2020'!Maxi_hp</f>
        <v>1</v>
      </c>
      <c r="I136" s="380">
        <f>IF(H136,Wh_hp,'2020'!Maxi_hp)</f>
        <v>28.08893330221149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2.399757914064371E-2</v>
      </c>
      <c r="M136" s="850"/>
      <c r="N136" s="850"/>
      <c r="O136" s="48">
        <f>IF(t&lt;Tnet,'2020'!Resal+('2020'!Salim-'2020'!Resal)*(1-EXP(('2020'!Tnet-t)/('2020'!Tau_j))),Resal+(Salim-Resal)*(1-EXP((Tnet-t)/(Tau_j))))*Salcycl</f>
        <v>1.9400674247683006E-2</v>
      </c>
      <c r="P136" s="169">
        <f>(INDEX(Models!$BJ136:$BT136,,T136)*(1-R136)+INDEX(Models!$BJ136:$BT136,,T136+1)*R136-ERP_i)*Q136*Ramure*Pc/MaxiM</f>
        <v>0</v>
      </c>
      <c r="Q136" s="305">
        <f t="shared" si="27"/>
        <v>0.7</v>
      </c>
      <c r="R136" s="177">
        <f t="shared" si="28"/>
        <v>0.24994862173210086</v>
      </c>
      <c r="S136" s="817">
        <f t="shared" si="29"/>
        <v>-1</v>
      </c>
      <c r="T136" s="176">
        <f t="shared" si="30"/>
        <v>5</v>
      </c>
      <c r="U136" s="251">
        <f t="shared" si="31"/>
        <v>-0.75005137826789914</v>
      </c>
      <c r="V136" s="383">
        <f t="shared" si="32"/>
        <v>40.671006406173184</v>
      </c>
      <c r="W136" s="402"/>
      <c r="X136" s="157">
        <f t="shared" si="33"/>
        <v>44318</v>
      </c>
      <c r="Y136" s="385">
        <f t="shared" si="34"/>
        <v>24.376062707863905</v>
      </c>
      <c r="Z136" s="385">
        <f t="shared" si="35"/>
        <v>24.975412137196471</v>
      </c>
      <c r="AA136" s="386">
        <f t="shared" si="36"/>
        <v>28.08893330221149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0.11084511937553307</v>
      </c>
      <c r="AD136" s="231">
        <f>(INDEX(Models!$BJ136:$BT136,,AH136)*(1-AF136)+INDEX(Models!$BJ136:$BT136,,AH136+1)*AF136-ERP_i)*AE136*Ramure*Pc/MaxiM</f>
        <v>0</v>
      </c>
      <c r="AE136" s="305">
        <f t="shared" si="38"/>
        <v>0.7</v>
      </c>
      <c r="AF136" s="177">
        <f t="shared" si="39"/>
        <v>0.24994862173210086</v>
      </c>
      <c r="AG136" s="817">
        <f t="shared" si="47"/>
        <v>-1</v>
      </c>
      <c r="AH136" s="176">
        <f t="shared" si="40"/>
        <v>5</v>
      </c>
      <c r="AI136" s="225">
        <f t="shared" si="41"/>
        <v>-0.75005137826789914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44319</v>
      </c>
      <c r="B137" s="617">
        <v>40.570999999999998</v>
      </c>
      <c r="C137" s="390"/>
      <c r="D137" s="393">
        <f t="shared" si="24"/>
        <v>41.569454912584128</v>
      </c>
      <c r="E137" s="385">
        <f t="shared" si="45"/>
        <v>42.400180832539675</v>
      </c>
      <c r="F137" s="385">
        <f t="shared" si="25"/>
        <v>42.400180832539675</v>
      </c>
      <c r="G137" s="110">
        <f t="shared" si="46"/>
        <v>0.99551358314799188</v>
      </c>
      <c r="H137" s="414" t="b">
        <f>Wh_hp&gt;='2020'!Maxi_hp</f>
        <v>1</v>
      </c>
      <c r="I137" s="380">
        <f>IF(H137,Wh_hp,'2020'!Maxi_hp)</f>
        <v>42.400180832539675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2.4018956098504685E-2</v>
      </c>
      <c r="M137" s="850"/>
      <c r="N137" s="850"/>
      <c r="O137" s="48">
        <f>IF(t&lt;Tnet,'2020'!Resal+('2020'!Salim-'2020'!Resal)*(1-EXP(('2020'!Tnet-t)/('2020'!Tau_j))),Resal+(Salim-Resal)*(1-EXP((Tnet-t)/(Tau_j))))*Salcycl</f>
        <v>1.9592508891330396E-2</v>
      </c>
      <c r="P137" s="169">
        <f>(INDEX(Models!$BJ137:$BT137,,T137)*(1-R137)+INDEX(Models!$BJ137:$BT137,,T137+1)*R137-ERP_i)*Q137*Ramure*Pc/MaxiM</f>
        <v>0</v>
      </c>
      <c r="Q137" s="305">
        <f t="shared" si="27"/>
        <v>0.7</v>
      </c>
      <c r="R137" s="177">
        <f t="shared" si="28"/>
        <v>0.25169518085155596</v>
      </c>
      <c r="S137" s="817">
        <f t="shared" si="29"/>
        <v>-1</v>
      </c>
      <c r="T137" s="176">
        <f t="shared" si="30"/>
        <v>5</v>
      </c>
      <c r="U137" s="251">
        <f t="shared" si="31"/>
        <v>-0.74830481914844404</v>
      </c>
      <c r="V137" s="383">
        <f t="shared" si="32"/>
        <v>40.753838708767034</v>
      </c>
      <c r="W137" s="402"/>
      <c r="X137" s="157">
        <f t="shared" si="33"/>
        <v>44319</v>
      </c>
      <c r="Y137" s="385">
        <f t="shared" si="34"/>
        <v>36.790007894075572</v>
      </c>
      <c r="Z137" s="385">
        <f t="shared" si="35"/>
        <v>37.695412348386498</v>
      </c>
      <c r="AA137" s="386">
        <f t="shared" si="36"/>
        <v>42.400180832539675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0.1109610476128568</v>
      </c>
      <c r="AD137" s="231">
        <f>(INDEX(Models!$BJ137:$BT137,,AH137)*(1-AF137)+INDEX(Models!$BJ137:$BT137,,AH137+1)*AF137-ERP_i)*AE137*Ramure*Pc/MaxiM</f>
        <v>0</v>
      </c>
      <c r="AE137" s="305">
        <f t="shared" si="38"/>
        <v>0.7</v>
      </c>
      <c r="AF137" s="177">
        <f t="shared" si="39"/>
        <v>0.25169518085155596</v>
      </c>
      <c r="AG137" s="817">
        <f t="shared" si="47"/>
        <v>-1</v>
      </c>
      <c r="AH137" s="176">
        <f t="shared" si="40"/>
        <v>5</v>
      </c>
      <c r="AI137" s="225">
        <f t="shared" si="41"/>
        <v>-0.74830481914844404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44320</v>
      </c>
      <c r="B138" s="617">
        <v>35.817999999999998</v>
      </c>
      <c r="C138" s="390"/>
      <c r="D138" s="393">
        <f t="shared" si="24"/>
        <v>36.700287108160985</v>
      </c>
      <c r="E138" s="385">
        <f t="shared" si="45"/>
        <v>37.441041072775668</v>
      </c>
      <c r="F138" s="385">
        <f t="shared" si="25"/>
        <v>37.441041072775668</v>
      </c>
      <c r="G138" s="110">
        <f t="shared" si="46"/>
        <v>0.87718329285213792</v>
      </c>
      <c r="H138" s="414" t="b">
        <f>Wh_hp&gt;='2020'!Maxi_hp</f>
        <v>0</v>
      </c>
      <c r="I138" s="380">
        <f>IF(H138,Wh_hp,'2020'!Maxi_hp)</f>
        <v>39.79073296578693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2.4040332588155522E-2</v>
      </c>
      <c r="M138" s="850"/>
      <c r="N138" s="850"/>
      <c r="O138" s="48">
        <f>IF(t&lt;Tnet,'2020'!Resal+('2020'!Salim-'2020'!Resal)*(1-EXP(('2020'!Tnet-t)/('2020'!Tau_j))),Resal+(Salim-Resal)*(1-EXP((Tnet-t)/(Tau_j))))*Salcycl</f>
        <v>1.9784545071138717E-2</v>
      </c>
      <c r="P138" s="169">
        <f>(INDEX(Models!$BJ138:$BT138,,T138)*(1-R138)+INDEX(Models!$BJ138:$BT138,,T138+1)*R138-ERP_i)*Q138*Ramure*Pc/MaxiM</f>
        <v>0</v>
      </c>
      <c r="Q138" s="305">
        <f t="shared" si="27"/>
        <v>0.7</v>
      </c>
      <c r="R138" s="177">
        <f t="shared" si="28"/>
        <v>0.25348925377124387</v>
      </c>
      <c r="S138" s="817">
        <f t="shared" si="29"/>
        <v>-1</v>
      </c>
      <c r="T138" s="176">
        <f t="shared" si="30"/>
        <v>5</v>
      </c>
      <c r="U138" s="251">
        <f t="shared" si="31"/>
        <v>-0.74651074622875613</v>
      </c>
      <c r="V138" s="383">
        <f t="shared" si="32"/>
        <v>40.83297104706444</v>
      </c>
      <c r="W138" s="402"/>
      <c r="X138" s="157">
        <f t="shared" si="33"/>
        <v>44320</v>
      </c>
      <c r="Y138" s="385">
        <f t="shared" si="34"/>
        <v>32.482036637293383</v>
      </c>
      <c r="Z138" s="385">
        <f t="shared" si="35"/>
        <v>33.282150607138064</v>
      </c>
      <c r="AA138" s="386">
        <f t="shared" si="36"/>
        <v>37.441041072775668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0.11107838741860304</v>
      </c>
      <c r="AD138" s="231">
        <f>(INDEX(Models!$BJ138:$BT138,,AH138)*(1-AF138)+INDEX(Models!$BJ138:$BT138,,AH138+1)*AF138-ERP_i)*AE138*Ramure*Pc/MaxiM</f>
        <v>0</v>
      </c>
      <c r="AE138" s="305">
        <f t="shared" si="38"/>
        <v>0.7</v>
      </c>
      <c r="AF138" s="177">
        <f t="shared" si="39"/>
        <v>0.25348925377124387</v>
      </c>
      <c r="AG138" s="817">
        <f t="shared" si="47"/>
        <v>-1</v>
      </c>
      <c r="AH138" s="176">
        <f t="shared" si="40"/>
        <v>5</v>
      </c>
      <c r="AI138" s="225">
        <f t="shared" si="41"/>
        <v>-0.74651074622875613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44321</v>
      </c>
      <c r="B139" s="617">
        <v>24.683</v>
      </c>
      <c r="C139" s="390"/>
      <c r="D139" s="393">
        <f t="shared" si="24"/>
        <v>25.291558101316809</v>
      </c>
      <c r="E139" s="385">
        <f t="shared" si="45"/>
        <v>25.807100988874065</v>
      </c>
      <c r="F139" s="385">
        <f t="shared" si="25"/>
        <v>25.807100988874065</v>
      </c>
      <c r="G139" s="110">
        <f t="shared" si="46"/>
        <v>0.60337383836397329</v>
      </c>
      <c r="H139" s="414" t="b">
        <f>Wh_hp&gt;='2020'!Maxi_hp</f>
        <v>0</v>
      </c>
      <c r="I139" s="380">
        <f>IF(H139,Wh_hp,'2020'!Maxi_hp)</f>
        <v>40.603023029597871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2.4061708609606214E-2</v>
      </c>
      <c r="M139" s="850"/>
      <c r="N139" s="850"/>
      <c r="O139" s="48">
        <f>IF(t&lt;Tnet,'2020'!Resal+('2020'!Salim-'2020'!Resal)*(1-EXP(('2020'!Tnet-t)/('2020'!Tau_j))),Resal+(Salim-Resal)*(1-EXP((Tnet-t)/(Tau_j))))*Salcycl</f>
        <v>1.9976784210652604E-2</v>
      </c>
      <c r="P139" s="169">
        <f>(INDEX(Models!$BJ139:$BT139,,T139)*(1-R139)+INDEX(Models!$BJ139:$BT139,,T139+1)*R139-ERP_i)*Q139*Ramure*Pc/MaxiM</f>
        <v>0</v>
      </c>
      <c r="Q139" s="305">
        <f t="shared" si="27"/>
        <v>0.7</v>
      </c>
      <c r="R139" s="177">
        <f t="shared" si="28"/>
        <v>0.25533122899098004</v>
      </c>
      <c r="S139" s="817">
        <f t="shared" si="29"/>
        <v>-1</v>
      </c>
      <c r="T139" s="176">
        <f t="shared" si="30"/>
        <v>5</v>
      </c>
      <c r="U139" s="251">
        <f t="shared" si="31"/>
        <v>-0.74466877100901996</v>
      </c>
      <c r="V139" s="383">
        <f t="shared" si="32"/>
        <v>40.908303328044639</v>
      </c>
      <c r="W139" s="402"/>
      <c r="X139" s="157">
        <f t="shared" si="33"/>
        <v>44321</v>
      </c>
      <c r="Y139" s="385">
        <f t="shared" si="34"/>
        <v>22.385512273324711</v>
      </c>
      <c r="Z139" s="385">
        <f t="shared" si="35"/>
        <v>22.93742593236367</v>
      </c>
      <c r="AA139" s="386">
        <f t="shared" si="36"/>
        <v>25.807100988874065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0.11119711035143266</v>
      </c>
      <c r="AD139" s="231">
        <f>(INDEX(Models!$BJ139:$BT139,,AH139)*(1-AF139)+INDEX(Models!$BJ139:$BT139,,AH139+1)*AF139-ERP_i)*AE139*Ramure*Pc/MaxiM</f>
        <v>0</v>
      </c>
      <c r="AE139" s="305">
        <f t="shared" si="38"/>
        <v>0.7</v>
      </c>
      <c r="AF139" s="177">
        <f t="shared" si="39"/>
        <v>0.25533122899098004</v>
      </c>
      <c r="AG139" s="817">
        <f t="shared" si="47"/>
        <v>-1</v>
      </c>
      <c r="AH139" s="176">
        <f t="shared" si="40"/>
        <v>5</v>
      </c>
      <c r="AI139" s="225">
        <f t="shared" si="41"/>
        <v>-0.74466877100901996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44322</v>
      </c>
      <c r="B140" s="617">
        <v>26.202999999999999</v>
      </c>
      <c r="C140" s="390"/>
      <c r="D140" s="393">
        <f t="shared" si="24"/>
        <v>26.84962169912108</v>
      </c>
      <c r="E140" s="385">
        <f t="shared" si="45"/>
        <v>27.402305005630748</v>
      </c>
      <c r="F140" s="385">
        <f t="shared" si="25"/>
        <v>27.402305005630748</v>
      </c>
      <c r="G140" s="110">
        <f t="shared" si="46"/>
        <v>0.63941359373770379</v>
      </c>
      <c r="H140" s="414" t="b">
        <f>Wh_hp&gt;='2020'!Maxi_hp</f>
        <v>0</v>
      </c>
      <c r="I140" s="380">
        <f>IF(H140,Wh_hp,'2020'!Maxi_hp)</f>
        <v>44.619992536921345</v>
      </c>
      <c r="J140" s="85">
        <f>IF(H140,An,'2020'!An_max)</f>
        <v>2019</v>
      </c>
      <c r="K140" s="197">
        <f t="shared" si="26"/>
        <v>44322</v>
      </c>
      <c r="L140" s="147">
        <f>IF(t&lt;Tvie,1-EXP((T0-t)*PertePVj)+'2020'!Pspv,1-EXP((T0-t)*PertePVj)+Pspv)</f>
        <v>2.4083084162867308E-2</v>
      </c>
      <c r="M140" s="850"/>
      <c r="N140" s="850"/>
      <c r="O140" s="48">
        <f>IF(t&lt;Tnet,'2020'!Resal+('2020'!Salim-'2020'!Resal)*(1-EXP(('2020'!Tnet-t)/('2020'!Tau_j))),Resal+(Salim-Resal)*(1-EXP((Tnet-t)/(Tau_j))))*Salcycl</f>
        <v>2.0169226873290327E-2</v>
      </c>
      <c r="P140" s="169">
        <f>(INDEX(Models!$BJ140:$BT140,,T140)*(1-R140)+INDEX(Models!$BJ140:$BT140,,T140+1)*R140-ERP_i)*Q140*Ramure*Pc/MaxiM</f>
        <v>0</v>
      </c>
      <c r="Q140" s="305">
        <f t="shared" si="27"/>
        <v>0.7</v>
      </c>
      <c r="R140" s="177">
        <f t="shared" si="28"/>
        <v>0.25722143299751943</v>
      </c>
      <c r="S140" s="817">
        <f t="shared" si="29"/>
        <v>-1</v>
      </c>
      <c r="T140" s="176">
        <f t="shared" si="30"/>
        <v>5</v>
      </c>
      <c r="U140" s="251">
        <f t="shared" si="31"/>
        <v>-0.74277856700248057</v>
      </c>
      <c r="V140" s="383">
        <f t="shared" si="32"/>
        <v>40.979735583708639</v>
      </c>
      <c r="W140" s="402"/>
      <c r="X140" s="157">
        <f t="shared" si="33"/>
        <v>44322</v>
      </c>
      <c r="Y140" s="385">
        <f t="shared" si="34"/>
        <v>23.765487323874524</v>
      </c>
      <c r="Z140" s="385">
        <f t="shared" si="35"/>
        <v>24.35195756750328</v>
      </c>
      <c r="AA140" s="386">
        <f t="shared" si="36"/>
        <v>27.402305005630748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0.11131718435732572</v>
      </c>
      <c r="AD140" s="231">
        <f>(INDEX(Models!$BJ140:$BT140,,AH140)*(1-AF140)+INDEX(Models!$BJ140:$BT140,,AH140+1)*AF140-ERP_i)*AE140*Ramure*Pc/MaxiM</f>
        <v>0</v>
      </c>
      <c r="AE140" s="305">
        <f t="shared" si="38"/>
        <v>0.7</v>
      </c>
      <c r="AF140" s="177">
        <f t="shared" si="39"/>
        <v>0.25722143299751943</v>
      </c>
      <c r="AG140" s="817">
        <f t="shared" si="47"/>
        <v>-1</v>
      </c>
      <c r="AH140" s="176">
        <f t="shared" si="40"/>
        <v>5</v>
      </c>
      <c r="AI140" s="225">
        <f t="shared" si="41"/>
        <v>-0.74277856700248057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44323</v>
      </c>
      <c r="B141" s="617">
        <v>21.016999999999999</v>
      </c>
      <c r="C141" s="390"/>
      <c r="D141" s="393">
        <f t="shared" si="24"/>
        <v>21.536116441113911</v>
      </c>
      <c r="E141" s="385">
        <f t="shared" si="45"/>
        <v>21.983746693301711</v>
      </c>
      <c r="F141" s="385">
        <f t="shared" si="25"/>
        <v>21.983746693301711</v>
      </c>
      <c r="G141" s="110">
        <f t="shared" si="46"/>
        <v>0.51202070775647834</v>
      </c>
      <c r="H141" s="414" t="b">
        <f>Wh_hp&gt;='2020'!Maxi_hp</f>
        <v>0</v>
      </c>
      <c r="I141" s="380">
        <f>IF(H141,Wh_hp,'2020'!Maxi_hp)</f>
        <v>41.484775655026766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2.4104459247948906E-2</v>
      </c>
      <c r="M141" s="850"/>
      <c r="N141" s="850"/>
      <c r="O141" s="48">
        <f>IF(t&lt;Tnet,'2020'!Resal+('2020'!Salim-'2020'!Resal)*(1-EXP(('2020'!Tnet-t)/('2020'!Tau_j))),Resal+(Salim-Resal)*(1-EXP((Tnet-t)/(Tau_j))))*Salcycl</f>
        <v>2.036187272500678E-2</v>
      </c>
      <c r="P141" s="169">
        <f>(INDEX(Models!$BJ141:$BT141,,T141)*(1-R141)+INDEX(Models!$BJ141:$BT141,,T141+1)*R141-ERP_i)*Q141*Ramure*Pc/MaxiM</f>
        <v>0</v>
      </c>
      <c r="Q141" s="305">
        <f t="shared" si="27"/>
        <v>0.7</v>
      </c>
      <c r="R141" s="177">
        <f t="shared" si="28"/>
        <v>0.25916012604034311</v>
      </c>
      <c r="S141" s="817">
        <f t="shared" si="29"/>
        <v>-1</v>
      </c>
      <c r="T141" s="176">
        <f t="shared" si="30"/>
        <v>5</v>
      </c>
      <c r="U141" s="251">
        <f t="shared" si="31"/>
        <v>-0.74083987395965689</v>
      </c>
      <c r="V141" s="383">
        <f t="shared" si="32"/>
        <v>41.047167978987048</v>
      </c>
      <c r="W141" s="402"/>
      <c r="X141" s="157">
        <f t="shared" si="33"/>
        <v>44323</v>
      </c>
      <c r="Y141" s="385">
        <f t="shared" si="34"/>
        <v>19.063054995912086</v>
      </c>
      <c r="Z141" s="385">
        <f t="shared" si="35"/>
        <v>19.533909316996763</v>
      </c>
      <c r="AA141" s="386">
        <f t="shared" si="36"/>
        <v>21.983746693301711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0.11143857371006717</v>
      </c>
      <c r="AD141" s="231">
        <f>(INDEX(Models!$BJ141:$BT141,,AH141)*(1-AF141)+INDEX(Models!$BJ141:$BT141,,AH141+1)*AF141-ERP_i)*AE141*Ramure*Pc/MaxiM</f>
        <v>0</v>
      </c>
      <c r="AE141" s="305">
        <f t="shared" si="38"/>
        <v>0.7</v>
      </c>
      <c r="AF141" s="177">
        <f t="shared" si="39"/>
        <v>0.25916012604034311</v>
      </c>
      <c r="AG141" s="817">
        <f t="shared" si="47"/>
        <v>-1</v>
      </c>
      <c r="AH141" s="176">
        <f t="shared" si="40"/>
        <v>5</v>
      </c>
      <c r="AI141" s="225">
        <f t="shared" si="41"/>
        <v>-0.74083987395965689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44324</v>
      </c>
      <c r="B142" s="617">
        <v>38.978999999999999</v>
      </c>
      <c r="C142" s="390"/>
      <c r="D142" s="393">
        <f t="shared" si="24"/>
        <v>39.942649731545615</v>
      </c>
      <c r="E142" s="385">
        <f t="shared" si="45"/>
        <v>40.780889517262061</v>
      </c>
      <c r="F142" s="385">
        <f t="shared" si="25"/>
        <v>40.780889517262061</v>
      </c>
      <c r="G142" s="110">
        <f t="shared" si="46"/>
        <v>0.94815191327694959</v>
      </c>
      <c r="H142" s="414" t="b">
        <f>Wh_hp&gt;='2020'!Maxi_hp</f>
        <v>1</v>
      </c>
      <c r="I142" s="380">
        <f>IF(H142,Wh_hp,'2020'!Maxi_hp)</f>
        <v>40.780889517262061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2.4125833864861224E-2</v>
      </c>
      <c r="M142" s="850"/>
      <c r="N142" s="850"/>
      <c r="O142" s="48">
        <f>IF(t&lt;Tnet,'2020'!Resal+('2020'!Salim-'2020'!Resal)*(1-EXP(('2020'!Tnet-t)/('2020'!Tau_j))),Resal+(Salim-Resal)*(1-EXP((Tnet-t)/(Tau_j))))*Salcycl</f>
        <v>2.0554720498718683E-2</v>
      </c>
      <c r="P142" s="169">
        <f>(INDEX(Models!$BJ142:$BT142,,T142)*(1-R142)+INDEX(Models!$BJ142:$BT142,,T142+1)*R142-ERP_i)*Q142*Ramure*Pc/MaxiM</f>
        <v>0</v>
      </c>
      <c r="Q142" s="305">
        <f t="shared" si="27"/>
        <v>0.7</v>
      </c>
      <c r="R142" s="177">
        <f t="shared" si="28"/>
        <v>0.26114749792899206</v>
      </c>
      <c r="S142" s="817">
        <f t="shared" si="29"/>
        <v>-1</v>
      </c>
      <c r="T142" s="176">
        <f t="shared" si="30"/>
        <v>5</v>
      </c>
      <c r="U142" s="251">
        <f t="shared" si="31"/>
        <v>-0.73885250207100794</v>
      </c>
      <c r="V142" s="383">
        <f t="shared" si="32"/>
        <v>41.110500811291899</v>
      </c>
      <c r="W142" s="402"/>
      <c r="X142" s="157">
        <f t="shared" si="33"/>
        <v>44324</v>
      </c>
      <c r="Y142" s="385">
        <f t="shared" si="34"/>
        <v>35.35721207833631</v>
      </c>
      <c r="Z142" s="385">
        <f t="shared" si="35"/>
        <v>36.231322956693631</v>
      </c>
      <c r="AA142" s="386">
        <f t="shared" si="36"/>
        <v>40.780889517262061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0.1115612389632319</v>
      </c>
      <c r="AD142" s="231">
        <f>(INDEX(Models!$BJ142:$BT142,,AH142)*(1-AF142)+INDEX(Models!$BJ142:$BT142,,AH142+1)*AF142-ERP_i)*AE142*Ramure*Pc/MaxiM</f>
        <v>0</v>
      </c>
      <c r="AE142" s="305">
        <f t="shared" si="38"/>
        <v>0.7</v>
      </c>
      <c r="AF142" s="177">
        <f t="shared" si="39"/>
        <v>0.26114749792899206</v>
      </c>
      <c r="AG142" s="817">
        <f t="shared" si="47"/>
        <v>-1</v>
      </c>
      <c r="AH142" s="176">
        <f t="shared" si="40"/>
        <v>5</v>
      </c>
      <c r="AI142" s="225">
        <f t="shared" si="41"/>
        <v>-0.73885250207100794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44325</v>
      </c>
      <c r="B143" s="617">
        <v>14.354000000000001</v>
      </c>
      <c r="C143" s="390"/>
      <c r="D143" s="393">
        <f t="shared" ref="D143:D206" si="48">Wh/(1-Ppv)</f>
        <v>14.709185768461952</v>
      </c>
      <c r="E143" s="385">
        <f t="shared" si="45"/>
        <v>15.020834558459303</v>
      </c>
      <c r="F143" s="385">
        <f t="shared" ref="F143:F206" si="49">Wh_sa/(1-Pvg*MEDIAN((-Sdif+Wh/Env_an)/Csdif,0,1))</f>
        <v>15.020834558459303</v>
      </c>
      <c r="G143" s="110">
        <f t="shared" si="46"/>
        <v>0.348655026184443</v>
      </c>
      <c r="H143" s="414" t="b">
        <f>Wh_hp&gt;='2020'!Maxi_hp</f>
        <v>0</v>
      </c>
      <c r="I143" s="380">
        <f>IF(H143,Wh_hp,'2020'!Maxi_hp)</f>
        <v>36.791397010970201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2.4147208013614585E-2</v>
      </c>
      <c r="M143" s="850"/>
      <c r="N143" s="850"/>
      <c r="O143" s="48">
        <f>IF(t&lt;Tnet,'2020'!Resal+('2020'!Salim-'2020'!Resal)*(1-EXP(('2020'!Tnet-t)/('2020'!Tau_j))),Resal+(Salim-Resal)*(1-EXP((Tnet-t)/(Tau_j))))*Salcycl</f>
        <v>2.0747767960858136E-2</v>
      </c>
      <c r="P143" s="169">
        <f>(INDEX(Models!$BJ143:$BT143,,T143)*(1-R143)+INDEX(Models!$BJ143:$BT143,,T143+1)*R143-ERP_i)*Q143*Ramure*Pc/MaxiM</f>
        <v>0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0.2631836638792292</v>
      </c>
      <c r="S143" s="817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-0.7368163361207708</v>
      </c>
      <c r="V143" s="383">
        <f t="shared" ref="V143:V206" si="56">MaxiM*(1-Ppv)*(1-Pvg)*(1-Psa)</f>
        <v>41.169634515483935</v>
      </c>
      <c r="W143" s="402"/>
      <c r="X143" s="157">
        <f t="shared" ref="X143:X206" si="57">t</f>
        <v>44325</v>
      </c>
      <c r="Y143" s="385">
        <f t="shared" ref="Y143:Y206" si="58">Wh_pvt_s*(1-Ppv)</f>
        <v>13.021028829488516</v>
      </c>
      <c r="Z143" s="385">
        <f t="shared" ref="Z143:Z206" si="59">Wh_sa_s*(1-Psa_s)</f>
        <v>13.343230594220792</v>
      </c>
      <c r="AA143" s="386">
        <f t="shared" ref="AA143:AA206" si="60">Wh_hp*(1-Pvg_s*MEDIAN((-Sdif+Wh/Env_an)/Csdif,0,1))</f>
        <v>15.020834558459303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0.11168513691496136</v>
      </c>
      <c r="AD143" s="231">
        <f>(INDEX(Models!$BJ143:$BT143,,AH143)*(1-AF143)+INDEX(Models!$BJ143:$BT143,,AH143+1)*AF143-ERP_i)*AE143*Ramure*Pc/MaxiM</f>
        <v>0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0.2631836638792292</v>
      </c>
      <c r="AG143" s="817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-0.7368163361207708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44326</v>
      </c>
      <c r="B144" s="617">
        <v>29.155000000000001</v>
      </c>
      <c r="C144" s="390"/>
      <c r="D144" s="393">
        <f t="shared" si="48"/>
        <v>29.877086813435806</v>
      </c>
      <c r="E144" s="385">
        <f t="shared" ref="E144:E169" si="69">Wh_pvt/(1-Psa)</f>
        <v>30.516125357083094</v>
      </c>
      <c r="F144" s="385">
        <f t="shared" si="49"/>
        <v>30.516125357083094</v>
      </c>
      <c r="G144" s="110">
        <f t="shared" ref="G144:G169" si="70">+Wh_hp/MaxiM</f>
        <v>0.70722559292341658</v>
      </c>
      <c r="H144" s="414" t="b">
        <f>Wh_hp&gt;='2020'!Maxi_hp</f>
        <v>0</v>
      </c>
      <c r="I144" s="380">
        <f>IF(H144,Wh_hp,'2020'!Maxi_hp)</f>
        <v>32.104505340097717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2.4168581694219315E-2</v>
      </c>
      <c r="M144" s="850"/>
      <c r="N144" s="850"/>
      <c r="O144" s="48">
        <f>IF(t&lt;Tnet,'2020'!Resal+('2020'!Salim-'2020'!Resal)*(1-EXP(('2020'!Tnet-t)/('2020'!Tau_j))),Resal+(Salim-Resal)*(1-EXP((Tnet-t)/(Tau_j))))*Salcycl</f>
        <v>2.09410118804274E-2</v>
      </c>
      <c r="P144" s="169">
        <f>(INDEX(Models!$BJ144:$BT144,,T144)*(1-R144)+INDEX(Models!$BJ144:$BT144,,T144+1)*R144-ERP_i)*Q144*Ramure*Pc/MaxiM</f>
        <v>0</v>
      </c>
      <c r="Q144" s="305">
        <f t="shared" si="51"/>
        <v>0.7</v>
      </c>
      <c r="R144" s="177">
        <f t="shared" si="52"/>
        <v>0.26526866043715824</v>
      </c>
      <c r="S144" s="817">
        <f t="shared" si="53"/>
        <v>-1</v>
      </c>
      <c r="T144" s="176">
        <f t="shared" si="54"/>
        <v>5</v>
      </c>
      <c r="U144" s="251">
        <f t="shared" si="55"/>
        <v>-0.73473133956284176</v>
      </c>
      <c r="V144" s="383">
        <f t="shared" si="56"/>
        <v>41.224469662478846</v>
      </c>
      <c r="W144" s="402"/>
      <c r="X144" s="157">
        <f t="shared" si="57"/>
        <v>44326</v>
      </c>
      <c r="Y144" s="385">
        <f t="shared" si="58"/>
        <v>26.449042736973166</v>
      </c>
      <c r="Z144" s="385">
        <f t="shared" si="59"/>
        <v>27.104110649453645</v>
      </c>
      <c r="AA144" s="386">
        <f t="shared" si="60"/>
        <v>30.516125357083094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0.11181022058678514</v>
      </c>
      <c r="AD144" s="231">
        <f>(INDEX(Models!$BJ144:$BT144,,AH144)*(1-AF144)+INDEX(Models!$BJ144:$BT144,,AH144+1)*AF144-ERP_i)*AE144*Ramure*Pc/MaxiM</f>
        <v>0</v>
      </c>
      <c r="AE144" s="305">
        <f t="shared" si="62"/>
        <v>0.7</v>
      </c>
      <c r="AF144" s="177">
        <f t="shared" si="63"/>
        <v>0.26526866043715824</v>
      </c>
      <c r="AG144" s="817">
        <f t="shared" ref="AG144:AG207" si="71">INDEX(Echel_vg,AH144)</f>
        <v>-1</v>
      </c>
      <c r="AH144" s="176">
        <f t="shared" si="64"/>
        <v>5</v>
      </c>
      <c r="AI144" s="225">
        <f t="shared" si="65"/>
        <v>-0.73473133956284176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44327</v>
      </c>
      <c r="B145" s="617">
        <v>23.887</v>
      </c>
      <c r="C145" s="390"/>
      <c r="D145" s="393">
        <f t="shared" si="48"/>
        <v>24.479149523118242</v>
      </c>
      <c r="E145" s="385">
        <f t="shared" si="69"/>
        <v>25.007672885337715</v>
      </c>
      <c r="F145" s="385">
        <f t="shared" si="49"/>
        <v>25.007672885337715</v>
      </c>
      <c r="G145" s="110">
        <f t="shared" si="70"/>
        <v>0.57872934815185617</v>
      </c>
      <c r="H145" s="414" t="b">
        <f>Wh_hp&gt;='2020'!Maxi_hp</f>
        <v>0</v>
      </c>
      <c r="I145" s="380">
        <f>IF(H145,Wh_hp,'2020'!Maxi_hp)</f>
        <v>27.740369982963095</v>
      </c>
      <c r="J145" s="85">
        <f>IF(H145,An,'2020'!An_max)</f>
        <v>2019</v>
      </c>
      <c r="K145" s="197">
        <f t="shared" si="50"/>
        <v>44327</v>
      </c>
      <c r="L145" s="147">
        <f>IF(t&lt;Tvie,1-EXP((T0-t)*PertePVj)+'2020'!Pspv,1-EXP((T0-t)*PertePVj)+Pspv)</f>
        <v>2.4189954906685518E-2</v>
      </c>
      <c r="M145" s="850"/>
      <c r="N145" s="850"/>
      <c r="O145" s="48">
        <f>IF(t&lt;Tnet,'2020'!Resal+('2020'!Salim-'2020'!Resal)*(1-EXP(('2020'!Tnet-t)/('2020'!Tau_j))),Resal+(Salim-Resal)*(1-EXP((Tnet-t)/(Tau_j))))*Salcycl</f>
        <v>2.1134448000931418E-2</v>
      </c>
      <c r="P145" s="169">
        <f>(INDEX(Models!$BJ145:$BT145,,T145)*(1-R145)+INDEX(Models!$BJ145:$BT145,,T145+1)*R145-ERP_i)*Q145*Ramure*Pc/MaxiM</f>
        <v>0</v>
      </c>
      <c r="Q145" s="305">
        <f t="shared" si="51"/>
        <v>0.7</v>
      </c>
      <c r="R145" s="177">
        <f t="shared" si="52"/>
        <v>0.26740244151213366</v>
      </c>
      <c r="S145" s="817">
        <f t="shared" si="53"/>
        <v>-1</v>
      </c>
      <c r="T145" s="176">
        <f t="shared" si="54"/>
        <v>5</v>
      </c>
      <c r="U145" s="251">
        <f t="shared" si="55"/>
        <v>-0.73259755848786634</v>
      </c>
      <c r="V145" s="383">
        <f t="shared" si="56"/>
        <v>41.274906960018463</v>
      </c>
      <c r="W145" s="402"/>
      <c r="X145" s="157">
        <f t="shared" si="57"/>
        <v>44327</v>
      </c>
      <c r="Y145" s="385">
        <f t="shared" si="58"/>
        <v>21.671182761600893</v>
      </c>
      <c r="Z145" s="385">
        <f t="shared" si="59"/>
        <v>22.208403029432361</v>
      </c>
      <c r="AA145" s="386">
        <f t="shared" si="60"/>
        <v>25.007672885337715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0.11193643921768502</v>
      </c>
      <c r="AD145" s="231">
        <f>(INDEX(Models!$BJ145:$BT145,,AH145)*(1-AF145)+INDEX(Models!$BJ145:$BT145,,AH145+1)*AF145-ERP_i)*AE145*Ramure*Pc/MaxiM</f>
        <v>0</v>
      </c>
      <c r="AE145" s="305">
        <f t="shared" si="62"/>
        <v>0.7</v>
      </c>
      <c r="AF145" s="177">
        <f t="shared" si="63"/>
        <v>0.26740244151213366</v>
      </c>
      <c r="AG145" s="817">
        <f t="shared" si="71"/>
        <v>-1</v>
      </c>
      <c r="AH145" s="176">
        <f t="shared" si="64"/>
        <v>5</v>
      </c>
      <c r="AI145" s="225">
        <f t="shared" si="65"/>
        <v>-0.73259755848786634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44328</v>
      </c>
      <c r="B146" s="617">
        <v>25.672000000000001</v>
      </c>
      <c r="C146" s="390"/>
      <c r="D146" s="393">
        <f t="shared" si="48"/>
        <v>26.308975219194579</v>
      </c>
      <c r="E146" s="385">
        <f t="shared" si="69"/>
        <v>26.882323320027496</v>
      </c>
      <c r="F146" s="385">
        <f t="shared" si="49"/>
        <v>26.882323320027496</v>
      </c>
      <c r="G146" s="110">
        <f t="shared" si="70"/>
        <v>0.62128445332033744</v>
      </c>
      <c r="H146" s="414" t="b">
        <f>Wh_hp&gt;='2020'!Maxi_hp</f>
        <v>0</v>
      </c>
      <c r="I146" s="380">
        <f>IF(H146,Wh_hp,'2020'!Maxi_hp)</f>
        <v>40.951725833965142</v>
      </c>
      <c r="J146" s="85">
        <f>IF(H146,An,'2020'!An_max)</f>
        <v>2019</v>
      </c>
      <c r="K146" s="197">
        <f t="shared" si="50"/>
        <v>44328</v>
      </c>
      <c r="L146" s="147">
        <f>IF(t&lt;Tvie,1-EXP((T0-t)*PertePVj)+'2020'!Pspv,1-EXP((T0-t)*PertePVj)+Pspv)</f>
        <v>2.4211327651023518E-2</v>
      </c>
      <c r="M146" s="850"/>
      <c r="N146" s="850"/>
      <c r="O146" s="48">
        <f>IF(t&lt;Tnet,'2020'!Resal+('2020'!Salim-'2020'!Resal)*(1-EXP(('2020'!Tnet-t)/('2020'!Tau_j))),Resal+(Salim-Resal)*(1-EXP((Tnet-t)/(Tau_j))))*Salcycl</f>
        <v>2.1328071015564668E-2</v>
      </c>
      <c r="P146" s="169">
        <f>(INDEX(Models!$BJ146:$BT146,,T146)*(1-R146)+INDEX(Models!$BJ146:$BT146,,T146+1)*R146-ERP_i)*Q146*Ramure*Pc/MaxiM</f>
        <v>0</v>
      </c>
      <c r="Q146" s="305">
        <f t="shared" si="51"/>
        <v>0.7</v>
      </c>
      <c r="R146" s="177">
        <f t="shared" si="52"/>
        <v>0.26958487455081903</v>
      </c>
      <c r="S146" s="817">
        <f t="shared" si="53"/>
        <v>-1</v>
      </c>
      <c r="T146" s="176">
        <f t="shared" si="54"/>
        <v>5</v>
      </c>
      <c r="U146" s="251">
        <f t="shared" si="55"/>
        <v>-0.73041512544918097</v>
      </c>
      <c r="V146" s="383">
        <f t="shared" si="56"/>
        <v>41.320847258934045</v>
      </c>
      <c r="W146" s="402"/>
      <c r="X146" s="157">
        <f t="shared" si="57"/>
        <v>44328</v>
      </c>
      <c r="Y146" s="385">
        <f t="shared" si="58"/>
        <v>23.291870376491399</v>
      </c>
      <c r="Z146" s="385">
        <f t="shared" si="59"/>
        <v>23.869789675280636</v>
      </c>
      <c r="AA146" s="386">
        <f t="shared" si="60"/>
        <v>26.882323320027496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0.1120637382745302</v>
      </c>
      <c r="AD146" s="231">
        <f>(INDEX(Models!$BJ146:$BT146,,AH146)*(1-AF146)+INDEX(Models!$BJ146:$BT146,,AH146+1)*AF146-ERP_i)*AE146*Ramure*Pc/MaxiM</f>
        <v>0</v>
      </c>
      <c r="AE146" s="305">
        <f t="shared" si="62"/>
        <v>0.7</v>
      </c>
      <c r="AF146" s="177">
        <f t="shared" si="63"/>
        <v>0.26958487455081903</v>
      </c>
      <c r="AG146" s="817">
        <f t="shared" si="71"/>
        <v>-1</v>
      </c>
      <c r="AH146" s="176">
        <f t="shared" si="64"/>
        <v>5</v>
      </c>
      <c r="AI146" s="225">
        <f t="shared" si="65"/>
        <v>-0.73041512544918097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44329</v>
      </c>
      <c r="B147" s="617">
        <v>33.058</v>
      </c>
      <c r="C147" s="390"/>
      <c r="D147" s="393">
        <f t="shared" si="48"/>
        <v>33.878979135225258</v>
      </c>
      <c r="E147" s="385">
        <f t="shared" si="69"/>
        <v>34.624155874212015</v>
      </c>
      <c r="F147" s="385">
        <f t="shared" si="49"/>
        <v>34.624155874212015</v>
      </c>
      <c r="G147" s="110">
        <f t="shared" si="70"/>
        <v>0.79923231247443294</v>
      </c>
      <c r="H147" s="414" t="b">
        <f>Wh_hp&gt;='2020'!Maxi_hp</f>
        <v>0</v>
      </c>
      <c r="I147" s="380">
        <f>IF(H147,Wh_hp,'2020'!Maxi_hp)</f>
        <v>45.292153927540518</v>
      </c>
      <c r="J147" s="85">
        <f>IF(H147,An,'2020'!An_max)</f>
        <v>2019</v>
      </c>
      <c r="K147" s="197">
        <f t="shared" si="50"/>
        <v>44329</v>
      </c>
      <c r="L147" s="147">
        <f>IF(t&lt;Tvie,1-EXP((T0-t)*PertePVj)+'2020'!Pspv,1-EXP((T0-t)*PertePVj)+Pspv)</f>
        <v>2.4232699927243528E-2</v>
      </c>
      <c r="M147" s="850"/>
      <c r="N147" s="850"/>
      <c r="O147" s="48">
        <f>IF(t&lt;Tnet,'2020'!Resal+('2020'!Salim-'2020'!Resal)*(1-EXP(('2020'!Tnet-t)/('2020'!Tau_j))),Resal+(Salim-Resal)*(1-EXP((Tnet-t)/(Tau_j))))*Salcycl</f>
        <v>2.1521874546023643E-2</v>
      </c>
      <c r="P147" s="169">
        <f>(INDEX(Models!$BJ147:$BT147,,T147)*(1-R147)+INDEX(Models!$BJ147:$BT147,,T147+1)*R147-ERP_i)*Q147*Ramure*Pc/MaxiM</f>
        <v>0</v>
      </c>
      <c r="Q147" s="305">
        <f t="shared" si="51"/>
        <v>0.7</v>
      </c>
      <c r="R147" s="177">
        <f t="shared" si="52"/>
        <v>0.27181573688606397</v>
      </c>
      <c r="S147" s="817">
        <f t="shared" si="53"/>
        <v>-1</v>
      </c>
      <c r="T147" s="176">
        <f t="shared" si="54"/>
        <v>5</v>
      </c>
      <c r="U147" s="251">
        <f t="shared" si="55"/>
        <v>-0.72818426311393603</v>
      </c>
      <c r="V147" s="383">
        <f t="shared" si="56"/>
        <v>41.362191548101997</v>
      </c>
      <c r="W147" s="402"/>
      <c r="X147" s="157">
        <f t="shared" si="57"/>
        <v>44329</v>
      </c>
      <c r="Y147" s="385">
        <f t="shared" si="58"/>
        <v>29.994697003671718</v>
      </c>
      <c r="Z147" s="385">
        <f t="shared" si="59"/>
        <v>30.739600518930295</v>
      </c>
      <c r="AA147" s="386">
        <f t="shared" si="60"/>
        <v>34.624155874212015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0.11219205947992292</v>
      </c>
      <c r="AD147" s="231">
        <f>(INDEX(Models!$BJ147:$BT147,,AH147)*(1-AF147)+INDEX(Models!$BJ147:$BT147,,AH147+1)*AF147-ERP_i)*AE147*Ramure*Pc/MaxiM</f>
        <v>0</v>
      </c>
      <c r="AE147" s="305">
        <f t="shared" si="62"/>
        <v>0.7</v>
      </c>
      <c r="AF147" s="177">
        <f t="shared" si="63"/>
        <v>0.27181573688606397</v>
      </c>
      <c r="AG147" s="817">
        <f t="shared" si="71"/>
        <v>-1</v>
      </c>
      <c r="AH147" s="176">
        <f t="shared" si="64"/>
        <v>5</v>
      </c>
      <c r="AI147" s="225">
        <f t="shared" si="65"/>
        <v>-0.72818426311393603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44330</v>
      </c>
      <c r="B148" s="617">
        <v>29.667000000000002</v>
      </c>
      <c r="C148" s="390"/>
      <c r="D148" s="393">
        <f t="shared" si="48"/>
        <v>30.404431256774508</v>
      </c>
      <c r="E148" s="385">
        <f t="shared" si="69"/>
        <v>31.079345701091388</v>
      </c>
      <c r="F148" s="385">
        <f t="shared" si="49"/>
        <v>31.079345701091388</v>
      </c>
      <c r="G148" s="110">
        <f t="shared" si="70"/>
        <v>0.71661426528921113</v>
      </c>
      <c r="H148" s="414" t="b">
        <f>Wh_hp&gt;='2020'!Maxi_hp</f>
        <v>0</v>
      </c>
      <c r="I148" s="380">
        <f>IF(H148,Wh_hp,'2020'!Maxi_hp)</f>
        <v>43.95743971785987</v>
      </c>
      <c r="J148" s="85">
        <f>IF(H148,An,'2020'!An_max)</f>
        <v>2019</v>
      </c>
      <c r="K148" s="197">
        <f t="shared" si="50"/>
        <v>44330</v>
      </c>
      <c r="L148" s="147">
        <f>IF(t&lt;Tvie,1-EXP((T0-t)*PertePVj)+'2020'!Pspv,1-EXP((T0-t)*PertePVj)+Pspv)</f>
        <v>2.4254071735355875E-2</v>
      </c>
      <c r="M148" s="850"/>
      <c r="N148" s="850"/>
      <c r="O148" s="48">
        <f>IF(t&lt;Tnet,'2020'!Resal+('2020'!Salim-'2020'!Resal)*(1-EXP(('2020'!Tnet-t)/('2020'!Tau_j))),Resal+(Salim-Resal)*(1-EXP((Tnet-t)/(Tau_j))))*Salcycl</f>
        <v>2.1715851125307887E-2</v>
      </c>
      <c r="P148" s="169">
        <f>(INDEX(Models!$BJ148:$BT148,,T148)*(1-R148)+INDEX(Models!$BJ148:$BT148,,T148+1)*R148-ERP_i)*Q148*Ramure*Pc/MaxiM</f>
        <v>0</v>
      </c>
      <c r="Q148" s="305">
        <f t="shared" si="51"/>
        <v>0.7</v>
      </c>
      <c r="R148" s="177">
        <f t="shared" si="52"/>
        <v>0.27409471229531934</v>
      </c>
      <c r="S148" s="817">
        <f t="shared" si="53"/>
        <v>-1</v>
      </c>
      <c r="T148" s="176">
        <f t="shared" si="54"/>
        <v>5</v>
      </c>
      <c r="U148" s="251">
        <f t="shared" si="55"/>
        <v>-0.72590528770468066</v>
      </c>
      <c r="V148" s="383">
        <f t="shared" si="56"/>
        <v>41.398840962267194</v>
      </c>
      <c r="W148" s="402"/>
      <c r="X148" s="157">
        <f t="shared" si="57"/>
        <v>44330</v>
      </c>
      <c r="Y148" s="385">
        <f t="shared" si="58"/>
        <v>26.919339141952353</v>
      </c>
      <c r="Z148" s="385">
        <f t="shared" si="59"/>
        <v>27.588471918943252</v>
      </c>
      <c r="AA148" s="386">
        <f t="shared" si="60"/>
        <v>31.079345701091388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0.11232134085839365</v>
      </c>
      <c r="AD148" s="231">
        <f>(INDEX(Models!$BJ148:$BT148,,AH148)*(1-AF148)+INDEX(Models!$BJ148:$BT148,,AH148+1)*AF148-ERP_i)*AE148*Ramure*Pc/MaxiM</f>
        <v>0</v>
      </c>
      <c r="AE148" s="305">
        <f t="shared" si="62"/>
        <v>0.7</v>
      </c>
      <c r="AF148" s="177">
        <f t="shared" si="63"/>
        <v>0.27409471229531934</v>
      </c>
      <c r="AG148" s="817">
        <f t="shared" si="71"/>
        <v>-1</v>
      </c>
      <c r="AH148" s="176">
        <f t="shared" si="64"/>
        <v>5</v>
      </c>
      <c r="AI148" s="225">
        <f t="shared" si="65"/>
        <v>-0.72590528770468066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44331</v>
      </c>
      <c r="B149" s="617">
        <v>14.177</v>
      </c>
      <c r="C149" s="390"/>
      <c r="D149" s="393">
        <f t="shared" si="48"/>
        <v>14.52971527608597</v>
      </c>
      <c r="E149" s="385">
        <f t="shared" si="69"/>
        <v>14.8551924260452</v>
      </c>
      <c r="F149" s="385">
        <f t="shared" si="49"/>
        <v>14.8551924260452</v>
      </c>
      <c r="G149" s="110">
        <f t="shared" si="70"/>
        <v>0.3421929242501448</v>
      </c>
      <c r="H149" s="414" t="b">
        <f>Wh_hp&gt;='2020'!Maxi_hp</f>
        <v>0</v>
      </c>
      <c r="I149" s="380">
        <f>IF(H149,Wh_hp,'2020'!Maxi_hp)</f>
        <v>44.25827136765831</v>
      </c>
      <c r="J149" s="85">
        <f>IF(H149,An,'2020'!An_max)</f>
        <v>2019</v>
      </c>
      <c r="K149" s="197">
        <f t="shared" si="50"/>
        <v>44331</v>
      </c>
      <c r="L149" s="147">
        <f>IF(t&lt;Tvie,1-EXP((T0-t)*PertePVj)+'2020'!Pspv,1-EXP((T0-t)*PertePVj)+Pspv)</f>
        <v>2.4275443075370773E-2</v>
      </c>
      <c r="M149" s="850"/>
      <c r="N149" s="850"/>
      <c r="O149" s="48">
        <f>IF(t&lt;Tnet,'2020'!Resal+('2020'!Salim-'2020'!Resal)*(1-EXP(('2020'!Tnet-t)/('2020'!Tau_j))),Resal+(Salim-Resal)*(1-EXP((Tnet-t)/(Tau_j))))*Salcycl</f>
        <v>2.1909992184859204E-2</v>
      </c>
      <c r="P149" s="169">
        <f>(INDEX(Models!$BJ149:$BT149,,T149)*(1-R149)+INDEX(Models!$BJ149:$BT149,,T149+1)*R149-ERP_i)*Q149*Ramure*Pc/MaxiM</f>
        <v>0</v>
      </c>
      <c r="Q149" s="305">
        <f t="shared" si="51"/>
        <v>0.7</v>
      </c>
      <c r="R149" s="177">
        <f t="shared" si="52"/>
        <v>0.27642138780407211</v>
      </c>
      <c r="S149" s="817">
        <f t="shared" si="53"/>
        <v>-1</v>
      </c>
      <c r="T149" s="176">
        <f t="shared" si="54"/>
        <v>5</v>
      </c>
      <c r="U149" s="251">
        <f t="shared" si="55"/>
        <v>-0.72357861219592789</v>
      </c>
      <c r="V149" s="383">
        <f t="shared" si="56"/>
        <v>41.429845550039893</v>
      </c>
      <c r="W149" s="402"/>
      <c r="X149" s="157">
        <f t="shared" si="57"/>
        <v>44331</v>
      </c>
      <c r="Y149" s="385">
        <f t="shared" si="58"/>
        <v>12.864638985944433</v>
      </c>
      <c r="Z149" s="385">
        <f t="shared" si="59"/>
        <v>13.184703505354303</v>
      </c>
      <c r="AA149" s="386">
        <f t="shared" si="60"/>
        <v>14.8551924260452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0.11245151680176656</v>
      </c>
      <c r="AD149" s="231">
        <f>(INDEX(Models!$BJ149:$BT149,,AH149)*(1-AF149)+INDEX(Models!$BJ149:$BT149,,AH149+1)*AF149-ERP_i)*AE149*Ramure*Pc/MaxiM</f>
        <v>0</v>
      </c>
      <c r="AE149" s="305">
        <f t="shared" si="62"/>
        <v>0.7</v>
      </c>
      <c r="AF149" s="177">
        <f t="shared" si="63"/>
        <v>0.27642138780407211</v>
      </c>
      <c r="AG149" s="817">
        <f t="shared" si="71"/>
        <v>-1</v>
      </c>
      <c r="AH149" s="176">
        <f t="shared" si="64"/>
        <v>5</v>
      </c>
      <c r="AI149" s="225">
        <f t="shared" si="65"/>
        <v>-0.72357861219592789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44332</v>
      </c>
      <c r="B150" s="617">
        <v>9.42</v>
      </c>
      <c r="C150" s="390"/>
      <c r="D150" s="393">
        <f t="shared" si="48"/>
        <v>9.6545754227876319</v>
      </c>
      <c r="E150" s="385">
        <f t="shared" si="69"/>
        <v>9.8728067878524879</v>
      </c>
      <c r="F150" s="385">
        <f t="shared" si="49"/>
        <v>9.8728067878524879</v>
      </c>
      <c r="G150" s="110">
        <f t="shared" si="70"/>
        <v>0.22723618816397168</v>
      </c>
      <c r="H150" s="414" t="b">
        <f>Wh_hp&gt;='2020'!Maxi_hp</f>
        <v>0</v>
      </c>
      <c r="I150" s="380">
        <f>IF(H150,Wh_hp,'2020'!Maxi_hp)</f>
        <v>36.452681586841123</v>
      </c>
      <c r="J150" s="85">
        <f>IF(H150,An,'2020'!An_max)</f>
        <v>2019</v>
      </c>
      <c r="K150" s="197">
        <f t="shared" si="50"/>
        <v>44332</v>
      </c>
      <c r="L150" s="147">
        <f>IF(t&lt;Tvie,1-EXP((T0-t)*PertePVj)+'2020'!Pspv,1-EXP((T0-t)*PertePVj)+Pspv)</f>
        <v>2.4296813947298546E-2</v>
      </c>
      <c r="M150" s="850"/>
      <c r="N150" s="850"/>
      <c r="O150" s="48">
        <f>IF(t&lt;Tnet,'2020'!Resal+('2020'!Salim-'2020'!Resal)*(1-EXP(('2020'!Tnet-t)/('2020'!Tau_j))),Resal+(Salim-Resal)*(1-EXP((Tnet-t)/(Tau_j))))*Salcycl</f>
        <v>2.2104288046370723E-2</v>
      </c>
      <c r="P150" s="169">
        <f>(INDEX(Models!$BJ150:$BT150,,T150)*(1-R150)+INDEX(Models!$BJ150:$BT150,,T150+1)*R150-ERP_i)*Q150*Ramure*Pc/MaxiM</f>
        <v>0</v>
      </c>
      <c r="Q150" s="305">
        <f t="shared" si="51"/>
        <v>0.7</v>
      </c>
      <c r="R150" s="177">
        <f t="shared" si="52"/>
        <v>0.27879525077020628</v>
      </c>
      <c r="S150" s="817">
        <f t="shared" si="53"/>
        <v>-1</v>
      </c>
      <c r="T150" s="176">
        <f t="shared" si="54"/>
        <v>5</v>
      </c>
      <c r="U150" s="251">
        <f t="shared" si="55"/>
        <v>-0.72120474922979372</v>
      </c>
      <c r="V150" s="383">
        <f t="shared" si="56"/>
        <v>41.454664752616814</v>
      </c>
      <c r="W150" s="402"/>
      <c r="X150" s="157">
        <f t="shared" si="57"/>
        <v>44332</v>
      </c>
      <c r="Y150" s="385">
        <f t="shared" si="58"/>
        <v>8.5484296298684264</v>
      </c>
      <c r="Z150" s="385">
        <f t="shared" si="59"/>
        <v>8.7613013384243406</v>
      </c>
      <c r="AA150" s="386">
        <f t="shared" si="60"/>
        <v>9.8728067878524879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0.11258251815438591</v>
      </c>
      <c r="AD150" s="231">
        <f>(INDEX(Models!$BJ150:$BT150,,AH150)*(1-AF150)+INDEX(Models!$BJ150:$BT150,,AH150+1)*AF150-ERP_i)*AE150*Ramure*Pc/MaxiM</f>
        <v>0</v>
      </c>
      <c r="AE150" s="305">
        <f t="shared" si="62"/>
        <v>0.7</v>
      </c>
      <c r="AF150" s="177">
        <f t="shared" si="63"/>
        <v>0.27879525077020628</v>
      </c>
      <c r="AG150" s="817">
        <f t="shared" si="71"/>
        <v>-1</v>
      </c>
      <c r="AH150" s="176">
        <f t="shared" si="64"/>
        <v>5</v>
      </c>
      <c r="AI150" s="225">
        <f t="shared" si="65"/>
        <v>-0.72120474922979372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44333</v>
      </c>
      <c r="B151" s="617">
        <v>38.239000000000004</v>
      </c>
      <c r="C151" s="390"/>
      <c r="D151" s="393">
        <f t="shared" si="48"/>
        <v>39.192080232191472</v>
      </c>
      <c r="E151" s="385">
        <f t="shared" si="69"/>
        <v>40.085945831650221</v>
      </c>
      <c r="F151" s="385">
        <f t="shared" si="49"/>
        <v>40.085945831650221</v>
      </c>
      <c r="G151" s="110">
        <f t="shared" si="70"/>
        <v>0.92200346865512262</v>
      </c>
      <c r="H151" s="414" t="b">
        <f>Wh_hp&gt;='2020'!Maxi_hp</f>
        <v>1</v>
      </c>
      <c r="I151" s="380">
        <f>IF(H151,Wh_hp,'2020'!Maxi_hp)</f>
        <v>40.085945831650221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2.4318184351149297E-2</v>
      </c>
      <c r="M151" s="850"/>
      <c r="N151" s="850"/>
      <c r="O151" s="48">
        <f>IF(t&lt;Tnet,'2020'!Resal+('2020'!Salim-'2020'!Resal)*(1-EXP(('2020'!Tnet-t)/('2020'!Tau_j))),Resal+(Salim-Resal)*(1-EXP((Tnet-t)/(Tau_j))))*Salcycl</f>
        <v>2.2298727918576171E-2</v>
      </c>
      <c r="P151" s="169">
        <f>(INDEX(Models!$BJ151:$BT151,,T151)*(1-R151)+INDEX(Models!$BJ151:$BT151,,T151+1)*R151-ERP_i)*Q151*Ramure*Pc/MaxiM</f>
        <v>0</v>
      </c>
      <c r="Q151" s="305">
        <f t="shared" si="51"/>
        <v>0.7</v>
      </c>
      <c r="R151" s="177">
        <f t="shared" si="52"/>
        <v>0.28121568628525162</v>
      </c>
      <c r="S151" s="817">
        <f t="shared" si="53"/>
        <v>-1</v>
      </c>
      <c r="T151" s="176">
        <f t="shared" si="54"/>
        <v>5</v>
      </c>
      <c r="U151" s="251">
        <f t="shared" si="55"/>
        <v>-0.71878431371474838</v>
      </c>
      <c r="V151" s="383">
        <f t="shared" si="56"/>
        <v>41.473813602650758</v>
      </c>
      <c r="W151" s="402"/>
      <c r="X151" s="157">
        <f t="shared" si="57"/>
        <v>44333</v>
      </c>
      <c r="Y151" s="385">
        <f t="shared" si="58"/>
        <v>34.702746032611962</v>
      </c>
      <c r="Z151" s="385">
        <f t="shared" si="59"/>
        <v>35.567687617026913</v>
      </c>
      <c r="AA151" s="386">
        <f t="shared" si="60"/>
        <v>40.085945831650221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0.11271427231875068</v>
      </c>
      <c r="AD151" s="231">
        <f>(INDEX(Models!$BJ151:$BT151,,AH151)*(1-AF151)+INDEX(Models!$BJ151:$BT151,,AH151+1)*AF151-ERP_i)*AE151*Ramure*Pc/MaxiM</f>
        <v>0</v>
      </c>
      <c r="AE151" s="305">
        <f t="shared" si="62"/>
        <v>0.7</v>
      </c>
      <c r="AF151" s="177">
        <f t="shared" si="63"/>
        <v>0.28121568628525162</v>
      </c>
      <c r="AG151" s="817">
        <f t="shared" si="71"/>
        <v>-1</v>
      </c>
      <c r="AH151" s="176">
        <f t="shared" si="64"/>
        <v>5</v>
      </c>
      <c r="AI151" s="225">
        <f t="shared" si="65"/>
        <v>-0.71878431371474838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44334</v>
      </c>
      <c r="B152" s="617">
        <v>23.525000000000002</v>
      </c>
      <c r="C152" s="390"/>
      <c r="D152" s="393">
        <f t="shared" si="48"/>
        <v>24.111872222929598</v>
      </c>
      <c r="E152" s="385">
        <f t="shared" si="69"/>
        <v>24.666707880821409</v>
      </c>
      <c r="F152" s="385">
        <f t="shared" si="49"/>
        <v>24.666707880821409</v>
      </c>
      <c r="G152" s="110">
        <f t="shared" si="70"/>
        <v>0.56703407226026881</v>
      </c>
      <c r="H152" s="414" t="b">
        <f>Wh_hp&gt;='2020'!Maxi_hp</f>
        <v>0</v>
      </c>
      <c r="I152" s="380">
        <f>IF(H152,Wh_hp,'2020'!Maxi_hp)</f>
        <v>44.898392288883365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2.4339554286933351E-2</v>
      </c>
      <c r="M152" s="850"/>
      <c r="N152" s="850"/>
      <c r="O152" s="48">
        <f>IF(t&lt;Tnet,'2020'!Resal+('2020'!Salim-'2020'!Resal)*(1-EXP(('2020'!Tnet-t)/('2020'!Tau_j))),Resal+(Salim-Resal)*(1-EXP((Tnet-t)/(Tau_j))))*Salcycl</f>
        <v>2.2493299899302755E-2</v>
      </c>
      <c r="P152" s="169">
        <f>(INDEX(Models!$BJ152:$BT152,,T152)*(1-R152)+INDEX(Models!$BJ152:$BT152,,T152+1)*R152-ERP_i)*Q152*Ramure*Pc/MaxiM</f>
        <v>0</v>
      </c>
      <c r="Q152" s="305">
        <f t="shared" si="51"/>
        <v>0.7</v>
      </c>
      <c r="R152" s="177">
        <f t="shared" si="52"/>
        <v>0.28368197492814129</v>
      </c>
      <c r="S152" s="817">
        <f t="shared" si="53"/>
        <v>-1</v>
      </c>
      <c r="T152" s="176">
        <f t="shared" si="54"/>
        <v>5</v>
      </c>
      <c r="U152" s="251">
        <f t="shared" si="55"/>
        <v>-0.71631802507185871</v>
      </c>
      <c r="V152" s="383">
        <f t="shared" si="56"/>
        <v>41.487806731307003</v>
      </c>
      <c r="W152" s="402"/>
      <c r="X152" s="157">
        <f t="shared" si="57"/>
        <v>44334</v>
      </c>
      <c r="Y152" s="385">
        <f t="shared" si="58"/>
        <v>21.350525066262666</v>
      </c>
      <c r="Z152" s="385">
        <f t="shared" si="59"/>
        <v>21.883151213185158</v>
      </c>
      <c r="AA152" s="386">
        <f t="shared" si="60"/>
        <v>24.666707880821409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0.11284670338194952</v>
      </c>
      <c r="AD152" s="231">
        <f>(INDEX(Models!$BJ152:$BT152,,AH152)*(1-AF152)+INDEX(Models!$BJ152:$BT152,,AH152+1)*AF152-ERP_i)*AE152*Ramure*Pc/MaxiM</f>
        <v>0</v>
      </c>
      <c r="AE152" s="305">
        <f t="shared" si="62"/>
        <v>0.7</v>
      </c>
      <c r="AF152" s="177">
        <f t="shared" si="63"/>
        <v>0.28368197492814129</v>
      </c>
      <c r="AG152" s="817">
        <f t="shared" si="71"/>
        <v>-1</v>
      </c>
      <c r="AH152" s="176">
        <f t="shared" si="64"/>
        <v>5</v>
      </c>
      <c r="AI152" s="225">
        <f t="shared" si="65"/>
        <v>-0.71631802507185871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44335</v>
      </c>
      <c r="B153" s="617">
        <v>32.055999999999997</v>
      </c>
      <c r="C153" s="390"/>
      <c r="D153" s="393">
        <f t="shared" si="48"/>
        <v>32.856412561256455</v>
      </c>
      <c r="E153" s="385">
        <f t="shared" si="69"/>
        <v>33.619163847485595</v>
      </c>
      <c r="F153" s="385">
        <f t="shared" si="49"/>
        <v>33.619163847485595</v>
      </c>
      <c r="G153" s="110">
        <f t="shared" si="70"/>
        <v>0.77248662937274981</v>
      </c>
      <c r="H153" s="414" t="b">
        <f>Wh_hp&gt;='2020'!Maxi_hp</f>
        <v>0</v>
      </c>
      <c r="I153" s="380">
        <f>IF(H153,Wh_hp,'2020'!Maxi_hp)</f>
        <v>44.234710656745264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2.4360923754661035E-2</v>
      </c>
      <c r="M153" s="850"/>
      <c r="N153" s="850"/>
      <c r="O153" s="48">
        <f>IF(t&lt;Tnet,'2020'!Resal+('2020'!Salim-'2020'!Resal)*(1-EXP(('2020'!Tnet-t)/('2020'!Tau_j))),Resal+(Salim-Resal)*(1-EXP((Tnet-t)/(Tau_j))))*Salcycl</f>
        <v>2.2687990983041272E-2</v>
      </c>
      <c r="P153" s="169">
        <f>(INDEX(Models!$BJ153:$BT153,,T153)*(1-R153)+INDEX(Models!$BJ153:$BT153,,T153+1)*R153-ERP_i)*Q153*Ramure*Pc/MaxiM</f>
        <v>0</v>
      </c>
      <c r="Q153" s="305">
        <f t="shared" si="51"/>
        <v>0.7</v>
      </c>
      <c r="R153" s="177">
        <f t="shared" si="52"/>
        <v>0.28619329090631851</v>
      </c>
      <c r="S153" s="817">
        <f t="shared" si="53"/>
        <v>-1</v>
      </c>
      <c r="T153" s="176">
        <f t="shared" si="54"/>
        <v>5</v>
      </c>
      <c r="U153" s="251">
        <f t="shared" si="55"/>
        <v>-0.71380670909368149</v>
      </c>
      <c r="V153" s="383">
        <f t="shared" si="56"/>
        <v>41.497158372862835</v>
      </c>
      <c r="W153" s="402"/>
      <c r="X153" s="157">
        <f t="shared" si="57"/>
        <v>44335</v>
      </c>
      <c r="Y153" s="385">
        <f t="shared" si="58"/>
        <v>29.094415540001734</v>
      </c>
      <c r="Z153" s="385">
        <f t="shared" si="59"/>
        <v>29.820879717086598</v>
      </c>
      <c r="AA153" s="386">
        <f t="shared" si="60"/>
        <v>33.619163847485595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0.11297973226312326</v>
      </c>
      <c r="AD153" s="231">
        <f>(INDEX(Models!$BJ153:$BT153,,AH153)*(1-AF153)+INDEX(Models!$BJ153:$BT153,,AH153+1)*AF153-ERP_i)*AE153*Ramure*Pc/MaxiM</f>
        <v>0</v>
      </c>
      <c r="AE153" s="305">
        <f t="shared" si="62"/>
        <v>0.7</v>
      </c>
      <c r="AF153" s="177">
        <f t="shared" si="63"/>
        <v>0.28619329090631851</v>
      </c>
      <c r="AG153" s="817">
        <f t="shared" si="71"/>
        <v>-1</v>
      </c>
      <c r="AH153" s="176">
        <f t="shared" si="64"/>
        <v>5</v>
      </c>
      <c r="AI153" s="225">
        <f t="shared" si="65"/>
        <v>-0.71380670909368149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44336</v>
      </c>
      <c r="B154" s="617">
        <v>41.637999999999998</v>
      </c>
      <c r="C154" s="390"/>
      <c r="D154" s="393">
        <f t="shared" si="48"/>
        <v>42.678602172516406</v>
      </c>
      <c r="E154" s="385">
        <f t="shared" si="69"/>
        <v>43.678078338959317</v>
      </c>
      <c r="F154" s="385">
        <f t="shared" si="49"/>
        <v>43.678078338959317</v>
      </c>
      <c r="G154" s="110">
        <f t="shared" si="70"/>
        <v>1.0032677073107983</v>
      </c>
      <c r="H154" s="414" t="b">
        <f>Wh_hp&gt;='2020'!Maxi_hp</f>
        <v>1</v>
      </c>
      <c r="I154" s="380">
        <f>IF(H154,Wh_hp,'2020'!Maxi_hp)</f>
        <v>43.678078338959317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2.4382292754342449E-2</v>
      </c>
      <c r="M154" s="850"/>
      <c r="N154" s="850"/>
      <c r="O154" s="48">
        <f>IF(t&lt;Tnet,'2020'!Resal+('2020'!Salim-'2020'!Resal)*(1-EXP(('2020'!Tnet-t)/('2020'!Tau_j))),Resal+(Salim-Resal)*(1-EXP((Tnet-t)/(Tau_j))))*Salcycl</f>
        <v>2.2882787074252158E-2</v>
      </c>
      <c r="P154" s="169">
        <f>(INDEX(Models!$BJ154:$BT154,,T154)*(1-R154)+INDEX(Models!$BJ154:$BT154,,T154+1)*R154-ERP_i)*Q154*Ramure*Pc/MaxiM</f>
        <v>0</v>
      </c>
      <c r="Q154" s="305">
        <f t="shared" si="51"/>
        <v>0.7</v>
      </c>
      <c r="R154" s="177">
        <f t="shared" si="52"/>
        <v>0.28874870061780589</v>
      </c>
      <c r="S154" s="817">
        <f t="shared" si="53"/>
        <v>-1</v>
      </c>
      <c r="T154" s="176">
        <f t="shared" si="54"/>
        <v>5</v>
      </c>
      <c r="U154" s="251">
        <f t="shared" si="55"/>
        <v>-0.71125129938219411</v>
      </c>
      <c r="V154" s="383">
        <f t="shared" si="56"/>
        <v>41.502382361740992</v>
      </c>
      <c r="W154" s="402"/>
      <c r="X154" s="157">
        <f t="shared" si="57"/>
        <v>44336</v>
      </c>
      <c r="Y154" s="385">
        <f t="shared" si="58"/>
        <v>37.792998515105594</v>
      </c>
      <c r="Z154" s="385">
        <f t="shared" si="59"/>
        <v>38.737507770130534</v>
      </c>
      <c r="AA154" s="386">
        <f t="shared" si="60"/>
        <v>43.678078338959317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0.1131132768820089</v>
      </c>
      <c r="AD154" s="231">
        <f>(INDEX(Models!$BJ154:$BT154,,AH154)*(1-AF154)+INDEX(Models!$BJ154:$BT154,,AH154+1)*AF154-ERP_i)*AE154*Ramure*Pc/MaxiM</f>
        <v>0</v>
      </c>
      <c r="AE154" s="305">
        <f t="shared" si="62"/>
        <v>0.7</v>
      </c>
      <c r="AF154" s="177">
        <f t="shared" si="63"/>
        <v>0.28874870061780589</v>
      </c>
      <c r="AG154" s="817">
        <f t="shared" si="71"/>
        <v>-1</v>
      </c>
      <c r="AH154" s="176">
        <f t="shared" si="64"/>
        <v>5</v>
      </c>
      <c r="AI154" s="225">
        <f t="shared" si="65"/>
        <v>-0.71125129938219411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44337</v>
      </c>
      <c r="B155" s="617">
        <v>27.681000000000001</v>
      </c>
      <c r="C155" s="390"/>
      <c r="D155" s="393">
        <f t="shared" si="48"/>
        <v>28.373415214419392</v>
      </c>
      <c r="E155" s="385">
        <f t="shared" si="69"/>
        <v>29.043675664309749</v>
      </c>
      <c r="F155" s="385">
        <f t="shared" si="49"/>
        <v>29.043675664309749</v>
      </c>
      <c r="G155" s="110">
        <f t="shared" si="70"/>
        <v>0.66694789056646397</v>
      </c>
      <c r="H155" s="414" t="b">
        <f>Wh_hp&gt;='2020'!Maxi_hp</f>
        <v>0</v>
      </c>
      <c r="I155" s="380">
        <f>IF(H155,Wh_hp,'2020'!Maxi_hp)</f>
        <v>42.630970800856602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2.4403661285988032E-2</v>
      </c>
      <c r="M155" s="850"/>
      <c r="N155" s="850"/>
      <c r="O155" s="48">
        <f>IF(t&lt;Tnet,'2020'!Resal+('2020'!Salim-'2020'!Resal)*(1-EXP(('2020'!Tnet-t)/('2020'!Tau_j))),Resal+(Salim-Resal)*(1-EXP((Tnet-t)/(Tau_j))))*Salcycl</f>
        <v>2.3077673006588657E-2</v>
      </c>
      <c r="P155" s="169">
        <f>(INDEX(Models!$BJ155:$BT155,,T155)*(1-R155)+INDEX(Models!$BJ155:$BT155,,T155+1)*R155-ERP_i)*Q155*Ramure*Pc/MaxiM</f>
        <v>0</v>
      </c>
      <c r="Q155" s="305">
        <f t="shared" si="51"/>
        <v>0.7</v>
      </c>
      <c r="R155" s="177">
        <f t="shared" si="52"/>
        <v>0.29134716166613916</v>
      </c>
      <c r="S155" s="817">
        <f t="shared" si="53"/>
        <v>-1</v>
      </c>
      <c r="T155" s="176">
        <f t="shared" si="54"/>
        <v>5</v>
      </c>
      <c r="U155" s="251">
        <f t="shared" si="55"/>
        <v>-0.70865283833386084</v>
      </c>
      <c r="V155" s="383">
        <f t="shared" si="56"/>
        <v>41.503992128214819</v>
      </c>
      <c r="W155" s="402"/>
      <c r="X155" s="157">
        <f t="shared" si="57"/>
        <v>44337</v>
      </c>
      <c r="Y155" s="385">
        <f t="shared" si="58"/>
        <v>25.126053658008399</v>
      </c>
      <c r="Z155" s="385">
        <f t="shared" si="59"/>
        <v>25.754559197227465</v>
      </c>
      <c r="AA155" s="386">
        <f t="shared" si="60"/>
        <v>29.043675664309749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0.11324725234843837</v>
      </c>
      <c r="AD155" s="231">
        <f>(INDEX(Models!$BJ155:$BT155,,AH155)*(1-AF155)+INDEX(Models!$BJ155:$BT155,,AH155+1)*AF155-ERP_i)*AE155*Ramure*Pc/MaxiM</f>
        <v>0</v>
      </c>
      <c r="AE155" s="305">
        <f t="shared" si="62"/>
        <v>0.7</v>
      </c>
      <c r="AF155" s="177">
        <f t="shared" si="63"/>
        <v>0.29134716166613916</v>
      </c>
      <c r="AG155" s="817">
        <f t="shared" si="71"/>
        <v>-1</v>
      </c>
      <c r="AH155" s="176">
        <f t="shared" si="64"/>
        <v>5</v>
      </c>
      <c r="AI155" s="225">
        <f t="shared" si="65"/>
        <v>-0.70865283833386084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44338</v>
      </c>
      <c r="B156" s="617">
        <v>22.655000000000001</v>
      </c>
      <c r="C156" s="390"/>
      <c r="D156" s="393">
        <f t="shared" si="48"/>
        <v>23.222202989583121</v>
      </c>
      <c r="E156" s="385">
        <f t="shared" si="69"/>
        <v>23.775521976662588</v>
      </c>
      <c r="F156" s="385">
        <f t="shared" si="49"/>
        <v>23.775521976662588</v>
      </c>
      <c r="G156" s="110">
        <f t="shared" si="70"/>
        <v>0.54587072150495375</v>
      </c>
      <c r="H156" s="414" t="b">
        <f>Wh_hp&gt;='2020'!Maxi_hp</f>
        <v>0</v>
      </c>
      <c r="I156" s="380">
        <f>IF(H156,Wh_hp,'2020'!Maxi_hp)</f>
        <v>42.922836576302252</v>
      </c>
      <c r="J156" s="85">
        <f>IF(H156,An,'2020'!An_max)</f>
        <v>2019</v>
      </c>
      <c r="K156" s="197">
        <f t="shared" si="50"/>
        <v>44338</v>
      </c>
      <c r="L156" s="147">
        <f>IF(t&lt;Tvie,1-EXP((T0-t)*PertePVj)+'2020'!Pspv,1-EXP((T0-t)*PertePVj)+Pspv)</f>
        <v>2.4425029349607885E-2</v>
      </c>
      <c r="M156" s="850"/>
      <c r="N156" s="850"/>
      <c r="O156" s="48">
        <f>IF(t&lt;Tnet,'2020'!Resal+('2020'!Salim-'2020'!Resal)*(1-EXP(('2020'!Tnet-t)/('2020'!Tau_j))),Resal+(Salim-Resal)*(1-EXP((Tnet-t)/(Tau_j))))*Salcycl</f>
        <v>2.3272632568176192E-2</v>
      </c>
      <c r="P156" s="169">
        <f>(INDEX(Models!$BJ156:$BT156,,T156)*(1-R156)+INDEX(Models!$BJ156:$BT156,,T156+1)*R156-ERP_i)*Q156*Ramure*Pc/MaxiM</f>
        <v>0</v>
      </c>
      <c r="Q156" s="305">
        <f t="shared" si="51"/>
        <v>0.7</v>
      </c>
      <c r="R156" s="177">
        <f t="shared" si="52"/>
        <v>0.29398752235787917</v>
      </c>
      <c r="S156" s="817">
        <f t="shared" si="53"/>
        <v>-1</v>
      </c>
      <c r="T156" s="176">
        <f t="shared" si="54"/>
        <v>5</v>
      </c>
      <c r="U156" s="251">
        <f t="shared" si="55"/>
        <v>-0.70601247764212083</v>
      </c>
      <c r="V156" s="383">
        <f t="shared" si="56"/>
        <v>41.502500697492366</v>
      </c>
      <c r="W156" s="402"/>
      <c r="X156" s="157">
        <f t="shared" si="57"/>
        <v>44338</v>
      </c>
      <c r="Y156" s="385">
        <f t="shared" si="58"/>
        <v>20.564940816496073</v>
      </c>
      <c r="Z156" s="385">
        <f t="shared" si="59"/>
        <v>21.079815939502758</v>
      </c>
      <c r="AA156" s="386">
        <f t="shared" si="60"/>
        <v>23.775521976662588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0.11338157117247988</v>
      </c>
      <c r="AD156" s="231">
        <f>(INDEX(Models!$BJ156:$BT156,,AH156)*(1-AF156)+INDEX(Models!$BJ156:$BT156,,AH156+1)*AF156-ERP_i)*AE156*Ramure*Pc/MaxiM</f>
        <v>0</v>
      </c>
      <c r="AE156" s="305">
        <f t="shared" si="62"/>
        <v>0.7</v>
      </c>
      <c r="AF156" s="177">
        <f t="shared" si="63"/>
        <v>0.29398752235787917</v>
      </c>
      <c r="AG156" s="817">
        <f t="shared" si="71"/>
        <v>-1</v>
      </c>
      <c r="AH156" s="176">
        <f t="shared" si="64"/>
        <v>5</v>
      </c>
      <c r="AI156" s="225">
        <f t="shared" si="65"/>
        <v>-0.70601247764212083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44339</v>
      </c>
      <c r="B157" s="617">
        <v>26.146000000000001</v>
      </c>
      <c r="C157" s="390"/>
      <c r="D157" s="393">
        <f t="shared" si="48"/>
        <v>26.801192592726885</v>
      </c>
      <c r="E157" s="385">
        <f t="shared" si="69"/>
        <v>27.445268507966837</v>
      </c>
      <c r="F157" s="385">
        <f t="shared" si="49"/>
        <v>27.445268507966837</v>
      </c>
      <c r="G157" s="110">
        <f t="shared" si="70"/>
        <v>0.63004807329000934</v>
      </c>
      <c r="H157" s="414" t="b">
        <f>Wh_hp&gt;='2020'!Maxi_hp</f>
        <v>0</v>
      </c>
      <c r="I157" s="380">
        <f>IF(H157,Wh_hp,'2020'!Maxi_hp)</f>
        <v>39.13669865982753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2.4446396945212223E-2</v>
      </c>
      <c r="M157" s="850"/>
      <c r="N157" s="850"/>
      <c r="O157" s="48">
        <f>IF(t&lt;Tnet,'2020'!Resal+('2020'!Salim-'2020'!Resal)*(1-EXP(('2020'!Tnet-t)/('2020'!Tau_j))),Resal+(Salim-Resal)*(1-EXP((Tnet-t)/(Tau_j))))*Salcycl</f>
        <v>2.3467648533042753E-2</v>
      </c>
      <c r="P157" s="169">
        <f>(INDEX(Models!$BJ157:$BT157,,T157)*(1-R157)+INDEX(Models!$BJ157:$BT157,,T157+1)*R157-ERP_i)*Q157*Ramure*Pc/MaxiM</f>
        <v>0</v>
      </c>
      <c r="Q157" s="305">
        <f t="shared" si="51"/>
        <v>0.7</v>
      </c>
      <c r="R157" s="177">
        <f t="shared" si="52"/>
        <v>0.29666852170972846</v>
      </c>
      <c r="S157" s="817">
        <f t="shared" si="53"/>
        <v>-1</v>
      </c>
      <c r="T157" s="176">
        <f t="shared" si="54"/>
        <v>5</v>
      </c>
      <c r="U157" s="251">
        <f t="shared" si="55"/>
        <v>-0.70333147829027154</v>
      </c>
      <c r="V157" s="383">
        <f t="shared" si="56"/>
        <v>41.498420689503597</v>
      </c>
      <c r="W157" s="402"/>
      <c r="X157" s="157">
        <f t="shared" si="57"/>
        <v>44339</v>
      </c>
      <c r="Y157" s="385">
        <f t="shared" si="58"/>
        <v>23.735011827686808</v>
      </c>
      <c r="Z157" s="385">
        <f t="shared" si="59"/>
        <v>24.329787469765343</v>
      </c>
      <c r="AA157" s="386">
        <f t="shared" si="60"/>
        <v>27.445268507966837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0.11351614349472042</v>
      </c>
      <c r="AD157" s="231">
        <f>(INDEX(Models!$BJ157:$BT157,,AH157)*(1-AF157)+INDEX(Models!$BJ157:$BT157,,AH157+1)*AF157-ERP_i)*AE157*Ramure*Pc/MaxiM</f>
        <v>0</v>
      </c>
      <c r="AE157" s="305">
        <f t="shared" si="62"/>
        <v>0.7</v>
      </c>
      <c r="AF157" s="177">
        <f t="shared" si="63"/>
        <v>0.29666852170972846</v>
      </c>
      <c r="AG157" s="817">
        <f t="shared" si="71"/>
        <v>-1</v>
      </c>
      <c r="AH157" s="176">
        <f t="shared" si="64"/>
        <v>5</v>
      </c>
      <c r="AI157" s="225">
        <f t="shared" si="65"/>
        <v>-0.70333147829027154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44340</v>
      </c>
      <c r="B158" s="617">
        <v>18.629000000000001</v>
      </c>
      <c r="C158" s="390"/>
      <c r="D158" s="393">
        <f t="shared" si="48"/>
        <v>19.096242352559663</v>
      </c>
      <c r="E158" s="385">
        <f t="shared" si="69"/>
        <v>19.559062636800455</v>
      </c>
      <c r="F158" s="385">
        <f t="shared" si="49"/>
        <v>19.559062636800455</v>
      </c>
      <c r="G158" s="110">
        <f t="shared" si="70"/>
        <v>0.44897525618558182</v>
      </c>
      <c r="H158" s="414" t="b">
        <f>Wh_hp&gt;='2020'!Maxi_hp</f>
        <v>1</v>
      </c>
      <c r="I158" s="380">
        <f>IF(H158,Wh_hp,'2020'!Maxi_hp)</f>
        <v>19.559062636800455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2.4467764072811482E-2</v>
      </c>
      <c r="M158" s="850"/>
      <c r="N158" s="850"/>
      <c r="O158" s="48">
        <f>IF(t&lt;Tnet,'2020'!Resal+('2020'!Salim-'2020'!Resal)*(1-EXP(('2020'!Tnet-t)/('2020'!Tau_j))),Resal+(Salim-Resal)*(1-EXP((Tnet-t)/(Tau_j))))*Salcycl</f>
        <v>2.3662702698747606E-2</v>
      </c>
      <c r="P158" s="169">
        <f>(INDEX(Models!$BJ158:$BT158,,T158)*(1-R158)+INDEX(Models!$BJ158:$BT158,,T158+1)*R158-ERP_i)*Q158*Ramure*Pc/MaxiM</f>
        <v>0</v>
      </c>
      <c r="Q158" s="305">
        <f t="shared" si="51"/>
        <v>0.7</v>
      </c>
      <c r="R158" s="177">
        <f t="shared" si="52"/>
        <v>0.29938878998910867</v>
      </c>
      <c r="S158" s="817">
        <f t="shared" si="53"/>
        <v>-1</v>
      </c>
      <c r="T158" s="176">
        <f t="shared" si="54"/>
        <v>5</v>
      </c>
      <c r="U158" s="251">
        <f t="shared" si="55"/>
        <v>-0.70061121001089133</v>
      </c>
      <c r="V158" s="383">
        <f t="shared" si="56"/>
        <v>41.492264313781675</v>
      </c>
      <c r="W158" s="402"/>
      <c r="X158" s="157">
        <f t="shared" si="57"/>
        <v>44340</v>
      </c>
      <c r="Y158" s="385">
        <f t="shared" si="58"/>
        <v>16.911980984183291</v>
      </c>
      <c r="Z158" s="385">
        <f t="shared" si="59"/>
        <v>17.336158008258337</v>
      </c>
      <c r="AA158" s="386">
        <f t="shared" si="60"/>
        <v>19.559062636800455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0.11365087733599846</v>
      </c>
      <c r="AD158" s="231">
        <f>(INDEX(Models!$BJ158:$BT158,,AH158)*(1-AF158)+INDEX(Models!$BJ158:$BT158,,AH158+1)*AF158-ERP_i)*AE158*Ramure*Pc/MaxiM</f>
        <v>0</v>
      </c>
      <c r="AE158" s="305">
        <f t="shared" si="62"/>
        <v>0.7</v>
      </c>
      <c r="AF158" s="177">
        <f t="shared" si="63"/>
        <v>0.29938878998910867</v>
      </c>
      <c r="AG158" s="817">
        <f t="shared" si="71"/>
        <v>-1</v>
      </c>
      <c r="AH158" s="176">
        <f t="shared" si="64"/>
        <v>5</v>
      </c>
      <c r="AI158" s="225">
        <f t="shared" si="65"/>
        <v>-0.70061121001089133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44341</v>
      </c>
      <c r="B159" s="617">
        <v>33.581000000000003</v>
      </c>
      <c r="C159" s="390"/>
      <c r="D159" s="393">
        <f t="shared" si="48"/>
        <v>34.424014183678644</v>
      </c>
      <c r="E159" s="385">
        <f t="shared" si="69"/>
        <v>35.265367417624716</v>
      </c>
      <c r="F159" s="385">
        <f t="shared" si="49"/>
        <v>35.265367417624716</v>
      </c>
      <c r="G159" s="110">
        <f t="shared" si="70"/>
        <v>0.80948221368146966</v>
      </c>
      <c r="H159" s="414" t="b">
        <f>Wh_hp&gt;='2020'!Maxi_hp</f>
        <v>0</v>
      </c>
      <c r="I159" s="380">
        <f>IF(H159,Wh_hp,'2020'!Maxi_hp)</f>
        <v>41.574102486699203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2.4489130732415765E-2</v>
      </c>
      <c r="M159" s="850"/>
      <c r="N159" s="850"/>
      <c r="O159" s="48">
        <f>IF(t&lt;Tnet,'2020'!Resal+('2020'!Salim-'2020'!Resal)*(1-EXP(('2020'!Tnet-t)/('2020'!Tau_j))),Resal+(Salim-Resal)*(1-EXP((Tnet-t)/(Tau_j))))*Salcycl</f>
        <v>2.3857775930205841E-2</v>
      </c>
      <c r="P159" s="169">
        <f>(INDEX(Models!$BJ159:$BT159,,T159)*(1-R159)+INDEX(Models!$BJ159:$BT159,,T159+1)*R159-ERP_i)*Q159*Ramure*Pc/MaxiM</f>
        <v>0</v>
      </c>
      <c r="Q159" s="305">
        <f t="shared" si="51"/>
        <v>0.7</v>
      </c>
      <c r="R159" s="177">
        <f t="shared" si="52"/>
        <v>0.30214684980841355</v>
      </c>
      <c r="S159" s="817">
        <f t="shared" si="53"/>
        <v>-1</v>
      </c>
      <c r="T159" s="176">
        <f t="shared" si="54"/>
        <v>5</v>
      </c>
      <c r="U159" s="251">
        <f t="shared" si="55"/>
        <v>-0.69785315019158645</v>
      </c>
      <c r="V159" s="383">
        <f t="shared" si="56"/>
        <v>41.48454336911977</v>
      </c>
      <c r="W159" s="402"/>
      <c r="X159" s="157">
        <f t="shared" si="57"/>
        <v>44341</v>
      </c>
      <c r="Y159" s="385">
        <f t="shared" si="58"/>
        <v>30.487322834918086</v>
      </c>
      <c r="Z159" s="385">
        <f t="shared" si="59"/>
        <v>31.252673645561771</v>
      </c>
      <c r="AA159" s="386">
        <f t="shared" si="60"/>
        <v>35.265367417624716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0.11378567886570516</v>
      </c>
      <c r="AD159" s="231">
        <f>(INDEX(Models!$BJ159:$BT159,,AH159)*(1-AF159)+INDEX(Models!$BJ159:$BT159,,AH159+1)*AF159-ERP_i)*AE159*Ramure*Pc/MaxiM</f>
        <v>0</v>
      </c>
      <c r="AE159" s="305">
        <f t="shared" si="62"/>
        <v>0.7</v>
      </c>
      <c r="AF159" s="177">
        <f t="shared" si="63"/>
        <v>0.30214684980841355</v>
      </c>
      <c r="AG159" s="817">
        <f t="shared" si="71"/>
        <v>-1</v>
      </c>
      <c r="AH159" s="176">
        <f t="shared" si="64"/>
        <v>5</v>
      </c>
      <c r="AI159" s="225">
        <f t="shared" si="65"/>
        <v>-0.69785315019158645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44342</v>
      </c>
      <c r="B160" s="617">
        <v>35.238</v>
      </c>
      <c r="C160" s="390"/>
      <c r="D160" s="393">
        <f t="shared" si="48"/>
        <v>36.123402547014287</v>
      </c>
      <c r="E160" s="385">
        <f t="shared" si="69"/>
        <v>37.013687145607229</v>
      </c>
      <c r="F160" s="385">
        <f t="shared" si="49"/>
        <v>37.013687145607229</v>
      </c>
      <c r="G160" s="110">
        <f t="shared" si="70"/>
        <v>0.84960449550492578</v>
      </c>
      <c r="H160" s="414" t="b">
        <f>Wh_hp&gt;='2020'!Maxi_hp</f>
        <v>0</v>
      </c>
      <c r="I160" s="380">
        <f>IF(H160,Wh_hp,'2020'!Maxi_hp)</f>
        <v>43.15188461541296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2.4510496924035396E-2</v>
      </c>
      <c r="M160" s="850"/>
      <c r="N160" s="850"/>
      <c r="O160" s="48">
        <f>IF(t&lt;Tnet,'2020'!Resal+('2020'!Salim-'2020'!Resal)*(1-EXP(('2020'!Tnet-t)/('2020'!Tau_j))),Resal+(Salim-Resal)*(1-EXP((Tnet-t)/(Tau_j))))*Salcycl</f>
        <v>2.4052848209654858E-2</v>
      </c>
      <c r="P160" s="169">
        <f>(INDEX(Models!$BJ160:$BT160,,T160)*(1-R160)+INDEX(Models!$BJ160:$BT160,,T160+1)*R160-ERP_i)*Q160*Ramure*Pc/MaxiM</f>
        <v>0</v>
      </c>
      <c r="Q160" s="305">
        <f t="shared" si="51"/>
        <v>0.7</v>
      </c>
      <c r="R160" s="177">
        <f t="shared" si="52"/>
        <v>0.30494111778905331</v>
      </c>
      <c r="S160" s="817">
        <f t="shared" si="53"/>
        <v>-1</v>
      </c>
      <c r="T160" s="176">
        <f t="shared" si="54"/>
        <v>5</v>
      </c>
      <c r="U160" s="251">
        <f t="shared" si="55"/>
        <v>-0.69505888221094669</v>
      </c>
      <c r="V160" s="383">
        <f t="shared" si="56"/>
        <v>41.475769239024352</v>
      </c>
      <c r="W160" s="402"/>
      <c r="X160" s="157">
        <f t="shared" si="57"/>
        <v>44342</v>
      </c>
      <c r="Y160" s="385">
        <f t="shared" si="58"/>
        <v>31.993198638795114</v>
      </c>
      <c r="Z160" s="385">
        <f t="shared" si="59"/>
        <v>32.797071150342965</v>
      </c>
      <c r="AA160" s="386">
        <f t="shared" si="60"/>
        <v>37.013687145607229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0.11392045268758615</v>
      </c>
      <c r="AD160" s="231">
        <f>(INDEX(Models!$BJ160:$BT160,,AH160)*(1-AF160)+INDEX(Models!$BJ160:$BT160,,AH160+1)*AF160-ERP_i)*AE160*Ramure*Pc/MaxiM</f>
        <v>0</v>
      </c>
      <c r="AE160" s="305">
        <f t="shared" si="62"/>
        <v>0.7</v>
      </c>
      <c r="AF160" s="177">
        <f t="shared" si="63"/>
        <v>0.30494111778905331</v>
      </c>
      <c r="AG160" s="817">
        <f t="shared" si="71"/>
        <v>-1</v>
      </c>
      <c r="AH160" s="176">
        <f t="shared" si="64"/>
        <v>5</v>
      </c>
      <c r="AI160" s="225">
        <f t="shared" si="65"/>
        <v>-0.69505888221094669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44343</v>
      </c>
      <c r="B161" s="617">
        <v>40.997</v>
      </c>
      <c r="C161" s="390"/>
      <c r="D161" s="393">
        <f t="shared" si="48"/>
        <v>42.028025755179236</v>
      </c>
      <c r="E161" s="385">
        <f t="shared" si="69"/>
        <v>43.072441964376736</v>
      </c>
      <c r="F161" s="385">
        <f t="shared" si="49"/>
        <v>43.072441964376736</v>
      </c>
      <c r="G161" s="110">
        <f t="shared" si="70"/>
        <v>0.98867873046061638</v>
      </c>
      <c r="H161" s="414" t="b">
        <f>Wh_hp&gt;='2020'!Maxi_hp</f>
        <v>1</v>
      </c>
      <c r="I161" s="380">
        <f>IF(H161,Wh_hp,'2020'!Maxi_hp)</f>
        <v>43.072441964376736</v>
      </c>
      <c r="J161" s="85">
        <f>IF(H161,An,'2020'!An_max)</f>
        <v>2021</v>
      </c>
      <c r="K161" s="197">
        <f t="shared" si="50"/>
        <v>44343</v>
      </c>
      <c r="L161" s="147">
        <f>IF(t&lt;Tvie,1-EXP((T0-t)*PertePVj)+'2020'!Pspv,1-EXP((T0-t)*PertePVj)+Pspv)</f>
        <v>2.4531862647680591E-2</v>
      </c>
      <c r="M161" s="850"/>
      <c r="N161" s="850"/>
      <c r="O161" s="48">
        <f>IF(t&lt;Tnet,'2020'!Resal+('2020'!Salim-'2020'!Resal)*(1-EXP(('2020'!Tnet-t)/('2020'!Tau_j))),Resal+(Salim-Resal)*(1-EXP((Tnet-t)/(Tau_j))))*Salcycl</f>
        <v>2.4247898692655714E-2</v>
      </c>
      <c r="P161" s="169">
        <f>(INDEX(Models!$BJ161:$BT161,,T161)*(1-R161)+INDEX(Models!$BJ161:$BT161,,T161+1)*R161-ERP_i)*Q161*Ramure*Pc/MaxiM</f>
        <v>0</v>
      </c>
      <c r="Q161" s="305">
        <f t="shared" si="51"/>
        <v>0.7</v>
      </c>
      <c r="R161" s="177">
        <f t="shared" si="52"/>
        <v>0.30776990680689686</v>
      </c>
      <c r="S161" s="817">
        <f t="shared" si="53"/>
        <v>-1</v>
      </c>
      <c r="T161" s="176">
        <f t="shared" si="54"/>
        <v>5</v>
      </c>
      <c r="U161" s="251">
        <f t="shared" si="55"/>
        <v>-0.69223009319310314</v>
      </c>
      <c r="V161" s="383">
        <f t="shared" si="56"/>
        <v>41.466452890009954</v>
      </c>
      <c r="W161" s="402"/>
      <c r="X161" s="157">
        <f t="shared" si="57"/>
        <v>44343</v>
      </c>
      <c r="Y161" s="385">
        <f t="shared" si="58"/>
        <v>37.223678974227958</v>
      </c>
      <c r="Z161" s="385">
        <f t="shared" si="59"/>
        <v>38.15981019663333</v>
      </c>
      <c r="AA161" s="386">
        <f t="shared" si="60"/>
        <v>43.072441964376736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0.11405510214179221</v>
      </c>
      <c r="AD161" s="231">
        <f>(INDEX(Models!$BJ161:$BT161,,AH161)*(1-AF161)+INDEX(Models!$BJ161:$BT161,,AH161+1)*AF161-ERP_i)*AE161*Ramure*Pc/MaxiM</f>
        <v>0</v>
      </c>
      <c r="AE161" s="305">
        <f t="shared" si="62"/>
        <v>0.7</v>
      </c>
      <c r="AF161" s="177">
        <f t="shared" si="63"/>
        <v>0.30776990680689686</v>
      </c>
      <c r="AG161" s="817">
        <f t="shared" si="71"/>
        <v>-1</v>
      </c>
      <c r="AH161" s="176">
        <f t="shared" si="64"/>
        <v>5</v>
      </c>
      <c r="AI161" s="225">
        <f t="shared" si="65"/>
        <v>-0.69223009319310314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44344</v>
      </c>
      <c r="B162" s="617">
        <v>30.937000000000001</v>
      </c>
      <c r="C162" s="390"/>
      <c r="D162" s="393">
        <f t="shared" si="48"/>
        <v>31.715723384376574</v>
      </c>
      <c r="E162" s="385">
        <f t="shared" si="69"/>
        <v>32.51037132727587</v>
      </c>
      <c r="F162" s="385">
        <f t="shared" si="49"/>
        <v>32.51037132727587</v>
      </c>
      <c r="G162" s="110">
        <f t="shared" si="70"/>
        <v>0.74624120754236523</v>
      </c>
      <c r="H162" s="414" t="b">
        <f>Wh_hp&gt;='2020'!Maxi_hp</f>
        <v>0</v>
      </c>
      <c r="I162" s="380">
        <f>IF(H162,Wh_hp,'2020'!Maxi_hp)</f>
        <v>41.82650557784492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2.4553227903361563E-2</v>
      </c>
      <c r="M162" s="850"/>
      <c r="N162" s="850"/>
      <c r="O162" s="48">
        <f>IF(t&lt;Tnet,'2020'!Resal+('2020'!Salim-'2020'!Resal)*(1-EXP(('2020'!Tnet-t)/('2020'!Tau_j))),Resal+(Salim-Resal)*(1-EXP((Tnet-t)/(Tau_j))))*Salcycl</f>
        <v>2.4442905769968781E-2</v>
      </c>
      <c r="P162" s="169">
        <f>(INDEX(Models!$BJ162:$BT162,,T162)*(1-R162)+INDEX(Models!$BJ162:$BT162,,T162+1)*R162-ERP_i)*Q162*Ramure*Pc/MaxiM</f>
        <v>0</v>
      </c>
      <c r="Q162" s="305">
        <f t="shared" si="51"/>
        <v>0.7</v>
      </c>
      <c r="R162" s="177">
        <f t="shared" si="52"/>
        <v>0.31063142882582939</v>
      </c>
      <c r="S162" s="817">
        <f t="shared" si="53"/>
        <v>-1</v>
      </c>
      <c r="T162" s="176">
        <f t="shared" si="54"/>
        <v>5</v>
      </c>
      <c r="U162" s="251">
        <f t="shared" si="55"/>
        <v>-0.68936857117417061</v>
      </c>
      <c r="V162" s="383">
        <f t="shared" si="56"/>
        <v>41.457104870805004</v>
      </c>
      <c r="W162" s="402"/>
      <c r="X162" s="157">
        <f t="shared" si="57"/>
        <v>44344</v>
      </c>
      <c r="Y162" s="385">
        <f t="shared" si="58"/>
        <v>28.090942789689819</v>
      </c>
      <c r="Z162" s="385">
        <f t="shared" si="59"/>
        <v>28.798027317585735</v>
      </c>
      <c r="AA162" s="386">
        <f t="shared" si="60"/>
        <v>32.51037132727587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0.11418952962175238</v>
      </c>
      <c r="AD162" s="231">
        <f>(INDEX(Models!$BJ162:$BT162,,AH162)*(1-AF162)+INDEX(Models!$BJ162:$BT162,,AH162+1)*AF162-ERP_i)*AE162*Ramure*Pc/MaxiM</f>
        <v>0</v>
      </c>
      <c r="AE162" s="305">
        <f t="shared" si="62"/>
        <v>0.7</v>
      </c>
      <c r="AF162" s="177">
        <f t="shared" si="63"/>
        <v>0.31063142882582939</v>
      </c>
      <c r="AG162" s="817">
        <f t="shared" si="71"/>
        <v>-1</v>
      </c>
      <c r="AH162" s="176">
        <f t="shared" si="64"/>
        <v>5</v>
      </c>
      <c r="AI162" s="225">
        <f t="shared" si="65"/>
        <v>-0.68936857117417061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44345</v>
      </c>
      <c r="B163" s="617">
        <v>25.111000000000001</v>
      </c>
      <c r="C163" s="390"/>
      <c r="D163" s="393">
        <f t="shared" si="48"/>
        <v>25.743639453967493</v>
      </c>
      <c r="E163" s="385">
        <f t="shared" si="69"/>
        <v>26.393929043023892</v>
      </c>
      <c r="F163" s="385">
        <f t="shared" si="49"/>
        <v>26.393929043023892</v>
      </c>
      <c r="G163" s="110">
        <f t="shared" si="70"/>
        <v>0.60586185833947348</v>
      </c>
      <c r="H163" s="414" t="b">
        <f>Wh_hp&gt;='2020'!Maxi_hp</f>
        <v>0</v>
      </c>
      <c r="I163" s="380">
        <f>IF(H163,Wh_hp,'2020'!Maxi_hp)</f>
        <v>42.001974510196014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2.4574592691088637E-2</v>
      </c>
      <c r="M163" s="850"/>
      <c r="N163" s="850"/>
      <c r="O163" s="48">
        <f>IF(t&lt;Tnet,'2020'!Resal+('2020'!Salim-'2020'!Resal)*(1-EXP(('2020'!Tnet-t)/('2020'!Tau_j))),Resal+(Salim-Resal)*(1-EXP((Tnet-t)/(Tau_j))))*Salcycl</f>
        <v>2.4637847135088688E-2</v>
      </c>
      <c r="P163" s="169">
        <f>(INDEX(Models!$BJ163:$BT163,,T163)*(1-R163)+INDEX(Models!$BJ163:$BT163,,T163+1)*R163-ERP_i)*Q163*Ramure*Pc/MaxiM</f>
        <v>0</v>
      </c>
      <c r="Q163" s="305">
        <f t="shared" si="51"/>
        <v>0.7</v>
      </c>
      <c r="R163" s="177">
        <f t="shared" si="52"/>
        <v>0.31352379832093014</v>
      </c>
      <c r="S163" s="817">
        <f t="shared" si="53"/>
        <v>-1</v>
      </c>
      <c r="T163" s="176">
        <f t="shared" si="54"/>
        <v>5</v>
      </c>
      <c r="U163" s="251">
        <f t="shared" si="55"/>
        <v>-0.68647620167906986</v>
      </c>
      <c r="V163" s="383">
        <f t="shared" si="56"/>
        <v>41.446741785038945</v>
      </c>
      <c r="W163" s="402"/>
      <c r="X163" s="157">
        <f t="shared" si="57"/>
        <v>44345</v>
      </c>
      <c r="Y163" s="385">
        <f t="shared" si="58"/>
        <v>22.802011630624623</v>
      </c>
      <c r="Z163" s="385">
        <f t="shared" si="59"/>
        <v>23.376479082632059</v>
      </c>
      <c r="AA163" s="386">
        <f t="shared" si="60"/>
        <v>26.393929043023892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0.11432363690427386</v>
      </c>
      <c r="AD163" s="231">
        <f>(INDEX(Models!$BJ163:$BT163,,AH163)*(1-AF163)+INDEX(Models!$BJ163:$BT163,,AH163+1)*AF163-ERP_i)*AE163*Ramure*Pc/MaxiM</f>
        <v>0</v>
      </c>
      <c r="AE163" s="305">
        <f t="shared" si="62"/>
        <v>0.7</v>
      </c>
      <c r="AF163" s="177">
        <f t="shared" si="63"/>
        <v>0.31352379832093014</v>
      </c>
      <c r="AG163" s="817">
        <f t="shared" si="71"/>
        <v>-1</v>
      </c>
      <c r="AH163" s="176">
        <f t="shared" si="64"/>
        <v>5</v>
      </c>
      <c r="AI163" s="225">
        <f t="shared" si="65"/>
        <v>-0.68647620167906986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44346</v>
      </c>
      <c r="B164" s="617">
        <v>36.122999999999998</v>
      </c>
      <c r="C164" s="390"/>
      <c r="D164" s="393">
        <f t="shared" si="48"/>
        <v>37.033883814240689</v>
      </c>
      <c r="E164" s="385">
        <f t="shared" si="69"/>
        <v>37.976954117325754</v>
      </c>
      <c r="F164" s="385">
        <f t="shared" si="49"/>
        <v>37.976954117325754</v>
      </c>
      <c r="G164" s="110">
        <f t="shared" si="70"/>
        <v>0.87181793714451949</v>
      </c>
      <c r="H164" s="414" t="b">
        <f>Wh_hp&gt;='2020'!Maxi_hp</f>
        <v>0</v>
      </c>
      <c r="I164" s="380">
        <f>IF(H164,Wh_hp,'2020'!Maxi_hp)</f>
        <v>42.658493741310721</v>
      </c>
      <c r="J164" s="85">
        <f>IF(H164,An,'2020'!An_max)</f>
        <v>2019</v>
      </c>
      <c r="K164" s="197">
        <f t="shared" si="50"/>
        <v>44346</v>
      </c>
      <c r="L164" s="147">
        <f>IF(t&lt;Tvie,1-EXP((T0-t)*PertePVj)+'2020'!Pspv,1-EXP((T0-t)*PertePVj)+Pspv)</f>
        <v>2.4595957010872027E-2</v>
      </c>
      <c r="M164" s="850"/>
      <c r="N164" s="850"/>
      <c r="O164" s="48">
        <f>IF(t&lt;Tnet,'2020'!Resal+('2020'!Salim-'2020'!Resal)*(1-EXP(('2020'!Tnet-t)/('2020'!Tau_j))),Resal+(Salim-Resal)*(1-EXP((Tnet-t)/(Tau_j))))*Salcycl</f>
        <v>2.4832699857169922E-2</v>
      </c>
      <c r="P164" s="169">
        <f>(INDEX(Models!$BJ164:$BT164,,T164)*(1-R164)+INDEX(Models!$BJ164:$BT164,,T164+1)*R164-ERP_i)*Q164*Ramure*Pc/MaxiM</f>
        <v>0</v>
      </c>
      <c r="Q164" s="305">
        <f t="shared" si="51"/>
        <v>0.7</v>
      </c>
      <c r="R164" s="177">
        <f t="shared" si="52"/>
        <v>0.31644503628730247</v>
      </c>
      <c r="S164" s="817">
        <f t="shared" si="53"/>
        <v>-1</v>
      </c>
      <c r="T164" s="176">
        <f t="shared" si="54"/>
        <v>5</v>
      </c>
      <c r="U164" s="251">
        <f t="shared" si="55"/>
        <v>-0.68355496371269753</v>
      </c>
      <c r="V164" s="383">
        <f t="shared" si="56"/>
        <v>41.43410964715212</v>
      </c>
      <c r="W164" s="402"/>
      <c r="X164" s="157">
        <f t="shared" si="57"/>
        <v>44346</v>
      </c>
      <c r="Y164" s="385">
        <f t="shared" si="58"/>
        <v>32.803046232783977</v>
      </c>
      <c r="Z164" s="385">
        <f t="shared" si="59"/>
        <v>33.630213518757792</v>
      </c>
      <c r="AA164" s="386">
        <f t="shared" si="60"/>
        <v>37.976954117325754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0.11445732549111687</v>
      </c>
      <c r="AD164" s="231">
        <f>(INDEX(Models!$BJ164:$BT164,,AH164)*(1-AF164)+INDEX(Models!$BJ164:$BT164,,AH164+1)*AF164-ERP_i)*AE164*Ramure*Pc/MaxiM</f>
        <v>0</v>
      </c>
      <c r="AE164" s="305">
        <f t="shared" si="62"/>
        <v>0.7</v>
      </c>
      <c r="AF164" s="177">
        <f t="shared" si="63"/>
        <v>0.31644503628730247</v>
      </c>
      <c r="AG164" s="817">
        <f t="shared" si="71"/>
        <v>-1</v>
      </c>
      <c r="AH164" s="176">
        <f t="shared" si="64"/>
        <v>5</v>
      </c>
      <c r="AI164" s="225">
        <f t="shared" si="65"/>
        <v>-0.68355496371269753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44347</v>
      </c>
      <c r="B165" s="617">
        <v>39.472000000000001</v>
      </c>
      <c r="C165" s="390"/>
      <c r="D165" s="393">
        <f t="shared" si="48"/>
        <v>40.468219135194019</v>
      </c>
      <c r="E165" s="385">
        <f t="shared" si="69"/>
        <v>41.507033956162452</v>
      </c>
      <c r="F165" s="385">
        <f t="shared" si="49"/>
        <v>41.507033956162452</v>
      </c>
      <c r="G165" s="110">
        <f t="shared" si="70"/>
        <v>0.95298539200575216</v>
      </c>
      <c r="H165" s="414" t="b">
        <f>Wh_hp&gt;='2020'!Maxi_hp</f>
        <v>0</v>
      </c>
      <c r="I165" s="380">
        <f>IF(H165,Wh_hp,'2020'!Maxi_hp)</f>
        <v>43.393408345276015</v>
      </c>
      <c r="J165" s="85">
        <f>IF(H165,An,'2020'!An_max)</f>
        <v>2019</v>
      </c>
      <c r="K165" s="197">
        <f t="shared" si="50"/>
        <v>44347</v>
      </c>
      <c r="L165" s="147">
        <f>IF(t&lt;Tvie,1-EXP((T0-t)*PertePVj)+'2020'!Pspv,1-EXP((T0-t)*PertePVj)+Pspv)</f>
        <v>2.4617320862721948E-2</v>
      </c>
      <c r="M165" s="850"/>
      <c r="N165" s="850"/>
      <c r="O165" s="48">
        <f>IF(t&lt;Tnet,'2020'!Resal+('2020'!Salim-'2020'!Resal)*(1-EXP(('2020'!Tnet-t)/('2020'!Tau_j))),Resal+(Salim-Resal)*(1-EXP((Tnet-t)/(Tau_j))))*Salcycl</f>
        <v>2.5027440459021371E-2</v>
      </c>
      <c r="P165" s="169">
        <f>(INDEX(Models!$BJ165:$BT165,,T165)*(1-R165)+INDEX(Models!$BJ165:$BT165,,T165+1)*R165-ERP_i)*Q165*Ramure*Pc/MaxiM</f>
        <v>0</v>
      </c>
      <c r="Q165" s="305">
        <f t="shared" si="51"/>
        <v>0.7</v>
      </c>
      <c r="R165" s="177">
        <f t="shared" si="52"/>
        <v>0.31939307482492407</v>
      </c>
      <c r="S165" s="817">
        <f t="shared" si="53"/>
        <v>-1</v>
      </c>
      <c r="T165" s="176">
        <f t="shared" si="54"/>
        <v>5</v>
      </c>
      <c r="U165" s="251">
        <f t="shared" si="55"/>
        <v>-0.68060692517507593</v>
      </c>
      <c r="V165" s="383">
        <f t="shared" si="56"/>
        <v>41.419312752447475</v>
      </c>
      <c r="W165" s="402"/>
      <c r="X165" s="157">
        <f t="shared" si="57"/>
        <v>44347</v>
      </c>
      <c r="Y165" s="385">
        <f t="shared" si="58"/>
        <v>35.846017984796575</v>
      </c>
      <c r="Z165" s="385">
        <f t="shared" si="59"/>
        <v>36.750722307784088</v>
      </c>
      <c r="AA165" s="386">
        <f t="shared" si="60"/>
        <v>41.507033956162452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0.11459049696014717</v>
      </c>
      <c r="AD165" s="231">
        <f>(INDEX(Models!$BJ165:$BT165,,AH165)*(1-AF165)+INDEX(Models!$BJ165:$BT165,,AH165+1)*AF165-ERP_i)*AE165*Ramure*Pc/MaxiM</f>
        <v>0</v>
      </c>
      <c r="AE165" s="305">
        <f t="shared" si="62"/>
        <v>0.7</v>
      </c>
      <c r="AF165" s="177">
        <f t="shared" si="63"/>
        <v>0.31939307482492407</v>
      </c>
      <c r="AG165" s="817">
        <f t="shared" si="71"/>
        <v>-1</v>
      </c>
      <c r="AH165" s="176">
        <f t="shared" si="64"/>
        <v>5</v>
      </c>
      <c r="AI165" s="225">
        <f t="shared" si="65"/>
        <v>-0.68060692517507593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44348</v>
      </c>
      <c r="B166" s="617">
        <v>23.153000000000002</v>
      </c>
      <c r="C166" s="390"/>
      <c r="D166" s="393">
        <f t="shared" si="48"/>
        <v>23.737869880678062</v>
      </c>
      <c r="E166" s="385">
        <f t="shared" si="69"/>
        <v>24.352079115979905</v>
      </c>
      <c r="F166" s="385">
        <f t="shared" si="49"/>
        <v>24.352079115979905</v>
      </c>
      <c r="G166" s="110">
        <f t="shared" si="70"/>
        <v>0.55921804202643843</v>
      </c>
      <c r="H166" s="414" t="b">
        <f>Wh_hp&gt;='2020'!Maxi_hp</f>
        <v>0</v>
      </c>
      <c r="I166" s="380">
        <f>IF(H166,Wh_hp,'2020'!Maxi_hp)</f>
        <v>43.566085731494503</v>
      </c>
      <c r="J166" s="85">
        <f>IF(H166,An,'2020'!An_max)</f>
        <v>2019</v>
      </c>
      <c r="K166" s="197">
        <f t="shared" si="50"/>
        <v>44348</v>
      </c>
      <c r="L166" s="147">
        <f>IF(t&lt;Tvie,1-EXP((T0-t)*PertePVj)+'2020'!Pspv,1-EXP((T0-t)*PertePVj)+Pspv)</f>
        <v>2.4638684246648723E-2</v>
      </c>
      <c r="M166" s="850"/>
      <c r="N166" s="850"/>
      <c r="O166" s="48">
        <f>IF(t&lt;Tnet,'2020'!Resal+('2020'!Salim-'2020'!Resal)*(1-EXP(('2020'!Tnet-t)/('2020'!Tau_j))),Resal+(Salim-Resal)*(1-EXP((Tnet-t)/(Tau_j))))*Salcycl</f>
        <v>2.5222044999796234E-2</v>
      </c>
      <c r="P166" s="169">
        <f>(INDEX(Models!$BJ166:$BT166,,T166)*(1-R166)+INDEX(Models!$BJ166:$BT166,,T166+1)*R166-ERP_i)*Q166*Ramure*Pc/MaxiM</f>
        <v>0</v>
      </c>
      <c r="Q166" s="305">
        <f t="shared" si="51"/>
        <v>0.7</v>
      </c>
      <c r="R166" s="177">
        <f t="shared" si="52"/>
        <v>0.32236576228410152</v>
      </c>
      <c r="S166" s="817">
        <f t="shared" si="53"/>
        <v>-1</v>
      </c>
      <c r="T166" s="176">
        <f t="shared" si="54"/>
        <v>5</v>
      </c>
      <c r="U166" s="251">
        <f t="shared" si="55"/>
        <v>-0.67763423771589848</v>
      </c>
      <c r="V166" s="383">
        <f t="shared" si="56"/>
        <v>41.402455321542334</v>
      </c>
      <c r="W166" s="402"/>
      <c r="X166" s="157">
        <f t="shared" si="57"/>
        <v>44348</v>
      </c>
      <c r="Y166" s="385">
        <f t="shared" si="58"/>
        <v>21.027165254659753</v>
      </c>
      <c r="Z166" s="385">
        <f t="shared" si="59"/>
        <v>21.558334245006176</v>
      </c>
      <c r="AA166" s="386">
        <f t="shared" si="60"/>
        <v>24.352079115979905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0.11472305332403684</v>
      </c>
      <c r="AD166" s="231">
        <f>(INDEX(Models!$BJ166:$BT166,,AH166)*(1-AF166)+INDEX(Models!$BJ166:$BT166,,AH166+1)*AF166-ERP_i)*AE166*Ramure*Pc/MaxiM</f>
        <v>0</v>
      </c>
      <c r="AE166" s="305">
        <f t="shared" si="62"/>
        <v>0.7</v>
      </c>
      <c r="AF166" s="177">
        <f t="shared" si="63"/>
        <v>0.32236576228410152</v>
      </c>
      <c r="AG166" s="817">
        <f t="shared" si="71"/>
        <v>-1</v>
      </c>
      <c r="AH166" s="176">
        <f t="shared" si="64"/>
        <v>5</v>
      </c>
      <c r="AI166" s="225">
        <f t="shared" si="65"/>
        <v>-0.67763423771589848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44349</v>
      </c>
      <c r="B167" s="617">
        <v>30.535</v>
      </c>
      <c r="C167" s="390"/>
      <c r="D167" s="393">
        <f t="shared" si="48"/>
        <v>31.307032908035175</v>
      </c>
      <c r="E167" s="385">
        <f t="shared" si="69"/>
        <v>32.123499484527713</v>
      </c>
      <c r="F167" s="385">
        <f t="shared" si="49"/>
        <v>32.123499484527713</v>
      </c>
      <c r="G167" s="110">
        <f t="shared" si="70"/>
        <v>0.73785193602482768</v>
      </c>
      <c r="H167" s="414" t="b">
        <f>Wh_hp&gt;='2020'!Maxi_hp</f>
        <v>0</v>
      </c>
      <c r="I167" s="380">
        <f>IF(H167,Wh_hp,'2020'!Maxi_hp)</f>
        <v>42.879308484292096</v>
      </c>
      <c r="J167" s="85">
        <f>IF(H167,An,'2020'!An_max)</f>
        <v>2019</v>
      </c>
      <c r="K167" s="197">
        <f t="shared" si="50"/>
        <v>44349</v>
      </c>
      <c r="L167" s="147">
        <f>IF(t&lt;Tvie,1-EXP((T0-t)*PertePVj)+'2020'!Pspv,1-EXP((T0-t)*PertePVj)+Pspv)</f>
        <v>2.4660047162662568E-2</v>
      </c>
      <c r="M167" s="850"/>
      <c r="N167" s="850"/>
      <c r="O167" s="48">
        <f>IF(t&lt;Tnet,'2020'!Resal+('2020'!Salim-'2020'!Resal)*(1-EXP(('2020'!Tnet-t)/('2020'!Tau_j))),Resal+(Salim-Resal)*(1-EXP((Tnet-t)/(Tau_j))))*Salcycl</f>
        <v>2.5416489161954096E-2</v>
      </c>
      <c r="P167" s="169">
        <f>(INDEX(Models!$BJ167:$BT167,,T167)*(1-R167)+INDEX(Models!$BJ167:$BT167,,T167+1)*R167-ERP_i)*Q167*Ramure*Pc/MaxiM</f>
        <v>0</v>
      </c>
      <c r="Q167" s="305">
        <f t="shared" si="51"/>
        <v>0.7</v>
      </c>
      <c r="R167" s="177">
        <f t="shared" si="52"/>
        <v>0.32536086895029959</v>
      </c>
      <c r="S167" s="817">
        <f t="shared" si="53"/>
        <v>-1</v>
      </c>
      <c r="T167" s="176">
        <f t="shared" si="54"/>
        <v>5</v>
      </c>
      <c r="U167" s="251">
        <f t="shared" si="55"/>
        <v>-0.67463913104970041</v>
      </c>
      <c r="V167" s="383">
        <f t="shared" si="56"/>
        <v>41.383641499278447</v>
      </c>
      <c r="W167" s="402"/>
      <c r="X167" s="157">
        <f t="shared" si="57"/>
        <v>44349</v>
      </c>
      <c r="Y167" s="385">
        <f t="shared" si="58"/>
        <v>27.732775495884997</v>
      </c>
      <c r="Z167" s="385">
        <f t="shared" si="59"/>
        <v>28.433958247284203</v>
      </c>
      <c r="AA167" s="386">
        <f t="shared" si="60"/>
        <v>32.123499484527713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0.11485489739436945</v>
      </c>
      <c r="AD167" s="231">
        <f>(INDEX(Models!$BJ167:$BT167,,AH167)*(1-AF167)+INDEX(Models!$BJ167:$BT167,,AH167+1)*AF167-ERP_i)*AE167*Ramure*Pc/MaxiM</f>
        <v>0</v>
      </c>
      <c r="AE167" s="305">
        <f t="shared" si="62"/>
        <v>0.7</v>
      </c>
      <c r="AF167" s="177">
        <f t="shared" si="63"/>
        <v>0.32536086895029959</v>
      </c>
      <c r="AG167" s="817">
        <f t="shared" si="71"/>
        <v>-1</v>
      </c>
      <c r="AH167" s="176">
        <f t="shared" si="64"/>
        <v>5</v>
      </c>
      <c r="AI167" s="225">
        <f t="shared" si="65"/>
        <v>-0.67463913104970041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44350</v>
      </c>
      <c r="B168" s="617">
        <v>33.746000000000002</v>
      </c>
      <c r="C168" s="390"/>
      <c r="D168" s="393">
        <f t="shared" si="48"/>
        <v>34.599976184738551</v>
      </c>
      <c r="E168" s="385">
        <f t="shared" si="69"/>
        <v>35.509398452276493</v>
      </c>
      <c r="F168" s="385">
        <f t="shared" si="49"/>
        <v>35.509398452276493</v>
      </c>
      <c r="G168" s="110">
        <f t="shared" si="70"/>
        <v>0.81585040037016088</v>
      </c>
      <c r="H168" s="414" t="b">
        <f>Wh_hp&gt;='2020'!Maxi_hp</f>
        <v>0</v>
      </c>
      <c r="I168" s="380">
        <f>IF(H168,Wh_hp,'2020'!Maxi_hp)</f>
        <v>40.900365987061008</v>
      </c>
      <c r="J168" s="85">
        <f>IF(H168,An,'2020'!An_max)</f>
        <v>2020</v>
      </c>
      <c r="K168" s="197">
        <f t="shared" si="50"/>
        <v>44350</v>
      </c>
      <c r="L168" s="147">
        <f>IF(t&lt;Tvie,1-EXP((T0-t)*PertePVj)+'2020'!Pspv,1-EXP((T0-t)*PertePVj)+Pspv)</f>
        <v>2.4681409610773697E-2</v>
      </c>
      <c r="M168" s="850"/>
      <c r="N168" s="850"/>
      <c r="O168" s="48">
        <f>IF(t&lt;Tnet,'2020'!Resal+('2020'!Salim-'2020'!Resal)*(1-EXP(('2020'!Tnet-t)/('2020'!Tau_j))),Resal+(Salim-Resal)*(1-EXP((Tnet-t)/(Tau_j))))*Salcycl</f>
        <v>2.5610748342024977E-2</v>
      </c>
      <c r="P168" s="169">
        <f>(INDEX(Models!$BJ168:$BT168,,T168)*(1-R168)+INDEX(Models!$BJ168:$BT168,,T168+1)*R168-ERP_i)*Q168*Ramure*Pc/MaxiM</f>
        <v>0</v>
      </c>
      <c r="Q168" s="305">
        <f t="shared" si="51"/>
        <v>0.7</v>
      </c>
      <c r="R168" s="177">
        <f t="shared" si="52"/>
        <v>0.32837609324136119</v>
      </c>
      <c r="S168" s="817">
        <f t="shared" si="53"/>
        <v>-1</v>
      </c>
      <c r="T168" s="176">
        <f t="shared" si="54"/>
        <v>5</v>
      </c>
      <c r="U168" s="251">
        <f t="shared" si="55"/>
        <v>-0.67162390675863881</v>
      </c>
      <c r="V168" s="383">
        <f t="shared" si="56"/>
        <v>41.36297535024687</v>
      </c>
      <c r="W168" s="402"/>
      <c r="X168" s="157">
        <f t="shared" si="57"/>
        <v>44350</v>
      </c>
      <c r="Y168" s="385">
        <f t="shared" si="58"/>
        <v>30.650671329901261</v>
      </c>
      <c r="Z168" s="385">
        <f t="shared" si="59"/>
        <v>31.426317135685185</v>
      </c>
      <c r="AA168" s="386">
        <f t="shared" si="60"/>
        <v>35.509398452276493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0.11498593314890541</v>
      </c>
      <c r="AD168" s="231">
        <f>(INDEX(Models!$BJ168:$BT168,,AH168)*(1-AF168)+INDEX(Models!$BJ168:$BT168,,AH168+1)*AF168-ERP_i)*AE168*Ramure*Pc/MaxiM</f>
        <v>0</v>
      </c>
      <c r="AE168" s="305">
        <f t="shared" si="62"/>
        <v>0.7</v>
      </c>
      <c r="AF168" s="177">
        <f t="shared" si="63"/>
        <v>0.32837609324136119</v>
      </c>
      <c r="AG168" s="817">
        <f t="shared" si="71"/>
        <v>-1</v>
      </c>
      <c r="AH168" s="176">
        <f t="shared" si="64"/>
        <v>5</v>
      </c>
      <c r="AI168" s="225">
        <f t="shared" si="65"/>
        <v>-0.67162390675863881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44351</v>
      </c>
      <c r="B169" s="617">
        <v>6.0060000000000002</v>
      </c>
      <c r="C169" s="390"/>
      <c r="D169" s="393">
        <f t="shared" si="48"/>
        <v>6.1581226984490938</v>
      </c>
      <c r="E169" s="385">
        <f t="shared" si="69"/>
        <v>6.3212410451134939</v>
      </c>
      <c r="F169" s="385">
        <f t="shared" si="49"/>
        <v>6.3212410451134939</v>
      </c>
      <c r="G169" s="110">
        <f t="shared" si="70"/>
        <v>0.14528104786627943</v>
      </c>
      <c r="H169" s="414" t="b">
        <f>Wh_hp&gt;='2020'!Maxi_hp</f>
        <v>0</v>
      </c>
      <c r="I169" s="380">
        <f>IF(H169,Wh_hp,'2020'!Maxi_hp)</f>
        <v>39.208479410281221</v>
      </c>
      <c r="J169" s="85">
        <f>IF(H169,An,'2020'!An_max)</f>
        <v>2019</v>
      </c>
      <c r="K169" s="197">
        <f t="shared" si="50"/>
        <v>44351</v>
      </c>
      <c r="L169" s="147">
        <f>IF(t&lt;Tvie,1-EXP((T0-t)*PertePVj)+'2020'!Pspv,1-EXP((T0-t)*PertePVj)+Pspv)</f>
        <v>2.4702771590992434E-2</v>
      </c>
      <c r="M169" s="850"/>
      <c r="N169" s="850"/>
      <c r="O169" s="48">
        <f>IF(t&lt;Tnet,'2020'!Resal+('2020'!Salim-'2020'!Resal)*(1-EXP(('2020'!Tnet-t)/('2020'!Tau_j))),Resal+(Salim-Resal)*(1-EXP((Tnet-t)/(Tau_j))))*Salcycl</f>
        <v>2.5804797744660535E-2</v>
      </c>
      <c r="P169" s="169">
        <f>(INDEX(Models!$BJ169:$BT169,,T169)*(1-R169)+INDEX(Models!$BJ169:$BT169,,T169+1)*R169-ERP_i)*Q169*Ramure*Pc/MaxiM</f>
        <v>0</v>
      </c>
      <c r="Q169" s="305">
        <f t="shared" si="51"/>
        <v>0.7</v>
      </c>
      <c r="R169" s="177">
        <f t="shared" si="52"/>
        <v>0.33140906838451556</v>
      </c>
      <c r="S169" s="817">
        <f t="shared" si="53"/>
        <v>-1</v>
      </c>
      <c r="T169" s="176">
        <f t="shared" si="54"/>
        <v>5</v>
      </c>
      <c r="U169" s="251">
        <f t="shared" si="55"/>
        <v>-0.66859093161548444</v>
      </c>
      <c r="V169" s="383">
        <f t="shared" si="56"/>
        <v>41.340560852287375</v>
      </c>
      <c r="W169" s="402"/>
      <c r="X169" s="157">
        <f t="shared" si="57"/>
        <v>44351</v>
      </c>
      <c r="Y169" s="385">
        <f t="shared" si="58"/>
        <v>5.4553880933734318</v>
      </c>
      <c r="Z169" s="385">
        <f t="shared" si="59"/>
        <v>5.5935646431321775</v>
      </c>
      <c r="AA169" s="386">
        <f t="shared" si="60"/>
        <v>6.3212410451134939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0.1151160660996834</v>
      </c>
      <c r="AD169" s="231">
        <f>(INDEX(Models!$BJ169:$BT169,,AH169)*(1-AF169)+INDEX(Models!$BJ169:$BT169,,AH169+1)*AF169-ERP_i)*AE169*Ramure*Pc/MaxiM</f>
        <v>0</v>
      </c>
      <c r="AE169" s="305">
        <f t="shared" si="62"/>
        <v>0.7</v>
      </c>
      <c r="AF169" s="177">
        <f t="shared" si="63"/>
        <v>0.33140906838451556</v>
      </c>
      <c r="AG169" s="817">
        <f t="shared" si="71"/>
        <v>-1</v>
      </c>
      <c r="AH169" s="176">
        <f t="shared" si="64"/>
        <v>5</v>
      </c>
      <c r="AI169" s="225">
        <f t="shared" si="65"/>
        <v>-0.66859093161548444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44352</v>
      </c>
      <c r="B170" s="617">
        <v>30.365000000000002</v>
      </c>
      <c r="C170" s="390"/>
      <c r="D170" s="393">
        <f t="shared" si="48"/>
        <v>31.134780456140543</v>
      </c>
      <c r="E170" s="385">
        <f t="shared" ref="E170:E232" si="72">Wh_pvt/(1-Psa)</f>
        <v>31.965848154895578</v>
      </c>
      <c r="F170" s="385">
        <f t="shared" si="49"/>
        <v>31.965848154895578</v>
      </c>
      <c r="G170" s="110">
        <f t="shared" ref="G170:G232" si="73">+Wh_hp/MaxiM</f>
        <v>0.7349363718605616</v>
      </c>
      <c r="H170" s="414" t="b">
        <f>Wh_hp&gt;='2020'!Maxi_hp</f>
        <v>1</v>
      </c>
      <c r="I170" s="380">
        <f>IF(H170,Wh_hp,'2020'!Maxi_hp)</f>
        <v>31.965848154895578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2.4724133103328882E-2</v>
      </c>
      <c r="M170" s="850"/>
      <c r="N170" s="850"/>
      <c r="O170" s="48">
        <f>IF(t&lt;Tnet,'2020'!Resal+('2020'!Salim-'2020'!Resal)*(1-EXP(('2020'!Tnet-t)/('2020'!Tau_j))),Resal+(Salim-Resal)*(1-EXP((Tnet-t)/(Tau_j))))*Salcycl</f>
        <v>2.5998612479417548E-2</v>
      </c>
      <c r="P170" s="169">
        <f>(INDEX(Models!$BJ170:$BT170,,T170)*(1-R170)+INDEX(Models!$BJ170:$BT170,,T170+1)*R170-ERP_i)*Q170*Ramure*Pc/MaxiM</f>
        <v>0</v>
      </c>
      <c r="Q170" s="305">
        <f t="shared" si="51"/>
        <v>0.7</v>
      </c>
      <c r="R170" s="177">
        <f t="shared" si="52"/>
        <v>0.33445736953519722</v>
      </c>
      <c r="S170" s="817">
        <f t="shared" si="53"/>
        <v>-1</v>
      </c>
      <c r="T170" s="176">
        <f t="shared" si="54"/>
        <v>5</v>
      </c>
      <c r="U170" s="251">
        <f t="shared" si="55"/>
        <v>-0.66554263046480278</v>
      </c>
      <c r="V170" s="383">
        <f t="shared" si="56"/>
        <v>41.316501894072957</v>
      </c>
      <c r="W170" s="402"/>
      <c r="X170" s="157">
        <f t="shared" si="57"/>
        <v>44352</v>
      </c>
      <c r="Y170" s="385">
        <f t="shared" si="58"/>
        <v>27.582691087603195</v>
      </c>
      <c r="Z170" s="385">
        <f t="shared" si="59"/>
        <v>28.281937474133702</v>
      </c>
      <c r="AA170" s="386">
        <f t="shared" si="60"/>
        <v>31.965848154895578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0.11524520365957151</v>
      </c>
      <c r="AD170" s="231">
        <f>(INDEX(Models!$BJ170:$BT170,,AH170)*(1-AF170)+INDEX(Models!$BJ170:$BT170,,AH170+1)*AF170-ERP_i)*AE170*Ramure*Pc/MaxiM</f>
        <v>0</v>
      </c>
      <c r="AE170" s="305">
        <f t="shared" si="62"/>
        <v>0.7</v>
      </c>
      <c r="AF170" s="177">
        <f t="shared" si="63"/>
        <v>0.33445736953519722</v>
      </c>
      <c r="AG170" s="817">
        <f t="shared" si="71"/>
        <v>-1</v>
      </c>
      <c r="AH170" s="176">
        <f t="shared" si="64"/>
        <v>5</v>
      </c>
      <c r="AI170" s="225">
        <f t="shared" si="65"/>
        <v>-0.66554263046480278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44353</v>
      </c>
      <c r="B171" s="617">
        <v>30.759</v>
      </c>
      <c r="C171" s="390"/>
      <c r="D171" s="393">
        <f t="shared" si="48"/>
        <v>31.539459510747779</v>
      </c>
      <c r="E171" s="385">
        <f t="shared" si="72"/>
        <v>32.387765289328293</v>
      </c>
      <c r="F171" s="385">
        <f t="shared" si="49"/>
        <v>32.387765289328293</v>
      </c>
      <c r="G171" s="110">
        <f t="shared" si="73"/>
        <v>0.74493407284170821</v>
      </c>
      <c r="H171" s="414" t="b">
        <f>Wh_hp&gt;='2020'!Maxi_hp</f>
        <v>0</v>
      </c>
      <c r="I171" s="380">
        <f>IF(H171,Wh_hp,'2020'!Maxi_hp)</f>
        <v>41.05414814635413</v>
      </c>
      <c r="J171" s="85">
        <f>IF(H171,An,'2020'!An_max)</f>
        <v>2019</v>
      </c>
      <c r="K171" s="197">
        <f t="shared" si="50"/>
        <v>44353</v>
      </c>
      <c r="L171" s="147">
        <f>IF(t&lt;Tvie,1-EXP((T0-t)*PertePVj)+'2020'!Pspv,1-EXP((T0-t)*PertePVj)+Pspv)</f>
        <v>2.4745494147793479E-2</v>
      </c>
      <c r="M171" s="850"/>
      <c r="N171" s="850"/>
      <c r="O171" s="48">
        <f>IF(t&lt;Tnet,'2020'!Resal+('2020'!Salim-'2020'!Resal)*(1-EXP(('2020'!Tnet-t)/('2020'!Tau_j))),Resal+(Salim-Resal)*(1-EXP((Tnet-t)/(Tau_j))))*Salcycl</f>
        <v>2.619216765968187E-2</v>
      </c>
      <c r="P171" s="169">
        <f>(INDEX(Models!$BJ171:$BT171,,T171)*(1-R171)+INDEX(Models!$BJ171:$BT171,,T171+1)*R171-ERP_i)*Q171*Ramure*Pc/MaxiM</f>
        <v>0</v>
      </c>
      <c r="Q171" s="305">
        <f t="shared" si="51"/>
        <v>0.7</v>
      </c>
      <c r="R171" s="177">
        <f t="shared" si="52"/>
        <v>0.33751852129464932</v>
      </c>
      <c r="S171" s="817">
        <f t="shared" si="53"/>
        <v>-1</v>
      </c>
      <c r="T171" s="176">
        <f t="shared" si="54"/>
        <v>5</v>
      </c>
      <c r="U171" s="251">
        <f t="shared" si="55"/>
        <v>-0.66248147870535068</v>
      </c>
      <c r="V171" s="383">
        <f t="shared" si="56"/>
        <v>41.290902270939633</v>
      </c>
      <c r="W171" s="402"/>
      <c r="X171" s="157">
        <f t="shared" si="57"/>
        <v>44353</v>
      </c>
      <c r="Y171" s="385">
        <f t="shared" si="58"/>
        <v>27.942098153527049</v>
      </c>
      <c r="Z171" s="385">
        <f t="shared" si="59"/>
        <v>28.651083369371783</v>
      </c>
      <c r="AA171" s="386">
        <f t="shared" si="60"/>
        <v>32.387765289328293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0.11537325550484141</v>
      </c>
      <c r="AD171" s="231">
        <f>(INDEX(Models!$BJ171:$BT171,,AH171)*(1-AF171)+INDEX(Models!$BJ171:$BT171,,AH171+1)*AF171-ERP_i)*AE171*Ramure*Pc/MaxiM</f>
        <v>0</v>
      </c>
      <c r="AE171" s="305">
        <f t="shared" si="62"/>
        <v>0.7</v>
      </c>
      <c r="AF171" s="177">
        <f t="shared" si="63"/>
        <v>0.33751852129464932</v>
      </c>
      <c r="AG171" s="817">
        <f t="shared" si="71"/>
        <v>-1</v>
      </c>
      <c r="AH171" s="176">
        <f t="shared" si="64"/>
        <v>5</v>
      </c>
      <c r="AI171" s="225">
        <f t="shared" si="65"/>
        <v>-0.66248147870535068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44354</v>
      </c>
      <c r="B172" s="617">
        <v>36.893999999999998</v>
      </c>
      <c r="C172" s="390"/>
      <c r="D172" s="393">
        <f t="shared" si="48"/>
        <v>37.830953735246197</v>
      </c>
      <c r="E172" s="385">
        <f t="shared" si="72"/>
        <v>38.856191383459525</v>
      </c>
      <c r="F172" s="385">
        <f t="shared" si="49"/>
        <v>38.856191383459525</v>
      </c>
      <c r="G172" s="110">
        <f t="shared" si="73"/>
        <v>0.89409945949901359</v>
      </c>
      <c r="H172" s="414" t="b">
        <f>Wh_hp&gt;='2020'!Maxi_hp</f>
        <v>1</v>
      </c>
      <c r="I172" s="380">
        <f>IF(H172,Wh_hp,'2020'!Maxi_hp)</f>
        <v>38.856191383459525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2.4766854724396326E-2</v>
      </c>
      <c r="M172" s="850"/>
      <c r="N172" s="850"/>
      <c r="O172" s="48">
        <f>IF(t&lt;Tnet,'2020'!Resal+('2020'!Salim-'2020'!Resal)*(1-EXP(('2020'!Tnet-t)/('2020'!Tau_j))),Resal+(Salim-Resal)*(1-EXP((Tnet-t)/(Tau_j))))*Salcycl</f>
        <v>2.6385438503109569E-2</v>
      </c>
      <c r="P172" s="169">
        <f>(INDEX(Models!$BJ172:$BT172,,T172)*(1-R172)+INDEX(Models!$BJ172:$BT172,,T172+1)*R172-ERP_i)*Q172*Ramure*Pc/MaxiM</f>
        <v>0</v>
      </c>
      <c r="Q172" s="305">
        <f t="shared" si="51"/>
        <v>0.7</v>
      </c>
      <c r="R172" s="177">
        <f t="shared" si="52"/>
        <v>0.34059000557864338</v>
      </c>
      <c r="S172" s="817">
        <f t="shared" si="53"/>
        <v>-1</v>
      </c>
      <c r="T172" s="176">
        <f t="shared" si="54"/>
        <v>5</v>
      </c>
      <c r="U172" s="251">
        <f t="shared" si="55"/>
        <v>-0.65940999442135662</v>
      </c>
      <c r="V172" s="383">
        <f t="shared" si="56"/>
        <v>41.263865678514819</v>
      </c>
      <c r="W172" s="402"/>
      <c r="X172" s="157">
        <f t="shared" si="57"/>
        <v>44354</v>
      </c>
      <c r="Y172" s="385">
        <f t="shared" si="58"/>
        <v>33.517101478604161</v>
      </c>
      <c r="Z172" s="385">
        <f t="shared" si="59"/>
        <v>34.368296074609042</v>
      </c>
      <c r="AA172" s="386">
        <f t="shared" si="60"/>
        <v>38.856191383459525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0.11550013393131751</v>
      </c>
      <c r="AD172" s="231">
        <f>(INDEX(Models!$BJ172:$BT172,,AH172)*(1-AF172)+INDEX(Models!$BJ172:$BT172,,AH172+1)*AF172-ERP_i)*AE172*Ramure*Pc/MaxiM</f>
        <v>0</v>
      </c>
      <c r="AE172" s="305">
        <f t="shared" si="62"/>
        <v>0.7</v>
      </c>
      <c r="AF172" s="177">
        <f t="shared" si="63"/>
        <v>0.34059000557864338</v>
      </c>
      <c r="AG172" s="817">
        <f t="shared" si="71"/>
        <v>-1</v>
      </c>
      <c r="AH172" s="176">
        <f t="shared" si="64"/>
        <v>5</v>
      </c>
      <c r="AI172" s="225">
        <f t="shared" si="65"/>
        <v>-0.65940999442135662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44355</v>
      </c>
      <c r="B173" s="617">
        <v>40.987000000000002</v>
      </c>
      <c r="C173" s="390"/>
      <c r="D173" s="393">
        <f t="shared" si="48"/>
        <v>42.028819404584411</v>
      </c>
      <c r="E173" s="385">
        <f t="shared" si="72"/>
        <v>43.176378481098993</v>
      </c>
      <c r="F173" s="385">
        <f t="shared" si="49"/>
        <v>43.176378481098993</v>
      </c>
      <c r="G173" s="110">
        <f t="shared" si="73"/>
        <v>0.99397374261179439</v>
      </c>
      <c r="H173" s="414" t="b">
        <f>Wh_hp&gt;='2020'!Maxi_hp</f>
        <v>0</v>
      </c>
      <c r="I173" s="380">
        <f>IF(H173,Wh_hp,'2020'!Maxi_hp)</f>
        <v>43.845518262110815</v>
      </c>
      <c r="J173" s="85">
        <f>IF(H173,An,'2020'!An_max)</f>
        <v>2019</v>
      </c>
      <c r="K173" s="197">
        <f t="shared" si="50"/>
        <v>44355</v>
      </c>
      <c r="L173" s="147">
        <f>IF(t&lt;Tvie,1-EXP((T0-t)*PertePVj)+'2020'!Pspv,1-EXP((T0-t)*PertePVj)+Pspv)</f>
        <v>2.4788214833147748E-2</v>
      </c>
      <c r="M173" s="850"/>
      <c r="N173" s="850"/>
      <c r="O173" s="48">
        <f>IF(t&lt;Tnet,'2020'!Resal+('2020'!Salim-'2020'!Resal)*(1-EXP(('2020'!Tnet-t)/('2020'!Tau_j))),Resal+(Salim-Resal)*(1-EXP((Tnet-t)/(Tau_j))))*Salcycl</f>
        <v>2.6578400432934517E-2</v>
      </c>
      <c r="P173" s="169">
        <f>(INDEX(Models!$BJ173:$BT173,,T173)*(1-R173)+INDEX(Models!$BJ173:$BT173,,T173+1)*R173-ERP_i)*Q173*Ramure*Pc/MaxiM</f>
        <v>0</v>
      </c>
      <c r="Q173" s="305">
        <f t="shared" si="51"/>
        <v>0.7</v>
      </c>
      <c r="R173" s="177">
        <f t="shared" si="52"/>
        <v>0.34366926978550594</v>
      </c>
      <c r="S173" s="817">
        <f t="shared" si="53"/>
        <v>-1</v>
      </c>
      <c r="T173" s="176">
        <f t="shared" si="54"/>
        <v>5</v>
      </c>
      <c r="U173" s="251">
        <f t="shared" si="55"/>
        <v>-0.65633073021449406</v>
      </c>
      <c r="V173" s="383">
        <f t="shared" si="56"/>
        <v>41.235495710682819</v>
      </c>
      <c r="W173" s="402"/>
      <c r="X173" s="157">
        <f t="shared" si="57"/>
        <v>44355</v>
      </c>
      <c r="Y173" s="385">
        <f t="shared" si="58"/>
        <v>37.237562047789133</v>
      </c>
      <c r="Z173" s="385">
        <f t="shared" si="59"/>
        <v>38.184077155525799</v>
      </c>
      <c r="AA173" s="386">
        <f t="shared" si="60"/>
        <v>43.176378481098993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0.11562575420165529</v>
      </c>
      <c r="AD173" s="231">
        <f>(INDEX(Models!$BJ173:$BT173,,AH173)*(1-AF173)+INDEX(Models!$BJ173:$BT173,,AH173+1)*AF173-ERP_i)*AE173*Ramure*Pc/MaxiM</f>
        <v>0</v>
      </c>
      <c r="AE173" s="305">
        <f t="shared" si="62"/>
        <v>0.7</v>
      </c>
      <c r="AF173" s="177">
        <f t="shared" si="63"/>
        <v>0.34366926978550594</v>
      </c>
      <c r="AG173" s="817">
        <f t="shared" si="71"/>
        <v>-1</v>
      </c>
      <c r="AH173" s="176">
        <f t="shared" si="64"/>
        <v>5</v>
      </c>
      <c r="AI173" s="225">
        <f t="shared" si="65"/>
        <v>-0.65633073021449406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44356</v>
      </c>
      <c r="B174" s="617">
        <v>40.169000000000004</v>
      </c>
      <c r="C174" s="390"/>
      <c r="D174" s="393">
        <f t="shared" si="48"/>
        <v>41.19092943138358</v>
      </c>
      <c r="E174" s="385">
        <f t="shared" si="72"/>
        <v>42.32398609821027</v>
      </c>
      <c r="F174" s="385">
        <f t="shared" si="49"/>
        <v>42.32398609821027</v>
      </c>
      <c r="G174" s="110">
        <f t="shared" si="73"/>
        <v>0.9748362259370722</v>
      </c>
      <c r="H174" s="414" t="b">
        <f>Wh_hp&gt;='2020'!Maxi_hp</f>
        <v>1</v>
      </c>
      <c r="I174" s="380">
        <f>IF(H174,Wh_hp,'2020'!Maxi_hp)</f>
        <v>42.32398609821027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2.480957447405796E-2</v>
      </c>
      <c r="M174" s="850"/>
      <c r="N174" s="850"/>
      <c r="O174" s="48">
        <f>IF(t&lt;Tnet,'2020'!Resal+('2020'!Salim-'2020'!Resal)*(1-EXP(('2020'!Tnet-t)/('2020'!Tau_j))),Resal+(Salim-Resal)*(1-EXP((Tnet-t)/(Tau_j))))*Salcycl</f>
        <v>2.6771029179470444E-2</v>
      </c>
      <c r="P174" s="169">
        <f>(INDEX(Models!$BJ174:$BT174,,T174)*(1-R174)+INDEX(Models!$BJ174:$BT174,,T174+1)*R174-ERP_i)*Q174*Ramure*Pc/MaxiM</f>
        <v>0</v>
      </c>
      <c r="Q174" s="305">
        <f t="shared" si="51"/>
        <v>0.7</v>
      </c>
      <c r="R174" s="177">
        <f t="shared" si="52"/>
        <v>0.34675373520806452</v>
      </c>
      <c r="S174" s="817">
        <f t="shared" si="53"/>
        <v>-1</v>
      </c>
      <c r="T174" s="176">
        <f t="shared" si="54"/>
        <v>5</v>
      </c>
      <c r="U174" s="251">
        <f t="shared" si="55"/>
        <v>-0.65324626479193548</v>
      </c>
      <c r="V174" s="383">
        <f t="shared" si="56"/>
        <v>41.205895853313308</v>
      </c>
      <c r="W174" s="402"/>
      <c r="X174" s="157">
        <f t="shared" si="57"/>
        <v>44356</v>
      </c>
      <c r="Y174" s="385">
        <f t="shared" si="58"/>
        <v>36.49648532236521</v>
      </c>
      <c r="Z174" s="385">
        <f t="shared" si="59"/>
        <v>37.424983231025713</v>
      </c>
      <c r="AA174" s="386">
        <f t="shared" si="60"/>
        <v>42.32398609821027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0.11575003488132511</v>
      </c>
      <c r="AD174" s="231">
        <f>(INDEX(Models!$BJ174:$BT174,,AH174)*(1-AF174)+INDEX(Models!$BJ174:$BT174,,AH174+1)*AF174-ERP_i)*AE174*Ramure*Pc/MaxiM</f>
        <v>0</v>
      </c>
      <c r="AE174" s="305">
        <f t="shared" si="62"/>
        <v>0.7</v>
      </c>
      <c r="AF174" s="177">
        <f t="shared" si="63"/>
        <v>0.34675373520806452</v>
      </c>
      <c r="AG174" s="817">
        <f t="shared" si="71"/>
        <v>-1</v>
      </c>
      <c r="AH174" s="176">
        <f t="shared" si="64"/>
        <v>5</v>
      </c>
      <c r="AI174" s="225">
        <f t="shared" si="65"/>
        <v>-0.65324626479193548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44357</v>
      </c>
      <c r="B175" s="617">
        <v>39.408999999999999</v>
      </c>
      <c r="C175" s="390"/>
      <c r="D175" s="393">
        <f t="shared" si="48"/>
        <v>40.412479599450236</v>
      </c>
      <c r="E175" s="385">
        <f t="shared" si="72"/>
        <v>41.532328262690584</v>
      </c>
      <c r="F175" s="385">
        <f t="shared" si="49"/>
        <v>41.532328262690584</v>
      </c>
      <c r="G175" s="110">
        <f t="shared" si="73"/>
        <v>0.95710595722350955</v>
      </c>
      <c r="H175" s="414" t="b">
        <f>Wh_hp&gt;='2020'!Maxi_hp</f>
        <v>1</v>
      </c>
      <c r="I175" s="380">
        <f>IF(H175,Wh_hp,'2020'!Maxi_hp)</f>
        <v>41.532328262690584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2.4830933647137288E-2</v>
      </c>
      <c r="M175" s="850"/>
      <c r="N175" s="850"/>
      <c r="O175" s="48">
        <f>IF(t&lt;Tnet,'2020'!Resal+('2020'!Salim-'2020'!Resal)*(1-EXP(('2020'!Tnet-t)/('2020'!Tau_j))),Resal+(Salim-Resal)*(1-EXP((Tnet-t)/(Tau_j))))*Salcycl</f>
        <v>2.6963300881119433E-2</v>
      </c>
      <c r="P175" s="169">
        <f>(INDEX(Models!$BJ175:$BT175,,T175)*(1-R175)+INDEX(Models!$BJ175:$BT175,,T175+1)*R175-ERP_i)*Q175*Ramure*Pc/MaxiM</f>
        <v>0</v>
      </c>
      <c r="Q175" s="305">
        <f t="shared" si="51"/>
        <v>0.7</v>
      </c>
      <c r="R175" s="177">
        <f t="shared" si="52"/>
        <v>0.34984080563118369</v>
      </c>
      <c r="S175" s="817">
        <f t="shared" si="53"/>
        <v>-1</v>
      </c>
      <c r="T175" s="176">
        <f t="shared" si="54"/>
        <v>5</v>
      </c>
      <c r="U175" s="251">
        <f t="shared" si="55"/>
        <v>-0.65015919436881631</v>
      </c>
      <c r="V175" s="383">
        <f t="shared" si="56"/>
        <v>41.175169481049373</v>
      </c>
      <c r="W175" s="402"/>
      <c r="X175" s="157">
        <f t="shared" si="57"/>
        <v>44357</v>
      </c>
      <c r="Y175" s="385">
        <f t="shared" si="58"/>
        <v>35.80806868633767</v>
      </c>
      <c r="Z175" s="385">
        <f t="shared" si="59"/>
        <v>36.719857019521783</v>
      </c>
      <c r="AA175" s="386">
        <f t="shared" si="60"/>
        <v>41.532328262690584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0.11587289816092368</v>
      </c>
      <c r="AD175" s="231">
        <f>(INDEX(Models!$BJ175:$BT175,,AH175)*(1-AF175)+INDEX(Models!$BJ175:$BT175,,AH175+1)*AF175-ERP_i)*AE175*Ramure*Pc/MaxiM</f>
        <v>0</v>
      </c>
      <c r="AE175" s="305">
        <f t="shared" si="62"/>
        <v>0.7</v>
      </c>
      <c r="AF175" s="177">
        <f t="shared" si="63"/>
        <v>0.34984080563118369</v>
      </c>
      <c r="AG175" s="817">
        <f t="shared" si="71"/>
        <v>-1</v>
      </c>
      <c r="AH175" s="176">
        <f t="shared" si="64"/>
        <v>5</v>
      </c>
      <c r="AI175" s="225">
        <f t="shared" si="65"/>
        <v>-0.65015919436881631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44358</v>
      </c>
      <c r="B176" s="617">
        <v>30.629000000000001</v>
      </c>
      <c r="C176" s="390"/>
      <c r="D176" s="393">
        <f t="shared" si="48"/>
        <v>31.409600576191494</v>
      </c>
      <c r="E176" s="385">
        <f t="shared" si="72"/>
        <v>32.286342409238905</v>
      </c>
      <c r="F176" s="385">
        <f t="shared" si="49"/>
        <v>32.286342409238905</v>
      </c>
      <c r="G176" s="110">
        <f t="shared" si="73"/>
        <v>0.74444467933444269</v>
      </c>
      <c r="H176" s="414" t="b">
        <f>Wh_hp&gt;='2020'!Maxi_hp</f>
        <v>1</v>
      </c>
      <c r="I176" s="380">
        <f>IF(H176,Wh_hp,'2020'!Maxi_hp)</f>
        <v>32.286342409238905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2.4852292352395833E-2</v>
      </c>
      <c r="M176" s="850"/>
      <c r="N176" s="850"/>
      <c r="O176" s="48">
        <f>IF(t&lt;Tnet,'2020'!Resal+('2020'!Salim-'2020'!Resal)*(1-EXP(('2020'!Tnet-t)/('2020'!Tau_j))),Resal+(Salim-Resal)*(1-EXP((Tnet-t)/(Tau_j))))*Salcycl</f>
        <v>2.7155192184188888E-2</v>
      </c>
      <c r="P176" s="169">
        <f>(INDEX(Models!$BJ176:$BT176,,T176)*(1-R176)+INDEX(Models!$BJ176:$BT176,,T176+1)*R176-ERP_i)*Q176*Ramure*Pc/MaxiM</f>
        <v>0</v>
      </c>
      <c r="Q176" s="305">
        <f t="shared" si="51"/>
        <v>0.7</v>
      </c>
      <c r="R176" s="177">
        <f t="shared" si="52"/>
        <v>0.35292787605430276</v>
      </c>
      <c r="S176" s="817">
        <f t="shared" si="53"/>
        <v>-1</v>
      </c>
      <c r="T176" s="176">
        <f t="shared" si="54"/>
        <v>5</v>
      </c>
      <c r="U176" s="251">
        <f t="shared" si="55"/>
        <v>-0.64707212394569724</v>
      </c>
      <c r="V176" s="383">
        <f t="shared" si="56"/>
        <v>41.143419854089501</v>
      </c>
      <c r="W176" s="402"/>
      <c r="X176" s="157">
        <f t="shared" si="57"/>
        <v>44358</v>
      </c>
      <c r="Y176" s="385">
        <f t="shared" si="58"/>
        <v>27.831994663139604</v>
      </c>
      <c r="Z176" s="385">
        <f t="shared" si="59"/>
        <v>28.541311685262603</v>
      </c>
      <c r="AA176" s="386">
        <f t="shared" si="60"/>
        <v>32.286342409238905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0.11599427016250195</v>
      </c>
      <c r="AD176" s="231">
        <f>(INDEX(Models!$BJ176:$BT176,,AH176)*(1-AF176)+INDEX(Models!$BJ176:$BT176,,AH176+1)*AF176-ERP_i)*AE176*Ramure*Pc/MaxiM</f>
        <v>0</v>
      </c>
      <c r="AE176" s="305">
        <f t="shared" si="62"/>
        <v>0.7</v>
      </c>
      <c r="AF176" s="177">
        <f t="shared" si="63"/>
        <v>0.35292787605430276</v>
      </c>
      <c r="AG176" s="817">
        <f t="shared" si="71"/>
        <v>-1</v>
      </c>
      <c r="AH176" s="176">
        <f t="shared" si="64"/>
        <v>5</v>
      </c>
      <c r="AI176" s="225">
        <f t="shared" si="65"/>
        <v>-0.64707212394569724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44359</v>
      </c>
      <c r="B177" s="617">
        <v>32.613999999999997</v>
      </c>
      <c r="C177" s="390"/>
      <c r="D177" s="393">
        <f t="shared" si="48"/>
        <v>33.445922182010435</v>
      </c>
      <c r="E177" s="385">
        <f t="shared" si="72"/>
        <v>34.386272586546859</v>
      </c>
      <c r="F177" s="385">
        <f t="shared" si="49"/>
        <v>34.386272586546859</v>
      </c>
      <c r="G177" s="110">
        <f t="shared" si="73"/>
        <v>0.79332962176306543</v>
      </c>
      <c r="H177" s="414" t="b">
        <f>Wh_hp&gt;='2020'!Maxi_hp</f>
        <v>0</v>
      </c>
      <c r="I177" s="380">
        <f>IF(H177,Wh_hp,'2020'!Maxi_hp)</f>
        <v>42.346993291813639</v>
      </c>
      <c r="J177" s="85">
        <f>IF(H177,An,'2020'!An_max)</f>
        <v>2019</v>
      </c>
      <c r="K177" s="197">
        <f t="shared" si="50"/>
        <v>44359</v>
      </c>
      <c r="L177" s="147">
        <f>IF(t&lt;Tvie,1-EXP((T0-t)*PertePVj)+'2020'!Pspv,1-EXP((T0-t)*PertePVj)+Pspv)</f>
        <v>2.4873650589843921E-2</v>
      </c>
      <c r="M177" s="850"/>
      <c r="N177" s="850"/>
      <c r="O177" s="48">
        <f>IF(t&lt;Tnet,'2020'!Resal+('2020'!Salim-'2020'!Resal)*(1-EXP(('2020'!Tnet-t)/('2020'!Tau_j))),Resal+(Salim-Resal)*(1-EXP((Tnet-t)/(Tau_j))))*Salcycl</f>
        <v>2.7346680340814923E-2</v>
      </c>
      <c r="P177" s="169">
        <f>(INDEX(Models!$BJ177:$BT177,,T177)*(1-R177)+INDEX(Models!$BJ177:$BT177,,T177+1)*R177-ERP_i)*Q177*Ramure*Pc/MaxiM</f>
        <v>0</v>
      </c>
      <c r="Q177" s="305">
        <f t="shared" si="51"/>
        <v>0.7</v>
      </c>
      <c r="R177" s="177">
        <f t="shared" si="52"/>
        <v>0.35601234147686145</v>
      </c>
      <c r="S177" s="817">
        <f t="shared" si="53"/>
        <v>-1</v>
      </c>
      <c r="T177" s="176">
        <f t="shared" si="54"/>
        <v>5</v>
      </c>
      <c r="U177" s="251">
        <f t="shared" si="55"/>
        <v>-0.64398765852313855</v>
      </c>
      <c r="V177" s="383">
        <f t="shared" si="56"/>
        <v>41.110276365982514</v>
      </c>
      <c r="W177" s="402"/>
      <c r="X177" s="157">
        <f t="shared" si="57"/>
        <v>44359</v>
      </c>
      <c r="Y177" s="385">
        <f t="shared" si="58"/>
        <v>29.637543790979059</v>
      </c>
      <c r="Z177" s="385">
        <f t="shared" si="59"/>
        <v>30.393542138315208</v>
      </c>
      <c r="AA177" s="386">
        <f t="shared" si="60"/>
        <v>34.386272586546859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0.11611408122768581</v>
      </c>
      <c r="AD177" s="231">
        <f>(INDEX(Models!$BJ177:$BT177,,AH177)*(1-AF177)+INDEX(Models!$BJ177:$BT177,,AH177+1)*AF177-ERP_i)*AE177*Ramure*Pc/MaxiM</f>
        <v>0</v>
      </c>
      <c r="AE177" s="305">
        <f t="shared" si="62"/>
        <v>0.7</v>
      </c>
      <c r="AF177" s="177">
        <f t="shared" si="63"/>
        <v>0.35601234147686145</v>
      </c>
      <c r="AG177" s="817">
        <f t="shared" si="71"/>
        <v>-1</v>
      </c>
      <c r="AH177" s="176">
        <f t="shared" si="64"/>
        <v>5</v>
      </c>
      <c r="AI177" s="225">
        <f t="shared" si="65"/>
        <v>-0.64398765852313855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44360</v>
      </c>
      <c r="B178" s="617">
        <v>39.366</v>
      </c>
      <c r="C178" s="390"/>
      <c r="D178" s="393">
        <f t="shared" si="48"/>
        <v>40.371037311347344</v>
      </c>
      <c r="E178" s="385">
        <f t="shared" si="72"/>
        <v>41.514245960066958</v>
      </c>
      <c r="F178" s="385">
        <f t="shared" si="49"/>
        <v>41.514245960066958</v>
      </c>
      <c r="G178" s="110">
        <f t="shared" si="73"/>
        <v>0.95838458047334474</v>
      </c>
      <c r="H178" s="414" t="b">
        <f>Wh_hp&gt;='2020'!Maxi_hp</f>
        <v>0</v>
      </c>
      <c r="I178" s="380">
        <f>IF(H178,Wh_hp,'2020'!Maxi_hp)</f>
        <v>42.331938879997239</v>
      </c>
      <c r="J178" s="85">
        <f>IF(H178,An,'2020'!An_max)</f>
        <v>2019</v>
      </c>
      <c r="K178" s="197">
        <f t="shared" si="50"/>
        <v>44360</v>
      </c>
      <c r="L178" s="147">
        <f>IF(t&lt;Tvie,1-EXP((T0-t)*PertePVj)+'2020'!Pspv,1-EXP((T0-t)*PertePVj)+Pspv)</f>
        <v>2.4895008359491766E-2</v>
      </c>
      <c r="M178" s="850"/>
      <c r="N178" s="850"/>
      <c r="O178" s="48">
        <f>IF(t&lt;Tnet,'2020'!Resal+('2020'!Salim-'2020'!Resal)*(1-EXP(('2020'!Tnet-t)/('2020'!Tau_j))),Resal+(Salim-Resal)*(1-EXP((Tnet-t)/(Tau_j))))*Salcycl</f>
        <v>2.7537743304293198E-2</v>
      </c>
      <c r="P178" s="169">
        <f>(INDEX(Models!$BJ178:$BT178,,T178)*(1-R178)+INDEX(Models!$BJ178:$BT178,,T178+1)*R178-ERP_i)*Q178*Ramure*Pc/MaxiM</f>
        <v>0</v>
      </c>
      <c r="Q178" s="305">
        <f t="shared" si="51"/>
        <v>0.7</v>
      </c>
      <c r="R178" s="177">
        <f t="shared" si="52"/>
        <v>0.359091605683724</v>
      </c>
      <c r="S178" s="817">
        <f t="shared" si="53"/>
        <v>-1</v>
      </c>
      <c r="T178" s="176">
        <f t="shared" si="54"/>
        <v>5</v>
      </c>
      <c r="U178" s="251">
        <f t="shared" si="55"/>
        <v>-0.640908394316276</v>
      </c>
      <c r="V178" s="383">
        <f t="shared" si="56"/>
        <v>41.075368700691314</v>
      </c>
      <c r="W178" s="402"/>
      <c r="X178" s="157">
        <f t="shared" si="57"/>
        <v>44360</v>
      </c>
      <c r="Y178" s="385">
        <f t="shared" si="58"/>
        <v>35.775579329480138</v>
      </c>
      <c r="Z178" s="385">
        <f t="shared" si="59"/>
        <v>36.688951073147123</v>
      </c>
      <c r="AA178" s="386">
        <f t="shared" si="60"/>
        <v>41.514245960066958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0.11623226618547626</v>
      </c>
      <c r="AD178" s="231">
        <f>(INDEX(Models!$BJ178:$BT178,,AH178)*(1-AF178)+INDEX(Models!$BJ178:$BT178,,AH178+1)*AF178-ERP_i)*AE178*Ramure*Pc/MaxiM</f>
        <v>0</v>
      </c>
      <c r="AE178" s="305">
        <f t="shared" si="62"/>
        <v>0.7</v>
      </c>
      <c r="AF178" s="177">
        <f t="shared" si="63"/>
        <v>0.359091605683724</v>
      </c>
      <c r="AG178" s="817">
        <f t="shared" si="71"/>
        <v>-1</v>
      </c>
      <c r="AH178" s="176">
        <f t="shared" si="64"/>
        <v>5</v>
      </c>
      <c r="AI178" s="225">
        <f t="shared" si="65"/>
        <v>-0.640908394316276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44361</v>
      </c>
      <c r="B179" s="617">
        <v>36.497999999999998</v>
      </c>
      <c r="C179" s="390"/>
      <c r="D179" s="393">
        <f t="shared" si="48"/>
        <v>37.430635398526341</v>
      </c>
      <c r="E179" s="385">
        <f t="shared" si="72"/>
        <v>38.498125268407549</v>
      </c>
      <c r="F179" s="385">
        <f t="shared" si="49"/>
        <v>38.498125268407549</v>
      </c>
      <c r="G179" s="110">
        <f t="shared" si="73"/>
        <v>0.88935348189959407</v>
      </c>
      <c r="H179" s="414" t="b">
        <f>Wh_hp&gt;='2020'!Maxi_hp</f>
        <v>1</v>
      </c>
      <c r="I179" s="380">
        <f>IF(H179,Wh_hp,'2020'!Maxi_hp)</f>
        <v>38.498125268407549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2.4916365661349693E-2</v>
      </c>
      <c r="M179" s="850"/>
      <c r="N179" s="850"/>
      <c r="O179" s="48">
        <f>IF(t&lt;Tnet,'2020'!Resal+('2020'!Salim-'2020'!Resal)*(1-EXP(('2020'!Tnet-t)/('2020'!Tau_j))),Resal+(Salim-Resal)*(1-EXP((Tnet-t)/(Tau_j))))*Salcycl</f>
        <v>2.7728359821126581E-2</v>
      </c>
      <c r="P179" s="169">
        <f>(INDEX(Models!$BJ179:$BT179,,T179)*(1-R179)+INDEX(Models!$BJ179:$BT179,,T179+1)*R179-ERP_i)*Q179*Ramure*Pc/MaxiM</f>
        <v>0</v>
      </c>
      <c r="Q179" s="305">
        <f t="shared" si="51"/>
        <v>0.7</v>
      </c>
      <c r="R179" s="177">
        <f t="shared" si="52"/>
        <v>0.36216308996771807</v>
      </c>
      <c r="S179" s="817">
        <f t="shared" si="53"/>
        <v>-1</v>
      </c>
      <c r="T179" s="176">
        <f t="shared" si="54"/>
        <v>5</v>
      </c>
      <c r="U179" s="251">
        <f t="shared" si="55"/>
        <v>-0.63783691003228193</v>
      </c>
      <c r="V179" s="383">
        <f t="shared" si="56"/>
        <v>41.03880036770412</v>
      </c>
      <c r="W179" s="402"/>
      <c r="X179" s="157">
        <f t="shared" si="57"/>
        <v>44361</v>
      </c>
      <c r="Y179" s="385">
        <f t="shared" si="58"/>
        <v>33.171288204784062</v>
      </c>
      <c r="Z179" s="385">
        <f t="shared" si="59"/>
        <v>34.018915954099121</v>
      </c>
      <c r="AA179" s="386">
        <f t="shared" si="60"/>
        <v>38.498125268407549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0.11634876459774442</v>
      </c>
      <c r="AD179" s="231">
        <f>(INDEX(Models!$BJ179:$BT179,,AH179)*(1-AF179)+INDEX(Models!$BJ179:$BT179,,AH179+1)*AF179-ERP_i)*AE179*Ramure*Pc/MaxiM</f>
        <v>0</v>
      </c>
      <c r="AE179" s="305">
        <f t="shared" si="62"/>
        <v>0.7</v>
      </c>
      <c r="AF179" s="177">
        <f t="shared" si="63"/>
        <v>0.36216308996771807</v>
      </c>
      <c r="AG179" s="817">
        <f t="shared" si="71"/>
        <v>-1</v>
      </c>
      <c r="AH179" s="176">
        <f t="shared" si="64"/>
        <v>5</v>
      </c>
      <c r="AI179" s="225">
        <f t="shared" si="65"/>
        <v>-0.63783691003228193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44362</v>
      </c>
      <c r="B180" s="617">
        <v>34.991</v>
      </c>
      <c r="C180" s="390"/>
      <c r="D180" s="393">
        <f t="shared" si="48"/>
        <v>35.885912938351701</v>
      </c>
      <c r="E180" s="385">
        <f t="shared" si="72"/>
        <v>36.916568507645451</v>
      </c>
      <c r="F180" s="385">
        <f t="shared" si="49"/>
        <v>36.916568507645451</v>
      </c>
      <c r="G180" s="110">
        <f t="shared" si="73"/>
        <v>0.85342497946348506</v>
      </c>
      <c r="H180" s="414" t="b">
        <f>Wh_hp&gt;='2020'!Maxi_hp</f>
        <v>1</v>
      </c>
      <c r="I180" s="380">
        <f>IF(H180,Wh_hp,'2020'!Maxi_hp)</f>
        <v>36.916568507645451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2.4937722495427916E-2</v>
      </c>
      <c r="M180" s="850"/>
      <c r="N180" s="850"/>
      <c r="O180" s="48">
        <f>IF(t&lt;Tnet,'2020'!Resal+('2020'!Salim-'2020'!Resal)*(1-EXP(('2020'!Tnet-t)/('2020'!Tau_j))),Resal+(Salim-Resal)*(1-EXP((Tnet-t)/(Tau_j))))*Salcycl</f>
        <v>2.791850951911478E-2</v>
      </c>
      <c r="P180" s="169">
        <f>(INDEX(Models!$BJ180:$BT180,,T180)*(1-R180)+INDEX(Models!$BJ180:$BT180,,T180+1)*R180-ERP_i)*Q180*Ramure*Pc/MaxiM</f>
        <v>0</v>
      </c>
      <c r="Q180" s="305">
        <f t="shared" si="51"/>
        <v>0.7</v>
      </c>
      <c r="R180" s="177">
        <f t="shared" si="52"/>
        <v>0.36522424172717027</v>
      </c>
      <c r="S180" s="817">
        <f t="shared" si="53"/>
        <v>-1</v>
      </c>
      <c r="T180" s="176">
        <f t="shared" si="54"/>
        <v>5</v>
      </c>
      <c r="U180" s="251">
        <f t="shared" si="55"/>
        <v>-0.63477575827282973</v>
      </c>
      <c r="V180" s="383">
        <f t="shared" si="56"/>
        <v>41.000674742374514</v>
      </c>
      <c r="W180" s="402"/>
      <c r="X180" s="157">
        <f t="shared" si="57"/>
        <v>44362</v>
      </c>
      <c r="Y180" s="385">
        <f t="shared" si="58"/>
        <v>31.803737896577374</v>
      </c>
      <c r="Z180" s="385">
        <f t="shared" si="59"/>
        <v>32.61713495672408</v>
      </c>
      <c r="AA180" s="386">
        <f t="shared" si="60"/>
        <v>36.916568507645451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0.11646352098058514</v>
      </c>
      <c r="AD180" s="231">
        <f>(INDEX(Models!$BJ180:$BT180,,AH180)*(1-AF180)+INDEX(Models!$BJ180:$BT180,,AH180+1)*AF180-ERP_i)*AE180*Ramure*Pc/MaxiM</f>
        <v>0</v>
      </c>
      <c r="AE180" s="305">
        <f t="shared" si="62"/>
        <v>0.7</v>
      </c>
      <c r="AF180" s="177">
        <f t="shared" si="63"/>
        <v>0.36522424172717027</v>
      </c>
      <c r="AG180" s="817">
        <f t="shared" si="71"/>
        <v>-1</v>
      </c>
      <c r="AH180" s="176">
        <f t="shared" si="64"/>
        <v>5</v>
      </c>
      <c r="AI180" s="225">
        <f t="shared" si="65"/>
        <v>-0.63477575827282973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44363</v>
      </c>
      <c r="B181" s="617">
        <v>32.456000000000003</v>
      </c>
      <c r="C181" s="390"/>
      <c r="D181" s="393">
        <f t="shared" si="48"/>
        <v>33.286808067615098</v>
      </c>
      <c r="E181" s="385">
        <f t="shared" si="72"/>
        <v>34.249498907763858</v>
      </c>
      <c r="F181" s="385">
        <f t="shared" si="49"/>
        <v>34.249498907763858</v>
      </c>
      <c r="G181" s="110">
        <f t="shared" si="73"/>
        <v>0.79236162874110194</v>
      </c>
      <c r="H181" s="414" t="b">
        <f>Wh_hp&gt;='2020'!Maxi_hp</f>
        <v>0</v>
      </c>
      <c r="I181" s="380">
        <f>IF(H181,Wh_hp,'2020'!Maxi_hp)</f>
        <v>44.363595434270344</v>
      </c>
      <c r="J181" s="85">
        <f>IF(H181,An,'2020'!An_max)</f>
        <v>2019</v>
      </c>
      <c r="K181" s="197">
        <f t="shared" si="50"/>
        <v>44363</v>
      </c>
      <c r="L181" s="147">
        <f>IF(t&lt;Tvie,1-EXP((T0-t)*PertePVj)+'2020'!Pspv,1-EXP((T0-t)*PertePVj)+Pspv)</f>
        <v>2.495907886173665E-2</v>
      </c>
      <c r="M181" s="850"/>
      <c r="N181" s="850"/>
      <c r="O181" s="48">
        <f>IF(t&lt;Tnet,'2020'!Resal+('2020'!Salim-'2020'!Resal)*(1-EXP(('2020'!Tnet-t)/('2020'!Tau_j))),Resal+(Salim-Resal)*(1-EXP((Tnet-t)/(Tau_j))))*Salcycl</f>
        <v>2.8108172990832712E-2</v>
      </c>
      <c r="P181" s="169">
        <f>(INDEX(Models!$BJ181:$BT181,,T181)*(1-R181)+INDEX(Models!$BJ181:$BT181,,T181+1)*R181-ERP_i)*Q181*Ramure*Pc/MaxiM</f>
        <v>0</v>
      </c>
      <c r="Q181" s="305">
        <f t="shared" si="51"/>
        <v>0.7</v>
      </c>
      <c r="R181" s="177">
        <f t="shared" si="52"/>
        <v>0.36827254287785183</v>
      </c>
      <c r="S181" s="817">
        <f t="shared" si="53"/>
        <v>-1</v>
      </c>
      <c r="T181" s="176">
        <f t="shared" si="54"/>
        <v>5</v>
      </c>
      <c r="U181" s="251">
        <f t="shared" si="55"/>
        <v>-0.63172745712214817</v>
      </c>
      <c r="V181" s="383">
        <f t="shared" si="56"/>
        <v>40.961095064088155</v>
      </c>
      <c r="W181" s="402"/>
      <c r="X181" s="157">
        <f t="shared" si="57"/>
        <v>44363</v>
      </c>
      <c r="Y181" s="385">
        <f t="shared" si="58"/>
        <v>29.501630537504358</v>
      </c>
      <c r="Z181" s="385">
        <f t="shared" si="59"/>
        <v>30.256812712090213</v>
      </c>
      <c r="AA181" s="386">
        <f t="shared" si="60"/>
        <v>34.249498907763858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0.11657648499985969</v>
      </c>
      <c r="AD181" s="231">
        <f>(INDEX(Models!$BJ181:$BT181,,AH181)*(1-AF181)+INDEX(Models!$BJ181:$BT181,,AH181+1)*AF181-ERP_i)*AE181*Ramure*Pc/MaxiM</f>
        <v>0</v>
      </c>
      <c r="AE181" s="305">
        <f t="shared" si="62"/>
        <v>0.7</v>
      </c>
      <c r="AF181" s="177">
        <f t="shared" si="63"/>
        <v>0.36827254287785183</v>
      </c>
      <c r="AG181" s="817">
        <f t="shared" si="71"/>
        <v>-1</v>
      </c>
      <c r="AH181" s="176">
        <f t="shared" si="64"/>
        <v>5</v>
      </c>
      <c r="AI181" s="225">
        <f t="shared" si="65"/>
        <v>-0.63172745712214817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44364</v>
      </c>
      <c r="B182" s="617">
        <v>10.263999999999999</v>
      </c>
      <c r="C182" s="390"/>
      <c r="D182" s="393">
        <f t="shared" si="48"/>
        <v>10.52696824342857</v>
      </c>
      <c r="E182" s="385">
        <f t="shared" si="72"/>
        <v>10.833528185846758</v>
      </c>
      <c r="F182" s="385">
        <f t="shared" si="49"/>
        <v>10.833528185846758</v>
      </c>
      <c r="G182" s="110">
        <f t="shared" si="73"/>
        <v>0.25082988160292463</v>
      </c>
      <c r="H182" s="414" t="b">
        <f>Wh_hp&gt;='2020'!Maxi_hp</f>
        <v>0</v>
      </c>
      <c r="I182" s="380">
        <f>IF(H182,Wh_hp,'2020'!Maxi_hp)</f>
        <v>42.925961898835723</v>
      </c>
      <c r="J182" s="85">
        <f>IF(H182,An,'2020'!An_max)</f>
        <v>2019</v>
      </c>
      <c r="K182" s="197">
        <f t="shared" si="50"/>
        <v>44364</v>
      </c>
      <c r="L182" s="147">
        <f>IF(t&lt;Tvie,1-EXP((T0-t)*PertePVj)+'2020'!Pspv,1-EXP((T0-t)*PertePVj)+Pspv)</f>
        <v>2.4980434760286108E-2</v>
      </c>
      <c r="M182" s="850"/>
      <c r="N182" s="850"/>
      <c r="O182" s="48">
        <f>IF(t&lt;Tnet,'2020'!Resal+('2020'!Salim-'2020'!Resal)*(1-EXP(('2020'!Tnet-t)/('2020'!Tau_j))),Resal+(Salim-Resal)*(1-EXP((Tnet-t)/(Tau_j))))*Salcycl</f>
        <v>2.8297331871872347E-2</v>
      </c>
      <c r="P182" s="169">
        <f>(INDEX(Models!$BJ182:$BT182,,T182)*(1-R182)+INDEX(Models!$BJ182:$BT182,,T182+1)*R182-ERP_i)*Q182*Ramure*Pc/MaxiM</f>
        <v>0</v>
      </c>
      <c r="Q182" s="305">
        <f t="shared" si="51"/>
        <v>0.7</v>
      </c>
      <c r="R182" s="177">
        <f t="shared" si="52"/>
        <v>0.3713055180210062</v>
      </c>
      <c r="S182" s="817">
        <f t="shared" si="53"/>
        <v>-1</v>
      </c>
      <c r="T182" s="176">
        <f t="shared" si="54"/>
        <v>5</v>
      </c>
      <c r="U182" s="251">
        <f t="shared" si="55"/>
        <v>-0.6286944819789938</v>
      </c>
      <c r="V182" s="383">
        <f t="shared" si="56"/>
        <v>40.920164433392301</v>
      </c>
      <c r="W182" s="402"/>
      <c r="X182" s="157">
        <f t="shared" si="57"/>
        <v>44364</v>
      </c>
      <c r="Y182" s="385">
        <f t="shared" si="58"/>
        <v>9.3303421422089841</v>
      </c>
      <c r="Z182" s="385">
        <f t="shared" si="59"/>
        <v>9.5693896562117384</v>
      </c>
      <c r="AA182" s="386">
        <f t="shared" si="60"/>
        <v>10.833528185846758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0.11668761163944051</v>
      </c>
      <c r="AD182" s="231">
        <f>(INDEX(Models!$BJ182:$BT182,,AH182)*(1-AF182)+INDEX(Models!$BJ182:$BT182,,AH182+1)*AF182-ERP_i)*AE182*Ramure*Pc/MaxiM</f>
        <v>0</v>
      </c>
      <c r="AE182" s="305">
        <f t="shared" si="62"/>
        <v>0.7</v>
      </c>
      <c r="AF182" s="177">
        <f t="shared" si="63"/>
        <v>0.3713055180210062</v>
      </c>
      <c r="AG182" s="817">
        <f t="shared" si="71"/>
        <v>-1</v>
      </c>
      <c r="AH182" s="176">
        <f t="shared" si="64"/>
        <v>5</v>
      </c>
      <c r="AI182" s="225">
        <f t="shared" si="65"/>
        <v>-0.6286944819789938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44365</v>
      </c>
      <c r="B183" s="617">
        <v>28.434000000000001</v>
      </c>
      <c r="C183" s="390"/>
      <c r="D183" s="393">
        <f t="shared" si="48"/>
        <v>29.16313046930895</v>
      </c>
      <c r="E183" s="385">
        <f t="shared" si="72"/>
        <v>30.018228801787711</v>
      </c>
      <c r="F183" s="385">
        <f t="shared" si="49"/>
        <v>30.018228801787711</v>
      </c>
      <c r="G183" s="110">
        <f t="shared" si="73"/>
        <v>0.69558221710370904</v>
      </c>
      <c r="H183" s="414" t="b">
        <f>Wh_hp&gt;='2020'!Maxi_hp</f>
        <v>0</v>
      </c>
      <c r="I183" s="380">
        <f>IF(H183,Wh_hp,'2020'!Maxi_hp)</f>
        <v>41.455412731300569</v>
      </c>
      <c r="J183" s="85">
        <f>IF(H183,An,'2020'!An_max)</f>
        <v>2019</v>
      </c>
      <c r="K183" s="197">
        <f t="shared" si="50"/>
        <v>44365</v>
      </c>
      <c r="L183" s="147">
        <f>IF(t&lt;Tvie,1-EXP((T0-t)*PertePVj)+'2020'!Pspv,1-EXP((T0-t)*PertePVj)+Pspv)</f>
        <v>2.5001790191086615E-2</v>
      </c>
      <c r="M183" s="850"/>
      <c r="N183" s="850"/>
      <c r="O183" s="48">
        <f>IF(t&lt;Tnet,'2020'!Resal+('2020'!Salim-'2020'!Resal)*(1-EXP(('2020'!Tnet-t)/('2020'!Tau_j))),Resal+(Salim-Resal)*(1-EXP((Tnet-t)/(Tau_j))))*Salcycl</f>
        <v>2.8485968913257099E-2</v>
      </c>
      <c r="P183" s="169">
        <f>(INDEX(Models!$BJ183:$BT183,,T183)*(1-R183)+INDEX(Models!$BJ183:$BT183,,T183+1)*R183-ERP_i)*Q183*Ramure*Pc/MaxiM</f>
        <v>0</v>
      </c>
      <c r="Q183" s="305">
        <f t="shared" si="51"/>
        <v>0.7</v>
      </c>
      <c r="R183" s="177">
        <f t="shared" si="52"/>
        <v>0.3743207423120678</v>
      </c>
      <c r="S183" s="817">
        <f t="shared" si="53"/>
        <v>-1</v>
      </c>
      <c r="T183" s="176">
        <f t="shared" si="54"/>
        <v>5</v>
      </c>
      <c r="U183" s="251">
        <f t="shared" si="55"/>
        <v>-0.6256792576879322</v>
      </c>
      <c r="V183" s="383">
        <f t="shared" si="56"/>
        <v>40.877985809347663</v>
      </c>
      <c r="W183" s="402"/>
      <c r="X183" s="157">
        <f t="shared" si="57"/>
        <v>44365</v>
      </c>
      <c r="Y183" s="385">
        <f t="shared" si="58"/>
        <v>25.84934158546546</v>
      </c>
      <c r="Z183" s="385">
        <f t="shared" si="59"/>
        <v>26.512193894726828</v>
      </c>
      <c r="AA183" s="386">
        <f t="shared" si="60"/>
        <v>30.018228801787711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0.11679686134086906</v>
      </c>
      <c r="AD183" s="231">
        <f>(INDEX(Models!$BJ183:$BT183,,AH183)*(1-AF183)+INDEX(Models!$BJ183:$BT183,,AH183+1)*AF183-ERP_i)*AE183*Ramure*Pc/MaxiM</f>
        <v>0</v>
      </c>
      <c r="AE183" s="305">
        <f t="shared" si="62"/>
        <v>0.7</v>
      </c>
      <c r="AF183" s="177">
        <f t="shared" si="63"/>
        <v>0.3743207423120678</v>
      </c>
      <c r="AG183" s="817">
        <f t="shared" si="71"/>
        <v>-1</v>
      </c>
      <c r="AH183" s="176">
        <f t="shared" si="64"/>
        <v>5</v>
      </c>
      <c r="AI183" s="225">
        <f t="shared" si="65"/>
        <v>-0.6256792576879322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44366</v>
      </c>
      <c r="B184" s="617">
        <v>22.530999999999999</v>
      </c>
      <c r="C184" s="390"/>
      <c r="D184" s="393">
        <f t="shared" si="48"/>
        <v>23.109266530806266</v>
      </c>
      <c r="E184" s="385">
        <f t="shared" si="72"/>
        <v>23.791464605863972</v>
      </c>
      <c r="F184" s="385">
        <f t="shared" si="49"/>
        <v>23.791464605863972</v>
      </c>
      <c r="G184" s="110">
        <f t="shared" si="73"/>
        <v>0.55176163810126078</v>
      </c>
      <c r="H184" s="414" t="b">
        <f>Wh_hp&gt;='2020'!Maxi_hp</f>
        <v>0</v>
      </c>
      <c r="I184" s="380">
        <f>IF(H184,Wh_hp,'2020'!Maxi_hp)</f>
        <v>39.3434208433533</v>
      </c>
      <c r="J184" s="85">
        <f>IF(H184,An,'2020'!An_max)</f>
        <v>2018</v>
      </c>
      <c r="K184" s="197">
        <f t="shared" si="50"/>
        <v>44366</v>
      </c>
      <c r="L184" s="147">
        <f>IF(t&lt;Tvie,1-EXP((T0-t)*PertePVj)+'2020'!Pspv,1-EXP((T0-t)*PertePVj)+Pspv)</f>
        <v>2.5023145154148385E-2</v>
      </c>
      <c r="M184" s="850"/>
      <c r="N184" s="850"/>
      <c r="O184" s="48">
        <f>IF(t&lt;Tnet,'2020'!Resal+('2020'!Salim-'2020'!Resal)*(1-EXP(('2020'!Tnet-t)/('2020'!Tau_j))),Resal+(Salim-Resal)*(1-EXP((Tnet-t)/(Tau_j))))*Salcycl</f>
        <v>2.8674068047477849E-2</v>
      </c>
      <c r="P184" s="169">
        <f>(INDEX(Models!$BJ184:$BT184,,T184)*(1-R184)+INDEX(Models!$BJ184:$BT184,,T184+1)*R184-ERP_i)*Q184*Ramure*Pc/MaxiM</f>
        <v>0</v>
      </c>
      <c r="Q184" s="305">
        <f t="shared" si="51"/>
        <v>0.7</v>
      </c>
      <c r="R184" s="177">
        <f t="shared" si="52"/>
        <v>0.37731584897826587</v>
      </c>
      <c r="S184" s="817">
        <f t="shared" si="53"/>
        <v>-1</v>
      </c>
      <c r="T184" s="176">
        <f t="shared" si="54"/>
        <v>5</v>
      </c>
      <c r="U184" s="251">
        <f t="shared" si="55"/>
        <v>-0.62268415102173413</v>
      </c>
      <c r="V184" s="383">
        <f t="shared" si="56"/>
        <v>40.834662006467816</v>
      </c>
      <c r="W184" s="402"/>
      <c r="X184" s="157">
        <f t="shared" si="57"/>
        <v>44366</v>
      </c>
      <c r="Y184" s="385">
        <f t="shared" si="58"/>
        <v>20.484402621939562</v>
      </c>
      <c r="Z184" s="385">
        <f t="shared" si="59"/>
        <v>21.010142466590391</v>
      </c>
      <c r="AA184" s="386">
        <f t="shared" si="60"/>
        <v>23.791464605863972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0.11690420011334904</v>
      </c>
      <c r="AD184" s="231">
        <f>(INDEX(Models!$BJ184:$BT184,,AH184)*(1-AF184)+INDEX(Models!$BJ184:$BT184,,AH184+1)*AF184-ERP_i)*AE184*Ramure*Pc/MaxiM</f>
        <v>0</v>
      </c>
      <c r="AE184" s="305">
        <f t="shared" si="62"/>
        <v>0.7</v>
      </c>
      <c r="AF184" s="177">
        <f t="shared" si="63"/>
        <v>0.37731584897826587</v>
      </c>
      <c r="AG184" s="817">
        <f t="shared" si="71"/>
        <v>-1</v>
      </c>
      <c r="AH184" s="176">
        <f t="shared" si="64"/>
        <v>5</v>
      </c>
      <c r="AI184" s="225">
        <f t="shared" si="65"/>
        <v>-0.62268415102173413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44367</v>
      </c>
      <c r="B185" s="617">
        <v>23.748000000000001</v>
      </c>
      <c r="C185" s="390"/>
      <c r="D185" s="393">
        <f t="shared" si="48"/>
        <v>24.35803479385681</v>
      </c>
      <c r="E185" s="385">
        <f t="shared" si="72"/>
        <v>25.081940077986587</v>
      </c>
      <c r="F185" s="385">
        <f t="shared" si="49"/>
        <v>25.081940077986587</v>
      </c>
      <c r="G185" s="110">
        <f t="shared" si="73"/>
        <v>0.58219729953155219</v>
      </c>
      <c r="H185" s="414" t="b">
        <f>Wh_hp&gt;='2020'!Maxi_hp</f>
        <v>0</v>
      </c>
      <c r="I185" s="380">
        <f>IF(H185,Wh_hp,'2020'!Maxi_hp)</f>
        <v>39.022000068069346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2.5044499649481633E-2</v>
      </c>
      <c r="M185" s="850"/>
      <c r="N185" s="850"/>
      <c r="O185" s="48">
        <f>IF(t&lt;Tnet,'2020'!Resal+('2020'!Salim-'2020'!Resal)*(1-EXP(('2020'!Tnet-t)/('2020'!Tau_j))),Resal+(Salim-Resal)*(1-EXP((Tnet-t)/(Tau_j))))*Salcycl</f>
        <v>2.8861614447644846E-2</v>
      </c>
      <c r="P185" s="169">
        <f>(INDEX(Models!$BJ185:$BT185,,T185)*(1-R185)+INDEX(Models!$BJ185:$BT185,,T185+1)*R185-ERP_i)*Q185*Ramure*Pc/MaxiM</f>
        <v>0</v>
      </c>
      <c r="Q185" s="305">
        <f t="shared" si="51"/>
        <v>0.7</v>
      </c>
      <c r="R185" s="177">
        <f t="shared" si="52"/>
        <v>0.3802885364374432</v>
      </c>
      <c r="S185" s="817">
        <f t="shared" si="53"/>
        <v>-1</v>
      </c>
      <c r="T185" s="176">
        <f t="shared" si="54"/>
        <v>5</v>
      </c>
      <c r="U185" s="251">
        <f t="shared" si="55"/>
        <v>-0.6197114635625568</v>
      </c>
      <c r="V185" s="383">
        <f t="shared" si="56"/>
        <v>40.79029569375902</v>
      </c>
      <c r="W185" s="402"/>
      <c r="X185" s="157">
        <f t="shared" si="57"/>
        <v>44367</v>
      </c>
      <c r="Y185" s="385">
        <f t="shared" si="58"/>
        <v>21.59244896540525</v>
      </c>
      <c r="Z185" s="385">
        <f t="shared" si="59"/>
        <v>22.147112311938628</v>
      </c>
      <c r="AA185" s="386">
        <f t="shared" si="60"/>
        <v>25.081940077986587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0.11700959961321884</v>
      </c>
      <c r="AD185" s="231">
        <f>(INDEX(Models!$BJ185:$BT185,,AH185)*(1-AF185)+INDEX(Models!$BJ185:$BT185,,AH185+1)*AF185-ERP_i)*AE185*Ramure*Pc/MaxiM</f>
        <v>0</v>
      </c>
      <c r="AE185" s="305">
        <f t="shared" si="62"/>
        <v>0.7</v>
      </c>
      <c r="AF185" s="177">
        <f t="shared" si="63"/>
        <v>0.3802885364374432</v>
      </c>
      <c r="AG185" s="817">
        <f t="shared" si="71"/>
        <v>-1</v>
      </c>
      <c r="AH185" s="176">
        <f t="shared" si="64"/>
        <v>5</v>
      </c>
      <c r="AI185" s="225">
        <f t="shared" si="65"/>
        <v>-0.6197114635625568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44368</v>
      </c>
      <c r="B186" s="617">
        <v>25.423000000000002</v>
      </c>
      <c r="C186" s="390"/>
      <c r="D186" s="393">
        <f t="shared" si="48"/>
        <v>26.076633068896296</v>
      </c>
      <c r="E186" s="385">
        <f t="shared" si="72"/>
        <v>26.856784925912613</v>
      </c>
      <c r="F186" s="385">
        <f t="shared" si="49"/>
        <v>26.856784925912613</v>
      </c>
      <c r="G186" s="110">
        <f t="shared" si="73"/>
        <v>0.62395402180982773</v>
      </c>
      <c r="H186" s="414" t="b">
        <f>Wh_hp&gt;='2020'!Maxi_hp</f>
        <v>0</v>
      </c>
      <c r="I186" s="380">
        <f>IF(H186,Wh_hp,'2020'!Maxi_hp)</f>
        <v>35.180212507104621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2.5065853677096683E-2</v>
      </c>
      <c r="M186" s="850"/>
      <c r="N186" s="850"/>
      <c r="O186" s="48">
        <f>IF(t&lt;Tnet,'2020'!Resal+('2020'!Salim-'2020'!Resal)*(1-EXP(('2020'!Tnet-t)/('2020'!Tau_j))),Resal+(Salim-Resal)*(1-EXP((Tnet-t)/(Tau_j))))*Salcycl</f>
        <v>2.9048594579300983E-2</v>
      </c>
      <c r="P186" s="169">
        <f>(INDEX(Models!$BJ186:$BT186,,T186)*(1-R186)+INDEX(Models!$BJ186:$BT186,,T186+1)*R186-ERP_i)*Q186*Ramure*Pc/MaxiM</f>
        <v>0</v>
      </c>
      <c r="Q186" s="305">
        <f t="shared" si="51"/>
        <v>0.7</v>
      </c>
      <c r="R186" s="177">
        <f t="shared" si="52"/>
        <v>0.38323657497506491</v>
      </c>
      <c r="S186" s="817">
        <f t="shared" si="53"/>
        <v>-1</v>
      </c>
      <c r="T186" s="176">
        <f t="shared" si="54"/>
        <v>5</v>
      </c>
      <c r="U186" s="251">
        <f t="shared" si="55"/>
        <v>-0.61676342502493509</v>
      </c>
      <c r="V186" s="383">
        <f t="shared" si="56"/>
        <v>40.744989392421239</v>
      </c>
      <c r="W186" s="402"/>
      <c r="X186" s="157">
        <f t="shared" si="57"/>
        <v>44368</v>
      </c>
      <c r="Y186" s="385">
        <f t="shared" si="58"/>
        <v>23.117156152356884</v>
      </c>
      <c r="Z186" s="385">
        <f t="shared" si="59"/>
        <v>23.711505274019153</v>
      </c>
      <c r="AA186" s="386">
        <f t="shared" si="60"/>
        <v>26.856784925912613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0.11711303719227972</v>
      </c>
      <c r="AD186" s="231">
        <f>(INDEX(Models!$BJ186:$BT186,,AH186)*(1-AF186)+INDEX(Models!$BJ186:$BT186,,AH186+1)*AF186-ERP_i)*AE186*Ramure*Pc/MaxiM</f>
        <v>0</v>
      </c>
      <c r="AE186" s="305">
        <f t="shared" si="62"/>
        <v>0.7</v>
      </c>
      <c r="AF186" s="177">
        <f t="shared" si="63"/>
        <v>0.38323657497506491</v>
      </c>
      <c r="AG186" s="817">
        <f t="shared" si="71"/>
        <v>-1</v>
      </c>
      <c r="AH186" s="176">
        <f t="shared" si="64"/>
        <v>5</v>
      </c>
      <c r="AI186" s="225">
        <f t="shared" si="65"/>
        <v>-0.61676342502493509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44369</v>
      </c>
      <c r="B187" s="617">
        <v>27.274000000000001</v>
      </c>
      <c r="C187" s="390"/>
      <c r="D187" s="393">
        <f t="shared" si="48"/>
        <v>27.97583558494793</v>
      </c>
      <c r="E187" s="385">
        <f t="shared" si="72"/>
        <v>28.818339635978401</v>
      </c>
      <c r="F187" s="385">
        <f t="shared" si="49"/>
        <v>28.818339635978401</v>
      </c>
      <c r="G187" s="110">
        <f t="shared" si="73"/>
        <v>0.67014185983035046</v>
      </c>
      <c r="H187" s="414" t="b">
        <f>Wh_hp&gt;='2020'!Maxi_hp</f>
        <v>0</v>
      </c>
      <c r="I187" s="380">
        <f>IF(H187,Wh_hp,'2020'!Maxi_hp)</f>
        <v>43.398049823870345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2.5087207237003639E-2</v>
      </c>
      <c r="M187" s="850"/>
      <c r="N187" s="850"/>
      <c r="O187" s="48">
        <f>IF(t&lt;Tnet,'2020'!Resal+('2020'!Salim-'2020'!Resal)*(1-EXP(('2020'!Tnet-t)/('2020'!Tau_j))),Resal+(Salim-Resal)*(1-EXP((Tnet-t)/(Tau_j))))*Salcycl</f>
        <v>2.9234996244497158E-2</v>
      </c>
      <c r="P187" s="169">
        <f>(INDEX(Models!$BJ187:$BT187,,T187)*(1-R187)+INDEX(Models!$BJ187:$BT187,,T187+1)*R187-ERP_i)*Q187*Ramure*Pc/MaxiM</f>
        <v>0</v>
      </c>
      <c r="Q187" s="305">
        <f t="shared" si="51"/>
        <v>0.7</v>
      </c>
      <c r="R187" s="177">
        <f t="shared" si="52"/>
        <v>0.38615781294143725</v>
      </c>
      <c r="S187" s="817">
        <f t="shared" si="53"/>
        <v>-1</v>
      </c>
      <c r="T187" s="176">
        <f t="shared" si="54"/>
        <v>5</v>
      </c>
      <c r="U187" s="251">
        <f t="shared" si="55"/>
        <v>-0.61384218705856275</v>
      </c>
      <c r="V187" s="383">
        <f t="shared" si="56"/>
        <v>40.698845475649804</v>
      </c>
      <c r="W187" s="402"/>
      <c r="X187" s="157">
        <f t="shared" si="57"/>
        <v>44369</v>
      </c>
      <c r="Y187" s="385">
        <f t="shared" si="58"/>
        <v>24.802183582309503</v>
      </c>
      <c r="Z187" s="385">
        <f t="shared" si="59"/>
        <v>25.44041248245162</v>
      </c>
      <c r="AA187" s="386">
        <f t="shared" si="60"/>
        <v>28.818339635978401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0.1172144959145943</v>
      </c>
      <c r="AD187" s="231">
        <f>(INDEX(Models!$BJ187:$BT187,,AH187)*(1-AF187)+INDEX(Models!$BJ187:$BT187,,AH187+1)*AF187-ERP_i)*AE187*Ramure*Pc/MaxiM</f>
        <v>0</v>
      </c>
      <c r="AE187" s="305">
        <f t="shared" si="62"/>
        <v>0.7</v>
      </c>
      <c r="AF187" s="177">
        <f t="shared" si="63"/>
        <v>0.38615781294143725</v>
      </c>
      <c r="AG187" s="817">
        <f t="shared" si="71"/>
        <v>-1</v>
      </c>
      <c r="AH187" s="176">
        <f t="shared" si="64"/>
        <v>5</v>
      </c>
      <c r="AI187" s="225">
        <f t="shared" si="65"/>
        <v>-0.61384218705856275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44370</v>
      </c>
      <c r="B188" s="617">
        <v>16.847999999999999</v>
      </c>
      <c r="C188" s="390"/>
      <c r="D188" s="393">
        <f t="shared" si="48"/>
        <v>17.281924237317575</v>
      </c>
      <c r="E188" s="385">
        <f t="shared" si="72"/>
        <v>17.805784824941732</v>
      </c>
      <c r="F188" s="385">
        <f t="shared" si="49"/>
        <v>17.805784824941732</v>
      </c>
      <c r="G188" s="110">
        <f t="shared" si="73"/>
        <v>0.41444489870247025</v>
      </c>
      <c r="H188" s="414" t="b">
        <f>Wh_hp&gt;='2020'!Maxi_hp</f>
        <v>0</v>
      </c>
      <c r="I188" s="380">
        <f>IF(H188,Wh_hp,'2020'!Maxi_hp)</f>
        <v>43.321618231322205</v>
      </c>
      <c r="J188" s="85">
        <f>IF(H188,An,'2020'!An_max)</f>
        <v>2018</v>
      </c>
      <c r="K188" s="197">
        <f t="shared" si="50"/>
        <v>44370</v>
      </c>
      <c r="L188" s="147">
        <f>IF(t&lt;Tvie,1-EXP((T0-t)*PertePVj)+'2020'!Pspv,1-EXP((T0-t)*PertePVj)+Pspv)</f>
        <v>2.5108560329212937E-2</v>
      </c>
      <c r="M188" s="850"/>
      <c r="N188" s="850"/>
      <c r="O188" s="48">
        <f>IF(t&lt;Tnet,'2020'!Resal+('2020'!Salim-'2020'!Resal)*(1-EXP(('2020'!Tnet-t)/('2020'!Tau_j))),Resal+(Salim-Resal)*(1-EXP((Tnet-t)/(Tau_j))))*Salcycl</f>
        <v>2.9420808617789857E-2</v>
      </c>
      <c r="P188" s="169">
        <f>(INDEX(Models!$BJ188:$BT188,,T188)*(1-R188)+INDEX(Models!$BJ188:$BT188,,T188+1)*R188-ERP_i)*Q188*Ramure*Pc/MaxiM</f>
        <v>0</v>
      </c>
      <c r="Q188" s="305">
        <f t="shared" si="51"/>
        <v>0.7</v>
      </c>
      <c r="R188" s="177">
        <f t="shared" si="52"/>
        <v>0.38905018243653788</v>
      </c>
      <c r="S188" s="817">
        <f t="shared" si="53"/>
        <v>-1</v>
      </c>
      <c r="T188" s="176">
        <f t="shared" si="54"/>
        <v>5</v>
      </c>
      <c r="U188" s="251">
        <f t="shared" si="55"/>
        <v>-0.61094981756346212</v>
      </c>
      <c r="V188" s="383">
        <f t="shared" si="56"/>
        <v>40.651966166665666</v>
      </c>
      <c r="W188" s="402"/>
      <c r="X188" s="157">
        <f t="shared" si="57"/>
        <v>44370</v>
      </c>
      <c r="Y188" s="385">
        <f t="shared" si="58"/>
        <v>15.32228844121855</v>
      </c>
      <c r="Z188" s="385">
        <f t="shared" si="59"/>
        <v>15.716917615352909</v>
      </c>
      <c r="AA188" s="386">
        <f t="shared" si="60"/>
        <v>17.805784824941732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0.11731396454161401</v>
      </c>
      <c r="AD188" s="231">
        <f>(INDEX(Models!$BJ188:$BT188,,AH188)*(1-AF188)+INDEX(Models!$BJ188:$BT188,,AH188+1)*AF188-ERP_i)*AE188*Ramure*Pc/MaxiM</f>
        <v>0</v>
      </c>
      <c r="AE188" s="305">
        <f t="shared" si="62"/>
        <v>0.7</v>
      </c>
      <c r="AF188" s="177">
        <f t="shared" si="63"/>
        <v>0.38905018243653788</v>
      </c>
      <c r="AG188" s="817">
        <f t="shared" si="71"/>
        <v>-1</v>
      </c>
      <c r="AH188" s="176">
        <f t="shared" si="64"/>
        <v>5</v>
      </c>
      <c r="AI188" s="225">
        <f t="shared" si="65"/>
        <v>-0.61094981756346212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44371</v>
      </c>
      <c r="B189" s="617">
        <v>26.831</v>
      </c>
      <c r="C189" s="390"/>
      <c r="D189" s="393">
        <f t="shared" si="48"/>
        <v>27.522641587346861</v>
      </c>
      <c r="E189" s="385">
        <f t="shared" si="72"/>
        <v>28.362337585646969</v>
      </c>
      <c r="F189" s="385">
        <f t="shared" si="49"/>
        <v>28.362337585646969</v>
      </c>
      <c r="G189" s="110">
        <f t="shared" si="73"/>
        <v>0.66078958492030015</v>
      </c>
      <c r="H189" s="414" t="b">
        <f>Wh_hp&gt;='2020'!Maxi_hp</f>
        <v>0</v>
      </c>
      <c r="I189" s="380">
        <f>IF(H189,Wh_hp,'2020'!Maxi_hp)</f>
        <v>42.706685617077156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2.5129912953734568E-2</v>
      </c>
      <c r="M189" s="850"/>
      <c r="N189" s="850"/>
      <c r="O189" s="48">
        <f>IF(t&lt;Tnet,'2020'!Resal+('2020'!Salim-'2020'!Resal)*(1-EXP(('2020'!Tnet-t)/('2020'!Tau_j))),Resal+(Salim-Resal)*(1-EXP((Tnet-t)/(Tau_j))))*Salcycl</f>
        <v>2.9606022273884997E-2</v>
      </c>
      <c r="P189" s="169">
        <f>(INDEX(Models!$BJ189:$BT189,,T189)*(1-R189)+INDEX(Models!$BJ189:$BT189,,T189+1)*R189-ERP_i)*Q189*Ramure*Pc/MaxiM</f>
        <v>0</v>
      </c>
      <c r="Q189" s="305">
        <f t="shared" si="51"/>
        <v>0.7</v>
      </c>
      <c r="R189" s="177">
        <f t="shared" si="52"/>
        <v>0.39191170445547052</v>
      </c>
      <c r="S189" s="817">
        <f t="shared" si="53"/>
        <v>-1</v>
      </c>
      <c r="T189" s="176">
        <f t="shared" si="54"/>
        <v>5</v>
      </c>
      <c r="U189" s="251">
        <f t="shared" si="55"/>
        <v>-0.60808829554452948</v>
      </c>
      <c r="V189" s="383">
        <f t="shared" si="56"/>
        <v>40.604453539073518</v>
      </c>
      <c r="W189" s="402"/>
      <c r="X189" s="157">
        <f t="shared" si="57"/>
        <v>44371</v>
      </c>
      <c r="Y189" s="385">
        <f t="shared" si="58"/>
        <v>24.403215873526122</v>
      </c>
      <c r="Z189" s="385">
        <f t="shared" si="59"/>
        <v>25.0322747592603</v>
      </c>
      <c r="AA189" s="386">
        <f t="shared" si="60"/>
        <v>28.362337585646969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0.11741143748574091</v>
      </c>
      <c r="AD189" s="231">
        <f>(INDEX(Models!$BJ189:$BT189,,AH189)*(1-AF189)+INDEX(Models!$BJ189:$BT189,,AH189+1)*AF189-ERP_i)*AE189*Ramure*Pc/MaxiM</f>
        <v>0</v>
      </c>
      <c r="AE189" s="305">
        <f t="shared" si="62"/>
        <v>0.7</v>
      </c>
      <c r="AF189" s="177">
        <f t="shared" si="63"/>
        <v>0.39191170445547052</v>
      </c>
      <c r="AG189" s="817">
        <f t="shared" si="71"/>
        <v>-1</v>
      </c>
      <c r="AH189" s="176">
        <f t="shared" si="64"/>
        <v>5</v>
      </c>
      <c r="AI189" s="225">
        <f t="shared" si="65"/>
        <v>-0.60808829554452948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44372</v>
      </c>
      <c r="B190" s="617">
        <v>37.722999999999999</v>
      </c>
      <c r="C190" s="390"/>
      <c r="D190" s="393">
        <f t="shared" si="48"/>
        <v>38.696259891314313</v>
      </c>
      <c r="E190" s="385">
        <f t="shared" si="72"/>
        <v>39.884442529837351</v>
      </c>
      <c r="F190" s="385">
        <f t="shared" si="49"/>
        <v>39.884442529837351</v>
      </c>
      <c r="G190" s="110">
        <f t="shared" si="73"/>
        <v>0.93013657888918577</v>
      </c>
      <c r="H190" s="414" t="b">
        <f>Wh_hp&gt;='2020'!Maxi_hp</f>
        <v>0</v>
      </c>
      <c r="I190" s="380">
        <f>IF(H190,Wh_hp,'2020'!Maxi_hp)</f>
        <v>42.181442408546353</v>
      </c>
      <c r="J190" s="85">
        <f>IF(H190,An,'2020'!An_max)</f>
        <v>2018</v>
      </c>
      <c r="K190" s="197">
        <f t="shared" si="50"/>
        <v>44372</v>
      </c>
      <c r="L190" s="147">
        <f>IF(t&lt;Tvie,1-EXP((T0-t)*PertePVj)+'2020'!Pspv,1-EXP((T0-t)*PertePVj)+Pspv)</f>
        <v>2.515126511057908E-2</v>
      </c>
      <c r="M190" s="850"/>
      <c r="N190" s="850"/>
      <c r="O190" s="48">
        <f>IF(t&lt;Tnet,'2020'!Resal+('2020'!Salim-'2020'!Resal)*(1-EXP(('2020'!Tnet-t)/('2020'!Tau_j))),Resal+(Salim-Resal)*(1-EXP((Tnet-t)/(Tau_j))))*Salcycl</f>
        <v>2.9790629206718086E-2</v>
      </c>
      <c r="P190" s="169">
        <f>(INDEX(Models!$BJ190:$BT190,,T190)*(1-R190)+INDEX(Models!$BJ190:$BT190,,T190+1)*R190-ERP_i)*Q190*Ramure*Pc/MaxiM</f>
        <v>0</v>
      </c>
      <c r="Q190" s="305">
        <f t="shared" si="51"/>
        <v>0.7</v>
      </c>
      <c r="R190" s="177">
        <f t="shared" si="52"/>
        <v>0.39474049347331408</v>
      </c>
      <c r="S190" s="817">
        <f t="shared" si="53"/>
        <v>-1</v>
      </c>
      <c r="T190" s="176">
        <f t="shared" si="54"/>
        <v>5</v>
      </c>
      <c r="U190" s="251">
        <f t="shared" si="55"/>
        <v>-0.60525950652668592</v>
      </c>
      <c r="V190" s="383">
        <f t="shared" si="56"/>
        <v>40.55640951681594</v>
      </c>
      <c r="W190" s="402"/>
      <c r="X190" s="157">
        <f t="shared" si="57"/>
        <v>44372</v>
      </c>
      <c r="Y190" s="385">
        <f t="shared" si="58"/>
        <v>34.312476933014807</v>
      </c>
      <c r="Z190" s="385">
        <f t="shared" si="59"/>
        <v>35.197744742323472</v>
      </c>
      <c r="AA190" s="386">
        <f t="shared" si="60"/>
        <v>39.884442529837351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0.11750691473267519</v>
      </c>
      <c r="AD190" s="231">
        <f>(INDEX(Models!$BJ190:$BT190,,AH190)*(1-AF190)+INDEX(Models!$BJ190:$BT190,,AH190+1)*AF190-ERP_i)*AE190*Ramure*Pc/MaxiM</f>
        <v>0</v>
      </c>
      <c r="AE190" s="305">
        <f t="shared" si="62"/>
        <v>0.7</v>
      </c>
      <c r="AF190" s="177">
        <f t="shared" si="63"/>
        <v>0.39474049347331408</v>
      </c>
      <c r="AG190" s="817">
        <f t="shared" si="71"/>
        <v>-1</v>
      </c>
      <c r="AH190" s="176">
        <f t="shared" si="64"/>
        <v>5</v>
      </c>
      <c r="AI190" s="225">
        <f t="shared" si="65"/>
        <v>-0.60525950652668592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44373</v>
      </c>
      <c r="B191" s="617">
        <v>38.904000000000003</v>
      </c>
      <c r="C191" s="390"/>
      <c r="D191" s="393">
        <f t="shared" si="48"/>
        <v>39.908603995389164</v>
      </c>
      <c r="E191" s="385">
        <f t="shared" si="72"/>
        <v>41.141814363893154</v>
      </c>
      <c r="F191" s="385">
        <f t="shared" si="49"/>
        <v>41.141814363893154</v>
      </c>
      <c r="G191" s="110">
        <f t="shared" si="73"/>
        <v>0.96039480528258681</v>
      </c>
      <c r="H191" s="414" t="b">
        <f>Wh_hp&gt;='2020'!Maxi_hp</f>
        <v>1</v>
      </c>
      <c r="I191" s="380">
        <f>IF(H191,Wh_hp,'2020'!Maxi_hp)</f>
        <v>41.141814363893154</v>
      </c>
      <c r="J191" s="85">
        <f>IF(H191,An,'2020'!An_max)</f>
        <v>2021</v>
      </c>
      <c r="K191" s="197">
        <f t="shared" si="50"/>
        <v>44373</v>
      </c>
      <c r="L191" s="147">
        <f>IF(t&lt;Tvie,1-EXP((T0-t)*PertePVj)+'2020'!Pspv,1-EXP((T0-t)*PertePVj)+Pspv)</f>
        <v>2.5172616799756464E-2</v>
      </c>
      <c r="M191" s="850"/>
      <c r="N191" s="850"/>
      <c r="O191" s="48">
        <f>IF(t&lt;Tnet,'2020'!Resal+('2020'!Salim-'2020'!Resal)*(1-EXP(('2020'!Tnet-t)/('2020'!Tau_j))),Resal+(Salim-Resal)*(1-EXP((Tnet-t)/(Tau_j))))*Salcycl</f>
        <v>2.9974622839829924E-2</v>
      </c>
      <c r="P191" s="169">
        <f>(INDEX(Models!$BJ191:$BT191,,T191)*(1-R191)+INDEX(Models!$BJ191:$BT191,,T191+1)*R191-ERP_i)*Q191*Ramure*Pc/MaxiM</f>
        <v>0</v>
      </c>
      <c r="Q191" s="305">
        <f t="shared" si="51"/>
        <v>0.7</v>
      </c>
      <c r="R191" s="177">
        <f t="shared" si="52"/>
        <v>0.39753476145395372</v>
      </c>
      <c r="S191" s="817">
        <f t="shared" si="53"/>
        <v>-1</v>
      </c>
      <c r="T191" s="176">
        <f t="shared" si="54"/>
        <v>5</v>
      </c>
      <c r="U191" s="251">
        <f t="shared" si="55"/>
        <v>-0.60246523854604628</v>
      </c>
      <c r="V191" s="383">
        <f t="shared" si="56"/>
        <v>40.508340721973063</v>
      </c>
      <c r="W191" s="402"/>
      <c r="X191" s="157">
        <f t="shared" si="57"/>
        <v>44373</v>
      </c>
      <c r="Y191" s="385">
        <f t="shared" si="58"/>
        <v>35.389665857479244</v>
      </c>
      <c r="Z191" s="385">
        <f t="shared" si="59"/>
        <v>36.303520466668814</v>
      </c>
      <c r="AA191" s="386">
        <f t="shared" si="60"/>
        <v>41.141814363893154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0.11760040173314577</v>
      </c>
      <c r="AD191" s="231">
        <f>(INDEX(Models!$BJ191:$BT191,,AH191)*(1-AF191)+INDEX(Models!$BJ191:$BT191,,AH191+1)*AF191-ERP_i)*AE191*Ramure*Pc/MaxiM</f>
        <v>0</v>
      </c>
      <c r="AE191" s="305">
        <f t="shared" si="62"/>
        <v>0.7</v>
      </c>
      <c r="AF191" s="177">
        <f t="shared" si="63"/>
        <v>0.39753476145395372</v>
      </c>
      <c r="AG191" s="817">
        <f t="shared" si="71"/>
        <v>-1</v>
      </c>
      <c r="AH191" s="176">
        <f t="shared" si="64"/>
        <v>5</v>
      </c>
      <c r="AI191" s="225">
        <f t="shared" si="65"/>
        <v>-0.60246523854604628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44374</v>
      </c>
      <c r="B192" s="617">
        <v>5.7590000000000003</v>
      </c>
      <c r="C192" s="390"/>
      <c r="D192" s="393">
        <f t="shared" si="48"/>
        <v>5.9078419819684722</v>
      </c>
      <c r="E192" s="385">
        <f t="shared" si="72"/>
        <v>6.0915509639258145</v>
      </c>
      <c r="F192" s="385">
        <f t="shared" si="49"/>
        <v>6.0915509639258145</v>
      </c>
      <c r="G192" s="110">
        <f t="shared" si="73"/>
        <v>0.14233641097961994</v>
      </c>
      <c r="H192" s="414" t="b">
        <f>Wh_hp&gt;='2020'!Maxi_hp</f>
        <v>0</v>
      </c>
      <c r="I192" s="380">
        <f>IF(H192,Wh_hp,'2020'!Maxi_hp)</f>
        <v>40.70663915680317</v>
      </c>
      <c r="J192" s="85">
        <f>IF(H192,An,'2020'!An_max)</f>
        <v>2019</v>
      </c>
      <c r="K192" s="197">
        <f t="shared" si="50"/>
        <v>44374</v>
      </c>
      <c r="L192" s="147">
        <f>IF(t&lt;Tvie,1-EXP((T0-t)*PertePVj)+'2020'!Pspv,1-EXP((T0-t)*PertePVj)+Pspv)</f>
        <v>2.5193968021277047E-2</v>
      </c>
      <c r="M192" s="850"/>
      <c r="N192" s="850"/>
      <c r="O192" s="48">
        <f>IF(t&lt;Tnet,'2020'!Resal+('2020'!Salim-'2020'!Resal)*(1-EXP(('2020'!Tnet-t)/('2020'!Tau_j))),Resal+(Salim-Resal)*(1-EXP((Tnet-t)/(Tau_j))))*Salcycl</f>
        <v>3.0157998027968137E-2</v>
      </c>
      <c r="P192" s="169">
        <f>(INDEX(Models!$BJ192:$BT192,,T192)*(1-R192)+INDEX(Models!$BJ192:$BT192,,T192+1)*R192-ERP_i)*Q192*Ramure*Pc/MaxiM</f>
        <v>0</v>
      </c>
      <c r="Q192" s="305">
        <f t="shared" si="51"/>
        <v>0.7</v>
      </c>
      <c r="R192" s="177">
        <f t="shared" si="52"/>
        <v>0.40029282127325871</v>
      </c>
      <c r="S192" s="817">
        <f t="shared" si="53"/>
        <v>-1</v>
      </c>
      <c r="T192" s="176">
        <f t="shared" si="54"/>
        <v>5</v>
      </c>
      <c r="U192" s="251">
        <f t="shared" si="55"/>
        <v>-0.59970717872674129</v>
      </c>
      <c r="V192" s="383">
        <f t="shared" si="56"/>
        <v>40.460483444567032</v>
      </c>
      <c r="W192" s="402"/>
      <c r="X192" s="157">
        <f t="shared" si="57"/>
        <v>44374</v>
      </c>
      <c r="Y192" s="385">
        <f t="shared" si="58"/>
        <v>5.2392165777639699</v>
      </c>
      <c r="Z192" s="385">
        <f t="shared" si="59"/>
        <v>5.374624700597181</v>
      </c>
      <c r="AA192" s="386">
        <f t="shared" si="60"/>
        <v>6.0915509639258145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0.11769190926486092</v>
      </c>
      <c r="AD192" s="231">
        <f>(INDEX(Models!$BJ192:$BT192,,AH192)*(1-AF192)+INDEX(Models!$BJ192:$BT192,,AH192+1)*AF192-ERP_i)*AE192*Ramure*Pc/MaxiM</f>
        <v>0</v>
      </c>
      <c r="AE192" s="305">
        <f t="shared" si="62"/>
        <v>0.7</v>
      </c>
      <c r="AF192" s="177">
        <f t="shared" si="63"/>
        <v>0.40029282127325871</v>
      </c>
      <c r="AG192" s="817">
        <f t="shared" si="71"/>
        <v>-1</v>
      </c>
      <c r="AH192" s="176">
        <f t="shared" si="64"/>
        <v>5</v>
      </c>
      <c r="AI192" s="225">
        <f t="shared" si="65"/>
        <v>-0.59970717872674129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44375</v>
      </c>
      <c r="B193" s="617">
        <v>18.202000000000002</v>
      </c>
      <c r="C193" s="390"/>
      <c r="D193" s="393">
        <f t="shared" si="48"/>
        <v>18.672841654762767</v>
      </c>
      <c r="E193" s="385">
        <f t="shared" si="72"/>
        <v>19.257117049088247</v>
      </c>
      <c r="F193" s="385">
        <f t="shared" si="49"/>
        <v>19.257117049088247</v>
      </c>
      <c r="G193" s="110">
        <f t="shared" si="73"/>
        <v>0.45040481582565617</v>
      </c>
      <c r="H193" s="414" t="b">
        <f>Wh_hp&gt;='2020'!Maxi_hp</f>
        <v>0</v>
      </c>
      <c r="I193" s="380">
        <f>IF(H193,Wh_hp,'2020'!Maxi_hp)</f>
        <v>39.708225678666537</v>
      </c>
      <c r="J193" s="85">
        <f>IF(H193,An,'2020'!An_max)</f>
        <v>2019</v>
      </c>
      <c r="K193" s="197">
        <f t="shared" si="50"/>
        <v>44375</v>
      </c>
      <c r="L193" s="147">
        <f>IF(t&lt;Tvie,1-EXP((T0-t)*PertePVj)+'2020'!Pspv,1-EXP((T0-t)*PertePVj)+Pspv)</f>
        <v>2.5215318775151152E-2</v>
      </c>
      <c r="M193" s="850"/>
      <c r="N193" s="850"/>
      <c r="O193" s="48">
        <f>IF(t&lt;Tnet,'2020'!Resal+('2020'!Salim-'2020'!Resal)*(1-EXP(('2020'!Tnet-t)/('2020'!Tau_j))),Resal+(Salim-Resal)*(1-EXP((Tnet-t)/(Tau_j))))*Salcycl</f>
        <v>3.0340751049916046E-2</v>
      </c>
      <c r="P193" s="169">
        <f>(INDEX(Models!$BJ193:$BT193,,T193)*(1-R193)+INDEX(Models!$BJ193:$BT193,,T193+1)*R193-ERP_i)*Q193*Ramure*Pc/MaxiM</f>
        <v>0</v>
      </c>
      <c r="Q193" s="305">
        <f t="shared" si="51"/>
        <v>0.7</v>
      </c>
      <c r="R193" s="177">
        <f t="shared" si="52"/>
        <v>0.40301308955263893</v>
      </c>
      <c r="S193" s="817">
        <f t="shared" si="53"/>
        <v>-1</v>
      </c>
      <c r="T193" s="176">
        <f t="shared" si="54"/>
        <v>5</v>
      </c>
      <c r="U193" s="251">
        <f t="shared" si="55"/>
        <v>-0.59698691044736107</v>
      </c>
      <c r="V193" s="383">
        <f t="shared" si="56"/>
        <v>40.412534148048891</v>
      </c>
      <c r="W193" s="402"/>
      <c r="X193" s="157">
        <f t="shared" si="57"/>
        <v>44375</v>
      </c>
      <c r="Y193" s="385">
        <f t="shared" si="58"/>
        <v>16.560603124287283</v>
      </c>
      <c r="Z193" s="385">
        <f t="shared" si="59"/>
        <v>16.988985817337984</v>
      </c>
      <c r="AA193" s="386">
        <f t="shared" si="60"/>
        <v>19.257117049088247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0.11778145326574982</v>
      </c>
      <c r="AD193" s="231">
        <f>(INDEX(Models!$BJ193:$BT193,,AH193)*(1-AF193)+INDEX(Models!$BJ193:$BT193,,AH193+1)*AF193-ERP_i)*AE193*Ramure*Pc/MaxiM</f>
        <v>0</v>
      </c>
      <c r="AE193" s="305">
        <f t="shared" si="62"/>
        <v>0.7</v>
      </c>
      <c r="AF193" s="177">
        <f t="shared" si="63"/>
        <v>0.40301308955263893</v>
      </c>
      <c r="AG193" s="817">
        <f t="shared" si="71"/>
        <v>-1</v>
      </c>
      <c r="AH193" s="176">
        <f t="shared" si="64"/>
        <v>5</v>
      </c>
      <c r="AI193" s="225">
        <f t="shared" si="65"/>
        <v>-0.59698691044736107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44376</v>
      </c>
      <c r="B194" s="617">
        <v>26.802</v>
      </c>
      <c r="C194" s="390"/>
      <c r="D194" s="393">
        <f t="shared" si="48"/>
        <v>27.495905056453076</v>
      </c>
      <c r="E194" s="385">
        <f t="shared" si="72"/>
        <v>28.361582215472232</v>
      </c>
      <c r="F194" s="385">
        <f t="shared" si="49"/>
        <v>28.361582215472232</v>
      </c>
      <c r="G194" s="110">
        <f t="shared" si="73"/>
        <v>0.66400441424929035</v>
      </c>
      <c r="H194" s="414" t="b">
        <f>Wh_hp&gt;='2020'!Maxi_hp</f>
        <v>0</v>
      </c>
      <c r="I194" s="380">
        <f>IF(H194,Wh_hp,'2020'!Maxi_hp)</f>
        <v>39.066110780082134</v>
      </c>
      <c r="J194" s="85">
        <f>IF(H194,An,'2020'!An_max)</f>
        <v>2019</v>
      </c>
      <c r="K194" s="197">
        <f t="shared" si="50"/>
        <v>44376</v>
      </c>
      <c r="L194" s="147">
        <f>IF(t&lt;Tvie,1-EXP((T0-t)*PertePVj)+'2020'!Pspv,1-EXP((T0-t)*PertePVj)+Pspv)</f>
        <v>2.5236669061388883E-2</v>
      </c>
      <c r="M194" s="850"/>
      <c r="N194" s="850"/>
      <c r="O194" s="48">
        <f>IF(t&lt;Tnet,'2020'!Resal+('2020'!Salim-'2020'!Resal)*(1-EXP(('2020'!Tnet-t)/('2020'!Tau_j))),Resal+(Salim-Resal)*(1-EXP((Tnet-t)/(Tau_j))))*Salcycl</f>
        <v>3.0522879592623623E-2</v>
      </c>
      <c r="P194" s="169">
        <f>(INDEX(Models!$BJ194:$BT194,,T194)*(1-R194)+INDEX(Models!$BJ194:$BT194,,T194+1)*R194-ERP_i)*Q194*Ramure*Pc/MaxiM</f>
        <v>0</v>
      </c>
      <c r="Q194" s="305">
        <f t="shared" si="51"/>
        <v>0.7</v>
      </c>
      <c r="R194" s="177">
        <f t="shared" si="52"/>
        <v>0.40569408890448821</v>
      </c>
      <c r="S194" s="817">
        <f t="shared" si="53"/>
        <v>-1</v>
      </c>
      <c r="T194" s="176">
        <f t="shared" si="54"/>
        <v>5</v>
      </c>
      <c r="U194" s="251">
        <f t="shared" si="55"/>
        <v>-0.59430591109551179</v>
      </c>
      <c r="V194" s="383">
        <f t="shared" si="56"/>
        <v>40.364189491574074</v>
      </c>
      <c r="W194" s="402"/>
      <c r="X194" s="157">
        <f t="shared" si="57"/>
        <v>44376</v>
      </c>
      <c r="Y194" s="385">
        <f t="shared" si="58"/>
        <v>24.387242462833484</v>
      </c>
      <c r="Z194" s="385">
        <f t="shared" si="59"/>
        <v>25.018629331645787</v>
      </c>
      <c r="AA194" s="386">
        <f t="shared" si="60"/>
        <v>28.361582215472232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0.11786905463979179</v>
      </c>
      <c r="AD194" s="231">
        <f>(INDEX(Models!$BJ194:$BT194,,AH194)*(1-AF194)+INDEX(Models!$BJ194:$BT194,,AH194+1)*AF194-ERP_i)*AE194*Ramure*Pc/MaxiM</f>
        <v>0</v>
      </c>
      <c r="AE194" s="305">
        <f t="shared" si="62"/>
        <v>0.7</v>
      </c>
      <c r="AF194" s="177">
        <f t="shared" si="63"/>
        <v>0.40569408890448821</v>
      </c>
      <c r="AG194" s="817">
        <f t="shared" si="71"/>
        <v>-1</v>
      </c>
      <c r="AH194" s="176">
        <f t="shared" si="64"/>
        <v>5</v>
      </c>
      <c r="AI194" s="225">
        <f t="shared" si="65"/>
        <v>-0.59430591109551179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44377</v>
      </c>
      <c r="B195" s="617">
        <v>33.765000000000001</v>
      </c>
      <c r="C195" s="390"/>
      <c r="D195" s="393">
        <f t="shared" si="48"/>
        <v>34.639936161570972</v>
      </c>
      <c r="E195" s="385">
        <f t="shared" si="72"/>
        <v>35.73722561442996</v>
      </c>
      <c r="F195" s="385">
        <f t="shared" si="49"/>
        <v>35.73722561442996</v>
      </c>
      <c r="G195" s="110">
        <f t="shared" si="73"/>
        <v>0.83752641559365593</v>
      </c>
      <c r="H195" s="414" t="b">
        <f>Wh_hp&gt;='2020'!Maxi_hp</f>
        <v>0</v>
      </c>
      <c r="I195" s="380">
        <f>IF(H195,Wh_hp,'2020'!Maxi_hp)</f>
        <v>39.940934900012763</v>
      </c>
      <c r="J195" s="85">
        <f>IF(H195,An,'2020'!An_max)</f>
        <v>2018</v>
      </c>
      <c r="K195" s="197">
        <f t="shared" si="50"/>
        <v>44377</v>
      </c>
      <c r="L195" s="147">
        <f>IF(t&lt;Tvie,1-EXP((T0-t)*PertePVj)+'2020'!Pspv,1-EXP((T0-t)*PertePVj)+Pspv)</f>
        <v>2.5258018880000566E-2</v>
      </c>
      <c r="M195" s="850"/>
      <c r="N195" s="850"/>
      <c r="O195" s="48">
        <f>IF(t&lt;Tnet,'2020'!Resal+('2020'!Salim-'2020'!Resal)*(1-EXP(('2020'!Tnet-t)/('2020'!Tau_j))),Resal+(Salim-Resal)*(1-EXP((Tnet-t)/(Tau_j))))*Salcycl</f>
        <v>3.070438272678673E-2</v>
      </c>
      <c r="P195" s="169">
        <f>(INDEX(Models!$BJ195:$BT195,,T195)*(1-R195)+INDEX(Models!$BJ195:$BT195,,T195+1)*R195-ERP_i)*Q195*Ramure*Pc/MaxiM</f>
        <v>0</v>
      </c>
      <c r="Q195" s="305">
        <f t="shared" si="51"/>
        <v>0.7</v>
      </c>
      <c r="R195" s="177">
        <f t="shared" si="52"/>
        <v>0.40833444959622822</v>
      </c>
      <c r="S195" s="817">
        <f t="shared" si="53"/>
        <v>-1</v>
      </c>
      <c r="T195" s="176">
        <f t="shared" si="54"/>
        <v>5</v>
      </c>
      <c r="U195" s="251">
        <f t="shared" si="55"/>
        <v>-0.59166555040377178</v>
      </c>
      <c r="V195" s="383">
        <f t="shared" si="56"/>
        <v>40.315146330121038</v>
      </c>
      <c r="W195" s="402"/>
      <c r="X195" s="157">
        <f t="shared" si="57"/>
        <v>44377</v>
      </c>
      <c r="Y195" s="385">
        <f t="shared" si="58"/>
        <v>30.725670998286351</v>
      </c>
      <c r="Z195" s="385">
        <f t="shared" si="59"/>
        <v>31.521850493175535</v>
      </c>
      <c r="AA195" s="386">
        <f t="shared" si="60"/>
        <v>35.73722561442996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0.11795473903694252</v>
      </c>
      <c r="AD195" s="231">
        <f>(INDEX(Models!$BJ195:$BT195,,AH195)*(1-AF195)+INDEX(Models!$BJ195:$BT195,,AH195+1)*AF195-ERP_i)*AE195*Ramure*Pc/MaxiM</f>
        <v>0</v>
      </c>
      <c r="AE195" s="305">
        <f t="shared" si="62"/>
        <v>0.7</v>
      </c>
      <c r="AF195" s="177">
        <f t="shared" si="63"/>
        <v>0.40833444959622822</v>
      </c>
      <c r="AG195" s="817">
        <f t="shared" si="71"/>
        <v>-1</v>
      </c>
      <c r="AH195" s="176">
        <f t="shared" si="64"/>
        <v>5</v>
      </c>
      <c r="AI195" s="225">
        <f t="shared" si="65"/>
        <v>-0.59166555040377178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44378</v>
      </c>
      <c r="B196" s="617">
        <v>37.026000000000003</v>
      </c>
      <c r="C196" s="390"/>
      <c r="D196" s="393">
        <f t="shared" si="48"/>
        <v>37.986268878706461</v>
      </c>
      <c r="E196" s="385">
        <f t="shared" si="72"/>
        <v>39.19687457541729</v>
      </c>
      <c r="F196" s="385">
        <f t="shared" si="49"/>
        <v>39.19687457541729</v>
      </c>
      <c r="G196" s="110">
        <f t="shared" si="73"/>
        <v>0.91955560584487706</v>
      </c>
      <c r="H196" s="414" t="b">
        <f>Wh_hp&gt;='2020'!Maxi_hp</f>
        <v>0</v>
      </c>
      <c r="I196" s="380">
        <f>IF(H196,Wh_hp,'2020'!Maxi_hp)</f>
        <v>41.378085246589393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2.5279368230996413E-2</v>
      </c>
      <c r="M196" s="850"/>
      <c r="N196" s="850"/>
      <c r="O196" s="48">
        <f>IF(t&lt;Tnet,'2020'!Resal+('2020'!Salim-'2020'!Resal)*(1-EXP(('2020'!Tnet-t)/('2020'!Tau_j))),Resal+(Salim-Resal)*(1-EXP((Tnet-t)/(Tau_j))))*Salcycl</f>
        <v>3.0885260874092067E-2</v>
      </c>
      <c r="P196" s="169">
        <f>(INDEX(Models!$BJ196:$BT196,,T196)*(1-R196)+INDEX(Models!$BJ196:$BT196,,T196+1)*R196-ERP_i)*Q196*Ramure*Pc/MaxiM</f>
        <v>0</v>
      </c>
      <c r="Q196" s="305">
        <f t="shared" si="51"/>
        <v>0.7</v>
      </c>
      <c r="R196" s="177">
        <f t="shared" si="52"/>
        <v>0.4109329106445615</v>
      </c>
      <c r="S196" s="817">
        <f t="shared" si="53"/>
        <v>-1</v>
      </c>
      <c r="T196" s="176">
        <f t="shared" si="54"/>
        <v>5</v>
      </c>
      <c r="U196" s="251">
        <f t="shared" si="55"/>
        <v>-0.5890670893554385</v>
      </c>
      <c r="V196" s="383">
        <f t="shared" si="56"/>
        <v>40.265101712887649</v>
      </c>
      <c r="W196" s="402"/>
      <c r="X196" s="157">
        <f t="shared" si="57"/>
        <v>44378</v>
      </c>
      <c r="Y196" s="385">
        <f t="shared" si="58"/>
        <v>33.696221742508662</v>
      </c>
      <c r="Z196" s="385">
        <f t="shared" si="59"/>
        <v>34.570132860893665</v>
      </c>
      <c r="AA196" s="386">
        <f t="shared" si="60"/>
        <v>39.19687457541729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0.11803853660886859</v>
      </c>
      <c r="AD196" s="231">
        <f>(INDEX(Models!$BJ196:$BT196,,AH196)*(1-AF196)+INDEX(Models!$BJ196:$BT196,,AH196+1)*AF196-ERP_i)*AE196*Ramure*Pc/MaxiM</f>
        <v>0</v>
      </c>
      <c r="AE196" s="305">
        <f t="shared" si="62"/>
        <v>0.7</v>
      </c>
      <c r="AF196" s="177">
        <f t="shared" si="63"/>
        <v>0.4109329106445615</v>
      </c>
      <c r="AG196" s="817">
        <f t="shared" si="71"/>
        <v>-1</v>
      </c>
      <c r="AH196" s="176">
        <f t="shared" si="64"/>
        <v>5</v>
      </c>
      <c r="AI196" s="225">
        <f t="shared" si="65"/>
        <v>-0.5890670893554385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44379</v>
      </c>
      <c r="B197" s="617">
        <v>36.073</v>
      </c>
      <c r="C197" s="390"/>
      <c r="D197" s="393">
        <f t="shared" si="48"/>
        <v>37.009363434848638</v>
      </c>
      <c r="E197" s="385">
        <f t="shared" si="72"/>
        <v>38.195940011488567</v>
      </c>
      <c r="F197" s="385">
        <f t="shared" si="49"/>
        <v>38.195940011488567</v>
      </c>
      <c r="G197" s="110">
        <f t="shared" si="73"/>
        <v>0.89703142363003163</v>
      </c>
      <c r="H197" s="414" t="b">
        <f>Wh_hp&gt;='2020'!Maxi_hp</f>
        <v>1</v>
      </c>
      <c r="I197" s="380">
        <f>IF(H197,Wh_hp,'2020'!Maxi_hp)</f>
        <v>38.195940011488567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2.530071711438675E-2</v>
      </c>
      <c r="M197" s="850"/>
      <c r="N197" s="850"/>
      <c r="O197" s="48">
        <f>IF(t&lt;Tnet,'2020'!Resal+('2020'!Salim-'2020'!Resal)*(1-EXP(('2020'!Tnet-t)/('2020'!Tau_j))),Resal+(Salim-Resal)*(1-EXP((Tnet-t)/(Tau_j))))*Salcycl</f>
        <v>3.1065515766414864E-2</v>
      </c>
      <c r="P197" s="169">
        <f>(INDEX(Models!$BJ197:$BT197,,T197)*(1-R197)+INDEX(Models!$BJ197:$BT197,,T197+1)*R197-ERP_i)*Q197*Ramure*Pc/MaxiM</f>
        <v>0</v>
      </c>
      <c r="Q197" s="305">
        <f t="shared" si="51"/>
        <v>0.7</v>
      </c>
      <c r="R197" s="177">
        <f t="shared" si="52"/>
        <v>0.41348832035604877</v>
      </c>
      <c r="S197" s="817">
        <f t="shared" si="53"/>
        <v>-1</v>
      </c>
      <c r="T197" s="176">
        <f t="shared" si="54"/>
        <v>5</v>
      </c>
      <c r="U197" s="251">
        <f t="shared" si="55"/>
        <v>-0.58651167964395123</v>
      </c>
      <c r="V197" s="383">
        <f t="shared" si="56"/>
        <v>40.213752885069297</v>
      </c>
      <c r="W197" s="402"/>
      <c r="X197" s="157">
        <f t="shared" si="57"/>
        <v>44379</v>
      </c>
      <c r="Y197" s="385">
        <f t="shared" si="58"/>
        <v>32.831982326720279</v>
      </c>
      <c r="Z197" s="385">
        <f t="shared" si="59"/>
        <v>33.684217176728247</v>
      </c>
      <c r="AA197" s="386">
        <f t="shared" si="60"/>
        <v>38.195940011488567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0.11812048174238644</v>
      </c>
      <c r="AD197" s="231">
        <f>(INDEX(Models!$BJ197:$BT197,,AH197)*(1-AF197)+INDEX(Models!$BJ197:$BT197,,AH197+1)*AF197-ERP_i)*AE197*Ramure*Pc/MaxiM</f>
        <v>0</v>
      </c>
      <c r="AE197" s="305">
        <f t="shared" si="62"/>
        <v>0.7</v>
      </c>
      <c r="AF197" s="177">
        <f t="shared" si="63"/>
        <v>0.41348832035604877</v>
      </c>
      <c r="AG197" s="817">
        <f t="shared" si="71"/>
        <v>-1</v>
      </c>
      <c r="AH197" s="176">
        <f t="shared" si="64"/>
        <v>5</v>
      </c>
      <c r="AI197" s="225">
        <f t="shared" si="65"/>
        <v>-0.58651167964395123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44380</v>
      </c>
      <c r="B198" s="617">
        <v>23.266000000000002</v>
      </c>
      <c r="C198" s="390"/>
      <c r="D198" s="393">
        <f t="shared" si="48"/>
        <v>23.870449075730516</v>
      </c>
      <c r="E198" s="385">
        <f t="shared" si="72"/>
        <v>24.640340211479391</v>
      </c>
      <c r="F198" s="385">
        <f t="shared" si="49"/>
        <v>24.640340211479391</v>
      </c>
      <c r="G198" s="110">
        <f t="shared" si="73"/>
        <v>0.57932116820527413</v>
      </c>
      <c r="H198" s="414" t="b">
        <f>Wh_hp&gt;='2020'!Maxi_hp</f>
        <v>0</v>
      </c>
      <c r="I198" s="380">
        <f>IF(H198,Wh_hp,'2020'!Maxi_hp)</f>
        <v>34.016353689339262</v>
      </c>
      <c r="J198" s="85">
        <f>IF(H198,An,'2020'!An_max)</f>
        <v>2019</v>
      </c>
      <c r="K198" s="197">
        <f t="shared" si="50"/>
        <v>44380</v>
      </c>
      <c r="L198" s="147">
        <f>IF(t&lt;Tvie,1-EXP((T0-t)*PertePVj)+'2020'!Pspv,1-EXP((T0-t)*PertePVj)+Pspv)</f>
        <v>2.5322065530181681E-2</v>
      </c>
      <c r="M198" s="850"/>
      <c r="N198" s="850"/>
      <c r="O198" s="48">
        <f>IF(t&lt;Tnet,'2020'!Resal+('2020'!Salim-'2020'!Resal)*(1-EXP(('2020'!Tnet-t)/('2020'!Tau_j))),Resal+(Salim-Resal)*(1-EXP((Tnet-t)/(Tau_j))))*Salcycl</f>
        <v>3.1245150397322775E-2</v>
      </c>
      <c r="P198" s="169">
        <f>(INDEX(Models!$BJ198:$BT198,,T198)*(1-R198)+INDEX(Models!$BJ198:$BT198,,T198+1)*R198-ERP_i)*Q198*Ramure*Pc/MaxiM</f>
        <v>0</v>
      </c>
      <c r="Q198" s="305">
        <f t="shared" si="51"/>
        <v>0.7</v>
      </c>
      <c r="R198" s="177">
        <f t="shared" si="52"/>
        <v>0.4159996363342261</v>
      </c>
      <c r="S198" s="817">
        <f t="shared" si="53"/>
        <v>-1</v>
      </c>
      <c r="T198" s="176">
        <f t="shared" si="54"/>
        <v>5</v>
      </c>
      <c r="U198" s="251">
        <f t="shared" si="55"/>
        <v>-0.5840003636657739</v>
      </c>
      <c r="V198" s="383">
        <f t="shared" si="56"/>
        <v>40.160797286378518</v>
      </c>
      <c r="W198" s="402"/>
      <c r="X198" s="157">
        <f t="shared" si="57"/>
        <v>44380</v>
      </c>
      <c r="Y198" s="385">
        <f t="shared" si="58"/>
        <v>21.177643189755798</v>
      </c>
      <c r="Z198" s="385">
        <f t="shared" si="59"/>
        <v>21.727836899555442</v>
      </c>
      <c r="AA198" s="386">
        <f t="shared" si="60"/>
        <v>24.640340211479391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0.11820061277267098</v>
      </c>
      <c r="AD198" s="231">
        <f>(INDEX(Models!$BJ198:$BT198,,AH198)*(1-AF198)+INDEX(Models!$BJ198:$BT198,,AH198+1)*AF198-ERP_i)*AE198*Ramure*Pc/MaxiM</f>
        <v>0</v>
      </c>
      <c r="AE198" s="305">
        <f t="shared" si="62"/>
        <v>0.7</v>
      </c>
      <c r="AF198" s="177">
        <f t="shared" si="63"/>
        <v>0.4159996363342261</v>
      </c>
      <c r="AG198" s="817">
        <f t="shared" si="71"/>
        <v>-1</v>
      </c>
      <c r="AH198" s="176">
        <f t="shared" si="64"/>
        <v>5</v>
      </c>
      <c r="AI198" s="225">
        <f t="shared" si="65"/>
        <v>-0.5840003636657739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44381</v>
      </c>
      <c r="B199" s="617">
        <v>24.442</v>
      </c>
      <c r="C199" s="390"/>
      <c r="D199" s="393">
        <f t="shared" si="48"/>
        <v>25.077550737362319</v>
      </c>
      <c r="E199" s="385">
        <f t="shared" si="72"/>
        <v>25.891158889024439</v>
      </c>
      <c r="F199" s="385">
        <f t="shared" si="49"/>
        <v>25.891158889024439</v>
      </c>
      <c r="G199" s="110">
        <f t="shared" si="73"/>
        <v>0.60943602216395987</v>
      </c>
      <c r="H199" s="414" t="b">
        <f>Wh_hp&gt;='2020'!Maxi_hp</f>
        <v>0</v>
      </c>
      <c r="I199" s="380">
        <f>IF(H199,Wh_hp,'2020'!Maxi_hp)</f>
        <v>39.345572837234378</v>
      </c>
      <c r="J199" s="85">
        <f>IF(H199,An,'2020'!An_max)</f>
        <v>2019</v>
      </c>
      <c r="K199" s="197">
        <f t="shared" si="50"/>
        <v>44381</v>
      </c>
      <c r="L199" s="147">
        <f>IF(t&lt;Tvie,1-EXP((T0-t)*PertePVj)+'2020'!Pspv,1-EXP((T0-t)*PertePVj)+Pspv)</f>
        <v>2.5343413478391641E-2</v>
      </c>
      <c r="M199" s="850"/>
      <c r="N199" s="850"/>
      <c r="O199" s="48">
        <f>IF(t&lt;Tnet,'2020'!Resal+('2020'!Salim-'2020'!Resal)*(1-EXP(('2020'!Tnet-t)/('2020'!Tau_j))),Resal+(Salim-Resal)*(1-EXP((Tnet-t)/(Tau_j))))*Salcycl</f>
        <v>3.1424168966303685E-2</v>
      </c>
      <c r="P199" s="169">
        <f>(INDEX(Models!$BJ199:$BT199,,T199)*(1-R199)+INDEX(Models!$BJ199:$BT199,,T199+1)*R199-ERP_i)*Q199*Ramure*Pc/MaxiM</f>
        <v>0</v>
      </c>
      <c r="Q199" s="305">
        <f t="shared" si="51"/>
        <v>0.7</v>
      </c>
      <c r="R199" s="177">
        <f t="shared" si="52"/>
        <v>0.41846592497711566</v>
      </c>
      <c r="S199" s="817">
        <f t="shared" si="53"/>
        <v>-1</v>
      </c>
      <c r="T199" s="176">
        <f t="shared" si="54"/>
        <v>5</v>
      </c>
      <c r="U199" s="251">
        <f t="shared" si="55"/>
        <v>-0.58153407502288434</v>
      </c>
      <c r="V199" s="383">
        <f t="shared" si="56"/>
        <v>40.105932552546484</v>
      </c>
      <c r="W199" s="402"/>
      <c r="X199" s="157">
        <f t="shared" si="57"/>
        <v>44381</v>
      </c>
      <c r="Y199" s="385">
        <f t="shared" si="58"/>
        <v>22.250220048579333</v>
      </c>
      <c r="Z199" s="385">
        <f t="shared" si="59"/>
        <v>22.828779240067281</v>
      </c>
      <c r="AA199" s="386">
        <f t="shared" si="60"/>
        <v>25.891158889024439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0.1182789716784495</v>
      </c>
      <c r="AD199" s="231">
        <f>(INDEX(Models!$BJ199:$BT199,,AH199)*(1-AF199)+INDEX(Models!$BJ199:$BT199,,AH199+1)*AF199-ERP_i)*AE199*Ramure*Pc/MaxiM</f>
        <v>0</v>
      </c>
      <c r="AE199" s="305">
        <f t="shared" si="62"/>
        <v>0.7</v>
      </c>
      <c r="AF199" s="177">
        <f t="shared" si="63"/>
        <v>0.41846592497711566</v>
      </c>
      <c r="AG199" s="817">
        <f t="shared" si="71"/>
        <v>-1</v>
      </c>
      <c r="AH199" s="176">
        <f t="shared" si="64"/>
        <v>5</v>
      </c>
      <c r="AI199" s="225">
        <f t="shared" si="65"/>
        <v>-0.58153407502288434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44382</v>
      </c>
      <c r="B200" s="617">
        <v>39.087000000000003</v>
      </c>
      <c r="C200" s="390"/>
      <c r="D200" s="393">
        <f t="shared" si="48"/>
        <v>40.104234316892779</v>
      </c>
      <c r="E200" s="385">
        <f t="shared" si="72"/>
        <v>41.41299156398194</v>
      </c>
      <c r="F200" s="385">
        <f t="shared" si="49"/>
        <v>41.41299156398194</v>
      </c>
      <c r="G200" s="110">
        <f t="shared" si="73"/>
        <v>0.97598292182529123</v>
      </c>
      <c r="H200" s="414" t="b">
        <f>Wh_hp&gt;='2020'!Maxi_hp</f>
        <v>0</v>
      </c>
      <c r="I200" s="380">
        <f>IF(H200,Wh_hp,'2020'!Maxi_hp)</f>
        <v>42.685652702898089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2.5364760959026622E-2</v>
      </c>
      <c r="M200" s="850"/>
      <c r="N200" s="850"/>
      <c r="O200" s="48">
        <f>IF(t&lt;Tnet,'2020'!Resal+('2020'!Salim-'2020'!Resal)*(1-EXP(('2020'!Tnet-t)/('2020'!Tau_j))),Resal+(Salim-Resal)*(1-EXP((Tnet-t)/(Tau_j))))*Salcycl</f>
        <v>3.1602576816194675E-2</v>
      </c>
      <c r="P200" s="169">
        <f>(INDEX(Models!$BJ200:$BT200,,T200)*(1-R200)+INDEX(Models!$BJ200:$BT200,,T200+1)*R200-ERP_i)*Q200*Ramure*Pc/MaxiM</f>
        <v>0</v>
      </c>
      <c r="Q200" s="305">
        <f t="shared" si="51"/>
        <v>0.7</v>
      </c>
      <c r="R200" s="177">
        <f t="shared" si="52"/>
        <v>0.4208863604921611</v>
      </c>
      <c r="S200" s="817">
        <f t="shared" si="53"/>
        <v>-1</v>
      </c>
      <c r="T200" s="176">
        <f t="shared" si="54"/>
        <v>5</v>
      </c>
      <c r="U200" s="251">
        <f t="shared" si="55"/>
        <v>-0.5791136395078389</v>
      </c>
      <c r="V200" s="383">
        <f t="shared" si="56"/>
        <v>40.048856517795585</v>
      </c>
      <c r="W200" s="402"/>
      <c r="X200" s="157">
        <f t="shared" si="57"/>
        <v>44382</v>
      </c>
      <c r="Y200" s="385">
        <f t="shared" si="58"/>
        <v>35.585425663852106</v>
      </c>
      <c r="Z200" s="385">
        <f t="shared" si="59"/>
        <v>36.511531943855879</v>
      </c>
      <c r="AA200" s="386">
        <f t="shared" si="60"/>
        <v>41.41299156398194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0.11835560376152592</v>
      </c>
      <c r="AD200" s="231">
        <f>(INDEX(Models!$BJ200:$BT200,,AH200)*(1-AF200)+INDEX(Models!$BJ200:$BT200,,AH200+1)*AF200-ERP_i)*AE200*Ramure*Pc/MaxiM</f>
        <v>0</v>
      </c>
      <c r="AE200" s="305">
        <f t="shared" si="62"/>
        <v>0.7</v>
      </c>
      <c r="AF200" s="177">
        <f t="shared" si="63"/>
        <v>0.4208863604921611</v>
      </c>
      <c r="AG200" s="817">
        <f t="shared" si="71"/>
        <v>-1</v>
      </c>
      <c r="AH200" s="176">
        <f t="shared" si="64"/>
        <v>5</v>
      </c>
      <c r="AI200" s="225">
        <f t="shared" si="65"/>
        <v>-0.5791136395078389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44383</v>
      </c>
      <c r="B201" s="617">
        <v>13.949</v>
      </c>
      <c r="C201" s="390"/>
      <c r="D201" s="393">
        <f t="shared" si="48"/>
        <v>14.312334468140993</v>
      </c>
      <c r="E201" s="385">
        <f t="shared" si="72"/>
        <v>14.782115728585202</v>
      </c>
      <c r="F201" s="385">
        <f t="shared" si="49"/>
        <v>14.782115728585202</v>
      </c>
      <c r="G201" s="110">
        <f t="shared" si="73"/>
        <v>0.34881859489643674</v>
      </c>
      <c r="H201" s="414" t="b">
        <f>Wh_hp&gt;='2020'!Maxi_hp</f>
        <v>0</v>
      </c>
      <c r="I201" s="380">
        <f>IF(H201,Wh_hp,'2020'!Maxi_hp)</f>
        <v>42.389212353371924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2.538610797209695E-2</v>
      </c>
      <c r="M201" s="850"/>
      <c r="N201" s="850"/>
      <c r="O201" s="48">
        <f>IF(t&lt;Tnet,'2020'!Resal+('2020'!Salim-'2020'!Resal)*(1-EXP(('2020'!Tnet-t)/('2020'!Tau_j))),Resal+(Salim-Resal)*(1-EXP((Tnet-t)/(Tau_j))))*Salcycl</f>
        <v>3.1780380364345405E-2</v>
      </c>
      <c r="P201" s="169">
        <f>(INDEX(Models!$BJ201:$BT201,,T201)*(1-R201)+INDEX(Models!$BJ201:$BT201,,T201+1)*R201-ERP_i)*Q201*Ramure*Pc/MaxiM</f>
        <v>0</v>
      </c>
      <c r="Q201" s="305">
        <f t="shared" si="51"/>
        <v>0.7</v>
      </c>
      <c r="R201" s="177">
        <f t="shared" si="52"/>
        <v>0.42326022345829517</v>
      </c>
      <c r="S201" s="817">
        <f t="shared" si="53"/>
        <v>-1</v>
      </c>
      <c r="T201" s="176">
        <f t="shared" si="54"/>
        <v>5</v>
      </c>
      <c r="U201" s="251">
        <f t="shared" si="55"/>
        <v>-0.57673977654170483</v>
      </c>
      <c r="V201" s="383">
        <f t="shared" si="56"/>
        <v>39.989267212493125</v>
      </c>
      <c r="W201" s="402"/>
      <c r="X201" s="157">
        <f t="shared" si="57"/>
        <v>44383</v>
      </c>
      <c r="Y201" s="385">
        <f t="shared" si="58"/>
        <v>12.70064343528499</v>
      </c>
      <c r="Z201" s="385">
        <f t="shared" si="59"/>
        <v>13.031461524582262</v>
      </c>
      <c r="AA201" s="386">
        <f t="shared" si="60"/>
        <v>14.782115728585202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0.11843055731309005</v>
      </c>
      <c r="AD201" s="231">
        <f>(INDEX(Models!$BJ201:$BT201,,AH201)*(1-AF201)+INDEX(Models!$BJ201:$BT201,,AH201+1)*AF201-ERP_i)*AE201*Ramure*Pc/MaxiM</f>
        <v>0</v>
      </c>
      <c r="AE201" s="305">
        <f t="shared" si="62"/>
        <v>0.7</v>
      </c>
      <c r="AF201" s="177">
        <f t="shared" si="63"/>
        <v>0.42326022345829517</v>
      </c>
      <c r="AG201" s="817">
        <f t="shared" si="71"/>
        <v>-1</v>
      </c>
      <c r="AH201" s="176">
        <f t="shared" si="64"/>
        <v>5</v>
      </c>
      <c r="AI201" s="225">
        <f t="shared" si="65"/>
        <v>-0.57673977654170483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44384</v>
      </c>
      <c r="B202" s="617">
        <v>25.272000000000002</v>
      </c>
      <c r="C202" s="390"/>
      <c r="D202" s="393">
        <f t="shared" si="48"/>
        <v>25.930836550254245</v>
      </c>
      <c r="E202" s="385">
        <f t="shared" si="72"/>
        <v>26.786880618842208</v>
      </c>
      <c r="F202" s="385">
        <f t="shared" si="49"/>
        <v>26.786880618842208</v>
      </c>
      <c r="G202" s="110">
        <f t="shared" si="73"/>
        <v>0.63295731706762415</v>
      </c>
      <c r="H202" s="414" t="b">
        <f>Wh_hp&gt;='2020'!Maxi_hp</f>
        <v>0</v>
      </c>
      <c r="I202" s="380">
        <f>IF(H202,Wh_hp,'2020'!Maxi_hp)</f>
        <v>39.031144025328409</v>
      </c>
      <c r="J202" s="85">
        <f>IF(H202,An,'2020'!An_max)</f>
        <v>2018</v>
      </c>
      <c r="K202" s="197">
        <f t="shared" si="50"/>
        <v>44384</v>
      </c>
      <c r="L202" s="147">
        <f>IF(t&lt;Tvie,1-EXP((T0-t)*PertePVj)+'2020'!Pspv,1-EXP((T0-t)*PertePVj)+Pspv)</f>
        <v>2.540745451761306E-2</v>
      </c>
      <c r="M202" s="850"/>
      <c r="N202" s="850"/>
      <c r="O202" s="48">
        <f>IF(t&lt;Tnet,'2020'!Resal+('2020'!Salim-'2020'!Resal)*(1-EXP(('2020'!Tnet-t)/('2020'!Tau_j))),Resal+(Salim-Resal)*(1-EXP((Tnet-t)/(Tau_j))))*Salcycl</f>
        <v>3.1957587028099525E-2</v>
      </c>
      <c r="P202" s="169">
        <f>(INDEX(Models!$BJ202:$BT202,,T202)*(1-R202)+INDEX(Models!$BJ202:$BT202,,T202+1)*R202-ERP_i)*Q202*Ramure*Pc/MaxiM</f>
        <v>0</v>
      </c>
      <c r="Q202" s="305">
        <f t="shared" si="51"/>
        <v>0.7</v>
      </c>
      <c r="R202" s="177">
        <f t="shared" si="52"/>
        <v>0.42558689896704804</v>
      </c>
      <c r="S202" s="817">
        <f t="shared" si="53"/>
        <v>-1</v>
      </c>
      <c r="T202" s="176">
        <f t="shared" si="54"/>
        <v>5</v>
      </c>
      <c r="U202" s="251">
        <f t="shared" si="55"/>
        <v>-0.57441310103295196</v>
      </c>
      <c r="V202" s="383">
        <f t="shared" si="56"/>
        <v>39.926862868227154</v>
      </c>
      <c r="W202" s="402"/>
      <c r="X202" s="157">
        <f t="shared" si="57"/>
        <v>44384</v>
      </c>
      <c r="Y202" s="385">
        <f t="shared" si="58"/>
        <v>23.012596931187939</v>
      </c>
      <c r="Z202" s="385">
        <f t="shared" si="59"/>
        <v>23.612531244836848</v>
      </c>
      <c r="AA202" s="386">
        <f t="shared" si="60"/>
        <v>26.786880618842208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0.11850388326935261</v>
      </c>
      <c r="AD202" s="231">
        <f>(INDEX(Models!$BJ202:$BT202,,AH202)*(1-AF202)+INDEX(Models!$BJ202:$BT202,,AH202+1)*AF202-ERP_i)*AE202*Ramure*Pc/MaxiM</f>
        <v>0</v>
      </c>
      <c r="AE202" s="305">
        <f t="shared" si="62"/>
        <v>0.7</v>
      </c>
      <c r="AF202" s="177">
        <f t="shared" si="63"/>
        <v>0.42558689896704804</v>
      </c>
      <c r="AG202" s="817">
        <f t="shared" si="71"/>
        <v>-1</v>
      </c>
      <c r="AH202" s="176">
        <f t="shared" si="64"/>
        <v>5</v>
      </c>
      <c r="AI202" s="225">
        <f t="shared" si="65"/>
        <v>-0.57441310103295196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44385</v>
      </c>
      <c r="B203" s="617">
        <v>34.073</v>
      </c>
      <c r="C203" s="390"/>
      <c r="D203" s="393">
        <f t="shared" si="48"/>
        <v>34.962042815161034</v>
      </c>
      <c r="E203" s="385">
        <f t="shared" si="72"/>
        <v>36.122820954125025</v>
      </c>
      <c r="F203" s="385">
        <f t="shared" si="49"/>
        <v>36.122820954125025</v>
      </c>
      <c r="G203" s="110">
        <f t="shared" si="73"/>
        <v>0.854788081879432</v>
      </c>
      <c r="H203" s="414" t="b">
        <f>Wh_hp&gt;='2020'!Maxi_hp</f>
        <v>0</v>
      </c>
      <c r="I203" s="380">
        <f>IF(H203,Wh_hp,'2020'!Maxi_hp)</f>
        <v>44.11830918893618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2.5428800595584944E-2</v>
      </c>
      <c r="M203" s="850"/>
      <c r="N203" s="850"/>
      <c r="O203" s="48">
        <f>IF(t&lt;Tnet,'2020'!Resal+('2020'!Salim-'2020'!Resal)*(1-EXP(('2020'!Tnet-t)/('2020'!Tau_j))),Resal+(Salim-Resal)*(1-EXP((Tnet-t)/(Tau_j))))*Salcycl</f>
        <v>3.2134205145222507E-2</v>
      </c>
      <c r="P203" s="169">
        <f>(INDEX(Models!$BJ203:$BT203,,T203)*(1-R203)+INDEX(Models!$BJ203:$BT203,,T203+1)*R203-ERP_i)*Q203*Ramure*Pc/MaxiM</f>
        <v>0</v>
      </c>
      <c r="Q203" s="305">
        <f t="shared" si="51"/>
        <v>0.7</v>
      </c>
      <c r="R203" s="177">
        <f t="shared" si="52"/>
        <v>0.42786587437630341</v>
      </c>
      <c r="S203" s="817">
        <f t="shared" si="53"/>
        <v>-1</v>
      </c>
      <c r="T203" s="176">
        <f t="shared" si="54"/>
        <v>5</v>
      </c>
      <c r="U203" s="251">
        <f t="shared" si="55"/>
        <v>-0.57213412562369659</v>
      </c>
      <c r="V203" s="383">
        <f t="shared" si="56"/>
        <v>39.861341918903825</v>
      </c>
      <c r="W203" s="402"/>
      <c r="X203" s="157">
        <f t="shared" si="57"/>
        <v>44385</v>
      </c>
      <c r="Y203" s="385">
        <f t="shared" si="58"/>
        <v>31.029893352054859</v>
      </c>
      <c r="Z203" s="385">
        <f t="shared" si="59"/>
        <v>31.839534526587698</v>
      </c>
      <c r="AA203" s="386">
        <f t="shared" si="60"/>
        <v>36.122820954125025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0.11857563485910967</v>
      </c>
      <c r="AD203" s="231">
        <f>(INDEX(Models!$BJ203:$BT203,,AH203)*(1-AF203)+INDEX(Models!$BJ203:$BT203,,AH203+1)*AF203-ERP_i)*AE203*Ramure*Pc/MaxiM</f>
        <v>0</v>
      </c>
      <c r="AE203" s="305">
        <f t="shared" si="62"/>
        <v>0.7</v>
      </c>
      <c r="AF203" s="177">
        <f t="shared" si="63"/>
        <v>0.42786587437630341</v>
      </c>
      <c r="AG203" s="817">
        <f t="shared" si="71"/>
        <v>-1</v>
      </c>
      <c r="AH203" s="176">
        <f t="shared" si="64"/>
        <v>5</v>
      </c>
      <c r="AI203" s="225">
        <f t="shared" si="65"/>
        <v>-0.57213412562369659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44386</v>
      </c>
      <c r="B204" s="617">
        <v>40.158999999999999</v>
      </c>
      <c r="C204" s="390"/>
      <c r="D204" s="393">
        <f t="shared" si="48"/>
        <v>41.207743086368303</v>
      </c>
      <c r="E204" s="385">
        <f t="shared" si="72"/>
        <v>42.583630575998079</v>
      </c>
      <c r="F204" s="385">
        <f t="shared" si="49"/>
        <v>42.583630575998079</v>
      </c>
      <c r="G204" s="110">
        <f t="shared" si="73"/>
        <v>1.0092127383913674</v>
      </c>
      <c r="H204" s="414" t="b">
        <f>Wh_hp&gt;='2020'!Maxi_hp</f>
        <v>1</v>
      </c>
      <c r="I204" s="380">
        <f>IF(H204,Wh_hp,'2020'!Maxi_hp)</f>
        <v>42.583630575998079</v>
      </c>
      <c r="J204" s="85">
        <f>IF(H204,An,'2020'!An_max)</f>
        <v>2021</v>
      </c>
      <c r="K204" s="197">
        <f t="shared" si="50"/>
        <v>44386</v>
      </c>
      <c r="L204" s="147">
        <f>IF(t&lt;Tvie,1-EXP((T0-t)*PertePVj)+'2020'!Pspv,1-EXP((T0-t)*PertePVj)+Pspv)</f>
        <v>2.5450146206022928E-2</v>
      </c>
      <c r="M204" s="850"/>
      <c r="N204" s="850"/>
      <c r="O204" s="48">
        <f>IF(t&lt;Tnet,'2020'!Resal+('2020'!Salim-'2020'!Resal)*(1-EXP(('2020'!Tnet-t)/('2020'!Tau_j))),Resal+(Salim-Resal)*(1-EXP((Tnet-t)/(Tau_j))))*Salcycl</f>
        <v>3.2310243889944051E-2</v>
      </c>
      <c r="P204" s="169">
        <f>(INDEX(Models!$BJ204:$BT204,,T204)*(1-R204)+INDEX(Models!$BJ204:$BT204,,T204+1)*R204-ERP_i)*Q204*Ramure*Pc/MaxiM</f>
        <v>0</v>
      </c>
      <c r="Q204" s="305">
        <f t="shared" si="51"/>
        <v>0.7</v>
      </c>
      <c r="R204" s="177">
        <f t="shared" si="52"/>
        <v>0.43009673671154824</v>
      </c>
      <c r="S204" s="817">
        <f t="shared" si="53"/>
        <v>-1</v>
      </c>
      <c r="T204" s="176">
        <f t="shared" si="54"/>
        <v>5</v>
      </c>
      <c r="U204" s="251">
        <f t="shared" si="55"/>
        <v>-0.56990326328845176</v>
      </c>
      <c r="V204" s="383">
        <f t="shared" si="56"/>
        <v>39.792403001186209</v>
      </c>
      <c r="W204" s="402"/>
      <c r="X204" s="157">
        <f t="shared" si="57"/>
        <v>44386</v>
      </c>
      <c r="Y204" s="385">
        <f t="shared" si="58"/>
        <v>36.576082772180619</v>
      </c>
      <c r="Z204" s="385">
        <f t="shared" si="59"/>
        <v>37.531258795830595</v>
      </c>
      <c r="AA204" s="386">
        <f t="shared" si="60"/>
        <v>42.583630575998079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0.11864586724588046</v>
      </c>
      <c r="AD204" s="231">
        <f>(INDEX(Models!$BJ204:$BT204,,AH204)*(1-AF204)+INDEX(Models!$BJ204:$BT204,,AH204+1)*AF204-ERP_i)*AE204*Ramure*Pc/MaxiM</f>
        <v>0</v>
      </c>
      <c r="AE204" s="305">
        <f t="shared" si="62"/>
        <v>0.7</v>
      </c>
      <c r="AF204" s="177">
        <f t="shared" si="63"/>
        <v>0.43009673671154824</v>
      </c>
      <c r="AG204" s="817">
        <f t="shared" si="71"/>
        <v>-1</v>
      </c>
      <c r="AH204" s="176">
        <f t="shared" si="64"/>
        <v>5</v>
      </c>
      <c r="AI204" s="225">
        <f t="shared" si="65"/>
        <v>-0.56990326328845176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44387</v>
      </c>
      <c r="B205" s="617">
        <v>34.907000000000004</v>
      </c>
      <c r="C205" s="390"/>
      <c r="D205" s="393">
        <f t="shared" si="48"/>
        <v>35.819372845560046</v>
      </c>
      <c r="E205" s="385">
        <f t="shared" si="72"/>
        <v>37.022060897402319</v>
      </c>
      <c r="F205" s="385">
        <f t="shared" si="49"/>
        <v>37.022060897402319</v>
      </c>
      <c r="G205" s="110">
        <f t="shared" si="73"/>
        <v>0.87883503557536813</v>
      </c>
      <c r="H205" s="414" t="b">
        <f>Wh_hp&gt;='2020'!Maxi_hp</f>
        <v>0</v>
      </c>
      <c r="I205" s="380">
        <f>IF(H205,Wh_hp,'2020'!Maxi_hp)</f>
        <v>40.920756350188782</v>
      </c>
      <c r="J205" s="85">
        <f>IF(H205,An,'2020'!An_max)</f>
        <v>2019</v>
      </c>
      <c r="K205" s="197">
        <f t="shared" si="50"/>
        <v>44387</v>
      </c>
      <c r="L205" s="147">
        <f>IF(t&lt;Tvie,1-EXP((T0-t)*PertePVj)+'2020'!Pspv,1-EXP((T0-t)*PertePVj)+Pspv)</f>
        <v>2.5471491348937336E-2</v>
      </c>
      <c r="M205" s="850"/>
      <c r="N205" s="850"/>
      <c r="O205" s="48">
        <f>IF(t&lt;Tnet,'2020'!Resal+('2020'!Salim-'2020'!Resal)*(1-EXP(('2020'!Tnet-t)/('2020'!Tau_j))),Resal+(Salim-Resal)*(1-EXP((Tnet-t)/(Tau_j))))*Salcycl</f>
        <v>3.2485713185314777E-2</v>
      </c>
      <c r="P205" s="169">
        <f>(INDEX(Models!$BJ205:$BT205,,T205)*(1-R205)+INDEX(Models!$BJ205:$BT205,,T205+1)*R205-ERP_i)*Q205*Ramure*Pc/MaxiM</f>
        <v>0</v>
      </c>
      <c r="Q205" s="305">
        <f t="shared" si="51"/>
        <v>0.7</v>
      </c>
      <c r="R205" s="177">
        <f t="shared" si="52"/>
        <v>0.43227916975023373</v>
      </c>
      <c r="S205" s="817">
        <f t="shared" si="53"/>
        <v>-1</v>
      </c>
      <c r="T205" s="176">
        <f t="shared" si="54"/>
        <v>5</v>
      </c>
      <c r="U205" s="251">
        <f t="shared" si="55"/>
        <v>-0.56772083024976627</v>
      </c>
      <c r="V205" s="383">
        <f t="shared" si="56"/>
        <v>39.719627218942854</v>
      </c>
      <c r="W205" s="402"/>
      <c r="X205" s="157">
        <f t="shared" si="57"/>
        <v>44387</v>
      </c>
      <c r="Y205" s="385">
        <f t="shared" si="58"/>
        <v>31.79594201309623</v>
      </c>
      <c r="Z205" s="385">
        <f t="shared" si="59"/>
        <v>32.62700037078239</v>
      </c>
      <c r="AA205" s="386">
        <f t="shared" si="60"/>
        <v>37.022060897402319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0.1187146371672765</v>
      </c>
      <c r="AD205" s="231">
        <f>(INDEX(Models!$BJ205:$BT205,,AH205)*(1-AF205)+INDEX(Models!$BJ205:$BT205,,AH205+1)*AF205-ERP_i)*AE205*Ramure*Pc/MaxiM</f>
        <v>0</v>
      </c>
      <c r="AE205" s="305">
        <f t="shared" si="62"/>
        <v>0.7</v>
      </c>
      <c r="AF205" s="177">
        <f t="shared" si="63"/>
        <v>0.43227916975023373</v>
      </c>
      <c r="AG205" s="817">
        <f t="shared" si="71"/>
        <v>-1</v>
      </c>
      <c r="AH205" s="176">
        <f t="shared" si="64"/>
        <v>5</v>
      </c>
      <c r="AI205" s="225">
        <f t="shared" si="65"/>
        <v>-0.56772083024976627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44388</v>
      </c>
      <c r="B206" s="617">
        <v>33.712000000000003</v>
      </c>
      <c r="C206" s="390"/>
      <c r="D206" s="393">
        <f t="shared" si="48"/>
        <v>34.593896531726223</v>
      </c>
      <c r="E206" s="385">
        <f t="shared" si="72"/>
        <v>35.761902571277318</v>
      </c>
      <c r="F206" s="385">
        <f t="shared" si="49"/>
        <v>35.761902571277318</v>
      </c>
      <c r="G206" s="110">
        <f t="shared" si="73"/>
        <v>0.85038829452938636</v>
      </c>
      <c r="H206" s="414" t="b">
        <f>Wh_hp&gt;='2020'!Maxi_hp</f>
        <v>0</v>
      </c>
      <c r="I206" s="380">
        <f>IF(H206,Wh_hp,'2020'!Maxi_hp)</f>
        <v>41.921892854152688</v>
      </c>
      <c r="J206" s="85">
        <f>IF(H206,An,'2020'!An_max)</f>
        <v>2019</v>
      </c>
      <c r="K206" s="197">
        <f t="shared" si="50"/>
        <v>44388</v>
      </c>
      <c r="L206" s="147">
        <f>IF(t&lt;Tvie,1-EXP((T0-t)*PertePVj)+'2020'!Pspv,1-EXP((T0-t)*PertePVj)+Pspv)</f>
        <v>2.5492836024338272E-2</v>
      </c>
      <c r="M206" s="850"/>
      <c r="N206" s="850"/>
      <c r="O206" s="48">
        <f>IF(t&lt;Tnet,'2020'!Resal+('2020'!Salim-'2020'!Resal)*(1-EXP(('2020'!Tnet-t)/('2020'!Tau_j))),Resal+(Salim-Resal)*(1-EXP((Tnet-t)/(Tau_j))))*Salcycl</f>
        <v>3.2660623612603731E-2</v>
      </c>
      <c r="P206" s="169">
        <f>(INDEX(Models!$BJ206:$BT206,,T206)*(1-R206)+INDEX(Models!$BJ206:$BT206,,T206+1)*R206-ERP_i)*Q206*Ramure*Pc/MaxiM</f>
        <v>0</v>
      </c>
      <c r="Q206" s="305">
        <f t="shared" si="51"/>
        <v>0.7</v>
      </c>
      <c r="R206" s="177">
        <f t="shared" si="52"/>
        <v>0.43441295082520914</v>
      </c>
      <c r="S206" s="817">
        <f t="shared" si="53"/>
        <v>-1</v>
      </c>
      <c r="T206" s="176">
        <f t="shared" si="54"/>
        <v>5</v>
      </c>
      <c r="U206" s="251">
        <f t="shared" si="55"/>
        <v>-0.56558704917479086</v>
      </c>
      <c r="V206" s="383">
        <f t="shared" si="56"/>
        <v>39.643066840021092</v>
      </c>
      <c r="W206" s="402"/>
      <c r="X206" s="157">
        <f t="shared" si="57"/>
        <v>44388</v>
      </c>
      <c r="Y206" s="385">
        <f t="shared" si="58"/>
        <v>30.710650113471257</v>
      </c>
      <c r="Z206" s="385">
        <f t="shared" si="59"/>
        <v>31.514032167995694</v>
      </c>
      <c r="AA206" s="386">
        <f t="shared" si="60"/>
        <v>35.761902571277318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0.11878200257425228</v>
      </c>
      <c r="AD206" s="231">
        <f>(INDEX(Models!$BJ206:$BT206,,AH206)*(1-AF206)+INDEX(Models!$BJ206:$BT206,,AH206+1)*AF206-ERP_i)*AE206*Ramure*Pc/MaxiM</f>
        <v>0</v>
      </c>
      <c r="AE206" s="305">
        <f t="shared" si="62"/>
        <v>0.7</v>
      </c>
      <c r="AF206" s="177">
        <f t="shared" si="63"/>
        <v>0.43441295082520914</v>
      </c>
      <c r="AG206" s="817">
        <f t="shared" si="71"/>
        <v>-1</v>
      </c>
      <c r="AH206" s="176">
        <f t="shared" si="64"/>
        <v>5</v>
      </c>
      <c r="AI206" s="225">
        <f t="shared" si="65"/>
        <v>-0.56558704917479086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44389</v>
      </c>
      <c r="B207" s="617">
        <v>8.8960000000000008</v>
      </c>
      <c r="C207" s="390"/>
      <c r="D207" s="393">
        <f t="shared" ref="D207:D270" si="74">Wh/(1-Ppv)</f>
        <v>9.1289168293080589</v>
      </c>
      <c r="E207" s="385">
        <f t="shared" si="72"/>
        <v>9.4388410459129286</v>
      </c>
      <c r="F207" s="385">
        <f t="shared" ref="F207:F270" si="75">Wh_sa/(1-Pvg*MEDIAN((-Sdif+Wh/Env_an)/Csdif,0,1))</f>
        <v>9.4388410459129286</v>
      </c>
      <c r="G207" s="110">
        <f t="shared" si="73"/>
        <v>0.22485583535254072</v>
      </c>
      <c r="H207" s="414" t="b">
        <f>Wh_hp&gt;='2020'!Maxi_hp</f>
        <v>0</v>
      </c>
      <c r="I207" s="380">
        <f>IF(H207,Wh_hp,'2020'!Maxi_hp)</f>
        <v>42.496597456132768</v>
      </c>
      <c r="J207" s="85">
        <f>IF(H207,An,'2020'!An_max)</f>
        <v>2019</v>
      </c>
      <c r="K207" s="197">
        <f t="shared" ref="K207:K270" si="76">t</f>
        <v>44389</v>
      </c>
      <c r="L207" s="147">
        <f>IF(t&lt;Tvie,1-EXP((T0-t)*PertePVj)+'2020'!Pspv,1-EXP((T0-t)*PertePVj)+Pspv)</f>
        <v>2.5514180232236061E-2</v>
      </c>
      <c r="M207" s="850"/>
      <c r="N207" s="850"/>
      <c r="O207" s="48">
        <f>IF(t&lt;Tnet,'2020'!Resal+('2020'!Salim-'2020'!Resal)*(1-EXP(('2020'!Tnet-t)/('2020'!Tau_j))),Resal+(Salim-Resal)*(1-EXP((Tnet-t)/(Tau_j))))*Salcycl</f>
        <v>3.2834986318481134E-2</v>
      </c>
      <c r="P207" s="169">
        <f>(INDEX(Models!$BJ207:$BT207,,T207)*(1-R207)+INDEX(Models!$BJ207:$BT207,,T207+1)*R207-ERP_i)*Q207*Ramure*Pc/MaxiM</f>
        <v>0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0.43649794738313819</v>
      </c>
      <c r="S207" s="817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-0.56350205261686181</v>
      </c>
      <c r="V207" s="383">
        <f t="shared" ref="V207:V270" si="82">MaxiM*(1-Ppv)*(1-Pvg)*(1-Psa)</f>
        <v>39.563127130111553</v>
      </c>
      <c r="W207" s="402"/>
      <c r="X207" s="157">
        <f t="shared" ref="X207:X270" si="83">t</f>
        <v>44389</v>
      </c>
      <c r="Y207" s="385">
        <f t="shared" ref="Y207:Y270" si="84">Wh_pvt_s*(1-Ppv)</f>
        <v>8.1048506542048511</v>
      </c>
      <c r="Z207" s="385">
        <f t="shared" ref="Z207:Z270" si="85">Wh_sa_s*(1-Psa_s)</f>
        <v>8.3170534550583515</v>
      </c>
      <c r="AA207" s="386">
        <f t="shared" ref="AA207:AA270" si="86">Wh_hp*(1-Pvg_s*MEDIAN((-Sdif+Wh/Env_an)/Csdif,0,1))</f>
        <v>9.4388410459129286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0.11884802227285268</v>
      </c>
      <c r="AD207" s="231">
        <f>(INDEX(Models!$BJ207:$BT207,,AH207)*(1-AF207)+INDEX(Models!$BJ207:$BT207,,AH207+1)*AF207-ERP_i)*AE207*Ramure*Pc/MaxiM</f>
        <v>0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0.43649794738313819</v>
      </c>
      <c r="AG207" s="817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-0.56350205261686181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44390</v>
      </c>
      <c r="B208" s="617">
        <v>18.712</v>
      </c>
      <c r="C208" s="390"/>
      <c r="D208" s="393">
        <f t="shared" si="74"/>
        <v>19.202341860920377</v>
      </c>
      <c r="E208" s="385">
        <f t="shared" si="72"/>
        <v>19.857825094476787</v>
      </c>
      <c r="F208" s="385">
        <f t="shared" si="75"/>
        <v>19.857825094476787</v>
      </c>
      <c r="G208" s="110">
        <f t="shared" si="73"/>
        <v>0.47395894241993664</v>
      </c>
      <c r="H208" s="414" t="b">
        <f>Wh_hp&gt;='2020'!Maxi_hp</f>
        <v>0</v>
      </c>
      <c r="I208" s="380">
        <f>IF(H208,Wh_hp,'2020'!Maxi_hp)</f>
        <v>37.46044469353064</v>
      </c>
      <c r="J208" s="85">
        <f>IF(H208,An,'2020'!An_max)</f>
        <v>2018</v>
      </c>
      <c r="K208" s="197">
        <f t="shared" si="76"/>
        <v>44390</v>
      </c>
      <c r="L208" s="147">
        <f>IF(t&lt;Tvie,1-EXP((T0-t)*PertePVj)+'2020'!Pspv,1-EXP((T0-t)*PertePVj)+Pspv)</f>
        <v>2.5535523972640806E-2</v>
      </c>
      <c r="M208" s="850"/>
      <c r="N208" s="850"/>
      <c r="O208" s="48">
        <f>IF(t&lt;Tnet,'2020'!Resal+('2020'!Salim-'2020'!Resal)*(1-EXP(('2020'!Tnet-t)/('2020'!Tau_j))),Resal+(Salim-Resal)*(1-EXP((Tnet-t)/(Tau_j))))*Salcycl</f>
        <v>3.3008812920742502E-2</v>
      </c>
      <c r="P208" s="169">
        <f>(INDEX(Models!$BJ208:$BT208,,T208)*(1-R208)+INDEX(Models!$BJ208:$BT208,,T208+1)*R208-ERP_i)*Q208*Ramure*Pc/MaxiM</f>
        <v>0</v>
      </c>
      <c r="Q208" s="305">
        <f t="shared" si="77"/>
        <v>0.7</v>
      </c>
      <c r="R208" s="177">
        <f t="shared" si="78"/>
        <v>0.43853411333337533</v>
      </c>
      <c r="S208" s="817">
        <f t="shared" si="79"/>
        <v>-1</v>
      </c>
      <c r="T208" s="176">
        <f t="shared" si="80"/>
        <v>5</v>
      </c>
      <c r="U208" s="251">
        <f t="shared" si="81"/>
        <v>-0.56146588666662467</v>
      </c>
      <c r="V208" s="383">
        <f t="shared" si="82"/>
        <v>39.480213000013009</v>
      </c>
      <c r="W208" s="402"/>
      <c r="X208" s="157">
        <f t="shared" si="83"/>
        <v>44390</v>
      </c>
      <c r="Y208" s="385">
        <f t="shared" si="84"/>
        <v>17.049694700479019</v>
      </c>
      <c r="Z208" s="385">
        <f t="shared" si="85"/>
        <v>17.496476392845263</v>
      </c>
      <c r="AA208" s="386">
        <f t="shared" si="86"/>
        <v>19.857825094476787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0.11891275557101688</v>
      </c>
      <c r="AD208" s="231">
        <f>(INDEX(Models!$BJ208:$BT208,,AH208)*(1-AF208)+INDEX(Models!$BJ208:$BT208,,AH208+1)*AF208-ERP_i)*AE208*Ramure*Pc/MaxiM</f>
        <v>0</v>
      </c>
      <c r="AE208" s="305">
        <f t="shared" si="88"/>
        <v>0.7</v>
      </c>
      <c r="AF208" s="177">
        <f t="shared" si="89"/>
        <v>0.43853411333337533</v>
      </c>
      <c r="AG208" s="817">
        <f t="shared" ref="AG208:AG271" si="95">INDEX(Echel_vg,AH208)</f>
        <v>-1</v>
      </c>
      <c r="AH208" s="176">
        <f t="shared" si="90"/>
        <v>5</v>
      </c>
      <c r="AI208" s="225">
        <f t="shared" si="91"/>
        <v>-0.56146588666662467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44391</v>
      </c>
      <c r="B209" s="617">
        <v>19.672000000000001</v>
      </c>
      <c r="C209" s="390"/>
      <c r="D209" s="393">
        <f t="shared" si="74"/>
        <v>20.187940515721621</v>
      </c>
      <c r="E209" s="385">
        <f t="shared" si="72"/>
        <v>20.880809961797905</v>
      </c>
      <c r="F209" s="385">
        <f t="shared" si="75"/>
        <v>20.880809961797905</v>
      </c>
      <c r="G209" s="110">
        <f t="shared" si="73"/>
        <v>0.49935614467902051</v>
      </c>
      <c r="H209" s="414" t="b">
        <f>Wh_hp&gt;='2020'!Maxi_hp</f>
        <v>0</v>
      </c>
      <c r="I209" s="380">
        <f>IF(H209,Wh_hp,'2020'!Maxi_hp)</f>
        <v>42.613851519576691</v>
      </c>
      <c r="J209" s="85">
        <f>IF(H209,An,'2020'!An_max)</f>
        <v>2020</v>
      </c>
      <c r="K209" s="197">
        <f t="shared" si="76"/>
        <v>44391</v>
      </c>
      <c r="L209" s="147">
        <f>IF(t&lt;Tvie,1-EXP((T0-t)*PertePVj)+'2020'!Pspv,1-EXP((T0-t)*PertePVj)+Pspv)</f>
        <v>2.5556867245563053E-2</v>
      </c>
      <c r="M209" s="850"/>
      <c r="N209" s="850"/>
      <c r="O209" s="48">
        <f>IF(t&lt;Tnet,'2020'!Resal+('2020'!Salim-'2020'!Resal)*(1-EXP(('2020'!Tnet-t)/('2020'!Tau_j))),Resal+(Salim-Resal)*(1-EXP((Tnet-t)/(Tau_j))))*Salcycl</f>
        <v>3.3182115413334511E-2</v>
      </c>
      <c r="P209" s="169">
        <f>(INDEX(Models!$BJ209:$BT209,,T209)*(1-R209)+INDEX(Models!$BJ209:$BT209,,T209+1)*R209-ERP_i)*Q209*Ramure*Pc/MaxiM</f>
        <v>0</v>
      </c>
      <c r="Q209" s="305">
        <f t="shared" si="77"/>
        <v>0.7</v>
      </c>
      <c r="R209" s="177">
        <f t="shared" si="78"/>
        <v>0.44052148522202428</v>
      </c>
      <c r="S209" s="817">
        <f t="shared" si="79"/>
        <v>-1</v>
      </c>
      <c r="T209" s="176">
        <f t="shared" si="80"/>
        <v>5</v>
      </c>
      <c r="U209" s="251">
        <f t="shared" si="81"/>
        <v>-0.55947851477797572</v>
      </c>
      <c r="V209" s="383">
        <f t="shared" si="82"/>
        <v>39.394729011785564</v>
      </c>
      <c r="W209" s="402"/>
      <c r="X209" s="157">
        <f t="shared" si="83"/>
        <v>44391</v>
      </c>
      <c r="Y209" s="385">
        <f t="shared" si="84"/>
        <v>17.926332612956607</v>
      </c>
      <c r="Z209" s="385">
        <f t="shared" si="85"/>
        <v>18.396489246411576</v>
      </c>
      <c r="AA209" s="386">
        <f t="shared" si="86"/>
        <v>20.880809961797905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0.11897626193291698</v>
      </c>
      <c r="AD209" s="231">
        <f>(INDEX(Models!$BJ209:$BT209,,AH209)*(1-AF209)+INDEX(Models!$BJ209:$BT209,,AH209+1)*AF209-ERP_i)*AE209*Ramure*Pc/MaxiM</f>
        <v>0</v>
      </c>
      <c r="AE209" s="305">
        <f t="shared" si="88"/>
        <v>0.7</v>
      </c>
      <c r="AF209" s="177">
        <f t="shared" si="89"/>
        <v>0.44052148522202428</v>
      </c>
      <c r="AG209" s="817">
        <f t="shared" si="95"/>
        <v>-1</v>
      </c>
      <c r="AH209" s="176">
        <f t="shared" si="90"/>
        <v>5</v>
      </c>
      <c r="AI209" s="225">
        <f t="shared" si="91"/>
        <v>-0.55947851477797572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44392</v>
      </c>
      <c r="B210" s="617">
        <v>25.8</v>
      </c>
      <c r="C210" s="390"/>
      <c r="D210" s="393">
        <f t="shared" si="74"/>
        <v>26.477240416956064</v>
      </c>
      <c r="E210" s="385">
        <f t="shared" si="72"/>
        <v>27.390859978763658</v>
      </c>
      <c r="F210" s="385">
        <f t="shared" si="75"/>
        <v>27.390859978763658</v>
      </c>
      <c r="G210" s="110">
        <f t="shared" si="73"/>
        <v>0.65637031296535497</v>
      </c>
      <c r="H210" s="414" t="b">
        <f>Wh_hp&gt;='2020'!Maxi_hp</f>
        <v>0</v>
      </c>
      <c r="I210" s="380">
        <f>IF(H210,Wh_hp,'2020'!Maxi_hp)</f>
        <v>43.03729894617058</v>
      </c>
      <c r="J210" s="85">
        <f>IF(H210,An,'2020'!An_max)</f>
        <v>2019</v>
      </c>
      <c r="K210" s="197">
        <f t="shared" si="76"/>
        <v>44392</v>
      </c>
      <c r="L210" s="147">
        <f>IF(t&lt;Tvie,1-EXP((T0-t)*PertePVj)+'2020'!Pspv,1-EXP((T0-t)*PertePVj)+Pspv)</f>
        <v>2.5578210051012684E-2</v>
      </c>
      <c r="M210" s="850"/>
      <c r="N210" s="850"/>
      <c r="O210" s="48">
        <f>IF(t&lt;Tnet,'2020'!Resal+('2020'!Salim-'2020'!Resal)*(1-EXP(('2020'!Tnet-t)/('2020'!Tau_j))),Resal+(Salim-Resal)*(1-EXP((Tnet-t)/(Tau_j))))*Salcycl</f>
        <v>3.3354906071438775E-2</v>
      </c>
      <c r="P210" s="169">
        <f>(INDEX(Models!$BJ210:$BT210,,T210)*(1-R210)+INDEX(Models!$BJ210:$BT210,,T210+1)*R210-ERP_i)*Q210*Ramure*Pc/MaxiM</f>
        <v>0</v>
      </c>
      <c r="Q210" s="305">
        <f t="shared" si="77"/>
        <v>0.7</v>
      </c>
      <c r="R210" s="177">
        <f t="shared" si="78"/>
        <v>0.44246017826484807</v>
      </c>
      <c r="S210" s="817">
        <f t="shared" si="79"/>
        <v>-1</v>
      </c>
      <c r="T210" s="176">
        <f t="shared" si="80"/>
        <v>5</v>
      </c>
      <c r="U210" s="251">
        <f t="shared" si="81"/>
        <v>-0.55753982173515193</v>
      </c>
      <c r="V210" s="383">
        <f t="shared" si="82"/>
        <v>39.307079388524684</v>
      </c>
      <c r="W210" s="402"/>
      <c r="X210" s="157">
        <f t="shared" si="83"/>
        <v>44392</v>
      </c>
      <c r="Y210" s="385">
        <f t="shared" si="84"/>
        <v>23.513080701659277</v>
      </c>
      <c r="Z210" s="385">
        <f t="shared" si="85"/>
        <v>24.130290336477621</v>
      </c>
      <c r="AA210" s="386">
        <f t="shared" si="86"/>
        <v>27.390859978763658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0.11903860064320658</v>
      </c>
      <c r="AD210" s="231">
        <f>(INDEX(Models!$BJ210:$BT210,,AH210)*(1-AF210)+INDEX(Models!$BJ210:$BT210,,AH210+1)*AF210-ERP_i)*AE210*Ramure*Pc/MaxiM</f>
        <v>0</v>
      </c>
      <c r="AE210" s="305">
        <f t="shared" si="88"/>
        <v>0.7</v>
      </c>
      <c r="AF210" s="177">
        <f t="shared" si="89"/>
        <v>0.44246017826484807</v>
      </c>
      <c r="AG210" s="817">
        <f t="shared" si="95"/>
        <v>-1</v>
      </c>
      <c r="AH210" s="176">
        <f t="shared" si="90"/>
        <v>5</v>
      </c>
      <c r="AI210" s="225">
        <f t="shared" si="91"/>
        <v>-0.55753982173515193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44393</v>
      </c>
      <c r="B211" s="617">
        <v>28.055</v>
      </c>
      <c r="C211" s="390"/>
      <c r="D211" s="393">
        <f t="shared" si="74"/>
        <v>28.792063949461685</v>
      </c>
      <c r="E211" s="385">
        <f t="shared" si="72"/>
        <v>29.790868269376158</v>
      </c>
      <c r="F211" s="385">
        <f t="shared" si="75"/>
        <v>29.790868269376158</v>
      </c>
      <c r="G211" s="110">
        <f t="shared" si="73"/>
        <v>0.71536634938341281</v>
      </c>
      <c r="H211" s="414" t="b">
        <f>Wh_hp&gt;='2020'!Maxi_hp</f>
        <v>0</v>
      </c>
      <c r="I211" s="380">
        <f>IF(H211,Wh_hp,'2020'!Maxi_hp)</f>
        <v>41.785421826741953</v>
      </c>
      <c r="J211" s="85">
        <f>IF(H211,An,'2020'!An_max)</f>
        <v>2019</v>
      </c>
      <c r="K211" s="197">
        <f t="shared" si="76"/>
        <v>44393</v>
      </c>
      <c r="L211" s="147">
        <f>IF(t&lt;Tvie,1-EXP((T0-t)*PertePVj)+'2020'!Pspv,1-EXP((T0-t)*PertePVj)+Pspv)</f>
        <v>2.5599552389000135E-2</v>
      </c>
      <c r="M211" s="850"/>
      <c r="N211" s="850"/>
      <c r="O211" s="48">
        <f>IF(t&lt;Tnet,'2020'!Resal+('2020'!Salim-'2020'!Resal)*(1-EXP(('2020'!Tnet-t)/('2020'!Tau_j))),Resal+(Salim-Resal)*(1-EXP((Tnet-t)/(Tau_j))))*Salcycl</f>
        <v>3.3527197357359512E-2</v>
      </c>
      <c r="P211" s="169">
        <f>(INDEX(Models!$BJ211:$BT211,,T211)*(1-R211)+INDEX(Models!$BJ211:$BT211,,T211+1)*R211-ERP_i)*Q211*Ramure*Pc/MaxiM</f>
        <v>0</v>
      </c>
      <c r="Q211" s="305">
        <f t="shared" si="77"/>
        <v>0.7</v>
      </c>
      <c r="R211" s="177">
        <f t="shared" si="78"/>
        <v>0.44435038227138735</v>
      </c>
      <c r="S211" s="817">
        <f t="shared" si="79"/>
        <v>-1</v>
      </c>
      <c r="T211" s="176">
        <f t="shared" si="80"/>
        <v>5</v>
      </c>
      <c r="U211" s="251">
        <f t="shared" si="81"/>
        <v>-0.55564961772861265</v>
      </c>
      <c r="V211" s="383">
        <f t="shared" si="82"/>
        <v>39.217668016088687</v>
      </c>
      <c r="W211" s="402"/>
      <c r="X211" s="157">
        <f t="shared" si="83"/>
        <v>44393</v>
      </c>
      <c r="Y211" s="385">
        <f t="shared" si="84"/>
        <v>25.570977463838016</v>
      </c>
      <c r="Z211" s="385">
        <f t="shared" si="85"/>
        <v>26.242780908539217</v>
      </c>
      <c r="AA211" s="386">
        <f t="shared" si="86"/>
        <v>29.790868269376158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0.11909983048343163</v>
      </c>
      <c r="AD211" s="231">
        <f>(INDEX(Models!$BJ211:$BT211,,AH211)*(1-AF211)+INDEX(Models!$BJ211:$BT211,,AH211+1)*AF211-ERP_i)*AE211*Ramure*Pc/MaxiM</f>
        <v>0</v>
      </c>
      <c r="AE211" s="305">
        <f t="shared" si="88"/>
        <v>0.7</v>
      </c>
      <c r="AF211" s="177">
        <f t="shared" si="89"/>
        <v>0.44435038227138735</v>
      </c>
      <c r="AG211" s="817">
        <f t="shared" si="95"/>
        <v>-1</v>
      </c>
      <c r="AH211" s="176">
        <f t="shared" si="90"/>
        <v>5</v>
      </c>
      <c r="AI211" s="225">
        <f t="shared" si="91"/>
        <v>-0.55564961772861265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44394</v>
      </c>
      <c r="B212" s="617">
        <v>39.454000000000001</v>
      </c>
      <c r="C212" s="390"/>
      <c r="D212" s="393">
        <f t="shared" si="74"/>
        <v>40.491426558267122</v>
      </c>
      <c r="E212" s="385">
        <f t="shared" si="72"/>
        <v>41.903533821101661</v>
      </c>
      <c r="F212" s="385">
        <f t="shared" si="75"/>
        <v>41.903533821101661</v>
      </c>
      <c r="G212" s="110">
        <f t="shared" si="73"/>
        <v>1.0083600172884528</v>
      </c>
      <c r="H212" s="414" t="b">
        <f>Wh_hp&gt;='2020'!Maxi_hp</f>
        <v>1</v>
      </c>
      <c r="I212" s="380">
        <f>IF(H212,Wh_hp,'2020'!Maxi_hp)</f>
        <v>41.903533821101661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2.5620894259535731E-2</v>
      </c>
      <c r="M212" s="850"/>
      <c r="N212" s="850"/>
      <c r="O212" s="48">
        <f>IF(t&lt;Tnet,'2020'!Resal+('2020'!Salim-'2020'!Resal)*(1-EXP(('2020'!Tnet-t)/('2020'!Tau_j))),Resal+(Salim-Resal)*(1-EXP((Tnet-t)/(Tau_j))))*Salcycl</f>
        <v>3.3699001827942006E-2</v>
      </c>
      <c r="P212" s="169">
        <f>(INDEX(Models!$BJ212:$BT212,,T212)*(1-R212)+INDEX(Models!$BJ212:$BT212,,T212+1)*R212-ERP_i)*Q212*Ramure*Pc/MaxiM</f>
        <v>0</v>
      </c>
      <c r="Q212" s="305">
        <f t="shared" si="77"/>
        <v>0.7</v>
      </c>
      <c r="R212" s="177">
        <f t="shared" si="78"/>
        <v>0.44619235749112351</v>
      </c>
      <c r="S212" s="817">
        <f t="shared" si="79"/>
        <v>-1</v>
      </c>
      <c r="T212" s="176">
        <f t="shared" si="80"/>
        <v>5</v>
      </c>
      <c r="U212" s="251">
        <f t="shared" si="81"/>
        <v>-0.55380764250887649</v>
      </c>
      <c r="V212" s="383">
        <f t="shared" si="82"/>
        <v>39.12689845249362</v>
      </c>
      <c r="W212" s="402"/>
      <c r="X212" s="157">
        <f t="shared" si="83"/>
        <v>44394</v>
      </c>
      <c r="Y212" s="385">
        <f t="shared" si="84"/>
        <v>35.964633229167369</v>
      </c>
      <c r="Z212" s="385">
        <f t="shared" si="85"/>
        <v>36.910308336134328</v>
      </c>
      <c r="AA212" s="386">
        <f t="shared" si="86"/>
        <v>41.903533821101661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0.11916000942271029</v>
      </c>
      <c r="AD212" s="231">
        <f>(INDEX(Models!$BJ212:$BT212,,AH212)*(1-AF212)+INDEX(Models!$BJ212:$BT212,,AH212+1)*AF212-ERP_i)*AE212*Ramure*Pc/MaxiM</f>
        <v>0</v>
      </c>
      <c r="AE212" s="305">
        <f t="shared" si="88"/>
        <v>0.7</v>
      </c>
      <c r="AF212" s="177">
        <f t="shared" si="89"/>
        <v>0.44619235749112351</v>
      </c>
      <c r="AG212" s="817">
        <f t="shared" si="95"/>
        <v>-1</v>
      </c>
      <c r="AH212" s="176">
        <f t="shared" si="90"/>
        <v>5</v>
      </c>
      <c r="AI212" s="225">
        <f t="shared" si="91"/>
        <v>-0.55380764250887649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44395</v>
      </c>
      <c r="B213" s="617">
        <v>34.719000000000001</v>
      </c>
      <c r="C213" s="390"/>
      <c r="D213" s="393">
        <f t="shared" si="74"/>
        <v>35.632702145716756</v>
      </c>
      <c r="E213" s="385">
        <f t="shared" si="72"/>
        <v>36.881904497469399</v>
      </c>
      <c r="F213" s="385">
        <f t="shared" si="75"/>
        <v>36.881904497469399</v>
      </c>
      <c r="G213" s="110">
        <f t="shared" si="73"/>
        <v>0.88942859736321833</v>
      </c>
      <c r="H213" s="414" t="b">
        <f>Wh_hp&gt;='2020'!Maxi_hp</f>
        <v>1</v>
      </c>
      <c r="I213" s="380">
        <f>IF(H213,Wh_hp,'2020'!Maxi_hp)</f>
        <v>36.881904497469399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2.5642235662629465E-2</v>
      </c>
      <c r="M213" s="850"/>
      <c r="N213" s="850"/>
      <c r="O213" s="48">
        <f>IF(t&lt;Tnet,'2020'!Resal+('2020'!Salim-'2020'!Resal)*(1-EXP(('2020'!Tnet-t)/('2020'!Tau_j))),Resal+(Salim-Resal)*(1-EXP((Tnet-t)/(Tau_j))))*Salcycl</f>
        <v>3.3870332044223961E-2</v>
      </c>
      <c r="P213" s="169">
        <f>(INDEX(Models!$BJ213:$BT213,,T213)*(1-R213)+INDEX(Models!$BJ213:$BT213,,T213+1)*R213-ERP_i)*Q213*Ramure*Pc/MaxiM</f>
        <v>0</v>
      </c>
      <c r="Q213" s="305">
        <f t="shared" si="77"/>
        <v>0.7</v>
      </c>
      <c r="R213" s="177">
        <f t="shared" si="78"/>
        <v>0.44798643041081143</v>
      </c>
      <c r="S213" s="817">
        <f t="shared" si="79"/>
        <v>-1</v>
      </c>
      <c r="T213" s="176">
        <f t="shared" si="80"/>
        <v>5</v>
      </c>
      <c r="U213" s="251">
        <f t="shared" si="81"/>
        <v>-0.55201356958918857</v>
      </c>
      <c r="V213" s="383">
        <f t="shared" si="82"/>
        <v>39.035173934059721</v>
      </c>
      <c r="W213" s="402"/>
      <c r="X213" s="157">
        <f t="shared" si="83"/>
        <v>44395</v>
      </c>
      <c r="Y213" s="385">
        <f t="shared" si="84"/>
        <v>31.65188877487515</v>
      </c>
      <c r="Z213" s="385">
        <f t="shared" si="85"/>
        <v>32.484873558123269</v>
      </c>
      <c r="AA213" s="386">
        <f t="shared" si="86"/>
        <v>36.881904497469399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0.11921919432462684</v>
      </c>
      <c r="AD213" s="231">
        <f>(INDEX(Models!$BJ213:$BT213,,AH213)*(1-AF213)+INDEX(Models!$BJ213:$BT213,,AH213+1)*AF213-ERP_i)*AE213*Ramure*Pc/MaxiM</f>
        <v>0</v>
      </c>
      <c r="AE213" s="305">
        <f t="shared" si="88"/>
        <v>0.7</v>
      </c>
      <c r="AF213" s="177">
        <f t="shared" si="89"/>
        <v>0.44798643041081143</v>
      </c>
      <c r="AG213" s="817">
        <f t="shared" si="95"/>
        <v>-1</v>
      </c>
      <c r="AH213" s="176">
        <f t="shared" si="90"/>
        <v>5</v>
      </c>
      <c r="AI213" s="225">
        <f t="shared" si="91"/>
        <v>-0.55201356958918857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44396</v>
      </c>
      <c r="B214" s="617">
        <v>38.529000000000003</v>
      </c>
      <c r="C214" s="390"/>
      <c r="D214" s="393">
        <f t="shared" si="74"/>
        <v>39.543836271134573</v>
      </c>
      <c r="E214" s="385">
        <f t="shared" si="72"/>
        <v>40.937394318420004</v>
      </c>
      <c r="F214" s="385">
        <f t="shared" si="75"/>
        <v>40.937394318420004</v>
      </c>
      <c r="G214" s="110">
        <f t="shared" si="73"/>
        <v>0.9893716850247114</v>
      </c>
      <c r="H214" s="414" t="b">
        <f>Wh_hp&gt;='2020'!Maxi_hp</f>
        <v>0</v>
      </c>
      <c r="I214" s="380">
        <f>IF(H214,Wh_hp,'2020'!Maxi_hp)</f>
        <v>42.433234679233138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2.5663576598291771E-2</v>
      </c>
      <c r="M214" s="850"/>
      <c r="N214" s="850"/>
      <c r="O214" s="48">
        <f>IF(t&lt;Tnet,'2020'!Resal+('2020'!Salim-'2020'!Resal)*(1-EXP(('2020'!Tnet-t)/('2020'!Tau_j))),Resal+(Salim-Resal)*(1-EXP((Tnet-t)/(Tau_j))))*Salcycl</f>
        <v>3.4041200483988572E-2</v>
      </c>
      <c r="P214" s="169">
        <f>(INDEX(Models!$BJ214:$BT214,,T214)*(1-R214)+INDEX(Models!$BJ214:$BT214,,T214+1)*R214-ERP_i)*Q214*Ramure*Pc/MaxiM</f>
        <v>0</v>
      </c>
      <c r="Q214" s="305">
        <f t="shared" si="77"/>
        <v>0.7</v>
      </c>
      <c r="R214" s="177">
        <f t="shared" si="78"/>
        <v>0.44973298953026652</v>
      </c>
      <c r="S214" s="817">
        <f t="shared" si="79"/>
        <v>-1</v>
      </c>
      <c r="T214" s="176">
        <f t="shared" si="80"/>
        <v>5</v>
      </c>
      <c r="U214" s="251">
        <f t="shared" si="81"/>
        <v>-0.55026701046973348</v>
      </c>
      <c r="V214" s="383">
        <f t="shared" si="82"/>
        <v>38.942897379398588</v>
      </c>
      <c r="W214" s="402"/>
      <c r="X214" s="157">
        <f t="shared" si="83"/>
        <v>44396</v>
      </c>
      <c r="Y214" s="385">
        <f t="shared" si="84"/>
        <v>35.129199615290659</v>
      </c>
      <c r="Z214" s="385">
        <f t="shared" si="85"/>
        <v>36.054486696334124</v>
      </c>
      <c r="AA214" s="386">
        <f t="shared" si="86"/>
        <v>40.937394318420004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0.11927744067210427</v>
      </c>
      <c r="AD214" s="231">
        <f>(INDEX(Models!$BJ214:$BT214,,AH214)*(1-AF214)+INDEX(Models!$BJ214:$BT214,,AH214+1)*AF214-ERP_i)*AE214*Ramure*Pc/MaxiM</f>
        <v>0</v>
      </c>
      <c r="AE214" s="305">
        <f t="shared" si="88"/>
        <v>0.7</v>
      </c>
      <c r="AF214" s="177">
        <f t="shared" si="89"/>
        <v>0.44973298953026652</v>
      </c>
      <c r="AG214" s="817">
        <f t="shared" si="95"/>
        <v>-1</v>
      </c>
      <c r="AH214" s="176">
        <f t="shared" si="90"/>
        <v>5</v>
      </c>
      <c r="AI214" s="225">
        <f t="shared" si="91"/>
        <v>-0.55026701046973348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44397</v>
      </c>
      <c r="B215" s="617">
        <v>30.292000000000002</v>
      </c>
      <c r="C215" s="390"/>
      <c r="D215" s="393">
        <f t="shared" si="74"/>
        <v>31.090558414426745</v>
      </c>
      <c r="E215" s="385">
        <f t="shared" si="72"/>
        <v>32.191895285563398</v>
      </c>
      <c r="F215" s="385">
        <f t="shared" si="75"/>
        <v>32.191895285563398</v>
      </c>
      <c r="G215" s="110">
        <f t="shared" si="73"/>
        <v>0.77970739895864316</v>
      </c>
      <c r="H215" s="414" t="b">
        <f>Wh_hp&gt;='2020'!Maxi_hp</f>
        <v>0</v>
      </c>
      <c r="I215" s="380">
        <f>IF(H215,Wh_hp,'2020'!Maxi_hp)</f>
        <v>41.130665538224456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2.5684917066532753E-2</v>
      </c>
      <c r="M215" s="850"/>
      <c r="N215" s="850"/>
      <c r="O215" s="48">
        <f>IF(t&lt;Tnet,'2020'!Resal+('2020'!Salim-'2020'!Resal)*(1-EXP(('2020'!Tnet-t)/('2020'!Tau_j))),Resal+(Salim-Resal)*(1-EXP((Tnet-t)/(Tau_j))))*Salcycl</f>
        <v>3.421161945785002E-2</v>
      </c>
      <c r="P215" s="169">
        <f>(INDEX(Models!$BJ215:$BT215,,T215)*(1-R215)+INDEX(Models!$BJ215:$BT215,,T215+1)*R215-ERP_i)*Q215*Ramure*Pc/MaxiM</f>
        <v>0</v>
      </c>
      <c r="Q215" s="305">
        <f t="shared" si="77"/>
        <v>0.7</v>
      </c>
      <c r="R215" s="177">
        <f t="shared" si="78"/>
        <v>0.45143248114193979</v>
      </c>
      <c r="S215" s="817">
        <f t="shared" si="79"/>
        <v>-1</v>
      </c>
      <c r="T215" s="176">
        <f t="shared" si="80"/>
        <v>5</v>
      </c>
      <c r="U215" s="251">
        <f t="shared" si="81"/>
        <v>-0.54856751885806021</v>
      </c>
      <c r="V215" s="383">
        <f t="shared" si="82"/>
        <v>38.850471395368587</v>
      </c>
      <c r="W215" s="402"/>
      <c r="X215" s="157">
        <f t="shared" si="83"/>
        <v>44397</v>
      </c>
      <c r="Y215" s="385">
        <f t="shared" si="84"/>
        <v>27.622107188113841</v>
      </c>
      <c r="Z215" s="385">
        <f t="shared" si="85"/>
        <v>28.35028182561766</v>
      </c>
      <c r="AA215" s="386">
        <f t="shared" si="86"/>
        <v>32.191895285563398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0.11933480231182685</v>
      </c>
      <c r="AD215" s="231">
        <f>(INDEX(Models!$BJ215:$BT215,,AH215)*(1-AF215)+INDEX(Models!$BJ215:$BT215,,AH215+1)*AF215-ERP_i)*AE215*Ramure*Pc/MaxiM</f>
        <v>0</v>
      </c>
      <c r="AE215" s="305">
        <f t="shared" si="88"/>
        <v>0.7</v>
      </c>
      <c r="AF215" s="177">
        <f t="shared" si="89"/>
        <v>0.45143248114193979</v>
      </c>
      <c r="AG215" s="817">
        <f t="shared" si="95"/>
        <v>-1</v>
      </c>
      <c r="AH215" s="176">
        <f t="shared" si="90"/>
        <v>5</v>
      </c>
      <c r="AI215" s="225">
        <f t="shared" si="91"/>
        <v>-0.54856751885806021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44398</v>
      </c>
      <c r="B216" s="617">
        <v>30.341000000000001</v>
      </c>
      <c r="C216" s="390"/>
      <c r="D216" s="393">
        <f t="shared" si="74"/>
        <v>31.141532233054463</v>
      </c>
      <c r="E216" s="385">
        <f t="shared" si="72"/>
        <v>32.250350931853404</v>
      </c>
      <c r="F216" s="385">
        <f t="shared" si="75"/>
        <v>32.250350931853404</v>
      </c>
      <c r="G216" s="110">
        <f t="shared" si="73"/>
        <v>0.78282590680519282</v>
      </c>
      <c r="H216" s="414" t="b">
        <f>Wh_hp&gt;='2020'!Maxi_hp</f>
        <v>0</v>
      </c>
      <c r="I216" s="380">
        <f>IF(H216,Wh_hp,'2020'!Maxi_hp)</f>
        <v>34.318682910320518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2.5706257067362737E-2</v>
      </c>
      <c r="M216" s="850"/>
      <c r="N216" s="850"/>
      <c r="O216" s="48">
        <f>IF(t&lt;Tnet,'2020'!Resal+('2020'!Salim-'2020'!Resal)*(1-EXP(('2020'!Tnet-t)/('2020'!Tau_j))),Resal+(Salim-Resal)*(1-EXP((Tnet-t)/(Tau_j))))*Salcycl</f>
        <v>3.4381601029456317E-2</v>
      </c>
      <c r="P216" s="169">
        <f>(INDEX(Models!$BJ216:$BT216,,T216)*(1-R216)+INDEX(Models!$BJ216:$BT216,,T216+1)*R216-ERP_i)*Q216*Ramure*Pc/MaxiM</f>
        <v>0</v>
      </c>
      <c r="Q216" s="305">
        <f t="shared" si="77"/>
        <v>0.7</v>
      </c>
      <c r="R216" s="177">
        <f t="shared" si="78"/>
        <v>0.45308540513758633</v>
      </c>
      <c r="S216" s="817">
        <f t="shared" si="79"/>
        <v>-1</v>
      </c>
      <c r="T216" s="176">
        <f t="shared" si="80"/>
        <v>5</v>
      </c>
      <c r="U216" s="251">
        <f t="shared" si="81"/>
        <v>-0.54691459486241367</v>
      </c>
      <c r="V216" s="383">
        <f t="shared" si="82"/>
        <v>38.758298283491023</v>
      </c>
      <c r="W216" s="402"/>
      <c r="X216" s="157">
        <f t="shared" si="83"/>
        <v>44398</v>
      </c>
      <c r="Y216" s="385">
        <f t="shared" si="84"/>
        <v>27.669882479405754</v>
      </c>
      <c r="Z216" s="385">
        <f t="shared" si="85"/>
        <v>28.399938601800969</v>
      </c>
      <c r="AA216" s="386">
        <f t="shared" si="86"/>
        <v>32.250350931853404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0.11939133121957486</v>
      </c>
      <c r="AD216" s="231">
        <f>(INDEX(Models!$BJ216:$BT216,,AH216)*(1-AF216)+INDEX(Models!$BJ216:$BT216,,AH216+1)*AF216-ERP_i)*AE216*Ramure*Pc/MaxiM</f>
        <v>0</v>
      </c>
      <c r="AE216" s="305">
        <f t="shared" si="88"/>
        <v>0.7</v>
      </c>
      <c r="AF216" s="177">
        <f t="shared" si="89"/>
        <v>0.45308540513758633</v>
      </c>
      <c r="AG216" s="817">
        <f t="shared" si="95"/>
        <v>-1</v>
      </c>
      <c r="AH216" s="176">
        <f t="shared" si="90"/>
        <v>5</v>
      </c>
      <c r="AI216" s="225">
        <f t="shared" si="91"/>
        <v>-0.54691459486241367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44399</v>
      </c>
      <c r="B217" s="617">
        <v>35.432000000000002</v>
      </c>
      <c r="C217" s="390"/>
      <c r="D217" s="393">
        <f t="shared" si="74"/>
        <v>36.367652287367257</v>
      </c>
      <c r="E217" s="385">
        <f t="shared" si="72"/>
        <v>37.66916553767112</v>
      </c>
      <c r="F217" s="385">
        <f t="shared" si="75"/>
        <v>37.66916553767112</v>
      </c>
      <c r="G217" s="110">
        <f t="shared" si="73"/>
        <v>0.91634214074315568</v>
      </c>
      <c r="H217" s="414" t="b">
        <f>Wh_hp&gt;='2020'!Maxi_hp</f>
        <v>0</v>
      </c>
      <c r="I217" s="380">
        <f>IF(H217,Wh_hp,'2020'!Maxi_hp)</f>
        <v>39.921621323756099</v>
      </c>
      <c r="J217" s="85">
        <f>IF(H217,An,'2020'!An_max)</f>
        <v>2018</v>
      </c>
      <c r="K217" s="197">
        <f t="shared" si="76"/>
        <v>44399</v>
      </c>
      <c r="L217" s="147">
        <f>IF(t&lt;Tvie,1-EXP((T0-t)*PertePVj)+'2020'!Pspv,1-EXP((T0-t)*PertePVj)+Pspv)</f>
        <v>2.5727596600791935E-2</v>
      </c>
      <c r="M217" s="850"/>
      <c r="N217" s="850"/>
      <c r="O217" s="48">
        <f>IF(t&lt;Tnet,'2020'!Resal+('2020'!Salim-'2020'!Resal)*(1-EXP(('2020'!Tnet-t)/('2020'!Tau_j))),Resal+(Salim-Resal)*(1-EXP((Tnet-t)/(Tau_j))))*Salcycl</f>
        <v>3.4551156940343671E-2</v>
      </c>
      <c r="P217" s="169">
        <f>(INDEX(Models!$BJ217:$BT217,,T217)*(1-R217)+INDEX(Models!$BJ217:$BT217,,T217+1)*R217-ERP_i)*Q217*Ramure*Pc/MaxiM</f>
        <v>0</v>
      </c>
      <c r="Q217" s="305">
        <f t="shared" si="77"/>
        <v>0.7</v>
      </c>
      <c r="R217" s="177">
        <f t="shared" si="78"/>
        <v>0.45469231086327611</v>
      </c>
      <c r="S217" s="817">
        <f t="shared" si="79"/>
        <v>-1</v>
      </c>
      <c r="T217" s="176">
        <f t="shared" si="80"/>
        <v>5</v>
      </c>
      <c r="U217" s="251">
        <f t="shared" si="81"/>
        <v>-0.54530768913672389</v>
      </c>
      <c r="V217" s="383">
        <f t="shared" si="82"/>
        <v>38.666780042730075</v>
      </c>
      <c r="W217" s="402"/>
      <c r="X217" s="157">
        <f t="shared" si="83"/>
        <v>44399</v>
      </c>
      <c r="Y217" s="385">
        <f t="shared" si="84"/>
        <v>32.316317308608838</v>
      </c>
      <c r="Z217" s="385">
        <f t="shared" si="85"/>
        <v>33.169693810332866</v>
      </c>
      <c r="AA217" s="386">
        <f t="shared" si="86"/>
        <v>37.66916553767112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0.11944707728761728</v>
      </c>
      <c r="AD217" s="231">
        <f>(INDEX(Models!$BJ217:$BT217,,AH217)*(1-AF217)+INDEX(Models!$BJ217:$BT217,,AH217+1)*AF217-ERP_i)*AE217*Ramure*Pc/MaxiM</f>
        <v>0</v>
      </c>
      <c r="AE217" s="305">
        <f t="shared" si="88"/>
        <v>0.7</v>
      </c>
      <c r="AF217" s="177">
        <f t="shared" si="89"/>
        <v>0.45469231086327611</v>
      </c>
      <c r="AG217" s="817">
        <f t="shared" si="95"/>
        <v>-1</v>
      </c>
      <c r="AH217" s="176">
        <f t="shared" si="90"/>
        <v>5</v>
      </c>
      <c r="AI217" s="225">
        <f t="shared" si="91"/>
        <v>-0.54530768913672389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44400</v>
      </c>
      <c r="B218" s="617">
        <v>28.63</v>
      </c>
      <c r="C218" s="390"/>
      <c r="D218" s="393">
        <f t="shared" si="74"/>
        <v>29.386675620001434</v>
      </c>
      <c r="E218" s="385">
        <f t="shared" si="72"/>
        <v>30.44368961198629</v>
      </c>
      <c r="F218" s="385">
        <f t="shared" si="75"/>
        <v>30.44368961198629</v>
      </c>
      <c r="G218" s="110">
        <f t="shared" si="73"/>
        <v>0.74216517297857731</v>
      </c>
      <c r="H218" s="414" t="b">
        <f>Wh_hp&gt;='2020'!Maxi_hp</f>
        <v>0</v>
      </c>
      <c r="I218" s="380">
        <f>IF(H218,Wh_hp,'2020'!Maxi_hp)</f>
        <v>40.234800142137267</v>
      </c>
      <c r="J218" s="85">
        <f>IF(H218,An,'2020'!An_max)</f>
        <v>2018</v>
      </c>
      <c r="K218" s="197">
        <f t="shared" si="76"/>
        <v>44400</v>
      </c>
      <c r="L218" s="147">
        <f>IF(t&lt;Tvie,1-EXP((T0-t)*PertePVj)+'2020'!Pspv,1-EXP((T0-t)*PertePVj)+Pspv)</f>
        <v>2.5748935666830564E-2</v>
      </c>
      <c r="M218" s="850"/>
      <c r="N218" s="850"/>
      <c r="O218" s="48">
        <f>IF(t&lt;Tnet,'2020'!Resal+('2020'!Salim-'2020'!Resal)*(1-EXP(('2020'!Tnet-t)/('2020'!Tau_j))),Resal+(Salim-Resal)*(1-EXP((Tnet-t)/(Tau_j))))*Salcycl</f>
        <v>3.4720298539920973E-2</v>
      </c>
      <c r="P218" s="169">
        <f>(INDEX(Models!$BJ218:$BT218,,T218)*(1-R218)+INDEX(Models!$BJ218:$BT218,,T218+1)*R218-ERP_i)*Q218*Ramure*Pc/MaxiM</f>
        <v>0</v>
      </c>
      <c r="Q218" s="305">
        <f t="shared" si="77"/>
        <v>0.7</v>
      </c>
      <c r="R218" s="177">
        <f t="shared" si="78"/>
        <v>0.45625379304191183</v>
      </c>
      <c r="S218" s="817">
        <f t="shared" si="79"/>
        <v>-1</v>
      </c>
      <c r="T218" s="176">
        <f t="shared" si="80"/>
        <v>5</v>
      </c>
      <c r="U218" s="251">
        <f t="shared" si="81"/>
        <v>-0.54374620695808817</v>
      </c>
      <c r="V218" s="383">
        <f t="shared" si="82"/>
        <v>38.576318375460076</v>
      </c>
      <c r="W218" s="402"/>
      <c r="X218" s="157">
        <f t="shared" si="83"/>
        <v>44400</v>
      </c>
      <c r="Y218" s="385">
        <f t="shared" si="84"/>
        <v>26.115389330742321</v>
      </c>
      <c r="Z218" s="385">
        <f t="shared" si="85"/>
        <v>26.805605132817707</v>
      </c>
      <c r="AA218" s="386">
        <f t="shared" si="86"/>
        <v>30.44368961198629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0.11950208813507927</v>
      </c>
      <c r="AD218" s="231">
        <f>(INDEX(Models!$BJ218:$BT218,,AH218)*(1-AF218)+INDEX(Models!$BJ218:$BT218,,AH218+1)*AF218-ERP_i)*AE218*Ramure*Pc/MaxiM</f>
        <v>0</v>
      </c>
      <c r="AE218" s="305">
        <f t="shared" si="88"/>
        <v>0.7</v>
      </c>
      <c r="AF218" s="177">
        <f t="shared" si="89"/>
        <v>0.45625379304191183</v>
      </c>
      <c r="AG218" s="817">
        <f t="shared" si="95"/>
        <v>-1</v>
      </c>
      <c r="AH218" s="176">
        <f t="shared" si="90"/>
        <v>5</v>
      </c>
      <c r="AI218" s="225">
        <f t="shared" si="91"/>
        <v>-0.54374620695808817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44401</v>
      </c>
      <c r="B219" s="617">
        <v>19.067</v>
      </c>
      <c r="C219" s="390"/>
      <c r="D219" s="393">
        <f t="shared" si="74"/>
        <v>19.571359296827676</v>
      </c>
      <c r="E219" s="385">
        <f t="shared" si="72"/>
        <v>20.278869520177558</v>
      </c>
      <c r="F219" s="385">
        <f t="shared" si="75"/>
        <v>20.278869520177558</v>
      </c>
      <c r="G219" s="110">
        <f t="shared" si="73"/>
        <v>0.49541732589634363</v>
      </c>
      <c r="H219" s="414" t="b">
        <f>Wh_hp&gt;='2020'!Maxi_hp</f>
        <v>0</v>
      </c>
      <c r="I219" s="380">
        <f>IF(H219,Wh_hp,'2020'!Maxi_hp)</f>
        <v>37.592958508530771</v>
      </c>
      <c r="J219" s="85">
        <f>IF(H219,An,'2020'!An_max)</f>
        <v>2019</v>
      </c>
      <c r="K219" s="197">
        <f t="shared" si="76"/>
        <v>44401</v>
      </c>
      <c r="L219" s="147">
        <f>IF(t&lt;Tvie,1-EXP((T0-t)*PertePVj)+'2020'!Pspv,1-EXP((T0-t)*PertePVj)+Pspv)</f>
        <v>2.5770274265488946E-2</v>
      </c>
      <c r="M219" s="850"/>
      <c r="N219" s="850"/>
      <c r="O219" s="48">
        <f>IF(t&lt;Tnet,'2020'!Resal+('2020'!Salim-'2020'!Resal)*(1-EXP(('2020'!Tnet-t)/('2020'!Tau_j))),Resal+(Salim-Resal)*(1-EXP((Tnet-t)/(Tau_j))))*Salcycl</f>
        <v>3.4889036721001909E-2</v>
      </c>
      <c r="P219" s="169">
        <f>(INDEX(Models!$BJ219:$BT219,,T219)*(1-R219)+INDEX(Models!$BJ219:$BT219,,T219+1)*R219-ERP_i)*Q219*Ramure*Pc/MaxiM</f>
        <v>0</v>
      </c>
      <c r="Q219" s="305">
        <f t="shared" si="77"/>
        <v>0.7</v>
      </c>
      <c r="R219" s="177">
        <f t="shared" si="78"/>
        <v>0.45777048778036011</v>
      </c>
      <c r="S219" s="817">
        <f t="shared" si="79"/>
        <v>-1</v>
      </c>
      <c r="T219" s="176">
        <f t="shared" si="80"/>
        <v>5</v>
      </c>
      <c r="U219" s="251">
        <f t="shared" si="81"/>
        <v>-0.54222951221963989</v>
      </c>
      <c r="V219" s="383">
        <f t="shared" si="82"/>
        <v>38.486744413919418</v>
      </c>
      <c r="W219" s="402"/>
      <c r="X219" s="157">
        <f t="shared" si="83"/>
        <v>44401</v>
      </c>
      <c r="Y219" s="385">
        <f t="shared" si="84"/>
        <v>17.394287899981595</v>
      </c>
      <c r="Z219" s="385">
        <f t="shared" si="85"/>
        <v>17.854400702942357</v>
      </c>
      <c r="AA219" s="386">
        <f t="shared" si="86"/>
        <v>20.278869520177558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0.11955640894197021</v>
      </c>
      <c r="AD219" s="231">
        <f>(INDEX(Models!$BJ219:$BT219,,AH219)*(1-AF219)+INDEX(Models!$BJ219:$BT219,,AH219+1)*AF219-ERP_i)*AE219*Ramure*Pc/MaxiM</f>
        <v>0</v>
      </c>
      <c r="AE219" s="305">
        <f t="shared" si="88"/>
        <v>0.7</v>
      </c>
      <c r="AF219" s="177">
        <f t="shared" si="89"/>
        <v>0.45777048778036011</v>
      </c>
      <c r="AG219" s="817">
        <f t="shared" si="95"/>
        <v>-1</v>
      </c>
      <c r="AH219" s="176">
        <f t="shared" si="90"/>
        <v>5</v>
      </c>
      <c r="AI219" s="225">
        <f t="shared" si="91"/>
        <v>-0.54222951221963989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44402</v>
      </c>
      <c r="B220" s="617">
        <v>24.962</v>
      </c>
      <c r="C220" s="390"/>
      <c r="D220" s="393">
        <f t="shared" si="74"/>
        <v>25.622854737898813</v>
      </c>
      <c r="E220" s="385">
        <f t="shared" si="72"/>
        <v>26.553760043598952</v>
      </c>
      <c r="F220" s="385">
        <f t="shared" si="75"/>
        <v>26.553760043598952</v>
      </c>
      <c r="G220" s="110">
        <f t="shared" si="73"/>
        <v>0.65009462765003279</v>
      </c>
      <c r="H220" s="414" t="b">
        <f>Wh_hp&gt;='2020'!Maxi_hp</f>
        <v>0</v>
      </c>
      <c r="I220" s="380">
        <f>IF(H220,Wh_hp,'2020'!Maxi_hp)</f>
        <v>41.517040985591251</v>
      </c>
      <c r="J220" s="85">
        <f>IF(H220,An,'2020'!An_max)</f>
        <v>2020</v>
      </c>
      <c r="K220" s="197">
        <f t="shared" si="76"/>
        <v>44402</v>
      </c>
      <c r="L220" s="147">
        <f>IF(t&lt;Tvie,1-EXP((T0-t)*PertePVj)+'2020'!Pspv,1-EXP((T0-t)*PertePVj)+Pspv)</f>
        <v>2.5791612396777186E-2</v>
      </c>
      <c r="M220" s="850"/>
      <c r="N220" s="850"/>
      <c r="O220" s="48">
        <f>IF(t&lt;Tnet,'2020'!Resal+('2020'!Salim-'2020'!Resal)*(1-EXP(('2020'!Tnet-t)/('2020'!Tau_j))),Resal+(Salim-Resal)*(1-EXP((Tnet-t)/(Tau_j))))*Salcycl</f>
        <v>3.5057381861238301E-2</v>
      </c>
      <c r="P220" s="169">
        <f>(INDEX(Models!$BJ220:$BT220,,T220)*(1-R220)+INDEX(Models!$BJ220:$BT220,,T220+1)*R220-ERP_i)*Q220*Ramure*Pc/MaxiM</f>
        <v>0</v>
      </c>
      <c r="Q220" s="305">
        <f t="shared" si="77"/>
        <v>0.7</v>
      </c>
      <c r="R220" s="177">
        <f t="shared" si="78"/>
        <v>0.45924306867626741</v>
      </c>
      <c r="S220" s="817">
        <f t="shared" si="79"/>
        <v>-1</v>
      </c>
      <c r="T220" s="176">
        <f t="shared" si="80"/>
        <v>5</v>
      </c>
      <c r="U220" s="251">
        <f t="shared" si="81"/>
        <v>-0.54075693132373259</v>
      </c>
      <c r="V220" s="383">
        <f t="shared" si="82"/>
        <v>38.397486978523162</v>
      </c>
      <c r="W220" s="402"/>
      <c r="X220" s="157">
        <f t="shared" si="83"/>
        <v>44402</v>
      </c>
      <c r="Y220" s="385">
        <f t="shared" si="84"/>
        <v>22.774715006197834</v>
      </c>
      <c r="Z220" s="385">
        <f t="shared" si="85"/>
        <v>23.377662619215261</v>
      </c>
      <c r="AA220" s="386">
        <f t="shared" si="86"/>
        <v>26.553760043598952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0.11961008230731984</v>
      </c>
      <c r="AD220" s="231">
        <f>(INDEX(Models!$BJ220:$BT220,,AH220)*(1-AF220)+INDEX(Models!$BJ220:$BT220,,AH220+1)*AF220-ERP_i)*AE220*Ramure*Pc/MaxiM</f>
        <v>0</v>
      </c>
      <c r="AE220" s="305">
        <f t="shared" si="88"/>
        <v>0.7</v>
      </c>
      <c r="AF220" s="177">
        <f t="shared" si="89"/>
        <v>0.45924306867626741</v>
      </c>
      <c r="AG220" s="817">
        <f t="shared" si="95"/>
        <v>-1</v>
      </c>
      <c r="AH220" s="176">
        <f t="shared" si="90"/>
        <v>5</v>
      </c>
      <c r="AI220" s="225">
        <f t="shared" si="91"/>
        <v>-0.54075693132373259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44403</v>
      </c>
      <c r="B221" s="617">
        <v>22.337</v>
      </c>
      <c r="C221" s="390"/>
      <c r="D221" s="393">
        <f t="shared" si="74"/>
        <v>22.92886155835464</v>
      </c>
      <c r="E221" s="385">
        <f t="shared" si="72"/>
        <v>23.766028067082697</v>
      </c>
      <c r="F221" s="385">
        <f t="shared" si="75"/>
        <v>23.766028067082697</v>
      </c>
      <c r="G221" s="110">
        <f t="shared" si="73"/>
        <v>0.58308445464896508</v>
      </c>
      <c r="H221" s="414" t="b">
        <f>Wh_hp&gt;='2020'!Maxi_hp</f>
        <v>0</v>
      </c>
      <c r="I221" s="380">
        <f>IF(H221,Wh_hp,'2020'!Maxi_hp)</f>
        <v>40.464552652725096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2.5812950060705608E-2</v>
      </c>
      <c r="M221" s="850"/>
      <c r="N221" s="850"/>
      <c r="O221" s="48">
        <f>IF(t&lt;Tnet,'2020'!Resal+('2020'!Salim-'2020'!Resal)*(1-EXP(('2020'!Tnet-t)/('2020'!Tau_j))),Resal+(Salim-Resal)*(1-EXP((Tnet-t)/(Tau_j))))*Salcycl</f>
        <v>3.5225343770740609E-2</v>
      </c>
      <c r="P221" s="169">
        <f>(INDEX(Models!$BJ221:$BT221,,T221)*(1-R221)+INDEX(Models!$BJ221:$BT221,,T221+1)*R221-ERP_i)*Q221*Ramure*Pc/MaxiM</f>
        <v>0</v>
      </c>
      <c r="Q221" s="305">
        <f t="shared" si="77"/>
        <v>0.7</v>
      </c>
      <c r="R221" s="177">
        <f t="shared" si="78"/>
        <v>0.4606722430376593</v>
      </c>
      <c r="S221" s="817">
        <f t="shared" si="79"/>
        <v>-1</v>
      </c>
      <c r="T221" s="176">
        <f t="shared" si="80"/>
        <v>5</v>
      </c>
      <c r="U221" s="251">
        <f t="shared" si="81"/>
        <v>-0.5393277569623407</v>
      </c>
      <c r="V221" s="383">
        <f t="shared" si="82"/>
        <v>38.308344223389668</v>
      </c>
      <c r="W221" s="402"/>
      <c r="X221" s="157">
        <f t="shared" si="83"/>
        <v>44403</v>
      </c>
      <c r="Y221" s="385">
        <f t="shared" si="84"/>
        <v>20.382048940878221</v>
      </c>
      <c r="Z221" s="385">
        <f t="shared" si="85"/>
        <v>20.922110329990847</v>
      </c>
      <c r="AA221" s="386">
        <f t="shared" si="86"/>
        <v>23.766028067082697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0.11966314813163231</v>
      </c>
      <c r="AD221" s="231">
        <f>(INDEX(Models!$BJ221:$BT221,,AH221)*(1-AF221)+INDEX(Models!$BJ221:$BT221,,AH221+1)*AF221-ERP_i)*AE221*Ramure*Pc/MaxiM</f>
        <v>0</v>
      </c>
      <c r="AE221" s="305">
        <f t="shared" si="88"/>
        <v>0.7</v>
      </c>
      <c r="AF221" s="177">
        <f t="shared" si="89"/>
        <v>0.4606722430376593</v>
      </c>
      <c r="AG221" s="817">
        <f t="shared" si="95"/>
        <v>-1</v>
      </c>
      <c r="AH221" s="176">
        <f t="shared" si="90"/>
        <v>5</v>
      </c>
      <c r="AI221" s="225">
        <f t="shared" si="91"/>
        <v>-0.5393277569623407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44404</v>
      </c>
      <c r="B222" s="617">
        <v>31.815999999999999</v>
      </c>
      <c r="C222" s="390"/>
      <c r="D222" s="393">
        <f t="shared" si="74"/>
        <v>32.659741134209725</v>
      </c>
      <c r="E222" s="385">
        <f t="shared" si="72"/>
        <v>33.858077766259335</v>
      </c>
      <c r="F222" s="385">
        <f t="shared" si="75"/>
        <v>33.858077766259335</v>
      </c>
      <c r="G222" s="110">
        <f t="shared" si="73"/>
        <v>0.83246303389460508</v>
      </c>
      <c r="H222" s="414" t="b">
        <f>Wh_hp&gt;='2020'!Maxi_hp</f>
        <v>1</v>
      </c>
      <c r="I222" s="380">
        <f>IF(H222,Wh_hp,'2020'!Maxi_hp)</f>
        <v>33.858077766259335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2.5834287257284427E-2</v>
      </c>
      <c r="M222" s="850"/>
      <c r="N222" s="850"/>
      <c r="O222" s="48">
        <f>IF(t&lt;Tnet,'2020'!Resal+('2020'!Salim-'2020'!Resal)*(1-EXP(('2020'!Tnet-t)/('2020'!Tau_j))),Resal+(Salim-Resal)*(1-EXP((Tnet-t)/(Tau_j))))*Salcycl</f>
        <v>3.5392931646101529E-2</v>
      </c>
      <c r="P222" s="169">
        <f>(INDEX(Models!$BJ222:$BT222,,T222)*(1-R222)+INDEX(Models!$BJ222:$BT222,,T222+1)*R222-ERP_i)*Q222*Ramure*Pc/MaxiM</f>
        <v>0</v>
      </c>
      <c r="Q222" s="305">
        <f t="shared" si="77"/>
        <v>0.7</v>
      </c>
      <c r="R222" s="177">
        <f t="shared" si="78"/>
        <v>0.46205874822651738</v>
      </c>
      <c r="S222" s="817">
        <f t="shared" si="79"/>
        <v>-1</v>
      </c>
      <c r="T222" s="176">
        <f t="shared" si="80"/>
        <v>5</v>
      </c>
      <c r="U222" s="251">
        <f t="shared" si="81"/>
        <v>-0.53794125177348262</v>
      </c>
      <c r="V222" s="383">
        <f t="shared" si="82"/>
        <v>38.219114488665824</v>
      </c>
      <c r="W222" s="402"/>
      <c r="X222" s="157">
        <f t="shared" si="83"/>
        <v>44404</v>
      </c>
      <c r="Y222" s="385">
        <f t="shared" si="84"/>
        <v>29.034752081431765</v>
      </c>
      <c r="Z222" s="385">
        <f t="shared" si="85"/>
        <v>29.804736197998441</v>
      </c>
      <c r="AA222" s="386">
        <f t="shared" si="86"/>
        <v>33.858077766259335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0.11971564352363138</v>
      </c>
      <c r="AD222" s="231">
        <f>(INDEX(Models!$BJ222:$BT222,,AH222)*(1-AF222)+INDEX(Models!$BJ222:$BT222,,AH222+1)*AF222-ERP_i)*AE222*Ramure*Pc/MaxiM</f>
        <v>0</v>
      </c>
      <c r="AE222" s="305">
        <f t="shared" si="88"/>
        <v>0.7</v>
      </c>
      <c r="AF222" s="177">
        <f t="shared" si="89"/>
        <v>0.46205874822651738</v>
      </c>
      <c r="AG222" s="817">
        <f t="shared" si="95"/>
        <v>-1</v>
      </c>
      <c r="AH222" s="176">
        <f t="shared" si="90"/>
        <v>5</v>
      </c>
      <c r="AI222" s="225">
        <f t="shared" si="91"/>
        <v>-0.53794125177348262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44405</v>
      </c>
      <c r="B223" s="617">
        <v>17.45</v>
      </c>
      <c r="C223" s="390"/>
      <c r="D223" s="393">
        <f t="shared" si="74"/>
        <v>17.913155821328274</v>
      </c>
      <c r="E223" s="385">
        <f t="shared" si="72"/>
        <v>18.57363722185266</v>
      </c>
      <c r="F223" s="385">
        <f t="shared" si="75"/>
        <v>18.57363722185266</v>
      </c>
      <c r="G223" s="110">
        <f t="shared" si="73"/>
        <v>0.4576497443777634</v>
      </c>
      <c r="H223" s="414" t="b">
        <f>Wh_hp&gt;='2020'!Maxi_hp</f>
        <v>0</v>
      </c>
      <c r="I223" s="380">
        <f>IF(H223,Wh_hp,'2020'!Maxi_hp)</f>
        <v>39.810455578458225</v>
      </c>
      <c r="J223" s="85">
        <f>IF(H223,An,'2020'!An_max)</f>
        <v>2019</v>
      </c>
      <c r="K223" s="197">
        <f t="shared" si="76"/>
        <v>44405</v>
      </c>
      <c r="L223" s="147">
        <f>IF(t&lt;Tvie,1-EXP((T0-t)*PertePVj)+'2020'!Pspv,1-EXP((T0-t)*PertePVj)+Pspv)</f>
        <v>2.5855623986523857E-2</v>
      </c>
      <c r="M223" s="850"/>
      <c r="N223" s="850"/>
      <c r="O223" s="48">
        <f>IF(t&lt;Tnet,'2020'!Resal+('2020'!Salim-'2020'!Resal)*(1-EXP(('2020'!Tnet-t)/('2020'!Tau_j))),Resal+(Salim-Resal)*(1-EXP((Tnet-t)/(Tau_j))))*Salcycl</f>
        <v>3.5560154030967073E-2</v>
      </c>
      <c r="P223" s="169">
        <f>(INDEX(Models!$BJ223:$BT223,,T223)*(1-R223)+INDEX(Models!$BJ223:$BT223,,T223+1)*R223-ERP_i)*Q223*Ramure*Pc/MaxiM</f>
        <v>0</v>
      </c>
      <c r="Q223" s="305">
        <f t="shared" si="77"/>
        <v>0.7</v>
      </c>
      <c r="R223" s="177">
        <f t="shared" si="78"/>
        <v>0.46340334813570461</v>
      </c>
      <c r="S223" s="817">
        <f t="shared" si="79"/>
        <v>-1</v>
      </c>
      <c r="T223" s="176">
        <f t="shared" si="80"/>
        <v>5</v>
      </c>
      <c r="U223" s="251">
        <f t="shared" si="81"/>
        <v>-0.53659665186429539</v>
      </c>
      <c r="V223" s="383">
        <f t="shared" si="82"/>
        <v>38.129596300169752</v>
      </c>
      <c r="W223" s="402"/>
      <c r="X223" s="157">
        <f t="shared" si="83"/>
        <v>44405</v>
      </c>
      <c r="Y223" s="385">
        <f t="shared" si="84"/>
        <v>15.926400590500513</v>
      </c>
      <c r="Z223" s="385">
        <f t="shared" si="85"/>
        <v>16.349117217795435</v>
      </c>
      <c r="AA223" s="386">
        <f t="shared" si="86"/>
        <v>18.57363722185266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0.11976760273103557</v>
      </c>
      <c r="AD223" s="231">
        <f>(INDEX(Models!$BJ223:$BT223,,AH223)*(1-AF223)+INDEX(Models!$BJ223:$BT223,,AH223+1)*AF223-ERP_i)*AE223*Ramure*Pc/MaxiM</f>
        <v>0</v>
      </c>
      <c r="AE223" s="305">
        <f t="shared" si="88"/>
        <v>0.7</v>
      </c>
      <c r="AF223" s="177">
        <f t="shared" si="89"/>
        <v>0.46340334813570461</v>
      </c>
      <c r="AG223" s="817">
        <f t="shared" si="95"/>
        <v>-1</v>
      </c>
      <c r="AH223" s="176">
        <f t="shared" si="90"/>
        <v>5</v>
      </c>
      <c r="AI223" s="225">
        <f t="shared" si="91"/>
        <v>-0.53659665186429539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44406</v>
      </c>
      <c r="B224" s="617">
        <v>35.997999999999998</v>
      </c>
      <c r="C224" s="390"/>
      <c r="D224" s="393">
        <f t="shared" si="74"/>
        <v>36.954264021083723</v>
      </c>
      <c r="E224" s="385">
        <f t="shared" si="72"/>
        <v>38.323446514546944</v>
      </c>
      <c r="F224" s="385">
        <f t="shared" si="75"/>
        <v>38.323446514546944</v>
      </c>
      <c r="G224" s="110">
        <f t="shared" si="73"/>
        <v>0.94632990371710712</v>
      </c>
      <c r="H224" s="414" t="b">
        <f>Wh_hp&gt;='2020'!Maxi_hp</f>
        <v>1</v>
      </c>
      <c r="I224" s="380">
        <f>IF(H224,Wh_hp,'2020'!Maxi_hp)</f>
        <v>38.323446514546944</v>
      </c>
      <c r="J224" s="85">
        <f>IF(H224,An,'2020'!An_max)</f>
        <v>2021</v>
      </c>
      <c r="K224" s="197">
        <f t="shared" si="76"/>
        <v>44406</v>
      </c>
      <c r="L224" s="147">
        <f>IF(t&lt;Tvie,1-EXP((T0-t)*PertePVj)+'2020'!Pspv,1-EXP((T0-t)*PertePVj)+Pspv)</f>
        <v>2.5876960248434222E-2</v>
      </c>
      <c r="M224" s="850"/>
      <c r="N224" s="850"/>
      <c r="O224" s="48">
        <f>IF(t&lt;Tnet,'2020'!Resal+('2020'!Salim-'2020'!Resal)*(1-EXP(('2020'!Tnet-t)/('2020'!Tau_j))),Resal+(Salim-Resal)*(1-EXP((Tnet-t)/(Tau_j))))*Salcycl</f>
        <v>3.572701878322726E-2</v>
      </c>
      <c r="P224" s="169">
        <f>(INDEX(Models!$BJ224:$BT224,,T224)*(1-R224)+INDEX(Models!$BJ224:$BT224,,T224+1)*R224-ERP_i)*Q224*Ramure*Pc/MaxiM</f>
        <v>0</v>
      </c>
      <c r="Q224" s="305">
        <f t="shared" si="77"/>
        <v>0.7</v>
      </c>
      <c r="R224" s="177">
        <f t="shared" si="78"/>
        <v>0.46470682980688494</v>
      </c>
      <c r="S224" s="817">
        <f t="shared" si="79"/>
        <v>-1</v>
      </c>
      <c r="T224" s="176">
        <f t="shared" si="80"/>
        <v>5</v>
      </c>
      <c r="U224" s="251">
        <f t="shared" si="81"/>
        <v>-0.53529317019311506</v>
      </c>
      <c r="V224" s="383">
        <f t="shared" si="82"/>
        <v>38.039588370401034</v>
      </c>
      <c r="W224" s="402"/>
      <c r="X224" s="157">
        <f t="shared" si="83"/>
        <v>44406</v>
      </c>
      <c r="Y224" s="385">
        <f t="shared" si="84"/>
        <v>32.858696862704896</v>
      </c>
      <c r="Z224" s="385">
        <f t="shared" si="85"/>
        <v>33.731567288548035</v>
      </c>
      <c r="AA224" s="386">
        <f t="shared" si="86"/>
        <v>38.323446514546944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0.11981905709487559</v>
      </c>
      <c r="AD224" s="231">
        <f>(INDEX(Models!$BJ224:$BT224,,AH224)*(1-AF224)+INDEX(Models!$BJ224:$BT224,,AH224+1)*AF224-ERP_i)*AE224*Ramure*Pc/MaxiM</f>
        <v>0</v>
      </c>
      <c r="AE224" s="305">
        <f t="shared" si="88"/>
        <v>0.7</v>
      </c>
      <c r="AF224" s="177">
        <f t="shared" si="89"/>
        <v>0.46470682980688494</v>
      </c>
      <c r="AG224" s="817">
        <f t="shared" si="95"/>
        <v>-1</v>
      </c>
      <c r="AH224" s="176">
        <f t="shared" si="90"/>
        <v>5</v>
      </c>
      <c r="AI224" s="225">
        <f t="shared" si="91"/>
        <v>-0.53529317019311506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44407</v>
      </c>
      <c r="B225" s="617">
        <v>11.509</v>
      </c>
      <c r="C225" s="390"/>
      <c r="D225" s="393">
        <f t="shared" si="74"/>
        <v>11.814988058483417</v>
      </c>
      <c r="E225" s="385">
        <f t="shared" si="72"/>
        <v>12.254858216900404</v>
      </c>
      <c r="F225" s="385">
        <f t="shared" si="75"/>
        <v>12.254858216900404</v>
      </c>
      <c r="G225" s="110">
        <f t="shared" si="73"/>
        <v>0.30327633091885253</v>
      </c>
      <c r="H225" s="414" t="b">
        <f>Wh_hp&gt;='2020'!Maxi_hp</f>
        <v>0</v>
      </c>
      <c r="I225" s="380">
        <f>IF(H225,Wh_hp,'2020'!Maxi_hp)</f>
        <v>37.359921298844867</v>
      </c>
      <c r="J225" s="85">
        <f>IF(H225,An,'2020'!An_max)</f>
        <v>2018</v>
      </c>
      <c r="K225" s="197">
        <f t="shared" si="76"/>
        <v>44407</v>
      </c>
      <c r="L225" s="147">
        <f>IF(t&lt;Tvie,1-EXP((T0-t)*PertePVj)+'2020'!Pspv,1-EXP((T0-t)*PertePVj)+Pspv)</f>
        <v>2.5898296043025626E-2</v>
      </c>
      <c r="M225" s="850"/>
      <c r="N225" s="850"/>
      <c r="O225" s="48">
        <f>IF(t&lt;Tnet,'2020'!Resal+('2020'!Salim-'2020'!Resal)*(1-EXP(('2020'!Tnet-t)/('2020'!Tau_j))),Resal+(Salim-Resal)*(1-EXP((Tnet-t)/(Tau_j))))*Salcycl</f>
        <v>3.5893533048825733E-2</v>
      </c>
      <c r="P225" s="169">
        <f>(INDEX(Models!$BJ225:$BT225,,T225)*(1-R225)+INDEX(Models!$BJ225:$BT225,,T225+1)*R225-ERP_i)*Q225*Ramure*Pc/MaxiM</f>
        <v>0</v>
      </c>
      <c r="Q225" s="305">
        <f t="shared" si="77"/>
        <v>0.7</v>
      </c>
      <c r="R225" s="177">
        <f t="shared" si="78"/>
        <v>0.46597000019546297</v>
      </c>
      <c r="S225" s="817">
        <f t="shared" si="79"/>
        <v>-1</v>
      </c>
      <c r="T225" s="176">
        <f t="shared" si="80"/>
        <v>5</v>
      </c>
      <c r="U225" s="251">
        <f t="shared" si="81"/>
        <v>-0.53402999980453703</v>
      </c>
      <c r="V225" s="383">
        <f t="shared" si="82"/>
        <v>37.948889598903307</v>
      </c>
      <c r="W225" s="402"/>
      <c r="X225" s="157">
        <f t="shared" si="83"/>
        <v>44407</v>
      </c>
      <c r="Y225" s="385">
        <f t="shared" si="84"/>
        <v>10.50653233237913</v>
      </c>
      <c r="Z225" s="385">
        <f t="shared" si="85"/>
        <v>10.785867933193964</v>
      </c>
      <c r="AA225" s="386">
        <f t="shared" si="86"/>
        <v>12.254858216900404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0.11987003502664666</v>
      </c>
      <c r="AD225" s="231">
        <f>(INDEX(Models!$BJ225:$BT225,,AH225)*(1-AF225)+INDEX(Models!$BJ225:$BT225,,AH225+1)*AF225-ERP_i)*AE225*Ramure*Pc/MaxiM</f>
        <v>0</v>
      </c>
      <c r="AE225" s="305">
        <f t="shared" si="88"/>
        <v>0.7</v>
      </c>
      <c r="AF225" s="177">
        <f t="shared" si="89"/>
        <v>0.46597000019546297</v>
      </c>
      <c r="AG225" s="817">
        <f t="shared" si="95"/>
        <v>-1</v>
      </c>
      <c r="AH225" s="176">
        <f t="shared" si="90"/>
        <v>5</v>
      </c>
      <c r="AI225" s="225">
        <f t="shared" si="91"/>
        <v>-0.53402999980453703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44408</v>
      </c>
      <c r="B226" s="617">
        <v>8.5340000000000007</v>
      </c>
      <c r="C226" s="390"/>
      <c r="D226" s="393">
        <f t="shared" si="74"/>
        <v>8.7610840694853422</v>
      </c>
      <c r="E226" s="385">
        <f t="shared" si="72"/>
        <v>9.0888243794271979</v>
      </c>
      <c r="F226" s="385">
        <f t="shared" si="75"/>
        <v>9.0888243794271979</v>
      </c>
      <c r="G226" s="110">
        <f t="shared" si="73"/>
        <v>0.22542548490062547</v>
      </c>
      <c r="H226" s="414" t="b">
        <f>Wh_hp&gt;='2020'!Maxi_hp</f>
        <v>0</v>
      </c>
      <c r="I226" s="380">
        <f>IF(H226,Wh_hp,'2020'!Maxi_hp)</f>
        <v>38.397697002447323</v>
      </c>
      <c r="J226" s="85">
        <f>IF(H226,An,'2020'!An_max)</f>
        <v>2019</v>
      </c>
      <c r="K226" s="197">
        <f t="shared" si="76"/>
        <v>44408</v>
      </c>
      <c r="L226" s="147">
        <f>IF(t&lt;Tvie,1-EXP((T0-t)*PertePVj)+'2020'!Pspv,1-EXP((T0-t)*PertePVj)+Pspv)</f>
        <v>2.5919631370308505E-2</v>
      </c>
      <c r="M226" s="850"/>
      <c r="N226" s="850"/>
      <c r="O226" s="48">
        <f>IF(t&lt;Tnet,'2020'!Resal+('2020'!Salim-'2020'!Resal)*(1-EXP(('2020'!Tnet-t)/('2020'!Tau_j))),Resal+(Salim-Resal)*(1-EXP((Tnet-t)/(Tau_j))))*Salcycl</f>
        <v>3.6059703242116214E-2</v>
      </c>
      <c r="P226" s="169">
        <f>(INDEX(Models!$BJ226:$BT226,,T226)*(1-R226)+INDEX(Models!$BJ226:$BT226,,T226+1)*R226-ERP_i)*Q226*Ramure*Pc/MaxiM</f>
        <v>0</v>
      </c>
      <c r="Q226" s="305">
        <f t="shared" si="77"/>
        <v>0.7</v>
      </c>
      <c r="R226" s="177">
        <f t="shared" si="78"/>
        <v>0.46719368308705378</v>
      </c>
      <c r="S226" s="817">
        <f t="shared" si="79"/>
        <v>-1</v>
      </c>
      <c r="T226" s="176">
        <f t="shared" si="80"/>
        <v>5</v>
      </c>
      <c r="U226" s="251">
        <f t="shared" si="81"/>
        <v>-0.53280631691294622</v>
      </c>
      <c r="V226" s="383">
        <f t="shared" si="82"/>
        <v>37.857299070520135</v>
      </c>
      <c r="W226" s="402"/>
      <c r="X226" s="157">
        <f t="shared" si="83"/>
        <v>44408</v>
      </c>
      <c r="Y226" s="385">
        <f t="shared" si="84"/>
        <v>7.7915592377351146</v>
      </c>
      <c r="Z226" s="385">
        <f t="shared" si="85"/>
        <v>7.9988874518599102</v>
      </c>
      <c r="AA226" s="386">
        <f t="shared" si="86"/>
        <v>9.0888243794271979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0.11992056200738009</v>
      </c>
      <c r="AD226" s="231">
        <f>(INDEX(Models!$BJ226:$BT226,,AH226)*(1-AF226)+INDEX(Models!$BJ226:$BT226,,AH226+1)*AF226-ERP_i)*AE226*Ramure*Pc/MaxiM</f>
        <v>0</v>
      </c>
      <c r="AE226" s="305">
        <f t="shared" si="88"/>
        <v>0.7</v>
      </c>
      <c r="AF226" s="177">
        <f t="shared" si="89"/>
        <v>0.46719368308705378</v>
      </c>
      <c r="AG226" s="817">
        <f t="shared" si="95"/>
        <v>-1</v>
      </c>
      <c r="AH226" s="176">
        <f t="shared" si="90"/>
        <v>5</v>
      </c>
      <c r="AI226" s="225">
        <f t="shared" si="91"/>
        <v>-0.53280631691294622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44409</v>
      </c>
      <c r="B227" s="617">
        <v>30.431000000000001</v>
      </c>
      <c r="C227" s="390"/>
      <c r="D227" s="393">
        <f t="shared" si="74"/>
        <v>31.241432957332112</v>
      </c>
      <c r="E227" s="385">
        <f t="shared" si="72"/>
        <v>32.415709372824722</v>
      </c>
      <c r="F227" s="385">
        <f t="shared" si="75"/>
        <v>32.415709372824722</v>
      </c>
      <c r="G227" s="110">
        <f t="shared" si="73"/>
        <v>0.8058072126161695</v>
      </c>
      <c r="H227" s="414" t="b">
        <f>Wh_hp&gt;='2020'!Maxi_hp</f>
        <v>0</v>
      </c>
      <c r="I227" s="380">
        <f>IF(H227,Wh_hp,'2020'!Maxi_hp)</f>
        <v>36.884938101012906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2.594096623029285E-2</v>
      </c>
      <c r="M227" s="850"/>
      <c r="N227" s="850"/>
      <c r="O227" s="48">
        <f>IF(t&lt;Tnet,'2020'!Resal+('2020'!Salim-'2020'!Resal)*(1-EXP(('2020'!Tnet-t)/('2020'!Tau_j))),Resal+(Salim-Resal)*(1-EXP((Tnet-t)/(Tau_j))))*Salcycl</f>
        <v>3.6225535032623622E-2</v>
      </c>
      <c r="P227" s="169">
        <f>(INDEX(Models!$BJ227:$BT227,,T227)*(1-R227)+INDEX(Models!$BJ227:$BT227,,T227+1)*R227-ERP_i)*Q227*Ramure*Pc/MaxiM</f>
        <v>0</v>
      </c>
      <c r="Q227" s="305">
        <f t="shared" si="77"/>
        <v>0.7</v>
      </c>
      <c r="R227" s="177">
        <f t="shared" si="78"/>
        <v>0.46837871616859306</v>
      </c>
      <c r="S227" s="817">
        <f t="shared" si="79"/>
        <v>-1</v>
      </c>
      <c r="T227" s="176">
        <f t="shared" si="80"/>
        <v>5</v>
      </c>
      <c r="U227" s="251">
        <f t="shared" si="81"/>
        <v>-0.53162128383140694</v>
      </c>
      <c r="V227" s="383">
        <f t="shared" si="82"/>
        <v>37.764616056489949</v>
      </c>
      <c r="W227" s="402"/>
      <c r="X227" s="157">
        <f t="shared" si="83"/>
        <v>44409</v>
      </c>
      <c r="Y227" s="385">
        <f t="shared" si="84"/>
        <v>27.786763190451385</v>
      </c>
      <c r="Z227" s="385">
        <f t="shared" si="85"/>
        <v>28.526775305305467</v>
      </c>
      <c r="AA227" s="386">
        <f t="shared" si="86"/>
        <v>32.415709372824722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0.11997066060752293</v>
      </c>
      <c r="AD227" s="231">
        <f>(INDEX(Models!$BJ227:$BT227,,AH227)*(1-AF227)+INDEX(Models!$BJ227:$BT227,,AH227+1)*AF227-ERP_i)*AE227*Ramure*Pc/MaxiM</f>
        <v>0</v>
      </c>
      <c r="AE227" s="305">
        <f t="shared" si="88"/>
        <v>0.7</v>
      </c>
      <c r="AF227" s="177">
        <f t="shared" si="89"/>
        <v>0.46837871616859306</v>
      </c>
      <c r="AG227" s="817">
        <f t="shared" si="95"/>
        <v>-1</v>
      </c>
      <c r="AH227" s="176">
        <f t="shared" si="90"/>
        <v>5</v>
      </c>
      <c r="AI227" s="225">
        <f t="shared" si="91"/>
        <v>-0.53162128383140694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44410</v>
      </c>
      <c r="B228" s="617">
        <v>35.11</v>
      </c>
      <c r="C228" s="390"/>
      <c r="D228" s="393">
        <f t="shared" si="74"/>
        <v>36.045832745956503</v>
      </c>
      <c r="E228" s="385">
        <f t="shared" si="72"/>
        <v>37.407116364661313</v>
      </c>
      <c r="F228" s="385">
        <f t="shared" si="75"/>
        <v>37.407116364661313</v>
      </c>
      <c r="G228" s="110">
        <f t="shared" si="73"/>
        <v>0.93202557716142409</v>
      </c>
      <c r="H228" s="414" t="b">
        <f>Wh_hp&gt;='2020'!Maxi_hp</f>
        <v>1</v>
      </c>
      <c r="I228" s="380">
        <f>IF(H228,Wh_hp,'2020'!Maxi_hp)</f>
        <v>37.407116364661313</v>
      </c>
      <c r="J228" s="85">
        <f>IF(H228,An,'2020'!An_max)</f>
        <v>2021</v>
      </c>
      <c r="K228" s="197">
        <f t="shared" si="76"/>
        <v>44410</v>
      </c>
      <c r="L228" s="147">
        <f>IF(t&lt;Tvie,1-EXP((T0-t)*PertePVj)+'2020'!Pspv,1-EXP((T0-t)*PertePVj)+Pspv)</f>
        <v>2.5962300622988987E-2</v>
      </c>
      <c r="M228" s="850"/>
      <c r="N228" s="850"/>
      <c r="O228" s="48">
        <f>IF(t&lt;Tnet,'2020'!Resal+('2020'!Salim-'2020'!Resal)*(1-EXP(('2020'!Tnet-t)/('2020'!Tau_j))),Resal+(Salim-Resal)*(1-EXP((Tnet-t)/(Tau_j))))*Salcycl</f>
        <v>3.6391033337999458E-2</v>
      </c>
      <c r="P228" s="169">
        <f>(INDEX(Models!$BJ228:$BT228,,T228)*(1-R228)+INDEX(Models!$BJ228:$BT228,,T228+1)*R228-ERP_i)*Q228*Ramure*Pc/MaxiM</f>
        <v>0</v>
      </c>
      <c r="Q228" s="305">
        <f t="shared" si="77"/>
        <v>0.7</v>
      </c>
      <c r="R228" s="177">
        <f t="shared" si="78"/>
        <v>0.46952594825591887</v>
      </c>
      <c r="S228" s="817">
        <f t="shared" si="79"/>
        <v>-1</v>
      </c>
      <c r="T228" s="176">
        <f t="shared" si="80"/>
        <v>5</v>
      </c>
      <c r="U228" s="251">
        <f t="shared" si="81"/>
        <v>-0.53047405174408113</v>
      </c>
      <c r="V228" s="383">
        <f t="shared" si="82"/>
        <v>37.670640012832017</v>
      </c>
      <c r="W228" s="402"/>
      <c r="X228" s="157">
        <f t="shared" si="83"/>
        <v>44410</v>
      </c>
      <c r="Y228" s="385">
        <f t="shared" si="84"/>
        <v>32.062887085875047</v>
      </c>
      <c r="Z228" s="385">
        <f t="shared" si="85"/>
        <v>32.917501146395345</v>
      </c>
      <c r="AA228" s="386">
        <f t="shared" si="86"/>
        <v>37.407116364661313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0.12002035052633264</v>
      </c>
      <c r="AD228" s="231">
        <f>(INDEX(Models!$BJ228:$BT228,,AH228)*(1-AF228)+INDEX(Models!$BJ228:$BT228,,AH228+1)*AF228-ERP_i)*AE228*Ramure*Pc/MaxiM</f>
        <v>0</v>
      </c>
      <c r="AE228" s="305">
        <f t="shared" si="88"/>
        <v>0.7</v>
      </c>
      <c r="AF228" s="177">
        <f t="shared" si="89"/>
        <v>0.46952594825591887</v>
      </c>
      <c r="AG228" s="817">
        <f t="shared" si="95"/>
        <v>-1</v>
      </c>
      <c r="AH228" s="176">
        <f t="shared" si="90"/>
        <v>5</v>
      </c>
      <c r="AI228" s="225">
        <f t="shared" si="91"/>
        <v>-0.53047405174408113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44411</v>
      </c>
      <c r="B229" s="617">
        <v>24.561</v>
      </c>
      <c r="C229" s="390"/>
      <c r="D229" s="393">
        <f t="shared" si="74"/>
        <v>25.216208752932548</v>
      </c>
      <c r="E229" s="385">
        <f t="shared" si="72"/>
        <v>26.172994017637279</v>
      </c>
      <c r="F229" s="385">
        <f t="shared" si="75"/>
        <v>26.172994017637279</v>
      </c>
      <c r="G229" s="110">
        <f t="shared" si="73"/>
        <v>0.65364972722834924</v>
      </c>
      <c r="H229" s="414" t="b">
        <f>Wh_hp&gt;='2020'!Maxi_hp</f>
        <v>0</v>
      </c>
      <c r="I229" s="380">
        <f>IF(H229,Wh_hp,'2020'!Maxi_hp)</f>
        <v>38.935712166326411</v>
      </c>
      <c r="J229" s="85">
        <f>IF(H229,An,'2020'!An_max)</f>
        <v>2019</v>
      </c>
      <c r="K229" s="197">
        <f t="shared" si="76"/>
        <v>44411</v>
      </c>
      <c r="L229" s="147">
        <f>IF(t&lt;Tvie,1-EXP((T0-t)*PertePVj)+'2020'!Pspv,1-EXP((T0-t)*PertePVj)+Pspv)</f>
        <v>2.5983634548407242E-2</v>
      </c>
      <c r="M229" s="850"/>
      <c r="N229" s="850"/>
      <c r="O229" s="48">
        <f>IF(t&lt;Tnet,'2020'!Resal+('2020'!Salim-'2020'!Resal)*(1-EXP(('2020'!Tnet-t)/('2020'!Tau_j))),Resal+(Salim-Resal)*(1-EXP((Tnet-t)/(Tau_j))))*Salcycl</f>
        <v>3.6556202322897302E-2</v>
      </c>
      <c r="P229" s="169">
        <f>(INDEX(Models!$BJ229:$BT229,,T229)*(1-R229)+INDEX(Models!$BJ229:$BT229,,T229+1)*R229-ERP_i)*Q229*Ramure*Pc/MaxiM</f>
        <v>0</v>
      </c>
      <c r="Q229" s="305">
        <f t="shared" si="77"/>
        <v>0.7</v>
      </c>
      <c r="R229" s="177">
        <f t="shared" si="78"/>
        <v>0.4706362366784792</v>
      </c>
      <c r="S229" s="817">
        <f t="shared" si="79"/>
        <v>-1</v>
      </c>
      <c r="T229" s="176">
        <f t="shared" si="80"/>
        <v>5</v>
      </c>
      <c r="U229" s="251">
        <f t="shared" si="81"/>
        <v>-0.5293637633215208</v>
      </c>
      <c r="V229" s="383">
        <f t="shared" si="82"/>
        <v>37.575170579731214</v>
      </c>
      <c r="W229" s="402"/>
      <c r="X229" s="157">
        <f t="shared" si="83"/>
        <v>44411</v>
      </c>
      <c r="Y229" s="385">
        <f t="shared" si="84"/>
        <v>22.431998017560552</v>
      </c>
      <c r="Z229" s="385">
        <f t="shared" si="85"/>
        <v>23.030411821838523</v>
      </c>
      <c r="AA229" s="386">
        <f t="shared" si="86"/>
        <v>26.172994017637279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0.12006964864933127</v>
      </c>
      <c r="AD229" s="231">
        <f>(INDEX(Models!$BJ229:$BT229,,AH229)*(1-AF229)+INDEX(Models!$BJ229:$BT229,,AH229+1)*AF229-ERP_i)*AE229*Ramure*Pc/MaxiM</f>
        <v>0</v>
      </c>
      <c r="AE229" s="305">
        <f t="shared" si="88"/>
        <v>0.7</v>
      </c>
      <c r="AF229" s="177">
        <f t="shared" si="89"/>
        <v>0.4706362366784792</v>
      </c>
      <c r="AG229" s="817">
        <f t="shared" si="95"/>
        <v>-1</v>
      </c>
      <c r="AH229" s="176">
        <f t="shared" si="90"/>
        <v>5</v>
      </c>
      <c r="AI229" s="225">
        <f t="shared" si="91"/>
        <v>-0.5293637633215208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44412</v>
      </c>
      <c r="B230" s="617">
        <v>23.867000000000001</v>
      </c>
      <c r="C230" s="390"/>
      <c r="D230" s="393">
        <f t="shared" si="74"/>
        <v>24.50423176302268</v>
      </c>
      <c r="E230" s="385">
        <f t="shared" si="72"/>
        <v>25.438354742511056</v>
      </c>
      <c r="F230" s="385">
        <f t="shared" si="75"/>
        <v>25.438354742511056</v>
      </c>
      <c r="G230" s="110">
        <f t="shared" si="73"/>
        <v>0.63682680966265748</v>
      </c>
      <c r="H230" s="414" t="b">
        <f>Wh_hp&gt;='2020'!Maxi_hp</f>
        <v>0</v>
      </c>
      <c r="I230" s="380">
        <f>IF(H230,Wh_hp,'2020'!Maxi_hp)</f>
        <v>36.542089306289583</v>
      </c>
      <c r="J230" s="85">
        <f>IF(H230,An,'2020'!An_max)</f>
        <v>2019</v>
      </c>
      <c r="K230" s="197">
        <f t="shared" si="76"/>
        <v>44412</v>
      </c>
      <c r="L230" s="147">
        <f>IF(t&lt;Tvie,1-EXP((T0-t)*PertePVj)+'2020'!Pspv,1-EXP((T0-t)*PertePVj)+Pspv)</f>
        <v>2.6004968006557716E-2</v>
      </c>
      <c r="M230" s="850"/>
      <c r="N230" s="850"/>
      <c r="O230" s="48">
        <f>IF(t&lt;Tnet,'2020'!Resal+('2020'!Salim-'2020'!Resal)*(1-EXP(('2020'!Tnet-t)/('2020'!Tau_j))),Resal+(Salim-Resal)*(1-EXP((Tnet-t)/(Tau_j))))*Salcycl</f>
        <v>3.6721045403432719E-2</v>
      </c>
      <c r="P230" s="169">
        <f>(INDEX(Models!$BJ230:$BT230,,T230)*(1-R230)+INDEX(Models!$BJ230:$BT230,,T230+1)*R230-ERP_i)*Q230*Ramure*Pc/MaxiM</f>
        <v>0</v>
      </c>
      <c r="Q230" s="305">
        <f t="shared" si="77"/>
        <v>0.7</v>
      </c>
      <c r="R230" s="177">
        <f t="shared" si="78"/>
        <v>0.47171044482077251</v>
      </c>
      <c r="S230" s="817">
        <f t="shared" si="79"/>
        <v>-1</v>
      </c>
      <c r="T230" s="176">
        <f t="shared" si="80"/>
        <v>5</v>
      </c>
      <c r="U230" s="251">
        <f t="shared" si="81"/>
        <v>-0.52828955517922749</v>
      </c>
      <c r="V230" s="383">
        <f t="shared" si="82"/>
        <v>37.478007580495742</v>
      </c>
      <c r="W230" s="402"/>
      <c r="X230" s="157">
        <f t="shared" si="83"/>
        <v>44412</v>
      </c>
      <c r="Y230" s="385">
        <f t="shared" si="84"/>
        <v>21.800673637217788</v>
      </c>
      <c r="Z230" s="385">
        <f t="shared" si="85"/>
        <v>22.382735970017315</v>
      </c>
      <c r="AA230" s="386">
        <f t="shared" si="86"/>
        <v>25.438354742511056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0.12011856912221502</v>
      </c>
      <c r="AD230" s="231">
        <f>(INDEX(Models!$BJ230:$BT230,,AH230)*(1-AF230)+INDEX(Models!$BJ230:$BT230,,AH230+1)*AF230-ERP_i)*AE230*Ramure*Pc/MaxiM</f>
        <v>0</v>
      </c>
      <c r="AE230" s="305">
        <f t="shared" si="88"/>
        <v>0.7</v>
      </c>
      <c r="AF230" s="177">
        <f t="shared" si="89"/>
        <v>0.47171044482077251</v>
      </c>
      <c r="AG230" s="817">
        <f t="shared" si="95"/>
        <v>-1</v>
      </c>
      <c r="AH230" s="176">
        <f t="shared" si="90"/>
        <v>5</v>
      </c>
      <c r="AI230" s="225">
        <f t="shared" si="91"/>
        <v>-0.52828955517922749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44413</v>
      </c>
      <c r="B231" s="617">
        <v>32.834000000000003</v>
      </c>
      <c r="C231" s="390"/>
      <c r="D231" s="393">
        <f t="shared" si="74"/>
        <v>33.711382590336314</v>
      </c>
      <c r="E231" s="385">
        <f t="shared" si="72"/>
        <v>35.002468423522508</v>
      </c>
      <c r="F231" s="385">
        <f t="shared" si="75"/>
        <v>35.002468423522508</v>
      </c>
      <c r="G231" s="110">
        <f t="shared" si="73"/>
        <v>0.87840881310257679</v>
      </c>
      <c r="H231" s="414" t="b">
        <f>Wh_hp&gt;='2020'!Maxi_hp</f>
        <v>0</v>
      </c>
      <c r="I231" s="380">
        <f>IF(H231,Wh_hp,'2020'!Maxi_hp)</f>
        <v>40.51327472097406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2.6026300997450735E-2</v>
      </c>
      <c r="M231" s="850"/>
      <c r="N231" s="850"/>
      <c r="O231" s="48">
        <f>IF(t&lt;Tnet,'2020'!Resal+('2020'!Salim-'2020'!Resal)*(1-EXP(('2020'!Tnet-t)/('2020'!Tau_j))),Resal+(Salim-Resal)*(1-EXP((Tnet-t)/(Tau_j))))*Salcycl</f>
        <v>3.6885565256836381E-2</v>
      </c>
      <c r="P231" s="169">
        <f>(INDEX(Models!$BJ231:$BT231,,T231)*(1-R231)+INDEX(Models!$BJ231:$BT231,,T231+1)*R231-ERP_i)*Q231*Ramure*Pc/MaxiM</f>
        <v>0</v>
      </c>
      <c r="Q231" s="305">
        <f t="shared" si="77"/>
        <v>0.7</v>
      </c>
      <c r="R231" s="177">
        <f t="shared" si="78"/>
        <v>0.4727494398191846</v>
      </c>
      <c r="S231" s="817">
        <f t="shared" si="79"/>
        <v>-1</v>
      </c>
      <c r="T231" s="176">
        <f t="shared" si="80"/>
        <v>5</v>
      </c>
      <c r="U231" s="251">
        <f t="shared" si="81"/>
        <v>-0.5272505601808154</v>
      </c>
      <c r="V231" s="383">
        <f t="shared" si="82"/>
        <v>37.378951019433572</v>
      </c>
      <c r="W231" s="402"/>
      <c r="X231" s="157">
        <f t="shared" si="83"/>
        <v>44413</v>
      </c>
      <c r="Y231" s="385">
        <f t="shared" si="84"/>
        <v>29.994808121312712</v>
      </c>
      <c r="Z231" s="385">
        <f t="shared" si="85"/>
        <v>30.796322479786184</v>
      </c>
      <c r="AA231" s="386">
        <f t="shared" si="86"/>
        <v>35.002468423522508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0.12016712343949126</v>
      </c>
      <c r="AD231" s="231">
        <f>(INDEX(Models!$BJ231:$BT231,,AH231)*(1-AF231)+INDEX(Models!$BJ231:$BT231,,AH231+1)*AF231-ERP_i)*AE231*Ramure*Pc/MaxiM</f>
        <v>0</v>
      </c>
      <c r="AE231" s="305">
        <f t="shared" si="88"/>
        <v>0.7</v>
      </c>
      <c r="AF231" s="177">
        <f t="shared" si="89"/>
        <v>0.4727494398191846</v>
      </c>
      <c r="AG231" s="817">
        <f t="shared" si="95"/>
        <v>-1</v>
      </c>
      <c r="AH231" s="176">
        <f t="shared" si="90"/>
        <v>5</v>
      </c>
      <c r="AI231" s="225">
        <f t="shared" si="91"/>
        <v>-0.5272505601808154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44414</v>
      </c>
      <c r="B232" s="617">
        <v>13.4</v>
      </c>
      <c r="C232" s="390"/>
      <c r="D232" s="393">
        <f t="shared" si="74"/>
        <v>13.758373059295046</v>
      </c>
      <c r="E232" s="385">
        <f t="shared" si="72"/>
        <v>14.287730084683034</v>
      </c>
      <c r="F232" s="385">
        <f t="shared" si="75"/>
        <v>14.287730084683034</v>
      </c>
      <c r="G232" s="110">
        <f t="shared" si="73"/>
        <v>0.35946326262100964</v>
      </c>
      <c r="H232" s="414" t="b">
        <f>Wh_hp&gt;='2020'!Maxi_hp</f>
        <v>0</v>
      </c>
      <c r="I232" s="380">
        <f>IF(H232,Wh_hp,'2020'!Maxi_hp)</f>
        <v>40.005159812023336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2.6047633521096514E-2</v>
      </c>
      <c r="M232" s="850"/>
      <c r="N232" s="850"/>
      <c r="O232" s="48">
        <f>IF(t&lt;Tnet,'2020'!Resal+('2020'!Salim-'2020'!Resal)*(1-EXP(('2020'!Tnet-t)/('2020'!Tau_j))),Resal+(Salim-Resal)*(1-EXP((Tnet-t)/(Tau_j))))*Salcycl</f>
        <v>3.7049763835857889E-2</v>
      </c>
      <c r="P232" s="169">
        <f>(INDEX(Models!$BJ232:$BT232,,T232)*(1-R232)+INDEX(Models!$BJ232:$BT232,,T232+1)*R232-ERP_i)*Q232*Ramure*Pc/MaxiM</f>
        <v>0</v>
      </c>
      <c r="Q232" s="305">
        <f t="shared" si="77"/>
        <v>0.7</v>
      </c>
      <c r="R232" s="177">
        <f t="shared" si="78"/>
        <v>0.47375409041204897</v>
      </c>
      <c r="S232" s="817">
        <f t="shared" si="79"/>
        <v>-1</v>
      </c>
      <c r="T232" s="176">
        <f t="shared" si="80"/>
        <v>5</v>
      </c>
      <c r="U232" s="251">
        <f t="shared" si="81"/>
        <v>-0.52624590958795103</v>
      </c>
      <c r="V232" s="383">
        <f t="shared" si="82"/>
        <v>37.277801081241307</v>
      </c>
      <c r="W232" s="402"/>
      <c r="X232" s="157">
        <f t="shared" si="83"/>
        <v>44414</v>
      </c>
      <c r="Y232" s="385">
        <f t="shared" si="84"/>
        <v>12.242703996464826</v>
      </c>
      <c r="Z232" s="385">
        <f t="shared" si="85"/>
        <v>12.570126032678019</v>
      </c>
      <c r="AA232" s="386">
        <f t="shared" si="86"/>
        <v>14.287730084683034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0.12021532054600818</v>
      </c>
      <c r="AD232" s="231">
        <f>(INDEX(Models!$BJ232:$BT232,,AH232)*(1-AF232)+INDEX(Models!$BJ232:$BT232,,AH232+1)*AF232-ERP_i)*AE232*Ramure*Pc/MaxiM</f>
        <v>0</v>
      </c>
      <c r="AE232" s="305">
        <f t="shared" si="88"/>
        <v>0.7</v>
      </c>
      <c r="AF232" s="177">
        <f t="shared" si="89"/>
        <v>0.47375409041204897</v>
      </c>
      <c r="AG232" s="817">
        <f t="shared" si="95"/>
        <v>-1</v>
      </c>
      <c r="AH232" s="176">
        <f t="shared" si="90"/>
        <v>5</v>
      </c>
      <c r="AI232" s="225">
        <f t="shared" si="91"/>
        <v>-0.52624590958795103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44415</v>
      </c>
      <c r="B233" s="617">
        <v>16.260999999999999</v>
      </c>
      <c r="C233" s="390"/>
      <c r="D233" s="393">
        <f t="shared" si="74"/>
        <v>16.696254072694352</v>
      </c>
      <c r="E233" s="385">
        <f t="shared" ref="E233:E296" si="96">Wh_pvt/(1-Psa)</f>
        <v>17.341598102923125</v>
      </c>
      <c r="F233" s="385">
        <f t="shared" si="75"/>
        <v>17.341598102923125</v>
      </c>
      <c r="G233" s="110">
        <f t="shared" ref="G233:G296" si="97">+Wh_hp/MaxiM</f>
        <v>0.43741926727997443</v>
      </c>
      <c r="H233" s="414" t="b">
        <f>Wh_hp&gt;='2020'!Maxi_hp</f>
        <v>0</v>
      </c>
      <c r="I233" s="380">
        <f>IF(H233,Wh_hp,'2020'!Maxi_hp)</f>
        <v>38.644291488995613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2.6068965577505265E-2</v>
      </c>
      <c r="M233" s="850"/>
      <c r="N233" s="850"/>
      <c r="O233" s="48">
        <f>IF(t&lt;Tnet,'2020'!Resal+('2020'!Salim-'2020'!Resal)*(1-EXP(('2020'!Tnet-t)/('2020'!Tau_j))),Resal+(Salim-Resal)*(1-EXP((Tnet-t)/(Tau_j))))*Salcycl</f>
        <v>3.7213642387433361E-2</v>
      </c>
      <c r="P233" s="169">
        <f>(INDEX(Models!$BJ233:$BT233,,T233)*(1-R233)+INDEX(Models!$BJ233:$BT233,,T233+1)*R233-ERP_i)*Q233*Ramure*Pc/MaxiM</f>
        <v>0</v>
      </c>
      <c r="Q233" s="305">
        <f t="shared" si="77"/>
        <v>0.7</v>
      </c>
      <c r="R233" s="177">
        <f t="shared" si="78"/>
        <v>0.47472526494003009</v>
      </c>
      <c r="S233" s="817">
        <f t="shared" si="79"/>
        <v>-1</v>
      </c>
      <c r="T233" s="176">
        <f t="shared" si="80"/>
        <v>5</v>
      </c>
      <c r="U233" s="251">
        <f t="shared" si="81"/>
        <v>-0.52527473505996991</v>
      </c>
      <c r="V233" s="383">
        <f t="shared" si="82"/>
        <v>37.174859948709091</v>
      </c>
      <c r="W233" s="402"/>
      <c r="X233" s="157">
        <f t="shared" si="83"/>
        <v>44415</v>
      </c>
      <c r="Y233" s="385">
        <f t="shared" si="84"/>
        <v>14.858333345840212</v>
      </c>
      <c r="Z233" s="385">
        <f t="shared" si="85"/>
        <v>15.256042595100849</v>
      </c>
      <c r="AA233" s="386">
        <f t="shared" si="86"/>
        <v>17.341598102923125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0.12026316694945965</v>
      </c>
      <c r="AD233" s="231">
        <f>(INDEX(Models!$BJ233:$BT233,,AH233)*(1-AF233)+INDEX(Models!$BJ233:$BT233,,AH233+1)*AF233-ERP_i)*AE233*Ramure*Pc/MaxiM</f>
        <v>0</v>
      </c>
      <c r="AE233" s="305">
        <f t="shared" si="88"/>
        <v>0.7</v>
      </c>
      <c r="AF233" s="177">
        <f t="shared" si="89"/>
        <v>0.47472526494003009</v>
      </c>
      <c r="AG233" s="817">
        <f t="shared" si="95"/>
        <v>-1</v>
      </c>
      <c r="AH233" s="176">
        <f t="shared" si="90"/>
        <v>5</v>
      </c>
      <c r="AI233" s="225">
        <f t="shared" si="91"/>
        <v>-0.52527473505996991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44416</v>
      </c>
      <c r="B234" s="617">
        <v>22.78</v>
      </c>
      <c r="C234" s="390"/>
      <c r="D234" s="393">
        <f t="shared" si="74"/>
        <v>23.39025880297535</v>
      </c>
      <c r="E234" s="385">
        <f t="shared" si="96"/>
        <v>24.29846751896774</v>
      </c>
      <c r="F234" s="385">
        <f t="shared" si="75"/>
        <v>24.29846751896774</v>
      </c>
      <c r="G234" s="110">
        <f t="shared" si="97"/>
        <v>0.6145037441256056</v>
      </c>
      <c r="H234" s="414" t="b">
        <f>Wh_hp&gt;='2020'!Maxi_hp</f>
        <v>0</v>
      </c>
      <c r="I234" s="380">
        <f>IF(H234,Wh_hp,'2020'!Maxi_hp)</f>
        <v>37.709435293865099</v>
      </c>
      <c r="J234" s="85">
        <f>IF(H234,An,'2020'!An_max)</f>
        <v>2019</v>
      </c>
      <c r="K234" s="197">
        <f t="shared" si="76"/>
        <v>44416</v>
      </c>
      <c r="L234" s="147">
        <f>IF(t&lt;Tvie,1-EXP((T0-t)*PertePVj)+'2020'!Pspv,1-EXP((T0-t)*PertePVj)+Pspv)</f>
        <v>2.6090297166687204E-2</v>
      </c>
      <c r="M234" s="850"/>
      <c r="N234" s="850"/>
      <c r="O234" s="48">
        <f>IF(t&lt;Tnet,'2020'!Resal+('2020'!Salim-'2020'!Resal)*(1-EXP(('2020'!Tnet-t)/('2020'!Tau_j))),Resal+(Salim-Resal)*(1-EXP((Tnet-t)/(Tau_j))))*Salcycl</f>
        <v>3.7377201475090105E-2</v>
      </c>
      <c r="P234" s="169">
        <f>(INDEX(Models!$BJ234:$BT234,,T234)*(1-R234)+INDEX(Models!$BJ234:$BT234,,T234+1)*R234-ERP_i)*Q234*Ramure*Pc/MaxiM</f>
        <v>0</v>
      </c>
      <c r="Q234" s="305">
        <f t="shared" si="77"/>
        <v>0.7</v>
      </c>
      <c r="R234" s="177">
        <f t="shared" si="78"/>
        <v>0.47566382949330233</v>
      </c>
      <c r="S234" s="817">
        <f t="shared" si="79"/>
        <v>-1</v>
      </c>
      <c r="T234" s="176">
        <f t="shared" si="80"/>
        <v>5</v>
      </c>
      <c r="U234" s="251">
        <f t="shared" si="81"/>
        <v>-0.52433617050669767</v>
      </c>
      <c r="V234" s="383">
        <f t="shared" si="82"/>
        <v>37.070563389999023</v>
      </c>
      <c r="W234" s="402"/>
      <c r="X234" s="157">
        <f t="shared" si="83"/>
        <v>44416</v>
      </c>
      <c r="Y234" s="385">
        <f t="shared" si="84"/>
        <v>20.817419907412713</v>
      </c>
      <c r="Z234" s="385">
        <f t="shared" si="85"/>
        <v>21.37510268852478</v>
      </c>
      <c r="AA234" s="386">
        <f t="shared" si="86"/>
        <v>24.29846751896774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0.12031066684188772</v>
      </c>
      <c r="AD234" s="231">
        <f>(INDEX(Models!$BJ234:$BT234,,AH234)*(1-AF234)+INDEX(Models!$BJ234:$BT234,,AH234+1)*AF234-ERP_i)*AE234*Ramure*Pc/MaxiM</f>
        <v>0</v>
      </c>
      <c r="AE234" s="305">
        <f t="shared" si="88"/>
        <v>0.7</v>
      </c>
      <c r="AF234" s="177">
        <f t="shared" si="89"/>
        <v>0.47566382949330233</v>
      </c>
      <c r="AG234" s="817">
        <f t="shared" si="95"/>
        <v>-1</v>
      </c>
      <c r="AH234" s="176">
        <f t="shared" si="90"/>
        <v>5</v>
      </c>
      <c r="AI234" s="225">
        <f t="shared" si="91"/>
        <v>-0.52433617050669767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44417</v>
      </c>
      <c r="B235" s="617">
        <v>35.977000000000004</v>
      </c>
      <c r="C235" s="390"/>
      <c r="D235" s="393">
        <f t="shared" si="74"/>
        <v>36.94160547042992</v>
      </c>
      <c r="E235" s="385">
        <f t="shared" si="96"/>
        <v>38.382501503737309</v>
      </c>
      <c r="F235" s="385">
        <f t="shared" si="75"/>
        <v>38.382501503737309</v>
      </c>
      <c r="G235" s="110">
        <f t="shared" si="97"/>
        <v>0.97327432799722846</v>
      </c>
      <c r="H235" s="414" t="b">
        <f>Wh_hp&gt;='2020'!Maxi_hp</f>
        <v>1</v>
      </c>
      <c r="I235" s="380">
        <f>IF(H235,Wh_hp,'2020'!Maxi_hp)</f>
        <v>38.382501503737309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2.6111628288652544E-2</v>
      </c>
      <c r="M235" s="850"/>
      <c r="N235" s="850"/>
      <c r="O235" s="48">
        <f>IF(t&lt;Tnet,'2020'!Resal+('2020'!Salim-'2020'!Resal)*(1-EXP(('2020'!Tnet-t)/('2020'!Tau_j))),Resal+(Salim-Resal)*(1-EXP((Tnet-t)/(Tau_j))))*Salcycl</f>
        <v>3.7540441004531411E-2</v>
      </c>
      <c r="P235" s="169">
        <f>(INDEX(Models!$BJ235:$BT235,,T235)*(1-R235)+INDEX(Models!$BJ235:$BT235,,T235+1)*R235-ERP_i)*Q235*Ramure*Pc/MaxiM</f>
        <v>0</v>
      </c>
      <c r="Q235" s="305">
        <f t="shared" si="77"/>
        <v>0.7</v>
      </c>
      <c r="R235" s="177">
        <f t="shared" si="78"/>
        <v>0.47657064620145273</v>
      </c>
      <c r="S235" s="817">
        <f t="shared" si="79"/>
        <v>-1</v>
      </c>
      <c r="T235" s="176">
        <f t="shared" si="80"/>
        <v>5</v>
      </c>
      <c r="U235" s="251">
        <f t="shared" si="81"/>
        <v>-0.52342935379854727</v>
      </c>
      <c r="V235" s="383">
        <f t="shared" si="82"/>
        <v>36.964912116846108</v>
      </c>
      <c r="W235" s="402"/>
      <c r="X235" s="157">
        <f t="shared" si="83"/>
        <v>44417</v>
      </c>
      <c r="Y235" s="385">
        <f t="shared" si="84"/>
        <v>32.881263772503303</v>
      </c>
      <c r="Z235" s="385">
        <f t="shared" si="85"/>
        <v>33.76286721107811</v>
      </c>
      <c r="AA235" s="386">
        <f t="shared" si="86"/>
        <v>38.382501503737309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0.12035782222816781</v>
      </c>
      <c r="AD235" s="231">
        <f>(INDEX(Models!$BJ235:$BT235,,AH235)*(1-AF235)+INDEX(Models!$BJ235:$BT235,,AH235+1)*AF235-ERP_i)*AE235*Ramure*Pc/MaxiM</f>
        <v>0</v>
      </c>
      <c r="AE235" s="305">
        <f t="shared" si="88"/>
        <v>0.7</v>
      </c>
      <c r="AF235" s="177">
        <f t="shared" si="89"/>
        <v>0.47657064620145273</v>
      </c>
      <c r="AG235" s="817">
        <f t="shared" si="95"/>
        <v>-1</v>
      </c>
      <c r="AH235" s="176">
        <f t="shared" si="90"/>
        <v>5</v>
      </c>
      <c r="AI235" s="225">
        <f t="shared" si="91"/>
        <v>-0.52342935379854727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44418</v>
      </c>
      <c r="B236" s="617">
        <v>33.67</v>
      </c>
      <c r="C236" s="390"/>
      <c r="D236" s="393">
        <f t="shared" si="74"/>
        <v>34.573508066840461</v>
      </c>
      <c r="E236" s="385">
        <f t="shared" si="96"/>
        <v>35.928118875992141</v>
      </c>
      <c r="F236" s="385">
        <f t="shared" si="75"/>
        <v>35.928118875992141</v>
      </c>
      <c r="G236" s="110">
        <f t="shared" si="97"/>
        <v>0.91350819582833331</v>
      </c>
      <c r="H236" s="414" t="b">
        <f>Wh_hp&gt;='2020'!Maxi_hp</f>
        <v>0</v>
      </c>
      <c r="I236" s="380">
        <f>IF(H236,Wh_hp,'2020'!Maxi_hp)</f>
        <v>35.976281897663725</v>
      </c>
      <c r="J236" s="85">
        <f>IF(H236,An,'2020'!An_max)</f>
        <v>2018</v>
      </c>
      <c r="K236" s="197">
        <f t="shared" si="76"/>
        <v>44418</v>
      </c>
      <c r="L236" s="147">
        <f>IF(t&lt;Tvie,1-EXP((T0-t)*PertePVj)+'2020'!Pspv,1-EXP((T0-t)*PertePVj)+Pspv)</f>
        <v>2.6132958943411722E-2</v>
      </c>
      <c r="M236" s="850"/>
      <c r="N236" s="850"/>
      <c r="O236" s="48">
        <f>IF(t&lt;Tnet,'2020'!Resal+('2020'!Salim-'2020'!Resal)*(1-EXP(('2020'!Tnet-t)/('2020'!Tau_j))),Resal+(Salim-Resal)*(1-EXP((Tnet-t)/(Tau_j))))*Salcycl</f>
        <v>3.7703360251818203E-2</v>
      </c>
      <c r="P236" s="169">
        <f>(INDEX(Models!$BJ236:$BT236,,T236)*(1-R236)+INDEX(Models!$BJ236:$BT236,,T236+1)*R236-ERP_i)*Q236*Ramure*Pc/MaxiM</f>
        <v>0</v>
      </c>
      <c r="Q236" s="305">
        <f t="shared" si="77"/>
        <v>0.7</v>
      </c>
      <c r="R236" s="177">
        <f t="shared" si="78"/>
        <v>0.47744657166159499</v>
      </c>
      <c r="S236" s="817">
        <f t="shared" si="79"/>
        <v>-1</v>
      </c>
      <c r="T236" s="176">
        <f t="shared" si="80"/>
        <v>5</v>
      </c>
      <c r="U236" s="251">
        <f t="shared" si="81"/>
        <v>-0.52255342833840501</v>
      </c>
      <c r="V236" s="383">
        <f t="shared" si="82"/>
        <v>36.857906862531621</v>
      </c>
      <c r="W236" s="402"/>
      <c r="X236" s="157">
        <f t="shared" si="83"/>
        <v>44418</v>
      </c>
      <c r="Y236" s="385">
        <f t="shared" si="84"/>
        <v>30.776347730610802</v>
      </c>
      <c r="Z236" s="385">
        <f t="shared" si="85"/>
        <v>31.602206906212043</v>
      </c>
      <c r="AA236" s="386">
        <f t="shared" si="86"/>
        <v>35.928118875992141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0.1204046330594491</v>
      </c>
      <c r="AD236" s="231">
        <f>(INDEX(Models!$BJ236:$BT236,,AH236)*(1-AF236)+INDEX(Models!$BJ236:$BT236,,AH236+1)*AF236-ERP_i)*AE236*Ramure*Pc/MaxiM</f>
        <v>0</v>
      </c>
      <c r="AE236" s="305">
        <f t="shared" si="88"/>
        <v>0.7</v>
      </c>
      <c r="AF236" s="177">
        <f t="shared" si="89"/>
        <v>0.47744657166159499</v>
      </c>
      <c r="AG236" s="817">
        <f t="shared" si="95"/>
        <v>-1</v>
      </c>
      <c r="AH236" s="176">
        <f t="shared" si="90"/>
        <v>5</v>
      </c>
      <c r="AI236" s="225">
        <f t="shared" si="91"/>
        <v>-0.52255342833840501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44419</v>
      </c>
      <c r="B237" s="617">
        <v>33.052999999999997</v>
      </c>
      <c r="C237" s="390"/>
      <c r="D237" s="393">
        <f t="shared" si="74"/>
        <v>33.940694743631077</v>
      </c>
      <c r="E237" s="385">
        <f t="shared" si="96"/>
        <v>35.276472152802029</v>
      </c>
      <c r="F237" s="385">
        <f t="shared" si="75"/>
        <v>35.276472152802029</v>
      </c>
      <c r="G237" s="110">
        <f t="shared" si="97"/>
        <v>0.89941241339717981</v>
      </c>
      <c r="H237" s="414" t="b">
        <f>Wh_hp&gt;='2020'!Maxi_hp</f>
        <v>0</v>
      </c>
      <c r="I237" s="380">
        <f>IF(H237,Wh_hp,'2020'!Maxi_hp)</f>
        <v>36.771034850041509</v>
      </c>
      <c r="J237" s="85">
        <f>IF(H237,An,'2020'!An_max)</f>
        <v>2018</v>
      </c>
      <c r="K237" s="197">
        <f t="shared" si="76"/>
        <v>44419</v>
      </c>
      <c r="L237" s="147">
        <f>IF(t&lt;Tvie,1-EXP((T0-t)*PertePVj)+'2020'!Pspv,1-EXP((T0-t)*PertePVj)+Pspv)</f>
        <v>2.6154289130974728E-2</v>
      </c>
      <c r="M237" s="850"/>
      <c r="N237" s="850"/>
      <c r="O237" s="48">
        <f>IF(t&lt;Tnet,'2020'!Resal+('2020'!Salim-'2020'!Resal)*(1-EXP(('2020'!Tnet-t)/('2020'!Tau_j))),Resal+(Salim-Resal)*(1-EXP((Tnet-t)/(Tau_j))))*Salcycl</f>
        <v>3.7865957893548803E-2</v>
      </c>
      <c r="P237" s="169">
        <f>(INDEX(Models!$BJ237:$BT237,,T237)*(1-R237)+INDEX(Models!$BJ237:$BT237,,T237+1)*R237-ERP_i)*Q237*Ramure*Pc/MaxiM</f>
        <v>0</v>
      </c>
      <c r="Q237" s="305">
        <f t="shared" si="77"/>
        <v>0.7</v>
      </c>
      <c r="R237" s="177">
        <f t="shared" si="78"/>
        <v>0.47829245549981025</v>
      </c>
      <c r="S237" s="817">
        <f t="shared" si="79"/>
        <v>-1</v>
      </c>
      <c r="T237" s="176">
        <f t="shared" si="80"/>
        <v>5</v>
      </c>
      <c r="U237" s="251">
        <f t="shared" si="81"/>
        <v>-0.52170754450018975</v>
      </c>
      <c r="V237" s="383">
        <f t="shared" si="82"/>
        <v>36.749548380319958</v>
      </c>
      <c r="W237" s="402"/>
      <c r="X237" s="157">
        <f t="shared" si="83"/>
        <v>44419</v>
      </c>
      <c r="Y237" s="385">
        <f t="shared" si="84"/>
        <v>30.215883241171419</v>
      </c>
      <c r="Z237" s="385">
        <f t="shared" si="85"/>
        <v>31.027382370671262</v>
      </c>
      <c r="AA237" s="386">
        <f t="shared" si="86"/>
        <v>35.276472152802029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0.12045109736953269</v>
      </c>
      <c r="AD237" s="231">
        <f>(INDEX(Models!$BJ237:$BT237,,AH237)*(1-AF237)+INDEX(Models!$BJ237:$BT237,,AH237+1)*AF237-ERP_i)*AE237*Ramure*Pc/MaxiM</f>
        <v>0</v>
      </c>
      <c r="AE237" s="305">
        <f t="shared" si="88"/>
        <v>0.7</v>
      </c>
      <c r="AF237" s="177">
        <f t="shared" si="89"/>
        <v>0.47829245549981025</v>
      </c>
      <c r="AG237" s="817">
        <f t="shared" si="95"/>
        <v>-1</v>
      </c>
      <c r="AH237" s="176">
        <f t="shared" si="90"/>
        <v>5</v>
      </c>
      <c r="AI237" s="225">
        <f t="shared" si="91"/>
        <v>-0.52170754450018975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44420</v>
      </c>
      <c r="B238" s="617">
        <v>31.891000000000002</v>
      </c>
      <c r="C238" s="390"/>
      <c r="D238" s="393">
        <f t="shared" si="74"/>
        <v>32.748204519570393</v>
      </c>
      <c r="E238" s="385">
        <f t="shared" si="96"/>
        <v>34.042791701636055</v>
      </c>
      <c r="F238" s="385">
        <f t="shared" si="75"/>
        <v>34.042791701636055</v>
      </c>
      <c r="G238" s="110">
        <f t="shared" si="97"/>
        <v>0.87039141619819127</v>
      </c>
      <c r="H238" s="414" t="b">
        <f>Wh_hp&gt;='2020'!Maxi_hp</f>
        <v>0</v>
      </c>
      <c r="I238" s="380">
        <f>IF(H238,Wh_hp,'2020'!Maxi_hp)</f>
        <v>34.183307751409572</v>
      </c>
      <c r="J238" s="85">
        <f>IF(H238,An,'2020'!An_max)</f>
        <v>2018</v>
      </c>
      <c r="K238" s="197">
        <f t="shared" si="76"/>
        <v>44420</v>
      </c>
      <c r="L238" s="147">
        <f>IF(t&lt;Tvie,1-EXP((T0-t)*PertePVj)+'2020'!Pspv,1-EXP((T0-t)*PertePVj)+Pspv)</f>
        <v>2.6175618851351889E-2</v>
      </c>
      <c r="M238" s="850"/>
      <c r="N238" s="850"/>
      <c r="O238" s="48">
        <f>IF(t&lt;Tnet,'2020'!Resal+('2020'!Salim-'2020'!Resal)*(1-EXP(('2020'!Tnet-t)/('2020'!Tau_j))),Resal+(Salim-Resal)*(1-EXP((Tnet-t)/(Tau_j))))*Salcycl</f>
        <v>3.8028232038427201E-2</v>
      </c>
      <c r="P238" s="169">
        <f>(INDEX(Models!$BJ238:$BT238,,T238)*(1-R238)+INDEX(Models!$BJ238:$BT238,,T238+1)*R238-ERP_i)*Q238*Ramure*Pc/MaxiM</f>
        <v>0</v>
      </c>
      <c r="Q238" s="305">
        <f t="shared" si="77"/>
        <v>0.7</v>
      </c>
      <c r="R238" s="177">
        <f t="shared" si="78"/>
        <v>0.47910913906073893</v>
      </c>
      <c r="S238" s="817">
        <f t="shared" si="79"/>
        <v>-1</v>
      </c>
      <c r="T238" s="176">
        <f t="shared" si="80"/>
        <v>5</v>
      </c>
      <c r="U238" s="251">
        <f t="shared" si="81"/>
        <v>-0.52089086093926107</v>
      </c>
      <c r="V238" s="383">
        <f t="shared" si="82"/>
        <v>36.639837441524477</v>
      </c>
      <c r="W238" s="402"/>
      <c r="X238" s="157">
        <f t="shared" si="83"/>
        <v>44420</v>
      </c>
      <c r="Y238" s="385">
        <f t="shared" si="84"/>
        <v>29.157013090194773</v>
      </c>
      <c r="Z238" s="385">
        <f t="shared" si="85"/>
        <v>29.940730232902375</v>
      </c>
      <c r="AA238" s="386">
        <f t="shared" si="86"/>
        <v>34.042791701636055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0.12049721141220444</v>
      </c>
      <c r="AD238" s="231">
        <f>(INDEX(Models!$BJ238:$BT238,,AH238)*(1-AF238)+INDEX(Models!$BJ238:$BT238,,AH238+1)*AF238-ERP_i)*AE238*Ramure*Pc/MaxiM</f>
        <v>0</v>
      </c>
      <c r="AE238" s="305">
        <f t="shared" si="88"/>
        <v>0.7</v>
      </c>
      <c r="AF238" s="177">
        <f t="shared" si="89"/>
        <v>0.47910913906073893</v>
      </c>
      <c r="AG238" s="817">
        <f t="shared" si="95"/>
        <v>-1</v>
      </c>
      <c r="AH238" s="176">
        <f t="shared" si="90"/>
        <v>5</v>
      </c>
      <c r="AI238" s="225">
        <f t="shared" si="91"/>
        <v>-0.52089086093926107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44421</v>
      </c>
      <c r="B239" s="617">
        <v>21.304000000000002</v>
      </c>
      <c r="C239" s="390"/>
      <c r="D239" s="393">
        <f t="shared" si="74"/>
        <v>21.8771136099164</v>
      </c>
      <c r="E239" s="385">
        <f t="shared" si="96"/>
        <v>22.745779010471566</v>
      </c>
      <c r="F239" s="385">
        <f t="shared" si="75"/>
        <v>22.745779010471566</v>
      </c>
      <c r="G239" s="110">
        <f t="shared" si="97"/>
        <v>0.5832114571801208</v>
      </c>
      <c r="H239" s="414" t="b">
        <f>Wh_hp&gt;='2020'!Maxi_hp</f>
        <v>0</v>
      </c>
      <c r="I239" s="380">
        <f>IF(H239,Wh_hp,'2020'!Maxi_hp)</f>
        <v>34.50916616392346</v>
      </c>
      <c r="J239" s="85">
        <f>IF(H239,An,'2020'!An_max)</f>
        <v>2019</v>
      </c>
      <c r="K239" s="197">
        <f t="shared" si="76"/>
        <v>44421</v>
      </c>
      <c r="L239" s="147">
        <f>IF(t&lt;Tvie,1-EXP((T0-t)*PertePVj)+'2020'!Pspv,1-EXP((T0-t)*PertePVj)+Pspv)</f>
        <v>2.6196948104553419E-2</v>
      </c>
      <c r="M239" s="850"/>
      <c r="N239" s="850"/>
      <c r="O239" s="48">
        <f>IF(t&lt;Tnet,'2020'!Resal+('2020'!Salim-'2020'!Resal)*(1-EXP(('2020'!Tnet-t)/('2020'!Tau_j))),Resal+(Salim-Resal)*(1-EXP((Tnet-t)/(Tau_j))))*Salcycl</f>
        <v>3.8190180259610226E-2</v>
      </c>
      <c r="P239" s="169">
        <f>(INDEX(Models!$BJ239:$BT239,,T239)*(1-R239)+INDEX(Models!$BJ239:$BT239,,T239+1)*R239-ERP_i)*Q239*Ramure*Pc/MaxiM</f>
        <v>0</v>
      </c>
      <c r="Q239" s="305">
        <f t="shared" si="77"/>
        <v>0.7</v>
      </c>
      <c r="R239" s="177">
        <f t="shared" si="78"/>
        <v>0.47989745421992502</v>
      </c>
      <c r="S239" s="817">
        <f t="shared" si="79"/>
        <v>-1</v>
      </c>
      <c r="T239" s="176">
        <f t="shared" si="80"/>
        <v>5</v>
      </c>
      <c r="U239" s="251">
        <f t="shared" si="81"/>
        <v>-0.52010254578007498</v>
      </c>
      <c r="V239" s="383">
        <f t="shared" si="82"/>
        <v>36.528774834100027</v>
      </c>
      <c r="W239" s="402"/>
      <c r="X239" s="157">
        <f t="shared" si="83"/>
        <v>44421</v>
      </c>
      <c r="Y239" s="385">
        <f t="shared" si="84"/>
        <v>19.479893204343842</v>
      </c>
      <c r="Z239" s="385">
        <f t="shared" si="85"/>
        <v>20.003935258189479</v>
      </c>
      <c r="AA239" s="386">
        <f t="shared" si="86"/>
        <v>22.745779010471566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0.12054296979759684</v>
      </c>
      <c r="AD239" s="231">
        <f>(INDEX(Models!$BJ239:$BT239,,AH239)*(1-AF239)+INDEX(Models!$BJ239:$BT239,,AH239+1)*AF239-ERP_i)*AE239*Ramure*Pc/MaxiM</f>
        <v>0</v>
      </c>
      <c r="AE239" s="305">
        <f t="shared" si="88"/>
        <v>0.7</v>
      </c>
      <c r="AF239" s="177">
        <f t="shared" si="89"/>
        <v>0.47989745421992502</v>
      </c>
      <c r="AG239" s="817">
        <f t="shared" si="95"/>
        <v>-1</v>
      </c>
      <c r="AH239" s="176">
        <f t="shared" si="90"/>
        <v>5</v>
      </c>
      <c r="AI239" s="225">
        <f t="shared" si="91"/>
        <v>-0.52010254578007498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44422</v>
      </c>
      <c r="B240" s="617">
        <v>32.137999999999998</v>
      </c>
      <c r="C240" s="390"/>
      <c r="D240" s="393">
        <f t="shared" si="74"/>
        <v>33.003289379245302</v>
      </c>
      <c r="E240" s="385">
        <f t="shared" si="96"/>
        <v>34.319504124743332</v>
      </c>
      <c r="F240" s="385">
        <f t="shared" si="75"/>
        <v>34.319504124743332</v>
      </c>
      <c r="G240" s="110">
        <f t="shared" si="97"/>
        <v>0.88251540788427374</v>
      </c>
      <c r="H240" s="414" t="b">
        <f>Wh_hp&gt;='2020'!Maxi_hp</f>
        <v>0</v>
      </c>
      <c r="I240" s="380">
        <f>IF(H240,Wh_hp,'2020'!Maxi_hp)</f>
        <v>38.844476104478311</v>
      </c>
      <c r="J240" s="85">
        <f>IF(H240,An,'2020'!An_max)</f>
        <v>2019</v>
      </c>
      <c r="K240" s="197">
        <f t="shared" si="76"/>
        <v>44422</v>
      </c>
      <c r="L240" s="147">
        <f>IF(t&lt;Tvie,1-EXP((T0-t)*PertePVj)+'2020'!Pspv,1-EXP((T0-t)*PertePVj)+Pspv)</f>
        <v>2.6218276890589531E-2</v>
      </c>
      <c r="M240" s="850"/>
      <c r="N240" s="850"/>
      <c r="O240" s="48">
        <f>IF(t&lt;Tnet,'2020'!Resal+('2020'!Salim-'2020'!Resal)*(1-EXP(('2020'!Tnet-t)/('2020'!Tau_j))),Resal+(Salim-Resal)*(1-EXP((Tnet-t)/(Tau_j))))*Salcycl</f>
        <v>3.835179962722942E-2</v>
      </c>
      <c r="P240" s="169">
        <f>(INDEX(Models!$BJ240:$BT240,,T240)*(1-R240)+INDEX(Models!$BJ240:$BT240,,T240+1)*R240-ERP_i)*Q240*Ramure*Pc/MaxiM</f>
        <v>0</v>
      </c>
      <c r="Q240" s="305">
        <f t="shared" si="77"/>
        <v>0.7</v>
      </c>
      <c r="R240" s="177">
        <f t="shared" si="78"/>
        <v>0.48065822231335453</v>
      </c>
      <c r="S240" s="817">
        <f t="shared" si="79"/>
        <v>-1</v>
      </c>
      <c r="T240" s="176">
        <f t="shared" si="80"/>
        <v>5</v>
      </c>
      <c r="U240" s="251">
        <f t="shared" si="81"/>
        <v>-0.51934177768664547</v>
      </c>
      <c r="V240" s="383">
        <f t="shared" si="82"/>
        <v>36.416361360814136</v>
      </c>
      <c r="W240" s="402"/>
      <c r="X240" s="157">
        <f t="shared" si="83"/>
        <v>44422</v>
      </c>
      <c r="Y240" s="385">
        <f t="shared" si="84"/>
        <v>29.38967815315889</v>
      </c>
      <c r="Z240" s="385">
        <f t="shared" si="85"/>
        <v>30.180971213254921</v>
      </c>
      <c r="AA240" s="386">
        <f t="shared" si="86"/>
        <v>34.319504124743332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0.12058836562573326</v>
      </c>
      <c r="AD240" s="231">
        <f>(INDEX(Models!$BJ240:$BT240,,AH240)*(1-AF240)+INDEX(Models!$BJ240:$BT240,,AH240+1)*AF240-ERP_i)*AE240*Ramure*Pc/MaxiM</f>
        <v>0</v>
      </c>
      <c r="AE240" s="305">
        <f t="shared" si="88"/>
        <v>0.7</v>
      </c>
      <c r="AF240" s="177">
        <f t="shared" si="89"/>
        <v>0.48065822231335453</v>
      </c>
      <c r="AG240" s="817">
        <f t="shared" si="95"/>
        <v>-1</v>
      </c>
      <c r="AH240" s="176">
        <f t="shared" si="90"/>
        <v>5</v>
      </c>
      <c r="AI240" s="225">
        <f t="shared" si="91"/>
        <v>-0.51934177768664547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44423</v>
      </c>
      <c r="B241" s="617">
        <v>13.854000000000001</v>
      </c>
      <c r="C241" s="390"/>
      <c r="D241" s="393">
        <f t="shared" si="74"/>
        <v>14.227319240047963</v>
      </c>
      <c r="E241" s="385">
        <f t="shared" si="96"/>
        <v>14.79720529093469</v>
      </c>
      <c r="F241" s="385">
        <f t="shared" si="75"/>
        <v>14.79720529093469</v>
      </c>
      <c r="G241" s="110">
        <f t="shared" si="97"/>
        <v>0.38162558122103962</v>
      </c>
      <c r="H241" s="414" t="b">
        <f>Wh_hp&gt;='2020'!Maxi_hp</f>
        <v>0</v>
      </c>
      <c r="I241" s="380">
        <f>IF(H241,Wh_hp,'2020'!Maxi_hp)</f>
        <v>38.017729507891737</v>
      </c>
      <c r="J241" s="85">
        <f>IF(H241,An,'2020'!An_max)</f>
        <v>2018</v>
      </c>
      <c r="K241" s="197">
        <f t="shared" si="76"/>
        <v>44423</v>
      </c>
      <c r="L241" s="147">
        <f>IF(t&lt;Tvie,1-EXP((T0-t)*PertePVj)+'2020'!Pspv,1-EXP((T0-t)*PertePVj)+Pspv)</f>
        <v>2.6239605209470551E-2</v>
      </c>
      <c r="M241" s="850"/>
      <c r="N241" s="850"/>
      <c r="O241" s="48">
        <f>IF(t&lt;Tnet,'2020'!Resal+('2020'!Salim-'2020'!Resal)*(1-EXP(('2020'!Tnet-t)/('2020'!Tau_j))),Resal+(Salim-Resal)*(1-EXP((Tnet-t)/(Tau_j))))*Salcycl</f>
        <v>3.851308674049813E-2</v>
      </c>
      <c r="P241" s="169">
        <f>(INDEX(Models!$BJ241:$BT241,,T241)*(1-R241)+INDEX(Models!$BJ241:$BT241,,T241+1)*R241-ERP_i)*Q241*Ramure*Pc/MaxiM</f>
        <v>0</v>
      </c>
      <c r="Q241" s="305">
        <f t="shared" si="77"/>
        <v>0.7</v>
      </c>
      <c r="R241" s="177">
        <f t="shared" si="78"/>
        <v>0.48139225317852596</v>
      </c>
      <c r="S241" s="817">
        <f t="shared" si="79"/>
        <v>-1</v>
      </c>
      <c r="T241" s="176">
        <f t="shared" si="80"/>
        <v>5</v>
      </c>
      <c r="U241" s="251">
        <f t="shared" si="81"/>
        <v>-0.51860774682147404</v>
      </c>
      <c r="V241" s="383">
        <f t="shared" si="82"/>
        <v>36.302597838627825</v>
      </c>
      <c r="W241" s="402"/>
      <c r="X241" s="157">
        <f t="shared" si="83"/>
        <v>44423</v>
      </c>
      <c r="Y241" s="385">
        <f t="shared" si="84"/>
        <v>12.670734087386016</v>
      </c>
      <c r="Z241" s="385">
        <f t="shared" si="85"/>
        <v>13.012168245055481</v>
      </c>
      <c r="AA241" s="386">
        <f t="shared" si="86"/>
        <v>14.79720529093469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0.12063339061550948</v>
      </c>
      <c r="AD241" s="231">
        <f>(INDEX(Models!$BJ241:$BT241,,AH241)*(1-AF241)+INDEX(Models!$BJ241:$BT241,,AH241+1)*AF241-ERP_i)*AE241*Ramure*Pc/MaxiM</f>
        <v>0</v>
      </c>
      <c r="AE241" s="305">
        <f t="shared" si="88"/>
        <v>0.7</v>
      </c>
      <c r="AF241" s="177">
        <f t="shared" si="89"/>
        <v>0.48139225317852596</v>
      </c>
      <c r="AG241" s="817">
        <f t="shared" si="95"/>
        <v>-1</v>
      </c>
      <c r="AH241" s="176">
        <f t="shared" si="90"/>
        <v>5</v>
      </c>
      <c r="AI241" s="225">
        <f t="shared" si="91"/>
        <v>-0.51860774682147404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44424</v>
      </c>
      <c r="B242" s="617">
        <v>20.862000000000002</v>
      </c>
      <c r="C242" s="390"/>
      <c r="D242" s="393">
        <f t="shared" si="74"/>
        <v>21.424630795173112</v>
      </c>
      <c r="E242" s="385">
        <f t="shared" si="96"/>
        <v>22.286541336328145</v>
      </c>
      <c r="F242" s="385">
        <f t="shared" si="75"/>
        <v>22.286541336328145</v>
      </c>
      <c r="G242" s="110">
        <f t="shared" si="97"/>
        <v>0.57649764675853488</v>
      </c>
      <c r="H242" s="414" t="b">
        <f>Wh_hp&gt;='2020'!Maxi_hp</f>
        <v>0</v>
      </c>
      <c r="I242" s="380">
        <f>IF(H242,Wh_hp,'2020'!Maxi_hp)</f>
        <v>38.177761326018796</v>
      </c>
      <c r="J242" s="85">
        <f>IF(H242,An,'2020'!An_max)</f>
        <v>2019</v>
      </c>
      <c r="K242" s="197">
        <f t="shared" si="76"/>
        <v>44424</v>
      </c>
      <c r="L242" s="147">
        <f>IF(t&lt;Tvie,1-EXP((T0-t)*PertePVj)+'2020'!Pspv,1-EXP((T0-t)*PertePVj)+Pspv)</f>
        <v>2.6260933061206693E-2</v>
      </c>
      <c r="M242" s="850"/>
      <c r="N242" s="850"/>
      <c r="O242" s="48">
        <f>IF(t&lt;Tnet,'2020'!Resal+('2020'!Salim-'2020'!Resal)*(1-EXP(('2020'!Tnet-t)/('2020'!Tau_j))),Resal+(Salim-Resal)*(1-EXP((Tnet-t)/(Tau_j))))*Salcycl</f>
        <v>3.8674037758836939E-2</v>
      </c>
      <c r="P242" s="169">
        <f>(INDEX(Models!$BJ242:$BT242,,T242)*(1-R242)+INDEX(Models!$BJ242:$BT242,,T242+1)*R242-ERP_i)*Q242*Ramure*Pc/MaxiM</f>
        <v>0</v>
      </c>
      <c r="Q242" s="305">
        <f t="shared" si="77"/>
        <v>0.7</v>
      </c>
      <c r="R242" s="177">
        <f t="shared" si="78"/>
        <v>0.48210034430133597</v>
      </c>
      <c r="S242" s="817">
        <f t="shared" si="79"/>
        <v>-1</v>
      </c>
      <c r="T242" s="176">
        <f t="shared" si="80"/>
        <v>5</v>
      </c>
      <c r="U242" s="251">
        <f t="shared" si="81"/>
        <v>-0.51789965569866403</v>
      </c>
      <c r="V242" s="383">
        <f t="shared" si="82"/>
        <v>36.187485096080572</v>
      </c>
      <c r="W242" s="402"/>
      <c r="X242" s="157">
        <f t="shared" si="83"/>
        <v>44424</v>
      </c>
      <c r="Y242" s="385">
        <f t="shared" si="84"/>
        <v>19.082408620607051</v>
      </c>
      <c r="Z242" s="385">
        <f t="shared" si="85"/>
        <v>19.597045315843861</v>
      </c>
      <c r="AA242" s="386">
        <f t="shared" si="86"/>
        <v>22.286541336328145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0.12067803522748845</v>
      </c>
      <c r="AD242" s="231">
        <f>(INDEX(Models!$BJ242:$BT242,,AH242)*(1-AF242)+INDEX(Models!$BJ242:$BT242,,AH242+1)*AF242-ERP_i)*AE242*Ramure*Pc/MaxiM</f>
        <v>0</v>
      </c>
      <c r="AE242" s="305">
        <f t="shared" si="88"/>
        <v>0.7</v>
      </c>
      <c r="AF242" s="177">
        <f t="shared" si="89"/>
        <v>0.48210034430133597</v>
      </c>
      <c r="AG242" s="817">
        <f t="shared" si="95"/>
        <v>-1</v>
      </c>
      <c r="AH242" s="176">
        <f t="shared" si="90"/>
        <v>5</v>
      </c>
      <c r="AI242" s="225">
        <f t="shared" si="91"/>
        <v>-0.51789965569866403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44425</v>
      </c>
      <c r="B243" s="617">
        <v>26.359000000000002</v>
      </c>
      <c r="C243" s="390"/>
      <c r="D243" s="393">
        <f t="shared" si="74"/>
        <v>27.070473227763351</v>
      </c>
      <c r="E243" s="385">
        <f t="shared" si="96"/>
        <v>28.164220842529517</v>
      </c>
      <c r="F243" s="385">
        <f t="shared" si="75"/>
        <v>28.164220842529517</v>
      </c>
      <c r="G243" s="110">
        <f t="shared" si="97"/>
        <v>0.73075275101988579</v>
      </c>
      <c r="H243" s="414" t="b">
        <f>Wh_hp&gt;='2020'!Maxi_hp</f>
        <v>0</v>
      </c>
      <c r="I243" s="380">
        <f>IF(H243,Wh_hp,'2020'!Maxi_hp)</f>
        <v>37.316431373615615</v>
      </c>
      <c r="J243" s="85">
        <f>IF(H243,An,'2020'!An_max)</f>
        <v>2019</v>
      </c>
      <c r="K243" s="197">
        <f t="shared" si="76"/>
        <v>44425</v>
      </c>
      <c r="L243" s="147">
        <f>IF(t&lt;Tvie,1-EXP((T0-t)*PertePVj)+'2020'!Pspv,1-EXP((T0-t)*PertePVj)+Pspv)</f>
        <v>2.6282260445808059E-2</v>
      </c>
      <c r="M243" s="850"/>
      <c r="N243" s="850"/>
      <c r="O243" s="48">
        <f>IF(t&lt;Tnet,'2020'!Resal+('2020'!Salim-'2020'!Resal)*(1-EXP(('2020'!Tnet-t)/('2020'!Tau_j))),Resal+(Salim-Resal)*(1-EXP((Tnet-t)/(Tau_j))))*Salcycl</f>
        <v>3.8834648431479005E-2</v>
      </c>
      <c r="P243" s="169">
        <f>(INDEX(Models!$BJ243:$BT243,,T243)*(1-R243)+INDEX(Models!$BJ243:$BT243,,T243+1)*R243-ERP_i)*Q243*Ramure*Pc/MaxiM</f>
        <v>0</v>
      </c>
      <c r="Q243" s="305">
        <f t="shared" si="77"/>
        <v>0.7</v>
      </c>
      <c r="R243" s="177">
        <f t="shared" si="78"/>
        <v>0.48278328006305971</v>
      </c>
      <c r="S243" s="817">
        <f t="shared" si="79"/>
        <v>-1</v>
      </c>
      <c r="T243" s="176">
        <f t="shared" si="80"/>
        <v>5</v>
      </c>
      <c r="U243" s="251">
        <f t="shared" si="81"/>
        <v>-0.51721671993694029</v>
      </c>
      <c r="V243" s="383">
        <f t="shared" si="82"/>
        <v>36.071023972488199</v>
      </c>
      <c r="W243" s="402"/>
      <c r="X243" s="157">
        <f t="shared" si="83"/>
        <v>44425</v>
      </c>
      <c r="Y243" s="385">
        <f t="shared" si="84"/>
        <v>24.113313231954827</v>
      </c>
      <c r="Z243" s="385">
        <f t="shared" si="85"/>
        <v>24.764171640741488</v>
      </c>
      <c r="AA243" s="386">
        <f t="shared" si="86"/>
        <v>28.164220842529517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0.120722288779023</v>
      </c>
      <c r="AD243" s="231">
        <f>(INDEX(Models!$BJ243:$BT243,,AH243)*(1-AF243)+INDEX(Models!$BJ243:$BT243,,AH243+1)*AF243-ERP_i)*AE243*Ramure*Pc/MaxiM</f>
        <v>0</v>
      </c>
      <c r="AE243" s="305">
        <f t="shared" si="88"/>
        <v>0.7</v>
      </c>
      <c r="AF243" s="177">
        <f t="shared" si="89"/>
        <v>0.48278328006305971</v>
      </c>
      <c r="AG243" s="817">
        <f t="shared" si="95"/>
        <v>-1</v>
      </c>
      <c r="AH243" s="176">
        <f t="shared" si="90"/>
        <v>5</v>
      </c>
      <c r="AI243" s="225">
        <f t="shared" si="91"/>
        <v>-0.51721671993694029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44426</v>
      </c>
      <c r="B244" s="617">
        <v>34.503999999999998</v>
      </c>
      <c r="C244" s="390"/>
      <c r="D244" s="393">
        <f t="shared" si="74"/>
        <v>35.436096459023723</v>
      </c>
      <c r="E244" s="385">
        <f t="shared" si="96"/>
        <v>36.873994716439007</v>
      </c>
      <c r="F244" s="385">
        <f t="shared" si="75"/>
        <v>36.873994716439007</v>
      </c>
      <c r="G244" s="110">
        <f t="shared" si="97"/>
        <v>0.9596916352600301</v>
      </c>
      <c r="H244" s="414" t="b">
        <f>Wh_hp&gt;='2020'!Maxi_hp</f>
        <v>1</v>
      </c>
      <c r="I244" s="380">
        <f>IF(H244,Wh_hp,'2020'!Maxi_hp)</f>
        <v>36.873994716439007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2.6303587363284975E-2</v>
      </c>
      <c r="M244" s="850"/>
      <c r="N244" s="850"/>
      <c r="O244" s="48">
        <f>IF(t&lt;Tnet,'2020'!Resal+('2020'!Salim-'2020'!Resal)*(1-EXP(('2020'!Tnet-t)/('2020'!Tau_j))),Resal+(Salim-Resal)*(1-EXP((Tnet-t)/(Tau_j))))*Salcycl</f>
        <v>3.8994914125055319E-2</v>
      </c>
      <c r="P244" s="169">
        <f>(INDEX(Models!$BJ244:$BT244,,T244)*(1-R244)+INDEX(Models!$BJ244:$BT244,,T244+1)*R244-ERP_i)*Q244*Ramure*Pc/MaxiM</f>
        <v>0</v>
      </c>
      <c r="Q244" s="305">
        <f t="shared" si="77"/>
        <v>0.7</v>
      </c>
      <c r="R244" s="177">
        <f t="shared" si="78"/>
        <v>0.48344183108173211</v>
      </c>
      <c r="S244" s="817">
        <f t="shared" si="79"/>
        <v>-1</v>
      </c>
      <c r="T244" s="176">
        <f t="shared" si="80"/>
        <v>5</v>
      </c>
      <c r="U244" s="251">
        <f t="shared" si="81"/>
        <v>-0.51655816891826789</v>
      </c>
      <c r="V244" s="383">
        <f t="shared" si="82"/>
        <v>35.953215316554349</v>
      </c>
      <c r="W244" s="402"/>
      <c r="X244" s="157">
        <f t="shared" si="83"/>
        <v>44426</v>
      </c>
      <c r="Y244" s="385">
        <f t="shared" si="84"/>
        <v>31.56807967705328</v>
      </c>
      <c r="Z244" s="385">
        <f t="shared" si="85"/>
        <v>32.420864724733555</v>
      </c>
      <c r="AA244" s="386">
        <f t="shared" si="86"/>
        <v>36.873994716439007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0.12076613955038017</v>
      </c>
      <c r="AD244" s="231">
        <f>(INDEX(Models!$BJ244:$BT244,,AH244)*(1-AF244)+INDEX(Models!$BJ244:$BT244,,AH244+1)*AF244-ERP_i)*AE244*Ramure*Pc/MaxiM</f>
        <v>0</v>
      </c>
      <c r="AE244" s="305">
        <f t="shared" si="88"/>
        <v>0.7</v>
      </c>
      <c r="AF244" s="177">
        <f t="shared" si="89"/>
        <v>0.48344183108173211</v>
      </c>
      <c r="AG244" s="817">
        <f t="shared" si="95"/>
        <v>-1</v>
      </c>
      <c r="AH244" s="176">
        <f t="shared" si="90"/>
        <v>5</v>
      </c>
      <c r="AI244" s="225">
        <f t="shared" si="91"/>
        <v>-0.51655816891826789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44427</v>
      </c>
      <c r="B245" s="617">
        <v>31.408000000000001</v>
      </c>
      <c r="C245" s="390"/>
      <c r="D245" s="393">
        <f t="shared" si="74"/>
        <v>32.257167144963596</v>
      </c>
      <c r="E245" s="385">
        <f t="shared" si="96"/>
        <v>33.571659771037055</v>
      </c>
      <c r="F245" s="385">
        <f t="shared" si="75"/>
        <v>33.571659771037055</v>
      </c>
      <c r="G245" s="110">
        <f t="shared" si="97"/>
        <v>0.87648455165362404</v>
      </c>
      <c r="H245" s="414" t="b">
        <f>Wh_hp&gt;='2020'!Maxi_hp</f>
        <v>0</v>
      </c>
      <c r="I245" s="380">
        <f>IF(H245,Wh_hp,'2020'!Maxi_hp)</f>
        <v>35.384293693834039</v>
      </c>
      <c r="J245" s="85">
        <f>IF(H245,An,'2020'!An_max)</f>
        <v>2018</v>
      </c>
      <c r="K245" s="197">
        <f t="shared" si="76"/>
        <v>44427</v>
      </c>
      <c r="L245" s="147">
        <f>IF(t&lt;Tvie,1-EXP((T0-t)*PertePVj)+'2020'!Pspv,1-EXP((T0-t)*PertePVj)+Pspv)</f>
        <v>2.6324913813647766E-2</v>
      </c>
      <c r="M245" s="850"/>
      <c r="N245" s="850"/>
      <c r="O245" s="48">
        <f>IF(t&lt;Tnet,'2020'!Resal+('2020'!Salim-'2020'!Resal)*(1-EXP(('2020'!Tnet-t)/('2020'!Tau_j))),Resal+(Salim-Resal)*(1-EXP((Tnet-t)/(Tau_j))))*Salcycl</f>
        <v>3.915482984870166E-2</v>
      </c>
      <c r="P245" s="169">
        <f>(INDEX(Models!$BJ245:$BT245,,T245)*(1-R245)+INDEX(Models!$BJ245:$BT245,,T245+1)*R245-ERP_i)*Q245*Ramure*Pc/MaxiM</f>
        <v>0</v>
      </c>
      <c r="Q245" s="305">
        <f t="shared" si="77"/>
        <v>0.7</v>
      </c>
      <c r="R245" s="177">
        <f t="shared" si="78"/>
        <v>0.48407675364230829</v>
      </c>
      <c r="S245" s="817">
        <f t="shared" si="79"/>
        <v>-1</v>
      </c>
      <c r="T245" s="176">
        <f t="shared" si="80"/>
        <v>5</v>
      </c>
      <c r="U245" s="251">
        <f t="shared" si="81"/>
        <v>-0.51592324635769171</v>
      </c>
      <c r="V245" s="383">
        <f t="shared" si="82"/>
        <v>35.834059985134864</v>
      </c>
      <c r="W245" s="402"/>
      <c r="X245" s="157">
        <f t="shared" si="83"/>
        <v>44427</v>
      </c>
      <c r="Y245" s="385">
        <f t="shared" si="84"/>
        <v>28.738878780853412</v>
      </c>
      <c r="Z245" s="385">
        <f t="shared" si="85"/>
        <v>29.515881826058205</v>
      </c>
      <c r="AA245" s="386">
        <f t="shared" si="86"/>
        <v>33.571659771037055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0.12080957488071087</v>
      </c>
      <c r="AD245" s="231">
        <f>(INDEX(Models!$BJ245:$BT245,,AH245)*(1-AF245)+INDEX(Models!$BJ245:$BT245,,AH245+1)*AF245-ERP_i)*AE245*Ramure*Pc/MaxiM</f>
        <v>0</v>
      </c>
      <c r="AE245" s="305">
        <f t="shared" si="88"/>
        <v>0.7</v>
      </c>
      <c r="AF245" s="177">
        <f t="shared" si="89"/>
        <v>0.48407675364230829</v>
      </c>
      <c r="AG245" s="817">
        <f t="shared" si="95"/>
        <v>-1</v>
      </c>
      <c r="AH245" s="176">
        <f t="shared" si="90"/>
        <v>5</v>
      </c>
      <c r="AI245" s="225">
        <f t="shared" si="91"/>
        <v>-0.51592324635769171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44428</v>
      </c>
      <c r="B246" s="617">
        <v>34.194000000000003</v>
      </c>
      <c r="C246" s="390"/>
      <c r="D246" s="393">
        <f t="shared" si="74"/>
        <v>35.119260457503401</v>
      </c>
      <c r="E246" s="385">
        <f t="shared" si="96"/>
        <v>36.556455204531737</v>
      </c>
      <c r="F246" s="385">
        <f t="shared" si="75"/>
        <v>36.556455204531737</v>
      </c>
      <c r="G246" s="110">
        <f t="shared" si="97"/>
        <v>0.95745148645875711</v>
      </c>
      <c r="H246" s="414" t="b">
        <f>Wh_hp&gt;='2020'!Maxi_hp</f>
        <v>1</v>
      </c>
      <c r="I246" s="380">
        <f>IF(H246,Wh_hp,'2020'!Maxi_hp)</f>
        <v>36.556455204531737</v>
      </c>
      <c r="J246" s="85">
        <f>IF(H246,An,'2020'!An_max)</f>
        <v>2021</v>
      </c>
      <c r="K246" s="197">
        <f t="shared" si="76"/>
        <v>44428</v>
      </c>
      <c r="L246" s="147">
        <f>IF(t&lt;Tvie,1-EXP((T0-t)*PertePVj)+'2020'!Pspv,1-EXP((T0-t)*PertePVj)+Pspv)</f>
        <v>2.6346239796906423E-2</v>
      </c>
      <c r="M246" s="850"/>
      <c r="N246" s="850"/>
      <c r="O246" s="48">
        <f>IF(t&lt;Tnet,'2020'!Resal+('2020'!Salim-'2020'!Resal)*(1-EXP(('2020'!Tnet-t)/('2020'!Tau_j))),Resal+(Salim-Resal)*(1-EXP((Tnet-t)/(Tau_j))))*Salcycl</f>
        <v>3.931439027628076E-2</v>
      </c>
      <c r="P246" s="169">
        <f>(INDEX(Models!$BJ246:$BT246,,T246)*(1-R246)+INDEX(Models!$BJ246:$BT246,,T246+1)*R246-ERP_i)*Q246*Ramure*Pc/MaxiM</f>
        <v>0</v>
      </c>
      <c r="Q246" s="305">
        <f t="shared" si="77"/>
        <v>0.7</v>
      </c>
      <c r="R246" s="177">
        <f t="shared" si="78"/>
        <v>0.48468878921007286</v>
      </c>
      <c r="S246" s="817">
        <f t="shared" si="79"/>
        <v>-1</v>
      </c>
      <c r="T246" s="176">
        <f t="shared" si="80"/>
        <v>5</v>
      </c>
      <c r="U246" s="251">
        <f t="shared" si="81"/>
        <v>-0.51531121078992714</v>
      </c>
      <c r="V246" s="383">
        <f t="shared" si="82"/>
        <v>35.713558841994583</v>
      </c>
      <c r="W246" s="402"/>
      <c r="X246" s="157">
        <f t="shared" si="83"/>
        <v>44428</v>
      </c>
      <c r="Y246" s="385">
        <f t="shared" si="84"/>
        <v>31.291784255292228</v>
      </c>
      <c r="Z246" s="385">
        <f t="shared" si="85"/>
        <v>32.138513231608229</v>
      </c>
      <c r="AA246" s="386">
        <f t="shared" si="86"/>
        <v>36.556455204531737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0.12085258125289552</v>
      </c>
      <c r="AD246" s="231">
        <f>(INDEX(Models!$BJ246:$BT246,,AH246)*(1-AF246)+INDEX(Models!$BJ246:$BT246,,AH246+1)*AF246-ERP_i)*AE246*Ramure*Pc/MaxiM</f>
        <v>0</v>
      </c>
      <c r="AE246" s="305">
        <f t="shared" si="88"/>
        <v>0.7</v>
      </c>
      <c r="AF246" s="177">
        <f t="shared" si="89"/>
        <v>0.48468878921007286</v>
      </c>
      <c r="AG246" s="817">
        <f t="shared" si="95"/>
        <v>-1</v>
      </c>
      <c r="AH246" s="176">
        <f t="shared" si="90"/>
        <v>5</v>
      </c>
      <c r="AI246" s="225">
        <f t="shared" si="91"/>
        <v>-0.51531121078992714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44429</v>
      </c>
      <c r="B247" s="617">
        <v>32.261000000000003</v>
      </c>
      <c r="C247" s="390"/>
      <c r="D247" s="393">
        <f t="shared" si="74"/>
        <v>33.13468086174997</v>
      </c>
      <c r="E247" s="385">
        <f t="shared" si="96"/>
        <v>34.496376683339705</v>
      </c>
      <c r="F247" s="385">
        <f t="shared" si="75"/>
        <v>34.496376683339705</v>
      </c>
      <c r="G247" s="110">
        <f t="shared" si="97"/>
        <v>0.90638020711658362</v>
      </c>
      <c r="H247" s="414" t="b">
        <f>Wh_hp&gt;='2020'!Maxi_hp</f>
        <v>0</v>
      </c>
      <c r="I247" s="380">
        <f>IF(H247,Wh_hp,'2020'!Maxi_hp)</f>
        <v>36.591801967762351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2.6367565313071384E-2</v>
      </c>
      <c r="M247" s="850"/>
      <c r="N247" s="850"/>
      <c r="O247" s="48">
        <f>IF(t&lt;Tnet,'2020'!Resal+('2020'!Salim-'2020'!Resal)*(1-EXP(('2020'!Tnet-t)/('2020'!Tau_j))),Resal+(Salim-Resal)*(1-EXP((Tnet-t)/(Tau_j))))*Salcycl</f>
        <v>3.9473589765367342E-2</v>
      </c>
      <c r="P247" s="169">
        <f>(INDEX(Models!$BJ247:$BT247,,T247)*(1-R247)+INDEX(Models!$BJ247:$BT247,,T247+1)*R247-ERP_i)*Q247*Ramure*Pc/MaxiM</f>
        <v>0</v>
      </c>
      <c r="Q247" s="305">
        <f t="shared" si="77"/>
        <v>0.7</v>
      </c>
      <c r="R247" s="177">
        <f t="shared" si="78"/>
        <v>0.48527866402189557</v>
      </c>
      <c r="S247" s="817">
        <f t="shared" si="79"/>
        <v>-1</v>
      </c>
      <c r="T247" s="176">
        <f t="shared" si="80"/>
        <v>5</v>
      </c>
      <c r="U247" s="251">
        <f t="shared" si="81"/>
        <v>-0.51472133597810443</v>
      </c>
      <c r="V247" s="383">
        <f t="shared" si="82"/>
        <v>35.593230905416732</v>
      </c>
      <c r="W247" s="402"/>
      <c r="X247" s="157">
        <f t="shared" si="83"/>
        <v>44429</v>
      </c>
      <c r="Y247" s="385">
        <f t="shared" si="84"/>
        <v>29.52631124496072</v>
      </c>
      <c r="Z247" s="385">
        <f t="shared" si="85"/>
        <v>30.325932244086445</v>
      </c>
      <c r="AA247" s="386">
        <f t="shared" si="86"/>
        <v>34.496376683339705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0.12089514436649257</v>
      </c>
      <c r="AD247" s="231">
        <f>(INDEX(Models!$BJ247:$BT247,,AH247)*(1-AF247)+INDEX(Models!$BJ247:$BT247,,AH247+1)*AF247-ERP_i)*AE247*Ramure*Pc/MaxiM</f>
        <v>0</v>
      </c>
      <c r="AE247" s="305">
        <f t="shared" si="88"/>
        <v>0.7</v>
      </c>
      <c r="AF247" s="177">
        <f t="shared" si="89"/>
        <v>0.48527866402189557</v>
      </c>
      <c r="AG247" s="817">
        <f t="shared" si="95"/>
        <v>-1</v>
      </c>
      <c r="AH247" s="176">
        <f t="shared" si="90"/>
        <v>5</v>
      </c>
      <c r="AI247" s="225">
        <f t="shared" si="91"/>
        <v>-0.51472133597810443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44430</v>
      </c>
      <c r="B248" s="617">
        <v>12.318</v>
      </c>
      <c r="C248" s="390"/>
      <c r="D248" s="393">
        <f t="shared" si="74"/>
        <v>12.651868778060583</v>
      </c>
      <c r="E248" s="385">
        <f t="shared" si="96"/>
        <v>13.173985745456518</v>
      </c>
      <c r="F248" s="385">
        <f t="shared" si="75"/>
        <v>13.173985745456518</v>
      </c>
      <c r="G248" s="110">
        <f t="shared" si="97"/>
        <v>0.3472389888688317</v>
      </c>
      <c r="H248" s="414" t="b">
        <f>Wh_hp&gt;='2020'!Maxi_hp</f>
        <v>0</v>
      </c>
      <c r="I248" s="380">
        <f>IF(H248,Wh_hp,'2020'!Maxi_hp)</f>
        <v>38.793135012494737</v>
      </c>
      <c r="J248" s="85">
        <f>IF(H248,An,'2020'!An_max)</f>
        <v>2019</v>
      </c>
      <c r="K248" s="197">
        <f t="shared" si="76"/>
        <v>44430</v>
      </c>
      <c r="L248" s="147">
        <f>IF(t&lt;Tvie,1-EXP((T0-t)*PertePVj)+'2020'!Pspv,1-EXP((T0-t)*PertePVj)+Pspv)</f>
        <v>2.638889036215275E-2</v>
      </c>
      <c r="M248" s="850"/>
      <c r="N248" s="850"/>
      <c r="O248" s="48">
        <f>IF(t&lt;Tnet,'2020'!Resal+('2020'!Salim-'2020'!Resal)*(1-EXP(('2020'!Tnet-t)/('2020'!Tau_j))),Resal+(Salim-Resal)*(1-EXP((Tnet-t)/(Tau_j))))*Salcycl</f>
        <v>3.9632422372705443E-2</v>
      </c>
      <c r="P248" s="169">
        <f>(INDEX(Models!$BJ248:$BT248,,T248)*(1-R248)+INDEX(Models!$BJ248:$BT248,,T248+1)*R248-ERP_i)*Q248*Ramure*Pc/MaxiM</f>
        <v>0</v>
      </c>
      <c r="Q248" s="305">
        <f t="shared" si="77"/>
        <v>0.7</v>
      </c>
      <c r="R248" s="177">
        <f t="shared" si="78"/>
        <v>0.4858470887500681</v>
      </c>
      <c r="S248" s="817">
        <f t="shared" si="79"/>
        <v>-1</v>
      </c>
      <c r="T248" s="176">
        <f t="shared" si="80"/>
        <v>5</v>
      </c>
      <c r="U248" s="251">
        <f t="shared" si="81"/>
        <v>-0.5141529112499319</v>
      </c>
      <c r="V248" s="383">
        <f t="shared" si="82"/>
        <v>35.474127027403249</v>
      </c>
      <c r="W248" s="402"/>
      <c r="X248" s="157">
        <f t="shared" si="83"/>
        <v>44430</v>
      </c>
      <c r="Y248" s="385">
        <f t="shared" si="84"/>
        <v>11.275156738557266</v>
      </c>
      <c r="Z248" s="385">
        <f t="shared" si="85"/>
        <v>11.580760148424426</v>
      </c>
      <c r="AA248" s="386">
        <f t="shared" si="86"/>
        <v>13.173985745456518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0.12093724919822139</v>
      </c>
      <c r="AD248" s="231">
        <f>(INDEX(Models!$BJ248:$BT248,,AH248)*(1-AF248)+INDEX(Models!$BJ248:$BT248,,AH248+1)*AF248-ERP_i)*AE248*Ramure*Pc/MaxiM</f>
        <v>0</v>
      </c>
      <c r="AE248" s="305">
        <f t="shared" si="88"/>
        <v>0.7</v>
      </c>
      <c r="AF248" s="177">
        <f t="shared" si="89"/>
        <v>0.4858470887500681</v>
      </c>
      <c r="AG248" s="817">
        <f t="shared" si="95"/>
        <v>-1</v>
      </c>
      <c r="AH248" s="176">
        <f t="shared" si="90"/>
        <v>5</v>
      </c>
      <c r="AI248" s="225">
        <f t="shared" si="91"/>
        <v>-0.5141529112499319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44431</v>
      </c>
      <c r="B249" s="617">
        <v>32.448</v>
      </c>
      <c r="C249" s="390"/>
      <c r="D249" s="393">
        <f t="shared" si="74"/>
        <v>33.328205059319707</v>
      </c>
      <c r="E249" s="385">
        <f t="shared" si="96"/>
        <v>34.709319490825344</v>
      </c>
      <c r="F249" s="385">
        <f t="shared" si="75"/>
        <v>34.709319490825344</v>
      </c>
      <c r="G249" s="110">
        <f t="shared" si="97"/>
        <v>0.91776265573911708</v>
      </c>
      <c r="H249" s="414" t="b">
        <f>Wh_hp&gt;='2020'!Maxi_hp</f>
        <v>0</v>
      </c>
      <c r="I249" s="380">
        <f>IF(H249,Wh_hp,'2020'!Maxi_hp)</f>
        <v>36.458624208406086</v>
      </c>
      <c r="J249" s="85">
        <f>IF(H249,An,'2020'!An_max)</f>
        <v>2019</v>
      </c>
      <c r="K249" s="197">
        <f t="shared" si="76"/>
        <v>44431</v>
      </c>
      <c r="L249" s="147">
        <f>IF(t&lt;Tvie,1-EXP((T0-t)*PertePVj)+'2020'!Pspv,1-EXP((T0-t)*PertePVj)+Pspv)</f>
        <v>2.6410214944160959E-2</v>
      </c>
      <c r="M249" s="850"/>
      <c r="N249" s="850"/>
      <c r="O249" s="48">
        <f>IF(t&lt;Tnet,'2020'!Resal+('2020'!Salim-'2020'!Resal)*(1-EXP(('2020'!Tnet-t)/('2020'!Tau_j))),Resal+(Salim-Resal)*(1-EXP((Tnet-t)/(Tau_j))))*Salcycl</f>
        <v>3.9790881865912169E-2</v>
      </c>
      <c r="P249" s="169">
        <f>(INDEX(Models!$BJ249:$BT249,,T249)*(1-R249)+INDEX(Models!$BJ249:$BT249,,T249+1)*R249-ERP_i)*Q249*Ramure*Pc/MaxiM</f>
        <v>0</v>
      </c>
      <c r="Q249" s="305">
        <f t="shared" si="77"/>
        <v>0.7</v>
      </c>
      <c r="R249" s="177">
        <f t="shared" si="78"/>
        <v>0.48639475823362188</v>
      </c>
      <c r="S249" s="817">
        <f t="shared" si="79"/>
        <v>-1</v>
      </c>
      <c r="T249" s="176">
        <f t="shared" si="80"/>
        <v>5</v>
      </c>
      <c r="U249" s="251">
        <f t="shared" si="81"/>
        <v>-0.51360524176637812</v>
      </c>
      <c r="V249" s="383">
        <f t="shared" si="82"/>
        <v>35.355546226565643</v>
      </c>
      <c r="W249" s="402"/>
      <c r="X249" s="157">
        <f t="shared" si="83"/>
        <v>44431</v>
      </c>
      <c r="Y249" s="385">
        <f t="shared" si="84"/>
        <v>29.70444329416042</v>
      </c>
      <c r="Z249" s="385">
        <f t="shared" si="85"/>
        <v>30.510224891540698</v>
      </c>
      <c r="AA249" s="386">
        <f t="shared" si="86"/>
        <v>34.709319490825344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0.12097888004962437</v>
      </c>
      <c r="AD249" s="231">
        <f>(INDEX(Models!$BJ249:$BT249,,AH249)*(1-AF249)+INDEX(Models!$BJ249:$BT249,,AH249+1)*AF249-ERP_i)*AE249*Ramure*Pc/MaxiM</f>
        <v>0</v>
      </c>
      <c r="AE249" s="305">
        <f t="shared" si="88"/>
        <v>0.7</v>
      </c>
      <c r="AF249" s="177">
        <f t="shared" si="89"/>
        <v>0.48639475823362188</v>
      </c>
      <c r="AG249" s="817">
        <f t="shared" si="95"/>
        <v>-1</v>
      </c>
      <c r="AH249" s="176">
        <f t="shared" si="90"/>
        <v>5</v>
      </c>
      <c r="AI249" s="225">
        <f t="shared" si="91"/>
        <v>-0.51360524176637812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44432</v>
      </c>
      <c r="B250" s="617">
        <v>31.463000000000001</v>
      </c>
      <c r="C250" s="390"/>
      <c r="D250" s="393">
        <f t="shared" si="74"/>
        <v>32.31719315310702</v>
      </c>
      <c r="E250" s="385">
        <f t="shared" si="96"/>
        <v>33.661953234679039</v>
      </c>
      <c r="F250" s="385">
        <f t="shared" si="75"/>
        <v>33.661953234679039</v>
      </c>
      <c r="G250" s="110">
        <f t="shared" si="97"/>
        <v>0.89290204177020205</v>
      </c>
      <c r="H250" s="414" t="b">
        <f>Wh_hp&gt;='2020'!Maxi_hp</f>
        <v>0</v>
      </c>
      <c r="I250" s="380">
        <f>IF(H250,Wh_hp,'2020'!Maxi_hp)</f>
        <v>36.227969880355467</v>
      </c>
      <c r="J250" s="85">
        <f>IF(H250,An,'2020'!An_max)</f>
        <v>2019</v>
      </c>
      <c r="K250" s="197">
        <f t="shared" si="76"/>
        <v>44432</v>
      </c>
      <c r="L250" s="147">
        <f>IF(t&lt;Tvie,1-EXP((T0-t)*PertePVj)+'2020'!Pspv,1-EXP((T0-t)*PertePVj)+Pspv)</f>
        <v>2.6431539059106002E-2</v>
      </c>
      <c r="M250" s="850"/>
      <c r="N250" s="850"/>
      <c r="O250" s="48">
        <f>IF(t&lt;Tnet,'2020'!Resal+('2020'!Salim-'2020'!Resal)*(1-EXP(('2020'!Tnet-t)/('2020'!Tau_j))),Resal+(Salim-Resal)*(1-EXP((Tnet-t)/(Tau_j))))*Salcycl</f>
        <v>3.9948961731270688E-2</v>
      </c>
      <c r="P250" s="169">
        <f>(INDEX(Models!$BJ250:$BT250,,T250)*(1-R250)+INDEX(Models!$BJ250:$BT250,,T250+1)*R250-ERP_i)*Q250*Ramure*Pc/MaxiM</f>
        <v>0</v>
      </c>
      <c r="Q250" s="305">
        <f t="shared" si="77"/>
        <v>0.7</v>
      </c>
      <c r="R250" s="177">
        <f t="shared" si="78"/>
        <v>0.48692235127220307</v>
      </c>
      <c r="S250" s="817">
        <f t="shared" si="79"/>
        <v>-1</v>
      </c>
      <c r="T250" s="176">
        <f t="shared" si="80"/>
        <v>5</v>
      </c>
      <c r="U250" s="251">
        <f t="shared" si="81"/>
        <v>-0.51307764872779693</v>
      </c>
      <c r="V250" s="383">
        <f t="shared" si="82"/>
        <v>35.236788055298618</v>
      </c>
      <c r="W250" s="402"/>
      <c r="X250" s="157">
        <f t="shared" si="83"/>
        <v>44432</v>
      </c>
      <c r="Y250" s="385">
        <f t="shared" si="84"/>
        <v>28.806121747763594</v>
      </c>
      <c r="Z250" s="385">
        <f t="shared" si="85"/>
        <v>29.588182961395699</v>
      </c>
      <c r="AA250" s="386">
        <f t="shared" si="86"/>
        <v>33.661953234679039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0.12102002058176717</v>
      </c>
      <c r="AD250" s="231">
        <f>(INDEX(Models!$BJ250:$BT250,,AH250)*(1-AF250)+INDEX(Models!$BJ250:$BT250,,AH250+1)*AF250-ERP_i)*AE250*Ramure*Pc/MaxiM</f>
        <v>0</v>
      </c>
      <c r="AE250" s="305">
        <f t="shared" si="88"/>
        <v>0.7</v>
      </c>
      <c r="AF250" s="177">
        <f t="shared" si="89"/>
        <v>0.48692235127220307</v>
      </c>
      <c r="AG250" s="817">
        <f t="shared" si="95"/>
        <v>-1</v>
      </c>
      <c r="AH250" s="176">
        <f t="shared" si="90"/>
        <v>5</v>
      </c>
      <c r="AI250" s="225">
        <f t="shared" si="91"/>
        <v>-0.51307764872779693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44433</v>
      </c>
      <c r="B251" s="617">
        <v>32.186</v>
      </c>
      <c r="C251" s="390"/>
      <c r="D251" s="393">
        <f t="shared" si="74"/>
        <v>33.0605460866485</v>
      </c>
      <c r="E251" s="385">
        <f t="shared" si="96"/>
        <v>34.441895305319449</v>
      </c>
      <c r="F251" s="385">
        <f t="shared" si="75"/>
        <v>34.441895305319449</v>
      </c>
      <c r="G251" s="110">
        <f t="shared" si="97"/>
        <v>0.91653216794888315</v>
      </c>
      <c r="H251" s="414" t="b">
        <f>Wh_hp&gt;='2020'!Maxi_hp</f>
        <v>0</v>
      </c>
      <c r="I251" s="380">
        <f>IF(H251,Wh_hp,'2020'!Maxi_hp)</f>
        <v>34.955028036144711</v>
      </c>
      <c r="J251" s="85">
        <f>IF(H251,An,'2020'!An_max)</f>
        <v>2020</v>
      </c>
      <c r="K251" s="197">
        <f t="shared" si="76"/>
        <v>44433</v>
      </c>
      <c r="L251" s="147">
        <f>IF(t&lt;Tvie,1-EXP((T0-t)*PertePVj)+'2020'!Pspv,1-EXP((T0-t)*PertePVj)+Pspv)</f>
        <v>2.6452862706998204E-2</v>
      </c>
      <c r="M251" s="850"/>
      <c r="N251" s="850"/>
      <c r="O251" s="48">
        <f>IF(t&lt;Tnet,'2020'!Resal+('2020'!Salim-'2020'!Resal)*(1-EXP(('2020'!Tnet-t)/('2020'!Tau_j))),Resal+(Salim-Resal)*(1-EXP((Tnet-t)/(Tau_j))))*Salcycl</f>
        <v>4.0106655177527421E-2</v>
      </c>
      <c r="P251" s="169">
        <f>(INDEX(Models!$BJ251:$BT251,,T251)*(1-R251)+INDEX(Models!$BJ251:$BT251,,T251+1)*R251-ERP_i)*Q251*Ramure*Pc/MaxiM</f>
        <v>0</v>
      </c>
      <c r="Q251" s="305">
        <f t="shared" si="77"/>
        <v>0.7</v>
      </c>
      <c r="R251" s="177">
        <f t="shared" si="78"/>
        <v>0.48743053047776153</v>
      </c>
      <c r="S251" s="817">
        <f t="shared" si="79"/>
        <v>-1</v>
      </c>
      <c r="T251" s="176">
        <f t="shared" si="80"/>
        <v>5</v>
      </c>
      <c r="U251" s="251">
        <f t="shared" si="81"/>
        <v>-0.51256946952223847</v>
      </c>
      <c r="V251" s="383">
        <f t="shared" si="82"/>
        <v>35.117152594904972</v>
      </c>
      <c r="W251" s="402"/>
      <c r="X251" s="157">
        <f t="shared" si="83"/>
        <v>44433</v>
      </c>
      <c r="Y251" s="385">
        <f t="shared" si="84"/>
        <v>29.471546967369125</v>
      </c>
      <c r="Z251" s="385">
        <f t="shared" si="85"/>
        <v>30.27233694027008</v>
      </c>
      <c r="AA251" s="386">
        <f t="shared" si="86"/>
        <v>34.441895305319449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0.12106065383705501</v>
      </c>
      <c r="AD251" s="231">
        <f>(INDEX(Models!$BJ251:$BT251,,AH251)*(1-AF251)+INDEX(Models!$BJ251:$BT251,,AH251+1)*AF251-ERP_i)*AE251*Ramure*Pc/MaxiM</f>
        <v>0</v>
      </c>
      <c r="AE251" s="305">
        <f t="shared" si="88"/>
        <v>0.7</v>
      </c>
      <c r="AF251" s="177">
        <f t="shared" si="89"/>
        <v>0.48743053047776153</v>
      </c>
      <c r="AG251" s="817">
        <f t="shared" si="95"/>
        <v>-1</v>
      </c>
      <c r="AH251" s="176">
        <f t="shared" si="90"/>
        <v>5</v>
      </c>
      <c r="AI251" s="225">
        <f t="shared" si="91"/>
        <v>-0.51256946952223847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44434</v>
      </c>
      <c r="B252" s="617">
        <v>33.896000000000001</v>
      </c>
      <c r="C252" s="390"/>
      <c r="D252" s="393">
        <f t="shared" si="74"/>
        <v>34.817772172700813</v>
      </c>
      <c r="E252" s="385">
        <f t="shared" si="96"/>
        <v>36.278487568551334</v>
      </c>
      <c r="F252" s="385">
        <f t="shared" si="75"/>
        <v>36.278487568551334</v>
      </c>
      <c r="G252" s="110">
        <f t="shared" si="97"/>
        <v>0.96856948434174683</v>
      </c>
      <c r="H252" s="414" t="b">
        <f>Wh_hp&gt;='2020'!Maxi_hp</f>
        <v>0</v>
      </c>
      <c r="I252" s="380">
        <f>IF(H252,Wh_hp,'2020'!Maxi_hp)</f>
        <v>36.589991055920372</v>
      </c>
      <c r="J252" s="85">
        <f>IF(H252,An,'2020'!An_max)</f>
        <v>2020</v>
      </c>
      <c r="K252" s="197">
        <f t="shared" si="76"/>
        <v>44434</v>
      </c>
      <c r="L252" s="147">
        <f>IF(t&lt;Tvie,1-EXP((T0-t)*PertePVj)+'2020'!Pspv,1-EXP((T0-t)*PertePVj)+Pspv)</f>
        <v>2.6474185887847779E-2</v>
      </c>
      <c r="M252" s="850"/>
      <c r="N252" s="850"/>
      <c r="O252" s="48">
        <f>IF(t&lt;Tnet,'2020'!Resal+('2020'!Salim-'2020'!Resal)*(1-EXP(('2020'!Tnet-t)/('2020'!Tau_j))),Resal+(Salim-Resal)*(1-EXP((Tnet-t)/(Tau_j))))*Salcycl</f>
        <v>4.0263955135681269E-2</v>
      </c>
      <c r="P252" s="169">
        <f>(INDEX(Models!$BJ252:$BT252,,T252)*(1-R252)+INDEX(Models!$BJ252:$BT252,,T252+1)*R252-ERP_i)*Q252*Ramure*Pc/MaxiM</f>
        <v>0</v>
      </c>
      <c r="Q252" s="305">
        <f t="shared" si="77"/>
        <v>0.7</v>
      </c>
      <c r="R252" s="177">
        <f t="shared" si="78"/>
        <v>0.48791994217951373</v>
      </c>
      <c r="S252" s="817">
        <f t="shared" si="79"/>
        <v>-1</v>
      </c>
      <c r="T252" s="176">
        <f t="shared" si="80"/>
        <v>5</v>
      </c>
      <c r="U252" s="251">
        <f t="shared" si="81"/>
        <v>-0.51208005782048627</v>
      </c>
      <c r="V252" s="383">
        <f t="shared" si="82"/>
        <v>34.995940454428201</v>
      </c>
      <c r="W252" s="402"/>
      <c r="X252" s="157">
        <f t="shared" si="83"/>
        <v>44434</v>
      </c>
      <c r="Y252" s="385">
        <f t="shared" si="84"/>
        <v>31.041002077855644</v>
      </c>
      <c r="Z252" s="385">
        <f t="shared" si="85"/>
        <v>31.885135070778571</v>
      </c>
      <c r="AA252" s="386">
        <f t="shared" si="86"/>
        <v>36.278487568551334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0.12110076224845773</v>
      </c>
      <c r="AD252" s="231">
        <f>(INDEX(Models!$BJ252:$BT252,,AH252)*(1-AF252)+INDEX(Models!$BJ252:$BT252,,AH252+1)*AF252-ERP_i)*AE252*Ramure*Pc/MaxiM</f>
        <v>0</v>
      </c>
      <c r="AE252" s="305">
        <f t="shared" si="88"/>
        <v>0.7</v>
      </c>
      <c r="AF252" s="177">
        <f t="shared" si="89"/>
        <v>0.48791994217951373</v>
      </c>
      <c r="AG252" s="817">
        <f t="shared" si="95"/>
        <v>-1</v>
      </c>
      <c r="AH252" s="176">
        <f t="shared" si="90"/>
        <v>5</v>
      </c>
      <c r="AI252" s="225">
        <f t="shared" si="91"/>
        <v>-0.51208005782048627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44435</v>
      </c>
      <c r="B253" s="617">
        <v>30.602</v>
      </c>
      <c r="C253" s="390"/>
      <c r="D253" s="393">
        <f t="shared" si="74"/>
        <v>31.434883218713765</v>
      </c>
      <c r="E253" s="385">
        <f t="shared" si="96"/>
        <v>32.759031246247702</v>
      </c>
      <c r="F253" s="385">
        <f t="shared" si="75"/>
        <v>32.759031246247702</v>
      </c>
      <c r="G253" s="110">
        <f t="shared" si="97"/>
        <v>0.8775407972278686</v>
      </c>
      <c r="H253" s="414" t="b">
        <f>Wh_hp&gt;='2020'!Maxi_hp</f>
        <v>1</v>
      </c>
      <c r="I253" s="380">
        <f>IF(H253,Wh_hp,'2020'!Maxi_hp)</f>
        <v>32.759031246247702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2.6495508601664941E-2</v>
      </c>
      <c r="M253" s="850"/>
      <c r="N253" s="850"/>
      <c r="O253" s="48">
        <f>IF(t&lt;Tnet,'2020'!Resal+('2020'!Salim-'2020'!Resal)*(1-EXP(('2020'!Tnet-t)/('2020'!Tau_j))),Resal+(Salim-Resal)*(1-EXP((Tnet-t)/(Tau_j))))*Salcycl</f>
        <v>4.0420854254827998E-2</v>
      </c>
      <c r="P253" s="169">
        <f>(INDEX(Models!$BJ253:$BT253,,T253)*(1-R253)+INDEX(Models!$BJ253:$BT253,,T253+1)*R253-ERP_i)*Q253*Ramure*Pc/MaxiM</f>
        <v>0</v>
      </c>
      <c r="Q253" s="305">
        <f t="shared" si="77"/>
        <v>0.7</v>
      </c>
      <c r="R253" s="177">
        <f t="shared" si="78"/>
        <v>0.48839121637783245</v>
      </c>
      <c r="S253" s="817">
        <f t="shared" si="79"/>
        <v>-1</v>
      </c>
      <c r="T253" s="176">
        <f t="shared" si="80"/>
        <v>5</v>
      </c>
      <c r="U253" s="251">
        <f t="shared" si="81"/>
        <v>-0.51160878362216755</v>
      </c>
      <c r="V253" s="383">
        <f t="shared" si="82"/>
        <v>34.872452764214522</v>
      </c>
      <c r="W253" s="402"/>
      <c r="X253" s="157">
        <f t="shared" si="83"/>
        <v>44435</v>
      </c>
      <c r="Y253" s="385">
        <f t="shared" si="84"/>
        <v>28.027770104130123</v>
      </c>
      <c r="Z253" s="385">
        <f t="shared" si="85"/>
        <v>28.790591468018015</v>
      </c>
      <c r="AA253" s="386">
        <f t="shared" si="86"/>
        <v>32.759031246247702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0.12114032763664963</v>
      </c>
      <c r="AD253" s="231">
        <f>(INDEX(Models!$BJ253:$BT253,,AH253)*(1-AF253)+INDEX(Models!$BJ253:$BT253,,AH253+1)*AF253-ERP_i)*AE253*Ramure*Pc/MaxiM</f>
        <v>0</v>
      </c>
      <c r="AE253" s="305">
        <f t="shared" si="88"/>
        <v>0.7</v>
      </c>
      <c r="AF253" s="177">
        <f t="shared" si="89"/>
        <v>0.48839121637783245</v>
      </c>
      <c r="AG253" s="817">
        <f t="shared" si="95"/>
        <v>-1</v>
      </c>
      <c r="AH253" s="176">
        <f t="shared" si="90"/>
        <v>5</v>
      </c>
      <c r="AI253" s="225">
        <f t="shared" si="91"/>
        <v>-0.51160878362216755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44436</v>
      </c>
      <c r="B254" s="617">
        <v>35.161999999999999</v>
      </c>
      <c r="C254" s="390"/>
      <c r="D254" s="393">
        <f t="shared" si="74"/>
        <v>36.119782153651606</v>
      </c>
      <c r="E254" s="385">
        <f t="shared" si="96"/>
        <v>37.647414266727324</v>
      </c>
      <c r="F254" s="385">
        <f t="shared" si="75"/>
        <v>37.6474142668485</v>
      </c>
      <c r="G254" s="110">
        <f t="shared" si="97"/>
        <v>1.0119728581099234</v>
      </c>
      <c r="H254" s="414" t="b">
        <f>Wh_hp&gt;='2020'!Maxi_hp</f>
        <v>1</v>
      </c>
      <c r="I254" s="380">
        <f>IF(H254,Wh_hp,'2020'!Maxi_hp)</f>
        <v>37.6474142668485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2.6516830848460016E-2</v>
      </c>
      <c r="M254" s="850"/>
      <c r="N254" s="850"/>
      <c r="O254" s="48">
        <f>IF(t&lt;Tnet,'2020'!Resal+('2020'!Salim-'2020'!Resal)*(1-EXP(('2020'!Tnet-t)/('2020'!Tau_j))),Resal+(Salim-Resal)*(1-EXP((Tnet-t)/(Tau_j))))*Salcycl</f>
        <v>4.0577344894197238E-2</v>
      </c>
      <c r="P254" s="169">
        <f>(INDEX(Models!$BJ254:$BT254,,T254)*(1-R254)+INDEX(Models!$BJ254:$BT254,,T254+1)*R254-ERP_i)*Q254*Ramure*Pc/MaxiM</f>
        <v>3.2187821641715569E-12</v>
      </c>
      <c r="Q254" s="305">
        <f t="shared" si="77"/>
        <v>0.7</v>
      </c>
      <c r="R254" s="177">
        <f t="shared" si="78"/>
        <v>0.48884496674292555</v>
      </c>
      <c r="S254" s="817">
        <f t="shared" si="79"/>
        <v>-1</v>
      </c>
      <c r="T254" s="176">
        <f t="shared" si="80"/>
        <v>5</v>
      </c>
      <c r="U254" s="251">
        <f t="shared" si="81"/>
        <v>-0.51115503325707445</v>
      </c>
      <c r="V254" s="383">
        <f t="shared" si="82"/>
        <v>34.745991177740258</v>
      </c>
      <c r="W254" s="402"/>
      <c r="X254" s="157">
        <f t="shared" si="83"/>
        <v>44436</v>
      </c>
      <c r="Y254" s="385">
        <f t="shared" si="84"/>
        <v>32.20800779723762</v>
      </c>
      <c r="Z254" s="385">
        <f t="shared" si="85"/>
        <v>33.085325784634982</v>
      </c>
      <c r="AA254" s="386">
        <f t="shared" si="86"/>
        <v>37.647414266727324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0.1211793311957762</v>
      </c>
      <c r="AD254" s="231">
        <f>(INDEX(Models!$BJ254:$BT254,,AH254)*(1-AF254)+INDEX(Models!$BJ254:$BT254,,AH254+1)*AF254-ERP_i)*AE254*Ramure*Pc/MaxiM</f>
        <v>3.2187821641715569E-12</v>
      </c>
      <c r="AE254" s="305">
        <f t="shared" si="88"/>
        <v>0.7</v>
      </c>
      <c r="AF254" s="177">
        <f t="shared" si="89"/>
        <v>0.48884496674292555</v>
      </c>
      <c r="AG254" s="817">
        <f t="shared" si="95"/>
        <v>-1</v>
      </c>
      <c r="AH254" s="176">
        <f t="shared" si="90"/>
        <v>5</v>
      </c>
      <c r="AI254" s="225">
        <f t="shared" si="91"/>
        <v>-0.51115503325707445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44437</v>
      </c>
      <c r="B255" s="617">
        <v>34.704000000000001</v>
      </c>
      <c r="C255" s="390"/>
      <c r="D255" s="393">
        <f t="shared" si="74"/>
        <v>35.650087462284318</v>
      </c>
      <c r="E255" s="385">
        <f t="shared" si="96"/>
        <v>37.163900184313412</v>
      </c>
      <c r="F255" s="385">
        <f t="shared" si="75"/>
        <v>37.163900184673778</v>
      </c>
      <c r="G255" s="110">
        <f t="shared" si="97"/>
        <v>1.0025462934934708</v>
      </c>
      <c r="H255" s="414" t="b">
        <f>Wh_hp&gt;='2020'!Maxi_hp</f>
        <v>1</v>
      </c>
      <c r="I255" s="380">
        <f>IF(H255,Wh_hp,'2020'!Maxi_hp)</f>
        <v>37.163900184673778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2.6538152628243106E-2</v>
      </c>
      <c r="M255" s="850"/>
      <c r="N255" s="850"/>
      <c r="O255" s="48">
        <f>IF(t&lt;Tnet,'2020'!Resal+('2020'!Salim-'2020'!Resal)*(1-EXP(('2020'!Tnet-t)/('2020'!Tau_j))),Resal+(Salim-Resal)*(1-EXP((Tnet-t)/(Tau_j))))*Salcycl</f>
        <v>4.073341911159422E-2</v>
      </c>
      <c r="P255" s="169">
        <f>(INDEX(Models!$BJ255:$BT255,,T255)*(1-R255)+INDEX(Models!$BJ255:$BT255,,T255+1)*R255-ERP_i)*Q255*Ramure*Pc/MaxiM</f>
        <v>9.6966676681226176E-12</v>
      </c>
      <c r="Q255" s="305">
        <f t="shared" si="77"/>
        <v>0.7</v>
      </c>
      <c r="R255" s="177">
        <f t="shared" si="78"/>
        <v>0.48928179065436961</v>
      </c>
      <c r="S255" s="817">
        <f t="shared" si="79"/>
        <v>-1</v>
      </c>
      <c r="T255" s="176">
        <f t="shared" si="80"/>
        <v>5</v>
      </c>
      <c r="U255" s="251">
        <f t="shared" si="81"/>
        <v>-0.51071820934563039</v>
      </c>
      <c r="V255" s="383">
        <f t="shared" si="82"/>
        <v>34.615857866344022</v>
      </c>
      <c r="W255" s="402"/>
      <c r="X255" s="157">
        <f t="shared" si="83"/>
        <v>44437</v>
      </c>
      <c r="Y255" s="385">
        <f t="shared" si="84"/>
        <v>31.792266812188725</v>
      </c>
      <c r="Z255" s="385">
        <f t="shared" si="85"/>
        <v>32.658975693833767</v>
      </c>
      <c r="AA255" s="386">
        <f t="shared" si="86"/>
        <v>37.163900184313412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0.12121775346875838</v>
      </c>
      <c r="AD255" s="231">
        <f>(INDEX(Models!$BJ255:$BT255,,AH255)*(1-AF255)+INDEX(Models!$BJ255:$BT255,,AH255+1)*AF255-ERP_i)*AE255*Ramure*Pc/MaxiM</f>
        <v>9.6966676681226176E-12</v>
      </c>
      <c r="AE255" s="305">
        <f t="shared" si="88"/>
        <v>0.7</v>
      </c>
      <c r="AF255" s="177">
        <f t="shared" si="89"/>
        <v>0.48928179065436961</v>
      </c>
      <c r="AG255" s="817">
        <f t="shared" si="95"/>
        <v>-1</v>
      </c>
      <c r="AH255" s="176">
        <f t="shared" si="90"/>
        <v>5</v>
      </c>
      <c r="AI255" s="225">
        <f t="shared" si="91"/>
        <v>-0.51071820934563039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44438</v>
      </c>
      <c r="B256" s="617">
        <v>33.375999999999998</v>
      </c>
      <c r="C256" s="390"/>
      <c r="D256" s="393">
        <f t="shared" si="74"/>
        <v>34.286634988502549</v>
      </c>
      <c r="E256" s="385">
        <f t="shared" si="96"/>
        <v>35.748351799295747</v>
      </c>
      <c r="F256" s="385">
        <f t="shared" si="75"/>
        <v>35.748351799960105</v>
      </c>
      <c r="G256" s="110">
        <f t="shared" si="97"/>
        <v>0.9679433857383789</v>
      </c>
      <c r="H256" s="414" t="b">
        <f>Wh_hp&gt;='2020'!Maxi_hp</f>
        <v>1</v>
      </c>
      <c r="I256" s="380">
        <f>IF(H256,Wh_hp,'2020'!Maxi_hp)</f>
        <v>35.748351799960105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2.6559473941024536E-2</v>
      </c>
      <c r="M256" s="850"/>
      <c r="N256" s="850"/>
      <c r="O256" s="48">
        <f>IF(t&lt;Tnet,'2020'!Resal+('2020'!Salim-'2020'!Resal)*(1-EXP(('2020'!Tnet-t)/('2020'!Tau_j))),Resal+(Salim-Resal)*(1-EXP((Tnet-t)/(Tau_j))))*Salcycl</f>
        <v>4.0889068648529918E-2</v>
      </c>
      <c r="P256" s="169">
        <f>(INDEX(Models!$BJ256:$BT256,,T256)*(1-R256)+INDEX(Models!$BJ256:$BT256,,T256+1)*R256-ERP_i)*Q256*Ramure*Pc/MaxiM</f>
        <v>1.9476187214792028E-11</v>
      </c>
      <c r="Q256" s="305">
        <f t="shared" si="77"/>
        <v>0.7</v>
      </c>
      <c r="R256" s="177">
        <f t="shared" si="78"/>
        <v>0.48970226927777127</v>
      </c>
      <c r="S256" s="817">
        <f t="shared" si="79"/>
        <v>-1</v>
      </c>
      <c r="T256" s="176">
        <f t="shared" si="80"/>
        <v>5</v>
      </c>
      <c r="U256" s="251">
        <f t="shared" si="81"/>
        <v>-0.51029773072222873</v>
      </c>
      <c r="V256" s="383">
        <f t="shared" si="82"/>
        <v>34.481355512863921</v>
      </c>
      <c r="W256" s="402"/>
      <c r="X256" s="157">
        <f t="shared" si="83"/>
        <v>44438</v>
      </c>
      <c r="Y256" s="385">
        <f t="shared" si="84"/>
        <v>30.579334457584132</v>
      </c>
      <c r="Z256" s="385">
        <f t="shared" si="85"/>
        <v>31.413664871120741</v>
      </c>
      <c r="AA256" s="386">
        <f t="shared" si="86"/>
        <v>35.748351799295747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0.12125557431323029</v>
      </c>
      <c r="AD256" s="231">
        <f>(INDEX(Models!$BJ256:$BT256,,AH256)*(1-AF256)+INDEX(Models!$BJ256:$BT256,,AH256+1)*AF256-ERP_i)*AE256*Ramure*Pc/MaxiM</f>
        <v>1.9476187214792028E-11</v>
      </c>
      <c r="AE256" s="305">
        <f t="shared" si="88"/>
        <v>0.7</v>
      </c>
      <c r="AF256" s="177">
        <f t="shared" si="89"/>
        <v>0.48970226927777127</v>
      </c>
      <c r="AG256" s="817">
        <f t="shared" si="95"/>
        <v>-1</v>
      </c>
      <c r="AH256" s="176">
        <f t="shared" si="90"/>
        <v>5</v>
      </c>
      <c r="AI256" s="225">
        <f t="shared" si="91"/>
        <v>-0.51029773072222873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44439</v>
      </c>
      <c r="B257" s="617">
        <v>33.581000000000003</v>
      </c>
      <c r="C257" s="390"/>
      <c r="D257" s="393">
        <f t="shared" si="74"/>
        <v>34.497983828709778</v>
      </c>
      <c r="E257" s="385">
        <f t="shared" si="96"/>
        <v>35.974532802652099</v>
      </c>
      <c r="F257" s="385">
        <f t="shared" si="75"/>
        <v>35.974532803787852</v>
      </c>
      <c r="G257" s="110">
        <f t="shared" si="97"/>
        <v>0.97784660104681942</v>
      </c>
      <c r="H257" s="414" t="b">
        <f>Wh_hp&gt;='2020'!Maxi_hp</f>
        <v>1</v>
      </c>
      <c r="I257" s="380">
        <f>IF(H257,Wh_hp,'2020'!Maxi_hp)</f>
        <v>35.974532803787852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2.658079478681441E-2</v>
      </c>
      <c r="M257" s="850"/>
      <c r="N257" s="850"/>
      <c r="O257" s="48">
        <f>IF(t&lt;Tnet,'2020'!Resal+('2020'!Salim-'2020'!Resal)*(1-EXP(('2020'!Tnet-t)/('2020'!Tau_j))),Resal+(Salim-Resal)*(1-EXP((Tnet-t)/(Tau_j))))*Salcycl</f>
        <v>4.1044284912394202E-2</v>
      </c>
      <c r="P257" s="169">
        <f>(INDEX(Models!$BJ257:$BT257,,T257)*(1-R257)+INDEX(Models!$BJ257:$BT257,,T257+1)*R257-ERP_i)*Q257*Ramure*Pc/MaxiM</f>
        <v>3.2602859508181361E-11</v>
      </c>
      <c r="Q257" s="305">
        <f t="shared" si="77"/>
        <v>0.7</v>
      </c>
      <c r="R257" s="177">
        <f t="shared" si="78"/>
        <v>0.49010696767503481</v>
      </c>
      <c r="S257" s="817">
        <f t="shared" si="79"/>
        <v>-1</v>
      </c>
      <c r="T257" s="176">
        <f t="shared" si="80"/>
        <v>5</v>
      </c>
      <c r="U257" s="251">
        <f t="shared" si="81"/>
        <v>-0.50989303232496519</v>
      </c>
      <c r="V257" s="383">
        <f t="shared" si="82"/>
        <v>34.341787315122531</v>
      </c>
      <c r="W257" s="402"/>
      <c r="X257" s="157">
        <f t="shared" si="83"/>
        <v>44439</v>
      </c>
      <c r="Y257" s="385">
        <f t="shared" si="84"/>
        <v>30.770834283951672</v>
      </c>
      <c r="Z257" s="385">
        <f t="shared" si="85"/>
        <v>31.611081966697633</v>
      </c>
      <c r="AA257" s="386">
        <f t="shared" si="86"/>
        <v>35.974532802652099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0.12129277285938202</v>
      </c>
      <c r="AD257" s="231">
        <f>(INDEX(Models!$BJ257:$BT257,,AH257)*(1-AF257)+INDEX(Models!$BJ257:$BT257,,AH257+1)*AF257-ERP_i)*AE257*Ramure*Pc/MaxiM</f>
        <v>3.2602859508181361E-11</v>
      </c>
      <c r="AE257" s="305">
        <f t="shared" si="88"/>
        <v>0.7</v>
      </c>
      <c r="AF257" s="177">
        <f t="shared" si="89"/>
        <v>0.49010696767503481</v>
      </c>
      <c r="AG257" s="817">
        <f t="shared" si="95"/>
        <v>-1</v>
      </c>
      <c r="AH257" s="176">
        <f t="shared" si="90"/>
        <v>5</v>
      </c>
      <c r="AI257" s="225">
        <f t="shared" si="91"/>
        <v>-0.50989303232496519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44440</v>
      </c>
      <c r="B258" s="617">
        <v>21.01</v>
      </c>
      <c r="C258" s="390"/>
      <c r="D258" s="393">
        <f t="shared" si="74"/>
        <v>21.584184974446337</v>
      </c>
      <c r="E258" s="385">
        <f t="shared" si="96"/>
        <v>22.51164350229595</v>
      </c>
      <c r="F258" s="385">
        <f t="shared" si="75"/>
        <v>22.511643502792648</v>
      </c>
      <c r="G258" s="110">
        <f t="shared" si="97"/>
        <v>0.614391134506451</v>
      </c>
      <c r="H258" s="414" t="b">
        <f>Wh_hp&gt;='2020'!Maxi_hp</f>
        <v>0</v>
      </c>
      <c r="I258" s="380">
        <f>IF(H258,Wh_hp,'2020'!Maxi_hp)</f>
        <v>36.800779305473014</v>
      </c>
      <c r="J258" s="85">
        <f>IF(H258,An,'2020'!An_max)</f>
        <v>2018</v>
      </c>
      <c r="K258" s="197">
        <f t="shared" si="76"/>
        <v>44440</v>
      </c>
      <c r="L258" s="147">
        <f>IF(t&lt;Tvie,1-EXP((T0-t)*PertePVj)+'2020'!Pspv,1-EXP((T0-t)*PertePVj)+Pspv)</f>
        <v>2.6602115165623164E-2</v>
      </c>
      <c r="M258" s="850"/>
      <c r="N258" s="850"/>
      <c r="O258" s="48">
        <f>IF(t&lt;Tnet,'2020'!Resal+('2020'!Salim-'2020'!Resal)*(1-EXP(('2020'!Tnet-t)/('2020'!Tau_j))),Resal+(Salim-Resal)*(1-EXP((Tnet-t)/(Tau_j))))*Salcycl</f>
        <v>4.119905895609189E-2</v>
      </c>
      <c r="P258" s="169">
        <f>(INDEX(Models!$BJ258:$BT258,,T258)*(1-R258)+INDEX(Models!$BJ258:$BT258,,T258+1)*R258-ERP_i)*Q258*Ramure*Pc/MaxiM</f>
        <v>4.9126007859542398E-11</v>
      </c>
      <c r="Q258" s="305">
        <f t="shared" si="77"/>
        <v>0.7</v>
      </c>
      <c r="R258" s="177">
        <f t="shared" si="78"/>
        <v>0.49049643494491058</v>
      </c>
      <c r="S258" s="817">
        <f t="shared" si="79"/>
        <v>-1</v>
      </c>
      <c r="T258" s="176">
        <f t="shared" si="80"/>
        <v>5</v>
      </c>
      <c r="U258" s="251">
        <f t="shared" si="81"/>
        <v>-0.50950356505508942</v>
      </c>
      <c r="V258" s="383">
        <f t="shared" si="82"/>
        <v>34.196456979004196</v>
      </c>
      <c r="W258" s="402"/>
      <c r="X258" s="157">
        <f t="shared" si="83"/>
        <v>44440</v>
      </c>
      <c r="Y258" s="385">
        <f t="shared" si="84"/>
        <v>19.254122560561949</v>
      </c>
      <c r="Z258" s="385">
        <f t="shared" si="85"/>
        <v>19.780320936117537</v>
      </c>
      <c r="AA258" s="386">
        <f t="shared" si="86"/>
        <v>22.51164350229595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0.12132932746113566</v>
      </c>
      <c r="AD258" s="231">
        <f>(INDEX(Models!$BJ258:$BT258,,AH258)*(1-AF258)+INDEX(Models!$BJ258:$BT258,,AH258+1)*AF258-ERP_i)*AE258*Ramure*Pc/MaxiM</f>
        <v>4.9126007859542398E-11</v>
      </c>
      <c r="AE258" s="305">
        <f t="shared" si="88"/>
        <v>0.7</v>
      </c>
      <c r="AF258" s="177">
        <f t="shared" si="89"/>
        <v>0.49049643494491058</v>
      </c>
      <c r="AG258" s="817">
        <f t="shared" si="95"/>
        <v>-1</v>
      </c>
      <c r="AH258" s="176">
        <f t="shared" si="90"/>
        <v>5</v>
      </c>
      <c r="AI258" s="225">
        <f t="shared" si="91"/>
        <v>-0.50950356505508942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44441</v>
      </c>
      <c r="B259" s="617">
        <v>13.812000000000001</v>
      </c>
      <c r="C259" s="390"/>
      <c r="D259" s="393">
        <f t="shared" si="74"/>
        <v>14.189780705372902</v>
      </c>
      <c r="E259" s="385">
        <f t="shared" si="96"/>
        <v>14.801888861736028</v>
      </c>
      <c r="F259" s="385">
        <f t="shared" si="75"/>
        <v>14.801888861890475</v>
      </c>
      <c r="G259" s="110">
        <f t="shared" si="97"/>
        <v>0.40570228823638382</v>
      </c>
      <c r="H259" s="414" t="b">
        <f>Wh_hp&gt;='2020'!Maxi_hp</f>
        <v>0</v>
      </c>
      <c r="I259" s="380">
        <f>IF(H259,Wh_hp,'2020'!Maxi_hp)</f>
        <v>34.771079559810111</v>
      </c>
      <c r="J259" s="85">
        <f>IF(H259,An,'2020'!An_max)</f>
        <v>2018</v>
      </c>
      <c r="K259" s="197">
        <f t="shared" si="76"/>
        <v>44441</v>
      </c>
      <c r="L259" s="147">
        <f>IF(t&lt;Tvie,1-EXP((T0-t)*PertePVj)+'2020'!Pspv,1-EXP((T0-t)*PertePVj)+Pspv)</f>
        <v>2.6623435077460789E-2</v>
      </c>
      <c r="M259" s="850"/>
      <c r="N259" s="850"/>
      <c r="O259" s="48">
        <f>IF(t&lt;Tnet,'2020'!Resal+('2020'!Salim-'2020'!Resal)*(1-EXP(('2020'!Tnet-t)/('2020'!Tau_j))),Resal+(Salim-Resal)*(1-EXP((Tnet-t)/(Tau_j))))*Salcycl</f>
        <v>4.1353381455624318E-2</v>
      </c>
      <c r="P259" s="169">
        <f>(INDEX(Models!$BJ259:$BT259,,T259)*(1-R259)+INDEX(Models!$BJ259:$BT259,,T259+1)*R259-ERP_i)*Q259*Ramure*Pc/MaxiM</f>
        <v>6.9099620682269516E-11</v>
      </c>
      <c r="Q259" s="305">
        <f t="shared" si="77"/>
        <v>0.7</v>
      </c>
      <c r="R259" s="177">
        <f t="shared" si="78"/>
        <v>0.49087120439070686</v>
      </c>
      <c r="S259" s="817">
        <f t="shared" si="79"/>
        <v>-1</v>
      </c>
      <c r="T259" s="176">
        <f t="shared" si="80"/>
        <v>5</v>
      </c>
      <c r="U259" s="251">
        <f t="shared" si="81"/>
        <v>-0.50912879560929314</v>
      </c>
      <c r="V259" s="383">
        <f t="shared" si="82"/>
        <v>34.044668713187306</v>
      </c>
      <c r="W259" s="402"/>
      <c r="X259" s="157">
        <f t="shared" si="83"/>
        <v>44441</v>
      </c>
      <c r="Y259" s="385">
        <f t="shared" si="84"/>
        <v>12.659204556499287</v>
      </c>
      <c r="Z259" s="385">
        <f t="shared" si="85"/>
        <v>13.005454428119194</v>
      </c>
      <c r="AA259" s="386">
        <f t="shared" si="86"/>
        <v>14.801888861736028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0.12136521564222459</v>
      </c>
      <c r="AD259" s="231">
        <f>(INDEX(Models!$BJ259:$BT259,,AH259)*(1-AF259)+INDEX(Models!$BJ259:$BT259,,AH259+1)*AF259-ERP_i)*AE259*Ramure*Pc/MaxiM</f>
        <v>6.9099620682269516E-11</v>
      </c>
      <c r="AE259" s="305">
        <f t="shared" si="88"/>
        <v>0.7</v>
      </c>
      <c r="AF259" s="177">
        <f t="shared" si="89"/>
        <v>0.49087120439070686</v>
      </c>
      <c r="AG259" s="817">
        <f t="shared" si="95"/>
        <v>-1</v>
      </c>
      <c r="AH259" s="176">
        <f t="shared" si="90"/>
        <v>5</v>
      </c>
      <c r="AI259" s="225">
        <f t="shared" si="91"/>
        <v>-0.50912879560929314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44442</v>
      </c>
      <c r="B260" s="617">
        <v>20.751000000000001</v>
      </c>
      <c r="C260" s="390"/>
      <c r="D260" s="393">
        <f t="shared" si="74"/>
        <v>21.319040603532887</v>
      </c>
      <c r="E260" s="385">
        <f t="shared" si="96"/>
        <v>22.242255291817795</v>
      </c>
      <c r="F260" s="385">
        <f t="shared" si="75"/>
        <v>22.242255292736761</v>
      </c>
      <c r="G260" s="110">
        <f t="shared" si="97"/>
        <v>0.61238172215858788</v>
      </c>
      <c r="H260" s="414" t="b">
        <f>Wh_hp&gt;='2020'!Maxi_hp</f>
        <v>0</v>
      </c>
      <c r="I260" s="380">
        <f>IF(H260,Wh_hp,'2020'!Maxi_hp)</f>
        <v>37.558631129408738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2.6644754522337721E-2</v>
      </c>
      <c r="M260" s="850"/>
      <c r="N260" s="850"/>
      <c r="O260" s="48">
        <f>IF(t&lt;Tnet,'2020'!Resal+('2020'!Salim-'2020'!Resal)*(1-EXP(('2020'!Tnet-t)/('2020'!Tau_j))),Resal+(Salim-Resal)*(1-EXP((Tnet-t)/(Tau_j))))*Salcycl</f>
        <v>4.1507242686155424E-2</v>
      </c>
      <c r="P260" s="169">
        <f>(INDEX(Models!$BJ260:$BT260,,T260)*(1-R260)+INDEX(Models!$BJ260:$BT260,,T260+1)*R260-ERP_i)*Q260*Ramure*Pc/MaxiM</f>
        <v>9.258326293576712E-11</v>
      </c>
      <c r="Q260" s="305">
        <f t="shared" si="77"/>
        <v>0.7</v>
      </c>
      <c r="R260" s="177">
        <f t="shared" si="78"/>
        <v>0.4912317937122308</v>
      </c>
      <c r="S260" s="817">
        <f t="shared" si="79"/>
        <v>-1</v>
      </c>
      <c r="T260" s="176">
        <f t="shared" si="80"/>
        <v>5</v>
      </c>
      <c r="U260" s="251">
        <f t="shared" si="81"/>
        <v>-0.5087682062877692</v>
      </c>
      <c r="V260" s="383">
        <f t="shared" si="82"/>
        <v>33.885727232012812</v>
      </c>
      <c r="W260" s="402"/>
      <c r="X260" s="157">
        <f t="shared" si="83"/>
        <v>44442</v>
      </c>
      <c r="Y260" s="385">
        <f t="shared" si="84"/>
        <v>19.021343530413048</v>
      </c>
      <c r="Z260" s="385">
        <f t="shared" si="85"/>
        <v>19.542036290232922</v>
      </c>
      <c r="AA260" s="386">
        <f t="shared" si="86"/>
        <v>22.242255291817795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0.12140041403886757</v>
      </c>
      <c r="AD260" s="231">
        <f>(INDEX(Models!$BJ260:$BT260,,AH260)*(1-AF260)+INDEX(Models!$BJ260:$BT260,,AH260+1)*AF260-ERP_i)*AE260*Ramure*Pc/MaxiM</f>
        <v>9.258326293576712E-11</v>
      </c>
      <c r="AE260" s="305">
        <f t="shared" si="88"/>
        <v>0.7</v>
      </c>
      <c r="AF260" s="177">
        <f t="shared" si="89"/>
        <v>0.4912317937122308</v>
      </c>
      <c r="AG260" s="817">
        <f t="shared" si="95"/>
        <v>-1</v>
      </c>
      <c r="AH260" s="176">
        <f t="shared" si="90"/>
        <v>5</v>
      </c>
      <c r="AI260" s="225">
        <f t="shared" si="91"/>
        <v>-0.5087682062877692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44443</v>
      </c>
      <c r="B261" s="617">
        <v>26.491</v>
      </c>
      <c r="C261" s="390"/>
      <c r="D261" s="393">
        <f t="shared" si="74"/>
        <v>27.216764235544385</v>
      </c>
      <c r="E261" s="385">
        <f t="shared" si="96"/>
        <v>28.399922990185942</v>
      </c>
      <c r="F261" s="385">
        <f t="shared" si="75"/>
        <v>28.3999229925432</v>
      </c>
      <c r="G261" s="110">
        <f t="shared" si="97"/>
        <v>0.78563112620735176</v>
      </c>
      <c r="H261" s="414" t="b">
        <f>Wh_hp&gt;='2020'!Maxi_hp</f>
        <v>0</v>
      </c>
      <c r="I261" s="380">
        <f>IF(H261,Wh_hp,'2020'!Maxi_hp)</f>
        <v>36.263260924320456</v>
      </c>
      <c r="J261" s="85">
        <f>IF(H261,An,'2020'!An_max)</f>
        <v>2019</v>
      </c>
      <c r="K261" s="197">
        <f t="shared" si="76"/>
        <v>44443</v>
      </c>
      <c r="L261" s="147">
        <f>IF(t&lt;Tvie,1-EXP((T0-t)*PertePVj)+'2020'!Pspv,1-EXP((T0-t)*PertePVj)+Pspv)</f>
        <v>2.6666073500264065E-2</v>
      </c>
      <c r="M261" s="850"/>
      <c r="N261" s="850"/>
      <c r="O261" s="48">
        <f>IF(t&lt;Tnet,'2020'!Resal+('2020'!Salim-'2020'!Resal)*(1-EXP(('2020'!Tnet-t)/('2020'!Tau_j))),Resal+(Salim-Resal)*(1-EXP((Tnet-t)/(Tau_j))))*Salcycl</f>
        <v>4.1660632497152156E-2</v>
      </c>
      <c r="P261" s="169">
        <f>(INDEX(Models!$BJ261:$BT261,,T261)*(1-R261)+INDEX(Models!$BJ261:$BT261,,T261+1)*R261-ERP_i)*Q261*Ramure*Pc/MaxiM</f>
        <v>1.1964145302233692E-10</v>
      </c>
      <c r="Q261" s="305">
        <f t="shared" si="77"/>
        <v>0.7</v>
      </c>
      <c r="R261" s="177">
        <f t="shared" si="78"/>
        <v>0.49157870521921787</v>
      </c>
      <c r="S261" s="817">
        <f t="shared" si="79"/>
        <v>-1</v>
      </c>
      <c r="T261" s="176">
        <f t="shared" si="80"/>
        <v>5</v>
      </c>
      <c r="U261" s="251">
        <f t="shared" si="81"/>
        <v>-0.50842129478078213</v>
      </c>
      <c r="V261" s="383">
        <f t="shared" si="82"/>
        <v>33.719387019344772</v>
      </c>
      <c r="W261" s="402"/>
      <c r="X261" s="157">
        <f t="shared" si="83"/>
        <v>44443</v>
      </c>
      <c r="Y261" s="385">
        <f t="shared" si="84"/>
        <v>24.285831196414769</v>
      </c>
      <c r="Z261" s="385">
        <f t="shared" si="85"/>
        <v>24.951181228985298</v>
      </c>
      <c r="AA261" s="386">
        <f t="shared" si="86"/>
        <v>28.399922990185942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0.12143489834083045</v>
      </c>
      <c r="AD261" s="231">
        <f>(INDEX(Models!$BJ261:$BT261,,AH261)*(1-AF261)+INDEX(Models!$BJ261:$BT261,,AH261+1)*AF261-ERP_i)*AE261*Ramure*Pc/MaxiM</f>
        <v>1.1964145302233692E-10</v>
      </c>
      <c r="AE261" s="305">
        <f t="shared" si="88"/>
        <v>0.7</v>
      </c>
      <c r="AF261" s="177">
        <f t="shared" si="89"/>
        <v>0.49157870521921787</v>
      </c>
      <c r="AG261" s="817">
        <f t="shared" si="95"/>
        <v>-1</v>
      </c>
      <c r="AH261" s="176">
        <f t="shared" si="90"/>
        <v>5</v>
      </c>
      <c r="AI261" s="225">
        <f t="shared" si="91"/>
        <v>-0.50842129478078213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44444</v>
      </c>
      <c r="B262" s="617">
        <v>29.53</v>
      </c>
      <c r="C262" s="390"/>
      <c r="D262" s="393">
        <f t="shared" si="74"/>
        <v>30.339687123770748</v>
      </c>
      <c r="E262" s="385">
        <f t="shared" si="96"/>
        <v>31.66365670922298</v>
      </c>
      <c r="F262" s="385">
        <f t="shared" si="75"/>
        <v>31.663656731331805</v>
      </c>
      <c r="G262" s="110">
        <f t="shared" si="97"/>
        <v>0.88027676125458509</v>
      </c>
      <c r="H262" s="414" t="b">
        <f>Wh_hp&gt;='2020'!Maxi_hp</f>
        <v>0</v>
      </c>
      <c r="I262" s="380">
        <f>IF(H262,Wh_hp,'2020'!Maxi_hp)</f>
        <v>35.661957440699879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2.6687392011250144E-2</v>
      </c>
      <c r="M262" s="850"/>
      <c r="N262" s="850"/>
      <c r="O262" s="48">
        <f>IF(t&lt;Tnet,'2020'!Resal+('2020'!Salim-'2020'!Resal)*(1-EXP(('2020'!Tnet-t)/('2020'!Tau_j))),Resal+(Salim-Resal)*(1-EXP((Tnet-t)/(Tau_j))))*Salcycl</f>
        <v>4.1813540287233761E-2</v>
      </c>
      <c r="P262" s="169">
        <f>(INDEX(Models!$BJ262:$BT262,,T262)*(1-R262)+INDEX(Models!$BJ262:$BT262,,T262+1)*R262-ERP_i)*Q262*Ramure*Pc/MaxiM</f>
        <v>8.4230128933704507E-10</v>
      </c>
      <c r="Q262" s="305">
        <f t="shared" si="77"/>
        <v>0.7</v>
      </c>
      <c r="R262" s="177">
        <f t="shared" si="78"/>
        <v>0.49191242606368979</v>
      </c>
      <c r="S262" s="817">
        <f t="shared" si="79"/>
        <v>-1</v>
      </c>
      <c r="T262" s="176">
        <f t="shared" si="80"/>
        <v>5</v>
      </c>
      <c r="U262" s="251">
        <f t="shared" si="81"/>
        <v>-0.50808757393631021</v>
      </c>
      <c r="V262" s="383">
        <f t="shared" si="82"/>
        <v>33.546267827926314</v>
      </c>
      <c r="W262" s="402"/>
      <c r="X262" s="157">
        <f t="shared" si="83"/>
        <v>44444</v>
      </c>
      <c r="Y262" s="385">
        <f t="shared" si="84"/>
        <v>27.07513835367061</v>
      </c>
      <c r="Z262" s="385">
        <f t="shared" si="85"/>
        <v>27.817515288966195</v>
      </c>
      <c r="AA262" s="386">
        <f t="shared" si="86"/>
        <v>31.66365670922298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0.12146864323274713</v>
      </c>
      <c r="AD262" s="231">
        <f>(INDEX(Models!$BJ262:$BT262,,AH262)*(1-AF262)+INDEX(Models!$BJ262:$BT262,,AH262+1)*AF262-ERP_i)*AE262*Ramure*Pc/MaxiM</f>
        <v>8.4230128933704507E-10</v>
      </c>
      <c r="AE262" s="305">
        <f t="shared" si="88"/>
        <v>0.7</v>
      </c>
      <c r="AF262" s="177">
        <f t="shared" si="89"/>
        <v>0.49191242606368979</v>
      </c>
      <c r="AG262" s="817">
        <f t="shared" si="95"/>
        <v>-1</v>
      </c>
      <c r="AH262" s="176">
        <f t="shared" si="90"/>
        <v>5</v>
      </c>
      <c r="AI262" s="225">
        <f t="shared" si="91"/>
        <v>-0.50808757393631021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44445</v>
      </c>
      <c r="B263" s="617">
        <v>31.868000000000002</v>
      </c>
      <c r="C263" s="390"/>
      <c r="D263" s="393">
        <f t="shared" si="74"/>
        <v>32.742510211727939</v>
      </c>
      <c r="E263" s="385">
        <f t="shared" si="96"/>
        <v>34.176771046820051</v>
      </c>
      <c r="F263" s="385">
        <f t="shared" si="75"/>
        <v>34.176771119484407</v>
      </c>
      <c r="G263" s="110">
        <f t="shared" si="97"/>
        <v>0.95507616559285824</v>
      </c>
      <c r="H263" s="414" t="b">
        <f>Wh_hp&gt;='2020'!Maxi_hp</f>
        <v>0</v>
      </c>
      <c r="I263" s="380">
        <f>IF(H263,Wh_hp,'2020'!Maxi_hp)</f>
        <v>37.214641888290501</v>
      </c>
      <c r="J263" s="85">
        <f>IF(H263,An,'2020'!An_max)</f>
        <v>2019</v>
      </c>
      <c r="K263" s="197">
        <f t="shared" si="76"/>
        <v>44445</v>
      </c>
      <c r="L263" s="147">
        <f>IF(t&lt;Tvie,1-EXP((T0-t)*PertePVj)+'2020'!Pspv,1-EXP((T0-t)*PertePVj)+Pspv)</f>
        <v>2.6708710055306062E-2</v>
      </c>
      <c r="M263" s="850"/>
      <c r="N263" s="850"/>
      <c r="O263" s="48">
        <f>IF(t&lt;Tnet,'2020'!Resal+('2020'!Salim-'2020'!Resal)*(1-EXP(('2020'!Tnet-t)/('2020'!Tau_j))),Resal+(Salim-Resal)*(1-EXP((Tnet-t)/(Tau_j))))*Salcycl</f>
        <v>4.1965954979400019E-2</v>
      </c>
      <c r="P263" s="169">
        <f>(INDEX(Models!$BJ263:$BT263,,T263)*(1-R263)+INDEX(Models!$BJ263:$BT263,,T263+1)*R263-ERP_i)*Q263*Ramure*Pc/MaxiM</f>
        <v>2.2719388000767201E-9</v>
      </c>
      <c r="Q263" s="305">
        <f t="shared" si="77"/>
        <v>0.7</v>
      </c>
      <c r="R263" s="177">
        <f t="shared" si="78"/>
        <v>0.4922334284888551</v>
      </c>
      <c r="S263" s="817">
        <f t="shared" si="79"/>
        <v>-1</v>
      </c>
      <c r="T263" s="176">
        <f t="shared" si="80"/>
        <v>5</v>
      </c>
      <c r="U263" s="251">
        <f t="shared" si="81"/>
        <v>-0.5077665715111449</v>
      </c>
      <c r="V263" s="383">
        <f t="shared" si="82"/>
        <v>33.366972335208018</v>
      </c>
      <c r="W263" s="402"/>
      <c r="X263" s="157">
        <f t="shared" si="83"/>
        <v>44445</v>
      </c>
      <c r="Y263" s="385">
        <f t="shared" si="84"/>
        <v>29.22232925317649</v>
      </c>
      <c r="Z263" s="385">
        <f t="shared" si="85"/>
        <v>30.024237918369753</v>
      </c>
      <c r="AA263" s="386">
        <f t="shared" si="86"/>
        <v>34.176771046820051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0.12150162233762764</v>
      </c>
      <c r="AD263" s="231">
        <f>(INDEX(Models!$BJ263:$BT263,,AH263)*(1-AF263)+INDEX(Models!$BJ263:$BT263,,AH263+1)*AF263-ERP_i)*AE263*Ramure*Pc/MaxiM</f>
        <v>2.2719388000767201E-9</v>
      </c>
      <c r="AE263" s="305">
        <f t="shared" si="88"/>
        <v>0.7</v>
      </c>
      <c r="AF263" s="177">
        <f t="shared" si="89"/>
        <v>0.4922334284888551</v>
      </c>
      <c r="AG263" s="817">
        <f t="shared" si="95"/>
        <v>-1</v>
      </c>
      <c r="AH263" s="176">
        <f t="shared" si="90"/>
        <v>5</v>
      </c>
      <c r="AI263" s="225">
        <f t="shared" si="91"/>
        <v>-0.5077665715111449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44446</v>
      </c>
      <c r="B264" s="617">
        <v>24.536000000000001</v>
      </c>
      <c r="C264" s="390"/>
      <c r="D264" s="393">
        <f t="shared" si="74"/>
        <v>25.20986026139715</v>
      </c>
      <c r="E264" s="385">
        <f t="shared" si="96"/>
        <v>26.318332225005022</v>
      </c>
      <c r="F264" s="385">
        <f t="shared" si="75"/>
        <v>26.318332298042655</v>
      </c>
      <c r="G264" s="110">
        <f t="shared" si="97"/>
        <v>0.73943475271673442</v>
      </c>
      <c r="H264" s="414" t="b">
        <f>Wh_hp&gt;='2020'!Maxi_hp</f>
        <v>0</v>
      </c>
      <c r="I264" s="380">
        <f>IF(H264,Wh_hp,'2020'!Maxi_hp)</f>
        <v>35.695847850032024</v>
      </c>
      <c r="J264" s="85">
        <f>IF(H264,An,'2020'!An_max)</f>
        <v>2019</v>
      </c>
      <c r="K264" s="197">
        <f t="shared" si="76"/>
        <v>44446</v>
      </c>
      <c r="L264" s="147">
        <f>IF(t&lt;Tvie,1-EXP((T0-t)*PertePVj)+'2020'!Pspv,1-EXP((T0-t)*PertePVj)+Pspv)</f>
        <v>2.6730027632442033E-2</v>
      </c>
      <c r="M264" s="850"/>
      <c r="N264" s="850"/>
      <c r="O264" s="48">
        <f>IF(t&lt;Tnet,'2020'!Resal+('2020'!Salim-'2020'!Resal)*(1-EXP(('2020'!Tnet-t)/('2020'!Tau_j))),Resal+(Salim-Resal)*(1-EXP((Tnet-t)/(Tau_j))))*Salcycl</f>
        <v>4.2117864997338855E-2</v>
      </c>
      <c r="P264" s="169">
        <f>(INDEX(Models!$BJ264:$BT264,,T264)*(1-R264)+INDEX(Models!$BJ264:$BT264,,T264+1)*R264-ERP_i)*Q264*Ramure*Pc/MaxiM</f>
        <v>4.4207093739623333E-9</v>
      </c>
      <c r="Q264" s="305">
        <f t="shared" si="77"/>
        <v>0.7</v>
      </c>
      <c r="R264" s="177">
        <f t="shared" si="78"/>
        <v>0.49254217009233603</v>
      </c>
      <c r="S264" s="817">
        <f t="shared" si="79"/>
        <v>-1</v>
      </c>
      <c r="T264" s="176">
        <f t="shared" si="80"/>
        <v>5</v>
      </c>
      <c r="U264" s="251">
        <f t="shared" si="81"/>
        <v>-0.50745782990766397</v>
      </c>
      <c r="V264" s="383">
        <f t="shared" si="82"/>
        <v>33.182102774420443</v>
      </c>
      <c r="W264" s="402"/>
      <c r="X264" s="157">
        <f t="shared" si="83"/>
        <v>44446</v>
      </c>
      <c r="Y264" s="385">
        <f t="shared" si="84"/>
        <v>22.501773125579426</v>
      </c>
      <c r="Z264" s="385">
        <f t="shared" si="85"/>
        <v>23.119765085161358</v>
      </c>
      <c r="AA264" s="386">
        <f t="shared" si="86"/>
        <v>26.318332225005022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0.12153380816451245</v>
      </c>
      <c r="AD264" s="231">
        <f>(INDEX(Models!$BJ264:$BT264,,AH264)*(1-AF264)+INDEX(Models!$BJ264:$BT264,,AH264+1)*AF264-ERP_i)*AE264*Ramure*Pc/MaxiM</f>
        <v>4.4207093739623333E-9</v>
      </c>
      <c r="AE264" s="305">
        <f t="shared" si="88"/>
        <v>0.7</v>
      </c>
      <c r="AF264" s="177">
        <f t="shared" si="89"/>
        <v>0.49254217009233603</v>
      </c>
      <c r="AG264" s="817">
        <f t="shared" si="95"/>
        <v>-1</v>
      </c>
      <c r="AH264" s="176">
        <f t="shared" si="90"/>
        <v>5</v>
      </c>
      <c r="AI264" s="225">
        <f t="shared" si="91"/>
        <v>-0.50745782990766397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44447</v>
      </c>
      <c r="B265" s="617">
        <v>22.216000000000001</v>
      </c>
      <c r="C265" s="390"/>
      <c r="D265" s="393">
        <f t="shared" si="74"/>
        <v>22.826643407101329</v>
      </c>
      <c r="E265" s="385">
        <f t="shared" si="96"/>
        <v>23.834092832018243</v>
      </c>
      <c r="F265" s="385">
        <f t="shared" si="75"/>
        <v>23.834092924840011</v>
      </c>
      <c r="G265" s="110">
        <f t="shared" si="97"/>
        <v>0.6733700356101151</v>
      </c>
      <c r="H265" s="414" t="b">
        <f>Wh_hp&gt;='2020'!Maxi_hp</f>
        <v>0</v>
      </c>
      <c r="I265" s="380">
        <f>IF(H265,Wh_hp,'2020'!Maxi_hp)</f>
        <v>32.004308101052679</v>
      </c>
      <c r="J265" s="85">
        <f>IF(H265,An,'2020'!An_max)</f>
        <v>2018</v>
      </c>
      <c r="K265" s="197">
        <f t="shared" si="76"/>
        <v>44447</v>
      </c>
      <c r="L265" s="147">
        <f>IF(t&lt;Tvie,1-EXP((T0-t)*PertePVj)+'2020'!Pspv,1-EXP((T0-t)*PertePVj)+Pspv)</f>
        <v>2.6751344742668492E-2</v>
      </c>
      <c r="M265" s="850"/>
      <c r="N265" s="850"/>
      <c r="O265" s="48">
        <f>IF(t&lt;Tnet,'2020'!Resal+('2020'!Salim-'2020'!Resal)*(1-EXP(('2020'!Tnet-t)/('2020'!Tau_j))),Resal+(Salim-Resal)*(1-EXP((Tnet-t)/(Tau_j))))*Salcycl</f>
        <v>4.2269258243532754E-2</v>
      </c>
      <c r="P265" s="169">
        <f>(INDEX(Models!$BJ265:$BT265,,T265)*(1-R265)+INDEX(Models!$BJ265:$BT265,,T265+1)*R265-ERP_i)*Q265*Ramure*Pc/MaxiM</f>
        <v>7.3014612283205293E-9</v>
      </c>
      <c r="Q265" s="305">
        <f t="shared" si="77"/>
        <v>0.7</v>
      </c>
      <c r="R265" s="177">
        <f t="shared" si="78"/>
        <v>0.49283909410166515</v>
      </c>
      <c r="S265" s="817">
        <f t="shared" si="79"/>
        <v>-1</v>
      </c>
      <c r="T265" s="176">
        <f t="shared" si="80"/>
        <v>5</v>
      </c>
      <c r="U265" s="251">
        <f t="shared" si="81"/>
        <v>-0.50716090589833485</v>
      </c>
      <c r="V265" s="383">
        <f t="shared" si="82"/>
        <v>32.992260940423009</v>
      </c>
      <c r="W265" s="402"/>
      <c r="X265" s="157">
        <f t="shared" si="83"/>
        <v>44447</v>
      </c>
      <c r="Y265" s="385">
        <f t="shared" si="84"/>
        <v>20.37661243041487</v>
      </c>
      <c r="Z265" s="385">
        <f t="shared" si="85"/>
        <v>20.93669723594655</v>
      </c>
      <c r="AA265" s="386">
        <f t="shared" si="86"/>
        <v>23.834092832018243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0.12156517206223981</v>
      </c>
      <c r="AD265" s="231">
        <f>(INDEX(Models!$BJ265:$BT265,,AH265)*(1-AF265)+INDEX(Models!$BJ265:$BT265,,AH265+1)*AF265-ERP_i)*AE265*Ramure*Pc/MaxiM</f>
        <v>7.3014612283205293E-9</v>
      </c>
      <c r="AE265" s="305">
        <f t="shared" si="88"/>
        <v>0.7</v>
      </c>
      <c r="AF265" s="177">
        <f t="shared" si="89"/>
        <v>0.49283909410166515</v>
      </c>
      <c r="AG265" s="817">
        <f t="shared" si="95"/>
        <v>-1</v>
      </c>
      <c r="AH265" s="176">
        <f t="shared" si="90"/>
        <v>5</v>
      </c>
      <c r="AI265" s="225">
        <f t="shared" si="91"/>
        <v>-0.50716090589833485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44448</v>
      </c>
      <c r="B266" s="617">
        <v>13.567</v>
      </c>
      <c r="C266" s="390"/>
      <c r="D266" s="393">
        <f t="shared" si="74"/>
        <v>13.940216701393815</v>
      </c>
      <c r="E266" s="385">
        <f t="shared" si="96"/>
        <v>14.557758598345279</v>
      </c>
      <c r="F266" s="385">
        <f t="shared" si="75"/>
        <v>14.557758624173982</v>
      </c>
      <c r="G266" s="110">
        <f t="shared" si="97"/>
        <v>0.41365266002938011</v>
      </c>
      <c r="H266" s="414" t="b">
        <f>Wh_hp&gt;='2020'!Maxi_hp</f>
        <v>0</v>
      </c>
      <c r="I266" s="380">
        <f>IF(H266,Wh_hp,'2020'!Maxi_hp)</f>
        <v>33.483412316512208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2.6772661385995433E-2</v>
      </c>
      <c r="M266" s="850"/>
      <c r="N266" s="850"/>
      <c r="O266" s="48">
        <f>IF(t&lt;Tnet,'2020'!Resal+('2020'!Salim-'2020'!Resal)*(1-EXP(('2020'!Tnet-t)/('2020'!Tau_j))),Resal+(Salim-Resal)*(1-EXP((Tnet-t)/(Tau_j))))*Salcycl</f>
        <v>4.2420122079896087E-2</v>
      </c>
      <c r="P266" s="169">
        <f>(INDEX(Models!$BJ266:$BT266,,T266)*(1-R266)+INDEX(Models!$BJ266:$BT266,,T266+1)*R266-ERP_i)*Q266*Ramure*Pc/MaxiM</f>
        <v>1.0927642561358453E-8</v>
      </c>
      <c r="Q266" s="305">
        <f t="shared" si="77"/>
        <v>0.7</v>
      </c>
      <c r="R266" s="177">
        <f t="shared" si="78"/>
        <v>0.49312462966015191</v>
      </c>
      <c r="S266" s="817">
        <f t="shared" si="79"/>
        <v>-1</v>
      </c>
      <c r="T266" s="176">
        <f t="shared" si="80"/>
        <v>5</v>
      </c>
      <c r="U266" s="251">
        <f t="shared" si="81"/>
        <v>-0.50687537033984809</v>
      </c>
      <c r="V266" s="383">
        <f t="shared" si="82"/>
        <v>32.798048185770014</v>
      </c>
      <c r="W266" s="402"/>
      <c r="X266" s="157">
        <f t="shared" si="83"/>
        <v>44448</v>
      </c>
      <c r="Y266" s="385">
        <f t="shared" si="84"/>
        <v>12.445239950736498</v>
      </c>
      <c r="Z266" s="385">
        <f t="shared" si="85"/>
        <v>12.78759798143366</v>
      </c>
      <c r="AA266" s="386">
        <f t="shared" si="86"/>
        <v>14.557758598345279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0.12159568418127405</v>
      </c>
      <c r="AD266" s="231">
        <f>(INDEX(Models!$BJ266:$BT266,,AH266)*(1-AF266)+INDEX(Models!$BJ266:$BT266,,AH266+1)*AF266-ERP_i)*AE266*Ramure*Pc/MaxiM</f>
        <v>1.0927642561358453E-8</v>
      </c>
      <c r="AE266" s="305">
        <f t="shared" si="88"/>
        <v>0.7</v>
      </c>
      <c r="AF266" s="177">
        <f t="shared" si="89"/>
        <v>0.49312462966015191</v>
      </c>
      <c r="AG266" s="817">
        <f t="shared" si="95"/>
        <v>-1</v>
      </c>
      <c r="AH266" s="176">
        <f t="shared" si="90"/>
        <v>5</v>
      </c>
      <c r="AI266" s="225">
        <f t="shared" si="91"/>
        <v>-0.50687537033984809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44449</v>
      </c>
      <c r="B267" s="617">
        <v>24.663</v>
      </c>
      <c r="C267" s="390"/>
      <c r="D267" s="393">
        <f t="shared" si="74"/>
        <v>25.342013336731259</v>
      </c>
      <c r="E267" s="385">
        <f t="shared" si="96"/>
        <v>26.468801970546409</v>
      </c>
      <c r="F267" s="385">
        <f t="shared" si="75"/>
        <v>26.46880223489298</v>
      </c>
      <c r="G267" s="110">
        <f t="shared" si="97"/>
        <v>0.75653221993042596</v>
      </c>
      <c r="H267" s="414" t="b">
        <f>Wh_hp&gt;='2020'!Maxi_hp</f>
        <v>0</v>
      </c>
      <c r="I267" s="380">
        <f>IF(H267,Wh_hp,'2020'!Maxi_hp)</f>
        <v>27.425766872188039</v>
      </c>
      <c r="J267" s="85">
        <f>IF(H267,An,'2020'!An_max)</f>
        <v>2018</v>
      </c>
      <c r="K267" s="197">
        <f t="shared" si="76"/>
        <v>44449</v>
      </c>
      <c r="L267" s="147">
        <f>IF(t&lt;Tvie,1-EXP((T0-t)*PertePVj)+'2020'!Pspv,1-EXP((T0-t)*PertePVj)+Pspv)</f>
        <v>2.679397756243318E-2</v>
      </c>
      <c r="M267" s="850"/>
      <c r="N267" s="850"/>
      <c r="O267" s="48">
        <f>IF(t&lt;Tnet,'2020'!Resal+('2020'!Salim-'2020'!Resal)*(1-EXP(('2020'!Tnet-t)/('2020'!Tau_j))),Resal+(Salim-Resal)*(1-EXP((Tnet-t)/(Tau_j))))*Salcycl</f>
        <v>4.2570443311676871E-2</v>
      </c>
      <c r="P267" s="169">
        <f>(INDEX(Models!$BJ267:$BT267,,T267)*(1-R267)+INDEX(Models!$BJ267:$BT267,,T267+1)*R267-ERP_i)*Q267*Ramure*Pc/MaxiM</f>
        <v>1.5313201402252242E-8</v>
      </c>
      <c r="Q267" s="305">
        <f t="shared" si="77"/>
        <v>0.7</v>
      </c>
      <c r="R267" s="177">
        <f t="shared" si="78"/>
        <v>0.49339919212136185</v>
      </c>
      <c r="S267" s="817">
        <f t="shared" si="79"/>
        <v>-1</v>
      </c>
      <c r="T267" s="176">
        <f t="shared" si="80"/>
        <v>5</v>
      </c>
      <c r="U267" s="251">
        <f t="shared" si="81"/>
        <v>-0.50660080787863815</v>
      </c>
      <c r="V267" s="383">
        <f t="shared" si="82"/>
        <v>32.600065428687856</v>
      </c>
      <c r="W267" s="402"/>
      <c r="X267" s="157">
        <f t="shared" si="83"/>
        <v>44449</v>
      </c>
      <c r="Y267" s="385">
        <f t="shared" si="84"/>
        <v>22.626578366167774</v>
      </c>
      <c r="Z267" s="385">
        <f t="shared" si="85"/>
        <v>23.249525634351812</v>
      </c>
      <c r="AA267" s="386">
        <f t="shared" si="86"/>
        <v>26.468801970546409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0.12162531344550073</v>
      </c>
      <c r="AD267" s="231">
        <f>(INDEX(Models!$BJ267:$BT267,,AH267)*(1-AF267)+INDEX(Models!$BJ267:$BT267,,AH267+1)*AF267-ERP_i)*AE267*Ramure*Pc/MaxiM</f>
        <v>1.5313201402252242E-8</v>
      </c>
      <c r="AE267" s="305">
        <f t="shared" si="88"/>
        <v>0.7</v>
      </c>
      <c r="AF267" s="177">
        <f t="shared" si="89"/>
        <v>0.49339919212136185</v>
      </c>
      <c r="AG267" s="817">
        <f t="shared" si="95"/>
        <v>-1</v>
      </c>
      <c r="AH267" s="176">
        <f t="shared" si="90"/>
        <v>5</v>
      </c>
      <c r="AI267" s="225">
        <f t="shared" si="91"/>
        <v>-0.50660080787863815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44450</v>
      </c>
      <c r="B268" s="617">
        <v>25.493000000000002</v>
      </c>
      <c r="C268" s="390"/>
      <c r="D268" s="393">
        <f t="shared" si="74"/>
        <v>26.195438362067222</v>
      </c>
      <c r="E268" s="385">
        <f t="shared" si="96"/>
        <v>27.364453512736002</v>
      </c>
      <c r="F268" s="385">
        <f t="shared" si="75"/>
        <v>27.364529131115255</v>
      </c>
      <c r="G268" s="110">
        <f t="shared" si="97"/>
        <v>0.78684954037706611</v>
      </c>
      <c r="H268" s="414" t="b">
        <f>Wh_hp&gt;='2020'!Maxi_hp</f>
        <v>0</v>
      </c>
      <c r="I268" s="380">
        <f>IF(H268,Wh_hp,'2020'!Maxi_hp)</f>
        <v>31.816202174963337</v>
      </c>
      <c r="J268" s="85">
        <f>IF(H268,An,'2020'!An_max)</f>
        <v>2018</v>
      </c>
      <c r="K268" s="197">
        <f t="shared" si="76"/>
        <v>44450</v>
      </c>
      <c r="L268" s="147">
        <f>IF(t&lt;Tvie,1-EXP((T0-t)*PertePVj)+'2020'!Pspv,1-EXP((T0-t)*PertePVj)+Pspv)</f>
        <v>2.6815293271991947E-2</v>
      </c>
      <c r="M268" s="850"/>
      <c r="N268" s="850"/>
      <c r="O268" s="48">
        <f>IF(t&lt;Tnet,'2020'!Resal+('2020'!Salim-'2020'!Resal)*(1-EXP(('2020'!Tnet-t)/('2020'!Tau_j))),Resal+(Salim-Resal)*(1-EXP((Tnet-t)/(Tau_j))))*Salcycl</f>
        <v>4.2720208175350417E-2</v>
      </c>
      <c r="P268" s="169">
        <f>(INDEX(Models!$BJ268:$BT268,,T268)*(1-R268)+INDEX(Models!$BJ268:$BT268,,T268+1)*R268-ERP_i)*Q268*Ramure*Pc/MaxiM</f>
        <v>3.9732126704150791E-6</v>
      </c>
      <c r="Q268" s="305">
        <f t="shared" si="77"/>
        <v>0.7</v>
      </c>
      <c r="R268" s="177">
        <f t="shared" si="78"/>
        <v>0.49366318335059534</v>
      </c>
      <c r="S268" s="817">
        <f t="shared" si="79"/>
        <v>-1</v>
      </c>
      <c r="T268" s="176">
        <f t="shared" si="80"/>
        <v>5</v>
      </c>
      <c r="U268" s="251">
        <f t="shared" si="81"/>
        <v>-0.50633681664940466</v>
      </c>
      <c r="V268" s="383">
        <f t="shared" si="82"/>
        <v>32.398785090775235</v>
      </c>
      <c r="W268" s="402"/>
      <c r="X268" s="157">
        <f t="shared" si="83"/>
        <v>44450</v>
      </c>
      <c r="Y268" s="385">
        <f t="shared" si="84"/>
        <v>23.390939688958586</v>
      </c>
      <c r="Z268" s="385">
        <f t="shared" si="85"/>
        <v>24.035457531594808</v>
      </c>
      <c r="AA268" s="386">
        <f t="shared" si="86"/>
        <v>27.364453512736002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0.12165402753582524</v>
      </c>
      <c r="AD268" s="231">
        <f>(INDEX(Models!$BJ268:$BT268,,AH268)*(1-AF268)+INDEX(Models!$BJ268:$BT268,,AH268+1)*AF268-ERP_i)*AE268*Ramure*Pc/MaxiM</f>
        <v>3.9732126704150791E-6</v>
      </c>
      <c r="AE268" s="305">
        <f t="shared" si="88"/>
        <v>0.7</v>
      </c>
      <c r="AF268" s="177">
        <f t="shared" si="89"/>
        <v>0.49366318335059534</v>
      </c>
      <c r="AG268" s="817">
        <f t="shared" si="95"/>
        <v>-1</v>
      </c>
      <c r="AH268" s="176">
        <f t="shared" si="90"/>
        <v>5</v>
      </c>
      <c r="AI268" s="225">
        <f t="shared" si="91"/>
        <v>-0.50633681664940466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44451</v>
      </c>
      <c r="B269" s="617">
        <v>30.198</v>
      </c>
      <c r="C269" s="390"/>
      <c r="D269" s="393">
        <f t="shared" si="74"/>
        <v>31.030760367906417</v>
      </c>
      <c r="E269" s="385">
        <f t="shared" si="96"/>
        <v>32.420612655666666</v>
      </c>
      <c r="F269" s="385">
        <f t="shared" si="75"/>
        <v>32.420965982994922</v>
      </c>
      <c r="G269" s="110">
        <f t="shared" si="97"/>
        <v>0.93797635538035196</v>
      </c>
      <c r="H269" s="414" t="b">
        <f>Wh_hp&gt;='2020'!Maxi_hp</f>
        <v>0</v>
      </c>
      <c r="I269" s="380">
        <f>IF(H269,Wh_hp,'2020'!Maxi_hp)</f>
        <v>34.361918081315721</v>
      </c>
      <c r="J269" s="85">
        <f>IF(H269,An,'2020'!An_max)</f>
        <v>2019</v>
      </c>
      <c r="K269" s="197">
        <f t="shared" si="76"/>
        <v>44451</v>
      </c>
      <c r="L269" s="147">
        <f>IF(t&lt;Tvie,1-EXP((T0-t)*PertePVj)+'2020'!Pspv,1-EXP((T0-t)*PertePVj)+Pspv)</f>
        <v>2.6836608514682059E-2</v>
      </c>
      <c r="M269" s="850"/>
      <c r="N269" s="850"/>
      <c r="O269" s="48">
        <f>IF(t&lt;Tnet,'2020'!Resal+('2020'!Salim-'2020'!Resal)*(1-EXP(('2020'!Tnet-t)/('2020'!Tau_j))),Resal+(Salim-Resal)*(1-EXP((Tnet-t)/(Tau_j))))*Salcycl</f>
        <v>4.2869402331214848E-2</v>
      </c>
      <c r="P269" s="169">
        <f>(INDEX(Models!$BJ269:$BT269,,T269)*(1-R269)+INDEX(Models!$BJ269:$BT269,,T269+1)*R269-ERP_i)*Q269*Ramure*Pc/MaxiM</f>
        <v>1.195760103725513E-5</v>
      </c>
      <c r="Q269" s="305">
        <f t="shared" si="77"/>
        <v>0.7</v>
      </c>
      <c r="R269" s="177">
        <f t="shared" si="78"/>
        <v>0.49391699203187944</v>
      </c>
      <c r="S269" s="817">
        <f t="shared" si="79"/>
        <v>-1</v>
      </c>
      <c r="T269" s="176">
        <f t="shared" si="80"/>
        <v>5</v>
      </c>
      <c r="U269" s="251">
        <f t="shared" si="81"/>
        <v>-0.50608300796812056</v>
      </c>
      <c r="V269" s="383">
        <f t="shared" si="82"/>
        <v>32.19480729124048</v>
      </c>
      <c r="W269" s="402"/>
      <c r="X269" s="157">
        <f t="shared" si="83"/>
        <v>44451</v>
      </c>
      <c r="Y269" s="385">
        <f t="shared" si="84"/>
        <v>27.711425465855978</v>
      </c>
      <c r="Z269" s="385">
        <f t="shared" si="85"/>
        <v>28.475614381219824</v>
      </c>
      <c r="AA269" s="386">
        <f t="shared" si="86"/>
        <v>32.420612655666666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0.12168179288731951</v>
      </c>
      <c r="AD269" s="231">
        <f>(INDEX(Models!$BJ269:$BT269,,AH269)*(1-AF269)+INDEX(Models!$BJ269:$BT269,,AH269+1)*AF269-ERP_i)*AE269*Ramure*Pc/MaxiM</f>
        <v>1.195760103725513E-5</v>
      </c>
      <c r="AE269" s="305">
        <f t="shared" si="88"/>
        <v>0.7</v>
      </c>
      <c r="AF269" s="177">
        <f t="shared" si="89"/>
        <v>0.49391699203187944</v>
      </c>
      <c r="AG269" s="817">
        <f t="shared" si="95"/>
        <v>-1</v>
      </c>
      <c r="AH269" s="176">
        <f t="shared" si="90"/>
        <v>5</v>
      </c>
      <c r="AI269" s="225">
        <f t="shared" si="91"/>
        <v>-0.50608300796812056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44452</v>
      </c>
      <c r="B270" s="617">
        <v>21.231000000000002</v>
      </c>
      <c r="C270" s="390"/>
      <c r="D270" s="393">
        <f t="shared" si="74"/>
        <v>21.816958189485543</v>
      </c>
      <c r="E270" s="385">
        <f t="shared" si="96"/>
        <v>22.797668542459039</v>
      </c>
      <c r="F270" s="385">
        <f t="shared" si="75"/>
        <v>22.797953347131141</v>
      </c>
      <c r="G270" s="110">
        <f t="shared" si="97"/>
        <v>0.66369479464162895</v>
      </c>
      <c r="H270" s="414" t="b">
        <f>Wh_hp&gt;='2020'!Maxi_hp</f>
        <v>0</v>
      </c>
      <c r="I270" s="380">
        <f>IF(H270,Wh_hp,'2020'!Maxi_hp)</f>
        <v>32.643598753916862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2.6857923290513508E-2</v>
      </c>
      <c r="M270" s="850"/>
      <c r="N270" s="850"/>
      <c r="O270" s="48">
        <f>IF(t&lt;Tnet,'2020'!Resal+('2020'!Salim-'2020'!Resal)*(1-EXP(('2020'!Tnet-t)/('2020'!Tau_j))),Resal+(Salim-Resal)*(1-EXP((Tnet-t)/(Tau_j))))*Salcycl</f>
        <v>4.3018010861373496E-2</v>
      </c>
      <c r="P270" s="169">
        <f>(INDEX(Models!$BJ270:$BT270,,T270)*(1-R270)+INDEX(Models!$BJ270:$BT270,,T270+1)*R270-ERP_i)*Q270*Ramure*Pc/MaxiM</f>
        <v>2.4043796786745449E-5</v>
      </c>
      <c r="Q270" s="305">
        <f t="shared" si="77"/>
        <v>0.7</v>
      </c>
      <c r="R270" s="177">
        <f t="shared" si="78"/>
        <v>0.49416099397911539</v>
      </c>
      <c r="S270" s="817">
        <f t="shared" si="79"/>
        <v>-1</v>
      </c>
      <c r="T270" s="176">
        <f t="shared" si="80"/>
        <v>5</v>
      </c>
      <c r="U270" s="251">
        <f t="shared" si="81"/>
        <v>-0.50583900602088461</v>
      </c>
      <c r="V270" s="383">
        <f t="shared" si="82"/>
        <v>31.988731754288782</v>
      </c>
      <c r="W270" s="402"/>
      <c r="X270" s="157">
        <f t="shared" si="83"/>
        <v>44452</v>
      </c>
      <c r="Y270" s="385">
        <f t="shared" si="84"/>
        <v>19.48522068560094</v>
      </c>
      <c r="Z270" s="385">
        <f t="shared" si="85"/>
        <v>20.0229967976381</v>
      </c>
      <c r="AA270" s="386">
        <f t="shared" si="86"/>
        <v>22.797668542459039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0.12170857470154492</v>
      </c>
      <c r="AD270" s="231">
        <f>(INDEX(Models!$BJ270:$BT270,,AH270)*(1-AF270)+INDEX(Models!$BJ270:$BT270,,AH270+1)*AF270-ERP_i)*AE270*Ramure*Pc/MaxiM</f>
        <v>2.4043796786745449E-5</v>
      </c>
      <c r="AE270" s="305">
        <f t="shared" si="88"/>
        <v>0.7</v>
      </c>
      <c r="AF270" s="177">
        <f t="shared" si="89"/>
        <v>0.49416099397911539</v>
      </c>
      <c r="AG270" s="817">
        <f t="shared" si="95"/>
        <v>-1</v>
      </c>
      <c r="AH270" s="176">
        <f t="shared" si="90"/>
        <v>5</v>
      </c>
      <c r="AI270" s="225">
        <f t="shared" si="91"/>
        <v>-0.50583900602088461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44453</v>
      </c>
      <c r="B271" s="617">
        <v>12.548</v>
      </c>
      <c r="C271" s="390"/>
      <c r="D271" s="393">
        <f t="shared" ref="D271:D334" si="98">Wh/(1-Ppv)</f>
        <v>12.894596934759134</v>
      </c>
      <c r="E271" s="385">
        <f t="shared" si="96"/>
        <v>13.476315830146083</v>
      </c>
      <c r="F271" s="385">
        <f t="shared" ref="F271:F334" si="99">Wh_sa/(1-Pvg*MEDIAN((-Sdif+Wh/Env_an)/Csdif,0,1))</f>
        <v>13.476389416781837</v>
      </c>
      <c r="G271" s="110">
        <f t="shared" si="97"/>
        <v>0.39481137830938856</v>
      </c>
      <c r="H271" s="414" t="b">
        <f>Wh_hp&gt;='2020'!Maxi_hp</f>
        <v>0</v>
      </c>
      <c r="I271" s="380">
        <f>IF(H271,Wh_hp,'2020'!Maxi_hp)</f>
        <v>31.813436700328825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2.6879237599496841E-2</v>
      </c>
      <c r="M271" s="850"/>
      <c r="N271" s="850"/>
      <c r="O271" s="48">
        <f>IF(t&lt;Tnet,'2020'!Resal+('2020'!Salim-'2020'!Resal)*(1-EXP(('2020'!Tnet-t)/('2020'!Tau_j))),Resal+(Salim-Resal)*(1-EXP((Tnet-t)/(Tau_j))))*Salcycl</f>
        <v>4.3166018273752722E-2</v>
      </c>
      <c r="P271" s="169">
        <f>(INDEX(Models!$BJ271:$BT271,,T271)*(1-R271)+INDEX(Models!$BJ271:$BT271,,T271+1)*R271-ERP_i)*Q271*Ramure*Pc/MaxiM</f>
        <v>4.030880800680237E-5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0.49439555245013955</v>
      </c>
      <c r="S271" s="817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-0.50560444754986045</v>
      </c>
      <c r="V271" s="383">
        <f t="shared" ref="V271:V334" si="106">MaxiM*(1-Ppv)*(1-Pvg)*(1-Psa)</f>
        <v>31.781157811778932</v>
      </c>
      <c r="W271" s="402"/>
      <c r="X271" s="157">
        <f t="shared" ref="X271:X334" si="107">t</f>
        <v>44453</v>
      </c>
      <c r="Y271" s="385">
        <f t="shared" ref="Y271:Y334" si="108">Wh_pvt_s*(1-Ppv)</f>
        <v>11.517648568196339</v>
      </c>
      <c r="Z271" s="385">
        <f t="shared" ref="Z271:Z334" si="109">Wh_sa_s*(1-Psa_s)</f>
        <v>11.835785457690266</v>
      </c>
      <c r="AA271" s="386">
        <f t="shared" ref="AA271:AA334" si="110">Wh_hp*(1-Pvg_s*MEDIAN((-Sdif+Wh/Env_an)/Csdif,0,1))</f>
        <v>13.476315830146083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0.12173433697554069</v>
      </c>
      <c r="AD271" s="231">
        <f>(INDEX(Models!$BJ271:$BT271,,AH271)*(1-AF271)+INDEX(Models!$BJ271:$BT271,,AH271+1)*AF271-ERP_i)*AE271*Ramure*Pc/MaxiM</f>
        <v>4.030880800680237E-5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0.49439555245013955</v>
      </c>
      <c r="AG271" s="817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-0.50560444754986045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44454</v>
      </c>
      <c r="B272" s="617">
        <v>19.908999999999999</v>
      </c>
      <c r="C272" s="390"/>
      <c r="D272" s="393">
        <f t="shared" si="98"/>
        <v>20.459368289125106</v>
      </c>
      <c r="E272" s="385">
        <f t="shared" si="96"/>
        <v>21.38565385067173</v>
      </c>
      <c r="F272" s="385">
        <f t="shared" si="99"/>
        <v>21.386268222837312</v>
      </c>
      <c r="G272" s="110">
        <f t="shared" si="97"/>
        <v>0.63055648307459977</v>
      </c>
      <c r="H272" s="414" t="b">
        <f>Wh_hp&gt;='2020'!Maxi_hp</f>
        <v>0</v>
      </c>
      <c r="I272" s="380">
        <f>IF(H272,Wh_hp,'2020'!Maxi_hp)</f>
        <v>32.156591580426863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2.690055144164194E-2</v>
      </c>
      <c r="M272" s="850"/>
      <c r="N272" s="850"/>
      <c r="O272" s="48">
        <f>IF(t&lt;Tnet,'2020'!Resal+('2020'!Salim-'2020'!Resal)*(1-EXP(('2020'!Tnet-t)/('2020'!Tau_j))),Resal+(Salim-Resal)*(1-EXP((Tnet-t)/(Tau_j))))*Salcycl</f>
        <v>4.3313408512760145E-2</v>
      </c>
      <c r="P272" s="169">
        <f>(INDEX(Models!$BJ272:$BT272,,T272)*(1-R272)+INDEX(Models!$BJ272:$BT272,,T272+1)*R272-ERP_i)*Q272*Ramure*Pc/MaxiM</f>
        <v>6.083062610301134E-5</v>
      </c>
      <c r="Q272" s="305">
        <f t="shared" si="101"/>
        <v>0.7</v>
      </c>
      <c r="R272" s="177">
        <f t="shared" si="102"/>
        <v>0.49462101846256634</v>
      </c>
      <c r="S272" s="817">
        <f t="shared" si="103"/>
        <v>-1</v>
      </c>
      <c r="T272" s="176">
        <f t="shared" si="104"/>
        <v>5</v>
      </c>
      <c r="U272" s="251">
        <f t="shared" si="105"/>
        <v>-0.50537898153743366</v>
      </c>
      <c r="V272" s="383">
        <f t="shared" si="106"/>
        <v>31.572684403625395</v>
      </c>
      <c r="W272" s="402"/>
      <c r="X272" s="157">
        <f t="shared" si="107"/>
        <v>44454</v>
      </c>
      <c r="Y272" s="385">
        <f t="shared" si="108"/>
        <v>18.276517490136722</v>
      </c>
      <c r="Z272" s="385">
        <f t="shared" si="109"/>
        <v>18.781757113533761</v>
      </c>
      <c r="AA272" s="386">
        <f t="shared" si="110"/>
        <v>21.38565385067173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0.12175904254880561</v>
      </c>
      <c r="AD272" s="231">
        <f>(INDEX(Models!$BJ272:$BT272,,AH272)*(1-AF272)+INDEX(Models!$BJ272:$BT272,,AH272+1)*AF272-ERP_i)*AE272*Ramure*Pc/MaxiM</f>
        <v>6.083062610301134E-5</v>
      </c>
      <c r="AE272" s="305">
        <f t="shared" si="112"/>
        <v>0.7</v>
      </c>
      <c r="AF272" s="177">
        <f t="shared" si="113"/>
        <v>0.49462101846256634</v>
      </c>
      <c r="AG272" s="817">
        <f t="shared" ref="AG272:AG335" si="119">INDEX(Echel_vg,AH272)</f>
        <v>-1</v>
      </c>
      <c r="AH272" s="176">
        <f t="shared" si="114"/>
        <v>5</v>
      </c>
      <c r="AI272" s="225">
        <f t="shared" si="115"/>
        <v>-0.50537898153743366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44455</v>
      </c>
      <c r="B273" s="617">
        <v>14.41</v>
      </c>
      <c r="C273" s="390"/>
      <c r="D273" s="393">
        <f t="shared" si="98"/>
        <v>14.808677205853989</v>
      </c>
      <c r="E273" s="385">
        <f t="shared" si="96"/>
        <v>15.481506011195014</v>
      </c>
      <c r="F273" s="385">
        <f t="shared" si="99"/>
        <v>15.481808182025901</v>
      </c>
      <c r="G273" s="110">
        <f t="shared" si="97"/>
        <v>0.45941486371614276</v>
      </c>
      <c r="H273" s="414" t="b">
        <f>Wh_hp&gt;='2020'!Maxi_hp</f>
        <v>0</v>
      </c>
      <c r="I273" s="380">
        <f>IF(H273,Wh_hp,'2020'!Maxi_hp)</f>
        <v>31.548663581663206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2.6921864816959351E-2</v>
      </c>
      <c r="M273" s="850"/>
      <c r="N273" s="850"/>
      <c r="O273" s="48">
        <f>IF(t&lt;Tnet,'2020'!Resal+('2020'!Salim-'2020'!Resal)*(1-EXP(('2020'!Tnet-t)/('2020'!Tau_j))),Resal+(Salim-Resal)*(1-EXP((Tnet-t)/(Tau_j))))*Salcycl</f>
        <v>4.3460164977133862E-2</v>
      </c>
      <c r="P273" s="169">
        <f>(INDEX(Models!$BJ273:$BT273,,T273)*(1-R273)+INDEX(Models!$BJ273:$BT273,,T273+1)*R273-ERP_i)*Q273*Ramure*Pc/MaxiM</f>
        <v>8.5687459739721873E-5</v>
      </c>
      <c r="Q273" s="305">
        <f t="shared" si="101"/>
        <v>0.7</v>
      </c>
      <c r="R273" s="177">
        <f t="shared" si="102"/>
        <v>0.49483773111038709</v>
      </c>
      <c r="S273" s="817">
        <f t="shared" si="103"/>
        <v>-1</v>
      </c>
      <c r="T273" s="176">
        <f t="shared" si="104"/>
        <v>5</v>
      </c>
      <c r="U273" s="251">
        <f t="shared" si="105"/>
        <v>-0.50516226888961291</v>
      </c>
      <c r="V273" s="383">
        <f t="shared" si="106"/>
        <v>31.363910083437865</v>
      </c>
      <c r="W273" s="402"/>
      <c r="X273" s="157">
        <f t="shared" si="107"/>
        <v>44455</v>
      </c>
      <c r="Y273" s="385">
        <f t="shared" si="108"/>
        <v>13.230094037355082</v>
      </c>
      <c r="Z273" s="385">
        <f t="shared" si="109"/>
        <v>13.596127134093337</v>
      </c>
      <c r="AA273" s="386">
        <f t="shared" si="110"/>
        <v>15.481506011195014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0.12178265316942162</v>
      </c>
      <c r="AD273" s="231">
        <f>(INDEX(Models!$BJ273:$BT273,,AH273)*(1-AF273)+INDEX(Models!$BJ273:$BT273,,AH273+1)*AF273-ERP_i)*AE273*Ramure*Pc/MaxiM</f>
        <v>8.5687459739721873E-5</v>
      </c>
      <c r="AE273" s="305">
        <f t="shared" si="112"/>
        <v>0.7</v>
      </c>
      <c r="AF273" s="177">
        <f t="shared" si="113"/>
        <v>0.49483773111038709</v>
      </c>
      <c r="AG273" s="817">
        <f t="shared" si="119"/>
        <v>-1</v>
      </c>
      <c r="AH273" s="176">
        <f t="shared" si="114"/>
        <v>5</v>
      </c>
      <c r="AI273" s="225">
        <f t="shared" si="115"/>
        <v>-0.50516226888961291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44456</v>
      </c>
      <c r="B274" s="617">
        <v>28.231000000000002</v>
      </c>
      <c r="C274" s="390"/>
      <c r="D274" s="393">
        <f t="shared" si="98"/>
        <v>29.012694175463917</v>
      </c>
      <c r="E274" s="385">
        <f t="shared" si="96"/>
        <v>30.335512751647887</v>
      </c>
      <c r="F274" s="385">
        <f t="shared" si="99"/>
        <v>30.338532705518197</v>
      </c>
      <c r="G274" s="110">
        <f t="shared" si="97"/>
        <v>0.90612012214160809</v>
      </c>
      <c r="H274" s="414" t="b">
        <f>Wh_hp&gt;='2020'!Maxi_hp</f>
        <v>1</v>
      </c>
      <c r="I274" s="380">
        <f>IF(H274,Wh_hp,'2020'!Maxi_hp)</f>
        <v>30.338532705518197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2.6943177725459067E-2</v>
      </c>
      <c r="M274" s="850"/>
      <c r="N274" s="850"/>
      <c r="O274" s="48">
        <f>IF(t&lt;Tnet,'2020'!Resal+('2020'!Salim-'2020'!Resal)*(1-EXP(('2020'!Tnet-t)/('2020'!Tau_j))),Resal+(Salim-Resal)*(1-EXP((Tnet-t)/(Tau_j))))*Salcycl</f>
        <v>4.3606270545471795E-2</v>
      </c>
      <c r="P274" s="169">
        <f>(INDEX(Models!$BJ274:$BT274,,T274)*(1-R274)+INDEX(Models!$BJ274:$BT274,,T274+1)*R274-ERP_i)*Q274*Ramure*Pc/MaxiM</f>
        <v>1.1495690564539989E-4</v>
      </c>
      <c r="Q274" s="305">
        <f t="shared" si="101"/>
        <v>0.7</v>
      </c>
      <c r="R274" s="177">
        <f t="shared" si="102"/>
        <v>0.49504601788039193</v>
      </c>
      <c r="S274" s="817">
        <f t="shared" si="103"/>
        <v>-1</v>
      </c>
      <c r="T274" s="176">
        <f t="shared" si="104"/>
        <v>5</v>
      </c>
      <c r="U274" s="251">
        <f t="shared" si="105"/>
        <v>-0.50495398211960807</v>
      </c>
      <c r="V274" s="383">
        <f t="shared" si="106"/>
        <v>31.155433021068902</v>
      </c>
      <c r="W274" s="402"/>
      <c r="X274" s="157">
        <f t="shared" si="107"/>
        <v>44456</v>
      </c>
      <c r="Y274" s="385">
        <f t="shared" si="108"/>
        <v>25.922712187750932</v>
      </c>
      <c r="Z274" s="385">
        <f t="shared" si="109"/>
        <v>26.640491690049551</v>
      </c>
      <c r="AA274" s="386">
        <f t="shared" si="110"/>
        <v>30.335512751647887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0.1218051295802678</v>
      </c>
      <c r="AD274" s="231">
        <f>(INDEX(Models!$BJ274:$BT274,,AH274)*(1-AF274)+INDEX(Models!$BJ274:$BT274,,AH274+1)*AF274-ERP_i)*AE274*Ramure*Pc/MaxiM</f>
        <v>1.1495690564539989E-4</v>
      </c>
      <c r="AE274" s="305">
        <f t="shared" si="112"/>
        <v>0.7</v>
      </c>
      <c r="AF274" s="177">
        <f t="shared" si="113"/>
        <v>0.49504601788039193</v>
      </c>
      <c r="AG274" s="817">
        <f t="shared" si="119"/>
        <v>-1</v>
      </c>
      <c r="AH274" s="176">
        <f t="shared" si="114"/>
        <v>5</v>
      </c>
      <c r="AI274" s="225">
        <f t="shared" si="115"/>
        <v>-0.50495398211960807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44457</v>
      </c>
      <c r="B275" s="617">
        <v>5.6610000000000005</v>
      </c>
      <c r="C275" s="390"/>
      <c r="D275" s="393">
        <f t="shared" si="98"/>
        <v>5.8178760618638323</v>
      </c>
      <c r="E275" s="385">
        <f t="shared" si="96"/>
        <v>6.0840642625589103</v>
      </c>
      <c r="F275" s="385">
        <f t="shared" si="99"/>
        <v>6.0840642625589103</v>
      </c>
      <c r="G275" s="110">
        <f t="shared" si="97"/>
        <v>0.18289969112467885</v>
      </c>
      <c r="H275" s="414" t="b">
        <f>Wh_hp&gt;='2020'!Maxi_hp</f>
        <v>0</v>
      </c>
      <c r="I275" s="380">
        <f>IF(H275,Wh_hp,'2020'!Maxi_hp)</f>
        <v>28.631310190231179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2.69644901671513E-2</v>
      </c>
      <c r="M275" s="850"/>
      <c r="N275" s="850"/>
      <c r="O275" s="48">
        <f>IF(t&lt;Tnet,'2020'!Resal+('2020'!Salim-'2020'!Resal)*(1-EXP(('2020'!Tnet-t)/('2020'!Tau_j))),Resal+(Salim-Resal)*(1-EXP((Tnet-t)/(Tau_j))))*Salcycl</f>
        <v>4.3751707609860309E-2</v>
      </c>
      <c r="P275" s="169">
        <f>(INDEX(Models!$BJ275:$BT275,,T275)*(1-R275)+INDEX(Models!$BJ275:$BT275,,T275+1)*R275-ERP_i)*Q275*Ramure*Pc/MaxiM</f>
        <v>1.4872015777539762E-4</v>
      </c>
      <c r="Q275" s="305">
        <f t="shared" si="101"/>
        <v>0.7</v>
      </c>
      <c r="R275" s="177">
        <f t="shared" si="102"/>
        <v>0.49524619496758038</v>
      </c>
      <c r="S275" s="817">
        <f t="shared" si="103"/>
        <v>-1</v>
      </c>
      <c r="T275" s="176">
        <f t="shared" si="104"/>
        <v>5</v>
      </c>
      <c r="U275" s="251">
        <f t="shared" si="105"/>
        <v>-0.50475380503241962</v>
      </c>
      <c r="V275" s="383">
        <f t="shared" si="106"/>
        <v>30.94678870358738</v>
      </c>
      <c r="W275" s="402"/>
      <c r="X275" s="157">
        <f t="shared" si="107"/>
        <v>44457</v>
      </c>
      <c r="Y275" s="385">
        <f t="shared" si="108"/>
        <v>5.1987968084513154</v>
      </c>
      <c r="Z275" s="385">
        <f t="shared" si="109"/>
        <v>5.3428644236677263</v>
      </c>
      <c r="AA275" s="386">
        <f t="shared" si="110"/>
        <v>6.0840642625589103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0.12182643162605936</v>
      </c>
      <c r="AD275" s="231">
        <f>(INDEX(Models!$BJ275:$BT275,,AH275)*(1-AF275)+INDEX(Models!$BJ275:$BT275,,AH275+1)*AF275-ERP_i)*AE275*Ramure*Pc/MaxiM</f>
        <v>1.4872015777539762E-4</v>
      </c>
      <c r="AE275" s="305">
        <f t="shared" si="112"/>
        <v>0.7</v>
      </c>
      <c r="AF275" s="177">
        <f t="shared" si="113"/>
        <v>0.49524619496758038</v>
      </c>
      <c r="AG275" s="817">
        <f t="shared" si="119"/>
        <v>-1</v>
      </c>
      <c r="AH275" s="176">
        <f t="shared" si="114"/>
        <v>5</v>
      </c>
      <c r="AI275" s="225">
        <f t="shared" si="115"/>
        <v>-0.50475380503241962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44458</v>
      </c>
      <c r="B276" s="617">
        <v>22.007000000000001</v>
      </c>
      <c r="C276" s="390"/>
      <c r="D276" s="393">
        <f t="shared" si="98"/>
        <v>22.617347258084632</v>
      </c>
      <c r="E276" s="385">
        <f t="shared" si="96"/>
        <v>23.655750938400651</v>
      </c>
      <c r="F276" s="385">
        <f t="shared" si="99"/>
        <v>23.658610755473884</v>
      </c>
      <c r="G276" s="110">
        <f t="shared" si="97"/>
        <v>0.71593051408707253</v>
      </c>
      <c r="H276" s="414" t="b">
        <f>Wh_hp&gt;='2020'!Maxi_hp</f>
        <v>0</v>
      </c>
      <c r="I276" s="380">
        <f>IF(H276,Wh_hp,'2020'!Maxi_hp)</f>
        <v>28.687751308125605</v>
      </c>
      <c r="J276" s="85">
        <f>IF(H276,An,'2020'!An_max)</f>
        <v>2019</v>
      </c>
      <c r="K276" s="197">
        <f t="shared" si="100"/>
        <v>44458</v>
      </c>
      <c r="L276" s="147">
        <f>IF(t&lt;Tvie,1-EXP((T0-t)*PertePVj)+'2020'!Pspv,1-EXP((T0-t)*PertePVj)+Pspv)</f>
        <v>2.6985802142046489E-2</v>
      </c>
      <c r="M276" s="850"/>
      <c r="N276" s="850"/>
      <c r="O276" s="48">
        <f>IF(t&lt;Tnet,'2020'!Resal+('2020'!Salim-'2020'!Resal)*(1-EXP(('2020'!Tnet-t)/('2020'!Tau_j))),Resal+(Salim-Resal)*(1-EXP((Tnet-t)/(Tau_j))))*Salcycl</f>
        <v>4.3896458117943904E-2</v>
      </c>
      <c r="P276" s="169">
        <f>(INDEX(Models!$BJ276:$BT276,,T276)*(1-R276)+INDEX(Models!$BJ276:$BT276,,T276+1)*R276-ERP_i)*Q276*Ramure*Pc/MaxiM</f>
        <v>2.0340638038366987E-4</v>
      </c>
      <c r="Q276" s="305">
        <f t="shared" si="101"/>
        <v>0.7</v>
      </c>
      <c r="R276" s="177">
        <f t="shared" si="102"/>
        <v>0.495438567588802</v>
      </c>
      <c r="S276" s="817">
        <f t="shared" si="103"/>
        <v>-1</v>
      </c>
      <c r="T276" s="176">
        <f t="shared" si="104"/>
        <v>5</v>
      </c>
      <c r="U276" s="251">
        <f t="shared" si="105"/>
        <v>-0.504561432411198</v>
      </c>
      <c r="V276" s="383">
        <f t="shared" si="106"/>
        <v>30.736479527131248</v>
      </c>
      <c r="W276" s="402"/>
      <c r="X276" s="157">
        <f t="shared" si="107"/>
        <v>44458</v>
      </c>
      <c r="Y276" s="385">
        <f t="shared" si="108"/>
        <v>20.212793723085639</v>
      </c>
      <c r="Z276" s="385">
        <f t="shared" si="109"/>
        <v>20.773380046851511</v>
      </c>
      <c r="AA276" s="386">
        <f t="shared" si="110"/>
        <v>23.655750938400651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0.1218465183817163</v>
      </c>
      <c r="AD276" s="231">
        <f>(INDEX(Models!$BJ276:$BT276,,AH276)*(1-AF276)+INDEX(Models!$BJ276:$BT276,,AH276+1)*AF276-ERP_i)*AE276*Ramure*Pc/MaxiM</f>
        <v>2.0340638038366987E-4</v>
      </c>
      <c r="AE276" s="305">
        <f t="shared" si="112"/>
        <v>0.7</v>
      </c>
      <c r="AF276" s="177">
        <f t="shared" si="113"/>
        <v>0.495438567588802</v>
      </c>
      <c r="AG276" s="817">
        <f t="shared" si="119"/>
        <v>-1</v>
      </c>
      <c r="AH276" s="176">
        <f t="shared" si="114"/>
        <v>5</v>
      </c>
      <c r="AI276" s="225">
        <f t="shared" si="115"/>
        <v>-0.504561432411198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44459</v>
      </c>
      <c r="B277" s="617">
        <v>19.402999999999999</v>
      </c>
      <c r="C277" s="390"/>
      <c r="D277" s="393">
        <f t="shared" si="98"/>
        <v>19.941564087677754</v>
      </c>
      <c r="E277" s="385">
        <f t="shared" si="96"/>
        <v>20.860260464244515</v>
      </c>
      <c r="F277" s="385">
        <f t="shared" si="99"/>
        <v>20.863055660088644</v>
      </c>
      <c r="G277" s="110">
        <f t="shared" si="97"/>
        <v>0.63556486066947426</v>
      </c>
      <c r="H277" s="414" t="b">
        <f>Wh_hp&gt;='2020'!Maxi_hp</f>
        <v>0</v>
      </c>
      <c r="I277" s="380">
        <f>IF(H277,Wh_hp,'2020'!Maxi_hp)</f>
        <v>30.97190061425955</v>
      </c>
      <c r="J277" s="85">
        <f>IF(H277,An,'2020'!An_max)</f>
        <v>2019</v>
      </c>
      <c r="K277" s="197">
        <f t="shared" si="100"/>
        <v>44459</v>
      </c>
      <c r="L277" s="147">
        <f>IF(t&lt;Tvie,1-EXP((T0-t)*PertePVj)+'2020'!Pspv,1-EXP((T0-t)*PertePVj)+Pspv)</f>
        <v>2.7007113650154624E-2</v>
      </c>
      <c r="M277" s="850"/>
      <c r="N277" s="850"/>
      <c r="O277" s="48">
        <f>IF(t&lt;Tnet,'2020'!Resal+('2020'!Salim-'2020'!Resal)*(1-EXP(('2020'!Tnet-t)/('2020'!Tau_j))),Resal+(Salim-Resal)*(1-EXP((Tnet-t)/(Tau_j))))*Salcycl</f>
        <v>4.4040503623694036E-2</v>
      </c>
      <c r="P277" s="169">
        <f>(INDEX(Models!$BJ277:$BT277,,T277)*(1-R277)+INDEX(Models!$BJ277:$BT277,,T277+1)*R277-ERP_i)*Q277*Ramure*Pc/MaxiM</f>
        <v>2.7940633481772639E-4</v>
      </c>
      <c r="Q277" s="305">
        <f t="shared" si="101"/>
        <v>0.7</v>
      </c>
      <c r="R277" s="177">
        <f t="shared" si="102"/>
        <v>0.4956234302939535</v>
      </c>
      <c r="S277" s="817">
        <f t="shared" si="103"/>
        <v>-1</v>
      </c>
      <c r="T277" s="176">
        <f t="shared" si="104"/>
        <v>5</v>
      </c>
      <c r="U277" s="251">
        <f t="shared" si="105"/>
        <v>-0.5043765697060465</v>
      </c>
      <c r="V277" s="383">
        <f t="shared" si="106"/>
        <v>30.524308503271534</v>
      </c>
      <c r="W277" s="402"/>
      <c r="X277" s="157">
        <f t="shared" si="107"/>
        <v>44459</v>
      </c>
      <c r="Y277" s="385">
        <f t="shared" si="108"/>
        <v>17.823398074370829</v>
      </c>
      <c r="Z277" s="385">
        <f t="shared" si="109"/>
        <v>18.318117557092108</v>
      </c>
      <c r="AA277" s="386">
        <f t="shared" si="110"/>
        <v>20.860260464244515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0.12186534830232632</v>
      </c>
      <c r="AD277" s="231">
        <f>(INDEX(Models!$BJ277:$BT277,,AH277)*(1-AF277)+INDEX(Models!$BJ277:$BT277,,AH277+1)*AF277-ERP_i)*AE277*Ramure*Pc/MaxiM</f>
        <v>2.7940633481772639E-4</v>
      </c>
      <c r="AE277" s="305">
        <f t="shared" si="112"/>
        <v>0.7</v>
      </c>
      <c r="AF277" s="177">
        <f t="shared" si="113"/>
        <v>0.4956234302939535</v>
      </c>
      <c r="AG277" s="817">
        <f t="shared" si="119"/>
        <v>-1</v>
      </c>
      <c r="AH277" s="176">
        <f t="shared" si="114"/>
        <v>5</v>
      </c>
      <c r="AI277" s="225">
        <f t="shared" si="115"/>
        <v>-0.5043765697060465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44460</v>
      </c>
      <c r="B278" s="617">
        <v>9.3239999999999998</v>
      </c>
      <c r="C278" s="390"/>
      <c r="D278" s="393">
        <f t="shared" si="98"/>
        <v>9.5830137658888006</v>
      </c>
      <c r="E278" s="385">
        <f t="shared" si="96"/>
        <v>10.02600083574467</v>
      </c>
      <c r="F278" s="385">
        <f t="shared" si="99"/>
        <v>10.02604199771673</v>
      </c>
      <c r="G278" s="110">
        <f t="shared" si="97"/>
        <v>0.30750569770211866</v>
      </c>
      <c r="H278" s="414" t="b">
        <f>Wh_hp&gt;='2020'!Maxi_hp</f>
        <v>0</v>
      </c>
      <c r="I278" s="380">
        <f>IF(H278,Wh_hp,'2020'!Maxi_hp)</f>
        <v>23.739692830331293</v>
      </c>
      <c r="J278" s="85">
        <f>IF(H278,An,'2020'!An_max)</f>
        <v>2018</v>
      </c>
      <c r="K278" s="197">
        <f t="shared" si="100"/>
        <v>44460</v>
      </c>
      <c r="L278" s="147">
        <f>IF(t&lt;Tvie,1-EXP((T0-t)*PertePVj)+'2020'!Pspv,1-EXP((T0-t)*PertePVj)+Pspv)</f>
        <v>2.7028424691486141E-2</v>
      </c>
      <c r="M278" s="850"/>
      <c r="N278" s="850"/>
      <c r="O278" s="48">
        <f>IF(t&lt;Tnet,'2020'!Resal+('2020'!Salim-'2020'!Resal)*(1-EXP(('2020'!Tnet-t)/('2020'!Tau_j))),Resal+(Salim-Resal)*(1-EXP((Tnet-t)/(Tau_j))))*Salcycl</f>
        <v>4.4183825347044868E-2</v>
      </c>
      <c r="P278" s="169">
        <f>(INDEX(Models!$BJ278:$BT278,,T278)*(1-R278)+INDEX(Models!$BJ278:$BT278,,T278+1)*R278-ERP_i)*Q278*Ramure*Pc/MaxiM</f>
        <v>3.7712409929493063E-4</v>
      </c>
      <c r="Q278" s="305">
        <f t="shared" si="101"/>
        <v>0.7</v>
      </c>
      <c r="R278" s="177">
        <f t="shared" si="102"/>
        <v>0.49580106727413242</v>
      </c>
      <c r="S278" s="817">
        <f t="shared" si="103"/>
        <v>-1</v>
      </c>
      <c r="T278" s="176">
        <f t="shared" si="104"/>
        <v>5</v>
      </c>
      <c r="U278" s="251">
        <f t="shared" si="105"/>
        <v>-0.50419893272586758</v>
      </c>
      <c r="V278" s="383">
        <f t="shared" si="106"/>
        <v>30.310078902611238</v>
      </c>
      <c r="W278" s="402"/>
      <c r="X278" s="157">
        <f t="shared" si="107"/>
        <v>44460</v>
      </c>
      <c r="Y278" s="385">
        <f t="shared" si="108"/>
        <v>8.5660446534046972</v>
      </c>
      <c r="Z278" s="385">
        <f t="shared" si="109"/>
        <v>8.804002985070289</v>
      </c>
      <c r="AA278" s="386">
        <f t="shared" si="110"/>
        <v>10.02600083574467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0.12188287939471504</v>
      </c>
      <c r="AD278" s="231">
        <f>(INDEX(Models!$BJ278:$BT278,,AH278)*(1-AF278)+INDEX(Models!$BJ278:$BT278,,AH278+1)*AF278-ERP_i)*AE278*Ramure*Pc/MaxiM</f>
        <v>3.7712409929493063E-4</v>
      </c>
      <c r="AE278" s="305">
        <f t="shared" si="112"/>
        <v>0.7</v>
      </c>
      <c r="AF278" s="177">
        <f t="shared" si="113"/>
        <v>0.49580106727413242</v>
      </c>
      <c r="AG278" s="817">
        <f t="shared" si="119"/>
        <v>-1</v>
      </c>
      <c r="AH278" s="176">
        <f t="shared" si="114"/>
        <v>5</v>
      </c>
      <c r="AI278" s="225">
        <f t="shared" si="115"/>
        <v>-0.50419893272586758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44461</v>
      </c>
      <c r="B279" s="617">
        <v>28.940999999999999</v>
      </c>
      <c r="C279" s="390"/>
      <c r="D279" s="393">
        <f t="shared" si="98"/>
        <v>29.745610900176747</v>
      </c>
      <c r="E279" s="385">
        <f t="shared" si="96"/>
        <v>31.125282766234033</v>
      </c>
      <c r="F279" s="385">
        <f t="shared" si="99"/>
        <v>31.139911865499297</v>
      </c>
      <c r="G279" s="110">
        <f t="shared" si="97"/>
        <v>0.96167351752994046</v>
      </c>
      <c r="H279" s="414" t="b">
        <f>Wh_hp&gt;='2020'!Maxi_hp</f>
        <v>1</v>
      </c>
      <c r="I279" s="380">
        <f>IF(H279,Wh_hp,'2020'!Maxi_hp)</f>
        <v>31.139911865499297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2.7049735266051145E-2</v>
      </c>
      <c r="M279" s="850"/>
      <c r="N279" s="850"/>
      <c r="O279" s="48">
        <f>IF(t&lt;Tnet,'2020'!Resal+('2020'!Salim-'2020'!Resal)*(1-EXP(('2020'!Tnet-t)/('2020'!Tau_j))),Resal+(Salim-Resal)*(1-EXP((Tnet-t)/(Tau_j))))*Salcycl</f>
        <v>4.4326404242470328E-2</v>
      </c>
      <c r="P279" s="169">
        <f>(INDEX(Models!$BJ279:$BT279,,T279)*(1-R279)+INDEX(Models!$BJ279:$BT279,,T279+1)*R279-ERP_i)*Q279*Ramure*Pc/MaxiM</f>
        <v>4.9697818181805467E-4</v>
      </c>
      <c r="Q279" s="305">
        <f t="shared" si="101"/>
        <v>0.7</v>
      </c>
      <c r="R279" s="177">
        <f t="shared" si="102"/>
        <v>0.49597175266621152</v>
      </c>
      <c r="S279" s="817">
        <f t="shared" si="103"/>
        <v>-1</v>
      </c>
      <c r="T279" s="176">
        <f t="shared" si="104"/>
        <v>5</v>
      </c>
      <c r="U279" s="251">
        <f t="shared" si="105"/>
        <v>-0.50402824733378848</v>
      </c>
      <c r="V279" s="383">
        <f t="shared" si="106"/>
        <v>30.093594279088428</v>
      </c>
      <c r="W279" s="402"/>
      <c r="X279" s="157">
        <f t="shared" si="107"/>
        <v>44461</v>
      </c>
      <c r="Y279" s="385">
        <f t="shared" si="108"/>
        <v>26.591839666816394</v>
      </c>
      <c r="Z279" s="385">
        <f t="shared" si="109"/>
        <v>27.331139761895102</v>
      </c>
      <c r="AA279" s="386">
        <f t="shared" si="110"/>
        <v>31.125282766234033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0.12189906941038214</v>
      </c>
      <c r="AD279" s="231">
        <f>(INDEX(Models!$BJ279:$BT279,,AH279)*(1-AF279)+INDEX(Models!$BJ279:$BT279,,AH279+1)*AF279-ERP_i)*AE279*Ramure*Pc/MaxiM</f>
        <v>4.9697818181805467E-4</v>
      </c>
      <c r="AE279" s="305">
        <f t="shared" si="112"/>
        <v>0.7</v>
      </c>
      <c r="AF279" s="177">
        <f t="shared" si="113"/>
        <v>0.49597175266621152</v>
      </c>
      <c r="AG279" s="817">
        <f t="shared" si="119"/>
        <v>-1</v>
      </c>
      <c r="AH279" s="176">
        <f t="shared" si="114"/>
        <v>5</v>
      </c>
      <c r="AI279" s="225">
        <f t="shared" si="115"/>
        <v>-0.50402824733378848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44462</v>
      </c>
      <c r="B280" s="617">
        <v>23.702000000000002</v>
      </c>
      <c r="C280" s="390"/>
      <c r="D280" s="393">
        <f t="shared" si="98"/>
        <v>24.361491029021522</v>
      </c>
      <c r="E280" s="385">
        <f t="shared" si="96"/>
        <v>25.495218020343106</v>
      </c>
      <c r="F280" s="385">
        <f t="shared" si="99"/>
        <v>25.506713222544136</v>
      </c>
      <c r="G280" s="110">
        <f t="shared" si="97"/>
        <v>0.79323165244098914</v>
      </c>
      <c r="H280" s="414" t="b">
        <f>Wh_hp&gt;='2020'!Maxi_hp</f>
        <v>0</v>
      </c>
      <c r="I280" s="380">
        <f>IF(H280,Wh_hp,'2020'!Maxi_hp)</f>
        <v>30.447289439965701</v>
      </c>
      <c r="J280" s="85">
        <f>IF(H280,An,'2020'!An_max)</f>
        <v>2018</v>
      </c>
      <c r="K280" s="197">
        <f t="shared" si="100"/>
        <v>44462</v>
      </c>
      <c r="L280" s="147">
        <f>IF(t&lt;Tvie,1-EXP((T0-t)*PertePVj)+'2020'!Pspv,1-EXP((T0-t)*PertePVj)+Pspv)</f>
        <v>2.7071045373859848E-2</v>
      </c>
      <c r="M280" s="850"/>
      <c r="N280" s="850"/>
      <c r="O280" s="48">
        <f>IF(t&lt;Tnet,'2020'!Resal+('2020'!Salim-'2020'!Resal)*(1-EXP(('2020'!Tnet-t)/('2020'!Tau_j))),Resal+(Salim-Resal)*(1-EXP((Tnet-t)/(Tau_j))))*Salcycl</f>
        <v>4.4468221076476473E-2</v>
      </c>
      <c r="P280" s="169">
        <f>(INDEX(Models!$BJ280:$BT280,,T280)*(1-R280)+INDEX(Models!$BJ280:$BT280,,T280+1)*R280-ERP_i)*Q280*Ramure*Pc/MaxiM</f>
        <v>6.3940691987798262E-4</v>
      </c>
      <c r="Q280" s="305">
        <f t="shared" si="101"/>
        <v>0.7</v>
      </c>
      <c r="R280" s="177">
        <f t="shared" si="102"/>
        <v>0.49613575085336481</v>
      </c>
      <c r="S280" s="817">
        <f t="shared" si="103"/>
        <v>-1</v>
      </c>
      <c r="T280" s="176">
        <f t="shared" si="104"/>
        <v>5</v>
      </c>
      <c r="U280" s="251">
        <f t="shared" si="105"/>
        <v>-0.50386424914663519</v>
      </c>
      <c r="V280" s="383">
        <f t="shared" si="106"/>
        <v>29.874658371144751</v>
      </c>
      <c r="W280" s="402"/>
      <c r="X280" s="157">
        <f t="shared" si="107"/>
        <v>44462</v>
      </c>
      <c r="Y280" s="385">
        <f t="shared" si="108"/>
        <v>21.780957754318969</v>
      </c>
      <c r="Z280" s="385">
        <f t="shared" si="109"/>
        <v>22.386997170506216</v>
      </c>
      <c r="AA280" s="386">
        <f t="shared" si="110"/>
        <v>25.495218020343106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0.12191387605929808</v>
      </c>
      <c r="AD280" s="231">
        <f>(INDEX(Models!$BJ280:$BT280,,AH280)*(1-AF280)+INDEX(Models!$BJ280:$BT280,,AH280+1)*AF280-ERP_i)*AE280*Ramure*Pc/MaxiM</f>
        <v>6.3940691987798262E-4</v>
      </c>
      <c r="AE280" s="305">
        <f t="shared" si="112"/>
        <v>0.7</v>
      </c>
      <c r="AF280" s="177">
        <f t="shared" si="113"/>
        <v>0.49613575085336481</v>
      </c>
      <c r="AG280" s="817">
        <f t="shared" si="119"/>
        <v>-1</v>
      </c>
      <c r="AH280" s="176">
        <f t="shared" si="114"/>
        <v>5</v>
      </c>
      <c r="AI280" s="225">
        <f t="shared" si="115"/>
        <v>-0.50386424914663519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44463</v>
      </c>
      <c r="B281" s="617">
        <v>24.844000000000001</v>
      </c>
      <c r="C281" s="390"/>
      <c r="D281" s="393">
        <f t="shared" si="98"/>
        <v>25.535825654223387</v>
      </c>
      <c r="E281" s="385">
        <f t="shared" si="96"/>
        <v>26.72814848618475</v>
      </c>
      <c r="F281" s="385">
        <f t="shared" si="99"/>
        <v>26.744687251171772</v>
      </c>
      <c r="G281" s="110">
        <f t="shared" si="97"/>
        <v>0.83766571362842457</v>
      </c>
      <c r="H281" s="414" t="b">
        <f>Wh_hp&gt;='2020'!Maxi_hp</f>
        <v>1</v>
      </c>
      <c r="I281" s="380">
        <f>IF(H281,Wh_hp,'2020'!Maxi_hp)</f>
        <v>26.744687251171772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2.7092355014922465E-2</v>
      </c>
      <c r="M281" s="850"/>
      <c r="N281" s="850"/>
      <c r="O281" s="48">
        <f>IF(t&lt;Tnet,'2020'!Resal+('2020'!Salim-'2020'!Resal)*(1-EXP(('2020'!Tnet-t)/('2020'!Tau_j))),Resal+(Salim-Resal)*(1-EXP((Tnet-t)/(Tau_j))))*Salcycl</f>
        <v>4.4609256513882818E-2</v>
      </c>
      <c r="P281" s="169">
        <f>(INDEX(Models!$BJ281:$BT281,,T281)*(1-R281)+INDEX(Models!$BJ281:$BT281,,T281+1)*R281-ERP_i)*Q281*Ramure*Pc/MaxiM</f>
        <v>8.0486861825171288E-4</v>
      </c>
      <c r="Q281" s="305">
        <f t="shared" si="101"/>
        <v>0.7</v>
      </c>
      <c r="R281" s="177">
        <f t="shared" si="102"/>
        <v>0.49629331676113453</v>
      </c>
      <c r="S281" s="817">
        <f t="shared" si="103"/>
        <v>-1</v>
      </c>
      <c r="T281" s="176">
        <f t="shared" si="104"/>
        <v>5</v>
      </c>
      <c r="U281" s="251">
        <f t="shared" si="105"/>
        <v>-0.50370668323886547</v>
      </c>
      <c r="V281" s="383">
        <f t="shared" si="106"/>
        <v>29.653075163394977</v>
      </c>
      <c r="W281" s="402"/>
      <c r="X281" s="157">
        <f t="shared" si="107"/>
        <v>44463</v>
      </c>
      <c r="Y281" s="385">
        <f t="shared" si="108"/>
        <v>22.833421162774847</v>
      </c>
      <c r="Z281" s="385">
        <f t="shared" si="109"/>
        <v>23.469258650059295</v>
      </c>
      <c r="AA281" s="386">
        <f t="shared" si="110"/>
        <v>26.72814848618475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0.1219272572437972</v>
      </c>
      <c r="AD281" s="231">
        <f>(INDEX(Models!$BJ281:$BT281,,AH281)*(1-AF281)+INDEX(Models!$BJ281:$BT281,,AH281+1)*AF281-ERP_i)*AE281*Ramure*Pc/MaxiM</f>
        <v>8.0486861825171288E-4</v>
      </c>
      <c r="AE281" s="305">
        <f t="shared" si="112"/>
        <v>0.7</v>
      </c>
      <c r="AF281" s="177">
        <f t="shared" si="113"/>
        <v>0.49629331676113453</v>
      </c>
      <c r="AG281" s="817">
        <f t="shared" si="119"/>
        <v>-1</v>
      </c>
      <c r="AH281" s="176">
        <f t="shared" si="114"/>
        <v>5</v>
      </c>
      <c r="AI281" s="225">
        <f t="shared" si="115"/>
        <v>-0.50370668323886547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44464</v>
      </c>
      <c r="B282" s="617">
        <v>20.701000000000001</v>
      </c>
      <c r="C282" s="390"/>
      <c r="D282" s="393">
        <f t="shared" si="98"/>
        <v>21.277922443785698</v>
      </c>
      <c r="E282" s="385">
        <f t="shared" si="96"/>
        <v>22.27470412007148</v>
      </c>
      <c r="F282" s="385">
        <f t="shared" si="99"/>
        <v>22.287828148761697</v>
      </c>
      <c r="G282" s="110">
        <f t="shared" si="97"/>
        <v>0.70314512951751906</v>
      </c>
      <c r="H282" s="414" t="b">
        <f>Wh_hp&gt;='2020'!Maxi_hp</f>
        <v>0</v>
      </c>
      <c r="I282" s="380">
        <f>IF(H282,Wh_hp,'2020'!Maxi_hp)</f>
        <v>31.944717903389673</v>
      </c>
      <c r="J282" s="85">
        <f>IF(H282,An,'2020'!An_max)</f>
        <v>2018</v>
      </c>
      <c r="K282" s="197">
        <f t="shared" si="100"/>
        <v>44464</v>
      </c>
      <c r="L282" s="147">
        <f>IF(t&lt;Tvie,1-EXP((T0-t)*PertePVj)+'2020'!Pspv,1-EXP((T0-t)*PertePVj)+Pspv)</f>
        <v>2.711366418924932E-2</v>
      </c>
      <c r="M282" s="850"/>
      <c r="N282" s="850"/>
      <c r="O282" s="48">
        <f>IF(t&lt;Tnet,'2020'!Resal+('2020'!Salim-'2020'!Resal)*(1-EXP(('2020'!Tnet-t)/('2020'!Tau_j))),Resal+(Salim-Resal)*(1-EXP((Tnet-t)/(Tau_j))))*Salcycl</f>
        <v>4.4749491212661904E-2</v>
      </c>
      <c r="P282" s="169">
        <f>(INDEX(Models!$BJ282:$BT282,,T282)*(1-R282)+INDEX(Models!$BJ282:$BT282,,T282+1)*R282-ERP_i)*Q282*Ramure*Pc/MaxiM</f>
        <v>1.0216637429472221E-3</v>
      </c>
      <c r="Q282" s="305">
        <f t="shared" si="101"/>
        <v>0.7</v>
      </c>
      <c r="R282" s="177">
        <f t="shared" si="102"/>
        <v>0.49644469614867781</v>
      </c>
      <c r="S282" s="817">
        <f t="shared" si="103"/>
        <v>-1</v>
      </c>
      <c r="T282" s="176">
        <f t="shared" si="104"/>
        <v>5</v>
      </c>
      <c r="U282" s="251">
        <f t="shared" si="105"/>
        <v>-0.50355530385132219</v>
      </c>
      <c r="V282" s="383">
        <f t="shared" si="106"/>
        <v>29.427829373243618</v>
      </c>
      <c r="W282" s="402"/>
      <c r="X282" s="157">
        <f t="shared" si="107"/>
        <v>44464</v>
      </c>
      <c r="Y282" s="385">
        <f t="shared" si="108"/>
        <v>19.028241333003461</v>
      </c>
      <c r="Z282" s="385">
        <f t="shared" si="109"/>
        <v>19.55854515846022</v>
      </c>
      <c r="AA282" s="386">
        <f t="shared" si="110"/>
        <v>22.27470412007148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0.12193917131153999</v>
      </c>
      <c r="AD282" s="231">
        <f>(INDEX(Models!$BJ282:$BT282,,AH282)*(1-AF282)+INDEX(Models!$BJ282:$BT282,,AH282+1)*AF282-ERP_i)*AE282*Ramure*Pc/MaxiM</f>
        <v>1.0216637429472221E-3</v>
      </c>
      <c r="AE282" s="305">
        <f t="shared" si="112"/>
        <v>0.7</v>
      </c>
      <c r="AF282" s="177">
        <f t="shared" si="113"/>
        <v>0.49644469614867781</v>
      </c>
      <c r="AG282" s="817">
        <f t="shared" si="119"/>
        <v>-1</v>
      </c>
      <c r="AH282" s="176">
        <f t="shared" si="114"/>
        <v>5</v>
      </c>
      <c r="AI282" s="225">
        <f t="shared" si="115"/>
        <v>-0.50355530385132219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44465</v>
      </c>
      <c r="B283" s="617">
        <v>23.433</v>
      </c>
      <c r="C283" s="390"/>
      <c r="D283" s="393">
        <f t="shared" si="98"/>
        <v>24.086588938010493</v>
      </c>
      <c r="E283" s="385">
        <f t="shared" si="96"/>
        <v>25.218625443135707</v>
      </c>
      <c r="F283" s="385">
        <f t="shared" si="99"/>
        <v>25.241938326422055</v>
      </c>
      <c r="G283" s="110">
        <f t="shared" si="97"/>
        <v>0.80223994307451418</v>
      </c>
      <c r="H283" s="414" t="b">
        <f>Wh_hp&gt;='2020'!Maxi_hp</f>
        <v>0</v>
      </c>
      <c r="I283" s="380">
        <f>IF(H283,Wh_hp,'2020'!Maxi_hp)</f>
        <v>30.905032154620368</v>
      </c>
      <c r="J283" s="85">
        <f>IF(H283,An,'2020'!An_max)</f>
        <v>2018</v>
      </c>
      <c r="K283" s="197">
        <f t="shared" si="100"/>
        <v>44465</v>
      </c>
      <c r="L283" s="147">
        <f>IF(t&lt;Tvie,1-EXP((T0-t)*PertePVj)+'2020'!Pspv,1-EXP((T0-t)*PertePVj)+Pspv)</f>
        <v>2.7134972896850518E-2</v>
      </c>
      <c r="M283" s="850"/>
      <c r="N283" s="850"/>
      <c r="O283" s="48">
        <f>IF(t&lt;Tnet,'2020'!Resal+('2020'!Salim-'2020'!Resal)*(1-EXP(('2020'!Tnet-t)/('2020'!Tau_j))),Resal+(Salim-Resal)*(1-EXP((Tnet-t)/(Tau_j))))*Salcycl</f>
        <v>4.4888905927001739E-2</v>
      </c>
      <c r="P283" s="169">
        <f>(INDEX(Models!$BJ283:$BT283,,T283)*(1-R283)+INDEX(Models!$BJ283:$BT283,,T283+1)*R283-ERP_i)*Q283*Ramure*Pc/MaxiM</f>
        <v>1.2864948994104064E-3</v>
      </c>
      <c r="Q283" s="305">
        <f t="shared" si="101"/>
        <v>0.7</v>
      </c>
      <c r="R283" s="177">
        <f t="shared" si="102"/>
        <v>0.49659012589489016</v>
      </c>
      <c r="S283" s="817">
        <f t="shared" si="103"/>
        <v>-1</v>
      </c>
      <c r="T283" s="176">
        <f t="shared" si="104"/>
        <v>5</v>
      </c>
      <c r="U283" s="251">
        <f t="shared" si="105"/>
        <v>-0.50340987410510984</v>
      </c>
      <c r="V283" s="383">
        <f t="shared" si="106"/>
        <v>29.1988551485287</v>
      </c>
      <c r="W283" s="402"/>
      <c r="X283" s="157">
        <f t="shared" si="107"/>
        <v>44465</v>
      </c>
      <c r="Y283" s="385">
        <f t="shared" si="108"/>
        <v>21.542368926709507</v>
      </c>
      <c r="Z283" s="385">
        <f t="shared" si="109"/>
        <v>22.143224729595964</v>
      </c>
      <c r="AA283" s="386">
        <f t="shared" si="110"/>
        <v>25.218625443135707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0.12194957732626302</v>
      </c>
      <c r="AD283" s="231">
        <f>(INDEX(Models!$BJ283:$BT283,,AH283)*(1-AF283)+INDEX(Models!$BJ283:$BT283,,AH283+1)*AF283-ERP_i)*AE283*Ramure*Pc/MaxiM</f>
        <v>1.2864948994104064E-3</v>
      </c>
      <c r="AE283" s="305">
        <f t="shared" si="112"/>
        <v>0.7</v>
      </c>
      <c r="AF283" s="177">
        <f t="shared" si="113"/>
        <v>0.49659012589489016</v>
      </c>
      <c r="AG283" s="817">
        <f t="shared" si="119"/>
        <v>-1</v>
      </c>
      <c r="AH283" s="176">
        <f t="shared" si="114"/>
        <v>5</v>
      </c>
      <c r="AI283" s="225">
        <f t="shared" si="115"/>
        <v>-0.50340987410510984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44466</v>
      </c>
      <c r="B284" s="617">
        <v>15.282999999999999</v>
      </c>
      <c r="C284" s="390"/>
      <c r="D284" s="393">
        <f t="shared" si="98"/>
        <v>15.709614713731614</v>
      </c>
      <c r="E284" s="385">
        <f t="shared" si="96"/>
        <v>16.450331723001568</v>
      </c>
      <c r="F284" s="385">
        <f t="shared" si="99"/>
        <v>16.458896847038254</v>
      </c>
      <c r="G284" s="110">
        <f t="shared" si="97"/>
        <v>0.52704920694125457</v>
      </c>
      <c r="H284" s="414" t="b">
        <f>Wh_hp&gt;='2020'!Maxi_hp</f>
        <v>0</v>
      </c>
      <c r="I284" s="380">
        <f>IF(H284,Wh_hp,'2020'!Maxi_hp)</f>
        <v>30.281766812625989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2.7156281137736382E-2</v>
      </c>
      <c r="M284" s="850"/>
      <c r="N284" s="850"/>
      <c r="O284" s="48">
        <f>IF(t&lt;Tnet,'2020'!Resal+('2020'!Salim-'2020'!Resal)*(1-EXP(('2020'!Tnet-t)/('2020'!Tau_j))),Resal+(Salim-Resal)*(1-EXP((Tnet-t)/(Tau_j))))*Salcycl</f>
        <v>4.502748161815192E-2</v>
      </c>
      <c r="P284" s="169">
        <f>(INDEX(Models!$BJ284:$BT284,,T284)*(1-R284)+INDEX(Models!$BJ284:$BT284,,T284+1)*R284-ERP_i)*Q284*Ramure*Pc/MaxiM</f>
        <v>1.6003753276824825E-3</v>
      </c>
      <c r="Q284" s="305">
        <f t="shared" si="101"/>
        <v>0.7</v>
      </c>
      <c r="R284" s="177">
        <f t="shared" si="102"/>
        <v>0.49672983427913775</v>
      </c>
      <c r="S284" s="817">
        <f t="shared" si="103"/>
        <v>-1</v>
      </c>
      <c r="T284" s="176">
        <f t="shared" si="104"/>
        <v>5</v>
      </c>
      <c r="U284" s="251">
        <f t="shared" si="105"/>
        <v>-0.50327016572086225</v>
      </c>
      <c r="V284" s="383">
        <f t="shared" si="106"/>
        <v>28.965959653280724</v>
      </c>
      <c r="W284" s="402"/>
      <c r="X284" s="157">
        <f t="shared" si="107"/>
        <v>44466</v>
      </c>
      <c r="Y284" s="385">
        <f t="shared" si="108"/>
        <v>14.05182764338684</v>
      </c>
      <c r="Z284" s="385">
        <f t="shared" si="109"/>
        <v>14.444075004997092</v>
      </c>
      <c r="AA284" s="386">
        <f t="shared" si="110"/>
        <v>16.450331723001568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0.12195843535478622</v>
      </c>
      <c r="AD284" s="231">
        <f>(INDEX(Models!$BJ284:$BT284,,AH284)*(1-AF284)+INDEX(Models!$BJ284:$BT284,,AH284+1)*AF284-ERP_i)*AE284*Ramure*Pc/MaxiM</f>
        <v>1.6003753276824825E-3</v>
      </c>
      <c r="AE284" s="305">
        <f t="shared" si="112"/>
        <v>0.7</v>
      </c>
      <c r="AF284" s="177">
        <f t="shared" si="113"/>
        <v>0.49672983427913775</v>
      </c>
      <c r="AG284" s="817">
        <f t="shared" si="119"/>
        <v>-1</v>
      </c>
      <c r="AH284" s="176">
        <f t="shared" si="114"/>
        <v>5</v>
      </c>
      <c r="AI284" s="225">
        <f t="shared" si="115"/>
        <v>-0.50327016572086225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44467</v>
      </c>
      <c r="B285" s="617">
        <v>16.724</v>
      </c>
      <c r="C285" s="390"/>
      <c r="D285" s="393">
        <f t="shared" si="98"/>
        <v>17.191215795794147</v>
      </c>
      <c r="E285" s="385">
        <f t="shared" si="96"/>
        <v>18.004387552797045</v>
      </c>
      <c r="F285" s="385">
        <f t="shared" si="99"/>
        <v>18.018653412121484</v>
      </c>
      <c r="G285" s="110">
        <f t="shared" si="97"/>
        <v>0.58144738530907314</v>
      </c>
      <c r="H285" s="414" t="b">
        <f>Wh_hp&gt;='2020'!Maxi_hp</f>
        <v>0</v>
      </c>
      <c r="I285" s="380">
        <f>IF(H285,Wh_hp,'2020'!Maxi_hp)</f>
        <v>29.367871929004963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2.7177588911917017E-2</v>
      </c>
      <c r="M285" s="850"/>
      <c r="N285" s="850"/>
      <c r="O285" s="48">
        <f>IF(t&lt;Tnet,'2020'!Resal+('2020'!Salim-'2020'!Resal)*(1-EXP(('2020'!Tnet-t)/('2020'!Tau_j))),Resal+(Salim-Resal)*(1-EXP((Tnet-t)/(Tau_j))))*Salcycl</f>
        <v>4.5165199572510327E-2</v>
      </c>
      <c r="P285" s="169">
        <f>(INDEX(Models!$BJ285:$BT285,,T285)*(1-R285)+INDEX(Models!$BJ285:$BT285,,T285+1)*R285-ERP_i)*Q285*Ramure*Pc/MaxiM</f>
        <v>1.9643710165282227E-3</v>
      </c>
      <c r="Q285" s="305">
        <f t="shared" si="101"/>
        <v>0.7</v>
      </c>
      <c r="R285" s="177">
        <f t="shared" si="102"/>
        <v>0.49686404125638139</v>
      </c>
      <c r="S285" s="817">
        <f t="shared" si="103"/>
        <v>-1</v>
      </c>
      <c r="T285" s="176">
        <f t="shared" si="104"/>
        <v>5</v>
      </c>
      <c r="U285" s="251">
        <f t="shared" si="105"/>
        <v>-0.50313595874361861</v>
      </c>
      <c r="V285" s="383">
        <f t="shared" si="106"/>
        <v>28.728950527570998</v>
      </c>
      <c r="W285" s="402"/>
      <c r="X285" s="157">
        <f t="shared" si="107"/>
        <v>44467</v>
      </c>
      <c r="Y285" s="385">
        <f t="shared" si="108"/>
        <v>15.378833609153327</v>
      </c>
      <c r="Z285" s="385">
        <f t="shared" si="109"/>
        <v>15.808469699986045</v>
      </c>
      <c r="AA285" s="386">
        <f t="shared" si="110"/>
        <v>18.004387552797045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0.12196570676850692</v>
      </c>
      <c r="AD285" s="231">
        <f>(INDEX(Models!$BJ285:$BT285,,AH285)*(1-AF285)+INDEX(Models!$BJ285:$BT285,,AH285+1)*AF285-ERP_i)*AE285*Ramure*Pc/MaxiM</f>
        <v>1.9643710165282227E-3</v>
      </c>
      <c r="AE285" s="305">
        <f t="shared" si="112"/>
        <v>0.7</v>
      </c>
      <c r="AF285" s="177">
        <f t="shared" si="113"/>
        <v>0.49686404125638139</v>
      </c>
      <c r="AG285" s="817">
        <f t="shared" si="119"/>
        <v>-1</v>
      </c>
      <c r="AH285" s="176">
        <f t="shared" si="114"/>
        <v>5</v>
      </c>
      <c r="AI285" s="225">
        <f t="shared" si="115"/>
        <v>-0.50313595874361861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44468</v>
      </c>
      <c r="B286" s="617">
        <v>18.244</v>
      </c>
      <c r="C286" s="390"/>
      <c r="D286" s="393">
        <f t="shared" si="98"/>
        <v>18.754090562909866</v>
      </c>
      <c r="E286" s="385">
        <f t="shared" si="96"/>
        <v>19.644004050131901</v>
      </c>
      <c r="F286" s="385">
        <f t="shared" si="99"/>
        <v>19.666763024718719</v>
      </c>
      <c r="G286" s="110">
        <f t="shared" si="97"/>
        <v>0.63963444329813901</v>
      </c>
      <c r="H286" s="414" t="b">
        <f>Wh_hp&gt;='2020'!Maxi_hp</f>
        <v>0</v>
      </c>
      <c r="I286" s="380">
        <f>IF(H286,Wh_hp,'2020'!Maxi_hp)</f>
        <v>29.816399783631852</v>
      </c>
      <c r="J286" s="85">
        <f>IF(H286,An,'2020'!An_max)</f>
        <v>2018</v>
      </c>
      <c r="K286" s="197">
        <f t="shared" si="100"/>
        <v>44468</v>
      </c>
      <c r="L286" s="147">
        <f>IF(t&lt;Tvie,1-EXP((T0-t)*PertePVj)+'2020'!Pspv,1-EXP((T0-t)*PertePVj)+Pspv)</f>
        <v>2.7198896219402746E-2</v>
      </c>
      <c r="M286" s="850"/>
      <c r="N286" s="850"/>
      <c r="O286" s="48">
        <f>IF(t&lt;Tnet,'2020'!Resal+('2020'!Salim-'2020'!Resal)*(1-EXP(('2020'!Tnet-t)/('2020'!Tau_j))),Resal+(Salim-Resal)*(1-EXP((Tnet-t)/(Tau_j))))*Salcycl</f>
        <v>4.5302041526307818E-2</v>
      </c>
      <c r="P286" s="169">
        <f>(INDEX(Models!$BJ286:$BT286,,T286)*(1-R286)+INDEX(Models!$BJ286:$BT286,,T286+1)*R286-ERP_i)*Q286*Ramure*Pc/MaxiM</f>
        <v>2.379606234317014E-3</v>
      </c>
      <c r="Q286" s="305">
        <f t="shared" si="101"/>
        <v>0.7</v>
      </c>
      <c r="R286" s="177">
        <f t="shared" si="102"/>
        <v>0.49699295872650862</v>
      </c>
      <c r="S286" s="817">
        <f t="shared" si="103"/>
        <v>-1</v>
      </c>
      <c r="T286" s="176">
        <f t="shared" si="104"/>
        <v>5</v>
      </c>
      <c r="U286" s="251">
        <f t="shared" si="105"/>
        <v>-0.50300704127349138</v>
      </c>
      <c r="V286" s="383">
        <f t="shared" si="106"/>
        <v>28.487635910676435</v>
      </c>
      <c r="W286" s="402"/>
      <c r="X286" s="157">
        <f t="shared" si="107"/>
        <v>44468</v>
      </c>
      <c r="Y286" s="385">
        <f t="shared" si="108"/>
        <v>16.778871752344326</v>
      </c>
      <c r="Z286" s="385">
        <f t="shared" si="109"/>
        <v>17.247998267206516</v>
      </c>
      <c r="AA286" s="386">
        <f t="shared" si="110"/>
        <v>19.644004050131901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0.12197135455738706</v>
      </c>
      <c r="AD286" s="231">
        <f>(INDEX(Models!$BJ286:$BT286,,AH286)*(1-AF286)+INDEX(Models!$BJ286:$BT286,,AH286+1)*AF286-ERP_i)*AE286*Ramure*Pc/MaxiM</f>
        <v>2.379606234317014E-3</v>
      </c>
      <c r="AE286" s="305">
        <f t="shared" si="112"/>
        <v>0.7</v>
      </c>
      <c r="AF286" s="177">
        <f t="shared" si="113"/>
        <v>0.49699295872650862</v>
      </c>
      <c r="AG286" s="817">
        <f t="shared" si="119"/>
        <v>-1</v>
      </c>
      <c r="AH286" s="176">
        <f t="shared" si="114"/>
        <v>5</v>
      </c>
      <c r="AI286" s="225">
        <f t="shared" si="115"/>
        <v>-0.50300704127349138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44469</v>
      </c>
      <c r="B287" s="617">
        <v>12.119</v>
      </c>
      <c r="C287" s="390"/>
      <c r="D287" s="393">
        <f t="shared" si="98"/>
        <v>12.458112347855458</v>
      </c>
      <c r="E287" s="385">
        <f t="shared" si="96"/>
        <v>13.051129433901306</v>
      </c>
      <c r="F287" s="385">
        <f t="shared" si="99"/>
        <v>13.057987230895806</v>
      </c>
      <c r="G287" s="110">
        <f t="shared" si="97"/>
        <v>0.42811836852858404</v>
      </c>
      <c r="H287" s="414" t="b">
        <f>Wh_hp&gt;='2020'!Maxi_hp</f>
        <v>0</v>
      </c>
      <c r="I287" s="380">
        <f>IF(H287,Wh_hp,'2020'!Maxi_hp)</f>
        <v>27.899503681565321</v>
      </c>
      <c r="J287" s="85">
        <f>IF(H287,An,'2020'!An_max)</f>
        <v>2018</v>
      </c>
      <c r="K287" s="197">
        <f t="shared" si="100"/>
        <v>44469</v>
      </c>
      <c r="L287" s="147">
        <f>IF(t&lt;Tvie,1-EXP((T0-t)*PertePVj)+'2020'!Pspv,1-EXP((T0-t)*PertePVj)+Pspv)</f>
        <v>2.7220203060203785E-2</v>
      </c>
      <c r="M287" s="850"/>
      <c r="N287" s="850"/>
      <c r="O287" s="48">
        <f>IF(t&lt;Tnet,'2020'!Resal+('2020'!Salim-'2020'!Resal)*(1-EXP(('2020'!Tnet-t)/('2020'!Tau_j))),Resal+(Salim-Resal)*(1-EXP((Tnet-t)/(Tau_j))))*Salcycl</f>
        <v>4.5437989796150581E-2</v>
      </c>
      <c r="P287" s="169">
        <f>(INDEX(Models!$BJ287:$BT287,,T287)*(1-R287)+INDEX(Models!$BJ287:$BT287,,T287+1)*R287-ERP_i)*Q287*Ramure*Pc/MaxiM</f>
        <v>2.8472696225422473E-3</v>
      </c>
      <c r="Q287" s="305">
        <f t="shared" si="101"/>
        <v>0.7</v>
      </c>
      <c r="R287" s="177">
        <f t="shared" si="102"/>
        <v>0.49711679079772653</v>
      </c>
      <c r="S287" s="817">
        <f t="shared" si="103"/>
        <v>-1</v>
      </c>
      <c r="T287" s="176">
        <f t="shared" si="104"/>
        <v>5</v>
      </c>
      <c r="U287" s="251">
        <f t="shared" si="105"/>
        <v>-0.50288320920227347</v>
      </c>
      <c r="V287" s="383">
        <f t="shared" si="106"/>
        <v>28.241824459371028</v>
      </c>
      <c r="W287" s="402"/>
      <c r="X287" s="157">
        <f t="shared" si="107"/>
        <v>44469</v>
      </c>
      <c r="Y287" s="385">
        <f t="shared" si="108"/>
        <v>11.147291319483854</v>
      </c>
      <c r="Z287" s="385">
        <f t="shared" si="109"/>
        <v>11.459213436125403</v>
      </c>
      <c r="AA287" s="386">
        <f t="shared" si="110"/>
        <v>13.051129433901306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0.12197534365422656</v>
      </c>
      <c r="AD287" s="231">
        <f>(INDEX(Models!$BJ287:$BT287,,AH287)*(1-AF287)+INDEX(Models!$BJ287:$BT287,,AH287+1)*AF287-ERP_i)*AE287*Ramure*Pc/MaxiM</f>
        <v>2.8472696225422473E-3</v>
      </c>
      <c r="AE287" s="305">
        <f t="shared" si="112"/>
        <v>0.7</v>
      </c>
      <c r="AF287" s="177">
        <f t="shared" si="113"/>
        <v>0.49711679079772653</v>
      </c>
      <c r="AG287" s="817">
        <f t="shared" si="119"/>
        <v>-1</v>
      </c>
      <c r="AH287" s="176">
        <f t="shared" si="114"/>
        <v>5</v>
      </c>
      <c r="AI287" s="225">
        <f t="shared" si="115"/>
        <v>-0.50288320920227347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44470</v>
      </c>
      <c r="B288" s="617">
        <v>20.798999999999999</v>
      </c>
      <c r="C288" s="390"/>
      <c r="D288" s="393">
        <f t="shared" si="98"/>
        <v>21.381463335164675</v>
      </c>
      <c r="E288" s="385">
        <f t="shared" si="96"/>
        <v>22.402408931555261</v>
      </c>
      <c r="F288" s="385">
        <f t="shared" si="99"/>
        <v>22.450275259597312</v>
      </c>
      <c r="G288" s="110">
        <f t="shared" si="97"/>
        <v>0.74213087322605809</v>
      </c>
      <c r="H288" s="414" t="b">
        <f>Wh_hp&gt;='2020'!Maxi_hp</f>
        <v>0</v>
      </c>
      <c r="I288" s="380">
        <f>IF(H288,Wh_hp,'2020'!Maxi_hp)</f>
        <v>29.54290748735184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2.7241509434330347E-2</v>
      </c>
      <c r="M288" s="850"/>
      <c r="N288" s="850"/>
      <c r="O288" s="48">
        <f>IF(t&lt;Tnet,'2020'!Resal+('2020'!Salim-'2020'!Resal)*(1-EXP(('2020'!Tnet-t)/('2020'!Tau_j))),Resal+(Salim-Resal)*(1-EXP((Tnet-t)/(Tau_j))))*Salcycl</f>
        <v>4.5573027414588213E-2</v>
      </c>
      <c r="P288" s="169">
        <f>(INDEX(Models!$BJ288:$BT288,,T288)*(1-R288)+INDEX(Models!$BJ288:$BT288,,T288+1)*R288-ERP_i)*Q288*Ramure*Pc/MaxiM</f>
        <v>3.3686209240895867E-3</v>
      </c>
      <c r="Q288" s="305">
        <f t="shared" si="101"/>
        <v>0.7</v>
      </c>
      <c r="R288" s="177">
        <f t="shared" si="102"/>
        <v>0.49723573404389998</v>
      </c>
      <c r="S288" s="817">
        <f t="shared" si="103"/>
        <v>-1</v>
      </c>
      <c r="T288" s="176">
        <f t="shared" si="104"/>
        <v>5</v>
      </c>
      <c r="U288" s="251">
        <f t="shared" si="105"/>
        <v>-0.50276426595610002</v>
      </c>
      <c r="V288" s="383">
        <f t="shared" si="106"/>
        <v>27.991325369346846</v>
      </c>
      <c r="W288" s="402"/>
      <c r="X288" s="157">
        <f t="shared" si="107"/>
        <v>44470</v>
      </c>
      <c r="Y288" s="385">
        <f t="shared" si="108"/>
        <v>19.133980455122813</v>
      </c>
      <c r="Z288" s="385">
        <f t="shared" si="109"/>
        <v>19.669815931389298</v>
      </c>
      <c r="AA288" s="386">
        <f t="shared" si="110"/>
        <v>22.402408931555261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0.12197764126682498</v>
      </c>
      <c r="AD288" s="231">
        <f>(INDEX(Models!$BJ288:$BT288,,AH288)*(1-AF288)+INDEX(Models!$BJ288:$BT288,,AH288+1)*AF288-ERP_i)*AE288*Ramure*Pc/MaxiM</f>
        <v>3.3686209240895867E-3</v>
      </c>
      <c r="AE288" s="305">
        <f t="shared" si="112"/>
        <v>0.7</v>
      </c>
      <c r="AF288" s="177">
        <f t="shared" si="113"/>
        <v>0.49723573404389998</v>
      </c>
      <c r="AG288" s="817">
        <f t="shared" si="119"/>
        <v>-1</v>
      </c>
      <c r="AH288" s="176">
        <f t="shared" si="114"/>
        <v>5</v>
      </c>
      <c r="AI288" s="225">
        <f t="shared" si="115"/>
        <v>-0.50276426595610002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44471</v>
      </c>
      <c r="B289" s="617">
        <v>25.504000000000001</v>
      </c>
      <c r="C289" s="390"/>
      <c r="D289" s="393">
        <f t="shared" si="98"/>
        <v>26.218798255318461</v>
      </c>
      <c r="E289" s="385">
        <f t="shared" si="96"/>
        <v>27.474582810754377</v>
      </c>
      <c r="F289" s="385">
        <f t="shared" si="99"/>
        <v>27.57084172132226</v>
      </c>
      <c r="G289" s="110">
        <f t="shared" si="97"/>
        <v>0.9190936600043691</v>
      </c>
      <c r="H289" s="414" t="b">
        <f>Wh_hp&gt;='2020'!Maxi_hp</f>
        <v>0</v>
      </c>
      <c r="I289" s="380">
        <f>IF(H289,Wh_hp,'2020'!Maxi_hp)</f>
        <v>29.656559533352279</v>
      </c>
      <c r="J289" s="85">
        <f>IF(H289,An,'2020'!An_max)</f>
        <v>2018</v>
      </c>
      <c r="K289" s="197">
        <f t="shared" si="100"/>
        <v>44471</v>
      </c>
      <c r="L289" s="147">
        <f>IF(t&lt;Tvie,1-EXP((T0-t)*PertePVj)+'2020'!Pspv,1-EXP((T0-t)*PertePVj)+Pspv)</f>
        <v>2.7262815341792535E-2</v>
      </c>
      <c r="M289" s="850"/>
      <c r="N289" s="850"/>
      <c r="O289" s="48">
        <f>IF(t&lt;Tnet,'2020'!Resal+('2020'!Salim-'2020'!Resal)*(1-EXP(('2020'!Tnet-t)/('2020'!Tau_j))),Resal+(Salim-Resal)*(1-EXP((Tnet-t)/(Tau_j))))*Salcycl</f>
        <v>4.570713826978888E-2</v>
      </c>
      <c r="P289" s="169">
        <f>(INDEX(Models!$BJ289:$BT289,,T289)*(1-R289)+INDEX(Models!$BJ289:$BT289,,T289+1)*R289-ERP_i)*Q289*Ramure*Pc/MaxiM</f>
        <v>3.9449280499255397E-3</v>
      </c>
      <c r="Q289" s="305">
        <f t="shared" si="101"/>
        <v>0.7</v>
      </c>
      <c r="R289" s="177">
        <f t="shared" si="102"/>
        <v>0.4973499777557493</v>
      </c>
      <c r="S289" s="817">
        <f t="shared" si="103"/>
        <v>-1</v>
      </c>
      <c r="T289" s="176">
        <f t="shared" si="104"/>
        <v>5</v>
      </c>
      <c r="U289" s="251">
        <f t="shared" si="105"/>
        <v>-0.5026500222442507</v>
      </c>
      <c r="V289" s="383">
        <f t="shared" si="106"/>
        <v>27.736445170887137</v>
      </c>
      <c r="W289" s="402"/>
      <c r="X289" s="157">
        <f t="shared" si="107"/>
        <v>44471</v>
      </c>
      <c r="Y289" s="385">
        <f t="shared" si="108"/>
        <v>23.465613593228024</v>
      </c>
      <c r="Z289" s="385">
        <f t="shared" si="109"/>
        <v>24.123282180760039</v>
      </c>
      <c r="AA289" s="386">
        <f t="shared" si="110"/>
        <v>27.474582810754377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0.12197821721545987</v>
      </c>
      <c r="AD289" s="231">
        <f>(INDEX(Models!$BJ289:$BT289,,AH289)*(1-AF289)+INDEX(Models!$BJ289:$BT289,,AH289+1)*AF289-ERP_i)*AE289*Ramure*Pc/MaxiM</f>
        <v>3.9449280499255397E-3</v>
      </c>
      <c r="AE289" s="305">
        <f t="shared" si="112"/>
        <v>0.7</v>
      </c>
      <c r="AF289" s="177">
        <f t="shared" si="113"/>
        <v>0.4973499777557493</v>
      </c>
      <c r="AG289" s="817">
        <f t="shared" si="119"/>
        <v>-1</v>
      </c>
      <c r="AH289" s="176">
        <f t="shared" si="114"/>
        <v>5</v>
      </c>
      <c r="AI289" s="225">
        <f t="shared" si="115"/>
        <v>-0.5026500222442507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44472</v>
      </c>
      <c r="B290" s="617">
        <v>3.8650000000000002</v>
      </c>
      <c r="C290" s="390"/>
      <c r="D290" s="393">
        <f t="shared" si="98"/>
        <v>3.9734110263621836</v>
      </c>
      <c r="E290" s="385">
        <f t="shared" si="96"/>
        <v>4.164304001255144</v>
      </c>
      <c r="F290" s="385">
        <f t="shared" si="99"/>
        <v>4.164304001255144</v>
      </c>
      <c r="G290" s="110">
        <f t="shared" si="97"/>
        <v>0.14001604297535372</v>
      </c>
      <c r="H290" s="414" t="b">
        <f>Wh_hp&gt;='2020'!Maxi_hp</f>
        <v>0</v>
      </c>
      <c r="I290" s="380">
        <f>IF(H290,Wh_hp,'2020'!Maxi_hp)</f>
        <v>28.585247689548495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2.7284120782600785E-2</v>
      </c>
      <c r="M290" s="850"/>
      <c r="N290" s="850"/>
      <c r="O290" s="48">
        <f>IF(t&lt;Tnet,'2020'!Resal+('2020'!Salim-'2020'!Resal)*(1-EXP(('2020'!Tnet-t)/('2020'!Tau_j))),Resal+(Salim-Resal)*(1-EXP((Tnet-t)/(Tau_j))))*Salcycl</f>
        <v>4.5840307248323921E-2</v>
      </c>
      <c r="P290" s="169">
        <f>(INDEX(Models!$BJ290:$BT290,,T290)*(1-R290)+INDEX(Models!$BJ290:$BT290,,T290+1)*R290-ERP_i)*Q290*Ramure*Pc/MaxiM</f>
        <v>4.5856347789585946E-3</v>
      </c>
      <c r="Q290" s="305">
        <f t="shared" si="101"/>
        <v>0.7</v>
      </c>
      <c r="R290" s="177">
        <f t="shared" si="102"/>
        <v>0.49745970418584617</v>
      </c>
      <c r="S290" s="817">
        <f t="shared" si="103"/>
        <v>-1</v>
      </c>
      <c r="T290" s="176">
        <f t="shared" si="104"/>
        <v>5</v>
      </c>
      <c r="U290" s="251">
        <f t="shared" si="105"/>
        <v>-0.50254029581415383</v>
      </c>
      <c r="V290" s="383">
        <f t="shared" si="106"/>
        <v>27.477397874017484</v>
      </c>
      <c r="W290" s="402"/>
      <c r="X290" s="157">
        <f t="shared" si="107"/>
        <v>44472</v>
      </c>
      <c r="Y290" s="385">
        <f t="shared" si="108"/>
        <v>3.5565940897151198</v>
      </c>
      <c r="Z290" s="385">
        <f t="shared" si="109"/>
        <v>3.6563545077279769</v>
      </c>
      <c r="AA290" s="386">
        <f t="shared" si="110"/>
        <v>4.164304001255144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0.12197704427296095</v>
      </c>
      <c r="AD290" s="231">
        <f>(INDEX(Models!$BJ290:$BT290,,AH290)*(1-AF290)+INDEX(Models!$BJ290:$BT290,,AH290+1)*AF290-ERP_i)*AE290*Ramure*Pc/MaxiM</f>
        <v>4.5856347789585946E-3</v>
      </c>
      <c r="AE290" s="305">
        <f t="shared" si="112"/>
        <v>0.7</v>
      </c>
      <c r="AF290" s="177">
        <f t="shared" si="113"/>
        <v>0.49745970418584617</v>
      </c>
      <c r="AG290" s="817">
        <f t="shared" si="119"/>
        <v>-1</v>
      </c>
      <c r="AH290" s="176">
        <f t="shared" si="114"/>
        <v>5</v>
      </c>
      <c r="AI290" s="225">
        <f t="shared" si="115"/>
        <v>-0.50254029581415383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44473</v>
      </c>
      <c r="B291" s="617">
        <v>21.442</v>
      </c>
      <c r="C291" s="390"/>
      <c r="D291" s="393">
        <f t="shared" si="98"/>
        <v>22.043918582235403</v>
      </c>
      <c r="E291" s="385">
        <f t="shared" si="96"/>
        <v>23.106167330751898</v>
      </c>
      <c r="F291" s="385">
        <f t="shared" si="99"/>
        <v>23.191419085920732</v>
      </c>
      <c r="G291" s="110">
        <f t="shared" si="97"/>
        <v>0.78661949923231178</v>
      </c>
      <c r="H291" s="414" t="b">
        <f>Wh_hp&gt;='2020'!Maxi_hp</f>
        <v>0</v>
      </c>
      <c r="I291" s="380">
        <f>IF(H291,Wh_hp,'2020'!Maxi_hp)</f>
        <v>28.438494319444185</v>
      </c>
      <c r="J291" s="85">
        <f>IF(H291,An,'2020'!An_max)</f>
        <v>2018</v>
      </c>
      <c r="K291" s="197">
        <f t="shared" si="100"/>
        <v>44473</v>
      </c>
      <c r="L291" s="147">
        <f>IF(t&lt;Tvie,1-EXP((T0-t)*PertePVj)+'2020'!Pspv,1-EXP((T0-t)*PertePVj)+Pspv)</f>
        <v>2.7305425756765089E-2</v>
      </c>
      <c r="M291" s="850"/>
      <c r="N291" s="850"/>
      <c r="O291" s="48">
        <f>IF(t&lt;Tnet,'2020'!Resal+('2020'!Salim-'2020'!Resal)*(1-EXP(('2020'!Tnet-t)/('2020'!Tau_j))),Resal+(Salim-Resal)*(1-EXP((Tnet-t)/(Tau_j))))*Salcycl</f>
        <v>4.5972520379991971E-2</v>
      </c>
      <c r="P291" s="169">
        <f>(INDEX(Models!$BJ291:$BT291,,T291)*(1-R291)+INDEX(Models!$BJ291:$BT291,,T291+1)*R291-ERP_i)*Q291*Ramure*Pc/MaxiM</f>
        <v>5.274217641869851E-3</v>
      </c>
      <c r="Q291" s="305">
        <f t="shared" si="101"/>
        <v>0.7</v>
      </c>
      <c r="R291" s="177">
        <f t="shared" si="102"/>
        <v>0.49756508878737338</v>
      </c>
      <c r="S291" s="817">
        <f t="shared" si="103"/>
        <v>-1</v>
      </c>
      <c r="T291" s="176">
        <f t="shared" si="104"/>
        <v>5</v>
      </c>
      <c r="U291" s="251">
        <f t="shared" si="105"/>
        <v>-0.50243491121262662</v>
      </c>
      <c r="V291" s="383">
        <f t="shared" si="106"/>
        <v>27.214688540025683</v>
      </c>
      <c r="W291" s="402"/>
      <c r="X291" s="157">
        <f t="shared" si="107"/>
        <v>44473</v>
      </c>
      <c r="Y291" s="385">
        <f t="shared" si="108"/>
        <v>19.733846018108984</v>
      </c>
      <c r="Z291" s="385">
        <f t="shared" si="109"/>
        <v>20.287813400688592</v>
      </c>
      <c r="AA291" s="386">
        <f t="shared" si="110"/>
        <v>23.106167330751898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0.12197409850453096</v>
      </c>
      <c r="AD291" s="231">
        <f>(INDEX(Models!$BJ291:$BT291,,AH291)*(1-AF291)+INDEX(Models!$BJ291:$BT291,,AH291+1)*AF291-ERP_i)*AE291*Ramure*Pc/MaxiM</f>
        <v>5.274217641869851E-3</v>
      </c>
      <c r="AE291" s="305">
        <f t="shared" si="112"/>
        <v>0.7</v>
      </c>
      <c r="AF291" s="177">
        <f t="shared" si="113"/>
        <v>0.49756508878737338</v>
      </c>
      <c r="AG291" s="817">
        <f t="shared" si="119"/>
        <v>-1</v>
      </c>
      <c r="AH291" s="176">
        <f t="shared" si="114"/>
        <v>5</v>
      </c>
      <c r="AI291" s="225">
        <f t="shared" si="115"/>
        <v>-0.50243491121262662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44474</v>
      </c>
      <c r="B292" s="617">
        <v>8.766</v>
      </c>
      <c r="C292" s="390"/>
      <c r="D292" s="393">
        <f t="shared" si="98"/>
        <v>9.0122760363116665</v>
      </c>
      <c r="E292" s="385">
        <f t="shared" si="96"/>
        <v>9.447857854430314</v>
      </c>
      <c r="F292" s="385">
        <f t="shared" si="99"/>
        <v>9.4499103259358197</v>
      </c>
      <c r="G292" s="110">
        <f t="shared" si="97"/>
        <v>0.32340386123614739</v>
      </c>
      <c r="H292" s="414" t="b">
        <f>Wh_hp&gt;='2020'!Maxi_hp</f>
        <v>0</v>
      </c>
      <c r="I292" s="380">
        <f>IF(H292,Wh_hp,'2020'!Maxi_hp)</f>
        <v>27.917436042240162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2.7326730264295884E-2</v>
      </c>
      <c r="M292" s="850"/>
      <c r="N292" s="850"/>
      <c r="O292" s="48">
        <f>IF(t&lt;Tnet,'2020'!Resal+('2020'!Salim-'2020'!Resal)*(1-EXP(('2020'!Tnet-t)/('2020'!Tau_j))),Resal+(Salim-Resal)*(1-EXP((Tnet-t)/(Tau_j))))*Salcycl</f>
        <v>4.6103764983550566E-2</v>
      </c>
      <c r="P292" s="169">
        <f>(INDEX(Models!$BJ292:$BT292,,T292)*(1-R292)+INDEX(Models!$BJ292:$BT292,,T292+1)*R292-ERP_i)*Q292*Ramure*Pc/MaxiM</f>
        <v>6.0119026384160695E-3</v>
      </c>
      <c r="Q292" s="305">
        <f t="shared" si="101"/>
        <v>0.7</v>
      </c>
      <c r="R292" s="177">
        <f t="shared" si="102"/>
        <v>0.49766630044663085</v>
      </c>
      <c r="S292" s="817">
        <f t="shared" si="103"/>
        <v>-1</v>
      </c>
      <c r="T292" s="176">
        <f t="shared" si="104"/>
        <v>5</v>
      </c>
      <c r="U292" s="251">
        <f t="shared" si="105"/>
        <v>-0.50233369955336915</v>
      </c>
      <c r="V292" s="383">
        <f t="shared" si="106"/>
        <v>26.948325609893665</v>
      </c>
      <c r="W292" s="402"/>
      <c r="X292" s="157">
        <f t="shared" si="107"/>
        <v>44474</v>
      </c>
      <c r="Y292" s="385">
        <f t="shared" si="108"/>
        <v>8.0688195541262395</v>
      </c>
      <c r="Z292" s="385">
        <f t="shared" si="109"/>
        <v>8.2955086822923683</v>
      </c>
      <c r="AA292" s="386">
        <f t="shared" si="110"/>
        <v>9.447857854430314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0.12196935960436617</v>
      </c>
      <c r="AD292" s="231">
        <f>(INDEX(Models!$BJ292:$BT292,,AH292)*(1-AF292)+INDEX(Models!$BJ292:$BT292,,AH292+1)*AF292-ERP_i)*AE292*Ramure*Pc/MaxiM</f>
        <v>6.0119026384160695E-3</v>
      </c>
      <c r="AE292" s="305">
        <f t="shared" si="112"/>
        <v>0.7</v>
      </c>
      <c r="AF292" s="177">
        <f t="shared" si="113"/>
        <v>0.49766630044663085</v>
      </c>
      <c r="AG292" s="817">
        <f t="shared" si="119"/>
        <v>-1</v>
      </c>
      <c r="AH292" s="176">
        <f t="shared" si="114"/>
        <v>5</v>
      </c>
      <c r="AI292" s="225">
        <f t="shared" si="115"/>
        <v>-0.50233369955336915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44475</v>
      </c>
      <c r="B293" s="617">
        <v>20.562000000000001</v>
      </c>
      <c r="C293" s="390"/>
      <c r="D293" s="393">
        <f t="shared" si="98"/>
        <v>21.140141309756054</v>
      </c>
      <c r="E293" s="385">
        <f t="shared" si="96"/>
        <v>22.164914633715433</v>
      </c>
      <c r="F293" s="385">
        <f t="shared" si="99"/>
        <v>22.266737485840981</v>
      </c>
      <c r="G293" s="110">
        <f t="shared" si="97"/>
        <v>0.76901384721945965</v>
      </c>
      <c r="H293" s="414" t="b">
        <f>Wh_hp&gt;='2020'!Maxi_hp</f>
        <v>0</v>
      </c>
      <c r="I293" s="380">
        <f>IF(H293,Wh_hp,'2020'!Maxi_hp)</f>
        <v>25.825303664148674</v>
      </c>
      <c r="J293" s="85">
        <f>IF(H293,An,'2020'!An_max)</f>
        <v>2018</v>
      </c>
      <c r="K293" s="197">
        <f t="shared" si="100"/>
        <v>44475</v>
      </c>
      <c r="L293" s="147">
        <f>IF(t&lt;Tvie,1-EXP((T0-t)*PertePVj)+'2020'!Pspv,1-EXP((T0-t)*PertePVj)+Pspv)</f>
        <v>2.7348034305203162E-2</v>
      </c>
      <c r="M293" s="850"/>
      <c r="N293" s="850"/>
      <c r="O293" s="48">
        <f>IF(t&lt;Tnet,'2020'!Resal+('2020'!Salim-'2020'!Resal)*(1-EXP(('2020'!Tnet-t)/('2020'!Tau_j))),Resal+(Salim-Resal)*(1-EXP((Tnet-t)/(Tau_j))))*Salcycl</f>
        <v>4.6234029812168932E-2</v>
      </c>
      <c r="P293" s="169">
        <f>(INDEX(Models!$BJ293:$BT293,,T293)*(1-R293)+INDEX(Models!$BJ293:$BT293,,T293+1)*R293-ERP_i)*Q293*Ramure*Pc/MaxiM</f>
        <v>6.7999735281986081E-3</v>
      </c>
      <c r="Q293" s="305">
        <f t="shared" si="101"/>
        <v>0.7</v>
      </c>
      <c r="R293" s="177">
        <f t="shared" si="102"/>
        <v>0.49776350170929595</v>
      </c>
      <c r="S293" s="817">
        <f t="shared" si="103"/>
        <v>-1</v>
      </c>
      <c r="T293" s="176">
        <f t="shared" si="104"/>
        <v>5</v>
      </c>
      <c r="U293" s="251">
        <f t="shared" si="105"/>
        <v>-0.50223649829070405</v>
      </c>
      <c r="V293" s="383">
        <f t="shared" si="106"/>
        <v>26.678317900669096</v>
      </c>
      <c r="W293" s="402"/>
      <c r="X293" s="157">
        <f t="shared" si="107"/>
        <v>44475</v>
      </c>
      <c r="Y293" s="385">
        <f t="shared" si="108"/>
        <v>18.929382301209976</v>
      </c>
      <c r="Z293" s="385">
        <f t="shared" si="109"/>
        <v>19.461619334402009</v>
      </c>
      <c r="AA293" s="386">
        <f t="shared" si="110"/>
        <v>22.164914633715433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0.12196281122605347</v>
      </c>
      <c r="AD293" s="231">
        <f>(INDEX(Models!$BJ293:$BT293,,AH293)*(1-AF293)+INDEX(Models!$BJ293:$BT293,,AH293+1)*AF293-ERP_i)*AE293*Ramure*Pc/MaxiM</f>
        <v>6.7999735281986081E-3</v>
      </c>
      <c r="AE293" s="305">
        <f t="shared" si="112"/>
        <v>0.7</v>
      </c>
      <c r="AF293" s="177">
        <f t="shared" si="113"/>
        <v>0.49776350170929595</v>
      </c>
      <c r="AG293" s="817">
        <f t="shared" si="119"/>
        <v>-1</v>
      </c>
      <c r="AH293" s="176">
        <f t="shared" si="114"/>
        <v>5</v>
      </c>
      <c r="AI293" s="225">
        <f t="shared" si="115"/>
        <v>-0.50223649829070405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44476</v>
      </c>
      <c r="B294" s="617">
        <v>26.667999999999999</v>
      </c>
      <c r="C294" s="390"/>
      <c r="D294" s="393">
        <f t="shared" si="98"/>
        <v>27.418424113690964</v>
      </c>
      <c r="E294" s="385">
        <f t="shared" si="96"/>
        <v>28.751435702005733</v>
      </c>
      <c r="F294" s="385">
        <f t="shared" si="99"/>
        <v>28.972781254005142</v>
      </c>
      <c r="G294" s="110">
        <f t="shared" si="97"/>
        <v>1.0099726812364878</v>
      </c>
      <c r="H294" s="414" t="b">
        <f>Wh_hp&gt;='2020'!Maxi_hp</f>
        <v>1</v>
      </c>
      <c r="I294" s="380">
        <f>IF(H294,Wh_hp,'2020'!Maxi_hp)</f>
        <v>28.972781254005142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2.7369337879497357E-2</v>
      </c>
      <c r="M294" s="850"/>
      <c r="N294" s="850"/>
      <c r="O294" s="48">
        <f>IF(t&lt;Tnet,'2020'!Resal+('2020'!Salim-'2020'!Resal)*(1-EXP(('2020'!Tnet-t)/('2020'!Tau_j))),Resal+(Salim-Resal)*(1-EXP((Tnet-t)/(Tau_j))))*Salcycl</f>
        <v>4.6363305197374034E-2</v>
      </c>
      <c r="P294" s="169">
        <f>(INDEX(Models!$BJ294:$BT294,,T294)*(1-R294)+INDEX(Models!$BJ294:$BT294,,T294+1)*R294-ERP_i)*Q294*Ramure*Pc/MaxiM</f>
        <v>7.6397757625982195E-3</v>
      </c>
      <c r="Q294" s="305">
        <f t="shared" si="101"/>
        <v>0.7</v>
      </c>
      <c r="R294" s="177">
        <f t="shared" si="102"/>
        <v>0.49785684900045668</v>
      </c>
      <c r="S294" s="817">
        <f t="shared" si="103"/>
        <v>-1</v>
      </c>
      <c r="T294" s="176">
        <f t="shared" si="104"/>
        <v>5</v>
      </c>
      <c r="U294" s="251">
        <f t="shared" si="105"/>
        <v>-0.50214315099954332</v>
      </c>
      <c r="V294" s="383">
        <f t="shared" si="106"/>
        <v>26.404674597090033</v>
      </c>
      <c r="W294" s="402"/>
      <c r="X294" s="157">
        <f t="shared" si="107"/>
        <v>44476</v>
      </c>
      <c r="Y294" s="385">
        <f t="shared" si="108"/>
        <v>24.554129562054896</v>
      </c>
      <c r="Z294" s="385">
        <f t="shared" si="109"/>
        <v>25.245070424288969</v>
      </c>
      <c r="AA294" s="386">
        <f t="shared" si="110"/>
        <v>28.751435702005733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0.12195444130367919</v>
      </c>
      <c r="AD294" s="231">
        <f>(INDEX(Models!$BJ294:$BT294,,AH294)*(1-AF294)+INDEX(Models!$BJ294:$BT294,,AH294+1)*AF294-ERP_i)*AE294*Ramure*Pc/MaxiM</f>
        <v>7.6397757625982195E-3</v>
      </c>
      <c r="AE294" s="305">
        <f t="shared" si="112"/>
        <v>0.7</v>
      </c>
      <c r="AF294" s="177">
        <f t="shared" si="113"/>
        <v>0.49785684900045668</v>
      </c>
      <c r="AG294" s="817">
        <f t="shared" si="119"/>
        <v>-1</v>
      </c>
      <c r="AH294" s="176">
        <f t="shared" si="114"/>
        <v>5</v>
      </c>
      <c r="AI294" s="225">
        <f t="shared" si="115"/>
        <v>-0.50214315099954332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44477</v>
      </c>
      <c r="B295" s="617">
        <v>26.137</v>
      </c>
      <c r="C295" s="390"/>
      <c r="D295" s="393">
        <f t="shared" si="98"/>
        <v>26.873070629845458</v>
      </c>
      <c r="E295" s="385">
        <f t="shared" si="96"/>
        <v>28.183359639086152</v>
      </c>
      <c r="F295" s="385">
        <f t="shared" si="99"/>
        <v>28.425909994617459</v>
      </c>
      <c r="G295" s="110">
        <f t="shared" si="97"/>
        <v>1.000367229284356</v>
      </c>
      <c r="H295" s="414" t="b">
        <f>Wh_hp&gt;='2020'!Maxi_hp</f>
        <v>1</v>
      </c>
      <c r="I295" s="380">
        <f>IF(H295,Wh_hp,'2020'!Maxi_hp)</f>
        <v>28.425909994617459</v>
      </c>
      <c r="J295" s="85">
        <f>IF(H295,An,'2020'!An_max)</f>
        <v>2021</v>
      </c>
      <c r="K295" s="197">
        <f t="shared" si="100"/>
        <v>44477</v>
      </c>
      <c r="L295" s="147">
        <f>IF(t&lt;Tvie,1-EXP((T0-t)*PertePVj)+'2020'!Pspv,1-EXP((T0-t)*PertePVj)+Pspv)</f>
        <v>2.7390640987188575E-2</v>
      </c>
      <c r="M295" s="850"/>
      <c r="N295" s="850"/>
      <c r="O295" s="48">
        <f>IF(t&lt;Tnet,'2020'!Resal+('2020'!Salim-'2020'!Resal)*(1-EXP(('2020'!Tnet-t)/('2020'!Tau_j))),Resal+(Salim-Resal)*(1-EXP((Tnet-t)/(Tau_j))))*Salcycl</f>
        <v>4.6491583190228288E-2</v>
      </c>
      <c r="P295" s="169">
        <f>(INDEX(Models!$BJ295:$BT295,,T295)*(1-R295)+INDEX(Models!$BJ295:$BT295,,T295+1)*R295-ERP_i)*Q295*Ramure*Pc/MaxiM</f>
        <v>8.5327208725150903E-3</v>
      </c>
      <c r="Q295" s="305">
        <f t="shared" si="101"/>
        <v>0.7</v>
      </c>
      <c r="R295" s="177">
        <f t="shared" si="102"/>
        <v>0.49794649283845671</v>
      </c>
      <c r="S295" s="817">
        <f t="shared" si="103"/>
        <v>-1</v>
      </c>
      <c r="T295" s="176">
        <f t="shared" si="104"/>
        <v>5</v>
      </c>
      <c r="U295" s="251">
        <f t="shared" si="105"/>
        <v>-0.50205350716154329</v>
      </c>
      <c r="V295" s="383">
        <f t="shared" si="106"/>
        <v>26.127405251667348</v>
      </c>
      <c r="W295" s="402"/>
      <c r="X295" s="157">
        <f t="shared" si="107"/>
        <v>44477</v>
      </c>
      <c r="Y295" s="385">
        <f t="shared" si="108"/>
        <v>24.068737027205962</v>
      </c>
      <c r="Z295" s="385">
        <f t="shared" si="109"/>
        <v>24.746561200722439</v>
      </c>
      <c r="AA295" s="386">
        <f t="shared" si="110"/>
        <v>28.183359639086152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0.12194424236056588</v>
      </c>
      <c r="AD295" s="231">
        <f>(INDEX(Models!$BJ295:$BT295,,AH295)*(1-AF295)+INDEX(Models!$BJ295:$BT295,,AH295+1)*AF295-ERP_i)*AE295*Ramure*Pc/MaxiM</f>
        <v>8.5327208725150903E-3</v>
      </c>
      <c r="AE295" s="305">
        <f t="shared" si="112"/>
        <v>0.7</v>
      </c>
      <c r="AF295" s="177">
        <f t="shared" si="113"/>
        <v>0.49794649283845671</v>
      </c>
      <c r="AG295" s="817">
        <f t="shared" si="119"/>
        <v>-1</v>
      </c>
      <c r="AH295" s="176">
        <f t="shared" si="114"/>
        <v>5</v>
      </c>
      <c r="AI295" s="225">
        <f t="shared" si="115"/>
        <v>-0.50205350716154329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44478</v>
      </c>
      <c r="B296" s="617">
        <v>10.221</v>
      </c>
      <c r="C296" s="390"/>
      <c r="D296" s="393">
        <f t="shared" si="98"/>
        <v>10.509074148134143</v>
      </c>
      <c r="E296" s="385">
        <f t="shared" si="96"/>
        <v>11.022951558244969</v>
      </c>
      <c r="F296" s="385">
        <f t="shared" si="99"/>
        <v>11.03720255735943</v>
      </c>
      <c r="G296" s="110">
        <f t="shared" si="97"/>
        <v>0.39220718895638862</v>
      </c>
      <c r="H296" s="414" t="b">
        <f>Wh_hp&gt;='2020'!Maxi_hp</f>
        <v>0</v>
      </c>
      <c r="I296" s="380">
        <f>IF(H296,Wh_hp,'2020'!Maxi_hp)</f>
        <v>24.685598541559333</v>
      </c>
      <c r="J296" s="85">
        <f>IF(H296,An,'2020'!An_max)</f>
        <v>2018</v>
      </c>
      <c r="K296" s="197">
        <f t="shared" si="100"/>
        <v>44478</v>
      </c>
      <c r="L296" s="147">
        <f>IF(t&lt;Tvie,1-EXP((T0-t)*PertePVj)+'2020'!Pspv,1-EXP((T0-t)*PertePVj)+Pspv)</f>
        <v>2.7411943628287139E-2</v>
      </c>
      <c r="M296" s="850"/>
      <c r="N296" s="850"/>
      <c r="O296" s="48">
        <f>IF(t&lt;Tnet,'2020'!Resal+('2020'!Salim-'2020'!Resal)*(1-EXP(('2020'!Tnet-t)/('2020'!Tau_j))),Resal+(Salim-Resal)*(1-EXP((Tnet-t)/(Tau_j))))*Salcycl</f>
        <v>4.6618857698458714E-2</v>
      </c>
      <c r="P296" s="169">
        <f>(INDEX(Models!$BJ296:$BT296,,T296)*(1-R296)+INDEX(Models!$BJ296:$BT296,,T296+1)*R296-ERP_i)*Q296*Ramure*Pc/MaxiM</f>
        <v>9.4695432331766277E-3</v>
      </c>
      <c r="Q296" s="305">
        <f t="shared" si="101"/>
        <v>0.7</v>
      </c>
      <c r="R296" s="177">
        <f t="shared" si="102"/>
        <v>0.49803257804260381</v>
      </c>
      <c r="S296" s="817">
        <f t="shared" si="103"/>
        <v>-1</v>
      </c>
      <c r="T296" s="176">
        <f t="shared" si="104"/>
        <v>5</v>
      </c>
      <c r="U296" s="251">
        <f t="shared" si="105"/>
        <v>-0.50196742195739619</v>
      </c>
      <c r="V296" s="383">
        <f t="shared" si="106"/>
        <v>25.846800235725041</v>
      </c>
      <c r="W296" s="402"/>
      <c r="X296" s="157">
        <f t="shared" si="107"/>
        <v>44478</v>
      </c>
      <c r="Y296" s="385">
        <f t="shared" si="108"/>
        <v>9.413581268767464</v>
      </c>
      <c r="Z296" s="385">
        <f t="shared" si="109"/>
        <v>9.6788986941555581</v>
      </c>
      <c r="AA296" s="386">
        <f t="shared" si="110"/>
        <v>11.022951558244969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0.12193221180257152</v>
      </c>
      <c r="AD296" s="231">
        <f>(INDEX(Models!$BJ296:$BT296,,AH296)*(1-AF296)+INDEX(Models!$BJ296:$BT296,,AH296+1)*AF296-ERP_i)*AE296*Ramure*Pc/MaxiM</f>
        <v>9.4695432331766277E-3</v>
      </c>
      <c r="AE296" s="305">
        <f t="shared" si="112"/>
        <v>0.7</v>
      </c>
      <c r="AF296" s="177">
        <f t="shared" si="113"/>
        <v>0.49803257804260381</v>
      </c>
      <c r="AG296" s="817">
        <f t="shared" si="119"/>
        <v>-1</v>
      </c>
      <c r="AH296" s="176">
        <f t="shared" si="114"/>
        <v>5</v>
      </c>
      <c r="AI296" s="225">
        <f t="shared" si="115"/>
        <v>-0.50196742195739619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44479</v>
      </c>
      <c r="B297" s="617">
        <v>17.946999999999999</v>
      </c>
      <c r="C297" s="390"/>
      <c r="D297" s="393">
        <f t="shared" si="98"/>
        <v>18.4532320507031</v>
      </c>
      <c r="E297" s="385">
        <f t="shared" ref="E297:E360" si="120">Wh_pvt/(1-Psa)</f>
        <v>19.358130262185213</v>
      </c>
      <c r="F297" s="385">
        <f t="shared" si="99"/>
        <v>19.474687397965546</v>
      </c>
      <c r="G297" s="110">
        <f t="shared" ref="G297:G360" si="121">+Wh_hp/MaxiM</f>
        <v>0.69891834099584482</v>
      </c>
      <c r="H297" s="414" t="b">
        <f>Wh_hp&gt;='2020'!Maxi_hp</f>
        <v>0</v>
      </c>
      <c r="I297" s="380">
        <f>IF(H297,Wh_hp,'2020'!Maxi_hp)</f>
        <v>20.599874346938165</v>
      </c>
      <c r="J297" s="85">
        <f>IF(H297,An,'2020'!An_max)</f>
        <v>2019</v>
      </c>
      <c r="K297" s="197">
        <f t="shared" si="100"/>
        <v>44479</v>
      </c>
      <c r="L297" s="147">
        <f>IF(t&lt;Tvie,1-EXP((T0-t)*PertePVj)+'2020'!Pspv,1-EXP((T0-t)*PertePVj)+Pspv)</f>
        <v>2.7433245802803041E-2</v>
      </c>
      <c r="M297" s="850"/>
      <c r="N297" s="850"/>
      <c r="O297" s="48">
        <f>IF(t&lt;Tnet,'2020'!Resal+('2020'!Salim-'2020'!Resal)*(1-EXP(('2020'!Tnet-t)/('2020'!Tau_j))),Resal+(Salim-Resal)*(1-EXP((Tnet-t)/(Tau_j))))*Salcycl</f>
        <v>4.674512461824732E-2</v>
      </c>
      <c r="P297" s="169">
        <f>(INDEX(Models!$BJ297:$BT297,,T297)*(1-R297)+INDEX(Models!$BJ297:$BT297,,T297+1)*R297-ERP_i)*Q297*Ramure*Pc/MaxiM</f>
        <v>1.04204225017537E-2</v>
      </c>
      <c r="Q297" s="305">
        <f t="shared" si="101"/>
        <v>0.7</v>
      </c>
      <c r="R297" s="177">
        <f t="shared" si="102"/>
        <v>0.49811524393480311</v>
      </c>
      <c r="S297" s="817">
        <f t="shared" si="103"/>
        <v>-1</v>
      </c>
      <c r="T297" s="176">
        <f t="shared" si="104"/>
        <v>5</v>
      </c>
      <c r="U297" s="251">
        <f t="shared" si="105"/>
        <v>-0.50188475606519689</v>
      </c>
      <c r="V297" s="383">
        <f t="shared" si="106"/>
        <v>25.563672004589403</v>
      </c>
      <c r="W297" s="402"/>
      <c r="X297" s="157">
        <f t="shared" si="107"/>
        <v>44479</v>
      </c>
      <c r="Y297" s="385">
        <f t="shared" si="108"/>
        <v>16.531708087915646</v>
      </c>
      <c r="Z297" s="385">
        <f t="shared" si="109"/>
        <v>16.998018919083563</v>
      </c>
      <c r="AA297" s="386">
        <f t="shared" si="110"/>
        <v>19.358130262185213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0.12191835219292674</v>
      </c>
      <c r="AD297" s="231">
        <f>(INDEX(Models!$BJ297:$BT297,,AH297)*(1-AF297)+INDEX(Models!$BJ297:$BT297,,AH297+1)*AF297-ERP_i)*AE297*Ramure*Pc/MaxiM</f>
        <v>1.04204225017537E-2</v>
      </c>
      <c r="AE297" s="305">
        <f t="shared" si="112"/>
        <v>0.7</v>
      </c>
      <c r="AF297" s="177">
        <f t="shared" si="113"/>
        <v>0.49811524393480311</v>
      </c>
      <c r="AG297" s="817">
        <f t="shared" si="119"/>
        <v>-1</v>
      </c>
      <c r="AH297" s="176">
        <f t="shared" si="114"/>
        <v>5</v>
      </c>
      <c r="AI297" s="225">
        <f t="shared" si="115"/>
        <v>-0.50188475606519689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44480</v>
      </c>
      <c r="B298" s="617">
        <v>25.673000000000002</v>
      </c>
      <c r="C298" s="390"/>
      <c r="D298" s="393">
        <f t="shared" si="98"/>
        <v>26.397737950744975</v>
      </c>
      <c r="E298" s="385">
        <f t="shared" si="120"/>
        <v>27.695853167392034</v>
      </c>
      <c r="F298" s="385">
        <f t="shared" si="99"/>
        <v>28.014827724061675</v>
      </c>
      <c r="G298" s="110">
        <f t="shared" si="121"/>
        <v>1.0156252166688913</v>
      </c>
      <c r="H298" s="414" t="b">
        <f>Wh_hp&gt;='2020'!Maxi_hp</f>
        <v>1</v>
      </c>
      <c r="I298" s="380">
        <f>IF(H298,Wh_hp,'2020'!Maxi_hp)</f>
        <v>28.014827724061675</v>
      </c>
      <c r="J298" s="85">
        <f>IF(H298,An,'2020'!An_max)</f>
        <v>2021</v>
      </c>
      <c r="K298" s="197">
        <f t="shared" si="100"/>
        <v>44480</v>
      </c>
      <c r="L298" s="147">
        <f>IF(t&lt;Tvie,1-EXP((T0-t)*PertePVj)+'2020'!Pspv,1-EXP((T0-t)*PertePVj)+Pspv)</f>
        <v>2.745454751074683E-2</v>
      </c>
      <c r="M298" s="850"/>
      <c r="N298" s="850"/>
      <c r="O298" s="48">
        <f>IF(t&lt;Tnet,'2020'!Resal+('2020'!Salim-'2020'!Resal)*(1-EXP(('2020'!Tnet-t)/('2020'!Tau_j))),Resal+(Salim-Resal)*(1-EXP((Tnet-t)/(Tau_j))))*Salcycl</f>
        <v>4.6870381959397647E-2</v>
      </c>
      <c r="P298" s="169">
        <f>(INDEX(Models!$BJ298:$BT298,,T298)*(1-R298)+INDEX(Models!$BJ298:$BT298,,T298+1)*R298-ERP_i)*Q298*Ramure*Pc/MaxiM</f>
        <v>1.1385918907353387E-2</v>
      </c>
      <c r="Q298" s="305">
        <f t="shared" si="101"/>
        <v>0.7</v>
      </c>
      <c r="R298" s="177">
        <f t="shared" si="102"/>
        <v>0.49819462453519003</v>
      </c>
      <c r="S298" s="817">
        <f t="shared" si="103"/>
        <v>-1</v>
      </c>
      <c r="T298" s="176">
        <f t="shared" si="104"/>
        <v>5</v>
      </c>
      <c r="U298" s="251">
        <f t="shared" si="105"/>
        <v>-0.50180537546480997</v>
      </c>
      <c r="V298" s="383">
        <f t="shared" si="106"/>
        <v>25.278025376529992</v>
      </c>
      <c r="W298" s="402"/>
      <c r="X298" s="157">
        <f t="shared" si="107"/>
        <v>44480</v>
      </c>
      <c r="Y298" s="385">
        <f t="shared" si="108"/>
        <v>23.651969561893075</v>
      </c>
      <c r="Z298" s="385">
        <f t="shared" si="109"/>
        <v>24.319654676658349</v>
      </c>
      <c r="AA298" s="386">
        <f t="shared" si="110"/>
        <v>27.695853167392034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0.12190267150566365</v>
      </c>
      <c r="AD298" s="231">
        <f>(INDEX(Models!$BJ298:$BT298,,AH298)*(1-AF298)+INDEX(Models!$BJ298:$BT298,,AH298+1)*AF298-ERP_i)*AE298*Ramure*Pc/MaxiM</f>
        <v>1.1385918907353387E-2</v>
      </c>
      <c r="AE298" s="305">
        <f t="shared" si="112"/>
        <v>0.7</v>
      </c>
      <c r="AF298" s="177">
        <f t="shared" si="113"/>
        <v>0.49819462453519003</v>
      </c>
      <c r="AG298" s="817">
        <f t="shared" si="119"/>
        <v>-1</v>
      </c>
      <c r="AH298" s="176">
        <f t="shared" si="114"/>
        <v>5</v>
      </c>
      <c r="AI298" s="225">
        <f t="shared" si="115"/>
        <v>-0.50180537546480997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44481</v>
      </c>
      <c r="B299" s="617">
        <v>24.654</v>
      </c>
      <c r="C299" s="390"/>
      <c r="D299" s="393">
        <f t="shared" si="98"/>
        <v>25.350527252578559</v>
      </c>
      <c r="E299" s="385">
        <f t="shared" si="120"/>
        <v>26.600613228007212</v>
      </c>
      <c r="F299" s="385">
        <f t="shared" si="99"/>
        <v>26.927218477967962</v>
      </c>
      <c r="G299" s="110">
        <f t="shared" si="121"/>
        <v>0.98632282406291705</v>
      </c>
      <c r="H299" s="414" t="b">
        <f>Wh_hp&gt;='2020'!Maxi_hp</f>
        <v>1</v>
      </c>
      <c r="I299" s="380">
        <f>IF(H299,Wh_hp,'2020'!Maxi_hp)</f>
        <v>26.927218477967962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2.7475848752128385E-2</v>
      </c>
      <c r="M299" s="850"/>
      <c r="N299" s="850"/>
      <c r="O299" s="48">
        <f>IF(t&lt;Tnet,'2020'!Resal+('2020'!Salim-'2020'!Resal)*(1-EXP(('2020'!Tnet-t)/('2020'!Tau_j))),Resal+(Salim-Resal)*(1-EXP((Tnet-t)/(Tau_j))))*Salcycl</f>
        <v>4.6994629962607913E-2</v>
      </c>
      <c r="P299" s="169">
        <f>(INDEX(Models!$BJ299:$BT299,,T299)*(1-R299)+INDEX(Models!$BJ299:$BT299,,T299+1)*R299-ERP_i)*Q299*Ramure*Pc/MaxiM</f>
        <v>1.2366626445287719E-2</v>
      </c>
      <c r="Q299" s="305">
        <f t="shared" si="101"/>
        <v>0.7</v>
      </c>
      <c r="R299" s="177">
        <f t="shared" si="102"/>
        <v>0.49827084875184724</v>
      </c>
      <c r="S299" s="817">
        <f t="shared" si="103"/>
        <v>-1</v>
      </c>
      <c r="T299" s="176">
        <f t="shared" si="104"/>
        <v>5</v>
      </c>
      <c r="U299" s="251">
        <f t="shared" si="105"/>
        <v>-0.50172915124815276</v>
      </c>
      <c r="V299" s="383">
        <f t="shared" si="106"/>
        <v>24.989865057958806</v>
      </c>
      <c r="W299" s="402"/>
      <c r="X299" s="157">
        <f t="shared" si="107"/>
        <v>44481</v>
      </c>
      <c r="Y299" s="385">
        <f t="shared" si="108"/>
        <v>22.716600944988922</v>
      </c>
      <c r="Z299" s="385">
        <f t="shared" si="109"/>
        <v>23.358392607361623</v>
      </c>
      <c r="AA299" s="386">
        <f t="shared" si="110"/>
        <v>26.600613228007212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0.1218851833547929</v>
      </c>
      <c r="AD299" s="231">
        <f>(INDEX(Models!$BJ299:$BT299,,AH299)*(1-AF299)+INDEX(Models!$BJ299:$BT299,,AH299+1)*AF299-ERP_i)*AE299*Ramure*Pc/MaxiM</f>
        <v>1.2366626445287719E-2</v>
      </c>
      <c r="AE299" s="305">
        <f t="shared" si="112"/>
        <v>0.7</v>
      </c>
      <c r="AF299" s="177">
        <f t="shared" si="113"/>
        <v>0.49827084875184724</v>
      </c>
      <c r="AG299" s="817">
        <f t="shared" si="119"/>
        <v>-1</v>
      </c>
      <c r="AH299" s="176">
        <f t="shared" si="114"/>
        <v>5</v>
      </c>
      <c r="AI299" s="225">
        <f t="shared" si="115"/>
        <v>-0.50172915124815276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44482</v>
      </c>
      <c r="B300" s="617">
        <v>23.461000000000002</v>
      </c>
      <c r="C300" s="390"/>
      <c r="D300" s="393">
        <f t="shared" si="98"/>
        <v>24.124350883483967</v>
      </c>
      <c r="E300" s="385">
        <f t="shared" si="120"/>
        <v>25.317245601045471</v>
      </c>
      <c r="F300" s="385">
        <f t="shared" si="99"/>
        <v>25.635281069099932</v>
      </c>
      <c r="G300" s="110">
        <f t="shared" si="121"/>
        <v>0.94894853333888207</v>
      </c>
      <c r="H300" s="414" t="b">
        <f>Wh_hp&gt;='2020'!Maxi_hp</f>
        <v>1</v>
      </c>
      <c r="I300" s="380">
        <f>IF(H300,Wh_hp,'2020'!Maxi_hp)</f>
        <v>25.635281069099932</v>
      </c>
      <c r="J300" s="85">
        <f>IF(H300,An,'2020'!An_max)</f>
        <v>2021</v>
      </c>
      <c r="K300" s="197">
        <f t="shared" si="100"/>
        <v>44482</v>
      </c>
      <c r="L300" s="147">
        <f>IF(t&lt;Tvie,1-EXP((T0-t)*PertePVj)+'2020'!Pspv,1-EXP((T0-t)*PertePVj)+Pspv)</f>
        <v>2.7497149526958142E-2</v>
      </c>
      <c r="M300" s="850"/>
      <c r="N300" s="850"/>
      <c r="O300" s="48">
        <f>IF(t&lt;Tnet,'2020'!Resal+('2020'!Salim-'2020'!Resal)*(1-EXP(('2020'!Tnet-t)/('2020'!Tau_j))),Resal+(Salim-Resal)*(1-EXP((Tnet-t)/(Tau_j))))*Salcycl</f>
        <v>4.7117871207610511E-2</v>
      </c>
      <c r="P300" s="169">
        <f>(INDEX(Models!$BJ300:$BT300,,T300)*(1-R300)+INDEX(Models!$BJ300:$BT300,,T300+1)*R300-ERP_i)*Q300*Ramure*Pc/MaxiM</f>
        <v>1.3363176313256692E-2</v>
      </c>
      <c r="Q300" s="305">
        <f t="shared" si="101"/>
        <v>0.7</v>
      </c>
      <c r="R300" s="177">
        <f t="shared" si="102"/>
        <v>0.49834404056469495</v>
      </c>
      <c r="S300" s="817">
        <f t="shared" si="103"/>
        <v>-1</v>
      </c>
      <c r="T300" s="176">
        <f t="shared" si="104"/>
        <v>5</v>
      </c>
      <c r="U300" s="251">
        <f t="shared" si="105"/>
        <v>-0.50165595943530505</v>
      </c>
      <c r="V300" s="383">
        <f t="shared" si="106"/>
        <v>24.699195616986529</v>
      </c>
      <c r="W300" s="402"/>
      <c r="X300" s="157">
        <f t="shared" si="107"/>
        <v>44482</v>
      </c>
      <c r="Y300" s="385">
        <f t="shared" si="108"/>
        <v>21.620621615993286</v>
      </c>
      <c r="Z300" s="385">
        <f t="shared" si="109"/>
        <v>22.231936498156948</v>
      </c>
      <c r="AA300" s="386">
        <f t="shared" si="110"/>
        <v>25.317245601045471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0.12186590719652045</v>
      </c>
      <c r="AD300" s="231">
        <f>(INDEX(Models!$BJ300:$BT300,,AH300)*(1-AF300)+INDEX(Models!$BJ300:$BT300,,AH300+1)*AF300-ERP_i)*AE300*Ramure*Pc/MaxiM</f>
        <v>1.3363176313256692E-2</v>
      </c>
      <c r="AE300" s="305">
        <f t="shared" si="112"/>
        <v>0.7</v>
      </c>
      <c r="AF300" s="177">
        <f t="shared" si="113"/>
        <v>0.49834404056469495</v>
      </c>
      <c r="AG300" s="817">
        <f t="shared" si="119"/>
        <v>-1</v>
      </c>
      <c r="AH300" s="176">
        <f t="shared" si="114"/>
        <v>5</v>
      </c>
      <c r="AI300" s="225">
        <f t="shared" si="115"/>
        <v>-0.50165595943530505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44483</v>
      </c>
      <c r="B301" s="617">
        <v>25.457000000000001</v>
      </c>
      <c r="C301" s="390"/>
      <c r="D301" s="393">
        <f t="shared" si="98"/>
        <v>26.177360378391946</v>
      </c>
      <c r="E301" s="385">
        <f t="shared" si="120"/>
        <v>27.475296423242924</v>
      </c>
      <c r="F301" s="385">
        <f t="shared" si="99"/>
        <v>27.876049215110069</v>
      </c>
      <c r="G301" s="110">
        <f t="shared" si="121"/>
        <v>1.0430622640063094</v>
      </c>
      <c r="H301" s="414" t="b">
        <f>Wh_hp&gt;='2020'!Maxi_hp</f>
        <v>1</v>
      </c>
      <c r="I301" s="380">
        <f>IF(H301,Wh_hp,'2020'!Maxi_hp)</f>
        <v>27.876049215110069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2.7518449835246317E-2</v>
      </c>
      <c r="M301" s="850"/>
      <c r="N301" s="850"/>
      <c r="O301" s="48">
        <f>IF(t&lt;Tnet,'2020'!Resal+('2020'!Salim-'2020'!Resal)*(1-EXP(('2020'!Tnet-t)/('2020'!Tau_j))),Resal+(Salim-Resal)*(1-EXP((Tnet-t)/(Tau_j))))*Salcycl</f>
        <v>4.7240110710979687E-2</v>
      </c>
      <c r="P301" s="169">
        <f>(INDEX(Models!$BJ301:$BT301,,T301)*(1-R301)+INDEX(Models!$BJ301:$BT301,,T301+1)*R301-ERP_i)*Q301*Ramure*Pc/MaxiM</f>
        <v>1.4376240649263815E-2</v>
      </c>
      <c r="Q301" s="305">
        <f t="shared" si="101"/>
        <v>0.7</v>
      </c>
      <c r="R301" s="177">
        <f t="shared" si="102"/>
        <v>0.49841431920365398</v>
      </c>
      <c r="S301" s="817">
        <f t="shared" si="103"/>
        <v>-1</v>
      </c>
      <c r="T301" s="176">
        <f t="shared" si="104"/>
        <v>5</v>
      </c>
      <c r="U301" s="251">
        <f t="shared" si="105"/>
        <v>-0.50158568079634602</v>
      </c>
      <c r="V301" s="383">
        <f t="shared" si="106"/>
        <v>24.406021460523295</v>
      </c>
      <c r="W301" s="402"/>
      <c r="X301" s="157">
        <f t="shared" si="107"/>
        <v>44483</v>
      </c>
      <c r="Y301" s="385">
        <f t="shared" si="108"/>
        <v>23.463619148815955</v>
      </c>
      <c r="Z301" s="385">
        <f t="shared" si="109"/>
        <v>24.127572543500541</v>
      </c>
      <c r="AA301" s="386">
        <f t="shared" si="110"/>
        <v>27.475296423242924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0.12184486850195905</v>
      </c>
      <c r="AD301" s="231">
        <f>(INDEX(Models!$BJ301:$BT301,,AH301)*(1-AF301)+INDEX(Models!$BJ301:$BT301,,AH301+1)*AF301-ERP_i)*AE301*Ramure*Pc/MaxiM</f>
        <v>1.4376240649263815E-2</v>
      </c>
      <c r="AE301" s="305">
        <f t="shared" si="112"/>
        <v>0.7</v>
      </c>
      <c r="AF301" s="177">
        <f t="shared" si="113"/>
        <v>0.49841431920365398</v>
      </c>
      <c r="AG301" s="817">
        <f t="shared" si="119"/>
        <v>-1</v>
      </c>
      <c r="AH301" s="176">
        <f t="shared" si="114"/>
        <v>5</v>
      </c>
      <c r="AI301" s="225">
        <f t="shared" si="115"/>
        <v>-0.50158568079634602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44484</v>
      </c>
      <c r="B302" s="617">
        <v>22.277000000000001</v>
      </c>
      <c r="C302" s="390"/>
      <c r="D302" s="393">
        <f t="shared" si="98"/>
        <v>22.90787720382486</v>
      </c>
      <c r="E302" s="385">
        <f t="shared" si="120"/>
        <v>24.04676458214783</v>
      </c>
      <c r="F302" s="385">
        <f t="shared" si="99"/>
        <v>24.381595822299349</v>
      </c>
      <c r="G302" s="110">
        <f t="shared" si="121"/>
        <v>0.92239230591006194</v>
      </c>
      <c r="H302" s="414" t="b">
        <f>Wh_hp&gt;='2020'!Maxi_hp</f>
        <v>1</v>
      </c>
      <c r="I302" s="380">
        <f>IF(H302,Wh_hp,'2020'!Maxi_hp)</f>
        <v>24.381595822299349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2.7539749677003011E-2</v>
      </c>
      <c r="M302" s="850"/>
      <c r="N302" s="850"/>
      <c r="O302" s="48">
        <f>IF(t&lt;Tnet,'2020'!Resal+('2020'!Salim-'2020'!Resal)*(1-EXP(('2020'!Tnet-t)/('2020'!Tau_j))),Resal+(Salim-Resal)*(1-EXP((Tnet-t)/(Tau_j))))*Salcycl</f>
        <v>4.7361356012462122E-2</v>
      </c>
      <c r="P302" s="169">
        <f>(INDEX(Models!$BJ302:$BT302,,T302)*(1-R302)+INDEX(Models!$BJ302:$BT302,,T302+1)*R302-ERP_i)*Q302*Ramure*Pc/MaxiM</f>
        <v>1.54065365981694E-2</v>
      </c>
      <c r="Q302" s="305">
        <f t="shared" si="101"/>
        <v>0.7</v>
      </c>
      <c r="R302" s="177">
        <f t="shared" si="102"/>
        <v>0.49848179932118697</v>
      </c>
      <c r="S302" s="817">
        <f t="shared" si="103"/>
        <v>-1</v>
      </c>
      <c r="T302" s="176">
        <f t="shared" si="104"/>
        <v>5</v>
      </c>
      <c r="U302" s="251">
        <f t="shared" si="105"/>
        <v>-0.50151820067881303</v>
      </c>
      <c r="V302" s="383">
        <f t="shared" si="106"/>
        <v>24.11034680652622</v>
      </c>
      <c r="W302" s="402"/>
      <c r="X302" s="157">
        <f t="shared" si="107"/>
        <v>44484</v>
      </c>
      <c r="Y302" s="385">
        <f t="shared" si="108"/>
        <v>20.535771067361459</v>
      </c>
      <c r="Z302" s="385">
        <f t="shared" si="109"/>
        <v>21.117337249045011</v>
      </c>
      <c r="AA302" s="386">
        <f t="shared" si="110"/>
        <v>24.04676458214783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0.12182209889797849</v>
      </c>
      <c r="AD302" s="231">
        <f>(INDEX(Models!$BJ302:$BT302,,AH302)*(1-AF302)+INDEX(Models!$BJ302:$BT302,,AH302+1)*AF302-ERP_i)*AE302*Ramure*Pc/MaxiM</f>
        <v>1.54065365981694E-2</v>
      </c>
      <c r="AE302" s="305">
        <f t="shared" si="112"/>
        <v>0.7</v>
      </c>
      <c r="AF302" s="177">
        <f t="shared" si="113"/>
        <v>0.49848179932118697</v>
      </c>
      <c r="AG302" s="817">
        <f t="shared" si="119"/>
        <v>-1</v>
      </c>
      <c r="AH302" s="176">
        <f t="shared" si="114"/>
        <v>5</v>
      </c>
      <c r="AI302" s="225">
        <f t="shared" si="115"/>
        <v>-0.50151820067881303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44485</v>
      </c>
      <c r="B303" s="617">
        <v>23.02</v>
      </c>
      <c r="C303" s="390"/>
      <c r="D303" s="393">
        <f t="shared" si="98"/>
        <v>23.672437202936159</v>
      </c>
      <c r="E303" s="385">
        <f t="shared" si="120"/>
        <v>24.852472804315699</v>
      </c>
      <c r="F303" s="385">
        <f t="shared" si="99"/>
        <v>25.248209273651742</v>
      </c>
      <c r="G303" s="110">
        <f t="shared" si="121"/>
        <v>0.9659910111680996</v>
      </c>
      <c r="H303" s="414" t="b">
        <f>Wh_hp&gt;='2020'!Maxi_hp</f>
        <v>1</v>
      </c>
      <c r="I303" s="380">
        <f>IF(H303,Wh_hp,'2020'!Maxi_hp)</f>
        <v>25.248209273651742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2.7561049052238551E-2</v>
      </c>
      <c r="M303" s="850"/>
      <c r="N303" s="850"/>
      <c r="O303" s="48">
        <f>IF(t&lt;Tnet,'2020'!Resal+('2020'!Salim-'2020'!Resal)*(1-EXP(('2020'!Tnet-t)/('2020'!Tau_j))),Resal+(Salim-Resal)*(1-EXP((Tnet-t)/(Tau_j))))*Salcycl</f>
        <v>4.7481617248752148E-2</v>
      </c>
      <c r="P303" s="169">
        <f>(INDEX(Models!$BJ303:$BT303,,T303)*(1-R303)+INDEX(Models!$BJ303:$BT303,,T303+1)*R303-ERP_i)*Q303*Ramure*Pc/MaxiM</f>
        <v>1.6455268720914056E-2</v>
      </c>
      <c r="Q303" s="305">
        <f t="shared" si="101"/>
        <v>0.7</v>
      </c>
      <c r="R303" s="177">
        <f t="shared" si="102"/>
        <v>0.49854659115932609</v>
      </c>
      <c r="S303" s="817">
        <f t="shared" si="103"/>
        <v>-1</v>
      </c>
      <c r="T303" s="176">
        <f t="shared" si="104"/>
        <v>5</v>
      </c>
      <c r="U303" s="251">
        <f t="shared" si="105"/>
        <v>-0.50145340884067391</v>
      </c>
      <c r="V303" s="383">
        <f t="shared" si="106"/>
        <v>23.811531243866941</v>
      </c>
      <c r="W303" s="402"/>
      <c r="X303" s="157">
        <f t="shared" si="107"/>
        <v>44485</v>
      </c>
      <c r="Y303" s="385">
        <f t="shared" si="108"/>
        <v>21.223966675140549</v>
      </c>
      <c r="Z303" s="385">
        <f t="shared" si="109"/>
        <v>21.825500361184815</v>
      </c>
      <c r="AA303" s="386">
        <f t="shared" si="110"/>
        <v>24.852472804315699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0.12179763627405495</v>
      </c>
      <c r="AD303" s="231">
        <f>(INDEX(Models!$BJ303:$BT303,,AH303)*(1-AF303)+INDEX(Models!$BJ303:$BT303,,AH303+1)*AF303-ERP_i)*AE303*Ramure*Pc/MaxiM</f>
        <v>1.6455268720914056E-2</v>
      </c>
      <c r="AE303" s="305">
        <f t="shared" si="112"/>
        <v>0.7</v>
      </c>
      <c r="AF303" s="177">
        <f t="shared" si="113"/>
        <v>0.49854659115932609</v>
      </c>
      <c r="AG303" s="817">
        <f t="shared" si="119"/>
        <v>-1</v>
      </c>
      <c r="AH303" s="176">
        <f t="shared" si="114"/>
        <v>5</v>
      </c>
      <c r="AI303" s="225">
        <f t="shared" si="115"/>
        <v>-0.50145340884067391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44486</v>
      </c>
      <c r="B304" s="617">
        <v>21.393000000000001</v>
      </c>
      <c r="C304" s="390"/>
      <c r="D304" s="393">
        <f t="shared" si="98"/>
        <v>21.999806312793254</v>
      </c>
      <c r="E304" s="385">
        <f t="shared" si="120"/>
        <v>23.099356645155716</v>
      </c>
      <c r="F304" s="385">
        <f t="shared" si="99"/>
        <v>23.457499941196161</v>
      </c>
      <c r="G304" s="110">
        <f t="shared" si="121"/>
        <v>0.90790208072934364</v>
      </c>
      <c r="H304" s="414" t="b">
        <f>Wh_hp&gt;='2020'!Maxi_hp</f>
        <v>1</v>
      </c>
      <c r="I304" s="380">
        <f>IF(H304,Wh_hp,'2020'!Maxi_hp)</f>
        <v>23.457499941196161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2.7582347960963038E-2</v>
      </c>
      <c r="M304" s="850"/>
      <c r="N304" s="850"/>
      <c r="O304" s="48">
        <f>IF(t&lt;Tnet,'2020'!Resal+('2020'!Salim-'2020'!Resal)*(1-EXP(('2020'!Tnet-t)/('2020'!Tau_j))),Resal+(Salim-Resal)*(1-EXP((Tnet-t)/(Tau_j))))*Salcycl</f>
        <v>4.7600907213710429E-2</v>
      </c>
      <c r="P304" s="169">
        <f>(INDEX(Models!$BJ304:$BT304,,T304)*(1-R304)+INDEX(Models!$BJ304:$BT304,,T304+1)*R304-ERP_i)*Q304*Ramure*Pc/MaxiM</f>
        <v>1.7520827150459061E-2</v>
      </c>
      <c r="Q304" s="305">
        <f t="shared" si="101"/>
        <v>0.7</v>
      </c>
      <c r="R304" s="177">
        <f t="shared" si="102"/>
        <v>0.49860880071129965</v>
      </c>
      <c r="S304" s="817">
        <f t="shared" si="103"/>
        <v>-1</v>
      </c>
      <c r="T304" s="176">
        <f t="shared" si="104"/>
        <v>5</v>
      </c>
      <c r="U304" s="251">
        <f t="shared" si="105"/>
        <v>-0.50139119928870035</v>
      </c>
      <c r="V304" s="383">
        <f t="shared" si="106"/>
        <v>23.509201162069512</v>
      </c>
      <c r="W304" s="402"/>
      <c r="X304" s="157">
        <f t="shared" si="107"/>
        <v>44486</v>
      </c>
      <c r="Y304" s="385">
        <f t="shared" si="108"/>
        <v>19.726963109393587</v>
      </c>
      <c r="Z304" s="385">
        <f t="shared" si="109"/>
        <v>20.286512763346735</v>
      </c>
      <c r="AA304" s="386">
        <f t="shared" si="110"/>
        <v>23.099356645155716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0.12177152485322042</v>
      </c>
      <c r="AD304" s="231">
        <f>(INDEX(Models!$BJ304:$BT304,,AH304)*(1-AF304)+INDEX(Models!$BJ304:$BT304,,AH304+1)*AF304-ERP_i)*AE304*Ramure*Pc/MaxiM</f>
        <v>1.7520827150459061E-2</v>
      </c>
      <c r="AE304" s="305">
        <f t="shared" si="112"/>
        <v>0.7</v>
      </c>
      <c r="AF304" s="177">
        <f t="shared" si="113"/>
        <v>0.49860880071129965</v>
      </c>
      <c r="AG304" s="817">
        <f t="shared" si="119"/>
        <v>-1</v>
      </c>
      <c r="AH304" s="176">
        <f t="shared" si="114"/>
        <v>5</v>
      </c>
      <c r="AI304" s="225">
        <f t="shared" si="115"/>
        <v>-0.50139119928870035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44487</v>
      </c>
      <c r="B305" s="617">
        <v>21.442</v>
      </c>
      <c r="C305" s="390"/>
      <c r="D305" s="393">
        <f t="shared" si="98"/>
        <v>22.050679150212591</v>
      </c>
      <c r="E305" s="385">
        <f t="shared" si="120"/>
        <v>23.155649162465231</v>
      </c>
      <c r="F305" s="385">
        <f t="shared" si="99"/>
        <v>23.545987147061279</v>
      </c>
      <c r="G305" s="110">
        <f t="shared" si="121"/>
        <v>0.92217446163445715</v>
      </c>
      <c r="H305" s="414" t="b">
        <f>Wh_hp&gt;='2020'!Maxi_hp</f>
        <v>0</v>
      </c>
      <c r="I305" s="380">
        <f>IF(H305,Wh_hp,'2020'!Maxi_hp)</f>
        <v>25.579002164286386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2.7603646403186799E-2</v>
      </c>
      <c r="M305" s="850"/>
      <c r="N305" s="850"/>
      <c r="O305" s="48">
        <f>IF(t&lt;Tnet,'2020'!Resal+('2020'!Salim-'2020'!Resal)*(1-EXP(('2020'!Tnet-t)/('2020'!Tau_j))),Resal+(Salim-Resal)*(1-EXP((Tnet-t)/(Tau_j))))*Salcycl</f>
        <v>4.7719241404113696E-2</v>
      </c>
      <c r="P305" s="169">
        <f>(INDEX(Models!$BJ305:$BT305,,T305)*(1-R305)+INDEX(Models!$BJ305:$BT305,,T305+1)*R305-ERP_i)*Q305*Ramure*Pc/MaxiM</f>
        <v>1.8594685429394599E-2</v>
      </c>
      <c r="Q305" s="305">
        <f t="shared" si="101"/>
        <v>0.7</v>
      </c>
      <c r="R305" s="177">
        <f t="shared" si="102"/>
        <v>0.49866852987787935</v>
      </c>
      <c r="S305" s="817">
        <f t="shared" si="103"/>
        <v>-1</v>
      </c>
      <c r="T305" s="176">
        <f t="shared" si="104"/>
        <v>5</v>
      </c>
      <c r="U305" s="251">
        <f t="shared" si="105"/>
        <v>-0.50133147012212065</v>
      </c>
      <c r="V305" s="383">
        <f t="shared" si="106"/>
        <v>23.203876647383471</v>
      </c>
      <c r="W305" s="402"/>
      <c r="X305" s="157">
        <f t="shared" si="107"/>
        <v>44487</v>
      </c>
      <c r="Y305" s="385">
        <f t="shared" si="108"/>
        <v>19.775227992322414</v>
      </c>
      <c r="Z305" s="385">
        <f t="shared" si="109"/>
        <v>20.336592089404171</v>
      </c>
      <c r="AA305" s="386">
        <f t="shared" si="110"/>
        <v>23.155649162465231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0.12174381522547359</v>
      </c>
      <c r="AD305" s="231">
        <f>(INDEX(Models!$BJ305:$BT305,,AH305)*(1-AF305)+INDEX(Models!$BJ305:$BT305,,AH305+1)*AF305-ERP_i)*AE305*Ramure*Pc/MaxiM</f>
        <v>1.8594685429394599E-2</v>
      </c>
      <c r="AE305" s="305">
        <f t="shared" si="112"/>
        <v>0.7</v>
      </c>
      <c r="AF305" s="177">
        <f t="shared" si="113"/>
        <v>0.49866852987787935</v>
      </c>
      <c r="AG305" s="817">
        <f t="shared" si="119"/>
        <v>-1</v>
      </c>
      <c r="AH305" s="176">
        <f t="shared" si="114"/>
        <v>5</v>
      </c>
      <c r="AI305" s="225">
        <f t="shared" si="115"/>
        <v>-0.50133147012212065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44488</v>
      </c>
      <c r="B306" s="617">
        <v>21.507000000000001</v>
      </c>
      <c r="C306" s="390"/>
      <c r="D306" s="393">
        <f t="shared" si="98"/>
        <v>22.118008761817681</v>
      </c>
      <c r="E306" s="385">
        <f t="shared" si="120"/>
        <v>23.229216377874028</v>
      </c>
      <c r="F306" s="385">
        <f t="shared" si="99"/>
        <v>23.65433549896203</v>
      </c>
      <c r="G306" s="110">
        <f t="shared" si="121"/>
        <v>0.93770921369339266</v>
      </c>
      <c r="H306" s="414" t="b">
        <f>Wh_hp&gt;='2020'!Maxi_hp</f>
        <v>0</v>
      </c>
      <c r="I306" s="380">
        <f>IF(H306,Wh_hp,'2020'!Maxi_hp)</f>
        <v>24.959587812927008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2.7624944378920047E-2</v>
      </c>
      <c r="M306" s="850"/>
      <c r="N306" s="850"/>
      <c r="O306" s="48">
        <f>IF(t&lt;Tnet,'2020'!Resal+('2020'!Salim-'2020'!Resal)*(1-EXP(('2020'!Tnet-t)/('2020'!Tau_j))),Resal+(Salim-Resal)*(1-EXP((Tnet-t)/(Tau_j))))*Salcycl</f>
        <v>4.7836638050122955E-2</v>
      </c>
      <c r="P306" s="169">
        <f>(INDEX(Models!$BJ306:$BT306,,T306)*(1-R306)+INDEX(Models!$BJ306:$BT306,,T306+1)*R306-ERP_i)*Q306*Ramure*Pc/MaxiM</f>
        <v>1.9677316476103247E-2</v>
      </c>
      <c r="Q306" s="305">
        <f t="shared" si="101"/>
        <v>0.7</v>
      </c>
      <c r="R306" s="177">
        <f t="shared" si="102"/>
        <v>0.4987258766185616</v>
      </c>
      <c r="S306" s="817">
        <f t="shared" si="103"/>
        <v>-1</v>
      </c>
      <c r="T306" s="176">
        <f t="shared" si="104"/>
        <v>5</v>
      </c>
      <c r="U306" s="251">
        <f t="shared" si="105"/>
        <v>-0.5012741233814384</v>
      </c>
      <c r="V306" s="383">
        <f t="shared" si="106"/>
        <v>22.895856607092092</v>
      </c>
      <c r="W306" s="402"/>
      <c r="X306" s="157">
        <f t="shared" si="107"/>
        <v>44488</v>
      </c>
      <c r="Y306" s="385">
        <f t="shared" si="108"/>
        <v>19.838281559172788</v>
      </c>
      <c r="Z306" s="385">
        <f t="shared" si="109"/>
        <v>20.401882426428131</v>
      </c>
      <c r="AA306" s="386">
        <f t="shared" si="110"/>
        <v>23.229216377874028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0.12171456434229741</v>
      </c>
      <c r="AD306" s="231">
        <f>(INDEX(Models!$BJ306:$BT306,,AH306)*(1-AF306)+INDEX(Models!$BJ306:$BT306,,AH306+1)*AF306-ERP_i)*AE306*Ramure*Pc/MaxiM</f>
        <v>1.9677316476103247E-2</v>
      </c>
      <c r="AE306" s="305">
        <f t="shared" si="112"/>
        <v>0.7</v>
      </c>
      <c r="AF306" s="177">
        <f t="shared" si="113"/>
        <v>0.4987258766185616</v>
      </c>
      <c r="AG306" s="817">
        <f t="shared" si="119"/>
        <v>-1</v>
      </c>
      <c r="AH306" s="176">
        <f t="shared" si="114"/>
        <v>5</v>
      </c>
      <c r="AI306" s="225">
        <f t="shared" si="115"/>
        <v>-0.5012741233814384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44489</v>
      </c>
      <c r="B307" s="617">
        <v>17.821999999999999</v>
      </c>
      <c r="C307" s="390"/>
      <c r="D307" s="393">
        <f t="shared" si="98"/>
        <v>18.328720233063937</v>
      </c>
      <c r="E307" s="385">
        <f t="shared" si="120"/>
        <v>19.25190931465302</v>
      </c>
      <c r="F307" s="385">
        <f t="shared" si="99"/>
        <v>19.535397265406605</v>
      </c>
      <c r="G307" s="110">
        <f t="shared" si="121"/>
        <v>0.78408186323864482</v>
      </c>
      <c r="H307" s="414" t="b">
        <f>Wh_hp&gt;='2020'!Maxi_hp</f>
        <v>0</v>
      </c>
      <c r="I307" s="380">
        <f>IF(H307,Wh_hp,'2020'!Maxi_hp)</f>
        <v>20.300420803339481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2.7646241888172995E-2</v>
      </c>
      <c r="M307" s="850"/>
      <c r="N307" s="850"/>
      <c r="O307" s="48">
        <f>IF(t&lt;Tnet,'2020'!Resal+('2020'!Salim-'2020'!Resal)*(1-EXP(('2020'!Tnet-t)/('2020'!Tau_j))),Resal+(Salim-Resal)*(1-EXP((Tnet-t)/(Tau_j))))*Salcycl</f>
        <v>4.7953118129765153E-2</v>
      </c>
      <c r="P307" s="169">
        <f>(INDEX(Models!$BJ307:$BT307,,T307)*(1-R307)+INDEX(Models!$BJ307:$BT307,,T307+1)*R307-ERP_i)*Q307*Ramure*Pc/MaxiM</f>
        <v>2.0769183615821744E-2</v>
      </c>
      <c r="Q307" s="305">
        <f t="shared" si="101"/>
        <v>0.7</v>
      </c>
      <c r="R307" s="177">
        <f t="shared" si="102"/>
        <v>0.49878093509770993</v>
      </c>
      <c r="S307" s="817">
        <f t="shared" si="103"/>
        <v>-1</v>
      </c>
      <c r="T307" s="176">
        <f t="shared" si="104"/>
        <v>5</v>
      </c>
      <c r="U307" s="251">
        <f t="shared" si="105"/>
        <v>-0.50121906490229007</v>
      </c>
      <c r="V307" s="383">
        <f t="shared" si="106"/>
        <v>22.585439359862992</v>
      </c>
      <c r="W307" s="402"/>
      <c r="X307" s="157">
        <f t="shared" si="107"/>
        <v>44489</v>
      </c>
      <c r="Y307" s="385">
        <f t="shared" si="108"/>
        <v>16.441785569930978</v>
      </c>
      <c r="Z307" s="385">
        <f t="shared" si="109"/>
        <v>16.909263149101818</v>
      </c>
      <c r="AA307" s="386">
        <f t="shared" si="110"/>
        <v>19.25190931465302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0.12168383547122592</v>
      </c>
      <c r="AD307" s="231">
        <f>(INDEX(Models!$BJ307:$BT307,,AH307)*(1-AF307)+INDEX(Models!$BJ307:$BT307,,AH307+1)*AF307-ERP_i)*AE307*Ramure*Pc/MaxiM</f>
        <v>2.0769183615821744E-2</v>
      </c>
      <c r="AE307" s="305">
        <f t="shared" si="112"/>
        <v>0.7</v>
      </c>
      <c r="AF307" s="177">
        <f t="shared" si="113"/>
        <v>0.49878093509770993</v>
      </c>
      <c r="AG307" s="817">
        <f t="shared" si="119"/>
        <v>-1</v>
      </c>
      <c r="AH307" s="176">
        <f t="shared" si="114"/>
        <v>5</v>
      </c>
      <c r="AI307" s="225">
        <f t="shared" si="115"/>
        <v>-0.50121906490229007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44490</v>
      </c>
      <c r="B308" s="617">
        <v>8.5540000000000003</v>
      </c>
      <c r="C308" s="390"/>
      <c r="D308" s="393">
        <f t="shared" si="98"/>
        <v>8.7974024754816753</v>
      </c>
      <c r="E308" s="385">
        <f t="shared" si="120"/>
        <v>9.2416359511238664</v>
      </c>
      <c r="F308" s="385">
        <f t="shared" si="99"/>
        <v>9.2659699537132898</v>
      </c>
      <c r="G308" s="110">
        <f t="shared" si="121"/>
        <v>0.37664336303755247</v>
      </c>
      <c r="H308" s="414" t="b">
        <f>Wh_hp&gt;='2020'!Maxi_hp</f>
        <v>0</v>
      </c>
      <c r="I308" s="380">
        <f>IF(H308,Wh_hp,'2020'!Maxi_hp)</f>
        <v>15.02935928669431</v>
      </c>
      <c r="J308" s="85">
        <f>IF(H308,An,'2020'!An_max)</f>
        <v>2019</v>
      </c>
      <c r="K308" s="197">
        <f t="shared" si="100"/>
        <v>44490</v>
      </c>
      <c r="L308" s="147">
        <f>IF(t&lt;Tvie,1-EXP((T0-t)*PertePVj)+'2020'!Pspv,1-EXP((T0-t)*PertePVj)+Pspv)</f>
        <v>2.7667538930955748E-2</v>
      </c>
      <c r="M308" s="850"/>
      <c r="N308" s="850"/>
      <c r="O308" s="48">
        <f>IF(t&lt;Tnet,'2020'!Resal+('2020'!Salim-'2020'!Resal)*(1-EXP(('2020'!Tnet-t)/('2020'!Tau_j))),Resal+(Salim-Resal)*(1-EXP((Tnet-t)/(Tau_j))))*Salcycl</f>
        <v>4.8068705366842296E-2</v>
      </c>
      <c r="P308" s="169">
        <f>(INDEX(Models!$BJ308:$BT308,,T308)*(1-R308)+INDEX(Models!$BJ308:$BT308,,T308+1)*R308-ERP_i)*Q308*Ramure*Pc/MaxiM</f>
        <v>2.1870740263882506E-2</v>
      </c>
      <c r="Q308" s="305">
        <f t="shared" si="101"/>
        <v>0.7</v>
      </c>
      <c r="R308" s="177">
        <f t="shared" si="102"/>
        <v>0.49883379582578025</v>
      </c>
      <c r="S308" s="817">
        <f t="shared" si="103"/>
        <v>-1</v>
      </c>
      <c r="T308" s="176">
        <f t="shared" si="104"/>
        <v>5</v>
      </c>
      <c r="U308" s="251">
        <f t="shared" si="105"/>
        <v>-0.50116620417421975</v>
      </c>
      <c r="V308" s="383">
        <f t="shared" si="106"/>
        <v>22.272922629417323</v>
      </c>
      <c r="W308" s="402"/>
      <c r="X308" s="157">
        <f t="shared" si="107"/>
        <v>44490</v>
      </c>
      <c r="Y308" s="385">
        <f t="shared" si="108"/>
        <v>7.8927874487673826</v>
      </c>
      <c r="Z308" s="385">
        <f t="shared" si="109"/>
        <v>8.1173752443578291</v>
      </c>
      <c r="AA308" s="386">
        <f t="shared" si="110"/>
        <v>9.2416359511238664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0.12165169810971802</v>
      </c>
      <c r="AD308" s="231">
        <f>(INDEX(Models!$BJ308:$BT308,,AH308)*(1-AF308)+INDEX(Models!$BJ308:$BT308,,AH308+1)*AF308-ERP_i)*AE308*Ramure*Pc/MaxiM</f>
        <v>2.1870740263882506E-2</v>
      </c>
      <c r="AE308" s="305">
        <f t="shared" si="112"/>
        <v>0.7</v>
      </c>
      <c r="AF308" s="177">
        <f t="shared" si="113"/>
        <v>0.49883379582578025</v>
      </c>
      <c r="AG308" s="817">
        <f t="shared" si="119"/>
        <v>-1</v>
      </c>
      <c r="AH308" s="176">
        <f t="shared" si="114"/>
        <v>5</v>
      </c>
      <c r="AI308" s="225">
        <f t="shared" si="115"/>
        <v>-0.50116620417421975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44491</v>
      </c>
      <c r="B309" s="617">
        <v>8.5310000000000006</v>
      </c>
      <c r="C309" s="390"/>
      <c r="D309" s="393">
        <f t="shared" si="98"/>
        <v>8.7739401865768283</v>
      </c>
      <c r="E309" s="385">
        <f t="shared" si="120"/>
        <v>9.2180998190196224</v>
      </c>
      <c r="F309" s="385">
        <f t="shared" si="99"/>
        <v>9.244963455735709</v>
      </c>
      <c r="G309" s="110">
        <f t="shared" si="121"/>
        <v>0.38068116588674594</v>
      </c>
      <c r="H309" s="414" t="b">
        <f>Wh_hp&gt;='2020'!Maxi_hp</f>
        <v>0</v>
      </c>
      <c r="I309" s="380">
        <f>IF(H309,Wh_hp,'2020'!Maxi_hp)</f>
        <v>16.703428422228029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2.7688835507278631E-2</v>
      </c>
      <c r="M309" s="850"/>
      <c r="N309" s="850"/>
      <c r="O309" s="48">
        <f>IF(t&lt;Tnet,'2020'!Resal+('2020'!Salim-'2020'!Resal)*(1-EXP(('2020'!Tnet-t)/('2020'!Tau_j))),Resal+(Salim-Resal)*(1-EXP((Tnet-t)/(Tau_j))))*Salcycl</f>
        <v>4.8183426211805998E-2</v>
      </c>
      <c r="P309" s="169">
        <f>(INDEX(Models!$BJ309:$BT309,,T309)*(1-R309)+INDEX(Models!$BJ309:$BT309,,T309+1)*R309-ERP_i)*Q309*Ramure*Pc/MaxiM</f>
        <v>2.2982429345493976E-2</v>
      </c>
      <c r="Q309" s="305">
        <f t="shared" si="101"/>
        <v>0.7</v>
      </c>
      <c r="R309" s="177">
        <f t="shared" si="102"/>
        <v>0.49888454579575181</v>
      </c>
      <c r="S309" s="817">
        <f t="shared" si="103"/>
        <v>-1</v>
      </c>
      <c r="T309" s="176">
        <f t="shared" si="104"/>
        <v>5</v>
      </c>
      <c r="U309" s="251">
        <f t="shared" si="105"/>
        <v>-0.50111545420424819</v>
      </c>
      <c r="V309" s="383">
        <f t="shared" si="106"/>
        <v>21.958603534094607</v>
      </c>
      <c r="W309" s="402"/>
      <c r="X309" s="157">
        <f t="shared" si="107"/>
        <v>44491</v>
      </c>
      <c r="Y309" s="385">
        <f t="shared" si="108"/>
        <v>7.8728140531534647</v>
      </c>
      <c r="Z309" s="385">
        <f t="shared" si="109"/>
        <v>8.097010854813032</v>
      </c>
      <c r="AA309" s="386">
        <f t="shared" si="110"/>
        <v>9.2180998190196224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0.12161822785792108</v>
      </c>
      <c r="AD309" s="231">
        <f>(INDEX(Models!$BJ309:$BT309,,AH309)*(1-AF309)+INDEX(Models!$BJ309:$BT309,,AH309+1)*AF309-ERP_i)*AE309*Ramure*Pc/MaxiM</f>
        <v>2.2982429345493976E-2</v>
      </c>
      <c r="AE309" s="305">
        <f t="shared" si="112"/>
        <v>0.7</v>
      </c>
      <c r="AF309" s="177">
        <f t="shared" si="113"/>
        <v>0.49888454579575181</v>
      </c>
      <c r="AG309" s="817">
        <f t="shared" si="119"/>
        <v>-1</v>
      </c>
      <c r="AH309" s="176">
        <f t="shared" si="114"/>
        <v>5</v>
      </c>
      <c r="AI309" s="225">
        <f t="shared" si="115"/>
        <v>-0.50111545420424819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44492</v>
      </c>
      <c r="B310" s="617">
        <v>21.329000000000001</v>
      </c>
      <c r="C310" s="390"/>
      <c r="D310" s="393">
        <f t="shared" si="98"/>
        <v>21.936873656284476</v>
      </c>
      <c r="E310" s="385">
        <f t="shared" si="120"/>
        <v>23.050133074433038</v>
      </c>
      <c r="F310" s="385">
        <f t="shared" si="99"/>
        <v>23.606674869026993</v>
      </c>
      <c r="G310" s="110">
        <f t="shared" si="121"/>
        <v>0.98496793749533029</v>
      </c>
      <c r="H310" s="414" t="b">
        <f>Wh_hp&gt;='2020'!Maxi_hp</f>
        <v>0</v>
      </c>
      <c r="I310" s="380">
        <f>IF(H310,Wh_hp,'2020'!Maxi_hp)</f>
        <v>23.868421011205619</v>
      </c>
      <c r="J310" s="85">
        <f>IF(H310,An,'2020'!An_max)</f>
        <v>2018</v>
      </c>
      <c r="K310" s="197">
        <f t="shared" si="100"/>
        <v>44492</v>
      </c>
      <c r="L310" s="147">
        <f>IF(t&lt;Tvie,1-EXP((T0-t)*PertePVj)+'2020'!Pspv,1-EXP((T0-t)*PertePVj)+Pspv)</f>
        <v>2.7710131617151856E-2</v>
      </c>
      <c r="M310" s="850"/>
      <c r="N310" s="850"/>
      <c r="O310" s="48">
        <f>IF(t&lt;Tnet,'2020'!Resal+('2020'!Salim-'2020'!Resal)*(1-EXP(('2020'!Tnet-t)/('2020'!Tau_j))),Resal+(Salim-Resal)*(1-EXP((Tnet-t)/(Tau_j))))*Salcycl</f>
        <v>4.8297309805268654E-2</v>
      </c>
      <c r="P310" s="169">
        <f>(INDEX(Models!$BJ310:$BT310,,T310)*(1-R310)+INDEX(Models!$BJ310:$BT310,,T310+1)*R310-ERP_i)*Q310*Ramure*Pc/MaxiM</f>
        <v>2.4075268737183499E-2</v>
      </c>
      <c r="Q310" s="305">
        <f t="shared" si="101"/>
        <v>0.7</v>
      </c>
      <c r="R310" s="177">
        <f t="shared" si="102"/>
        <v>0.49893326861489085</v>
      </c>
      <c r="S310" s="817">
        <f t="shared" si="103"/>
        <v>-1</v>
      </c>
      <c r="T310" s="176">
        <f t="shared" si="104"/>
        <v>5</v>
      </c>
      <c r="U310" s="251">
        <f t="shared" si="105"/>
        <v>-0.50106673138510915</v>
      </c>
      <c r="V310" s="383">
        <f t="shared" si="106"/>
        <v>21.643430899897506</v>
      </c>
      <c r="W310" s="402"/>
      <c r="X310" s="157">
        <f t="shared" si="107"/>
        <v>44492</v>
      </c>
      <c r="Y310" s="385">
        <f t="shared" si="108"/>
        <v>19.686552941607207</v>
      </c>
      <c r="Z310" s="385">
        <f t="shared" si="109"/>
        <v>20.247617075708789</v>
      </c>
      <c r="AA310" s="386">
        <f t="shared" si="110"/>
        <v>23.050133074433038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0.12158350625024253</v>
      </c>
      <c r="AD310" s="231">
        <f>(INDEX(Models!$BJ310:$BT310,,AH310)*(1-AF310)+INDEX(Models!$BJ310:$BT310,,AH310+1)*AF310-ERP_i)*AE310*Ramure*Pc/MaxiM</f>
        <v>2.4075268737183499E-2</v>
      </c>
      <c r="AE310" s="305">
        <f t="shared" si="112"/>
        <v>0.7</v>
      </c>
      <c r="AF310" s="177">
        <f t="shared" si="113"/>
        <v>0.49893326861489085</v>
      </c>
      <c r="AG310" s="817">
        <f t="shared" si="119"/>
        <v>-1</v>
      </c>
      <c r="AH310" s="176">
        <f t="shared" si="114"/>
        <v>5</v>
      </c>
      <c r="AI310" s="225">
        <f t="shared" si="115"/>
        <v>-0.50106673138510915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44493</v>
      </c>
      <c r="B311" s="617">
        <v>22.04</v>
      </c>
      <c r="C311" s="390"/>
      <c r="D311" s="393">
        <f t="shared" si="98"/>
        <v>22.668633562742052</v>
      </c>
      <c r="E311" s="385">
        <f t="shared" si="120"/>
        <v>23.821858997900247</v>
      </c>
      <c r="F311" s="385">
        <f t="shared" si="99"/>
        <v>24.436721996898605</v>
      </c>
      <c r="G311" s="110">
        <f t="shared" si="121"/>
        <v>1.0334115960222054</v>
      </c>
      <c r="H311" s="414" t="b">
        <f>Wh_hp&gt;='2020'!Maxi_hp</f>
        <v>1</v>
      </c>
      <c r="I311" s="380">
        <f>IF(H311,Wh_hp,'2020'!Maxi_hp)</f>
        <v>24.436721996898605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2.7731427260585639E-2</v>
      </c>
      <c r="M311" s="850"/>
      <c r="N311" s="850"/>
      <c r="O311" s="48">
        <f>IF(t&lt;Tnet,'2020'!Resal+('2020'!Salim-'2020'!Resal)*(1-EXP(('2020'!Tnet-t)/('2020'!Tau_j))),Resal+(Salim-Resal)*(1-EXP((Tnet-t)/(Tau_j))))*Salcycl</f>
        <v>4.8410387923958575E-2</v>
      </c>
      <c r="P311" s="169">
        <f>(INDEX(Models!$BJ311:$BT311,,T311)*(1-R311)+INDEX(Models!$BJ311:$BT311,,T311+1)*R311-ERP_i)*Q311*Ramure*Pc/MaxiM</f>
        <v>2.5161435280738366E-2</v>
      </c>
      <c r="Q311" s="305">
        <f t="shared" si="101"/>
        <v>0.7</v>
      </c>
      <c r="R311" s="177">
        <f t="shared" si="102"/>
        <v>0.49898004463197099</v>
      </c>
      <c r="S311" s="817">
        <f t="shared" si="103"/>
        <v>-1</v>
      </c>
      <c r="T311" s="176">
        <f t="shared" si="104"/>
        <v>5</v>
      </c>
      <c r="U311" s="251">
        <f t="shared" si="105"/>
        <v>-0.50101995536802901</v>
      </c>
      <c r="V311" s="383">
        <f t="shared" si="106"/>
        <v>21.327416960324502</v>
      </c>
      <c r="W311" s="402"/>
      <c r="X311" s="157">
        <f t="shared" si="107"/>
        <v>44493</v>
      </c>
      <c r="Y311" s="385">
        <f t="shared" si="108"/>
        <v>20.346050647744246</v>
      </c>
      <c r="Z311" s="385">
        <f t="shared" si="109"/>
        <v>20.926368719723452</v>
      </c>
      <c r="AA311" s="386">
        <f t="shared" si="110"/>
        <v>23.821858997900247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0.12154762054598744</v>
      </c>
      <c r="AD311" s="231">
        <f>(INDEX(Models!$BJ311:$BT311,,AH311)*(1-AF311)+INDEX(Models!$BJ311:$BT311,,AH311+1)*AF311-ERP_i)*AE311*Ramure*Pc/MaxiM</f>
        <v>2.5161435280738366E-2</v>
      </c>
      <c r="AE311" s="305">
        <f t="shared" si="112"/>
        <v>0.7</v>
      </c>
      <c r="AF311" s="177">
        <f t="shared" si="113"/>
        <v>0.49898004463197099</v>
      </c>
      <c r="AG311" s="817">
        <f t="shared" si="119"/>
        <v>-1</v>
      </c>
      <c r="AH311" s="176">
        <f t="shared" si="114"/>
        <v>5</v>
      </c>
      <c r="AI311" s="225">
        <f t="shared" si="115"/>
        <v>-0.50101995536802901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44494</v>
      </c>
      <c r="B312" s="617">
        <v>20.189</v>
      </c>
      <c r="C312" s="390"/>
      <c r="D312" s="393">
        <f t="shared" si="98"/>
        <v>20.765293424752265</v>
      </c>
      <c r="E312" s="385">
        <f t="shared" si="120"/>
        <v>21.824265606385406</v>
      </c>
      <c r="F312" s="385">
        <f t="shared" si="99"/>
        <v>22.378690106749829</v>
      </c>
      <c r="G312" s="110">
        <f t="shared" si="121"/>
        <v>0.95943980548557806</v>
      </c>
      <c r="H312" s="414" t="b">
        <f>Wh_hp&gt;='2020'!Maxi_hp</f>
        <v>0</v>
      </c>
      <c r="I312" s="380">
        <f>IF(H312,Wh_hp,'2020'!Maxi_hp)</f>
        <v>22.975160579894975</v>
      </c>
      <c r="J312" s="85">
        <f>IF(H312,An,'2020'!An_max)</f>
        <v>2018</v>
      </c>
      <c r="K312" s="197">
        <f t="shared" si="100"/>
        <v>44494</v>
      </c>
      <c r="L312" s="147">
        <f>IF(t&lt;Tvie,1-EXP((T0-t)*PertePVj)+'2020'!Pspv,1-EXP((T0-t)*PertePVj)+Pspv)</f>
        <v>2.7752722437590083E-2</v>
      </c>
      <c r="M312" s="850"/>
      <c r="N312" s="850"/>
      <c r="O312" s="48">
        <f>IF(t&lt;Tnet,'2020'!Resal+('2020'!Salim-'2020'!Resal)*(1-EXP(('2020'!Tnet-t)/('2020'!Tau_j))),Resal+(Salim-Resal)*(1-EXP((Tnet-t)/(Tau_j))))*Salcycl</f>
        <v>4.852269490906972E-2</v>
      </c>
      <c r="P312" s="169">
        <f>(INDEX(Models!$BJ312:$BT312,,T312)*(1-R312)+INDEX(Models!$BJ312:$BT312,,T312+1)*R312-ERP_i)*Q312*Ramure*Pc/MaxiM</f>
        <v>2.624098786129013E-2</v>
      </c>
      <c r="Q312" s="305">
        <f t="shared" si="101"/>
        <v>0.7</v>
      </c>
      <c r="R312" s="177">
        <f t="shared" si="102"/>
        <v>0.49902495106007505</v>
      </c>
      <c r="S312" s="817">
        <f t="shared" si="103"/>
        <v>-1</v>
      </c>
      <c r="T312" s="176">
        <f t="shared" si="104"/>
        <v>5</v>
      </c>
      <c r="U312" s="251">
        <f t="shared" si="105"/>
        <v>-0.50097504893992495</v>
      </c>
      <c r="V312" s="383">
        <f t="shared" si="106"/>
        <v>21.010848408901715</v>
      </c>
      <c r="W312" s="402"/>
      <c r="X312" s="157">
        <f t="shared" si="107"/>
        <v>44494</v>
      </c>
      <c r="Y312" s="385">
        <f t="shared" si="108"/>
        <v>18.64029874397696</v>
      </c>
      <c r="Z312" s="385">
        <f t="shared" si="109"/>
        <v>19.172384612597089</v>
      </c>
      <c r="AA312" s="386">
        <f t="shared" si="110"/>
        <v>21.824265606385406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0.12151066347966469</v>
      </c>
      <c r="AD312" s="231">
        <f>(INDEX(Models!$BJ312:$BT312,,AH312)*(1-AF312)+INDEX(Models!$BJ312:$BT312,,AH312+1)*AF312-ERP_i)*AE312*Ramure*Pc/MaxiM</f>
        <v>2.624098786129013E-2</v>
      </c>
      <c r="AE312" s="305">
        <f t="shared" si="112"/>
        <v>0.7</v>
      </c>
      <c r="AF312" s="177">
        <f t="shared" si="113"/>
        <v>0.49902495106007505</v>
      </c>
      <c r="AG312" s="817">
        <f t="shared" si="119"/>
        <v>-1</v>
      </c>
      <c r="AH312" s="176">
        <f t="shared" si="114"/>
        <v>5</v>
      </c>
      <c r="AI312" s="225">
        <f t="shared" si="115"/>
        <v>-0.50097504893992495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44495</v>
      </c>
      <c r="B313" s="617">
        <v>15.265000000000001</v>
      </c>
      <c r="C313" s="390"/>
      <c r="D313" s="393">
        <f t="shared" si="98"/>
        <v>15.701082124161372</v>
      </c>
      <c r="E313" s="385">
        <f t="shared" si="120"/>
        <v>16.50372889106956</v>
      </c>
      <c r="F313" s="385">
        <f t="shared" si="99"/>
        <v>16.790460518524188</v>
      </c>
      <c r="G313" s="110">
        <f t="shared" si="121"/>
        <v>0.72997055533259791</v>
      </c>
      <c r="H313" s="414" t="b">
        <f>Wh_hp&gt;='2020'!Maxi_hp</f>
        <v>0</v>
      </c>
      <c r="I313" s="380">
        <f>IF(H313,Wh_hp,'2020'!Maxi_hp)</f>
        <v>22.259943902038003</v>
      </c>
      <c r="J313" s="85">
        <f>IF(H313,An,'2020'!An_max)</f>
        <v>2019</v>
      </c>
      <c r="K313" s="197">
        <f t="shared" si="100"/>
        <v>44495</v>
      </c>
      <c r="L313" s="147">
        <f>IF(t&lt;Tvie,1-EXP((T0-t)*PertePVj)+'2020'!Pspv,1-EXP((T0-t)*PertePVj)+Pspv)</f>
        <v>2.7774017148175623E-2</v>
      </c>
      <c r="M313" s="850"/>
      <c r="N313" s="850"/>
      <c r="O313" s="48">
        <f>IF(t&lt;Tnet,'2020'!Resal+('2020'!Salim-'2020'!Resal)*(1-EXP(('2020'!Tnet-t)/('2020'!Tau_j))),Resal+(Salim-Resal)*(1-EXP((Tnet-t)/(Tau_j))))*Salcycl</f>
        <v>4.86342675770998E-2</v>
      </c>
      <c r="P313" s="169">
        <f>(INDEX(Models!$BJ313:$BT313,,T313)*(1-R313)+INDEX(Models!$BJ313:$BT313,,T313+1)*R313-ERP_i)*Q313*Ramure*Pc/MaxiM</f>
        <v>2.7313745033783497E-2</v>
      </c>
      <c r="Q313" s="305">
        <f t="shared" si="101"/>
        <v>0.7</v>
      </c>
      <c r="R313" s="177">
        <f t="shared" si="102"/>
        <v>0.49906806209510157</v>
      </c>
      <c r="S313" s="817">
        <f t="shared" si="103"/>
        <v>-1</v>
      </c>
      <c r="T313" s="176">
        <f t="shared" si="104"/>
        <v>5</v>
      </c>
      <c r="U313" s="251">
        <f t="shared" si="105"/>
        <v>-0.50093193790489843</v>
      </c>
      <c r="V313" s="383">
        <f t="shared" si="106"/>
        <v>20.694015601030848</v>
      </c>
      <c r="W313" s="402"/>
      <c r="X313" s="157">
        <f t="shared" si="107"/>
        <v>44495</v>
      </c>
      <c r="Y313" s="385">
        <f t="shared" si="108"/>
        <v>14.096281034876018</v>
      </c>
      <c r="Z313" s="385">
        <f t="shared" si="109"/>
        <v>14.498975838443943</v>
      </c>
      <c r="AA313" s="386">
        <f t="shared" si="110"/>
        <v>16.50372889106956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0.1214727329719056</v>
      </c>
      <c r="AD313" s="231">
        <f>(INDEX(Models!$BJ313:$BT313,,AH313)*(1-AF313)+INDEX(Models!$BJ313:$BT313,,AH313+1)*AF313-ERP_i)*AE313*Ramure*Pc/MaxiM</f>
        <v>2.7313745033783497E-2</v>
      </c>
      <c r="AE313" s="305">
        <f t="shared" si="112"/>
        <v>0.7</v>
      </c>
      <c r="AF313" s="177">
        <f t="shared" si="113"/>
        <v>0.49906806209510157</v>
      </c>
      <c r="AG313" s="817">
        <f t="shared" si="119"/>
        <v>-1</v>
      </c>
      <c r="AH313" s="176">
        <f t="shared" si="114"/>
        <v>5</v>
      </c>
      <c r="AI313" s="225">
        <f t="shared" si="115"/>
        <v>-0.50093193790489843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44496</v>
      </c>
      <c r="B314" s="617">
        <v>18.5</v>
      </c>
      <c r="C314" s="390"/>
      <c r="D314" s="393">
        <f t="shared" si="98"/>
        <v>19.028914606958903</v>
      </c>
      <c r="E314" s="385">
        <f t="shared" si="120"/>
        <v>20.004013129822852</v>
      </c>
      <c r="F314" s="385">
        <f t="shared" si="99"/>
        <v>20.509460885058797</v>
      </c>
      <c r="G314" s="110">
        <f t="shared" si="121"/>
        <v>0.90440059396067574</v>
      </c>
      <c r="H314" s="414" t="b">
        <f>Wh_hp&gt;='2020'!Maxi_hp</f>
        <v>1</v>
      </c>
      <c r="I314" s="380">
        <f>IF(H314,Wh_hp,'2020'!Maxi_hp)</f>
        <v>20.509460885058797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2.7795311392352251E-2</v>
      </c>
      <c r="M314" s="850"/>
      <c r="N314" s="850"/>
      <c r="O314" s="48">
        <f>IF(t&lt;Tnet,'2020'!Resal+('2020'!Salim-'2020'!Resal)*(1-EXP(('2020'!Tnet-t)/('2020'!Tau_j))),Resal+(Salim-Resal)*(1-EXP((Tnet-t)/(Tau_j))))*Salcycl</f>
        <v>4.8745145113418806E-2</v>
      </c>
      <c r="P314" s="169">
        <f>(INDEX(Models!$BJ314:$BT314,,T314)*(1-R314)+INDEX(Models!$BJ314:$BT314,,T314+1)*R314-ERP_i)*Q314*Ramure*Pc/MaxiM</f>
        <v>2.8379472053272504E-2</v>
      </c>
      <c r="Q314" s="305">
        <f t="shared" si="101"/>
        <v>0.7</v>
      </c>
      <c r="R314" s="177">
        <f t="shared" si="102"/>
        <v>0.49910944903010146</v>
      </c>
      <c r="S314" s="817">
        <f t="shared" si="103"/>
        <v>-1</v>
      </c>
      <c r="T314" s="176">
        <f t="shared" si="104"/>
        <v>5</v>
      </c>
      <c r="U314" s="251">
        <f t="shared" si="105"/>
        <v>-0.50089055096989854</v>
      </c>
      <c r="V314" s="383">
        <f t="shared" si="106"/>
        <v>20.37720830204195</v>
      </c>
      <c r="W314" s="402"/>
      <c r="X314" s="157">
        <f t="shared" si="107"/>
        <v>44496</v>
      </c>
      <c r="Y314" s="385">
        <f t="shared" si="108"/>
        <v>17.086348814057537</v>
      </c>
      <c r="Z314" s="385">
        <f t="shared" si="109"/>
        <v>17.574847163644023</v>
      </c>
      <c r="AA314" s="386">
        <f t="shared" si="110"/>
        <v>20.004013129822852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0.12143393180228035</v>
      </c>
      <c r="AD314" s="231">
        <f>(INDEX(Models!$BJ314:$BT314,,AH314)*(1-AF314)+INDEX(Models!$BJ314:$BT314,,AH314+1)*AF314-ERP_i)*AE314*Ramure*Pc/MaxiM</f>
        <v>2.8379472053272504E-2</v>
      </c>
      <c r="AE314" s="305">
        <f t="shared" si="112"/>
        <v>0.7</v>
      </c>
      <c r="AF314" s="177">
        <f t="shared" si="113"/>
        <v>0.49910944903010146</v>
      </c>
      <c r="AG314" s="817">
        <f t="shared" si="119"/>
        <v>-1</v>
      </c>
      <c r="AH314" s="176">
        <f t="shared" si="114"/>
        <v>5</v>
      </c>
      <c r="AI314" s="225">
        <f t="shared" si="115"/>
        <v>-0.50089055096989854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44497</v>
      </c>
      <c r="B315" s="617">
        <v>19.853000000000002</v>
      </c>
      <c r="C315" s="390"/>
      <c r="D315" s="393">
        <f t="shared" si="98"/>
        <v>20.421044121489278</v>
      </c>
      <c r="E315" s="385">
        <f t="shared" si="120"/>
        <v>21.469967295008935</v>
      </c>
      <c r="F315" s="385">
        <f t="shared" si="99"/>
        <v>22.111247290077316</v>
      </c>
      <c r="G315" s="110">
        <f t="shared" si="121"/>
        <v>0.98920184248502607</v>
      </c>
      <c r="H315" s="414" t="b">
        <f>Wh_hp&gt;='2020'!Maxi_hp</f>
        <v>1</v>
      </c>
      <c r="I315" s="380">
        <f>IF(H315,Wh_hp,'2020'!Maxi_hp)</f>
        <v>22.111247290077316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2.7816605170130293E-2</v>
      </c>
      <c r="M315" s="850"/>
      <c r="N315" s="850"/>
      <c r="O315" s="48">
        <f>IF(t&lt;Tnet,'2020'!Resal+('2020'!Salim-'2020'!Resal)*(1-EXP(('2020'!Tnet-t)/('2020'!Tau_j))),Resal+(Salim-Resal)*(1-EXP((Tnet-t)/(Tau_j))))*Salcycl</f>
        <v>4.8855368948954932E-2</v>
      </c>
      <c r="P315" s="169">
        <f>(INDEX(Models!$BJ315:$BT315,,T315)*(1-R315)+INDEX(Models!$BJ315:$BT315,,T315+1)*R315-ERP_i)*Q315*Ramure*Pc/MaxiM</f>
        <v>2.943787727206458E-2</v>
      </c>
      <c r="Q315" s="305">
        <f t="shared" si="101"/>
        <v>0.7</v>
      </c>
      <c r="R315" s="177">
        <f t="shared" si="102"/>
        <v>0.49914918036556277</v>
      </c>
      <c r="S315" s="817">
        <f t="shared" si="103"/>
        <v>-1</v>
      </c>
      <c r="T315" s="176">
        <f t="shared" si="104"/>
        <v>5</v>
      </c>
      <c r="U315" s="251">
        <f t="shared" si="105"/>
        <v>-0.50085081963443723</v>
      </c>
      <c r="V315" s="383">
        <f t="shared" si="106"/>
        <v>20.060715706714571</v>
      </c>
      <c r="W315" s="402"/>
      <c r="X315" s="157">
        <f t="shared" si="107"/>
        <v>44497</v>
      </c>
      <c r="Y315" s="385">
        <f t="shared" si="108"/>
        <v>18.338911935819404</v>
      </c>
      <c r="Z315" s="385">
        <f t="shared" si="109"/>
        <v>18.863634200447006</v>
      </c>
      <c r="AA315" s="386">
        <f t="shared" si="110"/>
        <v>21.469967295008935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0.12139436724562769</v>
      </c>
      <c r="AD315" s="231">
        <f>(INDEX(Models!$BJ315:$BT315,,AH315)*(1-AF315)+INDEX(Models!$BJ315:$BT315,,AH315+1)*AF315-ERP_i)*AE315*Ramure*Pc/MaxiM</f>
        <v>2.943787727206458E-2</v>
      </c>
      <c r="AE315" s="305">
        <f t="shared" si="112"/>
        <v>0.7</v>
      </c>
      <c r="AF315" s="177">
        <f t="shared" si="113"/>
        <v>0.49914918036556277</v>
      </c>
      <c r="AG315" s="817">
        <f t="shared" si="119"/>
        <v>-1</v>
      </c>
      <c r="AH315" s="176">
        <f t="shared" si="114"/>
        <v>5</v>
      </c>
      <c r="AI315" s="225">
        <f t="shared" si="115"/>
        <v>-0.50085081963443723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44498</v>
      </c>
      <c r="B316" s="617">
        <v>10.946</v>
      </c>
      <c r="C316" s="390"/>
      <c r="D316" s="393">
        <f t="shared" si="98"/>
        <v>11.259439123272514</v>
      </c>
      <c r="E316" s="385">
        <f t="shared" si="120"/>
        <v>11.839142531572985</v>
      </c>
      <c r="F316" s="385">
        <f t="shared" si="99"/>
        <v>11.971780984086337</v>
      </c>
      <c r="G316" s="110">
        <f t="shared" si="121"/>
        <v>0.54349249729048188</v>
      </c>
      <c r="H316" s="414" t="b">
        <f>Wh_hp&gt;='2020'!Maxi_hp</f>
        <v>0</v>
      </c>
      <c r="I316" s="380">
        <f>IF(H316,Wh_hp,'2020'!Maxi_hp)</f>
        <v>17.744798531971291</v>
      </c>
      <c r="J316" s="85">
        <f>IF(H316,An,'2020'!An_max)</f>
        <v>2019</v>
      </c>
      <c r="K316" s="197">
        <f t="shared" si="100"/>
        <v>44498</v>
      </c>
      <c r="L316" s="147">
        <f>IF(t&lt;Tvie,1-EXP((T0-t)*PertePVj)+'2020'!Pspv,1-EXP((T0-t)*PertePVj)+Pspv)</f>
        <v>2.7837898481519963E-2</v>
      </c>
      <c r="M316" s="850"/>
      <c r="N316" s="850"/>
      <c r="O316" s="48">
        <f>IF(t&lt;Tnet,'2020'!Resal+('2020'!Salim-'2020'!Resal)*(1-EXP(('2020'!Tnet-t)/('2020'!Tau_j))),Resal+(Salim-Resal)*(1-EXP((Tnet-t)/(Tau_j))))*Salcycl</f>
        <v>4.8964982620531977E-2</v>
      </c>
      <c r="P316" s="169">
        <f>(INDEX(Models!$BJ316:$BT316,,T316)*(1-R316)+INDEX(Models!$BJ316:$BT316,,T316+1)*R316-ERP_i)*Q316*Ramure*Pc/MaxiM</f>
        <v>3.0488608059818491E-2</v>
      </c>
      <c r="Q316" s="305">
        <f t="shared" si="101"/>
        <v>0.7</v>
      </c>
      <c r="R316" s="177">
        <f t="shared" si="102"/>
        <v>0.49918732191576876</v>
      </c>
      <c r="S316" s="817">
        <f t="shared" si="103"/>
        <v>-1</v>
      </c>
      <c r="T316" s="176">
        <f t="shared" si="104"/>
        <v>5</v>
      </c>
      <c r="U316" s="251">
        <f t="shared" si="105"/>
        <v>-0.50081267808423124</v>
      </c>
      <c r="V316" s="383">
        <f t="shared" si="106"/>
        <v>19.744826465644458</v>
      </c>
      <c r="W316" s="402"/>
      <c r="X316" s="157">
        <f t="shared" si="107"/>
        <v>44498</v>
      </c>
      <c r="Y316" s="385">
        <f t="shared" si="108"/>
        <v>10.112832115504197</v>
      </c>
      <c r="Z316" s="385">
        <f t="shared" si="109"/>
        <v>10.402413444947443</v>
      </c>
      <c r="AA316" s="386">
        <f t="shared" si="110"/>
        <v>11.839142531572985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0.12135415067383717</v>
      </c>
      <c r="AD316" s="231">
        <f>(INDEX(Models!$BJ316:$BT316,,AH316)*(1-AF316)+INDEX(Models!$BJ316:$BT316,,AH316+1)*AF316-ERP_i)*AE316*Ramure*Pc/MaxiM</f>
        <v>3.0488608059818491E-2</v>
      </c>
      <c r="AE316" s="305">
        <f t="shared" si="112"/>
        <v>0.7</v>
      </c>
      <c r="AF316" s="177">
        <f t="shared" si="113"/>
        <v>0.49918732191576876</v>
      </c>
      <c r="AG316" s="817">
        <f t="shared" si="119"/>
        <v>-1</v>
      </c>
      <c r="AH316" s="176">
        <f t="shared" si="114"/>
        <v>5</v>
      </c>
      <c r="AI316" s="225">
        <f t="shared" si="115"/>
        <v>-0.50081267808423124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44499</v>
      </c>
      <c r="B317" s="617">
        <v>6.92</v>
      </c>
      <c r="C317" s="390"/>
      <c r="D317" s="393">
        <f t="shared" si="98"/>
        <v>7.1183103705343491</v>
      </c>
      <c r="E317" s="385">
        <f t="shared" si="120"/>
        <v>7.485661983369428</v>
      </c>
      <c r="F317" s="385">
        <f t="shared" si="99"/>
        <v>7.5046757341588757</v>
      </c>
      <c r="G317" s="110">
        <f t="shared" si="121"/>
        <v>0.34587519927742011</v>
      </c>
      <c r="H317" s="414" t="b">
        <f>Wh_hp&gt;='2020'!Maxi_hp</f>
        <v>0</v>
      </c>
      <c r="I317" s="380">
        <f>IF(H317,Wh_hp,'2020'!Maxi_hp)</f>
        <v>19.915918764671726</v>
      </c>
      <c r="J317" s="85">
        <f>IF(H317,An,'2020'!An_max)</f>
        <v>2018</v>
      </c>
      <c r="K317" s="197">
        <f t="shared" si="100"/>
        <v>44499</v>
      </c>
      <c r="L317" s="147">
        <f>IF(t&lt;Tvie,1-EXP((T0-t)*PertePVj)+'2020'!Pspv,1-EXP((T0-t)*PertePVj)+Pspv)</f>
        <v>2.7859191326531474E-2</v>
      </c>
      <c r="M317" s="850"/>
      <c r="N317" s="850"/>
      <c r="O317" s="48">
        <f>IF(t&lt;Tnet,'2020'!Resal+('2020'!Salim-'2020'!Resal)*(1-EXP(('2020'!Tnet-t)/('2020'!Tau_j))),Resal+(Salim-Resal)*(1-EXP((Tnet-t)/(Tau_j))))*Salcycl</f>
        <v>4.9074031615534877E-2</v>
      </c>
      <c r="P317" s="169">
        <f>(INDEX(Models!$BJ317:$BT317,,T317)*(1-R317)+INDEX(Models!$BJ317:$BT317,,T317+1)*R317-ERP_i)*Q317*Ramure*Pc/MaxiM</f>
        <v>3.1538141939606704E-2</v>
      </c>
      <c r="Q317" s="305">
        <f t="shared" si="101"/>
        <v>0.7</v>
      </c>
      <c r="R317" s="177">
        <f t="shared" si="102"/>
        <v>0.49922393691134381</v>
      </c>
      <c r="S317" s="817">
        <f t="shared" si="103"/>
        <v>-1</v>
      </c>
      <c r="T317" s="176">
        <f t="shared" si="104"/>
        <v>5</v>
      </c>
      <c r="U317" s="251">
        <f t="shared" si="105"/>
        <v>-0.50077606308865619</v>
      </c>
      <c r="V317" s="383">
        <f t="shared" si="106"/>
        <v>19.425442135828536</v>
      </c>
      <c r="W317" s="402"/>
      <c r="X317" s="157">
        <f t="shared" si="107"/>
        <v>44499</v>
      </c>
      <c r="Y317" s="385">
        <f t="shared" si="108"/>
        <v>6.3943056494954327</v>
      </c>
      <c r="Z317" s="385">
        <f t="shared" si="109"/>
        <v>6.5775508984349305</v>
      </c>
      <c r="AA317" s="386">
        <f t="shared" si="110"/>
        <v>7.485661983369428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0.12131339712533219</v>
      </c>
      <c r="AD317" s="231">
        <f>(INDEX(Models!$BJ317:$BT317,,AH317)*(1-AF317)+INDEX(Models!$BJ317:$BT317,,AH317+1)*AF317-ERP_i)*AE317*Ramure*Pc/MaxiM</f>
        <v>3.1538141939606704E-2</v>
      </c>
      <c r="AE317" s="305">
        <f t="shared" si="112"/>
        <v>0.7</v>
      </c>
      <c r="AF317" s="177">
        <f t="shared" si="113"/>
        <v>0.49922393691134381</v>
      </c>
      <c r="AG317" s="817">
        <f t="shared" si="119"/>
        <v>-1</v>
      </c>
      <c r="AH317" s="176">
        <f t="shared" si="114"/>
        <v>5</v>
      </c>
      <c r="AI317" s="225">
        <f t="shared" si="115"/>
        <v>-0.50077606308865619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44500</v>
      </c>
      <c r="B318" s="617">
        <v>11.633000000000001</v>
      </c>
      <c r="C318" s="390"/>
      <c r="D318" s="393">
        <f t="shared" si="98"/>
        <v>11.96663558853183</v>
      </c>
      <c r="E318" s="385">
        <f t="shared" si="120"/>
        <v>12.585629086512638</v>
      </c>
      <c r="F318" s="385">
        <f t="shared" si="99"/>
        <v>12.769127015341944</v>
      </c>
      <c r="G318" s="110">
        <f t="shared" si="121"/>
        <v>0.59781646503436991</v>
      </c>
      <c r="H318" s="414" t="b">
        <f>Wh_hp&gt;='2020'!Maxi_hp</f>
        <v>0</v>
      </c>
      <c r="I318" s="380">
        <f>IF(H318,Wh_hp,'2020'!Maxi_hp)</f>
        <v>21.044547034866937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2.7880483705175041E-2</v>
      </c>
      <c r="M318" s="850"/>
      <c r="N318" s="850"/>
      <c r="O318" s="48">
        <f>IF(t&lt;Tnet,'2020'!Resal+('2020'!Salim-'2020'!Resal)*(1-EXP(('2020'!Tnet-t)/('2020'!Tau_j))),Resal+(Salim-Resal)*(1-EXP((Tnet-t)/(Tau_j))))*Salcycl</f>
        <v>4.9182563201719487E-2</v>
      </c>
      <c r="P318" s="169">
        <f>(INDEX(Models!$BJ318:$BT318,,T318)*(1-R318)+INDEX(Models!$BJ318:$BT318,,T318+1)*R318-ERP_i)*Q318*Ramure*Pc/MaxiM</f>
        <v>3.2549158511898796E-2</v>
      </c>
      <c r="Q318" s="305">
        <f t="shared" si="101"/>
        <v>0.7</v>
      </c>
      <c r="R318" s="177">
        <f t="shared" si="102"/>
        <v>0.49925908609810765</v>
      </c>
      <c r="S318" s="817">
        <f t="shared" si="103"/>
        <v>-1</v>
      </c>
      <c r="T318" s="176">
        <f t="shared" si="104"/>
        <v>5</v>
      </c>
      <c r="U318" s="251">
        <f t="shared" si="105"/>
        <v>-0.50074091390189235</v>
      </c>
      <c r="V318" s="383">
        <f t="shared" si="106"/>
        <v>19.100249535287304</v>
      </c>
      <c r="W318" s="402"/>
      <c r="X318" s="157">
        <f t="shared" si="107"/>
        <v>44500</v>
      </c>
      <c r="Y318" s="385">
        <f t="shared" si="108"/>
        <v>10.751002045989184</v>
      </c>
      <c r="Z318" s="385">
        <f t="shared" si="109"/>
        <v>11.05934184611989</v>
      </c>
      <c r="AA318" s="386">
        <f t="shared" si="110"/>
        <v>12.585629086512638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0.12127222484479458</v>
      </c>
      <c r="AD318" s="231">
        <f>(INDEX(Models!$BJ318:$BT318,,AH318)*(1-AF318)+INDEX(Models!$BJ318:$BT318,,AH318+1)*AF318-ERP_i)*AE318*Ramure*Pc/MaxiM</f>
        <v>3.2549158511898796E-2</v>
      </c>
      <c r="AE318" s="305">
        <f t="shared" si="112"/>
        <v>0.7</v>
      </c>
      <c r="AF318" s="177">
        <f t="shared" si="113"/>
        <v>0.49925908609810765</v>
      </c>
      <c r="AG318" s="817">
        <f t="shared" si="119"/>
        <v>-1</v>
      </c>
      <c r="AH318" s="176">
        <f t="shared" si="114"/>
        <v>5</v>
      </c>
      <c r="AI318" s="225">
        <f t="shared" si="115"/>
        <v>-0.50074091390189235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44501</v>
      </c>
      <c r="B319" s="617">
        <v>11.035</v>
      </c>
      <c r="C319" s="390"/>
      <c r="D319" s="393">
        <f t="shared" si="98"/>
        <v>11.351733521588573</v>
      </c>
      <c r="E319" s="385">
        <f t="shared" si="120"/>
        <v>11.940277265522639</v>
      </c>
      <c r="F319" s="385">
        <f t="shared" si="99"/>
        <v>12.107189874076031</v>
      </c>
      <c r="G319" s="110">
        <f t="shared" si="121"/>
        <v>0.5761150192837986</v>
      </c>
      <c r="H319" s="414" t="b">
        <f>Wh_hp&gt;='2020'!Maxi_hp</f>
        <v>0</v>
      </c>
      <c r="I319" s="380">
        <f>IF(H319,Wh_hp,'2020'!Maxi_hp)</f>
        <v>19.702358339343263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2.7901775617460878E-2</v>
      </c>
      <c r="M319" s="850"/>
      <c r="N319" s="850"/>
      <c r="O319" s="48">
        <f>IF(t&lt;Tnet,'2020'!Resal+('2020'!Salim-'2020'!Resal)*(1-EXP(('2020'!Tnet-t)/('2020'!Tau_j))),Resal+(Salim-Resal)*(1-EXP((Tnet-t)/(Tau_j))))*Salcycl</f>
        <v>4.9290626243117183E-2</v>
      </c>
      <c r="P319" s="169">
        <f>(INDEX(Models!$BJ319:$BT319,,T319)*(1-R319)+INDEX(Models!$BJ319:$BT319,,T319+1)*R319-ERP_i)*Q319*Ramure*Pc/MaxiM</f>
        <v>3.3522233337320198E-2</v>
      </c>
      <c r="Q319" s="305">
        <f t="shared" si="101"/>
        <v>0.7</v>
      </c>
      <c r="R319" s="177">
        <f t="shared" si="102"/>
        <v>0.49929282783234985</v>
      </c>
      <c r="S319" s="817">
        <f t="shared" si="103"/>
        <v>-1</v>
      </c>
      <c r="T319" s="176">
        <f t="shared" si="104"/>
        <v>5</v>
      </c>
      <c r="U319" s="251">
        <f t="shared" si="105"/>
        <v>-0.50070717216765015</v>
      </c>
      <c r="V319" s="383">
        <f t="shared" si="106"/>
        <v>18.770850447520665</v>
      </c>
      <c r="W319" s="402"/>
      <c r="X319" s="157">
        <f t="shared" si="107"/>
        <v>44501</v>
      </c>
      <c r="Y319" s="385">
        <f t="shared" si="108"/>
        <v>10.19998212756291</v>
      </c>
      <c r="Z319" s="385">
        <f t="shared" si="109"/>
        <v>10.49274844015045</v>
      </c>
      <c r="AA319" s="386">
        <f t="shared" si="110"/>
        <v>11.940277265522639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0.12123075479594651</v>
      </c>
      <c r="AD319" s="231">
        <f>(INDEX(Models!$BJ319:$BT319,,AH319)*(1-AF319)+INDEX(Models!$BJ319:$BT319,,AH319+1)*AF319-ERP_i)*AE319*Ramure*Pc/MaxiM</f>
        <v>3.3522233337320198E-2</v>
      </c>
      <c r="AE319" s="305">
        <f t="shared" si="112"/>
        <v>0.7</v>
      </c>
      <c r="AF319" s="177">
        <f t="shared" si="113"/>
        <v>0.49929282783234985</v>
      </c>
      <c r="AG319" s="817">
        <f t="shared" si="119"/>
        <v>-1</v>
      </c>
      <c r="AH319" s="176">
        <f t="shared" si="114"/>
        <v>5</v>
      </c>
      <c r="AI319" s="225">
        <f t="shared" si="115"/>
        <v>-0.50070717216765015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44502</v>
      </c>
      <c r="B320" s="617">
        <v>16.254000000000001</v>
      </c>
      <c r="C320" s="390"/>
      <c r="D320" s="393">
        <f t="shared" si="98"/>
        <v>16.720898777936636</v>
      </c>
      <c r="E320" s="385">
        <f t="shared" si="120"/>
        <v>17.589804718303203</v>
      </c>
      <c r="F320" s="385">
        <f t="shared" si="99"/>
        <v>18.108090341724282</v>
      </c>
      <c r="G320" s="110">
        <f t="shared" si="121"/>
        <v>0.87621266201616599</v>
      </c>
      <c r="H320" s="414" t="b">
        <f>Wh_hp&gt;='2020'!Maxi_hp</f>
        <v>0</v>
      </c>
      <c r="I320" s="380">
        <f>IF(H320,Wh_hp,'2020'!Maxi_hp)</f>
        <v>18.470798370056769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2.7923067063399198E-2</v>
      </c>
      <c r="M320" s="850"/>
      <c r="N320" s="850"/>
      <c r="O320" s="48">
        <f>IF(t&lt;Tnet,'2020'!Resal+('2020'!Salim-'2020'!Resal)*(1-EXP(('2020'!Tnet-t)/('2020'!Tau_j))),Resal+(Salim-Resal)*(1-EXP((Tnet-t)/(Tau_j))))*Salcycl</f>
        <v>4.93982710031124E-2</v>
      </c>
      <c r="P320" s="169">
        <f>(INDEX(Models!$BJ320:$BT320,,T320)*(1-R320)+INDEX(Models!$BJ320:$BT320,,T320+1)*R320-ERP_i)*Q320*Ramure*Pc/MaxiM</f>
        <v>3.4454092797024827E-2</v>
      </c>
      <c r="Q320" s="305">
        <f t="shared" si="101"/>
        <v>0.7</v>
      </c>
      <c r="R320" s="177">
        <f t="shared" si="102"/>
        <v>0.49932521817264064</v>
      </c>
      <c r="S320" s="817">
        <f t="shared" si="103"/>
        <v>-1</v>
      </c>
      <c r="T320" s="176">
        <f t="shared" si="104"/>
        <v>5</v>
      </c>
      <c r="U320" s="251">
        <f t="shared" si="105"/>
        <v>-0.50067478182735936</v>
      </c>
      <c r="V320" s="383">
        <f t="shared" si="106"/>
        <v>18.438912034958452</v>
      </c>
      <c r="W320" s="402"/>
      <c r="X320" s="157">
        <f t="shared" si="107"/>
        <v>44502</v>
      </c>
      <c r="Y320" s="385">
        <f t="shared" si="108"/>
        <v>15.026474040487711</v>
      </c>
      <c r="Z320" s="385">
        <f t="shared" si="109"/>
        <v>15.45811193677172</v>
      </c>
      <c r="AA320" s="386">
        <f t="shared" si="110"/>
        <v>17.589804718303203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0.12118911015045744</v>
      </c>
      <c r="AD320" s="231">
        <f>(INDEX(Models!$BJ320:$BT320,,AH320)*(1-AF320)+INDEX(Models!$BJ320:$BT320,,AH320+1)*AF320-ERP_i)*AE320*Ramure*Pc/MaxiM</f>
        <v>3.4454092797024827E-2</v>
      </c>
      <c r="AE320" s="305">
        <f t="shared" si="112"/>
        <v>0.7</v>
      </c>
      <c r="AF320" s="177">
        <f t="shared" si="113"/>
        <v>0.49932521817264064</v>
      </c>
      <c r="AG320" s="817">
        <f t="shared" si="119"/>
        <v>-1</v>
      </c>
      <c r="AH320" s="176">
        <f t="shared" si="114"/>
        <v>5</v>
      </c>
      <c r="AI320" s="225">
        <f t="shared" si="115"/>
        <v>-0.50067478182735936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44503</v>
      </c>
      <c r="B321" s="617">
        <v>10.623000000000001</v>
      </c>
      <c r="C321" s="390"/>
      <c r="D321" s="393">
        <f t="shared" si="98"/>
        <v>10.928386752236889</v>
      </c>
      <c r="E321" s="385">
        <f t="shared" si="120"/>
        <v>11.497580801236884</v>
      </c>
      <c r="F321" s="385">
        <f t="shared" si="99"/>
        <v>11.666453015109008</v>
      </c>
      <c r="G321" s="110">
        <f t="shared" si="121"/>
        <v>0.57428637034182439</v>
      </c>
      <c r="H321" s="414" t="b">
        <f>Wh_hp&gt;='2020'!Maxi_hp</f>
        <v>0</v>
      </c>
      <c r="I321" s="380">
        <f>IF(H321,Wh_hp,'2020'!Maxi_hp)</f>
        <v>19.194337554419008</v>
      </c>
      <c r="J321" s="85">
        <f>IF(H321,An,'2020'!An_max)</f>
        <v>2020</v>
      </c>
      <c r="K321" s="197">
        <f t="shared" si="100"/>
        <v>44503</v>
      </c>
      <c r="L321" s="147">
        <f>IF(t&lt;Tvie,1-EXP((T0-t)*PertePVj)+'2020'!Pspv,1-EXP((T0-t)*PertePVj)+Pspv)</f>
        <v>2.7944358043000217E-2</v>
      </c>
      <c r="M321" s="850"/>
      <c r="N321" s="850"/>
      <c r="O321" s="48">
        <f>IF(t&lt;Tnet,'2020'!Resal+('2020'!Salim-'2020'!Resal)*(1-EXP(('2020'!Tnet-t)/('2020'!Tau_j))),Resal+(Salim-Resal)*(1-EXP((Tnet-t)/(Tau_j))))*Salcycl</f>
        <v>4.950554893589109E-2</v>
      </c>
      <c r="P321" s="169">
        <f>(INDEX(Models!$BJ321:$BT321,,T321)*(1-R321)+INDEX(Models!$BJ321:$BT321,,T321+1)*R321-ERP_i)*Q321*Ramure*Pc/MaxiM</f>
        <v>3.5340857343882703E-2</v>
      </c>
      <c r="Q321" s="305">
        <f t="shared" si="101"/>
        <v>0.7</v>
      </c>
      <c r="R321" s="177">
        <f t="shared" si="102"/>
        <v>0.49935631096828748</v>
      </c>
      <c r="S321" s="817">
        <f t="shared" si="103"/>
        <v>-1</v>
      </c>
      <c r="T321" s="176">
        <f t="shared" si="104"/>
        <v>5</v>
      </c>
      <c r="U321" s="251">
        <f t="shared" si="105"/>
        <v>-0.50064368903171252</v>
      </c>
      <c r="V321" s="383">
        <f t="shared" si="106"/>
        <v>18.106100347918375</v>
      </c>
      <c r="W321" s="402"/>
      <c r="X321" s="157">
        <f t="shared" si="107"/>
        <v>44503</v>
      </c>
      <c r="Y321" s="385">
        <f t="shared" si="108"/>
        <v>9.822309843018143</v>
      </c>
      <c r="Z321" s="385">
        <f t="shared" si="109"/>
        <v>10.104678599718108</v>
      </c>
      <c r="AA321" s="386">
        <f t="shared" si="110"/>
        <v>11.497580801236884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0.12114741575627196</v>
      </c>
      <c r="AD321" s="231">
        <f>(INDEX(Models!$BJ321:$BT321,,AH321)*(1-AF321)+INDEX(Models!$BJ321:$BT321,,AH321+1)*AF321-ERP_i)*AE321*Ramure*Pc/MaxiM</f>
        <v>3.5340857343882703E-2</v>
      </c>
      <c r="AE321" s="305">
        <f t="shared" si="112"/>
        <v>0.7</v>
      </c>
      <c r="AF321" s="177">
        <f t="shared" si="113"/>
        <v>0.49935631096828748</v>
      </c>
      <c r="AG321" s="817">
        <f t="shared" si="119"/>
        <v>-1</v>
      </c>
      <c r="AH321" s="176">
        <f t="shared" si="114"/>
        <v>5</v>
      </c>
      <c r="AI321" s="225">
        <f t="shared" si="115"/>
        <v>-0.50064368903171252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44504</v>
      </c>
      <c r="B322" s="617">
        <v>8.3640000000000008</v>
      </c>
      <c r="C322" s="390"/>
      <c r="D322" s="393">
        <f t="shared" si="98"/>
        <v>8.604634175301797</v>
      </c>
      <c r="E322" s="385">
        <f t="shared" si="120"/>
        <v>9.0538167728225467</v>
      </c>
      <c r="F322" s="385">
        <f t="shared" si="99"/>
        <v>9.1343423715201268</v>
      </c>
      <c r="G322" s="110">
        <f t="shared" si="121"/>
        <v>0.45758238284106523</v>
      </c>
      <c r="H322" s="414" t="b">
        <f>Wh_hp&gt;='2020'!Maxi_hp</f>
        <v>0</v>
      </c>
      <c r="I322" s="380">
        <f>IF(H322,Wh_hp,'2020'!Maxi_hp)</f>
        <v>14.185805406628766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2.7965648556274147E-2</v>
      </c>
      <c r="M322" s="850"/>
      <c r="N322" s="850"/>
      <c r="O322" s="48">
        <f>IF(t&lt;Tnet,'2020'!Resal+('2020'!Salim-'2020'!Resal)*(1-EXP(('2020'!Tnet-t)/('2020'!Tau_j))),Resal+(Salim-Resal)*(1-EXP((Tnet-t)/(Tau_j))))*Salcycl</f>
        <v>4.9612512467569703E-2</v>
      </c>
      <c r="P322" s="169">
        <f>(INDEX(Models!$BJ322:$BT322,,T322)*(1-R322)+INDEX(Models!$BJ322:$BT322,,T322+1)*R322-ERP_i)*Q322*Ramure*Pc/MaxiM</f>
        <v>3.6178017448685935E-2</v>
      </c>
      <c r="Q322" s="305">
        <f t="shared" si="101"/>
        <v>0.7</v>
      </c>
      <c r="R322" s="177">
        <f t="shared" si="102"/>
        <v>0.49938615794454499</v>
      </c>
      <c r="S322" s="817">
        <f t="shared" si="103"/>
        <v>-1</v>
      </c>
      <c r="T322" s="176">
        <f t="shared" si="104"/>
        <v>5</v>
      </c>
      <c r="U322" s="251">
        <f t="shared" si="105"/>
        <v>-0.50061384205545501</v>
      </c>
      <c r="V322" s="383">
        <f t="shared" si="106"/>
        <v>17.774080404726075</v>
      </c>
      <c r="W322" s="402"/>
      <c r="X322" s="157">
        <f t="shared" si="107"/>
        <v>44504</v>
      </c>
      <c r="Y322" s="385">
        <f t="shared" si="108"/>
        <v>7.7348146996894807</v>
      </c>
      <c r="Z322" s="385">
        <f t="shared" si="109"/>
        <v>7.9573470713264944</v>
      </c>
      <c r="AA322" s="386">
        <f t="shared" si="110"/>
        <v>9.0538167728225467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0.12110579758885776</v>
      </c>
      <c r="AD322" s="231">
        <f>(INDEX(Models!$BJ322:$BT322,,AH322)*(1-AF322)+INDEX(Models!$BJ322:$BT322,,AH322+1)*AF322-ERP_i)*AE322*Ramure*Pc/MaxiM</f>
        <v>3.6178017448685935E-2</v>
      </c>
      <c r="AE322" s="305">
        <f t="shared" si="112"/>
        <v>0.7</v>
      </c>
      <c r="AF322" s="177">
        <f t="shared" si="113"/>
        <v>0.49938615794454499</v>
      </c>
      <c r="AG322" s="817">
        <f t="shared" si="119"/>
        <v>-1</v>
      </c>
      <c r="AH322" s="176">
        <f t="shared" si="114"/>
        <v>5</v>
      </c>
      <c r="AI322" s="225">
        <f t="shared" si="115"/>
        <v>-0.50061384205545501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44505</v>
      </c>
      <c r="B323" s="617">
        <v>6.9160000000000004</v>
      </c>
      <c r="C323" s="390"/>
      <c r="D323" s="393">
        <f t="shared" si="98"/>
        <v>7.1151307268050568</v>
      </c>
      <c r="E323" s="385">
        <f t="shared" si="120"/>
        <v>7.4873982904653609</v>
      </c>
      <c r="F323" s="385">
        <f t="shared" si="99"/>
        <v>7.5257267019338405</v>
      </c>
      <c r="G323" s="110">
        <f t="shared" si="121"/>
        <v>0.38375822770286155</v>
      </c>
      <c r="H323" s="414" t="b">
        <f>Wh_hp&gt;='2020'!Maxi_hp</f>
        <v>0</v>
      </c>
      <c r="I323" s="380">
        <f>IF(H323,Wh_hp,'2020'!Maxi_hp)</f>
        <v>10.472253201988467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2.7986938603231093E-2</v>
      </c>
      <c r="M323" s="850"/>
      <c r="N323" s="850"/>
      <c r="O323" s="48">
        <f>IF(t&lt;Tnet,'2020'!Resal+('2020'!Salim-'2020'!Resal)*(1-EXP(('2020'!Tnet-t)/('2020'!Tau_j))),Resal+(Salim-Resal)*(1-EXP((Tnet-t)/(Tau_j))))*Salcycl</f>
        <v>4.9719214768414087E-2</v>
      </c>
      <c r="P323" s="169">
        <f>(INDEX(Models!$BJ323:$BT323,,T323)*(1-R323)+INDEX(Models!$BJ323:$BT323,,T323+1)*R323-ERP_i)*Q323*Ramure*Pc/MaxiM</f>
        <v>3.696041330967946E-2</v>
      </c>
      <c r="Q323" s="305">
        <f t="shared" si="101"/>
        <v>0.7</v>
      </c>
      <c r="R323" s="177">
        <f t="shared" si="102"/>
        <v>0.49941480878468614</v>
      </c>
      <c r="S323" s="817">
        <f t="shared" si="103"/>
        <v>-1</v>
      </c>
      <c r="T323" s="176">
        <f t="shared" si="104"/>
        <v>5</v>
      </c>
      <c r="U323" s="251">
        <f t="shared" si="105"/>
        <v>-0.50058519121531386</v>
      </c>
      <c r="V323" s="383">
        <f t="shared" si="106"/>
        <v>17.444516275867795</v>
      </c>
      <c r="W323" s="402"/>
      <c r="X323" s="157">
        <f t="shared" si="107"/>
        <v>44505</v>
      </c>
      <c r="Y323" s="385">
        <f t="shared" si="108"/>
        <v>6.3967606493265796</v>
      </c>
      <c r="Z323" s="385">
        <f t="shared" si="109"/>
        <v>6.5809410422268666</v>
      </c>
      <c r="AA323" s="386">
        <f t="shared" si="110"/>
        <v>7.4873982904653609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0.12106438218904418</v>
      </c>
      <c r="AD323" s="231">
        <f>(INDEX(Models!$BJ323:$BT323,,AH323)*(1-AF323)+INDEX(Models!$BJ323:$BT323,,AH323+1)*AF323-ERP_i)*AE323*Ramure*Pc/MaxiM</f>
        <v>3.696041330967946E-2</v>
      </c>
      <c r="AE323" s="305">
        <f t="shared" si="112"/>
        <v>0.7</v>
      </c>
      <c r="AF323" s="177">
        <f t="shared" si="113"/>
        <v>0.49941480878468614</v>
      </c>
      <c r="AG323" s="817">
        <f t="shared" si="119"/>
        <v>-1</v>
      </c>
      <c r="AH323" s="176">
        <f t="shared" si="114"/>
        <v>5</v>
      </c>
      <c r="AI323" s="225">
        <f t="shared" si="115"/>
        <v>-0.50058519121531386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44506</v>
      </c>
      <c r="B324" s="617">
        <v>11.552</v>
      </c>
      <c r="C324" s="390"/>
      <c r="D324" s="393">
        <f t="shared" si="98"/>
        <v>11.884874270505048</v>
      </c>
      <c r="E324" s="385">
        <f t="shared" si="120"/>
        <v>12.508099187225694</v>
      </c>
      <c r="F324" s="385">
        <f t="shared" si="99"/>
        <v>12.765622476631648</v>
      </c>
      <c r="G324" s="110">
        <f t="shared" si="121"/>
        <v>0.66274456168187834</v>
      </c>
      <c r="H324" s="414" t="b">
        <f>Wh_hp&gt;='2020'!Maxi_hp</f>
        <v>0</v>
      </c>
      <c r="I324" s="380">
        <f>IF(H324,Wh_hp,'2020'!Maxi_hp)</f>
        <v>14.059849014806639</v>
      </c>
      <c r="J324" s="85">
        <f>IF(H324,An,'2020'!An_max)</f>
        <v>2018</v>
      </c>
      <c r="K324" s="197">
        <f t="shared" si="100"/>
        <v>44506</v>
      </c>
      <c r="L324" s="147">
        <f>IF(t&lt;Tvie,1-EXP((T0-t)*PertePVj)+'2020'!Pspv,1-EXP((T0-t)*PertePVj)+Pspv)</f>
        <v>2.8008228183881489E-2</v>
      </c>
      <c r="M324" s="850"/>
      <c r="N324" s="850"/>
      <c r="O324" s="48">
        <f>IF(t&lt;Tnet,'2020'!Resal+('2020'!Salim-'2020'!Resal)*(1-EXP(('2020'!Tnet-t)/('2020'!Tau_j))),Resal+(Salim-Resal)*(1-EXP((Tnet-t)/(Tau_j))))*Salcycl</f>
        <v>4.9825709517648885E-2</v>
      </c>
      <c r="P324" s="169">
        <f>(INDEX(Models!$BJ324:$BT324,,T324)*(1-R324)+INDEX(Models!$BJ324:$BT324,,T324+1)*R324-ERP_i)*Q324*Ramure*Pc/MaxiM</f>
        <v>3.7676794330695422E-2</v>
      </c>
      <c r="Q324" s="305">
        <f t="shared" si="101"/>
        <v>0.7</v>
      </c>
      <c r="R324" s="177">
        <f t="shared" si="102"/>
        <v>0.49944231120903826</v>
      </c>
      <c r="S324" s="817">
        <f t="shared" si="103"/>
        <v>-1</v>
      </c>
      <c r="T324" s="176">
        <f t="shared" si="104"/>
        <v>5</v>
      </c>
      <c r="U324" s="251">
        <f t="shared" si="105"/>
        <v>-0.50055768879096174</v>
      </c>
      <c r="V324" s="383">
        <f t="shared" si="106"/>
        <v>17.119167700958172</v>
      </c>
      <c r="W324" s="402"/>
      <c r="X324" s="157">
        <f t="shared" si="107"/>
        <v>44506</v>
      </c>
      <c r="Y324" s="385">
        <f t="shared" si="108"/>
        <v>10.686396154119345</v>
      </c>
      <c r="Z324" s="385">
        <f t="shared" si="109"/>
        <v>10.994327795751135</v>
      </c>
      <c r="AA324" s="386">
        <f t="shared" si="110"/>
        <v>12.508099187225694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0.12102329609126763</v>
      </c>
      <c r="AD324" s="231">
        <f>(INDEX(Models!$BJ324:$BT324,,AH324)*(1-AF324)+INDEX(Models!$BJ324:$BT324,,AH324+1)*AF324-ERP_i)*AE324*Ramure*Pc/MaxiM</f>
        <v>3.7676794330695422E-2</v>
      </c>
      <c r="AE324" s="305">
        <f t="shared" si="112"/>
        <v>0.7</v>
      </c>
      <c r="AF324" s="177">
        <f t="shared" si="113"/>
        <v>0.49944231120903826</v>
      </c>
      <c r="AG324" s="817">
        <f t="shared" si="119"/>
        <v>-1</v>
      </c>
      <c r="AH324" s="176">
        <f t="shared" si="114"/>
        <v>5</v>
      </c>
      <c r="AI324" s="225">
        <f t="shared" si="115"/>
        <v>-0.50055768879096174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44507</v>
      </c>
      <c r="B325" s="617">
        <v>6.0449999999999999</v>
      </c>
      <c r="C325" s="390"/>
      <c r="D325" s="393">
        <f t="shared" si="98"/>
        <v>6.2193246683755756</v>
      </c>
      <c r="E325" s="385">
        <f t="shared" si="120"/>
        <v>6.5461893254182471</v>
      </c>
      <c r="F325" s="385">
        <f t="shared" si="99"/>
        <v>6.567724769387528</v>
      </c>
      <c r="G325" s="110">
        <f t="shared" si="121"/>
        <v>0.34717756615143286</v>
      </c>
      <c r="H325" s="414" t="b">
        <f>Wh_hp&gt;='2020'!Maxi_hp</f>
        <v>0</v>
      </c>
      <c r="I325" s="380">
        <f>IF(H325,Wh_hp,'2020'!Maxi_hp)</f>
        <v>10.554914354247522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2.802951729823544E-2</v>
      </c>
      <c r="M325" s="850"/>
      <c r="N325" s="850"/>
      <c r="O325" s="48">
        <f>IF(t&lt;Tnet,'2020'!Resal+('2020'!Salim-'2020'!Resal)*(1-EXP(('2020'!Tnet-t)/('2020'!Tau_j))),Resal+(Salim-Resal)*(1-EXP((Tnet-t)/(Tau_j))))*Salcycl</f>
        <v>4.9932050662434474E-2</v>
      </c>
      <c r="P325" s="169">
        <f>(INDEX(Models!$BJ325:$BT325,,T325)*(1-R325)+INDEX(Models!$BJ325:$BT325,,T325+1)*R325-ERP_i)*Q325*Ramure*Pc/MaxiM</f>
        <v>3.8356211502355381E-2</v>
      </c>
      <c r="Q325" s="305">
        <f t="shared" si="101"/>
        <v>0.7</v>
      </c>
      <c r="R325" s="177">
        <f t="shared" si="102"/>
        <v>0.49946871105108415</v>
      </c>
      <c r="S325" s="817">
        <f t="shared" si="103"/>
        <v>-1</v>
      </c>
      <c r="T325" s="176">
        <f t="shared" si="104"/>
        <v>5</v>
      </c>
      <c r="U325" s="251">
        <f t="shared" si="105"/>
        <v>-0.50053128894891585</v>
      </c>
      <c r="V325" s="383">
        <f t="shared" si="106"/>
        <v>16.79907096834393</v>
      </c>
      <c r="W325" s="402"/>
      <c r="X325" s="157">
        <f t="shared" si="107"/>
        <v>44507</v>
      </c>
      <c r="Y325" s="385">
        <f t="shared" si="108"/>
        <v>5.5929260557541927</v>
      </c>
      <c r="Z325" s="385">
        <f t="shared" si="109"/>
        <v>5.7542138936232528</v>
      </c>
      <c r="AA325" s="386">
        <f t="shared" si="110"/>
        <v>6.5461893254182471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0.12098266524614959</v>
      </c>
      <c r="AD325" s="231">
        <f>(INDEX(Models!$BJ325:$BT325,,AH325)*(1-AF325)+INDEX(Models!$BJ325:$BT325,,AH325+1)*AF325-ERP_i)*AE325*Ramure*Pc/MaxiM</f>
        <v>3.8356211502355381E-2</v>
      </c>
      <c r="AE325" s="305">
        <f t="shared" si="112"/>
        <v>0.7</v>
      </c>
      <c r="AF325" s="177">
        <f t="shared" si="113"/>
        <v>0.49946871105108415</v>
      </c>
      <c r="AG325" s="817">
        <f t="shared" si="119"/>
        <v>-1</v>
      </c>
      <c r="AH325" s="176">
        <f t="shared" si="114"/>
        <v>5</v>
      </c>
      <c r="AI325" s="225">
        <f t="shared" si="115"/>
        <v>-0.50053128894891585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44508</v>
      </c>
      <c r="B326" s="617">
        <v>14.984</v>
      </c>
      <c r="C326" s="390"/>
      <c r="D326" s="393">
        <f t="shared" si="98"/>
        <v>15.416443669762623</v>
      </c>
      <c r="E326" s="385">
        <f t="shared" si="120"/>
        <v>16.228489572512895</v>
      </c>
      <c r="F326" s="385">
        <f t="shared" si="99"/>
        <v>16.798255579370284</v>
      </c>
      <c r="G326" s="110">
        <f t="shared" si="121"/>
        <v>0.90412396614093993</v>
      </c>
      <c r="H326" s="414" t="b">
        <f>Wh_hp&gt;='2020'!Maxi_hp</f>
        <v>1</v>
      </c>
      <c r="I326" s="380">
        <f>IF(H326,Wh_hp,'2020'!Maxi_hp)</f>
        <v>16.798255579370284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2.8050805946303048E-2</v>
      </c>
      <c r="M326" s="850"/>
      <c r="N326" s="850"/>
      <c r="O326" s="48">
        <f>IF(t&lt;Tnet,'2020'!Resal+('2020'!Salim-'2020'!Resal)*(1-EXP(('2020'!Tnet-t)/('2020'!Tau_j))),Resal+(Salim-Resal)*(1-EXP((Tnet-t)/(Tau_j))))*Salcycl</f>
        <v>5.0038292172654097E-2</v>
      </c>
      <c r="P326" s="169">
        <f>(INDEX(Models!$BJ326:$BT326,,T326)*(1-R326)+INDEX(Models!$BJ326:$BT326,,T326+1)*R326-ERP_i)*Q326*Ramure*Pc/MaxiM</f>
        <v>3.8992906564872837E-2</v>
      </c>
      <c r="Q326" s="305">
        <f t="shared" si="101"/>
        <v>0.7</v>
      </c>
      <c r="R326" s="177">
        <f t="shared" si="102"/>
        <v>0.49949405233072874</v>
      </c>
      <c r="S326" s="817">
        <f t="shared" si="103"/>
        <v>-1</v>
      </c>
      <c r="T326" s="176">
        <f t="shared" si="104"/>
        <v>5</v>
      </c>
      <c r="U326" s="251">
        <f t="shared" si="105"/>
        <v>-0.50050594766927126</v>
      </c>
      <c r="V326" s="383">
        <f t="shared" si="106"/>
        <v>16.485892363378611</v>
      </c>
      <c r="W326" s="402"/>
      <c r="X326" s="157">
        <f t="shared" si="107"/>
        <v>44508</v>
      </c>
      <c r="Y326" s="385">
        <f t="shared" si="108"/>
        <v>13.865607167824727</v>
      </c>
      <c r="Z326" s="385">
        <f t="shared" si="109"/>
        <v>14.265773615177975</v>
      </c>
      <c r="AA326" s="386">
        <f t="shared" si="110"/>
        <v>16.228489572512895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0.1209426144414131</v>
      </c>
      <c r="AD326" s="231">
        <f>(INDEX(Models!$BJ326:$BT326,,AH326)*(1-AF326)+INDEX(Models!$BJ326:$BT326,,AH326+1)*AF326-ERP_i)*AE326*Ramure*Pc/MaxiM</f>
        <v>3.8992906564872837E-2</v>
      </c>
      <c r="AE326" s="305">
        <f t="shared" si="112"/>
        <v>0.7</v>
      </c>
      <c r="AF326" s="177">
        <f t="shared" si="113"/>
        <v>0.49949405233072874</v>
      </c>
      <c r="AG326" s="817">
        <f t="shared" si="119"/>
        <v>-1</v>
      </c>
      <c r="AH326" s="176">
        <f t="shared" si="114"/>
        <v>5</v>
      </c>
      <c r="AI326" s="225">
        <f t="shared" si="115"/>
        <v>-0.50050594766927126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44509</v>
      </c>
      <c r="B327" s="617">
        <v>12.402000000000001</v>
      </c>
      <c r="C327" s="390"/>
      <c r="D327" s="393">
        <f t="shared" si="98"/>
        <v>12.760205695374401</v>
      </c>
      <c r="E327" s="385">
        <f t="shared" si="120"/>
        <v>13.433838653763951</v>
      </c>
      <c r="F327" s="385">
        <f t="shared" si="99"/>
        <v>13.797743285740236</v>
      </c>
      <c r="G327" s="110">
        <f t="shared" si="121"/>
        <v>0.75604436564942767</v>
      </c>
      <c r="H327" s="414" t="b">
        <f>Wh_hp&gt;='2020'!Maxi_hp</f>
        <v>0</v>
      </c>
      <c r="I327" s="380">
        <f>IF(H327,Wh_hp,'2020'!Maxi_hp)</f>
        <v>13.987292778156712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2.8072094128094638E-2</v>
      </c>
      <c r="M327" s="850"/>
      <c r="N327" s="850"/>
      <c r="O327" s="48">
        <f>IF(t&lt;Tnet,'2020'!Resal+('2020'!Salim-'2020'!Resal)*(1-EXP(('2020'!Tnet-t)/('2020'!Tau_j))),Resal+(Salim-Resal)*(1-EXP((Tnet-t)/(Tau_j))))*Salcycl</f>
        <v>5.0144487793204941E-2</v>
      </c>
      <c r="P327" s="169">
        <f>(INDEX(Models!$BJ327:$BT327,,T327)*(1-R327)+INDEX(Models!$BJ327:$BT327,,T327+1)*R327-ERP_i)*Q327*Ramure*Pc/MaxiM</f>
        <v>3.9580512233148964E-2</v>
      </c>
      <c r="Q327" s="305">
        <f t="shared" si="101"/>
        <v>0.7</v>
      </c>
      <c r="R327" s="177">
        <f t="shared" si="102"/>
        <v>0.49951837732482596</v>
      </c>
      <c r="S327" s="817">
        <f t="shared" si="103"/>
        <v>-1</v>
      </c>
      <c r="T327" s="176">
        <f t="shared" si="104"/>
        <v>5</v>
      </c>
      <c r="U327" s="251">
        <f t="shared" si="105"/>
        <v>-0.50048162267517404</v>
      </c>
      <c r="V327" s="383">
        <f t="shared" si="106"/>
        <v>16.181297475271826</v>
      </c>
      <c r="W327" s="402"/>
      <c r="X327" s="157">
        <f t="shared" si="107"/>
        <v>44509</v>
      </c>
      <c r="Y327" s="385">
        <f t="shared" si="108"/>
        <v>11.478122246976655</v>
      </c>
      <c r="Z327" s="385">
        <f t="shared" si="109"/>
        <v>11.809643675864789</v>
      </c>
      <c r="AA327" s="386">
        <f t="shared" si="110"/>
        <v>13.433838653763951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0.12090326672518789</v>
      </c>
      <c r="AD327" s="231">
        <f>(INDEX(Models!$BJ327:$BT327,,AH327)*(1-AF327)+INDEX(Models!$BJ327:$BT327,,AH327+1)*AF327-ERP_i)*AE327*Ramure*Pc/MaxiM</f>
        <v>3.9580512233148964E-2</v>
      </c>
      <c r="AE327" s="305">
        <f t="shared" si="112"/>
        <v>0.7</v>
      </c>
      <c r="AF327" s="177">
        <f t="shared" si="113"/>
        <v>0.49951837732482596</v>
      </c>
      <c r="AG327" s="817">
        <f t="shared" si="119"/>
        <v>-1</v>
      </c>
      <c r="AH327" s="176">
        <f t="shared" si="114"/>
        <v>5</v>
      </c>
      <c r="AI327" s="225">
        <f t="shared" si="115"/>
        <v>-0.50048162267517404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44510</v>
      </c>
      <c r="B328" s="617">
        <v>3.956</v>
      </c>
      <c r="C328" s="390"/>
      <c r="D328" s="393">
        <f t="shared" si="98"/>
        <v>4.070349893803769</v>
      </c>
      <c r="E328" s="385">
        <f t="shared" si="120"/>
        <v>4.285709770311021</v>
      </c>
      <c r="F328" s="385">
        <f t="shared" si="99"/>
        <v>4.285709770311021</v>
      </c>
      <c r="G328" s="110">
        <f t="shared" si="121"/>
        <v>0.23902110690764677</v>
      </c>
      <c r="H328" s="414" t="b">
        <f>Wh_hp&gt;='2020'!Maxi_hp</f>
        <v>0</v>
      </c>
      <c r="I328" s="380">
        <f>IF(H328,Wh_hp,'2020'!Maxi_hp)</f>
        <v>13.296915518161036</v>
      </c>
      <c r="J328" s="85">
        <f>IF(H328,An,'2020'!An_max)</f>
        <v>2019</v>
      </c>
      <c r="K328" s="197">
        <f t="shared" si="100"/>
        <v>44510</v>
      </c>
      <c r="L328" s="147">
        <f>IF(t&lt;Tvie,1-EXP((T0-t)*PertePVj)+'2020'!Pspv,1-EXP((T0-t)*PertePVj)+Pspv)</f>
        <v>2.8093381843620424E-2</v>
      </c>
      <c r="M328" s="850"/>
      <c r="N328" s="850"/>
      <c r="O328" s="48">
        <f>IF(t&lt;Tnet,'2020'!Resal+('2020'!Salim-'2020'!Resal)*(1-EXP(('2020'!Tnet-t)/('2020'!Tau_j))),Resal+(Salim-Resal)*(1-EXP((Tnet-t)/(Tau_j))))*Salcycl</f>
        <v>5.0250690795523259E-2</v>
      </c>
      <c r="P328" s="169">
        <f>(INDEX(Models!$BJ328:$BT328,,T328)*(1-R328)+INDEX(Models!$BJ328:$BT328,,T328+1)*R328-ERP_i)*Q328*Ramure*Pc/MaxiM</f>
        <v>4.0112064488330379E-2</v>
      </c>
      <c r="Q328" s="305">
        <f t="shared" si="101"/>
        <v>0.7</v>
      </c>
      <c r="R328" s="177">
        <f t="shared" si="102"/>
        <v>0.49954172663506147</v>
      </c>
      <c r="S328" s="817">
        <f t="shared" si="103"/>
        <v>-1</v>
      </c>
      <c r="T328" s="176">
        <f t="shared" si="104"/>
        <v>5</v>
      </c>
      <c r="U328" s="251">
        <f t="shared" si="105"/>
        <v>-0.50045827336493853</v>
      </c>
      <c r="V328" s="383">
        <f t="shared" si="106"/>
        <v>15.886951248834173</v>
      </c>
      <c r="W328" s="402"/>
      <c r="X328" s="157">
        <f t="shared" si="107"/>
        <v>44510</v>
      </c>
      <c r="Y328" s="385">
        <f t="shared" si="108"/>
        <v>3.6618706048386813</v>
      </c>
      <c r="Z328" s="385">
        <f t="shared" si="109"/>
        <v>3.7677185610536577</v>
      </c>
      <c r="AA328" s="386">
        <f t="shared" si="110"/>
        <v>4.285709770311021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0.12086474283576409</v>
      </c>
      <c r="AD328" s="231">
        <f>(INDEX(Models!$BJ328:$BT328,,AH328)*(1-AF328)+INDEX(Models!$BJ328:$BT328,,AH328+1)*AF328-ERP_i)*AE328*Ramure*Pc/MaxiM</f>
        <v>4.0112064488330379E-2</v>
      </c>
      <c r="AE328" s="305">
        <f t="shared" si="112"/>
        <v>0.7</v>
      </c>
      <c r="AF328" s="177">
        <f t="shared" si="113"/>
        <v>0.49954172663506147</v>
      </c>
      <c r="AG328" s="817">
        <f t="shared" si="119"/>
        <v>-1</v>
      </c>
      <c r="AH328" s="176">
        <f t="shared" si="114"/>
        <v>5</v>
      </c>
      <c r="AI328" s="225">
        <f t="shared" si="115"/>
        <v>-0.50045827336493853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44511</v>
      </c>
      <c r="B329" s="617">
        <v>5.649</v>
      </c>
      <c r="C329" s="390"/>
      <c r="D329" s="393">
        <f t="shared" si="98"/>
        <v>5.8124140990249389</v>
      </c>
      <c r="E329" s="385">
        <f t="shared" si="120"/>
        <v>6.1206304009232584</v>
      </c>
      <c r="F329" s="385">
        <f t="shared" si="99"/>
        <v>6.1427124856030497</v>
      </c>
      <c r="G329" s="110">
        <f t="shared" si="121"/>
        <v>0.34857320570350714</v>
      </c>
      <c r="H329" s="414" t="b">
        <f>Wh_hp&gt;='2020'!Maxi_hp</f>
        <v>0</v>
      </c>
      <c r="I329" s="380">
        <f>IF(H329,Wh_hp,'2020'!Maxi_hp)</f>
        <v>15.857528713865515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2.8114669092890732E-2</v>
      </c>
      <c r="M329" s="850"/>
      <c r="N329" s="850"/>
      <c r="O329" s="48">
        <f>IF(t&lt;Tnet,'2020'!Resal+('2020'!Salim-'2020'!Resal)*(1-EXP(('2020'!Tnet-t)/('2020'!Tau_j))),Resal+(Salim-Resal)*(1-EXP((Tnet-t)/(Tau_j))))*Salcycl</f>
        <v>5.035695373009734E-2</v>
      </c>
      <c r="P329" s="169">
        <f>(INDEX(Models!$BJ329:$BT329,,T329)*(1-R329)+INDEX(Models!$BJ329:$BT329,,T329+1)*R329-ERP_i)*Q329*Ramure*Pc/MaxiM</f>
        <v>4.0580034262051194E-2</v>
      </c>
      <c r="Q329" s="305">
        <f t="shared" si="101"/>
        <v>0.7</v>
      </c>
      <c r="R329" s="177">
        <f t="shared" si="102"/>
        <v>0.4995641392532808</v>
      </c>
      <c r="S329" s="817">
        <f t="shared" si="103"/>
        <v>-1</v>
      </c>
      <c r="T329" s="176">
        <f t="shared" si="104"/>
        <v>5</v>
      </c>
      <c r="U329" s="251">
        <f t="shared" si="105"/>
        <v>-0.5004358607467192</v>
      </c>
      <c r="V329" s="383">
        <f t="shared" si="106"/>
        <v>15.604518034111486</v>
      </c>
      <c r="W329" s="402"/>
      <c r="X329" s="157">
        <f t="shared" si="107"/>
        <v>44511</v>
      </c>
      <c r="Y329" s="385">
        <f t="shared" si="108"/>
        <v>5.2298043870715123</v>
      </c>
      <c r="Z329" s="385">
        <f t="shared" si="109"/>
        <v>5.381092008241624</v>
      </c>
      <c r="AA329" s="386">
        <f t="shared" si="110"/>
        <v>6.1206304009232584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0.12082716064183185</v>
      </c>
      <c r="AD329" s="231">
        <f>(INDEX(Models!$BJ329:$BT329,,AH329)*(1-AF329)+INDEX(Models!$BJ329:$BT329,,AH329+1)*AF329-ERP_i)*AE329*Ramure*Pc/MaxiM</f>
        <v>4.0580034262051194E-2</v>
      </c>
      <c r="AE329" s="305">
        <f t="shared" si="112"/>
        <v>0.7</v>
      </c>
      <c r="AF329" s="177">
        <f t="shared" si="113"/>
        <v>0.4995641392532808</v>
      </c>
      <c r="AG329" s="817">
        <f t="shared" si="119"/>
        <v>-1</v>
      </c>
      <c r="AH329" s="176">
        <f t="shared" si="114"/>
        <v>5</v>
      </c>
      <c r="AI329" s="225">
        <f t="shared" si="115"/>
        <v>-0.5004358607467192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44512</v>
      </c>
      <c r="B330" s="617">
        <v>4.7629999999999999</v>
      </c>
      <c r="C330" s="390"/>
      <c r="D330" s="393">
        <f t="shared" si="98"/>
        <v>4.9008912602510843</v>
      </c>
      <c r="E330" s="385">
        <f t="shared" si="120"/>
        <v>5.1613501676205349</v>
      </c>
      <c r="F330" s="385">
        <f t="shared" si="99"/>
        <v>5.164549711615285</v>
      </c>
      <c r="G330" s="110">
        <f t="shared" si="121"/>
        <v>0.29804133764861512</v>
      </c>
      <c r="H330" s="414" t="b">
        <f>Wh_hp&gt;='2020'!Maxi_hp</f>
        <v>0</v>
      </c>
      <c r="I330" s="380">
        <f>IF(H330,Wh_hp,'2020'!Maxi_hp)</f>
        <v>15.263584587544319</v>
      </c>
      <c r="J330" s="85">
        <f>IF(H330,An,'2020'!An_max)</f>
        <v>2018</v>
      </c>
      <c r="K330" s="197">
        <f t="shared" si="100"/>
        <v>44512</v>
      </c>
      <c r="L330" s="147">
        <f>IF(t&lt;Tvie,1-EXP((T0-t)*PertePVj)+'2020'!Pspv,1-EXP((T0-t)*PertePVj)+Pspv)</f>
        <v>2.8135955875915553E-2</v>
      </c>
      <c r="M330" s="850"/>
      <c r="N330" s="850"/>
      <c r="O330" s="48">
        <f>IF(t&lt;Tnet,'2020'!Resal+('2020'!Salim-'2020'!Resal)*(1-EXP(('2020'!Tnet-t)/('2020'!Tau_j))),Resal+(Salim-Resal)*(1-EXP((Tnet-t)/(Tau_j))))*Salcycl</f>
        <v>5.0463328181727773E-2</v>
      </c>
      <c r="P330" s="169">
        <f>(INDEX(Models!$BJ330:$BT330,,T330)*(1-R330)+INDEX(Models!$BJ330:$BT330,,T330+1)*R330-ERP_i)*Q330*Ramure*Pc/MaxiM</f>
        <v>4.0976382893840806E-2</v>
      </c>
      <c r="Q330" s="305">
        <f t="shared" si="101"/>
        <v>0.7</v>
      </c>
      <c r="R330" s="177">
        <f t="shared" si="102"/>
        <v>0.4995856526243545</v>
      </c>
      <c r="S330" s="817">
        <f t="shared" si="103"/>
        <v>-1</v>
      </c>
      <c r="T330" s="176">
        <f t="shared" si="104"/>
        <v>5</v>
      </c>
      <c r="U330" s="251">
        <f t="shared" si="105"/>
        <v>-0.5004143473756455</v>
      </c>
      <c r="V330" s="383">
        <f t="shared" si="106"/>
        <v>15.33566163074722</v>
      </c>
      <c r="W330" s="402"/>
      <c r="X330" s="157">
        <f t="shared" si="107"/>
        <v>44512</v>
      </c>
      <c r="Y330" s="385">
        <f t="shared" si="108"/>
        <v>4.410229042965363</v>
      </c>
      <c r="Z330" s="385">
        <f t="shared" si="109"/>
        <v>4.5379074054953712</v>
      </c>
      <c r="AA330" s="386">
        <f t="shared" si="110"/>
        <v>5.1613501676205349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0.12079063459718349</v>
      </c>
      <c r="AD330" s="231">
        <f>(INDEX(Models!$BJ330:$BT330,,AH330)*(1-AF330)+INDEX(Models!$BJ330:$BT330,,AH330+1)*AF330-ERP_i)*AE330*Ramure*Pc/MaxiM</f>
        <v>4.0976382893840806E-2</v>
      </c>
      <c r="AE330" s="305">
        <f t="shared" si="112"/>
        <v>0.7</v>
      </c>
      <c r="AF330" s="177">
        <f t="shared" si="113"/>
        <v>0.4995856526243545</v>
      </c>
      <c r="AG330" s="817">
        <f t="shared" si="119"/>
        <v>-1</v>
      </c>
      <c r="AH330" s="176">
        <f t="shared" si="114"/>
        <v>5</v>
      </c>
      <c r="AI330" s="225">
        <f t="shared" si="115"/>
        <v>-0.5004143473756455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44513</v>
      </c>
      <c r="B331" s="617">
        <v>3.6160000000000001</v>
      </c>
      <c r="C331" s="390"/>
      <c r="D331" s="393">
        <f t="shared" si="98"/>
        <v>3.7207665241633778</v>
      </c>
      <c r="E331" s="385">
        <f t="shared" si="120"/>
        <v>3.9189471506702103</v>
      </c>
      <c r="F331" s="385">
        <f t="shared" si="99"/>
        <v>3.9189471506702103</v>
      </c>
      <c r="G331" s="110">
        <f t="shared" si="121"/>
        <v>0.22991649293382665</v>
      </c>
      <c r="H331" s="414" t="b">
        <f>Wh_hp&gt;='2020'!Maxi_hp</f>
        <v>0</v>
      </c>
      <c r="I331" s="380">
        <f>IF(H331,Wh_hp,'2020'!Maxi_hp)</f>
        <v>17.166565954887307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2.8157242192705101E-2</v>
      </c>
      <c r="M331" s="850"/>
      <c r="N331" s="850"/>
      <c r="O331" s="48">
        <f>IF(t&lt;Tnet,'2020'!Resal+('2020'!Salim-'2020'!Resal)*(1-EXP(('2020'!Tnet-t)/('2020'!Tau_j))),Resal+(Salim-Resal)*(1-EXP((Tnet-t)/(Tau_j))))*Salcycl</f>
        <v>5.0569864529288119E-2</v>
      </c>
      <c r="P331" s="169">
        <f>(INDEX(Models!$BJ331:$BT331,,T331)*(1-R331)+INDEX(Models!$BJ331:$BT331,,T331+1)*R331-ERP_i)*Q331*Ramure*Pc/MaxiM</f>
        <v>4.1303665749412515E-2</v>
      </c>
      <c r="Q331" s="305">
        <f t="shared" si="101"/>
        <v>0.7</v>
      </c>
      <c r="R331" s="177">
        <f t="shared" si="102"/>
        <v>0.49960630270666273</v>
      </c>
      <c r="S331" s="817">
        <f t="shared" si="103"/>
        <v>-1</v>
      </c>
      <c r="T331" s="176">
        <f t="shared" si="104"/>
        <v>5</v>
      </c>
      <c r="U331" s="251">
        <f t="shared" si="105"/>
        <v>-0.50039369729333727</v>
      </c>
      <c r="V331" s="383">
        <f t="shared" si="106"/>
        <v>15.077848050021695</v>
      </c>
      <c r="W331" s="402"/>
      <c r="X331" s="157">
        <f t="shared" si="107"/>
        <v>44513</v>
      </c>
      <c r="Y331" s="385">
        <f t="shared" si="108"/>
        <v>3.3486918163291333</v>
      </c>
      <c r="Z331" s="385">
        <f t="shared" si="109"/>
        <v>3.4457136089428366</v>
      </c>
      <c r="AA331" s="386">
        <f t="shared" si="110"/>
        <v>3.9189471506702103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0.12075527521376302</v>
      </c>
      <c r="AD331" s="231">
        <f>(INDEX(Models!$BJ331:$BT331,,AH331)*(1-AF331)+INDEX(Models!$BJ331:$BT331,,AH331+1)*AF331-ERP_i)*AE331*Ramure*Pc/MaxiM</f>
        <v>4.1303665749412515E-2</v>
      </c>
      <c r="AE331" s="305">
        <f t="shared" si="112"/>
        <v>0.7</v>
      </c>
      <c r="AF331" s="177">
        <f t="shared" si="113"/>
        <v>0.49960630270666273</v>
      </c>
      <c r="AG331" s="817">
        <f t="shared" si="119"/>
        <v>-1</v>
      </c>
      <c r="AH331" s="176">
        <f t="shared" si="114"/>
        <v>5</v>
      </c>
      <c r="AI331" s="225">
        <f t="shared" si="115"/>
        <v>-0.50039369729333727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44514</v>
      </c>
      <c r="B332" s="617">
        <v>3.0500000000000003</v>
      </c>
      <c r="C332" s="390"/>
      <c r="D332" s="393">
        <f t="shared" si="98"/>
        <v>3.1384365215340702</v>
      </c>
      <c r="E332" s="385">
        <f t="shared" si="120"/>
        <v>3.3059719798887008</v>
      </c>
      <c r="F332" s="385">
        <f t="shared" si="99"/>
        <v>3.3059719798887008</v>
      </c>
      <c r="G332" s="110">
        <f t="shared" si="121"/>
        <v>0.19714934267636855</v>
      </c>
      <c r="H332" s="414" t="b">
        <f>Wh_hp&gt;='2020'!Maxi_hp</f>
        <v>0</v>
      </c>
      <c r="I332" s="380">
        <f>IF(H332,Wh_hp,'2020'!Maxi_hp)</f>
        <v>12.052084330395068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2.8178528043269813E-2</v>
      </c>
      <c r="M332" s="850"/>
      <c r="N332" s="850"/>
      <c r="O332" s="48">
        <f>IF(t&lt;Tnet,'2020'!Resal+('2020'!Salim-'2020'!Resal)*(1-EXP(('2020'!Tnet-t)/('2020'!Tau_j))),Resal+(Salim-Resal)*(1-EXP((Tnet-t)/(Tau_j))))*Salcycl</f>
        <v>5.0676611711715294E-2</v>
      </c>
      <c r="P332" s="169">
        <f>(INDEX(Models!$BJ332:$BT332,,T332)*(1-R332)+INDEX(Models!$BJ332:$BT332,,T332+1)*R332-ERP_i)*Q332*Ramure*Pc/MaxiM</f>
        <v>4.1569057692557101E-2</v>
      </c>
      <c r="Q332" s="305">
        <f t="shared" si="101"/>
        <v>0.7</v>
      </c>
      <c r="R332" s="177">
        <f t="shared" si="102"/>
        <v>0.49962612403028661</v>
      </c>
      <c r="S332" s="817">
        <f t="shared" si="103"/>
        <v>-1</v>
      </c>
      <c r="T332" s="176">
        <f t="shared" si="104"/>
        <v>5</v>
      </c>
      <c r="U332" s="251">
        <f t="shared" si="105"/>
        <v>-0.50037387596971339</v>
      </c>
      <c r="V332" s="383">
        <f t="shared" si="106"/>
        <v>14.827411211998399</v>
      </c>
      <c r="W332" s="402"/>
      <c r="X332" s="157">
        <f t="shared" si="107"/>
        <v>44514</v>
      </c>
      <c r="Y332" s="385">
        <f t="shared" si="108"/>
        <v>2.8249597639611768</v>
      </c>
      <c r="Z332" s="385">
        <f t="shared" si="109"/>
        <v>2.906871113140991</v>
      </c>
      <c r="AA332" s="386">
        <f t="shared" si="110"/>
        <v>3.3059719798887008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0.12072118855682083</v>
      </c>
      <c r="AD332" s="231">
        <f>(INDEX(Models!$BJ332:$BT332,,AH332)*(1-AF332)+INDEX(Models!$BJ332:$BT332,,AH332+1)*AF332-ERP_i)*AE332*Ramure*Pc/MaxiM</f>
        <v>4.1569057692557101E-2</v>
      </c>
      <c r="AE332" s="305">
        <f t="shared" si="112"/>
        <v>0.7</v>
      </c>
      <c r="AF332" s="177">
        <f t="shared" si="113"/>
        <v>0.49962612403028661</v>
      </c>
      <c r="AG332" s="817">
        <f t="shared" si="119"/>
        <v>-1</v>
      </c>
      <c r="AH332" s="176">
        <f t="shared" si="114"/>
        <v>5</v>
      </c>
      <c r="AI332" s="225">
        <f t="shared" si="115"/>
        <v>-0.50037387596971339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44515</v>
      </c>
      <c r="B333" s="617">
        <v>3.7070000000000003</v>
      </c>
      <c r="C333" s="390"/>
      <c r="D333" s="393">
        <f t="shared" si="98"/>
        <v>3.8145701670164276</v>
      </c>
      <c r="E333" s="385">
        <f t="shared" si="120"/>
        <v>4.0186518430794385</v>
      </c>
      <c r="F333" s="385">
        <f t="shared" si="99"/>
        <v>4.0186518430794385</v>
      </c>
      <c r="G333" s="110">
        <f t="shared" si="121"/>
        <v>0.24355987627961762</v>
      </c>
      <c r="H333" s="414" t="b">
        <f>Wh_hp&gt;='2020'!Maxi_hp</f>
        <v>0</v>
      </c>
      <c r="I333" s="380">
        <f>IF(H333,Wh_hp,'2020'!Maxi_hp)</f>
        <v>15.011200511504091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2.819981342761968E-2</v>
      </c>
      <c r="M333" s="850"/>
      <c r="N333" s="850"/>
      <c r="O333" s="48">
        <f>IF(t&lt;Tnet,'2020'!Resal+('2020'!Salim-'2020'!Resal)*(1-EXP(('2020'!Tnet-t)/('2020'!Tau_j))),Resal+(Salim-Resal)*(1-EXP((Tnet-t)/(Tau_j))))*Salcycl</f>
        <v>5.0783617001921105E-2</v>
      </c>
      <c r="P333" s="169">
        <f>(INDEX(Models!$BJ333:$BT333,,T333)*(1-R333)+INDEX(Models!$BJ333:$BT333,,T333+1)*R333-ERP_i)*Q333*Ramure*Pc/MaxiM</f>
        <v>4.1823812100589955E-2</v>
      </c>
      <c r="Q333" s="305">
        <f t="shared" si="101"/>
        <v>0.7</v>
      </c>
      <c r="R333" s="177">
        <f t="shared" si="102"/>
        <v>0.49964514975298657</v>
      </c>
      <c r="S333" s="817">
        <f t="shared" si="103"/>
        <v>-1</v>
      </c>
      <c r="T333" s="176">
        <f t="shared" si="104"/>
        <v>5</v>
      </c>
      <c r="U333" s="251">
        <f t="shared" si="105"/>
        <v>-0.50035485024701343</v>
      </c>
      <c r="V333" s="383">
        <f t="shared" si="106"/>
        <v>14.583515079738776</v>
      </c>
      <c r="W333" s="402"/>
      <c r="X333" s="157">
        <f t="shared" si="107"/>
        <v>44515</v>
      </c>
      <c r="Y333" s="385">
        <f t="shared" si="108"/>
        <v>3.4339986948401418</v>
      </c>
      <c r="Z333" s="385">
        <f t="shared" si="109"/>
        <v>3.5336468775048702</v>
      </c>
      <c r="AA333" s="386">
        <f t="shared" si="110"/>
        <v>4.0186518430794385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0.12068847576577212</v>
      </c>
      <c r="AD333" s="231">
        <f>(INDEX(Models!$BJ333:$BT333,,AH333)*(1-AF333)+INDEX(Models!$BJ333:$BT333,,AH333+1)*AF333-ERP_i)*AE333*Ramure*Pc/MaxiM</f>
        <v>4.1823812100589955E-2</v>
      </c>
      <c r="AE333" s="305">
        <f t="shared" si="112"/>
        <v>0.7</v>
      </c>
      <c r="AF333" s="177">
        <f t="shared" si="113"/>
        <v>0.49964514975298657</v>
      </c>
      <c r="AG333" s="817">
        <f t="shared" si="119"/>
        <v>-1</v>
      </c>
      <c r="AH333" s="176">
        <f t="shared" si="114"/>
        <v>5</v>
      </c>
      <c r="AI333" s="225">
        <f t="shared" si="115"/>
        <v>-0.50035485024701343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44516</v>
      </c>
      <c r="B334" s="617">
        <v>5.835</v>
      </c>
      <c r="C334" s="390"/>
      <c r="D334" s="393">
        <f t="shared" si="98"/>
        <v>6.0044522370955224</v>
      </c>
      <c r="E334" s="385">
        <f t="shared" si="120"/>
        <v>6.3264090506089117</v>
      </c>
      <c r="F334" s="385">
        <f t="shared" si="99"/>
        <v>6.3672485681193001</v>
      </c>
      <c r="G334" s="110">
        <f t="shared" si="121"/>
        <v>0.39213439132907291</v>
      </c>
      <c r="H334" s="414" t="b">
        <f>Wh_hp&gt;='2020'!Maxi_hp</f>
        <v>0</v>
      </c>
      <c r="I334" s="380">
        <f>IF(H334,Wh_hp,'2020'!Maxi_hp)</f>
        <v>12.77870882362072</v>
      </c>
      <c r="J334" s="85">
        <f>IF(H334,An,'2020'!An_max)</f>
        <v>2018</v>
      </c>
      <c r="K334" s="197">
        <f t="shared" si="100"/>
        <v>44516</v>
      </c>
      <c r="L334" s="147">
        <f>IF(t&lt;Tvie,1-EXP((T0-t)*PertePVj)+'2020'!Pspv,1-EXP((T0-t)*PertePVj)+Pspv)</f>
        <v>2.8221098345765139E-2</v>
      </c>
      <c r="M334" s="850"/>
      <c r="N334" s="850"/>
      <c r="O334" s="48">
        <f>IF(t&lt;Tnet,'2020'!Resal+('2020'!Salim-'2020'!Resal)*(1-EXP(('2020'!Tnet-t)/('2020'!Tau_j))),Resal+(Salim-Resal)*(1-EXP((Tnet-t)/(Tau_j))))*Salcycl</f>
        <v>5.0890925790263448E-2</v>
      </c>
      <c r="P334" s="169">
        <f>(INDEX(Models!$BJ334:$BT334,,T334)*(1-R334)+INDEX(Models!$BJ334:$BT334,,T334+1)*R334-ERP_i)*Q334*Ramure*Pc/MaxiM</f>
        <v>4.2067197852442346E-2</v>
      </c>
      <c r="Q334" s="305">
        <f t="shared" si="101"/>
        <v>0.7</v>
      </c>
      <c r="R334" s="177">
        <f t="shared" si="102"/>
        <v>0.49966341171404571</v>
      </c>
      <c r="S334" s="817">
        <f t="shared" si="103"/>
        <v>-1</v>
      </c>
      <c r="T334" s="176">
        <f t="shared" si="104"/>
        <v>5</v>
      </c>
      <c r="U334" s="251">
        <f t="shared" si="105"/>
        <v>-0.50033658828595429</v>
      </c>
      <c r="V334" s="383">
        <f t="shared" si="106"/>
        <v>14.346154641084455</v>
      </c>
      <c r="W334" s="402"/>
      <c r="X334" s="157">
        <f t="shared" si="107"/>
        <v>44516</v>
      </c>
      <c r="Y334" s="385">
        <f t="shared" si="108"/>
        <v>5.4060857568208496</v>
      </c>
      <c r="Z334" s="385">
        <f t="shared" si="109"/>
        <v>5.5630820422404783</v>
      </c>
      <c r="AA334" s="386">
        <f t="shared" si="110"/>
        <v>6.3264090506089117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0.12065723260416802</v>
      </c>
      <c r="AD334" s="231">
        <f>(INDEX(Models!$BJ334:$BT334,,AH334)*(1-AF334)+INDEX(Models!$BJ334:$BT334,,AH334+1)*AF334-ERP_i)*AE334*Ramure*Pc/MaxiM</f>
        <v>4.2067197852442346E-2</v>
      </c>
      <c r="AE334" s="305">
        <f t="shared" si="112"/>
        <v>0.7</v>
      </c>
      <c r="AF334" s="177">
        <f t="shared" si="113"/>
        <v>0.49966341171404571</v>
      </c>
      <c r="AG334" s="817">
        <f t="shared" si="119"/>
        <v>-1</v>
      </c>
      <c r="AH334" s="176">
        <f t="shared" si="114"/>
        <v>5</v>
      </c>
      <c r="AI334" s="225">
        <f t="shared" si="115"/>
        <v>-0.50033658828595429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44517</v>
      </c>
      <c r="B335" s="617">
        <v>1.8540000000000001</v>
      </c>
      <c r="C335" s="390"/>
      <c r="D335" s="393">
        <f t="shared" ref="D335:D379" si="122">Wh/(1-Ppv)</f>
        <v>1.9078831667280525</v>
      </c>
      <c r="E335" s="385">
        <f t="shared" si="120"/>
        <v>2.0104112905339044</v>
      </c>
      <c r="F335" s="385">
        <f t="shared" ref="F335:F379" si="123">Wh_sa/(1-Pvg*MEDIAN((-Sdif+Wh/Env_an)/Csdif,0,1))</f>
        <v>2.0104112905339044</v>
      </c>
      <c r="G335" s="110">
        <f t="shared" si="121"/>
        <v>0.12579084451136557</v>
      </c>
      <c r="H335" s="414" t="b">
        <f>Wh_hp&gt;='2020'!Maxi_hp</f>
        <v>0</v>
      </c>
      <c r="I335" s="380">
        <f>IF(H335,Wh_hp,'2020'!Maxi_hp)</f>
        <v>16.318890198291346</v>
      </c>
      <c r="J335" s="85">
        <f>IF(H335,An,'2020'!An_max)</f>
        <v>2018</v>
      </c>
      <c r="K335" s="197">
        <f t="shared" ref="K335:K379" si="124">t</f>
        <v>44517</v>
      </c>
      <c r="L335" s="147">
        <f>IF(t&lt;Tvie,1-EXP((T0-t)*PertePVj)+'2020'!Pspv,1-EXP((T0-t)*PertePVj)+Pspv)</f>
        <v>2.824238279771607E-2</v>
      </c>
      <c r="M335" s="850"/>
      <c r="N335" s="850"/>
      <c r="O335" s="48">
        <f>IF(t&lt;Tnet,'2020'!Resal+('2020'!Salim-'2020'!Resal)*(1-EXP(('2020'!Tnet-t)/('2020'!Tau_j))),Resal+(Salim-Resal)*(1-EXP((Tnet-t)/(Tau_j))))*Salcycl</f>
        <v>5.0998581379148304E-2</v>
      </c>
      <c r="P335" s="169">
        <f>(INDEX(Models!$BJ335:$BT335,,T335)*(1-R335)+INDEX(Models!$BJ335:$BT335,,T335+1)*R335-ERP_i)*Q335*Ramure*Pc/MaxiM</f>
        <v>4.2298450070975047E-2</v>
      </c>
      <c r="Q335" s="305">
        <f t="shared" ref="Q335:Q379" si="125">IF(OR(t&lt;Ttai,Notai),Dd+PousD*Croivg,Dens+PousD*(Croivg-Croi_tai))</f>
        <v>0.7</v>
      </c>
      <c r="R335" s="177">
        <f t="shared" ref="R335:R379" si="126">(Hp_vg-S335)/(INDEX(Echel_vg,T335+1)-S335)</f>
        <v>0.49968094048605649</v>
      </c>
      <c r="S335" s="817">
        <f t="shared" ref="S335:S379" si="127">INDEX(Echel_vg,T335)</f>
        <v>-1</v>
      </c>
      <c r="T335" s="176">
        <f t="shared" ref="T335:T379" si="128">MIN(MATCH(Hp_vg,Echel_vg),10)</f>
        <v>5</v>
      </c>
      <c r="U335" s="251">
        <f t="shared" ref="U335:U379" si="129">IF(OR(t&lt;Ttai,Notai),Hdd+PousH*Croivg,Hdtf+PousH*(Croivg-Croi_tai))</f>
        <v>-0.50031905951394351</v>
      </c>
      <c r="V335" s="383">
        <f t="shared" ref="V335:V379" si="130">MaxiM*(1-Ppv)*(1-Pvg)*(1-Psa)</f>
        <v>14.115325169058577</v>
      </c>
      <c r="W335" s="402"/>
      <c r="X335" s="157">
        <f t="shared" ref="X335:X379" si="131">t</f>
        <v>44517</v>
      </c>
      <c r="Y335" s="385">
        <f t="shared" ref="Y335:Y379" si="132">Wh_pvt_s*(1-Ppv)</f>
        <v>1.7179705868570019</v>
      </c>
      <c r="Z335" s="385">
        <f t="shared" ref="Z335:Z379" si="133">Wh_sa_s*(1-Psa_s)</f>
        <v>1.7679003039905001</v>
      </c>
      <c r="AA335" s="386">
        <f t="shared" ref="AA335:AA379" si="134">Wh_hp*(1-Pvg_s*MEDIAN((-Sdif+Wh/Env_an)/Csdif,0,1))</f>
        <v>2.0104112905339044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0.12062754904196785</v>
      </c>
      <c r="AD335" s="231">
        <f>(INDEX(Models!$BJ335:$BT335,,AH335)*(1-AF335)+INDEX(Models!$BJ335:$BT335,,AH335+1)*AF335-ERP_i)*AE335*Ramure*Pc/MaxiM</f>
        <v>4.2298450070975047E-2</v>
      </c>
      <c r="AE335" s="305">
        <f t="shared" ref="AE335:AE379" si="136">IF(OR(t&lt;Ttai,Notai),Dd_s+PousD*Croivg,Dens_s+PousD*(Croivg-Croi_tai))</f>
        <v>0.7</v>
      </c>
      <c r="AF335" s="177">
        <f t="shared" ref="AF335:AF379" si="137">(Hp_vg_s-AG335)/(INDEX(Echel_vg,AH335+1)-AG335)</f>
        <v>0.49968094048605649</v>
      </c>
      <c r="AG335" s="817">
        <f t="shared" si="119"/>
        <v>-1</v>
      </c>
      <c r="AH335" s="176">
        <f t="shared" ref="AH335:AH379" si="138">MIN(MATCH(Hp_vg_s,Echel_vg),10)</f>
        <v>5</v>
      </c>
      <c r="AI335" s="225">
        <f t="shared" ref="AI335:AI379" si="139">IF(OR(t&lt;Ttai,Notai),Hdd_s+PousH*Croivg,Hdtai_s+PousH*(Croivg-Croi_tai))</f>
        <v>-0.50031905951394351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44518</v>
      </c>
      <c r="B336" s="617">
        <v>9.4550000000000001</v>
      </c>
      <c r="C336" s="390"/>
      <c r="D336" s="393">
        <f t="shared" si="122"/>
        <v>9.7300056371292314</v>
      </c>
      <c r="E336" s="385">
        <f t="shared" si="120"/>
        <v>10.254055820527222</v>
      </c>
      <c r="F336" s="385">
        <f t="shared" si="123"/>
        <v>10.496744149502902</v>
      </c>
      <c r="G336" s="110">
        <f t="shared" si="121"/>
        <v>0.66714070175969631</v>
      </c>
      <c r="H336" s="414" t="b">
        <f>Wh_hp&gt;='2020'!Maxi_hp</f>
        <v>0</v>
      </c>
      <c r="I336" s="380">
        <f>IF(H336,Wh_hp,'2020'!Maxi_hp)</f>
        <v>14.520944266694507</v>
      </c>
      <c r="J336" s="85">
        <f>IF(H336,An,'2020'!An_max)</f>
        <v>2018</v>
      </c>
      <c r="K336" s="197">
        <f t="shared" si="124"/>
        <v>44518</v>
      </c>
      <c r="L336" s="147">
        <f>IF(t&lt;Tvie,1-EXP((T0-t)*PertePVj)+'2020'!Pspv,1-EXP((T0-t)*PertePVj)+Pspv)</f>
        <v>2.8263666783483021E-2</v>
      </c>
      <c r="M336" s="850"/>
      <c r="N336" s="850"/>
      <c r="O336" s="48">
        <f>IF(t&lt;Tnet,'2020'!Resal+('2020'!Salim-'2020'!Resal)*(1-EXP(('2020'!Tnet-t)/('2020'!Tau_j))),Resal+(Salim-Resal)*(1-EXP((Tnet-t)/(Tau_j))))*Salcycl</f>
        <v>5.1106624790252603E-2</v>
      </c>
      <c r="P336" s="169">
        <f>(INDEX(Models!$BJ336:$BT336,,T336)*(1-R336)+INDEX(Models!$BJ336:$BT336,,T336+1)*R336-ERP_i)*Q336*Ramure*Pc/MaxiM</f>
        <v>4.2516770246487159E-2</v>
      </c>
      <c r="Q336" s="305">
        <f t="shared" si="125"/>
        <v>0.7</v>
      </c>
      <c r="R336" s="177">
        <f t="shared" si="126"/>
        <v>0.49969776542472344</v>
      </c>
      <c r="S336" s="817">
        <f t="shared" si="127"/>
        <v>-1</v>
      </c>
      <c r="T336" s="176">
        <f t="shared" si="128"/>
        <v>5</v>
      </c>
      <c r="U336" s="251">
        <f t="shared" si="129"/>
        <v>-0.50030223457527656</v>
      </c>
      <c r="V336" s="383">
        <f t="shared" si="130"/>
        <v>13.891022226934675</v>
      </c>
      <c r="W336" s="402"/>
      <c r="X336" s="157">
        <f t="shared" si="131"/>
        <v>44518</v>
      </c>
      <c r="Y336" s="385">
        <f t="shared" si="132"/>
        <v>8.7625563217440998</v>
      </c>
      <c r="Z336" s="385">
        <f t="shared" si="133"/>
        <v>9.0174217246147528</v>
      </c>
      <c r="AA336" s="386">
        <f t="shared" si="134"/>
        <v>10.254055820527222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0.1205995088730545</v>
      </c>
      <c r="AD336" s="231">
        <f>(INDEX(Models!$BJ336:$BT336,,AH336)*(1-AF336)+INDEX(Models!$BJ336:$BT336,,AH336+1)*AF336-ERP_i)*AE336*Ramure*Pc/MaxiM</f>
        <v>4.2516770246487159E-2</v>
      </c>
      <c r="AE336" s="305">
        <f t="shared" si="136"/>
        <v>0.7</v>
      </c>
      <c r="AF336" s="177">
        <f t="shared" si="137"/>
        <v>0.49969776542472344</v>
      </c>
      <c r="AG336" s="817">
        <f t="shared" ref="AG336:AG379" si="143">INDEX(Echel_vg,AH336)</f>
        <v>-1</v>
      </c>
      <c r="AH336" s="176">
        <f t="shared" si="138"/>
        <v>5</v>
      </c>
      <c r="AI336" s="225">
        <f t="shared" si="139"/>
        <v>-0.50030223457527656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44519</v>
      </c>
      <c r="B337" s="617">
        <v>12.734999999999999</v>
      </c>
      <c r="C337" s="390"/>
      <c r="D337" s="393">
        <f t="shared" si="122"/>
        <v>13.105693900667712</v>
      </c>
      <c r="E337" s="385">
        <f t="shared" si="120"/>
        <v>13.813134911696133</v>
      </c>
      <c r="F337" s="385">
        <f t="shared" si="123"/>
        <v>14.366735339691884</v>
      </c>
      <c r="G337" s="110">
        <f t="shared" si="121"/>
        <v>0.92732438650132232</v>
      </c>
      <c r="H337" s="414" t="b">
        <f>Wh_hp&gt;='2020'!Maxi_hp</f>
        <v>0</v>
      </c>
      <c r="I337" s="380">
        <f>IF(H337,Wh_hp,'2020'!Maxi_hp)</f>
        <v>15.038910963249226</v>
      </c>
      <c r="J337" s="85">
        <f>IF(H337,An,'2020'!An_max)</f>
        <v>2020</v>
      </c>
      <c r="K337" s="197">
        <f t="shared" si="124"/>
        <v>44519</v>
      </c>
      <c r="L337" s="147">
        <f>IF(t&lt;Tvie,1-EXP((T0-t)*PertePVj)+'2020'!Pspv,1-EXP((T0-t)*PertePVj)+Pspv)</f>
        <v>2.8284950303075984E-2</v>
      </c>
      <c r="M337" s="850"/>
      <c r="N337" s="850"/>
      <c r="O337" s="48">
        <f>IF(t&lt;Tnet,'2020'!Resal+('2020'!Salim-'2020'!Resal)*(1-EXP(('2020'!Tnet-t)/('2020'!Tau_j))),Resal+(Salim-Resal)*(1-EXP((Tnet-t)/(Tau_j))))*Salcycl</f>
        <v>5.1215094585762989E-2</v>
      </c>
      <c r="P337" s="169">
        <f>(INDEX(Models!$BJ337:$BT337,,T337)*(1-R337)+INDEX(Models!$BJ337:$BT337,,T337+1)*R337-ERP_i)*Q337*Ramure*Pc/MaxiM</f>
        <v>4.2721326724656089E-2</v>
      </c>
      <c r="Q337" s="305">
        <f t="shared" si="125"/>
        <v>0.7</v>
      </c>
      <c r="R337" s="177">
        <f t="shared" si="126"/>
        <v>0.49971391471675553</v>
      </c>
      <c r="S337" s="817">
        <f t="shared" si="127"/>
        <v>-1</v>
      </c>
      <c r="T337" s="176">
        <f t="shared" si="128"/>
        <v>5</v>
      </c>
      <c r="U337" s="251">
        <f t="shared" si="129"/>
        <v>-0.50028608528324447</v>
      </c>
      <c r="V337" s="383">
        <f t="shared" si="130"/>
        <v>13.673241668780891</v>
      </c>
      <c r="W337" s="402"/>
      <c r="X337" s="157">
        <f t="shared" si="131"/>
        <v>44519</v>
      </c>
      <c r="Y337" s="385">
        <f t="shared" si="132"/>
        <v>11.804045753104544</v>
      </c>
      <c r="Z337" s="385">
        <f t="shared" si="133"/>
        <v>12.147641180185696</v>
      </c>
      <c r="AA337" s="386">
        <f t="shared" si="134"/>
        <v>13.813134911696133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0.12057318937066176</v>
      </c>
      <c r="AD337" s="231">
        <f>(INDEX(Models!$BJ337:$BT337,,AH337)*(1-AF337)+INDEX(Models!$BJ337:$BT337,,AH337+1)*AF337-ERP_i)*AE337*Ramure*Pc/MaxiM</f>
        <v>4.2721326724656089E-2</v>
      </c>
      <c r="AE337" s="305">
        <f t="shared" si="136"/>
        <v>0.7</v>
      </c>
      <c r="AF337" s="177">
        <f t="shared" si="137"/>
        <v>0.49971391471675553</v>
      </c>
      <c r="AG337" s="817">
        <f t="shared" si="143"/>
        <v>-1</v>
      </c>
      <c r="AH337" s="176">
        <f t="shared" si="138"/>
        <v>5</v>
      </c>
      <c r="AI337" s="225">
        <f t="shared" si="139"/>
        <v>-0.50028608528324447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44520</v>
      </c>
      <c r="B338" s="617">
        <v>12.224</v>
      </c>
      <c r="C338" s="390"/>
      <c r="D338" s="393">
        <f t="shared" si="122"/>
        <v>12.580095107767498</v>
      </c>
      <c r="E338" s="385">
        <f t="shared" si="120"/>
        <v>13.260686959397175</v>
      </c>
      <c r="F338" s="385">
        <f t="shared" si="123"/>
        <v>13.773790220471378</v>
      </c>
      <c r="G338" s="110">
        <f t="shared" si="121"/>
        <v>0.90270128745651945</v>
      </c>
      <c r="H338" s="414" t="b">
        <f>Wh_hp&gt;='2020'!Maxi_hp</f>
        <v>0</v>
      </c>
      <c r="I338" s="380">
        <f>IF(H338,Wh_hp,'2020'!Maxi_hp)</f>
        <v>14.953005209630511</v>
      </c>
      <c r="J338" s="85">
        <f>IF(H338,An,'2020'!An_max)</f>
        <v>2019</v>
      </c>
      <c r="K338" s="197">
        <f t="shared" si="124"/>
        <v>44520</v>
      </c>
      <c r="L338" s="147">
        <f>IF(t&lt;Tvie,1-EXP((T0-t)*PertePVj)+'2020'!Pspv,1-EXP((T0-t)*PertePVj)+Pspv)</f>
        <v>2.8306233356505284E-2</v>
      </c>
      <c r="M338" s="850"/>
      <c r="N338" s="850"/>
      <c r="O338" s="48">
        <f>IF(t&lt;Tnet,'2020'!Resal+('2020'!Salim-'2020'!Resal)*(1-EXP(('2020'!Tnet-t)/('2020'!Tau_j))),Resal+(Salim-Resal)*(1-EXP((Tnet-t)/(Tau_j))))*Salcycl</f>
        <v>5.1324026704919423E-2</v>
      </c>
      <c r="P338" s="169">
        <f>(INDEX(Models!$BJ338:$BT338,,T338)*(1-R338)+INDEX(Models!$BJ338:$BT338,,T338+1)*R338-ERP_i)*Q338*Ramure*Pc/MaxiM</f>
        <v>4.288781616298698E-2</v>
      </c>
      <c r="Q338" s="305">
        <f t="shared" si="125"/>
        <v>0.7</v>
      </c>
      <c r="R338" s="177">
        <f t="shared" si="126"/>
        <v>0.49972941542591509</v>
      </c>
      <c r="S338" s="817">
        <f t="shared" si="127"/>
        <v>-1</v>
      </c>
      <c r="T338" s="176">
        <f t="shared" si="128"/>
        <v>5</v>
      </c>
      <c r="U338" s="251">
        <f t="shared" si="129"/>
        <v>-0.50027058457408491</v>
      </c>
      <c r="V338" s="383">
        <f t="shared" si="130"/>
        <v>13.462309332922736</v>
      </c>
      <c r="W338" s="402"/>
      <c r="X338" s="157">
        <f t="shared" si="131"/>
        <v>44520</v>
      </c>
      <c r="Y338" s="385">
        <f t="shared" si="132"/>
        <v>11.332017960571761</v>
      </c>
      <c r="Z338" s="385">
        <f t="shared" si="133"/>
        <v>11.662128902725968</v>
      </c>
      <c r="AA338" s="386">
        <f t="shared" si="134"/>
        <v>13.260686959397175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0.12054866098308664</v>
      </c>
      <c r="AD338" s="231">
        <f>(INDEX(Models!$BJ338:$BT338,,AH338)*(1-AF338)+INDEX(Models!$BJ338:$BT338,,AH338+1)*AF338-ERP_i)*AE338*Ramure*Pc/MaxiM</f>
        <v>4.288781616298698E-2</v>
      </c>
      <c r="AE338" s="305">
        <f t="shared" si="136"/>
        <v>0.7</v>
      </c>
      <c r="AF338" s="177">
        <f t="shared" si="137"/>
        <v>0.49972941542591509</v>
      </c>
      <c r="AG338" s="817">
        <f t="shared" si="143"/>
        <v>-1</v>
      </c>
      <c r="AH338" s="176">
        <f t="shared" si="138"/>
        <v>5</v>
      </c>
      <c r="AI338" s="225">
        <f t="shared" si="139"/>
        <v>-0.50027058457408491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44521</v>
      </c>
      <c r="B339" s="617">
        <v>5.9420000000000002</v>
      </c>
      <c r="C339" s="390"/>
      <c r="D339" s="393">
        <f t="shared" si="122"/>
        <v>6.1152292541981756</v>
      </c>
      <c r="E339" s="385">
        <f t="shared" si="120"/>
        <v>6.4468110139760615</v>
      </c>
      <c r="F339" s="385">
        <f t="shared" si="123"/>
        <v>6.5060606163888641</v>
      </c>
      <c r="G339" s="110">
        <f t="shared" si="121"/>
        <v>0.43283861594458806</v>
      </c>
      <c r="H339" s="414" t="b">
        <f>Wh_hp&gt;='2020'!Maxi_hp</f>
        <v>0</v>
      </c>
      <c r="I339" s="380">
        <f>IF(H339,Wh_hp,'2020'!Maxi_hp)</f>
        <v>14.614708080024094</v>
      </c>
      <c r="J339" s="85">
        <f>IF(H339,An,'2020'!An_max)</f>
        <v>2018</v>
      </c>
      <c r="K339" s="197">
        <f t="shared" si="124"/>
        <v>44521</v>
      </c>
      <c r="L339" s="147">
        <f>IF(t&lt;Tvie,1-EXP((T0-t)*PertePVj)+'2020'!Pspv,1-EXP((T0-t)*PertePVj)+Pspv)</f>
        <v>2.8327515943781134E-2</v>
      </c>
      <c r="M339" s="850"/>
      <c r="N339" s="850"/>
      <c r="O339" s="48">
        <f>IF(t&lt;Tnet,'2020'!Resal+('2020'!Salim-'2020'!Resal)*(1-EXP(('2020'!Tnet-t)/('2020'!Tau_j))),Resal+(Salim-Resal)*(1-EXP((Tnet-t)/(Tau_j))))*Salcycl</f>
        <v>5.1433454317033382E-2</v>
      </c>
      <c r="P339" s="169">
        <f>(INDEX(Models!$BJ339:$BT339,,T339)*(1-R339)+INDEX(Models!$BJ339:$BT339,,T339+1)*R339-ERP_i)*Q339*Ramure*Pc/MaxiM</f>
        <v>4.3021128448239139E-2</v>
      </c>
      <c r="Q339" s="305">
        <f t="shared" si="125"/>
        <v>0.7</v>
      </c>
      <c r="R339" s="177">
        <f t="shared" si="126"/>
        <v>0.49974429353729377</v>
      </c>
      <c r="S339" s="817">
        <f t="shared" si="127"/>
        <v>-1</v>
      </c>
      <c r="T339" s="176">
        <f t="shared" si="128"/>
        <v>5</v>
      </c>
      <c r="U339" s="251">
        <f t="shared" si="129"/>
        <v>-0.50025570646270623</v>
      </c>
      <c r="V339" s="383">
        <f t="shared" si="130"/>
        <v>13.258126647028581</v>
      </c>
      <c r="W339" s="402"/>
      <c r="X339" s="157">
        <f t="shared" si="131"/>
        <v>44521</v>
      </c>
      <c r="Y339" s="385">
        <f t="shared" si="132"/>
        <v>5.5091913251664444</v>
      </c>
      <c r="Z339" s="385">
        <f t="shared" si="133"/>
        <v>5.6698027530516075</v>
      </c>
      <c r="AA339" s="386">
        <f t="shared" si="134"/>
        <v>6.4468110139760615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0.12052598707174379</v>
      </c>
      <c r="AD339" s="231">
        <f>(INDEX(Models!$BJ339:$BT339,,AH339)*(1-AF339)+INDEX(Models!$BJ339:$BT339,,AH339+1)*AF339-ERP_i)*AE339*Ramure*Pc/MaxiM</f>
        <v>4.3021128448239139E-2</v>
      </c>
      <c r="AE339" s="305">
        <f t="shared" si="136"/>
        <v>0.7</v>
      </c>
      <c r="AF339" s="177">
        <f t="shared" si="137"/>
        <v>0.49974429353729377</v>
      </c>
      <c r="AG339" s="817">
        <f t="shared" si="143"/>
        <v>-1</v>
      </c>
      <c r="AH339" s="176">
        <f t="shared" si="138"/>
        <v>5</v>
      </c>
      <c r="AI339" s="225">
        <f t="shared" si="139"/>
        <v>-0.50025570646270623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44522</v>
      </c>
      <c r="B340" s="617">
        <v>8.636000000000001</v>
      </c>
      <c r="C340" s="390"/>
      <c r="D340" s="393">
        <f t="shared" si="122"/>
        <v>8.8879630702880057</v>
      </c>
      <c r="E340" s="385">
        <f t="shared" si="120"/>
        <v>9.3709750581837383</v>
      </c>
      <c r="F340" s="385">
        <f t="shared" si="123"/>
        <v>9.584234309414251</v>
      </c>
      <c r="G340" s="110">
        <f t="shared" si="121"/>
        <v>0.64710806215714922</v>
      </c>
      <c r="H340" s="414" t="b">
        <f>Wh_hp&gt;='2020'!Maxi_hp</f>
        <v>0</v>
      </c>
      <c r="I340" s="380">
        <f>IF(H340,Wh_hp,'2020'!Maxi_hp)</f>
        <v>15.138714921882022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2.8348798064913638E-2</v>
      </c>
      <c r="M340" s="850"/>
      <c r="N340" s="850"/>
      <c r="O340" s="48">
        <f>IF(t&lt;Tnet,'2020'!Resal+('2020'!Salim-'2020'!Resal)*(1-EXP(('2020'!Tnet-t)/('2020'!Tau_j))),Resal+(Salim-Resal)*(1-EXP((Tnet-t)/(Tau_j))))*Salcycl</f>
        <v>5.1543407692021884E-2</v>
      </c>
      <c r="P340" s="169">
        <f>(INDEX(Models!$BJ340:$BT340,,T340)*(1-R340)+INDEX(Models!$BJ340:$BT340,,T340+1)*R340-ERP_i)*Q340*Ramure*Pc/MaxiM</f>
        <v>4.3119693172544694E-2</v>
      </c>
      <c r="Q340" s="305">
        <f t="shared" si="125"/>
        <v>0.7</v>
      </c>
      <c r="R340" s="177">
        <f t="shared" si="126"/>
        <v>0.49975857399987933</v>
      </c>
      <c r="S340" s="817">
        <f t="shared" si="127"/>
        <v>-1</v>
      </c>
      <c r="T340" s="176">
        <f t="shared" si="128"/>
        <v>5</v>
      </c>
      <c r="U340" s="251">
        <f t="shared" si="129"/>
        <v>-0.50024142600012067</v>
      </c>
      <c r="V340" s="383">
        <f t="shared" si="130"/>
        <v>13.060688761013695</v>
      </c>
      <c r="W340" s="402"/>
      <c r="X340" s="157">
        <f t="shared" si="131"/>
        <v>44522</v>
      </c>
      <c r="Y340" s="385">
        <f t="shared" si="132"/>
        <v>8.0080806541734386</v>
      </c>
      <c r="Z340" s="385">
        <f t="shared" si="133"/>
        <v>8.2417236125731037</v>
      </c>
      <c r="AA340" s="386">
        <f t="shared" si="134"/>
        <v>9.3709750581837383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0.12050522369328587</v>
      </c>
      <c r="AD340" s="231">
        <f>(INDEX(Models!$BJ340:$BT340,,AH340)*(1-AF340)+INDEX(Models!$BJ340:$BT340,,AH340+1)*AF340-ERP_i)*AE340*Ramure*Pc/MaxiM</f>
        <v>4.3119693172544694E-2</v>
      </c>
      <c r="AE340" s="305">
        <f t="shared" si="136"/>
        <v>0.7</v>
      </c>
      <c r="AF340" s="177">
        <f t="shared" si="137"/>
        <v>0.49975857399987933</v>
      </c>
      <c r="AG340" s="817">
        <f t="shared" si="143"/>
        <v>-1</v>
      </c>
      <c r="AH340" s="176">
        <f t="shared" si="138"/>
        <v>5</v>
      </c>
      <c r="AI340" s="225">
        <f t="shared" si="139"/>
        <v>-0.50024142600012067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44523</v>
      </c>
      <c r="B341" s="617">
        <v>6.67</v>
      </c>
      <c r="C341" s="390"/>
      <c r="D341" s="393">
        <f t="shared" si="122"/>
        <v>6.8647536070907247</v>
      </c>
      <c r="E341" s="385">
        <f t="shared" si="120"/>
        <v>7.2386586596167737</v>
      </c>
      <c r="F341" s="385">
        <f t="shared" si="123"/>
        <v>7.3374502515401989</v>
      </c>
      <c r="G341" s="110">
        <f t="shared" si="121"/>
        <v>0.5026480816707205</v>
      </c>
      <c r="H341" s="414" t="b">
        <f>Wh_hp&gt;='2020'!Maxi_hp</f>
        <v>0</v>
      </c>
      <c r="I341" s="380">
        <f>IF(H341,Wh_hp,'2020'!Maxi_hp)</f>
        <v>14.559641419504979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2.8370079719913122E-2</v>
      </c>
      <c r="M341" s="850"/>
      <c r="N341" s="850"/>
      <c r="O341" s="48">
        <f>IF(t&lt;Tnet,'2020'!Resal+('2020'!Salim-'2020'!Resal)*(1-EXP(('2020'!Tnet-t)/('2020'!Tau_j))),Resal+(Salim-Resal)*(1-EXP((Tnet-t)/(Tau_j))))*Salcycl</f>
        <v>5.1653914089360431E-2</v>
      </c>
      <c r="P341" s="169">
        <f>(INDEX(Models!$BJ341:$BT341,,T341)*(1-R341)+INDEX(Models!$BJ341:$BT341,,T341+1)*R341-ERP_i)*Q341*Ramure*Pc/MaxiM</f>
        <v>4.3181651205231507E-2</v>
      </c>
      <c r="Q341" s="305">
        <f t="shared" si="125"/>
        <v>0.7</v>
      </c>
      <c r="R341" s="177">
        <f t="shared" si="126"/>
        <v>0.49977228076747537</v>
      </c>
      <c r="S341" s="817">
        <f t="shared" si="127"/>
        <v>-1</v>
      </c>
      <c r="T341" s="176">
        <f t="shared" si="128"/>
        <v>5</v>
      </c>
      <c r="U341" s="251">
        <f t="shared" si="129"/>
        <v>-0.50022771923252463</v>
      </c>
      <c r="V341" s="383">
        <f t="shared" si="130"/>
        <v>12.869994801156173</v>
      </c>
      <c r="W341" s="402"/>
      <c r="X341" s="157">
        <f t="shared" si="131"/>
        <v>44523</v>
      </c>
      <c r="Y341" s="385">
        <f t="shared" si="132"/>
        <v>6.1858805235513836</v>
      </c>
      <c r="Z341" s="385">
        <f t="shared" si="133"/>
        <v>6.3664985962641119</v>
      </c>
      <c r="AA341" s="386">
        <f t="shared" si="134"/>
        <v>7.2386586596167737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0.12048641942716427</v>
      </c>
      <c r="AD341" s="231">
        <f>(INDEX(Models!$BJ341:$BT341,,AH341)*(1-AF341)+INDEX(Models!$BJ341:$BT341,,AH341+1)*AF341-ERP_i)*AE341*Ramure*Pc/MaxiM</f>
        <v>4.3181651205231507E-2</v>
      </c>
      <c r="AE341" s="305">
        <f t="shared" si="136"/>
        <v>0.7</v>
      </c>
      <c r="AF341" s="177">
        <f t="shared" si="137"/>
        <v>0.49977228076747537</v>
      </c>
      <c r="AG341" s="817">
        <f t="shared" si="143"/>
        <v>-1</v>
      </c>
      <c r="AH341" s="176">
        <f t="shared" si="138"/>
        <v>5</v>
      </c>
      <c r="AI341" s="225">
        <f t="shared" si="139"/>
        <v>-0.50022771923252463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44524</v>
      </c>
      <c r="B342" s="617">
        <v>0.83100000000000007</v>
      </c>
      <c r="C342" s="390"/>
      <c r="D342" s="393">
        <f t="shared" si="122"/>
        <v>0.85528263805607174</v>
      </c>
      <c r="E342" s="385">
        <f t="shared" si="120"/>
        <v>0.9019732829425795</v>
      </c>
      <c r="F342" s="385">
        <f t="shared" si="123"/>
        <v>0.9019732829425795</v>
      </c>
      <c r="G342" s="110">
        <f t="shared" si="121"/>
        <v>6.2674899621314159E-2</v>
      </c>
      <c r="H342" s="414" t="b">
        <f>Wh_hp&gt;='2020'!Maxi_hp</f>
        <v>0</v>
      </c>
      <c r="I342" s="380">
        <f>IF(H342,Wh_hp,'2020'!Maxi_hp)</f>
        <v>14.017853674238541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2.8391360908789687E-2</v>
      </c>
      <c r="M342" s="850"/>
      <c r="N342" s="850"/>
      <c r="O342" s="48">
        <f>IF(t&lt;Tnet,'2020'!Resal+('2020'!Salim-'2020'!Resal)*(1-EXP(('2020'!Tnet-t)/('2020'!Tau_j))),Resal+(Salim-Resal)*(1-EXP((Tnet-t)/(Tau_j))))*Salcycl</f>
        <v>5.1764997666211482E-2</v>
      </c>
      <c r="P342" s="169">
        <f>(INDEX(Models!$BJ342:$BT342,,T342)*(1-R342)+INDEX(Models!$BJ342:$BT342,,T342+1)*R342-ERP_i)*Q342*Ramure*Pc/MaxiM</f>
        <v>4.3205308241143367E-2</v>
      </c>
      <c r="Q342" s="305">
        <f t="shared" si="125"/>
        <v>0.7</v>
      </c>
      <c r="R342" s="177">
        <f t="shared" si="126"/>
        <v>0.49978543683803678</v>
      </c>
      <c r="S342" s="817">
        <f t="shared" si="127"/>
        <v>-1</v>
      </c>
      <c r="T342" s="176">
        <f t="shared" si="128"/>
        <v>5</v>
      </c>
      <c r="U342" s="251">
        <f t="shared" si="129"/>
        <v>-0.50021456316196322</v>
      </c>
      <c r="V342" s="383">
        <f t="shared" si="130"/>
        <v>12.686041679454364</v>
      </c>
      <c r="W342" s="402"/>
      <c r="X342" s="157">
        <f t="shared" si="131"/>
        <v>44524</v>
      </c>
      <c r="Y342" s="385">
        <f t="shared" si="132"/>
        <v>0.77078967547990052</v>
      </c>
      <c r="Z342" s="385">
        <f t="shared" si="133"/>
        <v>0.7933129085810261</v>
      </c>
      <c r="AA342" s="386">
        <f t="shared" si="134"/>
        <v>0.9019732829425795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0.12046961524964686</v>
      </c>
      <c r="AD342" s="231">
        <f>(INDEX(Models!$BJ342:$BT342,,AH342)*(1-AF342)+INDEX(Models!$BJ342:$BT342,,AH342+1)*AF342-ERP_i)*AE342*Ramure*Pc/MaxiM</f>
        <v>4.3205308241143367E-2</v>
      </c>
      <c r="AE342" s="305">
        <f t="shared" si="136"/>
        <v>0.7</v>
      </c>
      <c r="AF342" s="177">
        <f t="shared" si="137"/>
        <v>0.49978543683803678</v>
      </c>
      <c r="AG342" s="817">
        <f t="shared" si="143"/>
        <v>-1</v>
      </c>
      <c r="AH342" s="176">
        <f t="shared" si="138"/>
        <v>5</v>
      </c>
      <c r="AI342" s="225">
        <f t="shared" si="139"/>
        <v>-0.50021456316196322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44525</v>
      </c>
      <c r="B343" s="617">
        <v>9.5790000000000006</v>
      </c>
      <c r="C343" s="390"/>
      <c r="D343" s="393">
        <f t="shared" si="122"/>
        <v>9.8591237499072548</v>
      </c>
      <c r="E343" s="385">
        <f t="shared" si="120"/>
        <v>10.398566869680579</v>
      </c>
      <c r="F343" s="385">
        <f t="shared" si="123"/>
        <v>10.70624343011524</v>
      </c>
      <c r="G343" s="110">
        <f t="shared" si="121"/>
        <v>0.75438562119090047</v>
      </c>
      <c r="H343" s="414" t="b">
        <f>Wh_hp&gt;='2020'!Maxi_hp</f>
        <v>0</v>
      </c>
      <c r="I343" s="380">
        <f>IF(H343,Wh_hp,'2020'!Maxi_hp)</f>
        <v>14.256922771094214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2.8412641631553659E-2</v>
      </c>
      <c r="M343" s="850"/>
      <c r="N343" s="850"/>
      <c r="O343" s="48">
        <f>IF(t&lt;Tnet,'2020'!Resal+('2020'!Salim-'2020'!Resal)*(1-EXP(('2020'!Tnet-t)/('2020'!Tau_j))),Resal+(Salim-Resal)*(1-EXP((Tnet-t)/(Tau_j))))*Salcycl</f>
        <v>5.1876679405331784E-2</v>
      </c>
      <c r="P343" s="169">
        <f>(INDEX(Models!$BJ343:$BT343,,T343)*(1-R343)+INDEX(Models!$BJ343:$BT343,,T343+1)*R343-ERP_i)*Q343*Ramure*Pc/MaxiM</f>
        <v>4.3189186442864166E-2</v>
      </c>
      <c r="Q343" s="305">
        <f t="shared" si="125"/>
        <v>0.7</v>
      </c>
      <c r="R343" s="177">
        <f t="shared" si="126"/>
        <v>0.49979806429147877</v>
      </c>
      <c r="S343" s="817">
        <f t="shared" si="127"/>
        <v>-1</v>
      </c>
      <c r="T343" s="176">
        <f t="shared" si="128"/>
        <v>5</v>
      </c>
      <c r="U343" s="251">
        <f t="shared" si="129"/>
        <v>-0.50020193570852123</v>
      </c>
      <c r="V343" s="383">
        <f t="shared" si="130"/>
        <v>12.508823682708584</v>
      </c>
      <c r="W343" s="402"/>
      <c r="X343" s="157">
        <f t="shared" si="131"/>
        <v>44525</v>
      </c>
      <c r="Y343" s="385">
        <f t="shared" si="132"/>
        <v>8.8861468355000781</v>
      </c>
      <c r="Z343" s="385">
        <f t="shared" si="133"/>
        <v>9.14600911483892</v>
      </c>
      <c r="AA343" s="386">
        <f t="shared" si="134"/>
        <v>10.398566869680579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0.12045484445493929</v>
      </c>
      <c r="AD343" s="231">
        <f>(INDEX(Models!$BJ343:$BT343,,AH343)*(1-AF343)+INDEX(Models!$BJ343:$BT343,,AH343+1)*AF343-ERP_i)*AE343*Ramure*Pc/MaxiM</f>
        <v>4.3189186442864166E-2</v>
      </c>
      <c r="AE343" s="305">
        <f t="shared" si="136"/>
        <v>0.7</v>
      </c>
      <c r="AF343" s="177">
        <f t="shared" si="137"/>
        <v>0.49979806429147877</v>
      </c>
      <c r="AG343" s="817">
        <f t="shared" si="143"/>
        <v>-1</v>
      </c>
      <c r="AH343" s="176">
        <f t="shared" si="138"/>
        <v>5</v>
      </c>
      <c r="AI343" s="225">
        <f t="shared" si="139"/>
        <v>-0.50020193570852123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44526</v>
      </c>
      <c r="B344" s="617">
        <v>4.8780000000000001</v>
      </c>
      <c r="C344" s="390"/>
      <c r="D344" s="393">
        <f t="shared" si="122"/>
        <v>5.0207598946643701</v>
      </c>
      <c r="E344" s="385">
        <f t="shared" si="120"/>
        <v>5.2960986456790433</v>
      </c>
      <c r="F344" s="385">
        <f t="shared" si="123"/>
        <v>5.3273990532239139</v>
      </c>
      <c r="G344" s="110">
        <f t="shared" si="121"/>
        <v>0.38053665815494231</v>
      </c>
      <c r="H344" s="414" t="b">
        <f>Wh_hp&gt;='2020'!Maxi_hp</f>
        <v>0</v>
      </c>
      <c r="I344" s="380">
        <f>IF(H344,Wh_hp,'2020'!Maxi_hp)</f>
        <v>13.332457203646875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2.8433921888215141E-2</v>
      </c>
      <c r="M344" s="850"/>
      <c r="N344" s="850"/>
      <c r="O344" s="48">
        <f>IF(t&lt;Tnet,'2020'!Resal+('2020'!Salim-'2020'!Resal)*(1-EXP(('2020'!Tnet-t)/('2020'!Tau_j))),Resal+(Salim-Resal)*(1-EXP((Tnet-t)/(Tau_j))))*Salcycl</f>
        <v>5.1988977063203885E-2</v>
      </c>
      <c r="P344" s="169">
        <f>(INDEX(Models!$BJ344:$BT344,,T344)*(1-R344)+INDEX(Models!$BJ344:$BT344,,T344+1)*R344-ERP_i)*Q344*Ramure*Pc/MaxiM</f>
        <v>4.3131810788792031E-2</v>
      </c>
      <c r="Q344" s="305">
        <f t="shared" si="125"/>
        <v>0.7</v>
      </c>
      <c r="R344" s="177">
        <f t="shared" si="126"/>
        <v>0.49981018432601676</v>
      </c>
      <c r="S344" s="817">
        <f t="shared" si="127"/>
        <v>-1</v>
      </c>
      <c r="T344" s="176">
        <f t="shared" si="128"/>
        <v>5</v>
      </c>
      <c r="U344" s="251">
        <f t="shared" si="129"/>
        <v>-0.50018981567398324</v>
      </c>
      <c r="V344" s="383">
        <f t="shared" si="130"/>
        <v>12.338335531317382</v>
      </c>
      <c r="W344" s="402"/>
      <c r="X344" s="157">
        <f t="shared" si="131"/>
        <v>44526</v>
      </c>
      <c r="Y344" s="385">
        <f t="shared" si="132"/>
        <v>4.5257736178745969</v>
      </c>
      <c r="Z344" s="385">
        <f t="shared" si="133"/>
        <v>4.6582252302080454</v>
      </c>
      <c r="AA344" s="386">
        <f t="shared" si="134"/>
        <v>5.2960986456790433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0.1204421326236859</v>
      </c>
      <c r="AD344" s="231">
        <f>(INDEX(Models!$BJ344:$BT344,,AH344)*(1-AF344)+INDEX(Models!$BJ344:$BT344,,AH344+1)*AF344-ERP_i)*AE344*Ramure*Pc/MaxiM</f>
        <v>4.3131810788792031E-2</v>
      </c>
      <c r="AE344" s="305">
        <f t="shared" si="136"/>
        <v>0.7</v>
      </c>
      <c r="AF344" s="177">
        <f t="shared" si="137"/>
        <v>0.49981018432601676</v>
      </c>
      <c r="AG344" s="817">
        <f t="shared" si="143"/>
        <v>-1</v>
      </c>
      <c r="AH344" s="176">
        <f t="shared" si="138"/>
        <v>5</v>
      </c>
      <c r="AI344" s="225">
        <f t="shared" si="139"/>
        <v>-0.50018981567398324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44527</v>
      </c>
      <c r="B345" s="617">
        <v>6.5049999999999999</v>
      </c>
      <c r="C345" s="390"/>
      <c r="D345" s="393">
        <f t="shared" si="122"/>
        <v>6.6955224414152985</v>
      </c>
      <c r="E345" s="385">
        <f t="shared" si="120"/>
        <v>7.0635466805055982</v>
      </c>
      <c r="F345" s="385">
        <f t="shared" si="123"/>
        <v>7.1668421425825688</v>
      </c>
      <c r="G345" s="110">
        <f t="shared" si="121"/>
        <v>0.5188912566370032</v>
      </c>
      <c r="H345" s="414" t="b">
        <f>Wh_hp&gt;='2020'!Maxi_hp</f>
        <v>0</v>
      </c>
      <c r="I345" s="380">
        <f>IF(H345,Wh_hp,'2020'!Maxi_hp)</f>
        <v>14.406333862137721</v>
      </c>
      <c r="J345" s="85">
        <f>IF(H345,An,'2020'!An_max)</f>
        <v>2018</v>
      </c>
      <c r="K345" s="197">
        <f t="shared" si="124"/>
        <v>44527</v>
      </c>
      <c r="L345" s="147">
        <f>IF(t&lt;Tvie,1-EXP((T0-t)*PertePVj)+'2020'!Pspv,1-EXP((T0-t)*PertePVj)+Pspv)</f>
        <v>2.8455201678784348E-2</v>
      </c>
      <c r="M345" s="850"/>
      <c r="N345" s="850"/>
      <c r="O345" s="48">
        <f>IF(t&lt;Tnet,'2020'!Resal+('2020'!Salim-'2020'!Resal)*(1-EXP(('2020'!Tnet-t)/('2020'!Tau_j))),Resal+(Salim-Resal)*(1-EXP((Tnet-t)/(Tau_j))))*Salcycl</f>
        <v>5.2101905138674159E-2</v>
      </c>
      <c r="P345" s="169">
        <f>(INDEX(Models!$BJ345:$BT345,,T345)*(1-R345)+INDEX(Models!$BJ345:$BT345,,T345+1)*R345-ERP_i)*Q345*Ramure*Pc/MaxiM</f>
        <v>4.3039664708029592E-2</v>
      </c>
      <c r="Q345" s="305">
        <f t="shared" si="125"/>
        <v>0.7</v>
      </c>
      <c r="R345" s="177">
        <f t="shared" si="126"/>
        <v>0.49982181729309172</v>
      </c>
      <c r="S345" s="817">
        <f t="shared" si="127"/>
        <v>-1</v>
      </c>
      <c r="T345" s="176">
        <f t="shared" si="128"/>
        <v>5</v>
      </c>
      <c r="U345" s="251">
        <f t="shared" si="129"/>
        <v>-0.50017818270690828</v>
      </c>
      <c r="V345" s="383">
        <f t="shared" si="130"/>
        <v>12.172223118526666</v>
      </c>
      <c r="W345" s="402"/>
      <c r="X345" s="157">
        <f t="shared" si="131"/>
        <v>44527</v>
      </c>
      <c r="Y345" s="385">
        <f t="shared" si="132"/>
        <v>6.036084615928023</v>
      </c>
      <c r="Z345" s="385">
        <f t="shared" si="133"/>
        <v>6.2128731751310875</v>
      </c>
      <c r="AA345" s="386">
        <f t="shared" si="134"/>
        <v>7.0635466805055982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0.12043149763875008</v>
      </c>
      <c r="AD345" s="231">
        <f>(INDEX(Models!$BJ345:$BT345,,AH345)*(1-AF345)+INDEX(Models!$BJ345:$BT345,,AH345+1)*AF345-ERP_i)*AE345*Ramure*Pc/MaxiM</f>
        <v>4.3039664708029592E-2</v>
      </c>
      <c r="AE345" s="305">
        <f t="shared" si="136"/>
        <v>0.7</v>
      </c>
      <c r="AF345" s="177">
        <f t="shared" si="137"/>
        <v>0.49982181729309172</v>
      </c>
      <c r="AG345" s="817">
        <f t="shared" si="143"/>
        <v>-1</v>
      </c>
      <c r="AH345" s="176">
        <f t="shared" si="138"/>
        <v>5</v>
      </c>
      <c r="AI345" s="225">
        <f t="shared" si="139"/>
        <v>-0.50017818270690828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44528</v>
      </c>
      <c r="B346" s="617">
        <v>3.5510000000000002</v>
      </c>
      <c r="C346" s="390"/>
      <c r="D346" s="393">
        <f t="shared" si="122"/>
        <v>3.6550839280422589</v>
      </c>
      <c r="E346" s="385">
        <f t="shared" si="120"/>
        <v>3.8564503123860328</v>
      </c>
      <c r="F346" s="385">
        <f t="shared" si="123"/>
        <v>3.8564503123860328</v>
      </c>
      <c r="G346" s="110">
        <f t="shared" si="121"/>
        <v>0.28300790077695614</v>
      </c>
      <c r="H346" s="414" t="b">
        <f>Wh_hp&gt;='2020'!Maxi_hp</f>
        <v>0</v>
      </c>
      <c r="I346" s="380">
        <f>IF(H346,Wh_hp,'2020'!Maxi_hp)</f>
        <v>11.673950035161885</v>
      </c>
      <c r="J346" s="85">
        <f>IF(H346,An,'2020'!An_max)</f>
        <v>2018</v>
      </c>
      <c r="K346" s="197">
        <f t="shared" si="124"/>
        <v>44528</v>
      </c>
      <c r="L346" s="147">
        <f>IF(t&lt;Tvie,1-EXP((T0-t)*PertePVj)+'2020'!Pspv,1-EXP((T0-t)*PertePVj)+Pspv)</f>
        <v>2.8476481003271603E-2</v>
      </c>
      <c r="M346" s="850"/>
      <c r="N346" s="850"/>
      <c r="O346" s="48">
        <f>IF(t&lt;Tnet,'2020'!Resal+('2020'!Salim-'2020'!Resal)*(1-EXP(('2020'!Tnet-t)/('2020'!Tau_j))),Resal+(Salim-Resal)*(1-EXP((Tnet-t)/(Tau_j))))*Salcycl</f>
        <v>5.2215474862214874E-2</v>
      </c>
      <c r="P346" s="169">
        <f>(INDEX(Models!$BJ346:$BT346,,T346)*(1-R346)+INDEX(Models!$BJ346:$BT346,,T346+1)*R346-ERP_i)*Q346*Ramure*Pc/MaxiM</f>
        <v>4.2919153091104702E-2</v>
      </c>
      <c r="Q346" s="305">
        <f t="shared" si="125"/>
        <v>0.7</v>
      </c>
      <c r="R346" s="177">
        <f t="shared" si="126"/>
        <v>0.49983298273093468</v>
      </c>
      <c r="S346" s="817">
        <f t="shared" si="127"/>
        <v>-1</v>
      </c>
      <c r="T346" s="176">
        <f t="shared" si="128"/>
        <v>5</v>
      </c>
      <c r="U346" s="251">
        <f t="shared" si="129"/>
        <v>-0.50016701726906532</v>
      </c>
      <c r="V346" s="383">
        <f t="shared" si="130"/>
        <v>12.008831124654657</v>
      </c>
      <c r="W346" s="402"/>
      <c r="X346" s="157">
        <f t="shared" si="131"/>
        <v>44528</v>
      </c>
      <c r="Y346" s="385">
        <f t="shared" si="132"/>
        <v>3.2954516797913427</v>
      </c>
      <c r="Z346" s="385">
        <f t="shared" si="133"/>
        <v>3.3920451902126727</v>
      </c>
      <c r="AA346" s="386">
        <f t="shared" si="134"/>
        <v>3.8564503123860328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0.12042294974780239</v>
      </c>
      <c r="AD346" s="231">
        <f>(INDEX(Models!$BJ346:$BT346,,AH346)*(1-AF346)+INDEX(Models!$BJ346:$BT346,,AH346+1)*AF346-ERP_i)*AE346*Ramure*Pc/MaxiM</f>
        <v>4.2919153091104702E-2</v>
      </c>
      <c r="AE346" s="305">
        <f t="shared" si="136"/>
        <v>0.7</v>
      </c>
      <c r="AF346" s="177">
        <f t="shared" si="137"/>
        <v>0.49983298273093468</v>
      </c>
      <c r="AG346" s="817">
        <f t="shared" si="143"/>
        <v>-1</v>
      </c>
      <c r="AH346" s="176">
        <f t="shared" si="138"/>
        <v>5</v>
      </c>
      <c r="AI346" s="225">
        <f t="shared" si="139"/>
        <v>-0.50016701726906532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44529</v>
      </c>
      <c r="B347" s="617">
        <v>4.8010000000000002</v>
      </c>
      <c r="C347" s="390"/>
      <c r="D347" s="393">
        <f t="shared" si="122"/>
        <v>4.9418311164331241</v>
      </c>
      <c r="E347" s="385">
        <f t="shared" si="120"/>
        <v>5.2147155885520746</v>
      </c>
      <c r="F347" s="385">
        <f t="shared" si="123"/>
        <v>5.2484380337340966</v>
      </c>
      <c r="G347" s="110">
        <f t="shared" si="121"/>
        <v>0.39035427158774155</v>
      </c>
      <c r="H347" s="414" t="b">
        <f>Wh_hp&gt;='2020'!Maxi_hp</f>
        <v>0</v>
      </c>
      <c r="I347" s="380">
        <f>IF(H347,Wh_hp,'2020'!Maxi_hp)</f>
        <v>13.75945482004663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2.8497759861687011E-2</v>
      </c>
      <c r="M347" s="850"/>
      <c r="N347" s="850"/>
      <c r="O347" s="48">
        <f>IF(t&lt;Tnet,'2020'!Resal+('2020'!Salim-'2020'!Resal)*(1-EXP(('2020'!Tnet-t)/('2020'!Tau_j))),Resal+(Salim-Resal)*(1-EXP((Tnet-t)/(Tau_j))))*Salcycl</f>
        <v>5.2329694205762056E-2</v>
      </c>
      <c r="P347" s="169">
        <f>(INDEX(Models!$BJ347:$BT347,,T347)*(1-R347)+INDEX(Models!$BJ347:$BT347,,T347+1)*R347-ERP_i)*Q347*Ramure*Pc/MaxiM</f>
        <v>4.276438317418272E-2</v>
      </c>
      <c r="Q347" s="305">
        <f t="shared" si="125"/>
        <v>0.7</v>
      </c>
      <c r="R347" s="177">
        <f t="shared" si="126"/>
        <v>0.49984369939682183</v>
      </c>
      <c r="S347" s="817">
        <f t="shared" si="127"/>
        <v>-1</v>
      </c>
      <c r="T347" s="176">
        <f t="shared" si="128"/>
        <v>5</v>
      </c>
      <c r="U347" s="251">
        <f t="shared" si="129"/>
        <v>-0.50015630060317817</v>
      </c>
      <c r="V347" s="383">
        <f t="shared" si="130"/>
        <v>11.849255563720586</v>
      </c>
      <c r="W347" s="402"/>
      <c r="X347" s="157">
        <f t="shared" si="131"/>
        <v>44529</v>
      </c>
      <c r="Y347" s="385">
        <f t="shared" si="132"/>
        <v>4.456064939107848</v>
      </c>
      <c r="Z347" s="385">
        <f t="shared" si="133"/>
        <v>4.5867778323119843</v>
      </c>
      <c r="AA347" s="386">
        <f t="shared" si="134"/>
        <v>5.2147155885520746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0.12041649167187739</v>
      </c>
      <c r="AD347" s="231">
        <f>(INDEX(Models!$BJ347:$BT347,,AH347)*(1-AF347)+INDEX(Models!$BJ347:$BT347,,AH347+1)*AF347-ERP_i)*AE347*Ramure*Pc/MaxiM</f>
        <v>4.276438317418272E-2</v>
      </c>
      <c r="AE347" s="305">
        <f t="shared" si="136"/>
        <v>0.7</v>
      </c>
      <c r="AF347" s="177">
        <f t="shared" si="137"/>
        <v>0.49984369939682183</v>
      </c>
      <c r="AG347" s="817">
        <f t="shared" si="143"/>
        <v>-1</v>
      </c>
      <c r="AH347" s="176">
        <f t="shared" si="138"/>
        <v>5</v>
      </c>
      <c r="AI347" s="225">
        <f t="shared" si="139"/>
        <v>-0.50015630060317817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44530</v>
      </c>
      <c r="B348" s="617">
        <v>7.3319999999999999</v>
      </c>
      <c r="C348" s="390"/>
      <c r="D348" s="393">
        <f t="shared" si="122"/>
        <v>7.5472400270436868</v>
      </c>
      <c r="E348" s="385">
        <f t="shared" si="120"/>
        <v>7.9649588525075954</v>
      </c>
      <c r="F348" s="385">
        <f t="shared" si="123"/>
        <v>8.1265458800964527</v>
      </c>
      <c r="G348" s="110">
        <f t="shared" si="121"/>
        <v>0.6124451720939984</v>
      </c>
      <c r="H348" s="414" t="b">
        <f>Wh_hp&gt;='2020'!Maxi_hp</f>
        <v>0</v>
      </c>
      <c r="I348" s="380">
        <f>IF(H348,Wh_hp,'2020'!Maxi_hp)</f>
        <v>12.01500433375004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2.8519038254040785E-2</v>
      </c>
      <c r="M348" s="850"/>
      <c r="N348" s="850"/>
      <c r="O348" s="48">
        <f>IF(t&lt;Tnet,'2020'!Resal+('2020'!Salim-'2020'!Resal)*(1-EXP(('2020'!Tnet-t)/('2020'!Tau_j))),Resal+(Salim-Resal)*(1-EXP((Tnet-t)/(Tau_j))))*Salcycl</f>
        <v>5.2444567912915109E-2</v>
      </c>
      <c r="P348" s="169">
        <f>(INDEX(Models!$BJ348:$BT348,,T348)*(1-R348)+INDEX(Models!$BJ348:$BT348,,T348+1)*R348-ERP_i)*Q348*Ramure*Pc/MaxiM</f>
        <v>4.2570388543417742E-2</v>
      </c>
      <c r="Q348" s="305">
        <f t="shared" si="125"/>
        <v>0.7</v>
      </c>
      <c r="R348" s="177">
        <f t="shared" si="126"/>
        <v>0.49985398529806813</v>
      </c>
      <c r="S348" s="817">
        <f t="shared" si="127"/>
        <v>-1</v>
      </c>
      <c r="T348" s="176">
        <f t="shared" si="128"/>
        <v>5</v>
      </c>
      <c r="U348" s="251">
        <f t="shared" si="129"/>
        <v>-0.50014601470193187</v>
      </c>
      <c r="V348" s="383">
        <f t="shared" si="130"/>
        <v>11.6945778995673</v>
      </c>
      <c r="W348" s="402"/>
      <c r="X348" s="157">
        <f t="shared" si="131"/>
        <v>44530</v>
      </c>
      <c r="Y348" s="385">
        <f t="shared" si="132"/>
        <v>6.8060802849880107</v>
      </c>
      <c r="Z348" s="385">
        <f t="shared" si="133"/>
        <v>7.0058812812512841</v>
      </c>
      <c r="AA348" s="386">
        <f t="shared" si="134"/>
        <v>7.9649588525075945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0.12041211875870086</v>
      </c>
      <c r="AD348" s="231">
        <f>(INDEX(Models!$BJ348:$BT348,,AH348)*(1-AF348)+INDEX(Models!$BJ348:$BT348,,AH348+1)*AF348-ERP_i)*AE348*Ramure*Pc/MaxiM</f>
        <v>4.2570388543417742E-2</v>
      </c>
      <c r="AE348" s="305">
        <f t="shared" si="136"/>
        <v>0.7</v>
      </c>
      <c r="AF348" s="177">
        <f t="shared" si="137"/>
        <v>0.49985398529806813</v>
      </c>
      <c r="AG348" s="817">
        <f t="shared" si="143"/>
        <v>-1</v>
      </c>
      <c r="AH348" s="176">
        <f t="shared" si="138"/>
        <v>5</v>
      </c>
      <c r="AI348" s="225">
        <f t="shared" si="139"/>
        <v>-0.50014601470193187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44531</v>
      </c>
      <c r="B349" s="617">
        <v>2.7480000000000002</v>
      </c>
      <c r="C349" s="390"/>
      <c r="D349" s="393">
        <f t="shared" si="122"/>
        <v>2.8287329322769335</v>
      </c>
      <c r="E349" s="385">
        <f t="shared" si="120"/>
        <v>2.9856594861156291</v>
      </c>
      <c r="F349" s="385">
        <f t="shared" si="123"/>
        <v>2.9856594861156291</v>
      </c>
      <c r="G349" s="110">
        <f t="shared" si="121"/>
        <v>0.2279316653356572</v>
      </c>
      <c r="H349" s="414" t="b">
        <f>Wh_hp&gt;='2020'!Maxi_hp</f>
        <v>0</v>
      </c>
      <c r="I349" s="380">
        <f>IF(H349,Wh_hp,'2020'!Maxi_hp)</f>
        <v>12.606497833534238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2.854031618034325E-2</v>
      </c>
      <c r="M349" s="850"/>
      <c r="N349" s="850"/>
      <c r="O349" s="48">
        <f>IF(t&lt;Tnet,'2020'!Resal+('2020'!Salim-'2020'!Resal)*(1-EXP(('2020'!Tnet-t)/('2020'!Tau_j))),Resal+(Salim-Resal)*(1-EXP((Tnet-t)/(Tau_j))))*Salcycl</f>
        <v>5.2560097549120895E-2</v>
      </c>
      <c r="P349" s="169">
        <f>(INDEX(Models!$BJ349:$BT349,,T349)*(1-R349)+INDEX(Models!$BJ349:$BT349,,T349+1)*R349-ERP_i)*Q349*Ramure*Pc/MaxiM</f>
        <v>4.233205638921278E-2</v>
      </c>
      <c r="Q349" s="305">
        <f t="shared" si="125"/>
        <v>0.7</v>
      </c>
      <c r="R349" s="177">
        <f t="shared" si="126"/>
        <v>0.49986385772180886</v>
      </c>
      <c r="S349" s="817">
        <f t="shared" si="127"/>
        <v>-1</v>
      </c>
      <c r="T349" s="176">
        <f t="shared" si="128"/>
        <v>5</v>
      </c>
      <c r="U349" s="251">
        <f t="shared" si="129"/>
        <v>-0.50013614227819114</v>
      </c>
      <c r="V349" s="383">
        <f t="shared" si="130"/>
        <v>11.545879354529289</v>
      </c>
      <c r="W349" s="402"/>
      <c r="X349" s="157">
        <f t="shared" si="131"/>
        <v>44531</v>
      </c>
      <c r="Y349" s="385">
        <f t="shared" si="132"/>
        <v>2.5512054227848626</v>
      </c>
      <c r="Z349" s="385">
        <f t="shared" si="133"/>
        <v>2.6261567672616586</v>
      </c>
      <c r="AA349" s="386">
        <f t="shared" si="134"/>
        <v>2.9856594861156291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0.12040981917924162</v>
      </c>
      <c r="AD349" s="231">
        <f>(INDEX(Models!$BJ349:$BT349,,AH349)*(1-AF349)+INDEX(Models!$BJ349:$BT349,,AH349+1)*AF349-ERP_i)*AE349*Ramure*Pc/MaxiM</f>
        <v>4.233205638921278E-2</v>
      </c>
      <c r="AE349" s="305">
        <f t="shared" si="136"/>
        <v>0.7</v>
      </c>
      <c r="AF349" s="177">
        <f t="shared" si="137"/>
        <v>0.49986385772180886</v>
      </c>
      <c r="AG349" s="817">
        <f t="shared" si="143"/>
        <v>-1</v>
      </c>
      <c r="AH349" s="176">
        <f t="shared" si="138"/>
        <v>5</v>
      </c>
      <c r="AI349" s="225">
        <f t="shared" si="139"/>
        <v>-0.50013614227819114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44532</v>
      </c>
      <c r="B350" s="617">
        <v>5.3860000000000001</v>
      </c>
      <c r="C350" s="390"/>
      <c r="D350" s="393">
        <f t="shared" si="122"/>
        <v>5.544355632576651</v>
      </c>
      <c r="E350" s="385">
        <f t="shared" si="120"/>
        <v>5.8526515537613184</v>
      </c>
      <c r="F350" s="385">
        <f t="shared" si="123"/>
        <v>5.9138462610467215</v>
      </c>
      <c r="G350" s="110">
        <f t="shared" si="121"/>
        <v>0.45715430064007007</v>
      </c>
      <c r="H350" s="414" t="b">
        <f>Wh_hp&gt;='2020'!Maxi_hp</f>
        <v>1</v>
      </c>
      <c r="I350" s="380">
        <f>IF(H350,Wh_hp,'2020'!Maxi_hp)</f>
        <v>5.9138462610467215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2.8561593640604399E-2</v>
      </c>
      <c r="M350" s="850"/>
      <c r="N350" s="850"/>
      <c r="O350" s="48">
        <f>IF(t&lt;Tnet,'2020'!Resal+('2020'!Salim-'2020'!Resal)*(1-EXP(('2020'!Tnet-t)/('2020'!Tau_j))),Resal+(Salim-Resal)*(1-EXP((Tnet-t)/(Tau_j))))*Salcycl</f>
        <v>5.2676281571305057E-2</v>
      </c>
      <c r="P350" s="169">
        <f>(INDEX(Models!$BJ350:$BT350,,T350)*(1-R350)+INDEX(Models!$BJ350:$BT350,,T350+1)*R350-ERP_i)*Q350*Ramure*Pc/MaxiM</f>
        <v>4.2044179062959139E-2</v>
      </c>
      <c r="Q350" s="305">
        <f t="shared" si="125"/>
        <v>0.7</v>
      </c>
      <c r="R350" s="177">
        <f t="shared" si="126"/>
        <v>0.49987333326361583</v>
      </c>
      <c r="S350" s="817">
        <f t="shared" si="127"/>
        <v>-1</v>
      </c>
      <c r="T350" s="176">
        <f t="shared" si="128"/>
        <v>5</v>
      </c>
      <c r="U350" s="251">
        <f t="shared" si="129"/>
        <v>-0.50012666673638417</v>
      </c>
      <c r="V350" s="383">
        <f t="shared" si="130"/>
        <v>11.404240877438804</v>
      </c>
      <c r="W350" s="402"/>
      <c r="X350" s="157">
        <f t="shared" si="131"/>
        <v>44532</v>
      </c>
      <c r="Y350" s="385">
        <f t="shared" si="132"/>
        <v>5.000903008532255</v>
      </c>
      <c r="Z350" s="385">
        <f t="shared" si="133"/>
        <v>5.1479362724332205</v>
      </c>
      <c r="AA350" s="386">
        <f t="shared" si="134"/>
        <v>5.8526515537613184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0.12040957416561028</v>
      </c>
      <c r="AD350" s="231">
        <f>(INDEX(Models!$BJ350:$BT350,,AH350)*(1-AF350)+INDEX(Models!$BJ350:$BT350,,AH350+1)*AF350-ERP_i)*AE350*Ramure*Pc/MaxiM</f>
        <v>4.2044179062959139E-2</v>
      </c>
      <c r="AE350" s="305">
        <f t="shared" si="136"/>
        <v>0.7</v>
      </c>
      <c r="AF350" s="177">
        <f t="shared" si="137"/>
        <v>0.49987333326361583</v>
      </c>
      <c r="AG350" s="817">
        <f t="shared" si="143"/>
        <v>-1</v>
      </c>
      <c r="AH350" s="176">
        <f t="shared" si="138"/>
        <v>5</v>
      </c>
      <c r="AI350" s="225">
        <f t="shared" si="139"/>
        <v>-0.50012666673638417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44533</v>
      </c>
      <c r="B351" s="617">
        <v>9.0630000000000006</v>
      </c>
      <c r="C351" s="390"/>
      <c r="D351" s="393">
        <f t="shared" si="122"/>
        <v>9.3296687139157175</v>
      </c>
      <c r="E351" s="385">
        <f t="shared" si="120"/>
        <v>9.8496631155882337</v>
      </c>
      <c r="F351" s="385">
        <f t="shared" si="123"/>
        <v>10.154627758831777</v>
      </c>
      <c r="G351" s="110">
        <f t="shared" si="121"/>
        <v>0.7944432123808931</v>
      </c>
      <c r="H351" s="414" t="b">
        <f>Wh_hp&gt;='2020'!Maxi_hp</f>
        <v>1</v>
      </c>
      <c r="I351" s="380">
        <f>IF(H351,Wh_hp,'2020'!Maxi_hp)</f>
        <v>10.154627758831777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2.8582870634834667E-2</v>
      </c>
      <c r="M351" s="850"/>
      <c r="N351" s="850"/>
      <c r="O351" s="48">
        <f>IF(t&lt;Tnet,'2020'!Resal+('2020'!Salim-'2020'!Resal)*(1-EXP(('2020'!Tnet-t)/('2020'!Tau_j))),Resal+(Salim-Resal)*(1-EXP((Tnet-t)/(Tau_j))))*Salcycl</f>
        <v>5.279311541625871E-2</v>
      </c>
      <c r="P351" s="169">
        <f>(INDEX(Models!$BJ351:$BT351,,T351)*(1-R351)+INDEX(Models!$BJ351:$BT351,,T351+1)*R351-ERP_i)*Q351*Ramure*Pc/MaxiM</f>
        <v>4.170152007049422E-2</v>
      </c>
      <c r="Q351" s="305">
        <f t="shared" si="125"/>
        <v>0.7</v>
      </c>
      <c r="R351" s="177">
        <f t="shared" si="126"/>
        <v>0.49988242785498849</v>
      </c>
      <c r="S351" s="817">
        <f t="shared" si="127"/>
        <v>-1</v>
      </c>
      <c r="T351" s="176">
        <f t="shared" si="128"/>
        <v>5</v>
      </c>
      <c r="U351" s="251">
        <f t="shared" si="129"/>
        <v>-0.50011757214501151</v>
      </c>
      <c r="V351" s="383">
        <f t="shared" si="130"/>
        <v>11.270743122398867</v>
      </c>
      <c r="W351" s="402"/>
      <c r="X351" s="157">
        <f t="shared" si="131"/>
        <v>44533</v>
      </c>
      <c r="Y351" s="385">
        <f t="shared" si="132"/>
        <v>8.4160197625021329</v>
      </c>
      <c r="Z351" s="385">
        <f t="shared" si="133"/>
        <v>8.6636518011599399</v>
      </c>
      <c r="AA351" s="386">
        <f t="shared" si="134"/>
        <v>9.8496631155882337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0.12041135828811181</v>
      </c>
      <c r="AD351" s="231">
        <f>(INDEX(Models!$BJ351:$BT351,,AH351)*(1-AF351)+INDEX(Models!$BJ351:$BT351,,AH351+1)*AF351-ERP_i)*AE351*Ramure*Pc/MaxiM</f>
        <v>4.170152007049422E-2</v>
      </c>
      <c r="AE351" s="305">
        <f t="shared" si="136"/>
        <v>0.7</v>
      </c>
      <c r="AF351" s="177">
        <f t="shared" si="137"/>
        <v>0.49988242785498849</v>
      </c>
      <c r="AG351" s="817">
        <f t="shared" si="143"/>
        <v>-1</v>
      </c>
      <c r="AH351" s="176">
        <f t="shared" si="138"/>
        <v>5</v>
      </c>
      <c r="AI351" s="225">
        <f t="shared" si="139"/>
        <v>-0.50011757214501151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44534</v>
      </c>
      <c r="B352" s="617">
        <v>3.2210000000000001</v>
      </c>
      <c r="C352" s="390"/>
      <c r="D352" s="393">
        <f t="shared" si="122"/>
        <v>3.3158469748384123</v>
      </c>
      <c r="E352" s="385">
        <f t="shared" si="120"/>
        <v>3.5010918139866591</v>
      </c>
      <c r="F352" s="385">
        <f t="shared" si="123"/>
        <v>3.5010918139866591</v>
      </c>
      <c r="G352" s="110">
        <f t="shared" si="121"/>
        <v>0.27703633986162524</v>
      </c>
      <c r="H352" s="414" t="b">
        <f>Wh_hp&gt;='2020'!Maxi_hp</f>
        <v>0</v>
      </c>
      <c r="I352" s="380">
        <f>IF(H352,Wh_hp,'2020'!Maxi_hp)</f>
        <v>8.3769867614861973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2.8604147163044047E-2</v>
      </c>
      <c r="M352" s="850"/>
      <c r="N352" s="850"/>
      <c r="O352" s="48">
        <f>IF(t&lt;Tnet,'2020'!Resal+('2020'!Salim-'2020'!Resal)*(1-EXP(('2020'!Tnet-t)/('2020'!Tau_j))),Resal+(Salim-Resal)*(1-EXP((Tnet-t)/(Tau_j))))*Salcycl</f>
        <v>5.291059160693945E-2</v>
      </c>
      <c r="P352" s="169">
        <f>(INDEX(Models!$BJ352:$BT352,,T352)*(1-R352)+INDEX(Models!$BJ352:$BT352,,T352+1)*R352-ERP_i)*Q352*Ramure*Pc/MaxiM</f>
        <v>4.1339859475457819E-2</v>
      </c>
      <c r="Q352" s="305">
        <f t="shared" si="125"/>
        <v>0.7</v>
      </c>
      <c r="R352" s="177">
        <f t="shared" si="126"/>
        <v>0.49989115678976925</v>
      </c>
      <c r="S352" s="817">
        <f t="shared" si="127"/>
        <v>-1</v>
      </c>
      <c r="T352" s="176">
        <f t="shared" si="128"/>
        <v>5</v>
      </c>
      <c r="U352" s="251">
        <f t="shared" si="129"/>
        <v>-0.50010884321023075</v>
      </c>
      <c r="V352" s="383">
        <f t="shared" si="130"/>
        <v>11.145990140397732</v>
      </c>
      <c r="W352" s="402"/>
      <c r="X352" s="157">
        <f t="shared" si="131"/>
        <v>44534</v>
      </c>
      <c r="Y352" s="385">
        <f t="shared" si="132"/>
        <v>2.9914206723219494</v>
      </c>
      <c r="Z352" s="385">
        <f t="shared" si="133"/>
        <v>3.0795073538614797</v>
      </c>
      <c r="AA352" s="386">
        <f t="shared" si="134"/>
        <v>3.5010918139866591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0.12041513976896413</v>
      </c>
      <c r="AD352" s="231">
        <f>(INDEX(Models!$BJ352:$BT352,,AH352)*(1-AF352)+INDEX(Models!$BJ352:$BT352,,AH352+1)*AF352-ERP_i)*AE352*Ramure*Pc/MaxiM</f>
        <v>4.1339859475457819E-2</v>
      </c>
      <c r="AE352" s="305">
        <f t="shared" si="136"/>
        <v>0.7</v>
      </c>
      <c r="AF352" s="177">
        <f t="shared" si="137"/>
        <v>0.49989115678976925</v>
      </c>
      <c r="AG352" s="817">
        <f t="shared" si="143"/>
        <v>-1</v>
      </c>
      <c r="AH352" s="176">
        <f t="shared" si="138"/>
        <v>5</v>
      </c>
      <c r="AI352" s="225">
        <f t="shared" si="139"/>
        <v>-0.50010884321023075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44535</v>
      </c>
      <c r="B353" s="617">
        <v>3.9370000000000003</v>
      </c>
      <c r="C353" s="390"/>
      <c r="D353" s="393">
        <f t="shared" si="122"/>
        <v>4.0530193955373761</v>
      </c>
      <c r="E353" s="385">
        <f t="shared" si="120"/>
        <v>4.279981235973465</v>
      </c>
      <c r="F353" s="385">
        <f t="shared" si="123"/>
        <v>4.2942898822889113</v>
      </c>
      <c r="G353" s="110">
        <f t="shared" si="121"/>
        <v>0.34342851199647528</v>
      </c>
      <c r="H353" s="414" t="b">
        <f>Wh_hp&gt;='2020'!Maxi_hp</f>
        <v>0</v>
      </c>
      <c r="I353" s="380">
        <f>IF(H353,Wh_hp,'2020'!Maxi_hp)</f>
        <v>10.884661828669035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2.8625423225242974E-2</v>
      </c>
      <c r="M353" s="850"/>
      <c r="N353" s="850"/>
      <c r="O353" s="48">
        <f>IF(t&lt;Tnet,'2020'!Resal+('2020'!Salim-'2020'!Resal)*(1-EXP(('2020'!Tnet-t)/('2020'!Tau_j))),Resal+(Salim-Resal)*(1-EXP((Tnet-t)/(Tau_j))))*Salcycl</f>
        <v>5.3028699875705812E-2</v>
      </c>
      <c r="P353" s="169">
        <f>(INDEX(Models!$BJ353:$BT353,,T353)*(1-R353)+INDEX(Models!$BJ353:$BT353,,T353+1)*R353-ERP_i)*Q353*Ramure*Pc/MaxiM</f>
        <v>4.0983104317192313E-2</v>
      </c>
      <c r="Q353" s="305">
        <f t="shared" si="125"/>
        <v>0.7</v>
      </c>
      <c r="R353" s="177">
        <f t="shared" si="126"/>
        <v>0.49989953474951809</v>
      </c>
      <c r="S353" s="817">
        <f t="shared" si="127"/>
        <v>-1</v>
      </c>
      <c r="T353" s="176">
        <f t="shared" si="128"/>
        <v>5</v>
      </c>
      <c r="U353" s="251">
        <f t="shared" si="129"/>
        <v>-0.50010046525048191</v>
      </c>
      <c r="V353" s="383">
        <f t="shared" si="130"/>
        <v>11.030744310736198</v>
      </c>
      <c r="W353" s="402"/>
      <c r="X353" s="157">
        <f t="shared" si="131"/>
        <v>44535</v>
      </c>
      <c r="Y353" s="385">
        <f t="shared" si="132"/>
        <v>3.6568193689904511</v>
      </c>
      <c r="Z353" s="385">
        <f t="shared" si="133"/>
        <v>3.7645821256019931</v>
      </c>
      <c r="AA353" s="386">
        <f t="shared" si="134"/>
        <v>4.279981235973465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0.12042088082992414</v>
      </c>
      <c r="AD353" s="231">
        <f>(INDEX(Models!$BJ353:$BT353,,AH353)*(1-AF353)+INDEX(Models!$BJ353:$BT353,,AH353+1)*AF353-ERP_i)*AE353*Ramure*Pc/MaxiM</f>
        <v>4.0983104317192313E-2</v>
      </c>
      <c r="AE353" s="305">
        <f t="shared" si="136"/>
        <v>0.7</v>
      </c>
      <c r="AF353" s="177">
        <f t="shared" si="137"/>
        <v>0.49989953474951809</v>
      </c>
      <c r="AG353" s="817">
        <f t="shared" si="143"/>
        <v>-1</v>
      </c>
      <c r="AH353" s="176">
        <f t="shared" si="138"/>
        <v>5</v>
      </c>
      <c r="AI353" s="225">
        <f t="shared" si="139"/>
        <v>-0.50010046525048191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44536</v>
      </c>
      <c r="B354" s="617">
        <v>6.7770000000000001</v>
      </c>
      <c r="C354" s="390"/>
      <c r="D354" s="393">
        <f t="shared" si="122"/>
        <v>6.9768641253160482</v>
      </c>
      <c r="E354" s="385">
        <f t="shared" si="120"/>
        <v>7.3684798737421149</v>
      </c>
      <c r="F354" s="385">
        <f t="shared" si="123"/>
        <v>7.5080383397199864</v>
      </c>
      <c r="G354" s="110">
        <f t="shared" si="121"/>
        <v>0.60632896926647983</v>
      </c>
      <c r="H354" s="414" t="b">
        <f>Wh_hp&gt;='2020'!Maxi_hp</f>
        <v>0</v>
      </c>
      <c r="I354" s="380">
        <f>IF(H354,Wh_hp,'2020'!Maxi_hp)</f>
        <v>11.896832592856089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2.8646698821441441E-2</v>
      </c>
      <c r="M354" s="850"/>
      <c r="N354" s="850"/>
      <c r="O354" s="48">
        <f>IF(t&lt;Tnet,'2020'!Resal+('2020'!Salim-'2020'!Resal)*(1-EXP(('2020'!Tnet-t)/('2020'!Tau_j))),Resal+(Salim-Resal)*(1-EXP((Tnet-t)/(Tau_j))))*Salcycl</f>
        <v>5.3147427303371735E-2</v>
      </c>
      <c r="P354" s="169">
        <f>(INDEX(Models!$BJ354:$BT354,,T354)*(1-R354)+INDEX(Models!$BJ354:$BT354,,T354+1)*R354-ERP_i)*Q354*Ramure*Pc/MaxiM</f>
        <v>4.0628145697422458E-2</v>
      </c>
      <c r="Q354" s="305">
        <f t="shared" si="125"/>
        <v>0.7</v>
      </c>
      <c r="R354" s="177">
        <f t="shared" si="126"/>
        <v>0.49990757582788992</v>
      </c>
      <c r="S354" s="817">
        <f t="shared" si="127"/>
        <v>-1</v>
      </c>
      <c r="T354" s="176">
        <f t="shared" si="128"/>
        <v>5</v>
      </c>
      <c r="U354" s="251">
        <f t="shared" si="129"/>
        <v>-0.50009242417211008</v>
      </c>
      <c r="V354" s="383">
        <f t="shared" si="130"/>
        <v>10.926088660982552</v>
      </c>
      <c r="W354" s="402"/>
      <c r="X354" s="157">
        <f t="shared" si="131"/>
        <v>44536</v>
      </c>
      <c r="Y354" s="385">
        <f t="shared" si="132"/>
        <v>6.2954423628143221</v>
      </c>
      <c r="Z354" s="385">
        <f t="shared" si="133"/>
        <v>6.4811046147431224</v>
      </c>
      <c r="AA354" s="386">
        <f t="shared" si="134"/>
        <v>7.3684798737421149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0.12042853807081583</v>
      </c>
      <c r="AD354" s="231">
        <f>(INDEX(Models!$BJ354:$BT354,,AH354)*(1-AF354)+INDEX(Models!$BJ354:$BT354,,AH354+1)*AF354-ERP_i)*AE354*Ramure*Pc/MaxiM</f>
        <v>4.0628145697422458E-2</v>
      </c>
      <c r="AE354" s="305">
        <f t="shared" si="136"/>
        <v>0.7</v>
      </c>
      <c r="AF354" s="177">
        <f t="shared" si="137"/>
        <v>0.49990757582788992</v>
      </c>
      <c r="AG354" s="817">
        <f t="shared" si="143"/>
        <v>-1</v>
      </c>
      <c r="AH354" s="176">
        <f t="shared" si="138"/>
        <v>5</v>
      </c>
      <c r="AI354" s="225">
        <f t="shared" si="139"/>
        <v>-0.50009242417211008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44537</v>
      </c>
      <c r="B355" s="617">
        <v>3.4079999999999999</v>
      </c>
      <c r="C355" s="390"/>
      <c r="D355" s="393">
        <f t="shared" si="122"/>
        <v>3.5085839945633164</v>
      </c>
      <c r="E355" s="385">
        <f t="shared" si="120"/>
        <v>3.705990072666828</v>
      </c>
      <c r="F355" s="385">
        <f t="shared" si="123"/>
        <v>3.7091036873383931</v>
      </c>
      <c r="G355" s="110">
        <f t="shared" si="121"/>
        <v>0.30217571394555209</v>
      </c>
      <c r="H355" s="414" t="b">
        <f>Wh_hp&gt;='2020'!Maxi_hp</f>
        <v>0</v>
      </c>
      <c r="I355" s="380">
        <f>IF(H355,Wh_hp,'2020'!Maxi_hp)</f>
        <v>11.718067390953806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2.8667973951649772E-2</v>
      </c>
      <c r="M355" s="850"/>
      <c r="N355" s="850"/>
      <c r="O355" s="48">
        <f>IF(t&lt;Tnet,'2020'!Resal+('2020'!Salim-'2020'!Resal)*(1-EXP(('2020'!Tnet-t)/('2020'!Tau_j))),Resal+(Salim-Resal)*(1-EXP((Tnet-t)/(Tau_j))))*Salcycl</f>
        <v>5.3266758472846648E-2</v>
      </c>
      <c r="P355" s="169">
        <f>(INDEX(Models!$BJ355:$BT355,,T355)*(1-R355)+INDEX(Models!$BJ355:$BT355,,T355+1)*R355-ERP_i)*Q355*Ramure*Pc/MaxiM</f>
        <v>4.0271882710208096E-2</v>
      </c>
      <c r="Q355" s="305">
        <f t="shared" si="125"/>
        <v>0.7</v>
      </c>
      <c r="R355" s="177">
        <f t="shared" si="126"/>
        <v>0.49991529355405218</v>
      </c>
      <c r="S355" s="817">
        <f t="shared" si="127"/>
        <v>-1</v>
      </c>
      <c r="T355" s="176">
        <f t="shared" si="128"/>
        <v>5</v>
      </c>
      <c r="U355" s="251">
        <f t="shared" si="129"/>
        <v>-0.50008470644594782</v>
      </c>
      <c r="V355" s="383">
        <f t="shared" si="130"/>
        <v>10.833105441856699</v>
      </c>
      <c r="W355" s="402"/>
      <c r="X355" s="157">
        <f t="shared" si="131"/>
        <v>44537</v>
      </c>
      <c r="Y355" s="385">
        <f t="shared" si="132"/>
        <v>3.1662003088475235</v>
      </c>
      <c r="Z355" s="385">
        <f t="shared" si="133"/>
        <v>3.259647807278125</v>
      </c>
      <c r="AA355" s="386">
        <f t="shared" si="134"/>
        <v>3.705990072666828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0.12043806287573659</v>
      </c>
      <c r="AD355" s="231">
        <f>(INDEX(Models!$BJ355:$BT355,,AH355)*(1-AF355)+INDEX(Models!$BJ355:$BT355,,AH355+1)*AF355-ERP_i)*AE355*Ramure*Pc/MaxiM</f>
        <v>4.0271882710208096E-2</v>
      </c>
      <c r="AE355" s="305">
        <f t="shared" si="136"/>
        <v>0.7</v>
      </c>
      <c r="AF355" s="177">
        <f t="shared" si="137"/>
        <v>0.49991529355405218</v>
      </c>
      <c r="AG355" s="817">
        <f t="shared" si="143"/>
        <v>-1</v>
      </c>
      <c r="AH355" s="176">
        <f t="shared" si="138"/>
        <v>5</v>
      </c>
      <c r="AI355" s="225">
        <f t="shared" si="139"/>
        <v>-0.50008470644594782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44538</v>
      </c>
      <c r="B356" s="617">
        <v>6.2770000000000001</v>
      </c>
      <c r="C356" s="390"/>
      <c r="D356" s="393">
        <f t="shared" si="122"/>
        <v>6.4624014416140758</v>
      </c>
      <c r="E356" s="385">
        <f t="shared" si="120"/>
        <v>6.8268650728702518</v>
      </c>
      <c r="F356" s="385">
        <f t="shared" si="123"/>
        <v>6.9391287852169619</v>
      </c>
      <c r="G356" s="110">
        <f t="shared" si="121"/>
        <v>0.56966887707235547</v>
      </c>
      <c r="H356" s="414" t="b">
        <f>Wh_hp&gt;='2020'!Maxi_hp</f>
        <v>0</v>
      </c>
      <c r="I356" s="380">
        <f>IF(H356,Wh_hp,'2020'!Maxi_hp)</f>
        <v>10.360105711351219</v>
      </c>
      <c r="J356" s="85">
        <f>IF(H356,An,'2020'!An_max)</f>
        <v>2018</v>
      </c>
      <c r="K356" s="197">
        <f t="shared" si="124"/>
        <v>44538</v>
      </c>
      <c r="L356" s="147">
        <f>IF(t&lt;Tvie,1-EXP((T0-t)*PertePVj)+'2020'!Pspv,1-EXP((T0-t)*PertePVj)+Pspv)</f>
        <v>2.8689248615878182E-2</v>
      </c>
      <c r="M356" s="850"/>
      <c r="N356" s="850"/>
      <c r="O356" s="48">
        <f>IF(t&lt;Tnet,'2020'!Resal+('2020'!Salim-'2020'!Resal)*(1-EXP(('2020'!Tnet-t)/('2020'!Tau_j))),Resal+(Salim-Resal)*(1-EXP((Tnet-t)/(Tau_j))))*Salcycl</f>
        <v>5.3386675636016727E-2</v>
      </c>
      <c r="P356" s="169">
        <f>(INDEX(Models!$BJ356:$BT356,,T356)*(1-R356)+INDEX(Models!$BJ356:$BT356,,T356+1)*R356-ERP_i)*Q356*Ramure*Pc/MaxiM</f>
        <v>3.9911256502961241E-2</v>
      </c>
      <c r="Q356" s="305">
        <f t="shared" si="125"/>
        <v>0.7</v>
      </c>
      <c r="R356" s="177">
        <f t="shared" si="126"/>
        <v>0.49992270091517987</v>
      </c>
      <c r="S356" s="817">
        <f t="shared" si="127"/>
        <v>-1</v>
      </c>
      <c r="T356" s="176">
        <f t="shared" si="128"/>
        <v>5</v>
      </c>
      <c r="U356" s="251">
        <f t="shared" si="129"/>
        <v>-0.50007729908482013</v>
      </c>
      <c r="V356" s="383">
        <f t="shared" si="130"/>
        <v>10.752876099518815</v>
      </c>
      <c r="W356" s="402"/>
      <c r="X356" s="157">
        <f t="shared" si="131"/>
        <v>44538</v>
      </c>
      <c r="Y356" s="385">
        <f t="shared" si="132"/>
        <v>5.8323065633347326</v>
      </c>
      <c r="Z356" s="385">
        <f t="shared" si="133"/>
        <v>6.004573258376551</v>
      </c>
      <c r="AA356" s="386">
        <f t="shared" si="134"/>
        <v>6.8268650728702518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0.12044940184352886</v>
      </c>
      <c r="AD356" s="231">
        <f>(INDEX(Models!$BJ356:$BT356,,AH356)*(1-AF356)+INDEX(Models!$BJ356:$BT356,,AH356+1)*AF356-ERP_i)*AE356*Ramure*Pc/MaxiM</f>
        <v>3.9911256502961241E-2</v>
      </c>
      <c r="AE356" s="305">
        <f t="shared" si="136"/>
        <v>0.7</v>
      </c>
      <c r="AF356" s="177">
        <f t="shared" si="137"/>
        <v>0.49992270091517987</v>
      </c>
      <c r="AG356" s="817">
        <f t="shared" si="143"/>
        <v>-1</v>
      </c>
      <c r="AH356" s="176">
        <f t="shared" si="138"/>
        <v>5</v>
      </c>
      <c r="AI356" s="225">
        <f t="shared" si="139"/>
        <v>-0.50007729908482013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44539</v>
      </c>
      <c r="B357" s="617">
        <v>5.0890000000000004</v>
      </c>
      <c r="C357" s="390"/>
      <c r="D357" s="393">
        <f t="shared" si="122"/>
        <v>5.2394266792063515</v>
      </c>
      <c r="E357" s="385">
        <f t="shared" si="120"/>
        <v>5.5356220899412509</v>
      </c>
      <c r="F357" s="385">
        <f t="shared" si="123"/>
        <v>5.5912783873727046</v>
      </c>
      <c r="G357" s="110">
        <f t="shared" si="121"/>
        <v>0.46197683522976324</v>
      </c>
      <c r="H357" s="414" t="b">
        <f>Wh_hp&gt;='2020'!Maxi_hp</f>
        <v>0</v>
      </c>
      <c r="I357" s="380">
        <f>IF(H357,Wh_hp,'2020'!Maxi_hp)</f>
        <v>6.3586080107423522</v>
      </c>
      <c r="J357" s="85">
        <f>IF(H357,An,'2020'!An_max)</f>
        <v>2019</v>
      </c>
      <c r="K357" s="197">
        <f t="shared" si="124"/>
        <v>44539</v>
      </c>
      <c r="L357" s="147">
        <f>IF(t&lt;Tvie,1-EXP((T0-t)*PertePVj)+'2020'!Pspv,1-EXP((T0-t)*PertePVj)+Pspv)</f>
        <v>2.8710522814136885E-2</v>
      </c>
      <c r="M357" s="850"/>
      <c r="N357" s="850"/>
      <c r="O357" s="48">
        <f>IF(t&lt;Tnet,'2020'!Resal+('2020'!Salim-'2020'!Resal)*(1-EXP(('2020'!Tnet-t)/('2020'!Tau_j))),Resal+(Salim-Resal)*(1-EXP((Tnet-t)/(Tau_j))))*Salcycl</f>
        <v>5.3507158892424238E-2</v>
      </c>
      <c r="P357" s="169">
        <f>(INDEX(Models!$BJ357:$BT357,,T357)*(1-R357)+INDEX(Models!$BJ357:$BT357,,T357+1)*R357-ERP_i)*Q357*Ramure*Pc/MaxiM</f>
        <v>3.9543291344961574E-2</v>
      </c>
      <c r="Q357" s="305">
        <f t="shared" si="125"/>
        <v>0.7</v>
      </c>
      <c r="R357" s="177">
        <f t="shared" si="126"/>
        <v>0.49992981037806183</v>
      </c>
      <c r="S357" s="817">
        <f t="shared" si="127"/>
        <v>-1</v>
      </c>
      <c r="T357" s="176">
        <f t="shared" si="128"/>
        <v>5</v>
      </c>
      <c r="U357" s="251">
        <f t="shared" si="129"/>
        <v>-0.50007018962193817</v>
      </c>
      <c r="V357" s="383">
        <f t="shared" si="130"/>
        <v>10.686481254120819</v>
      </c>
      <c r="W357" s="402"/>
      <c r="X357" s="157">
        <f t="shared" si="131"/>
        <v>44539</v>
      </c>
      <c r="Y357" s="385">
        <f t="shared" si="132"/>
        <v>4.729001802394281</v>
      </c>
      <c r="Z357" s="385">
        <f t="shared" si="133"/>
        <v>4.8687872292158616</v>
      </c>
      <c r="AA357" s="386">
        <f t="shared" si="134"/>
        <v>5.5356220899412509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0.12046249723894466</v>
      </c>
      <c r="AD357" s="231">
        <f>(INDEX(Models!$BJ357:$BT357,,AH357)*(1-AF357)+INDEX(Models!$BJ357:$BT357,,AH357+1)*AF357-ERP_i)*AE357*Ramure*Pc/MaxiM</f>
        <v>3.9543291344961574E-2</v>
      </c>
      <c r="AE357" s="305">
        <f t="shared" si="136"/>
        <v>0.7</v>
      </c>
      <c r="AF357" s="177">
        <f t="shared" si="137"/>
        <v>0.49992981037806183</v>
      </c>
      <c r="AG357" s="817">
        <f t="shared" si="143"/>
        <v>-1</v>
      </c>
      <c r="AH357" s="176">
        <f t="shared" si="138"/>
        <v>5</v>
      </c>
      <c r="AI357" s="225">
        <f t="shared" si="139"/>
        <v>-0.50007018962193817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44540</v>
      </c>
      <c r="B358" s="617">
        <v>1.4159999999999999</v>
      </c>
      <c r="C358" s="390"/>
      <c r="D358" s="393">
        <f t="shared" si="122"/>
        <v>1.4578877337537575</v>
      </c>
      <c r="E358" s="385">
        <f t="shared" si="120"/>
        <v>1.5405020656462658</v>
      </c>
      <c r="F358" s="385">
        <f t="shared" si="123"/>
        <v>1.5405020656462658</v>
      </c>
      <c r="G358" s="110">
        <f t="shared" si="121"/>
        <v>0.12793061327651403</v>
      </c>
      <c r="H358" s="414" t="b">
        <f>Wh_hp&gt;='2020'!Maxi_hp</f>
        <v>0</v>
      </c>
      <c r="I358" s="380">
        <f>IF(H358,Wh_hp,'2020'!Maxi_hp)</f>
        <v>11.203024909325297</v>
      </c>
      <c r="J358" s="85">
        <f>IF(H358,An,'2020'!An_max)</f>
        <v>2019</v>
      </c>
      <c r="K358" s="197">
        <f t="shared" si="124"/>
        <v>44540</v>
      </c>
      <c r="L358" s="147">
        <f>IF(t&lt;Tvie,1-EXP((T0-t)*PertePVj)+'2020'!Pspv,1-EXP((T0-t)*PertePVj)+Pspv)</f>
        <v>2.8731796546435984E-2</v>
      </c>
      <c r="M358" s="850"/>
      <c r="N358" s="850"/>
      <c r="O358" s="48">
        <f>IF(t&lt;Tnet,'2020'!Resal+('2020'!Salim-'2020'!Resal)*(1-EXP(('2020'!Tnet-t)/('2020'!Tau_j))),Resal+(Salim-Resal)*(1-EXP((Tnet-t)/(Tau_j))))*Salcycl</f>
        <v>5.3628186378218479E-2</v>
      </c>
      <c r="P358" s="169">
        <f>(INDEX(Models!$BJ358:$BT358,,T358)*(1-R358)+INDEX(Models!$BJ358:$BT358,,T358+1)*R358-ERP_i)*Q358*Ramure*Pc/MaxiM</f>
        <v>3.9165141958839744E-2</v>
      </c>
      <c r="Q358" s="305">
        <f t="shared" si="125"/>
        <v>0.7</v>
      </c>
      <c r="R358" s="177">
        <f t="shared" si="126"/>
        <v>0.49993663390985543</v>
      </c>
      <c r="S358" s="817">
        <f t="shared" si="127"/>
        <v>-1</v>
      </c>
      <c r="T358" s="176">
        <f t="shared" si="128"/>
        <v>5</v>
      </c>
      <c r="U358" s="251">
        <f t="shared" si="129"/>
        <v>-0.50006336609014457</v>
      </c>
      <c r="V358" s="383">
        <f t="shared" si="130"/>
        <v>10.635000678418978</v>
      </c>
      <c r="W358" s="402"/>
      <c r="X358" s="157">
        <f t="shared" si="131"/>
        <v>44540</v>
      </c>
      <c r="Y358" s="385">
        <f t="shared" si="132"/>
        <v>1.3159776559588305</v>
      </c>
      <c r="Z358" s="385">
        <f t="shared" si="133"/>
        <v>1.3549065554494362</v>
      </c>
      <c r="AA358" s="386">
        <f t="shared" si="134"/>
        <v>1.5405020656462658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0.12047728746080531</v>
      </c>
      <c r="AD358" s="231">
        <f>(INDEX(Models!$BJ358:$BT358,,AH358)*(1-AF358)+INDEX(Models!$BJ358:$BT358,,AH358+1)*AF358-ERP_i)*AE358*Ramure*Pc/MaxiM</f>
        <v>3.9165141958839744E-2</v>
      </c>
      <c r="AE358" s="305">
        <f t="shared" si="136"/>
        <v>0.7</v>
      </c>
      <c r="AF358" s="177">
        <f t="shared" si="137"/>
        <v>0.49993663390985543</v>
      </c>
      <c r="AG358" s="817">
        <f t="shared" si="143"/>
        <v>-1</v>
      </c>
      <c r="AH358" s="176">
        <f t="shared" si="138"/>
        <v>5</v>
      </c>
      <c r="AI358" s="225">
        <f t="shared" si="139"/>
        <v>-0.50006336609014457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44541</v>
      </c>
      <c r="B359" s="617">
        <v>9.343</v>
      </c>
      <c r="C359" s="390"/>
      <c r="D359" s="393">
        <f t="shared" si="122"/>
        <v>9.6195928240402004</v>
      </c>
      <c r="E359" s="385">
        <f t="shared" si="120"/>
        <v>10.166013341712491</v>
      </c>
      <c r="F359" s="385">
        <f t="shared" si="123"/>
        <v>10.504365744752464</v>
      </c>
      <c r="G359" s="110">
        <f t="shared" si="121"/>
        <v>0.87550785007827903</v>
      </c>
      <c r="H359" s="414" t="b">
        <f>Wh_hp&gt;='2020'!Maxi_hp</f>
        <v>1</v>
      </c>
      <c r="I359" s="380">
        <f>IF(H359,Wh_hp,'2020'!Maxi_hp)</f>
        <v>10.504365744752464</v>
      </c>
      <c r="J359" s="85">
        <f>IF(H359,An,'2020'!An_max)</f>
        <v>2021</v>
      </c>
      <c r="K359" s="197">
        <f t="shared" si="124"/>
        <v>44541</v>
      </c>
      <c r="L359" s="147">
        <f>IF(t&lt;Tvie,1-EXP((T0-t)*PertePVj)+'2020'!Pspv,1-EXP((T0-t)*PertePVj)+Pspv)</f>
        <v>2.8753069812785692E-2</v>
      </c>
      <c r="M359" s="850"/>
      <c r="N359" s="850"/>
      <c r="O359" s="48">
        <f>IF(t&lt;Tnet,'2020'!Resal+('2020'!Salim-'2020'!Resal)*(1-EXP(('2020'!Tnet-t)/('2020'!Tau_j))),Resal+(Salim-Resal)*(1-EXP((Tnet-t)/(Tau_j))))*Salcycl</f>
        <v>5.3749734463779932E-2</v>
      </c>
      <c r="P359" s="169">
        <f>(INDEX(Models!$BJ359:$BT359,,T359)*(1-R359)+INDEX(Models!$BJ359:$BT359,,T359+1)*R359-ERP_i)*Q359*Ramure*Pc/MaxiM</f>
        <v>3.877548649336373E-2</v>
      </c>
      <c r="Q359" s="305">
        <f t="shared" si="125"/>
        <v>0.7</v>
      </c>
      <c r="R359" s="177">
        <f t="shared" si="126"/>
        <v>0.49994318299802054</v>
      </c>
      <c r="S359" s="817">
        <f t="shared" si="127"/>
        <v>-1</v>
      </c>
      <c r="T359" s="176">
        <f t="shared" si="128"/>
        <v>5</v>
      </c>
      <c r="U359" s="251">
        <f t="shared" si="129"/>
        <v>-0.50005681700197946</v>
      </c>
      <c r="V359" s="383">
        <f t="shared" si="130"/>
        <v>10.599132019851467</v>
      </c>
      <c r="W359" s="402"/>
      <c r="X359" s="157">
        <f t="shared" si="131"/>
        <v>44541</v>
      </c>
      <c r="Y359" s="385">
        <f t="shared" si="132"/>
        <v>8.683989415794434</v>
      </c>
      <c r="Z359" s="385">
        <f t="shared" si="133"/>
        <v>8.9410727034375661</v>
      </c>
      <c r="AA359" s="386">
        <f t="shared" si="134"/>
        <v>10.166013341712491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0.12049370752336443</v>
      </c>
      <c r="AD359" s="231">
        <f>(INDEX(Models!$BJ359:$BT359,,AH359)*(1-AF359)+INDEX(Models!$BJ359:$BT359,,AH359+1)*AF359-ERP_i)*AE359*Ramure*Pc/MaxiM</f>
        <v>3.877548649336373E-2</v>
      </c>
      <c r="AE359" s="305">
        <f t="shared" si="136"/>
        <v>0.7</v>
      </c>
      <c r="AF359" s="177">
        <f t="shared" si="137"/>
        <v>0.49994318299802054</v>
      </c>
      <c r="AG359" s="817">
        <f t="shared" si="143"/>
        <v>-1</v>
      </c>
      <c r="AH359" s="176">
        <f t="shared" si="138"/>
        <v>5</v>
      </c>
      <c r="AI359" s="225">
        <f t="shared" si="139"/>
        <v>-0.50005681700197946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44542</v>
      </c>
      <c r="B360" s="617">
        <v>9.5250000000000004</v>
      </c>
      <c r="C360" s="390"/>
      <c r="D360" s="393">
        <f t="shared" si="122"/>
        <v>9.8071956064547638</v>
      </c>
      <c r="E360" s="385">
        <f t="shared" si="120"/>
        <v>10.365609415277731</v>
      </c>
      <c r="F360" s="385">
        <f t="shared" si="123"/>
        <v>10.718459481317785</v>
      </c>
      <c r="G360" s="110">
        <f t="shared" si="121"/>
        <v>0.89535994563050347</v>
      </c>
      <c r="H360" s="414" t="b">
        <f>Wh_hp&gt;='2020'!Maxi_hp</f>
        <v>1</v>
      </c>
      <c r="I360" s="380">
        <f>IF(H360,Wh_hp,'2020'!Maxi_hp)</f>
        <v>10.718459481317785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2.8774342613196335E-2</v>
      </c>
      <c r="M360" s="850"/>
      <c r="N360" s="850"/>
      <c r="O360" s="48">
        <f>IF(t&lt;Tnet,'2020'!Resal+('2020'!Salim-'2020'!Resal)*(1-EXP(('2020'!Tnet-t)/('2020'!Tau_j))),Resal+(Salim-Resal)*(1-EXP((Tnet-t)/(Tau_j))))*Salcycl</f>
        <v>5.3871777958363856E-2</v>
      </c>
      <c r="P360" s="169">
        <f>(INDEX(Models!$BJ360:$BT360,,T360)*(1-R360)+INDEX(Models!$BJ360:$BT360,,T360+1)*R360-ERP_i)*Q360*Ramure*Pc/MaxiM</f>
        <v>3.8378206377198146E-2</v>
      </c>
      <c r="Q360" s="305">
        <f t="shared" si="125"/>
        <v>0.7</v>
      </c>
      <c r="R360" s="177">
        <f t="shared" si="126"/>
        <v>0.49994946866946544</v>
      </c>
      <c r="S360" s="817">
        <f t="shared" si="127"/>
        <v>-1</v>
      </c>
      <c r="T360" s="176">
        <f t="shared" si="128"/>
        <v>5</v>
      </c>
      <c r="U360" s="251">
        <f t="shared" si="129"/>
        <v>-0.50005053133053456</v>
      </c>
      <c r="V360" s="383">
        <f t="shared" si="130"/>
        <v>10.57813608748379</v>
      </c>
      <c r="W360" s="402"/>
      <c r="X360" s="157">
        <f t="shared" si="131"/>
        <v>44542</v>
      </c>
      <c r="Y360" s="385">
        <f t="shared" si="132"/>
        <v>8.8541129647181833</v>
      </c>
      <c r="Z360" s="385">
        <f t="shared" si="133"/>
        <v>9.116432311458091</v>
      </c>
      <c r="AA360" s="386">
        <f t="shared" si="134"/>
        <v>10.365609415277731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0.12051168954702231</v>
      </c>
      <c r="AD360" s="231">
        <f>(INDEX(Models!$BJ360:$BT360,,AH360)*(1-AF360)+INDEX(Models!$BJ360:$BT360,,AH360+1)*AF360-ERP_i)*AE360*Ramure*Pc/MaxiM</f>
        <v>3.8378206377198146E-2</v>
      </c>
      <c r="AE360" s="305">
        <f t="shared" si="136"/>
        <v>0.7</v>
      </c>
      <c r="AF360" s="177">
        <f t="shared" si="137"/>
        <v>0.49994946866946544</v>
      </c>
      <c r="AG360" s="817">
        <f t="shared" si="143"/>
        <v>-1</v>
      </c>
      <c r="AH360" s="176">
        <f t="shared" si="138"/>
        <v>5</v>
      </c>
      <c r="AI360" s="225">
        <f t="shared" si="139"/>
        <v>-0.50005053133053456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44543</v>
      </c>
      <c r="B361" s="617">
        <v>9.9390000000000001</v>
      </c>
      <c r="C361" s="390"/>
      <c r="D361" s="393">
        <f t="shared" si="122"/>
        <v>10.233685260249883</v>
      </c>
      <c r="E361" s="385">
        <f t="shared" ref="E361:E379" si="144">Wh_pvt/(1-Psa)</f>
        <v>10.817783820472188</v>
      </c>
      <c r="F361" s="385">
        <f t="shared" si="123"/>
        <v>11.207179441431046</v>
      </c>
      <c r="G361" s="110">
        <f t="shared" ref="G361:G379" si="145">+Wh_hp/MaxiM</f>
        <v>0.93707007180377655</v>
      </c>
      <c r="H361" s="414" t="b">
        <f>Wh_hp&gt;='2020'!Maxi_hp</f>
        <v>1</v>
      </c>
      <c r="I361" s="380">
        <f>IF(H361,Wh_hp,'2020'!Maxi_hp)</f>
        <v>11.207179441431046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2.8795614947678017E-2</v>
      </c>
      <c r="M361" s="850"/>
      <c r="N361" s="850"/>
      <c r="O361" s="48">
        <f>IF(t&lt;Tnet,'2020'!Resal+('2020'!Salim-'2020'!Resal)*(1-EXP(('2020'!Tnet-t)/('2020'!Tau_j))),Resal+(Salim-Resal)*(1-EXP((Tnet-t)/(Tau_j))))*Salcycl</f>
        <v>5.3994290320067653E-2</v>
      </c>
      <c r="P361" s="169">
        <f>(INDEX(Models!$BJ361:$BT361,,T361)*(1-R361)+INDEX(Models!$BJ361:$BT361,,T361+1)*R361-ERP_i)*Q361*Ramure*Pc/MaxiM</f>
        <v>3.7988921039861311E-2</v>
      </c>
      <c r="Q361" s="305">
        <f t="shared" si="125"/>
        <v>0.7</v>
      </c>
      <c r="R361" s="177">
        <f t="shared" si="126"/>
        <v>0.49995550150893486</v>
      </c>
      <c r="S361" s="817">
        <f t="shared" si="127"/>
        <v>-1</v>
      </c>
      <c r="T361" s="176">
        <f t="shared" si="128"/>
        <v>5</v>
      </c>
      <c r="U361" s="251">
        <f t="shared" si="129"/>
        <v>-0.50004449849106514</v>
      </c>
      <c r="V361" s="383">
        <f t="shared" si="130"/>
        <v>10.570821122899201</v>
      </c>
      <c r="W361" s="402"/>
      <c r="X361" s="157">
        <f t="shared" si="131"/>
        <v>44543</v>
      </c>
      <c r="Y361" s="385">
        <f t="shared" si="132"/>
        <v>9.2399450436412049</v>
      </c>
      <c r="Z361" s="385">
        <f t="shared" si="133"/>
        <v>9.5139037527548016</v>
      </c>
      <c r="AA361" s="386">
        <f t="shared" si="134"/>
        <v>10.817783820472188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0.12053116325451525</v>
      </c>
      <c r="AD361" s="231">
        <f>(INDEX(Models!$BJ361:$BT361,,AH361)*(1-AF361)+INDEX(Models!$BJ361:$BT361,,AH361+1)*AF361-ERP_i)*AE361*Ramure*Pc/MaxiM</f>
        <v>3.7988921039861311E-2</v>
      </c>
      <c r="AE361" s="305">
        <f t="shared" si="136"/>
        <v>0.7</v>
      </c>
      <c r="AF361" s="177">
        <f t="shared" si="137"/>
        <v>0.49995550150893486</v>
      </c>
      <c r="AG361" s="817">
        <f t="shared" si="143"/>
        <v>-1</v>
      </c>
      <c r="AH361" s="176">
        <f t="shared" si="138"/>
        <v>5</v>
      </c>
      <c r="AI361" s="225">
        <f t="shared" si="139"/>
        <v>-0.50004449849106514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44544</v>
      </c>
      <c r="B362" s="617">
        <v>9.6509999999999998</v>
      </c>
      <c r="C362" s="390"/>
      <c r="D362" s="393">
        <f t="shared" si="122"/>
        <v>9.9373638904838746</v>
      </c>
      <c r="E362" s="385">
        <f t="shared" si="144"/>
        <v>10.50591505773451</v>
      </c>
      <c r="F362" s="385">
        <f t="shared" si="123"/>
        <v>10.863458902037726</v>
      </c>
      <c r="G362" s="110">
        <f t="shared" si="145"/>
        <v>0.90809325363596305</v>
      </c>
      <c r="H362" s="414" t="b">
        <f>Wh_hp&gt;='2020'!Maxi_hp</f>
        <v>1</v>
      </c>
      <c r="I362" s="380">
        <f>IF(H362,Wh_hp,'2020'!Maxi_hp)</f>
        <v>10.863458902037726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2.8816886816241061E-2</v>
      </c>
      <c r="M362" s="850"/>
      <c r="N362" s="850"/>
      <c r="O362" s="48">
        <f>IF(t&lt;Tnet,'2020'!Resal+('2020'!Salim-'2020'!Resal)*(1-EXP(('2020'!Tnet-t)/('2020'!Tau_j))),Resal+(Salim-Resal)*(1-EXP((Tnet-t)/(Tau_j))))*Salcycl</f>
        <v>5.4117243869401394E-2</v>
      </c>
      <c r="P362" s="169">
        <f>(INDEX(Models!$BJ362:$BT362,,T362)*(1-R362)+INDEX(Models!$BJ362:$BT362,,T362+1)*R362-ERP_i)*Q362*Ramure*Pc/MaxiM</f>
        <v>3.7612583424069278E-2</v>
      </c>
      <c r="Q362" s="305">
        <f t="shared" si="125"/>
        <v>0.7</v>
      </c>
      <c r="R362" s="177">
        <f t="shared" si="126"/>
        <v>0.49996129167667036</v>
      </c>
      <c r="S362" s="817">
        <f t="shared" si="127"/>
        <v>-1</v>
      </c>
      <c r="T362" s="176">
        <f t="shared" si="128"/>
        <v>5</v>
      </c>
      <c r="U362" s="251">
        <f t="shared" si="129"/>
        <v>-0.50003870832332964</v>
      </c>
      <c r="V362" s="383">
        <f t="shared" si="130"/>
        <v>10.576112037002552</v>
      </c>
      <c r="W362" s="402"/>
      <c r="X362" s="157">
        <f t="shared" si="131"/>
        <v>44544</v>
      </c>
      <c r="Y362" s="385">
        <f t="shared" si="132"/>
        <v>8.9731544929957447</v>
      </c>
      <c r="Z362" s="385">
        <f t="shared" si="133"/>
        <v>9.2394053924390267</v>
      </c>
      <c r="AA362" s="386">
        <f t="shared" si="134"/>
        <v>10.50591505773451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0.12055205646871014</v>
      </c>
      <c r="AD362" s="231">
        <f>(INDEX(Models!$BJ362:$BT362,,AH362)*(1-AF362)+INDEX(Models!$BJ362:$BT362,,AH362+1)*AF362-ERP_i)*AE362*Ramure*Pc/MaxiM</f>
        <v>3.7612583424069278E-2</v>
      </c>
      <c r="AE362" s="305">
        <f t="shared" si="136"/>
        <v>0.7</v>
      </c>
      <c r="AF362" s="177">
        <f t="shared" si="137"/>
        <v>0.49996129167667036</v>
      </c>
      <c r="AG362" s="817">
        <f t="shared" si="143"/>
        <v>-1</v>
      </c>
      <c r="AH362" s="176">
        <f t="shared" si="138"/>
        <v>5</v>
      </c>
      <c r="AI362" s="225">
        <f t="shared" si="139"/>
        <v>-0.50003870832332964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44545</v>
      </c>
      <c r="B363" s="617">
        <v>9.9420000000000002</v>
      </c>
      <c r="C363" s="390"/>
      <c r="D363" s="393">
        <f t="shared" si="122"/>
        <v>10.237222646398912</v>
      </c>
      <c r="E363" s="385">
        <f t="shared" si="144"/>
        <v>10.824341534108484</v>
      </c>
      <c r="F363" s="385">
        <f t="shared" si="123"/>
        <v>11.20513204000641</v>
      </c>
      <c r="G363" s="110">
        <f t="shared" si="145"/>
        <v>0.93537278998189632</v>
      </c>
      <c r="H363" s="414" t="b">
        <f>Wh_hp&gt;='2020'!Maxi_hp</f>
        <v>1</v>
      </c>
      <c r="I363" s="380">
        <f>IF(H363,Wh_hp,'2020'!Maxi_hp)</f>
        <v>11.20513204000641</v>
      </c>
      <c r="J363" s="85">
        <f>IF(H363,An,'2020'!An_max)</f>
        <v>2021</v>
      </c>
      <c r="K363" s="197">
        <f t="shared" si="124"/>
        <v>44545</v>
      </c>
      <c r="L363" s="147">
        <f>IF(t&lt;Tvie,1-EXP((T0-t)*PertePVj)+'2020'!Pspv,1-EXP((T0-t)*PertePVj)+Pspv)</f>
        <v>2.8838158218895571E-2</v>
      </c>
      <c r="M363" s="850"/>
      <c r="N363" s="850"/>
      <c r="O363" s="48">
        <f>IF(t&lt;Tnet,'2020'!Resal+('2020'!Salim-'2020'!Resal)*(1-EXP(('2020'!Tnet-t)/('2020'!Tau_j))),Resal+(Salim-Resal)*(1-EXP((Tnet-t)/(Tau_j))))*Salcycl</f>
        <v>5.4240610004729378E-2</v>
      </c>
      <c r="P363" s="169">
        <f>(INDEX(Models!$BJ363:$BT363,,T363)*(1-R363)+INDEX(Models!$BJ363:$BT363,,T363+1)*R363-ERP_i)*Q363*Ramure*Pc/MaxiM</f>
        <v>3.7253935204048842E-2</v>
      </c>
      <c r="Q363" s="305">
        <f t="shared" si="125"/>
        <v>0.7</v>
      </c>
      <c r="R363" s="177">
        <f t="shared" si="126"/>
        <v>0.49996684892537013</v>
      </c>
      <c r="S363" s="817">
        <f t="shared" si="127"/>
        <v>-1</v>
      </c>
      <c r="T363" s="176">
        <f t="shared" si="128"/>
        <v>5</v>
      </c>
      <c r="U363" s="251">
        <f t="shared" si="129"/>
        <v>-0.50003315107462987</v>
      </c>
      <c r="V363" s="383">
        <f t="shared" si="130"/>
        <v>10.592934101380983</v>
      </c>
      <c r="W363" s="402"/>
      <c r="X363" s="157">
        <f t="shared" si="131"/>
        <v>44545</v>
      </c>
      <c r="Y363" s="385">
        <f t="shared" si="132"/>
        <v>9.2446878620017916</v>
      </c>
      <c r="Z363" s="385">
        <f t="shared" si="133"/>
        <v>9.5192041782110124</v>
      </c>
      <c r="AA363" s="386">
        <f t="shared" si="134"/>
        <v>10.824341534108484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0.12057429560817773</v>
      </c>
      <c r="AD363" s="231">
        <f>(INDEX(Models!$BJ363:$BT363,,AH363)*(1-AF363)+INDEX(Models!$BJ363:$BT363,,AH363+1)*AF363-ERP_i)*AE363*Ramure*Pc/MaxiM</f>
        <v>3.7253935204048842E-2</v>
      </c>
      <c r="AE363" s="305">
        <f t="shared" si="136"/>
        <v>0.7</v>
      </c>
      <c r="AF363" s="177">
        <f t="shared" si="137"/>
        <v>0.49996684892537013</v>
      </c>
      <c r="AG363" s="817">
        <f t="shared" si="143"/>
        <v>-1</v>
      </c>
      <c r="AH363" s="176">
        <f t="shared" si="138"/>
        <v>5</v>
      </c>
      <c r="AI363" s="225">
        <f t="shared" si="139"/>
        <v>-0.50003315107462987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44546</v>
      </c>
      <c r="B364" s="617">
        <v>9.9730000000000008</v>
      </c>
      <c r="C364" s="390"/>
      <c r="D364" s="393">
        <f t="shared" si="122"/>
        <v>10.269368101189592</v>
      </c>
      <c r="E364" s="385">
        <f t="shared" si="144"/>
        <v>10.859751536931984</v>
      </c>
      <c r="F364" s="385">
        <f t="shared" si="123"/>
        <v>11.238528761899044</v>
      </c>
      <c r="G364" s="110">
        <f t="shared" si="145"/>
        <v>0.93593496536578435</v>
      </c>
      <c r="H364" s="414" t="b">
        <f>Wh_hp&gt;='2020'!Maxi_hp</f>
        <v>1</v>
      </c>
      <c r="I364" s="380">
        <f>IF(H364,Wh_hp,'2020'!Maxi_hp)</f>
        <v>11.238528761899044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2.8859429155651761E-2</v>
      </c>
      <c r="M364" s="850"/>
      <c r="N364" s="850"/>
      <c r="O364" s="48">
        <f>IF(t&lt;Tnet,'2020'!Resal+('2020'!Salim-'2020'!Resal)*(1-EXP(('2020'!Tnet-t)/('2020'!Tau_j))),Resal+(Salim-Resal)*(1-EXP((Tnet-t)/(Tau_j))))*Salcycl</f>
        <v>5.4364359417856632E-2</v>
      </c>
      <c r="P364" s="169">
        <f>(INDEX(Models!$BJ364:$BT364,,T364)*(1-R364)+INDEX(Models!$BJ364:$BT364,,T364+1)*R364-ERP_i)*Q364*Ramure*Pc/MaxiM</f>
        <v>3.6917467453779475E-2</v>
      </c>
      <c r="Q364" s="305">
        <f t="shared" si="125"/>
        <v>0.7</v>
      </c>
      <c r="R364" s="177">
        <f t="shared" si="126"/>
        <v>0.49997218261647691</v>
      </c>
      <c r="S364" s="817">
        <f t="shared" si="127"/>
        <v>-1</v>
      </c>
      <c r="T364" s="176">
        <f t="shared" si="128"/>
        <v>5</v>
      </c>
      <c r="U364" s="251">
        <f t="shared" si="129"/>
        <v>-0.50002781738352309</v>
      </c>
      <c r="V364" s="383">
        <f t="shared" si="130"/>
        <v>10.620212954521801</v>
      </c>
      <c r="W364" s="402"/>
      <c r="X364" s="157">
        <f t="shared" si="131"/>
        <v>44546</v>
      </c>
      <c r="Y364" s="385">
        <f t="shared" si="132"/>
        <v>9.2744791996204565</v>
      </c>
      <c r="Z364" s="385">
        <f t="shared" si="133"/>
        <v>9.5500893259529409</v>
      </c>
      <c r="AA364" s="386">
        <f t="shared" si="134"/>
        <v>10.859751536931984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0.12059780617679215</v>
      </c>
      <c r="AD364" s="231">
        <f>(INDEX(Models!$BJ364:$BT364,,AH364)*(1-AF364)+INDEX(Models!$BJ364:$BT364,,AH364+1)*AF364-ERP_i)*AE364*Ramure*Pc/MaxiM</f>
        <v>3.6917467453779475E-2</v>
      </c>
      <c r="AE364" s="305">
        <f t="shared" si="136"/>
        <v>0.7</v>
      </c>
      <c r="AF364" s="177">
        <f t="shared" si="137"/>
        <v>0.49997218261647691</v>
      </c>
      <c r="AG364" s="817">
        <f t="shared" si="143"/>
        <v>-1</v>
      </c>
      <c r="AH364" s="176">
        <f t="shared" si="138"/>
        <v>5</v>
      </c>
      <c r="AI364" s="225">
        <f t="shared" si="139"/>
        <v>-0.50002781738352309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44547</v>
      </c>
      <c r="B365" s="617">
        <v>10.506</v>
      </c>
      <c r="C365" s="390"/>
      <c r="D365" s="393">
        <f t="shared" si="122"/>
        <v>10.818444238477728</v>
      </c>
      <c r="E365" s="385">
        <f t="shared" si="144"/>
        <v>11.441895531900375</v>
      </c>
      <c r="F365" s="385">
        <f t="shared" si="123"/>
        <v>11.867549036954221</v>
      </c>
      <c r="G365" s="110">
        <f t="shared" si="145"/>
        <v>0.98508545396790614</v>
      </c>
      <c r="H365" s="414" t="b">
        <f>Wh_hp&gt;='2020'!Maxi_hp</f>
        <v>0</v>
      </c>
      <c r="I365" s="380">
        <f>IF(H365,Wh_hp,'2020'!Maxi_hp)</f>
        <v>12.021783785395716</v>
      </c>
      <c r="J365" s="85">
        <f>IF(H365,An,'2020'!An_max)</f>
        <v>2018</v>
      </c>
      <c r="K365" s="197">
        <f t="shared" si="124"/>
        <v>44547</v>
      </c>
      <c r="L365" s="147">
        <f>IF(t&lt;Tvie,1-EXP((T0-t)*PertePVj)+'2020'!Pspv,1-EXP((T0-t)*PertePVj)+Pspv)</f>
        <v>2.8880699626519735E-2</v>
      </c>
      <c r="M365" s="850"/>
      <c r="N365" s="850"/>
      <c r="O365" s="48">
        <f>IF(t&lt;Tnet,'2020'!Resal+('2020'!Salim-'2020'!Resal)*(1-EXP(('2020'!Tnet-t)/('2020'!Tau_j))),Resal+(Salim-Resal)*(1-EXP((Tnet-t)/(Tau_j))))*Salcycl</f>
        <v>5.4488462308054146E-2</v>
      </c>
      <c r="P365" s="169">
        <f>(INDEX(Models!$BJ365:$BT365,,T365)*(1-R365)+INDEX(Models!$BJ365:$BT365,,T365+1)*R365-ERP_i)*Q365*Ramure*Pc/MaxiM</f>
        <v>3.6607394491029545E-2</v>
      </c>
      <c r="Q365" s="305">
        <f t="shared" si="125"/>
        <v>0.7</v>
      </c>
      <c r="R365" s="177">
        <f t="shared" si="126"/>
        <v>0.49997730173581989</v>
      </c>
      <c r="S365" s="817">
        <f t="shared" si="127"/>
        <v>-1</v>
      </c>
      <c r="T365" s="176">
        <f t="shared" si="128"/>
        <v>5</v>
      </c>
      <c r="U365" s="251">
        <f t="shared" si="129"/>
        <v>-0.50002269826418011</v>
      </c>
      <c r="V365" s="383">
        <f t="shared" si="130"/>
        <v>10.656874602380478</v>
      </c>
      <c r="W365" s="402"/>
      <c r="X365" s="157">
        <f t="shared" si="131"/>
        <v>44547</v>
      </c>
      <c r="Y365" s="385">
        <f t="shared" si="132"/>
        <v>9.7711550917865235</v>
      </c>
      <c r="Z365" s="385">
        <f t="shared" si="133"/>
        <v>10.061745336570553</v>
      </c>
      <c r="AA365" s="386">
        <f t="shared" si="134"/>
        <v>11.441895531900375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0.12062251324371198</v>
      </c>
      <c r="AD365" s="231">
        <f>(INDEX(Models!$BJ365:$BT365,,AH365)*(1-AF365)+INDEX(Models!$BJ365:$BT365,,AH365+1)*AF365-ERP_i)*AE365*Ramure*Pc/MaxiM</f>
        <v>3.6607394491029545E-2</v>
      </c>
      <c r="AE365" s="305">
        <f t="shared" si="136"/>
        <v>0.7</v>
      </c>
      <c r="AF365" s="177">
        <f t="shared" si="137"/>
        <v>0.49997730173581989</v>
      </c>
      <c r="AG365" s="817">
        <f t="shared" si="143"/>
        <v>-1</v>
      </c>
      <c r="AH365" s="176">
        <f t="shared" si="138"/>
        <v>5</v>
      </c>
      <c r="AI365" s="225">
        <f t="shared" si="139"/>
        <v>-0.50002269826418011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44548</v>
      </c>
      <c r="B366" s="617">
        <v>10.353</v>
      </c>
      <c r="C366" s="390"/>
      <c r="D366" s="393">
        <f t="shared" si="122"/>
        <v>10.661127585720136</v>
      </c>
      <c r="E366" s="385">
        <f t="shared" si="144"/>
        <v>11.276996964610341</v>
      </c>
      <c r="F366" s="385">
        <f t="shared" si="123"/>
        <v>11.681754622743613</v>
      </c>
      <c r="G366" s="110">
        <f t="shared" si="145"/>
        <v>0.96572074083712089</v>
      </c>
      <c r="H366" s="414" t="b">
        <f>Wh_hp&gt;='2020'!Maxi_hp</f>
        <v>1</v>
      </c>
      <c r="I366" s="380">
        <f>IF(H366,Wh_hp,'2020'!Maxi_hp)</f>
        <v>11.681754622743613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2.8901969631509927E-2</v>
      </c>
      <c r="M366" s="850"/>
      <c r="N366" s="850"/>
      <c r="O366" s="48">
        <f>IF(t&lt;Tnet,'2020'!Resal+('2020'!Salim-'2020'!Resal)*(1-EXP(('2020'!Tnet-t)/('2020'!Tau_j))),Resal+(Salim-Resal)*(1-EXP((Tnet-t)/(Tau_j))))*Salcycl</f>
        <v>5.46128885928528E-2</v>
      </c>
      <c r="P366" s="169">
        <f>(INDEX(Models!$BJ366:$BT366,,T366)*(1-R366)+INDEX(Models!$BJ366:$BT366,,T366+1)*R366-ERP_i)*Q366*Ramure*Pc/MaxiM</f>
        <v>3.6340295425105154E-2</v>
      </c>
      <c r="Q366" s="305">
        <f t="shared" si="125"/>
        <v>0.7</v>
      </c>
      <c r="R366" s="177">
        <f t="shared" si="126"/>
        <v>0.49998221490863448</v>
      </c>
      <c r="S366" s="817">
        <f t="shared" si="127"/>
        <v>-1</v>
      </c>
      <c r="T366" s="176">
        <f t="shared" si="128"/>
        <v>5</v>
      </c>
      <c r="U366" s="251">
        <f t="shared" si="129"/>
        <v>-0.50001778509136552</v>
      </c>
      <c r="V366" s="383">
        <f t="shared" si="130"/>
        <v>10.701704885263242</v>
      </c>
      <c r="W366" s="402"/>
      <c r="X366" s="157">
        <f t="shared" si="131"/>
        <v>44548</v>
      </c>
      <c r="Y366" s="385">
        <f t="shared" si="132"/>
        <v>9.6298411585627886</v>
      </c>
      <c r="Z366" s="385">
        <f t="shared" si="133"/>
        <v>9.9164459791033419</v>
      </c>
      <c r="AA366" s="386">
        <f t="shared" si="134"/>
        <v>11.276996964610341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0.12064834191023564</v>
      </c>
      <c r="AD366" s="231">
        <f>(INDEX(Models!$BJ366:$BT366,,AH366)*(1-AF366)+INDEX(Models!$BJ366:$BT366,,AH366+1)*AF366-ERP_i)*AE366*Ramure*Pc/MaxiM</f>
        <v>3.6340295425105154E-2</v>
      </c>
      <c r="AE366" s="305">
        <f t="shared" si="136"/>
        <v>0.7</v>
      </c>
      <c r="AF366" s="177">
        <f t="shared" si="137"/>
        <v>0.49998221490863448</v>
      </c>
      <c r="AG366" s="817">
        <f t="shared" si="143"/>
        <v>-1</v>
      </c>
      <c r="AH366" s="176">
        <f t="shared" si="138"/>
        <v>5</v>
      </c>
      <c r="AI366" s="225">
        <f t="shared" si="139"/>
        <v>-0.50001778509136552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44549</v>
      </c>
      <c r="B367" s="617">
        <v>10.506</v>
      </c>
      <c r="C367" s="390"/>
      <c r="D367" s="393">
        <f t="shared" si="122"/>
        <v>10.818918157434991</v>
      </c>
      <c r="E367" s="385">
        <f t="shared" si="144"/>
        <v>11.445412670918579</v>
      </c>
      <c r="F367" s="385">
        <f t="shared" si="123"/>
        <v>11.859161695286367</v>
      </c>
      <c r="G367" s="110">
        <f t="shared" si="145"/>
        <v>0.97572617459936462</v>
      </c>
      <c r="H367" s="414" t="b">
        <f>Wh_hp&gt;='2020'!Maxi_hp</f>
        <v>1</v>
      </c>
      <c r="I367" s="380">
        <f>IF(H367,Wh_hp,'2020'!Maxi_hp)</f>
        <v>11.859161695286367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2.8923239170632442E-2</v>
      </c>
      <c r="M367" s="850"/>
      <c r="N367" s="850"/>
      <c r="O367" s="48">
        <f>IF(t&lt;Tnet,'2020'!Resal+('2020'!Salim-'2020'!Resal)*(1-EXP(('2020'!Tnet-t)/('2020'!Tau_j))),Resal+(Salim-Resal)*(1-EXP((Tnet-t)/(Tau_j))))*Salcycl</f>
        <v>5.4737608113985682E-2</v>
      </c>
      <c r="P367" s="169">
        <f>(INDEX(Models!$BJ367:$BT367,,T367)*(1-R367)+INDEX(Models!$BJ367:$BT367,,T367+1)*R367-ERP_i)*Q367*Ramure*Pc/MaxiM</f>
        <v>3.607758211975088E-2</v>
      </c>
      <c r="Q367" s="305">
        <f t="shared" si="125"/>
        <v>0.7</v>
      </c>
      <c r="R367" s="177">
        <f t="shared" si="126"/>
        <v>0.49998693041398656</v>
      </c>
      <c r="S367" s="817">
        <f t="shared" si="127"/>
        <v>-1</v>
      </c>
      <c r="T367" s="176">
        <f t="shared" si="128"/>
        <v>5</v>
      </c>
      <c r="U367" s="251">
        <f t="shared" si="129"/>
        <v>-0.50001306958601344</v>
      </c>
      <c r="V367" s="383">
        <f t="shared" si="130"/>
        <v>10.754099646807923</v>
      </c>
      <c r="W367" s="402"/>
      <c r="X367" s="157">
        <f t="shared" si="131"/>
        <v>44549</v>
      </c>
      <c r="Y367" s="385">
        <f t="shared" si="132"/>
        <v>9.7731447283956179</v>
      </c>
      <c r="Z367" s="385">
        <f t="shared" si="133"/>
        <v>10.06423500450023</v>
      </c>
      <c r="AA367" s="386">
        <f t="shared" si="134"/>
        <v>11.445412670918579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0.12067521776019105</v>
      </c>
      <c r="AD367" s="231">
        <f>(INDEX(Models!$BJ367:$BT367,,AH367)*(1-AF367)+INDEX(Models!$BJ367:$BT367,,AH367+1)*AF367-ERP_i)*AE367*Ramure*Pc/MaxiM</f>
        <v>3.607758211975088E-2</v>
      </c>
      <c r="AE367" s="305">
        <f t="shared" si="136"/>
        <v>0.7</v>
      </c>
      <c r="AF367" s="177">
        <f t="shared" si="137"/>
        <v>0.49998693041398656</v>
      </c>
      <c r="AG367" s="817">
        <f t="shared" si="143"/>
        <v>-1</v>
      </c>
      <c r="AH367" s="176">
        <f t="shared" si="138"/>
        <v>5</v>
      </c>
      <c r="AI367" s="225">
        <f t="shared" si="139"/>
        <v>-0.50001306958601344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44550</v>
      </c>
      <c r="B368" s="617">
        <v>9.6620000000000008</v>
      </c>
      <c r="C368" s="390"/>
      <c r="D368" s="393">
        <f t="shared" si="122"/>
        <v>9.9499977931506098</v>
      </c>
      <c r="E368" s="385">
        <f t="shared" si="144"/>
        <v>10.527567416849346</v>
      </c>
      <c r="F368" s="385">
        <f t="shared" si="123"/>
        <v>10.857367407751404</v>
      </c>
      <c r="G368" s="110">
        <f t="shared" si="145"/>
        <v>0.88853521259381119</v>
      </c>
      <c r="H368" s="414" t="b">
        <f>Wh_hp&gt;='2020'!Maxi_hp</f>
        <v>1</v>
      </c>
      <c r="I368" s="380">
        <f>IF(H368,Wh_hp,'2020'!Maxi_hp)</f>
        <v>10.857367407751404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2.8944508243897382E-2</v>
      </c>
      <c r="M368" s="850"/>
      <c r="N368" s="850"/>
      <c r="O368" s="48">
        <f>IF(t&lt;Tnet,'2020'!Resal+('2020'!Salim-'2020'!Resal)*(1-EXP(('2020'!Tnet-t)/('2020'!Tau_j))),Resal+(Salim-Resal)*(1-EXP((Tnet-t)/(Tau_j))))*Salcycl</f>
        <v>5.4862590836923686E-2</v>
      </c>
      <c r="P368" s="169">
        <f>(INDEX(Models!$BJ368:$BT368,,T368)*(1-R368)+INDEX(Models!$BJ368:$BT368,,T368+1)*R368-ERP_i)*Q368*Ramure*Pc/MaxiM</f>
        <v>3.5823085778885835E-2</v>
      </c>
      <c r="Q368" s="305">
        <f t="shared" si="125"/>
        <v>0.7</v>
      </c>
      <c r="R368" s="177">
        <f t="shared" si="126"/>
        <v>0.49999145619862273</v>
      </c>
      <c r="S368" s="817">
        <f t="shared" si="127"/>
        <v>-1</v>
      </c>
      <c r="T368" s="176">
        <f t="shared" si="128"/>
        <v>5</v>
      </c>
      <c r="U368" s="251">
        <f t="shared" si="129"/>
        <v>-0.50000854380137727</v>
      </c>
      <c r="V368" s="383">
        <f t="shared" si="130"/>
        <v>10.812985521379204</v>
      </c>
      <c r="W368" s="402"/>
      <c r="X368" s="157">
        <f t="shared" si="131"/>
        <v>44550</v>
      </c>
      <c r="Y368" s="385">
        <f t="shared" si="132"/>
        <v>8.9889225434004985</v>
      </c>
      <c r="Z368" s="385">
        <f t="shared" si="133"/>
        <v>9.256857738525845</v>
      </c>
      <c r="AA368" s="386">
        <f t="shared" si="134"/>
        <v>10.527567416849346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0.12070306729071452</v>
      </c>
      <c r="AD368" s="231">
        <f>(INDEX(Models!$BJ368:$BT368,,AH368)*(1-AF368)+INDEX(Models!$BJ368:$BT368,,AH368+1)*AF368-ERP_i)*AE368*Ramure*Pc/MaxiM</f>
        <v>3.5823085778885835E-2</v>
      </c>
      <c r="AE368" s="305">
        <f t="shared" si="136"/>
        <v>0.7</v>
      </c>
      <c r="AF368" s="177">
        <f t="shared" si="137"/>
        <v>0.49999145619862273</v>
      </c>
      <c r="AG368" s="817">
        <f t="shared" si="143"/>
        <v>-1</v>
      </c>
      <c r="AH368" s="176">
        <f t="shared" si="138"/>
        <v>5</v>
      </c>
      <c r="AI368" s="225">
        <f t="shared" si="139"/>
        <v>-0.50000854380137727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44551</v>
      </c>
      <c r="B369" s="617">
        <v>9.6980000000000004</v>
      </c>
      <c r="C369" s="390"/>
      <c r="D369" s="393">
        <f t="shared" si="122"/>
        <v>9.9872896019598283</v>
      </c>
      <c r="E369" s="385">
        <f t="shared" si="144"/>
        <v>10.568424065200675</v>
      </c>
      <c r="F369" s="385">
        <f t="shared" si="123"/>
        <v>10.896065094329265</v>
      </c>
      <c r="G369" s="110">
        <f t="shared" si="145"/>
        <v>0.88651676131839896</v>
      </c>
      <c r="H369" s="414" t="b">
        <f>Wh_hp&gt;='2020'!Maxi_hp</f>
        <v>1</v>
      </c>
      <c r="I369" s="380">
        <f>IF(H369,Wh_hp,'2020'!Maxi_hp)</f>
        <v>10.896065094329265</v>
      </c>
      <c r="J369" s="85">
        <f>IF(H369,An,'2020'!An_max)</f>
        <v>2021</v>
      </c>
      <c r="K369" s="197">
        <f t="shared" si="124"/>
        <v>44551</v>
      </c>
      <c r="L369" s="147">
        <f>IF(t&lt;Tvie,1-EXP((T0-t)*PertePVj)+'2020'!Pspv,1-EXP((T0-t)*PertePVj)+Pspv)</f>
        <v>2.8965776851315073E-2</v>
      </c>
      <c r="M369" s="850"/>
      <c r="N369" s="850"/>
      <c r="O369" s="48">
        <f>IF(t&lt;Tnet,'2020'!Resal+('2020'!Salim-'2020'!Resal)*(1-EXP(('2020'!Tnet-t)/('2020'!Tau_j))),Resal+(Salim-Resal)*(1-EXP((Tnet-t)/(Tau_j))))*Salcycl</f>
        <v>5.498780704252635E-2</v>
      </c>
      <c r="P369" s="169">
        <f>(INDEX(Models!$BJ369:$BT369,,T369)*(1-R369)+INDEX(Models!$BJ369:$BT369,,T369+1)*R369-ERP_i)*Q369*Ramure*Pc/MaxiM</f>
        <v>3.5580446061827274E-2</v>
      </c>
      <c r="Q369" s="305">
        <f t="shared" si="125"/>
        <v>0.7</v>
      </c>
      <c r="R369" s="177">
        <f t="shared" si="126"/>
        <v>0.49999579989027043</v>
      </c>
      <c r="S369" s="817">
        <f t="shared" si="127"/>
        <v>-1</v>
      </c>
      <c r="T369" s="176">
        <f t="shared" si="128"/>
        <v>5</v>
      </c>
      <c r="U369" s="251">
        <f t="shared" si="129"/>
        <v>-0.50000420010972957</v>
      </c>
      <c r="V369" s="383">
        <f t="shared" si="130"/>
        <v>10.87728965433584</v>
      </c>
      <c r="W369" s="402"/>
      <c r="X369" s="157">
        <f t="shared" si="131"/>
        <v>44551</v>
      </c>
      <c r="Y369" s="385">
        <f t="shared" si="132"/>
        <v>9.0233151375979936</v>
      </c>
      <c r="Z369" s="385">
        <f t="shared" si="133"/>
        <v>9.2924790110269289</v>
      </c>
      <c r="AA369" s="386">
        <f t="shared" si="134"/>
        <v>10.568424065200675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0.12073181832049416</v>
      </c>
      <c r="AD369" s="231">
        <f>(INDEX(Models!$BJ369:$BT369,,AH369)*(1-AF369)+INDEX(Models!$BJ369:$BT369,,AH369+1)*AF369-ERP_i)*AE369*Ramure*Pc/MaxiM</f>
        <v>3.5580446061827274E-2</v>
      </c>
      <c r="AE369" s="305">
        <f t="shared" si="136"/>
        <v>0.7</v>
      </c>
      <c r="AF369" s="177">
        <f t="shared" si="137"/>
        <v>0.49999579989027043</v>
      </c>
      <c r="AG369" s="817">
        <f t="shared" si="143"/>
        <v>-1</v>
      </c>
      <c r="AH369" s="176">
        <f t="shared" si="138"/>
        <v>5</v>
      </c>
      <c r="AI369" s="225">
        <f t="shared" si="139"/>
        <v>-0.50000420010972957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44552</v>
      </c>
      <c r="B370" s="617">
        <v>11.22</v>
      </c>
      <c r="C370" s="390"/>
      <c r="D370" s="393">
        <f t="shared" si="122"/>
        <v>11.554943672113941</v>
      </c>
      <c r="E370" s="385">
        <f t="shared" si="144"/>
        <v>12.228918859406676</v>
      </c>
      <c r="F370" s="385">
        <f t="shared" si="123"/>
        <v>12.677093484896854</v>
      </c>
      <c r="G370" s="110">
        <f t="shared" si="145"/>
        <v>1.0250376217012469</v>
      </c>
      <c r="H370" s="414" t="b">
        <f>Wh_hp&gt;='2020'!Maxi_hp</f>
        <v>1</v>
      </c>
      <c r="I370" s="380">
        <f>IF(H370,Wh_hp,'2020'!Maxi_hp)</f>
        <v>12.677093484896854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2.8987044992895616E-2</v>
      </c>
      <c r="M370" s="850"/>
      <c r="N370" s="850"/>
      <c r="O370" s="48">
        <f>IF(t&lt;Tnet,'2020'!Resal+('2020'!Salim-'2020'!Resal)*(1-EXP(('2020'!Tnet-t)/('2020'!Tau_j))),Resal+(Salim-Resal)*(1-EXP((Tnet-t)/(Tau_j))))*Salcycl</f>
        <v>5.5113227509421339E-2</v>
      </c>
      <c r="P370" s="169">
        <f>(INDEX(Models!$BJ370:$BT370,,T370)*(1-R370)+INDEX(Models!$BJ370:$BT370,,T370+1)*R370-ERP_i)*Q370*Ramure*Pc/MaxiM</f>
        <v>3.5353105664490077E-2</v>
      </c>
      <c r="Q370" s="305">
        <f t="shared" si="125"/>
        <v>0.7</v>
      </c>
      <c r="R370" s="177">
        <f t="shared" si="126"/>
        <v>0.49999996881040842</v>
      </c>
      <c r="S370" s="817">
        <f t="shared" si="127"/>
        <v>-1</v>
      </c>
      <c r="T370" s="176">
        <f t="shared" si="128"/>
        <v>5</v>
      </c>
      <c r="U370" s="251">
        <f t="shared" si="129"/>
        <v>-0.50000003118959158</v>
      </c>
      <c r="V370" s="383">
        <f t="shared" si="130"/>
        <v>10.945939702562578</v>
      </c>
      <c r="W370" s="402"/>
      <c r="X370" s="157">
        <f t="shared" si="131"/>
        <v>44552</v>
      </c>
      <c r="Y370" s="385">
        <f t="shared" si="132"/>
        <v>10.440464799622957</v>
      </c>
      <c r="Z370" s="385">
        <f t="shared" si="133"/>
        <v>10.752137492899433</v>
      </c>
      <c r="AA370" s="386">
        <f t="shared" si="134"/>
        <v>12.228918859406676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0.1207614003727958</v>
      </c>
      <c r="AD370" s="231">
        <f>(INDEX(Models!$BJ370:$BT370,,AH370)*(1-AF370)+INDEX(Models!$BJ370:$BT370,,AH370+1)*AF370-ERP_i)*AE370*Ramure*Pc/MaxiM</f>
        <v>3.5353105664490077E-2</v>
      </c>
      <c r="AE370" s="305">
        <f t="shared" si="136"/>
        <v>0.7</v>
      </c>
      <c r="AF370" s="177">
        <f t="shared" si="137"/>
        <v>0.49999996881040842</v>
      </c>
      <c r="AG370" s="817">
        <f t="shared" si="143"/>
        <v>-1</v>
      </c>
      <c r="AH370" s="176">
        <f t="shared" si="138"/>
        <v>5</v>
      </c>
      <c r="AI370" s="225">
        <f t="shared" si="139"/>
        <v>-0.50000003118959158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44553</v>
      </c>
      <c r="B371" s="617">
        <v>3.496</v>
      </c>
      <c r="C371" s="390"/>
      <c r="D371" s="393">
        <f t="shared" si="122"/>
        <v>3.6004427696063179</v>
      </c>
      <c r="E371" s="385">
        <f t="shared" si="144"/>
        <v>3.8109554667062451</v>
      </c>
      <c r="F371" s="385">
        <f t="shared" si="123"/>
        <v>3.8142689572149076</v>
      </c>
      <c r="G371" s="110">
        <f t="shared" si="145"/>
        <v>0.3064176826134109</v>
      </c>
      <c r="H371" s="414" t="b">
        <f>Wh_hp&gt;='2020'!Maxi_hp</f>
        <v>0</v>
      </c>
      <c r="I371" s="380">
        <f>IF(H371,Wh_hp,'2020'!Maxi_hp)</f>
        <v>11.766325638958318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2.9008312668649339E-2</v>
      </c>
      <c r="M371" s="850"/>
      <c r="N371" s="850"/>
      <c r="O371" s="48">
        <f>IF(t&lt;Tnet,'2020'!Resal+('2020'!Salim-'2020'!Resal)*(1-EXP(('2020'!Tnet-t)/('2020'!Tau_j))),Resal+(Salim-Resal)*(1-EXP((Tnet-t)/(Tau_j))))*Salcycl</f>
        <v>5.5238823685827679E-2</v>
      </c>
      <c r="P371" s="169">
        <f>(INDEX(Models!$BJ371:$BT371,,T371)*(1-R371)+INDEX(Models!$BJ371:$BT371,,T371+1)*R371-ERP_i)*Q371*Ramure*Pc/MaxiM</f>
        <v>3.5144256469420446E-2</v>
      </c>
      <c r="Q371" s="305">
        <f t="shared" si="125"/>
        <v>0.7</v>
      </c>
      <c r="R371" s="177">
        <f t="shared" si="126"/>
        <v>0.49999996881040842</v>
      </c>
      <c r="S371" s="817">
        <f t="shared" si="127"/>
        <v>-1</v>
      </c>
      <c r="T371" s="176">
        <f t="shared" si="128"/>
        <v>5</v>
      </c>
      <c r="U371" s="251">
        <f t="shared" si="129"/>
        <v>-0.50000003118959158</v>
      </c>
      <c r="V371" s="383">
        <f t="shared" si="130"/>
        <v>11.017864479401682</v>
      </c>
      <c r="W371" s="402"/>
      <c r="X371" s="157">
        <f t="shared" si="131"/>
        <v>44553</v>
      </c>
      <c r="Y371" s="385">
        <f t="shared" si="132"/>
        <v>3.2534275713611618</v>
      </c>
      <c r="Z371" s="385">
        <f t="shared" si="133"/>
        <v>3.3506235056479228</v>
      </c>
      <c r="AA371" s="386">
        <f t="shared" si="134"/>
        <v>3.8109554667062451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0.12079174503085466</v>
      </c>
      <c r="AD371" s="231">
        <f>(INDEX(Models!$BJ371:$BT371,,AH371)*(1-AF371)+INDEX(Models!$BJ371:$BT371,,AH371+1)*AF371-ERP_i)*AE371*Ramure*Pc/MaxiM</f>
        <v>3.5144256469420446E-2</v>
      </c>
      <c r="AE371" s="305">
        <f t="shared" si="136"/>
        <v>0.7</v>
      </c>
      <c r="AF371" s="177">
        <f t="shared" si="137"/>
        <v>0.49999996881040842</v>
      </c>
      <c r="AG371" s="817">
        <f t="shared" si="143"/>
        <v>-1</v>
      </c>
      <c r="AH371" s="176">
        <f t="shared" si="138"/>
        <v>5</v>
      </c>
      <c r="AI371" s="225">
        <f t="shared" si="139"/>
        <v>-0.50000003118959158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44554</v>
      </c>
      <c r="B372" s="617">
        <v>7.2709999999999999</v>
      </c>
      <c r="C372" s="390"/>
      <c r="D372" s="393">
        <f t="shared" si="122"/>
        <v>7.4883846606684568</v>
      </c>
      <c r="E372" s="385">
        <f t="shared" si="144"/>
        <v>7.9272748044418027</v>
      </c>
      <c r="F372" s="385">
        <f t="shared" si="123"/>
        <v>8.0705598664981171</v>
      </c>
      <c r="G372" s="110">
        <f t="shared" si="145"/>
        <v>0.64403727229342578</v>
      </c>
      <c r="H372" s="414" t="b">
        <f>Wh_hp&gt;='2020'!Maxi_hp</f>
        <v>0</v>
      </c>
      <c r="I372" s="380">
        <f>IF(H372,Wh_hp,'2020'!Maxi_hp)</f>
        <v>9.2563291557535248</v>
      </c>
      <c r="J372" s="85">
        <f>IF(H372,An,'2020'!An_max)</f>
        <v>2019</v>
      </c>
      <c r="K372" s="197">
        <f t="shared" si="124"/>
        <v>44554</v>
      </c>
      <c r="L372" s="147">
        <f>IF(t&lt;Tvie,1-EXP((T0-t)*PertePVj)+'2020'!Pspv,1-EXP((T0-t)*PertePVj)+Pspv)</f>
        <v>2.9029579878586453E-2</v>
      </c>
      <c r="M372" s="850"/>
      <c r="N372" s="850"/>
      <c r="O372" s="48">
        <f>IF(t&lt;Tnet,'2020'!Resal+('2020'!Salim-'2020'!Resal)*(1-EXP(('2020'!Tnet-t)/('2020'!Tau_j))),Resal+(Salim-Resal)*(1-EXP((Tnet-t)/(Tau_j))))*Salcycl</f>
        <v>5.5364567849650825E-2</v>
      </c>
      <c r="P372" s="169">
        <f>(INDEX(Models!$BJ372:$BT372,,T372)*(1-R372)+INDEX(Models!$BJ372:$BT372,,T372+1)*R372-ERP_i)*Q372*Ramure*Pc/MaxiM</f>
        <v>3.4956970377859019E-2</v>
      </c>
      <c r="Q372" s="305">
        <f t="shared" si="125"/>
        <v>0.7</v>
      </c>
      <c r="R372" s="177">
        <f t="shared" si="126"/>
        <v>0.49999996881040842</v>
      </c>
      <c r="S372" s="817">
        <f t="shared" si="127"/>
        <v>-1</v>
      </c>
      <c r="T372" s="176">
        <f t="shared" si="128"/>
        <v>5</v>
      </c>
      <c r="U372" s="251">
        <f t="shared" si="129"/>
        <v>-0.50000003118959158</v>
      </c>
      <c r="V372" s="383">
        <f t="shared" si="130"/>
        <v>11.091992589218229</v>
      </c>
      <c r="W372" s="402"/>
      <c r="X372" s="157">
        <f t="shared" si="131"/>
        <v>44554</v>
      </c>
      <c r="Y372" s="385">
        <f t="shared" si="132"/>
        <v>6.7671583168613072</v>
      </c>
      <c r="Z372" s="385">
        <f t="shared" si="133"/>
        <v>6.969479375092722</v>
      </c>
      <c r="AA372" s="386">
        <f t="shared" si="134"/>
        <v>7.9272748044418027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0.12082278626349749</v>
      </c>
      <c r="AD372" s="231">
        <f>(INDEX(Models!$BJ372:$BT372,,AH372)*(1-AF372)+INDEX(Models!$BJ372:$BT372,,AH372+1)*AF372-ERP_i)*AE372*Ramure*Pc/MaxiM</f>
        <v>3.4956970377859019E-2</v>
      </c>
      <c r="AE372" s="305">
        <f t="shared" si="136"/>
        <v>0.7</v>
      </c>
      <c r="AF372" s="177">
        <f t="shared" si="137"/>
        <v>0.49999996881040842</v>
      </c>
      <c r="AG372" s="817">
        <f t="shared" si="143"/>
        <v>-1</v>
      </c>
      <c r="AH372" s="176">
        <f t="shared" si="138"/>
        <v>5</v>
      </c>
      <c r="AI372" s="225">
        <f t="shared" si="139"/>
        <v>-0.50000003118959158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44555</v>
      </c>
      <c r="B373" s="617">
        <v>5.1109999999999998</v>
      </c>
      <c r="C373" s="390"/>
      <c r="D373" s="393">
        <f t="shared" si="122"/>
        <v>5.263921372424341</v>
      </c>
      <c r="E373" s="385">
        <f t="shared" si="144"/>
        <v>5.5731795185193329</v>
      </c>
      <c r="F373" s="385">
        <f t="shared" si="123"/>
        <v>5.6171497355050084</v>
      </c>
      <c r="G373" s="110">
        <f t="shared" si="145"/>
        <v>0.44510193247954477</v>
      </c>
      <c r="H373" s="414" t="b">
        <f>Wh_hp&gt;='2020'!Maxi_hp</f>
        <v>0</v>
      </c>
      <c r="I373" s="380">
        <f>IF(H373,Wh_hp,'2020'!Maxi_hp)</f>
        <v>7.2647215358617787</v>
      </c>
      <c r="J373" s="85">
        <f>IF(H373,An,'2020'!An_max)</f>
        <v>2018</v>
      </c>
      <c r="K373" s="197">
        <f t="shared" si="124"/>
        <v>44555</v>
      </c>
      <c r="L373" s="147">
        <f>IF(t&lt;Tvie,1-EXP((T0-t)*PertePVj)+'2020'!Pspv,1-EXP((T0-t)*PertePVj)+Pspv)</f>
        <v>2.9050846622716953E-2</v>
      </c>
      <c r="M373" s="850"/>
      <c r="N373" s="850"/>
      <c r="O373" s="48">
        <f>IF(t&lt;Tnet,'2020'!Resal+('2020'!Salim-'2020'!Resal)*(1-EXP(('2020'!Tnet-t)/('2020'!Tau_j))),Resal+(Salim-Resal)*(1-EXP((Tnet-t)/(Tau_j))))*Salcycl</f>
        <v>5.5490433255800616E-2</v>
      </c>
      <c r="P373" s="169">
        <f>(INDEX(Models!$BJ373:$BT373,,T373)*(1-R373)+INDEX(Models!$BJ373:$BT373,,T373+1)*R373-ERP_i)*Q373*Ramure*Pc/MaxiM</f>
        <v>3.4783334045386312E-2</v>
      </c>
      <c r="Q373" s="305">
        <f t="shared" si="125"/>
        <v>0.7</v>
      </c>
      <c r="R373" s="177">
        <f t="shared" si="126"/>
        <v>0.49999996881040842</v>
      </c>
      <c r="S373" s="817">
        <f t="shared" si="127"/>
        <v>-1</v>
      </c>
      <c r="T373" s="176">
        <f t="shared" si="128"/>
        <v>5</v>
      </c>
      <c r="U373" s="251">
        <f t="shared" si="129"/>
        <v>-0.50000003118959158</v>
      </c>
      <c r="V373" s="383">
        <f t="shared" si="130"/>
        <v>11.170797565999207</v>
      </c>
      <c r="W373" s="402"/>
      <c r="X373" s="157">
        <f t="shared" si="131"/>
        <v>44555</v>
      </c>
      <c r="Y373" s="385">
        <f t="shared" si="132"/>
        <v>4.7572973418926781</v>
      </c>
      <c r="Z373" s="385">
        <f t="shared" si="133"/>
        <v>4.8996359133176242</v>
      </c>
      <c r="AA373" s="386">
        <f t="shared" si="134"/>
        <v>5.5731795185193329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0.12085446071915772</v>
      </c>
      <c r="AD373" s="231">
        <f>(INDEX(Models!$BJ373:$BT373,,AH373)*(1-AF373)+INDEX(Models!$BJ373:$BT373,,AH373+1)*AF373-ERP_i)*AE373*Ramure*Pc/MaxiM</f>
        <v>3.4783334045386312E-2</v>
      </c>
      <c r="AE373" s="305">
        <f t="shared" si="136"/>
        <v>0.7</v>
      </c>
      <c r="AF373" s="177">
        <f t="shared" si="137"/>
        <v>0.49999996881040842</v>
      </c>
      <c r="AG373" s="817">
        <f t="shared" si="143"/>
        <v>-1</v>
      </c>
      <c r="AH373" s="176">
        <f t="shared" si="138"/>
        <v>5</v>
      </c>
      <c r="AI373" s="225">
        <f t="shared" si="139"/>
        <v>-0.50000003118959158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44556</v>
      </c>
      <c r="B374" s="617">
        <v>6.9169999999999998</v>
      </c>
      <c r="C374" s="390"/>
      <c r="D374" s="393">
        <f t="shared" si="122"/>
        <v>7.1241130179785204</v>
      </c>
      <c r="E374" s="385">
        <f t="shared" si="144"/>
        <v>7.5436644333424603</v>
      </c>
      <c r="F374" s="385">
        <f t="shared" si="123"/>
        <v>7.6628158199187073</v>
      </c>
      <c r="G374" s="110">
        <f t="shared" si="145"/>
        <v>0.6025506785010013</v>
      </c>
      <c r="H374" s="414" t="b">
        <f>Wh_hp&gt;='2020'!Maxi_hp</f>
        <v>0</v>
      </c>
      <c r="I374" s="380">
        <f>IF(H374,Wh_hp,'2020'!Maxi_hp)</f>
        <v>12.958648457601393</v>
      </c>
      <c r="J374" s="85">
        <f>IF(H374,An,'2020'!An_max)</f>
        <v>2018</v>
      </c>
      <c r="K374" s="197">
        <f t="shared" si="124"/>
        <v>44556</v>
      </c>
      <c r="L374" s="147">
        <f>IF(t&lt;Tvie,1-EXP((T0-t)*PertePVj)+'2020'!Pspv,1-EXP((T0-t)*PertePVj)+Pspv)</f>
        <v>2.9072112901051272E-2</v>
      </c>
      <c r="M374" s="850"/>
      <c r="N374" s="850"/>
      <c r="O374" s="48">
        <f>IF(t&lt;Tnet,'2020'!Resal+('2020'!Salim-'2020'!Resal)*(1-EXP(('2020'!Tnet-t)/('2020'!Tau_j))),Resal+(Salim-Resal)*(1-EXP((Tnet-t)/(Tau_j))))*Salcycl</f>
        <v>5.561639426981304E-2</v>
      </c>
      <c r="P374" s="169">
        <f>(INDEX(Models!$BJ374:$BT374,,T374)*(1-R374)+INDEX(Models!$BJ374:$BT374,,T374+1)*R374-ERP_i)*Q374*Ramure*Pc/MaxiM</f>
        <v>3.4614398297020448E-2</v>
      </c>
      <c r="Q374" s="305">
        <f t="shared" si="125"/>
        <v>0.7</v>
      </c>
      <c r="R374" s="177">
        <f t="shared" si="126"/>
        <v>0.49999996881040842</v>
      </c>
      <c r="S374" s="817">
        <f t="shared" si="127"/>
        <v>-1</v>
      </c>
      <c r="T374" s="176">
        <f t="shared" si="128"/>
        <v>5</v>
      </c>
      <c r="U374" s="251">
        <f t="shared" si="129"/>
        <v>-0.50000003118959158</v>
      </c>
      <c r="V374" s="383">
        <f t="shared" si="130"/>
        <v>11.257217027415365</v>
      </c>
      <c r="W374" s="402"/>
      <c r="X374" s="157">
        <f t="shared" si="131"/>
        <v>44556</v>
      </c>
      <c r="Y374" s="385">
        <f t="shared" si="132"/>
        <v>6.4389371055991376</v>
      </c>
      <c r="Z374" s="385">
        <f t="shared" si="133"/>
        <v>6.6317356738389117</v>
      </c>
      <c r="AA374" s="386">
        <f t="shared" si="134"/>
        <v>7.5436644333424603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0.12088670798675615</v>
      </c>
      <c r="AD374" s="231">
        <f>(INDEX(Models!$BJ374:$BT374,,AH374)*(1-AF374)+INDEX(Models!$BJ374:$BT374,,AH374+1)*AF374-ERP_i)*AE374*Ramure*Pc/MaxiM</f>
        <v>3.4614398297020448E-2</v>
      </c>
      <c r="AE374" s="305">
        <f t="shared" si="136"/>
        <v>0.7</v>
      </c>
      <c r="AF374" s="177">
        <f t="shared" si="137"/>
        <v>0.49999996881040842</v>
      </c>
      <c r="AG374" s="817">
        <f t="shared" si="143"/>
        <v>-1</v>
      </c>
      <c r="AH374" s="176">
        <f t="shared" si="138"/>
        <v>5</v>
      </c>
      <c r="AI374" s="225">
        <f t="shared" si="139"/>
        <v>-0.50000003118959158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44557</v>
      </c>
      <c r="B375" s="617">
        <v>6.9279999999999999</v>
      </c>
      <c r="C375" s="390"/>
      <c r="D375" s="393">
        <f t="shared" si="122"/>
        <v>7.1355986745880484</v>
      </c>
      <c r="E375" s="385">
        <f t="shared" si="144"/>
        <v>7.556834993698649</v>
      </c>
      <c r="F375" s="385">
        <f t="shared" si="123"/>
        <v>7.674197201674775</v>
      </c>
      <c r="G375" s="110">
        <f t="shared" si="145"/>
        <v>0.59847443545664003</v>
      </c>
      <c r="H375" s="414" t="b">
        <f>Wh_hp&gt;='2020'!Maxi_hp</f>
        <v>0</v>
      </c>
      <c r="I375" s="380">
        <f>IF(H375,Wh_hp,'2020'!Maxi_hp)</f>
        <v>13.195050919032267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2.9093378713599405E-2</v>
      </c>
      <c r="M375" s="850"/>
      <c r="N375" s="850"/>
      <c r="O375" s="48">
        <f>IF(t&lt;Tnet,'2020'!Resal+('2020'!Salim-'2020'!Resal)*(1-EXP(('2020'!Tnet-t)/('2020'!Tau_j))),Resal+(Salim-Resal)*(1-EXP((Tnet-t)/(Tau_j))))*Salcycl</f>
        <v>5.5742426486995303E-2</v>
      </c>
      <c r="P375" s="169">
        <f>(INDEX(Models!$BJ375:$BT375,,T375)*(1-R375)+INDEX(Models!$BJ375:$BT375,,T375+1)*R375-ERP_i)*Q375*Ramure*Pc/MaxiM</f>
        <v>3.4491131575854546E-2</v>
      </c>
      <c r="Q375" s="305">
        <f t="shared" si="125"/>
        <v>0.7</v>
      </c>
      <c r="R375" s="177">
        <f t="shared" si="126"/>
        <v>0.49999996881040842</v>
      </c>
      <c r="S375" s="817">
        <f t="shared" si="127"/>
        <v>-1</v>
      </c>
      <c r="T375" s="176">
        <f t="shared" si="128"/>
        <v>5</v>
      </c>
      <c r="U375" s="251">
        <f t="shared" si="129"/>
        <v>-0.50000003118959158</v>
      </c>
      <c r="V375" s="383">
        <f t="shared" si="130"/>
        <v>11.350410227239646</v>
      </c>
      <c r="W375" s="402"/>
      <c r="X375" s="157">
        <f t="shared" si="131"/>
        <v>44557</v>
      </c>
      <c r="Y375" s="385">
        <f t="shared" si="132"/>
        <v>6.4497972555151017</v>
      </c>
      <c r="Z375" s="385">
        <f t="shared" si="133"/>
        <v>6.6430665051696289</v>
      </c>
      <c r="AA375" s="386">
        <f t="shared" si="134"/>
        <v>7.556834993698649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0.12091947082223915</v>
      </c>
      <c r="AD375" s="231">
        <f>(INDEX(Models!$BJ375:$BT375,,AH375)*(1-AF375)+INDEX(Models!$BJ375:$BT375,,AH375+1)*AF375-ERP_i)*AE375*Ramure*Pc/MaxiM</f>
        <v>3.4491131575854546E-2</v>
      </c>
      <c r="AE375" s="305">
        <f t="shared" si="136"/>
        <v>0.7</v>
      </c>
      <c r="AF375" s="177">
        <f t="shared" si="137"/>
        <v>0.49999996881040842</v>
      </c>
      <c r="AG375" s="817">
        <f t="shared" si="143"/>
        <v>-1</v>
      </c>
      <c r="AH375" s="176">
        <f t="shared" si="138"/>
        <v>5</v>
      </c>
      <c r="AI375" s="225">
        <f t="shared" si="139"/>
        <v>-0.50000003118959158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44558</v>
      </c>
      <c r="B376" s="617">
        <v>3.254</v>
      </c>
      <c r="C376" s="390"/>
      <c r="D376" s="393">
        <f t="shared" si="122"/>
        <v>3.3515800605013357</v>
      </c>
      <c r="E376" s="385">
        <f t="shared" si="144"/>
        <v>3.5499081269612636</v>
      </c>
      <c r="F376" s="385">
        <f t="shared" si="123"/>
        <v>3.5499081269612636</v>
      </c>
      <c r="G376" s="110">
        <f t="shared" si="145"/>
        <v>0.27441195854121059</v>
      </c>
      <c r="H376" s="414" t="b">
        <f>Wh_hp&gt;='2020'!Maxi_hp</f>
        <v>0</v>
      </c>
      <c r="I376" s="380">
        <f>IF(H376,Wh_hp,'2020'!Maxi_hp)</f>
        <v>4.189167722678377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2.9114644060371786E-2</v>
      </c>
      <c r="M376" s="850"/>
      <c r="N376" s="850"/>
      <c r="O376" s="48">
        <f>IF(t&lt;Tnet,'2020'!Resal+('2020'!Salim-'2020'!Resal)*(1-EXP(('2020'!Tnet-t)/('2020'!Tau_j))),Resal+(Salim-Resal)*(1-EXP((Tnet-t)/(Tau_j))))*Salcycl</f>
        <v>5.5868506836456472E-2</v>
      </c>
      <c r="P376" s="169">
        <f>(INDEX(Models!$BJ376:$BT376,,T376)*(1-R376)+INDEX(Models!$BJ376:$BT376,,T376+1)*R376-ERP_i)*Q376*Ramure*Pc/MaxiM</f>
        <v>3.4401782719432429E-2</v>
      </c>
      <c r="Q376" s="305">
        <f t="shared" si="125"/>
        <v>0.7</v>
      </c>
      <c r="R376" s="177">
        <f t="shared" si="126"/>
        <v>0.49999996881040842</v>
      </c>
      <c r="S376" s="817">
        <f t="shared" si="127"/>
        <v>-1</v>
      </c>
      <c r="T376" s="176">
        <f t="shared" si="128"/>
        <v>5</v>
      </c>
      <c r="U376" s="251">
        <f t="shared" si="129"/>
        <v>-0.50000003118959158</v>
      </c>
      <c r="V376" s="383">
        <f t="shared" si="130"/>
        <v>11.450144577278326</v>
      </c>
      <c r="W376" s="402"/>
      <c r="X376" s="157">
        <f t="shared" si="131"/>
        <v>44558</v>
      </c>
      <c r="Y376" s="385">
        <f t="shared" si="132"/>
        <v>3.0296838417914187</v>
      </c>
      <c r="Z376" s="385">
        <f t="shared" si="133"/>
        <v>3.1205371707963128</v>
      </c>
      <c r="AA376" s="386">
        <f t="shared" si="134"/>
        <v>3.5499081269612636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0.12095269533989166</v>
      </c>
      <c r="AD376" s="231">
        <f>(INDEX(Models!$BJ376:$BT376,,AH376)*(1-AF376)+INDEX(Models!$BJ376:$BT376,,AH376+1)*AF376-ERP_i)*AE376*Ramure*Pc/MaxiM</f>
        <v>3.4401782719432429E-2</v>
      </c>
      <c r="AE376" s="305">
        <f t="shared" si="136"/>
        <v>0.7</v>
      </c>
      <c r="AF376" s="177">
        <f t="shared" si="137"/>
        <v>0.49999996881040842</v>
      </c>
      <c r="AG376" s="817">
        <f t="shared" si="143"/>
        <v>-1</v>
      </c>
      <c r="AH376" s="176">
        <f t="shared" si="138"/>
        <v>5</v>
      </c>
      <c r="AI376" s="225">
        <f t="shared" si="139"/>
        <v>-0.50000003118959158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44559</v>
      </c>
      <c r="B377" s="617">
        <v>2.887</v>
      </c>
      <c r="C377" s="390"/>
      <c r="D377" s="393">
        <f t="shared" si="122"/>
        <v>2.9736396953893318</v>
      </c>
      <c r="E377" s="385">
        <f t="shared" si="144"/>
        <v>3.1500240766087693</v>
      </c>
      <c r="F377" s="385">
        <f t="shared" si="123"/>
        <v>3.1500240766087693</v>
      </c>
      <c r="G377" s="110">
        <f t="shared" si="145"/>
        <v>0.24124524056402083</v>
      </c>
      <c r="H377" s="414" t="b">
        <f>Wh_hp&gt;='2020'!Maxi_hp</f>
        <v>0</v>
      </c>
      <c r="I377" s="380">
        <f>IF(H377,Wh_hp,'2020'!Maxi_hp)</f>
        <v>12.09881611457118</v>
      </c>
      <c r="J377" s="85">
        <f>IF(H377,An,'2020'!An_max)</f>
        <v>2019</v>
      </c>
      <c r="K377" s="197">
        <f t="shared" si="124"/>
        <v>44559</v>
      </c>
      <c r="L377" s="147">
        <f>IF(t&lt;Tvie,1-EXP((T0-t)*PertePVj)+'2020'!Pspv,1-EXP((T0-t)*PertePVj)+Pspv)</f>
        <v>2.9135908941378408E-2</v>
      </c>
      <c r="M377" s="850"/>
      <c r="N377" s="850"/>
      <c r="O377" s="48">
        <f>IF(t&lt;Tnet,'2020'!Resal+('2020'!Salim-'2020'!Resal)*(1-EXP(('2020'!Tnet-t)/('2020'!Tau_j))),Resal+(Salim-Resal)*(1-EXP((Tnet-t)/(Tau_j))))*Salcycl</f>
        <v>5.599461366953367E-2</v>
      </c>
      <c r="P377" s="169">
        <f>(INDEX(Models!$BJ377:$BT377,,T377)*(1-R377)+INDEX(Models!$BJ377:$BT377,,T377+1)*R377-ERP_i)*Q377*Ramure*Pc/MaxiM</f>
        <v>3.4346580110815497E-2</v>
      </c>
      <c r="Q377" s="305">
        <f t="shared" si="125"/>
        <v>0.7</v>
      </c>
      <c r="R377" s="177">
        <f t="shared" si="126"/>
        <v>0.49999996881040842</v>
      </c>
      <c r="S377" s="817">
        <f t="shared" si="127"/>
        <v>-1</v>
      </c>
      <c r="T377" s="176">
        <f t="shared" si="128"/>
        <v>5</v>
      </c>
      <c r="U377" s="251">
        <f t="shared" si="129"/>
        <v>-0.50000003118959158</v>
      </c>
      <c r="V377" s="383">
        <f t="shared" si="130"/>
        <v>11.556047351244004</v>
      </c>
      <c r="W377" s="402"/>
      <c r="X377" s="157">
        <f t="shared" si="131"/>
        <v>44559</v>
      </c>
      <c r="Y377" s="385">
        <f t="shared" si="132"/>
        <v>2.6882393878947468</v>
      </c>
      <c r="Z377" s="385">
        <f t="shared" si="133"/>
        <v>2.7689142204894144</v>
      </c>
      <c r="AA377" s="386">
        <f t="shared" si="134"/>
        <v>3.1500240766087693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0.12098633116787069</v>
      </c>
      <c r="AD377" s="231">
        <f>(INDEX(Models!$BJ377:$BT377,,AH377)*(1-AF377)+INDEX(Models!$BJ377:$BT377,,AH377+1)*AF377-ERP_i)*AE377*Ramure*Pc/MaxiM</f>
        <v>3.4346580110815497E-2</v>
      </c>
      <c r="AE377" s="305">
        <f t="shared" si="136"/>
        <v>0.7</v>
      </c>
      <c r="AF377" s="177">
        <f t="shared" si="137"/>
        <v>0.49999996881040842</v>
      </c>
      <c r="AG377" s="817">
        <f t="shared" si="143"/>
        <v>-1</v>
      </c>
      <c r="AH377" s="176">
        <f t="shared" si="138"/>
        <v>5</v>
      </c>
      <c r="AI377" s="225">
        <f t="shared" si="139"/>
        <v>-0.50000003118959158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44560</v>
      </c>
      <c r="B378" s="617">
        <v>7.5960000000000001</v>
      </c>
      <c r="C378" s="390"/>
      <c r="D378" s="393">
        <f t="shared" si="122"/>
        <v>7.8241295002021127</v>
      </c>
      <c r="E378" s="385">
        <f t="shared" si="144"/>
        <v>8.2893328867618639</v>
      </c>
      <c r="F378" s="385">
        <f t="shared" si="123"/>
        <v>8.4345170946320138</v>
      </c>
      <c r="G378" s="110">
        <f t="shared" si="145"/>
        <v>0.63968967369806817</v>
      </c>
      <c r="H378" s="414" t="b">
        <f>Wh_hp&gt;='2020'!Maxi_hp</f>
        <v>0</v>
      </c>
      <c r="I378" s="380">
        <f>IF(H378,Wh_hp,'2020'!Maxi_hp)</f>
        <v>12.623938379603631</v>
      </c>
      <c r="J378" s="85">
        <f>IF(H378,An,'2020'!An_max)</f>
        <v>2019</v>
      </c>
      <c r="K378" s="197">
        <f t="shared" si="124"/>
        <v>44560</v>
      </c>
      <c r="L378" s="147">
        <f>IF(t&lt;Tvie,1-EXP((T0-t)*PertePVj)+'2020'!Pspv,1-EXP((T0-t)*PertePVj)+Pspv)</f>
        <v>2.9157173356629595E-2</v>
      </c>
      <c r="M378" s="850"/>
      <c r="N378" s="850"/>
      <c r="O378" s="48">
        <f>IF(t&lt;Tnet,'2020'!Resal+('2020'!Salim-'2020'!Resal)*(1-EXP(('2020'!Tnet-t)/('2020'!Tau_j))),Resal+(Salim-Resal)*(1-EXP((Tnet-t)/(Tau_j))))*Salcycl</f>
        <v>5.6120726832274349E-2</v>
      </c>
      <c r="P378" s="169">
        <f>(INDEX(Models!$BJ378:$BT378,,T378)*(1-R378)+INDEX(Models!$BJ378:$BT378,,T378+1)*R378-ERP_i)*Q378*Ramure*Pc/MaxiM</f>
        <v>3.4325631909087669E-2</v>
      </c>
      <c r="Q378" s="305">
        <f t="shared" si="125"/>
        <v>0.7</v>
      </c>
      <c r="R378" s="177">
        <f t="shared" si="126"/>
        <v>0.49999996881040842</v>
      </c>
      <c r="S378" s="817">
        <f t="shared" si="127"/>
        <v>-1</v>
      </c>
      <c r="T378" s="176">
        <f t="shared" si="128"/>
        <v>5</v>
      </c>
      <c r="U378" s="251">
        <f t="shared" si="129"/>
        <v>-0.50000003118959158</v>
      </c>
      <c r="V378" s="383">
        <f t="shared" si="130"/>
        <v>11.667745892907808</v>
      </c>
      <c r="W378" s="402"/>
      <c r="X378" s="157">
        <f t="shared" si="131"/>
        <v>44560</v>
      </c>
      <c r="Y378" s="385">
        <f t="shared" si="132"/>
        <v>7.0737113857833815</v>
      </c>
      <c r="Z378" s="385">
        <f t="shared" si="133"/>
        <v>7.2861550723306117</v>
      </c>
      <c r="AA378" s="386">
        <f t="shared" si="134"/>
        <v>8.2893328867618639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0.12102033156773521</v>
      </c>
      <c r="AD378" s="231">
        <f>(INDEX(Models!$BJ378:$BT378,,AH378)*(1-AF378)+INDEX(Models!$BJ378:$BT378,,AH378+1)*AF378-ERP_i)*AE378*Ramure*Pc/MaxiM</f>
        <v>3.4325631909087669E-2</v>
      </c>
      <c r="AE378" s="305">
        <f t="shared" si="136"/>
        <v>0.7</v>
      </c>
      <c r="AF378" s="177">
        <f t="shared" si="137"/>
        <v>0.49999996881040842</v>
      </c>
      <c r="AG378" s="817">
        <f t="shared" si="143"/>
        <v>-1</v>
      </c>
      <c r="AH378" s="176">
        <f t="shared" si="138"/>
        <v>5</v>
      </c>
      <c r="AI378" s="225">
        <f t="shared" si="139"/>
        <v>-0.50000003118959158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44561</v>
      </c>
      <c r="B379" s="617">
        <v>11.206</v>
      </c>
      <c r="C379" s="390"/>
      <c r="D379" s="393">
        <f t="shared" si="122"/>
        <v>11.542800892169369</v>
      </c>
      <c r="E379" s="385">
        <f t="shared" si="144"/>
        <v>12.230741290442632</v>
      </c>
      <c r="F379" s="385">
        <f t="shared" si="123"/>
        <v>12.634141180813497</v>
      </c>
      <c r="G379" s="110">
        <f t="shared" si="145"/>
        <v>0.94851362567753517</v>
      </c>
      <c r="H379" s="414" t="b">
        <f>Wh_hp&gt;='2020'!Maxi_hp</f>
        <v>1</v>
      </c>
      <c r="I379" s="380">
        <f>IF(H379,Wh_hp,'2020'!Maxi_hp)</f>
        <v>12.634141180813497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2.9178437306135563E-2</v>
      </c>
      <c r="M379" s="850"/>
      <c r="N379" s="850"/>
      <c r="O379" s="48">
        <f>IF(t&lt;Tnet,'2020'!Resal+('2020'!Salim-'2020'!Resal)*(1-EXP(('2020'!Tnet-t)/('2020'!Tau_j))),Resal+(Salim-Resal)*(1-EXP((Tnet-t)/(Tau_j))))*Salcycl</f>
        <v>5.6246827721786158E-2</v>
      </c>
      <c r="P379" s="169">
        <f>(INDEX(Models!$BJ379:$BT379,,T379)*(1-R379)+INDEX(Models!$BJ379:$BT379,,T379+1)*R379-ERP_i)*Q379*Ramure*Pc/MaxiM</f>
        <v>3.4338939357719825E-2</v>
      </c>
      <c r="Q379" s="306">
        <f t="shared" si="125"/>
        <v>0.7</v>
      </c>
      <c r="R379" s="177">
        <f t="shared" si="126"/>
        <v>0.49999996881040842</v>
      </c>
      <c r="S379" s="817">
        <f t="shared" si="127"/>
        <v>-1</v>
      </c>
      <c r="T379" s="176">
        <f t="shared" si="128"/>
        <v>5</v>
      </c>
      <c r="U379" s="307">
        <f t="shared" si="129"/>
        <v>-0.50000003118959158</v>
      </c>
      <c r="V379" s="383">
        <f t="shared" si="130"/>
        <v>11.784867637343426</v>
      </c>
      <c r="W379" s="402"/>
      <c r="X379" s="157">
        <f t="shared" si="131"/>
        <v>44561</v>
      </c>
      <c r="Y379" s="385">
        <f t="shared" si="132"/>
        <v>10.436480471795347</v>
      </c>
      <c r="Z379" s="385">
        <f t="shared" si="133"/>
        <v>10.750153141258927</v>
      </c>
      <c r="AA379" s="386">
        <f t="shared" si="134"/>
        <v>12.230741290442632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0.12105465351807169</v>
      </c>
      <c r="AD379" s="231">
        <f>(INDEX(Models!$BJ379:$BT379,,AH379)*(1-AF379)+INDEX(Models!$BJ379:$BT379,,AH379+1)*AF379-ERP_i)*AE379*Ramure*Pc/MaxiM</f>
        <v>3.4338939357719825E-2</v>
      </c>
      <c r="AE379" s="306">
        <f t="shared" si="136"/>
        <v>0.7</v>
      </c>
      <c r="AF379" s="177">
        <f t="shared" si="137"/>
        <v>0.49999996881040842</v>
      </c>
      <c r="AG379" s="817">
        <f t="shared" si="143"/>
        <v>-1</v>
      </c>
      <c r="AH379" s="176">
        <f t="shared" si="138"/>
        <v>5</v>
      </c>
      <c r="AI379" s="222">
        <f t="shared" si="139"/>
        <v>-0.50000003118959158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721"/>
      <c r="C380" s="394"/>
      <c r="D380" s="401"/>
      <c r="E380" s="387"/>
      <c r="F380" s="387"/>
      <c r="G380" s="122"/>
      <c r="H380" s="414" t="b">
        <f>Wh_hp&gt;='2020'!Maxi_hp</f>
        <v>0</v>
      </c>
      <c r="I380" s="380">
        <f>IF(H380,Wh_hp,'2020'!Maxi_hp)</f>
        <v>9.8304510021791351</v>
      </c>
      <c r="J380" s="85">
        <f>IF(H380,An,'2020'!An_max)</f>
        <v>2020</v>
      </c>
      <c r="K380" s="234"/>
      <c r="L380" s="214"/>
      <c r="M380" s="855"/>
      <c r="N380" s="855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4.189167722678377</v>
      </c>
      <c r="J381" s="57">
        <f>MIN(J15:J380)</f>
        <v>2018</v>
      </c>
      <c r="K381" s="200" t="s">
        <v>7</v>
      </c>
      <c r="L381" s="146">
        <f t="shared" ref="L381:T381" si="146">MIN(L15:L380)</f>
        <v>2.1407508274194909E-2</v>
      </c>
      <c r="M381" s="852"/>
      <c r="N381" s="852"/>
      <c r="O381" s="47">
        <f t="shared" si="146"/>
        <v>1.7112860449630465E-2</v>
      </c>
      <c r="P381" s="168">
        <f t="shared" si="146"/>
        <v>0</v>
      </c>
      <c r="Q381" s="310">
        <f t="shared" si="146"/>
        <v>0.7</v>
      </c>
      <c r="R381" s="311">
        <f t="shared" si="146"/>
        <v>0.20000067077631101</v>
      </c>
      <c r="S381" s="817">
        <f t="shared" si="146"/>
        <v>-1</v>
      </c>
      <c r="T381" s="176">
        <f t="shared" si="146"/>
        <v>5</v>
      </c>
      <c r="U381" s="252">
        <f>+MIN(U15:U380)</f>
        <v>-0.79999932922368899</v>
      </c>
      <c r="V381" s="57">
        <f>MIN(V15:V380)</f>
        <v>10.570821122899201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47">MIN(AC15:AC380)</f>
        <v>0.10388986505494321</v>
      </c>
      <c r="AD381" s="168">
        <f t="shared" si="147"/>
        <v>0</v>
      </c>
      <c r="AE381" s="310">
        <f t="shared" si="147"/>
        <v>0.7</v>
      </c>
      <c r="AF381" s="311">
        <f t="shared" si="147"/>
        <v>0.20000067077631101</v>
      </c>
      <c r="AG381" s="817">
        <f t="shared" si="147"/>
        <v>-1</v>
      </c>
      <c r="AH381" s="176">
        <f t="shared" si="147"/>
        <v>5</v>
      </c>
      <c r="AI381" s="226">
        <f>MIN(AI15:AI380)</f>
        <v>-0.79999932922368899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19.366052054794526</v>
      </c>
      <c r="C382" s="375"/>
      <c r="D382" s="375">
        <f>AVERAGE(D15:D380)</f>
        <v>19.866360508156575</v>
      </c>
      <c r="E382" s="375">
        <f>AVERAGE(E15:E380)</f>
        <v>20.987459546744439</v>
      </c>
      <c r="F382" s="376">
        <f>AVERAGE(F15:F380)</f>
        <v>21.062764071202619</v>
      </c>
      <c r="G382" s="126">
        <f>AVERAGE(G15:G380)</f>
        <v>0.66136857912443159</v>
      </c>
      <c r="H382" s="94"/>
      <c r="I382" s="376">
        <f>AVERAGE(I15:I380)</f>
        <v>28.241757299821359</v>
      </c>
      <c r="J382" s="59">
        <f>AVERAGE(J15:J380)</f>
        <v>2019.6639344262296</v>
      </c>
      <c r="K382" s="200" t="s">
        <v>8</v>
      </c>
      <c r="L382" s="147">
        <f t="shared" ref="L382:V382" si="148">AVERAGE(L15:L380)</f>
        <v>2.5298121490599162E-2</v>
      </c>
      <c r="M382" s="850"/>
      <c r="N382" s="850"/>
      <c r="O382" s="48">
        <f t="shared" si="148"/>
        <v>5.9043268771292373E-2</v>
      </c>
      <c r="P382" s="169">
        <f t="shared" si="148"/>
        <v>1.2004038320636984E-2</v>
      </c>
      <c r="Q382" s="312">
        <f t="shared" si="148"/>
        <v>0.69999999999999529</v>
      </c>
      <c r="R382" s="177">
        <f t="shared" si="148"/>
        <v>0.36793086360073302</v>
      </c>
      <c r="S382" s="817">
        <f t="shared" si="148"/>
        <v>-1</v>
      </c>
      <c r="T382" s="176">
        <f t="shared" si="148"/>
        <v>5</v>
      </c>
      <c r="U382" s="251">
        <f t="shared" si="148"/>
        <v>-0.63206913639926676</v>
      </c>
      <c r="V382" s="59">
        <f t="shared" si="148"/>
        <v>28.275518659555324</v>
      </c>
      <c r="X382" s="112" t="s">
        <v>8</v>
      </c>
      <c r="Y382" s="375">
        <f>AVERAGE(Y15:Y380)</f>
        <v>18.098535205466849</v>
      </c>
      <c r="Z382" s="375">
        <f>AVERAGE(Z15:Z380)</f>
        <v>18.565262666690067</v>
      </c>
      <c r="AA382" s="375">
        <f>AVERAGE(AA15:AA380)</f>
        <v>20.987459546744439</v>
      </c>
      <c r="AB382" s="200" t="s">
        <v>8</v>
      </c>
      <c r="AC382" s="48">
        <f t="shared" ref="AC382:AH382" si="149">AVERAGE(AC15:AC380)</f>
        <v>0.11512614388141545</v>
      </c>
      <c r="AD382" s="169">
        <f t="shared" si="149"/>
        <v>1.2004038320636984E-2</v>
      </c>
      <c r="AE382" s="312">
        <f t="shared" si="149"/>
        <v>0.69999999999999529</v>
      </c>
      <c r="AF382" s="177">
        <f t="shared" si="149"/>
        <v>0.36793086360073302</v>
      </c>
      <c r="AG382" s="817">
        <f t="shared" si="149"/>
        <v>-1</v>
      </c>
      <c r="AH382" s="176">
        <f t="shared" si="149"/>
        <v>5</v>
      </c>
      <c r="AI382" s="225">
        <f>AVERAGE(AI15:AI380)</f>
        <v>-0.63206913639926676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41.637999999999998</v>
      </c>
      <c r="C383" s="377"/>
      <c r="D383" s="377">
        <f>MAX(D15:D380)</f>
        <v>42.678602172516406</v>
      </c>
      <c r="E383" s="377">
        <f>MAX(E15:E380)</f>
        <v>43.678078338959317</v>
      </c>
      <c r="F383" s="378">
        <f>MAX(F15:F380)</f>
        <v>43.678078338959317</v>
      </c>
      <c r="G383" s="127">
        <f>+MAX(G15:G380)</f>
        <v>1.0430622640063094</v>
      </c>
      <c r="H383" s="94"/>
      <c r="I383" s="378">
        <f>MAX(I15:I380)</f>
        <v>45.292153927540518</v>
      </c>
      <c r="J383" s="60">
        <f>MAX(J15:J380)</f>
        <v>2021</v>
      </c>
      <c r="K383" s="200" t="s">
        <v>9</v>
      </c>
      <c r="L383" s="148">
        <f t="shared" ref="L383:T383" si="150">MAX(L15:L380)</f>
        <v>2.9178437306135563E-2</v>
      </c>
      <c r="M383" s="853"/>
      <c r="N383" s="853"/>
      <c r="O383" s="49">
        <f t="shared" si="150"/>
        <v>0.10948718126116785</v>
      </c>
      <c r="P383" s="170">
        <f t="shared" si="150"/>
        <v>4.3205308241143367E-2</v>
      </c>
      <c r="Q383" s="313">
        <f t="shared" si="150"/>
        <v>0.7</v>
      </c>
      <c r="R383" s="314">
        <f t="shared" si="150"/>
        <v>0.49999996881040842</v>
      </c>
      <c r="S383" s="818">
        <f t="shared" si="150"/>
        <v>-1</v>
      </c>
      <c r="T383" s="233">
        <f t="shared" si="150"/>
        <v>5</v>
      </c>
      <c r="U383" s="253">
        <f>+MAX(U15:U380)</f>
        <v>-0.50000003118959158</v>
      </c>
      <c r="V383" s="60">
        <f>MAX(V15:V380)</f>
        <v>41.503992128214819</v>
      </c>
      <c r="X383" s="112" t="s">
        <v>9</v>
      </c>
      <c r="Y383" s="377">
        <f>MAX(Y15:Y380)</f>
        <v>37.792998515105594</v>
      </c>
      <c r="Z383" s="377">
        <f>MAX(Z15:Z380)</f>
        <v>38.737507770130534</v>
      </c>
      <c r="AA383" s="377">
        <f>MAX(AA15:AA380)</f>
        <v>43.678078338959317</v>
      </c>
      <c r="AB383" s="200" t="s">
        <v>9</v>
      </c>
      <c r="AC383" s="49">
        <f t="shared" ref="AC383:AH383" si="151">MAX(AC15:AC380)</f>
        <v>0.12197821721545987</v>
      </c>
      <c r="AD383" s="170">
        <f t="shared" si="151"/>
        <v>4.3205308241143367E-2</v>
      </c>
      <c r="AE383" s="313">
        <f t="shared" si="151"/>
        <v>0.7</v>
      </c>
      <c r="AF383" s="314">
        <f t="shared" si="151"/>
        <v>0.49999996881040842</v>
      </c>
      <c r="AG383" s="818">
        <f t="shared" si="151"/>
        <v>-1</v>
      </c>
      <c r="AH383" s="233">
        <f t="shared" si="151"/>
        <v>5</v>
      </c>
      <c r="AI383" s="227">
        <f>MAX(AI15:AI380)</f>
        <v>-0.50000003118959158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65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67</v>
      </c>
      <c r="H384" s="404"/>
      <c r="I384" s="405" t="s">
        <v>6</v>
      </c>
      <c r="J384" s="405" t="s">
        <v>113</v>
      </c>
      <c r="K384" s="406"/>
      <c r="L384" s="405" t="s">
        <v>66</v>
      </c>
      <c r="M384" s="407"/>
      <c r="N384" s="407"/>
      <c r="O384" s="407" t="s">
        <v>66</v>
      </c>
      <c r="P384" s="407" t="s">
        <v>66</v>
      </c>
      <c r="Q384" s="405" t="s">
        <v>66</v>
      </c>
      <c r="R384" s="405" t="s">
        <v>67</v>
      </c>
      <c r="S384" s="405" t="s">
        <v>81</v>
      </c>
      <c r="T384" s="405" t="s">
        <v>67</v>
      </c>
      <c r="U384" s="408" t="s">
        <v>81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66</v>
      </c>
      <c r="AD384" s="405" t="s">
        <v>66</v>
      </c>
      <c r="AE384" s="405" t="s">
        <v>66</v>
      </c>
      <c r="AF384" s="405" t="s">
        <v>67</v>
      </c>
      <c r="AG384" s="405" t="s">
        <v>81</v>
      </c>
      <c r="AH384" s="405" t="s">
        <v>67</v>
      </c>
      <c r="AI384" s="408" t="s">
        <v>81</v>
      </c>
      <c r="AJ384" s="835"/>
      <c r="AK384" s="835"/>
      <c r="AL384" s="835"/>
      <c r="AM384" s="835"/>
      <c r="AN384" s="404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4" priority="7" stopIfTrue="1" operator="lessThan">
      <formula>0.01</formula>
    </cfRule>
    <cfRule type="cellIs" dxfId="13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C10" sqref="AC1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39">
        <f>'2021'!An+1</f>
        <v>2022</v>
      </c>
      <c r="K1" s="1240"/>
      <c r="L1" s="113" t="str">
        <f>"Calcul pertes et enveloppes en "&amp;TEXT(An,0)</f>
        <v>Calcul pertes et enveloppes en 2022</v>
      </c>
      <c r="M1" s="243"/>
      <c r="N1" s="243"/>
      <c r="V1" s="458"/>
      <c r="W1" s="456"/>
      <c r="X1" s="486" t="str">
        <f>"Prévision sans nettoyage ni taille végétation en "&amp;TEXT(An,0)</f>
        <v>Prévision sans nettoyage ni taille végétation en 2022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4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91"/>
      <c r="R2" s="18"/>
      <c r="S2" s="494"/>
      <c r="T2" s="494"/>
      <c r="U2" s="294" t="s">
        <v>75</v>
      </c>
      <c r="V2" s="495">
        <f>PertePVan</f>
        <v>8.0000000000000002E-3</v>
      </c>
      <c r="W2" s="451" t="s">
        <v>14</v>
      </c>
      <c r="X2" s="496"/>
      <c r="Y2" s="497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40" t="s">
        <v>272</v>
      </c>
      <c r="AK2" s="840" t="s">
        <v>274</v>
      </c>
      <c r="AL2" s="840" t="s">
        <v>273</v>
      </c>
      <c r="AM2" s="840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49">
        <f>Tmaj</f>
        <v>44926</v>
      </c>
      <c r="F3" s="1249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51"/>
      <c r="U3" s="209" t="s">
        <v>164</v>
      </c>
      <c r="V3" s="634">
        <f>Salim_i</f>
        <v>0.14000000000000001</v>
      </c>
      <c r="W3" s="451"/>
      <c r="X3" s="501" t="s">
        <v>92</v>
      </c>
      <c r="Y3" s="502"/>
      <c r="Z3" s="503"/>
      <c r="AA3" s="497"/>
      <c r="AB3" s="497"/>
      <c r="AC3" s="429"/>
      <c r="AD3" s="429"/>
      <c r="AE3" s="429"/>
      <c r="AF3" s="429"/>
      <c r="AG3" s="429"/>
      <c r="AH3" s="429"/>
      <c r="AI3" s="429"/>
      <c r="AJ3" s="838">
        <f>AL11-AJ11</f>
        <v>0</v>
      </c>
      <c r="AK3" s="839">
        <f>AM11-AK11</f>
        <v>0</v>
      </c>
      <c r="AL3" s="838"/>
      <c r="AM3" s="839"/>
      <c r="AN3" s="837" t="s">
        <v>281</v>
      </c>
    </row>
    <row r="4" spans="1:40" s="19" customFormat="1" ht="16.5" customHeight="1" x14ac:dyDescent="0.3">
      <c r="A4" s="35"/>
      <c r="B4" s="28"/>
      <c r="C4" s="28"/>
      <c r="D4" s="83" t="s">
        <v>128</v>
      </c>
      <c r="E4" s="1188" t="str">
        <f>Station</f>
        <v>Donneville</v>
      </c>
      <c r="F4" s="1189"/>
      <c r="G4" s="1189"/>
      <c r="H4" s="1189"/>
      <c r="I4" s="1190"/>
      <c r="J4" s="158"/>
      <c r="K4" s="191"/>
      <c r="L4" s="505"/>
      <c r="M4" s="504"/>
      <c r="N4" s="504"/>
      <c r="O4" s="429"/>
      <c r="P4" s="34"/>
      <c r="Q4" s="504"/>
      <c r="R4" s="34"/>
      <c r="S4" s="494"/>
      <c r="T4" s="409"/>
      <c r="U4" s="295" t="s">
        <v>78</v>
      </c>
      <c r="V4" s="633">
        <f>Persistant</f>
        <v>0.8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9"/>
      <c r="AD4" s="429"/>
      <c r="AE4" s="429"/>
      <c r="AF4" s="429"/>
      <c r="AG4" s="429"/>
      <c r="AH4" s="429"/>
      <c r="AI4" s="429"/>
      <c r="AJ4" s="838">
        <f>AL12-AJ12</f>
        <v>403.84768092544482</v>
      </c>
      <c r="AK4" s="839">
        <f>AM12-AK12</f>
        <v>-1.9762050481268716</v>
      </c>
      <c r="AL4" s="838"/>
      <c r="AM4" s="839"/>
      <c r="AN4" s="837" t="s">
        <v>282</v>
      </c>
    </row>
    <row r="5" spans="1:40" s="35" customFormat="1" ht="16.5" customHeight="1" x14ac:dyDescent="0.25">
      <c r="D5" s="161" t="s">
        <v>20</v>
      </c>
      <c r="E5" s="1250">
        <f>T0</f>
        <v>43209</v>
      </c>
      <c r="F5" s="1250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403.54404421488664</v>
      </c>
      <c r="AA5" s="237">
        <f>Wh_Pvg_s-Wh_Pvg</f>
        <v>-1.9937197098665465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3.5799000000000003</v>
      </c>
      <c r="AK5" s="515">
        <f>SUMIF(AK15:AK380,"VRAI",Wh)</f>
        <v>3.5799000000000003</v>
      </c>
      <c r="AL5" s="515">
        <f>SUMIF(AJ15:AJ380,"VRAI",Wh_s)</f>
        <v>0</v>
      </c>
      <c r="AM5" s="515">
        <f>SUMIF(AK15:AK380,"VRAI",Wh_s)</f>
        <v>0</v>
      </c>
      <c r="AN5" s="837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51">
        <f>Tservice</f>
        <v>43249</v>
      </c>
      <c r="F6" s="1251"/>
      <c r="G6" s="95"/>
      <c r="H6" s="35"/>
      <c r="I6" s="35"/>
      <c r="J6" s="8"/>
      <c r="K6" s="193"/>
      <c r="L6" s="154" t="s">
        <v>79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2"/>
      <c r="X6" s="496"/>
      <c r="Y6" s="497"/>
      <c r="Z6" s="462"/>
      <c r="AA6" s="462"/>
      <c r="AB6" s="515"/>
      <c r="AC6" s="462"/>
      <c r="AD6" s="462"/>
      <c r="AE6" s="462"/>
      <c r="AF6" s="462"/>
      <c r="AG6" s="462"/>
      <c r="AH6" s="462"/>
      <c r="AI6" s="462"/>
      <c r="AJ6" s="515">
        <f>SUMIF(AJ15:AJ380,"FAUX",Wh)</f>
        <v>7088.1520999999957</v>
      </c>
      <c r="AK6" s="515">
        <f>SUMIF(AK15:AK380,"FAUX",Wh)</f>
        <v>7088.1520999999957</v>
      </c>
      <c r="AL6" s="515">
        <f>SUMIF(AJ15:AJ380,"FAUX",Wh_s)</f>
        <v>6684.2267169728093</v>
      </c>
      <c r="AM6" s="515">
        <f>SUMIF(AK15:AK380,"FAUX",Wh_s)</f>
        <v>6684.2267169728093</v>
      </c>
      <c r="AN6" s="837" t="s">
        <v>279</v>
      </c>
    </row>
    <row r="7" spans="1:40" s="40" customFormat="1" ht="15" customHeight="1" x14ac:dyDescent="0.25">
      <c r="A7" s="183"/>
      <c r="B7" s="178"/>
      <c r="C7" s="178"/>
      <c r="D7" s="22" t="s">
        <v>108</v>
      </c>
      <c r="E7" s="320" t="b">
        <f>AND(YEAR(Tnet)=An,Resal_2022="I")</f>
        <v>0</v>
      </c>
      <c r="F7" s="320" t="b">
        <f>YEAR(Tnet)=An</f>
        <v>0</v>
      </c>
      <c r="J7" s="178"/>
      <c r="K7" s="191"/>
      <c r="L7" s="189" t="s">
        <v>77</v>
      </c>
      <c r="M7" s="848"/>
      <c r="N7" s="848"/>
      <c r="O7" s="18"/>
      <c r="P7" s="118"/>
      <c r="Q7" s="118"/>
      <c r="R7" s="141"/>
      <c r="S7" s="141"/>
      <c r="T7" s="141"/>
      <c r="U7" s="141"/>
      <c r="V7" s="429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7" t="s">
        <v>270</v>
      </c>
    </row>
    <row r="8" spans="1:40" s="6" customFormat="1" ht="15" customHeight="1" x14ac:dyDescent="0.25">
      <c r="A8" s="34"/>
      <c r="B8" s="210"/>
      <c r="C8" s="210"/>
      <c r="D8" s="22" t="s">
        <v>80</v>
      </c>
      <c r="E8" s="320" t="b">
        <f>AND(YEAR(Tnet)=An,Resal_2022&lt;&gt;"I")</f>
        <v>0</v>
      </c>
      <c r="F8" s="321" t="b">
        <f>YEAR(Ttai)=An</f>
        <v>0</v>
      </c>
      <c r="H8" s="179" t="s">
        <v>72</v>
      </c>
      <c r="I8" s="98"/>
      <c r="J8" s="158"/>
      <c r="K8" s="191"/>
      <c r="L8" s="114"/>
      <c r="M8" s="114"/>
      <c r="N8" s="114"/>
      <c r="O8" s="115" t="s">
        <v>59</v>
      </c>
      <c r="P8" s="18"/>
      <c r="Q8" s="18"/>
      <c r="R8" s="18"/>
      <c r="S8" s="18"/>
      <c r="T8" s="18"/>
      <c r="U8" s="18"/>
      <c r="V8" s="517"/>
      <c r="W8" s="404"/>
      <c r="X8" s="1237" t="s">
        <v>98</v>
      </c>
      <c r="Y8" s="1238"/>
      <c r="Z8" s="497"/>
      <c r="AA8" s="497"/>
      <c r="AB8" s="462"/>
      <c r="AC8" s="519" t="s">
        <v>59</v>
      </c>
      <c r="AD8" s="462"/>
      <c r="AE8" s="462"/>
      <c r="AF8" s="462"/>
      <c r="AG8" s="462"/>
      <c r="AH8" s="462"/>
      <c r="AI8" s="462"/>
      <c r="AJ8" s="515">
        <f>SUMIF(AJ15:AJ380,"FAUX",Wh_pvt)</f>
        <v>7329.4217697750946</v>
      </c>
      <c r="AK8" s="515">
        <f>SUMIF(AK15:AK380,"FAUX",Wh_sa)</f>
        <v>7951.0820162817317</v>
      </c>
      <c r="AL8" s="515">
        <f>SUMIF(AJ15:AJ380,"FAUX",Wh_pvt_s)</f>
        <v>6911.8172401575703</v>
      </c>
      <c r="AM8" s="515">
        <f>SUMIF(AK15:AK380,"FAUX",Wh_sa_s)</f>
        <v>7951.0820162817317</v>
      </c>
      <c r="AN8" s="837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7329.4217697750946</v>
      </c>
      <c r="E9" s="184">
        <f>SUM(E$15:E$380)</f>
        <v>7951.0820162817317</v>
      </c>
      <c r="F9" s="184">
        <f>SUM(F$15:F$380)</f>
        <v>7989.9826872444901</v>
      </c>
      <c r="H9" s="1241">
        <f>+SUM(Wh)</f>
        <v>7091.7319999999954</v>
      </c>
      <c r="I9" s="1242"/>
      <c r="J9" s="1243"/>
      <c r="K9" s="191"/>
      <c r="L9" s="232"/>
      <c r="M9" s="232"/>
      <c r="N9" s="232"/>
      <c r="O9" s="223">
        <f>Tnet_2022</f>
        <v>44306</v>
      </c>
      <c r="P9" s="244" t="s">
        <v>87</v>
      </c>
      <c r="Q9" s="245"/>
      <c r="R9" s="245"/>
      <c r="S9" s="245"/>
      <c r="T9" s="245"/>
      <c r="U9" s="246"/>
      <c r="V9" s="462"/>
      <c r="W9" s="520"/>
      <c r="X9" s="1235">
        <f>+SUM(Wh_s)</f>
        <v>6684.2267169728093</v>
      </c>
      <c r="Y9" s="1236"/>
      <c r="Z9" s="515">
        <f>SUM(Z$15:Z$380)</f>
        <v>6911.8172401575703</v>
      </c>
      <c r="AA9" s="515">
        <f>SUM(AA$15:AA$380)</f>
        <v>7951.0820162817317</v>
      </c>
      <c r="AB9" s="515">
        <f>F9</f>
        <v>7989.9826872444901</v>
      </c>
      <c r="AC9" s="325">
        <f>IF(An_Tnet,Tnet,'2021'!Tnet_s)</f>
        <v>44306</v>
      </c>
      <c r="AD9" s="316" t="s">
        <v>87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7" t="s">
        <v>276</v>
      </c>
    </row>
    <row r="10" spans="1:40" s="19" customFormat="1" ht="15" customHeight="1" x14ac:dyDescent="0.25">
      <c r="A10" s="206"/>
      <c r="B10" s="207"/>
      <c r="C10" s="844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IF(Inflex,'2021'!Resal+('2021'!Salim-'2021'!Resal)*(1-EXP(-(Tnet-'2021'!Tnet)/('2021'!Tau_j))),IF(An_Tnet,Resal_2022,'2021'!Resal))</f>
        <v>1.7000000000000001E-2</v>
      </c>
      <c r="P10" s="422" t="b">
        <f>NOT(Acti_tai)</f>
        <v>1</v>
      </c>
      <c r="Q10" s="257">
        <f>IF(Acti_tai,'2021'!PousD,Dens-Dd)</f>
        <v>0</v>
      </c>
      <c r="R10" s="274"/>
      <c r="S10" s="275"/>
      <c r="T10" s="276"/>
      <c r="U10" s="266">
        <f>IF(Acti_tai,'2021'!PousH,Hdtf-Hdd)</f>
        <v>0.30000006185595751</v>
      </c>
      <c r="V10" s="429"/>
      <c r="W10" s="504"/>
      <c r="X10" s="505"/>
      <c r="Y10" s="521" t="s">
        <v>26</v>
      </c>
      <c r="Z10" s="511" t="s">
        <v>27</v>
      </c>
      <c r="AA10" s="511" t="s">
        <v>28</v>
      </c>
      <c r="AB10" s="429"/>
      <c r="AC10" s="318">
        <f>IF(OR(Inflex,GainD),'2021'!Resal_s+('2021'!Salim-'2021'!Resal_s)*(1-EXP(('2021'!Tnet_s-Tnet)/('2021'!Tau_j))),IF(Acti_net,'2021'!Resal+('2021'!Salim-'2021'!Resal)*(1-EXP(('2021'!Tnet-Tnet)/'2021'!Tau_j)),'2021'!Resal_s))</f>
        <v>0.10884724461863916</v>
      </c>
      <c r="AD10" s="429"/>
      <c r="AE10" s="429"/>
      <c r="AF10" s="260"/>
      <c r="AG10" s="261"/>
      <c r="AH10" s="262"/>
      <c r="AI10" s="472"/>
      <c r="AJ10" s="515">
        <f>SUMIF(AJ15:AJ380,"FAUX",Wh_sa)</f>
        <v>7951.0820162817317</v>
      </c>
      <c r="AK10" s="515">
        <f>SUMIF(AK15:AK380,"FAUX",Wh_hp)</f>
        <v>7989.9826872444901</v>
      </c>
      <c r="AL10" s="515">
        <f>SUMIF(AJ15:AJ380,"FAUX",Wh_sa_s)</f>
        <v>7951.0820162817317</v>
      </c>
      <c r="AM10" s="515">
        <f>SUMIF(AK15:AK380,"FAUX",Wh_hp)</f>
        <v>7989.9826872444901</v>
      </c>
      <c r="AN10" s="837" t="s">
        <v>277</v>
      </c>
    </row>
    <row r="11" spans="1:40" s="40" customFormat="1" ht="15" customHeight="1" x14ac:dyDescent="0.25">
      <c r="A11" s="216"/>
      <c r="B11" s="217" t="s">
        <v>43</v>
      </c>
      <c r="C11" s="845"/>
      <c r="D11" s="50">
        <f>D$9-Prod_an</f>
        <v>237.68976977509919</v>
      </c>
      <c r="E11" s="51">
        <f>(E$9-D$9)*Prod_an/D$9</f>
        <v>601.50009124311646</v>
      </c>
      <c r="F11" s="186">
        <f>(F$9-E$9)*Prod_an/E$9</f>
        <v>34.696300770530115</v>
      </c>
      <c r="G11" s="185" t="s">
        <v>6</v>
      </c>
      <c r="K11" s="194"/>
      <c r="L11" s="211">
        <f>Tvie_2022</f>
        <v>43209</v>
      </c>
      <c r="M11" s="849"/>
      <c r="N11" s="849"/>
      <c r="O11" s="202">
        <f>IF(An_Tnet,Salim_2022,'2021'!Salim)</f>
        <v>0.15</v>
      </c>
      <c r="P11" s="256">
        <f>Ttai_2022</f>
        <v>43101</v>
      </c>
      <c r="Q11" s="272">
        <f>Dens_2022</f>
        <v>0.7</v>
      </c>
      <c r="R11" s="277"/>
      <c r="S11" s="230"/>
      <c r="T11" s="230"/>
      <c r="U11" s="266">
        <f>Htf_2022</f>
        <v>-0.19999996933363406</v>
      </c>
      <c r="V11" s="19"/>
      <c r="W11" s="841"/>
      <c r="X11" s="235" t="s">
        <v>43</v>
      </c>
      <c r="Y11" s="50">
        <f>Z$9-Prod_an_s</f>
        <v>227.59052318476097</v>
      </c>
      <c r="Z11" s="51">
        <f>(AA$9-Z$9)*Prod_an_s/Z$9</f>
        <v>1005.0441354580031</v>
      </c>
      <c r="AA11" s="186">
        <f>(AB$9-AA$9)*Prod_an_s/AA$9</f>
        <v>32.702581060663569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8">
        <f>IF($AJ7=0,0,($AJ9-$AJ7)*$AJ5/$AJ7)</f>
        <v>0</v>
      </c>
      <c r="AK11" s="839">
        <f>IF($AK7=0,0,($AK9-$AK7)*$AK5/$AK7)</f>
        <v>0</v>
      </c>
      <c r="AL11" s="838">
        <f>IF($AL7=0,0,($AL9-$AL7)*$AL5/$AL7)</f>
        <v>0</v>
      </c>
      <c r="AM11" s="839">
        <f>IF($AM7=0,0,($AM9-$AM7)*$AM5/$AM7)</f>
        <v>0</v>
      </c>
      <c r="AN11" s="837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4.129892302115179E-2</v>
      </c>
      <c r="K12" s="191"/>
      <c r="L12" s="212">
        <f>Pspv_2022</f>
        <v>0</v>
      </c>
      <c r="M12" s="212"/>
      <c r="N12" s="212"/>
      <c r="O12" s="205">
        <f>IF(An_Tnet,Tau_2022*365,'2021'!Tau_j)</f>
        <v>730</v>
      </c>
      <c r="P12" s="281">
        <f>INDEX(Croivg,MIN(MAX(Ttai-$A$15,0)+1,366))</f>
        <v>2.3909964587625958E-6</v>
      </c>
      <c r="Q12" s="280">
        <f>'2021'!Df</f>
        <v>0.7</v>
      </c>
      <c r="R12" s="278"/>
      <c r="S12" s="279"/>
      <c r="T12" s="279"/>
      <c r="U12" s="267">
        <f>'2021'!Hdf</f>
        <v>-0.50000003118959158</v>
      </c>
      <c r="V12" s="40"/>
      <c r="W12" s="34"/>
      <c r="X12" s="54"/>
      <c r="Y12" s="34"/>
      <c r="AB12" s="319" t="s">
        <v>102</v>
      </c>
      <c r="AC12" s="318" t="b">
        <f>NOT(An_Tnet)</f>
        <v>1</v>
      </c>
      <c r="AE12" s="296">
        <f>'2021'!Df_s</f>
        <v>0.7</v>
      </c>
      <c r="AF12" s="203"/>
      <c r="AG12" s="203"/>
      <c r="AH12" s="203"/>
      <c r="AI12" s="297">
        <f>'2021'!Hdf_s</f>
        <v>-0.50000003118959158</v>
      </c>
      <c r="AJ12" s="838">
        <f>IF($AJ8=0,0,($AJ10-$AJ8)*$AJ6/$AJ8)</f>
        <v>601.19645453255828</v>
      </c>
      <c r="AK12" s="839">
        <f>IF($AK8=0,0,($AK10-$AK8)*$AK6/$AK8)</f>
        <v>34.67878610879044</v>
      </c>
      <c r="AL12" s="838">
        <f>IF($AL8=0,0,($AL10-$AL8)*$AL6/$AL8)</f>
        <v>1005.0441354580031</v>
      </c>
      <c r="AM12" s="839">
        <f>IF($AM8=0,0,($AM10-$AM8)*$AM6/$AM8)</f>
        <v>32.702581060663569</v>
      </c>
      <c r="AN12" s="837" t="s">
        <v>284</v>
      </c>
    </row>
    <row r="13" spans="1:40" s="37" customFormat="1" ht="11.25" x14ac:dyDescent="0.2">
      <c r="A13" s="130" t="s">
        <v>64</v>
      </c>
      <c r="B13" s="124" t="s">
        <v>34</v>
      </c>
      <c r="C13" s="124"/>
      <c r="D13" s="124" t="s">
        <v>68</v>
      </c>
      <c r="E13" s="124" t="s">
        <v>69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42" t="s">
        <v>46</v>
      </c>
      <c r="X13" s="259"/>
      <c r="Y13" s="124" t="s">
        <v>96</v>
      </c>
      <c r="Z13" s="124" t="s">
        <v>97</v>
      </c>
      <c r="AA13" s="124" t="s">
        <v>70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601.19645453255828</v>
      </c>
      <c r="AK13" s="73">
        <f>+AK11+AK12</f>
        <v>34.67878610879044</v>
      </c>
      <c r="AL13" s="73">
        <f>+AL11+AL12</f>
        <v>1005.0441354580031</v>
      </c>
      <c r="AM13" s="73">
        <f>+AM11+AM12</f>
        <v>32.702581060663569</v>
      </c>
      <c r="AN13" s="836" t="s">
        <v>285</v>
      </c>
    </row>
    <row r="14" spans="1:40" s="46" customFormat="1" ht="40.5" customHeight="1" thickBot="1" x14ac:dyDescent="0.25">
      <c r="A14" s="45" t="s">
        <v>2</v>
      </c>
      <c r="B14" s="416" t="s">
        <v>187</v>
      </c>
      <c r="C14" s="416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3" t="s">
        <v>112</v>
      </c>
      <c r="I14" s="79" t="s">
        <v>3</v>
      </c>
      <c r="J14" s="79" t="s">
        <v>31</v>
      </c>
      <c r="K14" s="196"/>
      <c r="L14" s="23" t="s">
        <v>63</v>
      </c>
      <c r="M14" s="23"/>
      <c r="N14" s="23"/>
      <c r="O14" s="23" t="s">
        <v>61</v>
      </c>
      <c r="P14" s="23" t="s">
        <v>83</v>
      </c>
      <c r="Q14" s="23" t="s">
        <v>84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2022</v>
      </c>
      <c r="W14" s="843" t="s">
        <v>111</v>
      </c>
      <c r="X14" s="258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131</v>
      </c>
      <c r="AD14" s="23" t="s">
        <v>132</v>
      </c>
      <c r="AE14" s="23" t="s">
        <v>95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7" t="s">
        <v>268</v>
      </c>
      <c r="AK14" s="697" t="s">
        <v>269</v>
      </c>
      <c r="AL14" s="265"/>
      <c r="AM14" s="265"/>
      <c r="AN14" s="75"/>
    </row>
    <row r="15" spans="1:40" s="6" customFormat="1" ht="11.25" x14ac:dyDescent="0.2">
      <c r="A15" s="56">
        <f>DATE(An,1,1)</f>
        <v>44562</v>
      </c>
      <c r="B15" s="1105">
        <v>11.614000000000001</v>
      </c>
      <c r="C15" s="846"/>
      <c r="D15" s="393">
        <f t="shared" ref="D15:D78" si="0">Wh/(1-Ppv)</f>
        <v>11.963325525805779</v>
      </c>
      <c r="E15" s="400">
        <f t="shared" ref="E15:E79" si="1">Wh_pvt/(1-Psa)</f>
        <v>12.678022406590586</v>
      </c>
      <c r="F15" s="400">
        <f t="shared" ref="F15:F78" si="2">Wh_sa/(1-Pvg*MEDIAN((-Sdif+Wh/Env_an)/Csdif,0,1))</f>
        <v>13.113081184620425</v>
      </c>
      <c r="G15" s="123">
        <f>+Wh_hp/MaxiM</f>
        <v>0.97416967955437106</v>
      </c>
      <c r="H15" s="414" t="b">
        <f>Wh_hp&gt;='2021'!Maxi_hp</f>
        <v>1</v>
      </c>
      <c r="I15" s="379">
        <f>IF(H15,Wh_hp,'2021'!Maxi_hp)</f>
        <v>13.113081184620425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2.9199700789906413E-2</v>
      </c>
      <c r="M15" s="850"/>
      <c r="N15" s="850"/>
      <c r="O15" s="48">
        <f>IF(t&lt;Tnet,'2021'!Resal+('2021'!Salim-'2021'!Resal)*(1-EXP(('2021'!Tnet-t)/('2021'!Tau_j))),Resal+(Salim-Resal)*(1-EXP((Tnet-t)/(Tau_j))))*Salcycl</f>
        <v>5.6372899326418278E-2</v>
      </c>
      <c r="P15" s="338">
        <f>(INDEX(Models!$BJ15:$BT15,,T15)*(1-R15)+INDEX(Models!$BJ15:$BT15,,T15+1)*R15-ERP_i)*Q15*Ramure*Pc/MaxiM</f>
        <v>3.4386424182960978E-2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0.50000068610949389</v>
      </c>
      <c r="S15" s="816">
        <f t="shared" ref="S15:S78" si="6">INDEX(Echel_vg,T15)</f>
        <v>-1</v>
      </c>
      <c r="T15" s="249">
        <f t="shared" ref="T15:T78" si="7">MIN(MATCH(Hp_vg,Echel_vg),10)</f>
        <v>5</v>
      </c>
      <c r="U15" s="250">
        <f>IF(OR(t&lt;Ttai,Notai),Hdd+PousH*Croivg,Hdtf+PousH*(Croivg-Croi_tai))</f>
        <v>-0.49999931389050606</v>
      </c>
      <c r="V15" s="382">
        <f t="shared" ref="V15:V78" si="8">MaxiM*(1-Ppv)*(1-Pvg)*(1-Psa)</f>
        <v>11.9070399675192</v>
      </c>
      <c r="W15" s="402">
        <f t="shared" ref="W15:W78" si="9">Wh*(A15&gt;Tmaj)</f>
        <v>0</v>
      </c>
      <c r="X15" s="156">
        <f t="shared" ref="X15:X78" si="10">t</f>
        <v>44562</v>
      </c>
      <c r="Y15" s="385">
        <f t="shared" ref="Y15:Y78" si="11">Wh_pvt_s*(1-Ppv)</f>
        <v>10.817482195094094</v>
      </c>
      <c r="Z15" s="385">
        <f>Wh_sa_s*(1-Psa_s)</f>
        <v>11.142850083478448</v>
      </c>
      <c r="AA15" s="386">
        <f t="shared" ref="AA15:AA78" si="12">Wh_hp*(1-Pvg_s*MEDIAN((-Sdif+Wh/Env_an)/Csdif,0,1))</f>
        <v>12.678022406590586</v>
      </c>
      <c r="AB15" s="197">
        <f t="shared" ref="AB15:AB78" si="13">t</f>
        <v>44562</v>
      </c>
      <c r="AC15" s="119">
        <f>IF(OR(t&lt;Tnet,NoTnet),'2021'!Resal_s+('2021'!Salim-'2021'!Resal_s)*(1-EXP(('2021'!Tnet_s-t)/'2021'!Tau_j)),Resal_s+(Salim-Resal_s)*(1-EXP((Tnet_s-t)/Tau_j)))*Salcycl</f>
        <v>0.1210892577626372</v>
      </c>
      <c r="AD15" s="231">
        <f>(INDEX(Models!$BJ15:$BT15,,AH15)*(1-AF15)+INDEX(Models!$BJ15:$BT15,,AH15+1)*AF15-ERP_i)*AE15*Ramure*Pc/MaxiM</f>
        <v>3.4386424182960978E-2</v>
      </c>
      <c r="AE15" s="303">
        <f t="shared" ref="AE15:AE78" si="14">IF(OR(t&lt;Ttai,Notai),Dd_s+PousD*Croivg,Dens_s+PousD*(Croivg-Croi_tai))</f>
        <v>0.7</v>
      </c>
      <c r="AF15" s="304">
        <f>(Hp_vg_s-AG15)/(INDEX(Echel_vg,AH15+1)-AG15)</f>
        <v>0.50000068610949389</v>
      </c>
      <c r="AG15" s="816">
        <f>INDEX(Echel_vg,AH15)</f>
        <v>-1</v>
      </c>
      <c r="AH15" s="249">
        <f t="shared" ref="AH15:AH78" si="15">MIN(MATCH(Hp_vg_s,Echel_vg),10)</f>
        <v>5</v>
      </c>
      <c r="AI15" s="224">
        <f>IF(OR(t&lt;Ttai,Notai),Hdd_s+PousH*Croivg,Hdtai_s+PousH*(Croivg-Croi_tai))</f>
        <v>-0.49999931389050606</v>
      </c>
      <c r="AJ15" s="265" t="b">
        <f t="shared" ref="AJ15:AJ78" si="16">t&lt;Tnet</f>
        <v>0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18">A15+1</f>
        <v>44563</v>
      </c>
      <c r="B16" s="1106">
        <v>9.0670000000000002</v>
      </c>
      <c r="C16" s="846"/>
      <c r="D16" s="393">
        <f t="shared" si="0"/>
        <v>9.3399215083650517</v>
      </c>
      <c r="E16" s="385">
        <f t="shared" si="1"/>
        <v>9.8992166179969168</v>
      </c>
      <c r="F16" s="385">
        <f t="shared" si="2"/>
        <v>10.125231645438662</v>
      </c>
      <c r="G16" s="110">
        <f t="shared" ref="G16:G79" si="19">+Wh_hp/MaxiM</f>
        <v>0.74409503779262198</v>
      </c>
      <c r="H16" s="414" t="b">
        <f>Wh_hp&gt;='2021'!Maxi_hp</f>
        <v>0</v>
      </c>
      <c r="I16" s="380">
        <f>IF(H16,Wh_hp,'2021'!Maxi_hp)</f>
        <v>13.53519224964062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2.922096380795236E-2</v>
      </c>
      <c r="M16" s="850"/>
      <c r="N16" s="850"/>
      <c r="O16" s="48">
        <f>IF(t&lt;Tnet,'2021'!Resal+('2021'!Salim-'2021'!Resal)*(1-EXP(('2021'!Tnet-t)/('2021'!Tau_j))),Resal+(Salim-Resal)*(1-EXP((Tnet-t)/(Tau_j))))*Salcycl</f>
        <v>5.649892624988704E-2</v>
      </c>
      <c r="P16" s="339">
        <f>(INDEX(Models!$BJ16:$BT16,,T16)*(1-R16)+INDEX(Models!$BJ16:$BT16,,T16+1)*R16-ERP_i)*Q16*Ramure*Pc/MaxiM</f>
        <v>3.4458984184906255E-2</v>
      </c>
      <c r="Q16" s="305">
        <f t="shared" si="4"/>
        <v>0.7</v>
      </c>
      <c r="R16" s="177">
        <f t="shared" si="5"/>
        <v>0.50001821488150466</v>
      </c>
      <c r="S16" s="817">
        <f t="shared" si="6"/>
        <v>-1</v>
      </c>
      <c r="T16" s="176">
        <f t="shared" si="7"/>
        <v>5</v>
      </c>
      <c r="U16" s="251">
        <f t="shared" ref="U16:U78" si="20">IF(OR(t&lt;Ttai,Notai),Hdd+PousH*Croivg,Hdtf+PousH*(Croivg-Croi_tai))</f>
        <v>-0.49998178511849534</v>
      </c>
      <c r="V16" s="383">
        <f t="shared" si="8"/>
        <v>12.034001869973773</v>
      </c>
      <c r="W16" s="402">
        <f t="shared" si="9"/>
        <v>0</v>
      </c>
      <c r="X16" s="157">
        <f t="shared" si="10"/>
        <v>44563</v>
      </c>
      <c r="Y16" s="385">
        <f t="shared" si="11"/>
        <v>8.4459550995758601</v>
      </c>
      <c r="Z16" s="385">
        <f t="shared" ref="Z16:Z78" si="21">Wh_sa_s*(1-Psa_s)</f>
        <v>8.7001828270887902</v>
      </c>
      <c r="AA16" s="386">
        <f t="shared" si="12"/>
        <v>9.8992166179969168</v>
      </c>
      <c r="AB16" s="197">
        <f t="shared" si="13"/>
        <v>44563</v>
      </c>
      <c r="AC16" s="119">
        <f>IF(OR(t&lt;Tnet,NoTnet),'2021'!Resal_s+('2021'!Salim-'2021'!Resal_s)*(1-EXP(('2021'!Tnet_s-t)/'2021'!Tau_j)),Resal_s+(Salim-Resal_s)*(1-EXP((Tnet_s-t)/Tau_j)))*Salcycl</f>
        <v>0.12112410882374941</v>
      </c>
      <c r="AD16" s="231">
        <f>(INDEX(Models!$BJ16:$BT16,,AH16)*(1-AF16)+INDEX(Models!$BJ16:$BT16,,AH16+1)*AF16-ERP_i)*AE16*Ramure*Pc/MaxiM</f>
        <v>3.4458984184906255E-2</v>
      </c>
      <c r="AE16" s="305">
        <f>IF(OR(t&lt;Ttai,Notai),Dd_s+PousD*Croivg,Dens_s+PousD*(Croivg-Croi_tai))</f>
        <v>0.7</v>
      </c>
      <c r="AF16" s="177">
        <f t="shared" ref="AF16:AF78" si="22">(Hp_vg_s-AG16)/(INDEX(Echel_vg,AH16+1)-AG16)</f>
        <v>0.50001821488150466</v>
      </c>
      <c r="AG16" s="817">
        <f t="shared" ref="AG16:AG79" si="23">INDEX(Echel_vg,AH16)</f>
        <v>-1</v>
      </c>
      <c r="AH16" s="176">
        <f t="shared" si="15"/>
        <v>5</v>
      </c>
      <c r="AI16" s="225">
        <f t="shared" ref="AI16:AI78" si="24">IF(OR(t&lt;Ttai,Notai),Hdd_s+PousH*Croivg,Hdtai_s+PousH*(Croivg-Croi_tai))</f>
        <v>-0.49998178511849534</v>
      </c>
      <c r="AJ16" s="265" t="b">
        <f t="shared" si="16"/>
        <v>0</v>
      </c>
      <c r="AK16" s="265" t="b">
        <f t="shared" si="17"/>
        <v>0</v>
      </c>
      <c r="AL16" s="265"/>
      <c r="AM16" s="265"/>
      <c r="AN16" s="75"/>
    </row>
    <row r="17" spans="1:40" s="6" customFormat="1" ht="11.25" x14ac:dyDescent="0.2">
      <c r="A17" s="56">
        <f t="shared" si="18"/>
        <v>44564</v>
      </c>
      <c r="B17" s="1106">
        <v>10.402000000000001</v>
      </c>
      <c r="C17" s="846"/>
      <c r="D17" s="393">
        <f t="shared" si="0"/>
        <v>10.715340409790594</v>
      </c>
      <c r="E17" s="385">
        <f t="shared" si="1"/>
        <v>11.358515133389846</v>
      </c>
      <c r="F17" s="385">
        <f t="shared" si="2"/>
        <v>11.678514410313179</v>
      </c>
      <c r="G17" s="110">
        <f t="shared" si="19"/>
        <v>0.84875814177225561</v>
      </c>
      <c r="H17" s="414" t="b">
        <f>Wh_hp&gt;='2021'!Maxi_hp</f>
        <v>0</v>
      </c>
      <c r="I17" s="380">
        <f>IF(H17,Wh_hp,'2021'!Maxi_hp)</f>
        <v>14.124165439868252</v>
      </c>
      <c r="J17" s="85">
        <f>IF(H17,An,'2021'!An_max)</f>
        <v>2019</v>
      </c>
      <c r="K17" s="197">
        <f t="shared" si="3"/>
        <v>44564</v>
      </c>
      <c r="L17" s="147">
        <f>IF(t&lt;Tvie,1-EXP((T0-t)*PertePVj)+'2021'!Pspv,1-EXP((T0-t)*PertePVj)+Pspv)</f>
        <v>2.924222636028373E-2</v>
      </c>
      <c r="M17" s="850"/>
      <c r="N17" s="850"/>
      <c r="O17" s="48">
        <f>IF(t&lt;Tnet,'2021'!Resal+('2021'!Salim-'2021'!Resal)*(1-EXP(('2021'!Tnet-t)/('2021'!Tau_j))),Resal+(Salim-Resal)*(1-EXP((Tnet-t)/(Tau_j))))*Salcycl</f>
        <v>5.6624894719605995E-2</v>
      </c>
      <c r="P17" s="339">
        <f>(INDEX(Models!$BJ17:$BT17,,T17)*(1-R17)+INDEX(Models!$BJ17:$BT17,,T17+1)*R17-ERP_i)*Q17*Ramure*Pc/MaxiM</f>
        <v>3.4556371037487606E-2</v>
      </c>
      <c r="Q17" s="305">
        <f t="shared" si="4"/>
        <v>0.7</v>
      </c>
      <c r="R17" s="177">
        <f t="shared" si="5"/>
        <v>0.5000364768425638</v>
      </c>
      <c r="S17" s="817">
        <f t="shared" si="6"/>
        <v>-1</v>
      </c>
      <c r="T17" s="176">
        <f t="shared" si="7"/>
        <v>5</v>
      </c>
      <c r="U17" s="251">
        <f t="shared" si="20"/>
        <v>-0.4999635231574362</v>
      </c>
      <c r="V17" s="383">
        <f t="shared" si="8"/>
        <v>12.165384982244968</v>
      </c>
      <c r="W17" s="402">
        <f t="shared" si="9"/>
        <v>0</v>
      </c>
      <c r="X17" s="157">
        <f t="shared" si="10"/>
        <v>44564</v>
      </c>
      <c r="Y17" s="385">
        <f t="shared" si="11"/>
        <v>9.6904213506042964</v>
      </c>
      <c r="Z17" s="385">
        <f t="shared" si="21"/>
        <v>9.9823268108082814</v>
      </c>
      <c r="AA17" s="386">
        <f t="shared" si="12"/>
        <v>11.358515133389846</v>
      </c>
      <c r="AB17" s="197">
        <f t="shared" si="13"/>
        <v>44564</v>
      </c>
      <c r="AC17" s="119">
        <f>IF(OR(t&lt;Tnet,NoTnet),'2021'!Resal_s+('2021'!Salim-'2021'!Resal_s)*(1-EXP(('2021'!Tnet_s-t)/'2021'!Tau_j)),Resal_s+(Salim-Resal_s)*(1-EXP((Tnet_s-t)/Tau_j)))*Salcycl</f>
        <v>0.12115917498195496</v>
      </c>
      <c r="AD17" s="231">
        <f>(INDEX(Models!$BJ17:$BT17,,AH17)*(1-AF17)+INDEX(Models!$BJ17:$BT17,,AH17+1)*AF17-ERP_i)*AE17*Ramure*Pc/MaxiM</f>
        <v>3.4556371037487606E-2</v>
      </c>
      <c r="AE17" s="305">
        <f t="shared" si="14"/>
        <v>0.7</v>
      </c>
      <c r="AF17" s="177">
        <f>(Hp_vg_s-AG17)/(INDEX(Echel_vg,AH17+1)-AG17)</f>
        <v>0.5000364768425638</v>
      </c>
      <c r="AG17" s="817">
        <f>INDEX(Echel_vg,AH17)</f>
        <v>-1</v>
      </c>
      <c r="AH17" s="176">
        <f t="shared" si="15"/>
        <v>5</v>
      </c>
      <c r="AI17" s="225">
        <f t="shared" si="24"/>
        <v>-0.4999635231574362</v>
      </c>
      <c r="AJ17" s="265" t="b">
        <f t="shared" si="16"/>
        <v>0</v>
      </c>
      <c r="AK17" s="265" t="b">
        <f t="shared" si="17"/>
        <v>0</v>
      </c>
      <c r="AL17" s="265"/>
      <c r="AM17" s="265"/>
      <c r="AN17" s="75"/>
    </row>
    <row r="18" spans="1:40" s="6" customFormat="1" ht="11.25" x14ac:dyDescent="0.2">
      <c r="A18" s="56">
        <f t="shared" si="18"/>
        <v>44565</v>
      </c>
      <c r="B18" s="1106">
        <v>10.907999999999999</v>
      </c>
      <c r="C18" s="846"/>
      <c r="D18" s="393">
        <f t="shared" si="0"/>
        <v>11.236828810063194</v>
      </c>
      <c r="E18" s="385">
        <f t="shared" si="1"/>
        <v>11.912895045832027</v>
      </c>
      <c r="F18" s="385">
        <f t="shared" si="2"/>
        <v>12.269560185953107</v>
      </c>
      <c r="G18" s="110">
        <f t="shared" si="19"/>
        <v>0.88164708100919442</v>
      </c>
      <c r="H18" s="414" t="b">
        <f>Wh_hp&gt;='2021'!Maxi_hp</f>
        <v>0</v>
      </c>
      <c r="I18" s="380">
        <f>IF(H18,Wh_hp,'2021'!Maxi_hp)</f>
        <v>14.134069142951605</v>
      </c>
      <c r="J18" s="85">
        <f>IF(H18,An,'2021'!An_max)</f>
        <v>2019</v>
      </c>
      <c r="K18" s="197">
        <f t="shared" si="3"/>
        <v>44565</v>
      </c>
      <c r="L18" s="147">
        <f>IF(t&lt;Tvie,1-EXP((T0-t)*PertePVj)+'2021'!Pspv,1-EXP((T0-t)*PertePVj)+Pspv)</f>
        <v>2.9263488446910513E-2</v>
      </c>
      <c r="M18" s="850"/>
      <c r="N18" s="850"/>
      <c r="O18" s="48">
        <f>IF(t&lt;Tnet,'2021'!Resal+('2021'!Salim-'2021'!Resal)*(1-EXP(('2021'!Tnet-t)/('2021'!Tau_j))),Resal+(Salim-Resal)*(1-EXP((Tnet-t)/(Tau_j))))*Salcycl</f>
        <v>5.6750792579622976E-2</v>
      </c>
      <c r="P18" s="339">
        <f>(INDEX(Models!$BJ18:$BT18,,T18)*(1-R18)+INDEX(Models!$BJ18:$BT18,,T18+1)*R18-ERP_i)*Q18*Ramure*Pc/MaxiM</f>
        <v>3.4678599791008624E-2</v>
      </c>
      <c r="Q18" s="305">
        <f t="shared" si="4"/>
        <v>0.7</v>
      </c>
      <c r="R18" s="177">
        <f t="shared" si="5"/>
        <v>0.50005550256526377</v>
      </c>
      <c r="S18" s="817">
        <f t="shared" si="6"/>
        <v>-1</v>
      </c>
      <c r="T18" s="176">
        <f t="shared" si="7"/>
        <v>5</v>
      </c>
      <c r="U18" s="251">
        <f t="shared" si="20"/>
        <v>-0.49994449743473629</v>
      </c>
      <c r="V18" s="383">
        <f t="shared" si="8"/>
        <v>12.300817329839633</v>
      </c>
      <c r="W18" s="402">
        <f t="shared" si="9"/>
        <v>0</v>
      </c>
      <c r="X18" s="157">
        <f t="shared" si="10"/>
        <v>44565</v>
      </c>
      <c r="Y18" s="385">
        <f t="shared" si="11"/>
        <v>10.162755612757355</v>
      </c>
      <c r="Z18" s="385">
        <f>Wh_sa_s*(1-Psa_s)</f>
        <v>10.469118542268362</v>
      </c>
      <c r="AA18" s="386">
        <f t="shared" si="12"/>
        <v>11.912895045832027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0.12119442822328903</v>
      </c>
      <c r="AD18" s="231">
        <f>(INDEX(Models!$BJ18:$BT18,,AH18)*(1-AF18)+INDEX(Models!$BJ18:$BT18,,AH18+1)*AF18-ERP_i)*AE18*Ramure*Pc/MaxiM</f>
        <v>3.4678599791008624E-2</v>
      </c>
      <c r="AE18" s="305">
        <f t="shared" si="14"/>
        <v>0.7</v>
      </c>
      <c r="AF18" s="177">
        <f t="shared" si="22"/>
        <v>0.50005550256526377</v>
      </c>
      <c r="AG18" s="817">
        <f t="shared" si="23"/>
        <v>-1</v>
      </c>
      <c r="AH18" s="176">
        <f t="shared" si="15"/>
        <v>5</v>
      </c>
      <c r="AI18" s="225">
        <f t="shared" si="24"/>
        <v>-0.49994449743473629</v>
      </c>
      <c r="AJ18" s="265" t="b">
        <f t="shared" si="16"/>
        <v>0</v>
      </c>
      <c r="AK18" s="265" t="b">
        <f t="shared" si="17"/>
        <v>0</v>
      </c>
      <c r="AL18" s="265"/>
      <c r="AM18" s="265"/>
      <c r="AN18" s="75"/>
    </row>
    <row r="19" spans="1:40" s="6" customFormat="1" ht="11.25" x14ac:dyDescent="0.2">
      <c r="A19" s="56">
        <f t="shared" si="18"/>
        <v>44566</v>
      </c>
      <c r="B19" s="1106">
        <v>9.0229999999999997</v>
      </c>
      <c r="C19" s="846"/>
      <c r="D19" s="393">
        <f t="shared" si="0"/>
        <v>9.2952078383754824</v>
      </c>
      <c r="E19" s="385">
        <f t="shared" si="1"/>
        <v>9.8557706549595672</v>
      </c>
      <c r="F19" s="385">
        <f t="shared" si="2"/>
        <v>10.068830641774086</v>
      </c>
      <c r="G19" s="110">
        <f t="shared" si="19"/>
        <v>0.71519972969518153</v>
      </c>
      <c r="H19" s="414" t="b">
        <f>Wh_hp&gt;='2021'!Maxi_hp</f>
        <v>0</v>
      </c>
      <c r="I19" s="380">
        <f>IF(H19,Wh_hp,'2021'!Maxi_hp)</f>
        <v>14.283254951142144</v>
      </c>
      <c r="J19" s="85">
        <f>IF(H19,An,'2021'!An_max)</f>
        <v>2019</v>
      </c>
      <c r="K19" s="197">
        <f t="shared" si="3"/>
        <v>44566</v>
      </c>
      <c r="L19" s="147">
        <f>IF(t&lt;Tvie,1-EXP((T0-t)*PertePVj)+'2021'!Pspv,1-EXP((T0-t)*PertePVj)+Pspv)</f>
        <v>2.9284750067843146E-2</v>
      </c>
      <c r="M19" s="850"/>
      <c r="N19" s="850"/>
      <c r="O19" s="48">
        <f>IF(t&lt;Tnet,'2021'!Resal+('2021'!Salim-'2021'!Resal)*(1-EXP(('2021'!Tnet-t)/('2021'!Tau_j))),Resal+(Salim-Resal)*(1-EXP((Tnet-t)/(Tau_j))))*Salcycl</f>
        <v>5.6876609268702916E-2</v>
      </c>
      <c r="P19" s="339">
        <f>(INDEX(Models!$BJ19:$BT19,,T19)*(1-R19)+INDEX(Models!$BJ19:$BT19,,T19+1)*R19-ERP_i)*Q19*Ramure*Pc/MaxiM</f>
        <v>3.4825645949894429E-2</v>
      </c>
      <c r="Q19" s="305">
        <f t="shared" si="4"/>
        <v>0.7</v>
      </c>
      <c r="R19" s="177">
        <f t="shared" si="5"/>
        <v>0.50007532388888754</v>
      </c>
      <c r="S19" s="817">
        <f t="shared" si="6"/>
        <v>-1</v>
      </c>
      <c r="T19" s="176">
        <f t="shared" si="7"/>
        <v>5</v>
      </c>
      <c r="U19" s="251">
        <f t="shared" si="20"/>
        <v>-0.49992467611111241</v>
      </c>
      <c r="V19" s="383">
        <f t="shared" si="8"/>
        <v>12.439927134995962</v>
      </c>
      <c r="W19" s="402">
        <f t="shared" si="9"/>
        <v>0</v>
      </c>
      <c r="X19" s="157">
        <f t="shared" si="10"/>
        <v>44566</v>
      </c>
      <c r="Y19" s="385">
        <f t="shared" si="11"/>
        <v>8.4073231499801846</v>
      </c>
      <c r="Z19" s="385">
        <f t="shared" si="21"/>
        <v>8.6609571144244111</v>
      </c>
      <c r="AA19" s="386">
        <f t="shared" si="12"/>
        <v>9.8557706549595672</v>
      </c>
      <c r="AB19" s="197">
        <f t="shared" si="13"/>
        <v>44566</v>
      </c>
      <c r="AC19" s="119">
        <f>IF(OR(t&lt;Tnet,NoTnet),'2021'!Resal_s+('2021'!Salim-'2021'!Resal_s)*(1-EXP(('2021'!Tnet_s-t)/'2021'!Tau_j)),Resal_s+(Salim-Resal_s)*(1-EXP((Tnet_s-t)/Tau_j)))*Salcycl</f>
        <v>0.12122984415570877</v>
      </c>
      <c r="AD19" s="231">
        <f>(INDEX(Models!$BJ19:$BT19,,AH19)*(1-AF19)+INDEX(Models!$BJ19:$BT19,,AH19+1)*AF19-ERP_i)*AE19*Ramure*Pc/MaxiM</f>
        <v>3.4825645949894429E-2</v>
      </c>
      <c r="AE19" s="305">
        <f t="shared" si="14"/>
        <v>0.7</v>
      </c>
      <c r="AF19" s="177">
        <f t="shared" si="22"/>
        <v>0.50007532388888754</v>
      </c>
      <c r="AG19" s="817">
        <f t="shared" si="23"/>
        <v>-1</v>
      </c>
      <c r="AH19" s="176">
        <f t="shared" si="15"/>
        <v>5</v>
      </c>
      <c r="AI19" s="225">
        <f t="shared" si="24"/>
        <v>-0.49992467611111241</v>
      </c>
      <c r="AJ19" s="265" t="b">
        <f t="shared" si="16"/>
        <v>0</v>
      </c>
      <c r="AK19" s="265" t="b">
        <f t="shared" si="17"/>
        <v>0</v>
      </c>
      <c r="AL19" s="265"/>
      <c r="AM19" s="265"/>
      <c r="AN19" s="75"/>
    </row>
    <row r="20" spans="1:40" s="6" customFormat="1" ht="11.25" x14ac:dyDescent="0.2">
      <c r="A20" s="56">
        <f t="shared" si="18"/>
        <v>44567</v>
      </c>
      <c r="B20" s="1108">
        <f>13.608*0.95</f>
        <v>12.9276</v>
      </c>
      <c r="C20" s="846"/>
      <c r="D20" s="393">
        <f t="shared" si="0"/>
        <v>13.317894361629875</v>
      </c>
      <c r="E20" s="385">
        <f t="shared" si="1"/>
        <v>14.122934623285028</v>
      </c>
      <c r="F20" s="385">
        <f t="shared" si="2"/>
        <v>14.635126795331709</v>
      </c>
      <c r="G20" s="110">
        <f t="shared" si="19"/>
        <v>1.0274398158824209</v>
      </c>
      <c r="H20" s="414" t="b">
        <f>Wh_hp&gt;='2021'!Maxi_hp</f>
        <v>1</v>
      </c>
      <c r="I20" s="380">
        <f>IF(H20,Wh_hp,'2021'!Maxi_hp)</f>
        <v>14.635126795331709</v>
      </c>
      <c r="J20" s="85">
        <f>IF(H20,An,'2021'!An_max)</f>
        <v>2022</v>
      </c>
      <c r="K20" s="197">
        <f t="shared" si="3"/>
        <v>44567</v>
      </c>
      <c r="L20" s="147">
        <f>IF(t&lt;Tvie,1-EXP((T0-t)*PertePVj)+'2021'!Pspv,1-EXP((T0-t)*PertePVj)+Pspv)</f>
        <v>2.9306011223091732E-2</v>
      </c>
      <c r="M20" s="850"/>
      <c r="N20" s="850"/>
      <c r="O20" s="48">
        <f>IF(t&lt;Tnet,'2021'!Resal+('2021'!Salim-'2021'!Resal)*(1-EXP(('2021'!Tnet-t)/('2021'!Tau_j))),Resal+(Salim-Resal)*(1-EXP((Tnet-t)/(Tau_j))))*Salcycl</f>
        <v>5.7002335784225235E-2</v>
      </c>
      <c r="P20" s="339">
        <f>(INDEX(Models!$BJ20:$BT20,,T20)*(1-R20)+INDEX(Models!$BJ20:$BT20,,T20+1)*R20-ERP_i)*Q20*Ramure*Pc/MaxiM</f>
        <v>3.4997453674952765E-2</v>
      </c>
      <c r="Q20" s="305">
        <f t="shared" si="4"/>
        <v>0.7</v>
      </c>
      <c r="R20" s="177">
        <f t="shared" si="5"/>
        <v>0.50009597397119587</v>
      </c>
      <c r="S20" s="817">
        <f t="shared" si="6"/>
        <v>-1</v>
      </c>
      <c r="T20" s="176">
        <f t="shared" si="7"/>
        <v>5</v>
      </c>
      <c r="U20" s="251">
        <f t="shared" si="20"/>
        <v>-0.49990402602880418</v>
      </c>
      <c r="V20" s="383">
        <f t="shared" si="8"/>
        <v>12.582342829391987</v>
      </c>
      <c r="W20" s="402">
        <f t="shared" si="9"/>
        <v>0</v>
      </c>
      <c r="X20" s="157">
        <f t="shared" si="10"/>
        <v>44567</v>
      </c>
      <c r="Y20" s="385">
        <f t="shared" si="11"/>
        <v>12.046614558573362</v>
      </c>
      <c r="Z20" s="385">
        <f t="shared" si="21"/>
        <v>12.410311280233961</v>
      </c>
      <c r="AA20" s="386">
        <f t="shared" si="12"/>
        <v>14.122934623285028</v>
      </c>
      <c r="AB20" s="197">
        <f t="shared" si="13"/>
        <v>44567</v>
      </c>
      <c r="AC20" s="119">
        <f>IF(OR(t&lt;Tnet,NoTnet),'2021'!Resal_s+('2021'!Salim-'2021'!Resal_s)*(1-EXP(('2021'!Tnet_s-t)/'2021'!Tau_j)),Resal_s+(Salim-Resal_s)*(1-EXP((Tnet_s-t)/Tau_j)))*Salcycl</f>
        <v>0.12126540189652937</v>
      </c>
      <c r="AD20" s="231">
        <f>(INDEX(Models!$BJ20:$BT20,,AH20)*(1-AF20)+INDEX(Models!$BJ20:$BT20,,AH20+1)*AF20-ERP_i)*AE20*Ramure*Pc/MaxiM</f>
        <v>3.4997453674952765E-2</v>
      </c>
      <c r="AE20" s="305">
        <f t="shared" si="14"/>
        <v>0.7</v>
      </c>
      <c r="AF20" s="177">
        <f t="shared" si="22"/>
        <v>0.50009597397119587</v>
      </c>
      <c r="AG20" s="817">
        <f t="shared" si="23"/>
        <v>-1</v>
      </c>
      <c r="AH20" s="176">
        <f t="shared" si="15"/>
        <v>5</v>
      </c>
      <c r="AI20" s="225">
        <f t="shared" si="24"/>
        <v>-0.49990402602880418</v>
      </c>
      <c r="AJ20" s="265" t="b">
        <f t="shared" si="16"/>
        <v>0</v>
      </c>
      <c r="AK20" s="265" t="b">
        <f t="shared" si="17"/>
        <v>0</v>
      </c>
      <c r="AL20" s="265"/>
      <c r="AM20" s="265"/>
      <c r="AN20" s="75"/>
    </row>
    <row r="21" spans="1:40" s="6" customFormat="1" ht="11.25" x14ac:dyDescent="0.2">
      <c r="A21" s="56">
        <f t="shared" si="18"/>
        <v>44568</v>
      </c>
      <c r="B21" s="1106">
        <v>5.758</v>
      </c>
      <c r="C21" s="846"/>
      <c r="D21" s="393">
        <f t="shared" si="0"/>
        <v>5.931968451762188</v>
      </c>
      <c r="E21" s="385">
        <f t="shared" si="1"/>
        <v>6.2913823183347182</v>
      </c>
      <c r="F21" s="385">
        <f t="shared" si="2"/>
        <v>6.3399603071780124</v>
      </c>
      <c r="G21" s="110">
        <f t="shared" si="19"/>
        <v>0.43984782546037726</v>
      </c>
      <c r="H21" s="414" t="b">
        <f>Wh_hp&gt;='2021'!Maxi_hp</f>
        <v>0</v>
      </c>
      <c r="I21" s="380">
        <f>IF(H21,Wh_hp,'2021'!Maxi_hp)</f>
        <v>8.971852492930589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2.9327271912666375E-2</v>
      </c>
      <c r="M21" s="850"/>
      <c r="N21" s="850"/>
      <c r="O21" s="48">
        <f>IF(t&lt;Tnet,'2021'!Resal+('2021'!Salim-'2021'!Resal)*(1-EXP(('2021'!Tnet-t)/('2021'!Tau_j))),Resal+(Salim-Resal)*(1-EXP((Tnet-t)/(Tau_j))))*Salcycl</f>
        <v>5.7127964632685782E-2</v>
      </c>
      <c r="P21" s="339">
        <f>(INDEX(Models!$BJ21:$BT21,,T21)*(1-R21)+INDEX(Models!$BJ21:$BT21,,T21+1)*R21-ERP_i)*Q21*Ramure*Pc/MaxiM</f>
        <v>3.5193943586920171E-2</v>
      </c>
      <c r="Q21" s="305">
        <f t="shared" si="4"/>
        <v>0.7</v>
      </c>
      <c r="R21" s="177">
        <f t="shared" si="5"/>
        <v>0.50011748734226946</v>
      </c>
      <c r="S21" s="817">
        <f t="shared" si="6"/>
        <v>-1</v>
      </c>
      <c r="T21" s="176">
        <f t="shared" si="7"/>
        <v>5</v>
      </c>
      <c r="U21" s="251">
        <f t="shared" si="20"/>
        <v>-0.49988251265773054</v>
      </c>
      <c r="V21" s="383">
        <f t="shared" si="8"/>
        <v>12.727693072335541</v>
      </c>
      <c r="W21" s="402">
        <f t="shared" si="9"/>
        <v>0</v>
      </c>
      <c r="X21" s="157">
        <f t="shared" si="10"/>
        <v>44568</v>
      </c>
      <c r="Y21" s="385">
        <f t="shared" si="11"/>
        <v>5.3661028951221388</v>
      </c>
      <c r="Z21" s="385">
        <f t="shared" si="21"/>
        <v>5.5282308236843125</v>
      </c>
      <c r="AA21" s="386">
        <f t="shared" si="12"/>
        <v>6.2913823183347182</v>
      </c>
      <c r="AB21" s="197">
        <f t="shared" si="13"/>
        <v>44568</v>
      </c>
      <c r="AC21" s="119">
        <f>IF(OR(t&lt;Tnet,NoTnet),'2021'!Resal_s+('2021'!Salim-'2021'!Resal_s)*(1-EXP(('2021'!Tnet_s-t)/'2021'!Tau_j)),Resal_s+(Salim-Resal_s)*(1-EXP((Tnet_s-t)/Tau_j)))*Salcycl</f>
        <v>0.12130108393291945</v>
      </c>
      <c r="AD21" s="231">
        <f>(INDEX(Models!$BJ21:$BT21,,AH21)*(1-AF21)+INDEX(Models!$BJ21:$BT21,,AH21+1)*AF21-ERP_i)*AE21*Ramure*Pc/MaxiM</f>
        <v>3.5193943586920171E-2</v>
      </c>
      <c r="AE21" s="305">
        <f t="shared" si="14"/>
        <v>0.7</v>
      </c>
      <c r="AF21" s="177">
        <f t="shared" si="22"/>
        <v>0.50011748734226946</v>
      </c>
      <c r="AG21" s="817">
        <f t="shared" si="23"/>
        <v>-1</v>
      </c>
      <c r="AH21" s="176">
        <f t="shared" si="15"/>
        <v>5</v>
      </c>
      <c r="AI21" s="225">
        <f t="shared" si="24"/>
        <v>-0.49988251265773054</v>
      </c>
      <c r="AJ21" s="265" t="b">
        <f t="shared" si="16"/>
        <v>0</v>
      </c>
      <c r="AK21" s="265" t="b">
        <f t="shared" si="17"/>
        <v>0</v>
      </c>
      <c r="AL21" s="265"/>
      <c r="AM21" s="265"/>
      <c r="AN21" s="75"/>
    </row>
    <row r="22" spans="1:40" s="6" customFormat="1" ht="11.25" x14ac:dyDescent="0.2">
      <c r="A22" s="56">
        <f t="shared" si="18"/>
        <v>44569</v>
      </c>
      <c r="B22" s="1106">
        <v>4.641</v>
      </c>
      <c r="C22" s="846"/>
      <c r="D22" s="393">
        <f t="shared" si="0"/>
        <v>4.7813248664998884</v>
      </c>
      <c r="E22" s="385">
        <f t="shared" si="1"/>
        <v>5.0716972320817835</v>
      </c>
      <c r="F22" s="385">
        <f t="shared" si="2"/>
        <v>5.0872555399504416</v>
      </c>
      <c r="G22" s="110">
        <f t="shared" si="19"/>
        <v>0.34875030268066626</v>
      </c>
      <c r="H22" s="414" t="b">
        <f>Wh_hp&gt;='2021'!Maxi_hp</f>
        <v>0</v>
      </c>
      <c r="I22" s="380">
        <f>IF(H22,Wh_hp,'2021'!Maxi_hp)</f>
        <v>12.341431159322497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2.9348532136577399E-2</v>
      </c>
      <c r="M22" s="850"/>
      <c r="N22" s="850"/>
      <c r="O22" s="48">
        <f>IF(t&lt;Tnet,'2021'!Resal+('2021'!Salim-'2021'!Resal)*(1-EXP(('2021'!Tnet-t)/('2021'!Tau_j))),Resal+(Salim-Resal)*(1-EXP((Tnet-t)/(Tau_j))))*Salcycl</f>
        <v>5.725348976770555E-2</v>
      </c>
      <c r="P22" s="339">
        <f>(INDEX(Models!$BJ22:$BT22,,T22)*(1-R22)+INDEX(Models!$BJ22:$BT22,,T22+1)*R22-ERP_i)*Q22*Ramure*Pc/MaxiM</f>
        <v>3.541502015507933E-2</v>
      </c>
      <c r="Q22" s="305">
        <f t="shared" si="4"/>
        <v>0.7</v>
      </c>
      <c r="R22" s="177">
        <f t="shared" si="5"/>
        <v>0.50013989996048891</v>
      </c>
      <c r="S22" s="817">
        <f t="shared" si="6"/>
        <v>-1</v>
      </c>
      <c r="T22" s="176">
        <f t="shared" si="7"/>
        <v>5</v>
      </c>
      <c r="U22" s="251">
        <f t="shared" si="20"/>
        <v>-0.49986010003951103</v>
      </c>
      <c r="V22" s="383">
        <f t="shared" si="8"/>
        <v>12.875606760774067</v>
      </c>
      <c r="W22" s="402">
        <f t="shared" si="9"/>
        <v>0</v>
      </c>
      <c r="X22" s="157">
        <f t="shared" si="10"/>
        <v>44569</v>
      </c>
      <c r="Y22" s="385">
        <f t="shared" si="11"/>
        <v>4.3255270790399933</v>
      </c>
      <c r="Z22" s="385">
        <f t="shared" si="21"/>
        <v>4.4563133341375885</v>
      </c>
      <c r="AA22" s="386">
        <f t="shared" si="12"/>
        <v>5.0716972320817835</v>
      </c>
      <c r="AB22" s="197">
        <f t="shared" si="13"/>
        <v>44569</v>
      </c>
      <c r="AC22" s="119">
        <f>IF(OR(t&lt;Tnet,NoTnet),'2021'!Resal_s+('2021'!Salim-'2021'!Resal_s)*(1-EXP(('2021'!Tnet_s-t)/'2021'!Tau_j)),Resal_s+(Salim-Resal_s)*(1-EXP((Tnet_s-t)/Tau_j)))*Salcycl</f>
        <v>0.12133687595771513</v>
      </c>
      <c r="AD22" s="231">
        <f>(INDEX(Models!$BJ22:$BT22,,AH22)*(1-AF22)+INDEX(Models!$BJ22:$BT22,,AH22+1)*AF22-ERP_i)*AE22*Ramure*Pc/MaxiM</f>
        <v>3.541502015507933E-2</v>
      </c>
      <c r="AE22" s="305">
        <f t="shared" si="14"/>
        <v>0.7</v>
      </c>
      <c r="AF22" s="177">
        <f t="shared" si="22"/>
        <v>0.50013989996048891</v>
      </c>
      <c r="AG22" s="817">
        <f t="shared" si="23"/>
        <v>-1</v>
      </c>
      <c r="AH22" s="176">
        <f t="shared" si="15"/>
        <v>5</v>
      </c>
      <c r="AI22" s="225">
        <f t="shared" si="24"/>
        <v>-0.49986010003951103</v>
      </c>
      <c r="AJ22" s="265" t="b">
        <f t="shared" si="16"/>
        <v>0</v>
      </c>
      <c r="AK22" s="265" t="b">
        <f t="shared" si="17"/>
        <v>0</v>
      </c>
      <c r="AL22" s="265"/>
      <c r="AM22" s="265"/>
      <c r="AN22" s="75"/>
    </row>
    <row r="23" spans="1:40" s="6" customFormat="1" ht="11.25" x14ac:dyDescent="0.2">
      <c r="A23" s="56">
        <f t="shared" si="18"/>
        <v>44570</v>
      </c>
      <c r="B23" s="1106">
        <v>1.28</v>
      </c>
      <c r="C23" s="846"/>
      <c r="D23" s="393">
        <f t="shared" si="0"/>
        <v>1.3187308506488555</v>
      </c>
      <c r="E23" s="385">
        <f t="shared" si="1"/>
        <v>1.3990041807525166</v>
      </c>
      <c r="F23" s="385">
        <f t="shared" si="2"/>
        <v>1.3990041807525166</v>
      </c>
      <c r="G23" s="110">
        <f t="shared" si="19"/>
        <v>9.4757402110791505E-2</v>
      </c>
      <c r="H23" s="414" t="b">
        <f>Wh_hp&gt;='2021'!Maxi_hp</f>
        <v>0</v>
      </c>
      <c r="I23" s="380">
        <f>IF(H23,Wh_hp,'2021'!Maxi_hp)</f>
        <v>13.592706813048993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2.9369791894834907E-2</v>
      </c>
      <c r="M23" s="850"/>
      <c r="N23" s="850"/>
      <c r="O23" s="48">
        <f>IF(t&lt;Tnet,'2021'!Resal+('2021'!Salim-'2021'!Resal)*(1-EXP(('2021'!Tnet-t)/('2021'!Tau_j))),Resal+(Salim-Resal)*(1-EXP((Tnet-t)/(Tau_j))))*Salcycl</f>
        <v>5.7378906516549852E-2</v>
      </c>
      <c r="P23" s="339">
        <f>(INDEX(Models!$BJ23:$BT23,,T23)*(1-R23)+INDEX(Models!$BJ23:$BT23,,T23+1)*R23-ERP_i)*Q23*Ramure*Pc/MaxiM</f>
        <v>3.5658506300421937E-2</v>
      </c>
      <c r="Q23" s="305">
        <f t="shared" si="4"/>
        <v>0.7</v>
      </c>
      <c r="R23" s="177">
        <f t="shared" si="5"/>
        <v>0.50016324927072442</v>
      </c>
      <c r="S23" s="817">
        <f t="shared" si="6"/>
        <v>-1</v>
      </c>
      <c r="T23" s="176">
        <f t="shared" si="7"/>
        <v>5</v>
      </c>
      <c r="U23" s="251">
        <f t="shared" si="20"/>
        <v>-0.49983675072927564</v>
      </c>
      <c r="V23" s="383">
        <f t="shared" si="8"/>
        <v>13.026498030119427</v>
      </c>
      <c r="W23" s="402">
        <f t="shared" si="9"/>
        <v>0</v>
      </c>
      <c r="X23" s="157">
        <f t="shared" si="10"/>
        <v>44570</v>
      </c>
      <c r="Y23" s="385">
        <f t="shared" si="11"/>
        <v>1.1931017313538592</v>
      </c>
      <c r="Z23" s="385">
        <f t="shared" si="21"/>
        <v>1.2292031727335133</v>
      </c>
      <c r="AA23" s="386">
        <f t="shared" si="12"/>
        <v>1.3990041807525166</v>
      </c>
      <c r="AB23" s="197">
        <f t="shared" si="13"/>
        <v>44570</v>
      </c>
      <c r="AC23" s="119">
        <f>IF(OR(t&lt;Tnet,NoTnet),'2021'!Resal_s+('2021'!Salim-'2021'!Resal_s)*(1-EXP(('2021'!Tnet_s-t)/'2021'!Tau_j)),Resal_s+(Salim-Resal_s)*(1-EXP((Tnet_s-t)/Tau_j)))*Salcycl</f>
        <v>0.12137276668299044</v>
      </c>
      <c r="AD23" s="231">
        <f>(INDEX(Models!$BJ23:$BT23,,AH23)*(1-AF23)+INDEX(Models!$BJ23:$BT23,,AH23+1)*AF23-ERP_i)*AE23*Ramure*Pc/MaxiM</f>
        <v>3.5658506300421937E-2</v>
      </c>
      <c r="AE23" s="305">
        <f t="shared" si="14"/>
        <v>0.7</v>
      </c>
      <c r="AF23" s="177">
        <f t="shared" si="22"/>
        <v>0.50016324927072442</v>
      </c>
      <c r="AG23" s="817">
        <f t="shared" si="23"/>
        <v>-1</v>
      </c>
      <c r="AH23" s="176">
        <f t="shared" si="15"/>
        <v>5</v>
      </c>
      <c r="AI23" s="225">
        <f t="shared" si="24"/>
        <v>-0.49983675072927564</v>
      </c>
      <c r="AJ23" s="265" t="b">
        <f t="shared" si="16"/>
        <v>0</v>
      </c>
      <c r="AK23" s="265" t="b">
        <f t="shared" si="17"/>
        <v>0</v>
      </c>
      <c r="AL23" s="265"/>
      <c r="AM23" s="265"/>
      <c r="AN23" s="75"/>
    </row>
    <row r="24" spans="1:40" s="6" customFormat="1" ht="11.25" x14ac:dyDescent="0.2">
      <c r="A24" s="56">
        <f t="shared" si="18"/>
        <v>44571</v>
      </c>
      <c r="B24" s="1106">
        <v>0.91900000000000004</v>
      </c>
      <c r="C24" s="846"/>
      <c r="D24" s="393">
        <f t="shared" si="0"/>
        <v>0.94682827839606309</v>
      </c>
      <c r="E24" s="385">
        <f t="shared" si="1"/>
        <v>1.0045968267923975</v>
      </c>
      <c r="F24" s="385">
        <f t="shared" si="2"/>
        <v>1.0045968267923975</v>
      </c>
      <c r="G24" s="110">
        <f t="shared" si="19"/>
        <v>6.7216608153398541E-2</v>
      </c>
      <c r="H24" s="414" t="b">
        <f>Wh_hp&gt;='2021'!Maxi_hp</f>
        <v>0</v>
      </c>
      <c r="I24" s="380">
        <f>IF(H24,Wh_hp,'2021'!Maxi_hp)</f>
        <v>10.238443369739281</v>
      </c>
      <c r="J24" s="85">
        <f>IF(H24,An,'2021'!An_max)</f>
        <v>2019</v>
      </c>
      <c r="K24" s="197">
        <f t="shared" si="3"/>
        <v>44571</v>
      </c>
      <c r="L24" s="147">
        <f>IF(t&lt;Tvie,1-EXP((T0-t)*PertePVj)+'2021'!Pspv,1-EXP((T0-t)*PertePVj)+Pspv)</f>
        <v>2.9391051187449113E-2</v>
      </c>
      <c r="M24" s="850"/>
      <c r="N24" s="850"/>
      <c r="O24" s="48">
        <f>IF(t&lt;Tnet,'2021'!Resal+('2021'!Salim-'2021'!Resal)*(1-EXP(('2021'!Tnet-t)/('2021'!Tau_j))),Resal+(Salim-Resal)*(1-EXP((Tnet-t)/(Tau_j))))*Salcycl</f>
        <v>5.7504211496252726E-2</v>
      </c>
      <c r="P24" s="339">
        <f>(INDEX(Models!$BJ24:$BT24,,T24)*(1-R24)+INDEX(Models!$BJ24:$BT24,,T24+1)*R24-ERP_i)*Q24*Ramure*Pc/MaxiM</f>
        <v>3.5898389874139798E-2</v>
      </c>
      <c r="Q24" s="305">
        <f t="shared" si="4"/>
        <v>0.7</v>
      </c>
      <c r="R24" s="177">
        <f t="shared" si="5"/>
        <v>0.50018757426482163</v>
      </c>
      <c r="S24" s="817">
        <f t="shared" si="6"/>
        <v>-1</v>
      </c>
      <c r="T24" s="176">
        <f t="shared" si="7"/>
        <v>5</v>
      </c>
      <c r="U24" s="251">
        <f t="shared" si="20"/>
        <v>-0.49981242573517842</v>
      </c>
      <c r="V24" s="383">
        <f t="shared" si="8"/>
        <v>13.181405668129775</v>
      </c>
      <c r="W24" s="402">
        <f t="shared" si="9"/>
        <v>0</v>
      </c>
      <c r="X24" s="157">
        <f t="shared" si="10"/>
        <v>44571</v>
      </c>
      <c r="Y24" s="385">
        <f t="shared" si="11"/>
        <v>0.85668856113001901</v>
      </c>
      <c r="Z24" s="385">
        <f t="shared" si="21"/>
        <v>0.88262998417446825</v>
      </c>
      <c r="AA24" s="386">
        <f t="shared" si="12"/>
        <v>1.0045968267923975</v>
      </c>
      <c r="AB24" s="197">
        <f t="shared" si="13"/>
        <v>44571</v>
      </c>
      <c r="AC24" s="119">
        <f>IF(OR(t&lt;Tnet,NoTnet),'2021'!Resal_s+('2021'!Salim-'2021'!Resal_s)*(1-EXP(('2021'!Tnet_s-t)/'2021'!Tau_j)),Resal_s+(Salim-Resal_s)*(1-EXP((Tnet_s-t)/Tau_j)))*Salcycl</f>
        <v>0.12140874763397394</v>
      </c>
      <c r="AD24" s="231">
        <f>(INDEX(Models!$BJ24:$BT24,,AH24)*(1-AF24)+INDEX(Models!$BJ24:$BT24,,AH24+1)*AF24-ERP_i)*AE24*Ramure*Pc/MaxiM</f>
        <v>3.5898389874139798E-2</v>
      </c>
      <c r="AE24" s="305">
        <f t="shared" si="14"/>
        <v>0.7</v>
      </c>
      <c r="AF24" s="177">
        <f t="shared" si="22"/>
        <v>0.50018757426482163</v>
      </c>
      <c r="AG24" s="817">
        <f t="shared" si="23"/>
        <v>-1</v>
      </c>
      <c r="AH24" s="176">
        <f t="shared" si="15"/>
        <v>5</v>
      </c>
      <c r="AI24" s="225">
        <f t="shared" si="24"/>
        <v>-0.49981242573517842</v>
      </c>
      <c r="AJ24" s="265" t="b">
        <f t="shared" si="16"/>
        <v>0</v>
      </c>
      <c r="AK24" s="265" t="b">
        <f t="shared" si="17"/>
        <v>0</v>
      </c>
      <c r="AL24" s="265"/>
      <c r="AM24" s="265"/>
      <c r="AN24" s="75"/>
    </row>
    <row r="25" spans="1:40" s="6" customFormat="1" ht="11.25" x14ac:dyDescent="0.2">
      <c r="A25" s="56">
        <f t="shared" si="18"/>
        <v>44572</v>
      </c>
      <c r="B25" s="1106">
        <v>13.287000000000001</v>
      </c>
      <c r="C25" s="846"/>
      <c r="D25" s="393">
        <f t="shared" si="0"/>
        <v>13.689644054930829</v>
      </c>
      <c r="E25" s="385">
        <f t="shared" si="1"/>
        <v>14.52681576817651</v>
      </c>
      <c r="F25" s="385">
        <f t="shared" si="2"/>
        <v>15.067623483252582</v>
      </c>
      <c r="G25" s="110">
        <f t="shared" si="19"/>
        <v>0.99574518862889883</v>
      </c>
      <c r="H25" s="414" t="b">
        <f>Wh_hp&gt;='2021'!Maxi_hp</f>
        <v>1</v>
      </c>
      <c r="I25" s="380">
        <f>IF(H25,Wh_hp,'2021'!Maxi_hp)</f>
        <v>15.067623483252582</v>
      </c>
      <c r="J25" s="85">
        <f>IF(H25,An,'2021'!An_max)</f>
        <v>2022</v>
      </c>
      <c r="K25" s="197">
        <f t="shared" si="3"/>
        <v>44572</v>
      </c>
      <c r="L25" s="147">
        <f>IF(t&lt;Tvie,1-EXP((T0-t)*PertePVj)+'2021'!Pspv,1-EXP((T0-t)*PertePVj)+Pspv)</f>
        <v>2.9412310014430343E-2</v>
      </c>
      <c r="M25" s="850"/>
      <c r="N25" s="850"/>
      <c r="O25" s="48">
        <f>IF(t&lt;Tnet,'2021'!Resal+('2021'!Salim-'2021'!Resal)*(1-EXP(('2021'!Tnet-t)/('2021'!Tau_j))),Resal+(Salim-Resal)*(1-EXP((Tnet-t)/(Tau_j))))*Salcycl</f>
        <v>5.7629402520519915E-2</v>
      </c>
      <c r="P25" s="339">
        <f>(INDEX(Models!$BJ25:$BT25,,T25)*(1-R25)+INDEX(Models!$BJ25:$BT25,,T25+1)*R25-ERP_i)*Q25*Ramure*Pc/MaxiM</f>
        <v>3.610036802001193E-2</v>
      </c>
      <c r="Q25" s="305">
        <f t="shared" si="4"/>
        <v>0.7</v>
      </c>
      <c r="R25" s="177">
        <f t="shared" si="5"/>
        <v>0.50021291554446612</v>
      </c>
      <c r="S25" s="817">
        <f t="shared" si="6"/>
        <v>-1</v>
      </c>
      <c r="T25" s="176">
        <f t="shared" si="7"/>
        <v>5</v>
      </c>
      <c r="U25" s="251">
        <f t="shared" si="20"/>
        <v>-0.49978708445553383</v>
      </c>
      <c r="V25" s="383">
        <f t="shared" si="8"/>
        <v>13.340891846992971</v>
      </c>
      <c r="W25" s="402">
        <f t="shared" si="9"/>
        <v>0</v>
      </c>
      <c r="X25" s="157">
        <f t="shared" si="10"/>
        <v>44572</v>
      </c>
      <c r="Y25" s="385">
        <f t="shared" si="11"/>
        <v>12.387231522157153</v>
      </c>
      <c r="Z25" s="385">
        <f t="shared" si="21"/>
        <v>12.76260934479946</v>
      </c>
      <c r="AA25" s="386">
        <f t="shared" si="12"/>
        <v>14.52681576817651</v>
      </c>
      <c r="AB25" s="197">
        <f t="shared" si="13"/>
        <v>44572</v>
      </c>
      <c r="AC25" s="119">
        <f>IF(OR(t&lt;Tnet,NoTnet),'2021'!Resal_s+('2021'!Salim-'2021'!Resal_s)*(1-EXP(('2021'!Tnet_s-t)/'2021'!Tau_j)),Resal_s+(Salim-Resal_s)*(1-EXP((Tnet_s-t)/Tau_j)))*Salcycl</f>
        <v>0.12144481292602674</v>
      </c>
      <c r="AD25" s="231">
        <f>(INDEX(Models!$BJ25:$BT25,,AH25)*(1-AF25)+INDEX(Models!$BJ25:$BT25,,AH25+1)*AF25-ERP_i)*AE25*Ramure*Pc/MaxiM</f>
        <v>3.610036802001193E-2</v>
      </c>
      <c r="AE25" s="305">
        <f t="shared" si="14"/>
        <v>0.7</v>
      </c>
      <c r="AF25" s="177">
        <f t="shared" si="22"/>
        <v>0.50021291554446612</v>
      </c>
      <c r="AG25" s="817">
        <f t="shared" si="23"/>
        <v>-1</v>
      </c>
      <c r="AH25" s="176">
        <f t="shared" si="15"/>
        <v>5</v>
      </c>
      <c r="AI25" s="225">
        <f t="shared" si="24"/>
        <v>-0.49978708445553383</v>
      </c>
      <c r="AJ25" s="265" t="b">
        <f t="shared" si="16"/>
        <v>0</v>
      </c>
      <c r="AK25" s="265" t="b">
        <f t="shared" si="17"/>
        <v>0</v>
      </c>
      <c r="AL25" s="265"/>
      <c r="AM25" s="265"/>
      <c r="AN25" s="75"/>
    </row>
    <row r="26" spans="1:40" s="6" customFormat="1" ht="11.25" x14ac:dyDescent="0.2">
      <c r="A26" s="56">
        <f t="shared" si="18"/>
        <v>44573</v>
      </c>
      <c r="B26" s="1106">
        <v>10.834</v>
      </c>
      <c r="C26" s="846"/>
      <c r="D26" s="393">
        <f t="shared" si="0"/>
        <v>11.162553790233249</v>
      </c>
      <c r="E26" s="385">
        <f t="shared" si="1"/>
        <v>11.846757066509705</v>
      </c>
      <c r="F26" s="385">
        <f t="shared" si="2"/>
        <v>12.163228323215435</v>
      </c>
      <c r="G26" s="110">
        <f t="shared" si="19"/>
        <v>0.79377884317871961</v>
      </c>
      <c r="H26" s="414" t="b">
        <f>Wh_hp&gt;='2021'!Maxi_hp</f>
        <v>0</v>
      </c>
      <c r="I26" s="380">
        <f>IF(H26,Wh_hp,'2021'!Maxi_hp)</f>
        <v>15.033013193258533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2.9433568375788699E-2</v>
      </c>
      <c r="M26" s="850"/>
      <c r="N26" s="850"/>
      <c r="O26" s="48">
        <f>IF(t&lt;Tnet,'2021'!Resal+('2021'!Salim-'2021'!Resal)*(1-EXP(('2021'!Tnet-t)/('2021'!Tau_j))),Resal+(Salim-Resal)*(1-EXP((Tnet-t)/(Tau_j))))*Salcycl</f>
        <v>5.7754478498649391E-2</v>
      </c>
      <c r="P26" s="339">
        <f>(INDEX(Models!$BJ26:$BT26,,T26)*(1-R26)+INDEX(Models!$BJ26:$BT26,,T26+1)*R26-ERP_i)*Q26*Ramure*Pc/MaxiM</f>
        <v>3.6265261699029154E-2</v>
      </c>
      <c r="Q26" s="305">
        <f t="shared" si="4"/>
        <v>0.7</v>
      </c>
      <c r="R26" s="177">
        <f t="shared" si="5"/>
        <v>0.50023931538651212</v>
      </c>
      <c r="S26" s="817">
        <f t="shared" si="6"/>
        <v>-1</v>
      </c>
      <c r="T26" s="176">
        <f t="shared" si="7"/>
        <v>5</v>
      </c>
      <c r="U26" s="251">
        <f t="shared" si="20"/>
        <v>-0.49976068461348783</v>
      </c>
      <c r="V26" s="383">
        <f t="shared" si="8"/>
        <v>13.505050173105042</v>
      </c>
      <c r="W26" s="402">
        <f t="shared" si="9"/>
        <v>0</v>
      </c>
      <c r="X26" s="157">
        <f t="shared" si="10"/>
        <v>44573</v>
      </c>
      <c r="Y26" s="385">
        <f t="shared" si="11"/>
        <v>10.101268801713807</v>
      </c>
      <c r="Z26" s="385">
        <f t="shared" si="21"/>
        <v>10.407601656704388</v>
      </c>
      <c r="AA26" s="386">
        <f t="shared" si="12"/>
        <v>11.846757066509705</v>
      </c>
      <c r="AB26" s="197">
        <f t="shared" si="13"/>
        <v>44573</v>
      </c>
      <c r="AC26" s="119">
        <f>IF(OR(t&lt;Tnet,NoTnet),'2021'!Resal_s+('2021'!Salim-'2021'!Resal_s)*(1-EXP(('2021'!Tnet_s-t)/'2021'!Tau_j)),Resal_s+(Salim-Resal_s)*(1-EXP((Tnet_s-t)/Tau_j)))*Salcycl</f>
        <v>0.12148095902749192</v>
      </c>
      <c r="AD26" s="231">
        <f>(INDEX(Models!$BJ26:$BT26,,AH26)*(1-AF26)+INDEX(Models!$BJ26:$BT26,,AH26+1)*AF26-ERP_i)*AE26*Ramure*Pc/MaxiM</f>
        <v>3.6265261699029154E-2</v>
      </c>
      <c r="AE26" s="305">
        <f t="shared" si="14"/>
        <v>0.7</v>
      </c>
      <c r="AF26" s="177">
        <f t="shared" si="22"/>
        <v>0.50023931538651212</v>
      </c>
      <c r="AG26" s="817">
        <f t="shared" si="23"/>
        <v>-1</v>
      </c>
      <c r="AH26" s="176">
        <f t="shared" si="15"/>
        <v>5</v>
      </c>
      <c r="AI26" s="225">
        <f t="shared" si="24"/>
        <v>-0.49976068461348783</v>
      </c>
      <c r="AJ26" s="265" t="b">
        <f t="shared" si="16"/>
        <v>0</v>
      </c>
      <c r="AK26" s="265" t="b">
        <f t="shared" si="17"/>
        <v>0</v>
      </c>
      <c r="AL26" s="265"/>
      <c r="AM26" s="265"/>
      <c r="AN26" s="75"/>
    </row>
    <row r="27" spans="1:40" s="6" customFormat="1" ht="11.25" x14ac:dyDescent="0.2">
      <c r="A27" s="56">
        <f t="shared" si="18"/>
        <v>44574</v>
      </c>
      <c r="B27" s="1106">
        <v>3.3029999999999999</v>
      </c>
      <c r="C27" s="846"/>
      <c r="D27" s="393">
        <f t="shared" si="0"/>
        <v>3.4032418988918662</v>
      </c>
      <c r="E27" s="385">
        <f t="shared" si="1"/>
        <v>3.6123210138451154</v>
      </c>
      <c r="F27" s="385">
        <f t="shared" si="2"/>
        <v>3.6123210138451154</v>
      </c>
      <c r="G27" s="110">
        <f t="shared" si="19"/>
        <v>0.23276268121439231</v>
      </c>
      <c r="H27" s="414" t="b">
        <f>Wh_hp&gt;='2021'!Maxi_hp</f>
        <v>0</v>
      </c>
      <c r="I27" s="380">
        <f>IF(H27,Wh_hp,'2021'!Maxi_hp)</f>
        <v>10.493774411231749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2.9454826271534285E-2</v>
      </c>
      <c r="M27" s="850"/>
      <c r="N27" s="850"/>
      <c r="O27" s="48">
        <f>IF(t&lt;Tnet,'2021'!Resal+('2021'!Salim-'2021'!Resal)*(1-EXP(('2021'!Tnet-t)/('2021'!Tau_j))),Resal+(Salim-Resal)*(1-EXP((Tnet-t)/(Tau_j))))*Salcycl</f>
        <v>5.787943932776226E-2</v>
      </c>
      <c r="P27" s="339">
        <f>(INDEX(Models!$BJ27:$BT27,,T27)*(1-R27)+INDEX(Models!$BJ27:$BT27,,T27+1)*R27-ERP_i)*Q27*Ramure*Pc/MaxiM</f>
        <v>3.6393914550999898E-2</v>
      </c>
      <c r="Q27" s="305">
        <f t="shared" si="4"/>
        <v>0.7</v>
      </c>
      <c r="R27" s="177">
        <f t="shared" si="5"/>
        <v>0.50026681781086424</v>
      </c>
      <c r="S27" s="817">
        <f t="shared" si="6"/>
        <v>-1</v>
      </c>
      <c r="T27" s="176">
        <f t="shared" si="7"/>
        <v>5</v>
      </c>
      <c r="U27" s="251">
        <f t="shared" si="20"/>
        <v>-0.49973318218913576</v>
      </c>
      <c r="V27" s="383">
        <f t="shared" si="8"/>
        <v>13.673974211125589</v>
      </c>
      <c r="W27" s="402">
        <f t="shared" si="9"/>
        <v>0</v>
      </c>
      <c r="X27" s="157">
        <f t="shared" si="10"/>
        <v>44574</v>
      </c>
      <c r="Y27" s="385">
        <f t="shared" si="11"/>
        <v>3.0798911102086257</v>
      </c>
      <c r="Z27" s="385">
        <f t="shared" si="21"/>
        <v>3.1733619346916688</v>
      </c>
      <c r="AA27" s="386">
        <f t="shared" si="12"/>
        <v>3.6123210138451154</v>
      </c>
      <c r="AB27" s="197">
        <f t="shared" si="13"/>
        <v>44574</v>
      </c>
      <c r="AC27" s="119">
        <f>IF(OR(t&lt;Tnet,NoTnet),'2021'!Resal_s+('2021'!Salim-'2021'!Resal_s)*(1-EXP(('2021'!Tnet_s-t)/'2021'!Tau_j)),Resal_s+(Salim-Resal_s)*(1-EXP((Tnet_s-t)/Tau_j)))*Salcycl</f>
        <v>0.12151718451129542</v>
      </c>
      <c r="AD27" s="231">
        <f>(INDEX(Models!$BJ27:$BT27,,AH27)*(1-AF27)+INDEX(Models!$BJ27:$BT27,,AH27+1)*AF27-ERP_i)*AE27*Ramure*Pc/MaxiM</f>
        <v>3.6393914550999898E-2</v>
      </c>
      <c r="AE27" s="305">
        <f t="shared" si="14"/>
        <v>0.7</v>
      </c>
      <c r="AF27" s="177">
        <f t="shared" si="22"/>
        <v>0.50026681781086424</v>
      </c>
      <c r="AG27" s="817">
        <f t="shared" si="23"/>
        <v>-1</v>
      </c>
      <c r="AH27" s="176">
        <f t="shared" si="15"/>
        <v>5</v>
      </c>
      <c r="AI27" s="225">
        <f t="shared" si="24"/>
        <v>-0.49973318218913576</v>
      </c>
      <c r="AJ27" s="265" t="b">
        <f t="shared" si="16"/>
        <v>0</v>
      </c>
      <c r="AK27" s="265" t="b">
        <f t="shared" si="17"/>
        <v>0</v>
      </c>
      <c r="AL27" s="265"/>
      <c r="AM27" s="265"/>
      <c r="AN27" s="75"/>
    </row>
    <row r="28" spans="1:40" s="6" customFormat="1" ht="11.25" x14ac:dyDescent="0.2">
      <c r="A28" s="56">
        <f t="shared" si="18"/>
        <v>44575</v>
      </c>
      <c r="B28" s="1106">
        <v>13.8</v>
      </c>
      <c r="C28" s="846"/>
      <c r="D28" s="393">
        <f t="shared" si="0"/>
        <v>14.219124091897305</v>
      </c>
      <c r="E28" s="385">
        <f t="shared" si="1"/>
        <v>15.094680238185862</v>
      </c>
      <c r="F28" s="385">
        <f t="shared" si="2"/>
        <v>15.66337716078853</v>
      </c>
      <c r="G28" s="110">
        <f t="shared" si="19"/>
        <v>0.99636535397884329</v>
      </c>
      <c r="H28" s="414" t="b">
        <f>Wh_hp&gt;='2021'!Maxi_hp</f>
        <v>1</v>
      </c>
      <c r="I28" s="380">
        <f>IF(H28,Wh_hp,'2021'!Maxi_hp)</f>
        <v>15.66337716078853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2.9476083701677536E-2</v>
      </c>
      <c r="M28" s="850"/>
      <c r="N28" s="850"/>
      <c r="O28" s="48">
        <f>IF(t&lt;Tnet,'2021'!Resal+('2021'!Salim-'2021'!Resal)*(1-EXP(('2021'!Tnet-t)/('2021'!Tau_j))),Resal+(Salim-Resal)*(1-EXP((Tnet-t)/(Tau_j))))*Salcycl</f>
        <v>5.8004285779675764E-2</v>
      </c>
      <c r="P28" s="339">
        <f>(INDEX(Models!$BJ28:$BT28,,T28)*(1-R28)+INDEX(Models!$BJ28:$BT28,,T28+1)*R28-ERP_i)*Q28*Ramure*Pc/MaxiM</f>
        <v>3.6487191662397195E-2</v>
      </c>
      <c r="Q28" s="305">
        <f t="shared" si="4"/>
        <v>0.7</v>
      </c>
      <c r="R28" s="177">
        <f t="shared" si="5"/>
        <v>0.50029546865100538</v>
      </c>
      <c r="S28" s="817">
        <f t="shared" si="6"/>
        <v>-1</v>
      </c>
      <c r="T28" s="176">
        <f t="shared" si="7"/>
        <v>5</v>
      </c>
      <c r="U28" s="251">
        <f t="shared" si="20"/>
        <v>-0.49970453134899462</v>
      </c>
      <c r="V28" s="383">
        <f t="shared" si="8"/>
        <v>13.84775748093241</v>
      </c>
      <c r="W28" s="402">
        <f t="shared" si="9"/>
        <v>0</v>
      </c>
      <c r="X28" s="157">
        <f t="shared" si="10"/>
        <v>44575</v>
      </c>
      <c r="Y28" s="385">
        <f t="shared" si="11"/>
        <v>12.869020164086722</v>
      </c>
      <c r="Z28" s="385">
        <f t="shared" si="21"/>
        <v>13.259869177846211</v>
      </c>
      <c r="AA28" s="386">
        <f t="shared" si="12"/>
        <v>15.094680238185862</v>
      </c>
      <c r="AB28" s="197">
        <f t="shared" si="13"/>
        <v>44575</v>
      </c>
      <c r="AC28" s="119">
        <f>IF(OR(t&lt;Tnet,NoTnet),'2021'!Resal_s+('2021'!Salim-'2021'!Resal_s)*(1-EXP(('2021'!Tnet_s-t)/'2021'!Tau_j)),Resal_s+(Salim-Resal_s)*(1-EXP((Tnet_s-t)/Tau_j)))*Salcycl</f>
        <v>0.12155348979821552</v>
      </c>
      <c r="AD28" s="231">
        <f>(INDEX(Models!$BJ28:$BT28,,AH28)*(1-AF28)+INDEX(Models!$BJ28:$BT28,,AH28+1)*AF28-ERP_i)*AE28*Ramure*Pc/MaxiM</f>
        <v>3.6487191662397195E-2</v>
      </c>
      <c r="AE28" s="305">
        <f t="shared" si="14"/>
        <v>0.7</v>
      </c>
      <c r="AF28" s="177">
        <f t="shared" si="22"/>
        <v>0.50029546865100538</v>
      </c>
      <c r="AG28" s="817">
        <f t="shared" si="23"/>
        <v>-1</v>
      </c>
      <c r="AH28" s="176">
        <f t="shared" si="15"/>
        <v>5</v>
      </c>
      <c r="AI28" s="225">
        <f t="shared" si="24"/>
        <v>-0.49970453134899462</v>
      </c>
      <c r="AJ28" s="265" t="b">
        <f t="shared" si="16"/>
        <v>0</v>
      </c>
      <c r="AK28" s="265" t="b">
        <f t="shared" si="17"/>
        <v>0</v>
      </c>
      <c r="AL28" s="265"/>
      <c r="AM28" s="265"/>
      <c r="AN28" s="75"/>
    </row>
    <row r="29" spans="1:40" s="6" customFormat="1" ht="11.25" x14ac:dyDescent="0.2">
      <c r="A29" s="56">
        <f t="shared" si="18"/>
        <v>44576</v>
      </c>
      <c r="B29" s="1106">
        <v>14.103</v>
      </c>
      <c r="C29" s="846"/>
      <c r="D29" s="393">
        <f t="shared" si="0"/>
        <v>14.531644879449784</v>
      </c>
      <c r="E29" s="385">
        <f t="shared" si="1"/>
        <v>15.428487742495671</v>
      </c>
      <c r="F29" s="385">
        <f t="shared" si="2"/>
        <v>16.01372498587039</v>
      </c>
      <c r="G29" s="110">
        <f t="shared" si="19"/>
        <v>1.0054544313032809</v>
      </c>
      <c r="H29" s="414" t="b">
        <f>Wh_hp&gt;='2021'!Maxi_hp</f>
        <v>1</v>
      </c>
      <c r="I29" s="380">
        <f>IF(H29,Wh_hp,'2021'!Maxi_hp)</f>
        <v>16.01372498587039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2.9497340666228444E-2</v>
      </c>
      <c r="M29" s="850"/>
      <c r="N29" s="850"/>
      <c r="O29" s="48">
        <f>IF(t&lt;Tnet,'2021'!Resal+('2021'!Salim-'2021'!Resal)*(1-EXP(('2021'!Tnet-t)/('2021'!Tau_j))),Resal+(Salim-Resal)*(1-EXP((Tnet-t)/(Tau_j))))*Salcycl</f>
        <v>5.8129019383776341E-2</v>
      </c>
      <c r="P29" s="339">
        <f>(INDEX(Models!$BJ29:$BT29,,T29)*(1-R29)+INDEX(Models!$BJ29:$BT29,,T29+1)*R29-ERP_i)*Q29*Ramure*Pc/MaxiM</f>
        <v>3.6545978146314953E-2</v>
      </c>
      <c r="Q29" s="305">
        <f t="shared" si="4"/>
        <v>0.7</v>
      </c>
      <c r="R29" s="177">
        <f t="shared" si="5"/>
        <v>0.50032531562726279</v>
      </c>
      <c r="S29" s="817">
        <f t="shared" si="6"/>
        <v>-1</v>
      </c>
      <c r="T29" s="176">
        <f t="shared" si="7"/>
        <v>5</v>
      </c>
      <c r="U29" s="251">
        <f t="shared" si="20"/>
        <v>-0.49967468437273721</v>
      </c>
      <c r="V29" s="383">
        <f t="shared" si="8"/>
        <v>14.026493455023655</v>
      </c>
      <c r="W29" s="402">
        <f t="shared" si="9"/>
        <v>0</v>
      </c>
      <c r="X29" s="157">
        <f t="shared" si="10"/>
        <v>44576</v>
      </c>
      <c r="Y29" s="385">
        <f t="shared" si="11"/>
        <v>13.152775933332508</v>
      </c>
      <c r="Z29" s="385">
        <f t="shared" si="21"/>
        <v>13.55253981721348</v>
      </c>
      <c r="AA29" s="386">
        <f t="shared" si="12"/>
        <v>15.428487742495673</v>
      </c>
      <c r="AB29" s="197">
        <f t="shared" si="13"/>
        <v>44576</v>
      </c>
      <c r="AC29" s="119">
        <f>IF(OR(t&lt;Tnet,NoTnet),'2021'!Resal_s+('2021'!Salim-'2021'!Resal_s)*(1-EXP(('2021'!Tnet_s-t)/'2021'!Tau_j)),Resal_s+(Salim-Resal_s)*(1-EXP((Tnet_s-t)/Tau_j)))*Salcycl</f>
        <v>0.12158987689474893</v>
      </c>
      <c r="AD29" s="231">
        <f>(INDEX(Models!$BJ29:$BT29,,AH29)*(1-AF29)+INDEX(Models!$BJ29:$BT29,,AH29+1)*AF29-ERP_i)*AE29*Ramure*Pc/MaxiM</f>
        <v>3.6545978146314953E-2</v>
      </c>
      <c r="AE29" s="305">
        <f t="shared" si="14"/>
        <v>0.7</v>
      </c>
      <c r="AF29" s="177">
        <f t="shared" si="22"/>
        <v>0.50032531562726279</v>
      </c>
      <c r="AG29" s="817">
        <f t="shared" si="23"/>
        <v>-1</v>
      </c>
      <c r="AH29" s="176">
        <f t="shared" si="15"/>
        <v>5</v>
      </c>
      <c r="AI29" s="225">
        <f t="shared" si="24"/>
        <v>-0.49967468437273721</v>
      </c>
      <c r="AJ29" s="265" t="b">
        <f t="shared" si="16"/>
        <v>0</v>
      </c>
      <c r="AK29" s="265" t="b">
        <f t="shared" si="17"/>
        <v>0</v>
      </c>
      <c r="AL29" s="265"/>
      <c r="AM29" s="265"/>
      <c r="AN29" s="75"/>
    </row>
    <row r="30" spans="1:40" s="6" customFormat="1" ht="11.25" x14ac:dyDescent="0.2">
      <c r="A30" s="56">
        <f t="shared" si="18"/>
        <v>44577</v>
      </c>
      <c r="B30" s="1106">
        <v>14.18</v>
      </c>
      <c r="C30" s="846"/>
      <c r="D30" s="393">
        <f t="shared" si="0"/>
        <v>14.611305233237681</v>
      </c>
      <c r="E30" s="385">
        <f t="shared" si="1"/>
        <v>15.515117328444077</v>
      </c>
      <c r="F30" s="385">
        <f t="shared" si="2"/>
        <v>16.102218040848967</v>
      </c>
      <c r="G30" s="110">
        <f t="shared" si="19"/>
        <v>0.99775521213060814</v>
      </c>
      <c r="H30" s="414" t="b">
        <f>Wh_hp&gt;='2021'!Maxi_hp</f>
        <v>1</v>
      </c>
      <c r="I30" s="380">
        <f>IF(H30,Wh_hp,'2021'!Maxi_hp)</f>
        <v>16.102218040848967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2.9518597165197225E-2</v>
      </c>
      <c r="M30" s="850"/>
      <c r="N30" s="850"/>
      <c r="O30" s="48">
        <f>IF(t&lt;Tnet,'2021'!Resal+('2021'!Salim-'2021'!Resal)*(1-EXP(('2021'!Tnet-t)/('2021'!Tau_j))),Resal+(Salim-Resal)*(1-EXP((Tnet-t)/(Tau_j))))*Salcycl</f>
        <v>5.8253642307262841E-2</v>
      </c>
      <c r="P30" s="339">
        <f>(INDEX(Models!$BJ30:$BT30,,T30)*(1-R30)+INDEX(Models!$BJ30:$BT30,,T30+1)*R30-ERP_i)*Q30*Ramure*Pc/MaxiM</f>
        <v>3.6572120564091273E-2</v>
      </c>
      <c r="Q30" s="305">
        <f t="shared" si="4"/>
        <v>0.7</v>
      </c>
      <c r="R30" s="177">
        <f t="shared" si="5"/>
        <v>0.50035640842290974</v>
      </c>
      <c r="S30" s="817">
        <f t="shared" si="6"/>
        <v>-1</v>
      </c>
      <c r="T30" s="176">
        <f t="shared" si="7"/>
        <v>5</v>
      </c>
      <c r="U30" s="251">
        <f t="shared" si="20"/>
        <v>-0.49964359157709032</v>
      </c>
      <c r="V30" s="383">
        <f t="shared" si="8"/>
        <v>14.210261643244232</v>
      </c>
      <c r="W30" s="402">
        <f t="shared" si="9"/>
        <v>0</v>
      </c>
      <c r="X30" s="157">
        <f t="shared" si="10"/>
        <v>44577</v>
      </c>
      <c r="Y30" s="385">
        <f t="shared" si="11"/>
        <v>13.225788735592758</v>
      </c>
      <c r="Z30" s="385">
        <f t="shared" si="21"/>
        <v>13.628070251485362</v>
      </c>
      <c r="AA30" s="386">
        <f t="shared" si="12"/>
        <v>15.515117328444077</v>
      </c>
      <c r="AB30" s="197">
        <f t="shared" si="13"/>
        <v>44577</v>
      </c>
      <c r="AC30" s="119">
        <f>IF(OR(t&lt;Tnet,NoTnet),'2021'!Resal_s+('2021'!Salim-'2021'!Resal_s)*(1-EXP(('2021'!Tnet_s-t)/'2021'!Tau_j)),Resal_s+(Salim-Resal_s)*(1-EXP((Tnet_s-t)/Tau_j)))*Salcycl</f>
        <v>0.12162634912848308</v>
      </c>
      <c r="AD30" s="231">
        <f>(INDEX(Models!$BJ30:$BT30,,AH30)*(1-AF30)+INDEX(Models!$BJ30:$BT30,,AH30+1)*AF30-ERP_i)*AE30*Ramure*Pc/MaxiM</f>
        <v>3.6572120564091273E-2</v>
      </c>
      <c r="AE30" s="305">
        <f t="shared" si="14"/>
        <v>0.7</v>
      </c>
      <c r="AF30" s="177">
        <f t="shared" si="22"/>
        <v>0.50035640842290974</v>
      </c>
      <c r="AG30" s="817">
        <f t="shared" si="23"/>
        <v>-1</v>
      </c>
      <c r="AH30" s="176">
        <f t="shared" si="15"/>
        <v>5</v>
      </c>
      <c r="AI30" s="225">
        <f t="shared" si="24"/>
        <v>-0.49964359157709032</v>
      </c>
      <c r="AJ30" s="265" t="b">
        <f t="shared" si="16"/>
        <v>0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44578</v>
      </c>
      <c r="B31" s="1106">
        <v>10.277000000000001</v>
      </c>
      <c r="C31" s="846"/>
      <c r="D31" s="393">
        <f t="shared" si="0"/>
        <v>10.589821780804234</v>
      </c>
      <c r="E31" s="385">
        <f t="shared" si="1"/>
        <v>11.246363773484942</v>
      </c>
      <c r="F31" s="385">
        <f t="shared" si="2"/>
        <v>11.494776439311693</v>
      </c>
      <c r="G31" s="110">
        <f t="shared" si="19"/>
        <v>0.70281250776486504</v>
      </c>
      <c r="H31" s="414" t="b">
        <f>Wh_hp&gt;='2021'!Maxi_hp</f>
        <v>1</v>
      </c>
      <c r="I31" s="380">
        <f>IF(H31,Wh_hp,'2021'!Maxi_hp)</f>
        <v>11.494776439311693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2.9539853198594201E-2</v>
      </c>
      <c r="M31" s="850"/>
      <c r="N31" s="850"/>
      <c r="O31" s="48">
        <f>IF(t&lt;Tnet,'2021'!Resal+('2021'!Salim-'2021'!Resal)*(1-EXP(('2021'!Tnet-t)/('2021'!Tau_j))),Resal+(Salim-Resal)*(1-EXP((Tnet-t)/(Tau_j))))*Salcycl</f>
        <v>5.8378157234128231E-2</v>
      </c>
      <c r="P31" s="339">
        <f>(INDEX(Models!$BJ31:$BT31,,T31)*(1-R31)+INDEX(Models!$BJ31:$BT31,,T31+1)*R31-ERP_i)*Q31*Ramure*Pc/MaxiM</f>
        <v>3.6564824861063376E-2</v>
      </c>
      <c r="Q31" s="305">
        <f t="shared" si="4"/>
        <v>0.7</v>
      </c>
      <c r="R31" s="177">
        <f t="shared" si="5"/>
        <v>0.50038879876320053</v>
      </c>
      <c r="S31" s="817">
        <f t="shared" si="6"/>
        <v>-1</v>
      </c>
      <c r="T31" s="176">
        <f t="shared" si="7"/>
        <v>5</v>
      </c>
      <c r="U31" s="251">
        <f t="shared" si="20"/>
        <v>-0.49961120123679942</v>
      </c>
      <c r="V31" s="383">
        <f t="shared" si="8"/>
        <v>14.399180477393838</v>
      </c>
      <c r="W31" s="402">
        <f t="shared" si="9"/>
        <v>0</v>
      </c>
      <c r="X31" s="157">
        <f t="shared" si="10"/>
        <v>44578</v>
      </c>
      <c r="Y31" s="385">
        <f t="shared" si="11"/>
        <v>9.586300842737808</v>
      </c>
      <c r="Z31" s="385">
        <f t="shared" si="21"/>
        <v>9.8780984199442265</v>
      </c>
      <c r="AA31" s="386">
        <f t="shared" si="12"/>
        <v>11.246363773484942</v>
      </c>
      <c r="AB31" s="197">
        <f t="shared" si="13"/>
        <v>44578</v>
      </c>
      <c r="AC31" s="119">
        <f>IF(OR(t&lt;Tnet,NoTnet),'2021'!Resal_s+('2021'!Salim-'2021'!Resal_s)*(1-EXP(('2021'!Tnet_s-t)/'2021'!Tau_j)),Resal_s+(Salim-Resal_s)*(1-EXP((Tnet_s-t)/Tau_j)))*Salcycl</f>
        <v>0.12166291088383741</v>
      </c>
      <c r="AD31" s="231">
        <f>(INDEX(Models!$BJ31:$BT31,,AH31)*(1-AF31)+INDEX(Models!$BJ31:$BT31,,AH31+1)*AF31-ERP_i)*AE31*Ramure*Pc/MaxiM</f>
        <v>3.6564824861063376E-2</v>
      </c>
      <c r="AE31" s="305">
        <f t="shared" si="14"/>
        <v>0.7</v>
      </c>
      <c r="AF31" s="177">
        <f t="shared" si="22"/>
        <v>0.50038879876320053</v>
      </c>
      <c r="AG31" s="817">
        <f t="shared" si="23"/>
        <v>-1</v>
      </c>
      <c r="AH31" s="176">
        <f t="shared" si="15"/>
        <v>5</v>
      </c>
      <c r="AI31" s="225">
        <f t="shared" si="24"/>
        <v>-0.49961120123679942</v>
      </c>
      <c r="AJ31" s="265" t="b">
        <f t="shared" si="16"/>
        <v>0</v>
      </c>
      <c r="AK31" s="265" t="b">
        <f t="shared" si="17"/>
        <v>0</v>
      </c>
      <c r="AL31" s="265"/>
      <c r="AM31" s="265"/>
      <c r="AN31" s="75"/>
    </row>
    <row r="32" spans="1:40" s="6" customFormat="1" ht="11.25" x14ac:dyDescent="0.2">
      <c r="A32" s="56">
        <f t="shared" si="18"/>
        <v>44579</v>
      </c>
      <c r="B32" s="1106">
        <v>2.4889999999999999</v>
      </c>
      <c r="C32" s="846"/>
      <c r="D32" s="393">
        <f t="shared" si="0"/>
        <v>2.5648188901787674</v>
      </c>
      <c r="E32" s="385">
        <f t="shared" si="1"/>
        <v>2.7241910609055324</v>
      </c>
      <c r="F32" s="385">
        <f t="shared" si="2"/>
        <v>2.7241910609055324</v>
      </c>
      <c r="G32" s="110">
        <f t="shared" si="19"/>
        <v>0.16432760411535668</v>
      </c>
      <c r="H32" s="414" t="b">
        <f>Wh_hp&gt;='2021'!Maxi_hp</f>
        <v>0</v>
      </c>
      <c r="I32" s="380">
        <f>IF(H32,Wh_hp,'2021'!Maxi_hp)</f>
        <v>16.33584148224859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2.9561108766429478E-2</v>
      </c>
      <c r="M32" s="850"/>
      <c r="N32" s="850"/>
      <c r="O32" s="48">
        <f>IF(t&lt;Tnet,'2021'!Resal+('2021'!Salim-'2021'!Resal)*(1-EXP(('2021'!Tnet-t)/('2021'!Tau_j))),Resal+(Salim-Resal)*(1-EXP((Tnet-t)/(Tau_j))))*Salcycl</f>
        <v>5.8502567244233208E-2</v>
      </c>
      <c r="P32" s="339">
        <f>(INDEX(Models!$BJ32:$BT32,,T32)*(1-R32)+INDEX(Models!$BJ32:$BT32,,T32+1)*R32-ERP_i)*Q32*Ramure*Pc/MaxiM</f>
        <v>3.652505561494003E-2</v>
      </c>
      <c r="Q32" s="305">
        <f t="shared" si="4"/>
        <v>0.7</v>
      </c>
      <c r="R32" s="177">
        <f t="shared" si="5"/>
        <v>0.50042254049744272</v>
      </c>
      <c r="S32" s="817">
        <f t="shared" si="6"/>
        <v>-1</v>
      </c>
      <c r="T32" s="176">
        <f t="shared" si="7"/>
        <v>5</v>
      </c>
      <c r="U32" s="251">
        <f t="shared" si="20"/>
        <v>-0.49957745950255728</v>
      </c>
      <c r="V32" s="383">
        <f t="shared" si="8"/>
        <v>14.593343275977995</v>
      </c>
      <c r="W32" s="402">
        <f t="shared" si="9"/>
        <v>0</v>
      </c>
      <c r="X32" s="157">
        <f t="shared" si="10"/>
        <v>44579</v>
      </c>
      <c r="Y32" s="385">
        <f t="shared" si="11"/>
        <v>2.3219285585194314</v>
      </c>
      <c r="Z32" s="385">
        <f t="shared" si="21"/>
        <v>2.3926581874392099</v>
      </c>
      <c r="AA32" s="386">
        <f t="shared" si="12"/>
        <v>2.7241910609055324</v>
      </c>
      <c r="AB32" s="197">
        <f t="shared" si="13"/>
        <v>44579</v>
      </c>
      <c r="AC32" s="119">
        <f>IF(OR(t&lt;Tnet,NoTnet),'2021'!Resal_s+('2021'!Salim-'2021'!Resal_s)*(1-EXP(('2021'!Tnet_s-t)/'2021'!Tau_j)),Resal_s+(Salim-Resal_s)*(1-EXP((Tnet_s-t)/Tau_j)))*Salcycl</f>
        <v>0.12169956734096314</v>
      </c>
      <c r="AD32" s="231">
        <f>(INDEX(Models!$BJ32:$BT32,,AH32)*(1-AF32)+INDEX(Models!$BJ32:$BT32,,AH32+1)*AF32-ERP_i)*AE32*Ramure*Pc/MaxiM</f>
        <v>3.652505561494003E-2</v>
      </c>
      <c r="AE32" s="305">
        <f t="shared" si="14"/>
        <v>0.7</v>
      </c>
      <c r="AF32" s="177">
        <f t="shared" si="22"/>
        <v>0.50042254049744272</v>
      </c>
      <c r="AG32" s="817">
        <f t="shared" si="23"/>
        <v>-1</v>
      </c>
      <c r="AH32" s="176">
        <f t="shared" si="15"/>
        <v>5</v>
      </c>
      <c r="AI32" s="225">
        <f t="shared" si="24"/>
        <v>-0.49957745950255728</v>
      </c>
      <c r="AJ32" s="265" t="b">
        <f t="shared" si="16"/>
        <v>0</v>
      </c>
      <c r="AK32" s="265" t="b">
        <f t="shared" si="17"/>
        <v>0</v>
      </c>
      <c r="AL32" s="265"/>
      <c r="AM32" s="265"/>
      <c r="AN32" s="75"/>
    </row>
    <row r="33" spans="1:40" s="6" customFormat="1" ht="11.25" x14ac:dyDescent="0.2">
      <c r="A33" s="56">
        <f t="shared" si="18"/>
        <v>44580</v>
      </c>
      <c r="B33" s="1106">
        <v>7.46</v>
      </c>
      <c r="C33" s="846"/>
      <c r="D33" s="393">
        <f t="shared" si="0"/>
        <v>7.6874118134748581</v>
      </c>
      <c r="E33" s="385">
        <f t="shared" si="1"/>
        <v>8.1661687751501493</v>
      </c>
      <c r="F33" s="385">
        <f t="shared" si="2"/>
        <v>8.2539844879182809</v>
      </c>
      <c r="G33" s="110">
        <f t="shared" si="19"/>
        <v>0.49113967081757753</v>
      </c>
      <c r="H33" s="414" t="b">
        <f>Wh_hp&gt;='2021'!Maxi_hp</f>
        <v>0</v>
      </c>
      <c r="I33" s="380">
        <f>IF(H33,Wh_hp,'2021'!Maxi_hp)</f>
        <v>16.836051106728092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2.9582363868713268E-2</v>
      </c>
      <c r="M33" s="850"/>
      <c r="N33" s="850"/>
      <c r="O33" s="48">
        <f>IF(t&lt;Tnet,'2021'!Resal+('2021'!Salim-'2021'!Resal)*(1-EXP(('2021'!Tnet-t)/('2021'!Tau_j))),Resal+(Salim-Resal)*(1-EXP((Tnet-t)/(Tau_j))))*Salcycl</f>
        <v>5.8626875693796682E-2</v>
      </c>
      <c r="P33" s="339">
        <f>(INDEX(Models!$BJ33:$BT33,,T33)*(1-R33)+INDEX(Models!$BJ33:$BT33,,T33+1)*R33-ERP_i)*Q33*Ramure*Pc/MaxiM</f>
        <v>3.6453790446072207E-2</v>
      </c>
      <c r="Q33" s="305">
        <f t="shared" si="4"/>
        <v>0.7</v>
      </c>
      <c r="R33" s="177">
        <f t="shared" si="5"/>
        <v>0.50045768968420656</v>
      </c>
      <c r="S33" s="817">
        <f t="shared" si="6"/>
        <v>-1</v>
      </c>
      <c r="T33" s="176">
        <f t="shared" si="7"/>
        <v>5</v>
      </c>
      <c r="U33" s="251">
        <f t="shared" si="20"/>
        <v>-0.49954231031579349</v>
      </c>
      <c r="V33" s="383">
        <f t="shared" si="8"/>
        <v>14.792843299851123</v>
      </c>
      <c r="W33" s="402">
        <f t="shared" si="9"/>
        <v>0</v>
      </c>
      <c r="X33" s="157">
        <f t="shared" si="10"/>
        <v>44580</v>
      </c>
      <c r="Y33" s="385">
        <f t="shared" si="11"/>
        <v>6.9598832303013429</v>
      </c>
      <c r="Z33" s="385">
        <f t="shared" si="21"/>
        <v>7.1720494054992088</v>
      </c>
      <c r="AA33" s="386">
        <f t="shared" si="12"/>
        <v>8.1661687751501493</v>
      </c>
      <c r="AB33" s="197">
        <f t="shared" si="13"/>
        <v>44580</v>
      </c>
      <c r="AC33" s="119">
        <f>IF(OR(t&lt;Tnet,NoTnet),'2021'!Resal_s+('2021'!Salim-'2021'!Resal_s)*(1-EXP(('2021'!Tnet_s-t)/'2021'!Tau_j)),Resal_s+(Salim-Resal_s)*(1-EXP((Tnet_s-t)/Tau_j)))*Salcycl</f>
        <v>0.12173632422049252</v>
      </c>
      <c r="AD33" s="231">
        <f>(INDEX(Models!$BJ33:$BT33,,AH33)*(1-AF33)+INDEX(Models!$BJ33:$BT33,,AH33+1)*AF33-ERP_i)*AE33*Ramure*Pc/MaxiM</f>
        <v>3.6453790446072207E-2</v>
      </c>
      <c r="AE33" s="305">
        <f t="shared" si="14"/>
        <v>0.7</v>
      </c>
      <c r="AF33" s="177">
        <f t="shared" si="22"/>
        <v>0.50045768968420656</v>
      </c>
      <c r="AG33" s="817">
        <f t="shared" si="23"/>
        <v>-1</v>
      </c>
      <c r="AH33" s="176">
        <f t="shared" si="15"/>
        <v>5</v>
      </c>
      <c r="AI33" s="225">
        <f t="shared" si="24"/>
        <v>-0.49954231031579349</v>
      </c>
      <c r="AJ33" s="265" t="b">
        <f t="shared" si="16"/>
        <v>0</v>
      </c>
      <c r="AK33" s="265" t="b">
        <f t="shared" si="17"/>
        <v>0</v>
      </c>
      <c r="AL33" s="265"/>
      <c r="AM33" s="265"/>
      <c r="AN33" s="75"/>
    </row>
    <row r="34" spans="1:40" s="6" customFormat="1" ht="11.25" x14ac:dyDescent="0.2">
      <c r="A34" s="56">
        <f t="shared" si="18"/>
        <v>44581</v>
      </c>
      <c r="B34" s="1106">
        <v>3.9769999999999999</v>
      </c>
      <c r="C34" s="846"/>
      <c r="D34" s="393">
        <f t="shared" si="0"/>
        <v>4.0983252574322995</v>
      </c>
      <c r="E34" s="385">
        <f t="shared" si="1"/>
        <v>4.3541354437743998</v>
      </c>
      <c r="F34" s="385">
        <f t="shared" si="2"/>
        <v>4.3541354437743998</v>
      </c>
      <c r="G34" s="110">
        <f t="shared" si="19"/>
        <v>0.25553312690057117</v>
      </c>
      <c r="H34" s="414" t="b">
        <f>Wh_hp&gt;='2021'!Maxi_hp</f>
        <v>0</v>
      </c>
      <c r="I34" s="380">
        <f>IF(H34,Wh_hp,'2021'!Maxi_hp)</f>
        <v>7.5521238527845549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2.9603618505455676E-2</v>
      </c>
      <c r="M34" s="850"/>
      <c r="N34" s="850"/>
      <c r="O34" s="48">
        <f>IF(t&lt;Tnet,'2021'!Resal+('2021'!Salim-'2021'!Resal)*(1-EXP(('2021'!Tnet-t)/('2021'!Tau_j))),Resal+(Salim-Resal)*(1-EXP((Tnet-t)/(Tau_j))))*Salcycl</f>
        <v>5.8751086098587237E-2</v>
      </c>
      <c r="P34" s="339">
        <f>(INDEX(Models!$BJ34:$BT34,,T34)*(1-R34)+INDEX(Models!$BJ34:$BT34,,T34+1)*R34-ERP_i)*Q34*Ramure*Pc/MaxiM</f>
        <v>3.635222079443292E-2</v>
      </c>
      <c r="Q34" s="305">
        <f t="shared" si="4"/>
        <v>0.7</v>
      </c>
      <c r="R34" s="177">
        <f t="shared" si="5"/>
        <v>0.50049430467978162</v>
      </c>
      <c r="S34" s="817">
        <f t="shared" si="6"/>
        <v>-1</v>
      </c>
      <c r="T34" s="176">
        <f t="shared" si="7"/>
        <v>5</v>
      </c>
      <c r="U34" s="251">
        <f t="shared" si="20"/>
        <v>-0.49950569532021838</v>
      </c>
      <c r="V34" s="383">
        <f t="shared" si="8"/>
        <v>14.997770599785097</v>
      </c>
      <c r="W34" s="402">
        <f t="shared" si="9"/>
        <v>0</v>
      </c>
      <c r="X34" s="157">
        <f t="shared" si="10"/>
        <v>44581</v>
      </c>
      <c r="Y34" s="385">
        <f t="shared" si="11"/>
        <v>3.710716667591671</v>
      </c>
      <c r="Z34" s="385">
        <f t="shared" si="21"/>
        <v>3.8239184918194513</v>
      </c>
      <c r="AA34" s="386">
        <f t="shared" si="12"/>
        <v>4.3541354437743998</v>
      </c>
      <c r="AB34" s="197">
        <f t="shared" si="13"/>
        <v>44581</v>
      </c>
      <c r="AC34" s="119">
        <f>IF(OR(t&lt;Tnet,NoTnet),'2021'!Resal_s+('2021'!Salim-'2021'!Resal_s)*(1-EXP(('2021'!Tnet_s-t)/'2021'!Tau_j)),Resal_s+(Salim-Resal_s)*(1-EXP((Tnet_s-t)/Tau_j)))*Salcycl</f>
        <v>0.12177318753670367</v>
      </c>
      <c r="AD34" s="231">
        <f>(INDEX(Models!$BJ34:$BT34,,AH34)*(1-AF34)+INDEX(Models!$BJ34:$BT34,,AH34+1)*AF34-ERP_i)*AE34*Ramure*Pc/MaxiM</f>
        <v>3.635222079443292E-2</v>
      </c>
      <c r="AE34" s="305">
        <f t="shared" si="14"/>
        <v>0.7</v>
      </c>
      <c r="AF34" s="177">
        <f t="shared" si="22"/>
        <v>0.50049430467978162</v>
      </c>
      <c r="AG34" s="817">
        <f t="shared" si="23"/>
        <v>-1</v>
      </c>
      <c r="AH34" s="176">
        <f t="shared" si="15"/>
        <v>5</v>
      </c>
      <c r="AI34" s="225">
        <f t="shared" si="24"/>
        <v>-0.49950569532021838</v>
      </c>
      <c r="AJ34" s="265" t="b">
        <f t="shared" si="16"/>
        <v>0</v>
      </c>
      <c r="AK34" s="265" t="b">
        <f t="shared" si="17"/>
        <v>0</v>
      </c>
      <c r="AL34" s="265"/>
      <c r="AM34" s="265"/>
      <c r="AN34" s="75"/>
    </row>
    <row r="35" spans="1:40" s="6" customFormat="1" ht="11.25" x14ac:dyDescent="0.2">
      <c r="A35" s="56">
        <f t="shared" si="18"/>
        <v>44582</v>
      </c>
      <c r="B35" s="1106">
        <v>10.901</v>
      </c>
      <c r="C35" s="846"/>
      <c r="D35" s="393">
        <f t="shared" si="0"/>
        <v>11.233799891459649</v>
      </c>
      <c r="E35" s="385">
        <f t="shared" si="1"/>
        <v>11.936567727876263</v>
      </c>
      <c r="F35" s="385">
        <f t="shared" si="2"/>
        <v>12.199672633065241</v>
      </c>
      <c r="G35" s="110">
        <f t="shared" si="19"/>
        <v>0.70604766188269341</v>
      </c>
      <c r="H35" s="414" t="b">
        <f>Wh_hp&gt;='2021'!Maxi_hp</f>
        <v>1</v>
      </c>
      <c r="I35" s="380">
        <f>IF(H35,Wh_hp,'2021'!Maxi_hp)</f>
        <v>12.199672633065241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2.9624872676667136E-2</v>
      </c>
      <c r="M35" s="850"/>
      <c r="N35" s="850"/>
      <c r="O35" s="48">
        <f>IF(t&lt;Tnet,'2021'!Resal+('2021'!Salim-'2021'!Resal)*(1-EXP(('2021'!Tnet-t)/('2021'!Tau_j))),Resal+(Salim-Resal)*(1-EXP((Tnet-t)/(Tau_j))))*Salcycl</f>
        <v>5.8875202021045979E-2</v>
      </c>
      <c r="P35" s="339">
        <f>(INDEX(Models!$BJ35:$BT35,,T35)*(1-R35)+INDEX(Models!$BJ35:$BT35,,T35+1)*R35-ERP_i)*Q35*Ramure*Pc/MaxiM</f>
        <v>3.6221635491757768E-2</v>
      </c>
      <c r="Q35" s="305">
        <f t="shared" si="4"/>
        <v>0.7</v>
      </c>
      <c r="R35" s="177">
        <f t="shared" si="5"/>
        <v>0.5005324462299876</v>
      </c>
      <c r="S35" s="817">
        <f t="shared" si="6"/>
        <v>-1</v>
      </c>
      <c r="T35" s="176">
        <f t="shared" si="7"/>
        <v>5</v>
      </c>
      <c r="U35" s="251">
        <f t="shared" si="20"/>
        <v>-0.4994675537700124</v>
      </c>
      <c r="V35" s="383">
        <f t="shared" si="8"/>
        <v>15.208213600875863</v>
      </c>
      <c r="W35" s="402">
        <f t="shared" si="9"/>
        <v>0</v>
      </c>
      <c r="X35" s="157">
        <f t="shared" si="10"/>
        <v>44582</v>
      </c>
      <c r="Y35" s="385">
        <f t="shared" si="11"/>
        <v>10.172027588428429</v>
      </c>
      <c r="Z35" s="385">
        <f t="shared" si="21"/>
        <v>10.482572462967788</v>
      </c>
      <c r="AA35" s="386">
        <f t="shared" si="12"/>
        <v>11.936567727876263</v>
      </c>
      <c r="AB35" s="197">
        <f t="shared" si="13"/>
        <v>44582</v>
      </c>
      <c r="AC35" s="119">
        <f>IF(OR(t&lt;Tnet,NoTnet),'2021'!Resal_s+('2021'!Salim-'2021'!Resal_s)*(1-EXP(('2021'!Tnet_s-t)/'2021'!Tau_j)),Resal_s+(Salim-Resal_s)*(1-EXP((Tnet_s-t)/Tau_j)))*Salcycl</f>
        <v>0.12181016336152158</v>
      </c>
      <c r="AD35" s="231">
        <f>(INDEX(Models!$BJ35:$BT35,,AH35)*(1-AF35)+INDEX(Models!$BJ35:$BT35,,AH35+1)*AF35-ERP_i)*AE35*Ramure*Pc/MaxiM</f>
        <v>3.6221635491757768E-2</v>
      </c>
      <c r="AE35" s="305">
        <f t="shared" si="14"/>
        <v>0.7</v>
      </c>
      <c r="AF35" s="177">
        <f t="shared" si="22"/>
        <v>0.5005324462299876</v>
      </c>
      <c r="AG35" s="817">
        <f t="shared" si="23"/>
        <v>-1</v>
      </c>
      <c r="AH35" s="176">
        <f t="shared" si="15"/>
        <v>5</v>
      </c>
      <c r="AI35" s="225">
        <f t="shared" si="24"/>
        <v>-0.4994675537700124</v>
      </c>
      <c r="AJ35" s="265" t="b">
        <f t="shared" si="16"/>
        <v>0</v>
      </c>
      <c r="AK35" s="265" t="b">
        <f t="shared" si="17"/>
        <v>0</v>
      </c>
      <c r="AL35" s="265"/>
      <c r="AM35" s="265"/>
      <c r="AN35" s="75"/>
    </row>
    <row r="36" spans="1:40" s="6" customFormat="1" ht="11.25" x14ac:dyDescent="0.2">
      <c r="A36" s="56">
        <f t="shared" si="18"/>
        <v>44583</v>
      </c>
      <c r="B36" s="1106">
        <v>15.675000000000001</v>
      </c>
      <c r="C36" s="846"/>
      <c r="D36" s="393">
        <f t="shared" si="0"/>
        <v>16.15390057810659</v>
      </c>
      <c r="E36" s="385">
        <f t="shared" si="1"/>
        <v>17.166724025064067</v>
      </c>
      <c r="F36" s="385">
        <f t="shared" si="2"/>
        <v>17.808971984336939</v>
      </c>
      <c r="G36" s="110">
        <f t="shared" si="19"/>
        <v>1.0162560121867492</v>
      </c>
      <c r="H36" s="414" t="b">
        <f>Wh_hp&gt;='2021'!Maxi_hp</f>
        <v>1</v>
      </c>
      <c r="I36" s="380">
        <f>IF(H36,Wh_hp,'2021'!Maxi_hp)</f>
        <v>17.808971984336939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2.964612638235764E-2</v>
      </c>
      <c r="M36" s="850"/>
      <c r="N36" s="850"/>
      <c r="O36" s="48">
        <f>IF(t&lt;Tnet,'2021'!Resal+('2021'!Salim-'2021'!Resal)*(1-EXP(('2021'!Tnet-t)/('2021'!Tau_j))),Resal+(Salim-Resal)*(1-EXP((Tnet-t)/(Tau_j))))*Salcycl</f>
        <v>5.8999226962507062E-2</v>
      </c>
      <c r="P36" s="339">
        <f>(INDEX(Models!$BJ36:$BT36,,T36)*(1-R36)+INDEX(Models!$BJ36:$BT36,,T36+1)*R36-ERP_i)*Q36*Ramure*Pc/MaxiM</f>
        <v>3.6063168600508289E-2</v>
      </c>
      <c r="Q36" s="305">
        <f t="shared" si="4"/>
        <v>0.7</v>
      </c>
      <c r="R36" s="177">
        <f t="shared" si="5"/>
        <v>0.50057217756544892</v>
      </c>
      <c r="S36" s="817">
        <f t="shared" si="6"/>
        <v>-1</v>
      </c>
      <c r="T36" s="176">
        <f t="shared" si="7"/>
        <v>5</v>
      </c>
      <c r="U36" s="251">
        <f t="shared" si="20"/>
        <v>-0.49942782243455108</v>
      </c>
      <c r="V36" s="383">
        <f t="shared" si="8"/>
        <v>15.424262992817141</v>
      </c>
      <c r="W36" s="402">
        <f t="shared" si="9"/>
        <v>0</v>
      </c>
      <c r="X36" s="157">
        <f t="shared" si="10"/>
        <v>44583</v>
      </c>
      <c r="Y36" s="385">
        <f t="shared" si="11"/>
        <v>14.628090254019742</v>
      </c>
      <c r="Z36" s="385">
        <f t="shared" si="21"/>
        <v>15.075005780606372</v>
      </c>
      <c r="AA36" s="386">
        <f t="shared" si="12"/>
        <v>17.166724025064067</v>
      </c>
      <c r="AB36" s="197">
        <f t="shared" si="13"/>
        <v>44583</v>
      </c>
      <c r="AC36" s="119">
        <f>IF(OR(t&lt;Tnet,NoTnet),'2021'!Resal_s+('2021'!Salim-'2021'!Resal_s)*(1-EXP(('2021'!Tnet_s-t)/'2021'!Tau_j)),Resal_s+(Salim-Resal_s)*(1-EXP((Tnet_s-t)/Tau_j)))*Salcycl</f>
        <v>0.12184725760160811</v>
      </c>
      <c r="AD36" s="231">
        <f>(INDEX(Models!$BJ36:$BT36,,AH36)*(1-AF36)+INDEX(Models!$BJ36:$BT36,,AH36+1)*AF36-ERP_i)*AE36*Ramure*Pc/MaxiM</f>
        <v>3.6063168600508289E-2</v>
      </c>
      <c r="AE36" s="305">
        <f t="shared" si="14"/>
        <v>0.7</v>
      </c>
      <c r="AF36" s="177">
        <f t="shared" si="22"/>
        <v>0.50057217756544892</v>
      </c>
      <c r="AG36" s="817">
        <f t="shared" si="23"/>
        <v>-1</v>
      </c>
      <c r="AH36" s="176">
        <f t="shared" si="15"/>
        <v>5</v>
      </c>
      <c r="AI36" s="225">
        <f t="shared" si="24"/>
        <v>-0.49942782243455108</v>
      </c>
      <c r="AJ36" s="265" t="b">
        <f t="shared" si="16"/>
        <v>0</v>
      </c>
      <c r="AK36" s="265" t="b">
        <f t="shared" si="17"/>
        <v>0</v>
      </c>
      <c r="AL36" s="265"/>
      <c r="AM36" s="265"/>
      <c r="AN36" s="75"/>
    </row>
    <row r="37" spans="1:40" s="6" customFormat="1" ht="11.25" x14ac:dyDescent="0.2">
      <c r="A37" s="56">
        <f t="shared" si="18"/>
        <v>44584</v>
      </c>
      <c r="B37" s="1106">
        <v>15.731</v>
      </c>
      <c r="C37" s="846"/>
      <c r="D37" s="393">
        <f t="shared" si="0"/>
        <v>16.211966566557958</v>
      </c>
      <c r="E37" s="385">
        <f t="shared" si="1"/>
        <v>17.230700077587645</v>
      </c>
      <c r="F37" s="385">
        <f t="shared" si="2"/>
        <v>17.871865098354334</v>
      </c>
      <c r="G37" s="110">
        <f t="shared" si="19"/>
        <v>1.0053655173674527</v>
      </c>
      <c r="H37" s="414" t="b">
        <f>Wh_hp&gt;='2021'!Maxi_hp</f>
        <v>1</v>
      </c>
      <c r="I37" s="380">
        <f>IF(H37,Wh_hp,'2021'!Maxi_hp)</f>
        <v>17.871865098354334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2.9667379622537404E-2</v>
      </c>
      <c r="M37" s="850"/>
      <c r="N37" s="850"/>
      <c r="O37" s="48">
        <f>IF(t&lt;Tnet,'2021'!Resal+('2021'!Salim-'2021'!Resal)*(1-EXP(('2021'!Tnet-t)/('2021'!Tau_j))),Resal+(Salim-Resal)*(1-EXP((Tnet-t)/(Tau_j))))*Salcycl</f>
        <v>5.9123164261606319E-2</v>
      </c>
      <c r="P37" s="339">
        <f>(INDEX(Models!$BJ37:$BT37,,T37)*(1-R37)+INDEX(Models!$BJ37:$BT37,,T37+1)*R37-ERP_i)*Q37*Ramure*Pc/MaxiM</f>
        <v>3.5875663633211319E-2</v>
      </c>
      <c r="Q37" s="305">
        <f t="shared" si="4"/>
        <v>0.7</v>
      </c>
      <c r="R37" s="177">
        <f t="shared" si="5"/>
        <v>0.5006135645004488</v>
      </c>
      <c r="S37" s="817">
        <f t="shared" si="6"/>
        <v>-1</v>
      </c>
      <c r="T37" s="176">
        <f t="shared" si="7"/>
        <v>5</v>
      </c>
      <c r="U37" s="251">
        <f t="shared" si="20"/>
        <v>-0.49938643549955125</v>
      </c>
      <c r="V37" s="383">
        <f t="shared" si="8"/>
        <v>15.647045505590429</v>
      </c>
      <c r="W37" s="402">
        <f t="shared" si="9"/>
        <v>0</v>
      </c>
      <c r="X37" s="157">
        <f t="shared" si="10"/>
        <v>44584</v>
      </c>
      <c r="Y37" s="385">
        <f t="shared" si="11"/>
        <v>14.681661601857924</v>
      </c>
      <c r="Z37" s="385">
        <f t="shared" si="21"/>
        <v>15.130545231125703</v>
      </c>
      <c r="AA37" s="386">
        <f t="shared" si="12"/>
        <v>17.230700077587645</v>
      </c>
      <c r="AB37" s="197">
        <f t="shared" si="13"/>
        <v>44584</v>
      </c>
      <c r="AC37" s="119">
        <f>IF(OR(t&lt;Tnet,NoTnet),'2021'!Resal_s+('2021'!Salim-'2021'!Resal_s)*(1-EXP(('2021'!Tnet_s-t)/'2021'!Tau_j)),Resal_s+(Salim-Resal_s)*(1-EXP((Tnet_s-t)/Tau_j)))*Salcycl</f>
        <v>0.12188447579060707</v>
      </c>
      <c r="AD37" s="231">
        <f>(INDEX(Models!$BJ37:$BT37,,AH37)*(1-AF37)+INDEX(Models!$BJ37:$BT37,,AH37+1)*AF37-ERP_i)*AE37*Ramure*Pc/MaxiM</f>
        <v>3.5875663633211319E-2</v>
      </c>
      <c r="AE37" s="305">
        <f t="shared" si="14"/>
        <v>0.7</v>
      </c>
      <c r="AF37" s="177">
        <f t="shared" si="22"/>
        <v>0.5006135645004488</v>
      </c>
      <c r="AG37" s="817">
        <f t="shared" si="23"/>
        <v>-1</v>
      </c>
      <c r="AH37" s="176">
        <f t="shared" si="15"/>
        <v>5</v>
      </c>
      <c r="AI37" s="225">
        <f t="shared" si="24"/>
        <v>-0.49938643549955125</v>
      </c>
      <c r="AJ37" s="265" t="b">
        <f t="shared" si="16"/>
        <v>0</v>
      </c>
      <c r="AK37" s="265" t="b">
        <f t="shared" si="17"/>
        <v>0</v>
      </c>
      <c r="AL37" s="265"/>
      <c r="AM37" s="265"/>
      <c r="AN37" s="75"/>
    </row>
    <row r="38" spans="1:40" s="6" customFormat="1" ht="11.25" x14ac:dyDescent="0.2">
      <c r="A38" s="56">
        <f t="shared" si="18"/>
        <v>44585</v>
      </c>
      <c r="B38" s="1106">
        <v>16.012</v>
      </c>
      <c r="C38" s="846"/>
      <c r="D38" s="393">
        <f t="shared" si="0"/>
        <v>16.501919419493845</v>
      </c>
      <c r="E38" s="385">
        <f t="shared" si="1"/>
        <v>17.541182135684817</v>
      </c>
      <c r="F38" s="385">
        <f t="shared" si="2"/>
        <v>18.189713580371091</v>
      </c>
      <c r="G38" s="110">
        <f t="shared" si="19"/>
        <v>1.0084823817632187</v>
      </c>
      <c r="H38" s="414" t="b">
        <f>Wh_hp&gt;='2021'!Maxi_hp</f>
        <v>1</v>
      </c>
      <c r="I38" s="380">
        <f>IF(H38,Wh_hp,'2021'!Maxi_hp)</f>
        <v>18.189713580371091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2.9688632397216641E-2</v>
      </c>
      <c r="M38" s="850"/>
      <c r="N38" s="850"/>
      <c r="O38" s="48">
        <f>IF(t&lt;Tnet,'2021'!Resal+('2021'!Salim-'2021'!Resal)*(1-EXP(('2021'!Tnet-t)/('2021'!Tau_j))),Resal+(Salim-Resal)*(1-EXP((Tnet-t)/(Tau_j))))*Salcycl</f>
        <v>5.9247016999883585E-2</v>
      </c>
      <c r="P38" s="339">
        <f>(INDEX(Models!$BJ38:$BT38,,T38)*(1-R38)+INDEX(Models!$BJ38:$BT38,,T38+1)*R38-ERP_i)*Q38*Ramure*Pc/MaxiM</f>
        <v>3.5653746927940412E-2</v>
      </c>
      <c r="Q38" s="305">
        <f t="shared" si="4"/>
        <v>0.7</v>
      </c>
      <c r="R38" s="177">
        <f t="shared" si="5"/>
        <v>0.50065667553547533</v>
      </c>
      <c r="S38" s="817">
        <f t="shared" si="6"/>
        <v>-1</v>
      </c>
      <c r="T38" s="176">
        <f t="shared" si="7"/>
        <v>5</v>
      </c>
      <c r="U38" s="251">
        <f t="shared" si="20"/>
        <v>-0.49934332446452467</v>
      </c>
      <c r="V38" s="383">
        <f t="shared" si="8"/>
        <v>15.877322489268291</v>
      </c>
      <c r="W38" s="402">
        <f t="shared" si="9"/>
        <v>0</v>
      </c>
      <c r="X38" s="157">
        <f t="shared" si="10"/>
        <v>44585</v>
      </c>
      <c r="Y38" s="385">
        <f t="shared" si="11"/>
        <v>14.945249205496227</v>
      </c>
      <c r="Z38" s="385">
        <f t="shared" si="21"/>
        <v>15.402529233909139</v>
      </c>
      <c r="AA38" s="386">
        <f t="shared" si="12"/>
        <v>17.541182135684817</v>
      </c>
      <c r="AB38" s="197">
        <f t="shared" si="13"/>
        <v>44585</v>
      </c>
      <c r="AC38" s="119">
        <f>IF(OR(t&lt;Tnet,NoTnet),'2021'!Resal_s+('2021'!Salim-'2021'!Resal_s)*(1-EXP(('2021'!Tnet_s-t)/'2021'!Tau_j)),Resal_s+(Salim-Resal_s)*(1-EXP((Tnet_s-t)/Tau_j)))*Salcycl</f>
        <v>0.12192182289840775</v>
      </c>
      <c r="AD38" s="231">
        <f>(INDEX(Models!$BJ38:$BT38,,AH38)*(1-AF38)+INDEX(Models!$BJ38:$BT38,,AH38+1)*AF38-ERP_i)*AE38*Ramure*Pc/MaxiM</f>
        <v>3.5653746927940412E-2</v>
      </c>
      <c r="AE38" s="305">
        <f t="shared" si="14"/>
        <v>0.7</v>
      </c>
      <c r="AF38" s="177">
        <f t="shared" si="22"/>
        <v>0.50065667553547533</v>
      </c>
      <c r="AG38" s="817">
        <f t="shared" si="23"/>
        <v>-1</v>
      </c>
      <c r="AH38" s="176">
        <f t="shared" si="15"/>
        <v>5</v>
      </c>
      <c r="AI38" s="225">
        <f t="shared" si="24"/>
        <v>-0.49934332446452467</v>
      </c>
      <c r="AJ38" s="265" t="b">
        <f t="shared" si="16"/>
        <v>0</v>
      </c>
      <c r="AK38" s="265" t="b">
        <f t="shared" si="17"/>
        <v>0</v>
      </c>
      <c r="AL38" s="265"/>
      <c r="AM38" s="265"/>
      <c r="AN38" s="75"/>
    </row>
    <row r="39" spans="1:40" s="6" customFormat="1" ht="11.25" x14ac:dyDescent="0.2">
      <c r="A39" s="56">
        <f t="shared" si="18"/>
        <v>44586</v>
      </c>
      <c r="B39" s="1106">
        <v>15.189</v>
      </c>
      <c r="C39" s="846"/>
      <c r="D39" s="393">
        <f t="shared" si="0"/>
        <v>15.654080939909452</v>
      </c>
      <c r="E39" s="385">
        <f t="shared" si="1"/>
        <v>16.642137772033202</v>
      </c>
      <c r="F39" s="385">
        <f t="shared" si="2"/>
        <v>17.201428770631761</v>
      </c>
      <c r="G39" s="110">
        <f t="shared" si="19"/>
        <v>0.93975513988842774</v>
      </c>
      <c r="H39" s="414" t="b">
        <f>Wh_hp&gt;='2021'!Maxi_hp</f>
        <v>1</v>
      </c>
      <c r="I39" s="380">
        <f>IF(H39,Wh_hp,'2021'!Maxi_hp)</f>
        <v>17.201428770631761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2.9709884706405676E-2</v>
      </c>
      <c r="M39" s="850"/>
      <c r="N39" s="850"/>
      <c r="O39" s="48">
        <f>IF(t&lt;Tnet,'2021'!Resal+('2021'!Salim-'2021'!Resal)*(1-EXP(('2021'!Tnet-t)/('2021'!Tau_j))),Resal+(Salim-Resal)*(1-EXP((Tnet-t)/(Tau_j))))*Salcycl</f>
        <v>5.9370787915490109E-2</v>
      </c>
      <c r="P39" s="339">
        <f>(INDEX(Models!$BJ39:$BT39,,T39)*(1-R39)+INDEX(Models!$BJ39:$BT39,,T39+1)*R39-ERP_i)*Q39*Ramure*Pc/MaxiM</f>
        <v>3.5419337478725006E-2</v>
      </c>
      <c r="Q39" s="305">
        <f t="shared" si="4"/>
        <v>0.7</v>
      </c>
      <c r="R39" s="177">
        <f t="shared" si="5"/>
        <v>0.50070158196357939</v>
      </c>
      <c r="S39" s="817">
        <f t="shared" si="6"/>
        <v>-1</v>
      </c>
      <c r="T39" s="176">
        <f t="shared" si="7"/>
        <v>5</v>
      </c>
      <c r="U39" s="251">
        <f t="shared" si="20"/>
        <v>-0.49929841803642061</v>
      </c>
      <c r="V39" s="383">
        <f t="shared" si="8"/>
        <v>16.114188215001658</v>
      </c>
      <c r="W39" s="402">
        <f t="shared" si="9"/>
        <v>0</v>
      </c>
      <c r="X39" s="157">
        <f t="shared" si="10"/>
        <v>44586</v>
      </c>
      <c r="Y39" s="385">
        <f t="shared" si="11"/>
        <v>14.178339321146504</v>
      </c>
      <c r="Z39" s="385">
        <f t="shared" si="21"/>
        <v>14.612474246278769</v>
      </c>
      <c r="AA39" s="386">
        <f t="shared" si="12"/>
        <v>16.642137772033202</v>
      </c>
      <c r="AB39" s="197">
        <f t="shared" si="13"/>
        <v>44586</v>
      </c>
      <c r="AC39" s="119">
        <f>IF(OR(t&lt;Tnet,NoTnet),'2021'!Resal_s+('2021'!Salim-'2021'!Resal_s)*(1-EXP(('2021'!Tnet_s-t)/'2021'!Tau_j)),Resal_s+(Salim-Resal_s)*(1-EXP((Tnet_s-t)/Tau_j)))*Salcycl</f>
        <v>0.12195930315907157</v>
      </c>
      <c r="AD39" s="231">
        <f>(INDEX(Models!$BJ39:$BT39,,AH39)*(1-AF39)+INDEX(Models!$BJ39:$BT39,,AH39+1)*AF39-ERP_i)*AE39*Ramure*Pc/MaxiM</f>
        <v>3.5419337478725006E-2</v>
      </c>
      <c r="AE39" s="305">
        <f t="shared" si="14"/>
        <v>0.7</v>
      </c>
      <c r="AF39" s="177">
        <f t="shared" si="22"/>
        <v>0.50070158196357939</v>
      </c>
      <c r="AG39" s="817">
        <f t="shared" si="23"/>
        <v>-1</v>
      </c>
      <c r="AH39" s="176">
        <f t="shared" si="15"/>
        <v>5</v>
      </c>
      <c r="AI39" s="225">
        <f t="shared" si="24"/>
        <v>-0.49929841803642061</v>
      </c>
      <c r="AJ39" s="265" t="b">
        <f t="shared" si="16"/>
        <v>0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44587</v>
      </c>
      <c r="B40" s="1106">
        <v>16.512</v>
      </c>
      <c r="C40" s="846"/>
      <c r="D40" s="393">
        <f t="shared" si="0"/>
        <v>17.01796339345568</v>
      </c>
      <c r="E40" s="385">
        <f t="shared" si="1"/>
        <v>18.094485379795096</v>
      </c>
      <c r="F40" s="385">
        <f t="shared" si="2"/>
        <v>18.754153438721257</v>
      </c>
      <c r="G40" s="110">
        <f t="shared" si="19"/>
        <v>1.0094728002838944</v>
      </c>
      <c r="H40" s="414" t="b">
        <f>Wh_hp&gt;='2021'!Maxi_hp</f>
        <v>1</v>
      </c>
      <c r="I40" s="380">
        <f>IF(H40,Wh_hp,'2021'!Maxi_hp)</f>
        <v>18.754153438721257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2.9731136550114501E-2</v>
      </c>
      <c r="M40" s="850"/>
      <c r="N40" s="850"/>
      <c r="O40" s="48">
        <f>IF(t&lt;Tnet,'2021'!Resal+('2021'!Salim-'2021'!Resal)*(1-EXP(('2021'!Tnet-t)/('2021'!Tau_j))),Resal+(Salim-Resal)*(1-EXP((Tnet-t)/(Tau_j))))*Salcycl</f>
        <v>5.9494479325811318E-2</v>
      </c>
      <c r="P40" s="339">
        <f>(INDEX(Models!$BJ40:$BT40,,T40)*(1-R40)+INDEX(Models!$BJ40:$BT40,,T40+1)*R40-ERP_i)*Q40*Ramure*Pc/MaxiM</f>
        <v>3.517450473473048E-2</v>
      </c>
      <c r="Q40" s="305">
        <f t="shared" si="4"/>
        <v>0.7</v>
      </c>
      <c r="R40" s="177">
        <f t="shared" si="5"/>
        <v>0.50074835798065953</v>
      </c>
      <c r="S40" s="817">
        <f t="shared" si="6"/>
        <v>-1</v>
      </c>
      <c r="T40" s="176">
        <f t="shared" si="7"/>
        <v>5</v>
      </c>
      <c r="U40" s="251">
        <f t="shared" si="20"/>
        <v>-0.49925164201934047</v>
      </c>
      <c r="V40" s="383">
        <f t="shared" si="8"/>
        <v>16.357052904601616</v>
      </c>
      <c r="W40" s="402">
        <f t="shared" si="9"/>
        <v>0</v>
      </c>
      <c r="X40" s="157">
        <f t="shared" si="10"/>
        <v>44587</v>
      </c>
      <c r="Y40" s="385">
        <f t="shared" si="11"/>
        <v>15.414674916429778</v>
      </c>
      <c r="Z40" s="385">
        <f t="shared" si="21"/>
        <v>15.887013895943646</v>
      </c>
      <c r="AA40" s="386">
        <f t="shared" si="12"/>
        <v>18.094485379795096</v>
      </c>
      <c r="AB40" s="197">
        <f t="shared" si="13"/>
        <v>44587</v>
      </c>
      <c r="AC40" s="119">
        <f>IF(OR(t&lt;Tnet,NoTnet),'2021'!Resal_s+('2021'!Salim-'2021'!Resal_s)*(1-EXP(('2021'!Tnet_s-t)/'2021'!Tau_j)),Resal_s+(Salim-Resal_s)*(1-EXP((Tnet_s-t)/Tau_j)))*Salcycl</f>
        <v>0.12199691991883811</v>
      </c>
      <c r="AD40" s="231">
        <f>(INDEX(Models!$BJ40:$BT40,,AH40)*(1-AF40)+INDEX(Models!$BJ40:$BT40,,AH40+1)*AF40-ERP_i)*AE40*Ramure*Pc/MaxiM</f>
        <v>3.517450473473048E-2</v>
      </c>
      <c r="AE40" s="305">
        <f t="shared" si="14"/>
        <v>0.7</v>
      </c>
      <c r="AF40" s="177">
        <f t="shared" si="22"/>
        <v>0.50074835798065953</v>
      </c>
      <c r="AG40" s="817">
        <f t="shared" si="23"/>
        <v>-1</v>
      </c>
      <c r="AH40" s="176">
        <f t="shared" si="15"/>
        <v>5</v>
      </c>
      <c r="AI40" s="225">
        <f t="shared" si="24"/>
        <v>-0.49925164201934047</v>
      </c>
      <c r="AJ40" s="265" t="b">
        <f t="shared" si="16"/>
        <v>0</v>
      </c>
      <c r="AK40" s="265" t="b">
        <f t="shared" si="17"/>
        <v>0</v>
      </c>
      <c r="AL40" s="265"/>
      <c r="AM40" s="265"/>
      <c r="AN40" s="75"/>
    </row>
    <row r="41" spans="1:40" s="6" customFormat="1" ht="11.25" x14ac:dyDescent="0.2">
      <c r="A41" s="56">
        <f t="shared" si="18"/>
        <v>44588</v>
      </c>
      <c r="B41" s="1106">
        <v>14.106</v>
      </c>
      <c r="C41" s="846"/>
      <c r="D41" s="393">
        <f t="shared" si="0"/>
        <v>14.538556781274885</v>
      </c>
      <c r="E41" s="385">
        <f t="shared" si="1"/>
        <v>15.460268507907356</v>
      </c>
      <c r="F41" s="385">
        <f t="shared" si="2"/>
        <v>15.896017389858935</v>
      </c>
      <c r="G41" s="110">
        <f t="shared" si="19"/>
        <v>0.84292807848445406</v>
      </c>
      <c r="H41" s="414" t="b">
        <f>Wh_hp&gt;='2021'!Maxi_hp</f>
        <v>1</v>
      </c>
      <c r="I41" s="380">
        <f>IF(H41,Wh_hp,'2021'!Maxi_hp)</f>
        <v>15.896017389858935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2.9752387928353441E-2</v>
      </c>
      <c r="M41" s="850"/>
      <c r="N41" s="850"/>
      <c r="O41" s="48">
        <f>IF(t&lt;Tnet,'2021'!Resal+('2021'!Salim-'2021'!Resal)*(1-EXP(('2021'!Tnet-t)/('2021'!Tau_j))),Resal+(Salim-Resal)*(1-EXP((Tnet-t)/(Tau_j))))*Salcycl</f>
        <v>5.961809305970657E-2</v>
      </c>
      <c r="P41" s="339">
        <f>(INDEX(Models!$BJ41:$BT41,,T41)*(1-R41)+INDEX(Models!$BJ41:$BT41,,T41+1)*R41-ERP_i)*Q41*Ramure*Pc/MaxiM</f>
        <v>3.4921189158646421E-2</v>
      </c>
      <c r="Q41" s="305">
        <f t="shared" si="4"/>
        <v>0.7</v>
      </c>
      <c r="R41" s="177">
        <f t="shared" si="5"/>
        <v>0.50079708079979857</v>
      </c>
      <c r="S41" s="817">
        <f t="shared" si="6"/>
        <v>-1</v>
      </c>
      <c r="T41" s="176">
        <f t="shared" si="7"/>
        <v>5</v>
      </c>
      <c r="U41" s="251">
        <f t="shared" si="20"/>
        <v>-0.49920291920020143</v>
      </c>
      <c r="V41" s="383">
        <f t="shared" si="8"/>
        <v>16.605327143683006</v>
      </c>
      <c r="W41" s="402">
        <f t="shared" si="9"/>
        <v>0</v>
      </c>
      <c r="X41" s="157">
        <f t="shared" si="10"/>
        <v>44588</v>
      </c>
      <c r="Y41" s="385">
        <f t="shared" si="11"/>
        <v>13.16973324977779</v>
      </c>
      <c r="Z41" s="385">
        <f t="shared" si="21"/>
        <v>13.573579657318744</v>
      </c>
      <c r="AA41" s="386">
        <f t="shared" si="12"/>
        <v>15.460268507907356</v>
      </c>
      <c r="AB41" s="197">
        <f t="shared" si="13"/>
        <v>44588</v>
      </c>
      <c r="AC41" s="119">
        <f>IF(OR(t&lt;Tnet,NoTnet),'2021'!Resal_s+('2021'!Salim-'2021'!Resal_s)*(1-EXP(('2021'!Tnet_s-t)/'2021'!Tau_j)),Resal_s+(Salim-Resal_s)*(1-EXP((Tnet_s-t)/Tau_j)))*Salcycl</f>
        <v>0.12203467550538601</v>
      </c>
      <c r="AD41" s="231">
        <f>(INDEX(Models!$BJ41:$BT41,,AH41)*(1-AF41)+INDEX(Models!$BJ41:$BT41,,AH41+1)*AF41-ERP_i)*AE41*Ramure*Pc/MaxiM</f>
        <v>3.4921189158646421E-2</v>
      </c>
      <c r="AE41" s="305">
        <f t="shared" si="14"/>
        <v>0.7</v>
      </c>
      <c r="AF41" s="177">
        <f t="shared" si="22"/>
        <v>0.50079708079979857</v>
      </c>
      <c r="AG41" s="817">
        <f t="shared" si="23"/>
        <v>-1</v>
      </c>
      <c r="AH41" s="176">
        <f t="shared" si="15"/>
        <v>5</v>
      </c>
      <c r="AI41" s="225">
        <f t="shared" si="24"/>
        <v>-0.49920291920020143</v>
      </c>
      <c r="AJ41" s="265" t="b">
        <f t="shared" si="16"/>
        <v>0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44589</v>
      </c>
      <c r="B42" s="1106">
        <v>2.6379999999999999</v>
      </c>
      <c r="C42" s="846"/>
      <c r="D42" s="393">
        <f t="shared" si="0"/>
        <v>2.7189531284731268</v>
      </c>
      <c r="E42" s="385">
        <f t="shared" si="1"/>
        <v>2.891708509470305</v>
      </c>
      <c r="F42" s="385">
        <f t="shared" si="2"/>
        <v>2.891708509470305</v>
      </c>
      <c r="G42" s="110">
        <f t="shared" si="19"/>
        <v>0.15105587986122407</v>
      </c>
      <c r="H42" s="414" t="b">
        <f>Wh_hp&gt;='2021'!Maxi_hp</f>
        <v>0</v>
      </c>
      <c r="I42" s="380">
        <f>IF(H42,Wh_hp,'2021'!Maxi_hp)</f>
        <v>11.238202055607671</v>
      </c>
      <c r="J42" s="85">
        <f>IF(H42,An,'2021'!An_max)</f>
        <v>2020</v>
      </c>
      <c r="K42" s="197">
        <f t="shared" si="3"/>
        <v>44589</v>
      </c>
      <c r="L42" s="147">
        <f>IF(t&lt;Tvie,1-EXP((T0-t)*PertePVj)+'2021'!Pspv,1-EXP((T0-t)*PertePVj)+Pspv)</f>
        <v>2.977363884113271E-2</v>
      </c>
      <c r="M42" s="850"/>
      <c r="N42" s="850"/>
      <c r="O42" s="48">
        <f>IF(t&lt;Tnet,'2021'!Resal+('2021'!Salim-'2021'!Resal)*(1-EXP(('2021'!Tnet-t)/('2021'!Tau_j))),Resal+(Salim-Resal)*(1-EXP((Tnet-t)/(Tau_j))))*Salcycl</f>
        <v>5.9741630399954511E-2</v>
      </c>
      <c r="P42" s="339">
        <f>(INDEX(Models!$BJ42:$BT42,,T42)*(1-R42)+INDEX(Models!$BJ42:$BT42,,T42+1)*R42-ERP_i)*Q42*Ramure*Pc/MaxiM</f>
        <v>3.4661201704031912E-2</v>
      </c>
      <c r="Q42" s="305">
        <f t="shared" si="4"/>
        <v>0.7</v>
      </c>
      <c r="R42" s="177">
        <f t="shared" si="5"/>
        <v>0.50084783076977013</v>
      </c>
      <c r="S42" s="817">
        <f t="shared" si="6"/>
        <v>-1</v>
      </c>
      <c r="T42" s="176">
        <f t="shared" si="7"/>
        <v>5</v>
      </c>
      <c r="U42" s="251">
        <f t="shared" si="20"/>
        <v>-0.49915216923022987</v>
      </c>
      <c r="V42" s="383">
        <f t="shared" si="8"/>
        <v>16.858421878342686</v>
      </c>
      <c r="W42" s="402">
        <f t="shared" si="9"/>
        <v>0</v>
      </c>
      <c r="X42" s="157">
        <f t="shared" si="10"/>
        <v>44589</v>
      </c>
      <c r="Y42" s="385">
        <f t="shared" si="11"/>
        <v>2.4631235756747154</v>
      </c>
      <c r="Z42" s="385">
        <f t="shared" si="21"/>
        <v>2.5387102167917672</v>
      </c>
      <c r="AA42" s="386">
        <f t="shared" si="12"/>
        <v>2.891708509470305</v>
      </c>
      <c r="AB42" s="197">
        <f t="shared" si="13"/>
        <v>44589</v>
      </c>
      <c r="AC42" s="119">
        <f>IF(OR(t&lt;Tnet,NoTnet),'2021'!Resal_s+('2021'!Salim-'2021'!Resal_s)*(1-EXP(('2021'!Tnet_s-t)/'2021'!Tau_j)),Resal_s+(Salim-Resal_s)*(1-EXP((Tnet_s-t)/Tau_j)))*Salcycl</f>
        <v>0.12207257111927881</v>
      </c>
      <c r="AD42" s="231">
        <f>(INDEX(Models!$BJ42:$BT42,,AH42)*(1-AF42)+INDEX(Models!$BJ42:$BT42,,AH42+1)*AF42-ERP_i)*AE42*Ramure*Pc/MaxiM</f>
        <v>3.4661201704031912E-2</v>
      </c>
      <c r="AE42" s="305">
        <f t="shared" si="14"/>
        <v>0.7</v>
      </c>
      <c r="AF42" s="177">
        <f t="shared" si="22"/>
        <v>0.50084783076977013</v>
      </c>
      <c r="AG42" s="817">
        <f t="shared" si="23"/>
        <v>-1</v>
      </c>
      <c r="AH42" s="176">
        <f t="shared" si="15"/>
        <v>5</v>
      </c>
      <c r="AI42" s="225">
        <f t="shared" si="24"/>
        <v>-0.49915216923022987</v>
      </c>
      <c r="AJ42" s="265" t="b">
        <f t="shared" si="16"/>
        <v>0</v>
      </c>
      <c r="AK42" s="265" t="b">
        <f t="shared" si="17"/>
        <v>0</v>
      </c>
      <c r="AL42" s="265"/>
      <c r="AM42" s="265"/>
      <c r="AN42" s="75"/>
    </row>
    <row r="43" spans="1:40" s="6" customFormat="1" ht="11.25" x14ac:dyDescent="0.2">
      <c r="A43" s="56">
        <f t="shared" si="18"/>
        <v>44590</v>
      </c>
      <c r="B43" s="1106">
        <v>4.5090000000000003</v>
      </c>
      <c r="C43" s="846"/>
      <c r="D43" s="393">
        <f t="shared" si="0"/>
        <v>4.647470880351424</v>
      </c>
      <c r="E43" s="385">
        <f t="shared" si="1"/>
        <v>4.9434084842334549</v>
      </c>
      <c r="F43" s="385">
        <f t="shared" si="2"/>
        <v>4.9434084842334549</v>
      </c>
      <c r="G43" s="110">
        <f t="shared" si="19"/>
        <v>0.25438019488600644</v>
      </c>
      <c r="H43" s="414" t="b">
        <f>Wh_hp&gt;='2021'!Maxi_hp</f>
        <v>0</v>
      </c>
      <c r="I43" s="380">
        <f>IF(H43,Wh_hp,'2021'!Maxi_hp)</f>
        <v>14.430567184560136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2.9794889288462412E-2</v>
      </c>
      <c r="M43" s="850"/>
      <c r="N43" s="850"/>
      <c r="O43" s="48">
        <f>IF(t&lt;Tnet,'2021'!Resal+('2021'!Salim-'2021'!Resal)*(1-EXP(('2021'!Tnet-t)/('2021'!Tau_j))),Resal+(Salim-Resal)*(1-EXP((Tnet-t)/(Tau_j))))*Salcycl</f>
        <v>5.9865092036374697E-2</v>
      </c>
      <c r="P43" s="339">
        <f>(INDEX(Models!$BJ43:$BT43,,T43)*(1-R43)+INDEX(Models!$BJ43:$BT43,,T43+1)*R43-ERP_i)*Q43*Ramure*Pc/MaxiM</f>
        <v>3.4396225166460903E-2</v>
      </c>
      <c r="Q43" s="305">
        <f t="shared" si="4"/>
        <v>0.7</v>
      </c>
      <c r="R43" s="177">
        <f t="shared" si="5"/>
        <v>0.50090069149784044</v>
      </c>
      <c r="S43" s="817">
        <f t="shared" si="6"/>
        <v>-1</v>
      </c>
      <c r="T43" s="176">
        <f t="shared" si="7"/>
        <v>5</v>
      </c>
      <c r="U43" s="251">
        <f t="shared" si="20"/>
        <v>-0.49909930850215956</v>
      </c>
      <c r="V43" s="383">
        <f t="shared" si="8"/>
        <v>17.115748427960412</v>
      </c>
      <c r="W43" s="402">
        <f t="shared" si="9"/>
        <v>0</v>
      </c>
      <c r="X43" s="157">
        <f t="shared" si="10"/>
        <v>44590</v>
      </c>
      <c r="Y43" s="385">
        <f t="shared" si="11"/>
        <v>4.210463031041054</v>
      </c>
      <c r="Z43" s="385">
        <f t="shared" si="21"/>
        <v>4.339765874819137</v>
      </c>
      <c r="AA43" s="386">
        <f t="shared" si="12"/>
        <v>4.9434084842334549</v>
      </c>
      <c r="AB43" s="197">
        <f t="shared" si="13"/>
        <v>44590</v>
      </c>
      <c r="AC43" s="119">
        <f>IF(OR(t&lt;Tnet,NoTnet),'2021'!Resal_s+('2021'!Salim-'2021'!Resal_s)*(1-EXP(('2021'!Tnet_s-t)/'2021'!Tau_j)),Resal_s+(Salim-Resal_s)*(1-EXP((Tnet_s-t)/Tau_j)))*Salcycl</f>
        <v>0.12211060674827498</v>
      </c>
      <c r="AD43" s="231">
        <f>(INDEX(Models!$BJ43:$BT43,,AH43)*(1-AF43)+INDEX(Models!$BJ43:$BT43,,AH43+1)*AF43-ERP_i)*AE43*Ramure*Pc/MaxiM</f>
        <v>3.4396225166460903E-2</v>
      </c>
      <c r="AE43" s="305">
        <f t="shared" si="14"/>
        <v>0.7</v>
      </c>
      <c r="AF43" s="177">
        <f t="shared" si="22"/>
        <v>0.50090069149784044</v>
      </c>
      <c r="AG43" s="817">
        <f t="shared" si="23"/>
        <v>-1</v>
      </c>
      <c r="AH43" s="176">
        <f t="shared" si="15"/>
        <v>5</v>
      </c>
      <c r="AI43" s="225">
        <f t="shared" si="24"/>
        <v>-0.49909930850215956</v>
      </c>
      <c r="AJ43" s="265" t="b">
        <f t="shared" si="16"/>
        <v>0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44591</v>
      </c>
      <c r="B44" s="1106">
        <v>2.9250000000000003</v>
      </c>
      <c r="C44" s="846"/>
      <c r="D44" s="393">
        <f t="shared" si="0"/>
        <v>3.0148924532718904</v>
      </c>
      <c r="E44" s="385">
        <f t="shared" si="1"/>
        <v>3.2072930839756593</v>
      </c>
      <c r="F44" s="385">
        <f t="shared" si="2"/>
        <v>3.2072930839756593</v>
      </c>
      <c r="G44" s="110">
        <f t="shared" si="19"/>
        <v>0.16258398484215819</v>
      </c>
      <c r="H44" s="414" t="b">
        <f>Wh_hp&gt;='2021'!Maxi_hp</f>
        <v>0</v>
      </c>
      <c r="I44" s="380">
        <f>IF(H44,Wh_hp,'2021'!Maxi_hp)</f>
        <v>7.5125643185257411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2.9816139270352759E-2</v>
      </c>
      <c r="M44" s="850"/>
      <c r="N44" s="850"/>
      <c r="O44" s="48">
        <f>IF(t&lt;Tnet,'2021'!Resal+('2021'!Salim-'2021'!Resal)*(1-EXP(('2021'!Tnet-t)/('2021'!Tau_j))),Resal+(Salim-Resal)*(1-EXP((Tnet-t)/(Tau_j))))*Salcycl</f>
        <v>5.9988478029976332E-2</v>
      </c>
      <c r="P44" s="339">
        <f>(INDEX(Models!$BJ44:$BT44,,T44)*(1-R44)+INDEX(Models!$BJ44:$BT44,,T44+1)*R44-ERP_i)*Q44*Ramure*Pc/MaxiM</f>
        <v>3.4084616798437203E-2</v>
      </c>
      <c r="Q44" s="305">
        <f t="shared" si="4"/>
        <v>0.7</v>
      </c>
      <c r="R44" s="177">
        <f t="shared" si="5"/>
        <v>0.50095574997698877</v>
      </c>
      <c r="S44" s="817">
        <f t="shared" si="6"/>
        <v>-1</v>
      </c>
      <c r="T44" s="176">
        <f t="shared" si="7"/>
        <v>5</v>
      </c>
      <c r="U44" s="251">
        <f t="shared" si="20"/>
        <v>-0.49904425002301117</v>
      </c>
      <c r="V44" s="383">
        <f t="shared" si="8"/>
        <v>17.377495690042696</v>
      </c>
      <c r="W44" s="402">
        <f t="shared" si="9"/>
        <v>0</v>
      </c>
      <c r="X44" s="157">
        <f t="shared" si="10"/>
        <v>44591</v>
      </c>
      <c r="Y44" s="385">
        <f t="shared" si="11"/>
        <v>2.7315780235191269</v>
      </c>
      <c r="Z44" s="385">
        <f t="shared" si="21"/>
        <v>2.8155261431217644</v>
      </c>
      <c r="AA44" s="386">
        <f t="shared" si="12"/>
        <v>3.2072930839756593</v>
      </c>
      <c r="AB44" s="197">
        <f t="shared" si="13"/>
        <v>44591</v>
      </c>
      <c r="AC44" s="119">
        <f>IF(OR(t&lt;Tnet,NoTnet),'2021'!Resal_s+('2021'!Salim-'2021'!Resal_s)*(1-EXP(('2021'!Tnet_s-t)/'2021'!Tau_j)),Resal_s+(Salim-Resal_s)*(1-EXP((Tnet_s-t)/Tau_j)))*Salcycl</f>
        <v>0.12214878110492876</v>
      </c>
      <c r="AD44" s="231">
        <f>(INDEX(Models!$BJ44:$BT44,,AH44)*(1-AF44)+INDEX(Models!$BJ44:$BT44,,AH44+1)*AF44-ERP_i)*AE44*Ramure*Pc/MaxiM</f>
        <v>3.4084616798437203E-2</v>
      </c>
      <c r="AE44" s="305">
        <f t="shared" si="14"/>
        <v>0.7</v>
      </c>
      <c r="AF44" s="177">
        <f t="shared" si="22"/>
        <v>0.50095574997698877</v>
      </c>
      <c r="AG44" s="817">
        <f t="shared" si="23"/>
        <v>-1</v>
      </c>
      <c r="AH44" s="176">
        <f t="shared" si="15"/>
        <v>5</v>
      </c>
      <c r="AI44" s="225">
        <f t="shared" si="24"/>
        <v>-0.49904425002301117</v>
      </c>
      <c r="AJ44" s="265" t="b">
        <f t="shared" si="16"/>
        <v>0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44592</v>
      </c>
      <c r="B45" s="1106">
        <v>6.8650000000000002</v>
      </c>
      <c r="C45" s="846"/>
      <c r="D45" s="393">
        <f t="shared" si="0"/>
        <v>7.0761333416212917</v>
      </c>
      <c r="E45" s="385">
        <f t="shared" si="1"/>
        <v>7.5286967638103945</v>
      </c>
      <c r="F45" s="385">
        <f t="shared" si="2"/>
        <v>7.5611599873946806</v>
      </c>
      <c r="G45" s="110">
        <f t="shared" si="19"/>
        <v>0.37760130683534765</v>
      </c>
      <c r="H45" s="414" t="b">
        <f>Wh_hp&gt;='2021'!Maxi_hp</f>
        <v>0</v>
      </c>
      <c r="I45" s="380">
        <f>IF(H45,Wh_hp,'2021'!Maxi_hp)</f>
        <v>13.77882589725804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2.9837388786813968E-2</v>
      </c>
      <c r="M45" s="850"/>
      <c r="N45" s="850"/>
      <c r="O45" s="48">
        <f>IF(t&lt;Tnet,'2021'!Resal+('2021'!Salim-'2021'!Resal)*(1-EXP(('2021'!Tnet-t)/('2021'!Tau_j))),Resal+(Salim-Resal)*(1-EXP((Tnet-t)/(Tau_j))))*Salcycl</f>
        <v>6.0111787788362514E-2</v>
      </c>
      <c r="P45" s="339">
        <f>(INDEX(Models!$BJ45:$BT45,,T45)*(1-R45)+INDEX(Models!$BJ45:$BT45,,T45+1)*R45-ERP_i)*Q45*Ramure*Pc/MaxiM</f>
        <v>3.3728973359523171E-2</v>
      </c>
      <c r="Q45" s="305">
        <f t="shared" si="4"/>
        <v>0.7</v>
      </c>
      <c r="R45" s="177">
        <f t="shared" si="5"/>
        <v>0.50101309671767102</v>
      </c>
      <c r="S45" s="817">
        <f t="shared" si="6"/>
        <v>-1</v>
      </c>
      <c r="T45" s="176">
        <f t="shared" si="7"/>
        <v>5</v>
      </c>
      <c r="U45" s="251">
        <f t="shared" si="20"/>
        <v>-0.49898690328232898</v>
      </c>
      <c r="V45" s="383">
        <f t="shared" si="8"/>
        <v>17.643089313695764</v>
      </c>
      <c r="W45" s="402">
        <f t="shared" si="9"/>
        <v>0</v>
      </c>
      <c r="X45" s="157">
        <f t="shared" si="10"/>
        <v>44592</v>
      </c>
      <c r="Y45" s="385">
        <f t="shared" si="11"/>
        <v>6.4115982496158788</v>
      </c>
      <c r="Z45" s="385">
        <f t="shared" si="21"/>
        <v>6.6087872027949937</v>
      </c>
      <c r="AA45" s="386">
        <f t="shared" si="12"/>
        <v>7.5286967638103945</v>
      </c>
      <c r="AB45" s="197">
        <f t="shared" si="13"/>
        <v>44592</v>
      </c>
      <c r="AC45" s="119">
        <f>IF(OR(t&lt;Tnet,NoTnet),'2021'!Resal_s+('2021'!Salim-'2021'!Resal_s)*(1-EXP(('2021'!Tnet_s-t)/'2021'!Tau_j)),Resal_s+(Salim-Resal_s)*(1-EXP((Tnet_s-t)/Tau_j)))*Salcycl</f>
        <v>0.12218709158765755</v>
      </c>
      <c r="AD45" s="231">
        <f>(INDEX(Models!$BJ45:$BT45,,AH45)*(1-AF45)+INDEX(Models!$BJ45:$BT45,,AH45+1)*AF45-ERP_i)*AE45*Ramure*Pc/MaxiM</f>
        <v>3.3728973359523171E-2</v>
      </c>
      <c r="AE45" s="305">
        <f t="shared" si="14"/>
        <v>0.7</v>
      </c>
      <c r="AF45" s="177">
        <f t="shared" si="22"/>
        <v>0.50101309671767102</v>
      </c>
      <c r="AG45" s="817">
        <f t="shared" si="23"/>
        <v>-1</v>
      </c>
      <c r="AH45" s="176">
        <f t="shared" si="15"/>
        <v>5</v>
      </c>
      <c r="AI45" s="225">
        <f t="shared" si="24"/>
        <v>-0.49898690328232898</v>
      </c>
      <c r="AJ45" s="265" t="b">
        <f t="shared" si="16"/>
        <v>0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44593</v>
      </c>
      <c r="B46" s="1106">
        <v>8.5519999999999996</v>
      </c>
      <c r="C46" s="846"/>
      <c r="D46" s="393">
        <f t="shared" si="0"/>
        <v>8.8152101678669261</v>
      </c>
      <c r="E46" s="385">
        <f t="shared" si="1"/>
        <v>9.3802284145120556</v>
      </c>
      <c r="F46" s="385">
        <f t="shared" si="2"/>
        <v>9.4601633612892879</v>
      </c>
      <c r="G46" s="110">
        <f t="shared" si="19"/>
        <v>0.46546536959548418</v>
      </c>
      <c r="H46" s="414" t="b">
        <f>Wh_hp&gt;='2021'!Maxi_hp</f>
        <v>0</v>
      </c>
      <c r="I46" s="380">
        <f>IF(H46,Wh_hp,'2021'!Maxi_hp)</f>
        <v>16.408521217221892</v>
      </c>
      <c r="J46" s="85">
        <f>IF(H46,An,'2021'!An_max)</f>
        <v>2019</v>
      </c>
      <c r="K46" s="197">
        <f t="shared" si="3"/>
        <v>44593</v>
      </c>
      <c r="L46" s="147">
        <f>IF(t&lt;Tvie,1-EXP((T0-t)*PertePVj)+'2021'!Pspv,1-EXP((T0-t)*PertePVj)+Pspv)</f>
        <v>2.985863783785625E-2</v>
      </c>
      <c r="M46" s="850"/>
      <c r="N46" s="850"/>
      <c r="O46" s="48">
        <f>IF(t&lt;Tnet,'2021'!Resal+('2021'!Salim-'2021'!Resal)*(1-EXP(('2021'!Tnet-t)/('2021'!Tau_j))),Resal+(Salim-Resal)*(1-EXP((Tnet-t)/(Tau_j))))*Salcycl</f>
        <v>6.0235020052496313E-2</v>
      </c>
      <c r="P46" s="339">
        <f>(INDEX(Models!$BJ46:$BT46,,T46)*(1-R46)+INDEX(Models!$BJ46:$BT46,,T46+1)*R46-ERP_i)*Q46*Ramure*Pc/MaxiM</f>
        <v>3.3332493241261724E-2</v>
      </c>
      <c r="Q46" s="305">
        <f t="shared" si="4"/>
        <v>0.7</v>
      </c>
      <c r="R46" s="177">
        <f t="shared" si="5"/>
        <v>0.50107282588425062</v>
      </c>
      <c r="S46" s="817">
        <f t="shared" si="6"/>
        <v>-1</v>
      </c>
      <c r="T46" s="176">
        <f t="shared" si="7"/>
        <v>5</v>
      </c>
      <c r="U46" s="251">
        <f t="shared" si="20"/>
        <v>-0.49892717411574938</v>
      </c>
      <c r="V46" s="383">
        <f t="shared" si="8"/>
        <v>17.911941399895515</v>
      </c>
      <c r="W46" s="402">
        <f t="shared" si="9"/>
        <v>0</v>
      </c>
      <c r="X46" s="157">
        <f t="shared" si="10"/>
        <v>44593</v>
      </c>
      <c r="Y46" s="385">
        <f t="shared" si="11"/>
        <v>7.9878771726345024</v>
      </c>
      <c r="Z46" s="385">
        <f t="shared" si="21"/>
        <v>8.233724985018684</v>
      </c>
      <c r="AA46" s="386">
        <f t="shared" si="12"/>
        <v>9.3802284145120556</v>
      </c>
      <c r="AB46" s="197">
        <f t="shared" si="13"/>
        <v>44593</v>
      </c>
      <c r="AC46" s="119">
        <f>IF(OR(t&lt;Tnet,NoTnet),'2021'!Resal_s+('2021'!Salim-'2021'!Resal_s)*(1-EXP(('2021'!Tnet_s-t)/'2021'!Tau_j)),Resal_s+(Salim-Resal_s)*(1-EXP((Tnet_s-t)/Tau_j)))*Salcycl</f>
        <v>0.12222553426520273</v>
      </c>
      <c r="AD46" s="231">
        <f>(INDEX(Models!$BJ46:$BT46,,AH46)*(1-AF46)+INDEX(Models!$BJ46:$BT46,,AH46+1)*AF46-ERP_i)*AE46*Ramure*Pc/MaxiM</f>
        <v>3.3332493241261724E-2</v>
      </c>
      <c r="AE46" s="305">
        <f t="shared" si="14"/>
        <v>0.7</v>
      </c>
      <c r="AF46" s="177">
        <f t="shared" si="22"/>
        <v>0.50107282588425062</v>
      </c>
      <c r="AG46" s="817">
        <f t="shared" si="23"/>
        <v>-1</v>
      </c>
      <c r="AH46" s="176">
        <f t="shared" si="15"/>
        <v>5</v>
      </c>
      <c r="AI46" s="225">
        <f t="shared" si="24"/>
        <v>-0.49892717411574938</v>
      </c>
      <c r="AJ46" s="265" t="b">
        <f t="shared" si="16"/>
        <v>0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44594</v>
      </c>
      <c r="B47" s="1106">
        <v>3.7669999999999999</v>
      </c>
      <c r="C47" s="846"/>
      <c r="D47" s="393">
        <f t="shared" si="0"/>
        <v>3.8830243258356161</v>
      </c>
      <c r="E47" s="385">
        <f t="shared" si="1"/>
        <v>4.1324515510322657</v>
      </c>
      <c r="F47" s="385">
        <f t="shared" si="2"/>
        <v>4.1324515510322657</v>
      </c>
      <c r="G47" s="110">
        <f t="shared" si="19"/>
        <v>0.20035085116516421</v>
      </c>
      <c r="H47" s="414" t="b">
        <f>Wh_hp&gt;='2021'!Maxi_hp</f>
        <v>0</v>
      </c>
      <c r="I47" s="380">
        <f>IF(H47,Wh_hp,'2021'!Maxi_hp)</f>
        <v>18.666071177776274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2.9879886423489821E-2</v>
      </c>
      <c r="M47" s="850"/>
      <c r="N47" s="850"/>
      <c r="O47" s="48">
        <f>IF(t&lt;Tnet,'2021'!Resal+('2021'!Salim-'2021'!Resal)*(1-EXP(('2021'!Tnet-t)/('2021'!Tau_j))),Resal+(Salim-Resal)*(1-EXP((Tnet-t)/(Tau_j))))*Salcycl</f>
        <v>6.0358172894814349E-2</v>
      </c>
      <c r="P47" s="339">
        <f>(INDEX(Models!$BJ47:$BT47,,T47)*(1-R47)+INDEX(Models!$BJ47:$BT47,,T47+1)*R47-ERP_i)*Q47*Ramure*Pc/MaxiM</f>
        <v>3.2898175285392475E-2</v>
      </c>
      <c r="Q47" s="305">
        <f t="shared" si="4"/>
        <v>0.7</v>
      </c>
      <c r="R47" s="177">
        <f t="shared" si="5"/>
        <v>0.50113503543622429</v>
      </c>
      <c r="S47" s="817">
        <f t="shared" si="6"/>
        <v>-1</v>
      </c>
      <c r="T47" s="176">
        <f t="shared" si="7"/>
        <v>5</v>
      </c>
      <c r="U47" s="251">
        <f t="shared" si="20"/>
        <v>-0.49886496456377566</v>
      </c>
      <c r="V47" s="383">
        <f t="shared" si="8"/>
        <v>18.183464420107047</v>
      </c>
      <c r="W47" s="402">
        <f t="shared" si="9"/>
        <v>0</v>
      </c>
      <c r="X47" s="157">
        <f t="shared" si="10"/>
        <v>44594</v>
      </c>
      <c r="Y47" s="385">
        <f t="shared" si="11"/>
        <v>3.518820709434217</v>
      </c>
      <c r="Z47" s="385">
        <f t="shared" si="21"/>
        <v>3.6272010653005591</v>
      </c>
      <c r="AA47" s="386">
        <f t="shared" si="12"/>
        <v>4.1324515510322657</v>
      </c>
      <c r="AB47" s="197">
        <f t="shared" si="13"/>
        <v>44594</v>
      </c>
      <c r="AC47" s="119">
        <f>IF(OR(t&lt;Tnet,NoTnet),'2021'!Resal_s+('2021'!Salim-'2021'!Resal_s)*(1-EXP(('2021'!Tnet_s-t)/'2021'!Tau_j)),Resal_s+(Salim-Resal_s)*(1-EXP((Tnet_s-t)/Tau_j)))*Salcycl</f>
        <v>0.12226410388416957</v>
      </c>
      <c r="AD47" s="231">
        <f>(INDEX(Models!$BJ47:$BT47,,AH47)*(1-AF47)+INDEX(Models!$BJ47:$BT47,,AH47+1)*AF47-ERP_i)*AE47*Ramure*Pc/MaxiM</f>
        <v>3.2898175285392475E-2</v>
      </c>
      <c r="AE47" s="305">
        <f t="shared" si="14"/>
        <v>0.7</v>
      </c>
      <c r="AF47" s="177">
        <f t="shared" si="22"/>
        <v>0.50113503543622429</v>
      </c>
      <c r="AG47" s="817">
        <f t="shared" si="23"/>
        <v>-1</v>
      </c>
      <c r="AH47" s="176">
        <f t="shared" si="15"/>
        <v>5</v>
      </c>
      <c r="AI47" s="225">
        <f t="shared" si="24"/>
        <v>-0.49886496456377566</v>
      </c>
      <c r="AJ47" s="265" t="b">
        <f t="shared" si="16"/>
        <v>0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44595</v>
      </c>
      <c r="B48" s="1106">
        <v>8.0350000000000001</v>
      </c>
      <c r="C48" s="846"/>
      <c r="D48" s="393">
        <f t="shared" si="0"/>
        <v>8.2826609597371572</v>
      </c>
      <c r="E48" s="385">
        <f t="shared" si="1"/>
        <v>8.815854824024532</v>
      </c>
      <c r="F48" s="385">
        <f t="shared" si="2"/>
        <v>8.871475655479431</v>
      </c>
      <c r="G48" s="110">
        <f t="shared" si="19"/>
        <v>0.42387465906770316</v>
      </c>
      <c r="H48" s="414" t="b">
        <f>Wh_hp&gt;='2021'!Maxi_hp</f>
        <v>0</v>
      </c>
      <c r="I48" s="380">
        <f>IF(H48,Wh_hp,'2021'!Maxi_hp)</f>
        <v>16.889504299779531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2.9901134543724783E-2</v>
      </c>
      <c r="M48" s="850"/>
      <c r="N48" s="850"/>
      <c r="O48" s="48">
        <f>IF(t&lt;Tnet,'2021'!Resal+('2021'!Salim-'2021'!Resal)*(1-EXP(('2021'!Tnet-t)/('2021'!Tau_j))),Resal+(Salim-Resal)*(1-EXP((Tnet-t)/(Tau_j))))*Salcycl</f>
        <v>6.0481243728553784E-2</v>
      </c>
      <c r="P48" s="339">
        <f>(INDEX(Models!$BJ48:$BT48,,T48)*(1-R48)+INDEX(Models!$BJ48:$BT48,,T48+1)*R48-ERP_i)*Q48*Ramure*Pc/MaxiM</f>
        <v>3.2428817097294692E-2</v>
      </c>
      <c r="Q48" s="305">
        <f t="shared" si="4"/>
        <v>0.7</v>
      </c>
      <c r="R48" s="177">
        <f t="shared" si="5"/>
        <v>0.5011998272743633</v>
      </c>
      <c r="S48" s="817">
        <f t="shared" si="6"/>
        <v>-1</v>
      </c>
      <c r="T48" s="176">
        <f t="shared" si="7"/>
        <v>5</v>
      </c>
      <c r="U48" s="251">
        <f t="shared" si="20"/>
        <v>-0.4988001727256367</v>
      </c>
      <c r="V48" s="383">
        <f t="shared" si="8"/>
        <v>18.457071231312373</v>
      </c>
      <c r="W48" s="402">
        <f t="shared" si="9"/>
        <v>0</v>
      </c>
      <c r="X48" s="157">
        <f t="shared" si="10"/>
        <v>44595</v>
      </c>
      <c r="Y48" s="385">
        <f t="shared" si="11"/>
        <v>7.5062866003956632</v>
      </c>
      <c r="Z48" s="385">
        <f t="shared" si="21"/>
        <v>7.7376511484374992</v>
      </c>
      <c r="AA48" s="386">
        <f t="shared" si="12"/>
        <v>8.815854824024532</v>
      </c>
      <c r="AB48" s="197">
        <f t="shared" si="13"/>
        <v>44595</v>
      </c>
      <c r="AC48" s="119">
        <f>IF(OR(t&lt;Tnet,NoTnet),'2021'!Resal_s+('2021'!Salim-'2021'!Resal_s)*(1-EXP(('2021'!Tnet_s-t)/'2021'!Tau_j)),Resal_s+(Salim-Resal_s)*(1-EXP((Tnet_s-t)/Tau_j)))*Salcycl</f>
        <v>0.12230279389909703</v>
      </c>
      <c r="AD48" s="231">
        <f>(INDEX(Models!$BJ48:$BT48,,AH48)*(1-AF48)+INDEX(Models!$BJ48:$BT48,,AH48+1)*AF48-ERP_i)*AE48*Ramure*Pc/MaxiM</f>
        <v>3.2428817097294692E-2</v>
      </c>
      <c r="AE48" s="305">
        <f t="shared" si="14"/>
        <v>0.7</v>
      </c>
      <c r="AF48" s="177">
        <f t="shared" si="22"/>
        <v>0.5011998272743633</v>
      </c>
      <c r="AG48" s="817">
        <f t="shared" si="23"/>
        <v>-1</v>
      </c>
      <c r="AH48" s="176">
        <f t="shared" si="15"/>
        <v>5</v>
      </c>
      <c r="AI48" s="225">
        <f t="shared" si="24"/>
        <v>-0.4988001727256367</v>
      </c>
      <c r="AJ48" s="265" t="b">
        <f t="shared" si="16"/>
        <v>0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44596</v>
      </c>
      <c r="B49" s="1106">
        <v>7.7960000000000003</v>
      </c>
      <c r="C49" s="846"/>
      <c r="D49" s="393">
        <f t="shared" si="0"/>
        <v>8.0364703369496908</v>
      </c>
      <c r="E49" s="385">
        <f t="shared" si="1"/>
        <v>8.5549356169670094</v>
      </c>
      <c r="F49" s="385">
        <f t="shared" si="2"/>
        <v>8.6005103924123922</v>
      </c>
      <c r="G49" s="110">
        <f t="shared" si="19"/>
        <v>0.40504120113755349</v>
      </c>
      <c r="H49" s="414" t="b">
        <f>Wh_hp&gt;='2021'!Maxi_hp</f>
        <v>0</v>
      </c>
      <c r="I49" s="380">
        <f>IF(H49,Wh_hp,'2021'!Maxi_hp)</f>
        <v>17.966121132529384</v>
      </c>
      <c r="J49" s="85">
        <f>IF(H49,An,'2021'!An_max)</f>
        <v>2019</v>
      </c>
      <c r="K49" s="197">
        <f t="shared" si="3"/>
        <v>44596</v>
      </c>
      <c r="L49" s="147">
        <f>IF(t&lt;Tvie,1-EXP((T0-t)*PertePVj)+'2021'!Pspv,1-EXP((T0-t)*PertePVj)+Pspv)</f>
        <v>2.9922382198571351E-2</v>
      </c>
      <c r="M49" s="850"/>
      <c r="N49" s="850"/>
      <c r="O49" s="48">
        <f>IF(t&lt;Tnet,'2021'!Resal+('2021'!Salim-'2021'!Resal)*(1-EXP(('2021'!Tnet-t)/('2021'!Tau_j))),Resal+(Salim-Resal)*(1-EXP((Tnet-t)/(Tau_j))))*Salcycl</f>
        <v>6.0604229328043865E-2</v>
      </c>
      <c r="P49" s="339">
        <f>(INDEX(Models!$BJ49:$BT49,,T49)*(1-R49)+INDEX(Models!$BJ49:$BT49,,T49+1)*R49-ERP_i)*Q49*Ramure*Pc/MaxiM</f>
        <v>3.1927015627894857E-2</v>
      </c>
      <c r="Q49" s="305">
        <f t="shared" si="4"/>
        <v>0.7</v>
      </c>
      <c r="R49" s="177">
        <f t="shared" si="5"/>
        <v>0.5012673073918964</v>
      </c>
      <c r="S49" s="817">
        <f t="shared" si="6"/>
        <v>-1</v>
      </c>
      <c r="T49" s="176">
        <f t="shared" si="7"/>
        <v>5</v>
      </c>
      <c r="U49" s="251">
        <f t="shared" si="20"/>
        <v>-0.4987326926081036</v>
      </c>
      <c r="V49" s="383">
        <f t="shared" si="8"/>
        <v>18.732175081641927</v>
      </c>
      <c r="W49" s="402">
        <f t="shared" si="9"/>
        <v>0</v>
      </c>
      <c r="X49" s="157">
        <f t="shared" si="10"/>
        <v>44596</v>
      </c>
      <c r="Y49" s="385">
        <f t="shared" si="11"/>
        <v>7.2836445799648191</v>
      </c>
      <c r="Z49" s="385">
        <f t="shared" si="21"/>
        <v>7.5083111354247887</v>
      </c>
      <c r="AA49" s="386">
        <f t="shared" si="12"/>
        <v>8.5549356169670094</v>
      </c>
      <c r="AB49" s="197">
        <f t="shared" si="13"/>
        <v>44596</v>
      </c>
      <c r="AC49" s="119">
        <f>IF(OR(t&lt;Tnet,NoTnet),'2021'!Resal_s+('2021'!Salim-'2021'!Resal_s)*(1-EXP(('2021'!Tnet_s-t)/'2021'!Tau_j)),Resal_s+(Salim-Resal_s)*(1-EXP((Tnet_s-t)/Tau_j)))*Salcycl</f>
        <v>0.12234159652428586</v>
      </c>
      <c r="AD49" s="231">
        <f>(INDEX(Models!$BJ49:$BT49,,AH49)*(1-AF49)+INDEX(Models!$BJ49:$BT49,,AH49+1)*AF49-ERP_i)*AE49*Ramure*Pc/MaxiM</f>
        <v>3.1927015627894857E-2</v>
      </c>
      <c r="AE49" s="305">
        <f t="shared" si="14"/>
        <v>0.7</v>
      </c>
      <c r="AF49" s="177">
        <f t="shared" si="22"/>
        <v>0.5012673073918964</v>
      </c>
      <c r="AG49" s="817">
        <f t="shared" si="23"/>
        <v>-1</v>
      </c>
      <c r="AH49" s="176">
        <f t="shared" si="15"/>
        <v>5</v>
      </c>
      <c r="AI49" s="225">
        <f t="shared" si="24"/>
        <v>-0.4987326926081036</v>
      </c>
      <c r="AJ49" s="265" t="b">
        <f t="shared" si="16"/>
        <v>0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44597</v>
      </c>
      <c r="B50" s="1106">
        <v>7.2350000000000003</v>
      </c>
      <c r="C50" s="846"/>
      <c r="D50" s="393">
        <f t="shared" si="0"/>
        <v>7.4583294529943647</v>
      </c>
      <c r="E50" s="385">
        <f t="shared" si="1"/>
        <v>7.9405353421071219</v>
      </c>
      <c r="F50" s="385">
        <f t="shared" si="2"/>
        <v>7.9693530747339194</v>
      </c>
      <c r="G50" s="110">
        <f t="shared" si="19"/>
        <v>0.37001360734099525</v>
      </c>
      <c r="H50" s="414" t="b">
        <f>Wh_hp&gt;='2021'!Maxi_hp</f>
        <v>0</v>
      </c>
      <c r="I50" s="380">
        <f>IF(H50,Wh_hp,'2021'!Maxi_hp)</f>
        <v>21.61065608350567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2.9943629388039739E-2</v>
      </c>
      <c r="M50" s="850"/>
      <c r="N50" s="850"/>
      <c r="O50" s="48">
        <f>IF(t&lt;Tnet,'2021'!Resal+('2021'!Salim-'2021'!Resal)*(1-EXP(('2021'!Tnet-t)/('2021'!Tau_j))),Resal+(Salim-Resal)*(1-EXP((Tnet-t)/(Tau_j))))*Salcycl</f>
        <v>6.0727125859602084E-2</v>
      </c>
      <c r="P50" s="339">
        <f>(INDEX(Models!$BJ50:$BT50,,T50)*(1-R50)+INDEX(Models!$BJ50:$BT50,,T50+1)*R50-ERP_i)*Q50*Ramure*Pc/MaxiM</f>
        <v>3.139516957769873E-2</v>
      </c>
      <c r="Q50" s="305">
        <f t="shared" si="4"/>
        <v>0.7</v>
      </c>
      <c r="R50" s="177">
        <f t="shared" si="5"/>
        <v>0.50133758603085543</v>
      </c>
      <c r="S50" s="817">
        <f t="shared" si="6"/>
        <v>-1</v>
      </c>
      <c r="T50" s="176">
        <f t="shared" si="7"/>
        <v>5</v>
      </c>
      <c r="U50" s="251">
        <f t="shared" si="20"/>
        <v>-0.49866241396914457</v>
      </c>
      <c r="V50" s="383">
        <f t="shared" si="8"/>
        <v>19.008189612427167</v>
      </c>
      <c r="W50" s="402">
        <f t="shared" si="9"/>
        <v>0</v>
      </c>
      <c r="X50" s="157">
        <f t="shared" si="10"/>
        <v>44597</v>
      </c>
      <c r="Y50" s="385">
        <f t="shared" si="11"/>
        <v>6.7600984091089362</v>
      </c>
      <c r="Z50" s="385">
        <f t="shared" si="21"/>
        <v>6.9687686343880477</v>
      </c>
      <c r="AA50" s="386">
        <f t="shared" si="12"/>
        <v>7.9405353421071219</v>
      </c>
      <c r="AB50" s="197">
        <f t="shared" si="13"/>
        <v>44597</v>
      </c>
      <c r="AC50" s="119">
        <f>IF(OR(t&lt;Tnet,NoTnet),'2021'!Resal_s+('2021'!Salim-'2021'!Resal_s)*(1-EXP(('2021'!Tnet_s-t)/'2021'!Tau_j)),Resal_s+(Salim-Resal_s)*(1-EXP((Tnet_s-t)/Tau_j)))*Salcycl</f>
        <v>0.12238050280640193</v>
      </c>
      <c r="AD50" s="231">
        <f>(INDEX(Models!$BJ50:$BT50,,AH50)*(1-AF50)+INDEX(Models!$BJ50:$BT50,,AH50+1)*AF50-ERP_i)*AE50*Ramure*Pc/MaxiM</f>
        <v>3.139516957769873E-2</v>
      </c>
      <c r="AE50" s="305">
        <f t="shared" si="14"/>
        <v>0.7</v>
      </c>
      <c r="AF50" s="177">
        <f t="shared" si="22"/>
        <v>0.50133758603085543</v>
      </c>
      <c r="AG50" s="817">
        <f t="shared" si="23"/>
        <v>-1</v>
      </c>
      <c r="AH50" s="176">
        <f t="shared" si="15"/>
        <v>5</v>
      </c>
      <c r="AI50" s="225">
        <f t="shared" si="24"/>
        <v>-0.49866241396914457</v>
      </c>
      <c r="AJ50" s="265" t="b">
        <f t="shared" si="16"/>
        <v>0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44598</v>
      </c>
      <c r="B51" s="1106">
        <v>14.829000000000001</v>
      </c>
      <c r="C51" s="846"/>
      <c r="D51" s="393">
        <f t="shared" si="0"/>
        <v>15.287075318021472</v>
      </c>
      <c r="E51" s="385">
        <f t="shared" si="1"/>
        <v>16.277563925947991</v>
      </c>
      <c r="F51" s="385">
        <f t="shared" si="2"/>
        <v>16.62077837248026</v>
      </c>
      <c r="G51" s="110">
        <f t="shared" si="19"/>
        <v>0.7608483265188497</v>
      </c>
      <c r="H51" s="414" t="b">
        <f>Wh_hp&gt;='2021'!Maxi_hp</f>
        <v>0</v>
      </c>
      <c r="I51" s="380">
        <f>IF(H51,Wh_hp,'2021'!Maxi_hp)</f>
        <v>22.282786270723793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2.9964876112140271E-2</v>
      </c>
      <c r="M51" s="850"/>
      <c r="N51" s="850"/>
      <c r="O51" s="48">
        <f>IF(t&lt;Tnet,'2021'!Resal+('2021'!Salim-'2021'!Resal)*(1-EXP(('2021'!Tnet-t)/('2021'!Tau_j))),Resal+(Salim-Resal)*(1-EXP((Tnet-t)/(Tau_j))))*Salcycl</f>
        <v>6.0849928922569622E-2</v>
      </c>
      <c r="P51" s="339">
        <f>(INDEX(Models!$BJ51:$BT51,,T51)*(1-R51)+INDEX(Models!$BJ51:$BT51,,T51+1)*R51-ERP_i)*Q51*Ramure*Pc/MaxiM</f>
        <v>3.0830925525858362E-2</v>
      </c>
      <c r="Q51" s="305">
        <f t="shared" si="4"/>
        <v>0.7</v>
      </c>
      <c r="R51" s="177">
        <f t="shared" si="5"/>
        <v>0.50141077784370314</v>
      </c>
      <c r="S51" s="817">
        <f t="shared" si="6"/>
        <v>-1</v>
      </c>
      <c r="T51" s="176">
        <f t="shared" si="7"/>
        <v>5</v>
      </c>
      <c r="U51" s="251">
        <f t="shared" si="20"/>
        <v>-0.49858922215629692</v>
      </c>
      <c r="V51" s="383">
        <f t="shared" si="8"/>
        <v>19.2874703743129</v>
      </c>
      <c r="W51" s="402">
        <f t="shared" si="9"/>
        <v>0</v>
      </c>
      <c r="X51" s="157">
        <f t="shared" si="10"/>
        <v>44598</v>
      </c>
      <c r="Y51" s="385">
        <f t="shared" si="11"/>
        <v>13.856828205618559</v>
      </c>
      <c r="Z51" s="385">
        <f t="shared" si="21"/>
        <v>14.284872644694532</v>
      </c>
      <c r="AA51" s="386">
        <f t="shared" si="12"/>
        <v>16.277563925947991</v>
      </c>
      <c r="AB51" s="197">
        <f t="shared" si="13"/>
        <v>44598</v>
      </c>
      <c r="AC51" s="119">
        <f>IF(OR(t&lt;Tnet,NoTnet),'2021'!Resal_s+('2021'!Salim-'2021'!Resal_s)*(1-EXP(('2021'!Tnet_s-t)/'2021'!Tau_j)),Resal_s+(Salim-Resal_s)*(1-EXP((Tnet_s-t)/Tau_j)))*Salcycl</f>
        <v>0.12241950271667613</v>
      </c>
      <c r="AD51" s="231">
        <f>(INDEX(Models!$BJ51:$BT51,,AH51)*(1-AF51)+INDEX(Models!$BJ51:$BT51,,AH51+1)*AF51-ERP_i)*AE51*Ramure*Pc/MaxiM</f>
        <v>3.0830925525858362E-2</v>
      </c>
      <c r="AE51" s="305">
        <f t="shared" si="14"/>
        <v>0.7</v>
      </c>
      <c r="AF51" s="177">
        <f t="shared" si="22"/>
        <v>0.50141077784370314</v>
      </c>
      <c r="AG51" s="817">
        <f t="shared" si="23"/>
        <v>-1</v>
      </c>
      <c r="AH51" s="176">
        <f t="shared" si="15"/>
        <v>5</v>
      </c>
      <c r="AI51" s="225">
        <f t="shared" si="24"/>
        <v>-0.49858922215629692</v>
      </c>
      <c r="AJ51" s="265" t="b">
        <f t="shared" si="16"/>
        <v>0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44599</v>
      </c>
      <c r="B52" s="1106">
        <v>8.7000000000000011</v>
      </c>
      <c r="C52" s="846"/>
      <c r="D52" s="393">
        <f t="shared" si="0"/>
        <v>8.9689438477564014</v>
      </c>
      <c r="E52" s="385">
        <f t="shared" si="1"/>
        <v>9.5513125268546659</v>
      </c>
      <c r="F52" s="385">
        <f t="shared" si="2"/>
        <v>9.6112349615678099</v>
      </c>
      <c r="G52" s="110">
        <f t="shared" si="19"/>
        <v>0.43377152219072135</v>
      </c>
      <c r="H52" s="414" t="b">
        <f>Wh_hp&gt;='2021'!Maxi_hp</f>
        <v>0</v>
      </c>
      <c r="I52" s="380">
        <f>IF(H52,Wh_hp,'2021'!Maxi_hp)</f>
        <v>15.348596284444294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2.9986122370882939E-2</v>
      </c>
      <c r="M52" s="850"/>
      <c r="N52" s="850"/>
      <c r="O52" s="48">
        <f>IF(t&lt;Tnet,'2021'!Resal+('2021'!Salim-'2021'!Resal)*(1-EXP(('2021'!Tnet-t)/('2021'!Tau_j))),Resal+(Salim-Resal)*(1-EXP((Tnet-t)/(Tau_j))))*Salcycl</f>
        <v>6.0972633599922957E-2</v>
      </c>
      <c r="P52" s="339">
        <f>(INDEX(Models!$BJ52:$BT52,,T52)*(1-R52)+INDEX(Models!$BJ52:$BT52,,T52+1)*R52-ERP_i)*Q52*Ramure*Pc/MaxiM</f>
        <v>3.0203892641906382E-2</v>
      </c>
      <c r="Q52" s="305">
        <f t="shared" si="4"/>
        <v>0.7</v>
      </c>
      <c r="R52" s="177">
        <f t="shared" si="5"/>
        <v>0.50148700206036034</v>
      </c>
      <c r="S52" s="817">
        <f t="shared" si="6"/>
        <v>-1</v>
      </c>
      <c r="T52" s="176">
        <f t="shared" si="7"/>
        <v>5</v>
      </c>
      <c r="U52" s="251">
        <f t="shared" si="20"/>
        <v>-0.49851299793963966</v>
      </c>
      <c r="V52" s="383">
        <f t="shared" si="8"/>
        <v>19.572882607498297</v>
      </c>
      <c r="W52" s="402">
        <f t="shared" si="9"/>
        <v>0</v>
      </c>
      <c r="X52" s="157">
        <f t="shared" si="10"/>
        <v>44599</v>
      </c>
      <c r="Y52" s="385">
        <f t="shared" si="11"/>
        <v>8.13033845594396</v>
      </c>
      <c r="Z52" s="385">
        <f t="shared" si="21"/>
        <v>8.3816723074271096</v>
      </c>
      <c r="AA52" s="386">
        <f t="shared" si="12"/>
        <v>9.5513125268546659</v>
      </c>
      <c r="AB52" s="197">
        <f t="shared" si="13"/>
        <v>44599</v>
      </c>
      <c r="AC52" s="119">
        <f>IF(OR(t&lt;Tnet,NoTnet),'2021'!Resal_s+('2021'!Salim-'2021'!Resal_s)*(1-EXP(('2021'!Tnet_s-t)/'2021'!Tau_j)),Resal_s+(Salim-Resal_s)*(1-EXP((Tnet_s-t)/Tau_j)))*Salcycl</f>
        <v>0.12245858526134197</v>
      </c>
      <c r="AD52" s="231">
        <f>(INDEX(Models!$BJ52:$BT52,,AH52)*(1-AF52)+INDEX(Models!$BJ52:$BT52,,AH52+1)*AF52-ERP_i)*AE52*Ramure*Pc/MaxiM</f>
        <v>3.0203892641906382E-2</v>
      </c>
      <c r="AE52" s="305">
        <f t="shared" si="14"/>
        <v>0.7</v>
      </c>
      <c r="AF52" s="177">
        <f t="shared" si="22"/>
        <v>0.50148700206036034</v>
      </c>
      <c r="AG52" s="817">
        <f t="shared" si="23"/>
        <v>-1</v>
      </c>
      <c r="AH52" s="176">
        <f t="shared" si="15"/>
        <v>5</v>
      </c>
      <c r="AI52" s="225">
        <f t="shared" si="24"/>
        <v>-0.49851299793963966</v>
      </c>
      <c r="AJ52" s="265" t="b">
        <f t="shared" si="16"/>
        <v>0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44600</v>
      </c>
      <c r="B53" s="1106">
        <v>20.684000000000001</v>
      </c>
      <c r="C53" s="846"/>
      <c r="D53" s="393">
        <f t="shared" si="0"/>
        <v>21.323873317321283</v>
      </c>
      <c r="E53" s="385">
        <f t="shared" si="1"/>
        <v>22.711433684512166</v>
      </c>
      <c r="F53" s="385">
        <f t="shared" si="2"/>
        <v>23.402327715383759</v>
      </c>
      <c r="G53" s="110">
        <f t="shared" si="19"/>
        <v>1.0412989230211518</v>
      </c>
      <c r="H53" s="414" t="b">
        <f>Wh_hp&gt;='2021'!Maxi_hp</f>
        <v>1</v>
      </c>
      <c r="I53" s="380">
        <f>IF(H53,Wh_hp,'2021'!Maxi_hp)</f>
        <v>23.402327715383759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3.0007368164277959E-2</v>
      </c>
      <c r="M53" s="850"/>
      <c r="N53" s="850"/>
      <c r="O53" s="48">
        <f>IF(t&lt;Tnet,'2021'!Resal+('2021'!Salim-'2021'!Resal)*(1-EXP(('2021'!Tnet-t)/('2021'!Tau_j))),Resal+(Salim-Resal)*(1-EXP((Tnet-t)/(Tau_j))))*Salcycl</f>
        <v>6.1095234517806615E-2</v>
      </c>
      <c r="P53" s="339">
        <f>(INDEX(Models!$BJ53:$BT53,,T53)*(1-R53)+INDEX(Models!$BJ53:$BT53,,T53+1)*R53-ERP_i)*Q53*Ramure*Pc/MaxiM</f>
        <v>2.9522449188566269E-2</v>
      </c>
      <c r="Q53" s="305">
        <f t="shared" si="4"/>
        <v>0.7</v>
      </c>
      <c r="R53" s="177">
        <f t="shared" si="5"/>
        <v>0.50156638266074727</v>
      </c>
      <c r="S53" s="817">
        <f t="shared" si="6"/>
        <v>-1</v>
      </c>
      <c r="T53" s="176">
        <f t="shared" si="7"/>
        <v>5</v>
      </c>
      <c r="U53" s="251">
        <f t="shared" si="20"/>
        <v>-0.49843361733925268</v>
      </c>
      <c r="V53" s="383">
        <f t="shared" si="8"/>
        <v>19.863652542719329</v>
      </c>
      <c r="W53" s="402">
        <f t="shared" si="9"/>
        <v>0</v>
      </c>
      <c r="X53" s="157">
        <f t="shared" si="10"/>
        <v>44600</v>
      </c>
      <c r="Y53" s="385">
        <f t="shared" si="11"/>
        <v>19.331307542458106</v>
      </c>
      <c r="Z53" s="385">
        <f t="shared" si="21"/>
        <v>19.929334417595921</v>
      </c>
      <c r="AA53" s="386">
        <f t="shared" si="12"/>
        <v>22.711433684512166</v>
      </c>
      <c r="AB53" s="197">
        <f t="shared" si="13"/>
        <v>44600</v>
      </c>
      <c r="AC53" s="119">
        <f>IF(OR(t&lt;Tnet,NoTnet),'2021'!Resal_s+('2021'!Salim-'2021'!Resal_s)*(1-EXP(('2021'!Tnet_s-t)/'2021'!Tau_j)),Resal_s+(Salim-Resal_s)*(1-EXP((Tnet_s-t)/Tau_j)))*Salcycl</f>
        <v>0.12249773860879025</v>
      </c>
      <c r="AD53" s="231">
        <f>(INDEX(Models!$BJ53:$BT53,,AH53)*(1-AF53)+INDEX(Models!$BJ53:$BT53,,AH53+1)*AF53-ERP_i)*AE53*Ramure*Pc/MaxiM</f>
        <v>2.9522449188566269E-2</v>
      </c>
      <c r="AE53" s="305">
        <f t="shared" si="14"/>
        <v>0.7</v>
      </c>
      <c r="AF53" s="177">
        <f t="shared" si="22"/>
        <v>0.50156638266074727</v>
      </c>
      <c r="AG53" s="817">
        <f t="shared" si="23"/>
        <v>-1</v>
      </c>
      <c r="AH53" s="176">
        <f t="shared" si="15"/>
        <v>5</v>
      </c>
      <c r="AI53" s="225">
        <f t="shared" si="24"/>
        <v>-0.49843361733925268</v>
      </c>
      <c r="AJ53" s="265" t="b">
        <f t="shared" si="16"/>
        <v>0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44601</v>
      </c>
      <c r="B54" s="1106">
        <v>20.724</v>
      </c>
      <c r="C54" s="846"/>
      <c r="D54" s="393">
        <f t="shared" si="0"/>
        <v>21.365578704971671</v>
      </c>
      <c r="E54" s="385">
        <f t="shared" si="1"/>
        <v>22.758822034380856</v>
      </c>
      <c r="F54" s="385">
        <f t="shared" si="2"/>
        <v>23.433477340738428</v>
      </c>
      <c r="G54" s="110">
        <f t="shared" si="19"/>
        <v>1.0280223278458309</v>
      </c>
      <c r="H54" s="414" t="b">
        <f>Wh_hp&gt;='2021'!Maxi_hp</f>
        <v>1</v>
      </c>
      <c r="I54" s="380">
        <f>IF(H54,Wh_hp,'2021'!Maxi_hp)</f>
        <v>23.433477340738428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3.0028613492335654E-2</v>
      </c>
      <c r="M54" s="850"/>
      <c r="N54" s="850"/>
      <c r="O54" s="48">
        <f>IF(t&lt;Tnet,'2021'!Resal+('2021'!Salim-'2021'!Resal)*(1-EXP(('2021'!Tnet-t)/('2021'!Tau_j))),Resal+(Salim-Resal)*(1-EXP((Tnet-t)/(Tau_j))))*Salcycl</f>
        <v>6.121772591325108E-2</v>
      </c>
      <c r="P54" s="339">
        <f>(INDEX(Models!$BJ54:$BT54,,T54)*(1-R54)+INDEX(Models!$BJ54:$BT54,,T54+1)*R54-ERP_i)*Q54*Ramure*Pc/MaxiM</f>
        <v>2.8790234438859932E-2</v>
      </c>
      <c r="Q54" s="305">
        <f t="shared" si="4"/>
        <v>0.7</v>
      </c>
      <c r="R54" s="177">
        <f t="shared" si="5"/>
        <v>0.50164904855294656</v>
      </c>
      <c r="S54" s="817">
        <f t="shared" si="6"/>
        <v>-1</v>
      </c>
      <c r="T54" s="176">
        <f t="shared" si="7"/>
        <v>5</v>
      </c>
      <c r="U54" s="251">
        <f t="shared" si="20"/>
        <v>-0.49835095144705344</v>
      </c>
      <c r="V54" s="383">
        <f t="shared" si="8"/>
        <v>20.159095224542543</v>
      </c>
      <c r="W54" s="402">
        <f t="shared" si="9"/>
        <v>0</v>
      </c>
      <c r="X54" s="157">
        <f t="shared" si="10"/>
        <v>44601</v>
      </c>
      <c r="Y54" s="385">
        <f t="shared" si="11"/>
        <v>19.370353217508967</v>
      </c>
      <c r="Z54" s="385">
        <f t="shared" si="21"/>
        <v>19.970025391420048</v>
      </c>
      <c r="AA54" s="386">
        <f t="shared" si="12"/>
        <v>22.758822034380856</v>
      </c>
      <c r="AB54" s="197">
        <f t="shared" si="13"/>
        <v>44601</v>
      </c>
      <c r="AC54" s="119">
        <f>IF(OR(t&lt;Tnet,NoTnet),'2021'!Resal_s+('2021'!Salim-'2021'!Resal_s)*(1-EXP(('2021'!Tnet_s-t)/'2021'!Tau_j)),Resal_s+(Salim-Resal_s)*(1-EXP((Tnet_s-t)/Tau_j)))*Salcycl</f>
        <v>0.12253695023177746</v>
      </c>
      <c r="AD54" s="231">
        <f>(INDEX(Models!$BJ54:$BT54,,AH54)*(1-AF54)+INDEX(Models!$BJ54:$BT54,,AH54+1)*AF54-ERP_i)*AE54*Ramure*Pc/MaxiM</f>
        <v>2.8790234438859932E-2</v>
      </c>
      <c r="AE54" s="305">
        <f t="shared" si="14"/>
        <v>0.7</v>
      </c>
      <c r="AF54" s="177">
        <f t="shared" si="22"/>
        <v>0.50164904855294656</v>
      </c>
      <c r="AG54" s="817">
        <f t="shared" si="23"/>
        <v>-1</v>
      </c>
      <c r="AH54" s="176">
        <f t="shared" si="15"/>
        <v>5</v>
      </c>
      <c r="AI54" s="225">
        <f t="shared" si="24"/>
        <v>-0.49835095144705344</v>
      </c>
      <c r="AJ54" s="265" t="b">
        <f t="shared" si="16"/>
        <v>0</v>
      </c>
      <c r="AK54" s="265" t="b">
        <f t="shared" si="17"/>
        <v>0</v>
      </c>
      <c r="AL54" s="265"/>
      <c r="AM54" s="265"/>
      <c r="AN54" s="75"/>
    </row>
    <row r="55" spans="1:40" s="6" customFormat="1" ht="11.25" x14ac:dyDescent="0.2">
      <c r="A55" s="56">
        <f t="shared" si="18"/>
        <v>44602</v>
      </c>
      <c r="B55" s="1106">
        <v>19.658000000000001</v>
      </c>
      <c r="C55" s="846"/>
      <c r="D55" s="393">
        <f t="shared" si="0"/>
        <v>20.267021113747241</v>
      </c>
      <c r="E55" s="385">
        <f t="shared" si="1"/>
        <v>21.591442385738166</v>
      </c>
      <c r="F55" s="385">
        <f t="shared" si="2"/>
        <v>22.177935187448366</v>
      </c>
      <c r="G55" s="110">
        <f t="shared" si="19"/>
        <v>0.95932541549958839</v>
      </c>
      <c r="H55" s="414" t="b">
        <f>Wh_hp&gt;='2021'!Maxi_hp</f>
        <v>1</v>
      </c>
      <c r="I55" s="380">
        <f>IF(H55,Wh_hp,'2021'!Maxi_hp)</f>
        <v>22.177935187448366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3.0049858355066128E-2</v>
      </c>
      <c r="M55" s="850"/>
      <c r="N55" s="850"/>
      <c r="O55" s="48">
        <f>IF(t&lt;Tnet,'2021'!Resal+('2021'!Salim-'2021'!Resal)*(1-EXP(('2021'!Tnet-t)/('2021'!Tau_j))),Resal+(Salim-Resal)*(1-EXP((Tnet-t)/(Tau_j))))*Salcycl</f>
        <v>6.1340101709265474E-2</v>
      </c>
      <c r="P55" s="339">
        <f>(INDEX(Models!$BJ55:$BT55,,T55)*(1-R55)+INDEX(Models!$BJ55:$BT55,,T55+1)*R55-ERP_i)*Q55*Ramure*Pc/MaxiM</f>
        <v>2.8010642240255408E-2</v>
      </c>
      <c r="Q55" s="305">
        <f t="shared" si="4"/>
        <v>0.7</v>
      </c>
      <c r="R55" s="177">
        <f t="shared" si="5"/>
        <v>0.50173513375709367</v>
      </c>
      <c r="S55" s="817">
        <f t="shared" si="6"/>
        <v>-1</v>
      </c>
      <c r="T55" s="176">
        <f t="shared" si="7"/>
        <v>5</v>
      </c>
      <c r="U55" s="251">
        <f t="shared" si="20"/>
        <v>-0.49826486624290633</v>
      </c>
      <c r="V55" s="383">
        <f t="shared" si="8"/>
        <v>20.458526191380983</v>
      </c>
      <c r="W55" s="402">
        <f t="shared" si="9"/>
        <v>0</v>
      </c>
      <c r="X55" s="157">
        <f t="shared" si="10"/>
        <v>44602</v>
      </c>
      <c r="Y55" s="385">
        <f t="shared" si="11"/>
        <v>18.375555356062581</v>
      </c>
      <c r="Z55" s="385">
        <f t="shared" si="21"/>
        <v>18.944845273077195</v>
      </c>
      <c r="AA55" s="386">
        <f t="shared" si="12"/>
        <v>21.591442385738166</v>
      </c>
      <c r="AB55" s="197">
        <f t="shared" si="13"/>
        <v>44602</v>
      </c>
      <c r="AC55" s="119">
        <f>IF(OR(t&lt;Tnet,NoTnet),'2021'!Resal_s+('2021'!Salim-'2021'!Resal_s)*(1-EXP(('2021'!Tnet_s-t)/'2021'!Tau_j)),Resal_s+(Salim-Resal_s)*(1-EXP((Tnet_s-t)/Tau_j)))*Salcycl</f>
        <v>0.12257620706290251</v>
      </c>
      <c r="AD55" s="231">
        <f>(INDEX(Models!$BJ55:$BT55,,AH55)*(1-AF55)+INDEX(Models!$BJ55:$BT55,,AH55+1)*AF55-ERP_i)*AE55*Ramure*Pc/MaxiM</f>
        <v>2.8010642240255408E-2</v>
      </c>
      <c r="AE55" s="305">
        <f t="shared" si="14"/>
        <v>0.7</v>
      </c>
      <c r="AF55" s="177">
        <f t="shared" si="22"/>
        <v>0.50173513375709367</v>
      </c>
      <c r="AG55" s="817">
        <f t="shared" si="23"/>
        <v>-1</v>
      </c>
      <c r="AH55" s="176">
        <f t="shared" si="15"/>
        <v>5</v>
      </c>
      <c r="AI55" s="225">
        <f t="shared" si="24"/>
        <v>-0.49826486624290633</v>
      </c>
      <c r="AJ55" s="265" t="b">
        <f t="shared" si="16"/>
        <v>0</v>
      </c>
      <c r="AK55" s="265" t="b">
        <f t="shared" si="17"/>
        <v>0</v>
      </c>
      <c r="AL55" s="265"/>
      <c r="AM55" s="265"/>
      <c r="AN55" s="75"/>
    </row>
    <row r="56" spans="1:40" s="6" customFormat="1" ht="11.25" x14ac:dyDescent="0.2">
      <c r="A56" s="56">
        <f t="shared" si="18"/>
        <v>44603</v>
      </c>
      <c r="B56" s="1106">
        <v>10.656000000000001</v>
      </c>
      <c r="C56" s="846"/>
      <c r="D56" s="393">
        <f t="shared" si="0"/>
        <v>10.986372331250017</v>
      </c>
      <c r="E56" s="385">
        <f t="shared" si="1"/>
        <v>11.705840886362909</v>
      </c>
      <c r="F56" s="385">
        <f t="shared" si="2"/>
        <v>11.803607787089303</v>
      </c>
      <c r="G56" s="110">
        <f t="shared" si="19"/>
        <v>0.50347982732262786</v>
      </c>
      <c r="H56" s="414" t="b">
        <f>Wh_hp&gt;='2021'!Maxi_hp</f>
        <v>0</v>
      </c>
      <c r="I56" s="380">
        <f>IF(H56,Wh_hp,'2021'!Maxi_hp)</f>
        <v>19.987799360241688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3.0071102752479484E-2</v>
      </c>
      <c r="M56" s="850"/>
      <c r="N56" s="850"/>
      <c r="O56" s="48">
        <f>IF(t&lt;Tnet,'2021'!Resal+('2021'!Salim-'2021'!Resal)*(1-EXP(('2021'!Tnet-t)/('2021'!Tau_j))),Resal+(Salim-Resal)*(1-EXP((Tnet-t)/(Tau_j))))*Salcycl</f>
        <v>6.1462355596432143E-2</v>
      </c>
      <c r="P56" s="339">
        <f>(INDEX(Models!$BJ56:$BT56,,T56)*(1-R56)+INDEX(Models!$BJ56:$BT56,,T56+1)*R56-ERP_i)*Q56*Ramure*Pc/MaxiM</f>
        <v>2.7186816927908336E-2</v>
      </c>
      <c r="Q56" s="305">
        <f t="shared" si="4"/>
        <v>0.7</v>
      </c>
      <c r="R56" s="177">
        <f t="shared" si="5"/>
        <v>0.5018247775950937</v>
      </c>
      <c r="S56" s="817">
        <f t="shared" si="6"/>
        <v>-1</v>
      </c>
      <c r="T56" s="176">
        <f t="shared" si="7"/>
        <v>5</v>
      </c>
      <c r="U56" s="251">
        <f t="shared" si="20"/>
        <v>-0.49817522240490625</v>
      </c>
      <c r="V56" s="383">
        <f t="shared" si="8"/>
        <v>20.761261477404407</v>
      </c>
      <c r="W56" s="402">
        <f t="shared" si="9"/>
        <v>0</v>
      </c>
      <c r="X56" s="157">
        <f t="shared" si="10"/>
        <v>44603</v>
      </c>
      <c r="Y56" s="385">
        <f t="shared" si="11"/>
        <v>9.9616774393454417</v>
      </c>
      <c r="Z56" s="385">
        <f t="shared" si="21"/>
        <v>10.270523403947285</v>
      </c>
      <c r="AA56" s="386">
        <f t="shared" si="12"/>
        <v>11.705840886362909</v>
      </c>
      <c r="AB56" s="197">
        <f t="shared" si="13"/>
        <v>44603</v>
      </c>
      <c r="AC56" s="119">
        <f>IF(OR(t&lt;Tnet,NoTnet),'2021'!Resal_s+('2021'!Salim-'2021'!Resal_s)*(1-EXP(('2021'!Tnet_s-t)/'2021'!Tau_j)),Resal_s+(Salim-Resal_s)*(1-EXP((Tnet_s-t)/Tau_j)))*Salcycl</f>
        <v>0.12261549566146439</v>
      </c>
      <c r="AD56" s="231">
        <f>(INDEX(Models!$BJ56:$BT56,,AH56)*(1-AF56)+INDEX(Models!$BJ56:$BT56,,AH56+1)*AF56-ERP_i)*AE56*Ramure*Pc/MaxiM</f>
        <v>2.7186816927908336E-2</v>
      </c>
      <c r="AE56" s="305">
        <f t="shared" si="14"/>
        <v>0.7</v>
      </c>
      <c r="AF56" s="177">
        <f t="shared" si="22"/>
        <v>0.5018247775950937</v>
      </c>
      <c r="AG56" s="817">
        <f t="shared" si="23"/>
        <v>-1</v>
      </c>
      <c r="AH56" s="176">
        <f t="shared" si="15"/>
        <v>5</v>
      </c>
      <c r="AI56" s="225">
        <f t="shared" si="24"/>
        <v>-0.49817522240490625</v>
      </c>
      <c r="AJ56" s="265" t="b">
        <f t="shared" si="16"/>
        <v>0</v>
      </c>
      <c r="AK56" s="265" t="b">
        <f t="shared" si="17"/>
        <v>0</v>
      </c>
      <c r="AL56" s="265"/>
      <c r="AM56" s="265"/>
      <c r="AN56" s="75"/>
    </row>
    <row r="57" spans="1:40" s="6" customFormat="1" ht="11.25" x14ac:dyDescent="0.2">
      <c r="A57" s="56">
        <f t="shared" si="18"/>
        <v>44604</v>
      </c>
      <c r="B57" s="1106">
        <v>16.940000000000001</v>
      </c>
      <c r="C57" s="846"/>
      <c r="D57" s="393">
        <f t="shared" si="0"/>
        <v>17.465580297355501</v>
      </c>
      <c r="E57" s="385">
        <f t="shared" si="1"/>
        <v>18.611776921807643</v>
      </c>
      <c r="F57" s="385">
        <f t="shared" si="2"/>
        <v>18.97139766866292</v>
      </c>
      <c r="G57" s="110">
        <f t="shared" si="19"/>
        <v>0.79807847079966598</v>
      </c>
      <c r="H57" s="414" t="b">
        <f>Wh_hp&gt;='2021'!Maxi_hp</f>
        <v>0</v>
      </c>
      <c r="I57" s="380">
        <f>IF(H57,Wh_hp,'2021'!Maxi_hp)</f>
        <v>24.323485541278668</v>
      </c>
      <c r="J57" s="85">
        <f>IF(H57,An,'2021'!An_max)</f>
        <v>2019</v>
      </c>
      <c r="K57" s="197">
        <f t="shared" si="3"/>
        <v>44604</v>
      </c>
      <c r="L57" s="147">
        <f>IF(t&lt;Tvie,1-EXP((T0-t)*PertePVj)+'2021'!Pspv,1-EXP((T0-t)*PertePVj)+Pspv)</f>
        <v>3.0092346684586158E-2</v>
      </c>
      <c r="M57" s="850"/>
      <c r="N57" s="850"/>
      <c r="O57" s="48">
        <f>IF(t&lt;Tnet,'2021'!Resal+('2021'!Salim-'2021'!Resal)*(1-EXP(('2021'!Tnet-t)/('2021'!Tau_j))),Resal+(Salim-Resal)*(1-EXP((Tnet-t)/(Tau_j))))*Salcycl</f>
        <v>6.1584481120076688E-2</v>
      </c>
      <c r="P57" s="339">
        <f>(INDEX(Models!$BJ57:$BT57,,T57)*(1-R57)+INDEX(Models!$BJ57:$BT57,,T57+1)*R57-ERP_i)*Q57*Ramure*Pc/MaxiM</f>
        <v>2.6321652109403782E-2</v>
      </c>
      <c r="Q57" s="305">
        <f t="shared" si="4"/>
        <v>0.7</v>
      </c>
      <c r="R57" s="177">
        <f t="shared" si="5"/>
        <v>0.50191812488625442</v>
      </c>
      <c r="S57" s="817">
        <f t="shared" si="6"/>
        <v>-1</v>
      </c>
      <c r="T57" s="176">
        <f t="shared" si="7"/>
        <v>5</v>
      </c>
      <c r="U57" s="251">
        <f t="shared" si="20"/>
        <v>-0.49808187511374558</v>
      </c>
      <c r="V57" s="383">
        <f t="shared" si="8"/>
        <v>21.066617612311191</v>
      </c>
      <c r="W57" s="402">
        <f t="shared" si="9"/>
        <v>0</v>
      </c>
      <c r="X57" s="157">
        <f t="shared" si="10"/>
        <v>44604</v>
      </c>
      <c r="Y57" s="385">
        <f t="shared" si="11"/>
        <v>15.837576583619581</v>
      </c>
      <c r="Z57" s="385">
        <f t="shared" si="21"/>
        <v>16.328953101341497</v>
      </c>
      <c r="AA57" s="386">
        <f t="shared" si="12"/>
        <v>18.611776921807643</v>
      </c>
      <c r="AB57" s="197">
        <f t="shared" si="13"/>
        <v>44604</v>
      </c>
      <c r="AC57" s="119">
        <f>IF(OR(t&lt;Tnet,NoTnet),'2021'!Resal_s+('2021'!Salim-'2021'!Resal_s)*(1-EXP(('2021'!Tnet_s-t)/'2021'!Tau_j)),Resal_s+(Salim-Resal_s)*(1-EXP((Tnet_s-t)/Tau_j)))*Salcycl</f>
        <v>0.12265480238973489</v>
      </c>
      <c r="AD57" s="231">
        <f>(INDEX(Models!$BJ57:$BT57,,AH57)*(1-AF57)+INDEX(Models!$BJ57:$BT57,,AH57+1)*AF57-ERP_i)*AE57*Ramure*Pc/MaxiM</f>
        <v>2.6321652109403782E-2</v>
      </c>
      <c r="AE57" s="305">
        <f t="shared" si="14"/>
        <v>0.7</v>
      </c>
      <c r="AF57" s="177">
        <f t="shared" si="22"/>
        <v>0.50191812488625442</v>
      </c>
      <c r="AG57" s="817">
        <f t="shared" si="23"/>
        <v>-1</v>
      </c>
      <c r="AH57" s="176">
        <f t="shared" si="15"/>
        <v>5</v>
      </c>
      <c r="AI57" s="225">
        <f t="shared" si="24"/>
        <v>-0.49808187511374558</v>
      </c>
      <c r="AJ57" s="265" t="b">
        <f t="shared" si="16"/>
        <v>0</v>
      </c>
      <c r="AK57" s="265" t="b">
        <f t="shared" si="17"/>
        <v>0</v>
      </c>
      <c r="AL57" s="265"/>
      <c r="AM57" s="265"/>
      <c r="AN57" s="75"/>
    </row>
    <row r="58" spans="1:40" s="6" customFormat="1" ht="11.25" x14ac:dyDescent="0.2">
      <c r="A58" s="56">
        <f t="shared" si="18"/>
        <v>44605</v>
      </c>
      <c r="B58" s="1106">
        <v>19.443000000000001</v>
      </c>
      <c r="C58" s="846"/>
      <c r="D58" s="393">
        <f t="shared" si="0"/>
        <v>20.046677427962919</v>
      </c>
      <c r="E58" s="385">
        <f t="shared" si="1"/>
        <v>21.365038577877375</v>
      </c>
      <c r="F58" s="385">
        <f t="shared" si="2"/>
        <v>21.848657424504548</v>
      </c>
      <c r="G58" s="110">
        <f t="shared" si="19"/>
        <v>0.90660648091125429</v>
      </c>
      <c r="H58" s="414" t="b">
        <f>Wh_hp&gt;='2021'!Maxi_hp</f>
        <v>0</v>
      </c>
      <c r="I58" s="380">
        <f>IF(H58,Wh_hp,'2021'!Maxi_hp)</f>
        <v>24.939074122850123</v>
      </c>
      <c r="J58" s="85">
        <f>IF(H58,An,'2021'!An_max)</f>
        <v>2019</v>
      </c>
      <c r="K58" s="197">
        <f t="shared" si="3"/>
        <v>44605</v>
      </c>
      <c r="L58" s="147">
        <f>IF(t&lt;Tvie,1-EXP((T0-t)*PertePVj)+'2021'!Pspv,1-EXP((T0-t)*PertePVj)+Pspv)</f>
        <v>3.0113590151396141E-2</v>
      </c>
      <c r="M58" s="850"/>
      <c r="N58" s="850"/>
      <c r="O58" s="48">
        <f>IF(t&lt;Tnet,'2021'!Resal+('2021'!Salim-'2021'!Resal)*(1-EXP(('2021'!Tnet-t)/('2021'!Tau_j))),Resal+(Salim-Resal)*(1-EXP((Tnet-t)/(Tau_j))))*Salcycl</f>
        <v>6.1706471772045537E-2</v>
      </c>
      <c r="P58" s="339">
        <f>(INDEX(Models!$BJ58:$BT58,,T58)*(1-R58)+INDEX(Models!$BJ58:$BT58,,T58+1)*R58-ERP_i)*Q58*Ramure*Pc/MaxiM</f>
        <v>2.5415016375518483E-2</v>
      </c>
      <c r="Q58" s="305">
        <f t="shared" si="4"/>
        <v>0.7</v>
      </c>
      <c r="R58" s="177">
        <f t="shared" si="5"/>
        <v>0.50201532614891953</v>
      </c>
      <c r="S58" s="817">
        <f t="shared" si="6"/>
        <v>-1</v>
      </c>
      <c r="T58" s="176">
        <f t="shared" si="7"/>
        <v>5</v>
      </c>
      <c r="U58" s="251">
        <f t="shared" si="20"/>
        <v>-0.49798467385108047</v>
      </c>
      <c r="V58" s="383">
        <f t="shared" si="8"/>
        <v>21.373972498048833</v>
      </c>
      <c r="W58" s="402">
        <f t="shared" si="9"/>
        <v>0</v>
      </c>
      <c r="X58" s="157">
        <f t="shared" si="10"/>
        <v>44605</v>
      </c>
      <c r="Y58" s="385">
        <f t="shared" si="11"/>
        <v>18.179234787599224</v>
      </c>
      <c r="Z58" s="385">
        <f t="shared" si="21"/>
        <v>18.743674107607038</v>
      </c>
      <c r="AA58" s="386">
        <f t="shared" si="12"/>
        <v>21.365038577877375</v>
      </c>
      <c r="AB58" s="197">
        <f t="shared" si="13"/>
        <v>44605</v>
      </c>
      <c r="AC58" s="119">
        <f>IF(OR(t&lt;Tnet,NoTnet),'2021'!Resal_s+('2021'!Salim-'2021'!Resal_s)*(1-EXP(('2021'!Tnet_s-t)/'2021'!Tau_j)),Resal_s+(Salim-Resal_s)*(1-EXP((Tnet_s-t)/Tau_j)))*Salcycl</f>
        <v>0.1226941135966237</v>
      </c>
      <c r="AD58" s="231">
        <f>(INDEX(Models!$BJ58:$BT58,,AH58)*(1-AF58)+INDEX(Models!$BJ58:$BT58,,AH58+1)*AF58-ERP_i)*AE58*Ramure*Pc/MaxiM</f>
        <v>2.5415016375518483E-2</v>
      </c>
      <c r="AE58" s="305">
        <f t="shared" si="14"/>
        <v>0.7</v>
      </c>
      <c r="AF58" s="177">
        <f t="shared" si="22"/>
        <v>0.50201532614891953</v>
      </c>
      <c r="AG58" s="817">
        <f t="shared" si="23"/>
        <v>-1</v>
      </c>
      <c r="AH58" s="176">
        <f t="shared" si="15"/>
        <v>5</v>
      </c>
      <c r="AI58" s="225">
        <f t="shared" si="24"/>
        <v>-0.49798467385108047</v>
      </c>
      <c r="AJ58" s="265" t="b">
        <f t="shared" si="16"/>
        <v>0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44606</v>
      </c>
      <c r="B59" s="1106">
        <v>10.759</v>
      </c>
      <c r="C59" s="846"/>
      <c r="D59" s="393">
        <f t="shared" si="0"/>
        <v>11.093294581324399</v>
      </c>
      <c r="E59" s="385">
        <f t="shared" si="1"/>
        <v>11.8243758905265</v>
      </c>
      <c r="F59" s="385">
        <f t="shared" si="2"/>
        <v>11.906158641002708</v>
      </c>
      <c r="G59" s="110">
        <f t="shared" si="19"/>
        <v>0.4874095130733796</v>
      </c>
      <c r="H59" s="414" t="b">
        <f>Wh_hp&gt;='2021'!Maxi_hp</f>
        <v>0</v>
      </c>
      <c r="I59" s="380">
        <f>IF(H59,Wh_hp,'2021'!Maxi_hp)</f>
        <v>25.04355830581331</v>
      </c>
      <c r="J59" s="85">
        <f>IF(H59,An,'2021'!An_max)</f>
        <v>2019</v>
      </c>
      <c r="K59" s="197">
        <f t="shared" si="3"/>
        <v>44606</v>
      </c>
      <c r="L59" s="147">
        <f>IF(t&lt;Tvie,1-EXP((T0-t)*PertePVj)+'2021'!Pspv,1-EXP((T0-t)*PertePVj)+Pspv)</f>
        <v>3.0134833152919649E-2</v>
      </c>
      <c r="M59" s="850"/>
      <c r="N59" s="850"/>
      <c r="O59" s="48">
        <f>IF(t&lt;Tnet,'2021'!Resal+('2021'!Salim-'2021'!Resal)*(1-EXP(('2021'!Tnet-t)/('2021'!Tau_j))),Resal+(Salim-Resal)*(1-EXP((Tnet-t)/(Tau_j))))*Salcycl</f>
        <v>6.1828321086090689E-2</v>
      </c>
      <c r="P59" s="339">
        <f>(INDEX(Models!$BJ59:$BT59,,T59)*(1-R59)+INDEX(Models!$BJ59:$BT59,,T59+1)*R59-ERP_i)*Q59*Ramure*Pc/MaxiM</f>
        <v>2.4504307344558555E-2</v>
      </c>
      <c r="Q59" s="305">
        <f t="shared" si="4"/>
        <v>0.7</v>
      </c>
      <c r="R59" s="177">
        <f t="shared" si="5"/>
        <v>0.502116537808177</v>
      </c>
      <c r="S59" s="817">
        <f t="shared" si="6"/>
        <v>-1</v>
      </c>
      <c r="T59" s="176">
        <f t="shared" si="7"/>
        <v>5</v>
      </c>
      <c r="U59" s="251">
        <f t="shared" si="20"/>
        <v>-0.497883462191823</v>
      </c>
      <c r="V59" s="383">
        <f t="shared" si="8"/>
        <v>21.681868191831558</v>
      </c>
      <c r="W59" s="402">
        <f t="shared" si="9"/>
        <v>0</v>
      </c>
      <c r="X59" s="157">
        <f t="shared" si="10"/>
        <v>44606</v>
      </c>
      <c r="Y59" s="385">
        <f t="shared" si="11"/>
        <v>10.060537310466049</v>
      </c>
      <c r="Z59" s="385">
        <f t="shared" si="21"/>
        <v>10.373129847700062</v>
      </c>
      <c r="AA59" s="386">
        <f t="shared" si="12"/>
        <v>11.8243758905265</v>
      </c>
      <c r="AB59" s="197">
        <f t="shared" si="13"/>
        <v>44606</v>
      </c>
      <c r="AC59" s="119">
        <f>IF(OR(t&lt;Tnet,NoTnet),'2021'!Resal_s+('2021'!Salim-'2021'!Resal_s)*(1-EXP(('2021'!Tnet_s-t)/'2021'!Tau_j)),Resal_s+(Salim-Resal_s)*(1-EXP((Tnet_s-t)/Tau_j)))*Salcycl</f>
        <v>0.12273341580667727</v>
      </c>
      <c r="AD59" s="231">
        <f>(INDEX(Models!$BJ59:$BT59,,AH59)*(1-AF59)+INDEX(Models!$BJ59:$BT59,,AH59+1)*AF59-ERP_i)*AE59*Ramure*Pc/MaxiM</f>
        <v>2.4504307344558555E-2</v>
      </c>
      <c r="AE59" s="305">
        <f t="shared" si="14"/>
        <v>0.7</v>
      </c>
      <c r="AF59" s="177">
        <f t="shared" si="22"/>
        <v>0.502116537808177</v>
      </c>
      <c r="AG59" s="817">
        <f t="shared" si="23"/>
        <v>-1</v>
      </c>
      <c r="AH59" s="176">
        <f t="shared" si="15"/>
        <v>5</v>
      </c>
      <c r="AI59" s="225">
        <f t="shared" si="24"/>
        <v>-0.497883462191823</v>
      </c>
      <c r="AJ59" s="265" t="b">
        <f t="shared" si="16"/>
        <v>0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44607</v>
      </c>
      <c r="B60" s="1106">
        <v>13.595000000000001</v>
      </c>
      <c r="C60" s="846"/>
      <c r="D60" s="393">
        <f t="shared" si="0"/>
        <v>14.017719407440273</v>
      </c>
      <c r="E60" s="385">
        <f t="shared" si="1"/>
        <v>14.943467562701983</v>
      </c>
      <c r="F60" s="385">
        <f t="shared" si="2"/>
        <v>15.105474951867281</v>
      </c>
      <c r="G60" s="110">
        <f t="shared" si="19"/>
        <v>0.61020599057019842</v>
      </c>
      <c r="H60" s="414" t="b">
        <f>Wh_hp&gt;='2021'!Maxi_hp</f>
        <v>0</v>
      </c>
      <c r="I60" s="380">
        <f>IF(H60,Wh_hp,'2021'!Maxi_hp)</f>
        <v>25.359879246140192</v>
      </c>
      <c r="J60" s="85">
        <f>IF(H60,An,'2021'!An_max)</f>
        <v>2019</v>
      </c>
      <c r="K60" s="197">
        <f t="shared" si="3"/>
        <v>44607</v>
      </c>
      <c r="L60" s="147">
        <f>IF(t&lt;Tvie,1-EXP((T0-t)*PertePVj)+'2021'!Pspv,1-EXP((T0-t)*PertePVj)+Pspv)</f>
        <v>3.0156075689166895E-2</v>
      </c>
      <c r="M60" s="850"/>
      <c r="N60" s="850"/>
      <c r="O60" s="48">
        <f>IF(t&lt;Tnet,'2021'!Resal+('2021'!Salim-'2021'!Resal)*(1-EXP(('2021'!Tnet-t)/('2021'!Tau_j))),Resal+(Salim-Resal)*(1-EXP((Tnet-t)/(Tau_j))))*Salcycl</f>
        <v>6.1950022735842249E-2</v>
      </c>
      <c r="P60" s="339">
        <f>(INDEX(Models!$BJ60:$BT60,,T60)*(1-R60)+INDEX(Models!$BJ60:$BT60,,T60+1)*R60-ERP_i)*Q60*Ramure*Pc/MaxiM</f>
        <v>2.3590400186616876E-2</v>
      </c>
      <c r="Q60" s="305">
        <f t="shared" si="4"/>
        <v>0.7</v>
      </c>
      <c r="R60" s="177">
        <f t="shared" si="5"/>
        <v>0.5022219224097042</v>
      </c>
      <c r="S60" s="817">
        <f t="shared" si="6"/>
        <v>-1</v>
      </c>
      <c r="T60" s="176">
        <f t="shared" si="7"/>
        <v>5</v>
      </c>
      <c r="U60" s="251">
        <f t="shared" si="20"/>
        <v>-0.49777807759029585</v>
      </c>
      <c r="V60" s="383">
        <f t="shared" si="8"/>
        <v>21.989623092250227</v>
      </c>
      <c r="W60" s="402">
        <f t="shared" si="9"/>
        <v>0</v>
      </c>
      <c r="X60" s="157">
        <f t="shared" si="10"/>
        <v>44607</v>
      </c>
      <c r="Y60" s="385">
        <f t="shared" si="11"/>
        <v>12.71350726307127</v>
      </c>
      <c r="Z60" s="385">
        <f t="shared" si="21"/>
        <v>13.108817763750423</v>
      </c>
      <c r="AA60" s="386">
        <f t="shared" si="12"/>
        <v>14.943467562701983</v>
      </c>
      <c r="AB60" s="197">
        <f t="shared" si="13"/>
        <v>44607</v>
      </c>
      <c r="AC60" s="119">
        <f>IF(OR(t&lt;Tnet,NoTnet),'2021'!Resal_s+('2021'!Salim-'2021'!Resal_s)*(1-EXP(('2021'!Tnet_s-t)/'2021'!Tau_j)),Resal_s+(Salim-Resal_s)*(1-EXP((Tnet_s-t)/Tau_j)))*Salcycl</f>
        <v>0.12277269591234219</v>
      </c>
      <c r="AD60" s="231">
        <f>(INDEX(Models!$BJ60:$BT60,,AH60)*(1-AF60)+INDEX(Models!$BJ60:$BT60,,AH60+1)*AF60-ERP_i)*AE60*Ramure*Pc/MaxiM</f>
        <v>2.3590400186616876E-2</v>
      </c>
      <c r="AE60" s="305">
        <f t="shared" si="14"/>
        <v>0.7</v>
      </c>
      <c r="AF60" s="177">
        <f t="shared" si="22"/>
        <v>0.5022219224097042</v>
      </c>
      <c r="AG60" s="817">
        <f t="shared" si="23"/>
        <v>-1</v>
      </c>
      <c r="AH60" s="176">
        <f t="shared" si="15"/>
        <v>5</v>
      </c>
      <c r="AI60" s="225">
        <f t="shared" si="24"/>
        <v>-0.49777807759029585</v>
      </c>
      <c r="AJ60" s="265" t="b">
        <f t="shared" si="16"/>
        <v>0</v>
      </c>
      <c r="AK60" s="265" t="b">
        <f t="shared" si="17"/>
        <v>0</v>
      </c>
      <c r="AL60" s="265"/>
      <c r="AM60" s="265"/>
      <c r="AN60" s="75"/>
    </row>
    <row r="61" spans="1:40" s="6" customFormat="1" ht="11.25" x14ac:dyDescent="0.2">
      <c r="A61" s="56">
        <f t="shared" si="18"/>
        <v>44608</v>
      </c>
      <c r="B61" s="1106">
        <v>5.9450000000000003</v>
      </c>
      <c r="C61" s="846"/>
      <c r="D61" s="393">
        <f t="shared" si="0"/>
        <v>6.1299865520465442</v>
      </c>
      <c r="E61" s="385">
        <f t="shared" si="1"/>
        <v>6.5356655797205931</v>
      </c>
      <c r="F61" s="385">
        <f t="shared" si="2"/>
        <v>6.5356655797205931</v>
      </c>
      <c r="G61" s="110">
        <f t="shared" si="19"/>
        <v>0.26058746374897152</v>
      </c>
      <c r="H61" s="414" t="b">
        <f>Wh_hp&gt;='2021'!Maxi_hp</f>
        <v>0</v>
      </c>
      <c r="I61" s="380">
        <f>IF(H61,Wh_hp,'2021'!Maxi_hp)</f>
        <v>25.832581952942551</v>
      </c>
      <c r="J61" s="85">
        <f>IF(H61,An,'2021'!An_max)</f>
        <v>2019</v>
      </c>
      <c r="K61" s="197">
        <f t="shared" si="3"/>
        <v>44608</v>
      </c>
      <c r="L61" s="147">
        <f>IF(t&lt;Tvie,1-EXP((T0-t)*PertePVj)+'2021'!Pspv,1-EXP((T0-t)*PertePVj)+Pspv)</f>
        <v>3.0177317760148203E-2</v>
      </c>
      <c r="M61" s="850"/>
      <c r="N61" s="850"/>
      <c r="O61" s="48">
        <f>IF(t&lt;Tnet,'2021'!Resal+('2021'!Salim-'2021'!Resal)*(1-EXP(('2021'!Tnet-t)/('2021'!Tau_j))),Resal+(Salim-Resal)*(1-EXP((Tnet-t)/(Tau_j))))*Salcycl</f>
        <v>6.2071570634339657E-2</v>
      </c>
      <c r="P61" s="339">
        <f>(INDEX(Models!$BJ61:$BT61,,T61)*(1-R61)+INDEX(Models!$BJ61:$BT61,,T61+1)*R61-ERP_i)*Q61*Ramure*Pc/MaxiM</f>
        <v>2.2674011873330614E-2</v>
      </c>
      <c r="Q61" s="305">
        <f t="shared" si="4"/>
        <v>0.7</v>
      </c>
      <c r="R61" s="177">
        <f t="shared" si="5"/>
        <v>0.50233164883980108</v>
      </c>
      <c r="S61" s="817">
        <f t="shared" si="6"/>
        <v>-1</v>
      </c>
      <c r="T61" s="176">
        <f t="shared" si="7"/>
        <v>5</v>
      </c>
      <c r="U61" s="251">
        <f t="shared" si="20"/>
        <v>-0.49766835116019892</v>
      </c>
      <c r="V61" s="383">
        <f t="shared" si="8"/>
        <v>22.296556080725821</v>
      </c>
      <c r="W61" s="402">
        <f t="shared" si="9"/>
        <v>0</v>
      </c>
      <c r="X61" s="157">
        <f t="shared" si="10"/>
        <v>44608</v>
      </c>
      <c r="Y61" s="385">
        <f t="shared" si="11"/>
        <v>5.5600010035920793</v>
      </c>
      <c r="Z61" s="385">
        <f t="shared" si="21"/>
        <v>5.7330078017468011</v>
      </c>
      <c r="AA61" s="386">
        <f t="shared" si="12"/>
        <v>6.5356655797205931</v>
      </c>
      <c r="AB61" s="197">
        <f t="shared" si="13"/>
        <v>44608</v>
      </c>
      <c r="AC61" s="119">
        <f>IF(OR(t&lt;Tnet,NoTnet),'2021'!Resal_s+('2021'!Salim-'2021'!Resal_s)*(1-EXP(('2021'!Tnet_s-t)/'2021'!Tau_j)),Resal_s+(Salim-Resal_s)*(1-EXP((Tnet_s-t)/Tau_j)))*Salcycl</f>
        <v>0.12281194136743241</v>
      </c>
      <c r="AD61" s="231">
        <f>(INDEX(Models!$BJ61:$BT61,,AH61)*(1-AF61)+INDEX(Models!$BJ61:$BT61,,AH61+1)*AF61-ERP_i)*AE61*Ramure*Pc/MaxiM</f>
        <v>2.2674011873330614E-2</v>
      </c>
      <c r="AE61" s="305">
        <f t="shared" si="14"/>
        <v>0.7</v>
      </c>
      <c r="AF61" s="177">
        <f t="shared" si="22"/>
        <v>0.50233164883980108</v>
      </c>
      <c r="AG61" s="817">
        <f t="shared" si="23"/>
        <v>-1</v>
      </c>
      <c r="AH61" s="176">
        <f t="shared" si="15"/>
        <v>5</v>
      </c>
      <c r="AI61" s="225">
        <f t="shared" si="24"/>
        <v>-0.49766835116019892</v>
      </c>
      <c r="AJ61" s="265" t="b">
        <f t="shared" si="16"/>
        <v>0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44609</v>
      </c>
      <c r="B62" s="1106">
        <v>10.157999999999999</v>
      </c>
      <c r="C62" s="846"/>
      <c r="D62" s="393">
        <f t="shared" si="0"/>
        <v>10.474309043465603</v>
      </c>
      <c r="E62" s="385">
        <f t="shared" si="1"/>
        <v>11.168938369963042</v>
      </c>
      <c r="F62" s="385">
        <f t="shared" si="2"/>
        <v>11.221051263568242</v>
      </c>
      <c r="G62" s="110">
        <f t="shared" si="19"/>
        <v>0.44170322499331799</v>
      </c>
      <c r="H62" s="414" t="b">
        <f>Wh_hp&gt;='2021'!Maxi_hp</f>
        <v>0</v>
      </c>
      <c r="I62" s="380">
        <f>IF(H62,Wh_hp,'2021'!Maxi_hp)</f>
        <v>26.057323912775445</v>
      </c>
      <c r="J62" s="85">
        <f>IF(H62,An,'2021'!An_max)</f>
        <v>2019</v>
      </c>
      <c r="K62" s="197">
        <f t="shared" si="3"/>
        <v>44609</v>
      </c>
      <c r="L62" s="147">
        <f>IF(t&lt;Tvie,1-EXP((T0-t)*PertePVj)+'2021'!Pspv,1-EXP((T0-t)*PertePVj)+Pspv)</f>
        <v>3.0198559365873567E-2</v>
      </c>
      <c r="M62" s="850"/>
      <c r="N62" s="850"/>
      <c r="O62" s="48">
        <f>IF(t&lt;Tnet,'2021'!Resal+('2021'!Salim-'2021'!Resal)*(1-EXP(('2021'!Tnet-t)/('2021'!Tau_j))),Resal+(Salim-Resal)*(1-EXP((Tnet-t)/(Tau_j))))*Salcycl</f>
        <v>6.2192959034094657E-2</v>
      </c>
      <c r="P62" s="339">
        <f>(INDEX(Models!$BJ62:$BT62,,T62)*(1-R62)+INDEX(Models!$BJ62:$BT62,,T62+1)*R62-ERP_i)*Q62*Ramure*Pc/MaxiM</f>
        <v>2.1755710667521171E-2</v>
      </c>
      <c r="Q62" s="305">
        <f t="shared" si="4"/>
        <v>0.7</v>
      </c>
      <c r="R62" s="177">
        <f t="shared" si="5"/>
        <v>0.5024458925516504</v>
      </c>
      <c r="S62" s="817">
        <f t="shared" si="6"/>
        <v>-1</v>
      </c>
      <c r="T62" s="176">
        <f t="shared" si="7"/>
        <v>5</v>
      </c>
      <c r="U62" s="251">
        <f t="shared" si="20"/>
        <v>-0.4975541074483496</v>
      </c>
      <c r="V62" s="383">
        <f t="shared" si="8"/>
        <v>22.601986520260088</v>
      </c>
      <c r="W62" s="402">
        <f t="shared" si="9"/>
        <v>0</v>
      </c>
      <c r="X62" s="157">
        <f t="shared" si="10"/>
        <v>44609</v>
      </c>
      <c r="Y62" s="385">
        <f t="shared" si="11"/>
        <v>9.5009716570748353</v>
      </c>
      <c r="Z62" s="385">
        <f t="shared" si="21"/>
        <v>9.796821554381701</v>
      </c>
      <c r="AA62" s="386">
        <f t="shared" si="12"/>
        <v>11.168938369963042</v>
      </c>
      <c r="AB62" s="197">
        <f t="shared" si="13"/>
        <v>44609</v>
      </c>
      <c r="AC62" s="119">
        <f>IF(OR(t&lt;Tnet,NoTnet),'2021'!Resal_s+('2021'!Salim-'2021'!Resal_s)*(1-EXP(('2021'!Tnet_s-t)/'2021'!Tau_j)),Resal_s+(Salim-Resal_s)*(1-EXP((Tnet_s-t)/Tau_j)))*Salcycl</f>
        <v>0.12285114037977106</v>
      </c>
      <c r="AD62" s="231">
        <f>(INDEX(Models!$BJ62:$BT62,,AH62)*(1-AF62)+INDEX(Models!$BJ62:$BT62,,AH62+1)*AF62-ERP_i)*AE62*Ramure*Pc/MaxiM</f>
        <v>2.1755710667521171E-2</v>
      </c>
      <c r="AE62" s="305">
        <f t="shared" si="14"/>
        <v>0.7</v>
      </c>
      <c r="AF62" s="177">
        <f t="shared" si="22"/>
        <v>0.5024458925516504</v>
      </c>
      <c r="AG62" s="817">
        <f t="shared" si="23"/>
        <v>-1</v>
      </c>
      <c r="AH62" s="176">
        <f t="shared" si="15"/>
        <v>5</v>
      </c>
      <c r="AI62" s="225">
        <f t="shared" si="24"/>
        <v>-0.4975541074483496</v>
      </c>
      <c r="AJ62" s="265" t="b">
        <f t="shared" si="16"/>
        <v>0</v>
      </c>
      <c r="AK62" s="265" t="b">
        <f t="shared" si="17"/>
        <v>0</v>
      </c>
      <c r="AL62" s="265"/>
      <c r="AM62" s="265"/>
      <c r="AN62" s="75"/>
    </row>
    <row r="63" spans="1:40" s="6" customFormat="1" ht="11.25" x14ac:dyDescent="0.2">
      <c r="A63" s="56">
        <f t="shared" si="18"/>
        <v>44610</v>
      </c>
      <c r="B63" s="1106">
        <v>19.170000000000002</v>
      </c>
      <c r="C63" s="846"/>
      <c r="D63" s="393">
        <f t="shared" si="0"/>
        <v>19.767365852601724</v>
      </c>
      <c r="E63" s="385">
        <f t="shared" si="1"/>
        <v>21.081011876637564</v>
      </c>
      <c r="F63" s="385">
        <f t="shared" si="2"/>
        <v>21.423399501903923</v>
      </c>
      <c r="G63" s="110">
        <f t="shared" si="19"/>
        <v>0.83279820367298862</v>
      </c>
      <c r="H63" s="414" t="b">
        <f>Wh_hp&gt;='2021'!Maxi_hp</f>
        <v>0</v>
      </c>
      <c r="I63" s="380">
        <f>IF(H63,Wh_hp,'2021'!Maxi_hp)</f>
        <v>25.702210502087123</v>
      </c>
      <c r="J63" s="85">
        <f>IF(H63,An,'2021'!An_max)</f>
        <v>2019</v>
      </c>
      <c r="K63" s="197">
        <f t="shared" si="3"/>
        <v>44610</v>
      </c>
      <c r="L63" s="147">
        <f>IF(t&lt;Tvie,1-EXP((T0-t)*PertePVj)+'2021'!Pspv,1-EXP((T0-t)*PertePVj)+Pspv)</f>
        <v>3.02198005063532E-2</v>
      </c>
      <c r="M63" s="850"/>
      <c r="N63" s="850"/>
      <c r="O63" s="48">
        <f>IF(t&lt;Tnet,'2021'!Resal+('2021'!Salim-'2021'!Resal)*(1-EXP(('2021'!Tnet-t)/('2021'!Tau_j))),Resal+(Salim-Resal)*(1-EXP((Tnet-t)/(Tau_j))))*Salcycl</f>
        <v>6.2314182626672161E-2</v>
      </c>
      <c r="P63" s="339">
        <f>(INDEX(Models!$BJ63:$BT63,,T63)*(1-R63)+INDEX(Models!$BJ63:$BT63,,T63+1)*R63-ERP_i)*Q63*Ramure*Pc/MaxiM</f>
        <v>2.0835925086482753E-2</v>
      </c>
      <c r="Q63" s="305">
        <f t="shared" si="4"/>
        <v>0.7</v>
      </c>
      <c r="R63" s="177">
        <f t="shared" si="5"/>
        <v>0.50256483579782385</v>
      </c>
      <c r="S63" s="817">
        <f t="shared" si="6"/>
        <v>-1</v>
      </c>
      <c r="T63" s="176">
        <f t="shared" si="7"/>
        <v>5</v>
      </c>
      <c r="U63" s="251">
        <f t="shared" si="20"/>
        <v>-0.49743516420217615</v>
      </c>
      <c r="V63" s="383">
        <f t="shared" si="8"/>
        <v>22.905234258651017</v>
      </c>
      <c r="W63" s="402">
        <f t="shared" si="9"/>
        <v>0</v>
      </c>
      <c r="X63" s="157">
        <f t="shared" si="10"/>
        <v>44610</v>
      </c>
      <c r="Y63" s="385">
        <f t="shared" si="11"/>
        <v>17.931585378163938</v>
      </c>
      <c r="Z63" s="385">
        <f t="shared" si="21"/>
        <v>18.49036038014242</v>
      </c>
      <c r="AA63" s="386">
        <f t="shared" si="12"/>
        <v>21.081011876637564</v>
      </c>
      <c r="AB63" s="197">
        <f t="shared" si="13"/>
        <v>44610</v>
      </c>
      <c r="AC63" s="119">
        <f>IF(OR(t&lt;Tnet,NoTnet),'2021'!Resal_s+('2021'!Salim-'2021'!Resal_s)*(1-EXP(('2021'!Tnet_s-t)/'2021'!Tau_j)),Resal_s+(Salim-Resal_s)*(1-EXP((Tnet_s-t)/Tau_j)))*Salcycl</f>
        <v>0.12289028210102965</v>
      </c>
      <c r="AD63" s="231">
        <f>(INDEX(Models!$BJ63:$BT63,,AH63)*(1-AF63)+INDEX(Models!$BJ63:$BT63,,AH63+1)*AF63-ERP_i)*AE63*Ramure*Pc/MaxiM</f>
        <v>2.0835925086482753E-2</v>
      </c>
      <c r="AE63" s="305">
        <f t="shared" si="14"/>
        <v>0.7</v>
      </c>
      <c r="AF63" s="177">
        <f t="shared" si="22"/>
        <v>0.50256483579782385</v>
      </c>
      <c r="AG63" s="817">
        <f t="shared" si="23"/>
        <v>-1</v>
      </c>
      <c r="AH63" s="176">
        <f t="shared" si="15"/>
        <v>5</v>
      </c>
      <c r="AI63" s="225">
        <f t="shared" si="24"/>
        <v>-0.49743516420217615</v>
      </c>
      <c r="AJ63" s="265" t="b">
        <f t="shared" si="16"/>
        <v>0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44611</v>
      </c>
      <c r="B64" s="1106">
        <v>12.362</v>
      </c>
      <c r="C64" s="846"/>
      <c r="D64" s="393">
        <f t="shared" si="0"/>
        <v>12.747497599880294</v>
      </c>
      <c r="E64" s="385">
        <f t="shared" si="1"/>
        <v>13.596391522018456</v>
      </c>
      <c r="F64" s="385">
        <f t="shared" si="2"/>
        <v>13.687009769548519</v>
      </c>
      <c r="G64" s="110">
        <f t="shared" si="19"/>
        <v>0.52558655715538438</v>
      </c>
      <c r="H64" s="414" t="b">
        <f>Wh_hp&gt;='2021'!Maxi_hp</f>
        <v>0</v>
      </c>
      <c r="I64" s="380">
        <f>IF(H64,Wh_hp,'2021'!Maxi_hp)</f>
        <v>25.212086475297145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3.0241041181597428E-2</v>
      </c>
      <c r="M64" s="850"/>
      <c r="N64" s="850"/>
      <c r="O64" s="48">
        <f>IF(t&lt;Tnet,'2021'!Resal+('2021'!Salim-'2021'!Resal)*(1-EXP(('2021'!Tnet-t)/('2021'!Tau_j))),Resal+(Salim-Resal)*(1-EXP((Tnet-t)/(Tau_j))))*Salcycl</f>
        <v>6.2435236640797961E-2</v>
      </c>
      <c r="P64" s="339">
        <f>(INDEX(Models!$BJ64:$BT64,,T64)*(1-R64)+INDEX(Models!$BJ64:$BT64,,T64+1)*R64-ERP_i)*Q64*Ramure*Pc/MaxiM</f>
        <v>1.9914952257240843E-2</v>
      </c>
      <c r="Q64" s="305">
        <f t="shared" si="4"/>
        <v>0.7</v>
      </c>
      <c r="R64" s="177">
        <f t="shared" si="5"/>
        <v>0.50268866786904176</v>
      </c>
      <c r="S64" s="817">
        <f t="shared" si="6"/>
        <v>-1</v>
      </c>
      <c r="T64" s="176">
        <f t="shared" si="7"/>
        <v>5</v>
      </c>
      <c r="U64" s="251">
        <f t="shared" si="20"/>
        <v>-0.49731133213095824</v>
      </c>
      <c r="V64" s="383">
        <f t="shared" si="8"/>
        <v>23.205619626753968</v>
      </c>
      <c r="W64" s="402">
        <f t="shared" si="9"/>
        <v>0</v>
      </c>
      <c r="X64" s="157">
        <f t="shared" si="10"/>
        <v>44611</v>
      </c>
      <c r="Y64" s="385">
        <f t="shared" si="11"/>
        <v>11.564371566444912</v>
      </c>
      <c r="Z64" s="385">
        <f t="shared" si="21"/>
        <v>11.924995857254524</v>
      </c>
      <c r="AA64" s="386">
        <f t="shared" si="12"/>
        <v>13.596391522018456</v>
      </c>
      <c r="AB64" s="197">
        <f t="shared" si="13"/>
        <v>44611</v>
      </c>
      <c r="AC64" s="119">
        <f>IF(OR(t&lt;Tnet,NoTnet),'2021'!Resal_s+('2021'!Salim-'2021'!Resal_s)*(1-EXP(('2021'!Tnet_s-t)/'2021'!Tau_j)),Resal_s+(Salim-Resal_s)*(1-EXP((Tnet_s-t)/Tau_j)))*Salcycl</f>
        <v>0.12292935681185826</v>
      </c>
      <c r="AD64" s="231">
        <f>(INDEX(Models!$BJ64:$BT64,,AH64)*(1-AF64)+INDEX(Models!$BJ64:$BT64,,AH64+1)*AF64-ERP_i)*AE64*Ramure*Pc/MaxiM</f>
        <v>1.9914952257240843E-2</v>
      </c>
      <c r="AE64" s="305">
        <f t="shared" si="14"/>
        <v>0.7</v>
      </c>
      <c r="AF64" s="177">
        <f t="shared" si="22"/>
        <v>0.50268866786904176</v>
      </c>
      <c r="AG64" s="817">
        <f t="shared" si="23"/>
        <v>-1</v>
      </c>
      <c r="AH64" s="176">
        <f t="shared" si="15"/>
        <v>5</v>
      </c>
      <c r="AI64" s="225">
        <f t="shared" si="24"/>
        <v>-0.49731133213095824</v>
      </c>
      <c r="AJ64" s="265" t="b">
        <f t="shared" si="16"/>
        <v>0</v>
      </c>
      <c r="AK64" s="265" t="b">
        <f t="shared" si="17"/>
        <v>0</v>
      </c>
      <c r="AL64" s="265"/>
      <c r="AM64" s="265"/>
      <c r="AN64" s="75"/>
    </row>
    <row r="65" spans="1:40" s="6" customFormat="1" ht="11.25" x14ac:dyDescent="0.2">
      <c r="A65" s="56">
        <f t="shared" si="18"/>
        <v>44612</v>
      </c>
      <c r="B65" s="1106">
        <v>13.889000000000001</v>
      </c>
      <c r="C65" s="846"/>
      <c r="D65" s="393">
        <f t="shared" si="0"/>
        <v>14.32242938836217</v>
      </c>
      <c r="E65" s="385">
        <f t="shared" si="1"/>
        <v>15.278172536131933</v>
      </c>
      <c r="F65" s="385">
        <f t="shared" si="2"/>
        <v>15.39971976721012</v>
      </c>
      <c r="G65" s="110">
        <f t="shared" si="19"/>
        <v>0.58430587768730335</v>
      </c>
      <c r="H65" s="414" t="b">
        <f>Wh_hp&gt;='2021'!Maxi_hp</f>
        <v>0</v>
      </c>
      <c r="I65" s="380">
        <f>IF(H65,Wh_hp,'2021'!Maxi_hp)</f>
        <v>26.392814303463727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3.0262281391616241E-2</v>
      </c>
      <c r="M65" s="850"/>
      <c r="N65" s="850"/>
      <c r="O65" s="48">
        <f>IF(t&lt;Tnet,'2021'!Resal+('2021'!Salim-'2021'!Resal)*(1-EXP(('2021'!Tnet-t)/('2021'!Tau_j))),Resal+(Salim-Resal)*(1-EXP((Tnet-t)/(Tau_j))))*Salcycl</f>
        <v>6.2556116938036255E-2</v>
      </c>
      <c r="P65" s="339">
        <f>(INDEX(Models!$BJ65:$BT65,,T65)*(1-R65)+INDEX(Models!$BJ65:$BT65,,T65+1)*R65-ERP_i)*Q65*Ramure*Pc/MaxiM</f>
        <v>1.8991615755345029E-2</v>
      </c>
      <c r="Q65" s="305">
        <f t="shared" si="4"/>
        <v>0.7</v>
      </c>
      <c r="R65" s="177">
        <f t="shared" si="5"/>
        <v>0.50281758533916898</v>
      </c>
      <c r="S65" s="817">
        <f t="shared" si="6"/>
        <v>-1</v>
      </c>
      <c r="T65" s="176">
        <f t="shared" si="7"/>
        <v>5</v>
      </c>
      <c r="U65" s="251">
        <f t="shared" si="20"/>
        <v>-0.49718241466083107</v>
      </c>
      <c r="V65" s="383">
        <f t="shared" si="8"/>
        <v>23.504166219490237</v>
      </c>
      <c r="W65" s="402">
        <f t="shared" si="9"/>
        <v>0</v>
      </c>
      <c r="X65" s="157">
        <f t="shared" si="10"/>
        <v>44612</v>
      </c>
      <c r="Y65" s="385">
        <f t="shared" si="11"/>
        <v>12.993943127916415</v>
      </c>
      <c r="Z65" s="385">
        <f t="shared" si="21"/>
        <v>13.399440775144123</v>
      </c>
      <c r="AA65" s="386">
        <f t="shared" si="12"/>
        <v>15.278172536131933</v>
      </c>
      <c r="AB65" s="197">
        <f t="shared" si="13"/>
        <v>44612</v>
      </c>
      <c r="AC65" s="119">
        <f>IF(OR(t&lt;Tnet,NoTnet),'2021'!Resal_s+('2021'!Salim-'2021'!Resal_s)*(1-EXP(('2021'!Tnet_s-t)/'2021'!Tau_j)),Resal_s+(Salim-Resal_s)*(1-EXP((Tnet_s-t)/Tau_j)))*Salcycl</f>
        <v>0.12296835610049074</v>
      </c>
      <c r="AD65" s="231">
        <f>(INDEX(Models!$BJ65:$BT65,,AH65)*(1-AF65)+INDEX(Models!$BJ65:$BT65,,AH65+1)*AF65-ERP_i)*AE65*Ramure*Pc/MaxiM</f>
        <v>1.8991615755345029E-2</v>
      </c>
      <c r="AE65" s="305">
        <f t="shared" si="14"/>
        <v>0.7</v>
      </c>
      <c r="AF65" s="177">
        <f t="shared" si="22"/>
        <v>0.50281758533916898</v>
      </c>
      <c r="AG65" s="817">
        <f t="shared" si="23"/>
        <v>-1</v>
      </c>
      <c r="AH65" s="176">
        <f t="shared" si="15"/>
        <v>5</v>
      </c>
      <c r="AI65" s="225">
        <f t="shared" si="24"/>
        <v>-0.49718241466083107</v>
      </c>
      <c r="AJ65" s="265" t="b">
        <f t="shared" si="16"/>
        <v>0</v>
      </c>
      <c r="AK65" s="265" t="b">
        <f t="shared" si="17"/>
        <v>0</v>
      </c>
      <c r="AL65" s="265"/>
      <c r="AM65" s="265"/>
      <c r="AN65" s="75"/>
    </row>
    <row r="66" spans="1:40" s="6" customFormat="1" ht="11.25" x14ac:dyDescent="0.2">
      <c r="A66" s="56">
        <f t="shared" si="18"/>
        <v>44613</v>
      </c>
      <c r="B66" s="1106">
        <v>14.384</v>
      </c>
      <c r="C66" s="846"/>
      <c r="D66" s="393">
        <f t="shared" si="0"/>
        <v>14.833201573367866</v>
      </c>
      <c r="E66" s="385">
        <f t="shared" si="1"/>
        <v>15.825066414159764</v>
      </c>
      <c r="F66" s="385">
        <f t="shared" si="2"/>
        <v>15.950255225536782</v>
      </c>
      <c r="G66" s="110">
        <f t="shared" si="19"/>
        <v>0.59808763938453513</v>
      </c>
      <c r="H66" s="414" t="b">
        <f>Wh_hp&gt;='2021'!Maxi_hp</f>
        <v>0</v>
      </c>
      <c r="I66" s="380">
        <f>IF(H66,Wh_hp,'2021'!Maxi_hp)</f>
        <v>25.140056728294933</v>
      </c>
      <c r="J66" s="85">
        <f>IF(H66,An,'2021'!An_max)</f>
        <v>2019</v>
      </c>
      <c r="K66" s="197">
        <f t="shared" si="3"/>
        <v>44613</v>
      </c>
      <c r="L66" s="147">
        <f>IF(t&lt;Tvie,1-EXP((T0-t)*PertePVj)+'2021'!Pspv,1-EXP((T0-t)*PertePVj)+Pspv)</f>
        <v>3.0283521136420077E-2</v>
      </c>
      <c r="M66" s="850"/>
      <c r="N66" s="850"/>
      <c r="O66" s="48">
        <f>IF(t&lt;Tnet,'2021'!Resal+('2021'!Salim-'2021'!Resal)*(1-EXP(('2021'!Tnet-t)/('2021'!Tau_j))),Resal+(Salim-Resal)*(1-EXP((Tnet-t)/(Tau_j))))*Salcycl</f>
        <v>6.2676820105121864E-2</v>
      </c>
      <c r="P66" s="339">
        <f>(INDEX(Models!$BJ66:$BT66,,T66)*(1-R66)+INDEX(Models!$BJ66:$BT66,,T66+1)*R66-ERP_i)*Q66*Ramure*Pc/MaxiM</f>
        <v>1.8054621686639193E-2</v>
      </c>
      <c r="Q66" s="305">
        <f t="shared" si="4"/>
        <v>0.7</v>
      </c>
      <c r="R66" s="177">
        <f t="shared" si="5"/>
        <v>0.50295179231641263</v>
      </c>
      <c r="S66" s="817">
        <f t="shared" si="6"/>
        <v>-1</v>
      </c>
      <c r="T66" s="176">
        <f t="shared" si="7"/>
        <v>5</v>
      </c>
      <c r="U66" s="251">
        <f t="shared" si="20"/>
        <v>-0.49704820768358743</v>
      </c>
      <c r="V66" s="383">
        <f t="shared" si="8"/>
        <v>23.802593139077473</v>
      </c>
      <c r="W66" s="402">
        <f t="shared" si="9"/>
        <v>0</v>
      </c>
      <c r="X66" s="157">
        <f t="shared" si="10"/>
        <v>44613</v>
      </c>
      <c r="Y66" s="385">
        <f t="shared" si="11"/>
        <v>13.458179265455081</v>
      </c>
      <c r="Z66" s="385">
        <f t="shared" si="21"/>
        <v>13.878468148986032</v>
      </c>
      <c r="AA66" s="386">
        <f t="shared" si="12"/>
        <v>15.825066414159764</v>
      </c>
      <c r="AB66" s="197">
        <f t="shared" si="13"/>
        <v>44613</v>
      </c>
      <c r="AC66" s="119">
        <f>IF(OR(t&lt;Tnet,NoTnet),'2021'!Resal_s+('2021'!Salim-'2021'!Resal_s)*(1-EXP(('2021'!Tnet_s-t)/'2021'!Tau_j)),Resal_s+(Salim-Resal_s)*(1-EXP((Tnet_s-t)/Tau_j)))*Salcycl</f>
        <v>0.12300727303311516</v>
      </c>
      <c r="AD66" s="231">
        <f>(INDEX(Models!$BJ66:$BT66,,AH66)*(1-AF66)+INDEX(Models!$BJ66:$BT66,,AH66+1)*AF66-ERP_i)*AE66*Ramure*Pc/MaxiM</f>
        <v>1.8054621686639193E-2</v>
      </c>
      <c r="AE66" s="305">
        <f t="shared" si="14"/>
        <v>0.7</v>
      </c>
      <c r="AF66" s="177">
        <f t="shared" si="22"/>
        <v>0.50295179231641263</v>
      </c>
      <c r="AG66" s="817">
        <f t="shared" si="23"/>
        <v>-1</v>
      </c>
      <c r="AH66" s="176">
        <f t="shared" si="15"/>
        <v>5</v>
      </c>
      <c r="AI66" s="225">
        <f t="shared" si="24"/>
        <v>-0.49704820768358743</v>
      </c>
      <c r="AJ66" s="265" t="b">
        <f t="shared" si="16"/>
        <v>0</v>
      </c>
      <c r="AK66" s="265" t="b">
        <f t="shared" si="17"/>
        <v>0</v>
      </c>
      <c r="AL66" s="265"/>
      <c r="AM66" s="265"/>
      <c r="AN66" s="75"/>
    </row>
    <row r="67" spans="1:40" s="6" customFormat="1" ht="11.25" x14ac:dyDescent="0.2">
      <c r="A67" s="56">
        <f t="shared" si="18"/>
        <v>44614</v>
      </c>
      <c r="B67" s="1106">
        <v>22.420999999999999</v>
      </c>
      <c r="C67" s="846"/>
      <c r="D67" s="393">
        <f t="shared" si="0"/>
        <v>23.121697503247582</v>
      </c>
      <c r="E67" s="385">
        <f t="shared" si="1"/>
        <v>24.670968806932574</v>
      </c>
      <c r="F67" s="385">
        <f t="shared" si="2"/>
        <v>25.057422406427815</v>
      </c>
      <c r="G67" s="110">
        <f t="shared" si="19"/>
        <v>0.92870827043486204</v>
      </c>
      <c r="H67" s="414" t="b">
        <f>Wh_hp&gt;='2021'!Maxi_hp</f>
        <v>0</v>
      </c>
      <c r="I67" s="380">
        <f>IF(H67,Wh_hp,'2021'!Maxi_hp)</f>
        <v>26.553607822777124</v>
      </c>
      <c r="J67" s="85">
        <f>IF(H67,An,'2021'!An_max)</f>
        <v>2019</v>
      </c>
      <c r="K67" s="197">
        <f t="shared" si="3"/>
        <v>44614</v>
      </c>
      <c r="L67" s="147">
        <f>IF(t&lt;Tvie,1-EXP((T0-t)*PertePVj)+'2021'!Pspv,1-EXP((T0-t)*PertePVj)+Pspv)</f>
        <v>3.0304760416018928E-2</v>
      </c>
      <c r="M67" s="850"/>
      <c r="N67" s="850"/>
      <c r="O67" s="48">
        <f>IF(t&lt;Tnet,'2021'!Resal+('2021'!Salim-'2021'!Resal)*(1-EXP(('2021'!Tnet-t)/('2021'!Tau_j))),Resal+(Salim-Resal)*(1-EXP((Tnet-t)/(Tau_j))))*Salcycl</f>
        <v>6.2797343542084438E-2</v>
      </c>
      <c r="P67" s="339">
        <f>(INDEX(Models!$BJ67:$BT67,,T67)*(1-R67)+INDEX(Models!$BJ67:$BT67,,T67+1)*R67-ERP_i)*Q67*Ramure*Pc/MaxiM</f>
        <v>1.7127675192485238E-2</v>
      </c>
      <c r="Q67" s="305">
        <f t="shared" si="4"/>
        <v>0.7</v>
      </c>
      <c r="R67" s="177">
        <f t="shared" si="5"/>
        <v>0.50309150070066022</v>
      </c>
      <c r="S67" s="817">
        <f t="shared" si="6"/>
        <v>-1</v>
      </c>
      <c r="T67" s="176">
        <f t="shared" si="7"/>
        <v>5</v>
      </c>
      <c r="U67" s="251">
        <f t="shared" si="20"/>
        <v>-0.49690849929933983</v>
      </c>
      <c r="V67" s="383">
        <f t="shared" si="8"/>
        <v>24.100328495608338</v>
      </c>
      <c r="W67" s="402">
        <f t="shared" si="9"/>
        <v>0</v>
      </c>
      <c r="X67" s="157">
        <f t="shared" si="10"/>
        <v>44614</v>
      </c>
      <c r="Y67" s="385">
        <f t="shared" si="11"/>
        <v>20.979649603555352</v>
      </c>
      <c r="Z67" s="385">
        <f t="shared" si="21"/>
        <v>21.63530225491882</v>
      </c>
      <c r="AA67" s="386">
        <f t="shared" si="12"/>
        <v>24.670968806932574</v>
      </c>
      <c r="AB67" s="197">
        <f t="shared" si="13"/>
        <v>44614</v>
      </c>
      <c r="AC67" s="119">
        <f>IF(OR(t&lt;Tnet,NoTnet),'2021'!Resal_s+('2021'!Salim-'2021'!Resal_s)*(1-EXP(('2021'!Tnet_s-t)/'2021'!Tau_j)),Resal_s+(Salim-Resal_s)*(1-EXP((Tnet_s-t)/Tau_j)))*Salcycl</f>
        <v>0.12304610231442263</v>
      </c>
      <c r="AD67" s="231">
        <f>(INDEX(Models!$BJ67:$BT67,,AH67)*(1-AF67)+INDEX(Models!$BJ67:$BT67,,AH67+1)*AF67-ERP_i)*AE67*Ramure*Pc/MaxiM</f>
        <v>1.7127675192485238E-2</v>
      </c>
      <c r="AE67" s="305">
        <f t="shared" si="14"/>
        <v>0.7</v>
      </c>
      <c r="AF67" s="177">
        <f t="shared" si="22"/>
        <v>0.50309150070066022</v>
      </c>
      <c r="AG67" s="817">
        <f t="shared" si="23"/>
        <v>-1</v>
      </c>
      <c r="AH67" s="176">
        <f t="shared" si="15"/>
        <v>5</v>
      </c>
      <c r="AI67" s="225">
        <f t="shared" si="24"/>
        <v>-0.49690849929933983</v>
      </c>
      <c r="AJ67" s="265" t="b">
        <f t="shared" si="16"/>
        <v>0</v>
      </c>
      <c r="AK67" s="265" t="b">
        <f t="shared" si="17"/>
        <v>0</v>
      </c>
      <c r="AL67" s="265"/>
      <c r="AM67" s="265"/>
      <c r="AN67" s="75"/>
    </row>
    <row r="68" spans="1:40" s="6" customFormat="1" ht="11.25" x14ac:dyDescent="0.2">
      <c r="A68" s="56">
        <f t="shared" si="18"/>
        <v>44615</v>
      </c>
      <c r="B68" s="1106">
        <v>22.934999999999999</v>
      </c>
      <c r="C68" s="846"/>
      <c r="D68" s="393">
        <f t="shared" si="0"/>
        <v>23.652278994587611</v>
      </c>
      <c r="E68" s="385">
        <f t="shared" si="1"/>
        <v>25.240342955733524</v>
      </c>
      <c r="F68" s="385">
        <f t="shared" si="2"/>
        <v>25.620087741609272</v>
      </c>
      <c r="G68" s="110">
        <f t="shared" si="19"/>
        <v>0.93873562927829846</v>
      </c>
      <c r="H68" s="414" t="b">
        <f>Wh_hp&gt;='2021'!Maxi_hp</f>
        <v>0</v>
      </c>
      <c r="I68" s="380">
        <f>IF(H68,Wh_hp,'2021'!Maxi_hp)</f>
        <v>27.261868971635646</v>
      </c>
      <c r="J68" s="85">
        <f>IF(H68,An,'2021'!An_max)</f>
        <v>2019</v>
      </c>
      <c r="K68" s="197">
        <f t="shared" si="3"/>
        <v>44615</v>
      </c>
      <c r="L68" s="147">
        <f>IF(t&lt;Tvie,1-EXP((T0-t)*PertePVj)+'2021'!Pspv,1-EXP((T0-t)*PertePVj)+Pspv)</f>
        <v>3.0325999230423006E-2</v>
      </c>
      <c r="M68" s="850"/>
      <c r="N68" s="850"/>
      <c r="O68" s="48">
        <f>IF(t&lt;Tnet,'2021'!Resal+('2021'!Salim-'2021'!Resal)*(1-EXP(('2021'!Tnet-t)/('2021'!Tau_j))),Resal+(Salim-Resal)*(1-EXP((Tnet-t)/(Tau_j))))*Salcycl</f>
        <v>6.2917685545361132E-2</v>
      </c>
      <c r="P68" s="339">
        <f>(INDEX(Models!$BJ68:$BT68,,T68)*(1-R68)+INDEX(Models!$BJ68:$BT68,,T68+1)*R68-ERP_i)*Q68*Ramure*Pc/MaxiM</f>
        <v>1.6210204039629063E-2</v>
      </c>
      <c r="Q68" s="305">
        <f t="shared" si="4"/>
        <v>0.7</v>
      </c>
      <c r="R68" s="177">
        <f t="shared" si="5"/>
        <v>0.50323693044687245</v>
      </c>
      <c r="S68" s="817">
        <f t="shared" si="6"/>
        <v>-1</v>
      </c>
      <c r="T68" s="176">
        <f t="shared" si="7"/>
        <v>5</v>
      </c>
      <c r="U68" s="251">
        <f t="shared" si="20"/>
        <v>-0.49676306955312749</v>
      </c>
      <c r="V68" s="383">
        <f t="shared" si="8"/>
        <v>24.397375901943047</v>
      </c>
      <c r="W68" s="402">
        <f t="shared" si="9"/>
        <v>0</v>
      </c>
      <c r="X68" s="157">
        <f t="shared" si="10"/>
        <v>44615</v>
      </c>
      <c r="Y68" s="385">
        <f t="shared" si="11"/>
        <v>21.462414639939968</v>
      </c>
      <c r="Z68" s="385">
        <f t="shared" si="21"/>
        <v>22.133639370454841</v>
      </c>
      <c r="AA68" s="386">
        <f t="shared" si="12"/>
        <v>25.240342955733524</v>
      </c>
      <c r="AB68" s="197">
        <f t="shared" si="13"/>
        <v>44615</v>
      </c>
      <c r="AC68" s="119">
        <f>IF(OR(t&lt;Tnet,NoTnet),'2021'!Resal_s+('2021'!Salim-'2021'!Resal_s)*(1-EXP(('2021'!Tnet_s-t)/'2021'!Tau_j)),Resal_s+(Salim-Resal_s)*(1-EXP((Tnet_s-t)/Tau_j)))*Salcycl</f>
        <v>0.12308484043688375</v>
      </c>
      <c r="AD68" s="231">
        <f>(INDEX(Models!$BJ68:$BT68,,AH68)*(1-AF68)+INDEX(Models!$BJ68:$BT68,,AH68+1)*AF68-ERP_i)*AE68*Ramure*Pc/MaxiM</f>
        <v>1.6210204039629063E-2</v>
      </c>
      <c r="AE68" s="305">
        <f t="shared" si="14"/>
        <v>0.7</v>
      </c>
      <c r="AF68" s="177">
        <f t="shared" si="22"/>
        <v>0.50323693044687245</v>
      </c>
      <c r="AG68" s="817">
        <f t="shared" si="23"/>
        <v>-1</v>
      </c>
      <c r="AH68" s="176">
        <f t="shared" si="15"/>
        <v>5</v>
      </c>
      <c r="AI68" s="225">
        <f t="shared" si="24"/>
        <v>-0.49676306955312749</v>
      </c>
      <c r="AJ68" s="265" t="b">
        <f t="shared" si="16"/>
        <v>0</v>
      </c>
      <c r="AK68" s="265" t="b">
        <f t="shared" si="17"/>
        <v>0</v>
      </c>
      <c r="AL68" s="265"/>
      <c r="AM68" s="265"/>
      <c r="AN68" s="75"/>
    </row>
    <row r="69" spans="1:40" s="6" customFormat="1" ht="11.25" x14ac:dyDescent="0.2">
      <c r="A69" s="56">
        <f t="shared" si="18"/>
        <v>44616</v>
      </c>
      <c r="B69" s="1106">
        <v>14.826000000000001</v>
      </c>
      <c r="C69" s="846"/>
      <c r="D69" s="393">
        <f t="shared" si="0"/>
        <v>15.290009552484245</v>
      </c>
      <c r="E69" s="385">
        <f t="shared" si="1"/>
        <v>16.318705592510913</v>
      </c>
      <c r="F69" s="385">
        <f t="shared" si="2"/>
        <v>16.426571213846238</v>
      </c>
      <c r="G69" s="110">
        <f t="shared" si="19"/>
        <v>0.59511590968479666</v>
      </c>
      <c r="H69" s="414" t="b">
        <f>Wh_hp&gt;='2021'!Maxi_hp</f>
        <v>0</v>
      </c>
      <c r="I69" s="380">
        <f>IF(H69,Wh_hp,'2021'!Maxi_hp)</f>
        <v>27.125715294135134</v>
      </c>
      <c r="J69" s="85">
        <f>IF(H69,An,'2021'!An_max)</f>
        <v>2019</v>
      </c>
      <c r="K69" s="197">
        <f t="shared" si="3"/>
        <v>44616</v>
      </c>
      <c r="L69" s="147">
        <f>IF(t&lt;Tvie,1-EXP((T0-t)*PertePVj)+'2021'!Pspv,1-EXP((T0-t)*PertePVj)+Pspv)</f>
        <v>3.0347237579642639E-2</v>
      </c>
      <c r="M69" s="850"/>
      <c r="N69" s="850"/>
      <c r="O69" s="48">
        <f>IF(t&lt;Tnet,'2021'!Resal+('2021'!Salim-'2021'!Resal)*(1-EXP(('2021'!Tnet-t)/('2021'!Tau_j))),Resal+(Salim-Resal)*(1-EXP((Tnet-t)/(Tau_j))))*Salcycl</f>
        <v>6.3037845385161079E-2</v>
      </c>
      <c r="P69" s="339">
        <f>(INDEX(Models!$BJ69:$BT69,,T69)*(1-R69)+INDEX(Models!$BJ69:$BT69,,T69+1)*R69-ERP_i)*Q69*Ramure*Pc/MaxiM</f>
        <v>1.5301754726434845E-2</v>
      </c>
      <c r="Q69" s="305">
        <f t="shared" si="4"/>
        <v>0.7</v>
      </c>
      <c r="R69" s="177">
        <f t="shared" si="5"/>
        <v>0.50338830983441585</v>
      </c>
      <c r="S69" s="817">
        <f t="shared" si="6"/>
        <v>-1</v>
      </c>
      <c r="T69" s="176">
        <f t="shared" si="7"/>
        <v>5</v>
      </c>
      <c r="U69" s="251">
        <f t="shared" si="20"/>
        <v>-0.49661169016558415</v>
      </c>
      <c r="V69" s="383">
        <f t="shared" si="8"/>
        <v>24.693736666385174</v>
      </c>
      <c r="W69" s="402">
        <f t="shared" si="9"/>
        <v>0</v>
      </c>
      <c r="X69" s="157">
        <f t="shared" si="10"/>
        <v>44616</v>
      </c>
      <c r="Y69" s="385">
        <f t="shared" si="11"/>
        <v>13.875236193093304</v>
      </c>
      <c r="Z69" s="385">
        <f t="shared" si="21"/>
        <v>14.309489675932264</v>
      </c>
      <c r="AA69" s="386">
        <f t="shared" si="12"/>
        <v>16.318705592510913</v>
      </c>
      <c r="AB69" s="197">
        <f t="shared" si="13"/>
        <v>44616</v>
      </c>
      <c r="AC69" s="119">
        <f>IF(OR(t&lt;Tnet,NoTnet),'2021'!Resal_s+('2021'!Salim-'2021'!Resal_s)*(1-EXP(('2021'!Tnet_s-t)/'2021'!Tau_j)),Resal_s+(Salim-Resal_s)*(1-EXP((Tnet_s-t)/Tau_j)))*Salcycl</f>
        <v>0.12312348581744934</v>
      </c>
      <c r="AD69" s="231">
        <f>(INDEX(Models!$BJ69:$BT69,,AH69)*(1-AF69)+INDEX(Models!$BJ69:$BT69,,AH69+1)*AF69-ERP_i)*AE69*Ramure*Pc/MaxiM</f>
        <v>1.5301754726434845E-2</v>
      </c>
      <c r="AE69" s="305">
        <f t="shared" si="14"/>
        <v>0.7</v>
      </c>
      <c r="AF69" s="177">
        <f t="shared" si="22"/>
        <v>0.50338830983441585</v>
      </c>
      <c r="AG69" s="817">
        <f t="shared" si="23"/>
        <v>-1</v>
      </c>
      <c r="AH69" s="176">
        <f t="shared" si="15"/>
        <v>5</v>
      </c>
      <c r="AI69" s="225">
        <f t="shared" si="24"/>
        <v>-0.49661169016558415</v>
      </c>
      <c r="AJ69" s="265" t="b">
        <f t="shared" si="16"/>
        <v>0</v>
      </c>
      <c r="AK69" s="265" t="b">
        <f t="shared" si="17"/>
        <v>0</v>
      </c>
      <c r="AL69" s="265"/>
      <c r="AM69" s="265"/>
      <c r="AN69" s="75"/>
    </row>
    <row r="70" spans="1:40" s="6" customFormat="1" ht="11.25" x14ac:dyDescent="0.2">
      <c r="A70" s="56">
        <f t="shared" si="18"/>
        <v>44617</v>
      </c>
      <c r="B70" s="1106">
        <v>20.689</v>
      </c>
      <c r="C70" s="846"/>
      <c r="D70" s="393">
        <f t="shared" si="0"/>
        <v>21.336971289061267</v>
      </c>
      <c r="E70" s="385">
        <f t="shared" si="1"/>
        <v>22.775417056862882</v>
      </c>
      <c r="F70" s="385">
        <f t="shared" si="2"/>
        <v>23.025504108015859</v>
      </c>
      <c r="G70" s="110">
        <f t="shared" si="19"/>
        <v>0.82494715532774665</v>
      </c>
      <c r="H70" s="414" t="b">
        <f>Wh_hp&gt;='2021'!Maxi_hp</f>
        <v>0</v>
      </c>
      <c r="I70" s="380">
        <f>IF(H70,Wh_hp,'2021'!Maxi_hp)</f>
        <v>27.521029362463523</v>
      </c>
      <c r="J70" s="85">
        <f>IF(H70,An,'2021'!An_max)</f>
        <v>2019</v>
      </c>
      <c r="K70" s="197">
        <f t="shared" si="3"/>
        <v>44617</v>
      </c>
      <c r="L70" s="147">
        <f>IF(t&lt;Tvie,1-EXP((T0-t)*PertePVj)+'2021'!Pspv,1-EXP((T0-t)*PertePVj)+Pspv)</f>
        <v>3.0368475463687816E-2</v>
      </c>
      <c r="M70" s="850"/>
      <c r="N70" s="850"/>
      <c r="O70" s="48">
        <f>IF(t&lt;Tnet,'2021'!Resal+('2021'!Salim-'2021'!Resal)*(1-EXP(('2021'!Tnet-t)/('2021'!Tau_j))),Resal+(Salim-Resal)*(1-EXP((Tnet-t)/(Tau_j))))*Salcycl</f>
        <v>6.3157823376418426E-2</v>
      </c>
      <c r="P70" s="339">
        <f>(INDEX(Models!$BJ70:$BT70,,T70)*(1-R70)+INDEX(Models!$BJ70:$BT70,,T70+1)*R70-ERP_i)*Q70*Ramure*Pc/MaxiM</f>
        <v>1.4401896562153538E-2</v>
      </c>
      <c r="Q70" s="305">
        <f t="shared" si="4"/>
        <v>0.7</v>
      </c>
      <c r="R70" s="177">
        <f t="shared" si="5"/>
        <v>0.50354587574218546</v>
      </c>
      <c r="S70" s="817">
        <f t="shared" si="6"/>
        <v>-1</v>
      </c>
      <c r="T70" s="176">
        <f t="shared" si="7"/>
        <v>5</v>
      </c>
      <c r="U70" s="251">
        <f t="shared" si="20"/>
        <v>-0.49645412425781454</v>
      </c>
      <c r="V70" s="383">
        <f t="shared" si="8"/>
        <v>24.989412052299343</v>
      </c>
      <c r="W70" s="402">
        <f t="shared" si="9"/>
        <v>0</v>
      </c>
      <c r="X70" s="157">
        <f t="shared" si="10"/>
        <v>44617</v>
      </c>
      <c r="Y70" s="385">
        <f t="shared" si="11"/>
        <v>19.363881163157796</v>
      </c>
      <c r="Z70" s="385">
        <f t="shared" si="21"/>
        <v>19.970350254874194</v>
      </c>
      <c r="AA70" s="386">
        <f t="shared" si="12"/>
        <v>22.775417056862882</v>
      </c>
      <c r="AB70" s="197">
        <f t="shared" si="13"/>
        <v>44617</v>
      </c>
      <c r="AC70" s="119">
        <f>IF(OR(t&lt;Tnet,NoTnet),'2021'!Resal_s+('2021'!Salim-'2021'!Resal_s)*(1-EXP(('2021'!Tnet_s-t)/'2021'!Tau_j)),Resal_s+(Salim-Resal_s)*(1-EXP((Tnet_s-t)/Tau_j)))*Salcycl</f>
        <v>0.12316203892053169</v>
      </c>
      <c r="AD70" s="231">
        <f>(INDEX(Models!$BJ70:$BT70,,AH70)*(1-AF70)+INDEX(Models!$BJ70:$BT70,,AH70+1)*AF70-ERP_i)*AE70*Ramure*Pc/MaxiM</f>
        <v>1.4401896562153538E-2</v>
      </c>
      <c r="AE70" s="305">
        <f t="shared" si="14"/>
        <v>0.7</v>
      </c>
      <c r="AF70" s="177">
        <f t="shared" si="22"/>
        <v>0.50354587574218546</v>
      </c>
      <c r="AG70" s="817">
        <f t="shared" si="23"/>
        <v>-1</v>
      </c>
      <c r="AH70" s="176">
        <f t="shared" si="15"/>
        <v>5</v>
      </c>
      <c r="AI70" s="225">
        <f t="shared" si="24"/>
        <v>-0.49645412425781454</v>
      </c>
      <c r="AJ70" s="265" t="b">
        <f t="shared" si="16"/>
        <v>0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44618</v>
      </c>
      <c r="B71" s="1108">
        <f>27.296*0.95</f>
        <v>25.931199999999997</v>
      </c>
      <c r="C71" s="846"/>
      <c r="D71" s="393">
        <f t="shared" si="0"/>
        <v>26.743940678570198</v>
      </c>
      <c r="E71" s="385">
        <f t="shared" si="1"/>
        <v>28.550551664503001</v>
      </c>
      <c r="F71" s="385">
        <f t="shared" si="2"/>
        <v>28.941558485562066</v>
      </c>
      <c r="G71" s="110">
        <f t="shared" si="19"/>
        <v>1.0255808575206597</v>
      </c>
      <c r="H71" s="414" t="b">
        <f>Wh_hp&gt;='2021'!Maxi_hp</f>
        <v>1</v>
      </c>
      <c r="I71" s="380">
        <f>IF(H71,Wh_hp,'2021'!Maxi_hp)</f>
        <v>28.941558485562066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3.0389712882568864E-2</v>
      </c>
      <c r="M71" s="850"/>
      <c r="N71" s="850"/>
      <c r="O71" s="48">
        <f>IF(t&lt;Tnet,'2021'!Resal+('2021'!Salim-'2021'!Resal)*(1-EXP(('2021'!Tnet-t)/('2021'!Tau_j))),Resal+(Salim-Resal)*(1-EXP((Tnet-t)/(Tau_j))))*Salcycl</f>
        <v>6.3277620942749371E-2</v>
      </c>
      <c r="P71" s="339">
        <f>(INDEX(Models!$BJ71:$BT71,,T71)*(1-R71)+INDEX(Models!$BJ71:$BT71,,T71+1)*R71-ERP_i)*Q71*Ramure*Pc/MaxiM</f>
        <v>1.3510219957716727E-2</v>
      </c>
      <c r="Q71" s="305">
        <f t="shared" si="4"/>
        <v>0.7</v>
      </c>
      <c r="R71" s="177">
        <f t="shared" si="5"/>
        <v>0.50370987392933886</v>
      </c>
      <c r="S71" s="817">
        <f t="shared" si="6"/>
        <v>-1</v>
      </c>
      <c r="T71" s="176">
        <f t="shared" si="7"/>
        <v>5</v>
      </c>
      <c r="U71" s="251">
        <f t="shared" si="20"/>
        <v>-0.49629012607066114</v>
      </c>
      <c r="V71" s="383">
        <f t="shared" si="8"/>
        <v>25.284403282144549</v>
      </c>
      <c r="W71" s="402">
        <f t="shared" si="9"/>
        <v>0</v>
      </c>
      <c r="X71" s="157">
        <f t="shared" si="10"/>
        <v>44618</v>
      </c>
      <c r="Y71" s="385">
        <f t="shared" si="11"/>
        <v>24.272360350696509</v>
      </c>
      <c r="Z71" s="385">
        <f t="shared" si="21"/>
        <v>25.033109356601578</v>
      </c>
      <c r="AA71" s="386">
        <f t="shared" si="12"/>
        <v>28.550551664503001</v>
      </c>
      <c r="AB71" s="197">
        <f t="shared" si="13"/>
        <v>44618</v>
      </c>
      <c r="AC71" s="119">
        <f>IF(OR(t&lt;Tnet,NoTnet),'2021'!Resal_s+('2021'!Salim-'2021'!Resal_s)*(1-EXP(('2021'!Tnet_s-t)/'2021'!Tau_j)),Resal_s+(Salim-Resal_s)*(1-EXP((Tnet_s-t)/Tau_j)))*Salcycl</f>
        <v>0.12320050236628775</v>
      </c>
      <c r="AD71" s="231">
        <f>(INDEX(Models!$BJ71:$BT71,,AH71)*(1-AF71)+INDEX(Models!$BJ71:$BT71,,AH71+1)*AF71-ERP_i)*AE71*Ramure*Pc/MaxiM</f>
        <v>1.3510219957716727E-2</v>
      </c>
      <c r="AE71" s="305">
        <f t="shared" si="14"/>
        <v>0.7</v>
      </c>
      <c r="AF71" s="177">
        <f t="shared" si="22"/>
        <v>0.50370987392933886</v>
      </c>
      <c r="AG71" s="817">
        <f t="shared" si="23"/>
        <v>-1</v>
      </c>
      <c r="AH71" s="176">
        <f t="shared" si="15"/>
        <v>5</v>
      </c>
      <c r="AI71" s="225">
        <f t="shared" si="24"/>
        <v>-0.49629012607066114</v>
      </c>
      <c r="AJ71" s="265" t="b">
        <f t="shared" si="16"/>
        <v>0</v>
      </c>
      <c r="AK71" s="265" t="b">
        <f t="shared" si="17"/>
        <v>0</v>
      </c>
      <c r="AL71" s="265"/>
      <c r="AM71" s="265"/>
      <c r="AN71" s="75"/>
    </row>
    <row r="72" spans="1:40" s="6" customFormat="1" ht="11.25" x14ac:dyDescent="0.2">
      <c r="A72" s="56">
        <f t="shared" si="18"/>
        <v>44619</v>
      </c>
      <c r="B72" s="1106">
        <v>17.542000000000002</v>
      </c>
      <c r="C72" s="846"/>
      <c r="D72" s="393">
        <f t="shared" si="0"/>
        <v>18.092201017573615</v>
      </c>
      <c r="E72" s="385">
        <f t="shared" si="1"/>
        <v>19.316835058837672</v>
      </c>
      <c r="F72" s="385">
        <f t="shared" si="2"/>
        <v>19.452284220281804</v>
      </c>
      <c r="G72" s="110">
        <f t="shared" si="19"/>
        <v>0.68189360431875146</v>
      </c>
      <c r="H72" s="414" t="b">
        <f>Wh_hp&gt;='2021'!Maxi_hp</f>
        <v>0</v>
      </c>
      <c r="I72" s="380">
        <f>IF(H72,Wh_hp,'2021'!Maxi_hp)</f>
        <v>28.603433631443369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3.0410949836295886E-2</v>
      </c>
      <c r="M72" s="850"/>
      <c r="N72" s="850"/>
      <c r="O72" s="48">
        <f>IF(t&lt;Tnet,'2021'!Resal+('2021'!Salim-'2021'!Resal)*(1-EXP(('2021'!Tnet-t)/('2021'!Tau_j))),Resal+(Salim-Resal)*(1-EXP((Tnet-t)/(Tau_j))))*Salcycl</f>
        <v>6.3397240672910929E-2</v>
      </c>
      <c r="P72" s="339">
        <f>(INDEX(Models!$BJ72:$BT72,,T72)*(1-R72)+INDEX(Models!$BJ72:$BT72,,T72+1)*R72-ERP_i)*Q72*Ramure*Pc/MaxiM</f>
        <v>1.2633698515153211E-2</v>
      </c>
      <c r="Q72" s="305">
        <f t="shared" si="4"/>
        <v>0.7</v>
      </c>
      <c r="R72" s="177">
        <f t="shared" si="5"/>
        <v>0.50388055932141795</v>
      </c>
      <c r="S72" s="817">
        <f t="shared" si="6"/>
        <v>-1</v>
      </c>
      <c r="T72" s="176">
        <f t="shared" si="7"/>
        <v>5</v>
      </c>
      <c r="U72" s="251">
        <f t="shared" si="20"/>
        <v>-0.49611944067858205</v>
      </c>
      <c r="V72" s="383">
        <f t="shared" si="8"/>
        <v>25.578520778902103</v>
      </c>
      <c r="W72" s="402">
        <f t="shared" si="9"/>
        <v>0</v>
      </c>
      <c r="X72" s="157">
        <f t="shared" si="10"/>
        <v>44619</v>
      </c>
      <c r="Y72" s="385">
        <f t="shared" si="11"/>
        <v>16.421202474502163</v>
      </c>
      <c r="Z72" s="385">
        <f t="shared" si="21"/>
        <v>16.936249921272964</v>
      </c>
      <c r="AA72" s="386">
        <f t="shared" si="12"/>
        <v>19.316835058837672</v>
      </c>
      <c r="AB72" s="197">
        <f t="shared" si="13"/>
        <v>44619</v>
      </c>
      <c r="AC72" s="119">
        <f>IF(OR(t&lt;Tnet,NoTnet),'2021'!Resal_s+('2021'!Salim-'2021'!Resal_s)*(1-EXP(('2021'!Tnet_s-t)/'2021'!Tau_j)),Resal_s+(Salim-Resal_s)*(1-EXP((Tnet_s-t)/Tau_j)))*Salcycl</f>
        <v>0.12323888102339853</v>
      </c>
      <c r="AD72" s="231">
        <f>(INDEX(Models!$BJ72:$BT72,,AH72)*(1-AF72)+INDEX(Models!$BJ72:$BT72,,AH72+1)*AF72-ERP_i)*AE72*Ramure*Pc/MaxiM</f>
        <v>1.2633698515153211E-2</v>
      </c>
      <c r="AE72" s="305">
        <f t="shared" si="14"/>
        <v>0.7</v>
      </c>
      <c r="AF72" s="177">
        <f t="shared" si="22"/>
        <v>0.50388055932141795</v>
      </c>
      <c r="AG72" s="817">
        <f t="shared" si="23"/>
        <v>-1</v>
      </c>
      <c r="AH72" s="176">
        <f t="shared" si="15"/>
        <v>5</v>
      </c>
      <c r="AI72" s="225">
        <f t="shared" si="24"/>
        <v>-0.49611944067858205</v>
      </c>
      <c r="AJ72" s="265" t="b">
        <f t="shared" si="16"/>
        <v>0</v>
      </c>
      <c r="AK72" s="265" t="b">
        <f t="shared" si="17"/>
        <v>0</v>
      </c>
      <c r="AL72" s="265"/>
      <c r="AM72" s="265"/>
      <c r="AN72" s="75"/>
    </row>
    <row r="73" spans="1:40" s="6" customFormat="1" ht="11.25" x14ac:dyDescent="0.2">
      <c r="A73" s="56">
        <f t="shared" si="18"/>
        <v>44620</v>
      </c>
      <c r="B73" s="1106">
        <v>22.943999999999999</v>
      </c>
      <c r="C73" s="846"/>
      <c r="D73" s="393">
        <f t="shared" si="0"/>
        <v>23.664151879208308</v>
      </c>
      <c r="E73" s="385">
        <f t="shared" si="1"/>
        <v>25.26916554173798</v>
      </c>
      <c r="F73" s="385">
        <f t="shared" si="2"/>
        <v>25.521075885672495</v>
      </c>
      <c r="G73" s="110">
        <f t="shared" si="19"/>
        <v>0.88513276397409724</v>
      </c>
      <c r="H73" s="414" t="b">
        <f>Wh_hp&gt;='2021'!Maxi_hp</f>
        <v>1</v>
      </c>
      <c r="I73" s="380">
        <f>IF(H73,Wh_hp,'2021'!Maxi_hp)</f>
        <v>25.521075885672495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3.0432186324879207E-2</v>
      </c>
      <c r="M73" s="850"/>
      <c r="N73" s="850"/>
      <c r="O73" s="48">
        <f>IF(t&lt;Tnet,'2021'!Resal+('2021'!Salim-'2021'!Resal)*(1-EXP(('2021'!Tnet-t)/('2021'!Tau_j))),Resal+(Salim-Resal)*(1-EXP((Tnet-t)/(Tau_j))))*Salcycl</f>
        <v>6.3516686369346584E-2</v>
      </c>
      <c r="P73" s="339">
        <f>(INDEX(Models!$BJ73:$BT73,,T73)*(1-R73)+INDEX(Models!$BJ73:$BT73,,T73+1)*R73-ERP_i)*Q73*Ramure*Pc/MaxiM</f>
        <v>1.1774083933033539E-2</v>
      </c>
      <c r="Q73" s="305">
        <f t="shared" si="4"/>
        <v>0.7</v>
      </c>
      <c r="R73" s="177">
        <f t="shared" si="5"/>
        <v>0.50405819630159687</v>
      </c>
      <c r="S73" s="817">
        <f t="shared" si="6"/>
        <v>-1</v>
      </c>
      <c r="T73" s="176">
        <f t="shared" si="7"/>
        <v>5</v>
      </c>
      <c r="U73" s="251">
        <f t="shared" si="20"/>
        <v>-0.49594180369840313</v>
      </c>
      <c r="V73" s="383">
        <f t="shared" si="8"/>
        <v>25.871704041290613</v>
      </c>
      <c r="W73" s="402">
        <f t="shared" si="9"/>
        <v>0</v>
      </c>
      <c r="X73" s="157">
        <f t="shared" si="10"/>
        <v>44620</v>
      </c>
      <c r="Y73" s="385">
        <f t="shared" si="11"/>
        <v>21.479857720304082</v>
      </c>
      <c r="Z73" s="385">
        <f t="shared" si="21"/>
        <v>22.154054020095053</v>
      </c>
      <c r="AA73" s="386">
        <f t="shared" si="12"/>
        <v>25.26916554173798</v>
      </c>
      <c r="AB73" s="197">
        <f t="shared" si="13"/>
        <v>44620</v>
      </c>
      <c r="AC73" s="119">
        <f>IF(OR(t&lt;Tnet,NoTnet),'2021'!Resal_s+('2021'!Salim-'2021'!Resal_s)*(1-EXP(('2021'!Tnet_s-t)/'2021'!Tau_j)),Resal_s+(Salim-Resal_s)*(1-EXP((Tnet_s-t)/Tau_j)))*Salcycl</f>
        <v>0.12327718208571568</v>
      </c>
      <c r="AD73" s="231">
        <f>(INDEX(Models!$BJ73:$BT73,,AH73)*(1-AF73)+INDEX(Models!$BJ73:$BT73,,AH73+1)*AF73-ERP_i)*AE73*Ramure*Pc/MaxiM</f>
        <v>1.1774083933033539E-2</v>
      </c>
      <c r="AE73" s="305">
        <f t="shared" si="14"/>
        <v>0.7</v>
      </c>
      <c r="AF73" s="177">
        <f t="shared" si="22"/>
        <v>0.50405819630159687</v>
      </c>
      <c r="AG73" s="817">
        <f t="shared" si="23"/>
        <v>-1</v>
      </c>
      <c r="AH73" s="176">
        <f t="shared" si="15"/>
        <v>5</v>
      </c>
      <c r="AI73" s="225">
        <f t="shared" si="24"/>
        <v>-0.49594180369840313</v>
      </c>
      <c r="AJ73" s="265" t="b">
        <f t="shared" si="16"/>
        <v>0</v>
      </c>
      <c r="AK73" s="265" t="b">
        <f t="shared" si="17"/>
        <v>0</v>
      </c>
      <c r="AL73" s="265"/>
      <c r="AM73" s="265"/>
      <c r="AN73" s="75"/>
    </row>
    <row r="74" spans="1:40" s="6" customFormat="1" ht="11.25" x14ac:dyDescent="0.2">
      <c r="A74" s="56">
        <f t="shared" si="18"/>
        <v>44621</v>
      </c>
      <c r="B74" s="1106">
        <v>25.757999999999999</v>
      </c>
      <c r="C74" s="846"/>
      <c r="D74" s="393">
        <f t="shared" si="0"/>
        <v>26.567057832732687</v>
      </c>
      <c r="E74" s="385">
        <f t="shared" si="1"/>
        <v>28.372573898033451</v>
      </c>
      <c r="F74" s="385">
        <f t="shared" si="2"/>
        <v>28.679109175623339</v>
      </c>
      <c r="G74" s="110">
        <f t="shared" si="19"/>
        <v>0.98424312482413379</v>
      </c>
      <c r="H74" s="414" t="b">
        <f>Wh_hp&gt;='2021'!Maxi_hp</f>
        <v>1</v>
      </c>
      <c r="I74" s="380">
        <f>IF(H74,Wh_hp,'2021'!Maxi_hp)</f>
        <v>28.679109175623339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3.0453422348328929E-2</v>
      </c>
      <c r="M74" s="850"/>
      <c r="N74" s="850"/>
      <c r="O74" s="48">
        <f>IF(t&lt;Tnet,'2021'!Resal+('2021'!Salim-'2021'!Resal)*(1-EXP(('2021'!Tnet-t)/('2021'!Tau_j))),Resal+(Salim-Resal)*(1-EXP((Tnet-t)/(Tau_j))))*Salcycl</f>
        <v>6.3635963088491843E-2</v>
      </c>
      <c r="P74" s="339">
        <f>(INDEX(Models!$BJ74:$BT74,,T74)*(1-R74)+INDEX(Models!$BJ74:$BT74,,T74+1)*R74-ERP_i)*Q74*Ramure*Pc/MaxiM</f>
        <v>1.0930735881790485E-2</v>
      </c>
      <c r="Q74" s="305">
        <f t="shared" si="4"/>
        <v>0.7</v>
      </c>
      <c r="R74" s="177">
        <f t="shared" si="5"/>
        <v>0.50424305900674837</v>
      </c>
      <c r="S74" s="817">
        <f t="shared" si="6"/>
        <v>-1</v>
      </c>
      <c r="T74" s="176">
        <f t="shared" si="7"/>
        <v>5</v>
      </c>
      <c r="U74" s="251">
        <f t="shared" si="20"/>
        <v>-0.49575694099325168</v>
      </c>
      <c r="V74" s="383">
        <f t="shared" si="8"/>
        <v>26.163953980299858</v>
      </c>
      <c r="W74" s="402">
        <f t="shared" si="9"/>
        <v>0</v>
      </c>
      <c r="X74" s="157">
        <f t="shared" si="10"/>
        <v>44621</v>
      </c>
      <c r="Y74" s="385">
        <f t="shared" si="11"/>
        <v>24.116305888364341</v>
      </c>
      <c r="Z74" s="385">
        <f t="shared" si="21"/>
        <v>24.87379816942493</v>
      </c>
      <c r="AA74" s="386">
        <f t="shared" si="12"/>
        <v>28.372573898033451</v>
      </c>
      <c r="AB74" s="197">
        <f t="shared" si="13"/>
        <v>44621</v>
      </c>
      <c r="AC74" s="119">
        <f>IF(OR(t&lt;Tnet,NoTnet),'2021'!Resal_s+('2021'!Salim-'2021'!Resal_s)*(1-EXP(('2021'!Tnet_s-t)/'2021'!Tau_j)),Resal_s+(Salim-Resal_s)*(1-EXP((Tnet_s-t)/Tau_j)))*Salcycl</f>
        <v>0.12331541513232352</v>
      </c>
      <c r="AD74" s="231">
        <f>(INDEX(Models!$BJ74:$BT74,,AH74)*(1-AF74)+INDEX(Models!$BJ74:$BT74,,AH74+1)*AF74-ERP_i)*AE74*Ramure*Pc/MaxiM</f>
        <v>1.0930735881790485E-2</v>
      </c>
      <c r="AE74" s="305">
        <f t="shared" si="14"/>
        <v>0.7</v>
      </c>
      <c r="AF74" s="177">
        <f t="shared" si="22"/>
        <v>0.50424305900674837</v>
      </c>
      <c r="AG74" s="817">
        <f t="shared" si="23"/>
        <v>-1</v>
      </c>
      <c r="AH74" s="176">
        <f t="shared" si="15"/>
        <v>5</v>
      </c>
      <c r="AI74" s="225">
        <f t="shared" si="24"/>
        <v>-0.49575694099325168</v>
      </c>
      <c r="AJ74" s="265" t="b">
        <f t="shared" si="16"/>
        <v>0</v>
      </c>
      <c r="AK74" s="265" t="b">
        <f t="shared" si="17"/>
        <v>0</v>
      </c>
      <c r="AL74" s="265"/>
      <c r="AM74" s="265"/>
      <c r="AN74" s="75"/>
    </row>
    <row r="75" spans="1:40" s="6" customFormat="1" ht="11.25" x14ac:dyDescent="0.2">
      <c r="A75" s="56">
        <f t="shared" si="18"/>
        <v>44622</v>
      </c>
      <c r="B75" s="1106">
        <v>9.4770000000000003</v>
      </c>
      <c r="C75" s="846"/>
      <c r="D75" s="393">
        <f t="shared" si="0"/>
        <v>9.7748863165740385</v>
      </c>
      <c r="E75" s="385">
        <f t="shared" si="1"/>
        <v>10.440522643428098</v>
      </c>
      <c r="F75" s="385">
        <f t="shared" si="2"/>
        <v>10.449304130693555</v>
      </c>
      <c r="G75" s="110">
        <f t="shared" si="19"/>
        <v>0.35490635600124198</v>
      </c>
      <c r="H75" s="414" t="b">
        <f>Wh_hp&gt;='2021'!Maxi_hp</f>
        <v>0</v>
      </c>
      <c r="I75" s="380">
        <f>IF(H75,Wh_hp,'2021'!Maxi_hp)</f>
        <v>19.932639932535867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3.0474657906655156E-2</v>
      </c>
      <c r="M75" s="850"/>
      <c r="N75" s="850"/>
      <c r="O75" s="48">
        <f>IF(t&lt;Tnet,'2021'!Resal+('2021'!Salim-'2021'!Resal)*(1-EXP(('2021'!Tnet-t)/('2021'!Tau_j))),Resal+(Salim-Resal)*(1-EXP((Tnet-t)/(Tau_j))))*Salcycl</f>
        <v>6.375507717260237E-2</v>
      </c>
      <c r="P75" s="339">
        <f>(INDEX(Models!$BJ75:$BT75,,T75)*(1-R75)+INDEX(Models!$BJ75:$BT75,,T75+1)*R75-ERP_i)*Q75*Ramure*Pc/MaxiM</f>
        <v>1.0103043585244406E-2</v>
      </c>
      <c r="Q75" s="305">
        <f t="shared" si="4"/>
        <v>0.7</v>
      </c>
      <c r="R75" s="177">
        <f t="shared" si="5"/>
        <v>0.50443543162796989</v>
      </c>
      <c r="S75" s="817">
        <f t="shared" si="6"/>
        <v>-1</v>
      </c>
      <c r="T75" s="176">
        <f t="shared" si="7"/>
        <v>5</v>
      </c>
      <c r="U75" s="251">
        <f t="shared" si="20"/>
        <v>-0.49556456837203011</v>
      </c>
      <c r="V75" s="383">
        <f t="shared" si="8"/>
        <v>26.455271473209653</v>
      </c>
      <c r="W75" s="402">
        <f t="shared" si="9"/>
        <v>0</v>
      </c>
      <c r="X75" s="157">
        <f t="shared" si="10"/>
        <v>44622</v>
      </c>
      <c r="Y75" s="385">
        <f t="shared" si="11"/>
        <v>8.8737228949752947</v>
      </c>
      <c r="Z75" s="385">
        <f t="shared" si="21"/>
        <v>9.1526466712212482</v>
      </c>
      <c r="AA75" s="386">
        <f t="shared" si="12"/>
        <v>10.440522643428098</v>
      </c>
      <c r="AB75" s="197">
        <f t="shared" si="13"/>
        <v>44622</v>
      </c>
      <c r="AC75" s="119">
        <f>IF(OR(t&lt;Tnet,NoTnet),'2021'!Resal_s+('2021'!Salim-'2021'!Resal_s)*(1-EXP(('2021'!Tnet_s-t)/'2021'!Tau_j)),Resal_s+(Salim-Resal_s)*(1-EXP((Tnet_s-t)/Tau_j)))*Salcycl</f>
        <v>0.12335359217074424</v>
      </c>
      <c r="AD75" s="231">
        <f>(INDEX(Models!$BJ75:$BT75,,AH75)*(1-AF75)+INDEX(Models!$BJ75:$BT75,,AH75+1)*AF75-ERP_i)*AE75*Ramure*Pc/MaxiM</f>
        <v>1.0103043585244406E-2</v>
      </c>
      <c r="AE75" s="305">
        <f t="shared" si="14"/>
        <v>0.7</v>
      </c>
      <c r="AF75" s="177">
        <f t="shared" si="22"/>
        <v>0.50443543162796989</v>
      </c>
      <c r="AG75" s="817">
        <f t="shared" si="23"/>
        <v>-1</v>
      </c>
      <c r="AH75" s="176">
        <f t="shared" si="15"/>
        <v>5</v>
      </c>
      <c r="AI75" s="225">
        <f t="shared" si="24"/>
        <v>-0.49556456837203011</v>
      </c>
      <c r="AJ75" s="265" t="b">
        <f t="shared" si="16"/>
        <v>0</v>
      </c>
      <c r="AK75" s="265" t="b">
        <f t="shared" si="17"/>
        <v>0</v>
      </c>
      <c r="AL75" s="265"/>
      <c r="AM75" s="265"/>
      <c r="AN75" s="75"/>
    </row>
    <row r="76" spans="1:40" s="6" customFormat="1" ht="11.25" x14ac:dyDescent="0.2">
      <c r="A76" s="56">
        <f t="shared" si="18"/>
        <v>44623</v>
      </c>
      <c r="B76" s="1106">
        <v>24.321000000000002</v>
      </c>
      <c r="C76" s="846"/>
      <c r="D76" s="393">
        <f t="shared" si="0"/>
        <v>25.086020600010407</v>
      </c>
      <c r="E76" s="385">
        <f t="shared" si="1"/>
        <v>26.797697715950818</v>
      </c>
      <c r="F76" s="385">
        <f t="shared" si="2"/>
        <v>27.01618388081711</v>
      </c>
      <c r="G76" s="110">
        <f t="shared" si="19"/>
        <v>0.90824085082401596</v>
      </c>
      <c r="H76" s="414" t="b">
        <f>Wh_hp&gt;='2021'!Maxi_hp</f>
        <v>1</v>
      </c>
      <c r="I76" s="380">
        <f>IF(H76,Wh_hp,'2021'!Maxi_hp)</f>
        <v>27.01618388081711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3.0495892999868213E-2</v>
      </c>
      <c r="M76" s="850"/>
      <c r="N76" s="850"/>
      <c r="O76" s="48">
        <f>IF(t&lt;Tnet,'2021'!Resal+('2021'!Salim-'2021'!Resal)*(1-EXP(('2021'!Tnet-t)/('2021'!Tau_j))),Resal+(Salim-Resal)*(1-EXP((Tnet-t)/(Tau_j))))*Salcycl</f>
        <v>6.3874036272958234E-2</v>
      </c>
      <c r="P76" s="339">
        <f>(INDEX(Models!$BJ76:$BT76,,T76)*(1-R76)+INDEX(Models!$BJ76:$BT76,,T76+1)*R76-ERP_i)*Q76*Ramure*Pc/MaxiM</f>
        <v>9.2904236849229976E-3</v>
      </c>
      <c r="Q76" s="305">
        <f t="shared" si="4"/>
        <v>0.7</v>
      </c>
      <c r="R76" s="177">
        <f t="shared" si="5"/>
        <v>0.50463560871515845</v>
      </c>
      <c r="S76" s="817">
        <f t="shared" si="6"/>
        <v>-1</v>
      </c>
      <c r="T76" s="176">
        <f t="shared" si="7"/>
        <v>5</v>
      </c>
      <c r="U76" s="251">
        <f t="shared" si="20"/>
        <v>-0.49536439128484155</v>
      </c>
      <c r="V76" s="383">
        <f t="shared" si="8"/>
        <v>26.745657371197517</v>
      </c>
      <c r="W76" s="402">
        <f t="shared" si="9"/>
        <v>0</v>
      </c>
      <c r="X76" s="157">
        <f t="shared" si="10"/>
        <v>44623</v>
      </c>
      <c r="Y76" s="385">
        <f t="shared" si="11"/>
        <v>22.774701928596599</v>
      </c>
      <c r="Z76" s="385">
        <f t="shared" si="21"/>
        <v>23.491083497383784</v>
      </c>
      <c r="AA76" s="386">
        <f t="shared" si="12"/>
        <v>26.797697715950818</v>
      </c>
      <c r="AB76" s="197">
        <f t="shared" si="13"/>
        <v>44623</v>
      </c>
      <c r="AC76" s="119">
        <f>IF(OR(t&lt;Tnet,NoTnet),'2021'!Resal_s+('2021'!Salim-'2021'!Resal_s)*(1-EXP(('2021'!Tnet_s-t)/'2021'!Tau_j)),Resal_s+(Salim-Resal_s)*(1-EXP((Tnet_s-t)/Tau_j)))*Salcycl</f>
        <v>0.12339172766318782</v>
      </c>
      <c r="AD76" s="231">
        <f>(INDEX(Models!$BJ76:$BT76,,AH76)*(1-AF76)+INDEX(Models!$BJ76:$BT76,,AH76+1)*AF76-ERP_i)*AE76*Ramure*Pc/MaxiM</f>
        <v>9.2904236849229976E-3</v>
      </c>
      <c r="AE76" s="305">
        <f t="shared" si="14"/>
        <v>0.7</v>
      </c>
      <c r="AF76" s="177">
        <f t="shared" si="22"/>
        <v>0.50463560871515845</v>
      </c>
      <c r="AG76" s="817">
        <f t="shared" si="23"/>
        <v>-1</v>
      </c>
      <c r="AH76" s="176">
        <f t="shared" si="15"/>
        <v>5</v>
      </c>
      <c r="AI76" s="225">
        <f t="shared" si="24"/>
        <v>-0.49536439128484155</v>
      </c>
      <c r="AJ76" s="265" t="b">
        <f t="shared" si="16"/>
        <v>0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44624</v>
      </c>
      <c r="B77" s="1106">
        <v>3.714</v>
      </c>
      <c r="C77" s="846"/>
      <c r="D77" s="393">
        <f t="shared" si="0"/>
        <v>3.8309083180737398</v>
      </c>
      <c r="E77" s="385">
        <f t="shared" si="1"/>
        <v>4.0928194998000684</v>
      </c>
      <c r="F77" s="385">
        <f t="shared" si="2"/>
        <v>4.0928194998000684</v>
      </c>
      <c r="G77" s="110">
        <f t="shared" si="19"/>
        <v>0.13621025357590591</v>
      </c>
      <c r="H77" s="414" t="b">
        <f>Wh_hp&gt;='2021'!Maxi_hp</f>
        <v>0</v>
      </c>
      <c r="I77" s="380">
        <f>IF(H77,Wh_hp,'2021'!Maxi_hp)</f>
        <v>21.87797527558812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3.0517127627978202E-2</v>
      </c>
      <c r="M77" s="850"/>
      <c r="N77" s="850"/>
      <c r="O77" s="48">
        <f>IF(t&lt;Tnet,'2021'!Resal+('2021'!Salim-'2021'!Resal)*(1-EXP(('2021'!Tnet-t)/('2021'!Tau_j))),Resal+(Salim-Resal)*(1-EXP((Tnet-t)/(Tau_j))))*Salcycl</f>
        <v>6.3992849364386303E-2</v>
      </c>
      <c r="P77" s="339">
        <f>(INDEX(Models!$BJ77:$BT77,,T77)*(1-R77)+INDEX(Models!$BJ77:$BT77,,T77+1)*R77-ERP_i)*Q77*Ramure*Pc/MaxiM</f>
        <v>8.4923182312951068E-3</v>
      </c>
      <c r="Q77" s="305">
        <f t="shared" si="4"/>
        <v>0.7</v>
      </c>
      <c r="R77" s="177">
        <f t="shared" si="5"/>
        <v>0.50484389548516329</v>
      </c>
      <c r="S77" s="817">
        <f t="shared" si="6"/>
        <v>-1</v>
      </c>
      <c r="T77" s="176">
        <f t="shared" si="7"/>
        <v>5</v>
      </c>
      <c r="U77" s="251">
        <f t="shared" si="20"/>
        <v>-0.49515610451483666</v>
      </c>
      <c r="V77" s="383">
        <f t="shared" si="8"/>
        <v>27.035112507421079</v>
      </c>
      <c r="W77" s="402">
        <f t="shared" si="9"/>
        <v>0</v>
      </c>
      <c r="X77" s="157">
        <f t="shared" si="10"/>
        <v>44624</v>
      </c>
      <c r="Y77" s="385">
        <f t="shared" si="11"/>
        <v>3.4781588767423619</v>
      </c>
      <c r="Z77" s="385">
        <f t="shared" si="21"/>
        <v>3.587643449783072</v>
      </c>
      <c r="AA77" s="386">
        <f t="shared" si="12"/>
        <v>4.0928194998000684</v>
      </c>
      <c r="AB77" s="197">
        <f t="shared" si="13"/>
        <v>44624</v>
      </c>
      <c r="AC77" s="119">
        <f>IF(OR(t&lt;Tnet,NoTnet),'2021'!Resal_s+('2021'!Salim-'2021'!Resal_s)*(1-EXP(('2021'!Tnet_s-t)/'2021'!Tau_j)),Resal_s+(Salim-Resal_s)*(1-EXP((Tnet_s-t)/Tau_j)))*Salcycl</f>
        <v>0.12342983853592225</v>
      </c>
      <c r="AD77" s="231">
        <f>(INDEX(Models!$BJ77:$BT77,,AH77)*(1-AF77)+INDEX(Models!$BJ77:$BT77,,AH77+1)*AF77-ERP_i)*AE77*Ramure*Pc/MaxiM</f>
        <v>8.4923182312951068E-3</v>
      </c>
      <c r="AE77" s="305">
        <f t="shared" si="14"/>
        <v>0.7</v>
      </c>
      <c r="AF77" s="177">
        <f t="shared" si="22"/>
        <v>0.50484389548516329</v>
      </c>
      <c r="AG77" s="817">
        <f t="shared" si="23"/>
        <v>-1</v>
      </c>
      <c r="AH77" s="176">
        <f t="shared" si="15"/>
        <v>5</v>
      </c>
      <c r="AI77" s="225">
        <f t="shared" si="24"/>
        <v>-0.49515610451483666</v>
      </c>
      <c r="AJ77" s="265" t="b">
        <f t="shared" si="16"/>
        <v>0</v>
      </c>
      <c r="AK77" s="265" t="b">
        <f t="shared" si="17"/>
        <v>0</v>
      </c>
      <c r="AL77" s="265"/>
      <c r="AM77" s="265"/>
      <c r="AN77" s="75"/>
    </row>
    <row r="78" spans="1:40" s="6" customFormat="1" ht="11.25" x14ac:dyDescent="0.2">
      <c r="A78" s="56">
        <f t="shared" si="18"/>
        <v>44625</v>
      </c>
      <c r="B78" s="1106">
        <v>9.5229999999999997</v>
      </c>
      <c r="C78" s="846"/>
      <c r="D78" s="393">
        <f t="shared" si="0"/>
        <v>9.8229776451937862</v>
      </c>
      <c r="E78" s="385">
        <f t="shared" si="1"/>
        <v>10.495884847362225</v>
      </c>
      <c r="F78" s="385">
        <f t="shared" si="2"/>
        <v>10.501496371209068</v>
      </c>
      <c r="G78" s="110">
        <f t="shared" si="19"/>
        <v>0.34602446114421515</v>
      </c>
      <c r="H78" s="414" t="b">
        <f>Wh_hp&gt;='2021'!Maxi_hp</f>
        <v>0</v>
      </c>
      <c r="I78" s="380">
        <f>IF(H78,Wh_hp,'2021'!Maxi_hp)</f>
        <v>29.771929629009751</v>
      </c>
      <c r="J78" s="85">
        <f>IF(H78,An,'2021'!An_max)</f>
        <v>2019</v>
      </c>
      <c r="K78" s="197">
        <f t="shared" si="3"/>
        <v>44625</v>
      </c>
      <c r="L78" s="147">
        <f>IF(t&lt;Tvie,1-EXP((T0-t)*PertePVj)+'2021'!Pspv,1-EXP((T0-t)*PertePVj)+Pspv)</f>
        <v>3.0538361790995339E-2</v>
      </c>
      <c r="M78" s="850"/>
      <c r="N78" s="850"/>
      <c r="O78" s="48">
        <f>IF(t&lt;Tnet,'2021'!Resal+('2021'!Salim-'2021'!Resal)*(1-EXP(('2021'!Tnet-t)/('2021'!Tau_j))),Resal+(Salim-Resal)*(1-EXP((Tnet-t)/(Tau_j))))*Salcycl</f>
        <v>6.411152675112966E-2</v>
      </c>
      <c r="P78" s="339">
        <f>(INDEX(Models!$BJ78:$BT78,,T78)*(1-R78)+INDEX(Models!$BJ78:$BT78,,T78+1)*R78-ERP_i)*Q78*Ramure*Pc/MaxiM</f>
        <v>7.7081927936463509E-3</v>
      </c>
      <c r="Q78" s="305">
        <f t="shared" si="4"/>
        <v>0.7</v>
      </c>
      <c r="R78" s="177">
        <f t="shared" si="5"/>
        <v>0.50506060813298392</v>
      </c>
      <c r="S78" s="817">
        <f t="shared" si="6"/>
        <v>-1</v>
      </c>
      <c r="T78" s="176">
        <f t="shared" si="7"/>
        <v>5</v>
      </c>
      <c r="U78" s="251">
        <f t="shared" si="20"/>
        <v>-0.49493939186701608</v>
      </c>
      <c r="V78" s="383">
        <f t="shared" si="8"/>
        <v>27.323637709729347</v>
      </c>
      <c r="W78" s="402">
        <f t="shared" si="9"/>
        <v>0</v>
      </c>
      <c r="X78" s="157">
        <f t="shared" si="10"/>
        <v>44625</v>
      </c>
      <c r="Y78" s="385">
        <f t="shared" si="11"/>
        <v>8.9190272198494487</v>
      </c>
      <c r="Z78" s="385">
        <f t="shared" si="21"/>
        <v>9.1999795229923382</v>
      </c>
      <c r="AA78" s="386">
        <f t="shared" si="12"/>
        <v>10.495884847362225</v>
      </c>
      <c r="AB78" s="197">
        <f t="shared" si="13"/>
        <v>44625</v>
      </c>
      <c r="AC78" s="119">
        <f>IF(OR(t&lt;Tnet,NoTnet),'2021'!Resal_s+('2021'!Salim-'2021'!Resal_s)*(1-EXP(('2021'!Tnet_s-t)/'2021'!Tau_j)),Resal_s+(Salim-Resal_s)*(1-EXP((Tnet_s-t)/Tau_j)))*Salcycl</f>
        <v>0.1234679441720026</v>
      </c>
      <c r="AD78" s="231">
        <f>(INDEX(Models!$BJ78:$BT78,,AH78)*(1-AF78)+INDEX(Models!$BJ78:$BT78,,AH78+1)*AF78-ERP_i)*AE78*Ramure*Pc/MaxiM</f>
        <v>7.7081927936463509E-3</v>
      </c>
      <c r="AE78" s="305">
        <f t="shared" si="14"/>
        <v>0.7</v>
      </c>
      <c r="AF78" s="177">
        <f t="shared" si="22"/>
        <v>0.50506060813298392</v>
      </c>
      <c r="AG78" s="817">
        <f t="shared" si="23"/>
        <v>-1</v>
      </c>
      <c r="AH78" s="176">
        <f t="shared" si="15"/>
        <v>5</v>
      </c>
      <c r="AI78" s="225">
        <f t="shared" si="24"/>
        <v>-0.49493939186701608</v>
      </c>
      <c r="AJ78" s="265" t="b">
        <f t="shared" si="16"/>
        <v>0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44626</v>
      </c>
      <c r="B79" s="1106">
        <v>12.955</v>
      </c>
      <c r="C79" s="846"/>
      <c r="D79" s="393">
        <f t="shared" ref="D79:D142" si="25">Wh/(1-Ppv)</f>
        <v>13.363379470998792</v>
      </c>
      <c r="E79" s="385">
        <f t="shared" si="1"/>
        <v>14.280625168968134</v>
      </c>
      <c r="F79" s="385">
        <f t="shared" ref="F79:F142" si="26">Wh_sa/(1-Pvg*MEDIAN((-Sdif+Wh/Env_an)/Csdif,0,1))</f>
        <v>14.304608852024277</v>
      </c>
      <c r="G79" s="110">
        <f t="shared" si="19"/>
        <v>0.4667064399547704</v>
      </c>
      <c r="H79" s="414" t="b">
        <f>Wh_hp&gt;='2021'!Maxi_hp</f>
        <v>0</v>
      </c>
      <c r="I79" s="380">
        <f>IF(H79,Wh_hp,'2021'!Maxi_hp)</f>
        <v>15.983360810169867</v>
      </c>
      <c r="J79" s="85">
        <f>IF(H79,An,'2021'!An_max)</f>
        <v>2019</v>
      </c>
      <c r="K79" s="197">
        <f t="shared" ref="K79:K142" si="27">t</f>
        <v>44626</v>
      </c>
      <c r="L79" s="147">
        <f>IF(t&lt;Tvie,1-EXP((T0-t)*PertePVj)+'2021'!Pspv,1-EXP((T0-t)*PertePVj)+Pspv)</f>
        <v>3.0559595488929836E-2</v>
      </c>
      <c r="M79" s="850"/>
      <c r="N79" s="850"/>
      <c r="O79" s="48">
        <f>IF(t&lt;Tnet,'2021'!Resal+('2021'!Salim-'2021'!Resal)*(1-EXP(('2021'!Tnet-t)/('2021'!Tau_j))),Resal+(Salim-Resal)*(1-EXP((Tnet-t)/(Tau_j))))*Salcycl</f>
        <v>6.4230080064178199E-2</v>
      </c>
      <c r="P79" s="339">
        <f>(INDEX(Models!$BJ79:$BT79,,T79)*(1-R79)+INDEX(Models!$BJ79:$BT79,,T79+1)*R79-ERP_i)*Q79*Ramure*Pc/MaxiM</f>
        <v>6.9373247213399226E-3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0.50528607414541082</v>
      </c>
      <c r="S79" s="817">
        <f t="shared" ref="S79:S142" si="30">INDEX(Echel_vg,T79)</f>
        <v>-1</v>
      </c>
      <c r="T79" s="176">
        <f t="shared" ref="T79:T142" si="31">MIN(MATCH(Hp_vg,Echel_vg),10)</f>
        <v>5</v>
      </c>
      <c r="U79" s="251">
        <f t="shared" ref="U79:U142" si="32">IF(OR(t&lt;Ttai,Notai),Hdd+PousH*Croivg,Hdtf+PousH*(Croivg-Croi_tai))</f>
        <v>-0.49471392585458912</v>
      </c>
      <c r="V79" s="383">
        <f t="shared" ref="V79:V142" si="33">MaxiM*(1-Ppv)*(1-Pvg)*(1-Psa)</f>
        <v>27.612075323912578</v>
      </c>
      <c r="W79" s="402">
        <f t="shared" ref="W79:W142" si="34">Wh*(A79&gt;Tmaj)</f>
        <v>0</v>
      </c>
      <c r="X79" s="157">
        <f t="shared" ref="X79:X142" si="35">t</f>
        <v>44626</v>
      </c>
      <c r="Y79" s="385">
        <f t="shared" ref="Y79:Y142" si="36">Wh_pvt_s*(1-Ppv)</f>
        <v>12.134370498600092</v>
      </c>
      <c r="Z79" s="385">
        <f t="shared" ref="Z79:Z142" si="37">Wh_sa_s*(1-Psa_s)</f>
        <v>12.516881328790879</v>
      </c>
      <c r="AA79" s="386">
        <f t="shared" ref="AA79:AA142" si="38">Wh_hp*(1-Pvg_s*MEDIAN((-Sdif+Wh/Env_an)/Csdif,0,1))</f>
        <v>14.280625168968134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0.1235060663877573</v>
      </c>
      <c r="AD79" s="231">
        <f>(INDEX(Models!$BJ79:$BT79,,AH79)*(1-AF79)+INDEX(Models!$BJ79:$BT79,,AH79+1)*AF79-ERP_i)*AE79*Ramure*Pc/MaxiM</f>
        <v>6.9373247213399226E-3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0.50528607414541082</v>
      </c>
      <c r="AG79" s="817">
        <f t="shared" si="23"/>
        <v>-1</v>
      </c>
      <c r="AH79" s="176">
        <f t="shared" ref="AH79:AH142" si="42">MIN(MATCH(Hp_vg_s,Echel_vg),10)</f>
        <v>5</v>
      </c>
      <c r="AI79" s="225">
        <f t="shared" ref="AI79:AI142" si="43">IF(OR(t&lt;Ttai,Notai),Hdd_s+PousH*Croivg,Hdtai_s+PousH*(Croivg-Croi_tai))</f>
        <v>-0.49471392585458912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44627</v>
      </c>
      <c r="B80" s="1106">
        <v>24.559000000000001</v>
      </c>
      <c r="C80" s="846"/>
      <c r="D80" s="393">
        <f t="shared" si="25"/>
        <v>25.333726346280347</v>
      </c>
      <c r="E80" s="385">
        <f t="shared" ref="E80:E143" si="47">Wh_pvt/(1-Psa)</f>
        <v>27.076028787138011</v>
      </c>
      <c r="F80" s="385">
        <f t="shared" si="26"/>
        <v>27.215983452666894</v>
      </c>
      <c r="G80" s="110">
        <f t="shared" ref="G80:G143" si="48">+Wh_hp/MaxiM</f>
        <v>0.87930175863522686</v>
      </c>
      <c r="H80" s="414" t="b">
        <f>Wh_hp&gt;='2021'!Maxi_hp</f>
        <v>0</v>
      </c>
      <c r="I80" s="380">
        <f>IF(H80,Wh_hp,'2021'!Maxi_hp)</f>
        <v>29.519413340694289</v>
      </c>
      <c r="J80" s="85">
        <f>IF(H80,An,'2021'!An_max)</f>
        <v>2019</v>
      </c>
      <c r="K80" s="197">
        <f t="shared" si="27"/>
        <v>44627</v>
      </c>
      <c r="L80" s="147">
        <f>IF(t&lt;Tvie,1-EXP((T0-t)*PertePVj)+'2021'!Pspv,1-EXP((T0-t)*PertePVj)+Pspv)</f>
        <v>3.0580828721791908E-2</v>
      </c>
      <c r="M80" s="850"/>
      <c r="N80" s="850"/>
      <c r="O80" s="48">
        <f>IF(t&lt;Tnet,'2021'!Resal+('2021'!Salim-'2021'!Resal)*(1-EXP(('2021'!Tnet-t)/('2021'!Tau_j))),Resal+(Salim-Resal)*(1-EXP((Tnet-t)/(Tau_j))))*Salcycl</f>
        <v>6.4348522250253892E-2</v>
      </c>
      <c r="P80" s="339">
        <f>(INDEX(Models!$BJ80:$BT80,,T80)*(1-R80)+INDEX(Models!$BJ80:$BT80,,T80+1)*R80-ERP_i)*Q80*Ramure*Pc/MaxiM</f>
        <v>6.2037329334784213E-3</v>
      </c>
      <c r="Q80" s="305">
        <f t="shared" si="28"/>
        <v>0.7</v>
      </c>
      <c r="R80" s="177">
        <f t="shared" si="29"/>
        <v>0.50552063261643498</v>
      </c>
      <c r="S80" s="817">
        <f t="shared" si="30"/>
        <v>-1</v>
      </c>
      <c r="T80" s="176">
        <f t="shared" si="31"/>
        <v>5</v>
      </c>
      <c r="U80" s="251">
        <f t="shared" si="32"/>
        <v>-0.49447936738356502</v>
      </c>
      <c r="V80" s="383">
        <f t="shared" si="33"/>
        <v>27.900318657097962</v>
      </c>
      <c r="W80" s="402">
        <f t="shared" si="34"/>
        <v>0</v>
      </c>
      <c r="X80" s="157">
        <f t="shared" si="35"/>
        <v>44627</v>
      </c>
      <c r="Y80" s="385">
        <f t="shared" si="36"/>
        <v>23.005229812804611</v>
      </c>
      <c r="Z80" s="385">
        <f t="shared" si="37"/>
        <v>23.730941675592746</v>
      </c>
      <c r="AA80" s="386">
        <f t="shared" si="38"/>
        <v>27.076028787138011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0.12354422939357673</v>
      </c>
      <c r="AD80" s="231">
        <f>(INDEX(Models!$BJ80:$BT80,,AH80)*(1-AF80)+INDEX(Models!$BJ80:$BT80,,AH80+1)*AF80-ERP_i)*AE80*Ramure*Pc/MaxiM</f>
        <v>6.2037329334784213E-3</v>
      </c>
      <c r="AE80" s="305">
        <f t="shared" si="40"/>
        <v>0.7</v>
      </c>
      <c r="AF80" s="177">
        <f t="shared" si="41"/>
        <v>0.50552063261643498</v>
      </c>
      <c r="AG80" s="817">
        <f t="shared" ref="AG80:AG143" si="49">INDEX(Echel_vg,AH80)</f>
        <v>-1</v>
      </c>
      <c r="AH80" s="176">
        <f t="shared" si="42"/>
        <v>5</v>
      </c>
      <c r="AI80" s="225">
        <f t="shared" si="43"/>
        <v>-0.49447936738356502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44628</v>
      </c>
      <c r="B81" s="1106">
        <v>20.388999999999999</v>
      </c>
      <c r="C81" s="846"/>
      <c r="D81" s="393">
        <f t="shared" si="25"/>
        <v>21.032642210205282</v>
      </c>
      <c r="E81" s="385">
        <f t="shared" si="47"/>
        <v>22.481985384296955</v>
      </c>
      <c r="F81" s="385">
        <f t="shared" si="26"/>
        <v>22.557219179099164</v>
      </c>
      <c r="G81" s="110">
        <f t="shared" si="48"/>
        <v>0.72174677430331224</v>
      </c>
      <c r="H81" s="414" t="b">
        <f>Wh_hp&gt;='2021'!Maxi_hp</f>
        <v>1</v>
      </c>
      <c r="I81" s="380">
        <f>IF(H81,Wh_hp,'2021'!Maxi_hp)</f>
        <v>22.557219179099164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3.0602061489591548E-2</v>
      </c>
      <c r="M81" s="850"/>
      <c r="N81" s="850"/>
      <c r="O81" s="48">
        <f>IF(t&lt;Tnet,'2021'!Resal+('2021'!Salim-'2021'!Resal)*(1-EXP(('2021'!Tnet-t)/('2021'!Tau_j))),Resal+(Salim-Resal)*(1-EXP((Tnet-t)/(Tau_j))))*Salcycl</f>
        <v>6.4466867552720658E-2</v>
      </c>
      <c r="P81" s="339">
        <f>(INDEX(Models!$BJ81:$BT81,,T81)*(1-R81)+INDEX(Models!$BJ81:$BT81,,T81+1)*R81-ERP_i)*Q81*Ramure*Pc/MaxiM</f>
        <v>5.5150275057545984E-3</v>
      </c>
      <c r="Q81" s="305">
        <f t="shared" si="28"/>
        <v>0.7</v>
      </c>
      <c r="R81" s="177">
        <f t="shared" si="29"/>
        <v>0.50576463456367093</v>
      </c>
      <c r="S81" s="817">
        <f t="shared" si="30"/>
        <v>-1</v>
      </c>
      <c r="T81" s="176">
        <f t="shared" si="31"/>
        <v>5</v>
      </c>
      <c r="U81" s="251">
        <f t="shared" si="32"/>
        <v>-0.49423536543632907</v>
      </c>
      <c r="V81" s="383">
        <f t="shared" si="33"/>
        <v>28.187736142843946</v>
      </c>
      <c r="W81" s="402">
        <f t="shared" si="34"/>
        <v>0</v>
      </c>
      <c r="X81" s="157">
        <f t="shared" si="35"/>
        <v>44628</v>
      </c>
      <c r="Y81" s="385">
        <f t="shared" si="36"/>
        <v>19.100635358175872</v>
      </c>
      <c r="Z81" s="385">
        <f t="shared" si="37"/>
        <v>19.703606330673857</v>
      </c>
      <c r="AA81" s="386">
        <f t="shared" si="38"/>
        <v>22.481985384296955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0.12358245973968644</v>
      </c>
      <c r="AD81" s="231">
        <f>(INDEX(Models!$BJ81:$BT81,,AH81)*(1-AF81)+INDEX(Models!$BJ81:$BT81,,AH81+1)*AF81-ERP_i)*AE81*Ramure*Pc/MaxiM</f>
        <v>5.5150275057545984E-3</v>
      </c>
      <c r="AE81" s="305">
        <f t="shared" si="40"/>
        <v>0.7</v>
      </c>
      <c r="AF81" s="177">
        <f t="shared" si="41"/>
        <v>0.50576463456367093</v>
      </c>
      <c r="AG81" s="817">
        <f t="shared" si="49"/>
        <v>-1</v>
      </c>
      <c r="AH81" s="176">
        <f t="shared" si="42"/>
        <v>5</v>
      </c>
      <c r="AI81" s="225">
        <f t="shared" si="43"/>
        <v>-0.49423536543632907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44629</v>
      </c>
      <c r="B82" s="1106">
        <v>22.914999999999999</v>
      </c>
      <c r="C82" s="846"/>
      <c r="D82" s="393">
        <f t="shared" si="25"/>
        <v>23.638901010574855</v>
      </c>
      <c r="E82" s="385">
        <f t="shared" si="47"/>
        <v>25.271034068654732</v>
      </c>
      <c r="F82" s="385">
        <f t="shared" si="26"/>
        <v>25.360092737422072</v>
      </c>
      <c r="G82" s="110">
        <f t="shared" si="48"/>
        <v>0.80367405526948943</v>
      </c>
      <c r="H82" s="414" t="b">
        <f>Wh_hp&gt;='2021'!Maxi_hp</f>
        <v>0</v>
      </c>
      <c r="I82" s="380">
        <f>IF(H82,Wh_hp,'2021'!Maxi_hp)</f>
        <v>30.249266737760252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3.062329379233919E-2</v>
      </c>
      <c r="M82" s="850"/>
      <c r="N82" s="850"/>
      <c r="O82" s="48">
        <f>IF(t&lt;Tnet,'2021'!Resal+('2021'!Salim-'2021'!Resal)*(1-EXP(('2021'!Tnet-t)/('2021'!Tau_j))),Resal+(Salim-Resal)*(1-EXP((Tnet-t)/(Tau_j))))*Salcycl</f>
        <v>6.4585131484758432E-2</v>
      </c>
      <c r="P82" s="339">
        <f>(INDEX(Models!$BJ82:$BT82,,T82)*(1-R82)+INDEX(Models!$BJ82:$BT82,,T82+1)*R82-ERP_i)*Q82*Ramure*Pc/MaxiM</f>
        <v>4.8700007253111516E-3</v>
      </c>
      <c r="Q82" s="305">
        <f t="shared" si="28"/>
        <v>0.7</v>
      </c>
      <c r="R82" s="177">
        <f t="shared" si="29"/>
        <v>0.50601844324495504</v>
      </c>
      <c r="S82" s="817">
        <f t="shared" si="30"/>
        <v>-1</v>
      </c>
      <c r="T82" s="176">
        <f t="shared" si="31"/>
        <v>5</v>
      </c>
      <c r="U82" s="251">
        <f t="shared" si="32"/>
        <v>-0.49398155675504496</v>
      </c>
      <c r="V82" s="383">
        <f t="shared" si="33"/>
        <v>28.473939375519514</v>
      </c>
      <c r="W82" s="402">
        <f t="shared" si="34"/>
        <v>0</v>
      </c>
      <c r="X82" s="157">
        <f t="shared" si="35"/>
        <v>44629</v>
      </c>
      <c r="Y82" s="385">
        <f t="shared" si="36"/>
        <v>21.468794605552535</v>
      </c>
      <c r="Z82" s="385">
        <f t="shared" si="37"/>
        <v>22.147008967794889</v>
      </c>
      <c r="AA82" s="386">
        <f t="shared" si="38"/>
        <v>25.271034068654732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0.12362078624771314</v>
      </c>
      <c r="AD82" s="231">
        <f>(INDEX(Models!$BJ82:$BT82,,AH82)*(1-AF82)+INDEX(Models!$BJ82:$BT82,,AH82+1)*AF82-ERP_i)*AE82*Ramure*Pc/MaxiM</f>
        <v>4.8700007253111516E-3</v>
      </c>
      <c r="AE82" s="305">
        <f t="shared" si="40"/>
        <v>0.7</v>
      </c>
      <c r="AF82" s="177">
        <f t="shared" si="41"/>
        <v>0.50601844324495504</v>
      </c>
      <c r="AG82" s="817">
        <f t="shared" si="49"/>
        <v>-1</v>
      </c>
      <c r="AH82" s="176">
        <f t="shared" si="42"/>
        <v>5</v>
      </c>
      <c r="AI82" s="225">
        <f t="shared" si="43"/>
        <v>-0.49398155675504496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44630</v>
      </c>
      <c r="B83" s="1106">
        <v>15.855</v>
      </c>
      <c r="C83" s="846"/>
      <c r="D83" s="393">
        <f t="shared" si="25"/>
        <v>16.356228874969894</v>
      </c>
      <c r="E83" s="385">
        <f t="shared" si="47"/>
        <v>17.487744170923055</v>
      </c>
      <c r="F83" s="385">
        <f t="shared" si="26"/>
        <v>17.51457834913176</v>
      </c>
      <c r="G83" s="110">
        <f t="shared" si="48"/>
        <v>0.54980414103960273</v>
      </c>
      <c r="H83" s="414" t="b">
        <f>Wh_hp&gt;='2021'!Maxi_hp</f>
        <v>0</v>
      </c>
      <c r="I83" s="380">
        <f>IF(H83,Wh_hp,'2021'!Maxi_hp)</f>
        <v>30.500189061416798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3.0644525630044828E-2</v>
      </c>
      <c r="M83" s="850"/>
      <c r="N83" s="850"/>
      <c r="O83" s="48">
        <f>IF(t&lt;Tnet,'2021'!Resal+('2021'!Salim-'2021'!Resal)*(1-EXP(('2021'!Tnet-t)/('2021'!Tau_j))),Resal+(Salim-Resal)*(1-EXP((Tnet-t)/(Tau_j))))*Salcycl</f>
        <v>6.4703330795205419E-2</v>
      </c>
      <c r="P83" s="339">
        <f>(INDEX(Models!$BJ83:$BT83,,T83)*(1-R83)+INDEX(Models!$BJ83:$BT83,,T83+1)*R83-ERP_i)*Q83*Ramure*Pc/MaxiM</f>
        <v>4.2674566399274159E-3</v>
      </c>
      <c r="Q83" s="305">
        <f t="shared" si="28"/>
        <v>0.7</v>
      </c>
      <c r="R83" s="177">
        <f t="shared" si="29"/>
        <v>0.50628243447418853</v>
      </c>
      <c r="S83" s="817">
        <f t="shared" si="30"/>
        <v>-1</v>
      </c>
      <c r="T83" s="176">
        <f t="shared" si="31"/>
        <v>5</v>
      </c>
      <c r="U83" s="251">
        <f t="shared" si="32"/>
        <v>-0.49371756552581153</v>
      </c>
      <c r="V83" s="383">
        <f t="shared" si="33"/>
        <v>28.758540135192295</v>
      </c>
      <c r="W83" s="402">
        <f t="shared" si="34"/>
        <v>0</v>
      </c>
      <c r="X83" s="157">
        <f t="shared" si="35"/>
        <v>44630</v>
      </c>
      <c r="Y83" s="385">
        <f t="shared" si="36"/>
        <v>14.855588829092669</v>
      </c>
      <c r="Z83" s="385">
        <f t="shared" si="37"/>
        <v>15.325223018674595</v>
      </c>
      <c r="AA83" s="386">
        <f t="shared" si="38"/>
        <v>17.487744170923055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0.12365923992896073</v>
      </c>
      <c r="AD83" s="231">
        <f>(INDEX(Models!$BJ83:$BT83,,AH83)*(1-AF83)+INDEX(Models!$BJ83:$BT83,,AH83+1)*AF83-ERP_i)*AE83*Ramure*Pc/MaxiM</f>
        <v>4.2674566399274159E-3</v>
      </c>
      <c r="AE83" s="305">
        <f t="shared" si="40"/>
        <v>0.7</v>
      </c>
      <c r="AF83" s="177">
        <f t="shared" si="41"/>
        <v>0.50628243447418853</v>
      </c>
      <c r="AG83" s="817">
        <f t="shared" si="49"/>
        <v>-1</v>
      </c>
      <c r="AH83" s="176">
        <f t="shared" si="42"/>
        <v>5</v>
      </c>
      <c r="AI83" s="225">
        <f t="shared" si="43"/>
        <v>-0.49371756552581153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44631</v>
      </c>
      <c r="B84" s="1106">
        <v>10.269</v>
      </c>
      <c r="C84" s="846"/>
      <c r="D84" s="393">
        <f t="shared" si="25"/>
        <v>10.593869012867218</v>
      </c>
      <c r="E84" s="385">
        <f t="shared" si="47"/>
        <v>11.328178337217233</v>
      </c>
      <c r="F84" s="385">
        <f t="shared" si="26"/>
        <v>11.331394178212099</v>
      </c>
      <c r="G84" s="110">
        <f t="shared" si="48"/>
        <v>0.35239117899560468</v>
      </c>
      <c r="H84" s="414" t="b">
        <f>Wh_hp&gt;='2021'!Maxi_hp</f>
        <v>0</v>
      </c>
      <c r="I84" s="380">
        <f>IF(H84,Wh_hp,'2021'!Maxi_hp)</f>
        <v>23.683748695587767</v>
      </c>
      <c r="J84" s="85">
        <f>IF(H84,An,'2021'!An_max)</f>
        <v>2020</v>
      </c>
      <c r="K84" s="197">
        <f t="shared" si="27"/>
        <v>44631</v>
      </c>
      <c r="L84" s="147">
        <f>IF(t&lt;Tvie,1-EXP((T0-t)*PertePVj)+'2021'!Pspv,1-EXP((T0-t)*PertePVj)+Pspv)</f>
        <v>3.0665757002718785E-2</v>
      </c>
      <c r="M84" s="850"/>
      <c r="N84" s="850"/>
      <c r="O84" s="48">
        <f>IF(t&lt;Tnet,'2021'!Resal+('2021'!Salim-'2021'!Resal)*(1-EXP(('2021'!Tnet-t)/('2021'!Tau_j))),Resal+(Salim-Resal)*(1-EXP((Tnet-t)/(Tau_j))))*Salcycl</f>
        <v>6.482148342752854E-2</v>
      </c>
      <c r="P84" s="339">
        <f>(INDEX(Models!$BJ84:$BT84,,T84)*(1-R84)+INDEX(Models!$BJ84:$BT84,,T84+1)*R84-ERP_i)*Q84*Ramure*Pc/MaxiM</f>
        <v>3.7062160898324397E-3</v>
      </c>
      <c r="Q84" s="305">
        <f t="shared" si="28"/>
        <v>0.7</v>
      </c>
      <c r="R84" s="177">
        <f t="shared" si="29"/>
        <v>0.50655699693539846</v>
      </c>
      <c r="S84" s="817">
        <f t="shared" si="30"/>
        <v>-1</v>
      </c>
      <c r="T84" s="176">
        <f t="shared" si="31"/>
        <v>5</v>
      </c>
      <c r="U84" s="251">
        <f t="shared" si="32"/>
        <v>-0.49344300306460154</v>
      </c>
      <c r="V84" s="383">
        <f t="shared" si="33"/>
        <v>29.041150387430623</v>
      </c>
      <c r="W84" s="402">
        <f t="shared" si="34"/>
        <v>0</v>
      </c>
      <c r="X84" s="157">
        <f t="shared" si="35"/>
        <v>44631</v>
      </c>
      <c r="Y84" s="385">
        <f t="shared" si="36"/>
        <v>9.622490870920263</v>
      </c>
      <c r="Z84" s="385">
        <f t="shared" si="37"/>
        <v>9.926906988415606</v>
      </c>
      <c r="AA84" s="386">
        <f t="shared" si="38"/>
        <v>11.328178337217233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0.12369785389041182</v>
      </c>
      <c r="AD84" s="231">
        <f>(INDEX(Models!$BJ84:$BT84,,AH84)*(1-AF84)+INDEX(Models!$BJ84:$BT84,,AH84+1)*AF84-ERP_i)*AE84*Ramure*Pc/MaxiM</f>
        <v>3.7062160898324397E-3</v>
      </c>
      <c r="AE84" s="305">
        <f t="shared" si="40"/>
        <v>0.7</v>
      </c>
      <c r="AF84" s="177">
        <f t="shared" si="41"/>
        <v>0.50655699693539846</v>
      </c>
      <c r="AG84" s="817">
        <f t="shared" si="49"/>
        <v>-1</v>
      </c>
      <c r="AH84" s="176">
        <f t="shared" si="42"/>
        <v>5</v>
      </c>
      <c r="AI84" s="225">
        <f t="shared" si="43"/>
        <v>-0.49344300306460154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44632</v>
      </c>
      <c r="B85" s="1106">
        <v>10.347</v>
      </c>
      <c r="C85" s="846"/>
      <c r="D85" s="393">
        <f t="shared" si="25"/>
        <v>10.674570413218852</v>
      </c>
      <c r="E85" s="385">
        <f t="shared" si="47"/>
        <v>11.415915495875383</v>
      </c>
      <c r="F85" s="385">
        <f t="shared" si="26"/>
        <v>11.418663101583729</v>
      </c>
      <c r="G85" s="110">
        <f t="shared" si="48"/>
        <v>0.35184309724300811</v>
      </c>
      <c r="H85" s="414" t="b">
        <f>Wh_hp&gt;='2021'!Maxi_hp</f>
        <v>0</v>
      </c>
      <c r="I85" s="380">
        <f>IF(H85,Wh_hp,'2021'!Maxi_hp)</f>
        <v>29.411637891813143</v>
      </c>
      <c r="J85" s="85">
        <f>IF(H85,An,'2021'!An_max)</f>
        <v>2020</v>
      </c>
      <c r="K85" s="197">
        <f t="shared" si="27"/>
        <v>44632</v>
      </c>
      <c r="L85" s="147">
        <f>IF(t&lt;Tvie,1-EXP((T0-t)*PertePVj)+'2021'!Pspv,1-EXP((T0-t)*PertePVj)+Pspv)</f>
        <v>3.0686987910371166E-2</v>
      </c>
      <c r="M85" s="850"/>
      <c r="N85" s="850"/>
      <c r="O85" s="48">
        <f>IF(t&lt;Tnet,'2021'!Resal+('2021'!Salim-'2021'!Resal)*(1-EXP(('2021'!Tnet-t)/('2021'!Tau_j))),Resal+(Salim-Resal)*(1-EXP((Tnet-t)/(Tau_j))))*Salcycl</f>
        <v>6.4939608472433297E-2</v>
      </c>
      <c r="P85" s="339">
        <f>(INDEX(Models!$BJ85:$BT85,,T85)*(1-R85)+INDEX(Models!$BJ85:$BT85,,T85+1)*R85-ERP_i)*Q85*Ramure*Pc/MaxiM</f>
        <v>3.1851212042767036E-3</v>
      </c>
      <c r="Q85" s="305">
        <f t="shared" si="28"/>
        <v>0.7</v>
      </c>
      <c r="R85" s="177">
        <f t="shared" si="29"/>
        <v>0.50684253249388522</v>
      </c>
      <c r="S85" s="817">
        <f t="shared" si="30"/>
        <v>-1</v>
      </c>
      <c r="T85" s="176">
        <f t="shared" si="31"/>
        <v>5</v>
      </c>
      <c r="U85" s="251">
        <f t="shared" si="32"/>
        <v>-0.49315746750611483</v>
      </c>
      <c r="V85" s="383">
        <f t="shared" si="33"/>
        <v>29.321382277130674</v>
      </c>
      <c r="W85" s="402">
        <f t="shared" si="34"/>
        <v>0</v>
      </c>
      <c r="X85" s="157">
        <f t="shared" si="35"/>
        <v>44632</v>
      </c>
      <c r="Y85" s="385">
        <f t="shared" si="36"/>
        <v>9.6963755792842168</v>
      </c>
      <c r="Z85" s="385">
        <f t="shared" si="37"/>
        <v>10.00334820470524</v>
      </c>
      <c r="AA85" s="386">
        <f t="shared" si="38"/>
        <v>11.415915495875383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0.12373666322955078</v>
      </c>
      <c r="AD85" s="231">
        <f>(INDEX(Models!$BJ85:$BT85,,AH85)*(1-AF85)+INDEX(Models!$BJ85:$BT85,,AH85+1)*AF85-ERP_i)*AE85*Ramure*Pc/MaxiM</f>
        <v>3.1851212042767036E-3</v>
      </c>
      <c r="AE85" s="305">
        <f t="shared" si="40"/>
        <v>0.7</v>
      </c>
      <c r="AF85" s="177">
        <f t="shared" si="41"/>
        <v>0.50684253249388522</v>
      </c>
      <c r="AG85" s="817">
        <f t="shared" si="49"/>
        <v>-1</v>
      </c>
      <c r="AH85" s="176">
        <f t="shared" si="42"/>
        <v>5</v>
      </c>
      <c r="AI85" s="225">
        <f t="shared" si="43"/>
        <v>-0.49315746750611483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44633</v>
      </c>
      <c r="B86" s="1106">
        <v>5.6520000000000001</v>
      </c>
      <c r="C86" s="846"/>
      <c r="D86" s="393">
        <f t="shared" si="25"/>
        <v>5.8310615100814251</v>
      </c>
      <c r="E86" s="385">
        <f t="shared" si="47"/>
        <v>6.2368144782343657</v>
      </c>
      <c r="F86" s="385">
        <f t="shared" si="26"/>
        <v>6.2368144782343657</v>
      </c>
      <c r="G86" s="110">
        <f t="shared" si="48"/>
        <v>0.19043722231600904</v>
      </c>
      <c r="H86" s="414" t="b">
        <f>Wh_hp&gt;='2021'!Maxi_hp</f>
        <v>0</v>
      </c>
      <c r="I86" s="380">
        <f>IF(H86,Wh_hp,'2021'!Maxi_hp)</f>
        <v>29.39742528369991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3.0708218353012184E-2</v>
      </c>
      <c r="M86" s="850"/>
      <c r="N86" s="850"/>
      <c r="O86" s="48">
        <f>IF(t&lt;Tnet,'2021'!Resal+('2021'!Salim-'2021'!Resal)*(1-EXP(('2021'!Tnet-t)/('2021'!Tau_j))),Resal+(Salim-Resal)*(1-EXP((Tnet-t)/(Tau_j))))*Salcycl</f>
        <v>6.5057726114663789E-2</v>
      </c>
      <c r="P86" s="339">
        <f>(INDEX(Models!$BJ86:$BT86,,T86)*(1-R86)+INDEX(Models!$BJ86:$BT86,,T86+1)*R86-ERP_i)*Q86*Ramure*Pc/MaxiM</f>
        <v>2.7172933186126757E-3</v>
      </c>
      <c r="Q86" s="305">
        <f t="shared" si="28"/>
        <v>0.7</v>
      </c>
      <c r="R86" s="177">
        <f t="shared" si="29"/>
        <v>0.50713945650321435</v>
      </c>
      <c r="S86" s="817">
        <f t="shared" si="30"/>
        <v>-1</v>
      </c>
      <c r="T86" s="176">
        <f t="shared" si="31"/>
        <v>5</v>
      </c>
      <c r="U86" s="251">
        <f t="shared" si="32"/>
        <v>-0.49286054349678565</v>
      </c>
      <c r="V86" s="383">
        <f t="shared" si="33"/>
        <v>29.598425085248461</v>
      </c>
      <c r="W86" s="402">
        <f t="shared" si="34"/>
        <v>0</v>
      </c>
      <c r="X86" s="157">
        <f t="shared" si="35"/>
        <v>44633</v>
      </c>
      <c r="Y86" s="385">
        <f t="shared" si="36"/>
        <v>5.2970326127367269</v>
      </c>
      <c r="Z86" s="385">
        <f t="shared" si="37"/>
        <v>5.4648483697408308</v>
      </c>
      <c r="AA86" s="386">
        <f t="shared" si="38"/>
        <v>6.2368144782343657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0.12377570491916851</v>
      </c>
      <c r="AD86" s="231">
        <f>(INDEX(Models!$BJ86:$BT86,,AH86)*(1-AF86)+INDEX(Models!$BJ86:$BT86,,AH86+1)*AF86-ERP_i)*AE86*Ramure*Pc/MaxiM</f>
        <v>2.7172933186126757E-3</v>
      </c>
      <c r="AE86" s="305">
        <f t="shared" si="40"/>
        <v>0.7</v>
      </c>
      <c r="AF86" s="177">
        <f t="shared" si="41"/>
        <v>0.50713945650321435</v>
      </c>
      <c r="AG86" s="817">
        <f t="shared" si="49"/>
        <v>-1</v>
      </c>
      <c r="AH86" s="176">
        <f t="shared" si="42"/>
        <v>5</v>
      </c>
      <c r="AI86" s="225">
        <f t="shared" si="43"/>
        <v>-0.49286054349678565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44634</v>
      </c>
      <c r="B87" s="1106">
        <v>8.09</v>
      </c>
      <c r="C87" s="846"/>
      <c r="D87" s="393">
        <f t="shared" si="25"/>
        <v>8.3464828123239858</v>
      </c>
      <c r="E87" s="385">
        <f t="shared" si="47"/>
        <v>8.9283988651265034</v>
      </c>
      <c r="F87" s="385">
        <f t="shared" si="26"/>
        <v>8.9283988651265034</v>
      </c>
      <c r="G87" s="110">
        <f t="shared" si="48"/>
        <v>0.27019992690220357</v>
      </c>
      <c r="H87" s="414" t="b">
        <f>Wh_hp&gt;='2021'!Maxi_hp</f>
        <v>0</v>
      </c>
      <c r="I87" s="380">
        <f>IF(H87,Wh_hp,'2021'!Maxi_hp)</f>
        <v>27.041870864735497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3.0729448330652054E-2</v>
      </c>
      <c r="M87" s="850"/>
      <c r="N87" s="850"/>
      <c r="O87" s="48">
        <f>IF(t&lt;Tnet,'2021'!Resal+('2021'!Salim-'2021'!Resal)*(1-EXP(('2021'!Tnet-t)/('2021'!Tau_j))),Resal+(Salim-Resal)*(1-EXP((Tnet-t)/(Tau_j))))*Salcycl</f>
        <v>6.5175857574578888E-2</v>
      </c>
      <c r="P87" s="339">
        <f>(INDEX(Models!$BJ87:$BT87,,T87)*(1-R87)+INDEX(Models!$BJ87:$BT87,,T87+1)*R87-ERP_i)*Q87*Ramure*Pc/MaxiM</f>
        <v>2.2948941060437298E-3</v>
      </c>
      <c r="Q87" s="305">
        <f t="shared" si="28"/>
        <v>0.7</v>
      </c>
      <c r="R87" s="177">
        <f t="shared" si="29"/>
        <v>0.50744819810669528</v>
      </c>
      <c r="S87" s="817">
        <f t="shared" si="30"/>
        <v>-1</v>
      </c>
      <c r="T87" s="176">
        <f t="shared" si="31"/>
        <v>5</v>
      </c>
      <c r="U87" s="251">
        <f t="shared" si="32"/>
        <v>-0.49255180189330472</v>
      </c>
      <c r="V87" s="383">
        <f t="shared" si="33"/>
        <v>29.872081755238558</v>
      </c>
      <c r="W87" s="402">
        <f t="shared" si="34"/>
        <v>0</v>
      </c>
      <c r="X87" s="157">
        <f t="shared" si="35"/>
        <v>44634</v>
      </c>
      <c r="Y87" s="385">
        <f t="shared" si="36"/>
        <v>7.5825347092029336</v>
      </c>
      <c r="Z87" s="385">
        <f t="shared" si="37"/>
        <v>7.8229290017567781</v>
      </c>
      <c r="AA87" s="386">
        <f t="shared" si="38"/>
        <v>8.9283988651265034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0.12381501768335955</v>
      </c>
      <c r="AD87" s="231">
        <f>(INDEX(Models!$BJ87:$BT87,,AH87)*(1-AF87)+INDEX(Models!$BJ87:$BT87,,AH87+1)*AF87-ERP_i)*AE87*Ramure*Pc/MaxiM</f>
        <v>2.2948941060437298E-3</v>
      </c>
      <c r="AE87" s="305">
        <f t="shared" si="40"/>
        <v>0.7</v>
      </c>
      <c r="AF87" s="177">
        <f t="shared" si="41"/>
        <v>0.50744819810669528</v>
      </c>
      <c r="AG87" s="817">
        <f t="shared" si="49"/>
        <v>-1</v>
      </c>
      <c r="AH87" s="176">
        <f t="shared" si="42"/>
        <v>5</v>
      </c>
      <c r="AI87" s="225">
        <f t="shared" si="43"/>
        <v>-0.49255180189330472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44635</v>
      </c>
      <c r="B88" s="1106">
        <v>8.2810000000000006</v>
      </c>
      <c r="C88" s="846"/>
      <c r="D88" s="393">
        <f t="shared" si="25"/>
        <v>8.5437253456868625</v>
      </c>
      <c r="E88" s="385">
        <f t="shared" si="47"/>
        <v>9.1405485517509728</v>
      </c>
      <c r="F88" s="385">
        <f t="shared" si="26"/>
        <v>9.1405485517509728</v>
      </c>
      <c r="G88" s="110">
        <f t="shared" si="48"/>
        <v>0.27420667944505278</v>
      </c>
      <c r="H88" s="414" t="b">
        <f>Wh_hp&gt;='2021'!Maxi_hp</f>
        <v>0</v>
      </c>
      <c r="I88" s="380">
        <f>IF(H88,Wh_hp,'2021'!Maxi_hp)</f>
        <v>29.113438237494268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3.0750677843300989E-2</v>
      </c>
      <c r="M88" s="850"/>
      <c r="N88" s="850"/>
      <c r="O88" s="48">
        <f>IF(t&lt;Tnet,'2021'!Resal+('2021'!Salim-'2021'!Resal)*(1-EXP(('2021'!Tnet-t)/('2021'!Tau_j))),Resal+(Salim-Resal)*(1-EXP((Tnet-t)/(Tau_j))))*Salcycl</f>
        <v>6.5294025045114265E-2</v>
      </c>
      <c r="P88" s="339">
        <f>(INDEX(Models!$BJ88:$BT88,,T88)*(1-R88)+INDEX(Models!$BJ88:$BT88,,T88+1)*R88-ERP_i)*Q88*Ramure*Pc/MaxiM</f>
        <v>1.9166753813474773E-3</v>
      </c>
      <c r="Q88" s="305">
        <f t="shared" si="28"/>
        <v>0.7</v>
      </c>
      <c r="R88" s="177">
        <f t="shared" si="29"/>
        <v>0.50776920053186059</v>
      </c>
      <c r="S88" s="817">
        <f t="shared" si="30"/>
        <v>-1</v>
      </c>
      <c r="T88" s="176">
        <f t="shared" si="31"/>
        <v>5</v>
      </c>
      <c r="U88" s="251">
        <f t="shared" si="32"/>
        <v>-0.49223079946813936</v>
      </c>
      <c r="V88" s="383">
        <f t="shared" si="33"/>
        <v>30.141964549858013</v>
      </c>
      <c r="W88" s="402">
        <f t="shared" si="34"/>
        <v>0</v>
      </c>
      <c r="X88" s="157">
        <f t="shared" si="35"/>
        <v>44635</v>
      </c>
      <c r="Y88" s="385">
        <f t="shared" si="36"/>
        <v>7.7621839435210962</v>
      </c>
      <c r="Z88" s="385">
        <f t="shared" si="37"/>
        <v>8.0084491844155039</v>
      </c>
      <c r="AA88" s="386">
        <f t="shared" si="38"/>
        <v>9.1405485517509728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0.12385464186595269</v>
      </c>
      <c r="AD88" s="231">
        <f>(INDEX(Models!$BJ88:$BT88,,AH88)*(1-AF88)+INDEX(Models!$BJ88:$BT88,,AH88+1)*AF88-ERP_i)*AE88*Ramure*Pc/MaxiM</f>
        <v>1.9166753813474773E-3</v>
      </c>
      <c r="AE88" s="305">
        <f t="shared" si="40"/>
        <v>0.7</v>
      </c>
      <c r="AF88" s="177">
        <f t="shared" si="41"/>
        <v>0.50776920053186059</v>
      </c>
      <c r="AG88" s="817">
        <f t="shared" si="49"/>
        <v>-1</v>
      </c>
      <c r="AH88" s="176">
        <f t="shared" si="42"/>
        <v>5</v>
      </c>
      <c r="AI88" s="225">
        <f t="shared" si="43"/>
        <v>-0.49223079946813936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44636</v>
      </c>
      <c r="B89" s="1106">
        <v>6.3630000000000004</v>
      </c>
      <c r="C89" s="846"/>
      <c r="D89" s="393">
        <f t="shared" si="25"/>
        <v>6.5650181265270131</v>
      </c>
      <c r="E89" s="385">
        <f t="shared" si="47"/>
        <v>7.0245069421679558</v>
      </c>
      <c r="F89" s="385">
        <f t="shared" si="26"/>
        <v>7.0245069421679558</v>
      </c>
      <c r="G89" s="110">
        <f t="shared" si="48"/>
        <v>0.20892537997635865</v>
      </c>
      <c r="H89" s="414" t="b">
        <f>Wh_hp&gt;='2021'!Maxi_hp</f>
        <v>0</v>
      </c>
      <c r="I89" s="380">
        <f>IF(H89,Wh_hp,'2021'!Maxi_hp)</f>
        <v>33.759513299417414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3.0771906890968981E-2</v>
      </c>
      <c r="M89" s="850"/>
      <c r="N89" s="850"/>
      <c r="O89" s="48">
        <f>IF(t&lt;Tnet,'2021'!Resal+('2021'!Salim-'2021'!Resal)*(1-EXP(('2021'!Tnet-t)/('2021'!Tau_j))),Resal+(Salim-Resal)*(1-EXP((Tnet-t)/(Tau_j))))*Salcycl</f>
        <v>6.5412251624757042E-2</v>
      </c>
      <c r="P89" s="339">
        <f>(INDEX(Models!$BJ89:$BT89,,T89)*(1-R89)+INDEX(Models!$BJ89:$BT89,,T89+1)*R89-ERP_i)*Q89*Ramure*Pc/MaxiM</f>
        <v>1.5814365578627593E-3</v>
      </c>
      <c r="Q89" s="305">
        <f t="shared" si="28"/>
        <v>0.7</v>
      </c>
      <c r="R89" s="177">
        <f t="shared" si="29"/>
        <v>0.50810292137633251</v>
      </c>
      <c r="S89" s="817">
        <f t="shared" si="30"/>
        <v>-1</v>
      </c>
      <c r="T89" s="176">
        <f t="shared" si="31"/>
        <v>5</v>
      </c>
      <c r="U89" s="251">
        <f t="shared" si="32"/>
        <v>-0.49189707862366749</v>
      </c>
      <c r="V89" s="383">
        <f t="shared" si="33"/>
        <v>30.407685844109498</v>
      </c>
      <c r="W89" s="402">
        <f t="shared" si="34"/>
        <v>0</v>
      </c>
      <c r="X89" s="157">
        <f t="shared" si="35"/>
        <v>44636</v>
      </c>
      <c r="Y89" s="385">
        <f t="shared" si="36"/>
        <v>5.9648316031666191</v>
      </c>
      <c r="Z89" s="385">
        <f t="shared" si="37"/>
        <v>6.154208328849605</v>
      </c>
      <c r="AA89" s="386">
        <f t="shared" si="38"/>
        <v>7.0245069421679558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0.12389461929263229</v>
      </c>
      <c r="AD89" s="231">
        <f>(INDEX(Models!$BJ89:$BT89,,AH89)*(1-AF89)+INDEX(Models!$BJ89:$BT89,,AH89+1)*AF89-ERP_i)*AE89*Ramure*Pc/MaxiM</f>
        <v>1.5814365578627593E-3</v>
      </c>
      <c r="AE89" s="305">
        <f t="shared" si="40"/>
        <v>0.7</v>
      </c>
      <c r="AF89" s="177">
        <f t="shared" si="41"/>
        <v>0.50810292137633251</v>
      </c>
      <c r="AG89" s="817">
        <f t="shared" si="49"/>
        <v>-1</v>
      </c>
      <c r="AH89" s="176">
        <f t="shared" si="42"/>
        <v>5</v>
      </c>
      <c r="AI89" s="225">
        <f t="shared" si="43"/>
        <v>-0.49189707862366749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44637</v>
      </c>
      <c r="B90" s="1106">
        <v>7.4630000000000001</v>
      </c>
      <c r="C90" s="846"/>
      <c r="D90" s="393">
        <f t="shared" si="25"/>
        <v>7.7001105472434759</v>
      </c>
      <c r="E90" s="385">
        <f t="shared" si="47"/>
        <v>8.2400881483296455</v>
      </c>
      <c r="F90" s="385">
        <f t="shared" si="26"/>
        <v>8.2400881483296455</v>
      </c>
      <c r="G90" s="110">
        <f t="shared" si="48"/>
        <v>0.24302787616164762</v>
      </c>
      <c r="H90" s="414" t="b">
        <f>Wh_hp&gt;='2021'!Maxi_hp</f>
        <v>0</v>
      </c>
      <c r="I90" s="380">
        <f>IF(H90,Wh_hp,'2021'!Maxi_hp)</f>
        <v>18.204761461001336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3.0793135473666355E-2</v>
      </c>
      <c r="M90" s="850"/>
      <c r="N90" s="850"/>
      <c r="O90" s="48">
        <f>IF(t&lt;Tnet,'2021'!Resal+('2021'!Salim-'2021'!Resal)*(1-EXP(('2021'!Tnet-t)/('2021'!Tau_j))),Resal+(Salim-Resal)*(1-EXP((Tnet-t)/(Tau_j))))*Salcycl</f>
        <v>6.5530561247166844E-2</v>
      </c>
      <c r="P90" s="339">
        <f>(INDEX(Models!$BJ90:$BT90,,T90)*(1-R90)+INDEX(Models!$BJ90:$BT90,,T90+1)*R90-ERP_i)*Q90*Ramure*Pc/MaxiM</f>
        <v>1.2880275025840369E-3</v>
      </c>
      <c r="Q90" s="305">
        <f t="shared" si="28"/>
        <v>0.7</v>
      </c>
      <c r="R90" s="177">
        <f t="shared" si="29"/>
        <v>0.50844983288331957</v>
      </c>
      <c r="S90" s="817">
        <f t="shared" si="30"/>
        <v>-1</v>
      </c>
      <c r="T90" s="176">
        <f t="shared" si="31"/>
        <v>5</v>
      </c>
      <c r="U90" s="251">
        <f t="shared" si="32"/>
        <v>-0.49155016711668048</v>
      </c>
      <c r="V90" s="383">
        <f t="shared" si="33"/>
        <v>30.668858109884759</v>
      </c>
      <c r="W90" s="402">
        <f t="shared" si="34"/>
        <v>0</v>
      </c>
      <c r="X90" s="157">
        <f t="shared" si="35"/>
        <v>44637</v>
      </c>
      <c r="Y90" s="385">
        <f t="shared" si="36"/>
        <v>6.9965617655849348</v>
      </c>
      <c r="Z90" s="385">
        <f t="shared" si="37"/>
        <v>7.21885288029224</v>
      </c>
      <c r="AA90" s="386">
        <f t="shared" si="38"/>
        <v>8.2400881483296455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0.12393499312800682</v>
      </c>
      <c r="AD90" s="231">
        <f>(INDEX(Models!$BJ90:$BT90,,AH90)*(1-AF90)+INDEX(Models!$BJ90:$BT90,,AH90+1)*AF90-ERP_i)*AE90*Ramure*Pc/MaxiM</f>
        <v>1.2880275025840369E-3</v>
      </c>
      <c r="AE90" s="305">
        <f t="shared" si="40"/>
        <v>0.7</v>
      </c>
      <c r="AF90" s="177">
        <f t="shared" si="41"/>
        <v>0.50844983288331957</v>
      </c>
      <c r="AG90" s="817">
        <f t="shared" si="49"/>
        <v>-1</v>
      </c>
      <c r="AH90" s="176">
        <f t="shared" si="42"/>
        <v>5</v>
      </c>
      <c r="AI90" s="225">
        <f t="shared" si="43"/>
        <v>-0.49155016711668048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44638</v>
      </c>
      <c r="B91" s="1106">
        <v>9.3140000000000001</v>
      </c>
      <c r="C91" s="846"/>
      <c r="D91" s="393">
        <f t="shared" si="25"/>
        <v>9.6101300412518</v>
      </c>
      <c r="E91" s="385">
        <f t="shared" si="47"/>
        <v>10.285352957537715</v>
      </c>
      <c r="F91" s="385">
        <f t="shared" si="26"/>
        <v>10.285370898926834</v>
      </c>
      <c r="G91" s="110">
        <f t="shared" si="48"/>
        <v>0.30086805876757816</v>
      </c>
      <c r="H91" s="414" t="b">
        <f>Wh_hp&gt;='2021'!Maxi_hp</f>
        <v>0</v>
      </c>
      <c r="I91" s="380">
        <f>IF(H91,Wh_hp,'2021'!Maxi_hp)</f>
        <v>22.615966613904025</v>
      </c>
      <c r="J91" s="85">
        <f>IF(H91,An,'2021'!An_max)</f>
        <v>2019</v>
      </c>
      <c r="K91" s="197">
        <f t="shared" si="27"/>
        <v>44638</v>
      </c>
      <c r="L91" s="147">
        <f>IF(t&lt;Tvie,1-EXP((T0-t)*PertePVj)+'2021'!Pspv,1-EXP((T0-t)*PertePVj)+Pspv)</f>
        <v>3.0814363591403326E-2</v>
      </c>
      <c r="M91" s="850"/>
      <c r="N91" s="850"/>
      <c r="O91" s="48">
        <f>IF(t&lt;Tnet,'2021'!Resal+('2021'!Salim-'2021'!Resal)*(1-EXP(('2021'!Tnet-t)/('2021'!Tau_j))),Resal+(Salim-Resal)*(1-EXP((Tnet-t)/(Tau_j))))*Salcycl</f>
        <v>6.5648978608077002E-2</v>
      </c>
      <c r="P91" s="339">
        <f>(INDEX(Models!$BJ91:$BT91,,T91)*(1-R91)+INDEX(Models!$BJ91:$BT91,,T91+1)*R91-ERP_i)*Q91*Ramure*Pc/MaxiM</f>
        <v>1.0353510707230961E-3</v>
      </c>
      <c r="Q91" s="305">
        <f t="shared" si="28"/>
        <v>0.7</v>
      </c>
      <c r="R91" s="177">
        <f t="shared" si="29"/>
        <v>0.5088104222048434</v>
      </c>
      <c r="S91" s="817">
        <f t="shared" si="30"/>
        <v>-1</v>
      </c>
      <c r="T91" s="176">
        <f t="shared" si="31"/>
        <v>5</v>
      </c>
      <c r="U91" s="251">
        <f t="shared" si="32"/>
        <v>-0.4911895777951566</v>
      </c>
      <c r="V91" s="383">
        <f t="shared" si="33"/>
        <v>30.925093904669254</v>
      </c>
      <c r="W91" s="402">
        <f t="shared" si="34"/>
        <v>0</v>
      </c>
      <c r="X91" s="157">
        <f t="shared" si="35"/>
        <v>44638</v>
      </c>
      <c r="Y91" s="385">
        <f t="shared" si="36"/>
        <v>8.7325738828414696</v>
      </c>
      <c r="Z91" s="385">
        <f t="shared" si="37"/>
        <v>9.0102180168505139</v>
      </c>
      <c r="AA91" s="386">
        <f t="shared" si="38"/>
        <v>10.285352957537715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0.1239758077288642</v>
      </c>
      <c r="AD91" s="231">
        <f>(INDEX(Models!$BJ91:$BT91,,AH91)*(1-AF91)+INDEX(Models!$BJ91:$BT91,,AH91+1)*AF91-ERP_i)*AE91*Ramure*Pc/MaxiM</f>
        <v>1.0353510707230961E-3</v>
      </c>
      <c r="AE91" s="305">
        <f t="shared" si="40"/>
        <v>0.7</v>
      </c>
      <c r="AF91" s="177">
        <f t="shared" si="41"/>
        <v>0.5088104222048434</v>
      </c>
      <c r="AG91" s="817">
        <f t="shared" si="49"/>
        <v>-1</v>
      </c>
      <c r="AH91" s="176">
        <f t="shared" si="42"/>
        <v>5</v>
      </c>
      <c r="AI91" s="225">
        <f t="shared" si="43"/>
        <v>-0.4911895777951566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44639</v>
      </c>
      <c r="B92" s="1106">
        <v>18.707000000000001</v>
      </c>
      <c r="C92" s="846"/>
      <c r="D92" s="393">
        <f t="shared" si="25"/>
        <v>19.302194582254213</v>
      </c>
      <c r="E92" s="385">
        <f t="shared" si="47"/>
        <v>20.661018732794361</v>
      </c>
      <c r="F92" s="385">
        <f t="shared" si="26"/>
        <v>20.668304205078591</v>
      </c>
      <c r="G92" s="110">
        <f t="shared" si="48"/>
        <v>0.59976275086215558</v>
      </c>
      <c r="H92" s="414" t="b">
        <f>Wh_hp&gt;='2021'!Maxi_hp</f>
        <v>0</v>
      </c>
      <c r="I92" s="380">
        <f>IF(H92,Wh_hp,'2021'!Maxi_hp)</f>
        <v>31.49075258123468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3.0835591244190108E-2</v>
      </c>
      <c r="M92" s="850"/>
      <c r="N92" s="850"/>
      <c r="O92" s="48">
        <f>IF(t&lt;Tnet,'2021'!Resal+('2021'!Salim-'2021'!Resal)*(1-EXP(('2021'!Tnet-t)/('2021'!Tau_j))),Resal+(Salim-Resal)*(1-EXP((Tnet-t)/(Tau_j))))*Salcycl</f>
        <v>6.5767529090099613E-2</v>
      </c>
      <c r="P92" s="339">
        <f>(INDEX(Models!$BJ92:$BT92,,T92)*(1-R92)+INDEX(Models!$BJ92:$BT92,,T92+1)*R92-ERP_i)*Q92*Ramure*Pc/MaxiM</f>
        <v>8.2236536296816272E-4</v>
      </c>
      <c r="Q92" s="305">
        <f t="shared" si="28"/>
        <v>0.7</v>
      </c>
      <c r="R92" s="177">
        <f t="shared" si="29"/>
        <v>0.5091851916506398</v>
      </c>
      <c r="S92" s="817">
        <f t="shared" si="30"/>
        <v>-1</v>
      </c>
      <c r="T92" s="176">
        <f t="shared" si="31"/>
        <v>5</v>
      </c>
      <c r="U92" s="251">
        <f t="shared" si="32"/>
        <v>-0.49081480834936025</v>
      </c>
      <c r="V92" s="383">
        <f t="shared" si="33"/>
        <v>31.176005857835456</v>
      </c>
      <c r="W92" s="402">
        <f t="shared" si="34"/>
        <v>0</v>
      </c>
      <c r="X92" s="157">
        <f t="shared" si="35"/>
        <v>44639</v>
      </c>
      <c r="Y92" s="385">
        <f t="shared" si="36"/>
        <v>17.540614848708032</v>
      </c>
      <c r="Z92" s="385">
        <f t="shared" si="37"/>
        <v>18.09869893099588</v>
      </c>
      <c r="AA92" s="386">
        <f t="shared" si="38"/>
        <v>20.661018732794361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0.12401710849482067</v>
      </c>
      <c r="AD92" s="231">
        <f>(INDEX(Models!$BJ92:$BT92,,AH92)*(1-AF92)+INDEX(Models!$BJ92:$BT92,,AH92+1)*AF92-ERP_i)*AE92*Ramure*Pc/MaxiM</f>
        <v>8.2236536296816272E-4</v>
      </c>
      <c r="AE92" s="305">
        <f t="shared" si="40"/>
        <v>0.7</v>
      </c>
      <c r="AF92" s="177">
        <f t="shared" si="41"/>
        <v>0.5091851916506398</v>
      </c>
      <c r="AG92" s="817">
        <f t="shared" si="49"/>
        <v>-1</v>
      </c>
      <c r="AH92" s="176">
        <f t="shared" si="42"/>
        <v>5</v>
      </c>
      <c r="AI92" s="225">
        <f t="shared" si="43"/>
        <v>-0.49081480834936025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44640</v>
      </c>
      <c r="B93" s="1106">
        <v>20.856999999999999</v>
      </c>
      <c r="C93" s="846"/>
      <c r="D93" s="393">
        <f t="shared" si="25"/>
        <v>21.521071805154474</v>
      </c>
      <c r="E93" s="385">
        <f t="shared" si="47"/>
        <v>23.03902661157904</v>
      </c>
      <c r="F93" s="385">
        <f t="shared" si="26"/>
        <v>23.046787539706486</v>
      </c>
      <c r="G93" s="110">
        <f t="shared" si="48"/>
        <v>0.66353803158128055</v>
      </c>
      <c r="H93" s="414" t="b">
        <f>Wh_hp&gt;='2021'!Maxi_hp</f>
        <v>0</v>
      </c>
      <c r="I93" s="380">
        <f>IF(H93,Wh_hp,'2021'!Maxi_hp)</f>
        <v>35.290557656198175</v>
      </c>
      <c r="J93" s="85">
        <f>IF(H93,An,'2021'!An_max)</f>
        <v>2019</v>
      </c>
      <c r="K93" s="197">
        <f t="shared" si="27"/>
        <v>44640</v>
      </c>
      <c r="L93" s="147">
        <f>IF(t&lt;Tvie,1-EXP((T0-t)*PertePVj)+'2021'!Pspv,1-EXP((T0-t)*PertePVj)+Pspv)</f>
        <v>3.0856818432036692E-2</v>
      </c>
      <c r="M93" s="850"/>
      <c r="N93" s="850"/>
      <c r="O93" s="48">
        <f>IF(t&lt;Tnet,'2021'!Resal+('2021'!Salim-'2021'!Resal)*(1-EXP(('2021'!Tnet-t)/('2021'!Tau_j))),Resal+(Salim-Resal)*(1-EXP((Tnet-t)/(Tau_j))))*Salcycl</f>
        <v>6.5886238686041862E-2</v>
      </c>
      <c r="P93" s="339">
        <f>(INDEX(Models!$BJ93:$BT93,,T93)*(1-R93)+INDEX(Models!$BJ93:$BT93,,T93+1)*R93-ERP_i)*Q93*Ramure*Pc/MaxiM</f>
        <v>6.4804416032670663E-4</v>
      </c>
      <c r="Q93" s="305">
        <f t="shared" si="28"/>
        <v>0.7</v>
      </c>
      <c r="R93" s="177">
        <f t="shared" si="29"/>
        <v>0.50957465892051546</v>
      </c>
      <c r="S93" s="817">
        <f t="shared" si="30"/>
        <v>-1</v>
      </c>
      <c r="T93" s="176">
        <f t="shared" si="31"/>
        <v>5</v>
      </c>
      <c r="U93" s="251">
        <f t="shared" si="32"/>
        <v>-0.49042534107948449</v>
      </c>
      <c r="V93" s="383">
        <f t="shared" si="33"/>
        <v>31.423225328412862</v>
      </c>
      <c r="W93" s="402">
        <f t="shared" si="34"/>
        <v>0</v>
      </c>
      <c r="X93" s="157">
        <f t="shared" si="35"/>
        <v>44640</v>
      </c>
      <c r="Y93" s="385">
        <f t="shared" si="36"/>
        <v>19.558113164823791</v>
      </c>
      <c r="Z93" s="385">
        <f t="shared" si="37"/>
        <v>20.180829351944663</v>
      </c>
      <c r="AA93" s="386">
        <f t="shared" si="38"/>
        <v>23.03902661157904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0.12405894171752442</v>
      </c>
      <c r="AD93" s="231">
        <f>(INDEX(Models!$BJ93:$BT93,,AH93)*(1-AF93)+INDEX(Models!$BJ93:$BT93,,AH93+1)*AF93-ERP_i)*AE93*Ramure*Pc/MaxiM</f>
        <v>6.4804416032670663E-4</v>
      </c>
      <c r="AE93" s="305">
        <f t="shared" si="40"/>
        <v>0.7</v>
      </c>
      <c r="AF93" s="177">
        <f t="shared" si="41"/>
        <v>0.50957465892051546</v>
      </c>
      <c r="AG93" s="817">
        <f t="shared" si="49"/>
        <v>-1</v>
      </c>
      <c r="AH93" s="176">
        <f t="shared" si="42"/>
        <v>5</v>
      </c>
      <c r="AI93" s="225">
        <f t="shared" si="43"/>
        <v>-0.49042534107948449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44641</v>
      </c>
      <c r="B94" s="1106">
        <v>29.872</v>
      </c>
      <c r="C94" s="846"/>
      <c r="D94" s="393">
        <f t="shared" si="25"/>
        <v>30.823778009214799</v>
      </c>
      <c r="E94" s="385">
        <f t="shared" si="47"/>
        <v>33.002085052808042</v>
      </c>
      <c r="F94" s="385">
        <f t="shared" si="26"/>
        <v>33.01770858267119</v>
      </c>
      <c r="G94" s="110">
        <f t="shared" si="48"/>
        <v>0.94324101136715499</v>
      </c>
      <c r="H94" s="414" t="b">
        <f>Wh_hp&gt;='2021'!Maxi_hp</f>
        <v>0</v>
      </c>
      <c r="I94" s="380">
        <f>IF(H94,Wh_hp,'2021'!Maxi_hp)</f>
        <v>35.232626438185896</v>
      </c>
      <c r="J94" s="85">
        <f>IF(H94,An,'2021'!An_max)</f>
        <v>2019</v>
      </c>
      <c r="K94" s="197">
        <f t="shared" si="27"/>
        <v>44641</v>
      </c>
      <c r="L94" s="147">
        <f>IF(t&lt;Tvie,1-EXP((T0-t)*PertePVj)+'2021'!Pspv,1-EXP((T0-t)*PertePVj)+Pspv)</f>
        <v>3.0878045154953515E-2</v>
      </c>
      <c r="M94" s="850"/>
      <c r="N94" s="850"/>
      <c r="O94" s="48">
        <f>IF(t&lt;Tnet,'2021'!Resal+('2021'!Salim-'2021'!Resal)*(1-EXP(('2021'!Tnet-t)/('2021'!Tau_j))),Resal+(Salim-Resal)*(1-EXP((Tnet-t)/(Tau_j))))*Salcycl</f>
        <v>6.6005133921315531E-2</v>
      </c>
      <c r="P94" s="339">
        <f>(INDEX(Models!$BJ94:$BT94,,T94)*(1-R94)+INDEX(Models!$BJ94:$BT94,,T94+1)*R94-ERP_i)*Q94*Ramure*Pc/MaxiM</f>
        <v>5.1490838293329359E-4</v>
      </c>
      <c r="Q94" s="305">
        <f t="shared" si="28"/>
        <v>0.7</v>
      </c>
      <c r="R94" s="177">
        <f t="shared" si="29"/>
        <v>0.50997935731777899</v>
      </c>
      <c r="S94" s="817">
        <f t="shared" si="30"/>
        <v>-1</v>
      </c>
      <c r="T94" s="176">
        <f t="shared" si="31"/>
        <v>5</v>
      </c>
      <c r="U94" s="251">
        <f t="shared" si="32"/>
        <v>-0.49002064268222101</v>
      </c>
      <c r="V94" s="383">
        <f t="shared" si="33"/>
        <v>31.668208581058582</v>
      </c>
      <c r="W94" s="402">
        <f t="shared" si="34"/>
        <v>0</v>
      </c>
      <c r="X94" s="157">
        <f t="shared" si="35"/>
        <v>44641</v>
      </c>
      <c r="Y94" s="385">
        <f t="shared" si="36"/>
        <v>28.013905954679313</v>
      </c>
      <c r="Z94" s="385">
        <f t="shared" si="37"/>
        <v>28.90648159875655</v>
      </c>
      <c r="AA94" s="386">
        <f t="shared" si="38"/>
        <v>33.002085052808042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0.12410135442951387</v>
      </c>
      <c r="AD94" s="231">
        <f>(INDEX(Models!$BJ94:$BT94,,AH94)*(1-AF94)+INDEX(Models!$BJ94:$BT94,,AH94+1)*AF94-ERP_i)*AE94*Ramure*Pc/MaxiM</f>
        <v>5.1490838293329359E-4</v>
      </c>
      <c r="AE94" s="305">
        <f t="shared" si="40"/>
        <v>0.7</v>
      </c>
      <c r="AF94" s="177">
        <f t="shared" si="41"/>
        <v>0.50997935731777899</v>
      </c>
      <c r="AG94" s="817">
        <f t="shared" si="49"/>
        <v>-1</v>
      </c>
      <c r="AH94" s="176">
        <f t="shared" si="42"/>
        <v>5</v>
      </c>
      <c r="AI94" s="225">
        <f t="shared" si="43"/>
        <v>-0.49002064268222101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44642</v>
      </c>
      <c r="B95" s="1106">
        <v>27.577999999999999</v>
      </c>
      <c r="C95" s="846"/>
      <c r="D95" s="393">
        <f t="shared" si="25"/>
        <v>28.457310150007594</v>
      </c>
      <c r="E95" s="385">
        <f t="shared" si="47"/>
        <v>30.472265608570925</v>
      </c>
      <c r="F95" s="385">
        <f t="shared" si="26"/>
        <v>30.482102645902163</v>
      </c>
      <c r="G95" s="110">
        <f t="shared" si="48"/>
        <v>0.86414458824904694</v>
      </c>
      <c r="H95" s="414" t="b">
        <f>Wh_hp&gt;='2021'!Maxi_hp</f>
        <v>0</v>
      </c>
      <c r="I95" s="380">
        <f>IF(H95,Wh_hp,'2021'!Maxi_hp)</f>
        <v>34.33751568572859</v>
      </c>
      <c r="J95" s="85">
        <f>IF(H95,An,'2021'!An_max)</f>
        <v>2019</v>
      </c>
      <c r="K95" s="197">
        <f t="shared" si="27"/>
        <v>44642</v>
      </c>
      <c r="L95" s="147">
        <f>IF(t&lt;Tvie,1-EXP((T0-t)*PertePVj)+'2021'!Pspv,1-EXP((T0-t)*PertePVj)+Pspv)</f>
        <v>3.0899271412950458E-2</v>
      </c>
      <c r="M95" s="850"/>
      <c r="N95" s="850"/>
      <c r="O95" s="48">
        <f>IF(t&lt;Tnet,'2021'!Resal+('2021'!Salim-'2021'!Resal)*(1-EXP(('2021'!Tnet-t)/('2021'!Tau_j))),Resal+(Salim-Resal)*(1-EXP((Tnet-t)/(Tau_j))))*Salcycl</f>
        <v>6.6124241775990092E-2</v>
      </c>
      <c r="P95" s="339">
        <f>(INDEX(Models!$BJ95:$BT95,,T95)*(1-R95)+INDEX(Models!$BJ95:$BT95,,T95+1)*R95-ERP_i)*Q95*Ramure*Pc/MaxiM</f>
        <v>4.0038272086186663E-4</v>
      </c>
      <c r="Q95" s="305">
        <f t="shared" si="28"/>
        <v>0.7</v>
      </c>
      <c r="R95" s="177">
        <f t="shared" si="29"/>
        <v>0.51039983594118077</v>
      </c>
      <c r="S95" s="817">
        <f t="shared" si="30"/>
        <v>-1</v>
      </c>
      <c r="T95" s="176">
        <f t="shared" si="31"/>
        <v>5</v>
      </c>
      <c r="U95" s="251">
        <f t="shared" si="32"/>
        <v>-0.48960016405881918</v>
      </c>
      <c r="V95" s="383">
        <f t="shared" si="33"/>
        <v>31.91116135907523</v>
      </c>
      <c r="W95" s="402">
        <f t="shared" si="34"/>
        <v>0</v>
      </c>
      <c r="X95" s="157">
        <f t="shared" si="35"/>
        <v>44642</v>
      </c>
      <c r="Y95" s="385">
        <f t="shared" si="36"/>
        <v>25.864624584757589</v>
      </c>
      <c r="Z95" s="385">
        <f t="shared" si="37"/>
        <v>26.689304653055267</v>
      </c>
      <c r="AA95" s="386">
        <f t="shared" si="38"/>
        <v>30.472265608570925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0.12414439425375802</v>
      </c>
      <c r="AD95" s="231">
        <f>(INDEX(Models!$BJ95:$BT95,,AH95)*(1-AF95)+INDEX(Models!$BJ95:$BT95,,AH95+1)*AF95-ERP_i)*AE95*Ramure*Pc/MaxiM</f>
        <v>4.0038272086186663E-4</v>
      </c>
      <c r="AE95" s="305">
        <f t="shared" si="40"/>
        <v>0.7</v>
      </c>
      <c r="AF95" s="177">
        <f t="shared" si="41"/>
        <v>0.51039983594118077</v>
      </c>
      <c r="AG95" s="817">
        <f t="shared" si="49"/>
        <v>-1</v>
      </c>
      <c r="AH95" s="176">
        <f t="shared" si="42"/>
        <v>5</v>
      </c>
      <c r="AI95" s="225">
        <f t="shared" si="43"/>
        <v>-0.48960016405881918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44643</v>
      </c>
      <c r="B96" s="1106">
        <v>30.972999999999999</v>
      </c>
      <c r="C96" s="846"/>
      <c r="D96" s="393">
        <f t="shared" si="25"/>
        <v>31.961257988329606</v>
      </c>
      <c r="E96" s="385">
        <f t="shared" si="47"/>
        <v>34.228689230500464</v>
      </c>
      <c r="F96" s="385">
        <f t="shared" si="26"/>
        <v>34.238554511891387</v>
      </c>
      <c r="G96" s="110">
        <f t="shared" si="48"/>
        <v>0.96332711963019313</v>
      </c>
      <c r="H96" s="414" t="b">
        <f>Wh_hp&gt;='2021'!Maxi_hp</f>
        <v>0</v>
      </c>
      <c r="I96" s="380">
        <f>IF(H96,Wh_hp,'2021'!Maxi_hp)</f>
        <v>36.330998993590491</v>
      </c>
      <c r="J96" s="85">
        <f>IF(H96,An,'2021'!An_max)</f>
        <v>2021</v>
      </c>
      <c r="K96" s="197">
        <f t="shared" si="27"/>
        <v>44643</v>
      </c>
      <c r="L96" s="147">
        <f>IF(t&lt;Tvie,1-EXP((T0-t)*PertePVj)+'2021'!Pspv,1-EXP((T0-t)*PertePVj)+Pspv)</f>
        <v>3.0920497206038067E-2</v>
      </c>
      <c r="M96" s="850"/>
      <c r="N96" s="850"/>
      <c r="O96" s="48">
        <f>IF(t&lt;Tnet,'2021'!Resal+('2021'!Salim-'2021'!Resal)*(1-EXP(('2021'!Tnet-t)/('2021'!Tau_j))),Resal+(Salim-Resal)*(1-EXP((Tnet-t)/(Tau_j))))*Salcycl</f>
        <v>6.624358960700126E-2</v>
      </c>
      <c r="P96" s="339">
        <f>(INDEX(Models!$BJ96:$BT96,,T96)*(1-R96)+INDEX(Models!$BJ96:$BT96,,T96+1)*R96-ERP_i)*Q96*Ramure*Pc/MaxiM</f>
        <v>3.0405650344127795E-4</v>
      </c>
      <c r="Q96" s="305">
        <f t="shared" si="28"/>
        <v>0.7</v>
      </c>
      <c r="R96" s="177">
        <f t="shared" si="29"/>
        <v>0.51083665985262483</v>
      </c>
      <c r="S96" s="817">
        <f t="shared" si="30"/>
        <v>-1</v>
      </c>
      <c r="T96" s="176">
        <f t="shared" si="31"/>
        <v>5</v>
      </c>
      <c r="U96" s="251">
        <f t="shared" si="32"/>
        <v>-0.48916334014737517</v>
      </c>
      <c r="V96" s="383">
        <f t="shared" si="33"/>
        <v>32.151598402787727</v>
      </c>
      <c r="W96" s="402">
        <f t="shared" si="34"/>
        <v>0</v>
      </c>
      <c r="X96" s="157">
        <f t="shared" si="35"/>
        <v>44643</v>
      </c>
      <c r="Y96" s="385">
        <f t="shared" si="36"/>
        <v>29.050961674933387</v>
      </c>
      <c r="Z96" s="385">
        <f t="shared" si="37"/>
        <v>29.9778930326937</v>
      </c>
      <c r="AA96" s="386">
        <f t="shared" si="38"/>
        <v>34.228689230500464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0.12418810925482267</v>
      </c>
      <c r="AD96" s="231">
        <f>(INDEX(Models!$BJ96:$BT96,,AH96)*(1-AF96)+INDEX(Models!$BJ96:$BT96,,AH96+1)*AF96-ERP_i)*AE96*Ramure*Pc/MaxiM</f>
        <v>3.0405650344127795E-4</v>
      </c>
      <c r="AE96" s="305">
        <f t="shared" si="40"/>
        <v>0.7</v>
      </c>
      <c r="AF96" s="177">
        <f t="shared" si="41"/>
        <v>0.51083665985262483</v>
      </c>
      <c r="AG96" s="817">
        <f t="shared" si="49"/>
        <v>-1</v>
      </c>
      <c r="AH96" s="176">
        <f t="shared" si="42"/>
        <v>5</v>
      </c>
      <c r="AI96" s="225">
        <f t="shared" si="43"/>
        <v>-0.48916334014737517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44644</v>
      </c>
      <c r="B97" s="1106">
        <v>30.661999999999999</v>
      </c>
      <c r="C97" s="846"/>
      <c r="D97" s="393">
        <f t="shared" si="25"/>
        <v>31.641027906170432</v>
      </c>
      <c r="E97" s="385">
        <f t="shared" si="47"/>
        <v>33.890082393952831</v>
      </c>
      <c r="F97" s="385">
        <f t="shared" si="26"/>
        <v>33.897145052711679</v>
      </c>
      <c r="G97" s="110">
        <f t="shared" si="48"/>
        <v>0.94666215029153156</v>
      </c>
      <c r="H97" s="414" t="b">
        <f>Wh_hp&gt;='2021'!Maxi_hp</f>
        <v>0</v>
      </c>
      <c r="I97" s="380">
        <f>IF(H97,Wh_hp,'2021'!Maxi_hp)</f>
        <v>35.972058370872873</v>
      </c>
      <c r="J97" s="85">
        <f>IF(H97,An,'2021'!An_max)</f>
        <v>2021</v>
      </c>
      <c r="K97" s="197">
        <f t="shared" si="27"/>
        <v>44644</v>
      </c>
      <c r="L97" s="147">
        <f>IF(t&lt;Tvie,1-EXP((T0-t)*PertePVj)+'2021'!Pspv,1-EXP((T0-t)*PertePVj)+Pspv)</f>
        <v>3.0941722534226224E-2</v>
      </c>
      <c r="M97" s="850"/>
      <c r="N97" s="850"/>
      <c r="O97" s="48">
        <f>IF(t&lt;Tnet,'2021'!Resal+('2021'!Salim-'2021'!Resal)*(1-EXP(('2021'!Tnet-t)/('2021'!Tau_j))),Resal+(Salim-Resal)*(1-EXP((Tnet-t)/(Tau_j))))*Salcycl</f>
        <v>6.6363205070982881E-2</v>
      </c>
      <c r="P97" s="339">
        <f>(INDEX(Models!$BJ97:$BT97,,T97)*(1-R97)+INDEX(Models!$BJ97:$BT97,,T97+1)*R97-ERP_i)*Q97*Ramure*Pc/MaxiM</f>
        <v>2.2553542922232515E-4</v>
      </c>
      <c r="Q97" s="305">
        <f t="shared" si="28"/>
        <v>0.7</v>
      </c>
      <c r="R97" s="177">
        <f t="shared" si="29"/>
        <v>0.51129041021771782</v>
      </c>
      <c r="S97" s="817">
        <f t="shared" si="30"/>
        <v>-1</v>
      </c>
      <c r="T97" s="176">
        <f t="shared" si="31"/>
        <v>5</v>
      </c>
      <c r="U97" s="251">
        <f t="shared" si="32"/>
        <v>-0.48870958978228213</v>
      </c>
      <c r="V97" s="383">
        <f t="shared" si="33"/>
        <v>32.389034579799109</v>
      </c>
      <c r="W97" s="402">
        <f t="shared" si="34"/>
        <v>0</v>
      </c>
      <c r="X97" s="157">
        <f t="shared" si="35"/>
        <v>44644</v>
      </c>
      <c r="Y97" s="385">
        <f t="shared" si="36"/>
        <v>28.761486014084905</v>
      </c>
      <c r="Z97" s="385">
        <f t="shared" si="37"/>
        <v>29.679831113253901</v>
      </c>
      <c r="AA97" s="386">
        <f t="shared" si="38"/>
        <v>33.890082393952831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0.12423254779251251</v>
      </c>
      <c r="AD97" s="231">
        <f>(INDEX(Models!$BJ97:$BT97,,AH97)*(1-AF97)+INDEX(Models!$BJ97:$BT97,,AH97+1)*AF97-ERP_i)*AE97*Ramure*Pc/MaxiM</f>
        <v>2.2553542922232515E-4</v>
      </c>
      <c r="AE97" s="305">
        <f t="shared" si="40"/>
        <v>0.7</v>
      </c>
      <c r="AF97" s="177">
        <f t="shared" si="41"/>
        <v>0.51129041021771782</v>
      </c>
      <c r="AG97" s="817">
        <f t="shared" si="49"/>
        <v>-1</v>
      </c>
      <c r="AH97" s="176">
        <f t="shared" si="42"/>
        <v>5</v>
      </c>
      <c r="AI97" s="225">
        <f t="shared" si="43"/>
        <v>-0.48870958978228213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44645</v>
      </c>
      <c r="B98" s="1106">
        <v>27.382000000000001</v>
      </c>
      <c r="C98" s="846"/>
      <c r="D98" s="393">
        <f t="shared" si="25"/>
        <v>28.256917448576488</v>
      </c>
      <c r="E98" s="385">
        <f t="shared" si="47"/>
        <v>30.269315889559902</v>
      </c>
      <c r="F98" s="385">
        <f t="shared" si="26"/>
        <v>30.273151593779929</v>
      </c>
      <c r="G98" s="110">
        <f t="shared" si="48"/>
        <v>0.83931518092653479</v>
      </c>
      <c r="H98" s="414" t="b">
        <f>Wh_hp&gt;='2021'!Maxi_hp</f>
        <v>0</v>
      </c>
      <c r="I98" s="380">
        <f>IF(H98,Wh_hp,'2021'!Maxi_hp)</f>
        <v>33.539793588319633</v>
      </c>
      <c r="J98" s="85">
        <f>IF(H98,An,'2021'!An_max)</f>
        <v>2020</v>
      </c>
      <c r="K98" s="197">
        <f t="shared" si="27"/>
        <v>44645</v>
      </c>
      <c r="L98" s="147">
        <f>IF(t&lt;Tvie,1-EXP((T0-t)*PertePVj)+'2021'!Pspv,1-EXP((T0-t)*PertePVj)+Pspv)</f>
        <v>3.0962947397525253E-2</v>
      </c>
      <c r="M98" s="850"/>
      <c r="N98" s="850"/>
      <c r="O98" s="48">
        <f>IF(t&lt;Tnet,'2021'!Resal+('2021'!Salim-'2021'!Resal)*(1-EXP(('2021'!Tnet-t)/('2021'!Tau_j))),Resal+(Salim-Resal)*(1-EXP((Tnet-t)/(Tau_j))))*Salcycl</f>
        <v>6.6483116048139793E-2</v>
      </c>
      <c r="P98" s="339">
        <f>(INDEX(Models!$BJ98:$BT98,,T98)*(1-R98)+INDEX(Models!$BJ98:$BT98,,T98+1)*R98-ERP_i)*Q98*Ramure*Pc/MaxiM</f>
        <v>1.6444374477057338E-4</v>
      </c>
      <c r="Q98" s="305">
        <f t="shared" si="28"/>
        <v>0.7</v>
      </c>
      <c r="R98" s="177">
        <f t="shared" si="29"/>
        <v>0.51176168441603664</v>
      </c>
      <c r="S98" s="817">
        <f t="shared" si="30"/>
        <v>-1</v>
      </c>
      <c r="T98" s="176">
        <f t="shared" si="31"/>
        <v>5</v>
      </c>
      <c r="U98" s="251">
        <f t="shared" si="32"/>
        <v>-0.48823831558396341</v>
      </c>
      <c r="V98" s="383">
        <f t="shared" si="33"/>
        <v>32.622984879594718</v>
      </c>
      <c r="W98" s="402">
        <f t="shared" si="34"/>
        <v>0</v>
      </c>
      <c r="X98" s="157">
        <f t="shared" si="35"/>
        <v>44645</v>
      </c>
      <c r="Y98" s="385">
        <f t="shared" si="36"/>
        <v>25.686762427437774</v>
      </c>
      <c r="Z98" s="385">
        <f t="shared" si="37"/>
        <v>26.507513163147518</v>
      </c>
      <c r="AA98" s="386">
        <f t="shared" si="38"/>
        <v>30.269315889559902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0.12427775837873681</v>
      </c>
      <c r="AD98" s="231">
        <f>(INDEX(Models!$BJ98:$BT98,,AH98)*(1-AF98)+INDEX(Models!$BJ98:$BT98,,AH98+1)*AF98-ERP_i)*AE98*Ramure*Pc/MaxiM</f>
        <v>1.6444374477057338E-4</v>
      </c>
      <c r="AE98" s="305">
        <f t="shared" si="40"/>
        <v>0.7</v>
      </c>
      <c r="AF98" s="177">
        <f t="shared" si="41"/>
        <v>0.51176168441603664</v>
      </c>
      <c r="AG98" s="817">
        <f t="shared" si="49"/>
        <v>-1</v>
      </c>
      <c r="AH98" s="176">
        <f t="shared" si="42"/>
        <v>5</v>
      </c>
      <c r="AI98" s="225">
        <f t="shared" si="43"/>
        <v>-0.48823831558396341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44646</v>
      </c>
      <c r="B99" s="1106">
        <v>29.135999999999999</v>
      </c>
      <c r="C99" s="846"/>
      <c r="D99" s="393">
        <f t="shared" si="25"/>
        <v>30.067620313281981</v>
      </c>
      <c r="E99" s="385">
        <f t="shared" si="47"/>
        <v>32.213122182904556</v>
      </c>
      <c r="F99" s="385">
        <f t="shared" si="26"/>
        <v>32.216374813435301</v>
      </c>
      <c r="G99" s="110">
        <f t="shared" si="48"/>
        <v>0.88684334474496584</v>
      </c>
      <c r="H99" s="414" t="b">
        <f>Wh_hp&gt;='2021'!Maxi_hp</f>
        <v>0</v>
      </c>
      <c r="I99" s="380">
        <f>IF(H99,Wh_hp,'2021'!Maxi_hp)</f>
        <v>37.971121713669092</v>
      </c>
      <c r="J99" s="85">
        <f>IF(H99,An,'2021'!An_max)</f>
        <v>2019</v>
      </c>
      <c r="K99" s="197">
        <f t="shared" si="27"/>
        <v>44646</v>
      </c>
      <c r="L99" s="147">
        <f>IF(t&lt;Tvie,1-EXP((T0-t)*PertePVj)+'2021'!Pspv,1-EXP((T0-t)*PertePVj)+Pspv)</f>
        <v>3.0984171795945259E-2</v>
      </c>
      <c r="M99" s="850"/>
      <c r="N99" s="850"/>
      <c r="O99" s="48">
        <f>IF(t&lt;Tnet,'2021'!Resal+('2021'!Salim-'2021'!Resal)*(1-EXP(('2021'!Tnet-t)/('2021'!Tau_j))),Resal+(Salim-Resal)*(1-EXP((Tnet-t)/(Tau_j))))*Salcycl</f>
        <v>6.6603350567526975E-2</v>
      </c>
      <c r="P99" s="339">
        <f>(INDEX(Models!$BJ99:$BT99,,T99)*(1-R99)+INDEX(Models!$BJ99:$BT99,,T99+1)*R99-ERP_i)*Q99*Ramure*Pc/MaxiM</f>
        <v>1.2042624510569055E-4</v>
      </c>
      <c r="Q99" s="305">
        <f t="shared" si="28"/>
        <v>0.7</v>
      </c>
      <c r="R99" s="177">
        <f t="shared" si="29"/>
        <v>0.51225109611778885</v>
      </c>
      <c r="S99" s="817">
        <f t="shared" si="30"/>
        <v>-1</v>
      </c>
      <c r="T99" s="176">
        <f t="shared" si="31"/>
        <v>5</v>
      </c>
      <c r="U99" s="251">
        <f t="shared" si="32"/>
        <v>-0.48774890388221115</v>
      </c>
      <c r="V99" s="383">
        <f t="shared" si="33"/>
        <v>32.852964400022657</v>
      </c>
      <c r="W99" s="402">
        <f t="shared" si="34"/>
        <v>0</v>
      </c>
      <c r="X99" s="157">
        <f t="shared" si="35"/>
        <v>44646</v>
      </c>
      <c r="Y99" s="385">
        <f t="shared" si="36"/>
        <v>27.334255038869937</v>
      </c>
      <c r="Z99" s="385">
        <f t="shared" si="37"/>
        <v>28.208264760267575</v>
      </c>
      <c r="AA99" s="386">
        <f t="shared" si="38"/>
        <v>32.213122182904556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0.12432378953823833</v>
      </c>
      <c r="AD99" s="231">
        <f>(INDEX(Models!$BJ99:$BT99,,AH99)*(1-AF99)+INDEX(Models!$BJ99:$BT99,,AH99+1)*AF99-ERP_i)*AE99*Ramure*Pc/MaxiM</f>
        <v>1.2042624510569055E-4</v>
      </c>
      <c r="AE99" s="305">
        <f t="shared" si="40"/>
        <v>0.7</v>
      </c>
      <c r="AF99" s="177">
        <f t="shared" si="41"/>
        <v>0.51225109611778885</v>
      </c>
      <c r="AG99" s="817">
        <f t="shared" si="49"/>
        <v>-1</v>
      </c>
      <c r="AH99" s="176">
        <f t="shared" si="42"/>
        <v>5</v>
      </c>
      <c r="AI99" s="225">
        <f t="shared" si="43"/>
        <v>-0.48774890388221115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44647</v>
      </c>
      <c r="B100" s="1106">
        <v>29.061</v>
      </c>
      <c r="C100" s="846"/>
      <c r="D100" s="393">
        <f t="shared" si="25"/>
        <v>29.990879073963718</v>
      </c>
      <c r="E100" s="385">
        <f t="shared" si="47"/>
        <v>32.13505655444753</v>
      </c>
      <c r="F100" s="385">
        <f t="shared" si="26"/>
        <v>32.137530779331819</v>
      </c>
      <c r="G100" s="110">
        <f t="shared" si="48"/>
        <v>0.87853259778427395</v>
      </c>
      <c r="H100" s="414" t="b">
        <f>Wh_hp&gt;='2021'!Maxi_hp</f>
        <v>0</v>
      </c>
      <c r="I100" s="380">
        <f>IF(H100,Wh_hp,'2021'!Maxi_hp)</f>
        <v>37.339002876856433</v>
      </c>
      <c r="J100" s="85">
        <f>IF(H100,An,'2021'!An_max)</f>
        <v>2019</v>
      </c>
      <c r="K100" s="197">
        <f t="shared" si="27"/>
        <v>44647</v>
      </c>
      <c r="L100" s="147">
        <f>IF(t&lt;Tvie,1-EXP((T0-t)*PertePVj)+'2021'!Pspv,1-EXP((T0-t)*PertePVj)+Pspv)</f>
        <v>3.1005395729496454E-2</v>
      </c>
      <c r="M100" s="850"/>
      <c r="N100" s="850"/>
      <c r="O100" s="48">
        <f>IF(t&lt;Tnet,'2021'!Resal+('2021'!Salim-'2021'!Resal)*(1-EXP(('2021'!Tnet-t)/('2021'!Tau_j))),Resal+(Salim-Resal)*(1-EXP((Tnet-t)/(Tau_j))))*Salcycl</f>
        <v>6.6723936734041839E-2</v>
      </c>
      <c r="P100" s="339">
        <f>(INDEX(Models!$BJ100:$BT100,,T100)*(1-R100)+INDEX(Models!$BJ100:$BT100,,T100+1)*R100-ERP_i)*Q100*Ramure*Pc/MaxiM</f>
        <v>9.3150718817060183E-5</v>
      </c>
      <c r="Q100" s="305">
        <f t="shared" si="28"/>
        <v>0.7</v>
      </c>
      <c r="R100" s="177">
        <f t="shared" si="29"/>
        <v>0.5127592753233472</v>
      </c>
      <c r="S100" s="817">
        <f t="shared" si="30"/>
        <v>-1</v>
      </c>
      <c r="T100" s="176">
        <f t="shared" si="31"/>
        <v>5</v>
      </c>
      <c r="U100" s="251">
        <f t="shared" si="32"/>
        <v>-0.48724072467665275</v>
      </c>
      <c r="V100" s="383">
        <f t="shared" si="33"/>
        <v>33.078488323648394</v>
      </c>
      <c r="W100" s="402">
        <f t="shared" si="34"/>
        <v>0</v>
      </c>
      <c r="X100" s="157">
        <f t="shared" si="35"/>
        <v>44647</v>
      </c>
      <c r="Y100" s="385">
        <f t="shared" si="36"/>
        <v>27.265955261236211</v>
      </c>
      <c r="Z100" s="385">
        <f t="shared" si="37"/>
        <v>28.138397408067171</v>
      </c>
      <c r="AA100" s="386">
        <f t="shared" si="38"/>
        <v>32.13505655444753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0.12437068967371143</v>
      </c>
      <c r="AD100" s="231">
        <f>(INDEX(Models!$BJ100:$BT100,,AH100)*(1-AF100)+INDEX(Models!$BJ100:$BT100,,AH100+1)*AF100-ERP_i)*AE100*Ramure*Pc/MaxiM</f>
        <v>9.3150718817060183E-5</v>
      </c>
      <c r="AE100" s="305">
        <f t="shared" si="40"/>
        <v>0.7</v>
      </c>
      <c r="AF100" s="177">
        <f t="shared" si="41"/>
        <v>0.5127592753233472</v>
      </c>
      <c r="AG100" s="817">
        <f t="shared" si="49"/>
        <v>-1</v>
      </c>
      <c r="AH100" s="176">
        <f t="shared" si="42"/>
        <v>5</v>
      </c>
      <c r="AI100" s="225">
        <f t="shared" si="43"/>
        <v>-0.48724072467665275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44648</v>
      </c>
      <c r="B101" s="1106">
        <v>22.452999999999999</v>
      </c>
      <c r="C101" s="846"/>
      <c r="D101" s="393">
        <f t="shared" si="25"/>
        <v>23.171947181273936</v>
      </c>
      <c r="E101" s="385">
        <f t="shared" si="47"/>
        <v>24.831828328711346</v>
      </c>
      <c r="F101" s="385">
        <f t="shared" si="26"/>
        <v>24.832751098642269</v>
      </c>
      <c r="G101" s="110">
        <f t="shared" si="48"/>
        <v>0.67425261169139128</v>
      </c>
      <c r="H101" s="414" t="b">
        <f>Wh_hp&gt;='2021'!Maxi_hp</f>
        <v>0</v>
      </c>
      <c r="I101" s="380">
        <f>IF(H101,Wh_hp,'2021'!Maxi_hp)</f>
        <v>36.534422327632868</v>
      </c>
      <c r="J101" s="85">
        <f>IF(H101,An,'2021'!An_max)</f>
        <v>2019</v>
      </c>
      <c r="K101" s="197">
        <f t="shared" si="27"/>
        <v>44648</v>
      </c>
      <c r="L101" s="147">
        <f>IF(t&lt;Tvie,1-EXP((T0-t)*PertePVj)+'2021'!Pspv,1-EXP((T0-t)*PertePVj)+Pspv)</f>
        <v>3.1026619198189054E-2</v>
      </c>
      <c r="M101" s="850"/>
      <c r="N101" s="850"/>
      <c r="O101" s="48">
        <f>IF(t&lt;Tnet,'2021'!Resal+('2021'!Salim-'2021'!Resal)*(1-EXP(('2021'!Tnet-t)/('2021'!Tau_j))),Resal+(Salim-Resal)*(1-EXP((Tnet-t)/(Tau_j))))*Salcycl</f>
        <v>6.6844902657377248E-2</v>
      </c>
      <c r="P101" s="339">
        <f>(INDEX(Models!$BJ101:$BT101,,T101)*(1-R101)+INDEX(Models!$BJ101:$BT101,,T101+1)*R101-ERP_i)*Q101*Ramure*Pc/MaxiM</f>
        <v>6.9498670228905975E-5</v>
      </c>
      <c r="Q101" s="305">
        <f t="shared" si="28"/>
        <v>0.7</v>
      </c>
      <c r="R101" s="177">
        <f t="shared" si="29"/>
        <v>0.51328686836192838</v>
      </c>
      <c r="S101" s="817">
        <f t="shared" si="30"/>
        <v>-1</v>
      </c>
      <c r="T101" s="176">
        <f t="shared" si="31"/>
        <v>5</v>
      </c>
      <c r="U101" s="251">
        <f t="shared" si="32"/>
        <v>-0.48671313163807162</v>
      </c>
      <c r="V101" s="383">
        <f t="shared" si="33"/>
        <v>33.299498540879291</v>
      </c>
      <c r="W101" s="402">
        <f t="shared" si="34"/>
        <v>0</v>
      </c>
      <c r="X101" s="157">
        <f t="shared" si="35"/>
        <v>44648</v>
      </c>
      <c r="Y101" s="385">
        <f t="shared" si="36"/>
        <v>21.067699592229786</v>
      </c>
      <c r="Z101" s="385">
        <f t="shared" si="37"/>
        <v>21.742289323569015</v>
      </c>
      <c r="AA101" s="386">
        <f t="shared" si="38"/>
        <v>24.831828328711346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0.12441850693571804</v>
      </c>
      <c r="AD101" s="231">
        <f>(INDEX(Models!$BJ101:$BT101,,AH101)*(1-AF101)+INDEX(Models!$BJ101:$BT101,,AH101+1)*AF101-ERP_i)*AE101*Ramure*Pc/MaxiM</f>
        <v>6.9498670228905975E-5</v>
      </c>
      <c r="AE101" s="305">
        <f t="shared" si="40"/>
        <v>0.7</v>
      </c>
      <c r="AF101" s="177">
        <f t="shared" si="41"/>
        <v>0.51328686836192838</v>
      </c>
      <c r="AG101" s="817">
        <f t="shared" si="49"/>
        <v>-1</v>
      </c>
      <c r="AH101" s="176">
        <f t="shared" si="42"/>
        <v>5</v>
      </c>
      <c r="AI101" s="225">
        <f t="shared" si="43"/>
        <v>-0.48671313163807162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44649</v>
      </c>
      <c r="B102" s="1106">
        <v>18.061</v>
      </c>
      <c r="C102" s="846"/>
      <c r="D102" s="393">
        <f t="shared" si="25"/>
        <v>18.639723184109823</v>
      </c>
      <c r="E102" s="385">
        <f t="shared" si="47"/>
        <v>19.977544982890311</v>
      </c>
      <c r="F102" s="385">
        <f t="shared" si="26"/>
        <v>19.97788176588956</v>
      </c>
      <c r="G102" s="110">
        <f t="shared" si="48"/>
        <v>0.53886727055484729</v>
      </c>
      <c r="H102" s="414" t="b">
        <f>Wh_hp&gt;='2021'!Maxi_hp</f>
        <v>0</v>
      </c>
      <c r="I102" s="380">
        <f>IF(H102,Wh_hp,'2021'!Maxi_hp)</f>
        <v>36.692193713560719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3.1047842202033271E-2</v>
      </c>
      <c r="M102" s="850"/>
      <c r="N102" s="850"/>
      <c r="O102" s="48">
        <f>IF(t&lt;Tnet,'2021'!Resal+('2021'!Salim-'2021'!Resal)*(1-EXP(('2021'!Tnet-t)/('2021'!Tau_j))),Resal+(Salim-Resal)*(1-EXP((Tnet-t)/(Tau_j))))*Salcycl</f>
        <v>6.6966276383122206E-2</v>
      </c>
      <c r="P102" s="339">
        <f>(INDEX(Models!$BJ102:$BT102,,T102)*(1-R102)+INDEX(Models!$BJ102:$BT102,,T102+1)*R102-ERP_i)*Q102*Ramure*Pc/MaxiM</f>
        <v>4.9398098676352148E-5</v>
      </c>
      <c r="Q102" s="305">
        <f t="shared" si="28"/>
        <v>0.7</v>
      </c>
      <c r="R102" s="177">
        <f t="shared" si="29"/>
        <v>0.51383453784548228</v>
      </c>
      <c r="S102" s="817">
        <f t="shared" si="30"/>
        <v>-1</v>
      </c>
      <c r="T102" s="176">
        <f t="shared" si="31"/>
        <v>5</v>
      </c>
      <c r="U102" s="251">
        <f t="shared" si="32"/>
        <v>-0.48616546215451778</v>
      </c>
      <c r="V102" s="383">
        <f t="shared" si="33"/>
        <v>33.515511641742521</v>
      </c>
      <c r="W102" s="402">
        <f t="shared" si="34"/>
        <v>0</v>
      </c>
      <c r="X102" s="157">
        <f t="shared" si="35"/>
        <v>44649</v>
      </c>
      <c r="Y102" s="385">
        <f t="shared" si="36"/>
        <v>16.947936490771156</v>
      </c>
      <c r="Z102" s="385">
        <f t="shared" si="37"/>
        <v>17.490994116042742</v>
      </c>
      <c r="AA102" s="386">
        <f t="shared" si="38"/>
        <v>19.977544982890311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0.12446728909769267</v>
      </c>
      <c r="AD102" s="231">
        <f>(INDEX(Models!$BJ102:$BT102,,AH102)*(1-AF102)+INDEX(Models!$BJ102:$BT102,,AH102+1)*AF102-ERP_i)*AE102*Ramure*Pc/MaxiM</f>
        <v>4.9398098676352148E-5</v>
      </c>
      <c r="AE102" s="305">
        <f t="shared" si="40"/>
        <v>0.7</v>
      </c>
      <c r="AF102" s="177">
        <f t="shared" si="41"/>
        <v>0.51383453784548228</v>
      </c>
      <c r="AG102" s="817">
        <f t="shared" si="49"/>
        <v>-1</v>
      </c>
      <c r="AH102" s="176">
        <f t="shared" si="42"/>
        <v>5</v>
      </c>
      <c r="AI102" s="225">
        <f t="shared" si="43"/>
        <v>-0.48616546215451778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44650</v>
      </c>
      <c r="B103" s="1106">
        <v>4.4660000000000002</v>
      </c>
      <c r="C103" s="846"/>
      <c r="D103" s="393">
        <f t="shared" si="25"/>
        <v>4.6092036464976704</v>
      </c>
      <c r="E103" s="385">
        <f t="shared" si="47"/>
        <v>4.9406632892874116</v>
      </c>
      <c r="F103" s="385">
        <f t="shared" si="26"/>
        <v>4.9406632892874116</v>
      </c>
      <c r="G103" s="110">
        <f t="shared" si="48"/>
        <v>0.13241557576497121</v>
      </c>
      <c r="H103" s="414" t="b">
        <f>Wh_hp&gt;='2021'!Maxi_hp</f>
        <v>0</v>
      </c>
      <c r="I103" s="380">
        <f>IF(H103,Wh_hp,'2021'!Maxi_hp)</f>
        <v>36.462755841463355</v>
      </c>
      <c r="J103" s="85">
        <f>IF(H103,An,'2021'!An_max)</f>
        <v>2019</v>
      </c>
      <c r="K103" s="197">
        <f t="shared" si="27"/>
        <v>44650</v>
      </c>
      <c r="L103" s="147">
        <f>IF(t&lt;Tvie,1-EXP((T0-t)*PertePVj)+'2021'!Pspv,1-EXP((T0-t)*PertePVj)+Pspv)</f>
        <v>3.106906474103921E-2</v>
      </c>
      <c r="M103" s="850"/>
      <c r="N103" s="850"/>
      <c r="O103" s="48">
        <f>IF(t&lt;Tnet,'2021'!Resal+('2021'!Salim-'2021'!Resal)*(1-EXP(('2021'!Tnet-t)/('2021'!Tau_j))),Resal+(Salim-Resal)*(1-EXP((Tnet-t)/(Tau_j))))*Salcycl</f>
        <v>6.7088085826133612E-2</v>
      </c>
      <c r="P103" s="339">
        <f>(INDEX(Models!$BJ103:$BT103,,T103)*(1-R103)+INDEX(Models!$BJ103:$BT103,,T103+1)*R103-ERP_i)*Q103*Ramure*Pc/MaxiM</f>
        <v>3.2781957441686694E-5</v>
      </c>
      <c r="Q103" s="305">
        <f t="shared" si="28"/>
        <v>0.7</v>
      </c>
      <c r="R103" s="177">
        <f t="shared" si="29"/>
        <v>0.51440296257365481</v>
      </c>
      <c r="S103" s="817">
        <f t="shared" si="30"/>
        <v>-1</v>
      </c>
      <c r="T103" s="176">
        <f t="shared" si="31"/>
        <v>5</v>
      </c>
      <c r="U103" s="251">
        <f t="shared" si="32"/>
        <v>-0.48559703742634525</v>
      </c>
      <c r="V103" s="383">
        <f t="shared" si="33"/>
        <v>33.726044462508376</v>
      </c>
      <c r="W103" s="402">
        <f t="shared" si="34"/>
        <v>0</v>
      </c>
      <c r="X103" s="157">
        <f t="shared" si="35"/>
        <v>44650</v>
      </c>
      <c r="Y103" s="385">
        <f t="shared" si="36"/>
        <v>4.191078113560466</v>
      </c>
      <c r="Z103" s="385">
        <f t="shared" si="37"/>
        <v>4.325466306264997</v>
      </c>
      <c r="AA103" s="386">
        <f t="shared" si="38"/>
        <v>4.9406632892874116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0.12451708343620893</v>
      </c>
      <c r="AD103" s="231">
        <f>(INDEX(Models!$BJ103:$BT103,,AH103)*(1-AF103)+INDEX(Models!$BJ103:$BT103,,AH103+1)*AF103-ERP_i)*AE103*Ramure*Pc/MaxiM</f>
        <v>3.2781957441686694E-5</v>
      </c>
      <c r="AE103" s="305">
        <f t="shared" si="40"/>
        <v>0.7</v>
      </c>
      <c r="AF103" s="177">
        <f t="shared" si="41"/>
        <v>0.51440296257365481</v>
      </c>
      <c r="AG103" s="817">
        <f t="shared" si="49"/>
        <v>-1</v>
      </c>
      <c r="AH103" s="176">
        <f t="shared" si="42"/>
        <v>5</v>
      </c>
      <c r="AI103" s="225">
        <f t="shared" si="43"/>
        <v>-0.48559703742634525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44651</v>
      </c>
      <c r="B104" s="1106">
        <v>19.273</v>
      </c>
      <c r="C104" s="846"/>
      <c r="D104" s="393">
        <f t="shared" si="25"/>
        <v>19.891430272331682</v>
      </c>
      <c r="E104" s="385">
        <f t="shared" si="47"/>
        <v>21.324668919717762</v>
      </c>
      <c r="F104" s="385">
        <f t="shared" si="26"/>
        <v>21.324828854498513</v>
      </c>
      <c r="G104" s="110">
        <f t="shared" si="48"/>
        <v>0.56800525246550082</v>
      </c>
      <c r="H104" s="414" t="b">
        <f>Wh_hp&gt;='2021'!Maxi_hp</f>
        <v>0</v>
      </c>
      <c r="I104" s="380">
        <f>IF(H104,Wh_hp,'2021'!Maxi_hp)</f>
        <v>33.190656549107899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3.1090286815217083E-2</v>
      </c>
      <c r="M104" s="850"/>
      <c r="N104" s="850"/>
      <c r="O104" s="48">
        <f>IF(t&lt;Tnet,'2021'!Resal+('2021'!Salim-'2021'!Resal)*(1-EXP(('2021'!Tnet-t)/('2021'!Tau_j))),Resal+(Salim-Resal)*(1-EXP((Tnet-t)/(Tau_j))))*Salcycl</f>
        <v>6.7210358706241924E-2</v>
      </c>
      <c r="P104" s="339">
        <f>(INDEX(Models!$BJ104:$BT104,,T104)*(1-R104)+INDEX(Models!$BJ104:$BT104,,T104+1)*R104-ERP_i)*Q104*Ramure*Pc/MaxiM</f>
        <v>1.958849060250802E-5</v>
      </c>
      <c r="Q104" s="305">
        <f t="shared" si="28"/>
        <v>0.7</v>
      </c>
      <c r="R104" s="177">
        <f t="shared" si="29"/>
        <v>0.51499283738547752</v>
      </c>
      <c r="S104" s="817">
        <f t="shared" si="30"/>
        <v>-1</v>
      </c>
      <c r="T104" s="176">
        <f t="shared" si="31"/>
        <v>5</v>
      </c>
      <c r="U104" s="251">
        <f t="shared" si="32"/>
        <v>-0.48500716261452248</v>
      </c>
      <c r="V104" s="383">
        <f t="shared" si="33"/>
        <v>33.930614077633564</v>
      </c>
      <c r="W104" s="402">
        <f t="shared" si="34"/>
        <v>0</v>
      </c>
      <c r="X104" s="157">
        <f t="shared" si="35"/>
        <v>44651</v>
      </c>
      <c r="Y104" s="385">
        <f t="shared" si="36"/>
        <v>18.087896145788669</v>
      </c>
      <c r="Z104" s="385">
        <f t="shared" si="37"/>
        <v>18.668298913357148</v>
      </c>
      <c r="AA104" s="386">
        <f t="shared" si="38"/>
        <v>21.324668919717762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0.12456793661656394</v>
      </c>
      <c r="AD104" s="231">
        <f>(INDEX(Models!$BJ104:$BT104,,AH104)*(1-AF104)+INDEX(Models!$BJ104:$BT104,,AH104+1)*AF104-ERP_i)*AE104*Ramure*Pc/MaxiM</f>
        <v>1.958849060250802E-5</v>
      </c>
      <c r="AE104" s="305">
        <f t="shared" si="40"/>
        <v>0.7</v>
      </c>
      <c r="AF104" s="177">
        <f t="shared" si="41"/>
        <v>0.51499283738547752</v>
      </c>
      <c r="AG104" s="817">
        <f t="shared" si="49"/>
        <v>-1</v>
      </c>
      <c r="AH104" s="176">
        <f t="shared" si="42"/>
        <v>5</v>
      </c>
      <c r="AI104" s="225">
        <f t="shared" si="43"/>
        <v>-0.48500716261452248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44652</v>
      </c>
      <c r="B105" s="1106">
        <v>21.219000000000001</v>
      </c>
      <c r="C105" s="846"/>
      <c r="D105" s="393">
        <f t="shared" si="25"/>
        <v>21.900353017402118</v>
      </c>
      <c r="E105" s="385">
        <f t="shared" si="47"/>
        <v>23.481431093365103</v>
      </c>
      <c r="F105" s="385">
        <f t="shared" si="26"/>
        <v>23.481536445770328</v>
      </c>
      <c r="G105" s="110">
        <f t="shared" si="48"/>
        <v>0.62173081771942873</v>
      </c>
      <c r="H105" s="414" t="b">
        <f>Wh_hp&gt;='2021'!Maxi_hp</f>
        <v>0</v>
      </c>
      <c r="I105" s="380">
        <f>IF(H105,Wh_hp,'2021'!Maxi_hp)</f>
        <v>33.527563379735113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3.1111508424576995E-2</v>
      </c>
      <c r="M105" s="850"/>
      <c r="N105" s="850"/>
      <c r="O105" s="48">
        <f>IF(t&lt;Tnet,'2021'!Resal+('2021'!Salim-'2021'!Resal)*(1-EXP(('2021'!Tnet-t)/('2021'!Tau_j))),Resal+(Salim-Resal)*(1-EXP((Tnet-t)/(Tau_j))))*Salcycl</f>
        <v>6.7333122486292279E-2</v>
      </c>
      <c r="P105" s="339">
        <f>(INDEX(Models!$BJ105:$BT105,,T105)*(1-R105)+INDEX(Models!$BJ105:$BT105,,T105+1)*R105-ERP_i)*Q105*Ramure*Pc/MaxiM</f>
        <v>9.7615525147022286E-6</v>
      </c>
      <c r="Q105" s="305">
        <f t="shared" si="28"/>
        <v>0.7</v>
      </c>
      <c r="R105" s="177">
        <f t="shared" si="29"/>
        <v>0.51560487295324209</v>
      </c>
      <c r="S105" s="817">
        <f t="shared" si="30"/>
        <v>-1</v>
      </c>
      <c r="T105" s="176">
        <f t="shared" si="31"/>
        <v>5</v>
      </c>
      <c r="U105" s="251">
        <f t="shared" si="32"/>
        <v>-0.48439512704675791</v>
      </c>
      <c r="V105" s="383">
        <f t="shared" si="33"/>
        <v>34.128737816541538</v>
      </c>
      <c r="W105" s="402">
        <f t="shared" si="34"/>
        <v>0</v>
      </c>
      <c r="X105" s="157">
        <f t="shared" si="35"/>
        <v>44652</v>
      </c>
      <c r="Y105" s="385">
        <f t="shared" si="36"/>
        <v>19.915675043962384</v>
      </c>
      <c r="Z105" s="385">
        <f t="shared" si="37"/>
        <v>20.555177625837299</v>
      </c>
      <c r="AA105" s="386">
        <f t="shared" si="38"/>
        <v>23.481431093365103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0.12461989458362459</v>
      </c>
      <c r="AD105" s="231">
        <f>(INDEX(Models!$BJ105:$BT105,,AH105)*(1-AF105)+INDEX(Models!$BJ105:$BT105,,AH105+1)*AF105-ERP_i)*AE105*Ramure*Pc/MaxiM</f>
        <v>9.7615525147022286E-6</v>
      </c>
      <c r="AE105" s="305">
        <f t="shared" si="40"/>
        <v>0.7</v>
      </c>
      <c r="AF105" s="177">
        <f t="shared" si="41"/>
        <v>0.51560487295324209</v>
      </c>
      <c r="AG105" s="817">
        <f t="shared" si="49"/>
        <v>-1</v>
      </c>
      <c r="AH105" s="176">
        <f t="shared" si="42"/>
        <v>5</v>
      </c>
      <c r="AI105" s="225">
        <f t="shared" si="43"/>
        <v>-0.48439512704675791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44653</v>
      </c>
      <c r="B106" s="1106">
        <v>13.096</v>
      </c>
      <c r="C106" s="846"/>
      <c r="D106" s="393">
        <f t="shared" si="25"/>
        <v>13.516815357150005</v>
      </c>
      <c r="E106" s="385">
        <f t="shared" si="47"/>
        <v>14.494566709435682</v>
      </c>
      <c r="F106" s="385">
        <f t="shared" si="26"/>
        <v>14.494572201398373</v>
      </c>
      <c r="G106" s="110">
        <f t="shared" si="48"/>
        <v>0.38158472778227986</v>
      </c>
      <c r="H106" s="414" t="b">
        <f>Wh_hp&gt;='2021'!Maxi_hp</f>
        <v>0</v>
      </c>
      <c r="I106" s="380">
        <f>IF(H106,Wh_hp,'2021'!Maxi_hp)</f>
        <v>29.015475964814325</v>
      </c>
      <c r="J106" s="85">
        <f>IF(H106,An,'2021'!An_max)</f>
        <v>2021</v>
      </c>
      <c r="K106" s="197">
        <f t="shared" si="27"/>
        <v>44653</v>
      </c>
      <c r="L106" s="147">
        <f>IF(t&lt;Tvie,1-EXP((T0-t)*PertePVj)+'2021'!Pspv,1-EXP((T0-t)*PertePVj)+Pspv)</f>
        <v>3.1132729569129269E-2</v>
      </c>
      <c r="M106" s="850"/>
      <c r="N106" s="850"/>
      <c r="O106" s="48">
        <f>IF(t&lt;Tnet,'2021'!Resal+('2021'!Salim-'2021'!Resal)*(1-EXP(('2021'!Tnet-t)/('2021'!Tau_j))),Resal+(Salim-Resal)*(1-EXP((Tnet-t)/(Tau_j))))*Salcycl</f>
        <v>6.7456404312464288E-2</v>
      </c>
      <c r="P106" s="339">
        <f>(INDEX(Models!$BJ106:$BT106,,T106)*(1-R106)+INDEX(Models!$BJ106:$BT106,,T106+1)*R106-ERP_i)*Q106*Ramure*Pc/MaxiM</f>
        <v>3.2509142468965567E-6</v>
      </c>
      <c r="Q106" s="305">
        <f t="shared" si="28"/>
        <v>0.7</v>
      </c>
      <c r="R106" s="177">
        <f t="shared" si="29"/>
        <v>0.51623979551381816</v>
      </c>
      <c r="S106" s="817">
        <f t="shared" si="30"/>
        <v>-1</v>
      </c>
      <c r="T106" s="176">
        <f t="shared" si="31"/>
        <v>5</v>
      </c>
      <c r="U106" s="251">
        <f t="shared" si="32"/>
        <v>-0.48376020448618184</v>
      </c>
      <c r="V106" s="383">
        <f t="shared" si="33"/>
        <v>34.319933253543525</v>
      </c>
      <c r="W106" s="402">
        <f t="shared" si="34"/>
        <v>0</v>
      </c>
      <c r="X106" s="157">
        <f t="shared" si="35"/>
        <v>44653</v>
      </c>
      <c r="Y106" s="385">
        <f t="shared" si="36"/>
        <v>12.292489501642525</v>
      </c>
      <c r="Z106" s="385">
        <f t="shared" si="37"/>
        <v>12.687485558445852</v>
      </c>
      <c r="AA106" s="386">
        <f t="shared" si="38"/>
        <v>14.494566709435682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0.12467300245777303</v>
      </c>
      <c r="AD106" s="231">
        <f>(INDEX(Models!$BJ106:$BT106,,AH106)*(1-AF106)+INDEX(Models!$BJ106:$BT106,,AH106+1)*AF106-ERP_i)*AE106*Ramure*Pc/MaxiM</f>
        <v>3.2509142468965567E-6</v>
      </c>
      <c r="AE106" s="305">
        <f t="shared" si="40"/>
        <v>0.7</v>
      </c>
      <c r="AF106" s="177">
        <f t="shared" si="41"/>
        <v>0.51623979551381816</v>
      </c>
      <c r="AG106" s="817">
        <f t="shared" si="49"/>
        <v>-1</v>
      </c>
      <c r="AH106" s="176">
        <f t="shared" si="42"/>
        <v>5</v>
      </c>
      <c r="AI106" s="225">
        <f t="shared" si="43"/>
        <v>-0.48376020448618184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44654</v>
      </c>
      <c r="B107" s="1106">
        <v>15.564</v>
      </c>
      <c r="C107" s="846"/>
      <c r="D107" s="393">
        <f t="shared" si="25"/>
        <v>16.064471753792247</v>
      </c>
      <c r="E107" s="385">
        <f t="shared" si="47"/>
        <v>17.228797894617824</v>
      </c>
      <c r="F107" s="385">
        <f t="shared" si="26"/>
        <v>17.228797941325777</v>
      </c>
      <c r="G107" s="110">
        <f t="shared" si="48"/>
        <v>0.4510797083728908</v>
      </c>
      <c r="H107" s="414" t="b">
        <f>Wh_hp&gt;='2021'!Maxi_hp</f>
        <v>0</v>
      </c>
      <c r="I107" s="380">
        <f>IF(H107,Wh_hp,'2021'!Maxi_hp)</f>
        <v>37.337963589482051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3.115395024888401E-2</v>
      </c>
      <c r="M107" s="850"/>
      <c r="N107" s="850"/>
      <c r="O107" s="48">
        <f>IF(t&lt;Tnet,'2021'!Resal+('2021'!Salim-'2021'!Resal)*(1-EXP(('2021'!Tnet-t)/('2021'!Tau_j))),Resal+(Salim-Resal)*(1-EXP((Tnet-t)/(Tau_j))))*Salcycl</f>
        <v>6.7580230956757928E-2</v>
      </c>
      <c r="P107" s="339">
        <f>(INDEX(Models!$BJ107:$BT107,,T107)*(1-R107)+INDEX(Models!$BJ107:$BT107,,T107+1)*R107-ERP_i)*Q107*Ramure*Pc/MaxiM</f>
        <v>1.2561102470474303E-8</v>
      </c>
      <c r="Q107" s="305">
        <f t="shared" si="28"/>
        <v>0.7</v>
      </c>
      <c r="R107" s="177">
        <f t="shared" si="29"/>
        <v>0.51689834653249056</v>
      </c>
      <c r="S107" s="817">
        <f t="shared" si="30"/>
        <v>-1</v>
      </c>
      <c r="T107" s="176">
        <f t="shared" si="31"/>
        <v>5</v>
      </c>
      <c r="U107" s="251">
        <f t="shared" si="32"/>
        <v>-0.48310165346750938</v>
      </c>
      <c r="V107" s="383">
        <f t="shared" si="33"/>
        <v>34.50387937607568</v>
      </c>
      <c r="W107" s="402">
        <f t="shared" si="34"/>
        <v>0</v>
      </c>
      <c r="X107" s="157">
        <f t="shared" si="35"/>
        <v>44654</v>
      </c>
      <c r="Y107" s="385">
        <f t="shared" si="36"/>
        <v>14.610098033143689</v>
      </c>
      <c r="Z107" s="385">
        <f t="shared" si="37"/>
        <v>15.079896374554899</v>
      </c>
      <c r="AA107" s="386">
        <f t="shared" si="38"/>
        <v>17.228797894617824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0.12472730443568725</v>
      </c>
      <c r="AD107" s="231">
        <f>(INDEX(Models!$BJ107:$BT107,,AH107)*(1-AF107)+INDEX(Models!$BJ107:$BT107,,AH107+1)*AF107-ERP_i)*AE107*Ramure*Pc/MaxiM</f>
        <v>1.2561102470474303E-8</v>
      </c>
      <c r="AE107" s="305">
        <f t="shared" si="40"/>
        <v>0.7</v>
      </c>
      <c r="AF107" s="177">
        <f t="shared" si="41"/>
        <v>0.51689834653249056</v>
      </c>
      <c r="AG107" s="817">
        <f t="shared" si="49"/>
        <v>-1</v>
      </c>
      <c r="AH107" s="176">
        <f t="shared" si="42"/>
        <v>5</v>
      </c>
      <c r="AI107" s="225">
        <f t="shared" si="43"/>
        <v>-0.48310165346750938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44655</v>
      </c>
      <c r="B108" s="1106">
        <v>28.343</v>
      </c>
      <c r="C108" s="846"/>
      <c r="D108" s="393">
        <f t="shared" si="25"/>
        <v>29.25503056478227</v>
      </c>
      <c r="E108" s="385">
        <f t="shared" si="47"/>
        <v>31.379572898574065</v>
      </c>
      <c r="F108" s="385">
        <f t="shared" si="26"/>
        <v>31.379573106990492</v>
      </c>
      <c r="G108" s="110">
        <f t="shared" si="48"/>
        <v>0.81725099610385721</v>
      </c>
      <c r="H108" s="414" t="b">
        <f>Wh_hp&gt;='2021'!Maxi_hp</f>
        <v>0</v>
      </c>
      <c r="I108" s="380">
        <f>IF(H108,Wh_hp,'2021'!Maxi_hp)</f>
        <v>39.674347557533999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3.1175170463851432E-2</v>
      </c>
      <c r="M108" s="850"/>
      <c r="N108" s="850"/>
      <c r="O108" s="48">
        <f>IF(t&lt;Tnet,'2021'!Resal+('2021'!Salim-'2021'!Resal)*(1-EXP(('2021'!Tnet-t)/('2021'!Tau_j))),Resal+(Salim-Resal)*(1-EXP((Tnet-t)/(Tau_j))))*Salcycl</f>
        <v>6.7704628761481173E-2</v>
      </c>
      <c r="P108" s="339">
        <f>(INDEX(Models!$BJ108:$BT108,,T108)*(1-R108)+INDEX(Models!$BJ108:$BT108,,T108+1)*R108-ERP_i)*Q108*Ramure*Pc/MaxiM</f>
        <v>8.988384032315661E-9</v>
      </c>
      <c r="Q108" s="305">
        <f t="shared" si="28"/>
        <v>0.7</v>
      </c>
      <c r="R108" s="177">
        <f t="shared" si="29"/>
        <v>0.5175812822942143</v>
      </c>
      <c r="S108" s="817">
        <f t="shared" si="30"/>
        <v>-1</v>
      </c>
      <c r="T108" s="176">
        <f t="shared" si="31"/>
        <v>5</v>
      </c>
      <c r="U108" s="251">
        <f t="shared" si="32"/>
        <v>-0.48241871770578565</v>
      </c>
      <c r="V108" s="383">
        <f t="shared" si="33"/>
        <v>34.680899832012599</v>
      </c>
      <c r="W108" s="402">
        <f t="shared" si="34"/>
        <v>0</v>
      </c>
      <c r="X108" s="157">
        <f t="shared" si="35"/>
        <v>44655</v>
      </c>
      <c r="Y108" s="385">
        <f t="shared" si="36"/>
        <v>26.607747529821342</v>
      </c>
      <c r="Z108" s="385">
        <f t="shared" si="37"/>
        <v>27.463940558336567</v>
      </c>
      <c r="AA108" s="386">
        <f t="shared" si="38"/>
        <v>31.379572898574065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0.12478284369560143</v>
      </c>
      <c r="AD108" s="231">
        <f>(INDEX(Models!$BJ108:$BT108,,AH108)*(1-AF108)+INDEX(Models!$BJ108:$BT108,,AH108+1)*AF108-ERP_i)*AE108*Ramure*Pc/MaxiM</f>
        <v>8.988384032315661E-9</v>
      </c>
      <c r="AE108" s="305">
        <f t="shared" si="40"/>
        <v>0.7</v>
      </c>
      <c r="AF108" s="177">
        <f t="shared" si="41"/>
        <v>0.5175812822942143</v>
      </c>
      <c r="AG108" s="817">
        <f t="shared" si="49"/>
        <v>-1</v>
      </c>
      <c r="AH108" s="176">
        <f t="shared" si="42"/>
        <v>5</v>
      </c>
      <c r="AI108" s="225">
        <f t="shared" si="43"/>
        <v>-0.48241871770578565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44656</v>
      </c>
      <c r="B109" s="1106">
        <v>34.94</v>
      </c>
      <c r="C109" s="846"/>
      <c r="D109" s="393">
        <f t="shared" si="25"/>
        <v>36.06510096274252</v>
      </c>
      <c r="E109" s="385">
        <f t="shared" si="47"/>
        <v>38.689387557524</v>
      </c>
      <c r="F109" s="385">
        <f t="shared" si="26"/>
        <v>38.689387790565419</v>
      </c>
      <c r="G109" s="110">
        <f t="shared" si="48"/>
        <v>1.0025367346454541</v>
      </c>
      <c r="H109" s="414" t="b">
        <f>Wh_hp&gt;='2021'!Maxi_hp</f>
        <v>0</v>
      </c>
      <c r="I109" s="380">
        <f>IF(H109,Wh_hp,'2021'!Maxi_hp)</f>
        <v>39.549856186864908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3.1196390214041636E-2</v>
      </c>
      <c r="M109" s="850"/>
      <c r="N109" s="850"/>
      <c r="O109" s="48">
        <f>IF(t&lt;Tnet,'2021'!Resal+('2021'!Salim-'2021'!Resal)*(1-EXP(('2021'!Tnet-t)/('2021'!Tau_j))),Resal+(Salim-Resal)*(1-EXP((Tnet-t)/(Tau_j))))*Salcycl</f>
        <v>6.782962358552852E-2</v>
      </c>
      <c r="P109" s="339">
        <f>(INDEX(Models!$BJ109:$BT109,,T109)*(1-R109)+INDEX(Models!$BJ109:$BT109,,T109+1)*R109-ERP_i)*Q109*Ramure*Pc/MaxiM</f>
        <v>6.0233937897638957E-9</v>
      </c>
      <c r="Q109" s="305">
        <f t="shared" si="28"/>
        <v>0.7</v>
      </c>
      <c r="R109" s="177">
        <f t="shared" si="29"/>
        <v>0.51828937341702441</v>
      </c>
      <c r="S109" s="817">
        <f t="shared" si="30"/>
        <v>-1</v>
      </c>
      <c r="T109" s="176">
        <f t="shared" si="31"/>
        <v>5</v>
      </c>
      <c r="U109" s="251">
        <f t="shared" si="32"/>
        <v>-0.48171062658297559</v>
      </c>
      <c r="V109" s="383">
        <f t="shared" si="33"/>
        <v>34.851590762264173</v>
      </c>
      <c r="W109" s="402">
        <f t="shared" si="34"/>
        <v>0</v>
      </c>
      <c r="X109" s="157">
        <f t="shared" si="35"/>
        <v>44656</v>
      </c>
      <c r="Y109" s="385">
        <f t="shared" si="36"/>
        <v>32.803125879867181</v>
      </c>
      <c r="Z109" s="385">
        <f t="shared" si="37"/>
        <v>33.859417479993191</v>
      </c>
      <c r="AA109" s="386">
        <f t="shared" si="38"/>
        <v>38.689387557524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0.12483966230660877</v>
      </c>
      <c r="AD109" s="231">
        <f>(INDEX(Models!$BJ109:$BT109,,AH109)*(1-AF109)+INDEX(Models!$BJ109:$BT109,,AH109+1)*AF109-ERP_i)*AE109*Ramure*Pc/MaxiM</f>
        <v>6.0233937897638957E-9</v>
      </c>
      <c r="AE109" s="305">
        <f t="shared" si="40"/>
        <v>0.7</v>
      </c>
      <c r="AF109" s="177">
        <f t="shared" si="41"/>
        <v>0.51828937341702441</v>
      </c>
      <c r="AG109" s="817">
        <f t="shared" si="49"/>
        <v>-1</v>
      </c>
      <c r="AH109" s="176">
        <f t="shared" si="42"/>
        <v>5</v>
      </c>
      <c r="AI109" s="225">
        <f t="shared" si="43"/>
        <v>-0.48171062658297559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44657</v>
      </c>
      <c r="B110" s="1106">
        <v>8.0359999999999996</v>
      </c>
      <c r="C110" s="846"/>
      <c r="D110" s="393">
        <f t="shared" si="25"/>
        <v>8.2949484619018392</v>
      </c>
      <c r="E110" s="385">
        <f t="shared" si="47"/>
        <v>8.899731884760758</v>
      </c>
      <c r="F110" s="385">
        <f t="shared" si="26"/>
        <v>8.899731884760758</v>
      </c>
      <c r="G110" s="110">
        <f t="shared" si="48"/>
        <v>0.22949222280120324</v>
      </c>
      <c r="H110" s="414" t="b">
        <f>Wh_hp&gt;='2021'!Maxi_hp</f>
        <v>0</v>
      </c>
      <c r="I110" s="380">
        <f>IF(H110,Wh_hp,'2021'!Maxi_hp)</f>
        <v>39.474372462150207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3.1217609499464949E-2</v>
      </c>
      <c r="M110" s="850"/>
      <c r="N110" s="850"/>
      <c r="O110" s="48">
        <f>IF(t&lt;Tnet,'2021'!Resal+('2021'!Salim-'2021'!Resal)*(1-EXP(('2021'!Tnet-t)/('2021'!Tau_j))),Resal+(Salim-Resal)*(1-EXP((Tnet-t)/(Tau_j))))*Salcycl</f>
        <v>6.7955240752196694E-2</v>
      </c>
      <c r="P110" s="339">
        <f>(INDEX(Models!$BJ110:$BT110,,T110)*(1-R110)+INDEX(Models!$BJ110:$BT110,,T110+1)*R110-ERP_i)*Q110*Ramure*Pc/MaxiM</f>
        <v>3.6582187874101645E-9</v>
      </c>
      <c r="Q110" s="305">
        <f t="shared" si="28"/>
        <v>0.7</v>
      </c>
      <c r="R110" s="177">
        <f t="shared" si="29"/>
        <v>0.51902340428219573</v>
      </c>
      <c r="S110" s="817">
        <f t="shared" si="30"/>
        <v>-1</v>
      </c>
      <c r="T110" s="176">
        <f t="shared" si="31"/>
        <v>5</v>
      </c>
      <c r="U110" s="251">
        <f t="shared" si="32"/>
        <v>-0.48097659571780421</v>
      </c>
      <c r="V110" s="383">
        <f t="shared" si="33"/>
        <v>35.016437038756237</v>
      </c>
      <c r="W110" s="402">
        <f t="shared" si="34"/>
        <v>0</v>
      </c>
      <c r="X110" s="157">
        <f t="shared" si="35"/>
        <v>44657</v>
      </c>
      <c r="Y110" s="385">
        <f t="shared" si="36"/>
        <v>7.5450467375647232</v>
      </c>
      <c r="Z110" s="385">
        <f t="shared" si="37"/>
        <v>7.7881749416052752</v>
      </c>
      <c r="AA110" s="386">
        <f t="shared" si="38"/>
        <v>8.899731884760758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0.12489780114149628</v>
      </c>
      <c r="AD110" s="231">
        <f>(INDEX(Models!$BJ110:$BT110,,AH110)*(1-AF110)+INDEX(Models!$BJ110:$BT110,,AH110+1)*AF110-ERP_i)*AE110*Ramure*Pc/MaxiM</f>
        <v>3.6582187874101645E-9</v>
      </c>
      <c r="AE110" s="305">
        <f t="shared" si="40"/>
        <v>0.7</v>
      </c>
      <c r="AF110" s="177">
        <f t="shared" si="41"/>
        <v>0.51902340428219573</v>
      </c>
      <c r="AG110" s="817">
        <f t="shared" si="49"/>
        <v>-1</v>
      </c>
      <c r="AH110" s="176">
        <f t="shared" si="42"/>
        <v>5</v>
      </c>
      <c r="AI110" s="225">
        <f t="shared" si="43"/>
        <v>-0.48097659571780421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44658</v>
      </c>
      <c r="B111" s="1106">
        <v>25.975999999999999</v>
      </c>
      <c r="C111" s="846"/>
      <c r="D111" s="393">
        <f t="shared" si="25"/>
        <v>26.813626267614161</v>
      </c>
      <c r="E111" s="385">
        <f t="shared" si="47"/>
        <v>28.772501470274811</v>
      </c>
      <c r="F111" s="385">
        <f t="shared" si="26"/>
        <v>28.772501504267613</v>
      </c>
      <c r="G111" s="110">
        <f t="shared" si="48"/>
        <v>0.73845965024088078</v>
      </c>
      <c r="H111" s="414" t="b">
        <f>Wh_hp&gt;='2021'!Maxi_hp</f>
        <v>0</v>
      </c>
      <c r="I111" s="380">
        <f>IF(H111,Wh_hp,'2021'!Maxi_hp)</f>
        <v>39.698812303963905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3.1238828320131362E-2</v>
      </c>
      <c r="M111" s="850"/>
      <c r="N111" s="850"/>
      <c r="O111" s="48">
        <f>IF(t&lt;Tnet,'2021'!Resal+('2021'!Salim-'2021'!Resal)*(1-EXP(('2021'!Tnet-t)/('2021'!Tau_j))),Resal+(Salim-Resal)*(1-EXP((Tnet-t)/(Tau_j))))*Salcycl</f>
        <v>6.808150499824922E-2</v>
      </c>
      <c r="P111" s="339">
        <f>(INDEX(Models!$BJ111:$BT111,,T111)*(1-R111)+INDEX(Models!$BJ111:$BT111,,T111+1)*R111-ERP_i)*Q111*Ramure*Pc/MaxiM</f>
        <v>1.8861565691243547E-9</v>
      </c>
      <c r="Q111" s="305">
        <f t="shared" si="28"/>
        <v>0.7</v>
      </c>
      <c r="R111" s="177">
        <f t="shared" si="29"/>
        <v>0.51978417237562535</v>
      </c>
      <c r="S111" s="817">
        <f t="shared" si="30"/>
        <v>-1</v>
      </c>
      <c r="T111" s="176">
        <f t="shared" si="31"/>
        <v>5</v>
      </c>
      <c r="U111" s="251">
        <f t="shared" si="32"/>
        <v>-0.4802158276243747</v>
      </c>
      <c r="V111" s="383">
        <f t="shared" si="33"/>
        <v>35.175923252165383</v>
      </c>
      <c r="W111" s="402">
        <f t="shared" si="34"/>
        <v>0</v>
      </c>
      <c r="X111" s="157">
        <f t="shared" si="35"/>
        <v>44658</v>
      </c>
      <c r="Y111" s="385">
        <f t="shared" si="36"/>
        <v>24.39066216895522</v>
      </c>
      <c r="Z111" s="385">
        <f t="shared" si="37"/>
        <v>25.17716737827228</v>
      </c>
      <c r="AA111" s="386">
        <f t="shared" si="38"/>
        <v>28.772501470274811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0.12495729979254362</v>
      </c>
      <c r="AD111" s="231">
        <f>(INDEX(Models!$BJ111:$BT111,,AH111)*(1-AF111)+INDEX(Models!$BJ111:$BT111,,AH111+1)*AF111-ERP_i)*AE111*Ramure*Pc/MaxiM</f>
        <v>1.8861565691243547E-9</v>
      </c>
      <c r="AE111" s="305">
        <f t="shared" si="40"/>
        <v>0.7</v>
      </c>
      <c r="AF111" s="177">
        <f t="shared" si="41"/>
        <v>0.51978417237562535</v>
      </c>
      <c r="AG111" s="817">
        <f t="shared" si="49"/>
        <v>-1</v>
      </c>
      <c r="AH111" s="176">
        <f t="shared" si="42"/>
        <v>5</v>
      </c>
      <c r="AI111" s="225">
        <f t="shared" si="43"/>
        <v>-0.4802158276243747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44659</v>
      </c>
      <c r="B112" s="1106">
        <v>20.481000000000002</v>
      </c>
      <c r="C112" s="846"/>
      <c r="D112" s="393">
        <f t="shared" si="25"/>
        <v>21.141896676941439</v>
      </c>
      <c r="E112" s="385">
        <f t="shared" si="47"/>
        <v>22.689512970647403</v>
      </c>
      <c r="F112" s="385">
        <f t="shared" si="26"/>
        <v>22.689512977008199</v>
      </c>
      <c r="G112" s="110">
        <f t="shared" si="48"/>
        <v>0.57969687500727962</v>
      </c>
      <c r="H112" s="414" t="b">
        <f>Wh_hp&gt;='2021'!Maxi_hp</f>
        <v>0</v>
      </c>
      <c r="I112" s="380">
        <f>IF(H112,Wh_hp,'2021'!Maxi_hp)</f>
        <v>36.829222658134903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3.126004667605109E-2</v>
      </c>
      <c r="M112" s="850"/>
      <c r="N112" s="850"/>
      <c r="O112" s="48">
        <f>IF(t&lt;Tnet,'2021'!Resal+('2021'!Salim-'2021'!Resal)*(1-EXP(('2021'!Tnet-t)/('2021'!Tau_j))),Resal+(Salim-Resal)*(1-EXP((Tnet-t)/(Tau_j))))*Salcycl</f>
        <v>6.8208440423911304E-2</v>
      </c>
      <c r="P112" s="339">
        <f>(INDEX(Models!$BJ112:$BT112,,T112)*(1-R112)+INDEX(Models!$BJ112:$BT112,,T112+1)*R112-ERP_i)*Q112*Ramure*Pc/MaxiM</f>
        <v>7.0161148049218352E-10</v>
      </c>
      <c r="Q112" s="305">
        <f t="shared" si="28"/>
        <v>0.7</v>
      </c>
      <c r="R112" s="177">
        <f t="shared" si="29"/>
        <v>0.52057248753481145</v>
      </c>
      <c r="S112" s="817">
        <f t="shared" si="30"/>
        <v>-1</v>
      </c>
      <c r="T112" s="176">
        <f t="shared" si="31"/>
        <v>5</v>
      </c>
      <c r="U112" s="251">
        <f t="shared" si="32"/>
        <v>-0.47942751246518861</v>
      </c>
      <c r="V112" s="383">
        <f t="shared" si="33"/>
        <v>35.330533722671461</v>
      </c>
      <c r="W112" s="402">
        <f t="shared" si="34"/>
        <v>0</v>
      </c>
      <c r="X112" s="157">
        <f t="shared" si="35"/>
        <v>44659</v>
      </c>
      <c r="Y112" s="385">
        <f t="shared" si="36"/>
        <v>19.232308055943196</v>
      </c>
      <c r="Z112" s="385">
        <f t="shared" si="37"/>
        <v>19.85291097982811</v>
      </c>
      <c r="AA112" s="386">
        <f t="shared" si="38"/>
        <v>22.689512970647403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0.12501819648966905</v>
      </c>
      <c r="AD112" s="231">
        <f>(INDEX(Models!$BJ112:$BT112,,AH112)*(1-AF112)+INDEX(Models!$BJ112:$BT112,,AH112+1)*AF112-ERP_i)*AE112*Ramure*Pc/MaxiM</f>
        <v>7.0161148049218352E-10</v>
      </c>
      <c r="AE112" s="305">
        <f t="shared" si="40"/>
        <v>0.7</v>
      </c>
      <c r="AF112" s="177">
        <f t="shared" si="41"/>
        <v>0.52057248753481145</v>
      </c>
      <c r="AG112" s="817">
        <f t="shared" si="49"/>
        <v>-1</v>
      </c>
      <c r="AH112" s="176">
        <f t="shared" si="42"/>
        <v>5</v>
      </c>
      <c r="AI112" s="225">
        <f t="shared" si="43"/>
        <v>-0.47942751246518861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44660</v>
      </c>
      <c r="B113" s="1106">
        <v>24.721</v>
      </c>
      <c r="C113" s="846"/>
      <c r="D113" s="393">
        <f t="shared" si="25"/>
        <v>25.519275199066051</v>
      </c>
      <c r="E113" s="385">
        <f t="shared" si="47"/>
        <v>27.391073529285155</v>
      </c>
      <c r="F113" s="385">
        <f t="shared" si="26"/>
        <v>27.391073530837588</v>
      </c>
      <c r="G113" s="110">
        <f t="shared" si="48"/>
        <v>0.69674396012509376</v>
      </c>
      <c r="H113" s="414" t="b">
        <f>Wh_hp&gt;='2021'!Maxi_hp</f>
        <v>0</v>
      </c>
      <c r="I113" s="380">
        <f>IF(H113,Wh_hp,'2021'!Maxi_hp)</f>
        <v>33.294727279888392</v>
      </c>
      <c r="J113" s="85">
        <f>IF(H113,An,'2021'!An_max)</f>
        <v>2020</v>
      </c>
      <c r="K113" s="197">
        <f t="shared" si="27"/>
        <v>44660</v>
      </c>
      <c r="L113" s="147">
        <f>IF(t&lt;Tvie,1-EXP((T0-t)*PertePVj)+'2021'!Pspv,1-EXP((T0-t)*PertePVj)+Pspv)</f>
        <v>3.1281264567234457E-2</v>
      </c>
      <c r="M113" s="850"/>
      <c r="N113" s="850"/>
      <c r="O113" s="48">
        <f>IF(t&lt;Tnet,'2021'!Resal+('2021'!Salim-'2021'!Resal)*(1-EXP(('2021'!Tnet-t)/('2021'!Tau_j))),Resal+(Salim-Resal)*(1-EXP((Tnet-t)/(Tau_j))))*Salcycl</f>
        <v>6.8336070443455729E-2</v>
      </c>
      <c r="P113" s="339">
        <f>(INDEX(Models!$BJ113:$BT113,,T113)*(1-R113)+INDEX(Models!$BJ113:$BT113,,T113+1)*R113-ERP_i)*Q113*Ramure*Pc/MaxiM</f>
        <v>9.9998047257060587E-11</v>
      </c>
      <c r="Q113" s="305">
        <f t="shared" si="28"/>
        <v>0.7</v>
      </c>
      <c r="R113" s="177">
        <f t="shared" si="29"/>
        <v>0.52138917109574012</v>
      </c>
      <c r="S113" s="817">
        <f t="shared" si="30"/>
        <v>-1</v>
      </c>
      <c r="T113" s="176">
        <f t="shared" si="31"/>
        <v>5</v>
      </c>
      <c r="U113" s="251">
        <f t="shared" si="32"/>
        <v>-0.47861082890425988</v>
      </c>
      <c r="V113" s="383">
        <f t="shared" si="33"/>
        <v>35.480752491188632</v>
      </c>
      <c r="W113" s="402">
        <f t="shared" si="34"/>
        <v>0</v>
      </c>
      <c r="X113" s="157">
        <f t="shared" si="35"/>
        <v>44660</v>
      </c>
      <c r="Y113" s="385">
        <f t="shared" si="36"/>
        <v>23.21532859719682</v>
      </c>
      <c r="Z113" s="385">
        <f t="shared" si="37"/>
        <v>23.964983589200017</v>
      </c>
      <c r="AA113" s="386">
        <f t="shared" si="38"/>
        <v>27.391073529285155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0.12508052802027397</v>
      </c>
      <c r="AD113" s="231">
        <f>(INDEX(Models!$BJ113:$BT113,,AH113)*(1-AF113)+INDEX(Models!$BJ113:$BT113,,AH113+1)*AF113-ERP_i)*AE113*Ramure*Pc/MaxiM</f>
        <v>9.9998047257060587E-11</v>
      </c>
      <c r="AE113" s="305">
        <f t="shared" si="40"/>
        <v>0.7</v>
      </c>
      <c r="AF113" s="177">
        <f t="shared" si="41"/>
        <v>0.52138917109574012</v>
      </c>
      <c r="AG113" s="817">
        <f t="shared" si="49"/>
        <v>-1</v>
      </c>
      <c r="AH113" s="176">
        <f t="shared" si="42"/>
        <v>5</v>
      </c>
      <c r="AI113" s="225">
        <f t="shared" si="43"/>
        <v>-0.47861082890425988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44661</v>
      </c>
      <c r="B114" s="1106">
        <v>34.994999999999997</v>
      </c>
      <c r="C114" s="846"/>
      <c r="D114" s="393">
        <f t="shared" si="25"/>
        <v>36.125828083077735</v>
      </c>
      <c r="E114" s="385">
        <f t="shared" si="47"/>
        <v>38.780942747542312</v>
      </c>
      <c r="F114" s="385">
        <f t="shared" si="26"/>
        <v>38.780942750477344</v>
      </c>
      <c r="G114" s="110">
        <f t="shared" si="48"/>
        <v>0.98225889903417229</v>
      </c>
      <c r="H114" s="414" t="b">
        <f>Wh_hp&gt;='2021'!Maxi_hp</f>
        <v>1</v>
      </c>
      <c r="I114" s="380">
        <f>IF(H114,Wh_hp,'2021'!Maxi_hp)</f>
        <v>38.780942750477344</v>
      </c>
      <c r="J114" s="85">
        <f>IF(H114,An,'2021'!An_max)</f>
        <v>2022</v>
      </c>
      <c r="K114" s="197">
        <f t="shared" si="27"/>
        <v>44661</v>
      </c>
      <c r="L114" s="147">
        <f>IF(t&lt;Tvie,1-EXP((T0-t)*PertePVj)+'2021'!Pspv,1-EXP((T0-t)*PertePVj)+Pspv)</f>
        <v>3.1302481993691567E-2</v>
      </c>
      <c r="M114" s="850"/>
      <c r="N114" s="850"/>
      <c r="O114" s="48">
        <f>IF(t&lt;Tnet,'2021'!Resal+('2021'!Salim-'2021'!Resal)*(1-EXP(('2021'!Tnet-t)/('2021'!Tau_j))),Resal+(Salim-Resal)*(1-EXP((Tnet-t)/(Tau_j))))*Salcycl</f>
        <v>6.8464417736024338E-2</v>
      </c>
      <c r="P114" s="339">
        <f>(INDEX(Models!$BJ114:$BT114,,T114)*(1-R114)+INDEX(Models!$BJ114:$BT114,,T114+1)*R114-ERP_i)*Q114*Ramure*Pc/MaxiM</f>
        <v>7.7650361006549519E-11</v>
      </c>
      <c r="Q114" s="305">
        <f t="shared" si="28"/>
        <v>0.7</v>
      </c>
      <c r="R114" s="177">
        <f t="shared" si="29"/>
        <v>0.52223505493395539</v>
      </c>
      <c r="S114" s="817">
        <f t="shared" si="30"/>
        <v>-1</v>
      </c>
      <c r="T114" s="176">
        <f t="shared" si="31"/>
        <v>5</v>
      </c>
      <c r="U114" s="251">
        <f t="shared" si="32"/>
        <v>-0.47776494506604456</v>
      </c>
      <c r="V114" s="383">
        <f t="shared" si="33"/>
        <v>35.627063327540966</v>
      </c>
      <c r="W114" s="402">
        <f t="shared" si="34"/>
        <v>0</v>
      </c>
      <c r="X114" s="157">
        <f t="shared" si="35"/>
        <v>44661</v>
      </c>
      <c r="Y114" s="385">
        <f t="shared" si="36"/>
        <v>32.865705579906013</v>
      </c>
      <c r="Z114" s="385">
        <f t="shared" si="37"/>
        <v>33.927727664201555</v>
      </c>
      <c r="AA114" s="386">
        <f t="shared" si="38"/>
        <v>38.780942747542312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0.1251443296501171</v>
      </c>
      <c r="AD114" s="231">
        <f>(INDEX(Models!$BJ114:$BT114,,AH114)*(1-AF114)+INDEX(Models!$BJ114:$BT114,,AH114+1)*AF114-ERP_i)*AE114*Ramure*Pc/MaxiM</f>
        <v>7.7650361006549519E-11</v>
      </c>
      <c r="AE114" s="305">
        <f t="shared" si="40"/>
        <v>0.7</v>
      </c>
      <c r="AF114" s="177">
        <f t="shared" si="41"/>
        <v>0.52223505493395539</v>
      </c>
      <c r="AG114" s="817">
        <f t="shared" si="49"/>
        <v>-1</v>
      </c>
      <c r="AH114" s="176">
        <f t="shared" si="42"/>
        <v>5</v>
      </c>
      <c r="AI114" s="225">
        <f t="shared" si="43"/>
        <v>-0.47776494506604456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44662</v>
      </c>
      <c r="B115" s="1106">
        <v>28.047000000000001</v>
      </c>
      <c r="C115" s="846"/>
      <c r="D115" s="393">
        <f t="shared" si="25"/>
        <v>28.953944645652683</v>
      </c>
      <c r="E115" s="385">
        <f t="shared" si="47"/>
        <v>31.086260162561366</v>
      </c>
      <c r="F115" s="385">
        <f t="shared" si="26"/>
        <v>31.086260163811616</v>
      </c>
      <c r="G115" s="110">
        <f t="shared" si="48"/>
        <v>0.78409391682851004</v>
      </c>
      <c r="H115" s="414" t="b">
        <f>Wh_hp&gt;='2021'!Maxi_hp</f>
        <v>0</v>
      </c>
      <c r="I115" s="380">
        <f>IF(H115,Wh_hp,'2021'!Maxi_hp)</f>
        <v>39.310121110453636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3.1323698955432522E-2</v>
      </c>
      <c r="M115" s="850"/>
      <c r="N115" s="850"/>
      <c r="O115" s="48">
        <f>IF(t&lt;Tnet,'2021'!Resal+('2021'!Salim-'2021'!Resal)*(1-EXP(('2021'!Tnet-t)/('2021'!Tau_j))),Resal+(Salim-Resal)*(1-EXP((Tnet-t)/(Tau_j))))*Salcycl</f>
        <v>6.8593504196324387E-2</v>
      </c>
      <c r="P115" s="339">
        <f>(INDEX(Models!$BJ115:$BT115,,T115)*(1-R115)+INDEX(Models!$BJ115:$BT115,,T115+1)*R115-ERP_i)*Q115*Ramure*Pc/MaxiM</f>
        <v>5.8156245883422729E-11</v>
      </c>
      <c r="Q115" s="305">
        <f t="shared" si="28"/>
        <v>0.7</v>
      </c>
      <c r="R115" s="177">
        <f t="shared" si="29"/>
        <v>0.52311098039409765</v>
      </c>
      <c r="S115" s="817">
        <f t="shared" si="30"/>
        <v>-1</v>
      </c>
      <c r="T115" s="176">
        <f t="shared" si="31"/>
        <v>5</v>
      </c>
      <c r="U115" s="251">
        <f t="shared" si="32"/>
        <v>-0.4768890196059023</v>
      </c>
      <c r="V115" s="383">
        <f t="shared" si="33"/>
        <v>35.769949743955337</v>
      </c>
      <c r="W115" s="402">
        <f t="shared" si="34"/>
        <v>0</v>
      </c>
      <c r="X115" s="157">
        <f t="shared" si="35"/>
        <v>44662</v>
      </c>
      <c r="Y115" s="385">
        <f t="shared" si="36"/>
        <v>26.342145428924802</v>
      </c>
      <c r="Z115" s="385">
        <f t="shared" si="37"/>
        <v>27.193960872707297</v>
      </c>
      <c r="AA115" s="386">
        <f t="shared" si="38"/>
        <v>31.086260162561366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0.12520963504454441</v>
      </c>
      <c r="AD115" s="231">
        <f>(INDEX(Models!$BJ115:$BT115,,AH115)*(1-AF115)+INDEX(Models!$BJ115:$BT115,,AH115+1)*AF115-ERP_i)*AE115*Ramure*Pc/MaxiM</f>
        <v>5.8156245883422729E-11</v>
      </c>
      <c r="AE115" s="305">
        <f t="shared" si="40"/>
        <v>0.7</v>
      </c>
      <c r="AF115" s="177">
        <f t="shared" si="41"/>
        <v>0.52311098039409765</v>
      </c>
      <c r="AG115" s="817">
        <f t="shared" si="49"/>
        <v>-1</v>
      </c>
      <c r="AH115" s="176">
        <f t="shared" si="42"/>
        <v>5</v>
      </c>
      <c r="AI115" s="225">
        <f t="shared" si="43"/>
        <v>-0.4768890196059023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44663</v>
      </c>
      <c r="B116" s="1106">
        <v>23.795000000000002</v>
      </c>
      <c r="C116" s="846"/>
      <c r="D116" s="393">
        <f t="shared" si="25"/>
        <v>24.564987454863626</v>
      </c>
      <c r="E116" s="385">
        <f t="shared" si="47"/>
        <v>26.377755179627556</v>
      </c>
      <c r="F116" s="385">
        <f t="shared" si="26"/>
        <v>26.377755180194516</v>
      </c>
      <c r="G116" s="110">
        <f t="shared" si="48"/>
        <v>0.66263073246043203</v>
      </c>
      <c r="H116" s="414" t="b">
        <f>Wh_hp&gt;='2021'!Maxi_hp</f>
        <v>0</v>
      </c>
      <c r="I116" s="380">
        <f>IF(H116,Wh_hp,'2021'!Maxi_hp)</f>
        <v>40.636382536630947</v>
      </c>
      <c r="J116" s="85">
        <f>IF(H116,An,'2021'!An_max)</f>
        <v>2019</v>
      </c>
      <c r="K116" s="197">
        <f t="shared" si="27"/>
        <v>44663</v>
      </c>
      <c r="L116" s="147">
        <f>IF(t&lt;Tvie,1-EXP((T0-t)*PertePVj)+'2021'!Pspv,1-EXP((T0-t)*PertePVj)+Pspv)</f>
        <v>3.1344915452467537E-2</v>
      </c>
      <c r="M116" s="850"/>
      <c r="N116" s="850"/>
      <c r="O116" s="48">
        <f>IF(t&lt;Tnet,'2021'!Resal+('2021'!Salim-'2021'!Resal)*(1-EXP(('2021'!Tnet-t)/('2021'!Tau_j))),Resal+(Salim-Resal)*(1-EXP((Tnet-t)/(Tau_j))))*Salcycl</f>
        <v>6.8723350884839274E-2</v>
      </c>
      <c r="P116" s="339">
        <f>(INDEX(Models!$BJ116:$BT116,,T116)*(1-R116)+INDEX(Models!$BJ116:$BT116,,T116+1)*R116-ERP_i)*Q116*Ramure*Pc/MaxiM</f>
        <v>4.1490589422557456E-11</v>
      </c>
      <c r="Q116" s="305">
        <f t="shared" si="28"/>
        <v>0.7</v>
      </c>
      <c r="R116" s="177">
        <f t="shared" si="29"/>
        <v>0.52401779710224805</v>
      </c>
      <c r="S116" s="817">
        <f t="shared" si="30"/>
        <v>-1</v>
      </c>
      <c r="T116" s="176">
        <f t="shared" si="31"/>
        <v>5</v>
      </c>
      <c r="U116" s="251">
        <f t="shared" si="32"/>
        <v>-0.47598220289775195</v>
      </c>
      <c r="V116" s="383">
        <f t="shared" si="33"/>
        <v>35.909894959399658</v>
      </c>
      <c r="W116" s="402">
        <f t="shared" si="34"/>
        <v>0</v>
      </c>
      <c r="X116" s="157">
        <f t="shared" si="35"/>
        <v>44663</v>
      </c>
      <c r="Y116" s="385">
        <f t="shared" si="36"/>
        <v>22.350014111112007</v>
      </c>
      <c r="Z116" s="385">
        <f t="shared" si="37"/>
        <v>23.073242960936813</v>
      </c>
      <c r="AA116" s="386">
        <f t="shared" si="38"/>
        <v>26.377755179627556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0.12527647618941173</v>
      </c>
      <c r="AD116" s="231">
        <f>(INDEX(Models!$BJ116:$BT116,,AH116)*(1-AF116)+INDEX(Models!$BJ116:$BT116,,AH116+1)*AF116-ERP_i)*AE116*Ramure*Pc/MaxiM</f>
        <v>4.1490589422557456E-11</v>
      </c>
      <c r="AE116" s="305">
        <f t="shared" si="40"/>
        <v>0.7</v>
      </c>
      <c r="AF116" s="177">
        <f t="shared" si="41"/>
        <v>0.52401779710224805</v>
      </c>
      <c r="AG116" s="817">
        <f t="shared" si="49"/>
        <v>-1</v>
      </c>
      <c r="AH116" s="176">
        <f t="shared" si="42"/>
        <v>5</v>
      </c>
      <c r="AI116" s="225">
        <f t="shared" si="43"/>
        <v>-0.47598220289775195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44664</v>
      </c>
      <c r="B117" s="1106">
        <v>4.6219999999999999</v>
      </c>
      <c r="C117" s="846"/>
      <c r="D117" s="393">
        <f t="shared" si="25"/>
        <v>4.7716687906907556</v>
      </c>
      <c r="E117" s="385">
        <f t="shared" si="47"/>
        <v>5.1245118142962225</v>
      </c>
      <c r="F117" s="385">
        <f t="shared" si="26"/>
        <v>5.1245118142962225</v>
      </c>
      <c r="G117" s="110">
        <f t="shared" si="48"/>
        <v>0.12822013012809444</v>
      </c>
      <c r="H117" s="414" t="b">
        <f>Wh_hp&gt;='2021'!Maxi_hp</f>
        <v>0</v>
      </c>
      <c r="I117" s="380">
        <f>IF(H117,Wh_hp,'2021'!Maxi_hp)</f>
        <v>40.953213285754423</v>
      </c>
      <c r="J117" s="85">
        <f>IF(H117,An,'2021'!An_max)</f>
        <v>2019</v>
      </c>
      <c r="K117" s="197">
        <f t="shared" si="27"/>
        <v>44664</v>
      </c>
      <c r="L117" s="147">
        <f>IF(t&lt;Tvie,1-EXP((T0-t)*PertePVj)+'2021'!Pspv,1-EXP((T0-t)*PertePVj)+Pspv)</f>
        <v>3.1366131484806936E-2</v>
      </c>
      <c r="M117" s="850"/>
      <c r="N117" s="850"/>
      <c r="O117" s="48">
        <f>IF(t&lt;Tnet,'2021'!Resal+('2021'!Salim-'2021'!Resal)*(1-EXP(('2021'!Tnet-t)/('2021'!Tau_j))),Resal+(Salim-Resal)*(1-EXP((Tnet-t)/(Tau_j))))*Salcycl</f>
        <v>6.8853977977202635E-2</v>
      </c>
      <c r="P117" s="339">
        <f>(INDEX(Models!$BJ117:$BT117,,T117)*(1-R117)+INDEX(Models!$BJ117:$BT117,,T117+1)*R117-ERP_i)*Q117*Ramure*Pc/MaxiM</f>
        <v>2.7632731118782547E-11</v>
      </c>
      <c r="Q117" s="305">
        <f t="shared" si="28"/>
        <v>0.7</v>
      </c>
      <c r="R117" s="177">
        <f t="shared" si="29"/>
        <v>0.52495636165552029</v>
      </c>
      <c r="S117" s="817">
        <f t="shared" si="30"/>
        <v>-1</v>
      </c>
      <c r="T117" s="176">
        <f t="shared" si="31"/>
        <v>5</v>
      </c>
      <c r="U117" s="251">
        <f t="shared" si="32"/>
        <v>-0.47504363834447971</v>
      </c>
      <c r="V117" s="383">
        <f t="shared" si="33"/>
        <v>36.047381914640177</v>
      </c>
      <c r="W117" s="402">
        <f t="shared" si="34"/>
        <v>0</v>
      </c>
      <c r="X117" s="157">
        <f t="shared" si="35"/>
        <v>44664</v>
      </c>
      <c r="Y117" s="385">
        <f t="shared" si="36"/>
        <v>4.3415918166670835</v>
      </c>
      <c r="Z117" s="385">
        <f t="shared" si="37"/>
        <v>4.4821804789071189</v>
      </c>
      <c r="AA117" s="386">
        <f t="shared" si="38"/>
        <v>5.1245118142962225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0.12534488331105909</v>
      </c>
      <c r="AD117" s="231">
        <f>(INDEX(Models!$BJ117:$BT117,,AH117)*(1-AF117)+INDEX(Models!$BJ117:$BT117,,AH117+1)*AF117-ERP_i)*AE117*Ramure*Pc/MaxiM</f>
        <v>2.7632731118782547E-11</v>
      </c>
      <c r="AE117" s="305">
        <f t="shared" si="40"/>
        <v>0.7</v>
      </c>
      <c r="AF117" s="177">
        <f t="shared" si="41"/>
        <v>0.52495636165552029</v>
      </c>
      <c r="AG117" s="817">
        <f t="shared" si="49"/>
        <v>-1</v>
      </c>
      <c r="AH117" s="176">
        <f t="shared" si="42"/>
        <v>5</v>
      </c>
      <c r="AI117" s="225">
        <f t="shared" si="43"/>
        <v>-0.47504363834447971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44665</v>
      </c>
      <c r="B118" s="1106">
        <v>26.202000000000002</v>
      </c>
      <c r="C118" s="846"/>
      <c r="D118" s="393">
        <f t="shared" si="25"/>
        <v>27.051061041032177</v>
      </c>
      <c r="E118" s="385">
        <f t="shared" si="47"/>
        <v>29.055463983006511</v>
      </c>
      <c r="F118" s="385">
        <f t="shared" si="26"/>
        <v>29.055463983298168</v>
      </c>
      <c r="G118" s="110">
        <f t="shared" si="48"/>
        <v>0.72415436210271877</v>
      </c>
      <c r="H118" s="414" t="b">
        <f>Wh_hp&gt;='2021'!Maxi_hp</f>
        <v>1</v>
      </c>
      <c r="I118" s="380">
        <f>IF(H118,Wh_hp,'2021'!Maxi_hp)</f>
        <v>29.055463983298168</v>
      </c>
      <c r="J118" s="85">
        <f>IF(H118,An,'2021'!An_max)</f>
        <v>2022</v>
      </c>
      <c r="K118" s="197">
        <f t="shared" si="27"/>
        <v>44665</v>
      </c>
      <c r="L118" s="147">
        <f>IF(t&lt;Tvie,1-EXP((T0-t)*PertePVj)+'2021'!Pspv,1-EXP((T0-t)*PertePVj)+Pspv)</f>
        <v>3.1387347052460712E-2</v>
      </c>
      <c r="M118" s="850"/>
      <c r="N118" s="850"/>
      <c r="O118" s="48">
        <f>IF(t&lt;Tnet,'2021'!Resal+('2021'!Salim-'2021'!Resal)*(1-EXP(('2021'!Tnet-t)/('2021'!Tau_j))),Resal+(Salim-Resal)*(1-EXP((Tnet-t)/(Tau_j))))*Salcycl</f>
        <v>6.8985404712402359E-2</v>
      </c>
      <c r="P118" s="339">
        <f>(INDEX(Models!$BJ118:$BT118,,T118)*(1-R118)+INDEX(Models!$BJ118:$BT118,,T118+1)*R118-ERP_i)*Q118*Ramure*Pc/MaxiM</f>
        <v>1.6566063217026669E-11</v>
      </c>
      <c r="Q118" s="305">
        <f t="shared" si="28"/>
        <v>0.7</v>
      </c>
      <c r="R118" s="177">
        <f t="shared" si="29"/>
        <v>0.52592753618350141</v>
      </c>
      <c r="S118" s="817">
        <f t="shared" si="30"/>
        <v>-1</v>
      </c>
      <c r="T118" s="176">
        <f t="shared" si="31"/>
        <v>5</v>
      </c>
      <c r="U118" s="251">
        <f t="shared" si="32"/>
        <v>-0.47407246381649853</v>
      </c>
      <c r="V118" s="383">
        <f t="shared" si="33"/>
        <v>36.182893276713138</v>
      </c>
      <c r="W118" s="402">
        <f t="shared" si="34"/>
        <v>0</v>
      </c>
      <c r="X118" s="157">
        <f t="shared" si="35"/>
        <v>44665</v>
      </c>
      <c r="Y118" s="385">
        <f t="shared" si="36"/>
        <v>24.613877488708368</v>
      </c>
      <c r="Z118" s="385">
        <f t="shared" si="37"/>
        <v>25.411476314920154</v>
      </c>
      <c r="AA118" s="386">
        <f t="shared" si="38"/>
        <v>29.055463983006511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0.12541488479473589</v>
      </c>
      <c r="AD118" s="231">
        <f>(INDEX(Models!$BJ118:$BT118,,AH118)*(1-AF118)+INDEX(Models!$BJ118:$BT118,,AH118+1)*AF118-ERP_i)*AE118*Ramure*Pc/MaxiM</f>
        <v>1.6566063217026669E-11</v>
      </c>
      <c r="AE118" s="305">
        <f t="shared" si="40"/>
        <v>0.7</v>
      </c>
      <c r="AF118" s="177">
        <f t="shared" si="41"/>
        <v>0.52592753618350141</v>
      </c>
      <c r="AG118" s="817">
        <f t="shared" si="49"/>
        <v>-1</v>
      </c>
      <c r="AH118" s="176">
        <f t="shared" si="42"/>
        <v>5</v>
      </c>
      <c r="AI118" s="225">
        <f t="shared" si="43"/>
        <v>-0.47407246381649853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44666</v>
      </c>
      <c r="B119" s="1106">
        <v>29.059000000000001</v>
      </c>
      <c r="C119" s="846"/>
      <c r="D119" s="393">
        <f t="shared" si="25"/>
        <v>30.001297621075373</v>
      </c>
      <c r="E119" s="385">
        <f t="shared" si="47"/>
        <v>32.228882199547975</v>
      </c>
      <c r="F119" s="385">
        <f t="shared" si="26"/>
        <v>32.228882199738592</v>
      </c>
      <c r="G119" s="110">
        <f t="shared" si="48"/>
        <v>0.80015064201917407</v>
      </c>
      <c r="H119" s="414" t="b">
        <f>Wh_hp&gt;='2021'!Maxi_hp</f>
        <v>0</v>
      </c>
      <c r="I119" s="380">
        <f>IF(H119,Wh_hp,'2021'!Maxi_hp)</f>
        <v>39.087125925166902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3.1408562155439079E-2</v>
      </c>
      <c r="M119" s="850"/>
      <c r="N119" s="850"/>
      <c r="O119" s="48">
        <f>IF(t&lt;Tnet,'2021'!Resal+('2021'!Salim-'2021'!Resal)*(1-EXP(('2021'!Tnet-t)/('2021'!Tau_j))),Resal+(Salim-Resal)*(1-EXP((Tnet-t)/(Tau_j))))*Salcycl</f>
        <v>6.9117649339505968E-2</v>
      </c>
      <c r="P119" s="339">
        <f>(INDEX(Models!$BJ119:$BT119,,T119)*(1-R119)+INDEX(Models!$BJ119:$BT119,,T119+1)*R119-ERP_i)*Q119*Ramure*Pc/MaxiM</f>
        <v>8.2776490677380815E-12</v>
      </c>
      <c r="Q119" s="305">
        <f t="shared" si="28"/>
        <v>0.7</v>
      </c>
      <c r="R119" s="177">
        <f t="shared" si="29"/>
        <v>0.52693218677636577</v>
      </c>
      <c r="S119" s="817">
        <f t="shared" si="30"/>
        <v>-1</v>
      </c>
      <c r="T119" s="176">
        <f t="shared" si="31"/>
        <v>5</v>
      </c>
      <c r="U119" s="251">
        <f t="shared" si="32"/>
        <v>-0.47306781322363423</v>
      </c>
      <c r="V119" s="383">
        <f t="shared" si="33"/>
        <v>36.316911433828466</v>
      </c>
      <c r="W119" s="402">
        <f t="shared" si="34"/>
        <v>0</v>
      </c>
      <c r="X119" s="157">
        <f t="shared" si="35"/>
        <v>44666</v>
      </c>
      <c r="Y119" s="385">
        <f t="shared" si="36"/>
        <v>27.299354824079639</v>
      </c>
      <c r="Z119" s="385">
        <f t="shared" si="37"/>
        <v>28.184592344559448</v>
      </c>
      <c r="AA119" s="386">
        <f t="shared" si="38"/>
        <v>32.228882199547975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0.12548650710092735</v>
      </c>
      <c r="AD119" s="231">
        <f>(INDEX(Models!$BJ119:$BT119,,AH119)*(1-AF119)+INDEX(Models!$BJ119:$BT119,,AH119+1)*AF119-ERP_i)*AE119*Ramure*Pc/MaxiM</f>
        <v>8.2776490677380815E-12</v>
      </c>
      <c r="AE119" s="305">
        <f t="shared" si="40"/>
        <v>0.7</v>
      </c>
      <c r="AF119" s="177">
        <f t="shared" si="41"/>
        <v>0.52693218677636577</v>
      </c>
      <c r="AG119" s="817">
        <f t="shared" si="49"/>
        <v>-1</v>
      </c>
      <c r="AH119" s="176">
        <f t="shared" si="42"/>
        <v>5</v>
      </c>
      <c r="AI119" s="225">
        <f t="shared" si="43"/>
        <v>-0.47306781322363423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44667</v>
      </c>
      <c r="B120" s="1106">
        <v>29.253</v>
      </c>
      <c r="C120" s="846"/>
      <c r="D120" s="393">
        <f t="shared" si="25"/>
        <v>30.202249975395798</v>
      </c>
      <c r="E120" s="385">
        <f t="shared" si="47"/>
        <v>32.449394180001619</v>
      </c>
      <c r="F120" s="385">
        <f t="shared" si="26"/>
        <v>32.449394180065866</v>
      </c>
      <c r="G120" s="110">
        <f t="shared" si="48"/>
        <v>0.80255323488412478</v>
      </c>
      <c r="H120" s="414" t="b">
        <f>Wh_hp&gt;='2021'!Maxi_hp</f>
        <v>0</v>
      </c>
      <c r="I120" s="380">
        <f>IF(H120,Wh_hp,'2021'!Maxi_hp)</f>
        <v>34.469326384256924</v>
      </c>
      <c r="J120" s="85">
        <f>IF(H120,An,'2021'!An_max)</f>
        <v>2020</v>
      </c>
      <c r="K120" s="197">
        <f t="shared" si="27"/>
        <v>44667</v>
      </c>
      <c r="L120" s="147">
        <f>IF(t&lt;Tvie,1-EXP((T0-t)*PertePVj)+'2021'!Pspv,1-EXP((T0-t)*PertePVj)+Pspv)</f>
        <v>3.1429776793752251E-2</v>
      </c>
      <c r="M120" s="850"/>
      <c r="N120" s="850"/>
      <c r="O120" s="48">
        <f>IF(t&lt;Tnet,'2021'!Resal+('2021'!Salim-'2021'!Resal)*(1-EXP(('2021'!Tnet-t)/('2021'!Tau_j))),Resal+(Salim-Resal)*(1-EXP((Tnet-t)/(Tau_j))))*Salcycl</f>
        <v>6.9250729062631369E-2</v>
      </c>
      <c r="P120" s="339">
        <f>(INDEX(Models!$BJ120:$BT120,,T120)*(1-R120)+INDEX(Models!$BJ120:$BT120,,T120+1)*R120-ERP_i)*Q120*Ramure*Pc/MaxiM</f>
        <v>2.7578559926681524E-12</v>
      </c>
      <c r="Q120" s="305">
        <f t="shared" si="28"/>
        <v>0.7</v>
      </c>
      <c r="R120" s="177">
        <f t="shared" si="29"/>
        <v>0.52797118177477786</v>
      </c>
      <c r="S120" s="817">
        <f t="shared" si="30"/>
        <v>-1</v>
      </c>
      <c r="T120" s="176">
        <f t="shared" si="31"/>
        <v>5</v>
      </c>
      <c r="U120" s="251">
        <f t="shared" si="32"/>
        <v>-0.47202881822522208</v>
      </c>
      <c r="V120" s="383">
        <f t="shared" si="33"/>
        <v>36.449918495688181</v>
      </c>
      <c r="W120" s="402">
        <f t="shared" si="34"/>
        <v>0</v>
      </c>
      <c r="X120" s="157">
        <f t="shared" si="35"/>
        <v>44667</v>
      </c>
      <c r="Y120" s="385">
        <f t="shared" si="36"/>
        <v>27.48323389558011</v>
      </c>
      <c r="Z120" s="385">
        <f t="shared" si="37"/>
        <v>28.375055558287404</v>
      </c>
      <c r="AA120" s="386">
        <f t="shared" si="38"/>
        <v>32.449394180001619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0.12555977467909726</v>
      </c>
      <c r="AD120" s="231">
        <f>(INDEX(Models!$BJ120:$BT120,,AH120)*(1-AF120)+INDEX(Models!$BJ120:$BT120,,AH120+1)*AF120-ERP_i)*AE120*Ramure*Pc/MaxiM</f>
        <v>2.7578559926681524E-12</v>
      </c>
      <c r="AE120" s="305">
        <f t="shared" si="40"/>
        <v>0.7</v>
      </c>
      <c r="AF120" s="177">
        <f t="shared" si="41"/>
        <v>0.52797118177477786</v>
      </c>
      <c r="AG120" s="817">
        <f t="shared" si="49"/>
        <v>-1</v>
      </c>
      <c r="AH120" s="176">
        <f t="shared" si="42"/>
        <v>5</v>
      </c>
      <c r="AI120" s="225">
        <f t="shared" si="43"/>
        <v>-0.47202881822522208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44668</v>
      </c>
      <c r="B121" s="1106">
        <v>36.268999999999998</v>
      </c>
      <c r="C121" s="846"/>
      <c r="D121" s="393">
        <f t="shared" si="25"/>
        <v>37.446736986728595</v>
      </c>
      <c r="E121" s="385">
        <f t="shared" si="47"/>
        <v>40.23868442366517</v>
      </c>
      <c r="F121" s="385">
        <f t="shared" si="26"/>
        <v>40.23868442366517</v>
      </c>
      <c r="G121" s="110">
        <f t="shared" si="48"/>
        <v>0.99145449222032611</v>
      </c>
      <c r="H121" s="414" t="b">
        <f>Wh_hp&gt;='2021'!Maxi_hp</f>
        <v>1</v>
      </c>
      <c r="I121" s="380">
        <f>IF(H121,Wh_hp,'2021'!Maxi_hp)</f>
        <v>40.23868442366517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3.1450990967410442E-2</v>
      </c>
      <c r="M121" s="850"/>
      <c r="N121" s="850"/>
      <c r="O121" s="48">
        <f>IF(t&lt;Tnet,'2021'!Resal+('2021'!Salim-'2021'!Resal)*(1-EXP(('2021'!Tnet-t)/('2021'!Tau_j))),Resal+(Salim-Resal)*(1-EXP((Tnet-t)/(Tau_j))))*Salcycl</f>
        <v>6.9384659983927732E-2</v>
      </c>
      <c r="P121" s="339">
        <f>(INDEX(Models!$BJ121:$BT121,,T121)*(1-R121)+INDEX(Models!$BJ121:$BT121,,T121+1)*R121-ERP_i)*Q121*Ramure*Pc/MaxiM</f>
        <v>0</v>
      </c>
      <c r="Q121" s="305">
        <f t="shared" si="28"/>
        <v>0.7</v>
      </c>
      <c r="R121" s="177">
        <f t="shared" si="29"/>
        <v>0.52904538991707117</v>
      </c>
      <c r="S121" s="817">
        <f t="shared" si="30"/>
        <v>-1</v>
      </c>
      <c r="T121" s="176">
        <f t="shared" si="31"/>
        <v>5</v>
      </c>
      <c r="U121" s="251">
        <f t="shared" si="32"/>
        <v>-0.47095461008292883</v>
      </c>
      <c r="V121" s="383">
        <f t="shared" si="33"/>
        <v>36.581608419340455</v>
      </c>
      <c r="W121" s="402">
        <f t="shared" si="34"/>
        <v>0</v>
      </c>
      <c r="X121" s="157">
        <f t="shared" si="35"/>
        <v>44668</v>
      </c>
      <c r="Y121" s="385">
        <f t="shared" si="36"/>
        <v>34.0767590472677</v>
      </c>
      <c r="Z121" s="385">
        <f t="shared" si="37"/>
        <v>35.183308980207826</v>
      </c>
      <c r="AA121" s="386">
        <f t="shared" si="38"/>
        <v>40.23868442366517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0.12563470987844175</v>
      </c>
      <c r="AD121" s="231">
        <f>(INDEX(Models!$BJ121:$BT121,,AH121)*(1-AF121)+INDEX(Models!$BJ121:$BT121,,AH121+1)*AF121-ERP_i)*AE121*Ramure*Pc/MaxiM</f>
        <v>0</v>
      </c>
      <c r="AE121" s="305">
        <f t="shared" si="40"/>
        <v>0.7</v>
      </c>
      <c r="AF121" s="177">
        <f t="shared" si="41"/>
        <v>0.52904538991707117</v>
      </c>
      <c r="AG121" s="817">
        <f t="shared" si="49"/>
        <v>-1</v>
      </c>
      <c r="AH121" s="176">
        <f t="shared" si="42"/>
        <v>5</v>
      </c>
      <c r="AI121" s="225">
        <f t="shared" si="43"/>
        <v>-0.47095461008292883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44669</v>
      </c>
      <c r="B122" s="1106">
        <v>25.972000000000001</v>
      </c>
      <c r="C122" s="846"/>
      <c r="D122" s="393">
        <f t="shared" si="25"/>
        <v>26.815957296633904</v>
      </c>
      <c r="E122" s="385">
        <f t="shared" si="47"/>
        <v>28.819471293246423</v>
      </c>
      <c r="F122" s="385">
        <f t="shared" si="26"/>
        <v>28.819471293246423</v>
      </c>
      <c r="G122" s="110">
        <f t="shared" si="48"/>
        <v>0.70746753370031901</v>
      </c>
      <c r="H122" s="414" t="b">
        <f>Wh_hp&gt;='2021'!Maxi_hp</f>
        <v>1</v>
      </c>
      <c r="I122" s="380">
        <f>IF(H122,Wh_hp,'2021'!Maxi_hp)</f>
        <v>28.819471293246423</v>
      </c>
      <c r="J122" s="85">
        <f>IF(H122,An,'2021'!An_max)</f>
        <v>2022</v>
      </c>
      <c r="K122" s="197">
        <f t="shared" si="27"/>
        <v>44669</v>
      </c>
      <c r="L122" s="147">
        <f>IF(t&lt;Tvie,1-EXP((T0-t)*PertePVj)+'2021'!Pspv,1-EXP((T0-t)*PertePVj)+Pspv)</f>
        <v>3.1472204676423754E-2</v>
      </c>
      <c r="M122" s="850"/>
      <c r="N122" s="850"/>
      <c r="O122" s="48">
        <f>IF(t&lt;Tnet,'2021'!Resal+('2021'!Salim-'2021'!Resal)*(1-EXP(('2021'!Tnet-t)/('2021'!Tau_j))),Resal+(Salim-Resal)*(1-EXP((Tnet-t)/(Tau_j))))*Salcycl</f>
        <v>6.9519457044377689E-2</v>
      </c>
      <c r="P122" s="339">
        <f>(INDEX(Models!$BJ122:$BT122,,T122)*(1-R122)+INDEX(Models!$BJ122:$BT122,,T122+1)*R122-ERP_i)*Q122*Ramure*Pc/MaxiM</f>
        <v>0</v>
      </c>
      <c r="Q122" s="305">
        <f t="shared" si="28"/>
        <v>0.7</v>
      </c>
      <c r="R122" s="177">
        <f t="shared" si="29"/>
        <v>0.5301556783396314</v>
      </c>
      <c r="S122" s="817">
        <f t="shared" si="30"/>
        <v>-1</v>
      </c>
      <c r="T122" s="176">
        <f t="shared" si="31"/>
        <v>5</v>
      </c>
      <c r="U122" s="251">
        <f t="shared" si="32"/>
        <v>-0.4698443216603686</v>
      </c>
      <c r="V122" s="383">
        <f t="shared" si="33"/>
        <v>36.711225268750859</v>
      </c>
      <c r="W122" s="402">
        <f t="shared" si="34"/>
        <v>0</v>
      </c>
      <c r="X122" s="157">
        <f t="shared" si="35"/>
        <v>44669</v>
      </c>
      <c r="Y122" s="385">
        <f t="shared" si="36"/>
        <v>24.403546570628521</v>
      </c>
      <c r="Z122" s="385">
        <f t="shared" si="37"/>
        <v>25.196537144786351</v>
      </c>
      <c r="AA122" s="386">
        <f t="shared" si="38"/>
        <v>28.819471293246423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0.12571133285533501</v>
      </c>
      <c r="AD122" s="231">
        <f>(INDEX(Models!$BJ122:$BT122,,AH122)*(1-AF122)+INDEX(Models!$BJ122:$BT122,,AH122+1)*AF122-ERP_i)*AE122*Ramure*Pc/MaxiM</f>
        <v>0</v>
      </c>
      <c r="AE122" s="305">
        <f t="shared" si="40"/>
        <v>0.7</v>
      </c>
      <c r="AF122" s="177">
        <f t="shared" si="41"/>
        <v>0.5301556783396314</v>
      </c>
      <c r="AG122" s="817">
        <f t="shared" si="49"/>
        <v>-1</v>
      </c>
      <c r="AH122" s="176">
        <f t="shared" si="42"/>
        <v>5</v>
      </c>
      <c r="AI122" s="225">
        <f t="shared" si="43"/>
        <v>-0.4698443216603686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44670</v>
      </c>
      <c r="B123" s="1106">
        <v>6.3630000000000004</v>
      </c>
      <c r="C123" s="846"/>
      <c r="D123" s="393">
        <f t="shared" si="25"/>
        <v>6.569908886256469</v>
      </c>
      <c r="E123" s="385">
        <f t="shared" si="47"/>
        <v>7.0617994746801056</v>
      </c>
      <c r="F123" s="385">
        <f t="shared" si="26"/>
        <v>7.0617994746801056</v>
      </c>
      <c r="G123" s="110">
        <f t="shared" si="48"/>
        <v>0.17272654508623633</v>
      </c>
      <c r="H123" s="414" t="b">
        <f>Wh_hp&gt;='2021'!Maxi_hp</f>
        <v>0</v>
      </c>
      <c r="I123" s="380">
        <f>IF(H123,Wh_hp,'2021'!Maxi_hp)</f>
        <v>38.947990013439039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3.1493417920802402E-2</v>
      </c>
      <c r="M123" s="850"/>
      <c r="N123" s="850"/>
      <c r="O123" s="48">
        <f>IF(t&lt;Tnet,'2021'!Resal+('2021'!Salim-'2021'!Resal)*(1-EXP(('2021'!Tnet-t)/('2021'!Tau_j))),Resal+(Salim-Resal)*(1-EXP((Tnet-t)/(Tau_j))))*Salcycl</f>
        <v>6.9655133962285024E-2</v>
      </c>
      <c r="P123" s="339">
        <f>(INDEX(Models!$BJ123:$BT123,,T123)*(1-R123)+INDEX(Models!$BJ123:$BT123,,T123+1)*R123-ERP_i)*Q123*Ramure*Pc/MaxiM</f>
        <v>0</v>
      </c>
      <c r="Q123" s="305">
        <f t="shared" si="28"/>
        <v>0.7</v>
      </c>
      <c r="R123" s="177">
        <f t="shared" si="29"/>
        <v>0.53130291042695732</v>
      </c>
      <c r="S123" s="817">
        <f t="shared" si="30"/>
        <v>-1</v>
      </c>
      <c r="T123" s="176">
        <f t="shared" si="31"/>
        <v>5</v>
      </c>
      <c r="U123" s="251">
        <f t="shared" si="32"/>
        <v>-0.46869708957304274</v>
      </c>
      <c r="V123" s="383">
        <f t="shared" si="33"/>
        <v>36.838576240977766</v>
      </c>
      <c r="W123" s="402">
        <f t="shared" si="34"/>
        <v>0</v>
      </c>
      <c r="X123" s="157">
        <f t="shared" si="35"/>
        <v>44670</v>
      </c>
      <c r="Y123" s="385">
        <f t="shared" si="36"/>
        <v>5.9790735533491501</v>
      </c>
      <c r="Z123" s="385">
        <f t="shared" si="37"/>
        <v>6.1734981093398744</v>
      </c>
      <c r="AA123" s="386">
        <f t="shared" si="38"/>
        <v>7.0617994746801056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0.12578966147724979</v>
      </c>
      <c r="AD123" s="231">
        <f>(INDEX(Models!$BJ123:$BT123,,AH123)*(1-AF123)+INDEX(Models!$BJ123:$BT123,,AH123+1)*AF123-ERP_i)*AE123*Ramure*Pc/MaxiM</f>
        <v>0</v>
      </c>
      <c r="AE123" s="305">
        <f t="shared" si="40"/>
        <v>0.7</v>
      </c>
      <c r="AF123" s="177">
        <f t="shared" si="41"/>
        <v>0.53130291042695732</v>
      </c>
      <c r="AG123" s="817">
        <f t="shared" si="49"/>
        <v>-1</v>
      </c>
      <c r="AH123" s="176">
        <f t="shared" si="42"/>
        <v>5</v>
      </c>
      <c r="AI123" s="225">
        <f t="shared" si="43"/>
        <v>-0.46869708957304274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44671</v>
      </c>
      <c r="B124" s="1106">
        <v>6.5070000000000006</v>
      </c>
      <c r="C124" s="846"/>
      <c r="D124" s="393">
        <f t="shared" si="25"/>
        <v>6.7187385646381603</v>
      </c>
      <c r="E124" s="385">
        <f t="shared" si="47"/>
        <v>7.2228323350049664</v>
      </c>
      <c r="F124" s="385">
        <f t="shared" si="26"/>
        <v>7.2228323350049664</v>
      </c>
      <c r="G124" s="110">
        <f t="shared" si="48"/>
        <v>0.17603867347887314</v>
      </c>
      <c r="H124" s="414" t="b">
        <f>Wh_hp&gt;='2021'!Maxi_hp</f>
        <v>0</v>
      </c>
      <c r="I124" s="380">
        <f>IF(H124,Wh_hp,'2021'!Maxi_hp)</f>
        <v>34.517360529046911</v>
      </c>
      <c r="J124" s="85">
        <f>IF(H124,An,'2021'!An_max)</f>
        <v>2019</v>
      </c>
      <c r="K124" s="197">
        <f t="shared" si="27"/>
        <v>44671</v>
      </c>
      <c r="L124" s="147">
        <f>IF(t&lt;Tvie,1-EXP((T0-t)*PertePVj)+'2021'!Pspv,1-EXP((T0-t)*PertePVj)+Pspv)</f>
        <v>3.1514630700556601E-2</v>
      </c>
      <c r="M124" s="850"/>
      <c r="N124" s="850"/>
      <c r="O124" s="48">
        <f>IF(t&lt;Tnet,'2021'!Resal+('2021'!Salim-'2021'!Resal)*(1-EXP(('2021'!Tnet-t)/('2021'!Tau_j))),Resal+(Salim-Resal)*(1-EXP((Tnet-t)/(Tau_j))))*Salcycl</f>
        <v>6.9791703169371652E-2</v>
      </c>
      <c r="P124" s="339">
        <f>(INDEX(Models!$BJ124:$BT124,,T124)*(1-R124)+INDEX(Models!$BJ124:$BT124,,T124+1)*R124-ERP_i)*Q124*Ramure*Pc/MaxiM</f>
        <v>0</v>
      </c>
      <c r="Q124" s="305">
        <f t="shared" si="28"/>
        <v>0.7</v>
      </c>
      <c r="R124" s="177">
        <f t="shared" si="29"/>
        <v>0.5324879435084966</v>
      </c>
      <c r="S124" s="817">
        <f t="shared" si="30"/>
        <v>-1</v>
      </c>
      <c r="T124" s="176">
        <f t="shared" si="31"/>
        <v>5</v>
      </c>
      <c r="U124" s="251">
        <f t="shared" si="32"/>
        <v>-0.4675120564915034</v>
      </c>
      <c r="V124" s="383">
        <f t="shared" si="33"/>
        <v>36.96346871632683</v>
      </c>
      <c r="W124" s="402">
        <f t="shared" si="34"/>
        <v>0</v>
      </c>
      <c r="X124" s="157">
        <f t="shared" si="35"/>
        <v>44671</v>
      </c>
      <c r="Y124" s="385">
        <f t="shared" si="36"/>
        <v>6.1147227007665883</v>
      </c>
      <c r="Z124" s="385">
        <f t="shared" si="37"/>
        <v>6.3136965147854429</v>
      </c>
      <c r="AA124" s="386">
        <f t="shared" si="38"/>
        <v>7.2228323350049664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0.1258697112230418</v>
      </c>
      <c r="AD124" s="231">
        <f>(INDEX(Models!$BJ124:$BT124,,AH124)*(1-AF124)+INDEX(Models!$BJ124:$BT124,,AH124+1)*AF124-ERP_i)*AE124*Ramure*Pc/MaxiM</f>
        <v>0</v>
      </c>
      <c r="AE124" s="305">
        <f t="shared" si="40"/>
        <v>0.7</v>
      </c>
      <c r="AF124" s="177">
        <f t="shared" si="41"/>
        <v>0.5324879435084966</v>
      </c>
      <c r="AG124" s="817">
        <f t="shared" si="49"/>
        <v>-1</v>
      </c>
      <c r="AH124" s="176">
        <f t="shared" si="42"/>
        <v>5</v>
      </c>
      <c r="AI124" s="225">
        <f t="shared" si="43"/>
        <v>-0.4675120564915034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44672</v>
      </c>
      <c r="B125" s="1106">
        <v>6.9510000000000005</v>
      </c>
      <c r="C125" s="846"/>
      <c r="D125" s="393">
        <f t="shared" si="25"/>
        <v>7.1773435804219021</v>
      </c>
      <c r="E125" s="385">
        <f t="shared" si="47"/>
        <v>7.7169860544404987</v>
      </c>
      <c r="F125" s="385">
        <f t="shared" si="26"/>
        <v>7.7169860544404987</v>
      </c>
      <c r="G125" s="110">
        <f t="shared" si="48"/>
        <v>0.18743068287766884</v>
      </c>
      <c r="H125" s="414" t="b">
        <f>Wh_hp&gt;='2021'!Maxi_hp</f>
        <v>0</v>
      </c>
      <c r="I125" s="380">
        <f>IF(H125,Wh_hp,'2021'!Maxi_hp)</f>
        <v>37.760094952186769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3.1535843015696452E-2</v>
      </c>
      <c r="M125" s="850"/>
      <c r="N125" s="850"/>
      <c r="O125" s="48">
        <f>IF(t&lt;Tnet,'2021'!Resal+('2021'!Salim-'2021'!Resal)*(1-EXP(('2021'!Tnet-t)/('2021'!Tau_j))),Resal+(Salim-Resal)*(1-EXP((Tnet-t)/(Tau_j))))*Salcycl</f>
        <v>6.9929175744470287E-2</v>
      </c>
      <c r="P125" s="339">
        <f>(INDEX(Models!$BJ125:$BT125,,T125)*(1-R125)+INDEX(Models!$BJ125:$BT125,,T125+1)*R125-ERP_i)*Q125*Ramure*Pc/MaxiM</f>
        <v>0</v>
      </c>
      <c r="Q125" s="305">
        <f t="shared" si="28"/>
        <v>0.7</v>
      </c>
      <c r="R125" s="177">
        <f t="shared" si="29"/>
        <v>0.53371162640008729</v>
      </c>
      <c r="S125" s="817">
        <f t="shared" si="30"/>
        <v>-1</v>
      </c>
      <c r="T125" s="176">
        <f t="shared" si="31"/>
        <v>5</v>
      </c>
      <c r="U125" s="251">
        <f t="shared" si="32"/>
        <v>-0.46628837359991271</v>
      </c>
      <c r="V125" s="383">
        <f t="shared" si="33"/>
        <v>37.085710265147668</v>
      </c>
      <c r="W125" s="402">
        <f t="shared" si="34"/>
        <v>0</v>
      </c>
      <c r="X125" s="157">
        <f t="shared" si="35"/>
        <v>44672</v>
      </c>
      <c r="Y125" s="385">
        <f t="shared" si="36"/>
        <v>6.5323102276267919</v>
      </c>
      <c r="Z125" s="385">
        <f t="shared" si="37"/>
        <v>6.7450201233752676</v>
      </c>
      <c r="AA125" s="386">
        <f t="shared" si="38"/>
        <v>7.7169860544404987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0.1259514950796034</v>
      </c>
      <c r="AD125" s="231">
        <f>(INDEX(Models!$BJ125:$BT125,,AH125)*(1-AF125)+INDEX(Models!$BJ125:$BT125,,AH125+1)*AF125-ERP_i)*AE125*Ramure*Pc/MaxiM</f>
        <v>0</v>
      </c>
      <c r="AE125" s="305">
        <f t="shared" si="40"/>
        <v>0.7</v>
      </c>
      <c r="AF125" s="177">
        <f t="shared" si="41"/>
        <v>0.53371162640008729</v>
      </c>
      <c r="AG125" s="817">
        <f t="shared" si="49"/>
        <v>-1</v>
      </c>
      <c r="AH125" s="176">
        <f t="shared" si="42"/>
        <v>5</v>
      </c>
      <c r="AI125" s="225">
        <f t="shared" si="43"/>
        <v>-0.46628837359991271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44673</v>
      </c>
      <c r="B126" s="1106">
        <v>18.326000000000001</v>
      </c>
      <c r="C126" s="846"/>
      <c r="D126" s="393">
        <f t="shared" si="25"/>
        <v>18.923159172240847</v>
      </c>
      <c r="E126" s="385">
        <f t="shared" si="47"/>
        <v>20.348961263903767</v>
      </c>
      <c r="F126" s="385">
        <f t="shared" si="26"/>
        <v>20.348961263903767</v>
      </c>
      <c r="G126" s="110">
        <f t="shared" si="48"/>
        <v>0.49256676467485072</v>
      </c>
      <c r="H126" s="414" t="b">
        <f>Wh_hp&gt;='2021'!Maxi_hp</f>
        <v>0</v>
      </c>
      <c r="I126" s="380">
        <f>IF(H126,Wh_hp,'2021'!Maxi_hp)</f>
        <v>41.180654227850937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3.1557054866232059E-2</v>
      </c>
      <c r="M126" s="850"/>
      <c r="N126" s="850"/>
      <c r="O126" s="48">
        <f>IF(t&lt;Tnet,'2021'!Resal+('2021'!Salim-'2021'!Resal)*(1-EXP(('2021'!Tnet-t)/('2021'!Tau_j))),Resal+(Salim-Resal)*(1-EXP((Tnet-t)/(Tau_j))))*Salcycl</f>
        <v>7.006756134486801E-2</v>
      </c>
      <c r="P126" s="339">
        <f>(INDEX(Models!$BJ126:$BT126,,T126)*(1-R126)+INDEX(Models!$BJ126:$BT126,,T126+1)*R126-ERP_i)*Q126*Ramure*Pc/MaxiM</f>
        <v>0</v>
      </c>
      <c r="Q126" s="305">
        <f t="shared" si="28"/>
        <v>0.7</v>
      </c>
      <c r="R126" s="177">
        <f t="shared" si="29"/>
        <v>0.53497479678866544</v>
      </c>
      <c r="S126" s="817">
        <f t="shared" si="30"/>
        <v>-1</v>
      </c>
      <c r="T126" s="176">
        <f t="shared" si="31"/>
        <v>5</v>
      </c>
      <c r="U126" s="251">
        <f t="shared" si="32"/>
        <v>-0.46502520321133456</v>
      </c>
      <c r="V126" s="383">
        <f t="shared" si="33"/>
        <v>37.205108655873708</v>
      </c>
      <c r="W126" s="402">
        <f t="shared" si="34"/>
        <v>0</v>
      </c>
      <c r="X126" s="157">
        <f t="shared" si="35"/>
        <v>44673</v>
      </c>
      <c r="Y126" s="385">
        <f t="shared" si="36"/>
        <v>17.223059971639096</v>
      </c>
      <c r="Z126" s="385">
        <f t="shared" si="37"/>
        <v>17.784279454129461</v>
      </c>
      <c r="AA126" s="386">
        <f t="shared" si="38"/>
        <v>20.348961263903767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0.12603502343501416</v>
      </c>
      <c r="AD126" s="231">
        <f>(INDEX(Models!$BJ126:$BT126,,AH126)*(1-AF126)+INDEX(Models!$BJ126:$BT126,,AH126+1)*AF126-ERP_i)*AE126*Ramure*Pc/MaxiM</f>
        <v>0</v>
      </c>
      <c r="AE126" s="305">
        <f t="shared" si="40"/>
        <v>0.7</v>
      </c>
      <c r="AF126" s="177">
        <f t="shared" si="41"/>
        <v>0.53497479678866544</v>
      </c>
      <c r="AG126" s="817">
        <f t="shared" si="49"/>
        <v>-1</v>
      </c>
      <c r="AH126" s="176">
        <f t="shared" si="42"/>
        <v>5</v>
      </c>
      <c r="AI126" s="225">
        <f t="shared" si="43"/>
        <v>-0.46502520321133456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44674</v>
      </c>
      <c r="B127" s="1106">
        <v>5.718</v>
      </c>
      <c r="C127" s="846"/>
      <c r="D127" s="393">
        <f t="shared" si="25"/>
        <v>5.9044523689809596</v>
      </c>
      <c r="E127" s="385">
        <f t="shared" si="47"/>
        <v>6.3502860653964861</v>
      </c>
      <c r="F127" s="385">
        <f t="shared" si="26"/>
        <v>6.3502860653964861</v>
      </c>
      <c r="G127" s="110">
        <f t="shared" si="48"/>
        <v>0.15320939168221789</v>
      </c>
      <c r="H127" s="414" t="b">
        <f>Wh_hp&gt;='2021'!Maxi_hp</f>
        <v>0</v>
      </c>
      <c r="I127" s="380">
        <f>IF(H127,Wh_hp,'2021'!Maxi_hp)</f>
        <v>41.263564610244281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3.1578266252173859E-2</v>
      </c>
      <c r="M127" s="850"/>
      <c r="N127" s="850"/>
      <c r="O127" s="48">
        <f>IF(t&lt;Tnet,'2021'!Resal+('2021'!Salim-'2021'!Resal)*(1-EXP(('2021'!Tnet-t)/('2021'!Tau_j))),Resal+(Salim-Resal)*(1-EXP((Tnet-t)/(Tau_j))))*Salcycl</f>
        <v>7.0206868135426287E-2</v>
      </c>
      <c r="P127" s="339">
        <f>(INDEX(Models!$BJ127:$BT127,,T127)*(1-R127)+INDEX(Models!$BJ127:$BT127,,T127+1)*R127-ERP_i)*Q127*Ramure*Pc/MaxiM</f>
        <v>0</v>
      </c>
      <c r="Q127" s="305">
        <f t="shared" si="28"/>
        <v>0.7</v>
      </c>
      <c r="R127" s="177">
        <f t="shared" si="29"/>
        <v>0.53627827845984577</v>
      </c>
      <c r="S127" s="817">
        <f t="shared" si="30"/>
        <v>-1</v>
      </c>
      <c r="T127" s="176">
        <f t="shared" si="31"/>
        <v>5</v>
      </c>
      <c r="U127" s="251">
        <f t="shared" si="32"/>
        <v>-0.46372172154015423</v>
      </c>
      <c r="V127" s="383">
        <f t="shared" si="33"/>
        <v>37.321471857678908</v>
      </c>
      <c r="W127" s="402">
        <f t="shared" si="34"/>
        <v>0</v>
      </c>
      <c r="X127" s="157">
        <f t="shared" si="35"/>
        <v>44674</v>
      </c>
      <c r="Y127" s="385">
        <f t="shared" si="36"/>
        <v>5.37414606611254</v>
      </c>
      <c r="Z127" s="385">
        <f t="shared" si="37"/>
        <v>5.5493860565421285</v>
      </c>
      <c r="AA127" s="386">
        <f t="shared" si="38"/>
        <v>6.3502860653964861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0.12612030396844065</v>
      </c>
      <c r="AD127" s="231">
        <f>(INDEX(Models!$BJ127:$BT127,,AH127)*(1-AF127)+INDEX(Models!$BJ127:$BT127,,AH127+1)*AF127-ERP_i)*AE127*Ramure*Pc/MaxiM</f>
        <v>0</v>
      </c>
      <c r="AE127" s="305">
        <f t="shared" si="40"/>
        <v>0.7</v>
      </c>
      <c r="AF127" s="177">
        <f t="shared" si="41"/>
        <v>0.53627827845984577</v>
      </c>
      <c r="AG127" s="817">
        <f t="shared" si="49"/>
        <v>-1</v>
      </c>
      <c r="AH127" s="176">
        <f t="shared" si="42"/>
        <v>5</v>
      </c>
      <c r="AI127" s="225">
        <f t="shared" si="43"/>
        <v>-0.46372172154015423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44675</v>
      </c>
      <c r="B128" s="1106">
        <v>22.475999999999999</v>
      </c>
      <c r="C128" s="846"/>
      <c r="D128" s="393">
        <f t="shared" si="25"/>
        <v>23.20940506558108</v>
      </c>
      <c r="E128" s="385">
        <f t="shared" si="47"/>
        <v>24.965667437147506</v>
      </c>
      <c r="F128" s="385">
        <f t="shared" si="26"/>
        <v>24.965667437147506</v>
      </c>
      <c r="G128" s="110">
        <f t="shared" si="48"/>
        <v>0.60040698093413469</v>
      </c>
      <c r="H128" s="414" t="b">
        <f>Wh_hp&gt;='2021'!Maxi_hp</f>
        <v>0</v>
      </c>
      <c r="I128" s="380">
        <f>IF(H128,Wh_hp,'2021'!Maxi_hp)</f>
        <v>38.769139149526289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3.1599477173531731E-2</v>
      </c>
      <c r="M128" s="850"/>
      <c r="N128" s="850"/>
      <c r="O128" s="48">
        <f>IF(t&lt;Tnet,'2021'!Resal+('2021'!Salim-'2021'!Resal)*(1-EXP(('2021'!Tnet-t)/('2021'!Tau_j))),Resal+(Salim-Resal)*(1-EXP((Tnet-t)/(Tau_j))))*Salcycl</f>
        <v>7.0347102715676124E-2</v>
      </c>
      <c r="P128" s="339">
        <f>(INDEX(Models!$BJ128:$BT128,,T128)*(1-R128)+INDEX(Models!$BJ128:$BT128,,T128+1)*R128-ERP_i)*Q128*Ramure*Pc/MaxiM</f>
        <v>0</v>
      </c>
      <c r="Q128" s="305">
        <f t="shared" si="28"/>
        <v>0.7</v>
      </c>
      <c r="R128" s="177">
        <f t="shared" si="29"/>
        <v>0.537622878369033</v>
      </c>
      <c r="S128" s="817">
        <f t="shared" si="30"/>
        <v>-1</v>
      </c>
      <c r="T128" s="176">
        <f t="shared" si="31"/>
        <v>5</v>
      </c>
      <c r="U128" s="251">
        <f t="shared" si="32"/>
        <v>-0.462377121630967</v>
      </c>
      <c r="V128" s="383">
        <f t="shared" si="33"/>
        <v>37.434608047080047</v>
      </c>
      <c r="W128" s="402">
        <f t="shared" si="34"/>
        <v>0</v>
      </c>
      <c r="X128" s="157">
        <f t="shared" si="35"/>
        <v>44675</v>
      </c>
      <c r="Y128" s="385">
        <f t="shared" si="36"/>
        <v>21.125480110889324</v>
      </c>
      <c r="Z128" s="385">
        <f t="shared" si="37"/>
        <v>21.814816920204088</v>
      </c>
      <c r="AA128" s="386">
        <f t="shared" si="38"/>
        <v>24.965667437147506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0.12620734153716767</v>
      </c>
      <c r="AD128" s="231">
        <f>(INDEX(Models!$BJ128:$BT128,,AH128)*(1-AF128)+INDEX(Models!$BJ128:$BT128,,AH128+1)*AF128-ERP_i)*AE128*Ramure*Pc/MaxiM</f>
        <v>0</v>
      </c>
      <c r="AE128" s="305">
        <f t="shared" si="40"/>
        <v>0.7</v>
      </c>
      <c r="AF128" s="177">
        <f t="shared" si="41"/>
        <v>0.537622878369033</v>
      </c>
      <c r="AG128" s="817">
        <f t="shared" si="49"/>
        <v>-1</v>
      </c>
      <c r="AH128" s="176">
        <f t="shared" si="42"/>
        <v>5</v>
      </c>
      <c r="AI128" s="225">
        <f t="shared" si="43"/>
        <v>-0.462377121630967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44676</v>
      </c>
      <c r="B129" s="1106">
        <v>31.153000000000002</v>
      </c>
      <c r="C129" s="846"/>
      <c r="D129" s="393">
        <f t="shared" si="25"/>
        <v>32.170245276891229</v>
      </c>
      <c r="E129" s="385">
        <f t="shared" si="47"/>
        <v>34.609832496093716</v>
      </c>
      <c r="F129" s="385">
        <f t="shared" si="26"/>
        <v>34.609832496093716</v>
      </c>
      <c r="G129" s="110">
        <f t="shared" si="48"/>
        <v>0.82976586975157329</v>
      </c>
      <c r="H129" s="414" t="b">
        <f>Wh_hp&gt;='2021'!Maxi_hp</f>
        <v>0</v>
      </c>
      <c r="I129" s="380">
        <f>IF(H129,Wh_hp,'2021'!Maxi_hp)</f>
        <v>37.502516618915408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3.1620687630316113E-2</v>
      </c>
      <c r="M129" s="850"/>
      <c r="N129" s="850"/>
      <c r="O129" s="48">
        <f>IF(t&lt;Tnet,'2021'!Resal+('2021'!Salim-'2021'!Resal)*(1-EXP(('2021'!Tnet-t)/('2021'!Tau_j))),Resal+(Salim-Resal)*(1-EXP((Tnet-t)/(Tau_j))))*Salcycl</f>
        <v>7.0488270045162241E-2</v>
      </c>
      <c r="P129" s="339">
        <f>(INDEX(Models!$BJ129:$BT129,,T129)*(1-R129)+INDEX(Models!$BJ129:$BT129,,T129+1)*R129-ERP_i)*Q129*Ramure*Pc/MaxiM</f>
        <v>0</v>
      </c>
      <c r="Q129" s="305">
        <f t="shared" si="28"/>
        <v>0.7</v>
      </c>
      <c r="R129" s="177">
        <f t="shared" si="29"/>
        <v>0.53900938355789108</v>
      </c>
      <c r="S129" s="817">
        <f t="shared" si="30"/>
        <v>-1</v>
      </c>
      <c r="T129" s="176">
        <f t="shared" si="31"/>
        <v>5</v>
      </c>
      <c r="U129" s="251">
        <f t="shared" si="32"/>
        <v>-0.46099061644210887</v>
      </c>
      <c r="V129" s="383">
        <f t="shared" si="33"/>
        <v>37.54432561720936</v>
      </c>
      <c r="W129" s="402">
        <f t="shared" si="34"/>
        <v>0</v>
      </c>
      <c r="X129" s="157">
        <f t="shared" si="35"/>
        <v>44676</v>
      </c>
      <c r="Y129" s="385">
        <f t="shared" si="36"/>
        <v>29.282574424638732</v>
      </c>
      <c r="Z129" s="385">
        <f t="shared" si="37"/>
        <v>30.238744312889612</v>
      </c>
      <c r="AA129" s="386">
        <f t="shared" si="38"/>
        <v>34.609832496093716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0.12629613806127069</v>
      </c>
      <c r="AD129" s="231">
        <f>(INDEX(Models!$BJ129:$BT129,,AH129)*(1-AF129)+INDEX(Models!$BJ129:$BT129,,AH129+1)*AF129-ERP_i)*AE129*Ramure*Pc/MaxiM</f>
        <v>0</v>
      </c>
      <c r="AE129" s="305">
        <f t="shared" si="40"/>
        <v>0.7</v>
      </c>
      <c r="AF129" s="177">
        <f t="shared" si="41"/>
        <v>0.53900938355789108</v>
      </c>
      <c r="AG129" s="817">
        <f t="shared" si="49"/>
        <v>-1</v>
      </c>
      <c r="AH129" s="176">
        <f t="shared" si="42"/>
        <v>5</v>
      </c>
      <c r="AI129" s="225">
        <f t="shared" si="43"/>
        <v>-0.46099061644210887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44677</v>
      </c>
      <c r="B130" s="1106">
        <v>35.980000000000004</v>
      </c>
      <c r="C130" s="846"/>
      <c r="D130" s="393">
        <f t="shared" si="25"/>
        <v>37.155676099227918</v>
      </c>
      <c r="E130" s="385">
        <f t="shared" si="47"/>
        <v>39.97943878783088</v>
      </c>
      <c r="F130" s="385">
        <f t="shared" si="26"/>
        <v>39.97943878783088</v>
      </c>
      <c r="G130" s="110">
        <f t="shared" si="48"/>
        <v>0.95563309531538743</v>
      </c>
      <c r="H130" s="414" t="b">
        <f>Wh_hp&gt;='2021'!Maxi_hp</f>
        <v>1</v>
      </c>
      <c r="I130" s="380">
        <f>IF(H130,Wh_hp,'2021'!Maxi_hp)</f>
        <v>39.97943878783088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3.1641897622536996E-2</v>
      </c>
      <c r="M130" s="850"/>
      <c r="N130" s="850"/>
      <c r="O130" s="48">
        <f>IF(t&lt;Tnet,'2021'!Resal+('2021'!Salim-'2021'!Resal)*(1-EXP(('2021'!Tnet-t)/('2021'!Tau_j))),Resal+(Salim-Resal)*(1-EXP((Tnet-t)/(Tau_j))))*Salcycl</f>
        <v>7.0630373367383911E-2</v>
      </c>
      <c r="P130" s="339">
        <f>(INDEX(Models!$BJ130:$BT130,,T130)*(1-R130)+INDEX(Models!$BJ130:$BT130,,T130+1)*R130-ERP_i)*Q130*Ramure*Pc/MaxiM</f>
        <v>0</v>
      </c>
      <c r="Q130" s="305">
        <f t="shared" si="28"/>
        <v>0.7</v>
      </c>
      <c r="R130" s="177">
        <f t="shared" si="29"/>
        <v>0.54043855791928297</v>
      </c>
      <c r="S130" s="817">
        <f t="shared" si="30"/>
        <v>-1</v>
      </c>
      <c r="T130" s="176">
        <f t="shared" si="31"/>
        <v>5</v>
      </c>
      <c r="U130" s="251">
        <f t="shared" si="32"/>
        <v>-0.45956144208071709</v>
      </c>
      <c r="V130" s="383">
        <f t="shared" si="33"/>
        <v>37.650433180242182</v>
      </c>
      <c r="W130" s="402">
        <f t="shared" si="34"/>
        <v>0</v>
      </c>
      <c r="X130" s="157">
        <f t="shared" si="35"/>
        <v>44677</v>
      </c>
      <c r="Y130" s="385">
        <f t="shared" si="36"/>
        <v>33.821426810666651</v>
      </c>
      <c r="Z130" s="385">
        <f t="shared" si="37"/>
        <v>34.926569755166014</v>
      </c>
      <c r="AA130" s="386">
        <f t="shared" si="38"/>
        <v>39.97943878783088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0.12638669240656972</v>
      </c>
      <c r="AD130" s="231">
        <f>(INDEX(Models!$BJ130:$BT130,,AH130)*(1-AF130)+INDEX(Models!$BJ130:$BT130,,AH130+1)*AF130-ERP_i)*AE130*Ramure*Pc/MaxiM</f>
        <v>0</v>
      </c>
      <c r="AE130" s="305">
        <f t="shared" si="40"/>
        <v>0.7</v>
      </c>
      <c r="AF130" s="177">
        <f t="shared" si="41"/>
        <v>0.54043855791928297</v>
      </c>
      <c r="AG130" s="817">
        <f t="shared" si="49"/>
        <v>-1</v>
      </c>
      <c r="AH130" s="176">
        <f t="shared" si="42"/>
        <v>5</v>
      </c>
      <c r="AI130" s="225">
        <f t="shared" si="43"/>
        <v>-0.45956144208071709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44678</v>
      </c>
      <c r="B131" s="1106">
        <v>26.102</v>
      </c>
      <c r="C131" s="846"/>
      <c r="D131" s="393">
        <f t="shared" si="25"/>
        <v>26.955494717527859</v>
      </c>
      <c r="E131" s="385">
        <f t="shared" si="47"/>
        <v>29.008527228448123</v>
      </c>
      <c r="F131" s="385">
        <f t="shared" si="26"/>
        <v>29.008527228448123</v>
      </c>
      <c r="G131" s="110">
        <f t="shared" si="48"/>
        <v>0.69139353311522533</v>
      </c>
      <c r="H131" s="414" t="b">
        <f>Wh_hp&gt;='2021'!Maxi_hp</f>
        <v>1</v>
      </c>
      <c r="I131" s="380">
        <f>IF(H131,Wh_hp,'2021'!Maxi_hp)</f>
        <v>29.008527228448123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3.1663107150204595E-2</v>
      </c>
      <c r="M131" s="850"/>
      <c r="N131" s="850"/>
      <c r="O131" s="48">
        <f>IF(t&lt;Tnet,'2021'!Resal+('2021'!Salim-'2021'!Resal)*(1-EXP(('2021'!Tnet-t)/('2021'!Tau_j))),Resal+(Salim-Resal)*(1-EXP((Tnet-t)/(Tau_j))))*Salcycl</f>
        <v>7.0773414132755133E-2</v>
      </c>
      <c r="P131" s="339">
        <f>(INDEX(Models!$BJ131:$BT131,,T131)*(1-R131)+INDEX(Models!$BJ131:$BT131,,T131+1)*R131-ERP_i)*Q131*Ramure*Pc/MaxiM</f>
        <v>0</v>
      </c>
      <c r="Q131" s="305">
        <f t="shared" si="28"/>
        <v>0.7</v>
      </c>
      <c r="R131" s="177">
        <f t="shared" si="29"/>
        <v>0.54191113881519015</v>
      </c>
      <c r="S131" s="817">
        <f t="shared" si="30"/>
        <v>-1</v>
      </c>
      <c r="T131" s="176">
        <f t="shared" si="31"/>
        <v>5</v>
      </c>
      <c r="U131" s="251">
        <f t="shared" si="32"/>
        <v>-0.45808886118480985</v>
      </c>
      <c r="V131" s="383">
        <f t="shared" si="33"/>
        <v>37.752739575667867</v>
      </c>
      <c r="W131" s="402">
        <f t="shared" si="34"/>
        <v>0</v>
      </c>
      <c r="X131" s="157">
        <f t="shared" si="35"/>
        <v>44678</v>
      </c>
      <c r="Y131" s="385">
        <f t="shared" si="36"/>
        <v>24.537228574622279</v>
      </c>
      <c r="Z131" s="385">
        <f t="shared" si="37"/>
        <v>25.339557705386731</v>
      </c>
      <c r="AA131" s="386">
        <f t="shared" si="38"/>
        <v>29.008527228448123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0.12647900026662851</v>
      </c>
      <c r="AD131" s="231">
        <f>(INDEX(Models!$BJ131:$BT131,,AH131)*(1-AF131)+INDEX(Models!$BJ131:$BT131,,AH131+1)*AF131-ERP_i)*AE131*Ramure*Pc/MaxiM</f>
        <v>0</v>
      </c>
      <c r="AE131" s="305">
        <f t="shared" si="40"/>
        <v>0.7</v>
      </c>
      <c r="AF131" s="177">
        <f t="shared" si="41"/>
        <v>0.54191113881519015</v>
      </c>
      <c r="AG131" s="817">
        <f t="shared" si="49"/>
        <v>-1</v>
      </c>
      <c r="AH131" s="176">
        <f t="shared" si="42"/>
        <v>5</v>
      </c>
      <c r="AI131" s="225">
        <f t="shared" si="43"/>
        <v>-0.45808886118480985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44679</v>
      </c>
      <c r="B132" s="1106">
        <v>16.704000000000001</v>
      </c>
      <c r="C132" s="846"/>
      <c r="D132" s="393">
        <f t="shared" si="25"/>
        <v>17.250572597025137</v>
      </c>
      <c r="E132" s="385">
        <f t="shared" si="47"/>
        <v>18.567318392381065</v>
      </c>
      <c r="F132" s="385">
        <f t="shared" si="26"/>
        <v>18.567318392381065</v>
      </c>
      <c r="G132" s="110">
        <f t="shared" si="48"/>
        <v>0.44130871640097458</v>
      </c>
      <c r="H132" s="414" t="b">
        <f>Wh_hp&gt;='2021'!Maxi_hp</f>
        <v>0</v>
      </c>
      <c r="I132" s="380">
        <f>IF(H132,Wh_hp,'2021'!Maxi_hp)</f>
        <v>31.162451823892468</v>
      </c>
      <c r="J132" s="85">
        <f>IF(H132,An,'2021'!An_max)</f>
        <v>2019</v>
      </c>
      <c r="K132" s="197">
        <f t="shared" si="27"/>
        <v>44679</v>
      </c>
      <c r="L132" s="147">
        <f>IF(t&lt;Tvie,1-EXP((T0-t)*PertePVj)+'2021'!Pspv,1-EXP((T0-t)*PertePVj)+Pspv)</f>
        <v>3.1684316213329122E-2</v>
      </c>
      <c r="M132" s="850"/>
      <c r="N132" s="850"/>
      <c r="O132" s="48">
        <f>IF(t&lt;Tnet,'2021'!Resal+('2021'!Salim-'2021'!Resal)*(1-EXP(('2021'!Tnet-t)/('2021'!Tau_j))),Resal+(Salim-Resal)*(1-EXP((Tnet-t)/(Tau_j))))*Salcycl</f>
        <v>7.0917391921078085E-2</v>
      </c>
      <c r="P132" s="339">
        <f>(INDEX(Models!$BJ132:$BT132,,T132)*(1-R132)+INDEX(Models!$BJ132:$BT132,,T132+1)*R132-ERP_i)*Q132*Ramure*Pc/MaxiM</f>
        <v>0</v>
      </c>
      <c r="Q132" s="305">
        <f t="shared" si="28"/>
        <v>0.7</v>
      </c>
      <c r="R132" s="177">
        <f t="shared" si="29"/>
        <v>0.54342783355363855</v>
      </c>
      <c r="S132" s="817">
        <f t="shared" si="30"/>
        <v>-1</v>
      </c>
      <c r="T132" s="176">
        <f t="shared" si="31"/>
        <v>5</v>
      </c>
      <c r="U132" s="251">
        <f t="shared" si="32"/>
        <v>-0.45657216644636145</v>
      </c>
      <c r="V132" s="383">
        <f t="shared" si="33"/>
        <v>37.851053874999131</v>
      </c>
      <c r="W132" s="402">
        <f t="shared" si="34"/>
        <v>0</v>
      </c>
      <c r="X132" s="157">
        <f t="shared" si="35"/>
        <v>44679</v>
      </c>
      <c r="Y132" s="385">
        <f t="shared" si="36"/>
        <v>15.703365425605135</v>
      </c>
      <c r="Z132" s="385">
        <f t="shared" si="37"/>
        <v>16.21719619803735</v>
      </c>
      <c r="AA132" s="386">
        <f t="shared" si="38"/>
        <v>18.567318392381065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0.12657305404468452</v>
      </c>
      <c r="AD132" s="231">
        <f>(INDEX(Models!$BJ132:$BT132,,AH132)*(1-AF132)+INDEX(Models!$BJ132:$BT132,,AH132+1)*AF132-ERP_i)*AE132*Ramure*Pc/MaxiM</f>
        <v>0</v>
      </c>
      <c r="AE132" s="305">
        <f t="shared" si="40"/>
        <v>0.7</v>
      </c>
      <c r="AF132" s="177">
        <f t="shared" si="41"/>
        <v>0.54342783355363855</v>
      </c>
      <c r="AG132" s="817">
        <f t="shared" si="49"/>
        <v>-1</v>
      </c>
      <c r="AH132" s="176">
        <f t="shared" si="42"/>
        <v>5</v>
      </c>
      <c r="AI132" s="225">
        <f t="shared" si="43"/>
        <v>-0.45657216644636145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44680</v>
      </c>
      <c r="B133" s="1106">
        <v>28.435000000000002</v>
      </c>
      <c r="C133" s="846"/>
      <c r="D133" s="393">
        <f t="shared" si="25"/>
        <v>29.366066551682902</v>
      </c>
      <c r="E133" s="385">
        <f t="shared" si="47"/>
        <v>31.612525457458464</v>
      </c>
      <c r="F133" s="385">
        <f t="shared" si="26"/>
        <v>31.612525457458464</v>
      </c>
      <c r="G133" s="110">
        <f t="shared" si="48"/>
        <v>0.74937043282633198</v>
      </c>
      <c r="H133" s="414" t="b">
        <f>Wh_hp&gt;='2021'!Maxi_hp</f>
        <v>0</v>
      </c>
      <c r="I133" s="380">
        <f>IF(H133,Wh_hp,'2021'!Maxi_hp)</f>
        <v>39.72311913554482</v>
      </c>
      <c r="J133" s="85">
        <f>IF(H133,An,'2021'!An_max)</f>
        <v>2019</v>
      </c>
      <c r="K133" s="197">
        <f t="shared" si="27"/>
        <v>44680</v>
      </c>
      <c r="L133" s="147">
        <f>IF(t&lt;Tvie,1-EXP((T0-t)*PertePVj)+'2021'!Pspv,1-EXP((T0-t)*PertePVj)+Pspv)</f>
        <v>3.1705524811920793E-2</v>
      </c>
      <c r="M133" s="850"/>
      <c r="N133" s="850"/>
      <c r="O133" s="48">
        <f>IF(t&lt;Tnet,'2021'!Resal+('2021'!Salim-'2021'!Resal)*(1-EXP(('2021'!Tnet-t)/('2021'!Tau_j))),Resal+(Salim-Resal)*(1-EXP((Tnet-t)/(Tau_j))))*Salcycl</f>
        <v>7.1062304364093345E-2</v>
      </c>
      <c r="P133" s="339">
        <f>(INDEX(Models!$BJ133:$BT133,,T133)*(1-R133)+INDEX(Models!$BJ133:$BT133,,T133+1)*R133-ERP_i)*Q133*Ramure*Pc/MaxiM</f>
        <v>0</v>
      </c>
      <c r="Q133" s="305">
        <f t="shared" si="28"/>
        <v>0.7</v>
      </c>
      <c r="R133" s="177">
        <f t="shared" si="29"/>
        <v>0.54498931573227427</v>
      </c>
      <c r="S133" s="817">
        <f t="shared" si="30"/>
        <v>-1</v>
      </c>
      <c r="T133" s="176">
        <f t="shared" si="31"/>
        <v>5</v>
      </c>
      <c r="U133" s="251">
        <f t="shared" si="32"/>
        <v>-0.45501068426772573</v>
      </c>
      <c r="V133" s="383">
        <f t="shared" si="33"/>
        <v>37.945185390827753</v>
      </c>
      <c r="W133" s="402">
        <f t="shared" si="34"/>
        <v>0</v>
      </c>
      <c r="X133" s="157">
        <f t="shared" si="35"/>
        <v>44680</v>
      </c>
      <c r="Y133" s="385">
        <f t="shared" si="36"/>
        <v>26.73287086254772</v>
      </c>
      <c r="Z133" s="385">
        <f t="shared" si="37"/>
        <v>27.608203441783754</v>
      </c>
      <c r="AA133" s="386">
        <f t="shared" si="38"/>
        <v>31.612525457458464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0.12666884273650944</v>
      </c>
      <c r="AD133" s="231">
        <f>(INDEX(Models!$BJ133:$BT133,,AH133)*(1-AF133)+INDEX(Models!$BJ133:$BT133,,AH133+1)*AF133-ERP_i)*AE133*Ramure*Pc/MaxiM</f>
        <v>0</v>
      </c>
      <c r="AE133" s="305">
        <f t="shared" si="40"/>
        <v>0.7</v>
      </c>
      <c r="AF133" s="177">
        <f t="shared" si="41"/>
        <v>0.54498931573227427</v>
      </c>
      <c r="AG133" s="817">
        <f t="shared" si="49"/>
        <v>-1</v>
      </c>
      <c r="AH133" s="176">
        <f t="shared" si="42"/>
        <v>5</v>
      </c>
      <c r="AI133" s="225">
        <f t="shared" si="43"/>
        <v>-0.45501068426772573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44681</v>
      </c>
      <c r="B134" s="1106">
        <v>29.925000000000001</v>
      </c>
      <c r="C134" s="846"/>
      <c r="D134" s="393">
        <f t="shared" si="25"/>
        <v>30.905531545910975</v>
      </c>
      <c r="E134" s="385">
        <f t="shared" si="47"/>
        <v>33.274981308646517</v>
      </c>
      <c r="F134" s="385">
        <f t="shared" si="26"/>
        <v>33.274981308646517</v>
      </c>
      <c r="G134" s="110">
        <f t="shared" si="48"/>
        <v>0.78677650351398976</v>
      </c>
      <c r="H134" s="414" t="b">
        <f>Wh_hp&gt;='2021'!Maxi_hp</f>
        <v>0</v>
      </c>
      <c r="I134" s="380">
        <f>IF(H134,Wh_hp,'2021'!Maxi_hp)</f>
        <v>43.204941551644787</v>
      </c>
      <c r="J134" s="85">
        <f>IF(H134,An,'2021'!An_max)</f>
        <v>2019</v>
      </c>
      <c r="K134" s="197">
        <f t="shared" si="27"/>
        <v>44681</v>
      </c>
      <c r="L134" s="147">
        <f>IF(t&lt;Tvie,1-EXP((T0-t)*PertePVj)+'2021'!Pspv,1-EXP((T0-t)*PertePVj)+Pspv)</f>
        <v>3.17267329459896E-2</v>
      </c>
      <c r="M134" s="850"/>
      <c r="N134" s="850"/>
      <c r="O134" s="48">
        <f>IF(t&lt;Tnet,'2021'!Resal+('2021'!Salim-'2021'!Resal)*(1-EXP(('2021'!Tnet-t)/('2021'!Tau_j))),Resal+(Salim-Resal)*(1-EXP((Tnet-t)/(Tau_j))))*Salcycl</f>
        <v>7.1208147068736044E-2</v>
      </c>
      <c r="P134" s="339">
        <f>(INDEX(Models!$BJ134:$BT134,,T134)*(1-R134)+INDEX(Models!$BJ134:$BT134,,T134+1)*R134-ERP_i)*Q134*Ramure*Pc/MaxiM</f>
        <v>0</v>
      </c>
      <c r="Q134" s="305">
        <f t="shared" si="28"/>
        <v>0.7</v>
      </c>
      <c r="R134" s="177">
        <f t="shared" si="29"/>
        <v>0.54659622145796405</v>
      </c>
      <c r="S134" s="817">
        <f t="shared" si="30"/>
        <v>-1</v>
      </c>
      <c r="T134" s="176">
        <f t="shared" si="31"/>
        <v>5</v>
      </c>
      <c r="U134" s="251">
        <f t="shared" si="32"/>
        <v>-0.45340377854203601</v>
      </c>
      <c r="V134" s="383">
        <f t="shared" si="33"/>
        <v>38.034943680124655</v>
      </c>
      <c r="W134" s="402">
        <f t="shared" si="34"/>
        <v>0</v>
      </c>
      <c r="X134" s="157">
        <f t="shared" si="35"/>
        <v>44681</v>
      </c>
      <c r="Y134" s="385">
        <f t="shared" si="36"/>
        <v>28.134954930381863</v>
      </c>
      <c r="Z134" s="385">
        <f t="shared" si="37"/>
        <v>29.056833321426907</v>
      </c>
      <c r="AA134" s="386">
        <f t="shared" si="38"/>
        <v>33.274981308646517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0.12676635181530585</v>
      </c>
      <c r="AD134" s="231">
        <f>(INDEX(Models!$BJ134:$BT134,,AH134)*(1-AF134)+INDEX(Models!$BJ134:$BT134,,AH134+1)*AF134-ERP_i)*AE134*Ramure*Pc/MaxiM</f>
        <v>0</v>
      </c>
      <c r="AE134" s="305">
        <f t="shared" si="40"/>
        <v>0.7</v>
      </c>
      <c r="AF134" s="177">
        <f t="shared" si="41"/>
        <v>0.54659622145796405</v>
      </c>
      <c r="AG134" s="817">
        <f t="shared" si="49"/>
        <v>-1</v>
      </c>
      <c r="AH134" s="176">
        <f t="shared" si="42"/>
        <v>5</v>
      </c>
      <c r="AI134" s="225">
        <f t="shared" si="43"/>
        <v>-0.45340377854203601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44682</v>
      </c>
      <c r="B135" s="1106">
        <v>30.844000000000001</v>
      </c>
      <c r="C135" s="846"/>
      <c r="D135" s="393">
        <f t="shared" si="25"/>
        <v>31.855341489909588</v>
      </c>
      <c r="E135" s="385">
        <f t="shared" si="47"/>
        <v>34.303031324274393</v>
      </c>
      <c r="F135" s="385">
        <f t="shared" si="26"/>
        <v>34.303031324274393</v>
      </c>
      <c r="G135" s="110">
        <f t="shared" si="48"/>
        <v>0.80911148570637659</v>
      </c>
      <c r="H135" s="414" t="b">
        <f>Wh_hp&gt;='2021'!Maxi_hp</f>
        <v>0</v>
      </c>
      <c r="I135" s="380">
        <f>IF(H135,Wh_hp,'2021'!Maxi_hp)</f>
        <v>40.273883228930465</v>
      </c>
      <c r="J135" s="85">
        <f>IF(H135,An,'2021'!An_max)</f>
        <v>2019</v>
      </c>
      <c r="K135" s="197">
        <f t="shared" si="27"/>
        <v>44682</v>
      </c>
      <c r="L135" s="147">
        <f>IF(t&lt;Tvie,1-EXP((T0-t)*PertePVj)+'2021'!Pspv,1-EXP((T0-t)*PertePVj)+Pspv)</f>
        <v>3.1747940615545978E-2</v>
      </c>
      <c r="M135" s="850"/>
      <c r="N135" s="850"/>
      <c r="O135" s="48">
        <f>IF(t&lt;Tnet,'2021'!Resal+('2021'!Salim-'2021'!Resal)*(1-EXP(('2021'!Tnet-t)/('2021'!Tau_j))),Resal+(Salim-Resal)*(1-EXP((Tnet-t)/(Tau_j))))*Salcycl</f>
        <v>7.1354913541786955E-2</v>
      </c>
      <c r="P135" s="339">
        <f>(INDEX(Models!$BJ135:$BT135,,T135)*(1-R135)+INDEX(Models!$BJ135:$BT135,,T135+1)*R135-ERP_i)*Q135*Ramure*Pc/MaxiM</f>
        <v>0</v>
      </c>
      <c r="Q135" s="305">
        <f t="shared" si="28"/>
        <v>0.7</v>
      </c>
      <c r="R135" s="177">
        <f t="shared" si="29"/>
        <v>0.54824914545361059</v>
      </c>
      <c r="S135" s="817">
        <f t="shared" si="30"/>
        <v>-1</v>
      </c>
      <c r="T135" s="176">
        <f t="shared" si="31"/>
        <v>5</v>
      </c>
      <c r="U135" s="251">
        <f t="shared" si="32"/>
        <v>-0.45175085454638941</v>
      </c>
      <c r="V135" s="383">
        <f t="shared" si="33"/>
        <v>38.120828272598722</v>
      </c>
      <c r="W135" s="402">
        <f t="shared" si="34"/>
        <v>0</v>
      </c>
      <c r="X135" s="157">
        <f t="shared" si="35"/>
        <v>44682</v>
      </c>
      <c r="Y135" s="385">
        <f t="shared" si="36"/>
        <v>29.000270355001131</v>
      </c>
      <c r="Z135" s="385">
        <f t="shared" si="37"/>
        <v>29.95115793860273</v>
      </c>
      <c r="AA135" s="386">
        <f t="shared" si="38"/>
        <v>34.303031324274393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0.12686556311984229</v>
      </c>
      <c r="AD135" s="231">
        <f>(INDEX(Models!$BJ135:$BT135,,AH135)*(1-AF135)+INDEX(Models!$BJ135:$BT135,,AH135+1)*AF135-ERP_i)*AE135*Ramure*Pc/MaxiM</f>
        <v>0</v>
      </c>
      <c r="AE135" s="305">
        <f t="shared" si="40"/>
        <v>0.7</v>
      </c>
      <c r="AF135" s="177">
        <f t="shared" si="41"/>
        <v>0.54824914545361059</v>
      </c>
      <c r="AG135" s="817">
        <f t="shared" si="49"/>
        <v>-1</v>
      </c>
      <c r="AH135" s="176">
        <f t="shared" si="42"/>
        <v>5</v>
      </c>
      <c r="AI135" s="225">
        <f t="shared" si="43"/>
        <v>-0.45175085454638941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44683</v>
      </c>
      <c r="B136" s="1106">
        <v>17.969000000000001</v>
      </c>
      <c r="C136" s="846"/>
      <c r="D136" s="393">
        <f t="shared" si="25"/>
        <v>18.55859060837961</v>
      </c>
      <c r="E136" s="385">
        <f t="shared" si="47"/>
        <v>19.98776788257306</v>
      </c>
      <c r="F136" s="385">
        <f t="shared" si="26"/>
        <v>19.98776788257306</v>
      </c>
      <c r="G136" s="110">
        <f t="shared" si="48"/>
        <v>0.47035077435039896</v>
      </c>
      <c r="H136" s="414" t="b">
        <f>Wh_hp&gt;='2021'!Maxi_hp</f>
        <v>0</v>
      </c>
      <c r="I136" s="380">
        <f>IF(H136,Wh_hp,'2021'!Maxi_hp)</f>
        <v>28.08893330221149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3.1769147820599919E-2</v>
      </c>
      <c r="M136" s="850"/>
      <c r="N136" s="850"/>
      <c r="O136" s="48">
        <f>IF(t&lt;Tnet,'2021'!Resal+('2021'!Salim-'2021'!Resal)*(1-EXP(('2021'!Tnet-t)/('2021'!Tau_j))),Resal+(Salim-Resal)*(1-EXP((Tnet-t)/(Tau_j))))*Salcycl</f>
        <v>7.1502595116662362E-2</v>
      </c>
      <c r="P136" s="339">
        <f>(INDEX(Models!$BJ136:$BT136,,T136)*(1-R136)+INDEX(Models!$BJ136:$BT136,,T136+1)*R136-ERP_i)*Q136*Ramure*Pc/MaxiM</f>
        <v>0</v>
      </c>
      <c r="Q136" s="305">
        <f t="shared" si="28"/>
        <v>0.7</v>
      </c>
      <c r="R136" s="177">
        <f t="shared" si="29"/>
        <v>0.54994863706528385</v>
      </c>
      <c r="S136" s="817">
        <f t="shared" si="30"/>
        <v>-1</v>
      </c>
      <c r="T136" s="176">
        <f t="shared" si="31"/>
        <v>5</v>
      </c>
      <c r="U136" s="251">
        <f t="shared" si="32"/>
        <v>-0.45005136293471615</v>
      </c>
      <c r="V136" s="383">
        <f t="shared" si="33"/>
        <v>38.203402609078239</v>
      </c>
      <c r="W136" s="402">
        <f t="shared" si="34"/>
        <v>0</v>
      </c>
      <c r="X136" s="157">
        <f t="shared" si="35"/>
        <v>44683</v>
      </c>
      <c r="Y136" s="385">
        <f t="shared" si="36"/>
        <v>16.895620485466203</v>
      </c>
      <c r="Z136" s="385">
        <f t="shared" si="37"/>
        <v>17.449991856214549</v>
      </c>
      <c r="AA136" s="386">
        <f t="shared" si="38"/>
        <v>19.98776788257306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0.12696645474711296</v>
      </c>
      <c r="AD136" s="231">
        <f>(INDEX(Models!$BJ136:$BT136,,AH136)*(1-AF136)+INDEX(Models!$BJ136:$BT136,,AH136+1)*AF136-ERP_i)*AE136*Ramure*Pc/MaxiM</f>
        <v>0</v>
      </c>
      <c r="AE136" s="305">
        <f t="shared" si="40"/>
        <v>0.7</v>
      </c>
      <c r="AF136" s="177">
        <f t="shared" si="41"/>
        <v>0.54994863706528385</v>
      </c>
      <c r="AG136" s="817">
        <f t="shared" si="49"/>
        <v>-1</v>
      </c>
      <c r="AH136" s="176">
        <f t="shared" si="42"/>
        <v>5</v>
      </c>
      <c r="AI136" s="225">
        <f t="shared" si="43"/>
        <v>-0.45005136293471615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44684</v>
      </c>
      <c r="B137" s="1106">
        <v>19.968</v>
      </c>
      <c r="C137" s="846"/>
      <c r="D137" s="393">
        <f t="shared" si="25"/>
        <v>20.623632592453216</v>
      </c>
      <c r="E137" s="385">
        <f t="shared" si="47"/>
        <v>22.215391637027544</v>
      </c>
      <c r="F137" s="385">
        <f t="shared" si="26"/>
        <v>22.215391637027544</v>
      </c>
      <c r="G137" s="110">
        <f t="shared" si="48"/>
        <v>0.52159504264757028</v>
      </c>
      <c r="H137" s="414" t="b">
        <f>Wh_hp&gt;='2021'!Maxi_hp</f>
        <v>0</v>
      </c>
      <c r="I137" s="380">
        <f>IF(H137,Wh_hp,'2021'!Maxi_hp)</f>
        <v>42.400180832539675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3.1790354561161638E-2</v>
      </c>
      <c r="M137" s="850"/>
      <c r="N137" s="850"/>
      <c r="O137" s="48">
        <f>IF(t&lt;Tnet,'2021'!Resal+('2021'!Salim-'2021'!Resal)*(1-EXP(('2021'!Tnet-t)/('2021'!Tau_j))),Resal+(Salim-Resal)*(1-EXP((Tnet-t)/(Tau_j))))*Salcycl</f>
        <v>7.1651180883134158E-2</v>
      </c>
      <c r="P137" s="339">
        <f>(INDEX(Models!$BJ137:$BT137,,T137)*(1-R137)+INDEX(Models!$BJ137:$BT137,,T137+1)*R137-ERP_i)*Q137*Ramure*Pc/MaxiM</f>
        <v>0</v>
      </c>
      <c r="Q137" s="305">
        <f t="shared" si="28"/>
        <v>0.7</v>
      </c>
      <c r="R137" s="177">
        <f t="shared" si="29"/>
        <v>0.55169519618473895</v>
      </c>
      <c r="S137" s="817">
        <f t="shared" si="30"/>
        <v>-1</v>
      </c>
      <c r="T137" s="176">
        <f t="shared" si="31"/>
        <v>5</v>
      </c>
      <c r="U137" s="251">
        <f t="shared" si="32"/>
        <v>-0.448304803815261</v>
      </c>
      <c r="V137" s="383">
        <f t="shared" si="33"/>
        <v>38.282572431371669</v>
      </c>
      <c r="W137" s="402">
        <f t="shared" si="34"/>
        <v>0</v>
      </c>
      <c r="X137" s="157">
        <f t="shared" si="35"/>
        <v>44684</v>
      </c>
      <c r="Y137" s="385">
        <f t="shared" si="36"/>
        <v>18.776009437481211</v>
      </c>
      <c r="Z137" s="385">
        <f t="shared" si="37"/>
        <v>19.392504015977899</v>
      </c>
      <c r="AA137" s="386">
        <f t="shared" si="38"/>
        <v>22.215391637027544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0.12706900095088089</v>
      </c>
      <c r="AD137" s="231">
        <f>(INDEX(Models!$BJ137:$BT137,,AH137)*(1-AF137)+INDEX(Models!$BJ137:$BT137,,AH137+1)*AF137-ERP_i)*AE137*Ramure*Pc/MaxiM</f>
        <v>0</v>
      </c>
      <c r="AE137" s="305">
        <f t="shared" si="40"/>
        <v>0.7</v>
      </c>
      <c r="AF137" s="177">
        <f t="shared" si="41"/>
        <v>0.55169519618473895</v>
      </c>
      <c r="AG137" s="817">
        <f t="shared" si="49"/>
        <v>-1</v>
      </c>
      <c r="AH137" s="176">
        <f t="shared" si="42"/>
        <v>5</v>
      </c>
      <c r="AI137" s="225">
        <f t="shared" si="43"/>
        <v>-0.448304803815261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44685</v>
      </c>
      <c r="B138" s="1106">
        <v>13.919</v>
      </c>
      <c r="C138" s="846"/>
      <c r="D138" s="393">
        <f t="shared" si="25"/>
        <v>14.376333611292095</v>
      </c>
      <c r="E138" s="385">
        <f t="shared" si="47"/>
        <v>15.488411761251898</v>
      </c>
      <c r="F138" s="385">
        <f t="shared" si="26"/>
        <v>15.488411761251898</v>
      </c>
      <c r="G138" s="110">
        <f t="shared" si="48"/>
        <v>0.36286854319506556</v>
      </c>
      <c r="H138" s="414" t="b">
        <f>Wh_hp&gt;='2021'!Maxi_hp</f>
        <v>0</v>
      </c>
      <c r="I138" s="380">
        <f>IF(H138,Wh_hp,'2021'!Maxi_hp)</f>
        <v>39.79073296578693</v>
      </c>
      <c r="J138" s="85">
        <f>IF(H138,An,'2021'!An_max)</f>
        <v>2020</v>
      </c>
      <c r="K138" s="197">
        <f t="shared" si="27"/>
        <v>44685</v>
      </c>
      <c r="L138" s="147">
        <f>IF(t&lt;Tvie,1-EXP((T0-t)*PertePVj)+'2021'!Pspv,1-EXP((T0-t)*PertePVj)+Pspv)</f>
        <v>3.1811560837241237E-2</v>
      </c>
      <c r="M138" s="850"/>
      <c r="N138" s="850"/>
      <c r="O138" s="48">
        <f>IF(t&lt;Tnet,'2021'!Resal+('2021'!Salim-'2021'!Resal)*(1-EXP(('2021'!Tnet-t)/('2021'!Tau_j))),Resal+(Salim-Resal)*(1-EXP((Tnet-t)/(Tau_j))))*Salcycl</f>
        <v>7.1800657620811892E-2</v>
      </c>
      <c r="P138" s="339">
        <f>(INDEX(Models!$BJ138:$BT138,,T138)*(1-R138)+INDEX(Models!$BJ138:$BT138,,T138+1)*R138-ERP_i)*Q138*Ramure*Pc/MaxiM</f>
        <v>0</v>
      </c>
      <c r="Q138" s="305">
        <f t="shared" si="28"/>
        <v>0.7</v>
      </c>
      <c r="R138" s="177">
        <f t="shared" si="29"/>
        <v>0.55348926910442686</v>
      </c>
      <c r="S138" s="817">
        <f t="shared" si="30"/>
        <v>-1</v>
      </c>
      <c r="T138" s="176">
        <f t="shared" si="31"/>
        <v>5</v>
      </c>
      <c r="U138" s="251">
        <f t="shared" si="32"/>
        <v>-0.44651073089557319</v>
      </c>
      <c r="V138" s="383">
        <f t="shared" si="33"/>
        <v>38.358243669850509</v>
      </c>
      <c r="W138" s="402">
        <f t="shared" si="34"/>
        <v>0</v>
      </c>
      <c r="X138" s="157">
        <f t="shared" si="35"/>
        <v>44685</v>
      </c>
      <c r="Y138" s="385">
        <f t="shared" si="36"/>
        <v>13.088650318508307</v>
      </c>
      <c r="Z138" s="385">
        <f t="shared" si="37"/>
        <v>13.51870130759537</v>
      </c>
      <c r="AA138" s="386">
        <f t="shared" si="38"/>
        <v>15.488411761251898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0.12717317204752057</v>
      </c>
      <c r="AD138" s="231">
        <f>(INDEX(Models!$BJ138:$BT138,,AH138)*(1-AF138)+INDEX(Models!$BJ138:$BT138,,AH138+1)*AF138-ERP_i)*AE138*Ramure*Pc/MaxiM</f>
        <v>0</v>
      </c>
      <c r="AE138" s="305">
        <f t="shared" si="40"/>
        <v>0.7</v>
      </c>
      <c r="AF138" s="177">
        <f t="shared" si="41"/>
        <v>0.55348926910442686</v>
      </c>
      <c r="AG138" s="817">
        <f t="shared" si="49"/>
        <v>-1</v>
      </c>
      <c r="AH138" s="176">
        <f t="shared" si="42"/>
        <v>5</v>
      </c>
      <c r="AI138" s="225">
        <f t="shared" si="43"/>
        <v>-0.44651073089557319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44686</v>
      </c>
      <c r="B139" s="1106">
        <v>27.22</v>
      </c>
      <c r="C139" s="846"/>
      <c r="D139" s="393">
        <f t="shared" si="25"/>
        <v>28.114977518690097</v>
      </c>
      <c r="E139" s="385">
        <f t="shared" si="47"/>
        <v>30.294712686159112</v>
      </c>
      <c r="F139" s="385">
        <f t="shared" si="26"/>
        <v>30.294712686159112</v>
      </c>
      <c r="G139" s="110">
        <f t="shared" si="48"/>
        <v>0.70829486362927863</v>
      </c>
      <c r="H139" s="414" t="b">
        <f>Wh_hp&gt;='2021'!Maxi_hp</f>
        <v>0</v>
      </c>
      <c r="I139" s="380">
        <f>IF(H139,Wh_hp,'2021'!Maxi_hp)</f>
        <v>40.603023029597871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3.1832766648849042E-2</v>
      </c>
      <c r="M139" s="850"/>
      <c r="N139" s="850"/>
      <c r="O139" s="48">
        <f>IF(t&lt;Tnet,'2021'!Resal+('2021'!Salim-'2021'!Resal)*(1-EXP(('2021'!Tnet-t)/('2021'!Tau_j))),Resal+(Salim-Resal)*(1-EXP((Tnet-t)/(Tau_j))))*Salcycl</f>
        <v>7.1951009737249688E-2</v>
      </c>
      <c r="P139" s="339">
        <f>(INDEX(Models!$BJ139:$BT139,,T139)*(1-R139)+INDEX(Models!$BJ139:$BT139,,T139+1)*R139-ERP_i)*Q139*Ramure*Pc/MaxiM</f>
        <v>0</v>
      </c>
      <c r="Q139" s="305">
        <f t="shared" si="28"/>
        <v>0.7</v>
      </c>
      <c r="R139" s="177">
        <f t="shared" si="29"/>
        <v>0.55533124432416303</v>
      </c>
      <c r="S139" s="817">
        <f t="shared" si="30"/>
        <v>-1</v>
      </c>
      <c r="T139" s="176">
        <f t="shared" si="31"/>
        <v>5</v>
      </c>
      <c r="U139" s="251">
        <f t="shared" si="32"/>
        <v>-0.44466875567583697</v>
      </c>
      <c r="V139" s="383">
        <f t="shared" si="33"/>
        <v>38.430322451479668</v>
      </c>
      <c r="W139" s="402">
        <f t="shared" si="34"/>
        <v>0</v>
      </c>
      <c r="X139" s="157">
        <f t="shared" si="35"/>
        <v>44686</v>
      </c>
      <c r="Y139" s="385">
        <f t="shared" si="36"/>
        <v>25.597212708345154</v>
      </c>
      <c r="Z139" s="385">
        <f t="shared" si="37"/>
        <v>26.438833939612508</v>
      </c>
      <c r="AA139" s="386">
        <f t="shared" si="38"/>
        <v>30.294712686159112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0.1272789343306186</v>
      </c>
      <c r="AD139" s="231">
        <f>(INDEX(Models!$BJ139:$BT139,,AH139)*(1-AF139)+INDEX(Models!$BJ139:$BT139,,AH139+1)*AF139-ERP_i)*AE139*Ramure*Pc/MaxiM</f>
        <v>0</v>
      </c>
      <c r="AE139" s="305">
        <f t="shared" si="40"/>
        <v>0.7</v>
      </c>
      <c r="AF139" s="177">
        <f t="shared" si="41"/>
        <v>0.55533124432416303</v>
      </c>
      <c r="AG139" s="817">
        <f t="shared" si="49"/>
        <v>-1</v>
      </c>
      <c r="AH139" s="176">
        <f t="shared" si="42"/>
        <v>5</v>
      </c>
      <c r="AI139" s="225">
        <f t="shared" si="43"/>
        <v>-0.44466875567583697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44687</v>
      </c>
      <c r="B140" s="1106">
        <v>25.259</v>
      </c>
      <c r="C140" s="846"/>
      <c r="D140" s="393">
        <f t="shared" si="25"/>
        <v>26.090072436774502</v>
      </c>
      <c r="E140" s="385">
        <f t="shared" si="47"/>
        <v>28.117399326686314</v>
      </c>
      <c r="F140" s="385">
        <f t="shared" si="26"/>
        <v>28.117399326686314</v>
      </c>
      <c r="G140" s="110">
        <f t="shared" si="48"/>
        <v>0.65609981884152657</v>
      </c>
      <c r="H140" s="414" t="b">
        <f>Wh_hp&gt;='2021'!Maxi_hp</f>
        <v>0</v>
      </c>
      <c r="I140" s="380">
        <f>IF(H140,Wh_hp,'2021'!Maxi_hp)</f>
        <v>44.619992536921345</v>
      </c>
      <c r="J140" s="85">
        <f>IF(H140,An,'2021'!An_max)</f>
        <v>2019</v>
      </c>
      <c r="K140" s="197">
        <f t="shared" si="27"/>
        <v>44687</v>
      </c>
      <c r="L140" s="147">
        <f>IF(t&lt;Tvie,1-EXP((T0-t)*PertePVj)+'2021'!Pspv,1-EXP((T0-t)*PertePVj)+Pspv)</f>
        <v>3.1853971995995156E-2</v>
      </c>
      <c r="M140" s="850"/>
      <c r="N140" s="850"/>
      <c r="O140" s="48">
        <f>IF(t&lt;Tnet,'2021'!Resal+('2021'!Salim-'2021'!Resal)*(1-EXP(('2021'!Tnet-t)/('2021'!Tau_j))),Resal+(Salim-Resal)*(1-EXP((Tnet-t)/(Tau_j))))*Salcycl</f>
        <v>7.2102219211563817E-2</v>
      </c>
      <c r="P140" s="339">
        <f>(INDEX(Models!$BJ140:$BT140,,T140)*(1-R140)+INDEX(Models!$BJ140:$BT140,,T140+1)*R140-ERP_i)*Q140*Ramure*Pc/MaxiM</f>
        <v>0</v>
      </c>
      <c r="Q140" s="305">
        <f t="shared" si="28"/>
        <v>0.7</v>
      </c>
      <c r="R140" s="177">
        <f t="shared" si="29"/>
        <v>0.55722144833070231</v>
      </c>
      <c r="S140" s="817">
        <f t="shared" si="30"/>
        <v>-1</v>
      </c>
      <c r="T140" s="176">
        <f t="shared" si="31"/>
        <v>5</v>
      </c>
      <c r="U140" s="251">
        <f t="shared" si="32"/>
        <v>-0.44277855166929764</v>
      </c>
      <c r="V140" s="383">
        <f t="shared" si="33"/>
        <v>38.498715095821453</v>
      </c>
      <c r="W140" s="402">
        <f t="shared" si="34"/>
        <v>0</v>
      </c>
      <c r="X140" s="157">
        <f t="shared" si="35"/>
        <v>44687</v>
      </c>
      <c r="Y140" s="385">
        <f t="shared" si="36"/>
        <v>23.754072019255336</v>
      </c>
      <c r="Z140" s="385">
        <f t="shared" si="37"/>
        <v>24.535629266824895</v>
      </c>
      <c r="AA140" s="386">
        <f t="shared" si="38"/>
        <v>28.117399326686314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0.12738624999581485</v>
      </c>
      <c r="AD140" s="231">
        <f>(INDEX(Models!$BJ140:$BT140,,AH140)*(1-AF140)+INDEX(Models!$BJ140:$BT140,,AH140+1)*AF140-ERP_i)*AE140*Ramure*Pc/MaxiM</f>
        <v>0</v>
      </c>
      <c r="AE140" s="305">
        <f t="shared" si="40"/>
        <v>0.7</v>
      </c>
      <c r="AF140" s="177">
        <f t="shared" si="41"/>
        <v>0.55722144833070231</v>
      </c>
      <c r="AG140" s="817">
        <f t="shared" si="49"/>
        <v>-1</v>
      </c>
      <c r="AH140" s="176">
        <f t="shared" si="42"/>
        <v>5</v>
      </c>
      <c r="AI140" s="225">
        <f t="shared" si="43"/>
        <v>-0.44277855166929764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44688</v>
      </c>
      <c r="B141" s="1106">
        <v>31.396000000000001</v>
      </c>
      <c r="C141" s="846"/>
      <c r="D141" s="393">
        <f t="shared" si="25"/>
        <v>32.42970250341979</v>
      </c>
      <c r="E141" s="385">
        <f t="shared" si="47"/>
        <v>34.955377641753955</v>
      </c>
      <c r="F141" s="385">
        <f t="shared" si="26"/>
        <v>34.955377641753955</v>
      </c>
      <c r="G141" s="110">
        <f t="shared" si="48"/>
        <v>0.81414134950341255</v>
      </c>
      <c r="H141" s="414" t="b">
        <f>Wh_hp&gt;='2021'!Maxi_hp</f>
        <v>0</v>
      </c>
      <c r="I141" s="380">
        <f>IF(H141,Wh_hp,'2021'!Maxi_hp)</f>
        <v>41.484775655026766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3.1875176878689682E-2</v>
      </c>
      <c r="M141" s="850"/>
      <c r="N141" s="850"/>
      <c r="O141" s="48">
        <f>IF(t&lt;Tnet,'2021'!Resal+('2021'!Salim-'2021'!Resal)*(1-EXP(('2021'!Tnet-t)/('2021'!Tau_j))),Resal+(Salim-Resal)*(1-EXP((Tnet-t)/(Tau_j))))*Salcycl</f>
        <v>7.2254265544459795E-2</v>
      </c>
      <c r="P141" s="339">
        <f>(INDEX(Models!$BJ141:$BT141,,T141)*(1-R141)+INDEX(Models!$BJ141:$BT141,,T141+1)*R141-ERP_i)*Q141*Ramure*Pc/MaxiM</f>
        <v>0</v>
      </c>
      <c r="Q141" s="305">
        <f t="shared" si="28"/>
        <v>0.7</v>
      </c>
      <c r="R141" s="177">
        <f t="shared" si="29"/>
        <v>0.5591601413735261</v>
      </c>
      <c r="S141" s="817">
        <f t="shared" si="30"/>
        <v>-1</v>
      </c>
      <c r="T141" s="176">
        <f t="shared" si="31"/>
        <v>5</v>
      </c>
      <c r="U141" s="251">
        <f t="shared" si="32"/>
        <v>-0.4408398586264739</v>
      </c>
      <c r="V141" s="383">
        <f t="shared" si="33"/>
        <v>38.563328123734372</v>
      </c>
      <c r="W141" s="402">
        <f t="shared" si="34"/>
        <v>0</v>
      </c>
      <c r="X141" s="157">
        <f t="shared" si="35"/>
        <v>44688</v>
      </c>
      <c r="Y141" s="385">
        <f t="shared" si="36"/>
        <v>29.526586372455441</v>
      </c>
      <c r="Z141" s="385">
        <f t="shared" si="37"/>
        <v>30.498739075049652</v>
      </c>
      <c r="AA141" s="386">
        <f t="shared" si="38"/>
        <v>34.955377641753955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0.1274950770773787</v>
      </c>
      <c r="AD141" s="231">
        <f>(INDEX(Models!$BJ141:$BT141,,AH141)*(1-AF141)+INDEX(Models!$BJ141:$BT141,,AH141+1)*AF141-ERP_i)*AE141*Ramure*Pc/MaxiM</f>
        <v>0</v>
      </c>
      <c r="AE141" s="305">
        <f t="shared" si="40"/>
        <v>0.7</v>
      </c>
      <c r="AF141" s="177">
        <f t="shared" si="41"/>
        <v>0.5591601413735261</v>
      </c>
      <c r="AG141" s="817">
        <f t="shared" si="49"/>
        <v>-1</v>
      </c>
      <c r="AH141" s="176">
        <f t="shared" si="42"/>
        <v>5</v>
      </c>
      <c r="AI141" s="225">
        <f t="shared" si="43"/>
        <v>-0.4408398586264739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44689</v>
      </c>
      <c r="B142" s="1106">
        <v>32.387999999999998</v>
      </c>
      <c r="C142" s="846"/>
      <c r="D142" s="393">
        <f t="shared" si="25"/>
        <v>33.455096514760839</v>
      </c>
      <c r="E142" s="385">
        <f t="shared" si="47"/>
        <v>36.066573431333204</v>
      </c>
      <c r="F142" s="385">
        <f t="shared" si="26"/>
        <v>36.066573431333204</v>
      </c>
      <c r="G142" s="110">
        <f t="shared" si="48"/>
        <v>0.83854449986401514</v>
      </c>
      <c r="H142" s="414" t="b">
        <f>Wh_hp&gt;='2021'!Maxi_hp</f>
        <v>0</v>
      </c>
      <c r="I142" s="380">
        <f>IF(H142,Wh_hp,'2021'!Maxi_hp)</f>
        <v>40.780889517262061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3.1896381296942944E-2</v>
      </c>
      <c r="M142" s="850"/>
      <c r="N142" s="850"/>
      <c r="O142" s="48">
        <f>IF(t&lt;Tnet,'2021'!Resal+('2021'!Salim-'2021'!Resal)*(1-EXP(('2021'!Tnet-t)/('2021'!Tau_j))),Resal+(Salim-Resal)*(1-EXP((Tnet-t)/(Tau_j))))*Salcycl</f>
        <v>7.2407125715569662E-2</v>
      </c>
      <c r="P142" s="339">
        <f>(INDEX(Models!$BJ142:$BT142,,T142)*(1-R142)+INDEX(Models!$BJ142:$BT142,,T142+1)*R142-ERP_i)*Q142*Ramure*Pc/MaxiM</f>
        <v>0</v>
      </c>
      <c r="Q142" s="305">
        <f t="shared" si="28"/>
        <v>0.7</v>
      </c>
      <c r="R142" s="177">
        <f t="shared" si="29"/>
        <v>0.56114751326217505</v>
      </c>
      <c r="S142" s="817">
        <f t="shared" si="30"/>
        <v>-1</v>
      </c>
      <c r="T142" s="176">
        <f t="shared" si="31"/>
        <v>5</v>
      </c>
      <c r="U142" s="251">
        <f t="shared" si="32"/>
        <v>-0.43885248673782495</v>
      </c>
      <c r="V142" s="383">
        <f t="shared" si="33"/>
        <v>38.624068257859051</v>
      </c>
      <c r="W142" s="402">
        <f t="shared" si="34"/>
        <v>0</v>
      </c>
      <c r="X142" s="157">
        <f t="shared" si="35"/>
        <v>44689</v>
      </c>
      <c r="Y142" s="385">
        <f t="shared" si="36"/>
        <v>30.460688173930066</v>
      </c>
      <c r="Z142" s="385">
        <f t="shared" si="37"/>
        <v>31.464285005707808</v>
      </c>
      <c r="AA142" s="386">
        <f t="shared" si="38"/>
        <v>36.066573431333204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0.1276053693980008</v>
      </c>
      <c r="AD142" s="231">
        <f>(INDEX(Models!$BJ142:$BT142,,AH142)*(1-AF142)+INDEX(Models!$BJ142:$BT142,,AH142+1)*AF142-ERP_i)*AE142*Ramure*Pc/MaxiM</f>
        <v>0</v>
      </c>
      <c r="AE142" s="305">
        <f t="shared" si="40"/>
        <v>0.7</v>
      </c>
      <c r="AF142" s="177">
        <f t="shared" si="41"/>
        <v>0.56114751326217505</v>
      </c>
      <c r="AG142" s="817">
        <f t="shared" si="49"/>
        <v>-1</v>
      </c>
      <c r="AH142" s="176">
        <f t="shared" si="42"/>
        <v>5</v>
      </c>
      <c r="AI142" s="225">
        <f t="shared" si="43"/>
        <v>-0.43885248673782495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44690</v>
      </c>
      <c r="B143" s="1106">
        <v>36.494999999999997</v>
      </c>
      <c r="C143" s="846"/>
      <c r="D143" s="393">
        <f t="shared" ref="D143:D206" si="50">Wh/(1-Ppv)</f>
        <v>37.698236683137551</v>
      </c>
      <c r="E143" s="385">
        <f t="shared" si="47"/>
        <v>40.647662544730203</v>
      </c>
      <c r="F143" s="385">
        <f t="shared" ref="F143:F206" si="51">Wh_sa/(1-Pvg*MEDIAN((-Sdif+Wh/Env_an)/Csdif,0,1))</f>
        <v>40.647662544730203</v>
      </c>
      <c r="G143" s="110">
        <f t="shared" si="48"/>
        <v>0.94349030965713176</v>
      </c>
      <c r="H143" s="414" t="b">
        <f>Wh_hp&gt;='2021'!Maxi_hp</f>
        <v>1</v>
      </c>
      <c r="I143" s="380">
        <f>IF(H143,Wh_hp,'2021'!Maxi_hp)</f>
        <v>40.647662544730203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3.1917585250764935E-2</v>
      </c>
      <c r="M143" s="850"/>
      <c r="N143" s="850"/>
      <c r="O143" s="48">
        <f>IF(t&lt;Tnet,'2021'!Resal+('2021'!Salim-'2021'!Resal)*(1-EXP(('2021'!Tnet-t)/('2021'!Tau_j))),Resal+(Salim-Resal)*(1-EXP((Tnet-t)/(Tau_j))))*Salcycl</f>
        <v>7.2560774148993146E-2</v>
      </c>
      <c r="P143" s="339">
        <f>(INDEX(Models!$BJ143:$BT143,,T143)*(1-R143)+INDEX(Models!$BJ143:$BT143,,T143+1)*R143-ERP_i)*Q143*Ramure*Pc/MaxiM</f>
        <v>0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0.56318367921241219</v>
      </c>
      <c r="S143" s="817">
        <f t="shared" ref="S143:S206" si="55">INDEX(Echel_vg,T143)</f>
        <v>-1</v>
      </c>
      <c r="T143" s="176">
        <f t="shared" ref="T143:T206" si="56">MIN(MATCH(Hp_vg,Echel_vg),10)</f>
        <v>5</v>
      </c>
      <c r="U143" s="251">
        <f t="shared" ref="U143:U206" si="57">IF(OR(t&lt;Ttai,Notai),Hdd+PousH*Croivg,Hdtf+PousH*(Croivg-Croi_tai))</f>
        <v>-0.43681632078758781</v>
      </c>
      <c r="V143" s="383">
        <f t="shared" ref="V143:V206" si="58">MaxiM*(1-Ppv)*(1-Pvg)*(1-Psa)</f>
        <v>38.680842427796023</v>
      </c>
      <c r="W143" s="402">
        <f t="shared" ref="W143:W206" si="59">Wh*(A143&gt;Tmaj)</f>
        <v>0</v>
      </c>
      <c r="X143" s="157">
        <f t="shared" ref="X143:X206" si="60">t</f>
        <v>44690</v>
      </c>
      <c r="Y143" s="385">
        <f t="shared" ref="Y143:Y206" si="61">Wh_pvt_s*(1-Ppv)</f>
        <v>34.324583654210159</v>
      </c>
      <c r="Z143" s="385">
        <f t="shared" ref="Z143:Z206" si="62">Wh_sa_s*(1-Psa_s)</f>
        <v>35.456261916606913</v>
      </c>
      <c r="AA143" s="386">
        <f t="shared" ref="AA143:AA206" si="63">Wh_hp*(1-Pvg_s*MEDIAN((-Sdif+Wh/Env_an)/Csdif,0,1))</f>
        <v>40.647662544730203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0.12771707653325651</v>
      </c>
      <c r="AD143" s="231">
        <f>(INDEX(Models!$BJ143:$BT143,,AH143)*(1-AF143)+INDEX(Models!$BJ143:$BT143,,AH143+1)*AF143-ERP_i)*AE143*Ramure*Pc/MaxiM</f>
        <v>0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0.56318367921241219</v>
      </c>
      <c r="AG143" s="817">
        <f t="shared" si="49"/>
        <v>-1</v>
      </c>
      <c r="AH143" s="176">
        <f t="shared" ref="AH143:AH206" si="67">MIN(MATCH(Hp_vg_s,Echel_vg),10)</f>
        <v>5</v>
      </c>
      <c r="AI143" s="225">
        <f t="shared" ref="AI143:AI206" si="68">IF(OR(t&lt;Ttai,Notai),Hdd_s+PousH*Croivg,Hdtai_s+PousH*(Croivg-Croi_tai))</f>
        <v>-0.43681632078758781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44691</v>
      </c>
      <c r="B144" s="1106">
        <v>33.734000000000002</v>
      </c>
      <c r="C144" s="846"/>
      <c r="D144" s="393">
        <f t="shared" si="50"/>
        <v>34.846970013495948</v>
      </c>
      <c r="E144" s="385">
        <f t="shared" ref="E144:E169" si="72">Wh_pvt/(1-Psa)</f>
        <v>37.579575727883402</v>
      </c>
      <c r="F144" s="385">
        <f t="shared" si="51"/>
        <v>37.579575727883402</v>
      </c>
      <c r="G144" s="110">
        <f t="shared" ref="G144:G169" si="73">+Wh_hp/MaxiM</f>
        <v>0.8709243855492923</v>
      </c>
      <c r="H144" s="414" t="b">
        <f>Wh_hp&gt;='2021'!Maxi_hp</f>
        <v>1</v>
      </c>
      <c r="I144" s="380">
        <f>IF(H144,Wh_hp,'2021'!Maxi_hp)</f>
        <v>37.579575727883402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3.193878874016598E-2</v>
      </c>
      <c r="M144" s="850"/>
      <c r="N144" s="850"/>
      <c r="O144" s="48">
        <f>IF(t&lt;Tnet,'2021'!Resal+('2021'!Salim-'2021'!Resal)*(1-EXP(('2021'!Tnet-t)/('2021'!Tau_j))),Resal+(Salim-Resal)*(1-EXP((Tnet-t)/(Tau_j))))*Salcycl</f>
        <v>7.2715182687917004E-2</v>
      </c>
      <c r="P144" s="339">
        <f>(INDEX(Models!$BJ144:$BT144,,T144)*(1-R144)+INDEX(Models!$BJ144:$BT144,,T144+1)*R144-ERP_i)*Q144*Ramure*Pc/MaxiM</f>
        <v>0</v>
      </c>
      <c r="Q144" s="305">
        <f t="shared" si="53"/>
        <v>0.7</v>
      </c>
      <c r="R144" s="177">
        <f t="shared" si="54"/>
        <v>0.56526867577034123</v>
      </c>
      <c r="S144" s="817">
        <f t="shared" si="55"/>
        <v>-1</v>
      </c>
      <c r="T144" s="176">
        <f t="shared" si="56"/>
        <v>5</v>
      </c>
      <c r="U144" s="251">
        <f t="shared" si="57"/>
        <v>-0.43473132422965877</v>
      </c>
      <c r="V144" s="383">
        <f t="shared" si="58"/>
        <v>38.733557768880196</v>
      </c>
      <c r="W144" s="402">
        <f t="shared" si="59"/>
        <v>0</v>
      </c>
      <c r="X144" s="157">
        <f t="shared" si="60"/>
        <v>44691</v>
      </c>
      <c r="Y144" s="385">
        <f t="shared" si="61"/>
        <v>31.728954664221114</v>
      </c>
      <c r="Z144" s="385">
        <f t="shared" si="62"/>
        <v>32.775773158940105</v>
      </c>
      <c r="AA144" s="386">
        <f t="shared" si="63"/>
        <v>37.579575727883402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0.12783014379214916</v>
      </c>
      <c r="AD144" s="231">
        <f>(INDEX(Models!$BJ144:$BT144,,AH144)*(1-AF144)+INDEX(Models!$BJ144:$BT144,,AH144+1)*AF144-ERP_i)*AE144*Ramure*Pc/MaxiM</f>
        <v>0</v>
      </c>
      <c r="AE144" s="305">
        <f t="shared" si="65"/>
        <v>0.7</v>
      </c>
      <c r="AF144" s="177">
        <f t="shared" si="66"/>
        <v>0.56526867577034123</v>
      </c>
      <c r="AG144" s="817">
        <f t="shared" ref="AG144:AG207" si="74">INDEX(Echel_vg,AH144)</f>
        <v>-1</v>
      </c>
      <c r="AH144" s="176">
        <f t="shared" si="67"/>
        <v>5</v>
      </c>
      <c r="AI144" s="225">
        <f t="shared" si="68"/>
        <v>-0.43473132422965877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44692</v>
      </c>
      <c r="B145" s="1106">
        <v>36.377000000000002</v>
      </c>
      <c r="C145" s="846"/>
      <c r="D145" s="393">
        <f t="shared" si="50"/>
        <v>37.577992325266628</v>
      </c>
      <c r="E145" s="385">
        <f t="shared" si="72"/>
        <v>40.531538531633224</v>
      </c>
      <c r="F145" s="385">
        <f t="shared" si="51"/>
        <v>40.531538531633224</v>
      </c>
      <c r="G145" s="110">
        <f t="shared" si="73"/>
        <v>0.93798375328865258</v>
      </c>
      <c r="H145" s="414" t="b">
        <f>Wh_hp&gt;='2021'!Maxi_hp</f>
        <v>1</v>
      </c>
      <c r="I145" s="380">
        <f>IF(H145,Wh_hp,'2021'!Maxi_hp)</f>
        <v>40.531538531633224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3.1959991765156182E-2</v>
      </c>
      <c r="M145" s="850"/>
      <c r="N145" s="850"/>
      <c r="O145" s="48">
        <f>IF(t&lt;Tnet,'2021'!Resal+('2021'!Salim-'2021'!Resal)*(1-EXP(('2021'!Tnet-t)/('2021'!Tau_j))),Resal+(Salim-Resal)*(1-EXP((Tnet-t)/(Tau_j))))*Salcycl</f>
        <v>7.2870320579157696E-2</v>
      </c>
      <c r="P145" s="339">
        <f>(INDEX(Models!$BJ145:$BT145,,T145)*(1-R145)+INDEX(Models!$BJ145:$BT145,,T145+1)*R145-ERP_i)*Q145*Ramure*Pc/MaxiM</f>
        <v>0</v>
      </c>
      <c r="Q145" s="305">
        <f t="shared" si="53"/>
        <v>0.7</v>
      </c>
      <c r="R145" s="177">
        <f t="shared" si="54"/>
        <v>0.56740245684531665</v>
      </c>
      <c r="S145" s="817">
        <f t="shared" si="55"/>
        <v>-1</v>
      </c>
      <c r="T145" s="176">
        <f t="shared" si="56"/>
        <v>5</v>
      </c>
      <c r="U145" s="251">
        <f t="shared" si="57"/>
        <v>-0.43259754315468341</v>
      </c>
      <c r="V145" s="383">
        <f t="shared" si="58"/>
        <v>38.782121622532458</v>
      </c>
      <c r="W145" s="402">
        <f t="shared" si="59"/>
        <v>0</v>
      </c>
      <c r="X145" s="157">
        <f t="shared" si="60"/>
        <v>44692</v>
      </c>
      <c r="Y145" s="385">
        <f t="shared" si="61"/>
        <v>34.216100706611726</v>
      </c>
      <c r="Z145" s="385">
        <f t="shared" si="62"/>
        <v>35.345750604876855</v>
      </c>
      <c r="AA145" s="386">
        <f t="shared" si="63"/>
        <v>40.531538531633224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0.127944512215076</v>
      </c>
      <c r="AD145" s="231">
        <f>(INDEX(Models!$BJ145:$BT145,,AH145)*(1-AF145)+INDEX(Models!$BJ145:$BT145,,AH145+1)*AF145-ERP_i)*AE145*Ramure*Pc/MaxiM</f>
        <v>0</v>
      </c>
      <c r="AE145" s="305">
        <f t="shared" si="65"/>
        <v>0.7</v>
      </c>
      <c r="AF145" s="177">
        <f t="shared" si="66"/>
        <v>0.56740245684531665</v>
      </c>
      <c r="AG145" s="817">
        <f t="shared" si="74"/>
        <v>-1</v>
      </c>
      <c r="AH145" s="176">
        <f t="shared" si="67"/>
        <v>5</v>
      </c>
      <c r="AI145" s="225">
        <f t="shared" si="68"/>
        <v>-0.43259754315468341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44693</v>
      </c>
      <c r="B146" s="1106">
        <v>27.994</v>
      </c>
      <c r="C146" s="846"/>
      <c r="D146" s="393">
        <f t="shared" si="50"/>
        <v>28.918859670811184</v>
      </c>
      <c r="E146" s="385">
        <f t="shared" si="72"/>
        <v>31.197061071585896</v>
      </c>
      <c r="F146" s="385">
        <f t="shared" si="51"/>
        <v>31.197061071585896</v>
      </c>
      <c r="G146" s="110">
        <f t="shared" si="73"/>
        <v>0.72100349372040806</v>
      </c>
      <c r="H146" s="414" t="b">
        <f>Wh_hp&gt;='2021'!Maxi_hp</f>
        <v>0</v>
      </c>
      <c r="I146" s="380">
        <f>IF(H146,Wh_hp,'2021'!Maxi_hp)</f>
        <v>40.951725833965142</v>
      </c>
      <c r="J146" s="85">
        <f>IF(H146,An,'2021'!An_max)</f>
        <v>2019</v>
      </c>
      <c r="K146" s="197">
        <f t="shared" si="52"/>
        <v>44693</v>
      </c>
      <c r="L146" s="147">
        <f>IF(t&lt;Tvie,1-EXP((T0-t)*PertePVj)+'2021'!Pspv,1-EXP((T0-t)*PertePVj)+Pspv)</f>
        <v>3.1981194325745754E-2</v>
      </c>
      <c r="M146" s="850"/>
      <c r="N146" s="850"/>
      <c r="O146" s="48">
        <f>IF(t&lt;Tnet,'2021'!Resal+('2021'!Salim-'2021'!Resal)*(1-EXP(('2021'!Tnet-t)/('2021'!Tau_j))),Resal+(Salim-Resal)*(1-EXP((Tnet-t)/(Tau_j))))*Salcycl</f>
        <v>7.3026154468431165E-2</v>
      </c>
      <c r="P146" s="339">
        <f>(INDEX(Models!$BJ146:$BT146,,T146)*(1-R146)+INDEX(Models!$BJ146:$BT146,,T146+1)*R146-ERP_i)*Q146*Ramure*Pc/MaxiM</f>
        <v>0</v>
      </c>
      <c r="Q146" s="305">
        <f t="shared" si="53"/>
        <v>0.7</v>
      </c>
      <c r="R146" s="177">
        <f t="shared" si="54"/>
        <v>0.56958488988400202</v>
      </c>
      <c r="S146" s="817">
        <f t="shared" si="55"/>
        <v>-1</v>
      </c>
      <c r="T146" s="176">
        <f t="shared" si="56"/>
        <v>5</v>
      </c>
      <c r="U146" s="251">
        <f t="shared" si="57"/>
        <v>-0.43041511011599798</v>
      </c>
      <c r="V146" s="383">
        <f t="shared" si="58"/>
        <v>38.826441541288226</v>
      </c>
      <c r="W146" s="402">
        <f t="shared" si="59"/>
        <v>0</v>
      </c>
      <c r="X146" s="157">
        <f t="shared" si="60"/>
        <v>44693</v>
      </c>
      <c r="Y146" s="385">
        <f t="shared" si="61"/>
        <v>26.33201050692093</v>
      </c>
      <c r="Z146" s="385">
        <f t="shared" si="62"/>
        <v>27.201961731084236</v>
      </c>
      <c r="AA146" s="386">
        <f t="shared" si="63"/>
        <v>31.197061071585896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0.1280601185904775</v>
      </c>
      <c r="AD146" s="231">
        <f>(INDEX(Models!$BJ146:$BT146,,AH146)*(1-AF146)+INDEX(Models!$BJ146:$BT146,,AH146+1)*AF146-ERP_i)*AE146*Ramure*Pc/MaxiM</f>
        <v>0</v>
      </c>
      <c r="AE146" s="305">
        <f t="shared" si="65"/>
        <v>0.7</v>
      </c>
      <c r="AF146" s="177">
        <f t="shared" si="66"/>
        <v>0.56958488988400202</v>
      </c>
      <c r="AG146" s="817">
        <f t="shared" si="74"/>
        <v>-1</v>
      </c>
      <c r="AH146" s="176">
        <f t="shared" si="67"/>
        <v>5</v>
      </c>
      <c r="AI146" s="225">
        <f t="shared" si="68"/>
        <v>-0.43041511011599798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44694</v>
      </c>
      <c r="B147" s="1106">
        <v>30.560000000000002</v>
      </c>
      <c r="C147" s="846"/>
      <c r="D147" s="393">
        <f t="shared" si="50"/>
        <v>31.570326090725466</v>
      </c>
      <c r="E147" s="385">
        <f t="shared" si="72"/>
        <v>34.063158222562798</v>
      </c>
      <c r="F147" s="385">
        <f t="shared" si="51"/>
        <v>34.063158222562798</v>
      </c>
      <c r="G147" s="110">
        <f t="shared" si="73"/>
        <v>0.78628275633076172</v>
      </c>
      <c r="H147" s="414" t="b">
        <f>Wh_hp&gt;='2021'!Maxi_hp</f>
        <v>0</v>
      </c>
      <c r="I147" s="380">
        <f>IF(H147,Wh_hp,'2021'!Maxi_hp)</f>
        <v>45.292153927540518</v>
      </c>
      <c r="J147" s="85">
        <f>IF(H147,An,'2021'!An_max)</f>
        <v>2019</v>
      </c>
      <c r="K147" s="197">
        <f t="shared" si="52"/>
        <v>44694</v>
      </c>
      <c r="L147" s="147">
        <f>IF(t&lt;Tvie,1-EXP((T0-t)*PertePVj)+'2021'!Pspv,1-EXP((T0-t)*PertePVj)+Pspv)</f>
        <v>3.2002396421944801E-2</v>
      </c>
      <c r="M147" s="850"/>
      <c r="N147" s="850"/>
      <c r="O147" s="48">
        <f>IF(t&lt;Tnet,'2021'!Resal+('2021'!Salim-'2021'!Resal)*(1-EXP(('2021'!Tnet-t)/('2021'!Tau_j))),Resal+(Salim-Resal)*(1-EXP((Tnet-t)/(Tau_j))))*Salcycl</f>
        <v>7.3182648407103035E-2</v>
      </c>
      <c r="P147" s="339">
        <f>(INDEX(Models!$BJ147:$BT147,,T147)*(1-R147)+INDEX(Models!$BJ147:$BT147,,T147+1)*R147-ERP_i)*Q147*Ramure*Pc/MaxiM</f>
        <v>0</v>
      </c>
      <c r="Q147" s="305">
        <f t="shared" si="53"/>
        <v>0.7</v>
      </c>
      <c r="R147" s="177">
        <f t="shared" si="54"/>
        <v>0.57181575221924696</v>
      </c>
      <c r="S147" s="817">
        <f t="shared" si="55"/>
        <v>-1</v>
      </c>
      <c r="T147" s="176">
        <f t="shared" si="56"/>
        <v>5</v>
      </c>
      <c r="U147" s="251">
        <f t="shared" si="57"/>
        <v>-0.42818424778075304</v>
      </c>
      <c r="V147" s="383">
        <f t="shared" si="58"/>
        <v>38.866425282693697</v>
      </c>
      <c r="W147" s="402">
        <f t="shared" si="59"/>
        <v>0</v>
      </c>
      <c r="X147" s="157">
        <f t="shared" si="60"/>
        <v>44694</v>
      </c>
      <c r="Y147" s="385">
        <f t="shared" si="61"/>
        <v>28.746671637075579</v>
      </c>
      <c r="Z147" s="385">
        <f t="shared" si="62"/>
        <v>29.697048350964817</v>
      </c>
      <c r="AA147" s="386">
        <f t="shared" si="63"/>
        <v>34.063158222562798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0.12817689549132741</v>
      </c>
      <c r="AD147" s="231">
        <f>(INDEX(Models!$BJ147:$BT147,,AH147)*(1-AF147)+INDEX(Models!$BJ147:$BT147,,AH147+1)*AF147-ERP_i)*AE147*Ramure*Pc/MaxiM</f>
        <v>0</v>
      </c>
      <c r="AE147" s="305">
        <f t="shared" si="65"/>
        <v>0.7</v>
      </c>
      <c r="AF147" s="177">
        <f t="shared" si="66"/>
        <v>0.57181575221924696</v>
      </c>
      <c r="AG147" s="817">
        <f t="shared" si="74"/>
        <v>-1</v>
      </c>
      <c r="AH147" s="176">
        <f t="shared" si="67"/>
        <v>5</v>
      </c>
      <c r="AI147" s="225">
        <f t="shared" si="68"/>
        <v>-0.42818424778075304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44695</v>
      </c>
      <c r="B148" s="1106">
        <v>31.827000000000002</v>
      </c>
      <c r="C148" s="846"/>
      <c r="D148" s="393">
        <f t="shared" si="50"/>
        <v>32.879933783517735</v>
      </c>
      <c r="E148" s="385">
        <f t="shared" si="72"/>
        <v>35.48218915799513</v>
      </c>
      <c r="F148" s="385">
        <f t="shared" si="51"/>
        <v>35.48218915799513</v>
      </c>
      <c r="G148" s="110">
        <f t="shared" si="73"/>
        <v>0.81813314729520159</v>
      </c>
      <c r="H148" s="414" t="b">
        <f>Wh_hp&gt;='2021'!Maxi_hp</f>
        <v>0</v>
      </c>
      <c r="I148" s="380">
        <f>IF(H148,Wh_hp,'2021'!Maxi_hp)</f>
        <v>43.95743971785987</v>
      </c>
      <c r="J148" s="85">
        <f>IF(H148,An,'2021'!An_max)</f>
        <v>2019</v>
      </c>
      <c r="K148" s="197">
        <f t="shared" si="52"/>
        <v>44695</v>
      </c>
      <c r="L148" s="147">
        <f>IF(t&lt;Tvie,1-EXP((T0-t)*PertePVj)+'2021'!Pspv,1-EXP((T0-t)*PertePVj)+Pspv)</f>
        <v>3.2023598053763536E-2</v>
      </c>
      <c r="M148" s="850"/>
      <c r="N148" s="850"/>
      <c r="O148" s="48">
        <f>IF(t&lt;Tnet,'2021'!Resal+('2021'!Salim-'2021'!Resal)*(1-EXP(('2021'!Tnet-t)/('2021'!Tau_j))),Resal+(Salim-Resal)*(1-EXP((Tnet-t)/(Tau_j))))*Salcycl</f>
        <v>7.3339763871109298E-2</v>
      </c>
      <c r="P148" s="339">
        <f>(INDEX(Models!$BJ148:$BT148,,T148)*(1-R148)+INDEX(Models!$BJ148:$BT148,,T148+1)*R148-ERP_i)*Q148*Ramure*Pc/MaxiM</f>
        <v>0</v>
      </c>
      <c r="Q148" s="305">
        <f t="shared" si="53"/>
        <v>0.7</v>
      </c>
      <c r="R148" s="177">
        <f t="shared" si="54"/>
        <v>0.57409472762850233</v>
      </c>
      <c r="S148" s="817">
        <f t="shared" si="55"/>
        <v>-1</v>
      </c>
      <c r="T148" s="176">
        <f t="shared" si="56"/>
        <v>5</v>
      </c>
      <c r="U148" s="251">
        <f t="shared" si="57"/>
        <v>-0.42590527237149767</v>
      </c>
      <c r="V148" s="383">
        <f t="shared" si="58"/>
        <v>38.901980814763483</v>
      </c>
      <c r="W148" s="402">
        <f t="shared" si="59"/>
        <v>0</v>
      </c>
      <c r="X148" s="157">
        <f t="shared" si="60"/>
        <v>44695</v>
      </c>
      <c r="Y148" s="385">
        <f t="shared" si="61"/>
        <v>29.939519611524013</v>
      </c>
      <c r="Z148" s="385">
        <f t="shared" si="62"/>
        <v>30.930009813593493</v>
      </c>
      <c r="AA148" s="386">
        <f t="shared" si="63"/>
        <v>35.48218915799513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0.12829477133250405</v>
      </c>
      <c r="AD148" s="231">
        <f>(INDEX(Models!$BJ148:$BT148,,AH148)*(1-AF148)+INDEX(Models!$BJ148:$BT148,,AH148+1)*AF148-ERP_i)*AE148*Ramure*Pc/MaxiM</f>
        <v>0</v>
      </c>
      <c r="AE148" s="305">
        <f t="shared" si="65"/>
        <v>0.7</v>
      </c>
      <c r="AF148" s="177">
        <f t="shared" si="66"/>
        <v>0.57409472762850233</v>
      </c>
      <c r="AG148" s="817">
        <f t="shared" si="74"/>
        <v>-1</v>
      </c>
      <c r="AH148" s="176">
        <f t="shared" si="67"/>
        <v>5</v>
      </c>
      <c r="AI148" s="225">
        <f t="shared" si="68"/>
        <v>-0.42590527237149767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44696</v>
      </c>
      <c r="B149" s="1106">
        <v>33.896999999999998</v>
      </c>
      <c r="C149" s="846"/>
      <c r="D149" s="393">
        <f t="shared" si="50"/>
        <v>35.019182677801084</v>
      </c>
      <c r="E149" s="385">
        <f t="shared" si="72"/>
        <v>37.797179347143995</v>
      </c>
      <c r="F149" s="385">
        <f t="shared" si="51"/>
        <v>37.797179347143995</v>
      </c>
      <c r="G149" s="110">
        <f t="shared" si="73"/>
        <v>0.87066710132476532</v>
      </c>
      <c r="H149" s="414" t="b">
        <f>Wh_hp&gt;='2021'!Maxi_hp</f>
        <v>0</v>
      </c>
      <c r="I149" s="380">
        <f>IF(H149,Wh_hp,'2021'!Maxi_hp)</f>
        <v>44.25827136765831</v>
      </c>
      <c r="J149" s="85">
        <f>IF(H149,An,'2021'!An_max)</f>
        <v>2019</v>
      </c>
      <c r="K149" s="197">
        <f t="shared" si="52"/>
        <v>44696</v>
      </c>
      <c r="L149" s="147">
        <f>IF(t&lt;Tvie,1-EXP((T0-t)*PertePVj)+'2021'!Pspv,1-EXP((T0-t)*PertePVj)+Pspv)</f>
        <v>3.2044799221212061E-2</v>
      </c>
      <c r="M149" s="850"/>
      <c r="N149" s="850"/>
      <c r="O149" s="48">
        <f>IF(t&lt;Tnet,'2021'!Resal+('2021'!Salim-'2021'!Resal)*(1-EXP(('2021'!Tnet-t)/('2021'!Tau_j))),Resal+(Salim-Resal)*(1-EXP((Tnet-t)/(Tau_j))))*Salcycl</f>
        <v>7.3497459792666239E-2</v>
      </c>
      <c r="P149" s="339">
        <f>(INDEX(Models!$BJ149:$BT149,,T149)*(1-R149)+INDEX(Models!$BJ149:$BT149,,T149+1)*R149-ERP_i)*Q149*Ramure*Pc/MaxiM</f>
        <v>0</v>
      </c>
      <c r="Q149" s="305">
        <f t="shared" si="53"/>
        <v>0.7</v>
      </c>
      <c r="R149" s="177">
        <f t="shared" si="54"/>
        <v>0.5764214031372551</v>
      </c>
      <c r="S149" s="817">
        <f t="shared" si="55"/>
        <v>-1</v>
      </c>
      <c r="T149" s="176">
        <f t="shared" si="56"/>
        <v>5</v>
      </c>
      <c r="U149" s="251">
        <f t="shared" si="57"/>
        <v>-0.4235785968627449</v>
      </c>
      <c r="V149" s="383">
        <f t="shared" si="58"/>
        <v>38.932216398694692</v>
      </c>
      <c r="W149" s="402">
        <f t="shared" si="59"/>
        <v>0</v>
      </c>
      <c r="X149" s="157">
        <f t="shared" si="60"/>
        <v>44696</v>
      </c>
      <c r="Y149" s="385">
        <f t="shared" si="61"/>
        <v>31.887836817097913</v>
      </c>
      <c r="Z149" s="385">
        <f t="shared" si="62"/>
        <v>32.943504814522313</v>
      </c>
      <c r="AA149" s="386">
        <f t="shared" si="63"/>
        <v>37.797179347143995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0.1284136704499467</v>
      </c>
      <c r="AD149" s="231">
        <f>(INDEX(Models!$BJ149:$BT149,,AH149)*(1-AF149)+INDEX(Models!$BJ149:$BT149,,AH149+1)*AF149-ERP_i)*AE149*Ramure*Pc/MaxiM</f>
        <v>0</v>
      </c>
      <c r="AE149" s="305">
        <f t="shared" si="65"/>
        <v>0.7</v>
      </c>
      <c r="AF149" s="177">
        <f t="shared" si="66"/>
        <v>0.5764214031372551</v>
      </c>
      <c r="AG149" s="817">
        <f t="shared" si="74"/>
        <v>-1</v>
      </c>
      <c r="AH149" s="176">
        <f t="shared" si="67"/>
        <v>5</v>
      </c>
      <c r="AI149" s="225">
        <f t="shared" si="68"/>
        <v>-0.4235785968627449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44697</v>
      </c>
      <c r="B150" s="1106">
        <v>32.828000000000003</v>
      </c>
      <c r="C150" s="846"/>
      <c r="D150" s="393">
        <f t="shared" si="50"/>
        <v>33.915535560722759</v>
      </c>
      <c r="E150" s="385">
        <f t="shared" si="72"/>
        <v>36.612235094431377</v>
      </c>
      <c r="F150" s="385">
        <f t="shared" si="51"/>
        <v>36.612235094431377</v>
      </c>
      <c r="G150" s="110">
        <f t="shared" si="73"/>
        <v>0.84268080210566376</v>
      </c>
      <c r="H150" s="414" t="b">
        <f>Wh_hp&gt;='2021'!Maxi_hp</f>
        <v>1</v>
      </c>
      <c r="I150" s="380">
        <f>IF(H150,Wh_hp,'2021'!Maxi_hp)</f>
        <v>36.612235094431377</v>
      </c>
      <c r="J150" s="85">
        <f>IF(H150,An,'2021'!An_max)</f>
        <v>2022</v>
      </c>
      <c r="K150" s="197">
        <f t="shared" si="52"/>
        <v>44697</v>
      </c>
      <c r="L150" s="147">
        <f>IF(t&lt;Tvie,1-EXP((T0-t)*PertePVj)+'2021'!Pspv,1-EXP((T0-t)*PertePVj)+Pspv)</f>
        <v>3.2065999924300703E-2</v>
      </c>
      <c r="M150" s="850"/>
      <c r="N150" s="850"/>
      <c r="O150" s="48">
        <f>IF(t&lt;Tnet,'2021'!Resal+('2021'!Salim-'2021'!Resal)*(1-EXP(('2021'!Tnet-t)/('2021'!Tau_j))),Resal+(Salim-Resal)*(1-EXP((Tnet-t)/(Tau_j))))*Salcycl</f>
        <v>7.3655692605305523E-2</v>
      </c>
      <c r="P150" s="339">
        <f>(INDEX(Models!$BJ150:$BT150,,T150)*(1-R150)+INDEX(Models!$BJ150:$BT150,,T150+1)*R150-ERP_i)*Q150*Ramure*Pc/MaxiM</f>
        <v>0</v>
      </c>
      <c r="Q150" s="305">
        <f t="shared" si="53"/>
        <v>0.7</v>
      </c>
      <c r="R150" s="177">
        <f t="shared" si="54"/>
        <v>0.57879526610338927</v>
      </c>
      <c r="S150" s="817">
        <f t="shared" si="55"/>
        <v>-1</v>
      </c>
      <c r="T150" s="176">
        <f t="shared" si="56"/>
        <v>5</v>
      </c>
      <c r="U150" s="251">
        <f t="shared" si="57"/>
        <v>-0.42120473389661073</v>
      </c>
      <c r="V150" s="383">
        <f t="shared" si="58"/>
        <v>38.956624997235551</v>
      </c>
      <c r="W150" s="402">
        <f t="shared" si="59"/>
        <v>0</v>
      </c>
      <c r="X150" s="157">
        <f t="shared" si="60"/>
        <v>44697</v>
      </c>
      <c r="Y150" s="385">
        <f t="shared" si="61"/>
        <v>30.883227327270415</v>
      </c>
      <c r="Z150" s="385">
        <f t="shared" si="62"/>
        <v>31.906335891553688</v>
      </c>
      <c r="AA150" s="386">
        <f t="shared" si="63"/>
        <v>36.612235094431377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0.12853351320235143</v>
      </c>
      <c r="AD150" s="231">
        <f>(INDEX(Models!$BJ150:$BT150,,AH150)*(1-AF150)+INDEX(Models!$BJ150:$BT150,,AH150+1)*AF150-ERP_i)*AE150*Ramure*Pc/MaxiM</f>
        <v>0</v>
      </c>
      <c r="AE150" s="305">
        <f t="shared" si="65"/>
        <v>0.7</v>
      </c>
      <c r="AF150" s="177">
        <f t="shared" si="66"/>
        <v>0.57879526610338927</v>
      </c>
      <c r="AG150" s="817">
        <f t="shared" si="74"/>
        <v>-1</v>
      </c>
      <c r="AH150" s="176">
        <f t="shared" si="67"/>
        <v>5</v>
      </c>
      <c r="AI150" s="225">
        <f t="shared" si="68"/>
        <v>-0.42120473389661073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44698</v>
      </c>
      <c r="B151" s="1106">
        <v>35.283000000000001</v>
      </c>
      <c r="C151" s="846"/>
      <c r="D151" s="393">
        <f t="shared" si="50"/>
        <v>36.452663923798944</v>
      </c>
      <c r="E151" s="385">
        <f t="shared" si="72"/>
        <v>39.357839903187006</v>
      </c>
      <c r="F151" s="385">
        <f t="shared" si="51"/>
        <v>39.357839903187006</v>
      </c>
      <c r="G151" s="110">
        <f t="shared" si="73"/>
        <v>0.90525654706792136</v>
      </c>
      <c r="H151" s="414" t="b">
        <f>Wh_hp&gt;='2021'!Maxi_hp</f>
        <v>0</v>
      </c>
      <c r="I151" s="380">
        <f>IF(H151,Wh_hp,'2021'!Maxi_hp)</f>
        <v>40.085945831650221</v>
      </c>
      <c r="J151" s="85">
        <f>IF(H151,An,'2021'!An_max)</f>
        <v>2021</v>
      </c>
      <c r="K151" s="197">
        <f t="shared" si="52"/>
        <v>44698</v>
      </c>
      <c r="L151" s="147">
        <f>IF(t&lt;Tvie,1-EXP((T0-t)*PertePVj)+'2021'!Pspv,1-EXP((T0-t)*PertePVj)+Pspv)</f>
        <v>3.2087200163039453E-2</v>
      </c>
      <c r="M151" s="850"/>
      <c r="N151" s="850"/>
      <c r="O151" s="48">
        <f>IF(t&lt;Tnet,'2021'!Resal+('2021'!Salim-'2021'!Resal)*(1-EXP(('2021'!Tnet-t)/('2021'!Tau_j))),Resal+(Salim-Resal)*(1-EXP((Tnet-t)/(Tau_j))))*Salcycl</f>
        <v>7.381441630267975E-2</v>
      </c>
      <c r="P151" s="339">
        <f>(INDEX(Models!$BJ151:$BT151,,T151)*(1-R151)+INDEX(Models!$BJ151:$BT151,,T151+1)*R151-ERP_i)*Q151*Ramure*Pc/MaxiM</f>
        <v>0</v>
      </c>
      <c r="Q151" s="305">
        <f t="shared" si="53"/>
        <v>0.7</v>
      </c>
      <c r="R151" s="177">
        <f t="shared" si="54"/>
        <v>0.58121570161843461</v>
      </c>
      <c r="S151" s="817">
        <f t="shared" si="55"/>
        <v>-1</v>
      </c>
      <c r="T151" s="176">
        <f t="shared" si="56"/>
        <v>5</v>
      </c>
      <c r="U151" s="251">
        <f t="shared" si="57"/>
        <v>-0.41878429838156539</v>
      </c>
      <c r="V151" s="383">
        <f t="shared" si="58"/>
        <v>38.975691602871905</v>
      </c>
      <c r="W151" s="402">
        <f t="shared" si="59"/>
        <v>0</v>
      </c>
      <c r="X151" s="157">
        <f t="shared" si="60"/>
        <v>44698</v>
      </c>
      <c r="Y151" s="385">
        <f t="shared" si="61"/>
        <v>33.193880184095093</v>
      </c>
      <c r="Z151" s="385">
        <f t="shared" si="62"/>
        <v>34.294287863210833</v>
      </c>
      <c r="AA151" s="386">
        <f t="shared" si="63"/>
        <v>39.357839903187006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0.12865421609599448</v>
      </c>
      <c r="AD151" s="231">
        <f>(INDEX(Models!$BJ151:$BT151,,AH151)*(1-AF151)+INDEX(Models!$BJ151:$BT151,,AH151+1)*AF151-ERP_i)*AE151*Ramure*Pc/MaxiM</f>
        <v>0</v>
      </c>
      <c r="AE151" s="305">
        <f t="shared" si="65"/>
        <v>0.7</v>
      </c>
      <c r="AF151" s="177">
        <f t="shared" si="66"/>
        <v>0.58121570161843461</v>
      </c>
      <c r="AG151" s="817">
        <f t="shared" si="74"/>
        <v>-1</v>
      </c>
      <c r="AH151" s="176">
        <f t="shared" si="67"/>
        <v>5</v>
      </c>
      <c r="AI151" s="225">
        <f t="shared" si="68"/>
        <v>-0.41878429838156539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44699</v>
      </c>
      <c r="B152" s="1106">
        <v>33.930999999999997</v>
      </c>
      <c r="C152" s="846"/>
      <c r="D152" s="393">
        <f t="shared" si="50"/>
        <v>35.056611709210827</v>
      </c>
      <c r="E152" s="385">
        <f t="shared" si="72"/>
        <v>37.857031988664168</v>
      </c>
      <c r="F152" s="385">
        <f t="shared" si="51"/>
        <v>37.857031988664168</v>
      </c>
      <c r="G152" s="110">
        <f t="shared" si="73"/>
        <v>0.87025099238758552</v>
      </c>
      <c r="H152" s="414" t="b">
        <f>Wh_hp&gt;='2021'!Maxi_hp</f>
        <v>0</v>
      </c>
      <c r="I152" s="380">
        <f>IF(H152,Wh_hp,'2021'!Maxi_hp)</f>
        <v>44.898392288883365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3.2108399937438525E-2</v>
      </c>
      <c r="M152" s="850"/>
      <c r="N152" s="850"/>
      <c r="O152" s="48">
        <f>IF(t&lt;Tnet,'2021'!Resal+('2021'!Salim-'2021'!Resal)*(1-EXP(('2021'!Tnet-t)/('2021'!Tau_j))),Resal+(Salim-Resal)*(1-EXP((Tnet-t)/(Tau_j))))*Salcycl</f>
        <v>7.3973582511484032E-2</v>
      </c>
      <c r="P152" s="339">
        <f>(INDEX(Models!$BJ152:$BT152,,T152)*(1-R152)+INDEX(Models!$BJ152:$BT152,,T152+1)*R152-ERP_i)*Q152*Ramure*Pc/MaxiM</f>
        <v>0</v>
      </c>
      <c r="Q152" s="305">
        <f t="shared" si="53"/>
        <v>0.7</v>
      </c>
      <c r="R152" s="177">
        <f t="shared" si="54"/>
        <v>0.58368199026132428</v>
      </c>
      <c r="S152" s="817">
        <f t="shared" si="55"/>
        <v>-1</v>
      </c>
      <c r="T152" s="176">
        <f t="shared" si="56"/>
        <v>5</v>
      </c>
      <c r="U152" s="251">
        <f t="shared" si="57"/>
        <v>-0.41631800973867572</v>
      </c>
      <c r="V152" s="383">
        <f t="shared" si="58"/>
        <v>38.989900955939476</v>
      </c>
      <c r="W152" s="402">
        <f t="shared" si="59"/>
        <v>0</v>
      </c>
      <c r="X152" s="157">
        <f t="shared" si="60"/>
        <v>44699</v>
      </c>
      <c r="Y152" s="385">
        <f t="shared" si="61"/>
        <v>31.922968328692132</v>
      </c>
      <c r="Z152" s="385">
        <f t="shared" si="62"/>
        <v>32.981966499790609</v>
      </c>
      <c r="AA152" s="386">
        <f t="shared" si="63"/>
        <v>37.857031988664168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0.12877569193309554</v>
      </c>
      <c r="AD152" s="231">
        <f>(INDEX(Models!$BJ152:$BT152,,AH152)*(1-AF152)+INDEX(Models!$BJ152:$BT152,,AH152+1)*AF152-ERP_i)*AE152*Ramure*Pc/MaxiM</f>
        <v>0</v>
      </c>
      <c r="AE152" s="305">
        <f t="shared" si="65"/>
        <v>0.7</v>
      </c>
      <c r="AF152" s="177">
        <f t="shared" si="66"/>
        <v>0.58368199026132428</v>
      </c>
      <c r="AG152" s="817">
        <f t="shared" si="74"/>
        <v>-1</v>
      </c>
      <c r="AH152" s="176">
        <f t="shared" si="67"/>
        <v>5</v>
      </c>
      <c r="AI152" s="225">
        <f t="shared" si="68"/>
        <v>-0.41631800973867572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44700</v>
      </c>
      <c r="B153" s="1106">
        <v>35.014000000000003</v>
      </c>
      <c r="C153" s="846"/>
      <c r="D153" s="393">
        <f t="shared" si="50"/>
        <v>36.176331017848682</v>
      </c>
      <c r="E153" s="385">
        <f t="shared" si="72"/>
        <v>39.072930032792662</v>
      </c>
      <c r="F153" s="385">
        <f t="shared" si="51"/>
        <v>39.072930032792662</v>
      </c>
      <c r="G153" s="110">
        <f t="shared" si="73"/>
        <v>0.89780091371923654</v>
      </c>
      <c r="H153" s="414" t="b">
        <f>Wh_hp&gt;='2021'!Maxi_hp</f>
        <v>0</v>
      </c>
      <c r="I153" s="380">
        <f>IF(H153,Wh_hp,'2021'!Maxi_hp)</f>
        <v>44.234710656745264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3.2129599247508245E-2</v>
      </c>
      <c r="M153" s="850"/>
      <c r="N153" s="850"/>
      <c r="O153" s="48">
        <f>IF(t&lt;Tnet,'2021'!Resal+('2021'!Salim-'2021'!Resal)*(1-EXP(('2021'!Tnet-t)/('2021'!Tau_j))),Resal+(Salim-Resal)*(1-EXP((Tnet-t)/(Tau_j))))*Salcycl</f>
        <v>7.413314057873209E-2</v>
      </c>
      <c r="P153" s="339">
        <f>(INDEX(Models!$BJ153:$BT153,,T153)*(1-R153)+INDEX(Models!$BJ153:$BT153,,T153+1)*R153-ERP_i)*Q153*Ramure*Pc/MaxiM</f>
        <v>0</v>
      </c>
      <c r="Q153" s="305">
        <f t="shared" si="53"/>
        <v>0.7</v>
      </c>
      <c r="R153" s="177">
        <f t="shared" si="54"/>
        <v>0.5861933062395015</v>
      </c>
      <c r="S153" s="817">
        <f t="shared" si="55"/>
        <v>-1</v>
      </c>
      <c r="T153" s="176">
        <f t="shared" si="56"/>
        <v>5</v>
      </c>
      <c r="U153" s="251">
        <f t="shared" si="57"/>
        <v>-0.41380669376049845</v>
      </c>
      <c r="V153" s="383">
        <f t="shared" si="58"/>
        <v>38.999737541979933</v>
      </c>
      <c r="W153" s="402">
        <f t="shared" si="59"/>
        <v>0</v>
      </c>
      <c r="X153" s="157">
        <f t="shared" si="60"/>
        <v>44700</v>
      </c>
      <c r="Y153" s="385">
        <f t="shared" si="61"/>
        <v>32.942933824985779</v>
      </c>
      <c r="Z153" s="385">
        <f t="shared" si="62"/>
        <v>34.036513358992671</v>
      </c>
      <c r="AA153" s="386">
        <f t="shared" si="63"/>
        <v>39.072930032792662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0.12889784998394266</v>
      </c>
      <c r="AD153" s="231">
        <f>(INDEX(Models!$BJ153:$BT153,,AH153)*(1-AF153)+INDEX(Models!$BJ153:$BT153,,AH153+1)*AF153-ERP_i)*AE153*Ramure*Pc/MaxiM</f>
        <v>0</v>
      </c>
      <c r="AE153" s="305">
        <f t="shared" si="65"/>
        <v>0.7</v>
      </c>
      <c r="AF153" s="177">
        <f t="shared" si="66"/>
        <v>0.5861933062395015</v>
      </c>
      <c r="AG153" s="817">
        <f t="shared" si="74"/>
        <v>-1</v>
      </c>
      <c r="AH153" s="176">
        <f t="shared" si="67"/>
        <v>5</v>
      </c>
      <c r="AI153" s="225">
        <f t="shared" si="68"/>
        <v>-0.41380669376049845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44701</v>
      </c>
      <c r="B154" s="1106">
        <v>31.231000000000002</v>
      </c>
      <c r="C154" s="846"/>
      <c r="D154" s="393">
        <f t="shared" si="50"/>
        <v>32.268456634021497</v>
      </c>
      <c r="E154" s="385">
        <f t="shared" si="72"/>
        <v>34.858176450271422</v>
      </c>
      <c r="F154" s="385">
        <f t="shared" si="51"/>
        <v>34.858176450271422</v>
      </c>
      <c r="G154" s="110">
        <f t="shared" si="73"/>
        <v>0.80067814561120909</v>
      </c>
      <c r="H154" s="414" t="b">
        <f>Wh_hp&gt;='2021'!Maxi_hp</f>
        <v>0</v>
      </c>
      <c r="I154" s="380">
        <f>IF(H154,Wh_hp,'2021'!Maxi_hp)</f>
        <v>43.678078338959317</v>
      </c>
      <c r="J154" s="85">
        <f>IF(H154,An,'2021'!An_max)</f>
        <v>2021</v>
      </c>
      <c r="K154" s="197">
        <f t="shared" si="52"/>
        <v>44701</v>
      </c>
      <c r="L154" s="147">
        <f>IF(t&lt;Tvie,1-EXP((T0-t)*PertePVj)+'2021'!Pspv,1-EXP((T0-t)*PertePVj)+Pspv)</f>
        <v>3.2150798093258603E-2</v>
      </c>
      <c r="M154" s="850"/>
      <c r="N154" s="850"/>
      <c r="O154" s="48">
        <f>IF(t&lt;Tnet,'2021'!Resal+('2021'!Salim-'2021'!Resal)*(1-EXP(('2021'!Tnet-t)/('2021'!Tau_j))),Resal+(Salim-Resal)*(1-EXP((Tnet-t)/(Tau_j))))*Salcycl</f>
        <v>7.4293037673511489E-2</v>
      </c>
      <c r="P154" s="339">
        <f>(INDEX(Models!$BJ154:$BT154,,T154)*(1-R154)+INDEX(Models!$BJ154:$BT154,,T154+1)*R154-ERP_i)*Q154*Ramure*Pc/MaxiM</f>
        <v>0</v>
      </c>
      <c r="Q154" s="305">
        <f t="shared" si="53"/>
        <v>0.7</v>
      </c>
      <c r="R154" s="177">
        <f t="shared" si="54"/>
        <v>0.58874871595098888</v>
      </c>
      <c r="S154" s="817">
        <f t="shared" si="55"/>
        <v>-1</v>
      </c>
      <c r="T154" s="176">
        <f t="shared" si="56"/>
        <v>5</v>
      </c>
      <c r="U154" s="251">
        <f t="shared" si="57"/>
        <v>-0.41125128404901112</v>
      </c>
      <c r="V154" s="383">
        <f t="shared" si="58"/>
        <v>39.005685581888052</v>
      </c>
      <c r="W154" s="402">
        <f t="shared" si="59"/>
        <v>0</v>
      </c>
      <c r="X154" s="157">
        <f t="shared" si="60"/>
        <v>44701</v>
      </c>
      <c r="Y154" s="385">
        <f t="shared" si="61"/>
        <v>29.384631279267722</v>
      </c>
      <c r="Z154" s="385">
        <f t="shared" si="62"/>
        <v>30.360753742812015</v>
      </c>
      <c r="AA154" s="386">
        <f t="shared" si="63"/>
        <v>34.858176450271422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0.12902059618280423</v>
      </c>
      <c r="AD154" s="231">
        <f>(INDEX(Models!$BJ154:$BT154,,AH154)*(1-AF154)+INDEX(Models!$BJ154:$BT154,,AH154+1)*AF154-ERP_i)*AE154*Ramure*Pc/MaxiM</f>
        <v>0</v>
      </c>
      <c r="AE154" s="305">
        <f t="shared" si="65"/>
        <v>0.7</v>
      </c>
      <c r="AF154" s="177">
        <f t="shared" si="66"/>
        <v>0.58874871595098888</v>
      </c>
      <c r="AG154" s="817">
        <f t="shared" si="74"/>
        <v>-1</v>
      </c>
      <c r="AH154" s="176">
        <f t="shared" si="67"/>
        <v>5</v>
      </c>
      <c r="AI154" s="225">
        <f t="shared" si="68"/>
        <v>-0.41125128404901112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44702</v>
      </c>
      <c r="B155" s="1106">
        <v>31.131</v>
      </c>
      <c r="C155" s="846"/>
      <c r="D155" s="393">
        <f t="shared" si="50"/>
        <v>32.165839267520433</v>
      </c>
      <c r="E155" s="385">
        <f t="shared" si="72"/>
        <v>34.753337080815953</v>
      </c>
      <c r="F155" s="385">
        <f t="shared" si="51"/>
        <v>34.753337080815953</v>
      </c>
      <c r="G155" s="110">
        <f t="shared" si="73"/>
        <v>0.79806237764452526</v>
      </c>
      <c r="H155" s="414" t="b">
        <f>Wh_hp&gt;='2021'!Maxi_hp</f>
        <v>0</v>
      </c>
      <c r="I155" s="380">
        <f>IF(H155,Wh_hp,'2021'!Maxi_hp)</f>
        <v>42.630970800856602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3.2171996474699927E-2</v>
      </c>
      <c r="M155" s="850"/>
      <c r="N155" s="850"/>
      <c r="O155" s="48">
        <f>IF(t&lt;Tnet,'2021'!Resal+('2021'!Salim-'2021'!Resal)*(1-EXP(('2021'!Tnet-t)/('2021'!Tau_j))),Resal+(Salim-Resal)*(1-EXP((Tnet-t)/(Tau_j))))*Salcycl</f>
        <v>7.4453218903223969E-2</v>
      </c>
      <c r="P155" s="339">
        <f>(INDEX(Models!$BJ155:$BT155,,T155)*(1-R155)+INDEX(Models!$BJ155:$BT155,,T155+1)*R155-ERP_i)*Q155*Ramure*Pc/MaxiM</f>
        <v>0</v>
      </c>
      <c r="Q155" s="305">
        <f t="shared" si="53"/>
        <v>0.7</v>
      </c>
      <c r="R155" s="177">
        <f t="shared" si="54"/>
        <v>0.59134717699932215</v>
      </c>
      <c r="S155" s="817">
        <f t="shared" si="55"/>
        <v>-1</v>
      </c>
      <c r="T155" s="176">
        <f t="shared" si="56"/>
        <v>5</v>
      </c>
      <c r="U155" s="251">
        <f t="shared" si="57"/>
        <v>-0.40865282300067785</v>
      </c>
      <c r="V155" s="383">
        <f t="shared" si="58"/>
        <v>39.008229020747599</v>
      </c>
      <c r="W155" s="402">
        <f t="shared" si="59"/>
        <v>0</v>
      </c>
      <c r="X155" s="157">
        <f t="shared" si="60"/>
        <v>44702</v>
      </c>
      <c r="Y155" s="385">
        <f t="shared" si="61"/>
        <v>29.291467355042236</v>
      </c>
      <c r="Z155" s="385">
        <f t="shared" si="62"/>
        <v>30.265157908583419</v>
      </c>
      <c r="AA155" s="386">
        <f t="shared" si="63"/>
        <v>34.753337080815953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0.1291438333474467</v>
      </c>
      <c r="AD155" s="231">
        <f>(INDEX(Models!$BJ155:$BT155,,AH155)*(1-AF155)+INDEX(Models!$BJ155:$BT155,,AH155+1)*AF155-ERP_i)*AE155*Ramure*Pc/MaxiM</f>
        <v>0</v>
      </c>
      <c r="AE155" s="305">
        <f t="shared" si="65"/>
        <v>0.7</v>
      </c>
      <c r="AF155" s="177">
        <f t="shared" si="66"/>
        <v>0.59134717699932215</v>
      </c>
      <c r="AG155" s="817">
        <f t="shared" si="74"/>
        <v>-1</v>
      </c>
      <c r="AH155" s="176">
        <f t="shared" si="67"/>
        <v>5</v>
      </c>
      <c r="AI155" s="225">
        <f t="shared" si="68"/>
        <v>-0.40865282300067785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44703</v>
      </c>
      <c r="B156" s="1106">
        <v>23.266999999999999</v>
      </c>
      <c r="C156" s="846"/>
      <c r="D156" s="393">
        <f t="shared" si="50"/>
        <v>24.040955142260344</v>
      </c>
      <c r="E156" s="385">
        <f t="shared" si="72"/>
        <v>25.979370190920456</v>
      </c>
      <c r="F156" s="385">
        <f t="shared" si="51"/>
        <v>25.979370190920456</v>
      </c>
      <c r="G156" s="110">
        <f t="shared" si="73"/>
        <v>0.59646966170846194</v>
      </c>
      <c r="H156" s="414" t="b">
        <f>Wh_hp&gt;='2021'!Maxi_hp</f>
        <v>0</v>
      </c>
      <c r="I156" s="380">
        <f>IF(H156,Wh_hp,'2021'!Maxi_hp)</f>
        <v>42.922836576302252</v>
      </c>
      <c r="J156" s="85">
        <f>IF(H156,An,'2021'!An_max)</f>
        <v>2019</v>
      </c>
      <c r="K156" s="197">
        <f t="shared" si="52"/>
        <v>44703</v>
      </c>
      <c r="L156" s="147">
        <f>IF(t&lt;Tvie,1-EXP((T0-t)*PertePVj)+'2021'!Pspv,1-EXP((T0-t)*PertePVj)+Pspv)</f>
        <v>3.2193194391842206E-2</v>
      </c>
      <c r="M156" s="850"/>
      <c r="N156" s="850"/>
      <c r="O156" s="48">
        <f>IF(t&lt;Tnet,'2021'!Resal+('2021'!Salim-'2021'!Resal)*(1-EXP(('2021'!Tnet-t)/('2021'!Tau_j))),Resal+(Salim-Resal)*(1-EXP((Tnet-t)/(Tau_j))))*Salcycl</f>
        <v>7.4613627444193004E-2</v>
      </c>
      <c r="P156" s="339">
        <f>(INDEX(Models!$BJ156:$BT156,,T156)*(1-R156)+INDEX(Models!$BJ156:$BT156,,T156+1)*R156-ERP_i)*Q156*Ramure*Pc/MaxiM</f>
        <v>0</v>
      </c>
      <c r="Q156" s="305">
        <f t="shared" si="53"/>
        <v>0.7</v>
      </c>
      <c r="R156" s="177">
        <f t="shared" si="54"/>
        <v>0.59398753769106216</v>
      </c>
      <c r="S156" s="817">
        <f t="shared" si="55"/>
        <v>-1</v>
      </c>
      <c r="T156" s="176">
        <f t="shared" si="56"/>
        <v>5</v>
      </c>
      <c r="U156" s="251">
        <f t="shared" si="57"/>
        <v>-0.40601246230893784</v>
      </c>
      <c r="V156" s="383">
        <f t="shared" si="58"/>
        <v>39.007851519818409</v>
      </c>
      <c r="W156" s="402">
        <f t="shared" si="59"/>
        <v>0</v>
      </c>
      <c r="X156" s="157">
        <f t="shared" si="60"/>
        <v>44703</v>
      </c>
      <c r="Y156" s="385">
        <f t="shared" si="61"/>
        <v>21.892838036012527</v>
      </c>
      <c r="Z156" s="385">
        <f t="shared" si="62"/>
        <v>22.621082957001256</v>
      </c>
      <c r="AA156" s="386">
        <f t="shared" si="63"/>
        <v>25.979370190920456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0.12926746142186649</v>
      </c>
      <c r="AD156" s="231">
        <f>(INDEX(Models!$BJ156:$BT156,,AH156)*(1-AF156)+INDEX(Models!$BJ156:$BT156,,AH156+1)*AF156-ERP_i)*AE156*Ramure*Pc/MaxiM</f>
        <v>0</v>
      </c>
      <c r="AE156" s="305">
        <f t="shared" si="65"/>
        <v>0.7</v>
      </c>
      <c r="AF156" s="177">
        <f t="shared" si="66"/>
        <v>0.59398753769106216</v>
      </c>
      <c r="AG156" s="817">
        <f t="shared" si="74"/>
        <v>-1</v>
      </c>
      <c r="AH156" s="176">
        <f t="shared" si="67"/>
        <v>5</v>
      </c>
      <c r="AI156" s="225">
        <f t="shared" si="68"/>
        <v>-0.40601246230893784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44704</v>
      </c>
      <c r="B157" s="1106">
        <v>12.112</v>
      </c>
      <c r="C157" s="846"/>
      <c r="D157" s="393">
        <f t="shared" si="50"/>
        <v>12.515168543461478</v>
      </c>
      <c r="E157" s="385">
        <f t="shared" si="72"/>
        <v>13.526610052219135</v>
      </c>
      <c r="F157" s="385">
        <f t="shared" si="51"/>
        <v>13.526610052219135</v>
      </c>
      <c r="G157" s="110">
        <f t="shared" si="73"/>
        <v>0.31052400158052906</v>
      </c>
      <c r="H157" s="414" t="b">
        <f>Wh_hp&gt;='2021'!Maxi_hp</f>
        <v>0</v>
      </c>
      <c r="I157" s="380">
        <f>IF(H157,Wh_hp,'2021'!Maxi_hp)</f>
        <v>39.13669865982753</v>
      </c>
      <c r="J157" s="85">
        <f>IF(H157,An,'2021'!An_max)</f>
        <v>2020</v>
      </c>
      <c r="K157" s="197">
        <f t="shared" si="52"/>
        <v>44704</v>
      </c>
      <c r="L157" s="147">
        <f>IF(t&lt;Tvie,1-EXP((T0-t)*PertePVj)+'2021'!Pspv,1-EXP((T0-t)*PertePVj)+Pspv)</f>
        <v>3.2214391844695656E-2</v>
      </c>
      <c r="M157" s="850"/>
      <c r="N157" s="850"/>
      <c r="O157" s="48">
        <f>IF(t&lt;Tnet,'2021'!Resal+('2021'!Salim-'2021'!Resal)*(1-EXP(('2021'!Tnet-t)/('2021'!Tau_j))),Resal+(Salim-Resal)*(1-EXP((Tnet-t)/(Tau_j))))*Salcycl</f>
        <v>7.4774204686393231E-2</v>
      </c>
      <c r="P157" s="339">
        <f>(INDEX(Models!$BJ157:$BT157,,T157)*(1-R157)+INDEX(Models!$BJ157:$BT157,,T157+1)*R157-ERP_i)*Q157*Ramure*Pc/MaxiM</f>
        <v>0</v>
      </c>
      <c r="Q157" s="305">
        <f t="shared" si="53"/>
        <v>0.7</v>
      </c>
      <c r="R157" s="177">
        <f t="shared" si="54"/>
        <v>0.59666853704291145</v>
      </c>
      <c r="S157" s="817">
        <f t="shared" si="55"/>
        <v>-1</v>
      </c>
      <c r="T157" s="176">
        <f t="shared" si="56"/>
        <v>5</v>
      </c>
      <c r="U157" s="251">
        <f t="shared" si="57"/>
        <v>-0.40333146295708855</v>
      </c>
      <c r="V157" s="383">
        <f t="shared" si="58"/>
        <v>39.005036449200084</v>
      </c>
      <c r="W157" s="402">
        <f t="shared" si="59"/>
        <v>0</v>
      </c>
      <c r="X157" s="157">
        <f t="shared" si="60"/>
        <v>44704</v>
      </c>
      <c r="Y157" s="385">
        <f t="shared" si="61"/>
        <v>11.397014313915886</v>
      </c>
      <c r="Z157" s="385">
        <f t="shared" si="62"/>
        <v>11.776383341388728</v>
      </c>
      <c r="AA157" s="386">
        <f t="shared" si="63"/>
        <v>13.526610052219135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0.12939137774162934</v>
      </c>
      <c r="AD157" s="231">
        <f>(INDEX(Models!$BJ157:$BT157,,AH157)*(1-AF157)+INDEX(Models!$BJ157:$BT157,,AH157+1)*AF157-ERP_i)*AE157*Ramure*Pc/MaxiM</f>
        <v>0</v>
      </c>
      <c r="AE157" s="305">
        <f t="shared" si="65"/>
        <v>0.7</v>
      </c>
      <c r="AF157" s="177">
        <f t="shared" si="66"/>
        <v>0.59666853704291145</v>
      </c>
      <c r="AG157" s="817">
        <f t="shared" si="74"/>
        <v>-1</v>
      </c>
      <c r="AH157" s="176">
        <f t="shared" si="67"/>
        <v>5</v>
      </c>
      <c r="AI157" s="225">
        <f t="shared" si="68"/>
        <v>-0.40333146295708855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44705</v>
      </c>
      <c r="B158" s="1106">
        <v>10.841000000000001</v>
      </c>
      <c r="C158" s="846"/>
      <c r="D158" s="393">
        <f t="shared" si="50"/>
        <v>11.202106499173878</v>
      </c>
      <c r="E158" s="385">
        <f t="shared" si="72"/>
        <v>12.109533029431791</v>
      </c>
      <c r="F158" s="385">
        <f t="shared" si="51"/>
        <v>12.109533029431791</v>
      </c>
      <c r="G158" s="110">
        <f t="shared" si="73"/>
        <v>0.27797245681638089</v>
      </c>
      <c r="H158" s="414" t="b">
        <f>Wh_hp&gt;='2021'!Maxi_hp</f>
        <v>0</v>
      </c>
      <c r="I158" s="380">
        <f>IF(H158,Wh_hp,'2021'!Maxi_hp)</f>
        <v>19.559062636800455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3.2235588833270601E-2</v>
      </c>
      <c r="M158" s="850"/>
      <c r="N158" s="850"/>
      <c r="O158" s="48">
        <f>IF(t&lt;Tnet,'2021'!Resal+('2021'!Salim-'2021'!Resal)*(1-EXP(('2021'!Tnet-t)/('2021'!Tau_j))),Resal+(Salim-Resal)*(1-EXP((Tnet-t)/(Tau_j))))*Salcycl</f>
        <v>7.4934890391928827E-2</v>
      </c>
      <c r="P158" s="339">
        <f>(INDEX(Models!$BJ158:$BT158,,T158)*(1-R158)+INDEX(Models!$BJ158:$BT158,,T158+1)*R158-ERP_i)*Q158*Ramure*Pc/MaxiM</f>
        <v>0</v>
      </c>
      <c r="Q158" s="305">
        <f t="shared" si="53"/>
        <v>0.7</v>
      </c>
      <c r="R158" s="177">
        <f t="shared" si="54"/>
        <v>0.59938880532229166</v>
      </c>
      <c r="S158" s="817">
        <f t="shared" si="55"/>
        <v>-1</v>
      </c>
      <c r="T158" s="176">
        <f t="shared" si="56"/>
        <v>5</v>
      </c>
      <c r="U158" s="251">
        <f t="shared" si="57"/>
        <v>-0.40061119467770834</v>
      </c>
      <c r="V158" s="383">
        <f t="shared" si="58"/>
        <v>39.000266875941584</v>
      </c>
      <c r="W158" s="402">
        <f t="shared" si="59"/>
        <v>0</v>
      </c>
      <c r="X158" s="157">
        <f t="shared" si="60"/>
        <v>44705</v>
      </c>
      <c r="Y158" s="385">
        <f t="shared" si="61"/>
        <v>10.201360544622949</v>
      </c>
      <c r="Z158" s="385">
        <f t="shared" si="62"/>
        <v>10.541161078990564</v>
      </c>
      <c r="AA158" s="386">
        <f t="shared" si="63"/>
        <v>12.109533029431791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0.12951547732099625</v>
      </c>
      <c r="AD158" s="231">
        <f>(INDEX(Models!$BJ158:$BT158,,AH158)*(1-AF158)+INDEX(Models!$BJ158:$BT158,,AH158+1)*AF158-ERP_i)*AE158*Ramure*Pc/MaxiM</f>
        <v>0</v>
      </c>
      <c r="AE158" s="305">
        <f t="shared" si="65"/>
        <v>0.7</v>
      </c>
      <c r="AF158" s="177">
        <f t="shared" si="66"/>
        <v>0.59938880532229166</v>
      </c>
      <c r="AG158" s="817">
        <f t="shared" si="74"/>
        <v>-1</v>
      </c>
      <c r="AH158" s="176">
        <f t="shared" si="67"/>
        <v>5</v>
      </c>
      <c r="AI158" s="225">
        <f t="shared" si="68"/>
        <v>-0.40061119467770834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44706</v>
      </c>
      <c r="B159" s="1106">
        <v>26.705000000000002</v>
      </c>
      <c r="C159" s="846"/>
      <c r="D159" s="393">
        <f t="shared" si="50"/>
        <v>27.595130191501664</v>
      </c>
      <c r="E159" s="385">
        <f t="shared" si="72"/>
        <v>29.835657473081969</v>
      </c>
      <c r="F159" s="385">
        <f t="shared" si="51"/>
        <v>29.835657473081969</v>
      </c>
      <c r="G159" s="110">
        <f t="shared" si="73"/>
        <v>0.68484850226974281</v>
      </c>
      <c r="H159" s="414" t="b">
        <f>Wh_hp&gt;='2021'!Maxi_hp</f>
        <v>0</v>
      </c>
      <c r="I159" s="380">
        <f>IF(H159,Wh_hp,'2021'!Maxi_hp)</f>
        <v>41.574102486699203</v>
      </c>
      <c r="J159" s="85">
        <f>IF(H159,An,'2021'!An_max)</f>
        <v>2020</v>
      </c>
      <c r="K159" s="197">
        <f t="shared" si="52"/>
        <v>44706</v>
      </c>
      <c r="L159" s="147">
        <f>IF(t&lt;Tvie,1-EXP((T0-t)*PertePVj)+'2021'!Pspv,1-EXP((T0-t)*PertePVj)+Pspv)</f>
        <v>3.2256785357577034E-2</v>
      </c>
      <c r="M159" s="850"/>
      <c r="N159" s="850"/>
      <c r="O159" s="48">
        <f>IF(t&lt;Tnet,'2021'!Resal+('2021'!Salim-'2021'!Resal)*(1-EXP(('2021'!Tnet-t)/('2021'!Tau_j))),Resal+(Salim-Resal)*(1-EXP((Tnet-t)/(Tau_j))))*Salcycl</f>
        <v>7.5095622866757097E-2</v>
      </c>
      <c r="P159" s="339">
        <f>(INDEX(Models!$BJ159:$BT159,,T159)*(1-R159)+INDEX(Models!$BJ159:$BT159,,T159+1)*R159-ERP_i)*Q159*Ramure*Pc/MaxiM</f>
        <v>0</v>
      </c>
      <c r="Q159" s="305">
        <f t="shared" si="53"/>
        <v>0.7</v>
      </c>
      <c r="R159" s="177">
        <f t="shared" si="54"/>
        <v>0.60214686514159665</v>
      </c>
      <c r="S159" s="817">
        <f t="shared" si="55"/>
        <v>-1</v>
      </c>
      <c r="T159" s="176">
        <f t="shared" si="56"/>
        <v>5</v>
      </c>
      <c r="U159" s="251">
        <f t="shared" si="57"/>
        <v>-0.3978531348584034</v>
      </c>
      <c r="V159" s="383">
        <f t="shared" si="58"/>
        <v>38.99402555673786</v>
      </c>
      <c r="W159" s="402">
        <f t="shared" si="59"/>
        <v>0</v>
      </c>
      <c r="X159" s="157">
        <f t="shared" si="60"/>
        <v>44706</v>
      </c>
      <c r="Y159" s="385">
        <f t="shared" si="61"/>
        <v>25.130136300557744</v>
      </c>
      <c r="Z159" s="385">
        <f t="shared" si="62"/>
        <v>25.967773186447218</v>
      </c>
      <c r="AA159" s="386">
        <f t="shared" si="63"/>
        <v>29.835657473081969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0.12963965316079915</v>
      </c>
      <c r="AD159" s="231">
        <f>(INDEX(Models!$BJ159:$BT159,,AH159)*(1-AF159)+INDEX(Models!$BJ159:$BT159,,AH159+1)*AF159-ERP_i)*AE159*Ramure*Pc/MaxiM</f>
        <v>0</v>
      </c>
      <c r="AE159" s="305">
        <f t="shared" si="65"/>
        <v>0.7</v>
      </c>
      <c r="AF159" s="177">
        <f t="shared" si="66"/>
        <v>0.60214686514159665</v>
      </c>
      <c r="AG159" s="817">
        <f t="shared" si="74"/>
        <v>-1</v>
      </c>
      <c r="AH159" s="176">
        <f t="shared" si="67"/>
        <v>5</v>
      </c>
      <c r="AI159" s="225">
        <f t="shared" si="68"/>
        <v>-0.3978531348584034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44707</v>
      </c>
      <c r="B160" s="1106">
        <v>14.298999999999999</v>
      </c>
      <c r="C160" s="846"/>
      <c r="D160" s="393">
        <f t="shared" si="50"/>
        <v>14.775937433920063</v>
      </c>
      <c r="E160" s="385">
        <f t="shared" si="72"/>
        <v>15.978414407576402</v>
      </c>
      <c r="F160" s="385">
        <f t="shared" si="51"/>
        <v>15.978414407576402</v>
      </c>
      <c r="G160" s="110">
        <f t="shared" si="73"/>
        <v>0.36676520926742368</v>
      </c>
      <c r="H160" s="414" t="b">
        <f>Wh_hp&gt;='2021'!Maxi_hp</f>
        <v>0</v>
      </c>
      <c r="I160" s="380">
        <f>IF(H160,Wh_hp,'2021'!Maxi_hp)</f>
        <v>43.15188461541296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3.2277981417625168E-2</v>
      </c>
      <c r="M160" s="850"/>
      <c r="N160" s="850"/>
      <c r="O160" s="48">
        <f>IF(t&lt;Tnet,'2021'!Resal+('2021'!Salim-'2021'!Resal)*(1-EXP(('2021'!Tnet-t)/('2021'!Tau_j))),Resal+(Salim-Resal)*(1-EXP((Tnet-t)/(Tau_j))))*Salcycl</f>
        <v>7.5256339145025969E-2</v>
      </c>
      <c r="P160" s="339">
        <f>(INDEX(Models!$BJ160:$BT160,,T160)*(1-R160)+INDEX(Models!$BJ160:$BT160,,T160+1)*R160-ERP_i)*Q160*Ramure*Pc/MaxiM</f>
        <v>0</v>
      </c>
      <c r="Q160" s="305">
        <f t="shared" si="53"/>
        <v>0.7</v>
      </c>
      <c r="R160" s="177">
        <f t="shared" si="54"/>
        <v>0.6049411331222363</v>
      </c>
      <c r="S160" s="817">
        <f t="shared" si="55"/>
        <v>-1</v>
      </c>
      <c r="T160" s="176">
        <f t="shared" si="56"/>
        <v>5</v>
      </c>
      <c r="U160" s="251">
        <f t="shared" si="57"/>
        <v>-0.3950588668777637</v>
      </c>
      <c r="V160" s="383">
        <f t="shared" si="58"/>
        <v>38.986794926816536</v>
      </c>
      <c r="W160" s="402">
        <f t="shared" si="59"/>
        <v>0</v>
      </c>
      <c r="X160" s="157">
        <f t="shared" si="60"/>
        <v>44707</v>
      </c>
      <c r="Y160" s="385">
        <f t="shared" si="61"/>
        <v>13.456169530546097</v>
      </c>
      <c r="Z160" s="385">
        <f t="shared" si="62"/>
        <v>13.904994690787513</v>
      </c>
      <c r="AA160" s="386">
        <f t="shared" si="63"/>
        <v>15.978414407576402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0.12976379657581966</v>
      </c>
      <c r="AD160" s="231">
        <f>(INDEX(Models!$BJ160:$BT160,,AH160)*(1-AF160)+INDEX(Models!$BJ160:$BT160,,AH160+1)*AF160-ERP_i)*AE160*Ramure*Pc/MaxiM</f>
        <v>0</v>
      </c>
      <c r="AE160" s="305">
        <f t="shared" si="65"/>
        <v>0.7</v>
      </c>
      <c r="AF160" s="177">
        <f t="shared" si="66"/>
        <v>0.6049411331222363</v>
      </c>
      <c r="AG160" s="817">
        <f t="shared" si="74"/>
        <v>-1</v>
      </c>
      <c r="AH160" s="176">
        <f t="shared" si="67"/>
        <v>5</v>
      </c>
      <c r="AI160" s="225">
        <f t="shared" si="68"/>
        <v>-0.3950588668777637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44708</v>
      </c>
      <c r="B161" s="1106">
        <v>28.363</v>
      </c>
      <c r="C161" s="846"/>
      <c r="D161" s="393">
        <f t="shared" si="50"/>
        <v>29.309678493880426</v>
      </c>
      <c r="E161" s="385">
        <f t="shared" si="72"/>
        <v>31.700428957965595</v>
      </c>
      <c r="F161" s="385">
        <f t="shared" si="51"/>
        <v>31.700428957965595</v>
      </c>
      <c r="G161" s="110">
        <f t="shared" si="73"/>
        <v>0.72764715506818844</v>
      </c>
      <c r="H161" s="414" t="b">
        <f>Wh_hp&gt;='2021'!Maxi_hp</f>
        <v>0</v>
      </c>
      <c r="I161" s="380">
        <f>IF(H161,Wh_hp,'2021'!Maxi_hp)</f>
        <v>43.072441964376736</v>
      </c>
      <c r="J161" s="85">
        <f>IF(H161,An,'2021'!An_max)</f>
        <v>2021</v>
      </c>
      <c r="K161" s="197">
        <f t="shared" si="52"/>
        <v>44708</v>
      </c>
      <c r="L161" s="147">
        <f>IF(t&lt;Tvie,1-EXP((T0-t)*PertePVj)+'2021'!Pspv,1-EXP((T0-t)*PertePVj)+Pspv)</f>
        <v>3.2299177013425218E-2</v>
      </c>
      <c r="M161" s="850"/>
      <c r="N161" s="850"/>
      <c r="O161" s="48">
        <f>IF(t&lt;Tnet,'2021'!Resal+('2021'!Salim-'2021'!Resal)*(1-EXP(('2021'!Tnet-t)/('2021'!Tau_j))),Resal+(Salim-Resal)*(1-EXP((Tnet-t)/(Tau_j))))*Salcycl</f>
        <v>7.5416975185265731E-2</v>
      </c>
      <c r="P161" s="339">
        <f>(INDEX(Models!$BJ161:$BT161,,T161)*(1-R161)+INDEX(Models!$BJ161:$BT161,,T161+1)*R161-ERP_i)*Q161*Ramure*Pc/MaxiM</f>
        <v>0</v>
      </c>
      <c r="Q161" s="305">
        <f t="shared" si="53"/>
        <v>0.7</v>
      </c>
      <c r="R161" s="177">
        <f t="shared" si="54"/>
        <v>0.60776992214007985</v>
      </c>
      <c r="S161" s="817">
        <f t="shared" si="55"/>
        <v>-1</v>
      </c>
      <c r="T161" s="176">
        <f t="shared" si="56"/>
        <v>5</v>
      </c>
      <c r="U161" s="251">
        <f t="shared" si="57"/>
        <v>-0.39223007785992015</v>
      </c>
      <c r="V161" s="383">
        <f t="shared" si="58"/>
        <v>38.979057091678008</v>
      </c>
      <c r="W161" s="402">
        <f t="shared" si="59"/>
        <v>0</v>
      </c>
      <c r="X161" s="157">
        <f t="shared" si="60"/>
        <v>44708</v>
      </c>
      <c r="Y161" s="385">
        <f t="shared" si="61"/>
        <v>26.692024118993462</v>
      </c>
      <c r="Z161" s="385">
        <f t="shared" si="62"/>
        <v>27.582930059535322</v>
      </c>
      <c r="AA161" s="386">
        <f t="shared" si="63"/>
        <v>31.700428957965595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0.12988779754021718</v>
      </c>
      <c r="AD161" s="231">
        <f>(INDEX(Models!$BJ161:$BT161,,AH161)*(1-AF161)+INDEX(Models!$BJ161:$BT161,,AH161+1)*AF161-ERP_i)*AE161*Ramure*Pc/MaxiM</f>
        <v>0</v>
      </c>
      <c r="AE161" s="305">
        <f t="shared" si="65"/>
        <v>0.7</v>
      </c>
      <c r="AF161" s="177">
        <f t="shared" si="66"/>
        <v>0.60776992214007985</v>
      </c>
      <c r="AG161" s="817">
        <f t="shared" si="74"/>
        <v>-1</v>
      </c>
      <c r="AH161" s="176">
        <f t="shared" si="67"/>
        <v>5</v>
      </c>
      <c r="AI161" s="225">
        <f t="shared" si="68"/>
        <v>-0.39223007785992015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44709</v>
      </c>
      <c r="B162" s="1106">
        <v>36.073</v>
      </c>
      <c r="C162" s="846"/>
      <c r="D162" s="393">
        <f t="shared" si="50"/>
        <v>37.277833449858278</v>
      </c>
      <c r="E162" s="385">
        <f t="shared" si="72"/>
        <v>40.325535220007595</v>
      </c>
      <c r="F162" s="385">
        <f t="shared" si="51"/>
        <v>40.325535220007595</v>
      </c>
      <c r="G162" s="110">
        <f t="shared" si="73"/>
        <v>0.92563003339562844</v>
      </c>
      <c r="H162" s="414" t="b">
        <f>Wh_hp&gt;='2021'!Maxi_hp</f>
        <v>0</v>
      </c>
      <c r="I162" s="380">
        <f>IF(H162,Wh_hp,'2021'!Maxi_hp)</f>
        <v>41.82650557784492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3.2320372144987286E-2</v>
      </c>
      <c r="M162" s="850"/>
      <c r="N162" s="850"/>
      <c r="O162" s="48">
        <f>IF(t&lt;Tnet,'2021'!Resal+('2021'!Salim-'2021'!Resal)*(1-EXP(('2021'!Tnet-t)/('2021'!Tau_j))),Resal+(Salim-Resal)*(1-EXP((Tnet-t)/(Tau_j))))*Salcycl</f>
        <v>7.5577466077553654E-2</v>
      </c>
      <c r="P162" s="339">
        <f>(INDEX(Models!$BJ162:$BT162,,T162)*(1-R162)+INDEX(Models!$BJ162:$BT162,,T162+1)*R162-ERP_i)*Q162*Ramure*Pc/MaxiM</f>
        <v>0</v>
      </c>
      <c r="Q162" s="305">
        <f t="shared" si="53"/>
        <v>0.7</v>
      </c>
      <c r="R162" s="177">
        <f t="shared" si="54"/>
        <v>0.61063144415901238</v>
      </c>
      <c r="S162" s="817">
        <f t="shared" si="55"/>
        <v>-1</v>
      </c>
      <c r="T162" s="176">
        <f t="shared" si="56"/>
        <v>5</v>
      </c>
      <c r="U162" s="251">
        <f t="shared" si="57"/>
        <v>-0.38936855584098756</v>
      </c>
      <c r="V162" s="383">
        <f t="shared" si="58"/>
        <v>38.971293819916333</v>
      </c>
      <c r="W162" s="402">
        <f t="shared" si="59"/>
        <v>0</v>
      </c>
      <c r="X162" s="157">
        <f t="shared" si="60"/>
        <v>44709</v>
      </c>
      <c r="Y162" s="385">
        <f t="shared" si="61"/>
        <v>33.948862542621001</v>
      </c>
      <c r="Z162" s="385">
        <f t="shared" si="62"/>
        <v>35.082750081112124</v>
      </c>
      <c r="AA162" s="386">
        <f t="shared" si="63"/>
        <v>40.325535220007595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0.13001154504935752</v>
      </c>
      <c r="AD162" s="231">
        <f>(INDEX(Models!$BJ162:$BT162,,AH162)*(1-AF162)+INDEX(Models!$BJ162:$BT162,,AH162+1)*AF162-ERP_i)*AE162*Ramure*Pc/MaxiM</f>
        <v>0</v>
      </c>
      <c r="AE162" s="305">
        <f t="shared" si="65"/>
        <v>0.7</v>
      </c>
      <c r="AF162" s="177">
        <f t="shared" si="66"/>
        <v>0.61063144415901238</v>
      </c>
      <c r="AG162" s="817">
        <f t="shared" si="74"/>
        <v>-1</v>
      </c>
      <c r="AH162" s="176">
        <f t="shared" si="67"/>
        <v>5</v>
      </c>
      <c r="AI162" s="225">
        <f t="shared" si="68"/>
        <v>-0.38936855584098756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44710</v>
      </c>
      <c r="B163" s="1106">
        <v>39.148000000000003</v>
      </c>
      <c r="C163" s="846"/>
      <c r="D163" s="393">
        <f t="shared" si="50"/>
        <v>40.456424144455539</v>
      </c>
      <c r="E163" s="385">
        <f t="shared" si="72"/>
        <v>43.771585370686978</v>
      </c>
      <c r="F163" s="385">
        <f t="shared" si="51"/>
        <v>43.771585370686978</v>
      </c>
      <c r="G163" s="110">
        <f t="shared" si="73"/>
        <v>1.0047588599605874</v>
      </c>
      <c r="H163" s="414" t="b">
        <f>Wh_hp&gt;='2021'!Maxi_hp</f>
        <v>1</v>
      </c>
      <c r="I163" s="380">
        <f>IF(H163,Wh_hp,'2021'!Maxi_hp)</f>
        <v>43.771585370686978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3.2341566812321698E-2</v>
      </c>
      <c r="M163" s="850"/>
      <c r="N163" s="850"/>
      <c r="O163" s="48">
        <f>IF(t&lt;Tnet,'2021'!Resal+('2021'!Salim-'2021'!Resal)*(1-EXP(('2021'!Tnet-t)/('2021'!Tau_j))),Resal+(Salim-Resal)*(1-EXP((Tnet-t)/(Tau_j))))*Salcycl</f>
        <v>7.573774626064933E-2</v>
      </c>
      <c r="P163" s="339">
        <f>(INDEX(Models!$BJ163:$BT163,,T163)*(1-R163)+INDEX(Models!$BJ163:$BT163,,T163+1)*R163-ERP_i)*Q163*Ramure*Pc/MaxiM</f>
        <v>0</v>
      </c>
      <c r="Q163" s="305">
        <f t="shared" si="53"/>
        <v>0.7</v>
      </c>
      <c r="R163" s="177">
        <f t="shared" si="54"/>
        <v>0.61352381365411313</v>
      </c>
      <c r="S163" s="817">
        <f t="shared" si="55"/>
        <v>-1</v>
      </c>
      <c r="T163" s="176">
        <f t="shared" si="56"/>
        <v>5</v>
      </c>
      <c r="U163" s="251">
        <f t="shared" si="57"/>
        <v>-0.38647618634588687</v>
      </c>
      <c r="V163" s="383">
        <f t="shared" si="58"/>
        <v>38.962582526055677</v>
      </c>
      <c r="W163" s="402">
        <f t="shared" si="59"/>
        <v>0</v>
      </c>
      <c r="X163" s="157">
        <f t="shared" si="60"/>
        <v>44710</v>
      </c>
      <c r="Y163" s="385">
        <f t="shared" si="61"/>
        <v>36.843956053172384</v>
      </c>
      <c r="Z163" s="385">
        <f t="shared" si="62"/>
        <v>38.075373282078822</v>
      </c>
      <c r="AA163" s="386">
        <f t="shared" si="63"/>
        <v>43.771585370686978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0.13013492749620176</v>
      </c>
      <c r="AD163" s="231">
        <f>(INDEX(Models!$BJ163:$BT163,,AH163)*(1-AF163)+INDEX(Models!$BJ163:$BT163,,AH163+1)*AF163-ERP_i)*AE163*Ramure*Pc/MaxiM</f>
        <v>0</v>
      </c>
      <c r="AE163" s="305">
        <f t="shared" si="65"/>
        <v>0.7</v>
      </c>
      <c r="AF163" s="177">
        <f t="shared" si="66"/>
        <v>0.61352381365411313</v>
      </c>
      <c r="AG163" s="817">
        <f t="shared" si="74"/>
        <v>-1</v>
      </c>
      <c r="AH163" s="176">
        <f t="shared" si="67"/>
        <v>5</v>
      </c>
      <c r="AI163" s="225">
        <f t="shared" si="68"/>
        <v>-0.38647618634588687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44711</v>
      </c>
      <c r="B164" s="1106">
        <v>32.420999999999999</v>
      </c>
      <c r="C164" s="846"/>
      <c r="D164" s="393">
        <f t="shared" si="50"/>
        <v>33.50532481989076</v>
      </c>
      <c r="E164" s="385">
        <f t="shared" si="72"/>
        <v>36.257161813807407</v>
      </c>
      <c r="F164" s="385">
        <f t="shared" si="51"/>
        <v>36.257161813807407</v>
      </c>
      <c r="G164" s="110">
        <f t="shared" si="73"/>
        <v>0.8323375255839105</v>
      </c>
      <c r="H164" s="414" t="b">
        <f>Wh_hp&gt;='2021'!Maxi_hp</f>
        <v>0</v>
      </c>
      <c r="I164" s="380">
        <f>IF(H164,Wh_hp,'2021'!Maxi_hp)</f>
        <v>42.658493741310721</v>
      </c>
      <c r="J164" s="85">
        <f>IF(H164,An,'2021'!An_max)</f>
        <v>2019</v>
      </c>
      <c r="K164" s="197">
        <f t="shared" si="52"/>
        <v>44711</v>
      </c>
      <c r="L164" s="147">
        <f>IF(t&lt;Tvie,1-EXP((T0-t)*PertePVj)+'2021'!Pspv,1-EXP((T0-t)*PertePVj)+Pspv)</f>
        <v>3.2362761015438335E-2</v>
      </c>
      <c r="M164" s="850"/>
      <c r="N164" s="850"/>
      <c r="O164" s="48">
        <f>IF(t&lt;Tnet,'2021'!Resal+('2021'!Salim-'2021'!Resal)*(1-EXP(('2021'!Tnet-t)/('2021'!Tau_j))),Resal+(Salim-Resal)*(1-EXP((Tnet-t)/(Tau_j))))*Salcycl</f>
        <v>7.5897749747987603E-2</v>
      </c>
      <c r="P164" s="339">
        <f>(INDEX(Models!$BJ164:$BT164,,T164)*(1-R164)+INDEX(Models!$BJ164:$BT164,,T164+1)*R164-ERP_i)*Q164*Ramure*Pc/MaxiM</f>
        <v>0</v>
      </c>
      <c r="Q164" s="305">
        <f t="shared" si="53"/>
        <v>0.7</v>
      </c>
      <c r="R164" s="177">
        <f t="shared" si="54"/>
        <v>0.61644505162048535</v>
      </c>
      <c r="S164" s="817">
        <f t="shared" si="55"/>
        <v>-1</v>
      </c>
      <c r="T164" s="176">
        <f t="shared" si="56"/>
        <v>5</v>
      </c>
      <c r="U164" s="251">
        <f t="shared" si="57"/>
        <v>-0.38355494837951459</v>
      </c>
      <c r="V164" s="383">
        <f t="shared" si="58"/>
        <v>38.951746140792665</v>
      </c>
      <c r="W164" s="402">
        <f t="shared" si="59"/>
        <v>0</v>
      </c>
      <c r="X164" s="157">
        <f t="shared" si="60"/>
        <v>44711</v>
      </c>
      <c r="Y164" s="385">
        <f t="shared" si="61"/>
        <v>30.513842798958649</v>
      </c>
      <c r="Z164" s="385">
        <f t="shared" si="62"/>
        <v>31.534382483026253</v>
      </c>
      <c r="AA164" s="386">
        <f t="shared" si="63"/>
        <v>36.257161813807407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0.13025783306024324</v>
      </c>
      <c r="AD164" s="231">
        <f>(INDEX(Models!$BJ164:$BT164,,AH164)*(1-AF164)+INDEX(Models!$BJ164:$BT164,,AH164+1)*AF164-ERP_i)*AE164*Ramure*Pc/MaxiM</f>
        <v>0</v>
      </c>
      <c r="AE164" s="305">
        <f t="shared" si="65"/>
        <v>0.7</v>
      </c>
      <c r="AF164" s="177">
        <f t="shared" si="66"/>
        <v>0.61644505162048535</v>
      </c>
      <c r="AG164" s="817">
        <f t="shared" si="74"/>
        <v>-1</v>
      </c>
      <c r="AH164" s="176">
        <f t="shared" si="67"/>
        <v>5</v>
      </c>
      <c r="AI164" s="225">
        <f t="shared" si="68"/>
        <v>-0.38355494837951459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44712</v>
      </c>
      <c r="B165" s="1106">
        <v>35.477000000000004</v>
      </c>
      <c r="C165" s="846"/>
      <c r="D165" s="393">
        <f t="shared" si="50"/>
        <v>36.664336204752914</v>
      </c>
      <c r="E165" s="385">
        <f t="shared" si="72"/>
        <v>39.682483106542961</v>
      </c>
      <c r="F165" s="385">
        <f t="shared" si="51"/>
        <v>39.682483106542961</v>
      </c>
      <c r="G165" s="110">
        <f t="shared" si="73"/>
        <v>0.91109441255163215</v>
      </c>
      <c r="H165" s="414" t="b">
        <f>Wh_hp&gt;='2021'!Maxi_hp</f>
        <v>0</v>
      </c>
      <c r="I165" s="380">
        <f>IF(H165,Wh_hp,'2021'!Maxi_hp)</f>
        <v>43.393408345276015</v>
      </c>
      <c r="J165" s="85">
        <f>IF(H165,An,'2021'!An_max)</f>
        <v>2019</v>
      </c>
      <c r="K165" s="197">
        <f t="shared" si="52"/>
        <v>44712</v>
      </c>
      <c r="L165" s="147">
        <f>IF(t&lt;Tvie,1-EXP((T0-t)*PertePVj)+'2021'!Pspv,1-EXP((T0-t)*PertePVj)+Pspv)</f>
        <v>3.2383954754347632E-2</v>
      </c>
      <c r="M165" s="850"/>
      <c r="N165" s="850"/>
      <c r="O165" s="48">
        <f>IF(t&lt;Tnet,'2021'!Resal+('2021'!Salim-'2021'!Resal)*(1-EXP(('2021'!Tnet-t)/('2021'!Tau_j))),Resal+(Salim-Resal)*(1-EXP((Tnet-t)/(Tau_j))))*Salcycl</f>
        <v>7.605741036130903E-2</v>
      </c>
      <c r="P165" s="339">
        <f>(INDEX(Models!$BJ165:$BT165,,T165)*(1-R165)+INDEX(Models!$BJ165:$BT165,,T165+1)*R165-ERP_i)*Q165*Ramure*Pc/MaxiM</f>
        <v>0</v>
      </c>
      <c r="Q165" s="305">
        <f t="shared" si="53"/>
        <v>0.7</v>
      </c>
      <c r="R165" s="177">
        <f t="shared" si="54"/>
        <v>0.61939309015810706</v>
      </c>
      <c r="S165" s="817">
        <f t="shared" si="55"/>
        <v>-1</v>
      </c>
      <c r="T165" s="176">
        <f t="shared" si="56"/>
        <v>5</v>
      </c>
      <c r="U165" s="251">
        <f t="shared" si="57"/>
        <v>-0.38060690984189288</v>
      </c>
      <c r="V165" s="383">
        <f t="shared" si="58"/>
        <v>38.938884391401643</v>
      </c>
      <c r="W165" s="402">
        <f t="shared" si="59"/>
        <v>0</v>
      </c>
      <c r="X165" s="157">
        <f t="shared" si="60"/>
        <v>44712</v>
      </c>
      <c r="Y165" s="385">
        <f t="shared" si="61"/>
        <v>33.391147632587206</v>
      </c>
      <c r="Z165" s="385">
        <f t="shared" si="62"/>
        <v>34.508675002500674</v>
      </c>
      <c r="AA165" s="386">
        <f t="shared" si="63"/>
        <v>39.682483106542961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0.13038015010681669</v>
      </c>
      <c r="AD165" s="231">
        <f>(INDEX(Models!$BJ165:$BT165,,AH165)*(1-AF165)+INDEX(Models!$BJ165:$BT165,,AH165+1)*AF165-ERP_i)*AE165*Ramure*Pc/MaxiM</f>
        <v>0</v>
      </c>
      <c r="AE165" s="305">
        <f t="shared" si="65"/>
        <v>0.7</v>
      </c>
      <c r="AF165" s="177">
        <f t="shared" si="66"/>
        <v>0.61939309015810706</v>
      </c>
      <c r="AG165" s="817">
        <f t="shared" si="74"/>
        <v>-1</v>
      </c>
      <c r="AH165" s="176">
        <f t="shared" si="67"/>
        <v>5</v>
      </c>
      <c r="AI165" s="225">
        <f t="shared" si="68"/>
        <v>-0.38060690984189288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44713</v>
      </c>
      <c r="B166" s="1106">
        <v>36.283000000000001</v>
      </c>
      <c r="C166" s="846"/>
      <c r="D166" s="393">
        <f t="shared" si="50"/>
        <v>37.498132535630404</v>
      </c>
      <c r="E166" s="385">
        <f t="shared" si="72"/>
        <v>40.591912618408223</v>
      </c>
      <c r="F166" s="385">
        <f t="shared" si="51"/>
        <v>40.591912618408223</v>
      </c>
      <c r="G166" s="110">
        <f t="shared" si="73"/>
        <v>0.93214750939598001</v>
      </c>
      <c r="H166" s="414" t="b">
        <f>Wh_hp&gt;='2021'!Maxi_hp</f>
        <v>0</v>
      </c>
      <c r="I166" s="380">
        <f>IF(H166,Wh_hp,'2021'!Maxi_hp)</f>
        <v>43.566085731494503</v>
      </c>
      <c r="J166" s="85">
        <f>IF(H166,An,'2021'!An_max)</f>
        <v>2019</v>
      </c>
      <c r="K166" s="197">
        <f t="shared" si="52"/>
        <v>44713</v>
      </c>
      <c r="L166" s="147">
        <f>IF(t&lt;Tvie,1-EXP((T0-t)*PertePVj)+'2021'!Pspv,1-EXP((T0-t)*PertePVj)+Pspv)</f>
        <v>3.2405148029059694E-2</v>
      </c>
      <c r="M166" s="850"/>
      <c r="N166" s="850"/>
      <c r="O166" s="48">
        <f>IF(t&lt;Tnet,'2021'!Resal+('2021'!Salim-'2021'!Resal)*(1-EXP(('2021'!Tnet-t)/('2021'!Tau_j))),Resal+(Salim-Resal)*(1-EXP((Tnet-t)/(Tau_j))))*Salcycl</f>
        <v>7.6216661970611485E-2</v>
      </c>
      <c r="P166" s="339">
        <f>(INDEX(Models!$BJ166:$BT166,,T166)*(1-R166)+INDEX(Models!$BJ166:$BT166,,T166+1)*R166-ERP_i)*Q166*Ramure*Pc/MaxiM</f>
        <v>0</v>
      </c>
      <c r="Q166" s="305">
        <f t="shared" si="53"/>
        <v>0.7</v>
      </c>
      <c r="R166" s="177">
        <f t="shared" si="54"/>
        <v>0.62236577761728451</v>
      </c>
      <c r="S166" s="817">
        <f t="shared" si="55"/>
        <v>-1</v>
      </c>
      <c r="T166" s="176">
        <f t="shared" si="56"/>
        <v>5</v>
      </c>
      <c r="U166" s="251">
        <f t="shared" si="57"/>
        <v>-0.37763422238271549</v>
      </c>
      <c r="V166" s="383">
        <f t="shared" si="58"/>
        <v>38.924096920573156</v>
      </c>
      <c r="W166" s="402">
        <f t="shared" si="59"/>
        <v>0</v>
      </c>
      <c r="X166" s="157">
        <f t="shared" si="60"/>
        <v>44713</v>
      </c>
      <c r="Y166" s="385">
        <f t="shared" si="61"/>
        <v>34.150869654856884</v>
      </c>
      <c r="Z166" s="385">
        <f t="shared" si="62"/>
        <v>35.294596271666123</v>
      </c>
      <c r="AA166" s="386">
        <f t="shared" si="63"/>
        <v>40.591912618408223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0.13050176759445903</v>
      </c>
      <c r="AD166" s="231">
        <f>(INDEX(Models!$BJ166:$BT166,,AH166)*(1-AF166)+INDEX(Models!$BJ166:$BT166,,AH166+1)*AF166-ERP_i)*AE166*Ramure*Pc/MaxiM</f>
        <v>0</v>
      </c>
      <c r="AE166" s="305">
        <f t="shared" si="65"/>
        <v>0.7</v>
      </c>
      <c r="AF166" s="177">
        <f t="shared" si="66"/>
        <v>0.62236577761728451</v>
      </c>
      <c r="AG166" s="817">
        <f t="shared" si="74"/>
        <v>-1</v>
      </c>
      <c r="AH166" s="176">
        <f t="shared" si="67"/>
        <v>5</v>
      </c>
      <c r="AI166" s="225">
        <f t="shared" si="68"/>
        <v>-0.37763422238271549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44714</v>
      </c>
      <c r="B167" s="1106">
        <v>28.972000000000001</v>
      </c>
      <c r="C167" s="846"/>
      <c r="D167" s="393">
        <f t="shared" si="50"/>
        <v>29.942939977447949</v>
      </c>
      <c r="E167" s="385">
        <f t="shared" si="72"/>
        <v>32.418951631784523</v>
      </c>
      <c r="F167" s="385">
        <f t="shared" si="51"/>
        <v>32.418951631784523</v>
      </c>
      <c r="G167" s="110">
        <f t="shared" si="73"/>
        <v>0.74463824331868678</v>
      </c>
      <c r="H167" s="414" t="b">
        <f>Wh_hp&gt;='2021'!Maxi_hp</f>
        <v>0</v>
      </c>
      <c r="I167" s="380">
        <f>IF(H167,Wh_hp,'2021'!Maxi_hp)</f>
        <v>42.879308484292096</v>
      </c>
      <c r="J167" s="85">
        <f>IF(H167,An,'2021'!An_max)</f>
        <v>2019</v>
      </c>
      <c r="K167" s="197">
        <f t="shared" si="52"/>
        <v>44714</v>
      </c>
      <c r="L167" s="147">
        <f>IF(t&lt;Tvie,1-EXP((T0-t)*PertePVj)+'2021'!Pspv,1-EXP((T0-t)*PertePVj)+Pspv)</f>
        <v>3.2426340839584511E-2</v>
      </c>
      <c r="M167" s="850"/>
      <c r="N167" s="850"/>
      <c r="O167" s="48">
        <f>IF(t&lt;Tnet,'2021'!Resal+('2021'!Salim-'2021'!Resal)*(1-EXP(('2021'!Tnet-t)/('2021'!Tau_j))),Resal+(Salim-Resal)*(1-EXP((Tnet-t)/(Tau_j))))*Salcycl</f>
        <v>7.6375438739018864E-2</v>
      </c>
      <c r="P167" s="339">
        <f>(INDEX(Models!$BJ167:$BT167,,T167)*(1-R167)+INDEX(Models!$BJ167:$BT167,,T167+1)*R167-ERP_i)*Q167*Ramure*Pc/MaxiM</f>
        <v>0</v>
      </c>
      <c r="Q167" s="305">
        <f t="shared" si="53"/>
        <v>0.7</v>
      </c>
      <c r="R167" s="177">
        <f t="shared" si="54"/>
        <v>0.62536088428348258</v>
      </c>
      <c r="S167" s="817">
        <f t="shared" si="55"/>
        <v>-1</v>
      </c>
      <c r="T167" s="176">
        <f t="shared" si="56"/>
        <v>5</v>
      </c>
      <c r="U167" s="251">
        <f t="shared" si="57"/>
        <v>-0.37463911571651742</v>
      </c>
      <c r="V167" s="383">
        <f t="shared" si="58"/>
        <v>38.907483277891089</v>
      </c>
      <c r="W167" s="402">
        <f t="shared" si="59"/>
        <v>0</v>
      </c>
      <c r="X167" s="157">
        <f t="shared" si="60"/>
        <v>44714</v>
      </c>
      <c r="Y167" s="385">
        <f t="shared" si="61"/>
        <v>27.270390805305002</v>
      </c>
      <c r="Z167" s="385">
        <f t="shared" si="62"/>
        <v>28.184304675024027</v>
      </c>
      <c r="AA167" s="386">
        <f t="shared" si="63"/>
        <v>32.418951631784523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0.13062257548787357</v>
      </c>
      <c r="AD167" s="231">
        <f>(INDEX(Models!$BJ167:$BT167,,AH167)*(1-AF167)+INDEX(Models!$BJ167:$BT167,,AH167+1)*AF167-ERP_i)*AE167*Ramure*Pc/MaxiM</f>
        <v>0</v>
      </c>
      <c r="AE167" s="305">
        <f t="shared" si="65"/>
        <v>0.7</v>
      </c>
      <c r="AF167" s="177">
        <f t="shared" si="66"/>
        <v>0.62536088428348258</v>
      </c>
      <c r="AG167" s="817">
        <f t="shared" si="74"/>
        <v>-1</v>
      </c>
      <c r="AH167" s="176">
        <f t="shared" si="67"/>
        <v>5</v>
      </c>
      <c r="AI167" s="225">
        <f t="shared" si="68"/>
        <v>-0.37463911571651742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44715</v>
      </c>
      <c r="B168" s="1106">
        <v>35.087000000000003</v>
      </c>
      <c r="C168" s="846"/>
      <c r="D168" s="393">
        <f t="shared" si="50"/>
        <v>36.263666522946913</v>
      </c>
      <c r="E168" s="385">
        <f t="shared" si="72"/>
        <v>39.269073008719751</v>
      </c>
      <c r="F168" s="385">
        <f t="shared" si="51"/>
        <v>39.269073008719751</v>
      </c>
      <c r="G168" s="110">
        <f t="shared" si="73"/>
        <v>0.90223124954895328</v>
      </c>
      <c r="H168" s="414" t="b">
        <f>Wh_hp&gt;='2021'!Maxi_hp</f>
        <v>0</v>
      </c>
      <c r="I168" s="380">
        <f>IF(H168,Wh_hp,'2021'!Maxi_hp)</f>
        <v>40.900365987061008</v>
      </c>
      <c r="J168" s="85">
        <f>IF(H168,An,'2021'!An_max)</f>
        <v>2020</v>
      </c>
      <c r="K168" s="197">
        <f t="shared" si="52"/>
        <v>44715</v>
      </c>
      <c r="L168" s="147">
        <f>IF(t&lt;Tvie,1-EXP((T0-t)*PertePVj)+'2021'!Pspv,1-EXP((T0-t)*PertePVj)+Pspv)</f>
        <v>3.244753318593252E-2</v>
      </c>
      <c r="M168" s="850"/>
      <c r="N168" s="850"/>
      <c r="O168" s="48">
        <f>IF(t&lt;Tnet,'2021'!Resal+('2021'!Salim-'2021'!Resal)*(1-EXP(('2021'!Tnet-t)/('2021'!Tau_j))),Resal+(Salim-Resal)*(1-EXP((Tnet-t)/(Tau_j))))*Salcycl</f>
        <v>7.6533675371086074E-2</v>
      </c>
      <c r="P168" s="339">
        <f>(INDEX(Models!$BJ168:$BT168,,T168)*(1-R168)+INDEX(Models!$BJ168:$BT168,,T168+1)*R168-ERP_i)*Q168*Ramure*Pc/MaxiM</f>
        <v>0</v>
      </c>
      <c r="Q168" s="305">
        <f t="shared" si="53"/>
        <v>0.7</v>
      </c>
      <c r="R168" s="177">
        <f t="shared" si="54"/>
        <v>0.62837610857454418</v>
      </c>
      <c r="S168" s="817">
        <f t="shared" si="55"/>
        <v>-1</v>
      </c>
      <c r="T168" s="176">
        <f t="shared" si="56"/>
        <v>5</v>
      </c>
      <c r="U168" s="251">
        <f t="shared" si="57"/>
        <v>-0.37162389142545582</v>
      </c>
      <c r="V168" s="383">
        <f t="shared" si="58"/>
        <v>38.889142908251983</v>
      </c>
      <c r="W168" s="402">
        <f t="shared" si="59"/>
        <v>0</v>
      </c>
      <c r="X168" s="157">
        <f t="shared" si="60"/>
        <v>44715</v>
      </c>
      <c r="Y168" s="385">
        <f t="shared" si="61"/>
        <v>33.027343077938326</v>
      </c>
      <c r="Z168" s="385">
        <f t="shared" si="62"/>
        <v>34.134937598464226</v>
      </c>
      <c r="AA168" s="386">
        <f t="shared" si="63"/>
        <v>39.269073008719751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0.13074246517394181</v>
      </c>
      <c r="AD168" s="231">
        <f>(INDEX(Models!$BJ168:$BT168,,AH168)*(1-AF168)+INDEX(Models!$BJ168:$BT168,,AH168+1)*AF168-ERP_i)*AE168*Ramure*Pc/MaxiM</f>
        <v>0</v>
      </c>
      <c r="AE168" s="305">
        <f t="shared" si="65"/>
        <v>0.7</v>
      </c>
      <c r="AF168" s="177">
        <f t="shared" si="66"/>
        <v>0.62837610857454418</v>
      </c>
      <c r="AG168" s="817">
        <f t="shared" si="74"/>
        <v>-1</v>
      </c>
      <c r="AH168" s="176">
        <f t="shared" si="67"/>
        <v>5</v>
      </c>
      <c r="AI168" s="225">
        <f t="shared" si="68"/>
        <v>-0.37162389142545582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44716</v>
      </c>
      <c r="B169" s="1106">
        <v>17.43</v>
      </c>
      <c r="C169" s="846"/>
      <c r="D169" s="393">
        <f t="shared" si="50"/>
        <v>18.014921534424882</v>
      </c>
      <c r="E169" s="385">
        <f t="shared" si="72"/>
        <v>19.511266034952591</v>
      </c>
      <c r="F169" s="385">
        <f t="shared" si="51"/>
        <v>19.511266034952591</v>
      </c>
      <c r="G169" s="110">
        <f t="shared" si="73"/>
        <v>0.44842731902256794</v>
      </c>
      <c r="H169" s="414" t="b">
        <f>Wh_hp&gt;='2021'!Maxi_hp</f>
        <v>0</v>
      </c>
      <c r="I169" s="380">
        <f>IF(H169,Wh_hp,'2021'!Maxi_hp)</f>
        <v>39.208479410281221</v>
      </c>
      <c r="J169" s="85">
        <f>IF(H169,An,'2021'!An_max)</f>
        <v>2019</v>
      </c>
      <c r="K169" s="197">
        <f t="shared" si="52"/>
        <v>44716</v>
      </c>
      <c r="L169" s="147">
        <f>IF(t&lt;Tvie,1-EXP((T0-t)*PertePVj)+'2021'!Pspv,1-EXP((T0-t)*PertePVj)+Pspv)</f>
        <v>3.2468725068113713E-2</v>
      </c>
      <c r="M169" s="850"/>
      <c r="N169" s="850"/>
      <c r="O169" s="48">
        <f>IF(t&lt;Tnet,'2021'!Resal+('2021'!Salim-'2021'!Resal)*(1-EXP(('2021'!Tnet-t)/('2021'!Tau_j))),Resal+(Salim-Resal)*(1-EXP((Tnet-t)/(Tau_j))))*Salcycl</f>
        <v>7.6691307362994801E-2</v>
      </c>
      <c r="P169" s="339">
        <f>(INDEX(Models!$BJ169:$BT169,,T169)*(1-R169)+INDEX(Models!$BJ169:$BT169,,T169+1)*R169-ERP_i)*Q169*Ramure*Pc/MaxiM</f>
        <v>0</v>
      </c>
      <c r="Q169" s="305">
        <f t="shared" si="53"/>
        <v>0.7</v>
      </c>
      <c r="R169" s="177">
        <f t="shared" si="54"/>
        <v>0.63140908371769855</v>
      </c>
      <c r="S169" s="817">
        <f t="shared" si="55"/>
        <v>-1</v>
      </c>
      <c r="T169" s="176">
        <f t="shared" si="56"/>
        <v>5</v>
      </c>
      <c r="U169" s="251">
        <f t="shared" si="57"/>
        <v>-0.36859091628230145</v>
      </c>
      <c r="V169" s="383">
        <f t="shared" si="58"/>
        <v>38.869175138553054</v>
      </c>
      <c r="W169" s="402">
        <f t="shared" si="59"/>
        <v>0</v>
      </c>
      <c r="X169" s="157">
        <f t="shared" si="60"/>
        <v>44716</v>
      </c>
      <c r="Y169" s="385">
        <f t="shared" si="61"/>
        <v>16.407391310221136</v>
      </c>
      <c r="Z169" s="385">
        <f t="shared" si="62"/>
        <v>16.957995814012534</v>
      </c>
      <c r="AA169" s="386">
        <f t="shared" si="63"/>
        <v>19.511266034952591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0.13086132987813887</v>
      </c>
      <c r="AD169" s="231">
        <f>(INDEX(Models!$BJ169:$BT169,,AH169)*(1-AF169)+INDEX(Models!$BJ169:$BT169,,AH169+1)*AF169-ERP_i)*AE169*Ramure*Pc/MaxiM</f>
        <v>0</v>
      </c>
      <c r="AE169" s="305">
        <f t="shared" si="65"/>
        <v>0.7</v>
      </c>
      <c r="AF169" s="177">
        <f t="shared" si="66"/>
        <v>0.63140908371769855</v>
      </c>
      <c r="AG169" s="817">
        <f t="shared" si="74"/>
        <v>-1</v>
      </c>
      <c r="AH169" s="176">
        <f t="shared" si="67"/>
        <v>5</v>
      </c>
      <c r="AI169" s="225">
        <f t="shared" si="68"/>
        <v>-0.36859091628230145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44717</v>
      </c>
      <c r="B170" s="1106">
        <v>21.384</v>
      </c>
      <c r="C170" s="846"/>
      <c r="D170" s="393">
        <f t="shared" si="50"/>
        <v>22.10209522813064</v>
      </c>
      <c r="E170" s="385">
        <f t="shared" ref="E170:E232" si="75">Wh_pvt/(1-Psa)</f>
        <v>23.941996250314073</v>
      </c>
      <c r="F170" s="385">
        <f t="shared" si="51"/>
        <v>23.941996250314073</v>
      </c>
      <c r="G170" s="110">
        <f t="shared" ref="G170:G232" si="76">+Wh_hp/MaxiM</f>
        <v>0.55045759380578763</v>
      </c>
      <c r="H170" s="414" t="b">
        <f>Wh_hp&gt;='2021'!Maxi_hp</f>
        <v>0</v>
      </c>
      <c r="I170" s="380">
        <f>IF(H170,Wh_hp,'2021'!Maxi_hp)</f>
        <v>31.965848154895578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3.2489916486138193E-2</v>
      </c>
      <c r="M170" s="850"/>
      <c r="N170" s="850"/>
      <c r="O170" s="48">
        <f>IF(t&lt;Tnet,'2021'!Resal+('2021'!Salim-'2021'!Resal)*(1-EXP(('2021'!Tnet-t)/('2021'!Tau_j))),Resal+(Salim-Resal)*(1-EXP((Tnet-t)/(Tau_j))))*Salcycl</f>
        <v>7.684827125304125E-2</v>
      </c>
      <c r="P170" s="339">
        <f>(INDEX(Models!$BJ170:$BT170,,T170)*(1-R170)+INDEX(Models!$BJ170:$BT170,,T170+1)*R170-ERP_i)*Q170*Ramure*Pc/MaxiM</f>
        <v>0</v>
      </c>
      <c r="Q170" s="305">
        <f t="shared" si="53"/>
        <v>0.7</v>
      </c>
      <c r="R170" s="177">
        <f t="shared" si="54"/>
        <v>0.63445738486838021</v>
      </c>
      <c r="S170" s="817">
        <f t="shared" si="55"/>
        <v>-1</v>
      </c>
      <c r="T170" s="176">
        <f t="shared" si="56"/>
        <v>5</v>
      </c>
      <c r="U170" s="251">
        <f t="shared" si="57"/>
        <v>-0.36554261513161979</v>
      </c>
      <c r="V170" s="383">
        <f t="shared" si="58"/>
        <v>38.847679168442362</v>
      </c>
      <c r="W170" s="402">
        <f t="shared" si="59"/>
        <v>0</v>
      </c>
      <c r="X170" s="157">
        <f t="shared" si="60"/>
        <v>44717</v>
      </c>
      <c r="Y170" s="385">
        <f t="shared" si="61"/>
        <v>20.130107645015343</v>
      </c>
      <c r="Z170" s="385">
        <f t="shared" si="62"/>
        <v>20.80609596533154</v>
      </c>
      <c r="AA170" s="386">
        <f t="shared" si="63"/>
        <v>23.941996250314073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0.13097906507864371</v>
      </c>
      <c r="AD170" s="231">
        <f>(INDEX(Models!$BJ170:$BT170,,AH170)*(1-AF170)+INDEX(Models!$BJ170:$BT170,,AH170+1)*AF170-ERP_i)*AE170*Ramure*Pc/MaxiM</f>
        <v>0</v>
      </c>
      <c r="AE170" s="305">
        <f t="shared" si="65"/>
        <v>0.7</v>
      </c>
      <c r="AF170" s="177">
        <f t="shared" si="66"/>
        <v>0.63445738486838021</v>
      </c>
      <c r="AG170" s="817">
        <f t="shared" si="74"/>
        <v>-1</v>
      </c>
      <c r="AH170" s="176">
        <f t="shared" si="67"/>
        <v>5</v>
      </c>
      <c r="AI170" s="225">
        <f t="shared" si="68"/>
        <v>-0.36554261513161979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44718</v>
      </c>
      <c r="B171" s="1106">
        <v>29.673999999999999</v>
      </c>
      <c r="C171" s="846"/>
      <c r="D171" s="393">
        <f t="shared" si="50"/>
        <v>30.671153155549259</v>
      </c>
      <c r="E171" s="385">
        <f t="shared" si="75"/>
        <v>33.230013924667368</v>
      </c>
      <c r="F171" s="385">
        <f t="shared" si="51"/>
        <v>33.230013924667368</v>
      </c>
      <c r="G171" s="110">
        <f t="shared" si="76"/>
        <v>0.7643061937850214</v>
      </c>
      <c r="H171" s="414" t="b">
        <f>Wh_hp&gt;='2021'!Maxi_hp</f>
        <v>0</v>
      </c>
      <c r="I171" s="380">
        <f>IF(H171,Wh_hp,'2021'!Maxi_hp)</f>
        <v>41.05414814635413</v>
      </c>
      <c r="J171" s="85">
        <f>IF(H171,An,'2021'!An_max)</f>
        <v>2019</v>
      </c>
      <c r="K171" s="197">
        <f t="shared" si="52"/>
        <v>44718</v>
      </c>
      <c r="L171" s="147">
        <f>IF(t&lt;Tvie,1-EXP((T0-t)*PertePVj)+'2021'!Pspv,1-EXP((T0-t)*PertePVj)+Pspv)</f>
        <v>3.2511107440016396E-2</v>
      </c>
      <c r="M171" s="850"/>
      <c r="N171" s="850"/>
      <c r="O171" s="48">
        <f>IF(t&lt;Tnet,'2021'!Resal+('2021'!Salim-'2021'!Resal)*(1-EXP(('2021'!Tnet-t)/('2021'!Tau_j))),Resal+(Salim-Resal)*(1-EXP((Tnet-t)/(Tau_j))))*Salcycl</f>
        <v>7.7004504870779145E-2</v>
      </c>
      <c r="P171" s="339">
        <f>(INDEX(Models!$BJ171:$BT171,,T171)*(1-R171)+INDEX(Models!$BJ171:$BT171,,T171+1)*R171-ERP_i)*Q171*Ramure*Pc/MaxiM</f>
        <v>0</v>
      </c>
      <c r="Q171" s="305">
        <f t="shared" si="53"/>
        <v>0.7</v>
      </c>
      <c r="R171" s="177">
        <f t="shared" si="54"/>
        <v>0.63751853662783231</v>
      </c>
      <c r="S171" s="817">
        <f t="shared" si="55"/>
        <v>-1</v>
      </c>
      <c r="T171" s="176">
        <f t="shared" si="56"/>
        <v>5</v>
      </c>
      <c r="U171" s="251">
        <f t="shared" si="57"/>
        <v>-0.36248146337216769</v>
      </c>
      <c r="V171" s="383">
        <f t="shared" si="58"/>
        <v>38.824754059688402</v>
      </c>
      <c r="W171" s="402">
        <f t="shared" si="59"/>
        <v>0</v>
      </c>
      <c r="X171" s="157">
        <f t="shared" si="60"/>
        <v>44718</v>
      </c>
      <c r="Y171" s="385">
        <f t="shared" si="61"/>
        <v>27.9349901750006</v>
      </c>
      <c r="Z171" s="385">
        <f t="shared" si="62"/>
        <v>28.873706344146633</v>
      </c>
      <c r="AA171" s="386">
        <f t="shared" si="63"/>
        <v>33.230013924667368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0.13109556891539409</v>
      </c>
      <c r="AD171" s="231">
        <f>(INDEX(Models!$BJ171:$BT171,,AH171)*(1-AF171)+INDEX(Models!$BJ171:$BT171,,AH171+1)*AF171-ERP_i)*AE171*Ramure*Pc/MaxiM</f>
        <v>0</v>
      </c>
      <c r="AE171" s="305">
        <f t="shared" si="65"/>
        <v>0.7</v>
      </c>
      <c r="AF171" s="177">
        <f t="shared" si="66"/>
        <v>0.63751853662783231</v>
      </c>
      <c r="AG171" s="817">
        <f t="shared" si="74"/>
        <v>-1</v>
      </c>
      <c r="AH171" s="176">
        <f t="shared" si="67"/>
        <v>5</v>
      </c>
      <c r="AI171" s="225">
        <f t="shared" si="68"/>
        <v>-0.36248146337216769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44719</v>
      </c>
      <c r="B172" s="1106">
        <v>17.195</v>
      </c>
      <c r="C172" s="846"/>
      <c r="D172" s="393">
        <f t="shared" si="50"/>
        <v>17.773203139707064</v>
      </c>
      <c r="E172" s="385">
        <f t="shared" si="75"/>
        <v>19.259245514063288</v>
      </c>
      <c r="F172" s="385">
        <f t="shared" si="51"/>
        <v>19.259245514063288</v>
      </c>
      <c r="G172" s="110">
        <f t="shared" si="76"/>
        <v>0.44316440678776714</v>
      </c>
      <c r="H172" s="414" t="b">
        <f>Wh_hp&gt;='2021'!Maxi_hp</f>
        <v>0</v>
      </c>
      <c r="I172" s="380">
        <f>IF(H172,Wh_hp,'2021'!Maxi_hp)</f>
        <v>38.856191383459525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3.2532297929758203E-2</v>
      </c>
      <c r="M172" s="850"/>
      <c r="N172" s="850"/>
      <c r="O172" s="48">
        <f>IF(t&lt;Tnet,'2021'!Resal+('2021'!Salim-'2021'!Resal)*(1-EXP(('2021'!Tnet-t)/('2021'!Tau_j))),Resal+(Salim-Resal)*(1-EXP((Tnet-t)/(Tau_j))))*Salcycl</f>
        <v>7.715994758315442E-2</v>
      </c>
      <c r="P172" s="339">
        <f>(INDEX(Models!$BJ172:$BT172,,T172)*(1-R172)+INDEX(Models!$BJ172:$BT172,,T172+1)*R172-ERP_i)*Q172*Ramure*Pc/MaxiM</f>
        <v>0</v>
      </c>
      <c r="Q172" s="305">
        <f t="shared" si="53"/>
        <v>0.7</v>
      </c>
      <c r="R172" s="177">
        <f t="shared" si="54"/>
        <v>0.64059002091182637</v>
      </c>
      <c r="S172" s="817">
        <f t="shared" si="55"/>
        <v>-1</v>
      </c>
      <c r="T172" s="176">
        <f t="shared" si="56"/>
        <v>5</v>
      </c>
      <c r="U172" s="251">
        <f t="shared" si="57"/>
        <v>-0.35940997908817363</v>
      </c>
      <c r="V172" s="383">
        <f t="shared" si="58"/>
        <v>38.800498723794718</v>
      </c>
      <c r="W172" s="402">
        <f t="shared" si="59"/>
        <v>0</v>
      </c>
      <c r="X172" s="157">
        <f t="shared" si="60"/>
        <v>44719</v>
      </c>
      <c r="Y172" s="385">
        <f t="shared" si="61"/>
        <v>16.187887859893703</v>
      </c>
      <c r="Z172" s="385">
        <f t="shared" si="62"/>
        <v>16.732225608414577</v>
      </c>
      <c r="AA172" s="386">
        <f t="shared" si="63"/>
        <v>19.259245514063288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0.13121074259131577</v>
      </c>
      <c r="AD172" s="231">
        <f>(INDEX(Models!$BJ172:$BT172,,AH172)*(1-AF172)+INDEX(Models!$BJ172:$BT172,,AH172+1)*AF172-ERP_i)*AE172*Ramure*Pc/MaxiM</f>
        <v>0</v>
      </c>
      <c r="AE172" s="305">
        <f t="shared" si="65"/>
        <v>0.7</v>
      </c>
      <c r="AF172" s="177">
        <f t="shared" si="66"/>
        <v>0.64059002091182637</v>
      </c>
      <c r="AG172" s="817">
        <f t="shared" si="74"/>
        <v>-1</v>
      </c>
      <c r="AH172" s="176">
        <f t="shared" si="67"/>
        <v>5</v>
      </c>
      <c r="AI172" s="225">
        <f t="shared" si="68"/>
        <v>-0.35940997908817363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44720</v>
      </c>
      <c r="B173" s="1106">
        <v>15.177</v>
      </c>
      <c r="C173" s="846"/>
      <c r="D173" s="393">
        <f t="shared" si="50"/>
        <v>15.687688994737851</v>
      </c>
      <c r="E173" s="385">
        <f t="shared" si="75"/>
        <v>17.002206801709359</v>
      </c>
      <c r="F173" s="385">
        <f t="shared" si="51"/>
        <v>17.002206801709359</v>
      </c>
      <c r="G173" s="110">
        <f t="shared" si="76"/>
        <v>0.39141187199738947</v>
      </c>
      <c r="H173" s="414" t="b">
        <f>Wh_hp&gt;='2021'!Maxi_hp</f>
        <v>0</v>
      </c>
      <c r="I173" s="380">
        <f>IF(H173,Wh_hp,'2021'!Maxi_hp)</f>
        <v>43.845518262110815</v>
      </c>
      <c r="J173" s="85">
        <f>IF(H173,An,'2021'!An_max)</f>
        <v>2019</v>
      </c>
      <c r="K173" s="197">
        <f t="shared" si="52"/>
        <v>44720</v>
      </c>
      <c r="L173" s="147">
        <f>IF(t&lt;Tvie,1-EXP((T0-t)*PertePVj)+'2021'!Pspv,1-EXP((T0-t)*PertePVj)+Pspv)</f>
        <v>3.2553487955373939E-2</v>
      </c>
      <c r="M173" s="850"/>
      <c r="N173" s="850"/>
      <c r="O173" s="48">
        <f>IF(t&lt;Tnet,'2021'!Resal+('2021'!Salim-'2021'!Resal)*(1-EXP(('2021'!Tnet-t)/('2021'!Tau_j))),Resal+(Salim-Resal)*(1-EXP((Tnet-t)/(Tau_j))))*Salcycl</f>
        <v>7.7314540535958612E-2</v>
      </c>
      <c r="P173" s="339">
        <f>(INDEX(Models!$BJ173:$BT173,,T173)*(1-R173)+INDEX(Models!$BJ173:$BT173,,T173+1)*R173-ERP_i)*Q173*Ramure*Pc/MaxiM</f>
        <v>0</v>
      </c>
      <c r="Q173" s="305">
        <f t="shared" si="53"/>
        <v>0.7</v>
      </c>
      <c r="R173" s="177">
        <f t="shared" si="54"/>
        <v>0.64366928511868893</v>
      </c>
      <c r="S173" s="817">
        <f t="shared" si="55"/>
        <v>-1</v>
      </c>
      <c r="T173" s="176">
        <f t="shared" si="56"/>
        <v>5</v>
      </c>
      <c r="U173" s="251">
        <f t="shared" si="57"/>
        <v>-0.35633071488131107</v>
      </c>
      <c r="V173" s="383">
        <f t="shared" si="58"/>
        <v>38.775011914051561</v>
      </c>
      <c r="W173" s="402">
        <f t="shared" si="59"/>
        <v>0</v>
      </c>
      <c r="X173" s="157">
        <f t="shared" si="60"/>
        <v>44720</v>
      </c>
      <c r="Y173" s="385">
        <f t="shared" si="61"/>
        <v>14.288605145407386</v>
      </c>
      <c r="Z173" s="385">
        <f t="shared" si="62"/>
        <v>14.769400651628258</v>
      </c>
      <c r="AA173" s="386">
        <f t="shared" si="63"/>
        <v>17.002206801709359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0.13132449076296507</v>
      </c>
      <c r="AD173" s="231">
        <f>(INDEX(Models!$BJ173:$BT173,,AH173)*(1-AF173)+INDEX(Models!$BJ173:$BT173,,AH173+1)*AF173-ERP_i)*AE173*Ramure*Pc/MaxiM</f>
        <v>0</v>
      </c>
      <c r="AE173" s="305">
        <f t="shared" si="65"/>
        <v>0.7</v>
      </c>
      <c r="AF173" s="177">
        <f t="shared" si="66"/>
        <v>0.64366928511868893</v>
      </c>
      <c r="AG173" s="817">
        <f t="shared" si="74"/>
        <v>-1</v>
      </c>
      <c r="AH173" s="176">
        <f t="shared" si="67"/>
        <v>5</v>
      </c>
      <c r="AI173" s="225">
        <f t="shared" si="68"/>
        <v>-0.35633071488131107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44721</v>
      </c>
      <c r="B174" s="1106">
        <v>29.706</v>
      </c>
      <c r="C174" s="846"/>
      <c r="D174" s="393">
        <f t="shared" si="50"/>
        <v>30.706246063264619</v>
      </c>
      <c r="E174" s="385">
        <f t="shared" si="75"/>
        <v>33.284757184799638</v>
      </c>
      <c r="F174" s="385">
        <f t="shared" si="51"/>
        <v>33.284757184799638</v>
      </c>
      <c r="G174" s="110">
        <f t="shared" si="76"/>
        <v>0.76663826039376759</v>
      </c>
      <c r="H174" s="414" t="b">
        <f>Wh_hp&gt;='2021'!Maxi_hp</f>
        <v>0</v>
      </c>
      <c r="I174" s="380">
        <f>IF(H174,Wh_hp,'2021'!Maxi_hp)</f>
        <v>42.32398609821027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3.2574677516873707E-2</v>
      </c>
      <c r="M174" s="850"/>
      <c r="N174" s="850"/>
      <c r="O174" s="48">
        <f>IF(t&lt;Tnet,'2021'!Resal+('2021'!Salim-'2021'!Resal)*(1-EXP(('2021'!Tnet-t)/('2021'!Tau_j))),Resal+(Salim-Resal)*(1-EXP((Tnet-t)/(Tau_j))))*Salcycl</f>
        <v>7.7468226888930597E-2</v>
      </c>
      <c r="P174" s="339">
        <f>(INDEX(Models!$BJ174:$BT174,,T174)*(1-R174)+INDEX(Models!$BJ174:$BT174,,T174+1)*R174-ERP_i)*Q174*Ramure*Pc/MaxiM</f>
        <v>0</v>
      </c>
      <c r="Q174" s="305">
        <f t="shared" si="53"/>
        <v>0.7</v>
      </c>
      <c r="R174" s="177">
        <f t="shared" si="54"/>
        <v>0.64675375054124751</v>
      </c>
      <c r="S174" s="817">
        <f t="shared" si="55"/>
        <v>-1</v>
      </c>
      <c r="T174" s="176">
        <f t="shared" si="56"/>
        <v>5</v>
      </c>
      <c r="U174" s="251">
        <f t="shared" si="57"/>
        <v>-0.35324624945875244</v>
      </c>
      <c r="V174" s="383">
        <f t="shared" si="58"/>
        <v>38.748392214004731</v>
      </c>
      <c r="W174" s="402">
        <f t="shared" si="59"/>
        <v>0</v>
      </c>
      <c r="X174" s="157">
        <f t="shared" si="60"/>
        <v>44721</v>
      </c>
      <c r="Y174" s="385">
        <f t="shared" si="61"/>
        <v>27.96818656087839</v>
      </c>
      <c r="Z174" s="385">
        <f t="shared" si="62"/>
        <v>28.909917810597943</v>
      </c>
      <c r="AA174" s="386">
        <f t="shared" si="63"/>
        <v>33.284757184799638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0.13143672191785069</v>
      </c>
      <c r="AD174" s="231">
        <f>(INDEX(Models!$BJ174:$BT174,,AH174)*(1-AF174)+INDEX(Models!$BJ174:$BT174,,AH174+1)*AF174-ERP_i)*AE174*Ramure*Pc/MaxiM</f>
        <v>0</v>
      </c>
      <c r="AE174" s="305">
        <f t="shared" si="65"/>
        <v>0.7</v>
      </c>
      <c r="AF174" s="177">
        <f t="shared" si="66"/>
        <v>0.64675375054124751</v>
      </c>
      <c r="AG174" s="817">
        <f t="shared" si="74"/>
        <v>-1</v>
      </c>
      <c r="AH174" s="176">
        <f t="shared" si="67"/>
        <v>5</v>
      </c>
      <c r="AI174" s="225">
        <f t="shared" si="68"/>
        <v>-0.35324624945875244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44722</v>
      </c>
      <c r="B175" s="1106">
        <v>37.786999999999999</v>
      </c>
      <c r="C175" s="846"/>
      <c r="D175" s="393">
        <f t="shared" si="50"/>
        <v>39.060201105149936</v>
      </c>
      <c r="E175" s="385">
        <f t="shared" si="75"/>
        <v>42.347233701436771</v>
      </c>
      <c r="F175" s="385">
        <f t="shared" si="51"/>
        <v>42.347233701436771</v>
      </c>
      <c r="G175" s="110">
        <f t="shared" si="76"/>
        <v>0.97588532458920729</v>
      </c>
      <c r="H175" s="414" t="b">
        <f>Wh_hp&gt;='2021'!Maxi_hp</f>
        <v>1</v>
      </c>
      <c r="I175" s="380">
        <f>IF(H175,Wh_hp,'2021'!Maxi_hp)</f>
        <v>42.347233701436771</v>
      </c>
      <c r="J175" s="85">
        <f>IF(H175,An,'2021'!An_max)</f>
        <v>2022</v>
      </c>
      <c r="K175" s="197">
        <f t="shared" si="52"/>
        <v>44722</v>
      </c>
      <c r="L175" s="147">
        <f>IF(t&lt;Tvie,1-EXP((T0-t)*PertePVj)+'2021'!Pspv,1-EXP((T0-t)*PertePVj)+Pspv)</f>
        <v>3.2595866614267721E-2</v>
      </c>
      <c r="M175" s="850"/>
      <c r="N175" s="850"/>
      <c r="O175" s="48">
        <f>IF(t&lt;Tnet,'2021'!Resal+('2021'!Salim-'2021'!Resal)*(1-EXP(('2021'!Tnet-t)/('2021'!Tau_j))),Resal+(Salim-Resal)*(1-EXP((Tnet-t)/(Tau_j))))*Salcycl</f>
        <v>7.762095204285592E-2</v>
      </c>
      <c r="P175" s="339">
        <f>(INDEX(Models!$BJ175:$BT175,,T175)*(1-R175)+INDEX(Models!$BJ175:$BT175,,T175+1)*R175-ERP_i)*Q175*Ramure*Pc/MaxiM</f>
        <v>0</v>
      </c>
      <c r="Q175" s="305">
        <f t="shared" si="53"/>
        <v>0.7</v>
      </c>
      <c r="R175" s="177">
        <f t="shared" si="54"/>
        <v>0.64984082096436668</v>
      </c>
      <c r="S175" s="817">
        <f t="shared" si="55"/>
        <v>-1</v>
      </c>
      <c r="T175" s="176">
        <f t="shared" si="56"/>
        <v>5</v>
      </c>
      <c r="U175" s="251">
        <f t="shared" si="57"/>
        <v>-0.35015917903563332</v>
      </c>
      <c r="V175" s="383">
        <f t="shared" si="58"/>
        <v>38.720738029241495</v>
      </c>
      <c r="W175" s="402">
        <f t="shared" si="59"/>
        <v>0</v>
      </c>
      <c r="X175" s="157">
        <f t="shared" si="60"/>
        <v>44722</v>
      </c>
      <c r="Y175" s="385">
        <f t="shared" si="61"/>
        <v>35.57780329681399</v>
      </c>
      <c r="Z175" s="385">
        <f t="shared" si="62"/>
        <v>36.776567381719133</v>
      </c>
      <c r="AA175" s="386">
        <f t="shared" si="63"/>
        <v>42.347233701436771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0.13154734873576016</v>
      </c>
      <c r="AD175" s="231">
        <f>(INDEX(Models!$BJ175:$BT175,,AH175)*(1-AF175)+INDEX(Models!$BJ175:$BT175,,AH175+1)*AF175-ERP_i)*AE175*Ramure*Pc/MaxiM</f>
        <v>0</v>
      </c>
      <c r="AE175" s="305">
        <f t="shared" si="65"/>
        <v>0.7</v>
      </c>
      <c r="AF175" s="177">
        <f t="shared" si="66"/>
        <v>0.64984082096436668</v>
      </c>
      <c r="AG175" s="817">
        <f t="shared" si="74"/>
        <v>-1</v>
      </c>
      <c r="AH175" s="176">
        <f t="shared" si="67"/>
        <v>5</v>
      </c>
      <c r="AI175" s="225">
        <f t="shared" si="68"/>
        <v>-0.35015917903563332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44723</v>
      </c>
      <c r="B176" s="1106">
        <v>35.802</v>
      </c>
      <c r="C176" s="846"/>
      <c r="D176" s="393">
        <f t="shared" si="50"/>
        <v>37.009128798691201</v>
      </c>
      <c r="E176" s="385">
        <f t="shared" si="75"/>
        <v>40.130158094722169</v>
      </c>
      <c r="F176" s="385">
        <f t="shared" si="51"/>
        <v>40.130158094722169</v>
      </c>
      <c r="G176" s="110">
        <f t="shared" si="76"/>
        <v>0.92530402780827659</v>
      </c>
      <c r="H176" s="414" t="b">
        <f>Wh_hp&gt;='2021'!Maxi_hp</f>
        <v>1</v>
      </c>
      <c r="I176" s="380">
        <f>IF(H176,Wh_hp,'2021'!Maxi_hp)</f>
        <v>40.130158094722169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3.2617055247566196E-2</v>
      </c>
      <c r="M176" s="850"/>
      <c r="N176" s="850"/>
      <c r="O176" s="48">
        <f>IF(t&lt;Tnet,'2021'!Resal+('2021'!Salim-'2021'!Resal)*(1-EXP(('2021'!Tnet-t)/('2021'!Tau_j))),Resal+(Salim-Resal)*(1-EXP((Tnet-t)/(Tau_j))))*Salcycl</f>
        <v>7.7772663857046731E-2</v>
      </c>
      <c r="P176" s="339">
        <f>(INDEX(Models!$BJ176:$BT176,,T176)*(1-R176)+INDEX(Models!$BJ176:$BT176,,T176+1)*R176-ERP_i)*Q176*Ramure*Pc/MaxiM</f>
        <v>0</v>
      </c>
      <c r="Q176" s="305">
        <f t="shared" si="53"/>
        <v>0.7</v>
      </c>
      <c r="R176" s="177">
        <f t="shared" si="54"/>
        <v>0.65292789138748575</v>
      </c>
      <c r="S176" s="817">
        <f t="shared" si="55"/>
        <v>-1</v>
      </c>
      <c r="T176" s="176">
        <f t="shared" si="56"/>
        <v>5</v>
      </c>
      <c r="U176" s="251">
        <f t="shared" si="57"/>
        <v>-0.34707210861251425</v>
      </c>
      <c r="V176" s="383">
        <f t="shared" si="58"/>
        <v>38.692147579647397</v>
      </c>
      <c r="W176" s="402">
        <f t="shared" si="59"/>
        <v>0</v>
      </c>
      <c r="X176" s="157">
        <f t="shared" si="60"/>
        <v>44723</v>
      </c>
      <c r="Y176" s="385">
        <f t="shared" si="61"/>
        <v>33.7101713896243</v>
      </c>
      <c r="Z176" s="385">
        <f t="shared" si="62"/>
        <v>34.846770425801935</v>
      </c>
      <c r="AA176" s="386">
        <f t="shared" si="63"/>
        <v>40.130158094722169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0.13165628843149504</v>
      </c>
      <c r="AD176" s="231">
        <f>(INDEX(Models!$BJ176:$BT176,,AH176)*(1-AF176)+INDEX(Models!$BJ176:$BT176,,AH176+1)*AF176-ERP_i)*AE176*Ramure*Pc/MaxiM</f>
        <v>0</v>
      </c>
      <c r="AE176" s="305">
        <f t="shared" si="65"/>
        <v>0.7</v>
      </c>
      <c r="AF176" s="177">
        <f t="shared" si="66"/>
        <v>0.65292789138748575</v>
      </c>
      <c r="AG176" s="817">
        <f t="shared" si="74"/>
        <v>-1</v>
      </c>
      <c r="AH176" s="176">
        <f t="shared" si="67"/>
        <v>5</v>
      </c>
      <c r="AI176" s="225">
        <f t="shared" si="68"/>
        <v>-0.34707210861251425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44724</v>
      </c>
      <c r="B177" s="1106">
        <v>28.343</v>
      </c>
      <c r="C177" s="846"/>
      <c r="D177" s="393">
        <f t="shared" si="50"/>
        <v>29.299276932457158</v>
      </c>
      <c r="E177" s="385">
        <f t="shared" si="75"/>
        <v>31.775314722678644</v>
      </c>
      <c r="F177" s="385">
        <f t="shared" si="51"/>
        <v>31.775314722678644</v>
      </c>
      <c r="G177" s="110">
        <f t="shared" si="76"/>
        <v>0.73309191471387924</v>
      </c>
      <c r="H177" s="414" t="b">
        <f>Wh_hp&gt;='2021'!Maxi_hp</f>
        <v>0</v>
      </c>
      <c r="I177" s="380">
        <f>IF(H177,Wh_hp,'2021'!Maxi_hp)</f>
        <v>42.346993291813639</v>
      </c>
      <c r="J177" s="85">
        <f>IF(H177,An,'2021'!An_max)</f>
        <v>2019</v>
      </c>
      <c r="K177" s="197">
        <f t="shared" si="52"/>
        <v>44724</v>
      </c>
      <c r="L177" s="147">
        <f>IF(t&lt;Tvie,1-EXP((T0-t)*PertePVj)+'2021'!Pspv,1-EXP((T0-t)*PertePVj)+Pspv)</f>
        <v>3.2638243416779122E-2</v>
      </c>
      <c r="M177" s="850"/>
      <c r="N177" s="850"/>
      <c r="O177" s="48">
        <f>IF(t&lt;Tnet,'2021'!Resal+('2021'!Salim-'2021'!Resal)*(1-EXP(('2021'!Tnet-t)/('2021'!Tau_j))),Resal+(Salim-Resal)*(1-EXP((Tnet-t)/(Tau_j))))*Salcycl</f>
        <v>7.7923312855632948E-2</v>
      </c>
      <c r="P177" s="339">
        <f>(INDEX(Models!$BJ177:$BT177,,T177)*(1-R177)+INDEX(Models!$BJ177:$BT177,,T177+1)*R177-ERP_i)*Q177*Ramure*Pc/MaxiM</f>
        <v>0</v>
      </c>
      <c r="Q177" s="305">
        <f t="shared" si="53"/>
        <v>0.7</v>
      </c>
      <c r="R177" s="177">
        <f t="shared" si="54"/>
        <v>0.65601235681004444</v>
      </c>
      <c r="S177" s="817">
        <f t="shared" si="55"/>
        <v>-1</v>
      </c>
      <c r="T177" s="176">
        <f t="shared" si="56"/>
        <v>5</v>
      </c>
      <c r="U177" s="251">
        <f t="shared" si="57"/>
        <v>-0.34398764318995562</v>
      </c>
      <c r="V177" s="383">
        <f t="shared" si="58"/>
        <v>38.662273353624528</v>
      </c>
      <c r="W177" s="402">
        <f t="shared" si="59"/>
        <v>0</v>
      </c>
      <c r="X177" s="157">
        <f t="shared" si="60"/>
        <v>44724</v>
      </c>
      <c r="Y177" s="385">
        <f t="shared" si="61"/>
        <v>26.688049387988968</v>
      </c>
      <c r="Z177" s="385">
        <f t="shared" si="62"/>
        <v>27.588489214472094</v>
      </c>
      <c r="AA177" s="386">
        <f t="shared" si="63"/>
        <v>31.775314722678644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0.13176346307652254</v>
      </c>
      <c r="AD177" s="231">
        <f>(INDEX(Models!$BJ177:$BT177,,AH177)*(1-AF177)+INDEX(Models!$BJ177:$BT177,,AH177+1)*AF177-ERP_i)*AE177*Ramure*Pc/MaxiM</f>
        <v>0</v>
      </c>
      <c r="AE177" s="305">
        <f t="shared" si="65"/>
        <v>0.7</v>
      </c>
      <c r="AF177" s="177">
        <f t="shared" si="66"/>
        <v>0.65601235681004444</v>
      </c>
      <c r="AG177" s="817">
        <f t="shared" si="74"/>
        <v>-1</v>
      </c>
      <c r="AH177" s="176">
        <f t="shared" si="67"/>
        <v>5</v>
      </c>
      <c r="AI177" s="225">
        <f t="shared" si="68"/>
        <v>-0.34398764318995562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44725</v>
      </c>
      <c r="B178" s="1106">
        <v>34.493000000000002</v>
      </c>
      <c r="C178" s="846"/>
      <c r="D178" s="393">
        <f t="shared" si="50"/>
        <v>35.657555477079612</v>
      </c>
      <c r="E178" s="385">
        <f t="shared" si="75"/>
        <v>38.677194364786089</v>
      </c>
      <c r="F178" s="385">
        <f t="shared" si="51"/>
        <v>38.677194364786089</v>
      </c>
      <c r="G178" s="110">
        <f t="shared" si="76"/>
        <v>0.89288931637677627</v>
      </c>
      <c r="H178" s="414" t="b">
        <f>Wh_hp&gt;='2021'!Maxi_hp</f>
        <v>0</v>
      </c>
      <c r="I178" s="380">
        <f>IF(H178,Wh_hp,'2021'!Maxi_hp)</f>
        <v>42.331938879997239</v>
      </c>
      <c r="J178" s="85">
        <f>IF(H178,An,'2021'!An_max)</f>
        <v>2019</v>
      </c>
      <c r="K178" s="197">
        <f t="shared" si="52"/>
        <v>44725</v>
      </c>
      <c r="L178" s="147">
        <f>IF(t&lt;Tvie,1-EXP((T0-t)*PertePVj)+'2021'!Pspv,1-EXP((T0-t)*PertePVj)+Pspv)</f>
        <v>3.2659431121916827E-2</v>
      </c>
      <c r="M178" s="850"/>
      <c r="N178" s="850"/>
      <c r="O178" s="48">
        <f>IF(t&lt;Tnet,'2021'!Resal+('2021'!Salim-'2021'!Resal)*(1-EXP(('2021'!Tnet-t)/('2021'!Tau_j))),Resal+(Salim-Resal)*(1-EXP((Tnet-t)/(Tau_j))))*Salcycl</f>
        <v>7.8072852421160396E-2</v>
      </c>
      <c r="P178" s="339">
        <f>(INDEX(Models!$BJ178:$BT178,,T178)*(1-R178)+INDEX(Models!$BJ178:$BT178,,T178+1)*R178-ERP_i)*Q178*Ramure*Pc/MaxiM</f>
        <v>0</v>
      </c>
      <c r="Q178" s="305">
        <f t="shared" si="53"/>
        <v>0.7</v>
      </c>
      <c r="R178" s="177">
        <f t="shared" si="54"/>
        <v>0.65909162101690699</v>
      </c>
      <c r="S178" s="817">
        <f t="shared" si="55"/>
        <v>-1</v>
      </c>
      <c r="T178" s="176">
        <f t="shared" si="56"/>
        <v>5</v>
      </c>
      <c r="U178" s="251">
        <f t="shared" si="57"/>
        <v>-0.34090837898309301</v>
      </c>
      <c r="V178" s="383">
        <f t="shared" si="58"/>
        <v>38.63076796569581</v>
      </c>
      <c r="W178" s="402">
        <f t="shared" si="59"/>
        <v>0</v>
      </c>
      <c r="X178" s="157">
        <f t="shared" si="60"/>
        <v>44725</v>
      </c>
      <c r="Y178" s="385">
        <f t="shared" si="61"/>
        <v>32.480277388280058</v>
      </c>
      <c r="Z178" s="385">
        <f t="shared" si="62"/>
        <v>33.576879160511716</v>
      </c>
      <c r="AA178" s="386">
        <f t="shared" si="63"/>
        <v>38.677194364786089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0.13186879989718162</v>
      </c>
      <c r="AD178" s="231">
        <f>(INDEX(Models!$BJ178:$BT178,,AH178)*(1-AF178)+INDEX(Models!$BJ178:$BT178,,AH178+1)*AF178-ERP_i)*AE178*Ramure*Pc/MaxiM</f>
        <v>0</v>
      </c>
      <c r="AE178" s="305">
        <f t="shared" si="65"/>
        <v>0.7</v>
      </c>
      <c r="AF178" s="177">
        <f t="shared" si="66"/>
        <v>0.65909162101690699</v>
      </c>
      <c r="AG178" s="817">
        <f t="shared" si="74"/>
        <v>-1</v>
      </c>
      <c r="AH178" s="176">
        <f t="shared" si="67"/>
        <v>5</v>
      </c>
      <c r="AI178" s="225">
        <f t="shared" si="68"/>
        <v>-0.34090837898309301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44726</v>
      </c>
      <c r="B179" s="1106">
        <v>30.900000000000002</v>
      </c>
      <c r="C179" s="846"/>
      <c r="D179" s="393">
        <f t="shared" si="50"/>
        <v>31.9439479727031</v>
      </c>
      <c r="E179" s="385">
        <f t="shared" si="75"/>
        <v>34.654679976732957</v>
      </c>
      <c r="F179" s="385">
        <f t="shared" si="51"/>
        <v>34.654679976732957</v>
      </c>
      <c r="G179" s="110">
        <f t="shared" si="76"/>
        <v>0.8005652245803101</v>
      </c>
      <c r="H179" s="414" t="b">
        <f>Wh_hp&gt;='2021'!Maxi_hp</f>
        <v>0</v>
      </c>
      <c r="I179" s="380">
        <f>IF(H179,Wh_hp,'2021'!Maxi_hp)</f>
        <v>38.498125268407549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3.2680618362989411E-2</v>
      </c>
      <c r="M179" s="850"/>
      <c r="N179" s="850"/>
      <c r="O179" s="48">
        <f>IF(t&lt;Tnet,'2021'!Resal+('2021'!Salim-'2021'!Resal)*(1-EXP(('2021'!Tnet-t)/('2021'!Tau_j))),Resal+(Salim-Resal)*(1-EXP((Tnet-t)/(Tau_j))))*Salcycl</f>
        <v>7.8221238974067409E-2</v>
      </c>
      <c r="P179" s="339">
        <f>(INDEX(Models!$BJ179:$BT179,,T179)*(1-R179)+INDEX(Models!$BJ179:$BT179,,T179+1)*R179-ERP_i)*Q179*Ramure*Pc/MaxiM</f>
        <v>0</v>
      </c>
      <c r="Q179" s="305">
        <f t="shared" si="53"/>
        <v>0.7</v>
      </c>
      <c r="R179" s="177">
        <f t="shared" si="54"/>
        <v>0.66216310530090106</v>
      </c>
      <c r="S179" s="817">
        <f t="shared" si="55"/>
        <v>-1</v>
      </c>
      <c r="T179" s="176">
        <f t="shared" si="56"/>
        <v>5</v>
      </c>
      <c r="U179" s="251">
        <f t="shared" si="57"/>
        <v>-0.33783689469909894</v>
      </c>
      <c r="V179" s="383">
        <f t="shared" si="58"/>
        <v>38.597729518165217</v>
      </c>
      <c r="W179" s="402">
        <f t="shared" si="59"/>
        <v>0</v>
      </c>
      <c r="X179" s="157">
        <f t="shared" si="60"/>
        <v>44726</v>
      </c>
      <c r="Y179" s="385">
        <f t="shared" si="61"/>
        <v>29.098151508001607</v>
      </c>
      <c r="Z179" s="385">
        <f t="shared" si="62"/>
        <v>30.081224526648398</v>
      </c>
      <c r="AA179" s="386">
        <f t="shared" si="63"/>
        <v>34.654679976732957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0.13197223154723006</v>
      </c>
      <c r="AD179" s="231">
        <f>(INDEX(Models!$BJ179:$BT179,,AH179)*(1-AF179)+INDEX(Models!$BJ179:$BT179,,AH179+1)*AF179-ERP_i)*AE179*Ramure*Pc/MaxiM</f>
        <v>0</v>
      </c>
      <c r="AE179" s="305">
        <f t="shared" si="65"/>
        <v>0.7</v>
      </c>
      <c r="AF179" s="177">
        <f t="shared" si="66"/>
        <v>0.66216310530090106</v>
      </c>
      <c r="AG179" s="817">
        <f t="shared" si="74"/>
        <v>-1</v>
      </c>
      <c r="AH179" s="176">
        <f t="shared" si="67"/>
        <v>5</v>
      </c>
      <c r="AI179" s="225">
        <f t="shared" si="68"/>
        <v>-0.33783689469909894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44727</v>
      </c>
      <c r="B180" s="1106">
        <v>35.021999999999998</v>
      </c>
      <c r="C180" s="846"/>
      <c r="D180" s="393">
        <f t="shared" si="50"/>
        <v>36.20600160953375</v>
      </c>
      <c r="E180" s="385">
        <f t="shared" si="75"/>
        <v>39.284680421129103</v>
      </c>
      <c r="F180" s="385">
        <f t="shared" si="51"/>
        <v>39.284680421129103</v>
      </c>
      <c r="G180" s="110">
        <f t="shared" si="76"/>
        <v>0.90817020478727073</v>
      </c>
      <c r="H180" s="414" t="b">
        <f>Wh_hp&gt;='2021'!Maxi_hp</f>
        <v>1</v>
      </c>
      <c r="I180" s="380">
        <f>IF(H180,Wh_hp,'2021'!Maxi_hp)</f>
        <v>39.284680421129103</v>
      </c>
      <c r="J180" s="85">
        <f>IF(H180,An,'2021'!An_max)</f>
        <v>2022</v>
      </c>
      <c r="K180" s="197">
        <f t="shared" si="52"/>
        <v>44727</v>
      </c>
      <c r="L180" s="147">
        <f>IF(t&lt;Tvie,1-EXP((T0-t)*PertePVj)+'2021'!Pspv,1-EXP((T0-t)*PertePVj)+Pspv)</f>
        <v>3.2701805140006979E-2</v>
      </c>
      <c r="M180" s="850"/>
      <c r="N180" s="850"/>
      <c r="O180" s="48">
        <f>IF(t&lt;Tnet,'2021'!Resal+('2021'!Salim-'2021'!Resal)*(1-EXP(('2021'!Tnet-t)/('2021'!Tau_j))),Resal+(Salim-Resal)*(1-EXP((Tnet-t)/(Tau_j))))*Salcycl</f>
        <v>7.8368432136703775E-2</v>
      </c>
      <c r="P180" s="339">
        <f>(INDEX(Models!$BJ180:$BT180,,T180)*(1-R180)+INDEX(Models!$BJ180:$BT180,,T180+1)*R180-ERP_i)*Q180*Ramure*Pc/MaxiM</f>
        <v>0</v>
      </c>
      <c r="Q180" s="305">
        <f t="shared" si="53"/>
        <v>0.7</v>
      </c>
      <c r="R180" s="177">
        <f t="shared" si="54"/>
        <v>0.66522425706035326</v>
      </c>
      <c r="S180" s="817">
        <f t="shared" si="55"/>
        <v>-1</v>
      </c>
      <c r="T180" s="176">
        <f t="shared" si="56"/>
        <v>5</v>
      </c>
      <c r="U180" s="251">
        <f t="shared" si="57"/>
        <v>-0.33477574293964679</v>
      </c>
      <c r="V180" s="383">
        <f t="shared" si="58"/>
        <v>38.563255891227499</v>
      </c>
      <c r="W180" s="402">
        <f t="shared" si="59"/>
        <v>0</v>
      </c>
      <c r="X180" s="157">
        <f t="shared" si="60"/>
        <v>44727</v>
      </c>
      <c r="Y180" s="385">
        <f t="shared" si="61"/>
        <v>32.981199935248611</v>
      </c>
      <c r="Z180" s="385">
        <f t="shared" si="62"/>
        <v>34.096207467876354</v>
      </c>
      <c r="AA180" s="386">
        <f t="shared" si="63"/>
        <v>39.284680421129103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0.13207369635269209</v>
      </c>
      <c r="AD180" s="231">
        <f>(INDEX(Models!$BJ180:$BT180,,AH180)*(1-AF180)+INDEX(Models!$BJ180:$BT180,,AH180+1)*AF180-ERP_i)*AE180*Ramure*Pc/MaxiM</f>
        <v>0</v>
      </c>
      <c r="AE180" s="305">
        <f t="shared" si="65"/>
        <v>0.7</v>
      </c>
      <c r="AF180" s="177">
        <f t="shared" si="66"/>
        <v>0.66522425706035326</v>
      </c>
      <c r="AG180" s="817">
        <f t="shared" si="74"/>
        <v>-1</v>
      </c>
      <c r="AH180" s="176">
        <f t="shared" si="67"/>
        <v>5</v>
      </c>
      <c r="AI180" s="225">
        <f t="shared" si="68"/>
        <v>-0.33477574293964679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44728</v>
      </c>
      <c r="B181" s="1106">
        <v>33.044000000000004</v>
      </c>
      <c r="C181" s="846"/>
      <c r="D181" s="393">
        <f t="shared" si="50"/>
        <v>34.161878870290238</v>
      </c>
      <c r="E181" s="385">
        <f t="shared" si="75"/>
        <v>37.072612616521525</v>
      </c>
      <c r="F181" s="385">
        <f t="shared" si="51"/>
        <v>37.072612616521525</v>
      </c>
      <c r="G181" s="110">
        <f t="shared" si="76"/>
        <v>0.85767432083089712</v>
      </c>
      <c r="H181" s="414" t="b">
        <f>Wh_hp&gt;='2021'!Maxi_hp</f>
        <v>0</v>
      </c>
      <c r="I181" s="380">
        <f>IF(H181,Wh_hp,'2021'!Maxi_hp)</f>
        <v>44.363595434270344</v>
      </c>
      <c r="J181" s="85">
        <f>IF(H181,An,'2021'!An_max)</f>
        <v>2019</v>
      </c>
      <c r="K181" s="197">
        <f t="shared" si="52"/>
        <v>44728</v>
      </c>
      <c r="L181" s="147">
        <f>IF(t&lt;Tvie,1-EXP((T0-t)*PertePVj)+'2021'!Pspv,1-EXP((T0-t)*PertePVj)+Pspv)</f>
        <v>3.2722991452979744E-2</v>
      </c>
      <c r="M181" s="850"/>
      <c r="N181" s="850"/>
      <c r="O181" s="48">
        <f>IF(t&lt;Tnet,'2021'!Resal+('2021'!Salim-'2021'!Resal)*(1-EXP(('2021'!Tnet-t)/('2021'!Tau_j))),Resal+(Salim-Resal)*(1-EXP((Tnet-t)/(Tau_j))))*Salcycl</f>
        <v>7.8514394880659505E-2</v>
      </c>
      <c r="P181" s="339">
        <f>(INDEX(Models!$BJ181:$BT181,,T181)*(1-R181)+INDEX(Models!$BJ181:$BT181,,T181+1)*R181-ERP_i)*Q181*Ramure*Pc/MaxiM</f>
        <v>0</v>
      </c>
      <c r="Q181" s="305">
        <f t="shared" si="53"/>
        <v>0.7</v>
      </c>
      <c r="R181" s="177">
        <f t="shared" si="54"/>
        <v>0.66827255821103482</v>
      </c>
      <c r="S181" s="817">
        <f t="shared" si="55"/>
        <v>-1</v>
      </c>
      <c r="T181" s="176">
        <f t="shared" si="56"/>
        <v>5</v>
      </c>
      <c r="U181" s="251">
        <f t="shared" si="57"/>
        <v>-0.33172744178896518</v>
      </c>
      <c r="V181" s="383">
        <f t="shared" si="58"/>
        <v>38.527444739149537</v>
      </c>
      <c r="W181" s="402">
        <f t="shared" si="59"/>
        <v>0</v>
      </c>
      <c r="X181" s="157">
        <f t="shared" si="60"/>
        <v>44728</v>
      </c>
      <c r="Y181" s="385">
        <f t="shared" si="61"/>
        <v>31.119825042513543</v>
      </c>
      <c r="Z181" s="385">
        <f t="shared" si="62"/>
        <v>32.172609053594371</v>
      </c>
      <c r="AA181" s="386">
        <f t="shared" si="63"/>
        <v>37.072612616521525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0.1321731385271577</v>
      </c>
      <c r="AD181" s="231">
        <f>(INDEX(Models!$BJ181:$BT181,,AH181)*(1-AF181)+INDEX(Models!$BJ181:$BT181,,AH181+1)*AF181-ERP_i)*AE181*Ramure*Pc/MaxiM</f>
        <v>0</v>
      </c>
      <c r="AE181" s="305">
        <f t="shared" si="65"/>
        <v>0.7</v>
      </c>
      <c r="AF181" s="177">
        <f t="shared" si="66"/>
        <v>0.66827255821103482</v>
      </c>
      <c r="AG181" s="817">
        <f t="shared" si="74"/>
        <v>-1</v>
      </c>
      <c r="AH181" s="176">
        <f t="shared" si="67"/>
        <v>5</v>
      </c>
      <c r="AI181" s="225">
        <f t="shared" si="68"/>
        <v>-0.33172744178896518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44729</v>
      </c>
      <c r="B182" s="1106">
        <v>33.646000000000001</v>
      </c>
      <c r="C182" s="846"/>
      <c r="D182" s="393">
        <f t="shared" si="50"/>
        <v>34.785006417585784</v>
      </c>
      <c r="E182" s="385">
        <f t="shared" si="75"/>
        <v>37.754761758737096</v>
      </c>
      <c r="F182" s="385">
        <f t="shared" si="51"/>
        <v>37.754761758737096</v>
      </c>
      <c r="G182" s="110">
        <f t="shared" si="76"/>
        <v>0.8741401932440227</v>
      </c>
      <c r="H182" s="414" t="b">
        <f>Wh_hp&gt;='2021'!Maxi_hp</f>
        <v>0</v>
      </c>
      <c r="I182" s="380">
        <f>IF(H182,Wh_hp,'2021'!Maxi_hp)</f>
        <v>42.925961898835723</v>
      </c>
      <c r="J182" s="85">
        <f>IF(H182,An,'2021'!An_max)</f>
        <v>2019</v>
      </c>
      <c r="K182" s="197">
        <f t="shared" si="52"/>
        <v>44729</v>
      </c>
      <c r="L182" s="147">
        <f>IF(t&lt;Tvie,1-EXP((T0-t)*PertePVj)+'2021'!Pspv,1-EXP((T0-t)*PertePVj)+Pspv)</f>
        <v>3.2744177301917921E-2</v>
      </c>
      <c r="M182" s="850"/>
      <c r="N182" s="850"/>
      <c r="O182" s="48">
        <f>IF(t&lt;Tnet,'2021'!Resal+('2021'!Salim-'2021'!Resal)*(1-EXP(('2021'!Tnet-t)/('2021'!Tau_j))),Resal+(Salim-Resal)*(1-EXP((Tnet-t)/(Tau_j))))*Salcycl</f>
        <v>7.8659093656287246E-2</v>
      </c>
      <c r="P182" s="339">
        <f>(INDEX(Models!$BJ182:$BT182,,T182)*(1-R182)+INDEX(Models!$BJ182:$BT182,,T182+1)*R182-ERP_i)*Q182*Ramure*Pc/MaxiM</f>
        <v>0</v>
      </c>
      <c r="Q182" s="305">
        <f t="shared" si="53"/>
        <v>0.7</v>
      </c>
      <c r="R182" s="177">
        <f t="shared" si="54"/>
        <v>0.67130553335418919</v>
      </c>
      <c r="S182" s="817">
        <f t="shared" si="55"/>
        <v>-1</v>
      </c>
      <c r="T182" s="176">
        <f t="shared" si="56"/>
        <v>5</v>
      </c>
      <c r="U182" s="251">
        <f t="shared" si="57"/>
        <v>-0.32869446664581081</v>
      </c>
      <c r="V182" s="383">
        <f t="shared" si="58"/>
        <v>38.490393486125249</v>
      </c>
      <c r="W182" s="402">
        <f t="shared" si="59"/>
        <v>0</v>
      </c>
      <c r="X182" s="157">
        <f t="shared" si="60"/>
        <v>44729</v>
      </c>
      <c r="Y182" s="385">
        <f t="shared" si="61"/>
        <v>31.688190847531885</v>
      </c>
      <c r="Z182" s="385">
        <f t="shared" si="62"/>
        <v>32.760920228053251</v>
      </c>
      <c r="AA182" s="386">
        <f t="shared" si="63"/>
        <v>37.754761758737096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0.1322705083558946</v>
      </c>
      <c r="AD182" s="231">
        <f>(INDEX(Models!$BJ182:$BT182,,AH182)*(1-AF182)+INDEX(Models!$BJ182:$BT182,,AH182+1)*AF182-ERP_i)*AE182*Ramure*Pc/MaxiM</f>
        <v>0</v>
      </c>
      <c r="AE182" s="305">
        <f t="shared" si="65"/>
        <v>0.7</v>
      </c>
      <c r="AF182" s="177">
        <f t="shared" si="66"/>
        <v>0.67130553335418919</v>
      </c>
      <c r="AG182" s="817">
        <f t="shared" si="74"/>
        <v>-1</v>
      </c>
      <c r="AH182" s="176">
        <f t="shared" si="67"/>
        <v>5</v>
      </c>
      <c r="AI182" s="225">
        <f t="shared" si="68"/>
        <v>-0.32869446664581081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44730</v>
      </c>
      <c r="B183" s="1106">
        <v>34.884</v>
      </c>
      <c r="C183" s="846"/>
      <c r="D183" s="393">
        <f t="shared" si="50"/>
        <v>36.065705935534403</v>
      </c>
      <c r="E183" s="385">
        <f t="shared" si="75"/>
        <v>39.150894218603867</v>
      </c>
      <c r="F183" s="385">
        <f t="shared" si="51"/>
        <v>39.150894218603867</v>
      </c>
      <c r="G183" s="110">
        <f t="shared" si="76"/>
        <v>0.90720428516913176</v>
      </c>
      <c r="H183" s="414" t="b">
        <f>Wh_hp&gt;='2021'!Maxi_hp</f>
        <v>0</v>
      </c>
      <c r="I183" s="380">
        <f>IF(H183,Wh_hp,'2021'!Maxi_hp)</f>
        <v>41.455412731300569</v>
      </c>
      <c r="J183" s="85">
        <f>IF(H183,An,'2021'!An_max)</f>
        <v>2019</v>
      </c>
      <c r="K183" s="197">
        <f t="shared" si="52"/>
        <v>44730</v>
      </c>
      <c r="L183" s="147">
        <f>IF(t&lt;Tvie,1-EXP((T0-t)*PertePVj)+'2021'!Pspv,1-EXP((T0-t)*PertePVj)+Pspv)</f>
        <v>3.2765362686831723E-2</v>
      </c>
      <c r="M183" s="850"/>
      <c r="N183" s="850"/>
      <c r="O183" s="48">
        <f>IF(t&lt;Tnet,'2021'!Resal+('2021'!Salim-'2021'!Resal)*(1-EXP(('2021'!Tnet-t)/('2021'!Tau_j))),Resal+(Salim-Resal)*(1-EXP((Tnet-t)/(Tau_j))))*Salcycl</f>
        <v>7.8802498503429727E-2</v>
      </c>
      <c r="P183" s="339">
        <f>(INDEX(Models!$BJ183:$BT183,,T183)*(1-R183)+INDEX(Models!$BJ183:$BT183,,T183+1)*R183-ERP_i)*Q183*Ramure*Pc/MaxiM</f>
        <v>0</v>
      </c>
      <c r="Q183" s="305">
        <f t="shared" si="53"/>
        <v>0.7</v>
      </c>
      <c r="R183" s="177">
        <f t="shared" si="54"/>
        <v>0.67432075764525079</v>
      </c>
      <c r="S183" s="817">
        <f t="shared" si="55"/>
        <v>-1</v>
      </c>
      <c r="T183" s="176">
        <f t="shared" si="56"/>
        <v>5</v>
      </c>
      <c r="U183" s="251">
        <f t="shared" si="57"/>
        <v>-0.32567924235474915</v>
      </c>
      <c r="V183" s="383">
        <f t="shared" si="58"/>
        <v>38.452199322996485</v>
      </c>
      <c r="W183" s="402">
        <f t="shared" si="59"/>
        <v>0</v>
      </c>
      <c r="X183" s="157">
        <f t="shared" si="60"/>
        <v>44730</v>
      </c>
      <c r="Y183" s="385">
        <f t="shared" si="61"/>
        <v>32.855660916474335</v>
      </c>
      <c r="Z183" s="385">
        <f t="shared" si="62"/>
        <v>33.968656258777493</v>
      </c>
      <c r="AA183" s="386">
        <f t="shared" si="63"/>
        <v>39.150894218603867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0.13236576234736061</v>
      </c>
      <c r="AD183" s="231">
        <f>(INDEX(Models!$BJ183:$BT183,,AH183)*(1-AF183)+INDEX(Models!$BJ183:$BT183,,AH183+1)*AF183-ERP_i)*AE183*Ramure*Pc/MaxiM</f>
        <v>0</v>
      </c>
      <c r="AE183" s="305">
        <f t="shared" si="65"/>
        <v>0.7</v>
      </c>
      <c r="AF183" s="177">
        <f t="shared" si="66"/>
        <v>0.67432075764525079</v>
      </c>
      <c r="AG183" s="817">
        <f t="shared" si="74"/>
        <v>-1</v>
      </c>
      <c r="AH183" s="176">
        <f t="shared" si="67"/>
        <v>5</v>
      </c>
      <c r="AI183" s="225">
        <f t="shared" si="68"/>
        <v>-0.32567924235474915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44731</v>
      </c>
      <c r="B184" s="1106">
        <v>35.716999999999999</v>
      </c>
      <c r="C184" s="846"/>
      <c r="D184" s="393">
        <f t="shared" si="50"/>
        <v>36.927732871848434</v>
      </c>
      <c r="E184" s="385">
        <f t="shared" si="75"/>
        <v>40.09284587657087</v>
      </c>
      <c r="F184" s="385">
        <f t="shared" si="51"/>
        <v>40.09284587657087</v>
      </c>
      <c r="G184" s="110">
        <f t="shared" si="76"/>
        <v>0.92981641456178798</v>
      </c>
      <c r="H184" s="414" t="b">
        <f>Wh_hp&gt;='2021'!Maxi_hp</f>
        <v>1</v>
      </c>
      <c r="I184" s="380">
        <f>IF(H184,Wh_hp,'2021'!Maxi_hp)</f>
        <v>40.09284587657087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3.2786547607731142E-2</v>
      </c>
      <c r="M184" s="850"/>
      <c r="N184" s="850"/>
      <c r="O184" s="48">
        <f>IF(t&lt;Tnet,'2021'!Resal+('2021'!Salim-'2021'!Resal)*(1-EXP(('2021'!Tnet-t)/('2021'!Tau_j))),Resal+(Salim-Resal)*(1-EXP((Tnet-t)/(Tau_j))))*Salcycl</f>
        <v>7.894458314250119E-2</v>
      </c>
      <c r="P184" s="339">
        <f>(INDEX(Models!$BJ184:$BT184,,T184)*(1-R184)+INDEX(Models!$BJ184:$BT184,,T184+1)*R184-ERP_i)*Q184*Ramure*Pc/MaxiM</f>
        <v>0</v>
      </c>
      <c r="Q184" s="305">
        <f t="shared" si="53"/>
        <v>0.7</v>
      </c>
      <c r="R184" s="177">
        <f t="shared" si="54"/>
        <v>0.67731586431144886</v>
      </c>
      <c r="S184" s="817">
        <f t="shared" si="55"/>
        <v>-1</v>
      </c>
      <c r="T184" s="176">
        <f t="shared" si="56"/>
        <v>5</v>
      </c>
      <c r="U184" s="251">
        <f t="shared" si="57"/>
        <v>-0.32268413568855114</v>
      </c>
      <c r="V184" s="383">
        <f t="shared" si="58"/>
        <v>38.41295920424573</v>
      </c>
      <c r="W184" s="402">
        <f t="shared" si="59"/>
        <v>0</v>
      </c>
      <c r="X184" s="157">
        <f t="shared" si="60"/>
        <v>44731</v>
      </c>
      <c r="Y184" s="385">
        <f t="shared" si="61"/>
        <v>33.64180505383014</v>
      </c>
      <c r="Z184" s="385">
        <f t="shared" si="62"/>
        <v>34.782193083255599</v>
      </c>
      <c r="AA184" s="386">
        <f t="shared" si="63"/>
        <v>40.09284587657087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0.13245886335094681</v>
      </c>
      <c r="AD184" s="231">
        <f>(INDEX(Models!$BJ184:$BT184,,AH184)*(1-AF184)+INDEX(Models!$BJ184:$BT184,,AH184+1)*AF184-ERP_i)*AE184*Ramure*Pc/MaxiM</f>
        <v>0</v>
      </c>
      <c r="AE184" s="305">
        <f t="shared" si="65"/>
        <v>0.7</v>
      </c>
      <c r="AF184" s="177">
        <f t="shared" si="66"/>
        <v>0.67731586431144886</v>
      </c>
      <c r="AG184" s="817">
        <f t="shared" si="74"/>
        <v>-1</v>
      </c>
      <c r="AH184" s="176">
        <f t="shared" si="67"/>
        <v>5</v>
      </c>
      <c r="AI184" s="225">
        <f t="shared" si="68"/>
        <v>-0.32268413568855114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44732</v>
      </c>
      <c r="B185" s="1106">
        <v>20.074000000000002</v>
      </c>
      <c r="C185" s="846"/>
      <c r="D185" s="393">
        <f t="shared" si="50"/>
        <v>20.754921917284513</v>
      </c>
      <c r="E185" s="385">
        <f t="shared" si="75"/>
        <v>22.537290893212859</v>
      </c>
      <c r="F185" s="385">
        <f t="shared" si="51"/>
        <v>22.537290893212859</v>
      </c>
      <c r="G185" s="110">
        <f t="shared" si="76"/>
        <v>0.5231313788322729</v>
      </c>
      <c r="H185" s="414" t="b">
        <f>Wh_hp&gt;='2021'!Maxi_hp</f>
        <v>0</v>
      </c>
      <c r="I185" s="380">
        <f>IF(H185,Wh_hp,'2021'!Maxi_hp)</f>
        <v>39.022000068069346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3.2807732064626394E-2</v>
      </c>
      <c r="M185" s="850"/>
      <c r="N185" s="850"/>
      <c r="O185" s="48">
        <f>IF(t&lt;Tnet,'2021'!Resal+('2021'!Salim-'2021'!Resal)*(1-EXP(('2021'!Tnet-t)/('2021'!Tau_j))),Resal+(Salim-Resal)*(1-EXP((Tnet-t)/(Tau_j))))*Salcycl</f>
        <v>7.9085325045216953E-2</v>
      </c>
      <c r="P185" s="339">
        <f>(INDEX(Models!$BJ185:$BT185,,T185)*(1-R185)+INDEX(Models!$BJ185:$BT185,,T185+1)*R185-ERP_i)*Q185*Ramure*Pc/MaxiM</f>
        <v>0</v>
      </c>
      <c r="Q185" s="305">
        <f t="shared" si="53"/>
        <v>0.7</v>
      </c>
      <c r="R185" s="177">
        <f t="shared" si="54"/>
        <v>0.68028855177062619</v>
      </c>
      <c r="S185" s="817">
        <f t="shared" si="55"/>
        <v>-1</v>
      </c>
      <c r="T185" s="176">
        <f t="shared" si="56"/>
        <v>5</v>
      </c>
      <c r="U185" s="251">
        <f t="shared" si="57"/>
        <v>-0.31971144822937381</v>
      </c>
      <c r="V185" s="383">
        <f t="shared" si="58"/>
        <v>38.372769847622067</v>
      </c>
      <c r="W185" s="402">
        <f t="shared" si="59"/>
        <v>0</v>
      </c>
      <c r="X185" s="157">
        <f t="shared" si="60"/>
        <v>44732</v>
      </c>
      <c r="Y185" s="385">
        <f t="shared" si="61"/>
        <v>18.908587491329733</v>
      </c>
      <c r="Z185" s="385">
        <f t="shared" si="62"/>
        <v>19.549977929096904</v>
      </c>
      <c r="AA185" s="386">
        <f t="shared" si="63"/>
        <v>22.537290893212859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0.13254978064003195</v>
      </c>
      <c r="AD185" s="231">
        <f>(INDEX(Models!$BJ185:$BT185,,AH185)*(1-AF185)+INDEX(Models!$BJ185:$BT185,,AH185+1)*AF185-ERP_i)*AE185*Ramure*Pc/MaxiM</f>
        <v>0</v>
      </c>
      <c r="AE185" s="305">
        <f t="shared" si="65"/>
        <v>0.7</v>
      </c>
      <c r="AF185" s="177">
        <f t="shared" si="66"/>
        <v>0.68028855177062619</v>
      </c>
      <c r="AG185" s="817">
        <f t="shared" si="74"/>
        <v>-1</v>
      </c>
      <c r="AH185" s="176">
        <f t="shared" si="67"/>
        <v>5</v>
      </c>
      <c r="AI185" s="225">
        <f t="shared" si="68"/>
        <v>-0.31971144822937381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44733</v>
      </c>
      <c r="B186" s="1106">
        <v>14.05</v>
      </c>
      <c r="C186" s="846"/>
      <c r="D186" s="393">
        <f t="shared" si="50"/>
        <v>14.526902461483949</v>
      </c>
      <c r="E186" s="385">
        <f t="shared" si="75"/>
        <v>15.776816067949103</v>
      </c>
      <c r="F186" s="385">
        <f t="shared" si="51"/>
        <v>15.776816067949103</v>
      </c>
      <c r="G186" s="110">
        <f t="shared" si="76"/>
        <v>0.36653709161787346</v>
      </c>
      <c r="H186" s="414" t="b">
        <f>Wh_hp&gt;='2021'!Maxi_hp</f>
        <v>0</v>
      </c>
      <c r="I186" s="380">
        <f>IF(H186,Wh_hp,'2021'!Maxi_hp)</f>
        <v>35.180212507104621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3.2828916057527691E-2</v>
      </c>
      <c r="M186" s="850"/>
      <c r="N186" s="850"/>
      <c r="O186" s="48">
        <f>IF(t&lt;Tnet,'2021'!Resal+('2021'!Salim-'2021'!Resal)*(1-EXP(('2021'!Tnet-t)/('2021'!Tau_j))),Resal+(Salim-Resal)*(1-EXP((Tnet-t)/(Tau_j))))*Salcycl</f>
        <v>7.9224705484421273E-2</v>
      </c>
      <c r="P186" s="339">
        <f>(INDEX(Models!$BJ186:$BT186,,T186)*(1-R186)+INDEX(Models!$BJ186:$BT186,,T186+1)*R186-ERP_i)*Q186*Ramure*Pc/MaxiM</f>
        <v>0</v>
      </c>
      <c r="Q186" s="305">
        <f t="shared" si="53"/>
        <v>0.7</v>
      </c>
      <c r="R186" s="177">
        <f t="shared" si="54"/>
        <v>0.6832365903082479</v>
      </c>
      <c r="S186" s="817">
        <f t="shared" si="55"/>
        <v>-1</v>
      </c>
      <c r="T186" s="176">
        <f t="shared" si="56"/>
        <v>5</v>
      </c>
      <c r="U186" s="251">
        <f t="shared" si="57"/>
        <v>-0.3167634096917521</v>
      </c>
      <c r="V186" s="383">
        <f t="shared" si="58"/>
        <v>38.331727733158232</v>
      </c>
      <c r="W186" s="402">
        <f t="shared" si="59"/>
        <v>0</v>
      </c>
      <c r="X186" s="157">
        <f t="shared" si="60"/>
        <v>44733</v>
      </c>
      <c r="Y186" s="385">
        <f t="shared" si="61"/>
        <v>13.234965456450004</v>
      </c>
      <c r="Z186" s="385">
        <f t="shared" si="62"/>
        <v>13.684203008324456</v>
      </c>
      <c r="AA186" s="386">
        <f t="shared" si="63"/>
        <v>15.776816067949103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0.13263848995969663</v>
      </c>
      <c r="AD186" s="231">
        <f>(INDEX(Models!$BJ186:$BT186,,AH186)*(1-AF186)+INDEX(Models!$BJ186:$BT186,,AH186+1)*AF186-ERP_i)*AE186*Ramure*Pc/MaxiM</f>
        <v>0</v>
      </c>
      <c r="AE186" s="305">
        <f t="shared" si="65"/>
        <v>0.7</v>
      </c>
      <c r="AF186" s="177">
        <f t="shared" si="66"/>
        <v>0.6832365903082479</v>
      </c>
      <c r="AG186" s="817">
        <f t="shared" si="74"/>
        <v>-1</v>
      </c>
      <c r="AH186" s="176">
        <f t="shared" si="67"/>
        <v>5</v>
      </c>
      <c r="AI186" s="225">
        <f t="shared" si="68"/>
        <v>-0.3167634096917521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44734</v>
      </c>
      <c r="B187" s="1106">
        <v>29.315000000000001</v>
      </c>
      <c r="C187" s="846"/>
      <c r="D187" s="393">
        <f t="shared" si="50"/>
        <v>30.310709836670469</v>
      </c>
      <c r="E187" s="385">
        <f t="shared" si="75"/>
        <v>32.923617315425467</v>
      </c>
      <c r="F187" s="385">
        <f t="shared" si="51"/>
        <v>32.923617315425467</v>
      </c>
      <c r="G187" s="110">
        <f t="shared" si="76"/>
        <v>0.76560601404519057</v>
      </c>
      <c r="H187" s="414" t="b">
        <f>Wh_hp&gt;='2021'!Maxi_hp</f>
        <v>0</v>
      </c>
      <c r="I187" s="380">
        <f>IF(H187,Wh_hp,'2021'!Maxi_hp)</f>
        <v>43.398049823870345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3.2850099586445136E-2</v>
      </c>
      <c r="M187" s="850"/>
      <c r="N187" s="850"/>
      <c r="O187" s="48">
        <f>IF(t&lt;Tnet,'2021'!Resal+('2021'!Salim-'2021'!Resal)*(1-EXP(('2021'!Tnet-t)/('2021'!Tau_j))),Resal+(Salim-Resal)*(1-EXP((Tnet-t)/(Tau_j))))*Salcycl</f>
        <v>7.9362709562621231E-2</v>
      </c>
      <c r="P187" s="339">
        <f>(INDEX(Models!$BJ187:$BT187,,T187)*(1-R187)+INDEX(Models!$BJ187:$BT187,,T187+1)*R187-ERP_i)*Q187*Ramure*Pc/MaxiM</f>
        <v>0</v>
      </c>
      <c r="Q187" s="305">
        <f t="shared" si="53"/>
        <v>0.7</v>
      </c>
      <c r="R187" s="177">
        <f t="shared" si="54"/>
        <v>0.68615782827462024</v>
      </c>
      <c r="S187" s="817">
        <f t="shared" si="55"/>
        <v>-1</v>
      </c>
      <c r="T187" s="176">
        <f t="shared" si="56"/>
        <v>5</v>
      </c>
      <c r="U187" s="251">
        <f t="shared" si="57"/>
        <v>-0.31384217172537976</v>
      </c>
      <c r="V187" s="383">
        <f t="shared" si="58"/>
        <v>38.289929104801487</v>
      </c>
      <c r="W187" s="402">
        <f t="shared" si="59"/>
        <v>0</v>
      </c>
      <c r="X187" s="157">
        <f t="shared" si="60"/>
        <v>44734</v>
      </c>
      <c r="Y187" s="385">
        <f t="shared" si="61"/>
        <v>27.615834883935733</v>
      </c>
      <c r="Z187" s="385">
        <f t="shared" si="62"/>
        <v>28.553831078436918</v>
      </c>
      <c r="AA187" s="386">
        <f t="shared" si="63"/>
        <v>32.923617315425467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0.13272497353871268</v>
      </c>
      <c r="AD187" s="231">
        <f>(INDEX(Models!$BJ187:$BT187,,AH187)*(1-AF187)+INDEX(Models!$BJ187:$BT187,,AH187+1)*AF187-ERP_i)*AE187*Ramure*Pc/MaxiM</f>
        <v>0</v>
      </c>
      <c r="AE187" s="305">
        <f t="shared" si="65"/>
        <v>0.7</v>
      </c>
      <c r="AF187" s="177">
        <f t="shared" si="66"/>
        <v>0.68615782827462024</v>
      </c>
      <c r="AG187" s="817">
        <f t="shared" si="74"/>
        <v>-1</v>
      </c>
      <c r="AH187" s="176">
        <f t="shared" si="67"/>
        <v>5</v>
      </c>
      <c r="AI187" s="225">
        <f t="shared" si="68"/>
        <v>-0.31384217172537976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44735</v>
      </c>
      <c r="B188" s="1106">
        <v>26.337</v>
      </c>
      <c r="C188" s="846"/>
      <c r="D188" s="393">
        <f t="shared" si="50"/>
        <v>27.232155893584714</v>
      </c>
      <c r="E188" s="385">
        <f t="shared" si="75"/>
        <v>29.584069484411511</v>
      </c>
      <c r="F188" s="385">
        <f t="shared" si="51"/>
        <v>29.584069484411511</v>
      </c>
      <c r="G188" s="110">
        <f t="shared" si="76"/>
        <v>0.68859456638491046</v>
      </c>
      <c r="H188" s="414" t="b">
        <f>Wh_hp&gt;='2021'!Maxi_hp</f>
        <v>0</v>
      </c>
      <c r="I188" s="380">
        <f>IF(H188,Wh_hp,'2021'!Maxi_hp)</f>
        <v>43.321618231322205</v>
      </c>
      <c r="J188" s="85">
        <f>IF(H188,An,'2021'!An_max)</f>
        <v>2018</v>
      </c>
      <c r="K188" s="197">
        <f t="shared" si="52"/>
        <v>44735</v>
      </c>
      <c r="L188" s="147">
        <f>IF(t&lt;Tvie,1-EXP((T0-t)*PertePVj)+'2021'!Pspv,1-EXP((T0-t)*PertePVj)+Pspv)</f>
        <v>3.2871282651389055E-2</v>
      </c>
      <c r="M188" s="850"/>
      <c r="N188" s="850"/>
      <c r="O188" s="48">
        <f>IF(t&lt;Tnet,'2021'!Resal+('2021'!Salim-'2021'!Resal)*(1-EXP(('2021'!Tnet-t)/('2021'!Tau_j))),Resal+(Salim-Resal)*(1-EXP((Tnet-t)/(Tau_j))))*Salcycl</f>
        <v>7.9499326219000174E-2</v>
      </c>
      <c r="P188" s="339">
        <f>(INDEX(Models!$BJ188:$BT188,,T188)*(1-R188)+INDEX(Models!$BJ188:$BT188,,T188+1)*R188-ERP_i)*Q188*Ramure*Pc/MaxiM</f>
        <v>0</v>
      </c>
      <c r="Q188" s="305">
        <f t="shared" si="53"/>
        <v>0.7</v>
      </c>
      <c r="R188" s="177">
        <f t="shared" si="54"/>
        <v>0.68905019776972087</v>
      </c>
      <c r="S188" s="817">
        <f t="shared" si="55"/>
        <v>-1</v>
      </c>
      <c r="T188" s="176">
        <f t="shared" si="56"/>
        <v>5</v>
      </c>
      <c r="U188" s="251">
        <f t="shared" si="57"/>
        <v>-0.31094980223027913</v>
      </c>
      <c r="V188" s="383">
        <f t="shared" si="58"/>
        <v>38.247469970999092</v>
      </c>
      <c r="W188" s="402">
        <f t="shared" si="59"/>
        <v>0</v>
      </c>
      <c r="X188" s="157">
        <f t="shared" si="60"/>
        <v>44735</v>
      </c>
      <c r="Y188" s="385">
        <f t="shared" si="61"/>
        <v>24.811718471988168</v>
      </c>
      <c r="Z188" s="385">
        <f t="shared" si="62"/>
        <v>25.655032289817264</v>
      </c>
      <c r="AA188" s="386">
        <f t="shared" si="63"/>
        <v>29.584069484411511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0.13280922006570259</v>
      </c>
      <c r="AD188" s="231">
        <f>(INDEX(Models!$BJ188:$BT188,,AH188)*(1-AF188)+INDEX(Models!$BJ188:$BT188,,AH188+1)*AF188-ERP_i)*AE188*Ramure*Pc/MaxiM</f>
        <v>0</v>
      </c>
      <c r="AE188" s="305">
        <f t="shared" si="65"/>
        <v>0.7</v>
      </c>
      <c r="AF188" s="177">
        <f t="shared" si="66"/>
        <v>0.68905019776972087</v>
      </c>
      <c r="AG188" s="817">
        <f t="shared" si="74"/>
        <v>-1</v>
      </c>
      <c r="AH188" s="176">
        <f t="shared" si="67"/>
        <v>5</v>
      </c>
      <c r="AI188" s="225">
        <f t="shared" si="68"/>
        <v>-0.31094980223027913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44736</v>
      </c>
      <c r="B189" s="1106">
        <v>29.89</v>
      </c>
      <c r="C189" s="846"/>
      <c r="D189" s="393">
        <f t="shared" si="50"/>
        <v>30.90659407156814</v>
      </c>
      <c r="E189" s="385">
        <f t="shared" si="75"/>
        <v>33.58078468897488</v>
      </c>
      <c r="F189" s="385">
        <f t="shared" si="51"/>
        <v>33.58078468897488</v>
      </c>
      <c r="G189" s="110">
        <f t="shared" si="76"/>
        <v>0.7823696727717907</v>
      </c>
      <c r="H189" s="414" t="b">
        <f>Wh_hp&gt;='2021'!Maxi_hp</f>
        <v>0</v>
      </c>
      <c r="I189" s="380">
        <f>IF(H189,Wh_hp,'2021'!Maxi_hp)</f>
        <v>42.706685617077156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3.2892465252369329E-2</v>
      </c>
      <c r="M189" s="850"/>
      <c r="N189" s="850"/>
      <c r="O189" s="48">
        <f>IF(t&lt;Tnet,'2021'!Resal+('2021'!Salim-'2021'!Resal)*(1-EXP(('2021'!Tnet-t)/('2021'!Tau_j))),Resal+(Salim-Resal)*(1-EXP((Tnet-t)/(Tau_j))))*Salcycl</f>
        <v>7.9634548214852136E-2</v>
      </c>
      <c r="P189" s="339">
        <f>(INDEX(Models!$BJ189:$BT189,,T189)*(1-R189)+INDEX(Models!$BJ189:$BT189,,T189+1)*R189-ERP_i)*Q189*Ramure*Pc/MaxiM</f>
        <v>0</v>
      </c>
      <c r="Q189" s="305">
        <f t="shared" si="53"/>
        <v>0.7</v>
      </c>
      <c r="R189" s="177">
        <f t="shared" si="54"/>
        <v>0.69191171978865351</v>
      </c>
      <c r="S189" s="817">
        <f t="shared" si="55"/>
        <v>-1</v>
      </c>
      <c r="T189" s="176">
        <f t="shared" si="56"/>
        <v>5</v>
      </c>
      <c r="U189" s="251">
        <f t="shared" si="57"/>
        <v>-0.30808828021134649</v>
      </c>
      <c r="V189" s="383">
        <f t="shared" si="58"/>
        <v>38.204446108072254</v>
      </c>
      <c r="W189" s="402">
        <f t="shared" si="59"/>
        <v>0</v>
      </c>
      <c r="X189" s="157">
        <f t="shared" si="60"/>
        <v>44736</v>
      </c>
      <c r="Y189" s="385">
        <f t="shared" si="61"/>
        <v>28.16042393328598</v>
      </c>
      <c r="Z189" s="385">
        <f t="shared" si="62"/>
        <v>29.118193087632719</v>
      </c>
      <c r="AA189" s="386">
        <f t="shared" si="63"/>
        <v>33.58078468897488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0.13289122462964079</v>
      </c>
      <c r="AD189" s="231">
        <f>(INDEX(Models!$BJ189:$BT189,,AH189)*(1-AF189)+INDEX(Models!$BJ189:$BT189,,AH189+1)*AF189-ERP_i)*AE189*Ramure*Pc/MaxiM</f>
        <v>0</v>
      </c>
      <c r="AE189" s="305">
        <f t="shared" si="65"/>
        <v>0.7</v>
      </c>
      <c r="AF189" s="177">
        <f t="shared" si="66"/>
        <v>0.69191171978865351</v>
      </c>
      <c r="AG189" s="817">
        <f t="shared" si="74"/>
        <v>-1</v>
      </c>
      <c r="AH189" s="176">
        <f t="shared" si="67"/>
        <v>5</v>
      </c>
      <c r="AI189" s="225">
        <f t="shared" si="68"/>
        <v>-0.30808828021134649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44737</v>
      </c>
      <c r="B190" s="1106">
        <v>21.315999999999999</v>
      </c>
      <c r="C190" s="846"/>
      <c r="D190" s="393">
        <f t="shared" si="50"/>
        <v>22.04146500719245</v>
      </c>
      <c r="E190" s="385">
        <f t="shared" si="75"/>
        <v>23.952083735084258</v>
      </c>
      <c r="F190" s="385">
        <f t="shared" si="51"/>
        <v>23.952083735084258</v>
      </c>
      <c r="G190" s="110">
        <f t="shared" si="76"/>
        <v>0.55858143700897889</v>
      </c>
      <c r="H190" s="414" t="b">
        <f>Wh_hp&gt;='2021'!Maxi_hp</f>
        <v>0</v>
      </c>
      <c r="I190" s="380">
        <f>IF(H190,Wh_hp,'2021'!Maxi_hp)</f>
        <v>42.181442408546353</v>
      </c>
      <c r="J190" s="85">
        <f>IF(H190,An,'2021'!An_max)</f>
        <v>2018</v>
      </c>
      <c r="K190" s="197">
        <f t="shared" si="52"/>
        <v>44737</v>
      </c>
      <c r="L190" s="147">
        <f>IF(t&lt;Tvie,1-EXP((T0-t)*PertePVj)+'2021'!Pspv,1-EXP((T0-t)*PertePVj)+Pspv)</f>
        <v>3.2913647389396394E-2</v>
      </c>
      <c r="M190" s="850"/>
      <c r="N190" s="850"/>
      <c r="O190" s="48">
        <f>IF(t&lt;Tnet,'2021'!Resal+('2021'!Salim-'2021'!Resal)*(1-EXP(('2021'!Tnet-t)/('2021'!Tau_j))),Resal+(Salim-Resal)*(1-EXP((Tnet-t)/(Tau_j))))*Salcycl</f>
        <v>7.9768372097547155E-2</v>
      </c>
      <c r="P190" s="339">
        <f>(INDEX(Models!$BJ190:$BT190,,T190)*(1-R190)+INDEX(Models!$BJ190:$BT190,,T190+1)*R190-ERP_i)*Q190*Ramure*Pc/MaxiM</f>
        <v>0</v>
      </c>
      <c r="Q190" s="305">
        <f t="shared" si="53"/>
        <v>0.7</v>
      </c>
      <c r="R190" s="177">
        <f t="shared" si="54"/>
        <v>0.69474050880649707</v>
      </c>
      <c r="S190" s="817">
        <f t="shared" si="55"/>
        <v>-1</v>
      </c>
      <c r="T190" s="176">
        <f t="shared" si="56"/>
        <v>5</v>
      </c>
      <c r="U190" s="251">
        <f t="shared" si="57"/>
        <v>-0.30525949119350293</v>
      </c>
      <c r="V190" s="383">
        <f t="shared" si="58"/>
        <v>38.160953063782806</v>
      </c>
      <c r="W190" s="402">
        <f t="shared" si="59"/>
        <v>0</v>
      </c>
      <c r="X190" s="157">
        <f t="shared" si="60"/>
        <v>44737</v>
      </c>
      <c r="Y190" s="385">
        <f t="shared" si="61"/>
        <v>20.083628780063464</v>
      </c>
      <c r="Z190" s="385">
        <f t="shared" si="62"/>
        <v>20.767151481197789</v>
      </c>
      <c r="AA190" s="386">
        <f t="shared" si="63"/>
        <v>23.952083735084258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0.13297098862514761</v>
      </c>
      <c r="AD190" s="231">
        <f>(INDEX(Models!$BJ190:$BT190,,AH190)*(1-AF190)+INDEX(Models!$BJ190:$BT190,,AH190+1)*AF190-ERP_i)*AE190*Ramure*Pc/MaxiM</f>
        <v>0</v>
      </c>
      <c r="AE190" s="305">
        <f t="shared" si="65"/>
        <v>0.7</v>
      </c>
      <c r="AF190" s="177">
        <f t="shared" si="66"/>
        <v>0.69474050880649707</v>
      </c>
      <c r="AG190" s="817">
        <f t="shared" si="74"/>
        <v>-1</v>
      </c>
      <c r="AH190" s="176">
        <f t="shared" si="67"/>
        <v>5</v>
      </c>
      <c r="AI190" s="225">
        <f t="shared" si="68"/>
        <v>-0.30525949119350293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44738</v>
      </c>
      <c r="B191" s="1106">
        <v>7.6050000000000004</v>
      </c>
      <c r="C191" s="846"/>
      <c r="D191" s="393">
        <f t="shared" si="50"/>
        <v>7.8639994785742777</v>
      </c>
      <c r="E191" s="385">
        <f t="shared" si="75"/>
        <v>8.5469039237348543</v>
      </c>
      <c r="F191" s="385">
        <f t="shared" si="51"/>
        <v>8.5469039237348543</v>
      </c>
      <c r="G191" s="110">
        <f t="shared" si="76"/>
        <v>0.19951483075107557</v>
      </c>
      <c r="H191" s="414" t="b">
        <f>Wh_hp&gt;='2021'!Maxi_hp</f>
        <v>0</v>
      </c>
      <c r="I191" s="380">
        <f>IF(H191,Wh_hp,'2021'!Maxi_hp)</f>
        <v>41.141814363893154</v>
      </c>
      <c r="J191" s="85">
        <f>IF(H191,An,'2021'!An_max)</f>
        <v>2021</v>
      </c>
      <c r="K191" s="197">
        <f t="shared" si="52"/>
        <v>44738</v>
      </c>
      <c r="L191" s="147">
        <f>IF(t&lt;Tvie,1-EXP((T0-t)*PertePVj)+'2021'!Pspv,1-EXP((T0-t)*PertePVj)+Pspv)</f>
        <v>3.2934829062480242E-2</v>
      </c>
      <c r="M191" s="850"/>
      <c r="N191" s="850"/>
      <c r="O191" s="48">
        <f>IF(t&lt;Tnet,'2021'!Resal+('2021'!Salim-'2021'!Resal)*(1-EXP(('2021'!Tnet-t)/('2021'!Tau_j))),Resal+(Salim-Resal)*(1-EXP((Tnet-t)/(Tau_j))))*Salcycl</f>
        <v>7.9900798143306917E-2</v>
      </c>
      <c r="P191" s="339">
        <f>(INDEX(Models!$BJ191:$BT191,,T191)*(1-R191)+INDEX(Models!$BJ191:$BT191,,T191+1)*R191-ERP_i)*Q191*Ramure*Pc/MaxiM</f>
        <v>0</v>
      </c>
      <c r="Q191" s="305">
        <f t="shared" si="53"/>
        <v>0.7</v>
      </c>
      <c r="R191" s="177">
        <f t="shared" si="54"/>
        <v>0.69753477678713671</v>
      </c>
      <c r="S191" s="817">
        <f t="shared" si="55"/>
        <v>-1</v>
      </c>
      <c r="T191" s="176">
        <f t="shared" si="56"/>
        <v>5</v>
      </c>
      <c r="U191" s="251">
        <f t="shared" si="57"/>
        <v>-0.30246522321286329</v>
      </c>
      <c r="V191" s="383">
        <f t="shared" si="58"/>
        <v>38.117467114454115</v>
      </c>
      <c r="W191" s="402">
        <f t="shared" si="59"/>
        <v>0</v>
      </c>
      <c r="X191" s="157">
        <f t="shared" si="60"/>
        <v>44738</v>
      </c>
      <c r="Y191" s="385">
        <f t="shared" si="61"/>
        <v>7.1657121264318588</v>
      </c>
      <c r="Z191" s="385">
        <f t="shared" si="62"/>
        <v>7.4097510093193311</v>
      </c>
      <c r="AA191" s="386">
        <f t="shared" si="63"/>
        <v>8.5469039237348543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0.13304851962330314</v>
      </c>
      <c r="AD191" s="231">
        <f>(INDEX(Models!$BJ191:$BT191,,AH191)*(1-AF191)+INDEX(Models!$BJ191:$BT191,,AH191+1)*AF191-ERP_i)*AE191*Ramure*Pc/MaxiM</f>
        <v>0</v>
      </c>
      <c r="AE191" s="305">
        <f t="shared" si="65"/>
        <v>0.7</v>
      </c>
      <c r="AF191" s="177">
        <f t="shared" si="66"/>
        <v>0.69753477678713671</v>
      </c>
      <c r="AG191" s="817">
        <f t="shared" si="74"/>
        <v>-1</v>
      </c>
      <c r="AH191" s="176">
        <f t="shared" si="67"/>
        <v>5</v>
      </c>
      <c r="AI191" s="225">
        <f t="shared" si="68"/>
        <v>-0.30246522321286329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44739</v>
      </c>
      <c r="B192" s="1106">
        <v>9.8460000000000001</v>
      </c>
      <c r="C192" s="846"/>
      <c r="D192" s="393">
        <f t="shared" si="50"/>
        <v>10.181543036905307</v>
      </c>
      <c r="E192" s="385">
        <f t="shared" si="75"/>
        <v>11.067277512433622</v>
      </c>
      <c r="F192" s="385">
        <f t="shared" si="51"/>
        <v>11.067277512433622</v>
      </c>
      <c r="G192" s="110">
        <f t="shared" si="76"/>
        <v>0.25860024315056229</v>
      </c>
      <c r="H192" s="414" t="b">
        <f>Wh_hp&gt;='2021'!Maxi_hp</f>
        <v>0</v>
      </c>
      <c r="I192" s="380">
        <f>IF(H192,Wh_hp,'2021'!Maxi_hp)</f>
        <v>40.70663915680317</v>
      </c>
      <c r="J192" s="85">
        <f>IF(H192,An,'2021'!An_max)</f>
        <v>2019</v>
      </c>
      <c r="K192" s="197">
        <f t="shared" si="52"/>
        <v>44739</v>
      </c>
      <c r="L192" s="147">
        <f>IF(t&lt;Tvie,1-EXP((T0-t)*PertePVj)+'2021'!Pspv,1-EXP((T0-t)*PertePVj)+Pspv)</f>
        <v>3.2956010271631198E-2</v>
      </c>
      <c r="M192" s="850"/>
      <c r="N192" s="850"/>
      <c r="O192" s="48">
        <f>IF(t&lt;Tnet,'2021'!Resal+('2021'!Salim-'2021'!Resal)*(1-EXP(('2021'!Tnet-t)/('2021'!Tau_j))),Resal+(Salim-Resal)*(1-EXP((Tnet-t)/(Tau_j))))*Salcycl</f>
        <v>8.0031830279238048E-2</v>
      </c>
      <c r="P192" s="339">
        <f>(INDEX(Models!$BJ192:$BT192,,T192)*(1-R192)+INDEX(Models!$BJ192:$BT192,,T192+1)*R192-ERP_i)*Q192*Ramure*Pc/MaxiM</f>
        <v>0</v>
      </c>
      <c r="Q192" s="305">
        <f t="shared" si="53"/>
        <v>0.7</v>
      </c>
      <c r="R192" s="177">
        <f t="shared" si="54"/>
        <v>0.7002928366064417</v>
      </c>
      <c r="S192" s="817">
        <f t="shared" si="55"/>
        <v>-1</v>
      </c>
      <c r="T192" s="176">
        <f t="shared" si="56"/>
        <v>5</v>
      </c>
      <c r="U192" s="251">
        <f t="shared" si="57"/>
        <v>-0.2997071633935583</v>
      </c>
      <c r="V192" s="383">
        <f t="shared" si="58"/>
        <v>38.074210140117536</v>
      </c>
      <c r="W192" s="402">
        <f t="shared" si="59"/>
        <v>0</v>
      </c>
      <c r="X192" s="157">
        <f t="shared" si="60"/>
        <v>44739</v>
      </c>
      <c r="Y192" s="385">
        <f t="shared" si="61"/>
        <v>9.2777805133270146</v>
      </c>
      <c r="Z192" s="385">
        <f t="shared" si="62"/>
        <v>9.5939591289254924</v>
      </c>
      <c r="AA192" s="386">
        <f t="shared" si="63"/>
        <v>11.067277512433622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0.13312383120897775</v>
      </c>
      <c r="AD192" s="231">
        <f>(INDEX(Models!$BJ192:$BT192,,AH192)*(1-AF192)+INDEX(Models!$BJ192:$BT192,,AH192+1)*AF192-ERP_i)*AE192*Ramure*Pc/MaxiM</f>
        <v>0</v>
      </c>
      <c r="AE192" s="305">
        <f t="shared" si="65"/>
        <v>0.7</v>
      </c>
      <c r="AF192" s="177">
        <f t="shared" si="66"/>
        <v>0.7002928366064417</v>
      </c>
      <c r="AG192" s="817">
        <f t="shared" si="74"/>
        <v>-1</v>
      </c>
      <c r="AH192" s="176">
        <f t="shared" si="67"/>
        <v>5</v>
      </c>
      <c r="AI192" s="225">
        <f t="shared" si="68"/>
        <v>-0.2997071633935583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44740</v>
      </c>
      <c r="B193" s="1106">
        <v>38.271999999999998</v>
      </c>
      <c r="C193" s="846"/>
      <c r="D193" s="393">
        <f t="shared" si="50"/>
        <v>39.577143004769844</v>
      </c>
      <c r="E193" s="385">
        <f t="shared" si="75"/>
        <v>43.026185543990657</v>
      </c>
      <c r="F193" s="385">
        <f t="shared" si="51"/>
        <v>43.026185543990657</v>
      </c>
      <c r="G193" s="110">
        <f t="shared" si="76"/>
        <v>1.0063396886575582</v>
      </c>
      <c r="H193" s="414" t="b">
        <f>Wh_hp&gt;='2021'!Maxi_hp</f>
        <v>1</v>
      </c>
      <c r="I193" s="380">
        <f>IF(H193,Wh_hp,'2021'!Maxi_hp)</f>
        <v>43.026185543990657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3.2977191016859142E-2</v>
      </c>
      <c r="M193" s="850"/>
      <c r="N193" s="850"/>
      <c r="O193" s="48">
        <f>IF(t&lt;Tnet,'2021'!Resal+('2021'!Salim-'2021'!Resal)*(1-EXP(('2021'!Tnet-t)/('2021'!Tau_j))),Resal+(Salim-Resal)*(1-EXP((Tnet-t)/(Tau_j))))*Salcycl</f>
        <v>8.0161475985233627E-2</v>
      </c>
      <c r="P193" s="339">
        <f>(INDEX(Models!$BJ193:$BT193,,T193)*(1-R193)+INDEX(Models!$BJ193:$BT193,,T193+1)*R193-ERP_i)*Q193*Ramure*Pc/MaxiM</f>
        <v>0</v>
      </c>
      <c r="Q193" s="305">
        <f t="shared" si="53"/>
        <v>0.7</v>
      </c>
      <c r="R193" s="177">
        <f t="shared" si="54"/>
        <v>0.70301310488582192</v>
      </c>
      <c r="S193" s="817">
        <f t="shared" si="55"/>
        <v>-1</v>
      </c>
      <c r="T193" s="176">
        <f t="shared" si="56"/>
        <v>5</v>
      </c>
      <c r="U193" s="251">
        <f t="shared" si="57"/>
        <v>-0.29698689511417808</v>
      </c>
      <c r="V193" s="383">
        <f t="shared" si="58"/>
        <v>38.030895960244067</v>
      </c>
      <c r="W193" s="402">
        <f t="shared" si="59"/>
        <v>0</v>
      </c>
      <c r="X193" s="157">
        <f t="shared" si="60"/>
        <v>44740</v>
      </c>
      <c r="Y193" s="385">
        <f t="shared" si="61"/>
        <v>36.065337273440811</v>
      </c>
      <c r="Z193" s="385">
        <f t="shared" si="62"/>
        <v>37.295229169790531</v>
      </c>
      <c r="AA193" s="386">
        <f t="shared" si="63"/>
        <v>43.026185543990657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0.13319694278593919</v>
      </c>
      <c r="AD193" s="231">
        <f>(INDEX(Models!$BJ193:$BT193,,AH193)*(1-AF193)+INDEX(Models!$BJ193:$BT193,,AH193+1)*AF193-ERP_i)*AE193*Ramure*Pc/MaxiM</f>
        <v>0</v>
      </c>
      <c r="AE193" s="305">
        <f t="shared" si="65"/>
        <v>0.7</v>
      </c>
      <c r="AF193" s="177">
        <f t="shared" si="66"/>
        <v>0.70301310488582192</v>
      </c>
      <c r="AG193" s="817">
        <f t="shared" si="74"/>
        <v>-1</v>
      </c>
      <c r="AH193" s="176">
        <f t="shared" si="67"/>
        <v>5</v>
      </c>
      <c r="AI193" s="225">
        <f t="shared" si="68"/>
        <v>-0.29698689511417808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44741</v>
      </c>
      <c r="B194" s="1106">
        <v>36.975999999999999</v>
      </c>
      <c r="C194" s="846"/>
      <c r="D194" s="393">
        <f t="shared" si="50"/>
        <v>38.237784614323054</v>
      </c>
      <c r="E194" s="385">
        <f t="shared" si="75"/>
        <v>41.575903340599019</v>
      </c>
      <c r="F194" s="385">
        <f t="shared" si="51"/>
        <v>41.575903340599019</v>
      </c>
      <c r="G194" s="110">
        <f t="shared" si="76"/>
        <v>0.97337952215864787</v>
      </c>
      <c r="H194" s="414" t="b">
        <f>Wh_hp&gt;='2021'!Maxi_hp</f>
        <v>1</v>
      </c>
      <c r="I194" s="380">
        <f>IF(H194,Wh_hp,'2021'!Maxi_hp)</f>
        <v>41.575903340599019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3.2998371298174511E-2</v>
      </c>
      <c r="M194" s="850"/>
      <c r="N194" s="850"/>
      <c r="O194" s="48">
        <f>IF(t&lt;Tnet,'2021'!Resal+('2021'!Salim-'2021'!Resal)*(1-EXP(('2021'!Tnet-t)/('2021'!Tau_j))),Resal+(Salim-Resal)*(1-EXP((Tnet-t)/(Tau_j))))*Salcycl</f>
        <v>8.0289746176513757E-2</v>
      </c>
      <c r="P194" s="339">
        <f>(INDEX(Models!$BJ194:$BT194,,T194)*(1-R194)+INDEX(Models!$BJ194:$BT194,,T194+1)*R194-ERP_i)*Q194*Ramure*Pc/MaxiM</f>
        <v>0</v>
      </c>
      <c r="Q194" s="305">
        <f t="shared" si="53"/>
        <v>0.7</v>
      </c>
      <c r="R194" s="177">
        <f t="shared" si="54"/>
        <v>0.7056941042376712</v>
      </c>
      <c r="S194" s="817">
        <f t="shared" si="55"/>
        <v>-1</v>
      </c>
      <c r="T194" s="176">
        <f t="shared" si="56"/>
        <v>5</v>
      </c>
      <c r="U194" s="251">
        <f t="shared" si="57"/>
        <v>-0.29430589576232885</v>
      </c>
      <c r="V194" s="383">
        <f t="shared" si="58"/>
        <v>37.987238439122827</v>
      </c>
      <c r="W194" s="402">
        <f t="shared" si="59"/>
        <v>0</v>
      </c>
      <c r="X194" s="157">
        <f t="shared" si="60"/>
        <v>44741</v>
      </c>
      <c r="Y194" s="385">
        <f t="shared" si="61"/>
        <v>34.846068922114107</v>
      </c>
      <c r="Z194" s="385">
        <f t="shared" si="62"/>
        <v>36.035170870284929</v>
      </c>
      <c r="AA194" s="386">
        <f t="shared" si="63"/>
        <v>41.575903340599019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0.13326787935124781</v>
      </c>
      <c r="AD194" s="231">
        <f>(INDEX(Models!$BJ194:$BT194,,AH194)*(1-AF194)+INDEX(Models!$BJ194:$BT194,,AH194+1)*AF194-ERP_i)*AE194*Ramure*Pc/MaxiM</f>
        <v>0</v>
      </c>
      <c r="AE194" s="305">
        <f t="shared" si="65"/>
        <v>0.7</v>
      </c>
      <c r="AF194" s="177">
        <f t="shared" si="66"/>
        <v>0.7056941042376712</v>
      </c>
      <c r="AG194" s="817">
        <f t="shared" si="74"/>
        <v>-1</v>
      </c>
      <c r="AH194" s="176">
        <f t="shared" si="67"/>
        <v>5</v>
      </c>
      <c r="AI194" s="225">
        <f t="shared" si="68"/>
        <v>-0.29430589576232885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44742</v>
      </c>
      <c r="B195" s="1106">
        <v>8.9920000000000009</v>
      </c>
      <c r="C195" s="846"/>
      <c r="D195" s="393">
        <f t="shared" si="50"/>
        <v>9.2990504723998342</v>
      </c>
      <c r="E195" s="385">
        <f t="shared" si="75"/>
        <v>10.112243249778215</v>
      </c>
      <c r="F195" s="385">
        <f t="shared" si="51"/>
        <v>10.112243249778215</v>
      </c>
      <c r="G195" s="110">
        <f t="shared" si="76"/>
        <v>0.23698736253264643</v>
      </c>
      <c r="H195" s="414" t="b">
        <f>Wh_hp&gt;='2021'!Maxi_hp</f>
        <v>0</v>
      </c>
      <c r="I195" s="380">
        <f>IF(H195,Wh_hp,'2021'!Maxi_hp)</f>
        <v>39.940934900012763</v>
      </c>
      <c r="J195" s="85">
        <f>IF(H195,An,'2021'!An_max)</f>
        <v>2018</v>
      </c>
      <c r="K195" s="197">
        <f t="shared" si="52"/>
        <v>44742</v>
      </c>
      <c r="L195" s="147">
        <f>IF(t&lt;Tvie,1-EXP((T0-t)*PertePVj)+'2021'!Pspv,1-EXP((T0-t)*PertePVj)+Pspv)</f>
        <v>3.3019551115587298E-2</v>
      </c>
      <c r="M195" s="850"/>
      <c r="N195" s="850"/>
      <c r="O195" s="48">
        <f>IF(t&lt;Tnet,'2021'!Resal+('2021'!Salim-'2021'!Resal)*(1-EXP(('2021'!Tnet-t)/('2021'!Tau_j))),Resal+(Salim-Resal)*(1-EXP((Tnet-t)/(Tau_j))))*Salcycl</f>
        <v>8.0416655067728521E-2</v>
      </c>
      <c r="P195" s="339">
        <f>(INDEX(Models!$BJ195:$BT195,,T195)*(1-R195)+INDEX(Models!$BJ195:$BT195,,T195+1)*R195-ERP_i)*Q195*Ramure*Pc/MaxiM</f>
        <v>0</v>
      </c>
      <c r="Q195" s="305">
        <f t="shared" si="53"/>
        <v>0.7</v>
      </c>
      <c r="R195" s="177">
        <f t="shared" si="54"/>
        <v>0.70833446492941121</v>
      </c>
      <c r="S195" s="817">
        <f t="shared" si="55"/>
        <v>-1</v>
      </c>
      <c r="T195" s="176">
        <f t="shared" si="56"/>
        <v>5</v>
      </c>
      <c r="U195" s="251">
        <f t="shared" si="57"/>
        <v>-0.29166553507058879</v>
      </c>
      <c r="V195" s="383">
        <f t="shared" si="58"/>
        <v>37.942951488652902</v>
      </c>
      <c r="W195" s="402">
        <f t="shared" si="59"/>
        <v>0</v>
      </c>
      <c r="X195" s="157">
        <f t="shared" si="60"/>
        <v>44742</v>
      </c>
      <c r="Y195" s="385">
        <f t="shared" si="61"/>
        <v>8.4745300087809756</v>
      </c>
      <c r="Z195" s="385">
        <f t="shared" si="62"/>
        <v>8.7639103960766551</v>
      </c>
      <c r="AA195" s="386">
        <f t="shared" si="63"/>
        <v>10.112243249778215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0.13333667124068962</v>
      </c>
      <c r="AD195" s="231">
        <f>(INDEX(Models!$BJ195:$BT195,,AH195)*(1-AF195)+INDEX(Models!$BJ195:$BT195,,AH195+1)*AF195-ERP_i)*AE195*Ramure*Pc/MaxiM</f>
        <v>0</v>
      </c>
      <c r="AE195" s="305">
        <f t="shared" si="65"/>
        <v>0.7</v>
      </c>
      <c r="AF195" s="177">
        <f t="shared" si="66"/>
        <v>0.70833446492941121</v>
      </c>
      <c r="AG195" s="817">
        <f t="shared" si="74"/>
        <v>-1</v>
      </c>
      <c r="AH195" s="176">
        <f t="shared" si="67"/>
        <v>5</v>
      </c>
      <c r="AI195" s="225">
        <f t="shared" si="68"/>
        <v>-0.29166553507058879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44743</v>
      </c>
      <c r="B196" s="1106">
        <v>34.835999999999999</v>
      </c>
      <c r="C196" s="846"/>
      <c r="D196" s="393">
        <f t="shared" si="50"/>
        <v>36.026336473200402</v>
      </c>
      <c r="E196" s="385">
        <f t="shared" si="75"/>
        <v>39.182154153910105</v>
      </c>
      <c r="F196" s="385">
        <f t="shared" si="51"/>
        <v>39.182154153910105</v>
      </c>
      <c r="G196" s="110">
        <f t="shared" si="76"/>
        <v>0.91921026590989607</v>
      </c>
      <c r="H196" s="414" t="b">
        <f>Wh_hp&gt;='2021'!Maxi_hp</f>
        <v>0</v>
      </c>
      <c r="I196" s="380">
        <f>IF(H196,Wh_hp,'2021'!Maxi_hp)</f>
        <v>41.378085246589393</v>
      </c>
      <c r="J196" s="85">
        <f>IF(H196,An,'2021'!An_max)</f>
        <v>2020</v>
      </c>
      <c r="K196" s="197">
        <f t="shared" si="52"/>
        <v>44743</v>
      </c>
      <c r="L196" s="147">
        <f>IF(t&lt;Tvie,1-EXP((T0-t)*PertePVj)+'2021'!Pspv,1-EXP((T0-t)*PertePVj)+Pspv)</f>
        <v>3.3040730469107826E-2</v>
      </c>
      <c r="M196" s="850"/>
      <c r="N196" s="850"/>
      <c r="O196" s="48">
        <f>IF(t&lt;Tnet,'2021'!Resal+('2021'!Salim-'2021'!Resal)*(1-EXP(('2021'!Tnet-t)/('2021'!Tau_j))),Resal+(Salim-Resal)*(1-EXP((Tnet-t)/(Tau_j))))*Salcycl</f>
        <v>8.0542220019691566E-2</v>
      </c>
      <c r="P196" s="339">
        <f>(INDEX(Models!$BJ196:$BT196,,T196)*(1-R196)+INDEX(Models!$BJ196:$BT196,,T196+1)*R196-ERP_i)*Q196*Ramure*Pc/MaxiM</f>
        <v>0</v>
      </c>
      <c r="Q196" s="305">
        <f t="shared" si="53"/>
        <v>0.7</v>
      </c>
      <c r="R196" s="177">
        <f t="shared" si="54"/>
        <v>0.71093292597774449</v>
      </c>
      <c r="S196" s="817">
        <f t="shared" si="55"/>
        <v>-1</v>
      </c>
      <c r="T196" s="176">
        <f t="shared" si="56"/>
        <v>5</v>
      </c>
      <c r="U196" s="251">
        <f t="shared" si="57"/>
        <v>-0.28906707402225551</v>
      </c>
      <c r="V196" s="383">
        <f t="shared" si="58"/>
        <v>37.897749069976918</v>
      </c>
      <c r="W196" s="402">
        <f t="shared" si="59"/>
        <v>0</v>
      </c>
      <c r="X196" s="157">
        <f t="shared" si="60"/>
        <v>44743</v>
      </c>
      <c r="Y196" s="385">
        <f t="shared" si="61"/>
        <v>32.833221299214735</v>
      </c>
      <c r="Z196" s="385">
        <f t="shared" si="62"/>
        <v>33.955123378819614</v>
      </c>
      <c r="AA196" s="386">
        <f t="shared" si="63"/>
        <v>39.182154153910105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0.13340335384722263</v>
      </c>
      <c r="AD196" s="231">
        <f>(INDEX(Models!$BJ196:$BT196,,AH196)*(1-AF196)+INDEX(Models!$BJ196:$BT196,,AH196+1)*AF196-ERP_i)*AE196*Ramure*Pc/MaxiM</f>
        <v>0</v>
      </c>
      <c r="AE196" s="305">
        <f t="shared" si="65"/>
        <v>0.7</v>
      </c>
      <c r="AF196" s="177">
        <f t="shared" si="66"/>
        <v>0.71093292597774449</v>
      </c>
      <c r="AG196" s="817">
        <f t="shared" si="74"/>
        <v>-1</v>
      </c>
      <c r="AH196" s="176">
        <f t="shared" si="67"/>
        <v>5</v>
      </c>
      <c r="AI196" s="225">
        <f t="shared" si="68"/>
        <v>-0.28906707402225551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44744</v>
      </c>
      <c r="B197" s="1106">
        <v>35.902000000000001</v>
      </c>
      <c r="C197" s="846"/>
      <c r="D197" s="393">
        <f t="shared" si="50"/>
        <v>37.129574630978198</v>
      </c>
      <c r="E197" s="385">
        <f t="shared" si="75"/>
        <v>40.387490579650731</v>
      </c>
      <c r="F197" s="385">
        <f t="shared" si="51"/>
        <v>40.387490579650731</v>
      </c>
      <c r="G197" s="110">
        <f t="shared" si="76"/>
        <v>0.9484999756678768</v>
      </c>
      <c r="H197" s="414" t="b">
        <f>Wh_hp&gt;='2021'!Maxi_hp</f>
        <v>1</v>
      </c>
      <c r="I197" s="380">
        <f>IF(H197,Wh_hp,'2021'!Maxi_hp)</f>
        <v>40.387490579650731</v>
      </c>
      <c r="J197" s="85">
        <f>IF(H197,An,'2021'!An_max)</f>
        <v>2022</v>
      </c>
      <c r="K197" s="197">
        <f t="shared" si="52"/>
        <v>44744</v>
      </c>
      <c r="L197" s="147">
        <f>IF(t&lt;Tvie,1-EXP((T0-t)*PertePVj)+'2021'!Pspv,1-EXP((T0-t)*PertePVj)+Pspv)</f>
        <v>3.3061909358746089E-2</v>
      </c>
      <c r="M197" s="850"/>
      <c r="N197" s="850"/>
      <c r="O197" s="48">
        <f>IF(t&lt;Tnet,'2021'!Resal+('2021'!Salim-'2021'!Resal)*(1-EXP(('2021'!Tnet-t)/('2021'!Tau_j))),Resal+(Salim-Resal)*(1-EXP((Tnet-t)/(Tau_j))))*Salcycl</f>
        <v>8.0666461369947998E-2</v>
      </c>
      <c r="P197" s="339">
        <f>(INDEX(Models!$BJ197:$BT197,,T197)*(1-R197)+INDEX(Models!$BJ197:$BT197,,T197+1)*R197-ERP_i)*Q197*Ramure*Pc/MaxiM</f>
        <v>0</v>
      </c>
      <c r="Q197" s="305">
        <f t="shared" si="53"/>
        <v>0.7</v>
      </c>
      <c r="R197" s="177">
        <f t="shared" si="54"/>
        <v>0.71348833568923176</v>
      </c>
      <c r="S197" s="817">
        <f t="shared" si="55"/>
        <v>-1</v>
      </c>
      <c r="T197" s="176">
        <f t="shared" si="56"/>
        <v>5</v>
      </c>
      <c r="U197" s="251">
        <f t="shared" si="57"/>
        <v>-0.28651166431076824</v>
      </c>
      <c r="V197" s="383">
        <f t="shared" si="58"/>
        <v>37.851345198738628</v>
      </c>
      <c r="W197" s="402">
        <f t="shared" si="59"/>
        <v>0</v>
      </c>
      <c r="X197" s="157">
        <f t="shared" si="60"/>
        <v>44744</v>
      </c>
      <c r="Y197" s="385">
        <f t="shared" si="61"/>
        <v>33.839984869723899</v>
      </c>
      <c r="Z197" s="385">
        <f t="shared" si="62"/>
        <v>34.997054307046589</v>
      </c>
      <c r="AA197" s="386">
        <f t="shared" si="63"/>
        <v>40.387490579650731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0.13346796731461491</v>
      </c>
      <c r="AD197" s="231">
        <f>(INDEX(Models!$BJ197:$BT197,,AH197)*(1-AF197)+INDEX(Models!$BJ197:$BT197,,AH197+1)*AF197-ERP_i)*AE197*Ramure*Pc/MaxiM</f>
        <v>0</v>
      </c>
      <c r="AE197" s="305">
        <f t="shared" si="65"/>
        <v>0.7</v>
      </c>
      <c r="AF197" s="177">
        <f t="shared" si="66"/>
        <v>0.71348833568923176</v>
      </c>
      <c r="AG197" s="817">
        <f t="shared" si="74"/>
        <v>-1</v>
      </c>
      <c r="AH197" s="176">
        <f t="shared" si="67"/>
        <v>5</v>
      </c>
      <c r="AI197" s="225">
        <f t="shared" si="68"/>
        <v>-0.28651166431076824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44745</v>
      </c>
      <c r="B198" s="1106">
        <v>29.71</v>
      </c>
      <c r="C198" s="846"/>
      <c r="D198" s="393">
        <f t="shared" si="50"/>
        <v>30.726528437614927</v>
      </c>
      <c r="E198" s="385">
        <f t="shared" si="75"/>
        <v>33.427082447456463</v>
      </c>
      <c r="F198" s="385">
        <f t="shared" si="51"/>
        <v>33.427082447456463</v>
      </c>
      <c r="G198" s="110">
        <f t="shared" si="76"/>
        <v>0.78590702429233328</v>
      </c>
      <c r="H198" s="414" t="b">
        <f>Wh_hp&gt;='2021'!Maxi_hp</f>
        <v>0</v>
      </c>
      <c r="I198" s="380">
        <f>IF(H198,Wh_hp,'2021'!Maxi_hp)</f>
        <v>34.016353689339262</v>
      </c>
      <c r="J198" s="85">
        <f>IF(H198,An,'2021'!An_max)</f>
        <v>2019</v>
      </c>
      <c r="K198" s="197">
        <f t="shared" si="52"/>
        <v>44745</v>
      </c>
      <c r="L198" s="147">
        <f>IF(t&lt;Tvie,1-EXP((T0-t)*PertePVj)+'2021'!Pspv,1-EXP((T0-t)*PertePVj)+Pspv)</f>
        <v>3.3083087784512299E-2</v>
      </c>
      <c r="M198" s="850"/>
      <c r="N198" s="850"/>
      <c r="O198" s="48">
        <f>IF(t&lt;Tnet,'2021'!Resal+('2021'!Salim-'2021'!Resal)*(1-EXP(('2021'!Tnet-t)/('2021'!Tau_j))),Resal+(Salim-Resal)*(1-EXP((Tnet-t)/(Tau_j))))*Salcycl</f>
        <v>8.0789402248505948E-2</v>
      </c>
      <c r="P198" s="339">
        <f>(INDEX(Models!$BJ198:$BT198,,T198)*(1-R198)+INDEX(Models!$BJ198:$BT198,,T198+1)*R198-ERP_i)*Q198*Ramure*Pc/MaxiM</f>
        <v>0</v>
      </c>
      <c r="Q198" s="305">
        <f t="shared" si="53"/>
        <v>0.7</v>
      </c>
      <c r="R198" s="177">
        <f t="shared" si="54"/>
        <v>0.71599965166740909</v>
      </c>
      <c r="S198" s="817">
        <f t="shared" si="55"/>
        <v>-1</v>
      </c>
      <c r="T198" s="176">
        <f t="shared" si="56"/>
        <v>5</v>
      </c>
      <c r="U198" s="251">
        <f t="shared" si="57"/>
        <v>-0.28400034833259091</v>
      </c>
      <c r="V198" s="383">
        <f t="shared" si="58"/>
        <v>37.80345394768834</v>
      </c>
      <c r="W198" s="402">
        <f t="shared" si="59"/>
        <v>0</v>
      </c>
      <c r="X198" s="157">
        <f t="shared" si="60"/>
        <v>44745</v>
      </c>
      <c r="Y198" s="385">
        <f t="shared" si="61"/>
        <v>28.005342016303334</v>
      </c>
      <c r="Z198" s="385">
        <f t="shared" si="62"/>
        <v>28.963545535815435</v>
      </c>
      <c r="AA198" s="386">
        <f t="shared" si="63"/>
        <v>33.427082447456463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0.13353055620864299</v>
      </c>
      <c r="AD198" s="231">
        <f>(INDEX(Models!$BJ198:$BT198,,AH198)*(1-AF198)+INDEX(Models!$BJ198:$BT198,,AH198+1)*AF198-ERP_i)*AE198*Ramure*Pc/MaxiM</f>
        <v>0</v>
      </c>
      <c r="AE198" s="305">
        <f t="shared" si="65"/>
        <v>0.7</v>
      </c>
      <c r="AF198" s="177">
        <f t="shared" si="66"/>
        <v>0.71599965166740909</v>
      </c>
      <c r="AG198" s="817">
        <f t="shared" si="74"/>
        <v>-1</v>
      </c>
      <c r="AH198" s="176">
        <f t="shared" si="67"/>
        <v>5</v>
      </c>
      <c r="AI198" s="225">
        <f t="shared" si="68"/>
        <v>-0.28400034833259091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44746</v>
      </c>
      <c r="B199" s="1106">
        <v>28.471</v>
      </c>
      <c r="C199" s="846"/>
      <c r="D199" s="393">
        <f t="shared" si="50"/>
        <v>29.445780957942503</v>
      </c>
      <c r="E199" s="385">
        <f t="shared" si="75"/>
        <v>32.038010626508665</v>
      </c>
      <c r="F199" s="385">
        <f t="shared" si="51"/>
        <v>32.038010626508665</v>
      </c>
      <c r="G199" s="110">
        <f t="shared" si="76"/>
        <v>0.75412297448543486</v>
      </c>
      <c r="H199" s="414" t="b">
        <f>Wh_hp&gt;='2021'!Maxi_hp</f>
        <v>0</v>
      </c>
      <c r="I199" s="380">
        <f>IF(H199,Wh_hp,'2021'!Maxi_hp)</f>
        <v>39.345572837234378</v>
      </c>
      <c r="J199" s="85">
        <f>IF(H199,An,'2021'!An_max)</f>
        <v>2019</v>
      </c>
      <c r="K199" s="197">
        <f t="shared" si="52"/>
        <v>44746</v>
      </c>
      <c r="L199" s="147">
        <f>IF(t&lt;Tvie,1-EXP((T0-t)*PertePVj)+'2021'!Pspv,1-EXP((T0-t)*PertePVj)+Pspv)</f>
        <v>3.3104265746416672E-2</v>
      </c>
      <c r="M199" s="850"/>
      <c r="N199" s="850"/>
      <c r="O199" s="48">
        <f>IF(t&lt;Tnet,'2021'!Resal+('2021'!Salim-'2021'!Resal)*(1-EXP(('2021'!Tnet-t)/('2021'!Tau_j))),Resal+(Salim-Resal)*(1-EXP((Tnet-t)/(Tau_j))))*Salcycl</f>
        <v>8.0911068380173298E-2</v>
      </c>
      <c r="P199" s="339">
        <f>(INDEX(Models!$BJ199:$BT199,,T199)*(1-R199)+INDEX(Models!$BJ199:$BT199,,T199+1)*R199-ERP_i)*Q199*Ramure*Pc/MaxiM</f>
        <v>0</v>
      </c>
      <c r="Q199" s="305">
        <f t="shared" si="53"/>
        <v>0.7</v>
      </c>
      <c r="R199" s="177">
        <f t="shared" si="54"/>
        <v>0.71846594031029865</v>
      </c>
      <c r="S199" s="817">
        <f t="shared" si="55"/>
        <v>-1</v>
      </c>
      <c r="T199" s="176">
        <f t="shared" si="56"/>
        <v>5</v>
      </c>
      <c r="U199" s="251">
        <f t="shared" si="57"/>
        <v>-0.2815340596897013</v>
      </c>
      <c r="V199" s="383">
        <f t="shared" si="58"/>
        <v>37.753789452478607</v>
      </c>
      <c r="W199" s="402">
        <f t="shared" si="59"/>
        <v>0</v>
      </c>
      <c r="X199" s="157">
        <f t="shared" si="60"/>
        <v>44746</v>
      </c>
      <c r="Y199" s="385">
        <f t="shared" si="61"/>
        <v>26.839106613037217</v>
      </c>
      <c r="Z199" s="385">
        <f t="shared" si="62"/>
        <v>27.758015329084333</v>
      </c>
      <c r="AA199" s="386">
        <f t="shared" si="63"/>
        <v>32.038010626508665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0.13359116916838171</v>
      </c>
      <c r="AD199" s="231">
        <f>(INDEX(Models!$BJ199:$BT199,,AH199)*(1-AF199)+INDEX(Models!$BJ199:$BT199,,AH199+1)*AF199-ERP_i)*AE199*Ramure*Pc/MaxiM</f>
        <v>0</v>
      </c>
      <c r="AE199" s="305">
        <f t="shared" si="65"/>
        <v>0.7</v>
      </c>
      <c r="AF199" s="177">
        <f t="shared" si="66"/>
        <v>0.71846594031029865</v>
      </c>
      <c r="AG199" s="817">
        <f t="shared" si="74"/>
        <v>-1</v>
      </c>
      <c r="AH199" s="176">
        <f t="shared" si="67"/>
        <v>5</v>
      </c>
      <c r="AI199" s="225">
        <f t="shared" si="68"/>
        <v>-0.2815340596897013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44747</v>
      </c>
      <c r="B200" s="1106">
        <v>35.529000000000003</v>
      </c>
      <c r="C200" s="846"/>
      <c r="D200" s="393">
        <f t="shared" si="50"/>
        <v>36.746235332970222</v>
      </c>
      <c r="E200" s="385">
        <f t="shared" si="75"/>
        <v>39.986392186605819</v>
      </c>
      <c r="F200" s="385">
        <f t="shared" si="51"/>
        <v>39.986392186605819</v>
      </c>
      <c r="G200" s="110">
        <f t="shared" si="76"/>
        <v>0.9423621526892445</v>
      </c>
      <c r="H200" s="414" t="b">
        <f>Wh_hp&gt;='2021'!Maxi_hp</f>
        <v>0</v>
      </c>
      <c r="I200" s="380">
        <f>IF(H200,Wh_hp,'2021'!Maxi_hp)</f>
        <v>42.685652702898089</v>
      </c>
      <c r="J200" s="85">
        <f>IF(H200,An,'2021'!An_max)</f>
        <v>2020</v>
      </c>
      <c r="K200" s="197">
        <f t="shared" si="52"/>
        <v>44747</v>
      </c>
      <c r="L200" s="147">
        <f>IF(t&lt;Tvie,1-EXP((T0-t)*PertePVj)+'2021'!Pspv,1-EXP((T0-t)*PertePVj)+Pspv)</f>
        <v>3.312544324446931E-2</v>
      </c>
      <c r="M200" s="850"/>
      <c r="N200" s="850"/>
      <c r="O200" s="48">
        <f>IF(t&lt;Tnet,'2021'!Resal+('2021'!Salim-'2021'!Resal)*(1-EXP(('2021'!Tnet-t)/('2021'!Tau_j))),Resal+(Salim-Resal)*(1-EXP((Tnet-t)/(Tau_j))))*Salcycl</f>
        <v>8.1031487875041316E-2</v>
      </c>
      <c r="P200" s="339">
        <f>(INDEX(Models!$BJ200:$BT200,,T200)*(1-R200)+INDEX(Models!$BJ200:$BT200,,T200+1)*R200-ERP_i)*Q200*Ramure*Pc/MaxiM</f>
        <v>0</v>
      </c>
      <c r="Q200" s="305">
        <f t="shared" si="53"/>
        <v>0.7</v>
      </c>
      <c r="R200" s="177">
        <f t="shared" si="54"/>
        <v>0.72088637582534409</v>
      </c>
      <c r="S200" s="817">
        <f t="shared" si="55"/>
        <v>-1</v>
      </c>
      <c r="T200" s="176">
        <f t="shared" si="56"/>
        <v>5</v>
      </c>
      <c r="U200" s="251">
        <f t="shared" si="57"/>
        <v>-0.27911362417465591</v>
      </c>
      <c r="V200" s="383">
        <f t="shared" si="58"/>
        <v>37.702065918723427</v>
      </c>
      <c r="W200" s="402">
        <f t="shared" si="59"/>
        <v>0</v>
      </c>
      <c r="X200" s="157">
        <f t="shared" si="60"/>
        <v>44747</v>
      </c>
      <c r="Y200" s="385">
        <f t="shared" si="61"/>
        <v>33.494677749891856</v>
      </c>
      <c r="Z200" s="385">
        <f t="shared" si="62"/>
        <v>34.642216527330561</v>
      </c>
      <c r="AA200" s="386">
        <f t="shared" si="63"/>
        <v>39.986392186605819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0.13364985854026093</v>
      </c>
      <c r="AD200" s="231">
        <f>(INDEX(Models!$BJ200:$BT200,,AH200)*(1-AF200)+INDEX(Models!$BJ200:$BT200,,AH200+1)*AF200-ERP_i)*AE200*Ramure*Pc/MaxiM</f>
        <v>0</v>
      </c>
      <c r="AE200" s="305">
        <f t="shared" si="65"/>
        <v>0.7</v>
      </c>
      <c r="AF200" s="177">
        <f t="shared" si="66"/>
        <v>0.72088637582534409</v>
      </c>
      <c r="AG200" s="817">
        <f t="shared" si="74"/>
        <v>-1</v>
      </c>
      <c r="AH200" s="176">
        <f t="shared" si="67"/>
        <v>5</v>
      </c>
      <c r="AI200" s="225">
        <f t="shared" si="68"/>
        <v>-0.27911362417465591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44748</v>
      </c>
      <c r="B201" s="1106">
        <v>28.38</v>
      </c>
      <c r="C201" s="846"/>
      <c r="D201" s="393">
        <f t="shared" si="50"/>
        <v>29.352951124999006</v>
      </c>
      <c r="E201" s="385">
        <f t="shared" si="75"/>
        <v>31.945337323291508</v>
      </c>
      <c r="F201" s="385">
        <f t="shared" si="51"/>
        <v>31.945337323291508</v>
      </c>
      <c r="G201" s="110">
        <f t="shared" si="76"/>
        <v>0.75382495193533106</v>
      </c>
      <c r="H201" s="414" t="b">
        <f>Wh_hp&gt;='2021'!Maxi_hp</f>
        <v>0</v>
      </c>
      <c r="I201" s="380">
        <f>IF(H201,Wh_hp,'2021'!Maxi_hp)</f>
        <v>42.389212353371924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3.3146620278680428E-2</v>
      </c>
      <c r="M201" s="850"/>
      <c r="N201" s="850"/>
      <c r="O201" s="48">
        <f>IF(t&lt;Tnet,'2021'!Resal+('2021'!Salim-'2021'!Resal)*(1-EXP(('2021'!Tnet-t)/('2021'!Tau_j))),Resal+(Salim-Resal)*(1-EXP((Tnet-t)/(Tau_j))))*Salcycl</f>
        <v>8.1150691008743281E-2</v>
      </c>
      <c r="P201" s="339">
        <f>(INDEX(Models!$BJ201:$BT201,,T201)*(1-R201)+INDEX(Models!$BJ201:$BT201,,T201+1)*R201-ERP_i)*Q201*Ramure*Pc/MaxiM</f>
        <v>0</v>
      </c>
      <c r="Q201" s="305">
        <f t="shared" si="53"/>
        <v>0.7</v>
      </c>
      <c r="R201" s="177">
        <f t="shared" si="54"/>
        <v>0.72326023879147816</v>
      </c>
      <c r="S201" s="817">
        <f t="shared" si="55"/>
        <v>-1</v>
      </c>
      <c r="T201" s="176">
        <f t="shared" si="56"/>
        <v>5</v>
      </c>
      <c r="U201" s="251">
        <f t="shared" si="57"/>
        <v>-0.27673976120852178</v>
      </c>
      <c r="V201" s="383">
        <f t="shared" si="58"/>
        <v>37.647997624831412</v>
      </c>
      <c r="W201" s="402">
        <f t="shared" si="59"/>
        <v>0</v>
      </c>
      <c r="X201" s="157">
        <f t="shared" si="60"/>
        <v>44748</v>
      </c>
      <c r="Y201" s="385">
        <f t="shared" si="61"/>
        <v>26.756731687219158</v>
      </c>
      <c r="Z201" s="385">
        <f t="shared" si="62"/>
        <v>27.674032328388169</v>
      </c>
      <c r="AA201" s="386">
        <f t="shared" si="63"/>
        <v>31.945337323291508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0.13370667999768179</v>
      </c>
      <c r="AD201" s="231">
        <f>(INDEX(Models!$BJ201:$BT201,,AH201)*(1-AF201)+INDEX(Models!$BJ201:$BT201,,AH201+1)*AF201-ERP_i)*AE201*Ramure*Pc/MaxiM</f>
        <v>0</v>
      </c>
      <c r="AE201" s="305">
        <f t="shared" si="65"/>
        <v>0.7</v>
      </c>
      <c r="AF201" s="177">
        <f t="shared" si="66"/>
        <v>0.72326023879147816</v>
      </c>
      <c r="AG201" s="817">
        <f t="shared" si="74"/>
        <v>-1</v>
      </c>
      <c r="AH201" s="176">
        <f t="shared" si="67"/>
        <v>5</v>
      </c>
      <c r="AI201" s="225">
        <f t="shared" si="68"/>
        <v>-0.27673976120852178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44749</v>
      </c>
      <c r="B202" s="1106">
        <v>36.567999999999998</v>
      </c>
      <c r="C202" s="846"/>
      <c r="D202" s="393">
        <f t="shared" si="50"/>
        <v>37.822488618835422</v>
      </c>
      <c r="E202" s="385">
        <f t="shared" si="75"/>
        <v>41.168172925291458</v>
      </c>
      <c r="F202" s="385">
        <f t="shared" si="51"/>
        <v>41.168172925291458</v>
      </c>
      <c r="G202" s="110">
        <f t="shared" si="76"/>
        <v>0.9727783034594627</v>
      </c>
      <c r="H202" s="414" t="b">
        <f>Wh_hp&gt;='2021'!Maxi_hp</f>
        <v>1</v>
      </c>
      <c r="I202" s="380">
        <f>IF(H202,Wh_hp,'2021'!Maxi_hp)</f>
        <v>41.168172925291458</v>
      </c>
      <c r="J202" s="85">
        <f>IF(H202,An,'2021'!An_max)</f>
        <v>2022</v>
      </c>
      <c r="K202" s="197">
        <f t="shared" si="52"/>
        <v>44749</v>
      </c>
      <c r="L202" s="147">
        <f>IF(t&lt;Tvie,1-EXP((T0-t)*PertePVj)+'2021'!Pspv,1-EXP((T0-t)*PertePVj)+Pspv)</f>
        <v>3.3167796849060127E-2</v>
      </c>
      <c r="M202" s="850"/>
      <c r="N202" s="850"/>
      <c r="O202" s="48">
        <f>IF(t&lt;Tnet,'2021'!Resal+('2021'!Salim-'2021'!Resal)*(1-EXP(('2021'!Tnet-t)/('2021'!Tau_j))),Resal+(Salim-Resal)*(1-EXP((Tnet-t)/(Tau_j))))*Salcycl</f>
        <v>8.1268709994186575E-2</v>
      </c>
      <c r="P202" s="339">
        <f>(INDEX(Models!$BJ202:$BT202,,T202)*(1-R202)+INDEX(Models!$BJ202:$BT202,,T202+1)*R202-ERP_i)*Q202*Ramure*Pc/MaxiM</f>
        <v>0</v>
      </c>
      <c r="Q202" s="305">
        <f t="shared" si="53"/>
        <v>0.7</v>
      </c>
      <c r="R202" s="177">
        <f t="shared" si="54"/>
        <v>0.72558691430023103</v>
      </c>
      <c r="S202" s="817">
        <f t="shared" si="55"/>
        <v>-1</v>
      </c>
      <c r="T202" s="176">
        <f t="shared" si="56"/>
        <v>5</v>
      </c>
      <c r="U202" s="251">
        <f t="shared" si="57"/>
        <v>-0.27441308569976897</v>
      </c>
      <c r="V202" s="383">
        <f t="shared" si="58"/>
        <v>37.591298932094091</v>
      </c>
      <c r="W202" s="402">
        <f t="shared" si="59"/>
        <v>0</v>
      </c>
      <c r="X202" s="157">
        <f t="shared" si="60"/>
        <v>44749</v>
      </c>
      <c r="Y202" s="385">
        <f t="shared" si="61"/>
        <v>34.478636774515479</v>
      </c>
      <c r="Z202" s="385">
        <f t="shared" si="62"/>
        <v>35.661448452118577</v>
      </c>
      <c r="AA202" s="386">
        <f t="shared" si="63"/>
        <v>41.168172925291458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0.13376169214907882</v>
      </c>
      <c r="AD202" s="231">
        <f>(INDEX(Models!$BJ202:$BT202,,AH202)*(1-AF202)+INDEX(Models!$BJ202:$BT202,,AH202+1)*AF202-ERP_i)*AE202*Ramure*Pc/MaxiM</f>
        <v>0</v>
      </c>
      <c r="AE202" s="305">
        <f t="shared" si="65"/>
        <v>0.7</v>
      </c>
      <c r="AF202" s="177">
        <f t="shared" si="66"/>
        <v>0.72558691430023103</v>
      </c>
      <c r="AG202" s="817">
        <f t="shared" si="74"/>
        <v>-1</v>
      </c>
      <c r="AH202" s="176">
        <f t="shared" si="67"/>
        <v>5</v>
      </c>
      <c r="AI202" s="225">
        <f t="shared" si="68"/>
        <v>-0.27441308569976897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44750</v>
      </c>
      <c r="B203" s="1106">
        <v>37.721000000000004</v>
      </c>
      <c r="C203" s="846"/>
      <c r="D203" s="393">
        <f t="shared" si="50"/>
        <v>39.01589756926554</v>
      </c>
      <c r="E203" s="385">
        <f t="shared" si="75"/>
        <v>42.472550687835621</v>
      </c>
      <c r="F203" s="385">
        <f t="shared" si="51"/>
        <v>42.472550687835621</v>
      </c>
      <c r="G203" s="110">
        <f t="shared" si="76"/>
        <v>1.0050441570188644</v>
      </c>
      <c r="H203" s="414" t="b">
        <f>Wh_hp&gt;='2021'!Maxi_hp</f>
        <v>0</v>
      </c>
      <c r="I203" s="380">
        <f>IF(H203,Wh_hp,'2021'!Maxi_hp)</f>
        <v>44.11830918893618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3.3188972955618512E-2</v>
      </c>
      <c r="M203" s="850"/>
      <c r="N203" s="850"/>
      <c r="O203" s="48">
        <f>IF(t&lt;Tnet,'2021'!Resal+('2021'!Salim-'2021'!Resal)*(1-EXP(('2021'!Tnet-t)/('2021'!Tau_j))),Resal+(Salim-Resal)*(1-EXP((Tnet-t)/(Tau_j))))*Salcycl</f>
        <v>8.1385578746512324E-2</v>
      </c>
      <c r="P203" s="339">
        <f>(INDEX(Models!$BJ203:$BT203,,T203)*(1-R203)+INDEX(Models!$BJ203:$BT203,,T203+1)*R203-ERP_i)*Q203*Ramure*Pc/MaxiM</f>
        <v>0</v>
      </c>
      <c r="Q203" s="305">
        <f t="shared" si="53"/>
        <v>0.7</v>
      </c>
      <c r="R203" s="177">
        <f t="shared" si="54"/>
        <v>0.7278658897094864</v>
      </c>
      <c r="S203" s="817">
        <f t="shared" si="55"/>
        <v>-1</v>
      </c>
      <c r="T203" s="176">
        <f t="shared" si="56"/>
        <v>5</v>
      </c>
      <c r="U203" s="251">
        <f t="shared" si="57"/>
        <v>-0.2721341102905136</v>
      </c>
      <c r="V203" s="383">
        <f t="shared" si="58"/>
        <v>37.531684291252475</v>
      </c>
      <c r="W203" s="402">
        <f t="shared" si="59"/>
        <v>0</v>
      </c>
      <c r="X203" s="157">
        <f t="shared" si="60"/>
        <v>44750</v>
      </c>
      <c r="Y203" s="385">
        <f t="shared" si="61"/>
        <v>35.568096127815778</v>
      </c>
      <c r="Z203" s="385">
        <f t="shared" si="62"/>
        <v>36.789088180500265</v>
      </c>
      <c r="AA203" s="386">
        <f t="shared" si="63"/>
        <v>42.472550687835621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0.13381495613737954</v>
      </c>
      <c r="AD203" s="231">
        <f>(INDEX(Models!$BJ203:$BT203,,AH203)*(1-AF203)+INDEX(Models!$BJ203:$BT203,,AH203+1)*AF203-ERP_i)*AE203*Ramure*Pc/MaxiM</f>
        <v>0</v>
      </c>
      <c r="AE203" s="305">
        <f t="shared" si="65"/>
        <v>0.7</v>
      </c>
      <c r="AF203" s="177">
        <f t="shared" si="66"/>
        <v>0.7278658897094864</v>
      </c>
      <c r="AG203" s="817">
        <f t="shared" si="74"/>
        <v>-1</v>
      </c>
      <c r="AH203" s="176">
        <f t="shared" si="67"/>
        <v>5</v>
      </c>
      <c r="AI203" s="225">
        <f t="shared" si="68"/>
        <v>-0.2721341102905136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44751</v>
      </c>
      <c r="B204" s="1106">
        <v>37.002000000000002</v>
      </c>
      <c r="C204" s="846"/>
      <c r="D204" s="393">
        <f t="shared" si="50"/>
        <v>38.273053804149043</v>
      </c>
      <c r="E204" s="385">
        <f t="shared" si="75"/>
        <v>41.669144620844989</v>
      </c>
      <c r="F204" s="385">
        <f t="shared" si="51"/>
        <v>41.669144620844989</v>
      </c>
      <c r="G204" s="110">
        <f t="shared" si="76"/>
        <v>0.98753983585729632</v>
      </c>
      <c r="H204" s="414" t="b">
        <f>Wh_hp&gt;='2021'!Maxi_hp</f>
        <v>0</v>
      </c>
      <c r="I204" s="380">
        <f>IF(H204,Wh_hp,'2021'!Maxi_hp)</f>
        <v>42.583630575998079</v>
      </c>
      <c r="J204" s="85">
        <f>IF(H204,An,'2021'!An_max)</f>
        <v>2021</v>
      </c>
      <c r="K204" s="197">
        <f t="shared" si="52"/>
        <v>44751</v>
      </c>
      <c r="L204" s="147">
        <f>IF(t&lt;Tvie,1-EXP((T0-t)*PertePVj)+'2021'!Pspv,1-EXP((T0-t)*PertePVj)+Pspv)</f>
        <v>3.3210148598365907E-2</v>
      </c>
      <c r="M204" s="850"/>
      <c r="N204" s="850"/>
      <c r="O204" s="48">
        <f>IF(t&lt;Tnet,'2021'!Resal+('2021'!Salim-'2021'!Resal)*(1-EXP(('2021'!Tnet-t)/('2021'!Tau_j))),Resal+(Salim-Resal)*(1-EXP((Tnet-t)/(Tau_j))))*Salcycl</f>
        <v>8.150133264307631E-2</v>
      </c>
      <c r="P204" s="339">
        <f>(INDEX(Models!$BJ204:$BT204,,T204)*(1-R204)+INDEX(Models!$BJ204:$BT204,,T204+1)*R204-ERP_i)*Q204*Ramure*Pc/MaxiM</f>
        <v>0</v>
      </c>
      <c r="Q204" s="305">
        <f t="shared" si="53"/>
        <v>0.7</v>
      </c>
      <c r="R204" s="177">
        <f t="shared" si="54"/>
        <v>0.73009675204473123</v>
      </c>
      <c r="S204" s="817">
        <f t="shared" si="55"/>
        <v>-1</v>
      </c>
      <c r="T204" s="176">
        <f t="shared" si="56"/>
        <v>5</v>
      </c>
      <c r="U204" s="251">
        <f t="shared" si="57"/>
        <v>-0.26990324795526871</v>
      </c>
      <c r="V204" s="383">
        <f t="shared" si="58"/>
        <v>37.468868248619131</v>
      </c>
      <c r="W204" s="402">
        <f t="shared" si="59"/>
        <v>0</v>
      </c>
      <c r="X204" s="157">
        <f t="shared" si="60"/>
        <v>44751</v>
      </c>
      <c r="Y204" s="385">
        <f t="shared" si="61"/>
        <v>34.892451782755828</v>
      </c>
      <c r="Z204" s="385">
        <f t="shared" si="62"/>
        <v>36.091040604294093</v>
      </c>
      <c r="AA204" s="386">
        <f t="shared" si="63"/>
        <v>41.669144620844989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0.13386653523385383</v>
      </c>
      <c r="AD204" s="231">
        <f>(INDEX(Models!$BJ204:$BT204,,AH204)*(1-AF204)+INDEX(Models!$BJ204:$BT204,,AH204+1)*AF204-ERP_i)*AE204*Ramure*Pc/MaxiM</f>
        <v>0</v>
      </c>
      <c r="AE204" s="305">
        <f t="shared" si="65"/>
        <v>0.7</v>
      </c>
      <c r="AF204" s="177">
        <f t="shared" si="66"/>
        <v>0.73009675204473123</v>
      </c>
      <c r="AG204" s="817">
        <f t="shared" si="74"/>
        <v>-1</v>
      </c>
      <c r="AH204" s="176">
        <f t="shared" si="67"/>
        <v>5</v>
      </c>
      <c r="AI204" s="225">
        <f t="shared" si="68"/>
        <v>-0.26990324795526871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44752</v>
      </c>
      <c r="B205" s="1106">
        <v>36.566000000000003</v>
      </c>
      <c r="C205" s="846"/>
      <c r="D205" s="393">
        <f t="shared" si="50"/>
        <v>37.822905209205707</v>
      </c>
      <c r="E205" s="385">
        <f t="shared" si="75"/>
        <v>41.184194792398188</v>
      </c>
      <c r="F205" s="385">
        <f t="shared" si="51"/>
        <v>41.184194792398188</v>
      </c>
      <c r="G205" s="110">
        <f t="shared" si="76"/>
        <v>0.97763637188711294</v>
      </c>
      <c r="H205" s="414" t="b">
        <f>Wh_hp&gt;='2021'!Maxi_hp</f>
        <v>1</v>
      </c>
      <c r="I205" s="380">
        <f>IF(H205,Wh_hp,'2021'!Maxi_hp)</f>
        <v>41.184194792398188</v>
      </c>
      <c r="J205" s="85">
        <f>IF(H205,An,'2021'!An_max)</f>
        <v>2022</v>
      </c>
      <c r="K205" s="197">
        <f t="shared" si="52"/>
        <v>44752</v>
      </c>
      <c r="L205" s="147">
        <f>IF(t&lt;Tvie,1-EXP((T0-t)*PertePVj)+'2021'!Pspv,1-EXP((T0-t)*PertePVj)+Pspv)</f>
        <v>3.3231323777312305E-2</v>
      </c>
      <c r="M205" s="850"/>
      <c r="N205" s="850"/>
      <c r="O205" s="48">
        <f>IF(t&lt;Tnet,'2021'!Resal+('2021'!Salim-'2021'!Resal)*(1-EXP(('2021'!Tnet-t)/('2021'!Tau_j))),Resal+(Salim-Resal)*(1-EXP((Tnet-t)/(Tau_j))))*Salcycl</f>
        <v>8.1616008280266647E-2</v>
      </c>
      <c r="P205" s="339">
        <f>(INDEX(Models!$BJ205:$BT205,,T205)*(1-R205)+INDEX(Models!$BJ205:$BT205,,T205+1)*R205-ERP_i)*Q205*Ramure*Pc/MaxiM</f>
        <v>0</v>
      </c>
      <c r="Q205" s="305">
        <f t="shared" si="53"/>
        <v>0.7</v>
      </c>
      <c r="R205" s="177">
        <f t="shared" si="54"/>
        <v>0.73227918508341672</v>
      </c>
      <c r="S205" s="817">
        <f t="shared" si="55"/>
        <v>-1</v>
      </c>
      <c r="T205" s="176">
        <f t="shared" si="56"/>
        <v>5</v>
      </c>
      <c r="U205" s="251">
        <f t="shared" si="57"/>
        <v>-0.26772081491658328</v>
      </c>
      <c r="V205" s="383">
        <f t="shared" si="58"/>
        <v>37.402454584844612</v>
      </c>
      <c r="W205" s="402">
        <f t="shared" si="59"/>
        <v>0</v>
      </c>
      <c r="X205" s="157">
        <f t="shared" si="60"/>
        <v>44752</v>
      </c>
      <c r="Y205" s="385">
        <f t="shared" si="61"/>
        <v>34.483625313844499</v>
      </c>
      <c r="Z205" s="385">
        <f t="shared" si="62"/>
        <v>35.66895179990447</v>
      </c>
      <c r="AA205" s="386">
        <f t="shared" si="63"/>
        <v>41.184194792398188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0.13391649442935638</v>
      </c>
      <c r="AD205" s="231">
        <f>(INDEX(Models!$BJ205:$BT205,,AH205)*(1-AF205)+INDEX(Models!$BJ205:$BT205,,AH205+1)*AF205-ERP_i)*AE205*Ramure*Pc/MaxiM</f>
        <v>0</v>
      </c>
      <c r="AE205" s="305">
        <f t="shared" si="65"/>
        <v>0.7</v>
      </c>
      <c r="AF205" s="177">
        <f t="shared" si="66"/>
        <v>0.73227918508341672</v>
      </c>
      <c r="AG205" s="817">
        <f t="shared" si="74"/>
        <v>-1</v>
      </c>
      <c r="AH205" s="176">
        <f t="shared" si="67"/>
        <v>5</v>
      </c>
      <c r="AI205" s="225">
        <f t="shared" si="68"/>
        <v>-0.26772081491658328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44753</v>
      </c>
      <c r="B206" s="1106">
        <v>35.274999999999999</v>
      </c>
      <c r="C206" s="846"/>
      <c r="D206" s="393">
        <f t="shared" si="50"/>
        <v>36.488328074282762</v>
      </c>
      <c r="E206" s="385">
        <f t="shared" si="75"/>
        <v>39.735931586193558</v>
      </c>
      <c r="F206" s="385">
        <f t="shared" si="51"/>
        <v>39.735931586193558</v>
      </c>
      <c r="G206" s="110">
        <f t="shared" si="76"/>
        <v>0.94488739869950922</v>
      </c>
      <c r="H206" s="414" t="b">
        <f>Wh_hp&gt;='2021'!Maxi_hp</f>
        <v>0</v>
      </c>
      <c r="I206" s="380">
        <f>IF(H206,Wh_hp,'2021'!Maxi_hp)</f>
        <v>41.921892854152688</v>
      </c>
      <c r="J206" s="85">
        <f>IF(H206,An,'2021'!An_max)</f>
        <v>2019</v>
      </c>
      <c r="K206" s="197">
        <f t="shared" si="52"/>
        <v>44753</v>
      </c>
      <c r="L206" s="147">
        <f>IF(t&lt;Tvie,1-EXP((T0-t)*PertePVj)+'2021'!Pspv,1-EXP((T0-t)*PertePVj)+Pspv)</f>
        <v>3.325249849246803E-2</v>
      </c>
      <c r="M206" s="850"/>
      <c r="N206" s="850"/>
      <c r="O206" s="48">
        <f>IF(t&lt;Tnet,'2021'!Resal+('2021'!Salim-'2021'!Resal)*(1-EXP(('2021'!Tnet-t)/('2021'!Tau_j))),Resal+(Salim-Resal)*(1-EXP((Tnet-t)/(Tau_j))))*Salcycl</f>
        <v>8.1729643228980853E-2</v>
      </c>
      <c r="P206" s="339">
        <f>(INDEX(Models!$BJ206:$BT206,,T206)*(1-R206)+INDEX(Models!$BJ206:$BT206,,T206+1)*R206-ERP_i)*Q206*Ramure*Pc/MaxiM</f>
        <v>0</v>
      </c>
      <c r="Q206" s="305">
        <f t="shared" si="53"/>
        <v>0.7</v>
      </c>
      <c r="R206" s="177">
        <f t="shared" si="54"/>
        <v>0.73441296615839213</v>
      </c>
      <c r="S206" s="817">
        <f t="shared" si="55"/>
        <v>-1</v>
      </c>
      <c r="T206" s="176">
        <f t="shared" si="56"/>
        <v>5</v>
      </c>
      <c r="U206" s="251">
        <f t="shared" si="57"/>
        <v>-0.26558703384160787</v>
      </c>
      <c r="V206" s="383">
        <f t="shared" si="58"/>
        <v>37.332490674074563</v>
      </c>
      <c r="W206" s="402">
        <f t="shared" si="59"/>
        <v>0</v>
      </c>
      <c r="X206" s="157">
        <f t="shared" si="60"/>
        <v>44753</v>
      </c>
      <c r="Y206" s="385">
        <f t="shared" si="61"/>
        <v>33.268402847073936</v>
      </c>
      <c r="Z206" s="385">
        <f t="shared" si="62"/>
        <v>34.412711483811101</v>
      </c>
      <c r="AA206" s="386">
        <f t="shared" si="63"/>
        <v>39.735931586193558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0.13396490002595124</v>
      </c>
      <c r="AD206" s="231">
        <f>(INDEX(Models!$BJ206:$BT206,,AH206)*(1-AF206)+INDEX(Models!$BJ206:$BT206,,AH206+1)*AF206-ERP_i)*AE206*Ramure*Pc/MaxiM</f>
        <v>0</v>
      </c>
      <c r="AE206" s="305">
        <f t="shared" si="65"/>
        <v>0.7</v>
      </c>
      <c r="AF206" s="177">
        <f t="shared" si="66"/>
        <v>0.73441296615839213</v>
      </c>
      <c r="AG206" s="817">
        <f t="shared" si="74"/>
        <v>-1</v>
      </c>
      <c r="AH206" s="176">
        <f t="shared" si="67"/>
        <v>5</v>
      </c>
      <c r="AI206" s="225">
        <f t="shared" si="68"/>
        <v>-0.26558703384160787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44754</v>
      </c>
      <c r="B207" s="1106">
        <v>35.097000000000001</v>
      </c>
      <c r="C207" s="846"/>
      <c r="D207" s="393">
        <f t="shared" ref="D207:D270" si="77">Wh/(1-Ppv)</f>
        <v>36.305000712678662</v>
      </c>
      <c r="E207" s="385">
        <f t="shared" si="75"/>
        <v>39.541137383491282</v>
      </c>
      <c r="F207" s="385">
        <f t="shared" ref="F207:F270" si="78">Wh_sa/(1-Pvg*MEDIAN((-Sdif+Wh/Env_an)/Csdif,0,1))</f>
        <v>39.541137383491282</v>
      </c>
      <c r="G207" s="110">
        <f t="shared" si="76"/>
        <v>0.9419647426952259</v>
      </c>
      <c r="H207" s="414" t="b">
        <f>Wh_hp&gt;='2021'!Maxi_hp</f>
        <v>0</v>
      </c>
      <c r="I207" s="380">
        <f>IF(H207,Wh_hp,'2021'!Maxi_hp)</f>
        <v>42.496597456132768</v>
      </c>
      <c r="J207" s="85">
        <f>IF(H207,An,'2021'!An_max)</f>
        <v>2019</v>
      </c>
      <c r="K207" s="197">
        <f t="shared" ref="K207:K270" si="79">t</f>
        <v>44754</v>
      </c>
      <c r="L207" s="147">
        <f>IF(t&lt;Tvie,1-EXP((T0-t)*PertePVj)+'2021'!Pspv,1-EXP((T0-t)*PertePVj)+Pspv)</f>
        <v>3.3273672743843075E-2</v>
      </c>
      <c r="M207" s="850"/>
      <c r="N207" s="850"/>
      <c r="O207" s="48">
        <f>IF(t&lt;Tnet,'2021'!Resal+('2021'!Salim-'2021'!Resal)*(1-EXP(('2021'!Tnet-t)/('2021'!Tau_j))),Resal+(Salim-Resal)*(1-EXP((Tnet-t)/(Tau_j))))*Salcycl</f>
        <v>8.1842275790572711E-2</v>
      </c>
      <c r="P207" s="339">
        <f>(INDEX(Models!$BJ207:$BT207,,T207)*(1-R207)+INDEX(Models!$BJ207:$BT207,,T207+1)*R207-ERP_i)*Q207*Ramure*Pc/MaxiM</f>
        <v>0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0.73649796271632118</v>
      </c>
      <c r="S207" s="817">
        <f t="shared" ref="S207:S270" si="82">INDEX(Echel_vg,T207)</f>
        <v>-1</v>
      </c>
      <c r="T207" s="176">
        <f t="shared" ref="T207:T270" si="83">MIN(MATCH(Hp_vg,Echel_vg),10)</f>
        <v>5</v>
      </c>
      <c r="U207" s="251">
        <f t="shared" ref="U207:U270" si="84">IF(OR(t&lt;Ttai,Notai),Hdd+PousH*Croivg,Hdtf+PousH*(Croivg-Croi_tai))</f>
        <v>-0.26350203728367882</v>
      </c>
      <c r="V207" s="383">
        <f t="shared" ref="V207:V270" si="85">MaxiM*(1-Ppv)*(1-Pvg)*(1-Psa)</f>
        <v>37.25935633172174</v>
      </c>
      <c r="W207" s="402">
        <f t="shared" ref="W207:W270" si="86">Wh*(A207&gt;Tmaj)</f>
        <v>0</v>
      </c>
      <c r="X207" s="157">
        <f t="shared" ref="X207:X270" si="87">t</f>
        <v>44754</v>
      </c>
      <c r="Y207" s="385">
        <f t="shared" ref="Y207:Y270" si="88">Wh_pvt_s*(1-Ppv)</f>
        <v>33.102795281267646</v>
      </c>
      <c r="Z207" s="385">
        <f t="shared" ref="Z207:Z270" si="89">Wh_sa_s*(1-Psa_s)</f>
        <v>34.242157628232547</v>
      </c>
      <c r="AA207" s="386">
        <f t="shared" ref="AA207:AA270" si="90">Wh_hp*(1-Pvg_s*MEDIAN((-Sdif+Wh/Env_an)/Csdif,0,1))</f>
        <v>39.541137383491282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0.13401181923186414</v>
      </c>
      <c r="AD207" s="231">
        <f>(INDEX(Models!$BJ207:$BT207,,AH207)*(1-AF207)+INDEX(Models!$BJ207:$BT207,,AH207+1)*AF207-ERP_i)*AE207*Ramure*Pc/MaxiM</f>
        <v>0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0.73649796271632118</v>
      </c>
      <c r="AG207" s="817">
        <f t="shared" si="74"/>
        <v>-1</v>
      </c>
      <c r="AH207" s="176">
        <f t="shared" ref="AH207:AH270" si="94">MIN(MATCH(Hp_vg_s,Echel_vg),10)</f>
        <v>5</v>
      </c>
      <c r="AI207" s="225">
        <f t="shared" ref="AI207:AI270" si="95">IF(OR(t&lt;Ttai,Notai),Hdd_s+PousH*Croivg,Hdtai_s+PousH*(Croivg-Croi_tai))</f>
        <v>-0.26350203728367882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44755</v>
      </c>
      <c r="B208" s="1106">
        <v>34.956000000000003</v>
      </c>
      <c r="C208" s="846"/>
      <c r="D208" s="393">
        <f t="shared" si="77"/>
        <v>36.159939640931221</v>
      </c>
      <c r="E208" s="385">
        <f t="shared" si="75"/>
        <v>39.387936405089434</v>
      </c>
      <c r="F208" s="385">
        <f t="shared" si="78"/>
        <v>39.387936405089434</v>
      </c>
      <c r="G208" s="110">
        <f t="shared" si="76"/>
        <v>0.94009613811394988</v>
      </c>
      <c r="H208" s="414" t="b">
        <f>Wh_hp&gt;='2021'!Maxi_hp</f>
        <v>1</v>
      </c>
      <c r="I208" s="380">
        <f>IF(H208,Wh_hp,'2021'!Maxi_hp)</f>
        <v>39.387936405089434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3.3294846531447764E-2</v>
      </c>
      <c r="M208" s="850"/>
      <c r="N208" s="850"/>
      <c r="O208" s="48">
        <f>IF(t&lt;Tnet,'2021'!Resal+('2021'!Salim-'2021'!Resal)*(1-EXP(('2021'!Tnet-t)/('2021'!Tau_j))),Resal+(Salim-Resal)*(1-EXP((Tnet-t)/(Tau_j))))*Salcycl</f>
        <v>8.1953944755052383E-2</v>
      </c>
      <c r="P208" s="339">
        <f>(INDEX(Models!$BJ208:$BT208,,T208)*(1-R208)+INDEX(Models!$BJ208:$BT208,,T208+1)*R208-ERP_i)*Q208*Ramure*Pc/MaxiM</f>
        <v>0</v>
      </c>
      <c r="Q208" s="305">
        <f t="shared" si="80"/>
        <v>0.7</v>
      </c>
      <c r="R208" s="177">
        <f t="shared" si="81"/>
        <v>0.73853412866655832</v>
      </c>
      <c r="S208" s="817">
        <f t="shared" si="82"/>
        <v>-1</v>
      </c>
      <c r="T208" s="176">
        <f t="shared" si="83"/>
        <v>5</v>
      </c>
      <c r="U208" s="251">
        <f t="shared" si="84"/>
        <v>-0.26146587133344168</v>
      </c>
      <c r="V208" s="383">
        <f t="shared" si="85"/>
        <v>37.18343112240607</v>
      </c>
      <c r="W208" s="402">
        <f t="shared" si="86"/>
        <v>0</v>
      </c>
      <c r="X208" s="157">
        <f t="shared" si="87"/>
        <v>44755</v>
      </c>
      <c r="Y208" s="385">
        <f t="shared" si="88"/>
        <v>32.97208474176248</v>
      </c>
      <c r="Z208" s="385">
        <f t="shared" si="89"/>
        <v>34.107695219641847</v>
      </c>
      <c r="AA208" s="386">
        <f t="shared" si="90"/>
        <v>39.387936405089434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0.13405731976263952</v>
      </c>
      <c r="AD208" s="231">
        <f>(INDEX(Models!$BJ208:$BT208,,AH208)*(1-AF208)+INDEX(Models!$BJ208:$BT208,,AH208+1)*AF208-ERP_i)*AE208*Ramure*Pc/MaxiM</f>
        <v>0</v>
      </c>
      <c r="AE208" s="305">
        <f t="shared" si="92"/>
        <v>0.7</v>
      </c>
      <c r="AF208" s="177">
        <f t="shared" si="93"/>
        <v>0.73853412866655832</v>
      </c>
      <c r="AG208" s="817">
        <f t="shared" ref="AG208:AG271" si="99">INDEX(Echel_vg,AH208)</f>
        <v>-1</v>
      </c>
      <c r="AH208" s="176">
        <f t="shared" si="94"/>
        <v>5</v>
      </c>
      <c r="AI208" s="225">
        <f t="shared" si="95"/>
        <v>-0.26146587133344168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44756</v>
      </c>
      <c r="B209" s="1106">
        <v>34.340000000000003</v>
      </c>
      <c r="C209" s="846"/>
      <c r="D209" s="393">
        <f t="shared" si="77"/>
        <v>35.523501687551985</v>
      </c>
      <c r="E209" s="385">
        <f t="shared" si="75"/>
        <v>38.699351978486845</v>
      </c>
      <c r="F209" s="385">
        <f t="shared" si="78"/>
        <v>38.699351978486845</v>
      </c>
      <c r="G209" s="110">
        <f t="shared" si="76"/>
        <v>0.92547938709795585</v>
      </c>
      <c r="H209" s="414" t="b">
        <f>Wh_hp&gt;='2021'!Maxi_hp</f>
        <v>0</v>
      </c>
      <c r="I209" s="380">
        <f>IF(H209,Wh_hp,'2021'!Maxi_hp)</f>
        <v>42.613851519576691</v>
      </c>
      <c r="J209" s="85">
        <f>IF(H209,An,'2021'!An_max)</f>
        <v>2020</v>
      </c>
      <c r="K209" s="197">
        <f t="shared" si="79"/>
        <v>44756</v>
      </c>
      <c r="L209" s="147">
        <f>IF(t&lt;Tvie,1-EXP((T0-t)*PertePVj)+'2021'!Pspv,1-EXP((T0-t)*PertePVj)+Pspv)</f>
        <v>3.3316019855292089E-2</v>
      </c>
      <c r="M209" s="850"/>
      <c r="N209" s="850"/>
      <c r="O209" s="48">
        <f>IF(t&lt;Tnet,'2021'!Resal+('2021'!Salim-'2021'!Resal)*(1-EXP(('2021'!Tnet-t)/('2021'!Tau_j))),Resal+(Salim-Resal)*(1-EXP((Tnet-t)/(Tau_j))))*Salcycl</f>
        <v>8.2064689163279275E-2</v>
      </c>
      <c r="P209" s="339">
        <f>(INDEX(Models!$BJ209:$BT209,,T209)*(1-R209)+INDEX(Models!$BJ209:$BT209,,T209+1)*R209-ERP_i)*Q209*Ramure*Pc/MaxiM</f>
        <v>0</v>
      </c>
      <c r="Q209" s="305">
        <f t="shared" si="80"/>
        <v>0.7</v>
      </c>
      <c r="R209" s="177">
        <f t="shared" si="81"/>
        <v>0.74052150055520727</v>
      </c>
      <c r="S209" s="817">
        <f t="shared" si="82"/>
        <v>-1</v>
      </c>
      <c r="T209" s="176">
        <f t="shared" si="83"/>
        <v>5</v>
      </c>
      <c r="U209" s="251">
        <f t="shared" si="84"/>
        <v>-0.25947849944479273</v>
      </c>
      <c r="V209" s="383">
        <f t="shared" si="85"/>
        <v>37.105094374582045</v>
      </c>
      <c r="W209" s="402">
        <f t="shared" si="86"/>
        <v>0</v>
      </c>
      <c r="X209" s="157">
        <f t="shared" si="87"/>
        <v>44756</v>
      </c>
      <c r="Y209" s="385">
        <f t="shared" si="88"/>
        <v>32.393301780643739</v>
      </c>
      <c r="Z209" s="385">
        <f t="shared" si="89"/>
        <v>33.509712011359305</v>
      </c>
      <c r="AA209" s="386">
        <f t="shared" si="90"/>
        <v>38.699351978486845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0.13410146945128396</v>
      </c>
      <c r="AD209" s="231">
        <f>(INDEX(Models!$BJ209:$BT209,,AH209)*(1-AF209)+INDEX(Models!$BJ209:$BT209,,AH209+1)*AF209-ERP_i)*AE209*Ramure*Pc/MaxiM</f>
        <v>0</v>
      </c>
      <c r="AE209" s="305">
        <f t="shared" si="92"/>
        <v>0.7</v>
      </c>
      <c r="AF209" s="177">
        <f t="shared" si="93"/>
        <v>0.74052150055520727</v>
      </c>
      <c r="AG209" s="817">
        <f t="shared" si="99"/>
        <v>-1</v>
      </c>
      <c r="AH209" s="176">
        <f t="shared" si="94"/>
        <v>5</v>
      </c>
      <c r="AI209" s="225">
        <f t="shared" si="95"/>
        <v>-0.25947849944479273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44757</v>
      </c>
      <c r="B210" s="1106">
        <v>33.249000000000002</v>
      </c>
      <c r="C210" s="846"/>
      <c r="D210" s="393">
        <f t="shared" si="77"/>
        <v>34.395654564798548</v>
      </c>
      <c r="E210" s="385">
        <f t="shared" si="75"/>
        <v>37.475158803509267</v>
      </c>
      <c r="F210" s="385">
        <f t="shared" si="78"/>
        <v>37.475158803509267</v>
      </c>
      <c r="G210" s="110">
        <f t="shared" si="76"/>
        <v>0.89802152000179791</v>
      </c>
      <c r="H210" s="414" t="b">
        <f>Wh_hp&gt;='2021'!Maxi_hp</f>
        <v>0</v>
      </c>
      <c r="I210" s="380">
        <f>IF(H210,Wh_hp,'2021'!Maxi_hp)</f>
        <v>43.03729894617058</v>
      </c>
      <c r="J210" s="85">
        <f>IF(H210,An,'2021'!An_max)</f>
        <v>2019</v>
      </c>
      <c r="K210" s="197">
        <f t="shared" si="79"/>
        <v>44757</v>
      </c>
      <c r="L210" s="147">
        <f>IF(t&lt;Tvie,1-EXP((T0-t)*PertePVj)+'2021'!Pspv,1-EXP((T0-t)*PertePVj)+Pspv)</f>
        <v>3.3337192715386266E-2</v>
      </c>
      <c r="M210" s="850"/>
      <c r="N210" s="850"/>
      <c r="O210" s="48">
        <f>IF(t&lt;Tnet,'2021'!Resal+('2021'!Salim-'2021'!Resal)*(1-EXP(('2021'!Tnet-t)/('2021'!Tau_j))),Resal+(Salim-Resal)*(1-EXP((Tnet-t)/(Tau_j))))*Salcycl</f>
        <v>8.2174548074826173E-2</v>
      </c>
      <c r="P210" s="339">
        <f>(INDEX(Models!$BJ210:$BT210,,T210)*(1-R210)+INDEX(Models!$BJ210:$BT210,,T210+1)*R210-ERP_i)*Q210*Ramure*Pc/MaxiM</f>
        <v>0</v>
      </c>
      <c r="Q210" s="305">
        <f t="shared" si="80"/>
        <v>0.7</v>
      </c>
      <c r="R210" s="177">
        <f t="shared" si="81"/>
        <v>0.74246019359803106</v>
      </c>
      <c r="S210" s="817">
        <f t="shared" si="82"/>
        <v>-1</v>
      </c>
      <c r="T210" s="176">
        <f t="shared" si="83"/>
        <v>5</v>
      </c>
      <c r="U210" s="251">
        <f t="shared" si="84"/>
        <v>-0.257539806401969</v>
      </c>
      <c r="V210" s="383">
        <f t="shared" si="85"/>
        <v>37.024725198048074</v>
      </c>
      <c r="W210" s="402">
        <f t="shared" si="86"/>
        <v>0</v>
      </c>
      <c r="X210" s="157">
        <f t="shared" si="87"/>
        <v>44757</v>
      </c>
      <c r="Y210" s="385">
        <f t="shared" si="88"/>
        <v>31.366350667516166</v>
      </c>
      <c r="Z210" s="385">
        <f t="shared" si="89"/>
        <v>32.448078514187621</v>
      </c>
      <c r="AA210" s="386">
        <f t="shared" si="90"/>
        <v>37.475158803509267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0.13414433587005625</v>
      </c>
      <c r="AD210" s="231">
        <f>(INDEX(Models!$BJ210:$BT210,,AH210)*(1-AF210)+INDEX(Models!$BJ210:$BT210,,AH210+1)*AF210-ERP_i)*AE210*Ramure*Pc/MaxiM</f>
        <v>0</v>
      </c>
      <c r="AE210" s="305">
        <f t="shared" si="92"/>
        <v>0.7</v>
      </c>
      <c r="AF210" s="177">
        <f t="shared" si="93"/>
        <v>0.74246019359803106</v>
      </c>
      <c r="AG210" s="817">
        <f t="shared" si="99"/>
        <v>-1</v>
      </c>
      <c r="AH210" s="176">
        <f t="shared" si="94"/>
        <v>5</v>
      </c>
      <c r="AI210" s="225">
        <f t="shared" si="95"/>
        <v>-0.257539806401969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44758</v>
      </c>
      <c r="B211" s="1106">
        <v>34.460999999999999</v>
      </c>
      <c r="C211" s="846"/>
      <c r="D211" s="393">
        <f t="shared" si="77"/>
        <v>35.650233505598557</v>
      </c>
      <c r="E211" s="385">
        <f t="shared" si="75"/>
        <v>38.84667634256131</v>
      </c>
      <c r="F211" s="385">
        <f t="shared" si="78"/>
        <v>38.84667634256131</v>
      </c>
      <c r="G211" s="110">
        <f t="shared" si="76"/>
        <v>0.93282293048919607</v>
      </c>
      <c r="H211" s="414" t="b">
        <f>Wh_hp&gt;='2021'!Maxi_hp</f>
        <v>0</v>
      </c>
      <c r="I211" s="380">
        <f>IF(H211,Wh_hp,'2021'!Maxi_hp)</f>
        <v>41.785421826741953</v>
      </c>
      <c r="J211" s="85">
        <f>IF(H211,An,'2021'!An_max)</f>
        <v>2019</v>
      </c>
      <c r="K211" s="197">
        <f t="shared" si="79"/>
        <v>44758</v>
      </c>
      <c r="L211" s="147">
        <f>IF(t&lt;Tvie,1-EXP((T0-t)*PertePVj)+'2021'!Pspv,1-EXP((T0-t)*PertePVj)+Pspv)</f>
        <v>3.3358365111740507E-2</v>
      </c>
      <c r="M211" s="850"/>
      <c r="N211" s="850"/>
      <c r="O211" s="48">
        <f>IF(t&lt;Tnet,'2021'!Resal+('2021'!Salim-'2021'!Resal)*(1-EXP(('2021'!Tnet-t)/('2021'!Tau_j))),Resal+(Salim-Resal)*(1-EXP((Tnet-t)/(Tau_j))))*Salcycl</f>
        <v>8.2283560343118872E-2</v>
      </c>
      <c r="P211" s="339">
        <f>(INDEX(Models!$BJ211:$BT211,,T211)*(1-R211)+INDEX(Models!$BJ211:$BT211,,T211+1)*R211-ERP_i)*Q211*Ramure*Pc/MaxiM</f>
        <v>0</v>
      </c>
      <c r="Q211" s="305">
        <f t="shared" si="80"/>
        <v>0.7</v>
      </c>
      <c r="R211" s="177">
        <f t="shared" si="81"/>
        <v>0.74435039760457034</v>
      </c>
      <c r="S211" s="817">
        <f t="shared" si="82"/>
        <v>-1</v>
      </c>
      <c r="T211" s="176">
        <f t="shared" si="83"/>
        <v>5</v>
      </c>
      <c r="U211" s="251">
        <f t="shared" si="84"/>
        <v>-0.25564960239542966</v>
      </c>
      <c r="V211" s="383">
        <f t="shared" si="85"/>
        <v>36.942702493310037</v>
      </c>
      <c r="W211" s="402">
        <f t="shared" si="86"/>
        <v>0</v>
      </c>
      <c r="X211" s="157">
        <f t="shared" si="87"/>
        <v>44758</v>
      </c>
      <c r="Y211" s="385">
        <f t="shared" si="88"/>
        <v>32.512021631394767</v>
      </c>
      <c r="Z211" s="385">
        <f t="shared" si="89"/>
        <v>33.633996776016218</v>
      </c>
      <c r="AA211" s="386">
        <f t="shared" si="90"/>
        <v>38.84667634256131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0.13418598596642251</v>
      </c>
      <c r="AD211" s="231">
        <f>(INDEX(Models!$BJ211:$BT211,,AH211)*(1-AF211)+INDEX(Models!$BJ211:$BT211,,AH211+1)*AF211-ERP_i)*AE211*Ramure*Pc/MaxiM</f>
        <v>0</v>
      </c>
      <c r="AE211" s="305">
        <f t="shared" si="92"/>
        <v>0.7</v>
      </c>
      <c r="AF211" s="177">
        <f t="shared" si="93"/>
        <v>0.74435039760457034</v>
      </c>
      <c r="AG211" s="817">
        <f t="shared" si="99"/>
        <v>-1</v>
      </c>
      <c r="AH211" s="176">
        <f t="shared" si="94"/>
        <v>5</v>
      </c>
      <c r="AI211" s="225">
        <f t="shared" si="95"/>
        <v>-0.25564960239542966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44759</v>
      </c>
      <c r="B212" s="1106">
        <v>33.785000000000004</v>
      </c>
      <c r="C212" s="846"/>
      <c r="D212" s="393">
        <f t="shared" si="77"/>
        <v>34.951670582987269</v>
      </c>
      <c r="E212" s="385">
        <f t="shared" si="75"/>
        <v>38.08997045466694</v>
      </c>
      <c r="F212" s="385">
        <f t="shared" si="78"/>
        <v>38.08997045466694</v>
      </c>
      <c r="G212" s="110">
        <f t="shared" si="76"/>
        <v>0.91659103096557981</v>
      </c>
      <c r="H212" s="414" t="b">
        <f>Wh_hp&gt;='2021'!Maxi_hp</f>
        <v>0</v>
      </c>
      <c r="I212" s="380">
        <f>IF(H212,Wh_hp,'2021'!Maxi_hp)</f>
        <v>41.903533821101661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3.3379537044364915E-2</v>
      </c>
      <c r="M212" s="850"/>
      <c r="N212" s="850"/>
      <c r="O212" s="48">
        <f>IF(t&lt;Tnet,'2021'!Resal+('2021'!Salim-'2021'!Resal)*(1-EXP(('2021'!Tnet-t)/('2021'!Tau_j))),Resal+(Salim-Resal)*(1-EXP((Tnet-t)/(Tau_j))))*Salcycl</f>
        <v>8.2391764399364339E-2</v>
      </c>
      <c r="P212" s="339">
        <f>(INDEX(Models!$BJ212:$BT212,,T212)*(1-R212)+INDEX(Models!$BJ212:$BT212,,T212+1)*R212-ERP_i)*Q212*Ramure*Pc/MaxiM</f>
        <v>0</v>
      </c>
      <c r="Q212" s="305">
        <f t="shared" si="80"/>
        <v>0.7</v>
      </c>
      <c r="R212" s="177">
        <f t="shared" si="81"/>
        <v>0.7461923728243065</v>
      </c>
      <c r="S212" s="817">
        <f t="shared" si="82"/>
        <v>-1</v>
      </c>
      <c r="T212" s="176">
        <f t="shared" si="83"/>
        <v>5</v>
      </c>
      <c r="U212" s="251">
        <f t="shared" si="84"/>
        <v>-0.2538076271756935</v>
      </c>
      <c r="V212" s="383">
        <f t="shared" si="85"/>
        <v>36.859404967566952</v>
      </c>
      <c r="W212" s="402">
        <f t="shared" si="86"/>
        <v>0</v>
      </c>
      <c r="X212" s="157">
        <f t="shared" si="87"/>
        <v>44759</v>
      </c>
      <c r="Y212" s="385">
        <f t="shared" si="88"/>
        <v>31.876520987145241</v>
      </c>
      <c r="Z212" s="385">
        <f t="shared" si="89"/>
        <v>32.977287579528799</v>
      </c>
      <c r="AA212" s="386">
        <f t="shared" si="90"/>
        <v>38.08997045466694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0.13422648571552553</v>
      </c>
      <c r="AD212" s="231">
        <f>(INDEX(Models!$BJ212:$BT212,,AH212)*(1-AF212)+INDEX(Models!$BJ212:$BT212,,AH212+1)*AF212-ERP_i)*AE212*Ramure*Pc/MaxiM</f>
        <v>0</v>
      </c>
      <c r="AE212" s="305">
        <f t="shared" si="92"/>
        <v>0.7</v>
      </c>
      <c r="AF212" s="177">
        <f t="shared" si="93"/>
        <v>0.7461923728243065</v>
      </c>
      <c r="AG212" s="817">
        <f t="shared" si="99"/>
        <v>-1</v>
      </c>
      <c r="AH212" s="176">
        <f t="shared" si="94"/>
        <v>5</v>
      </c>
      <c r="AI212" s="225">
        <f t="shared" si="95"/>
        <v>-0.2538076271756935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44760</v>
      </c>
      <c r="B213" s="1106">
        <v>33.716000000000001</v>
      </c>
      <c r="C213" s="846"/>
      <c r="D213" s="393">
        <f t="shared" si="77"/>
        <v>34.881051845321842</v>
      </c>
      <c r="E213" s="385">
        <f t="shared" si="75"/>
        <v>38.01746196958247</v>
      </c>
      <c r="F213" s="385">
        <f t="shared" si="78"/>
        <v>38.01746196958247</v>
      </c>
      <c r="G213" s="110">
        <f t="shared" si="76"/>
        <v>0.91681322685587774</v>
      </c>
      <c r="H213" s="414" t="b">
        <f>Wh_hp&gt;='2021'!Maxi_hp</f>
        <v>1</v>
      </c>
      <c r="I213" s="380">
        <f>IF(H213,Wh_hp,'2021'!Maxi_hp)</f>
        <v>38.01746196958247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3.3400708513269706E-2</v>
      </c>
      <c r="M213" s="850"/>
      <c r="N213" s="850"/>
      <c r="O213" s="48">
        <f>IF(t&lt;Tnet,'2021'!Resal+('2021'!Salim-'2021'!Resal)*(1-EXP(('2021'!Tnet-t)/('2021'!Tau_j))),Resal+(Salim-Resal)*(1-EXP((Tnet-t)/(Tau_j))))*Salcycl</f>
        <v>8.2499198046677852E-2</v>
      </c>
      <c r="P213" s="339">
        <f>(INDEX(Models!$BJ213:$BT213,,T213)*(1-R213)+INDEX(Models!$BJ213:$BT213,,T213+1)*R213-ERP_i)*Q213*Ramure*Pc/MaxiM</f>
        <v>0</v>
      </c>
      <c r="Q213" s="305">
        <f t="shared" si="80"/>
        <v>0.7</v>
      </c>
      <c r="R213" s="177">
        <f t="shared" si="81"/>
        <v>0.74798644574399442</v>
      </c>
      <c r="S213" s="817">
        <f t="shared" si="82"/>
        <v>-1</v>
      </c>
      <c r="T213" s="176">
        <f t="shared" si="83"/>
        <v>5</v>
      </c>
      <c r="U213" s="251">
        <f t="shared" si="84"/>
        <v>-0.25201355425600558</v>
      </c>
      <c r="V213" s="383">
        <f t="shared" si="85"/>
        <v>36.775211147013835</v>
      </c>
      <c r="W213" s="402">
        <f t="shared" si="86"/>
        <v>0</v>
      </c>
      <c r="X213" s="157">
        <f t="shared" si="87"/>
        <v>44760</v>
      </c>
      <c r="Y213" s="385">
        <f t="shared" si="88"/>
        <v>31.813695269249912</v>
      </c>
      <c r="Z213" s="385">
        <f t="shared" si="89"/>
        <v>32.913013230453686</v>
      </c>
      <c r="AA213" s="386">
        <f t="shared" si="90"/>
        <v>38.01746196958247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0.1342658997913333</v>
      </c>
      <c r="AD213" s="231">
        <f>(INDEX(Models!$BJ213:$BT213,,AH213)*(1-AF213)+INDEX(Models!$BJ213:$BT213,,AH213+1)*AF213-ERP_i)*AE213*Ramure*Pc/MaxiM</f>
        <v>0</v>
      </c>
      <c r="AE213" s="305">
        <f t="shared" si="92"/>
        <v>0.7</v>
      </c>
      <c r="AF213" s="177">
        <f t="shared" si="93"/>
        <v>0.74798644574399442</v>
      </c>
      <c r="AG213" s="817">
        <f t="shared" si="99"/>
        <v>-1</v>
      </c>
      <c r="AH213" s="176">
        <f t="shared" si="94"/>
        <v>5</v>
      </c>
      <c r="AI213" s="225">
        <f t="shared" si="95"/>
        <v>-0.25201355425600558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44761</v>
      </c>
      <c r="B214" s="1106">
        <v>26.175000000000001</v>
      </c>
      <c r="C214" s="846"/>
      <c r="D214" s="393">
        <f t="shared" si="77"/>
        <v>27.080066727519135</v>
      </c>
      <c r="E214" s="385">
        <f t="shared" si="75"/>
        <v>29.518466138299036</v>
      </c>
      <c r="F214" s="385">
        <f t="shared" si="78"/>
        <v>29.518466138299036</v>
      </c>
      <c r="G214" s="110">
        <f t="shared" si="76"/>
        <v>0.71339993834079896</v>
      </c>
      <c r="H214" s="414" t="b">
        <f>Wh_hp&gt;='2021'!Maxi_hp</f>
        <v>0</v>
      </c>
      <c r="I214" s="380">
        <f>IF(H214,Wh_hp,'2021'!Maxi_hp)</f>
        <v>42.433234679233138</v>
      </c>
      <c r="J214" s="85">
        <f>IF(H214,An,'2021'!An_max)</f>
        <v>2020</v>
      </c>
      <c r="K214" s="197">
        <f t="shared" si="79"/>
        <v>44761</v>
      </c>
      <c r="L214" s="147">
        <f>IF(t&lt;Tvie,1-EXP((T0-t)*PertePVj)+'2021'!Pspv,1-EXP((T0-t)*PertePVj)+Pspv)</f>
        <v>3.342187951846487E-2</v>
      </c>
      <c r="M214" s="850"/>
      <c r="N214" s="850"/>
      <c r="O214" s="48">
        <f>IF(t&lt;Tnet,'2021'!Resal+('2021'!Salim-'2021'!Resal)*(1-EXP(('2021'!Tnet-t)/('2021'!Tau_j))),Resal+(Salim-Resal)*(1-EXP((Tnet-t)/(Tau_j))))*Salcycl</f>
        <v>8.2605898265702096E-2</v>
      </c>
      <c r="P214" s="339">
        <f>(INDEX(Models!$BJ214:$BT214,,T214)*(1-R214)+INDEX(Models!$BJ214:$BT214,,T214+1)*R214-ERP_i)*Q214*Ramure*Pc/MaxiM</f>
        <v>0</v>
      </c>
      <c r="Q214" s="305">
        <f t="shared" si="80"/>
        <v>0.7</v>
      </c>
      <c r="R214" s="177">
        <f t="shared" si="81"/>
        <v>0.74973300486344951</v>
      </c>
      <c r="S214" s="817">
        <f t="shared" si="82"/>
        <v>-1</v>
      </c>
      <c r="T214" s="176">
        <f t="shared" si="83"/>
        <v>5</v>
      </c>
      <c r="U214" s="251">
        <f t="shared" si="84"/>
        <v>-0.25026699513655049</v>
      </c>
      <c r="V214" s="383">
        <f t="shared" si="85"/>
        <v>36.690499386468851</v>
      </c>
      <c r="W214" s="402">
        <f t="shared" si="86"/>
        <v>0</v>
      </c>
      <c r="X214" s="157">
        <f t="shared" si="87"/>
        <v>44761</v>
      </c>
      <c r="Y214" s="385">
        <f t="shared" si="88"/>
        <v>24.699946439020781</v>
      </c>
      <c r="Z214" s="385">
        <f t="shared" si="89"/>
        <v>25.554009464558984</v>
      </c>
      <c r="AA214" s="386">
        <f t="shared" si="90"/>
        <v>29.518466138299036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0.13430429125842439</v>
      </c>
      <c r="AD214" s="231">
        <f>(INDEX(Models!$BJ214:$BT214,,AH214)*(1-AF214)+INDEX(Models!$BJ214:$BT214,,AH214+1)*AF214-ERP_i)*AE214*Ramure*Pc/MaxiM</f>
        <v>0</v>
      </c>
      <c r="AE214" s="305">
        <f t="shared" si="92"/>
        <v>0.7</v>
      </c>
      <c r="AF214" s="177">
        <f t="shared" si="93"/>
        <v>0.74973300486344951</v>
      </c>
      <c r="AG214" s="817">
        <f t="shared" si="99"/>
        <v>-1</v>
      </c>
      <c r="AH214" s="176">
        <f t="shared" si="94"/>
        <v>5</v>
      </c>
      <c r="AI214" s="225">
        <f t="shared" si="95"/>
        <v>-0.25026699513655049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44762</v>
      </c>
      <c r="B215" s="1106">
        <v>25.619</v>
      </c>
      <c r="C215" s="846"/>
      <c r="D215" s="393">
        <f t="shared" si="77"/>
        <v>26.505422160162716</v>
      </c>
      <c r="E215" s="385">
        <f t="shared" si="75"/>
        <v>28.895417034199351</v>
      </c>
      <c r="F215" s="385">
        <f t="shared" si="78"/>
        <v>28.895417034199351</v>
      </c>
      <c r="G215" s="110">
        <f t="shared" si="76"/>
        <v>0.69986467891079762</v>
      </c>
      <c r="H215" s="414" t="b">
        <f>Wh_hp&gt;='2021'!Maxi_hp</f>
        <v>0</v>
      </c>
      <c r="I215" s="380">
        <f>IF(H215,Wh_hp,'2021'!Maxi_hp)</f>
        <v>41.130665538224456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3.3443050059960844E-2</v>
      </c>
      <c r="M215" s="850"/>
      <c r="N215" s="850"/>
      <c r="O215" s="48">
        <f>IF(t&lt;Tnet,'2021'!Resal+('2021'!Salim-'2021'!Resal)*(1-EXP(('2021'!Tnet-t)/('2021'!Tau_j))),Resal+(Salim-Resal)*(1-EXP((Tnet-t)/(Tau_j))))*Salcycl</f>
        <v>8.2711901032884977E-2</v>
      </c>
      <c r="P215" s="339">
        <f>(INDEX(Models!$BJ215:$BT215,,T215)*(1-R215)+INDEX(Models!$BJ215:$BT215,,T215+1)*R215-ERP_i)*Q215*Ramure*Pc/MaxiM</f>
        <v>0</v>
      </c>
      <c r="Q215" s="305">
        <f t="shared" si="80"/>
        <v>0.7</v>
      </c>
      <c r="R215" s="177">
        <f t="shared" si="81"/>
        <v>0.75143249647512278</v>
      </c>
      <c r="S215" s="817">
        <f t="shared" si="82"/>
        <v>-1</v>
      </c>
      <c r="T215" s="176">
        <f t="shared" si="83"/>
        <v>5</v>
      </c>
      <c r="U215" s="251">
        <f t="shared" si="84"/>
        <v>-0.24856750352487722</v>
      </c>
      <c r="V215" s="383">
        <f t="shared" si="85"/>
        <v>36.605647880203009</v>
      </c>
      <c r="W215" s="402">
        <f t="shared" si="86"/>
        <v>0</v>
      </c>
      <c r="X215" s="157">
        <f t="shared" si="87"/>
        <v>44762</v>
      </c>
      <c r="Y215" s="385">
        <f t="shared" si="88"/>
        <v>24.177027334533495</v>
      </c>
      <c r="Z215" s="385">
        <f t="shared" si="89"/>
        <v>25.013556972543967</v>
      </c>
      <c r="AA215" s="386">
        <f t="shared" si="90"/>
        <v>28.895417034199351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0.13434172128614666</v>
      </c>
      <c r="AD215" s="231">
        <f>(INDEX(Models!$BJ215:$BT215,,AH215)*(1-AF215)+INDEX(Models!$BJ215:$BT215,,AH215+1)*AF215-ERP_i)*AE215*Ramure*Pc/MaxiM</f>
        <v>0</v>
      </c>
      <c r="AE215" s="305">
        <f t="shared" si="92"/>
        <v>0.7</v>
      </c>
      <c r="AF215" s="177">
        <f t="shared" si="93"/>
        <v>0.75143249647512278</v>
      </c>
      <c r="AG215" s="817">
        <f t="shared" si="99"/>
        <v>-1</v>
      </c>
      <c r="AH215" s="176">
        <f t="shared" si="94"/>
        <v>5</v>
      </c>
      <c r="AI215" s="225">
        <f t="shared" si="95"/>
        <v>-0.24856750352487722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44763</v>
      </c>
      <c r="B216" s="1106">
        <v>33.448999999999998</v>
      </c>
      <c r="C216" s="846"/>
      <c r="D216" s="393">
        <f t="shared" si="77"/>
        <v>34.60709959932133</v>
      </c>
      <c r="E216" s="385">
        <f t="shared" si="75"/>
        <v>37.731956107423237</v>
      </c>
      <c r="F216" s="385">
        <f t="shared" si="78"/>
        <v>37.731956107423237</v>
      </c>
      <c r="G216" s="110">
        <f t="shared" si="76"/>
        <v>0.91588314241112123</v>
      </c>
      <c r="H216" s="414" t="b">
        <f>Wh_hp&gt;='2021'!Maxi_hp</f>
        <v>1</v>
      </c>
      <c r="I216" s="380">
        <f>IF(H216,Wh_hp,'2021'!Maxi_hp)</f>
        <v>37.731956107423237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3.3464220137767509E-2</v>
      </c>
      <c r="M216" s="850"/>
      <c r="N216" s="850"/>
      <c r="O216" s="48">
        <f>IF(t&lt;Tnet,'2021'!Resal+('2021'!Salim-'2021'!Resal)*(1-EXP(('2021'!Tnet-t)/('2021'!Tau_j))),Resal+(Salim-Resal)*(1-EXP((Tnet-t)/(Tau_j))))*Salcycl</f>
        <v>8.2817241152444029E-2</v>
      </c>
      <c r="P216" s="339">
        <f>(INDEX(Models!$BJ216:$BT216,,T216)*(1-R216)+INDEX(Models!$BJ216:$BT216,,T216+1)*R216-ERP_i)*Q216*Ramure*Pc/MaxiM</f>
        <v>0</v>
      </c>
      <c r="Q216" s="305">
        <f t="shared" si="80"/>
        <v>0.7</v>
      </c>
      <c r="R216" s="177">
        <f t="shared" si="81"/>
        <v>0.75308542047076932</v>
      </c>
      <c r="S216" s="817">
        <f t="shared" si="82"/>
        <v>-1</v>
      </c>
      <c r="T216" s="176">
        <f t="shared" si="83"/>
        <v>5</v>
      </c>
      <c r="U216" s="251">
        <f t="shared" si="84"/>
        <v>-0.24691457952923063</v>
      </c>
      <c r="V216" s="383">
        <f t="shared" si="85"/>
        <v>36.521034672549334</v>
      </c>
      <c r="W216" s="402">
        <f t="shared" si="86"/>
        <v>0</v>
      </c>
      <c r="X216" s="157">
        <f t="shared" si="87"/>
        <v>44763</v>
      </c>
      <c r="Y216" s="385">
        <f t="shared" si="88"/>
        <v>31.568606881982284</v>
      </c>
      <c r="Z216" s="385">
        <f t="shared" si="89"/>
        <v>32.661601918639775</v>
      </c>
      <c r="AA216" s="386">
        <f t="shared" si="90"/>
        <v>37.731956107423237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0.13437824888664959</v>
      </c>
      <c r="AD216" s="231">
        <f>(INDEX(Models!$BJ216:$BT216,,AH216)*(1-AF216)+INDEX(Models!$BJ216:$BT216,,AH216+1)*AF216-ERP_i)*AE216*Ramure*Pc/MaxiM</f>
        <v>0</v>
      </c>
      <c r="AE216" s="305">
        <f t="shared" si="92"/>
        <v>0.7</v>
      </c>
      <c r="AF216" s="177">
        <f t="shared" si="93"/>
        <v>0.75308542047076932</v>
      </c>
      <c r="AG216" s="817">
        <f t="shared" si="99"/>
        <v>-1</v>
      </c>
      <c r="AH216" s="176">
        <f t="shared" si="94"/>
        <v>5</v>
      </c>
      <c r="AI216" s="225">
        <f t="shared" si="95"/>
        <v>-0.24691457952923063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44764</v>
      </c>
      <c r="B217" s="1106">
        <v>26.548000000000002</v>
      </c>
      <c r="C217" s="846"/>
      <c r="D217" s="393">
        <f t="shared" si="77"/>
        <v>27.467768948867846</v>
      </c>
      <c r="E217" s="385">
        <f t="shared" si="75"/>
        <v>29.951397279492873</v>
      </c>
      <c r="F217" s="385">
        <f t="shared" si="78"/>
        <v>29.951397279492873</v>
      </c>
      <c r="G217" s="110">
        <f t="shared" si="76"/>
        <v>0.72859929625709596</v>
      </c>
      <c r="H217" s="414" t="b">
        <f>Wh_hp&gt;='2021'!Maxi_hp</f>
        <v>0</v>
      </c>
      <c r="I217" s="380">
        <f>IF(H217,Wh_hp,'2021'!Maxi_hp)</f>
        <v>39.921621323756099</v>
      </c>
      <c r="J217" s="85">
        <f>IF(H217,An,'2021'!An_max)</f>
        <v>2018</v>
      </c>
      <c r="K217" s="197">
        <f t="shared" si="79"/>
        <v>44764</v>
      </c>
      <c r="L217" s="147">
        <f>IF(t&lt;Tvie,1-EXP((T0-t)*PertePVj)+'2021'!Pspv,1-EXP((T0-t)*PertePVj)+Pspv)</f>
        <v>3.3485389751895189E-2</v>
      </c>
      <c r="M217" s="850"/>
      <c r="N217" s="850"/>
      <c r="O217" s="48">
        <f>IF(t&lt;Tnet,'2021'!Resal+('2021'!Salim-'2021'!Resal)*(1-EXP(('2021'!Tnet-t)/('2021'!Tau_j))),Resal+(Salim-Resal)*(1-EXP((Tnet-t)/(Tau_j))))*Salcycl</f>
        <v>8.2921952102899626E-2</v>
      </c>
      <c r="P217" s="339">
        <f>(INDEX(Models!$BJ217:$BT217,,T217)*(1-R217)+INDEX(Models!$BJ217:$BT217,,T217+1)*R217-ERP_i)*Q217*Ramure*Pc/MaxiM</f>
        <v>0</v>
      </c>
      <c r="Q217" s="305">
        <f t="shared" si="80"/>
        <v>0.7</v>
      </c>
      <c r="R217" s="177">
        <f t="shared" si="81"/>
        <v>0.7546923261964591</v>
      </c>
      <c r="S217" s="817">
        <f t="shared" si="82"/>
        <v>-1</v>
      </c>
      <c r="T217" s="176">
        <f t="shared" si="83"/>
        <v>5</v>
      </c>
      <c r="U217" s="251">
        <f t="shared" si="84"/>
        <v>-0.24530767380354096</v>
      </c>
      <c r="V217" s="383">
        <f t="shared" si="85"/>
        <v>36.437037664434129</v>
      </c>
      <c r="W217" s="402">
        <f t="shared" si="86"/>
        <v>0</v>
      </c>
      <c r="X217" s="157">
        <f t="shared" si="87"/>
        <v>44764</v>
      </c>
      <c r="Y217" s="385">
        <f t="shared" si="88"/>
        <v>25.057386359920503</v>
      </c>
      <c r="Z217" s="385">
        <f t="shared" si="89"/>
        <v>25.925512241856602</v>
      </c>
      <c r="AA217" s="386">
        <f t="shared" si="90"/>
        <v>29.951397279492873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0.13441393067804266</v>
      </c>
      <c r="AD217" s="231">
        <f>(INDEX(Models!$BJ217:$BT217,,AH217)*(1-AF217)+INDEX(Models!$BJ217:$BT217,,AH217+1)*AF217-ERP_i)*AE217*Ramure*Pc/MaxiM</f>
        <v>0</v>
      </c>
      <c r="AE217" s="305">
        <f t="shared" si="92"/>
        <v>0.7</v>
      </c>
      <c r="AF217" s="177">
        <f t="shared" si="93"/>
        <v>0.7546923261964591</v>
      </c>
      <c r="AG217" s="817">
        <f t="shared" si="99"/>
        <v>-1</v>
      </c>
      <c r="AH217" s="176">
        <f t="shared" si="94"/>
        <v>5</v>
      </c>
      <c r="AI217" s="225">
        <f t="shared" si="95"/>
        <v>-0.24530767380354096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44765</v>
      </c>
      <c r="B218" s="1106">
        <v>31.077000000000002</v>
      </c>
      <c r="C218" s="846"/>
      <c r="D218" s="393">
        <f t="shared" si="77"/>
        <v>32.154382718527167</v>
      </c>
      <c r="E218" s="385">
        <f t="shared" si="75"/>
        <v>35.065754349983763</v>
      </c>
      <c r="F218" s="385">
        <f t="shared" si="78"/>
        <v>35.065754349983763</v>
      </c>
      <c r="G218" s="110">
        <f t="shared" si="76"/>
        <v>0.85484321954634568</v>
      </c>
      <c r="H218" s="414" t="b">
        <f>Wh_hp&gt;='2021'!Maxi_hp</f>
        <v>0</v>
      </c>
      <c r="I218" s="380">
        <f>IF(H218,Wh_hp,'2021'!Maxi_hp)</f>
        <v>40.234800142137267</v>
      </c>
      <c r="J218" s="85">
        <f>IF(H218,An,'2021'!An_max)</f>
        <v>2018</v>
      </c>
      <c r="K218" s="197">
        <f t="shared" si="79"/>
        <v>44765</v>
      </c>
      <c r="L218" s="147">
        <f>IF(t&lt;Tvie,1-EXP((T0-t)*PertePVj)+'2021'!Pspv,1-EXP((T0-t)*PertePVj)+Pspv)</f>
        <v>3.3506558902353989E-2</v>
      </c>
      <c r="M218" s="850"/>
      <c r="N218" s="850"/>
      <c r="O218" s="48">
        <f>IF(t&lt;Tnet,'2021'!Resal+('2021'!Salim-'2021'!Resal)*(1-EXP(('2021'!Tnet-t)/('2021'!Tau_j))),Resal+(Salim-Resal)*(1-EXP((Tnet-t)/(Tau_j))))*Salcycl</f>
        <v>8.3026065898905987E-2</v>
      </c>
      <c r="P218" s="339">
        <f>(INDEX(Models!$BJ218:$BT218,,T218)*(1-R218)+INDEX(Models!$BJ218:$BT218,,T218+1)*R218-ERP_i)*Q218*Ramure*Pc/MaxiM</f>
        <v>0</v>
      </c>
      <c r="Q218" s="305">
        <f t="shared" si="80"/>
        <v>0.7</v>
      </c>
      <c r="R218" s="177">
        <f t="shared" si="81"/>
        <v>0.75625380837509482</v>
      </c>
      <c r="S218" s="817">
        <f t="shared" si="82"/>
        <v>-1</v>
      </c>
      <c r="T218" s="176">
        <f t="shared" si="83"/>
        <v>5</v>
      </c>
      <c r="U218" s="251">
        <f t="shared" si="84"/>
        <v>-0.24374619162490518</v>
      </c>
      <c r="V218" s="383">
        <f t="shared" si="85"/>
        <v>36.354034622269296</v>
      </c>
      <c r="W218" s="402">
        <f t="shared" si="86"/>
        <v>0</v>
      </c>
      <c r="X218" s="157">
        <f t="shared" si="87"/>
        <v>44765</v>
      </c>
      <c r="Y218" s="385">
        <f t="shared" si="88"/>
        <v>29.33424059244707</v>
      </c>
      <c r="Z218" s="385">
        <f t="shared" si="89"/>
        <v>30.351205031595654</v>
      </c>
      <c r="AA218" s="386">
        <f t="shared" si="90"/>
        <v>35.065754349983763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0.13444882067367503</v>
      </c>
      <c r="AD218" s="231">
        <f>(INDEX(Models!$BJ218:$BT218,,AH218)*(1-AF218)+INDEX(Models!$BJ218:$BT218,,AH218+1)*AF218-ERP_i)*AE218*Ramure*Pc/MaxiM</f>
        <v>0</v>
      </c>
      <c r="AE218" s="305">
        <f t="shared" si="92"/>
        <v>0.7</v>
      </c>
      <c r="AF218" s="177">
        <f t="shared" si="93"/>
        <v>0.75625380837509482</v>
      </c>
      <c r="AG218" s="817">
        <f t="shared" si="99"/>
        <v>-1</v>
      </c>
      <c r="AH218" s="176">
        <f t="shared" si="94"/>
        <v>5</v>
      </c>
      <c r="AI218" s="225">
        <f t="shared" si="95"/>
        <v>-0.24374619162490518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44766</v>
      </c>
      <c r="B219" s="1106">
        <v>33.579000000000001</v>
      </c>
      <c r="C219" s="846"/>
      <c r="D219" s="393">
        <f t="shared" si="77"/>
        <v>34.743883460037452</v>
      </c>
      <c r="E219" s="385">
        <f t="shared" si="75"/>
        <v>37.893996743141429</v>
      </c>
      <c r="F219" s="385">
        <f t="shared" si="78"/>
        <v>37.893996743141429</v>
      </c>
      <c r="G219" s="110">
        <f t="shared" si="76"/>
        <v>0.92575883065534437</v>
      </c>
      <c r="H219" s="414" t="b">
        <f>Wh_hp&gt;='2021'!Maxi_hp</f>
        <v>1</v>
      </c>
      <c r="I219" s="380">
        <f>IF(H219,Wh_hp,'2021'!Maxi_hp)</f>
        <v>37.893996743141429</v>
      </c>
      <c r="J219" s="85">
        <f>IF(H219,An,'2021'!An_max)</f>
        <v>2022</v>
      </c>
      <c r="K219" s="197">
        <f t="shared" si="79"/>
        <v>44766</v>
      </c>
      <c r="L219" s="147">
        <f>IF(t&lt;Tvie,1-EXP((T0-t)*PertePVj)+'2021'!Pspv,1-EXP((T0-t)*PertePVj)+Pspv)</f>
        <v>3.3527727589154011E-2</v>
      </c>
      <c r="M219" s="850"/>
      <c r="N219" s="850"/>
      <c r="O219" s="48">
        <f>IF(t&lt;Tnet,'2021'!Resal+('2021'!Salim-'2021'!Resal)*(1-EXP(('2021'!Tnet-t)/('2021'!Tau_j))),Resal+(Salim-Resal)*(1-EXP((Tnet-t)/(Tau_j))))*Salcycl</f>
        <v>8.3129612968949523E-2</v>
      </c>
      <c r="P219" s="339">
        <f>(INDEX(Models!$BJ219:$BT219,,T219)*(1-R219)+INDEX(Models!$BJ219:$BT219,,T219+1)*R219-ERP_i)*Q219*Ramure*Pc/MaxiM</f>
        <v>0</v>
      </c>
      <c r="Q219" s="305">
        <f t="shared" si="80"/>
        <v>0.7</v>
      </c>
      <c r="R219" s="177">
        <f t="shared" si="81"/>
        <v>0.7577705031135431</v>
      </c>
      <c r="S219" s="817">
        <f t="shared" si="82"/>
        <v>-1</v>
      </c>
      <c r="T219" s="176">
        <f t="shared" si="83"/>
        <v>5</v>
      </c>
      <c r="U219" s="251">
        <f t="shared" si="84"/>
        <v>-0.24222949688645684</v>
      </c>
      <c r="V219" s="383">
        <f t="shared" si="85"/>
        <v>36.271865725795386</v>
      </c>
      <c r="W219" s="402">
        <f t="shared" si="86"/>
        <v>0</v>
      </c>
      <c r="X219" s="157">
        <f t="shared" si="87"/>
        <v>44766</v>
      </c>
      <c r="Y219" s="385">
        <f t="shared" si="88"/>
        <v>31.698260471887171</v>
      </c>
      <c r="Z219" s="385">
        <f t="shared" si="89"/>
        <v>32.797899512229655</v>
      </c>
      <c r="AA219" s="386">
        <f t="shared" si="90"/>
        <v>37.893996743141429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0.13448297009826851</v>
      </c>
      <c r="AD219" s="231">
        <f>(INDEX(Models!$BJ219:$BT219,,AH219)*(1-AF219)+INDEX(Models!$BJ219:$BT219,,AH219+1)*AF219-ERP_i)*AE219*Ramure*Pc/MaxiM</f>
        <v>0</v>
      </c>
      <c r="AE219" s="305">
        <f t="shared" si="92"/>
        <v>0.7</v>
      </c>
      <c r="AF219" s="177">
        <f t="shared" si="93"/>
        <v>0.7577705031135431</v>
      </c>
      <c r="AG219" s="817">
        <f t="shared" si="99"/>
        <v>-1</v>
      </c>
      <c r="AH219" s="176">
        <f t="shared" si="94"/>
        <v>5</v>
      </c>
      <c r="AI219" s="225">
        <f t="shared" si="95"/>
        <v>-0.24222949688645684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44767</v>
      </c>
      <c r="B220" s="1106">
        <v>18.919</v>
      </c>
      <c r="C220" s="846"/>
      <c r="D220" s="393">
        <f t="shared" si="77"/>
        <v>19.575744616590288</v>
      </c>
      <c r="E220" s="385">
        <f t="shared" si="75"/>
        <v>21.353011775298434</v>
      </c>
      <c r="F220" s="385">
        <f t="shared" si="78"/>
        <v>21.353011775298434</v>
      </c>
      <c r="G220" s="110">
        <f t="shared" si="76"/>
        <v>0.52276883637109117</v>
      </c>
      <c r="H220" s="414" t="b">
        <f>Wh_hp&gt;='2021'!Maxi_hp</f>
        <v>0</v>
      </c>
      <c r="I220" s="380">
        <f>IF(H220,Wh_hp,'2021'!Maxi_hp)</f>
        <v>41.517040985591251</v>
      </c>
      <c r="J220" s="85">
        <f>IF(H220,An,'2021'!An_max)</f>
        <v>2020</v>
      </c>
      <c r="K220" s="197">
        <f t="shared" si="79"/>
        <v>44767</v>
      </c>
      <c r="L220" s="147">
        <f>IF(t&lt;Tvie,1-EXP((T0-t)*PertePVj)+'2021'!Pspv,1-EXP((T0-t)*PertePVj)+Pspv)</f>
        <v>3.3548895812305579E-2</v>
      </c>
      <c r="M220" s="850"/>
      <c r="N220" s="850"/>
      <c r="O220" s="48">
        <f>IF(t&lt;Tnet,'2021'!Resal+('2021'!Salim-'2021'!Resal)*(1-EXP(('2021'!Tnet-t)/('2021'!Tau_j))),Resal+(Salim-Resal)*(1-EXP((Tnet-t)/(Tau_j))))*Salcycl</f>
        <v>8.3232622049322441E-2</v>
      </c>
      <c r="P220" s="339">
        <f>(INDEX(Models!$BJ220:$BT220,,T220)*(1-R220)+INDEX(Models!$BJ220:$BT220,,T220+1)*R220-ERP_i)*Q220*Ramure*Pc/MaxiM</f>
        <v>0</v>
      </c>
      <c r="Q220" s="305">
        <f t="shared" si="80"/>
        <v>0.7</v>
      </c>
      <c r="R220" s="177">
        <f t="shared" si="81"/>
        <v>0.7592430840094504</v>
      </c>
      <c r="S220" s="817">
        <f t="shared" si="82"/>
        <v>-1</v>
      </c>
      <c r="T220" s="176">
        <f t="shared" si="83"/>
        <v>5</v>
      </c>
      <c r="U220" s="251">
        <f t="shared" si="84"/>
        <v>-0.24075691599054955</v>
      </c>
      <c r="V220" s="383">
        <f t="shared" si="85"/>
        <v>36.189991988294821</v>
      </c>
      <c r="W220" s="402">
        <f t="shared" si="86"/>
        <v>0</v>
      </c>
      <c r="X220" s="157">
        <f t="shared" si="87"/>
        <v>44767</v>
      </c>
      <c r="Y220" s="385">
        <f t="shared" si="88"/>
        <v>17.86067448190839</v>
      </c>
      <c r="Z220" s="385">
        <f t="shared" si="89"/>
        <v>18.480680920655939</v>
      </c>
      <c r="AA220" s="386">
        <f t="shared" si="90"/>
        <v>21.353011775298434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0.13451642723136892</v>
      </c>
      <c r="AD220" s="231">
        <f>(INDEX(Models!$BJ220:$BT220,,AH220)*(1-AF220)+INDEX(Models!$BJ220:$BT220,,AH220+1)*AF220-ERP_i)*AE220*Ramure*Pc/MaxiM</f>
        <v>0</v>
      </c>
      <c r="AE220" s="305">
        <f t="shared" si="92"/>
        <v>0.7</v>
      </c>
      <c r="AF220" s="177">
        <f t="shared" si="93"/>
        <v>0.7592430840094504</v>
      </c>
      <c r="AG220" s="817">
        <f t="shared" si="99"/>
        <v>-1</v>
      </c>
      <c r="AH220" s="176">
        <f t="shared" si="94"/>
        <v>5</v>
      </c>
      <c r="AI220" s="225">
        <f t="shared" si="95"/>
        <v>-0.24075691599054955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44768</v>
      </c>
      <c r="B221" s="1106">
        <v>34.822000000000003</v>
      </c>
      <c r="C221" s="846"/>
      <c r="D221" s="393">
        <f t="shared" si="77"/>
        <v>36.031582515643379</v>
      </c>
      <c r="E221" s="385">
        <f t="shared" si="75"/>
        <v>39.307257543631842</v>
      </c>
      <c r="F221" s="385">
        <f t="shared" si="78"/>
        <v>39.307257543631842</v>
      </c>
      <c r="G221" s="110">
        <f t="shared" si="76"/>
        <v>0.96437868220477863</v>
      </c>
      <c r="H221" s="414" t="b">
        <f>Wh_hp&gt;='2021'!Maxi_hp</f>
        <v>0</v>
      </c>
      <c r="I221" s="380">
        <f>IF(H221,Wh_hp,'2021'!Maxi_hp)</f>
        <v>40.464552652725096</v>
      </c>
      <c r="J221" s="85">
        <f>IF(H221,An,'2021'!An_max)</f>
        <v>2020</v>
      </c>
      <c r="K221" s="197">
        <f t="shared" si="79"/>
        <v>44768</v>
      </c>
      <c r="L221" s="147">
        <f>IF(t&lt;Tvie,1-EXP((T0-t)*PertePVj)+'2021'!Pspv,1-EXP((T0-t)*PertePVj)+Pspv)</f>
        <v>3.3570063571818687E-2</v>
      </c>
      <c r="M221" s="850"/>
      <c r="N221" s="850"/>
      <c r="O221" s="48">
        <f>IF(t&lt;Tnet,'2021'!Resal+('2021'!Salim-'2021'!Resal)*(1-EXP(('2021'!Tnet-t)/('2021'!Tau_j))),Resal+(Salim-Resal)*(1-EXP((Tnet-t)/(Tau_j))))*Salcycl</f>
        <v>8.3335120094613566E-2</v>
      </c>
      <c r="P221" s="339">
        <f>(INDEX(Models!$BJ221:$BT221,,T221)*(1-R221)+INDEX(Models!$BJ221:$BT221,,T221+1)*R221-ERP_i)*Q221*Ramure*Pc/MaxiM</f>
        <v>0</v>
      </c>
      <c r="Q221" s="305">
        <f t="shared" si="80"/>
        <v>0.7</v>
      </c>
      <c r="R221" s="177">
        <f t="shared" si="81"/>
        <v>0.76067225837084229</v>
      </c>
      <c r="S221" s="817">
        <f t="shared" si="82"/>
        <v>-1</v>
      </c>
      <c r="T221" s="176">
        <f t="shared" si="83"/>
        <v>5</v>
      </c>
      <c r="U221" s="251">
        <f t="shared" si="84"/>
        <v>-0.23932774162915776</v>
      </c>
      <c r="V221" s="383">
        <f t="shared" si="85"/>
        <v>36.108222467536677</v>
      </c>
      <c r="W221" s="402">
        <f t="shared" si="86"/>
        <v>0</v>
      </c>
      <c r="X221" s="157">
        <f t="shared" si="87"/>
        <v>44768</v>
      </c>
      <c r="Y221" s="385">
        <f t="shared" si="88"/>
        <v>32.876492947570107</v>
      </c>
      <c r="Z221" s="385">
        <f t="shared" si="89"/>
        <v>34.018496021634022</v>
      </c>
      <c r="AA221" s="386">
        <f t="shared" si="90"/>
        <v>39.307257543631842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0.13454923727831147</v>
      </c>
      <c r="AD221" s="231">
        <f>(INDEX(Models!$BJ221:$BT221,,AH221)*(1-AF221)+INDEX(Models!$BJ221:$BT221,,AH221+1)*AF221-ERP_i)*AE221*Ramure*Pc/MaxiM</f>
        <v>0</v>
      </c>
      <c r="AE221" s="305">
        <f t="shared" si="92"/>
        <v>0.7</v>
      </c>
      <c r="AF221" s="177">
        <f t="shared" si="93"/>
        <v>0.76067225837084229</v>
      </c>
      <c r="AG221" s="817">
        <f t="shared" si="99"/>
        <v>-1</v>
      </c>
      <c r="AH221" s="176">
        <f t="shared" si="94"/>
        <v>5</v>
      </c>
      <c r="AI221" s="225">
        <f t="shared" si="95"/>
        <v>-0.23932774162915776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44769</v>
      </c>
      <c r="B222" s="1106">
        <v>36.558</v>
      </c>
      <c r="C222" s="846"/>
      <c r="D222" s="393">
        <f t="shared" si="77"/>
        <v>37.828713032916809</v>
      </c>
      <c r="E222" s="385">
        <f t="shared" si="75"/>
        <v>41.272360426201722</v>
      </c>
      <c r="F222" s="385">
        <f t="shared" si="78"/>
        <v>41.272360426201722</v>
      </c>
      <c r="G222" s="110">
        <f t="shared" si="76"/>
        <v>1.0147567919708096</v>
      </c>
      <c r="H222" s="414" t="b">
        <f>Wh_hp&gt;='2021'!Maxi_hp</f>
        <v>1</v>
      </c>
      <c r="I222" s="380">
        <f>IF(H222,Wh_hp,'2021'!Maxi_hp)</f>
        <v>41.272360426201722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3.3591230867703437E-2</v>
      </c>
      <c r="M222" s="850"/>
      <c r="N222" s="850"/>
      <c r="O222" s="48">
        <f>IF(t&lt;Tnet,'2021'!Resal+('2021'!Salim-'2021'!Resal)*(1-EXP(('2021'!Tnet-t)/('2021'!Tau_j))),Resal+(Salim-Resal)*(1-EXP((Tnet-t)/(Tau_j))))*Salcycl</f>
        <v>8.3437132204794331E-2</v>
      </c>
      <c r="P222" s="339">
        <f>(INDEX(Models!$BJ222:$BT222,,T222)*(1-R222)+INDEX(Models!$BJ222:$BT222,,T222+1)*R222-ERP_i)*Q222*Ramure*Pc/MaxiM</f>
        <v>0</v>
      </c>
      <c r="Q222" s="305">
        <f t="shared" si="80"/>
        <v>0.7</v>
      </c>
      <c r="R222" s="177">
        <f t="shared" si="81"/>
        <v>0.76205876355970037</v>
      </c>
      <c r="S222" s="817">
        <f t="shared" si="82"/>
        <v>-1</v>
      </c>
      <c r="T222" s="176">
        <f t="shared" si="83"/>
        <v>5</v>
      </c>
      <c r="U222" s="251">
        <f t="shared" si="84"/>
        <v>-0.23794123644029963</v>
      </c>
      <c r="V222" s="383">
        <f t="shared" si="85"/>
        <v>36.026366405490016</v>
      </c>
      <c r="W222" s="402">
        <f t="shared" si="86"/>
        <v>0</v>
      </c>
      <c r="X222" s="157">
        <f t="shared" si="87"/>
        <v>44769</v>
      </c>
      <c r="Y222" s="385">
        <f t="shared" si="88"/>
        <v>34.518059530001047</v>
      </c>
      <c r="Z222" s="385">
        <f t="shared" si="89"/>
        <v>35.717866634212726</v>
      </c>
      <c r="AA222" s="386">
        <f t="shared" si="90"/>
        <v>41.272360426201722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0.13458144226863084</v>
      </c>
      <c r="AD222" s="231">
        <f>(INDEX(Models!$BJ222:$BT222,,AH222)*(1-AF222)+INDEX(Models!$BJ222:$BT222,,AH222+1)*AF222-ERP_i)*AE222*Ramure*Pc/MaxiM</f>
        <v>0</v>
      </c>
      <c r="AE222" s="305">
        <f t="shared" si="92"/>
        <v>0.7</v>
      </c>
      <c r="AF222" s="177">
        <f t="shared" si="93"/>
        <v>0.76205876355970037</v>
      </c>
      <c r="AG222" s="817">
        <f t="shared" si="99"/>
        <v>-1</v>
      </c>
      <c r="AH222" s="176">
        <f t="shared" si="94"/>
        <v>5</v>
      </c>
      <c r="AI222" s="225">
        <f t="shared" si="95"/>
        <v>-0.23794123644029963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44770</v>
      </c>
      <c r="B223" s="1106">
        <v>29.5</v>
      </c>
      <c r="C223" s="846"/>
      <c r="D223" s="393">
        <f t="shared" si="77"/>
        <v>30.526053862641827</v>
      </c>
      <c r="E223" s="385">
        <f t="shared" si="75"/>
        <v>33.30861133877076</v>
      </c>
      <c r="F223" s="385">
        <f t="shared" si="78"/>
        <v>33.30861133877076</v>
      </c>
      <c r="G223" s="110">
        <f t="shared" si="76"/>
        <v>0.82071579641018755</v>
      </c>
      <c r="H223" s="414" t="b">
        <f>Wh_hp&gt;='2021'!Maxi_hp</f>
        <v>0</v>
      </c>
      <c r="I223" s="380">
        <f>IF(H223,Wh_hp,'2021'!Maxi_hp)</f>
        <v>39.810455578458225</v>
      </c>
      <c r="J223" s="85">
        <f>IF(H223,An,'2021'!An_max)</f>
        <v>2019</v>
      </c>
      <c r="K223" s="197">
        <f t="shared" si="79"/>
        <v>44770</v>
      </c>
      <c r="L223" s="147">
        <f>IF(t&lt;Tvie,1-EXP((T0-t)*PertePVj)+'2021'!Pspv,1-EXP((T0-t)*PertePVj)+Pspv)</f>
        <v>3.3612397699970153E-2</v>
      </c>
      <c r="M223" s="850"/>
      <c r="N223" s="850"/>
      <c r="O223" s="48">
        <f>IF(t&lt;Tnet,'2021'!Resal+('2021'!Salim-'2021'!Resal)*(1-EXP(('2021'!Tnet-t)/('2021'!Tau_j))),Resal+(Salim-Resal)*(1-EXP((Tnet-t)/(Tau_j))))*Salcycl</f>
        <v>8.3538681568813139E-2</v>
      </c>
      <c r="P223" s="339">
        <f>(INDEX(Models!$BJ223:$BT223,,T223)*(1-R223)+INDEX(Models!$BJ223:$BT223,,T223+1)*R223-ERP_i)*Q223*Ramure*Pc/MaxiM</f>
        <v>0</v>
      </c>
      <c r="Q223" s="305">
        <f t="shared" si="80"/>
        <v>0.7</v>
      </c>
      <c r="R223" s="177">
        <f t="shared" si="81"/>
        <v>0.7634033634688876</v>
      </c>
      <c r="S223" s="817">
        <f t="shared" si="82"/>
        <v>-1</v>
      </c>
      <c r="T223" s="176">
        <f t="shared" si="83"/>
        <v>5</v>
      </c>
      <c r="U223" s="251">
        <f t="shared" si="84"/>
        <v>-0.2365966365311124</v>
      </c>
      <c r="V223" s="383">
        <f t="shared" si="85"/>
        <v>35.944233227912825</v>
      </c>
      <c r="W223" s="402">
        <f t="shared" si="86"/>
        <v>0</v>
      </c>
      <c r="X223" s="157">
        <f t="shared" si="87"/>
        <v>44770</v>
      </c>
      <c r="Y223" s="385">
        <f t="shared" si="88"/>
        <v>27.855964673712684</v>
      </c>
      <c r="Z223" s="385">
        <f t="shared" si="89"/>
        <v>28.824836543240725</v>
      </c>
      <c r="AA223" s="386">
        <f t="shared" si="90"/>
        <v>33.30861133877076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0.13461308098158342</v>
      </c>
      <c r="AD223" s="231">
        <f>(INDEX(Models!$BJ223:$BT223,,AH223)*(1-AF223)+INDEX(Models!$BJ223:$BT223,,AH223+1)*AF223-ERP_i)*AE223*Ramure*Pc/MaxiM</f>
        <v>0</v>
      </c>
      <c r="AE223" s="305">
        <f t="shared" si="92"/>
        <v>0.7</v>
      </c>
      <c r="AF223" s="177">
        <f t="shared" si="93"/>
        <v>0.7634033634688876</v>
      </c>
      <c r="AG223" s="817">
        <f t="shared" si="99"/>
        <v>-1</v>
      </c>
      <c r="AH223" s="176">
        <f t="shared" si="94"/>
        <v>5</v>
      </c>
      <c r="AI223" s="225">
        <f t="shared" si="95"/>
        <v>-0.2365966365311124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44771</v>
      </c>
      <c r="B224" s="1106">
        <v>18.812999999999999</v>
      </c>
      <c r="C224" s="846"/>
      <c r="D224" s="393">
        <f t="shared" si="77"/>
        <v>19.467770506607341</v>
      </c>
      <c r="E224" s="385">
        <f t="shared" si="75"/>
        <v>21.244670252956531</v>
      </c>
      <c r="F224" s="385">
        <f t="shared" si="78"/>
        <v>21.244670252956531</v>
      </c>
      <c r="G224" s="110">
        <f t="shared" si="76"/>
        <v>0.52459965330494795</v>
      </c>
      <c r="H224" s="414" t="b">
        <f>Wh_hp&gt;='2021'!Maxi_hp</f>
        <v>0</v>
      </c>
      <c r="I224" s="380">
        <f>IF(H224,Wh_hp,'2021'!Maxi_hp)</f>
        <v>38.323446514546944</v>
      </c>
      <c r="J224" s="85">
        <f>IF(H224,An,'2021'!An_max)</f>
        <v>2021</v>
      </c>
      <c r="K224" s="197">
        <f t="shared" si="79"/>
        <v>44771</v>
      </c>
      <c r="L224" s="147">
        <f>IF(t&lt;Tvie,1-EXP((T0-t)*PertePVj)+'2021'!Pspv,1-EXP((T0-t)*PertePVj)+Pspv)</f>
        <v>3.3633564068628941E-2</v>
      </c>
      <c r="M224" s="850"/>
      <c r="N224" s="850"/>
      <c r="O224" s="48">
        <f>IF(t&lt;Tnet,'2021'!Resal+('2021'!Salim-'2021'!Resal)*(1-EXP(('2021'!Tnet-t)/('2021'!Tau_j))),Resal+(Salim-Resal)*(1-EXP((Tnet-t)/(Tau_j))))*Salcycl</f>
        <v>8.3639789424451355E-2</v>
      </c>
      <c r="P224" s="339">
        <f>(INDEX(Models!$BJ224:$BT224,,T224)*(1-R224)+INDEX(Models!$BJ224:$BT224,,T224+1)*R224-ERP_i)*Q224*Ramure*Pc/MaxiM</f>
        <v>0</v>
      </c>
      <c r="Q224" s="305">
        <f t="shared" si="80"/>
        <v>0.7</v>
      </c>
      <c r="R224" s="177">
        <f t="shared" si="81"/>
        <v>0.76470684514006793</v>
      </c>
      <c r="S224" s="817">
        <f t="shared" si="82"/>
        <v>-1</v>
      </c>
      <c r="T224" s="176">
        <f t="shared" si="83"/>
        <v>5</v>
      </c>
      <c r="U224" s="251">
        <f t="shared" si="84"/>
        <v>-0.23529315485993207</v>
      </c>
      <c r="V224" s="383">
        <f t="shared" si="85"/>
        <v>35.861632544892409</v>
      </c>
      <c r="W224" s="402">
        <f t="shared" si="86"/>
        <v>0</v>
      </c>
      <c r="X224" s="157">
        <f t="shared" si="87"/>
        <v>44771</v>
      </c>
      <c r="Y224" s="385">
        <f t="shared" si="88"/>
        <v>17.765872728185265</v>
      </c>
      <c r="Z224" s="385">
        <f t="shared" si="89"/>
        <v>18.384198858337577</v>
      </c>
      <c r="AA224" s="386">
        <f t="shared" si="90"/>
        <v>21.244670252956531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0.13464418889819546</v>
      </c>
      <c r="AD224" s="231">
        <f>(INDEX(Models!$BJ224:$BT224,,AH224)*(1-AF224)+INDEX(Models!$BJ224:$BT224,,AH224+1)*AF224-ERP_i)*AE224*Ramure*Pc/MaxiM</f>
        <v>0</v>
      </c>
      <c r="AE224" s="305">
        <f t="shared" si="92"/>
        <v>0.7</v>
      </c>
      <c r="AF224" s="177">
        <f t="shared" si="93"/>
        <v>0.76470684514006793</v>
      </c>
      <c r="AG224" s="817">
        <f t="shared" si="99"/>
        <v>-1</v>
      </c>
      <c r="AH224" s="176">
        <f t="shared" si="94"/>
        <v>5</v>
      </c>
      <c r="AI224" s="225">
        <f t="shared" si="95"/>
        <v>-0.23529315485993207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44772</v>
      </c>
      <c r="B225" s="1106">
        <v>30.064</v>
      </c>
      <c r="C225" s="846"/>
      <c r="D225" s="393">
        <f t="shared" si="77"/>
        <v>31.111033429264332</v>
      </c>
      <c r="E225" s="385">
        <f t="shared" si="75"/>
        <v>33.954390193564478</v>
      </c>
      <c r="F225" s="385">
        <f t="shared" si="78"/>
        <v>33.954390193564478</v>
      </c>
      <c r="G225" s="110">
        <f t="shared" si="76"/>
        <v>0.84028413011667169</v>
      </c>
      <c r="H225" s="414" t="b">
        <f>Wh_hp&gt;='2021'!Maxi_hp</f>
        <v>0</v>
      </c>
      <c r="I225" s="380">
        <f>IF(H225,Wh_hp,'2021'!Maxi_hp)</f>
        <v>37.359921298844867</v>
      </c>
      <c r="J225" s="85">
        <f>IF(H225,An,'2021'!An_max)</f>
        <v>2018</v>
      </c>
      <c r="K225" s="197">
        <f t="shared" si="79"/>
        <v>44772</v>
      </c>
      <c r="L225" s="147">
        <f>IF(t&lt;Tvie,1-EXP((T0-t)*PertePVj)+'2021'!Pspv,1-EXP((T0-t)*PertePVj)+Pspv)</f>
        <v>3.3654729973689901E-2</v>
      </c>
      <c r="M225" s="850"/>
      <c r="N225" s="850"/>
      <c r="O225" s="48">
        <f>IF(t&lt;Tnet,'2021'!Resal+('2021'!Salim-'2021'!Resal)*(1-EXP(('2021'!Tnet-t)/('2021'!Tau_j))),Resal+(Salim-Resal)*(1-EXP((Tnet-t)/(Tau_j))))*Salcycl</f>
        <v>8.3740475034037407E-2</v>
      </c>
      <c r="P225" s="339">
        <f>(INDEX(Models!$BJ225:$BT225,,T225)*(1-R225)+INDEX(Models!$BJ225:$BT225,,T225+1)*R225-ERP_i)*Q225*Ramure*Pc/MaxiM</f>
        <v>0</v>
      </c>
      <c r="Q225" s="305">
        <f t="shared" si="80"/>
        <v>0.7</v>
      </c>
      <c r="R225" s="177">
        <f t="shared" si="81"/>
        <v>0.76597001552864596</v>
      </c>
      <c r="S225" s="817">
        <f t="shared" si="82"/>
        <v>-1</v>
      </c>
      <c r="T225" s="176">
        <f t="shared" si="83"/>
        <v>5</v>
      </c>
      <c r="U225" s="251">
        <f t="shared" si="84"/>
        <v>-0.23402998447135398</v>
      </c>
      <c r="V225" s="383">
        <f t="shared" si="85"/>
        <v>35.778374150450368</v>
      </c>
      <c r="W225" s="402">
        <f t="shared" si="86"/>
        <v>0</v>
      </c>
      <c r="X225" s="157">
        <f t="shared" si="87"/>
        <v>44772</v>
      </c>
      <c r="Y225" s="385">
        <f t="shared" si="88"/>
        <v>28.392760084554457</v>
      </c>
      <c r="Z225" s="385">
        <f t="shared" si="89"/>
        <v>29.381589546955016</v>
      </c>
      <c r="AA225" s="386">
        <f t="shared" si="90"/>
        <v>33.954390193564478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0.13467479817900438</v>
      </c>
      <c r="AD225" s="231">
        <f>(INDEX(Models!$BJ225:$BT225,,AH225)*(1-AF225)+INDEX(Models!$BJ225:$BT225,,AH225+1)*AF225-ERP_i)*AE225*Ramure*Pc/MaxiM</f>
        <v>0</v>
      </c>
      <c r="AE225" s="305">
        <f t="shared" si="92"/>
        <v>0.7</v>
      </c>
      <c r="AF225" s="177">
        <f t="shared" si="93"/>
        <v>0.76597001552864596</v>
      </c>
      <c r="AG225" s="817">
        <f t="shared" si="99"/>
        <v>-1</v>
      </c>
      <c r="AH225" s="176">
        <f t="shared" si="94"/>
        <v>5</v>
      </c>
      <c r="AI225" s="225">
        <f t="shared" si="95"/>
        <v>-0.23402998447135398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44773</v>
      </c>
      <c r="B226" s="1106">
        <v>35.035000000000004</v>
      </c>
      <c r="C226" s="846"/>
      <c r="D226" s="393">
        <f t="shared" si="77"/>
        <v>36.255951635452725</v>
      </c>
      <c r="E226" s="385">
        <f t="shared" si="75"/>
        <v>39.57385341036813</v>
      </c>
      <c r="F226" s="385">
        <f t="shared" si="78"/>
        <v>39.57385341036813</v>
      </c>
      <c r="G226" s="110">
        <f t="shared" si="76"/>
        <v>0.98153014317355858</v>
      </c>
      <c r="H226" s="414" t="b">
        <f>Wh_hp&gt;='2021'!Maxi_hp</f>
        <v>1</v>
      </c>
      <c r="I226" s="380">
        <f>IF(H226,Wh_hp,'2021'!Maxi_hp)</f>
        <v>39.57385341036813</v>
      </c>
      <c r="J226" s="85">
        <f>IF(H226,An,'2021'!An_max)</f>
        <v>2022</v>
      </c>
      <c r="K226" s="197">
        <f t="shared" si="79"/>
        <v>44773</v>
      </c>
      <c r="L226" s="147">
        <f>IF(t&lt;Tvie,1-EXP((T0-t)*PertePVj)+'2021'!Pspv,1-EXP((T0-t)*PertePVj)+Pspv)</f>
        <v>3.3675895415163248E-2</v>
      </c>
      <c r="M226" s="850"/>
      <c r="N226" s="850"/>
      <c r="O226" s="48">
        <f>IF(t&lt;Tnet,'2021'!Resal+('2021'!Salim-'2021'!Resal)*(1-EXP(('2021'!Tnet-t)/('2021'!Tau_j))),Resal+(Salim-Resal)*(1-EXP((Tnet-t)/(Tau_j))))*Salcycl</f>
        <v>8.3840755675466574E-2</v>
      </c>
      <c r="P226" s="339">
        <f>(INDEX(Models!$BJ226:$BT226,,T226)*(1-R226)+INDEX(Models!$BJ226:$BT226,,T226+1)*R226-ERP_i)*Q226*Ramure*Pc/MaxiM</f>
        <v>0</v>
      </c>
      <c r="Q226" s="305">
        <f t="shared" si="80"/>
        <v>0.7</v>
      </c>
      <c r="R226" s="177">
        <f t="shared" si="81"/>
        <v>0.76719369842023677</v>
      </c>
      <c r="S226" s="817">
        <f t="shared" si="82"/>
        <v>-1</v>
      </c>
      <c r="T226" s="176">
        <f t="shared" si="83"/>
        <v>5</v>
      </c>
      <c r="U226" s="251">
        <f t="shared" si="84"/>
        <v>-0.23280630157976323</v>
      </c>
      <c r="V226" s="383">
        <f t="shared" si="85"/>
        <v>35.694268019851279</v>
      </c>
      <c r="W226" s="402">
        <f t="shared" si="86"/>
        <v>0</v>
      </c>
      <c r="X226" s="157">
        <f t="shared" si="87"/>
        <v>44773</v>
      </c>
      <c r="Y226" s="385">
        <f t="shared" si="88"/>
        <v>33.089894247814684</v>
      </c>
      <c r="Z226" s="385">
        <f t="shared" si="89"/>
        <v>34.243059953504051</v>
      </c>
      <c r="AA226" s="386">
        <f t="shared" si="90"/>
        <v>39.57385341036813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0.13470493766643005</v>
      </c>
      <c r="AD226" s="231">
        <f>(INDEX(Models!$BJ226:$BT226,,AH226)*(1-AF226)+INDEX(Models!$BJ226:$BT226,,AH226+1)*AF226-ERP_i)*AE226*Ramure*Pc/MaxiM</f>
        <v>0</v>
      </c>
      <c r="AE226" s="305">
        <f t="shared" si="92"/>
        <v>0.7</v>
      </c>
      <c r="AF226" s="177">
        <f t="shared" si="93"/>
        <v>0.76719369842023677</v>
      </c>
      <c r="AG226" s="817">
        <f t="shared" si="99"/>
        <v>-1</v>
      </c>
      <c r="AH226" s="176">
        <f t="shared" si="94"/>
        <v>5</v>
      </c>
      <c r="AI226" s="225">
        <f t="shared" si="95"/>
        <v>-0.23280630157976323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44774</v>
      </c>
      <c r="B227" s="1106">
        <v>34.935000000000002</v>
      </c>
      <c r="C227" s="846"/>
      <c r="D227" s="393">
        <f t="shared" si="77"/>
        <v>36.15325853630371</v>
      </c>
      <c r="E227" s="385">
        <f t="shared" si="75"/>
        <v>39.466065603726243</v>
      </c>
      <c r="F227" s="385">
        <f t="shared" si="78"/>
        <v>39.466065603726243</v>
      </c>
      <c r="G227" s="110">
        <f t="shared" si="76"/>
        <v>0.98106877598447195</v>
      </c>
      <c r="H227" s="414" t="b">
        <f>Wh_hp&gt;='2021'!Maxi_hp</f>
        <v>1</v>
      </c>
      <c r="I227" s="380">
        <f>IF(H227,Wh_hp,'2021'!Maxi_hp)</f>
        <v>39.466065603726243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3.3697060393059086E-2</v>
      </c>
      <c r="M227" s="850"/>
      <c r="N227" s="850"/>
      <c r="O227" s="48">
        <f>IF(t&lt;Tnet,'2021'!Resal+('2021'!Salim-'2021'!Resal)*(1-EXP(('2021'!Tnet-t)/('2021'!Tau_j))),Resal+(Salim-Resal)*(1-EXP((Tnet-t)/(Tau_j))))*Salcycl</f>
        <v>8.3940646647831782E-2</v>
      </c>
      <c r="P227" s="339">
        <f>(INDEX(Models!$BJ227:$BT227,,T227)*(1-R227)+INDEX(Models!$BJ227:$BT227,,T227+1)*R227-ERP_i)*Q227*Ramure*Pc/MaxiM</f>
        <v>0</v>
      </c>
      <c r="Q227" s="305">
        <f t="shared" si="80"/>
        <v>0.7</v>
      </c>
      <c r="R227" s="177">
        <f t="shared" si="81"/>
        <v>0.76837873150177605</v>
      </c>
      <c r="S227" s="817">
        <f t="shared" si="82"/>
        <v>-1</v>
      </c>
      <c r="T227" s="176">
        <f t="shared" si="83"/>
        <v>5</v>
      </c>
      <c r="U227" s="251">
        <f t="shared" si="84"/>
        <v>-0.2316212684982239</v>
      </c>
      <c r="V227" s="383">
        <f t="shared" si="85"/>
        <v>35.609124309296078</v>
      </c>
      <c r="W227" s="402">
        <f t="shared" si="86"/>
        <v>0</v>
      </c>
      <c r="X227" s="157">
        <f t="shared" si="87"/>
        <v>44774</v>
      </c>
      <c r="Y227" s="385">
        <f t="shared" si="88"/>
        <v>32.997911640394683</v>
      </c>
      <c r="Z227" s="385">
        <f t="shared" si="89"/>
        <v>34.14861974218676</v>
      </c>
      <c r="AA227" s="386">
        <f t="shared" si="90"/>
        <v>39.466065603726243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0.13473463291049276</v>
      </c>
      <c r="AD227" s="231">
        <f>(INDEX(Models!$BJ227:$BT227,,AH227)*(1-AF227)+INDEX(Models!$BJ227:$BT227,,AH227+1)*AF227-ERP_i)*AE227*Ramure*Pc/MaxiM</f>
        <v>0</v>
      </c>
      <c r="AE227" s="305">
        <f t="shared" si="92"/>
        <v>0.7</v>
      </c>
      <c r="AF227" s="177">
        <f t="shared" si="93"/>
        <v>0.76837873150177605</v>
      </c>
      <c r="AG227" s="817">
        <f t="shared" si="99"/>
        <v>-1</v>
      </c>
      <c r="AH227" s="176">
        <f t="shared" si="94"/>
        <v>5</v>
      </c>
      <c r="AI227" s="225">
        <f t="shared" si="95"/>
        <v>-0.2316212684982239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44775</v>
      </c>
      <c r="B228" s="1106">
        <v>34.831000000000003</v>
      </c>
      <c r="C228" s="846"/>
      <c r="D228" s="393">
        <f t="shared" si="77"/>
        <v>36.046421341913089</v>
      </c>
      <c r="E228" s="385">
        <f t="shared" si="75"/>
        <v>39.353713796788718</v>
      </c>
      <c r="F228" s="385">
        <f t="shared" si="78"/>
        <v>39.353713796788718</v>
      </c>
      <c r="G228" s="110">
        <f t="shared" si="76"/>
        <v>0.98052647141622551</v>
      </c>
      <c r="H228" s="414" t="b">
        <f>Wh_hp&gt;='2021'!Maxi_hp</f>
        <v>1</v>
      </c>
      <c r="I228" s="380">
        <f>IF(H228,Wh_hp,'2021'!Maxi_hp)</f>
        <v>39.353713796788718</v>
      </c>
      <c r="J228" s="85">
        <f>IF(H228,An,'2021'!An_max)</f>
        <v>2022</v>
      </c>
      <c r="K228" s="197">
        <f t="shared" si="79"/>
        <v>44775</v>
      </c>
      <c r="L228" s="147">
        <f>IF(t&lt;Tvie,1-EXP((T0-t)*PertePVj)+'2021'!Pspv,1-EXP((T0-t)*PertePVj)+Pspv)</f>
        <v>3.3718224907387628E-2</v>
      </c>
      <c r="M228" s="850"/>
      <c r="N228" s="850"/>
      <c r="O228" s="48">
        <f>IF(t&lt;Tnet,'2021'!Resal+('2021'!Salim-'2021'!Resal)*(1-EXP(('2021'!Tnet-t)/('2021'!Tau_j))),Resal+(Salim-Resal)*(1-EXP((Tnet-t)/(Tau_j))))*Salcycl</f>
        <v>8.4040161290838661E-2</v>
      </c>
      <c r="P228" s="339">
        <f>(INDEX(Models!$BJ228:$BT228,,T228)*(1-R228)+INDEX(Models!$BJ228:$BT228,,T228+1)*R228-ERP_i)*Q228*Ramure*Pc/MaxiM</f>
        <v>0</v>
      </c>
      <c r="Q228" s="305">
        <f t="shared" si="80"/>
        <v>0.7</v>
      </c>
      <c r="R228" s="177">
        <f t="shared" si="81"/>
        <v>0.76952596358910186</v>
      </c>
      <c r="S228" s="817">
        <f t="shared" si="82"/>
        <v>-1</v>
      </c>
      <c r="T228" s="176">
        <f t="shared" si="83"/>
        <v>5</v>
      </c>
      <c r="U228" s="251">
        <f t="shared" si="84"/>
        <v>-0.23047403641089809</v>
      </c>
      <c r="V228" s="383">
        <f t="shared" si="85"/>
        <v>35.522753352789927</v>
      </c>
      <c r="W228" s="402">
        <f t="shared" si="86"/>
        <v>0</v>
      </c>
      <c r="X228" s="157">
        <f t="shared" si="87"/>
        <v>44775</v>
      </c>
      <c r="Y228" s="385">
        <f t="shared" si="88"/>
        <v>32.902139492325439</v>
      </c>
      <c r="Z228" s="385">
        <f t="shared" si="89"/>
        <v>34.050253601411413</v>
      </c>
      <c r="AA228" s="386">
        <f t="shared" si="90"/>
        <v>39.353713796788718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0.13476390621639547</v>
      </c>
      <c r="AD228" s="231">
        <f>(INDEX(Models!$BJ228:$BT228,,AH228)*(1-AF228)+INDEX(Models!$BJ228:$BT228,,AH228+1)*AF228-ERP_i)*AE228*Ramure*Pc/MaxiM</f>
        <v>0</v>
      </c>
      <c r="AE228" s="305">
        <f t="shared" si="92"/>
        <v>0.7</v>
      </c>
      <c r="AF228" s="177">
        <f t="shared" si="93"/>
        <v>0.76952596358910186</v>
      </c>
      <c r="AG228" s="817">
        <f t="shared" si="99"/>
        <v>-1</v>
      </c>
      <c r="AH228" s="176">
        <f t="shared" si="94"/>
        <v>5</v>
      </c>
      <c r="AI228" s="225">
        <f t="shared" si="95"/>
        <v>-0.23047403641089809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44776</v>
      </c>
      <c r="B229" s="1106">
        <v>32.5</v>
      </c>
      <c r="C229" s="846"/>
      <c r="D229" s="393">
        <f t="shared" si="77"/>
        <v>33.634818214268165</v>
      </c>
      <c r="E229" s="385">
        <f t="shared" si="75"/>
        <v>36.724819198888646</v>
      </c>
      <c r="F229" s="385">
        <f t="shared" si="78"/>
        <v>36.724819198888646</v>
      </c>
      <c r="G229" s="110">
        <f t="shared" si="76"/>
        <v>0.91717317612526739</v>
      </c>
      <c r="H229" s="414" t="b">
        <f>Wh_hp&gt;='2021'!Maxi_hp</f>
        <v>0</v>
      </c>
      <c r="I229" s="380">
        <f>IF(H229,Wh_hp,'2021'!Maxi_hp)</f>
        <v>38.935712166326411</v>
      </c>
      <c r="J229" s="85">
        <f>IF(H229,An,'2021'!An_max)</f>
        <v>2019</v>
      </c>
      <c r="K229" s="197">
        <f t="shared" si="79"/>
        <v>44776</v>
      </c>
      <c r="L229" s="147">
        <f>IF(t&lt;Tvie,1-EXP((T0-t)*PertePVj)+'2021'!Pspv,1-EXP((T0-t)*PertePVj)+Pspv)</f>
        <v>3.3739388958158978E-2</v>
      </c>
      <c r="M229" s="850"/>
      <c r="N229" s="850"/>
      <c r="O229" s="48">
        <f>IF(t&lt;Tnet,'2021'!Resal+('2021'!Salim-'2021'!Resal)*(1-EXP(('2021'!Tnet-t)/('2021'!Tau_j))),Resal+(Salim-Resal)*(1-EXP((Tnet-t)/(Tau_j))))*Salcycl</f>
        <v>8.4139311017057072E-2</v>
      </c>
      <c r="P229" s="339">
        <f>(INDEX(Models!$BJ229:$BT229,,T229)*(1-R229)+INDEX(Models!$BJ229:$BT229,,T229+1)*R229-ERP_i)*Q229*Ramure*Pc/MaxiM</f>
        <v>0</v>
      </c>
      <c r="Q229" s="305">
        <f t="shared" si="80"/>
        <v>0.7</v>
      </c>
      <c r="R229" s="177">
        <f t="shared" si="81"/>
        <v>0.77063625201166219</v>
      </c>
      <c r="S229" s="817">
        <f t="shared" si="82"/>
        <v>-1</v>
      </c>
      <c r="T229" s="176">
        <f t="shared" si="83"/>
        <v>5</v>
      </c>
      <c r="U229" s="251">
        <f t="shared" si="84"/>
        <v>-0.22936374798833781</v>
      </c>
      <c r="V229" s="383">
        <f t="shared" si="85"/>
        <v>35.434965659703458</v>
      </c>
      <c r="W229" s="402">
        <f t="shared" si="86"/>
        <v>0</v>
      </c>
      <c r="X229" s="157">
        <f t="shared" si="87"/>
        <v>44776</v>
      </c>
      <c r="Y229" s="385">
        <f t="shared" si="88"/>
        <v>30.702523970186249</v>
      </c>
      <c r="Z229" s="385">
        <f t="shared" si="89"/>
        <v>31.774578844813089</v>
      </c>
      <c r="AA229" s="386">
        <f t="shared" si="90"/>
        <v>36.724819198888646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0.13479277671230466</v>
      </c>
      <c r="AD229" s="231">
        <f>(INDEX(Models!$BJ229:$BT229,,AH229)*(1-AF229)+INDEX(Models!$BJ229:$BT229,,AH229+1)*AF229-ERP_i)*AE229*Ramure*Pc/MaxiM</f>
        <v>0</v>
      </c>
      <c r="AE229" s="305">
        <f t="shared" si="92"/>
        <v>0.7</v>
      </c>
      <c r="AF229" s="177">
        <f t="shared" si="93"/>
        <v>0.77063625201166219</v>
      </c>
      <c r="AG229" s="817">
        <f t="shared" si="99"/>
        <v>-1</v>
      </c>
      <c r="AH229" s="176">
        <f t="shared" si="94"/>
        <v>5</v>
      </c>
      <c r="AI229" s="225">
        <f t="shared" si="95"/>
        <v>-0.22936374798833781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44777</v>
      </c>
      <c r="B230" s="1106">
        <v>31.952000000000002</v>
      </c>
      <c r="C230" s="846"/>
      <c r="D230" s="393">
        <f t="shared" si="77"/>
        <v>33.068407716298246</v>
      </c>
      <c r="E230" s="385">
        <f t="shared" si="75"/>
        <v>36.110268301949532</v>
      </c>
      <c r="F230" s="385">
        <f t="shared" si="78"/>
        <v>36.110268301949532</v>
      </c>
      <c r="G230" s="110">
        <f t="shared" si="76"/>
        <v>0.90398876780987703</v>
      </c>
      <c r="H230" s="414" t="b">
        <f>Wh_hp&gt;='2021'!Maxi_hp</f>
        <v>0</v>
      </c>
      <c r="I230" s="380">
        <f>IF(H230,Wh_hp,'2021'!Maxi_hp)</f>
        <v>36.542089306289583</v>
      </c>
      <c r="J230" s="85">
        <f>IF(H230,An,'2021'!An_max)</f>
        <v>2019</v>
      </c>
      <c r="K230" s="197">
        <f t="shared" si="79"/>
        <v>44777</v>
      </c>
      <c r="L230" s="147">
        <f>IF(t&lt;Tvie,1-EXP((T0-t)*PertePVj)+'2021'!Pspv,1-EXP((T0-t)*PertePVj)+Pspv)</f>
        <v>3.3760552545383238E-2</v>
      </c>
      <c r="M230" s="850"/>
      <c r="N230" s="850"/>
      <c r="O230" s="48">
        <f>IF(t&lt;Tnet,'2021'!Resal+('2021'!Salim-'2021'!Resal)*(1-EXP(('2021'!Tnet-t)/('2021'!Tau_j))),Resal+(Salim-Resal)*(1-EXP((Tnet-t)/(Tau_j))))*Salcycl</f>
        <v>8.4238105355951054E-2</v>
      </c>
      <c r="P230" s="339">
        <f>(INDEX(Models!$BJ230:$BT230,,T230)*(1-R230)+INDEX(Models!$BJ230:$BT230,,T230+1)*R230-ERP_i)*Q230*Ramure*Pc/MaxiM</f>
        <v>0</v>
      </c>
      <c r="Q230" s="305">
        <f t="shared" si="80"/>
        <v>0.7</v>
      </c>
      <c r="R230" s="177">
        <f t="shared" si="81"/>
        <v>0.7717104601539555</v>
      </c>
      <c r="S230" s="817">
        <f t="shared" si="82"/>
        <v>-1</v>
      </c>
      <c r="T230" s="176">
        <f t="shared" si="83"/>
        <v>5</v>
      </c>
      <c r="U230" s="251">
        <f t="shared" si="84"/>
        <v>-0.22828953984604455</v>
      </c>
      <c r="V230" s="383">
        <f t="shared" si="85"/>
        <v>35.345571911707658</v>
      </c>
      <c r="W230" s="402">
        <f t="shared" si="86"/>
        <v>0</v>
      </c>
      <c r="X230" s="157">
        <f t="shared" si="87"/>
        <v>44777</v>
      </c>
      <c r="Y230" s="385">
        <f t="shared" si="88"/>
        <v>30.187094754919787</v>
      </c>
      <c r="Z230" s="385">
        <f t="shared" si="89"/>
        <v>31.241836414816465</v>
      </c>
      <c r="AA230" s="386">
        <f t="shared" si="90"/>
        <v>36.110268301949532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0.13482126043550408</v>
      </c>
      <c r="AD230" s="231">
        <f>(INDEX(Models!$BJ230:$BT230,,AH230)*(1-AF230)+INDEX(Models!$BJ230:$BT230,,AH230+1)*AF230-ERP_i)*AE230*Ramure*Pc/MaxiM</f>
        <v>0</v>
      </c>
      <c r="AE230" s="305">
        <f t="shared" si="92"/>
        <v>0.7</v>
      </c>
      <c r="AF230" s="177">
        <f t="shared" si="93"/>
        <v>0.7717104601539555</v>
      </c>
      <c r="AG230" s="817">
        <f t="shared" si="99"/>
        <v>-1</v>
      </c>
      <c r="AH230" s="176">
        <f t="shared" si="94"/>
        <v>5</v>
      </c>
      <c r="AI230" s="225">
        <f t="shared" si="95"/>
        <v>-0.22828953984604455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44778</v>
      </c>
      <c r="B231" s="1106">
        <v>29.009</v>
      </c>
      <c r="C231" s="846"/>
      <c r="D231" s="393">
        <f t="shared" si="77"/>
        <v>30.023236436772326</v>
      </c>
      <c r="E231" s="385">
        <f t="shared" si="75"/>
        <v>32.78850597632696</v>
      </c>
      <c r="F231" s="385">
        <f t="shared" si="78"/>
        <v>32.78850597632696</v>
      </c>
      <c r="G231" s="110">
        <f t="shared" si="76"/>
        <v>0.82284804230311548</v>
      </c>
      <c r="H231" s="414" t="b">
        <f>Wh_hp&gt;='2021'!Maxi_hp</f>
        <v>0</v>
      </c>
      <c r="I231" s="380">
        <f>IF(H231,Wh_hp,'2021'!Maxi_hp)</f>
        <v>40.51327472097406</v>
      </c>
      <c r="J231" s="85">
        <f>IF(H231,An,'2021'!An_max)</f>
        <v>2020</v>
      </c>
      <c r="K231" s="197">
        <f t="shared" si="79"/>
        <v>44778</v>
      </c>
      <c r="L231" s="147">
        <f>IF(t&lt;Tvie,1-EXP((T0-t)*PertePVj)+'2021'!Pspv,1-EXP((T0-t)*PertePVj)+Pspv)</f>
        <v>3.3781715669070733E-2</v>
      </c>
      <c r="M231" s="850"/>
      <c r="N231" s="850"/>
      <c r="O231" s="48">
        <f>IF(t&lt;Tnet,'2021'!Resal+('2021'!Salim-'2021'!Resal)*(1-EXP(('2021'!Tnet-t)/('2021'!Tau_j))),Resal+(Salim-Resal)*(1-EXP((Tnet-t)/(Tau_j))))*Salcycl</f>
        <v>8.4336552008534335E-2</v>
      </c>
      <c r="P231" s="339">
        <f>(INDEX(Models!$BJ231:$BT231,,T231)*(1-R231)+INDEX(Models!$BJ231:$BT231,,T231+1)*R231-ERP_i)*Q231*Ramure*Pc/MaxiM</f>
        <v>0</v>
      </c>
      <c r="Q231" s="305">
        <f t="shared" si="80"/>
        <v>0.7</v>
      </c>
      <c r="R231" s="177">
        <f t="shared" si="81"/>
        <v>0.77274945515236759</v>
      </c>
      <c r="S231" s="817">
        <f t="shared" si="82"/>
        <v>-1</v>
      </c>
      <c r="T231" s="176">
        <f t="shared" si="83"/>
        <v>5</v>
      </c>
      <c r="U231" s="251">
        <f t="shared" si="84"/>
        <v>-0.22725054484763241</v>
      </c>
      <c r="V231" s="383">
        <f t="shared" si="85"/>
        <v>35.254382958492656</v>
      </c>
      <c r="W231" s="402">
        <f t="shared" si="86"/>
        <v>0</v>
      </c>
      <c r="X231" s="157">
        <f t="shared" si="87"/>
        <v>44778</v>
      </c>
      <c r="Y231" s="385">
        <f t="shared" si="88"/>
        <v>27.408710774797981</v>
      </c>
      <c r="Z231" s="385">
        <f t="shared" si="89"/>
        <v>28.366996587916475</v>
      </c>
      <c r="AA231" s="386">
        <f t="shared" si="90"/>
        <v>32.78850597632696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0.13484937043495607</v>
      </c>
      <c r="AD231" s="231">
        <f>(INDEX(Models!$BJ231:$BT231,,AH231)*(1-AF231)+INDEX(Models!$BJ231:$BT231,,AH231+1)*AF231-ERP_i)*AE231*Ramure*Pc/MaxiM</f>
        <v>0</v>
      </c>
      <c r="AE231" s="305">
        <f t="shared" si="92"/>
        <v>0.7</v>
      </c>
      <c r="AF231" s="177">
        <f t="shared" si="93"/>
        <v>0.77274945515236759</v>
      </c>
      <c r="AG231" s="817">
        <f t="shared" si="99"/>
        <v>-1</v>
      </c>
      <c r="AH231" s="176">
        <f t="shared" si="94"/>
        <v>5</v>
      </c>
      <c r="AI231" s="225">
        <f t="shared" si="95"/>
        <v>-0.22725054484763241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44779</v>
      </c>
      <c r="B232" s="1106">
        <v>31.481000000000002</v>
      </c>
      <c r="C232" s="846"/>
      <c r="D232" s="393">
        <f t="shared" si="77"/>
        <v>32.582378164781105</v>
      </c>
      <c r="E232" s="385">
        <f t="shared" si="75"/>
        <v>35.587168530065945</v>
      </c>
      <c r="F232" s="385">
        <f t="shared" si="78"/>
        <v>35.587168530065945</v>
      </c>
      <c r="G232" s="110">
        <f t="shared" si="76"/>
        <v>0.89533324268037595</v>
      </c>
      <c r="H232" s="414" t="b">
        <f>Wh_hp&gt;='2021'!Maxi_hp</f>
        <v>0</v>
      </c>
      <c r="I232" s="380">
        <f>IF(H232,Wh_hp,'2021'!Maxi_hp)</f>
        <v>40.005159812023336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3.3802878329231345E-2</v>
      </c>
      <c r="M232" s="850"/>
      <c r="N232" s="850"/>
      <c r="O232" s="48">
        <f>IF(t&lt;Tnet,'2021'!Resal+('2021'!Salim-'2021'!Resal)*(1-EXP(('2021'!Tnet-t)/('2021'!Tau_j))),Resal+(Salim-Resal)*(1-EXP((Tnet-t)/(Tau_j))))*Salcycl</f>
        <v>8.4434656911415468E-2</v>
      </c>
      <c r="P232" s="339">
        <f>(INDEX(Models!$BJ232:$BT232,,T232)*(1-R232)+INDEX(Models!$BJ232:$BT232,,T232+1)*R232-ERP_i)*Q232*Ramure*Pc/MaxiM</f>
        <v>0</v>
      </c>
      <c r="Q232" s="305">
        <f t="shared" si="80"/>
        <v>0.7</v>
      </c>
      <c r="R232" s="177">
        <f t="shared" si="81"/>
        <v>0.77375410574523196</v>
      </c>
      <c r="S232" s="817">
        <f t="shared" si="82"/>
        <v>-1</v>
      </c>
      <c r="T232" s="176">
        <f t="shared" si="83"/>
        <v>5</v>
      </c>
      <c r="U232" s="251">
        <f t="shared" si="84"/>
        <v>-0.2262458942547681</v>
      </c>
      <c r="V232" s="383">
        <f t="shared" si="85"/>
        <v>35.161209814744218</v>
      </c>
      <c r="W232" s="402">
        <f t="shared" si="86"/>
        <v>0</v>
      </c>
      <c r="X232" s="157">
        <f t="shared" si="87"/>
        <v>44779</v>
      </c>
      <c r="Y232" s="385">
        <f t="shared" si="88"/>
        <v>29.746575368796773</v>
      </c>
      <c r="Z232" s="385">
        <f t="shared" si="89"/>
        <v>30.787273840516477</v>
      </c>
      <c r="AA232" s="386">
        <f t="shared" si="90"/>
        <v>35.587168530065945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0.13487711688819135</v>
      </c>
      <c r="AD232" s="231">
        <f>(INDEX(Models!$BJ232:$BT232,,AH232)*(1-AF232)+INDEX(Models!$BJ232:$BT232,,AH232+1)*AF232-ERP_i)*AE232*Ramure*Pc/MaxiM</f>
        <v>0</v>
      </c>
      <c r="AE232" s="305">
        <f t="shared" si="92"/>
        <v>0.7</v>
      </c>
      <c r="AF232" s="177">
        <f t="shared" si="93"/>
        <v>0.77375410574523196</v>
      </c>
      <c r="AG232" s="817">
        <f t="shared" si="99"/>
        <v>-1</v>
      </c>
      <c r="AH232" s="176">
        <f t="shared" si="94"/>
        <v>5</v>
      </c>
      <c r="AI232" s="225">
        <f t="shared" si="95"/>
        <v>-0.2262458942547681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44780</v>
      </c>
      <c r="B233" s="1106">
        <v>33.731000000000002</v>
      </c>
      <c r="C233" s="846"/>
      <c r="D233" s="393">
        <f t="shared" si="77"/>
        <v>34.911860173336642</v>
      </c>
      <c r="E233" s="385">
        <f t="shared" ref="E233:E296" si="100">Wh_pvt/(1-Psa)</f>
        <v>38.135550728798151</v>
      </c>
      <c r="F233" s="385">
        <f t="shared" si="78"/>
        <v>38.135550728798151</v>
      </c>
      <c r="G233" s="110">
        <f t="shared" ref="G233:G296" si="101">+Wh_hp/MaxiM</f>
        <v>0.96191968918351123</v>
      </c>
      <c r="H233" s="414" t="b">
        <f>Wh_hp&gt;='2021'!Maxi_hp</f>
        <v>0</v>
      </c>
      <c r="I233" s="380">
        <f>IF(H233,Wh_hp,'2021'!Maxi_hp)</f>
        <v>38.644291488995613</v>
      </c>
      <c r="J233" s="85">
        <f>IF(H233,An,'2021'!An_max)</f>
        <v>2020</v>
      </c>
      <c r="K233" s="197">
        <f t="shared" si="79"/>
        <v>44780</v>
      </c>
      <c r="L233" s="147">
        <f>IF(t&lt;Tvie,1-EXP((T0-t)*PertePVj)+'2021'!Pspv,1-EXP((T0-t)*PertePVj)+Pspv)</f>
        <v>3.3824040525875509E-2</v>
      </c>
      <c r="M233" s="850"/>
      <c r="N233" s="850"/>
      <c r="O233" s="48">
        <f>IF(t&lt;Tnet,'2021'!Resal+('2021'!Salim-'2021'!Resal)*(1-EXP(('2021'!Tnet-t)/('2021'!Tau_j))),Resal+(Salim-Resal)*(1-EXP((Tnet-t)/(Tau_j))))*Salcycl</f>
        <v>8.4532424308930529E-2</v>
      </c>
      <c r="P233" s="339">
        <f>(INDEX(Models!$BJ233:$BT233,,T233)*(1-R233)+INDEX(Models!$BJ233:$BT233,,T233+1)*R233-ERP_i)*Q233*Ramure*Pc/MaxiM</f>
        <v>0</v>
      </c>
      <c r="Q233" s="305">
        <f t="shared" si="80"/>
        <v>0.7</v>
      </c>
      <c r="R233" s="177">
        <f t="shared" si="81"/>
        <v>0.77472528027321308</v>
      </c>
      <c r="S233" s="817">
        <f t="shared" si="82"/>
        <v>-1</v>
      </c>
      <c r="T233" s="176">
        <f t="shared" si="83"/>
        <v>5</v>
      </c>
      <c r="U233" s="251">
        <f t="shared" si="84"/>
        <v>-0.22527471972678692</v>
      </c>
      <c r="V233" s="383">
        <f t="shared" si="85"/>
        <v>35.066337012636964</v>
      </c>
      <c r="W233" s="402">
        <f t="shared" si="86"/>
        <v>0</v>
      </c>
      <c r="X233" s="157">
        <f t="shared" si="87"/>
        <v>44780</v>
      </c>
      <c r="Y233" s="385">
        <f t="shared" si="88"/>
        <v>31.875007746271066</v>
      </c>
      <c r="Z233" s="385">
        <f t="shared" si="89"/>
        <v>32.990893049771358</v>
      </c>
      <c r="AA233" s="386">
        <f t="shared" si="90"/>
        <v>38.135550728798151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0.13490450723035688</v>
      </c>
      <c r="AD233" s="231">
        <f>(INDEX(Models!$BJ233:$BT233,,AH233)*(1-AF233)+INDEX(Models!$BJ233:$BT233,,AH233+1)*AF233-ERP_i)*AE233*Ramure*Pc/MaxiM</f>
        <v>0</v>
      </c>
      <c r="AE233" s="305">
        <f t="shared" si="92"/>
        <v>0.7</v>
      </c>
      <c r="AF233" s="177">
        <f t="shared" si="93"/>
        <v>0.77472528027321308</v>
      </c>
      <c r="AG233" s="817">
        <f t="shared" si="99"/>
        <v>-1</v>
      </c>
      <c r="AH233" s="176">
        <f t="shared" si="94"/>
        <v>5</v>
      </c>
      <c r="AI233" s="225">
        <f t="shared" si="95"/>
        <v>-0.22527471972678692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44781</v>
      </c>
      <c r="B234" s="1106">
        <v>34.362000000000002</v>
      </c>
      <c r="C234" s="846"/>
      <c r="D234" s="393">
        <f t="shared" si="77"/>
        <v>35.565729301705538</v>
      </c>
      <c r="E234" s="385">
        <f t="shared" si="100"/>
        <v>38.853932004616944</v>
      </c>
      <c r="F234" s="385">
        <f t="shared" si="78"/>
        <v>38.853932004616944</v>
      </c>
      <c r="G234" s="110">
        <f t="shared" si="101"/>
        <v>0.98260874568327983</v>
      </c>
      <c r="H234" s="414" t="b">
        <f>Wh_hp&gt;='2021'!Maxi_hp</f>
        <v>1</v>
      </c>
      <c r="I234" s="380">
        <f>IF(H234,Wh_hp,'2021'!Maxi_hp)</f>
        <v>38.853932004616944</v>
      </c>
      <c r="J234" s="85">
        <f>IF(H234,An,'2021'!An_max)</f>
        <v>2022</v>
      </c>
      <c r="K234" s="197">
        <f t="shared" si="79"/>
        <v>44781</v>
      </c>
      <c r="L234" s="147">
        <f>IF(t&lt;Tvie,1-EXP((T0-t)*PertePVj)+'2021'!Pspv,1-EXP((T0-t)*PertePVj)+Pspv)</f>
        <v>3.3845202259013218E-2</v>
      </c>
      <c r="M234" s="850"/>
      <c r="N234" s="850"/>
      <c r="O234" s="48">
        <f>IF(t&lt;Tnet,'2021'!Resal+('2021'!Salim-'2021'!Resal)*(1-EXP(('2021'!Tnet-t)/('2021'!Tau_j))),Resal+(Salim-Resal)*(1-EXP((Tnet-t)/(Tau_j))))*Salcycl</f>
        <v>8.4629856832010658E-2</v>
      </c>
      <c r="P234" s="339">
        <f>(INDEX(Models!$BJ234:$BT234,,T234)*(1-R234)+INDEX(Models!$BJ234:$BT234,,T234+1)*R234-ERP_i)*Q234*Ramure*Pc/MaxiM</f>
        <v>0</v>
      </c>
      <c r="Q234" s="305">
        <f t="shared" si="80"/>
        <v>0.7</v>
      </c>
      <c r="R234" s="177">
        <f t="shared" si="81"/>
        <v>0.77566384482648532</v>
      </c>
      <c r="S234" s="817">
        <f t="shared" si="82"/>
        <v>-1</v>
      </c>
      <c r="T234" s="176">
        <f t="shared" si="83"/>
        <v>5</v>
      </c>
      <c r="U234" s="251">
        <f t="shared" si="84"/>
        <v>-0.22433615517351468</v>
      </c>
      <c r="V234" s="383">
        <f t="shared" si="85"/>
        <v>34.970175210587591</v>
      </c>
      <c r="W234" s="402">
        <f t="shared" si="86"/>
        <v>0</v>
      </c>
      <c r="X234" s="157">
        <f t="shared" si="87"/>
        <v>44781</v>
      </c>
      <c r="Y234" s="385">
        <f t="shared" si="88"/>
        <v>32.473729264750759</v>
      </c>
      <c r="Z234" s="385">
        <f t="shared" si="89"/>
        <v>33.611310879663542</v>
      </c>
      <c r="AA234" s="386">
        <f t="shared" si="90"/>
        <v>38.853932004616944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0.13493154629318924</v>
      </c>
      <c r="AD234" s="231">
        <f>(INDEX(Models!$BJ234:$BT234,,AH234)*(1-AF234)+INDEX(Models!$BJ234:$BT234,,AH234+1)*AF234-ERP_i)*AE234*Ramure*Pc/MaxiM</f>
        <v>0</v>
      </c>
      <c r="AE234" s="305">
        <f t="shared" si="92"/>
        <v>0.7</v>
      </c>
      <c r="AF234" s="177">
        <f t="shared" si="93"/>
        <v>0.77566384482648532</v>
      </c>
      <c r="AG234" s="817">
        <f t="shared" si="99"/>
        <v>-1</v>
      </c>
      <c r="AH234" s="176">
        <f t="shared" si="94"/>
        <v>5</v>
      </c>
      <c r="AI234" s="225">
        <f t="shared" si="95"/>
        <v>-0.22433615517351468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44782</v>
      </c>
      <c r="B235" s="1106">
        <v>32.335000000000001</v>
      </c>
      <c r="C235" s="846"/>
      <c r="D235" s="393">
        <f t="shared" si="77"/>
        <v>33.46845485899717</v>
      </c>
      <c r="E235" s="385">
        <f t="shared" si="100"/>
        <v>36.566634473861754</v>
      </c>
      <c r="F235" s="385">
        <f t="shared" si="78"/>
        <v>36.566634473861754</v>
      </c>
      <c r="G235" s="110">
        <f t="shared" si="101"/>
        <v>0.92722895070303701</v>
      </c>
      <c r="H235" s="414" t="b">
        <f>Wh_hp&gt;='2021'!Maxi_hp</f>
        <v>0</v>
      </c>
      <c r="I235" s="380">
        <f>IF(H235,Wh_hp,'2021'!Maxi_hp)</f>
        <v>38.382501503737309</v>
      </c>
      <c r="J235" s="85">
        <f>IF(H235,An,'2021'!An_max)</f>
        <v>2021</v>
      </c>
      <c r="K235" s="197">
        <f t="shared" si="79"/>
        <v>44782</v>
      </c>
      <c r="L235" s="147">
        <f>IF(t&lt;Tvie,1-EXP((T0-t)*PertePVj)+'2021'!Pspv,1-EXP((T0-t)*PertePVj)+Pspv)</f>
        <v>3.3866363528654686E-2</v>
      </c>
      <c r="M235" s="850"/>
      <c r="N235" s="850"/>
      <c r="O235" s="48">
        <f>IF(t&lt;Tnet,'2021'!Resal+('2021'!Salim-'2021'!Resal)*(1-EXP(('2021'!Tnet-t)/('2021'!Tau_j))),Resal+(Salim-Resal)*(1-EXP((Tnet-t)/(Tau_j))))*Salcycl</f>
        <v>8.4726955582395624E-2</v>
      </c>
      <c r="P235" s="339">
        <f>(INDEX(Models!$BJ235:$BT235,,T235)*(1-R235)+INDEX(Models!$BJ235:$BT235,,T235+1)*R235-ERP_i)*Q235*Ramure*Pc/MaxiM</f>
        <v>0</v>
      </c>
      <c r="Q235" s="305">
        <f t="shared" si="80"/>
        <v>0.7</v>
      </c>
      <c r="R235" s="177">
        <f t="shared" si="81"/>
        <v>0.77657066153463572</v>
      </c>
      <c r="S235" s="817">
        <f t="shared" si="82"/>
        <v>-1</v>
      </c>
      <c r="T235" s="176">
        <f t="shared" si="83"/>
        <v>5</v>
      </c>
      <c r="U235" s="251">
        <f t="shared" si="84"/>
        <v>-0.22342933846536434</v>
      </c>
      <c r="V235" s="383">
        <f t="shared" si="85"/>
        <v>34.872724773620575</v>
      </c>
      <c r="W235" s="402">
        <f t="shared" si="86"/>
        <v>0</v>
      </c>
      <c r="X235" s="157">
        <f t="shared" si="87"/>
        <v>44782</v>
      </c>
      <c r="Y235" s="385">
        <f t="shared" si="88"/>
        <v>30.560416473462809</v>
      </c>
      <c r="Z235" s="385">
        <f t="shared" si="89"/>
        <v>31.631665972297615</v>
      </c>
      <c r="AA235" s="386">
        <f t="shared" si="90"/>
        <v>36.566634473861754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0.13495823645164046</v>
      </c>
      <c r="AD235" s="231">
        <f>(INDEX(Models!$BJ235:$BT235,,AH235)*(1-AF235)+INDEX(Models!$BJ235:$BT235,,AH235+1)*AF235-ERP_i)*AE235*Ramure*Pc/MaxiM</f>
        <v>0</v>
      </c>
      <c r="AE235" s="305">
        <f t="shared" si="92"/>
        <v>0.7</v>
      </c>
      <c r="AF235" s="177">
        <f t="shared" si="93"/>
        <v>0.77657066153463572</v>
      </c>
      <c r="AG235" s="817">
        <f t="shared" si="99"/>
        <v>-1</v>
      </c>
      <c r="AH235" s="176">
        <f t="shared" si="94"/>
        <v>5</v>
      </c>
      <c r="AI235" s="225">
        <f t="shared" si="95"/>
        <v>-0.22342933846536434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44783</v>
      </c>
      <c r="B236" s="1106">
        <v>31.113</v>
      </c>
      <c r="C236" s="846"/>
      <c r="D236" s="393">
        <f t="shared" si="77"/>
        <v>32.204324841761313</v>
      </c>
      <c r="E236" s="385">
        <f t="shared" si="100"/>
        <v>35.189204040046462</v>
      </c>
      <c r="F236" s="385">
        <f t="shared" si="78"/>
        <v>35.189204040046462</v>
      </c>
      <c r="G236" s="110">
        <f t="shared" si="101"/>
        <v>0.89472055039147258</v>
      </c>
      <c r="H236" s="414" t="b">
        <f>Wh_hp&gt;='2021'!Maxi_hp</f>
        <v>0</v>
      </c>
      <c r="I236" s="380">
        <f>IF(H236,Wh_hp,'2021'!Maxi_hp)</f>
        <v>35.976281897663725</v>
      </c>
      <c r="J236" s="85">
        <f>IF(H236,An,'2021'!An_max)</f>
        <v>2018</v>
      </c>
      <c r="K236" s="197">
        <f t="shared" si="79"/>
        <v>44783</v>
      </c>
      <c r="L236" s="147">
        <f>IF(t&lt;Tvie,1-EXP((T0-t)*PertePVj)+'2021'!Pspv,1-EXP((T0-t)*PertePVj)+Pspv)</f>
        <v>3.3887524334810015E-2</v>
      </c>
      <c r="M236" s="850"/>
      <c r="N236" s="850"/>
      <c r="O236" s="48">
        <f>IF(t&lt;Tnet,'2021'!Resal+('2021'!Salim-'2021'!Resal)*(1-EXP(('2021'!Tnet-t)/('2021'!Tau_j))),Resal+(Salim-Resal)*(1-EXP((Tnet-t)/(Tau_j))))*Salcycl</f>
        <v>8.4823720220788643E-2</v>
      </c>
      <c r="P236" s="339">
        <f>(INDEX(Models!$BJ236:$BT236,,T236)*(1-R236)+INDEX(Models!$BJ236:$BT236,,T236+1)*R236-ERP_i)*Q236*Ramure*Pc/MaxiM</f>
        <v>0</v>
      </c>
      <c r="Q236" s="305">
        <f t="shared" si="80"/>
        <v>0.7</v>
      </c>
      <c r="R236" s="177">
        <f t="shared" si="81"/>
        <v>0.77744658699477798</v>
      </c>
      <c r="S236" s="817">
        <f t="shared" si="82"/>
        <v>-1</v>
      </c>
      <c r="T236" s="176">
        <f t="shared" si="83"/>
        <v>5</v>
      </c>
      <c r="U236" s="251">
        <f t="shared" si="84"/>
        <v>-0.22255341300522208</v>
      </c>
      <c r="V236" s="383">
        <f t="shared" si="85"/>
        <v>34.773986119338538</v>
      </c>
      <c r="W236" s="402">
        <f t="shared" si="86"/>
        <v>0</v>
      </c>
      <c r="X236" s="157">
        <f t="shared" si="87"/>
        <v>44783</v>
      </c>
      <c r="Y236" s="385">
        <f t="shared" si="88"/>
        <v>29.407694917696155</v>
      </c>
      <c r="Z236" s="385">
        <f t="shared" si="89"/>
        <v>30.43920419043166</v>
      </c>
      <c r="AA236" s="386">
        <f t="shared" si="90"/>
        <v>35.189204040046462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0.13498457777587547</v>
      </c>
      <c r="AD236" s="231">
        <f>(INDEX(Models!$BJ236:$BT236,,AH236)*(1-AF236)+INDEX(Models!$BJ236:$BT236,,AH236+1)*AF236-ERP_i)*AE236*Ramure*Pc/MaxiM</f>
        <v>0</v>
      </c>
      <c r="AE236" s="305">
        <f t="shared" si="92"/>
        <v>0.7</v>
      </c>
      <c r="AF236" s="177">
        <f t="shared" si="93"/>
        <v>0.77744658699477798</v>
      </c>
      <c r="AG236" s="817">
        <f t="shared" si="99"/>
        <v>-1</v>
      </c>
      <c r="AH236" s="176">
        <f t="shared" si="94"/>
        <v>5</v>
      </c>
      <c r="AI236" s="225">
        <f t="shared" si="95"/>
        <v>-0.22255341300522208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44784</v>
      </c>
      <c r="B237" s="1106">
        <v>29.051000000000002</v>
      </c>
      <c r="C237" s="846"/>
      <c r="D237" s="393">
        <f t="shared" si="77"/>
        <v>30.070656406120261</v>
      </c>
      <c r="E237" s="385">
        <f t="shared" si="100"/>
        <v>32.861237601450838</v>
      </c>
      <c r="F237" s="385">
        <f t="shared" si="78"/>
        <v>32.861237601450838</v>
      </c>
      <c r="G237" s="110">
        <f t="shared" si="101"/>
        <v>0.83783335505649248</v>
      </c>
      <c r="H237" s="414" t="b">
        <f>Wh_hp&gt;='2021'!Maxi_hp</f>
        <v>0</v>
      </c>
      <c r="I237" s="380">
        <f>IF(H237,Wh_hp,'2021'!Maxi_hp)</f>
        <v>36.771034850041509</v>
      </c>
      <c r="J237" s="85">
        <f>IF(H237,An,'2021'!An_max)</f>
        <v>2018</v>
      </c>
      <c r="K237" s="197">
        <f t="shared" si="79"/>
        <v>44784</v>
      </c>
      <c r="L237" s="147">
        <f>IF(t&lt;Tvie,1-EXP((T0-t)*PertePVj)+'2021'!Pspv,1-EXP((T0-t)*PertePVj)+Pspv)</f>
        <v>3.390868467748942E-2</v>
      </c>
      <c r="M237" s="850"/>
      <c r="N237" s="850"/>
      <c r="O237" s="48">
        <f>IF(t&lt;Tnet,'2021'!Resal+('2021'!Salim-'2021'!Resal)*(1-EXP(('2021'!Tnet-t)/('2021'!Tau_j))),Resal+(Salim-Resal)*(1-EXP((Tnet-t)/(Tau_j))))*Salcycl</f>
        <v>8.4920149057544109E-2</v>
      </c>
      <c r="P237" s="339">
        <f>(INDEX(Models!$BJ237:$BT237,,T237)*(1-R237)+INDEX(Models!$BJ237:$BT237,,T237+1)*R237-ERP_i)*Q237*Ramure*Pc/MaxiM</f>
        <v>0</v>
      </c>
      <c r="Q237" s="305">
        <f t="shared" si="80"/>
        <v>0.7</v>
      </c>
      <c r="R237" s="177">
        <f t="shared" si="81"/>
        <v>0.77829247083299324</v>
      </c>
      <c r="S237" s="817">
        <f t="shared" si="82"/>
        <v>-1</v>
      </c>
      <c r="T237" s="176">
        <f t="shared" si="83"/>
        <v>5</v>
      </c>
      <c r="U237" s="251">
        <f t="shared" si="84"/>
        <v>-0.22170752916700676</v>
      </c>
      <c r="V237" s="383">
        <f t="shared" si="85"/>
        <v>34.673959713672637</v>
      </c>
      <c r="W237" s="402">
        <f t="shared" si="86"/>
        <v>0</v>
      </c>
      <c r="X237" s="157">
        <f t="shared" si="87"/>
        <v>44784</v>
      </c>
      <c r="Y237" s="385">
        <f t="shared" si="88"/>
        <v>27.460781654996687</v>
      </c>
      <c r="Z237" s="385">
        <f t="shared" si="89"/>
        <v>28.424623241571574</v>
      </c>
      <c r="AA237" s="386">
        <f t="shared" si="90"/>
        <v>32.861237601450838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0.13501056818637247</v>
      </c>
      <c r="AD237" s="231">
        <f>(INDEX(Models!$BJ237:$BT237,,AH237)*(1-AF237)+INDEX(Models!$BJ237:$BT237,,AH237+1)*AF237-ERP_i)*AE237*Ramure*Pc/MaxiM</f>
        <v>0</v>
      </c>
      <c r="AE237" s="305">
        <f t="shared" si="92"/>
        <v>0.7</v>
      </c>
      <c r="AF237" s="177">
        <f t="shared" si="93"/>
        <v>0.77829247083299324</v>
      </c>
      <c r="AG237" s="817">
        <f t="shared" si="99"/>
        <v>-1</v>
      </c>
      <c r="AH237" s="176">
        <f t="shared" si="94"/>
        <v>5</v>
      </c>
      <c r="AI237" s="225">
        <f t="shared" si="95"/>
        <v>-0.22170752916700676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44785</v>
      </c>
      <c r="B238" s="1106">
        <v>30.295000000000002</v>
      </c>
      <c r="C238" s="846"/>
      <c r="D238" s="393">
        <f t="shared" si="77"/>
        <v>31.35900620602305</v>
      </c>
      <c r="E238" s="385">
        <f t="shared" si="100"/>
        <v>34.27274619245987</v>
      </c>
      <c r="F238" s="385">
        <f t="shared" si="78"/>
        <v>34.27274619245987</v>
      </c>
      <c r="G238" s="110">
        <f t="shared" si="101"/>
        <v>0.8762707934444367</v>
      </c>
      <c r="H238" s="414" t="b">
        <f>Wh_hp&gt;='2021'!Maxi_hp</f>
        <v>1</v>
      </c>
      <c r="I238" s="380">
        <f>IF(H238,Wh_hp,'2021'!Maxi_hp)</f>
        <v>34.27274619245987</v>
      </c>
      <c r="J238" s="85">
        <f>IF(H238,An,'2021'!An_max)</f>
        <v>2022</v>
      </c>
      <c r="K238" s="197">
        <f t="shared" si="79"/>
        <v>44785</v>
      </c>
      <c r="L238" s="147">
        <f>IF(t&lt;Tvie,1-EXP((T0-t)*PertePVj)+'2021'!Pspv,1-EXP((T0-t)*PertePVj)+Pspv)</f>
        <v>3.3929844556703004E-2</v>
      </c>
      <c r="M238" s="850"/>
      <c r="N238" s="850"/>
      <c r="O238" s="48">
        <f>IF(t&lt;Tnet,'2021'!Resal+('2021'!Salim-'2021'!Resal)*(1-EXP(('2021'!Tnet-t)/('2021'!Tau_j))),Resal+(Salim-Resal)*(1-EXP((Tnet-t)/(Tau_j))))*Salcycl</f>
        <v>8.5016239144497061E-2</v>
      </c>
      <c r="P238" s="339">
        <f>(INDEX(Models!$BJ238:$BT238,,T238)*(1-R238)+INDEX(Models!$BJ238:$BT238,,T238+1)*R238-ERP_i)*Q238*Ramure*Pc/MaxiM</f>
        <v>0</v>
      </c>
      <c r="Q238" s="305">
        <f t="shared" si="80"/>
        <v>0.7</v>
      </c>
      <c r="R238" s="177">
        <f t="shared" si="81"/>
        <v>0.77910915439392192</v>
      </c>
      <c r="S238" s="817">
        <f t="shared" si="82"/>
        <v>-1</v>
      </c>
      <c r="T238" s="176">
        <f t="shared" si="83"/>
        <v>5</v>
      </c>
      <c r="U238" s="251">
        <f t="shared" si="84"/>
        <v>-0.22089084560607802</v>
      </c>
      <c r="V238" s="383">
        <f t="shared" si="85"/>
        <v>34.57264606631098</v>
      </c>
      <c r="W238" s="402">
        <f t="shared" si="86"/>
        <v>0</v>
      </c>
      <c r="X238" s="157">
        <f t="shared" si="87"/>
        <v>44785</v>
      </c>
      <c r="Y238" s="385">
        <f t="shared" si="88"/>
        <v>28.63884511692034</v>
      </c>
      <c r="Z238" s="385">
        <f t="shared" si="89"/>
        <v>29.644684659344374</v>
      </c>
      <c r="AA238" s="386">
        <f t="shared" si="90"/>
        <v>34.27274619245987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0.13503620360990173</v>
      </c>
      <c r="AD238" s="231">
        <f>(INDEX(Models!$BJ238:$BT238,,AH238)*(1-AF238)+INDEX(Models!$BJ238:$BT238,,AH238+1)*AF238-ERP_i)*AE238*Ramure*Pc/MaxiM</f>
        <v>0</v>
      </c>
      <c r="AE238" s="305">
        <f t="shared" si="92"/>
        <v>0.7</v>
      </c>
      <c r="AF238" s="177">
        <f t="shared" si="93"/>
        <v>0.77910915439392192</v>
      </c>
      <c r="AG238" s="817">
        <f t="shared" si="99"/>
        <v>-1</v>
      </c>
      <c r="AH238" s="176">
        <f t="shared" si="94"/>
        <v>5</v>
      </c>
      <c r="AI238" s="225">
        <f t="shared" si="95"/>
        <v>-0.22089084560607802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44786</v>
      </c>
      <c r="B239" s="1106">
        <v>21.803000000000001</v>
      </c>
      <c r="C239" s="846"/>
      <c r="D239" s="393">
        <f t="shared" si="77"/>
        <v>22.569248650591696</v>
      </c>
      <c r="E239" s="385">
        <f t="shared" si="100"/>
        <v>24.668864729093134</v>
      </c>
      <c r="F239" s="385">
        <f t="shared" si="78"/>
        <v>24.668864729093134</v>
      </c>
      <c r="G239" s="110">
        <f t="shared" si="101"/>
        <v>0.63252019370320156</v>
      </c>
      <c r="H239" s="414" t="b">
        <f>Wh_hp&gt;='2021'!Maxi_hp</f>
        <v>0</v>
      </c>
      <c r="I239" s="380">
        <f>IF(H239,Wh_hp,'2021'!Maxi_hp)</f>
        <v>34.50916616392346</v>
      </c>
      <c r="J239" s="85">
        <f>IF(H239,An,'2021'!An_max)</f>
        <v>2019</v>
      </c>
      <c r="K239" s="197">
        <f t="shared" si="79"/>
        <v>44786</v>
      </c>
      <c r="L239" s="147">
        <f>IF(t&lt;Tvie,1-EXP((T0-t)*PertePVj)+'2021'!Pspv,1-EXP((T0-t)*PertePVj)+Pspv)</f>
        <v>3.3951003972460869E-2</v>
      </c>
      <c r="M239" s="850"/>
      <c r="N239" s="850"/>
      <c r="O239" s="48">
        <f>IF(t&lt;Tnet,'2021'!Resal+('2021'!Salim-'2021'!Resal)*(1-EXP(('2021'!Tnet-t)/('2021'!Tau_j))),Resal+(Salim-Resal)*(1-EXP((Tnet-t)/(Tau_j))))*Salcycl</f>
        <v>8.511198636657423E-2</v>
      </c>
      <c r="P239" s="339">
        <f>(INDEX(Models!$BJ239:$BT239,,T239)*(1-R239)+INDEX(Models!$BJ239:$BT239,,T239+1)*R239-ERP_i)*Q239*Ramure*Pc/MaxiM</f>
        <v>0</v>
      </c>
      <c r="Q239" s="305">
        <f t="shared" si="80"/>
        <v>0.7</v>
      </c>
      <c r="R239" s="177">
        <f t="shared" si="81"/>
        <v>0.77989746955310801</v>
      </c>
      <c r="S239" s="817">
        <f t="shared" si="82"/>
        <v>-1</v>
      </c>
      <c r="T239" s="176">
        <f t="shared" si="83"/>
        <v>5</v>
      </c>
      <c r="U239" s="251">
        <f t="shared" si="84"/>
        <v>-0.22010253044689193</v>
      </c>
      <c r="V239" s="383">
        <f t="shared" si="85"/>
        <v>34.470045726683395</v>
      </c>
      <c r="W239" s="402">
        <f t="shared" si="86"/>
        <v>0</v>
      </c>
      <c r="X239" s="157">
        <f t="shared" si="87"/>
        <v>44786</v>
      </c>
      <c r="Y239" s="385">
        <f t="shared" si="88"/>
        <v>20.612637078220104</v>
      </c>
      <c r="Z239" s="385">
        <f t="shared" si="89"/>
        <v>21.337051394888569</v>
      </c>
      <c r="AA239" s="386">
        <f t="shared" si="90"/>
        <v>24.668864729093134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0.13506147813422492</v>
      </c>
      <c r="AD239" s="231">
        <f>(INDEX(Models!$BJ239:$BT239,,AH239)*(1-AF239)+INDEX(Models!$BJ239:$BT239,,AH239+1)*AF239-ERP_i)*AE239*Ramure*Pc/MaxiM</f>
        <v>0</v>
      </c>
      <c r="AE239" s="305">
        <f t="shared" si="92"/>
        <v>0.7</v>
      </c>
      <c r="AF239" s="177">
        <f t="shared" si="93"/>
        <v>0.77989746955310801</v>
      </c>
      <c r="AG239" s="817">
        <f t="shared" si="99"/>
        <v>-1</v>
      </c>
      <c r="AH239" s="176">
        <f t="shared" si="94"/>
        <v>5</v>
      </c>
      <c r="AI239" s="225">
        <f t="shared" si="95"/>
        <v>-0.22010253044689193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44787</v>
      </c>
      <c r="B240" s="1106">
        <v>23.077000000000002</v>
      </c>
      <c r="C240" s="846"/>
      <c r="D240" s="393">
        <f t="shared" si="77"/>
        <v>23.888545561863499</v>
      </c>
      <c r="E240" s="385">
        <f t="shared" si="100"/>
        <v>26.113618741612477</v>
      </c>
      <c r="F240" s="385">
        <f t="shared" si="78"/>
        <v>26.113618741612477</v>
      </c>
      <c r="G240" s="110">
        <f t="shared" si="101"/>
        <v>0.67150360947299681</v>
      </c>
      <c r="H240" s="414" t="b">
        <f>Wh_hp&gt;='2021'!Maxi_hp</f>
        <v>0</v>
      </c>
      <c r="I240" s="380">
        <f>IF(H240,Wh_hp,'2021'!Maxi_hp)</f>
        <v>38.844476104478311</v>
      </c>
      <c r="J240" s="85">
        <f>IF(H240,An,'2021'!An_max)</f>
        <v>2019</v>
      </c>
      <c r="K240" s="197">
        <f t="shared" si="79"/>
        <v>44787</v>
      </c>
      <c r="L240" s="147">
        <f>IF(t&lt;Tvie,1-EXP((T0-t)*PertePVj)+'2021'!Pspv,1-EXP((T0-t)*PertePVj)+Pspv)</f>
        <v>3.397216292477323E-2</v>
      </c>
      <c r="M240" s="850"/>
      <c r="N240" s="850"/>
      <c r="O240" s="48">
        <f>IF(t&lt;Tnet,'2021'!Resal+('2021'!Salim-'2021'!Resal)*(1-EXP(('2021'!Tnet-t)/('2021'!Tau_j))),Resal+(Salim-Resal)*(1-EXP((Tnet-t)/(Tau_j))))*Salcycl</f>
        <v>8.5207385531875193E-2</v>
      </c>
      <c r="P240" s="339">
        <f>(INDEX(Models!$BJ240:$BT240,,T240)*(1-R240)+INDEX(Models!$BJ240:$BT240,,T240+1)*R240-ERP_i)*Q240*Ramure*Pc/MaxiM</f>
        <v>0</v>
      </c>
      <c r="Q240" s="305">
        <f t="shared" si="80"/>
        <v>0.7</v>
      </c>
      <c r="R240" s="177">
        <f t="shared" si="81"/>
        <v>0.78065823764653752</v>
      </c>
      <c r="S240" s="817">
        <f t="shared" si="82"/>
        <v>-1</v>
      </c>
      <c r="T240" s="176">
        <f t="shared" si="83"/>
        <v>5</v>
      </c>
      <c r="U240" s="251">
        <f t="shared" si="84"/>
        <v>-0.21934176235346248</v>
      </c>
      <c r="V240" s="383">
        <f t="shared" si="85"/>
        <v>34.366159279636754</v>
      </c>
      <c r="W240" s="402">
        <f t="shared" si="86"/>
        <v>0</v>
      </c>
      <c r="X240" s="157">
        <f t="shared" si="87"/>
        <v>44787</v>
      </c>
      <c r="Y240" s="385">
        <f t="shared" si="88"/>
        <v>21.818728307461505</v>
      </c>
      <c r="Z240" s="385">
        <f t="shared" si="89"/>
        <v>22.586024408489621</v>
      </c>
      <c r="AA240" s="386">
        <f t="shared" si="90"/>
        <v>26.113618741612477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0.13508638415944924</v>
      </c>
      <c r="AD240" s="231">
        <f>(INDEX(Models!$BJ240:$BT240,,AH240)*(1-AF240)+INDEX(Models!$BJ240:$BT240,,AH240+1)*AF240-ERP_i)*AE240*Ramure*Pc/MaxiM</f>
        <v>0</v>
      </c>
      <c r="AE240" s="305">
        <f t="shared" si="92"/>
        <v>0.7</v>
      </c>
      <c r="AF240" s="177">
        <f t="shared" si="93"/>
        <v>0.78065823764653752</v>
      </c>
      <c r="AG240" s="817">
        <f t="shared" si="99"/>
        <v>-1</v>
      </c>
      <c r="AH240" s="176">
        <f t="shared" si="94"/>
        <v>5</v>
      </c>
      <c r="AI240" s="225">
        <f t="shared" si="95"/>
        <v>-0.21934176235346248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44788</v>
      </c>
      <c r="B241" s="1106">
        <v>22.052</v>
      </c>
      <c r="C241" s="846"/>
      <c r="D241" s="393">
        <f t="shared" si="77"/>
        <v>22.827999525086938</v>
      </c>
      <c r="E241" s="385">
        <f t="shared" si="100"/>
        <v>24.95688223654243</v>
      </c>
      <c r="F241" s="385">
        <f t="shared" si="78"/>
        <v>24.95688223654243</v>
      </c>
      <c r="G241" s="110">
        <f t="shared" si="101"/>
        <v>0.64364753355286686</v>
      </c>
      <c r="H241" s="414" t="b">
        <f>Wh_hp&gt;='2021'!Maxi_hp</f>
        <v>0</v>
      </c>
      <c r="I241" s="380">
        <f>IF(H241,Wh_hp,'2021'!Maxi_hp)</f>
        <v>38.017729507891737</v>
      </c>
      <c r="J241" s="85">
        <f>IF(H241,An,'2021'!An_max)</f>
        <v>2018</v>
      </c>
      <c r="K241" s="197">
        <f t="shared" si="79"/>
        <v>44788</v>
      </c>
      <c r="L241" s="147">
        <f>IF(t&lt;Tvie,1-EXP((T0-t)*PertePVj)+'2021'!Pspv,1-EXP((T0-t)*PertePVj)+Pspv)</f>
        <v>3.3993321413650301E-2</v>
      </c>
      <c r="M241" s="850"/>
      <c r="N241" s="850"/>
      <c r="O241" s="48">
        <f>IF(t&lt;Tnet,'2021'!Resal+('2021'!Salim-'2021'!Resal)*(1-EXP(('2021'!Tnet-t)/('2021'!Tau_j))),Resal+(Salim-Resal)*(1-EXP((Tnet-t)/(Tau_j))))*Salcycl</f>
        <v>8.5302430458975079E-2</v>
      </c>
      <c r="P241" s="339">
        <f>(INDEX(Models!$BJ241:$BT241,,T241)*(1-R241)+INDEX(Models!$BJ241:$BT241,,T241+1)*R241-ERP_i)*Q241*Ramure*Pc/MaxiM</f>
        <v>0</v>
      </c>
      <c r="Q241" s="305">
        <f t="shared" si="80"/>
        <v>0.7</v>
      </c>
      <c r="R241" s="177">
        <f t="shared" si="81"/>
        <v>0.78139226851170895</v>
      </c>
      <c r="S241" s="817">
        <f t="shared" si="82"/>
        <v>-1</v>
      </c>
      <c r="T241" s="176">
        <f t="shared" si="83"/>
        <v>5</v>
      </c>
      <c r="U241" s="251">
        <f t="shared" si="84"/>
        <v>-0.2186077314882911</v>
      </c>
      <c r="V241" s="383">
        <f t="shared" si="85"/>
        <v>34.260987342366214</v>
      </c>
      <c r="W241" s="402">
        <f t="shared" si="86"/>
        <v>0</v>
      </c>
      <c r="X241" s="157">
        <f t="shared" si="87"/>
        <v>44788</v>
      </c>
      <c r="Y241" s="385">
        <f t="shared" si="88"/>
        <v>20.851191466648324</v>
      </c>
      <c r="Z241" s="385">
        <f t="shared" si="89"/>
        <v>21.584935103307849</v>
      </c>
      <c r="AA241" s="386">
        <f t="shared" si="90"/>
        <v>24.95688223654243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0.13511091254408764</v>
      </c>
      <c r="AD241" s="231">
        <f>(INDEX(Models!$BJ241:$BT241,,AH241)*(1-AF241)+INDEX(Models!$BJ241:$BT241,,AH241+1)*AF241-ERP_i)*AE241*Ramure*Pc/MaxiM</f>
        <v>0</v>
      </c>
      <c r="AE241" s="305">
        <f t="shared" si="92"/>
        <v>0.7</v>
      </c>
      <c r="AF241" s="177">
        <f t="shared" si="93"/>
        <v>0.78139226851170895</v>
      </c>
      <c r="AG241" s="817">
        <f t="shared" si="99"/>
        <v>-1</v>
      </c>
      <c r="AH241" s="176">
        <f t="shared" si="94"/>
        <v>5</v>
      </c>
      <c r="AI241" s="225">
        <f t="shared" si="95"/>
        <v>-0.2186077314882911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44789</v>
      </c>
      <c r="B242" s="1106">
        <v>21.812999999999999</v>
      </c>
      <c r="C242" s="846"/>
      <c r="D242" s="393">
        <f t="shared" si="77"/>
        <v>22.581083811001967</v>
      </c>
      <c r="E242" s="385">
        <f t="shared" si="100"/>
        <v>24.689495471907193</v>
      </c>
      <c r="F242" s="385">
        <f t="shared" si="78"/>
        <v>24.689495471907193</v>
      </c>
      <c r="G242" s="110">
        <f t="shared" si="101"/>
        <v>0.63865612094815305</v>
      </c>
      <c r="H242" s="414" t="b">
        <f>Wh_hp&gt;='2021'!Maxi_hp</f>
        <v>0</v>
      </c>
      <c r="I242" s="380">
        <f>IF(H242,Wh_hp,'2021'!Maxi_hp)</f>
        <v>38.177761326018796</v>
      </c>
      <c r="J242" s="85">
        <f>IF(H242,An,'2021'!An_max)</f>
        <v>2019</v>
      </c>
      <c r="K242" s="197">
        <f t="shared" si="79"/>
        <v>44789</v>
      </c>
      <c r="L242" s="147">
        <f>IF(t&lt;Tvie,1-EXP((T0-t)*PertePVj)+'2021'!Pspv,1-EXP((T0-t)*PertePVj)+Pspv)</f>
        <v>3.4014479439102185E-2</v>
      </c>
      <c r="M242" s="850"/>
      <c r="N242" s="850"/>
      <c r="O242" s="48">
        <f>IF(t&lt;Tnet,'2021'!Resal+('2021'!Salim-'2021'!Resal)*(1-EXP(('2021'!Tnet-t)/('2021'!Tau_j))),Resal+(Salim-Resal)*(1-EXP((Tnet-t)/(Tau_j))))*Salcycl</f>
        <v>8.5397114060280027E-2</v>
      </c>
      <c r="P242" s="339">
        <f>(INDEX(Models!$BJ242:$BT242,,T242)*(1-R242)+INDEX(Models!$BJ242:$BT242,,T242+1)*R242-ERP_i)*Q242*Ramure*Pc/MaxiM</f>
        <v>0</v>
      </c>
      <c r="Q242" s="305">
        <f t="shared" si="80"/>
        <v>0.7</v>
      </c>
      <c r="R242" s="177">
        <f t="shared" si="81"/>
        <v>0.78210035963451896</v>
      </c>
      <c r="S242" s="817">
        <f t="shared" si="82"/>
        <v>-1</v>
      </c>
      <c r="T242" s="176">
        <f t="shared" si="83"/>
        <v>5</v>
      </c>
      <c r="U242" s="251">
        <f t="shared" si="84"/>
        <v>-0.21789964036548104</v>
      </c>
      <c r="V242" s="383">
        <f t="shared" si="85"/>
        <v>34.15453055960112</v>
      </c>
      <c r="W242" s="402">
        <f t="shared" si="86"/>
        <v>0</v>
      </c>
      <c r="X242" s="157">
        <f t="shared" si="87"/>
        <v>44789</v>
      </c>
      <c r="Y242" s="385">
        <f t="shared" si="88"/>
        <v>20.626765325709016</v>
      </c>
      <c r="Z242" s="385">
        <f t="shared" si="89"/>
        <v>21.353079199087912</v>
      </c>
      <c r="AA242" s="386">
        <f t="shared" si="90"/>
        <v>24.689495471907193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0.13513505274401436</v>
      </c>
      <c r="AD242" s="231">
        <f>(INDEX(Models!$BJ242:$BT242,,AH242)*(1-AF242)+INDEX(Models!$BJ242:$BT242,,AH242+1)*AF242-ERP_i)*AE242*Ramure*Pc/MaxiM</f>
        <v>0</v>
      </c>
      <c r="AE242" s="305">
        <f t="shared" si="92"/>
        <v>0.7</v>
      </c>
      <c r="AF242" s="177">
        <f t="shared" si="93"/>
        <v>0.78210035963451896</v>
      </c>
      <c r="AG242" s="817">
        <f t="shared" si="99"/>
        <v>-1</v>
      </c>
      <c r="AH242" s="176">
        <f t="shared" si="94"/>
        <v>5</v>
      </c>
      <c r="AI242" s="225">
        <f t="shared" si="95"/>
        <v>-0.21789964036548104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44790</v>
      </c>
      <c r="B243" s="1106">
        <v>17.327000000000002</v>
      </c>
      <c r="C243" s="846"/>
      <c r="D243" s="393">
        <f t="shared" si="77"/>
        <v>17.937514740407074</v>
      </c>
      <c r="E243" s="385">
        <f t="shared" si="100"/>
        <v>19.614375739992656</v>
      </c>
      <c r="F243" s="385">
        <f t="shared" si="78"/>
        <v>19.614375739992656</v>
      </c>
      <c r="G243" s="110">
        <f t="shared" si="101"/>
        <v>0.50891729303206334</v>
      </c>
      <c r="H243" s="414" t="b">
        <f>Wh_hp&gt;='2021'!Maxi_hp</f>
        <v>0</v>
      </c>
      <c r="I243" s="380">
        <f>IF(H243,Wh_hp,'2021'!Maxi_hp)</f>
        <v>37.316431373615615</v>
      </c>
      <c r="J243" s="85">
        <f>IF(H243,An,'2021'!An_max)</f>
        <v>2019</v>
      </c>
      <c r="K243" s="197">
        <f t="shared" si="79"/>
        <v>44790</v>
      </c>
      <c r="L243" s="147">
        <f>IF(t&lt;Tvie,1-EXP((T0-t)*PertePVj)+'2021'!Pspv,1-EXP((T0-t)*PertePVj)+Pspv)</f>
        <v>3.4035637001138874E-2</v>
      </c>
      <c r="M243" s="850"/>
      <c r="N243" s="850"/>
      <c r="O243" s="48">
        <f>IF(t&lt;Tnet,'2021'!Resal+('2021'!Salim-'2021'!Resal)*(1-EXP(('2021'!Tnet-t)/('2021'!Tau_j))),Resal+(Salim-Resal)*(1-EXP((Tnet-t)/(Tau_j))))*Salcycl</f>
        <v>8.5491428420357576E-2</v>
      </c>
      <c r="P243" s="339">
        <f>(INDEX(Models!$BJ243:$BT243,,T243)*(1-R243)+INDEX(Models!$BJ243:$BT243,,T243+1)*R243-ERP_i)*Q243*Ramure*Pc/MaxiM</f>
        <v>0</v>
      </c>
      <c r="Q243" s="305">
        <f t="shared" si="80"/>
        <v>0.7</v>
      </c>
      <c r="R243" s="177">
        <f t="shared" si="81"/>
        <v>0.7827832953962427</v>
      </c>
      <c r="S243" s="817">
        <f t="shared" si="82"/>
        <v>-1</v>
      </c>
      <c r="T243" s="176">
        <f t="shared" si="83"/>
        <v>5</v>
      </c>
      <c r="U243" s="251">
        <f t="shared" si="84"/>
        <v>-0.2172167046037573</v>
      </c>
      <c r="V243" s="383">
        <f t="shared" si="85"/>
        <v>34.046789600659821</v>
      </c>
      <c r="W243" s="402">
        <f t="shared" si="86"/>
        <v>0</v>
      </c>
      <c r="X243" s="157">
        <f t="shared" si="87"/>
        <v>44790</v>
      </c>
      <c r="Y243" s="385">
        <f t="shared" si="88"/>
        <v>16.385962975501144</v>
      </c>
      <c r="Z243" s="385">
        <f t="shared" si="89"/>
        <v>16.963320390651372</v>
      </c>
      <c r="AA243" s="386">
        <f t="shared" si="90"/>
        <v>19.614375739992656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0.13515879294266428</v>
      </c>
      <c r="AD243" s="231">
        <f>(INDEX(Models!$BJ243:$BT243,,AH243)*(1-AF243)+INDEX(Models!$BJ243:$BT243,,AH243+1)*AF243-ERP_i)*AE243*Ramure*Pc/MaxiM</f>
        <v>0</v>
      </c>
      <c r="AE243" s="305">
        <f t="shared" si="92"/>
        <v>0.7</v>
      </c>
      <c r="AF243" s="177">
        <f t="shared" si="93"/>
        <v>0.7827832953962427</v>
      </c>
      <c r="AG243" s="817">
        <f t="shared" si="99"/>
        <v>-1</v>
      </c>
      <c r="AH243" s="176">
        <f t="shared" si="94"/>
        <v>5</v>
      </c>
      <c r="AI243" s="225">
        <f t="shared" si="95"/>
        <v>-0.2172167046037573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44791</v>
      </c>
      <c r="B244" s="1106">
        <v>25.708000000000002</v>
      </c>
      <c r="C244" s="846"/>
      <c r="D244" s="393">
        <f t="shared" si="77"/>
        <v>26.614401181113895</v>
      </c>
      <c r="E244" s="385">
        <f t="shared" si="100"/>
        <v>29.105397221994217</v>
      </c>
      <c r="F244" s="385">
        <f t="shared" si="78"/>
        <v>29.105397221994217</v>
      </c>
      <c r="G244" s="110">
        <f t="shared" si="101"/>
        <v>0.75750421047860461</v>
      </c>
      <c r="H244" s="414" t="b">
        <f>Wh_hp&gt;='2021'!Maxi_hp</f>
        <v>0</v>
      </c>
      <c r="I244" s="380">
        <f>IF(H244,Wh_hp,'2021'!Maxi_hp)</f>
        <v>36.873994716439007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3.4056794099770804E-2</v>
      </c>
      <c r="M244" s="850"/>
      <c r="N244" s="850"/>
      <c r="O244" s="48">
        <f>IF(t&lt;Tnet,'2021'!Resal+('2021'!Salim-'2021'!Resal)*(1-EXP(('2021'!Tnet-t)/('2021'!Tau_j))),Resal+(Salim-Resal)*(1-EXP((Tnet-t)/(Tau_j))))*Salcycl</f>
        <v>8.5585364868270564E-2</v>
      </c>
      <c r="P244" s="339">
        <f>(INDEX(Models!$BJ244:$BT244,,T244)*(1-R244)+INDEX(Models!$BJ244:$BT244,,T244+1)*R244-ERP_i)*Q244*Ramure*Pc/MaxiM</f>
        <v>0</v>
      </c>
      <c r="Q244" s="305">
        <f t="shared" si="80"/>
        <v>0.7</v>
      </c>
      <c r="R244" s="177">
        <f t="shared" si="81"/>
        <v>0.7834418464149151</v>
      </c>
      <c r="S244" s="817">
        <f t="shared" si="82"/>
        <v>-1</v>
      </c>
      <c r="T244" s="176">
        <f t="shared" si="83"/>
        <v>5</v>
      </c>
      <c r="U244" s="251">
        <f t="shared" si="84"/>
        <v>-0.21655815358508484</v>
      </c>
      <c r="V244" s="383">
        <f t="shared" si="85"/>
        <v>33.937765156126638</v>
      </c>
      <c r="W244" s="402">
        <f t="shared" si="86"/>
        <v>0</v>
      </c>
      <c r="X244" s="157">
        <f t="shared" si="87"/>
        <v>44791</v>
      </c>
      <c r="Y244" s="385">
        <f t="shared" si="88"/>
        <v>24.313628851140411</v>
      </c>
      <c r="Z244" s="385">
        <f t="shared" si="89"/>
        <v>25.170867917105809</v>
      </c>
      <c r="AA244" s="386">
        <f t="shared" si="90"/>
        <v>29.105397221994217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0.13518212017100334</v>
      </c>
      <c r="AD244" s="231">
        <f>(INDEX(Models!$BJ244:$BT244,,AH244)*(1-AF244)+INDEX(Models!$BJ244:$BT244,,AH244+1)*AF244-ERP_i)*AE244*Ramure*Pc/MaxiM</f>
        <v>0</v>
      </c>
      <c r="AE244" s="305">
        <f t="shared" si="92"/>
        <v>0.7</v>
      </c>
      <c r="AF244" s="177">
        <f t="shared" si="93"/>
        <v>0.7834418464149151</v>
      </c>
      <c r="AG244" s="817">
        <f t="shared" si="99"/>
        <v>-1</v>
      </c>
      <c r="AH244" s="176">
        <f t="shared" si="94"/>
        <v>5</v>
      </c>
      <c r="AI244" s="225">
        <f t="shared" si="95"/>
        <v>-0.21655815358508484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44792</v>
      </c>
      <c r="B245" s="1106">
        <v>25.916</v>
      </c>
      <c r="C245" s="846"/>
      <c r="D245" s="393">
        <f t="shared" si="77"/>
        <v>26.830322405126271</v>
      </c>
      <c r="E245" s="385">
        <f t="shared" si="100"/>
        <v>29.344529856319895</v>
      </c>
      <c r="F245" s="385">
        <f t="shared" si="78"/>
        <v>29.344529856319895</v>
      </c>
      <c r="G245" s="110">
        <f t="shared" si="101"/>
        <v>0.76612319051297284</v>
      </c>
      <c r="H245" s="414" t="b">
        <f>Wh_hp&gt;='2021'!Maxi_hp</f>
        <v>0</v>
      </c>
      <c r="I245" s="380">
        <f>IF(H245,Wh_hp,'2021'!Maxi_hp)</f>
        <v>35.384293693834039</v>
      </c>
      <c r="J245" s="85">
        <f>IF(H245,An,'2021'!An_max)</f>
        <v>2018</v>
      </c>
      <c r="K245" s="197">
        <f t="shared" si="79"/>
        <v>44792</v>
      </c>
      <c r="L245" s="147">
        <f>IF(t&lt;Tvie,1-EXP((T0-t)*PertePVj)+'2021'!Pspv,1-EXP((T0-t)*PertePVj)+Pspv)</f>
        <v>3.4077950735007856E-2</v>
      </c>
      <c r="M245" s="850"/>
      <c r="N245" s="850"/>
      <c r="O245" s="48">
        <f>IF(t&lt;Tnet,'2021'!Resal+('2021'!Salim-'2021'!Resal)*(1-EXP(('2021'!Tnet-t)/('2021'!Tau_j))),Resal+(Salim-Resal)*(1-EXP((Tnet-t)/(Tau_j))))*Salcycl</f>
        <v>8.5678914043059468E-2</v>
      </c>
      <c r="P245" s="339">
        <f>(INDEX(Models!$BJ245:$BT245,,T245)*(1-R245)+INDEX(Models!$BJ245:$BT245,,T245+1)*R245-ERP_i)*Q245*Ramure*Pc/MaxiM</f>
        <v>0</v>
      </c>
      <c r="Q245" s="305">
        <f t="shared" si="80"/>
        <v>0.7</v>
      </c>
      <c r="R245" s="177">
        <f t="shared" si="81"/>
        <v>0.78407676897549128</v>
      </c>
      <c r="S245" s="817">
        <f t="shared" si="82"/>
        <v>-1</v>
      </c>
      <c r="T245" s="176">
        <f t="shared" si="83"/>
        <v>5</v>
      </c>
      <c r="U245" s="251">
        <f t="shared" si="84"/>
        <v>-0.21592323102450878</v>
      </c>
      <c r="V245" s="383">
        <f t="shared" si="85"/>
        <v>33.827457934862188</v>
      </c>
      <c r="W245" s="402">
        <f t="shared" si="86"/>
        <v>0</v>
      </c>
      <c r="X245" s="157">
        <f t="shared" si="87"/>
        <v>44792</v>
      </c>
      <c r="Y245" s="385">
        <f t="shared" si="88"/>
        <v>24.512205870700726</v>
      </c>
      <c r="Z245" s="385">
        <f t="shared" si="89"/>
        <v>25.37700209799851</v>
      </c>
      <c r="AA245" s="386">
        <f t="shared" si="90"/>
        <v>29.344529856319895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0.13520502041599089</v>
      </c>
      <c r="AD245" s="231">
        <f>(INDEX(Models!$BJ245:$BT245,,AH245)*(1-AF245)+INDEX(Models!$BJ245:$BT245,,AH245+1)*AF245-ERP_i)*AE245*Ramure*Pc/MaxiM</f>
        <v>0</v>
      </c>
      <c r="AE245" s="305">
        <f t="shared" si="92"/>
        <v>0.7</v>
      </c>
      <c r="AF245" s="177">
        <f t="shared" si="93"/>
        <v>0.78407676897549128</v>
      </c>
      <c r="AG245" s="817">
        <f t="shared" si="99"/>
        <v>-1</v>
      </c>
      <c r="AH245" s="176">
        <f t="shared" si="94"/>
        <v>5</v>
      </c>
      <c r="AI245" s="225">
        <f t="shared" si="95"/>
        <v>-0.21592323102450878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44793</v>
      </c>
      <c r="B246" s="1106">
        <v>32.166000000000004</v>
      </c>
      <c r="C246" s="846"/>
      <c r="D246" s="393">
        <f t="shared" si="77"/>
        <v>33.30155322353378</v>
      </c>
      <c r="E246" s="385">
        <f t="shared" si="100"/>
        <v>36.425875849219466</v>
      </c>
      <c r="F246" s="385">
        <f t="shared" si="78"/>
        <v>36.425875849219466</v>
      </c>
      <c r="G246" s="110">
        <f t="shared" si="101"/>
        <v>0.95403147767658547</v>
      </c>
      <c r="H246" s="414" t="b">
        <f>Wh_hp&gt;='2021'!Maxi_hp</f>
        <v>0</v>
      </c>
      <c r="I246" s="380">
        <f>IF(H246,Wh_hp,'2021'!Maxi_hp)</f>
        <v>36.556455204531737</v>
      </c>
      <c r="J246" s="85">
        <f>IF(H246,An,'2021'!An_max)</f>
        <v>2021</v>
      </c>
      <c r="K246" s="197">
        <f t="shared" si="79"/>
        <v>44793</v>
      </c>
      <c r="L246" s="147">
        <f>IF(t&lt;Tvie,1-EXP((T0-t)*PertePVj)+'2021'!Pspv,1-EXP((T0-t)*PertePVj)+Pspv)</f>
        <v>3.4099106906860355E-2</v>
      </c>
      <c r="M246" s="850"/>
      <c r="N246" s="850"/>
      <c r="O246" s="48">
        <f>IF(t&lt;Tnet,'2021'!Resal+('2021'!Salim-'2021'!Resal)*(1-EXP(('2021'!Tnet-t)/('2021'!Tau_j))),Resal+(Salim-Resal)*(1-EXP((Tnet-t)/(Tau_j))))*Salcycl</f>
        <v>8.5772065951645104E-2</v>
      </c>
      <c r="P246" s="339">
        <f>(INDEX(Models!$BJ246:$BT246,,T246)*(1-R246)+INDEX(Models!$BJ246:$BT246,,T246+1)*R246-ERP_i)*Q246*Ramure*Pc/MaxiM</f>
        <v>0</v>
      </c>
      <c r="Q246" s="305">
        <f t="shared" si="80"/>
        <v>0.7</v>
      </c>
      <c r="R246" s="177">
        <f t="shared" si="81"/>
        <v>0.78468880454325585</v>
      </c>
      <c r="S246" s="817">
        <f t="shared" si="82"/>
        <v>-1</v>
      </c>
      <c r="T246" s="176">
        <f t="shared" si="83"/>
        <v>5</v>
      </c>
      <c r="U246" s="251">
        <f t="shared" si="84"/>
        <v>-0.21531119545674415</v>
      </c>
      <c r="V246" s="383">
        <f t="shared" si="85"/>
        <v>33.71586866120596</v>
      </c>
      <c r="W246" s="402">
        <f t="shared" si="86"/>
        <v>0</v>
      </c>
      <c r="X246" s="157">
        <f t="shared" si="87"/>
        <v>44793</v>
      </c>
      <c r="Y246" s="385">
        <f t="shared" si="88"/>
        <v>30.425971340025701</v>
      </c>
      <c r="Z246" s="385">
        <f t="shared" si="89"/>
        <v>31.500096498090507</v>
      </c>
      <c r="AA246" s="386">
        <f t="shared" si="90"/>
        <v>36.425875849219466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0.13522747871646595</v>
      </c>
      <c r="AD246" s="231">
        <f>(INDEX(Models!$BJ246:$BT246,,AH246)*(1-AF246)+INDEX(Models!$BJ246:$BT246,,AH246+1)*AF246-ERP_i)*AE246*Ramure*Pc/MaxiM</f>
        <v>0</v>
      </c>
      <c r="AE246" s="305">
        <f t="shared" si="92"/>
        <v>0.7</v>
      </c>
      <c r="AF246" s="177">
        <f t="shared" si="93"/>
        <v>0.78468880454325585</v>
      </c>
      <c r="AG246" s="817">
        <f t="shared" si="99"/>
        <v>-1</v>
      </c>
      <c r="AH246" s="176">
        <f t="shared" si="94"/>
        <v>5</v>
      </c>
      <c r="AI246" s="225">
        <f t="shared" si="95"/>
        <v>-0.21531119545674415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44794</v>
      </c>
      <c r="B247" s="1106">
        <v>20.163</v>
      </c>
      <c r="C247" s="846"/>
      <c r="D247" s="393">
        <f t="shared" si="77"/>
        <v>20.875269683776466</v>
      </c>
      <c r="E247" s="385">
        <f t="shared" si="100"/>
        <v>22.83608585749807</v>
      </c>
      <c r="F247" s="385">
        <f t="shared" si="78"/>
        <v>22.83608585749807</v>
      </c>
      <c r="G247" s="110">
        <f t="shared" si="101"/>
        <v>0.6000101523487692</v>
      </c>
      <c r="H247" s="414" t="b">
        <f>Wh_hp&gt;='2021'!Maxi_hp</f>
        <v>0</v>
      </c>
      <c r="I247" s="380">
        <f>IF(H247,Wh_hp,'2021'!Maxi_hp)</f>
        <v>36.591801967762351</v>
      </c>
      <c r="J247" s="85">
        <f>IF(H247,An,'2021'!An_max)</f>
        <v>2020</v>
      </c>
      <c r="K247" s="197">
        <f t="shared" si="79"/>
        <v>44794</v>
      </c>
      <c r="L247" s="147">
        <f>IF(t&lt;Tvie,1-EXP((T0-t)*PertePVj)+'2021'!Pspv,1-EXP((T0-t)*PertePVj)+Pspv)</f>
        <v>3.4120262615338404E-2</v>
      </c>
      <c r="M247" s="850"/>
      <c r="N247" s="850"/>
      <c r="O247" s="48">
        <f>IF(t&lt;Tnet,'2021'!Resal+('2021'!Salim-'2021'!Resal)*(1-EXP(('2021'!Tnet-t)/('2021'!Tau_j))),Resal+(Salim-Resal)*(1-EXP((Tnet-t)/(Tau_j))))*Salcycl</f>
        <v>8.5864810018560306E-2</v>
      </c>
      <c r="P247" s="339">
        <f>(INDEX(Models!$BJ247:$BT247,,T247)*(1-R247)+INDEX(Models!$BJ247:$BT247,,T247+1)*R247-ERP_i)*Q247*Ramure*Pc/MaxiM</f>
        <v>0</v>
      </c>
      <c r="Q247" s="305">
        <f t="shared" si="80"/>
        <v>0.7</v>
      </c>
      <c r="R247" s="177">
        <f t="shared" si="81"/>
        <v>0.78527867935507856</v>
      </c>
      <c r="S247" s="817">
        <f t="shared" si="82"/>
        <v>-1</v>
      </c>
      <c r="T247" s="176">
        <f t="shared" si="83"/>
        <v>5</v>
      </c>
      <c r="U247" s="251">
        <f t="shared" si="84"/>
        <v>-0.21472132064492139</v>
      </c>
      <c r="V247" s="383">
        <f t="shared" si="85"/>
        <v>33.604431393487175</v>
      </c>
      <c r="W247" s="402">
        <f t="shared" si="86"/>
        <v>0</v>
      </c>
      <c r="X247" s="157">
        <f t="shared" si="87"/>
        <v>44794</v>
      </c>
      <c r="Y247" s="385">
        <f t="shared" si="88"/>
        <v>19.073726666539116</v>
      </c>
      <c r="Z247" s="385">
        <f t="shared" si="89"/>
        <v>19.74751713726344</v>
      </c>
      <c r="AA247" s="386">
        <f t="shared" si="90"/>
        <v>22.83608585749807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0.13524947924560898</v>
      </c>
      <c r="AD247" s="231">
        <f>(INDEX(Models!$BJ247:$BT247,,AH247)*(1-AF247)+INDEX(Models!$BJ247:$BT247,,AH247+1)*AF247-ERP_i)*AE247*Ramure*Pc/MaxiM</f>
        <v>0</v>
      </c>
      <c r="AE247" s="305">
        <f t="shared" si="92"/>
        <v>0.7</v>
      </c>
      <c r="AF247" s="177">
        <f t="shared" si="93"/>
        <v>0.78527867935507856</v>
      </c>
      <c r="AG247" s="817">
        <f t="shared" si="99"/>
        <v>-1</v>
      </c>
      <c r="AH247" s="176">
        <f t="shared" si="94"/>
        <v>5</v>
      </c>
      <c r="AI247" s="225">
        <f t="shared" si="95"/>
        <v>-0.21472132064492139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44795</v>
      </c>
      <c r="B248" s="1106">
        <v>16.718</v>
      </c>
      <c r="C248" s="846"/>
      <c r="D248" s="393">
        <f t="shared" si="77"/>
        <v>17.308952168718807</v>
      </c>
      <c r="E248" s="385">
        <f t="shared" si="100"/>
        <v>18.936696334394476</v>
      </c>
      <c r="F248" s="385">
        <f t="shared" si="78"/>
        <v>18.936696334394476</v>
      </c>
      <c r="G248" s="110">
        <f t="shared" si="101"/>
        <v>0.49913210889415505</v>
      </c>
      <c r="H248" s="414" t="b">
        <f>Wh_hp&gt;='2021'!Maxi_hp</f>
        <v>0</v>
      </c>
      <c r="I248" s="380">
        <f>IF(H248,Wh_hp,'2021'!Maxi_hp)</f>
        <v>38.793135012494737</v>
      </c>
      <c r="J248" s="85">
        <f>IF(H248,An,'2021'!An_max)</f>
        <v>2019</v>
      </c>
      <c r="K248" s="197">
        <f t="shared" si="79"/>
        <v>44795</v>
      </c>
      <c r="L248" s="147">
        <f>IF(t&lt;Tvie,1-EXP((T0-t)*PertePVj)+'2021'!Pspv,1-EXP((T0-t)*PertePVj)+Pspv)</f>
        <v>3.4141417860452106E-2</v>
      </c>
      <c r="M248" s="850"/>
      <c r="N248" s="850"/>
      <c r="O248" s="48">
        <f>IF(t&lt;Tnet,'2021'!Resal+('2021'!Salim-'2021'!Resal)*(1-EXP(('2021'!Tnet-t)/('2021'!Tau_j))),Resal+(Salim-Resal)*(1-EXP((Tnet-t)/(Tau_j))))*Salcycl</f>
        <v>8.5957135127061213E-2</v>
      </c>
      <c r="P248" s="339">
        <f>(INDEX(Models!$BJ248:$BT248,,T248)*(1-R248)+INDEX(Models!$BJ248:$BT248,,T248+1)*R248-ERP_i)*Q248*Ramure*Pc/MaxiM</f>
        <v>0</v>
      </c>
      <c r="Q248" s="305">
        <f t="shared" si="80"/>
        <v>0.7</v>
      </c>
      <c r="R248" s="177">
        <f t="shared" si="81"/>
        <v>0.78584710408325109</v>
      </c>
      <c r="S248" s="817">
        <f t="shared" si="82"/>
        <v>-1</v>
      </c>
      <c r="T248" s="176">
        <f t="shared" si="83"/>
        <v>5</v>
      </c>
      <c r="U248" s="251">
        <f t="shared" si="84"/>
        <v>-0.21415289591674885</v>
      </c>
      <c r="V248" s="383">
        <f t="shared" si="85"/>
        <v>33.494138529855995</v>
      </c>
      <c r="W248" s="402">
        <f t="shared" si="86"/>
        <v>0</v>
      </c>
      <c r="X248" s="157">
        <f t="shared" si="87"/>
        <v>44795</v>
      </c>
      <c r="Y248" s="385">
        <f t="shared" si="88"/>
        <v>15.816040896591227</v>
      </c>
      <c r="Z248" s="385">
        <f t="shared" si="89"/>
        <v>16.375110382677239</v>
      </c>
      <c r="AA248" s="386">
        <f t="shared" si="90"/>
        <v>18.936696334394476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0.13527100537936282</v>
      </c>
      <c r="AD248" s="231">
        <f>(INDEX(Models!$BJ248:$BT248,,AH248)*(1-AF248)+INDEX(Models!$BJ248:$BT248,,AH248+1)*AF248-ERP_i)*AE248*Ramure*Pc/MaxiM</f>
        <v>0</v>
      </c>
      <c r="AE248" s="305">
        <f t="shared" si="92"/>
        <v>0.7</v>
      </c>
      <c r="AF248" s="177">
        <f t="shared" si="93"/>
        <v>0.78584710408325109</v>
      </c>
      <c r="AG248" s="817">
        <f t="shared" si="99"/>
        <v>-1</v>
      </c>
      <c r="AH248" s="176">
        <f t="shared" si="94"/>
        <v>5</v>
      </c>
      <c r="AI248" s="225">
        <f t="shared" si="95"/>
        <v>-0.21415289591674885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44796</v>
      </c>
      <c r="B249" s="1106">
        <v>29.939</v>
      </c>
      <c r="C249" s="846"/>
      <c r="D249" s="393">
        <f t="shared" si="77"/>
        <v>30.997970416101186</v>
      </c>
      <c r="E249" s="385">
        <f t="shared" si="100"/>
        <v>33.916447842136613</v>
      </c>
      <c r="F249" s="385">
        <f t="shared" si="78"/>
        <v>33.916447842136613</v>
      </c>
      <c r="G249" s="110">
        <f t="shared" si="101"/>
        <v>0.89679802720028423</v>
      </c>
      <c r="H249" s="414" t="b">
        <f>Wh_hp&gt;='2021'!Maxi_hp</f>
        <v>0</v>
      </c>
      <c r="I249" s="380">
        <f>IF(H249,Wh_hp,'2021'!Maxi_hp)</f>
        <v>36.458624208406086</v>
      </c>
      <c r="J249" s="85">
        <f>IF(H249,An,'2021'!An_max)</f>
        <v>2019</v>
      </c>
      <c r="K249" s="197">
        <f t="shared" si="79"/>
        <v>44796</v>
      </c>
      <c r="L249" s="147">
        <f>IF(t&lt;Tvie,1-EXP((T0-t)*PertePVj)+'2021'!Pspv,1-EXP((T0-t)*PertePVj)+Pspv)</f>
        <v>3.4162572642211675E-2</v>
      </c>
      <c r="M249" s="850"/>
      <c r="N249" s="850"/>
      <c r="O249" s="48">
        <f>IF(t&lt;Tnet,'2021'!Resal+('2021'!Salim-'2021'!Resal)*(1-EXP(('2021'!Tnet-t)/('2021'!Tau_j))),Resal+(Salim-Resal)*(1-EXP((Tnet-t)/(Tau_j))))*Salcycl</f>
        <v>8.6049029651318998E-2</v>
      </c>
      <c r="P249" s="339">
        <f>(INDEX(Models!$BJ249:$BT249,,T249)*(1-R249)+INDEX(Models!$BJ249:$BT249,,T249+1)*R249-ERP_i)*Q249*Ramure*Pc/MaxiM</f>
        <v>0</v>
      </c>
      <c r="Q249" s="305">
        <f t="shared" si="80"/>
        <v>0.7</v>
      </c>
      <c r="R249" s="177">
        <f t="shared" si="81"/>
        <v>0.78639477356680487</v>
      </c>
      <c r="S249" s="817">
        <f t="shared" si="82"/>
        <v>-1</v>
      </c>
      <c r="T249" s="176">
        <f t="shared" si="83"/>
        <v>5</v>
      </c>
      <c r="U249" s="251">
        <f t="shared" si="84"/>
        <v>-0.21360522643319507</v>
      </c>
      <c r="V249" s="383">
        <f t="shared" si="85"/>
        <v>33.384328568904898</v>
      </c>
      <c r="W249" s="402">
        <f t="shared" si="86"/>
        <v>0</v>
      </c>
      <c r="X249" s="157">
        <f t="shared" si="87"/>
        <v>44796</v>
      </c>
      <c r="Y249" s="385">
        <f t="shared" si="88"/>
        <v>28.3259085681971</v>
      </c>
      <c r="Z249" s="385">
        <f t="shared" si="89"/>
        <v>29.327822432484744</v>
      </c>
      <c r="AA249" s="386">
        <f t="shared" si="90"/>
        <v>33.916447842136613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0.13529203975043405</v>
      </c>
      <c r="AD249" s="231">
        <f>(INDEX(Models!$BJ249:$BT249,,AH249)*(1-AF249)+INDEX(Models!$BJ249:$BT249,,AH249+1)*AF249-ERP_i)*AE249*Ramure*Pc/MaxiM</f>
        <v>0</v>
      </c>
      <c r="AE249" s="305">
        <f t="shared" si="92"/>
        <v>0.7</v>
      </c>
      <c r="AF249" s="177">
        <f t="shared" si="93"/>
        <v>0.78639477356680487</v>
      </c>
      <c r="AG249" s="817">
        <f t="shared" si="99"/>
        <v>-1</v>
      </c>
      <c r="AH249" s="176">
        <f t="shared" si="94"/>
        <v>5</v>
      </c>
      <c r="AI249" s="225">
        <f t="shared" si="95"/>
        <v>-0.21360522643319507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44797</v>
      </c>
      <c r="B250" s="1106">
        <v>29.420999999999999</v>
      </c>
      <c r="C250" s="846"/>
      <c r="D250" s="393">
        <f t="shared" si="77"/>
        <v>30.462315474778311</v>
      </c>
      <c r="E250" s="385">
        <f t="shared" si="100"/>
        <v>33.333696106921295</v>
      </c>
      <c r="F250" s="385">
        <f t="shared" si="78"/>
        <v>33.333696106921295</v>
      </c>
      <c r="G250" s="110">
        <f t="shared" si="101"/>
        <v>0.88419483878773952</v>
      </c>
      <c r="H250" s="414" t="b">
        <f>Wh_hp&gt;='2021'!Maxi_hp</f>
        <v>0</v>
      </c>
      <c r="I250" s="380">
        <f>IF(H250,Wh_hp,'2021'!Maxi_hp)</f>
        <v>36.227969880355467</v>
      </c>
      <c r="J250" s="85">
        <f>IF(H250,An,'2021'!An_max)</f>
        <v>2019</v>
      </c>
      <c r="K250" s="197">
        <f t="shared" si="79"/>
        <v>44797</v>
      </c>
      <c r="L250" s="147">
        <f>IF(t&lt;Tvie,1-EXP((T0-t)*PertePVj)+'2021'!Pspv,1-EXP((T0-t)*PertePVj)+Pspv)</f>
        <v>3.4183726960627214E-2</v>
      </c>
      <c r="M250" s="850"/>
      <c r="N250" s="850"/>
      <c r="O250" s="48">
        <f>IF(t&lt;Tnet,'2021'!Resal+('2021'!Salim-'2021'!Resal)*(1-EXP(('2021'!Tnet-t)/('2021'!Tau_j))),Resal+(Salim-Resal)*(1-EXP((Tnet-t)/(Tau_j))))*Salcycl</f>
        <v>8.6140481479543493E-2</v>
      </c>
      <c r="P250" s="339">
        <f>(INDEX(Models!$BJ250:$BT250,,T250)*(1-R250)+INDEX(Models!$BJ250:$BT250,,T250+1)*R250-ERP_i)*Q250*Ramure*Pc/MaxiM</f>
        <v>0</v>
      </c>
      <c r="Q250" s="305">
        <f t="shared" si="80"/>
        <v>0.7</v>
      </c>
      <c r="R250" s="177">
        <f t="shared" si="81"/>
        <v>0.78692236660538606</v>
      </c>
      <c r="S250" s="817">
        <f t="shared" si="82"/>
        <v>-1</v>
      </c>
      <c r="T250" s="176">
        <f t="shared" si="83"/>
        <v>5</v>
      </c>
      <c r="U250" s="251">
        <f t="shared" si="84"/>
        <v>-0.21307763339461394</v>
      </c>
      <c r="V250" s="383">
        <f t="shared" si="85"/>
        <v>33.274340348262122</v>
      </c>
      <c r="W250" s="402">
        <f t="shared" si="86"/>
        <v>0</v>
      </c>
      <c r="X250" s="157">
        <f t="shared" si="87"/>
        <v>44797</v>
      </c>
      <c r="Y250" s="385">
        <f t="shared" si="88"/>
        <v>27.837942846268035</v>
      </c>
      <c r="Z250" s="385">
        <f t="shared" si="89"/>
        <v>28.823228209505622</v>
      </c>
      <c r="AA250" s="386">
        <f t="shared" si="90"/>
        <v>33.333696106921295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0.13531256428773686</v>
      </c>
      <c r="AD250" s="231">
        <f>(INDEX(Models!$BJ250:$BT250,,AH250)*(1-AF250)+INDEX(Models!$BJ250:$BT250,,AH250+1)*AF250-ERP_i)*AE250*Ramure*Pc/MaxiM</f>
        <v>0</v>
      </c>
      <c r="AE250" s="305">
        <f t="shared" si="92"/>
        <v>0.7</v>
      </c>
      <c r="AF250" s="177">
        <f t="shared" si="93"/>
        <v>0.78692236660538606</v>
      </c>
      <c r="AG250" s="817">
        <f t="shared" si="99"/>
        <v>-1</v>
      </c>
      <c r="AH250" s="176">
        <f t="shared" si="94"/>
        <v>5</v>
      </c>
      <c r="AI250" s="225">
        <f t="shared" si="95"/>
        <v>-0.21307763339461394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44798</v>
      </c>
      <c r="B251" s="1106">
        <v>21.696000000000002</v>
      </c>
      <c r="C251" s="846"/>
      <c r="D251" s="393">
        <f t="shared" si="77"/>
        <v>22.464391845678829</v>
      </c>
      <c r="E251" s="385">
        <f t="shared" si="100"/>
        <v>24.58433542578123</v>
      </c>
      <c r="F251" s="385">
        <f t="shared" si="78"/>
        <v>24.58433542578123</v>
      </c>
      <c r="G251" s="110">
        <f t="shared" si="101"/>
        <v>0.65421295911940558</v>
      </c>
      <c r="H251" s="414" t="b">
        <f>Wh_hp&gt;='2021'!Maxi_hp</f>
        <v>0</v>
      </c>
      <c r="I251" s="380">
        <f>IF(H251,Wh_hp,'2021'!Maxi_hp)</f>
        <v>34.955028036144711</v>
      </c>
      <c r="J251" s="85">
        <f>IF(H251,An,'2021'!An_max)</f>
        <v>2020</v>
      </c>
      <c r="K251" s="197">
        <f t="shared" si="79"/>
        <v>44798</v>
      </c>
      <c r="L251" s="147">
        <f>IF(t&lt;Tvie,1-EXP((T0-t)*PertePVj)+'2021'!Pspv,1-EXP((T0-t)*PertePVj)+Pspv)</f>
        <v>3.4204880815708938E-2</v>
      </c>
      <c r="M251" s="850"/>
      <c r="N251" s="850"/>
      <c r="O251" s="48">
        <f>IF(t&lt;Tnet,'2021'!Resal+('2021'!Salim-'2021'!Resal)*(1-EXP(('2021'!Tnet-t)/('2021'!Tau_j))),Resal+(Salim-Resal)*(1-EXP((Tnet-t)/(Tau_j))))*Salcycl</f>
        <v>8.6231478028047287E-2</v>
      </c>
      <c r="P251" s="339">
        <f>(INDEX(Models!$BJ251:$BT251,,T251)*(1-R251)+INDEX(Models!$BJ251:$BT251,,T251+1)*R251-ERP_i)*Q251*Ramure*Pc/MaxiM</f>
        <v>0</v>
      </c>
      <c r="Q251" s="305">
        <f t="shared" si="80"/>
        <v>0.7</v>
      </c>
      <c r="R251" s="177">
        <f t="shared" si="81"/>
        <v>0.78743054581094452</v>
      </c>
      <c r="S251" s="817">
        <f t="shared" si="82"/>
        <v>-1</v>
      </c>
      <c r="T251" s="176">
        <f t="shared" si="83"/>
        <v>5</v>
      </c>
      <c r="U251" s="251">
        <f t="shared" si="84"/>
        <v>-0.21256945418905548</v>
      </c>
      <c r="V251" s="383">
        <f t="shared" si="85"/>
        <v>33.163513038940117</v>
      </c>
      <c r="W251" s="402">
        <f t="shared" si="86"/>
        <v>0</v>
      </c>
      <c r="X251" s="157">
        <f t="shared" si="87"/>
        <v>44798</v>
      </c>
      <c r="Y251" s="385">
        <f t="shared" si="88"/>
        <v>20.530171834457985</v>
      </c>
      <c r="Z251" s="385">
        <f t="shared" si="89"/>
        <v>21.257274370777246</v>
      </c>
      <c r="AA251" s="386">
        <f t="shared" si="90"/>
        <v>24.58433542578123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0.13533256024138618</v>
      </c>
      <c r="AD251" s="231">
        <f>(INDEX(Models!$BJ251:$BT251,,AH251)*(1-AF251)+INDEX(Models!$BJ251:$BT251,,AH251+1)*AF251-ERP_i)*AE251*Ramure*Pc/MaxiM</f>
        <v>0</v>
      </c>
      <c r="AE251" s="305">
        <f t="shared" si="92"/>
        <v>0.7</v>
      </c>
      <c r="AF251" s="177">
        <f t="shared" si="93"/>
        <v>0.78743054581094452</v>
      </c>
      <c r="AG251" s="817">
        <f t="shared" si="99"/>
        <v>-1</v>
      </c>
      <c r="AH251" s="176">
        <f t="shared" si="94"/>
        <v>5</v>
      </c>
      <c r="AI251" s="225">
        <f t="shared" si="95"/>
        <v>-0.21256945418905548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44799</v>
      </c>
      <c r="B252" s="1106">
        <v>26.405999999999999</v>
      </c>
      <c r="C252" s="846"/>
      <c r="D252" s="393">
        <f t="shared" si="77"/>
        <v>27.341801431073694</v>
      </c>
      <c r="E252" s="385">
        <f t="shared" si="100"/>
        <v>29.924986284005364</v>
      </c>
      <c r="F252" s="385">
        <f t="shared" si="78"/>
        <v>29.924986284005364</v>
      </c>
      <c r="G252" s="110">
        <f t="shared" si="101"/>
        <v>0.79894258213670954</v>
      </c>
      <c r="H252" s="414" t="b">
        <f>Wh_hp&gt;='2021'!Maxi_hp</f>
        <v>0</v>
      </c>
      <c r="I252" s="380">
        <f>IF(H252,Wh_hp,'2021'!Maxi_hp)</f>
        <v>36.589991055920372</v>
      </c>
      <c r="J252" s="85">
        <f>IF(H252,An,'2021'!An_max)</f>
        <v>2020</v>
      </c>
      <c r="K252" s="197">
        <f t="shared" si="79"/>
        <v>44799</v>
      </c>
      <c r="L252" s="147">
        <f>IF(t&lt;Tvie,1-EXP((T0-t)*PertePVj)+'2021'!Pspv,1-EXP((T0-t)*PertePVj)+Pspv)</f>
        <v>3.4226034207466949E-2</v>
      </c>
      <c r="M252" s="850"/>
      <c r="N252" s="850"/>
      <c r="O252" s="48">
        <f>IF(t&lt;Tnet,'2021'!Resal+('2021'!Salim-'2021'!Resal)*(1-EXP(('2021'!Tnet-t)/('2021'!Tau_j))),Resal+(Salim-Resal)*(1-EXP((Tnet-t)/(Tau_j))))*Salcycl</f>
        <v>8.6322006246410884E-2</v>
      </c>
      <c r="P252" s="339">
        <f>(INDEX(Models!$BJ252:$BT252,,T252)*(1-R252)+INDEX(Models!$BJ252:$BT252,,T252+1)*R252-ERP_i)*Q252*Ramure*Pc/MaxiM</f>
        <v>0</v>
      </c>
      <c r="Q252" s="305">
        <f t="shared" si="80"/>
        <v>0.7</v>
      </c>
      <c r="R252" s="177">
        <f t="shared" si="81"/>
        <v>0.78791995751269672</v>
      </c>
      <c r="S252" s="817">
        <f t="shared" si="82"/>
        <v>-1</v>
      </c>
      <c r="T252" s="176">
        <f t="shared" si="83"/>
        <v>5</v>
      </c>
      <c r="U252" s="251">
        <f t="shared" si="84"/>
        <v>-0.21208004248730322</v>
      </c>
      <c r="V252" s="383">
        <f t="shared" si="85"/>
        <v>33.051186143288561</v>
      </c>
      <c r="W252" s="402">
        <f t="shared" si="86"/>
        <v>0</v>
      </c>
      <c r="X252" s="157">
        <f t="shared" si="87"/>
        <v>44799</v>
      </c>
      <c r="Y252" s="385">
        <f t="shared" si="88"/>
        <v>24.988995059234973</v>
      </c>
      <c r="Z252" s="385">
        <f t="shared" si="89"/>
        <v>25.874579295299718</v>
      </c>
      <c r="AA252" s="386">
        <f t="shared" si="90"/>
        <v>29.924986284005364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0.13535200819358609</v>
      </c>
      <c r="AD252" s="231">
        <f>(INDEX(Models!$BJ252:$BT252,,AH252)*(1-AF252)+INDEX(Models!$BJ252:$BT252,,AH252+1)*AF252-ERP_i)*AE252*Ramure*Pc/MaxiM</f>
        <v>0</v>
      </c>
      <c r="AE252" s="305">
        <f t="shared" si="92"/>
        <v>0.7</v>
      </c>
      <c r="AF252" s="177">
        <f t="shared" si="93"/>
        <v>0.78791995751269672</v>
      </c>
      <c r="AG252" s="817">
        <f t="shared" si="99"/>
        <v>-1</v>
      </c>
      <c r="AH252" s="176">
        <f t="shared" si="94"/>
        <v>5</v>
      </c>
      <c r="AI252" s="225">
        <f t="shared" si="95"/>
        <v>-0.21208004248730322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44800</v>
      </c>
      <c r="B253" s="1106">
        <v>31.946000000000002</v>
      </c>
      <c r="C253" s="846"/>
      <c r="D253" s="393">
        <f t="shared" si="77"/>
        <v>33.07885783450034</v>
      </c>
      <c r="E253" s="385">
        <f t="shared" si="100"/>
        <v>36.207633790648693</v>
      </c>
      <c r="F253" s="385">
        <f t="shared" si="78"/>
        <v>36.207633790648693</v>
      </c>
      <c r="G253" s="110">
        <f t="shared" si="101"/>
        <v>0.96992110613832649</v>
      </c>
      <c r="H253" s="414" t="b">
        <f>Wh_hp&gt;='2021'!Maxi_hp</f>
        <v>1</v>
      </c>
      <c r="I253" s="380">
        <f>IF(H253,Wh_hp,'2021'!Maxi_hp)</f>
        <v>36.207633790648693</v>
      </c>
      <c r="J253" s="85">
        <f>IF(H253,An,'2021'!An_max)</f>
        <v>2022</v>
      </c>
      <c r="K253" s="197">
        <f t="shared" si="79"/>
        <v>44800</v>
      </c>
      <c r="L253" s="147">
        <f>IF(t&lt;Tvie,1-EXP((T0-t)*PertePVj)+'2021'!Pspv,1-EXP((T0-t)*PertePVj)+Pspv)</f>
        <v>3.4247187135911239E-2</v>
      </c>
      <c r="M253" s="850"/>
      <c r="N253" s="850"/>
      <c r="O253" s="48">
        <f>IF(t&lt;Tnet,'2021'!Resal+('2021'!Salim-'2021'!Resal)*(1-EXP(('2021'!Tnet-t)/('2021'!Tau_j))),Resal+(Salim-Resal)*(1-EXP((Tnet-t)/(Tau_j))))*Salcycl</f>
        <v>8.641205261406544E-2</v>
      </c>
      <c r="P253" s="339">
        <f>(INDEX(Models!$BJ253:$BT253,,T253)*(1-R253)+INDEX(Models!$BJ253:$BT253,,T253+1)*R253-ERP_i)*Q253*Ramure*Pc/MaxiM</f>
        <v>0</v>
      </c>
      <c r="Q253" s="305">
        <f t="shared" si="80"/>
        <v>0.7</v>
      </c>
      <c r="R253" s="177">
        <f t="shared" si="81"/>
        <v>0.78839123171101544</v>
      </c>
      <c r="S253" s="817">
        <f t="shared" si="82"/>
        <v>-1</v>
      </c>
      <c r="T253" s="176">
        <f t="shared" si="83"/>
        <v>5</v>
      </c>
      <c r="U253" s="251">
        <f t="shared" si="84"/>
        <v>-0.21160876828898456</v>
      </c>
      <c r="V253" s="383">
        <f t="shared" si="85"/>
        <v>32.936699488055055</v>
      </c>
      <c r="W253" s="402">
        <f t="shared" si="86"/>
        <v>0</v>
      </c>
      <c r="X253" s="157">
        <f t="shared" si="87"/>
        <v>44800</v>
      </c>
      <c r="Y253" s="385">
        <f t="shared" si="88"/>
        <v>30.234025841952942</v>
      </c>
      <c r="Z253" s="385">
        <f t="shared" si="89"/>
        <v>31.306174250002215</v>
      </c>
      <c r="AA253" s="386">
        <f t="shared" si="90"/>
        <v>36.207633790648693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0.13537088805599806</v>
      </c>
      <c r="AD253" s="231">
        <f>(INDEX(Models!$BJ253:$BT253,,AH253)*(1-AF253)+INDEX(Models!$BJ253:$BT253,,AH253+1)*AF253-ERP_i)*AE253*Ramure*Pc/MaxiM</f>
        <v>0</v>
      </c>
      <c r="AE253" s="305">
        <f t="shared" si="92"/>
        <v>0.7</v>
      </c>
      <c r="AF253" s="177">
        <f t="shared" si="93"/>
        <v>0.78839123171101544</v>
      </c>
      <c r="AG253" s="817">
        <f t="shared" si="99"/>
        <v>-1</v>
      </c>
      <c r="AH253" s="176">
        <f t="shared" si="94"/>
        <v>5</v>
      </c>
      <c r="AI253" s="225">
        <f t="shared" si="95"/>
        <v>-0.21160876828898456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44801</v>
      </c>
      <c r="B254" s="1106">
        <v>30.908999999999999</v>
      </c>
      <c r="C254" s="846"/>
      <c r="D254" s="393">
        <f t="shared" si="77"/>
        <v>32.005785113466573</v>
      </c>
      <c r="E254" s="385">
        <f t="shared" si="100"/>
        <v>35.036498392429877</v>
      </c>
      <c r="F254" s="385">
        <f t="shared" si="78"/>
        <v>35.036498392596727</v>
      </c>
      <c r="G254" s="110">
        <f t="shared" si="101"/>
        <v>0.94179072074391101</v>
      </c>
      <c r="H254" s="414" t="b">
        <f>Wh_hp&gt;='2021'!Maxi_hp</f>
        <v>0</v>
      </c>
      <c r="I254" s="380">
        <f>IF(H254,Wh_hp,'2021'!Maxi_hp)</f>
        <v>37.6474142668485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3.4268339601052245E-2</v>
      </c>
      <c r="M254" s="850"/>
      <c r="N254" s="850"/>
      <c r="O254" s="48">
        <f>IF(t&lt;Tnet,'2021'!Resal+('2021'!Salim-'2021'!Resal)*(1-EXP(('2021'!Tnet-t)/('2021'!Tau_j))),Resal+(Salim-Resal)*(1-EXP((Tnet-t)/(Tau_j))))*Salcycl</f>
        <v>8.6501603128757099E-2</v>
      </c>
      <c r="P254" s="339">
        <f>(INDEX(Models!$BJ254:$BT254,,T254)*(1-R254)+INDEX(Models!$BJ254:$BT254,,T254+1)*R254-ERP_i)*Q254*Ramure*Pc/MaxiM</f>
        <v>5.1941215136578995E-12</v>
      </c>
      <c r="Q254" s="305">
        <f t="shared" si="80"/>
        <v>0.7</v>
      </c>
      <c r="R254" s="177">
        <f t="shared" si="81"/>
        <v>0.78884498207610854</v>
      </c>
      <c r="S254" s="817">
        <f t="shared" si="82"/>
        <v>-1</v>
      </c>
      <c r="T254" s="176">
        <f t="shared" si="83"/>
        <v>5</v>
      </c>
      <c r="U254" s="251">
        <f t="shared" si="84"/>
        <v>-0.21115501792389146</v>
      </c>
      <c r="V254" s="383">
        <f t="shared" si="85"/>
        <v>32.819393225250657</v>
      </c>
      <c r="W254" s="402">
        <f t="shared" si="86"/>
        <v>0</v>
      </c>
      <c r="X254" s="157">
        <f t="shared" si="87"/>
        <v>44801</v>
      </c>
      <c r="Y254" s="385">
        <f t="shared" si="88"/>
        <v>29.254847032177377</v>
      </c>
      <c r="Z254" s="385">
        <f t="shared" si="89"/>
        <v>30.292935638137905</v>
      </c>
      <c r="AA254" s="386">
        <f t="shared" si="90"/>
        <v>35.036498392429877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0.13538917905440245</v>
      </c>
      <c r="AD254" s="231">
        <f>(INDEX(Models!$BJ254:$BT254,,AH254)*(1-AF254)+INDEX(Models!$BJ254:$BT254,,AH254+1)*AF254-ERP_i)*AE254*Ramure*Pc/MaxiM</f>
        <v>5.1941215136578995E-12</v>
      </c>
      <c r="AE254" s="305">
        <f t="shared" si="92"/>
        <v>0.7</v>
      </c>
      <c r="AF254" s="177">
        <f t="shared" si="93"/>
        <v>0.78884498207610854</v>
      </c>
      <c r="AG254" s="817">
        <f t="shared" si="99"/>
        <v>-1</v>
      </c>
      <c r="AH254" s="176">
        <f t="shared" si="94"/>
        <v>5</v>
      </c>
      <c r="AI254" s="225">
        <f t="shared" si="95"/>
        <v>-0.21115501792389146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44802</v>
      </c>
      <c r="B255" s="1106">
        <v>21.187000000000001</v>
      </c>
      <c r="C255" s="846"/>
      <c r="D255" s="393">
        <f t="shared" si="77"/>
        <v>21.939286997266379</v>
      </c>
      <c r="E255" s="385">
        <f t="shared" si="100"/>
        <v>24.019117864337751</v>
      </c>
      <c r="F255" s="385">
        <f t="shared" si="78"/>
        <v>24.019117864524507</v>
      </c>
      <c r="G255" s="110">
        <f t="shared" si="101"/>
        <v>0.64794807510521857</v>
      </c>
      <c r="H255" s="414" t="b">
        <f>Wh_hp&gt;='2021'!Maxi_hp</f>
        <v>0</v>
      </c>
      <c r="I255" s="380">
        <f>IF(H255,Wh_hp,'2021'!Maxi_hp)</f>
        <v>37.163900184673778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3.4289491602899957E-2</v>
      </c>
      <c r="M255" s="850"/>
      <c r="N255" s="850"/>
      <c r="O255" s="48">
        <f>IF(t&lt;Tnet,'2021'!Resal+('2021'!Salim-'2021'!Resal)*(1-EXP(('2021'!Tnet-t)/('2021'!Tau_j))),Resal+(Salim-Resal)*(1-EXP((Tnet-t)/(Tau_j))))*Salcycl</f>
        <v>8.6590643287503377E-2</v>
      </c>
      <c r="P255" s="339">
        <f>(INDEX(Models!$BJ255:$BT255,,T255)*(1-R255)+INDEX(Models!$BJ255:$BT255,,T255+1)*R255-ERP_i)*Q255*Ramure*Pc/MaxiM</f>
        <v>1.5642117723043001E-11</v>
      </c>
      <c r="Q255" s="305">
        <f t="shared" si="80"/>
        <v>0.7</v>
      </c>
      <c r="R255" s="177">
        <f t="shared" si="81"/>
        <v>0.7892818059875526</v>
      </c>
      <c r="S255" s="817">
        <f t="shared" si="82"/>
        <v>-1</v>
      </c>
      <c r="T255" s="176">
        <f t="shared" si="83"/>
        <v>5</v>
      </c>
      <c r="U255" s="251">
        <f t="shared" si="84"/>
        <v>-0.21071819401244746</v>
      </c>
      <c r="V255" s="383">
        <f t="shared" si="85"/>
        <v>32.698607826549718</v>
      </c>
      <c r="W255" s="402">
        <f t="shared" si="86"/>
        <v>0</v>
      </c>
      <c r="X255" s="157">
        <f t="shared" si="87"/>
        <v>44802</v>
      </c>
      <c r="Y255" s="385">
        <f t="shared" si="88"/>
        <v>20.054682743157144</v>
      </c>
      <c r="Z255" s="385">
        <f t="shared" si="89"/>
        <v>20.766764541523102</v>
      </c>
      <c r="AA255" s="386">
        <f t="shared" si="90"/>
        <v>24.019117864337751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0.13540685970168631</v>
      </c>
      <c r="AD255" s="231">
        <f>(INDEX(Models!$BJ255:$BT255,,AH255)*(1-AF255)+INDEX(Models!$BJ255:$BT255,,AH255+1)*AF255-ERP_i)*AE255*Ramure*Pc/MaxiM</f>
        <v>1.5642117723043001E-11</v>
      </c>
      <c r="AE255" s="305">
        <f t="shared" si="92"/>
        <v>0.7</v>
      </c>
      <c r="AF255" s="177">
        <f t="shared" si="93"/>
        <v>0.7892818059875526</v>
      </c>
      <c r="AG255" s="817">
        <f t="shared" si="99"/>
        <v>-1</v>
      </c>
      <c r="AH255" s="176">
        <f t="shared" si="94"/>
        <v>5</v>
      </c>
      <c r="AI255" s="225">
        <f t="shared" si="95"/>
        <v>-0.21071819401244746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44803</v>
      </c>
      <c r="B256" s="1106">
        <v>30.544</v>
      </c>
      <c r="C256" s="846"/>
      <c r="D256" s="393">
        <f t="shared" si="77"/>
        <v>31.629218840478963</v>
      </c>
      <c r="E256" s="385">
        <f t="shared" si="100"/>
        <v>34.63100521534372</v>
      </c>
      <c r="F256" s="385">
        <f t="shared" si="78"/>
        <v>34.631005216334579</v>
      </c>
      <c r="G256" s="110">
        <f t="shared" si="101"/>
        <v>0.93768945287876915</v>
      </c>
      <c r="H256" s="414" t="b">
        <f>Wh_hp&gt;='2021'!Maxi_hp</f>
        <v>0</v>
      </c>
      <c r="I256" s="380">
        <f>IF(H256,Wh_hp,'2021'!Maxi_hp)</f>
        <v>35.748351799960105</v>
      </c>
      <c r="J256" s="85">
        <f>IF(H256,An,'2021'!An_max)</f>
        <v>2021</v>
      </c>
      <c r="K256" s="197">
        <f t="shared" si="79"/>
        <v>44803</v>
      </c>
      <c r="L256" s="147">
        <f>IF(t&lt;Tvie,1-EXP((T0-t)*PertePVj)+'2021'!Pspv,1-EXP((T0-t)*PertePVj)+Pspv)</f>
        <v>3.4310643141464592E-2</v>
      </c>
      <c r="M256" s="850"/>
      <c r="N256" s="850"/>
      <c r="O256" s="48">
        <f>IF(t&lt;Tnet,'2021'!Resal+('2021'!Salim-'2021'!Resal)*(1-EXP(('2021'!Tnet-t)/('2021'!Tau_j))),Resal+(Salim-Resal)*(1-EXP((Tnet-t)/(Tau_j))))*Salcycl</f>
        <v>8.66791580607882E-2</v>
      </c>
      <c r="P256" s="339">
        <f>(INDEX(Models!$BJ256:$BT256,,T256)*(1-R256)+INDEX(Models!$BJ256:$BT256,,T256+1)*R256-ERP_i)*Q256*Ramure*Pc/MaxiM</f>
        <v>3.1407633788823189E-11</v>
      </c>
      <c r="Q256" s="305">
        <f t="shared" si="80"/>
        <v>0.7</v>
      </c>
      <c r="R256" s="177">
        <f t="shared" si="81"/>
        <v>0.78970228461095426</v>
      </c>
      <c r="S256" s="817">
        <f t="shared" si="82"/>
        <v>-1</v>
      </c>
      <c r="T256" s="176">
        <f t="shared" si="83"/>
        <v>5</v>
      </c>
      <c r="U256" s="251">
        <f t="shared" si="84"/>
        <v>-0.21029771538904568</v>
      </c>
      <c r="V256" s="383">
        <f t="shared" si="85"/>
        <v>32.57368407647381</v>
      </c>
      <c r="W256" s="402">
        <f t="shared" si="86"/>
        <v>0</v>
      </c>
      <c r="X256" s="157">
        <f t="shared" si="87"/>
        <v>44803</v>
      </c>
      <c r="Y256" s="385">
        <f t="shared" si="88"/>
        <v>28.91383941846366</v>
      </c>
      <c r="Z256" s="385">
        <f t="shared" si="89"/>
        <v>29.941139159411147</v>
      </c>
      <c r="AA256" s="386">
        <f t="shared" si="90"/>
        <v>34.63100521534372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0.135423907760398</v>
      </c>
      <c r="AD256" s="231">
        <f>(INDEX(Models!$BJ256:$BT256,,AH256)*(1-AF256)+INDEX(Models!$BJ256:$BT256,,AH256+1)*AF256-ERP_i)*AE256*Ramure*Pc/MaxiM</f>
        <v>3.1407633788823189E-11</v>
      </c>
      <c r="AE256" s="305">
        <f t="shared" si="92"/>
        <v>0.7</v>
      </c>
      <c r="AF256" s="177">
        <f t="shared" si="93"/>
        <v>0.78970228461095426</v>
      </c>
      <c r="AG256" s="817">
        <f t="shared" si="99"/>
        <v>-1</v>
      </c>
      <c r="AH256" s="176">
        <f t="shared" si="94"/>
        <v>5</v>
      </c>
      <c r="AI256" s="225">
        <f t="shared" si="95"/>
        <v>-0.21029771538904568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44804</v>
      </c>
      <c r="B257" s="1106">
        <v>14.313000000000001</v>
      </c>
      <c r="C257" s="846"/>
      <c r="D257" s="393">
        <f t="shared" si="77"/>
        <v>14.821861084668175</v>
      </c>
      <c r="E257" s="385">
        <f t="shared" si="100"/>
        <v>16.230100341077648</v>
      </c>
      <c r="F257" s="385">
        <f t="shared" si="78"/>
        <v>16.23010034124967</v>
      </c>
      <c r="G257" s="110">
        <f t="shared" si="101"/>
        <v>0.44116065495279383</v>
      </c>
      <c r="H257" s="414" t="b">
        <f>Wh_hp&gt;='2021'!Maxi_hp</f>
        <v>0</v>
      </c>
      <c r="I257" s="380">
        <f>IF(H257,Wh_hp,'2021'!Maxi_hp)</f>
        <v>35.974532803787852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3.433179421675614E-2</v>
      </c>
      <c r="M257" s="850"/>
      <c r="N257" s="850"/>
      <c r="O257" s="48">
        <f>IF(t&lt;Tnet,'2021'!Resal+('2021'!Salim-'2021'!Resal)*(1-EXP(('2021'!Tnet-t)/('2021'!Tau_j))),Resal+(Salim-Resal)*(1-EXP((Tnet-t)/(Tau_j))))*Salcycl</f>
        <v>8.6767131860872412E-2</v>
      </c>
      <c r="P257" s="339">
        <f>(INDEX(Models!$BJ257:$BT257,,T257)*(1-R257)+INDEX(Models!$BJ257:$BT257,,T257+1)*R257-ERP_i)*Q257*Ramure*Pc/MaxiM</f>
        <v>5.2559438372502309E-11</v>
      </c>
      <c r="Q257" s="305">
        <f t="shared" si="80"/>
        <v>0.7</v>
      </c>
      <c r="R257" s="177">
        <f t="shared" si="81"/>
        <v>0.7901069830082178</v>
      </c>
      <c r="S257" s="817">
        <f t="shared" si="82"/>
        <v>-1</v>
      </c>
      <c r="T257" s="176">
        <f t="shared" si="83"/>
        <v>5</v>
      </c>
      <c r="U257" s="251">
        <f t="shared" si="84"/>
        <v>-0.2098930169917822</v>
      </c>
      <c r="V257" s="383">
        <f t="shared" si="85"/>
        <v>32.443963074927836</v>
      </c>
      <c r="W257" s="402">
        <f t="shared" si="86"/>
        <v>0</v>
      </c>
      <c r="X257" s="157">
        <f t="shared" si="87"/>
        <v>44804</v>
      </c>
      <c r="Y257" s="385">
        <f t="shared" si="88"/>
        <v>13.550150695414036</v>
      </c>
      <c r="Z257" s="385">
        <f t="shared" si="89"/>
        <v>14.031890678666016</v>
      </c>
      <c r="AA257" s="386">
        <f t="shared" si="90"/>
        <v>16.230100341077648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0.13544030019630024</v>
      </c>
      <c r="AD257" s="231">
        <f>(INDEX(Models!$BJ257:$BT257,,AH257)*(1-AF257)+INDEX(Models!$BJ257:$BT257,,AH257+1)*AF257-ERP_i)*AE257*Ramure*Pc/MaxiM</f>
        <v>5.2559438372502309E-11</v>
      </c>
      <c r="AE257" s="305">
        <f t="shared" si="92"/>
        <v>0.7</v>
      </c>
      <c r="AF257" s="177">
        <f t="shared" si="93"/>
        <v>0.7901069830082178</v>
      </c>
      <c r="AG257" s="817">
        <f t="shared" si="99"/>
        <v>-1</v>
      </c>
      <c r="AH257" s="176">
        <f t="shared" si="94"/>
        <v>5</v>
      </c>
      <c r="AI257" s="225">
        <f t="shared" si="95"/>
        <v>-0.2098930169917822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44805</v>
      </c>
      <c r="B258" s="1106">
        <v>26.995000000000001</v>
      </c>
      <c r="C258" s="846"/>
      <c r="D258" s="393">
        <f t="shared" si="77"/>
        <v>27.955348546279804</v>
      </c>
      <c r="E258" s="385">
        <f t="shared" si="100"/>
        <v>30.614343531490984</v>
      </c>
      <c r="F258" s="385">
        <f t="shared" si="78"/>
        <v>30.614343533345316</v>
      </c>
      <c r="G258" s="110">
        <f t="shared" si="101"/>
        <v>0.83553123312782185</v>
      </c>
      <c r="H258" s="414" t="b">
        <f>Wh_hp&gt;='2021'!Maxi_hp</f>
        <v>0</v>
      </c>
      <c r="I258" s="380">
        <f>IF(H258,Wh_hp,'2021'!Maxi_hp)</f>
        <v>36.800779305473014</v>
      </c>
      <c r="J258" s="85">
        <f>IF(H258,An,'2021'!An_max)</f>
        <v>2018</v>
      </c>
      <c r="K258" s="197">
        <f t="shared" si="79"/>
        <v>44805</v>
      </c>
      <c r="L258" s="147">
        <f>IF(t&lt;Tvie,1-EXP((T0-t)*PertePVj)+'2021'!Pspv,1-EXP((T0-t)*PertePVj)+Pspv)</f>
        <v>3.4352944828784926E-2</v>
      </c>
      <c r="M258" s="850"/>
      <c r="N258" s="850"/>
      <c r="O258" s="48">
        <f>IF(t&lt;Tnet,'2021'!Resal+('2021'!Salim-'2021'!Resal)*(1-EXP(('2021'!Tnet-t)/('2021'!Tau_j))),Resal+(Salim-Resal)*(1-EXP((Tnet-t)/(Tau_j))))*Salcycl</f>
        <v>8.6854548505214332E-2</v>
      </c>
      <c r="P258" s="339">
        <f>(INDEX(Models!$BJ258:$BT258,,T258)*(1-R258)+INDEX(Models!$BJ258:$BT258,,T258+1)*R258-ERP_i)*Q258*Ramure*Pc/MaxiM</f>
        <v>7.9172715768389972E-11</v>
      </c>
      <c r="Q258" s="305">
        <f t="shared" si="80"/>
        <v>0.7</v>
      </c>
      <c r="R258" s="177">
        <f t="shared" si="81"/>
        <v>0.79049645027809357</v>
      </c>
      <c r="S258" s="817">
        <f t="shared" si="82"/>
        <v>-1</v>
      </c>
      <c r="T258" s="176">
        <f t="shared" si="83"/>
        <v>5</v>
      </c>
      <c r="U258" s="251">
        <f t="shared" si="84"/>
        <v>-0.20950354972190643</v>
      </c>
      <c r="V258" s="383">
        <f t="shared" si="85"/>
        <v>32.30878622985967</v>
      </c>
      <c r="W258" s="402">
        <f t="shared" si="86"/>
        <v>0</v>
      </c>
      <c r="X258" s="157">
        <f t="shared" si="87"/>
        <v>44805</v>
      </c>
      <c r="Y258" s="385">
        <f t="shared" si="88"/>
        <v>25.558211879059677</v>
      </c>
      <c r="Z258" s="385">
        <f t="shared" si="89"/>
        <v>26.467446612290502</v>
      </c>
      <c r="AA258" s="386">
        <f t="shared" si="90"/>
        <v>30.614343531490984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0.13545601312452898</v>
      </c>
      <c r="AD258" s="231">
        <f>(INDEX(Models!$BJ258:$BT258,,AH258)*(1-AF258)+INDEX(Models!$BJ258:$BT258,,AH258+1)*AF258-ERP_i)*AE258*Ramure*Pc/MaxiM</f>
        <v>7.9172715768389972E-11</v>
      </c>
      <c r="AE258" s="305">
        <f t="shared" si="92"/>
        <v>0.7</v>
      </c>
      <c r="AF258" s="177">
        <f t="shared" si="93"/>
        <v>0.79049645027809357</v>
      </c>
      <c r="AG258" s="817">
        <f t="shared" si="99"/>
        <v>-1</v>
      </c>
      <c r="AH258" s="176">
        <f t="shared" si="94"/>
        <v>5</v>
      </c>
      <c r="AI258" s="225">
        <f t="shared" si="95"/>
        <v>-0.20950354972190643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44806</v>
      </c>
      <c r="B259" s="1106">
        <v>26.62</v>
      </c>
      <c r="C259" s="846"/>
      <c r="D259" s="393">
        <f t="shared" si="77"/>
        <v>27.567611702982859</v>
      </c>
      <c r="E259" s="385">
        <f t="shared" si="100"/>
        <v>30.192598193113195</v>
      </c>
      <c r="F259" s="385">
        <f t="shared" si="78"/>
        <v>30.192598195646426</v>
      </c>
      <c r="G259" s="110">
        <f t="shared" si="101"/>
        <v>0.82754345003310736</v>
      </c>
      <c r="H259" s="414" t="b">
        <f>Wh_hp&gt;='2021'!Maxi_hp</f>
        <v>0</v>
      </c>
      <c r="I259" s="380">
        <f>IF(H259,Wh_hp,'2021'!Maxi_hp)</f>
        <v>34.771079559810111</v>
      </c>
      <c r="J259" s="85">
        <f>IF(H259,An,'2021'!An_max)</f>
        <v>2018</v>
      </c>
      <c r="K259" s="197">
        <f t="shared" si="79"/>
        <v>44806</v>
      </c>
      <c r="L259" s="147">
        <f>IF(t&lt;Tvie,1-EXP((T0-t)*PertePVj)+'2021'!Pspv,1-EXP((T0-t)*PertePVj)+Pspv)</f>
        <v>3.4374094977561054E-2</v>
      </c>
      <c r="M259" s="850"/>
      <c r="N259" s="850"/>
      <c r="O259" s="48">
        <f>IF(t&lt;Tnet,'2021'!Resal+('2021'!Salim-'2021'!Resal)*(1-EXP(('2021'!Tnet-t)/('2021'!Tau_j))),Resal+(Salim-Resal)*(1-EXP((Tnet-t)/(Tau_j))))*Salcycl</f>
        <v>8.694139117610232E-2</v>
      </c>
      <c r="P259" s="339">
        <f>(INDEX(Models!$BJ259:$BT259,,T259)*(1-R259)+INDEX(Models!$BJ259:$BT259,,T259+1)*R259-ERP_i)*Q259*Ramure*Pc/MaxiM</f>
        <v>1.1133042802801499E-10</v>
      </c>
      <c r="Q259" s="305">
        <f t="shared" si="80"/>
        <v>0.7</v>
      </c>
      <c r="R259" s="177">
        <f t="shared" si="81"/>
        <v>0.79087121972388985</v>
      </c>
      <c r="S259" s="817">
        <f t="shared" si="82"/>
        <v>-1</v>
      </c>
      <c r="T259" s="176">
        <f t="shared" si="83"/>
        <v>5</v>
      </c>
      <c r="U259" s="251">
        <f t="shared" si="84"/>
        <v>-0.20912878027611009</v>
      </c>
      <c r="V259" s="383">
        <f t="shared" si="85"/>
        <v>32.167495251403281</v>
      </c>
      <c r="W259" s="402">
        <f t="shared" si="86"/>
        <v>0</v>
      </c>
      <c r="X259" s="157">
        <f t="shared" si="87"/>
        <v>44806</v>
      </c>
      <c r="Y259" s="385">
        <f t="shared" si="88"/>
        <v>25.205130512547989</v>
      </c>
      <c r="Z259" s="385">
        <f t="shared" si="89"/>
        <v>26.102376066601359</v>
      </c>
      <c r="AA259" s="386">
        <f t="shared" si="90"/>
        <v>30.192598193113195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0.1354710217501188</v>
      </c>
      <c r="AD259" s="231">
        <f>(INDEX(Models!$BJ259:$BT259,,AH259)*(1-AF259)+INDEX(Models!$BJ259:$BT259,,AH259+1)*AF259-ERP_i)*AE259*Ramure*Pc/MaxiM</f>
        <v>1.1133042802801499E-10</v>
      </c>
      <c r="AE259" s="305">
        <f t="shared" si="92"/>
        <v>0.7</v>
      </c>
      <c r="AF259" s="177">
        <f t="shared" si="93"/>
        <v>0.79087121972388985</v>
      </c>
      <c r="AG259" s="817">
        <f t="shared" si="99"/>
        <v>-1</v>
      </c>
      <c r="AH259" s="176">
        <f t="shared" si="94"/>
        <v>5</v>
      </c>
      <c r="AI259" s="225">
        <f t="shared" si="95"/>
        <v>-0.20912878027611009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44807</v>
      </c>
      <c r="B260" s="1106">
        <v>25.861000000000001</v>
      </c>
      <c r="C260" s="846"/>
      <c r="D260" s="393">
        <f t="shared" si="77"/>
        <v>26.782179620663676</v>
      </c>
      <c r="E260" s="385">
        <f t="shared" si="100"/>
        <v>29.335148427071459</v>
      </c>
      <c r="F260" s="385">
        <f t="shared" si="78"/>
        <v>29.335148430244079</v>
      </c>
      <c r="G260" s="110">
        <f t="shared" si="101"/>
        <v>0.80766579103859726</v>
      </c>
      <c r="H260" s="414" t="b">
        <f>Wh_hp&gt;='2021'!Maxi_hp</f>
        <v>0</v>
      </c>
      <c r="I260" s="380">
        <f>IF(H260,Wh_hp,'2021'!Maxi_hp)</f>
        <v>37.558631129408738</v>
      </c>
      <c r="J260" s="85">
        <f>IF(H260,An,'2021'!An_max)</f>
        <v>2020</v>
      </c>
      <c r="K260" s="197">
        <f t="shared" si="79"/>
        <v>44807</v>
      </c>
      <c r="L260" s="147">
        <f>IF(t&lt;Tvie,1-EXP((T0-t)*PertePVj)+'2021'!Pspv,1-EXP((T0-t)*PertePVj)+Pspv)</f>
        <v>3.4395244663094626E-2</v>
      </c>
      <c r="M260" s="850"/>
      <c r="N260" s="850"/>
      <c r="O260" s="48">
        <f>IF(t&lt;Tnet,'2021'!Resal+('2021'!Salim-'2021'!Resal)*(1-EXP(('2021'!Tnet-t)/('2021'!Tau_j))),Resal+(Salim-Resal)*(1-EXP((Tnet-t)/(Tau_j))))*Salcycl</f>
        <v>8.7027642377695266E-2</v>
      </c>
      <c r="P260" s="339">
        <f>(INDEX(Models!$BJ260:$BT260,,T260)*(1-R260)+INDEX(Models!$BJ260:$BT260,,T260+1)*R260-ERP_i)*Q260*Ramure*Pc/MaxiM</f>
        <v>1.4912475853081231E-10</v>
      </c>
      <c r="Q260" s="305">
        <f t="shared" si="80"/>
        <v>0.7</v>
      </c>
      <c r="R260" s="177">
        <f t="shared" si="81"/>
        <v>0.79123180904541379</v>
      </c>
      <c r="S260" s="817">
        <f t="shared" si="82"/>
        <v>-1</v>
      </c>
      <c r="T260" s="176">
        <f t="shared" si="83"/>
        <v>5</v>
      </c>
      <c r="U260" s="251">
        <f t="shared" si="84"/>
        <v>-0.20876819095458615</v>
      </c>
      <c r="V260" s="383">
        <f t="shared" si="85"/>
        <v>32.01943215359546</v>
      </c>
      <c r="W260" s="402">
        <f t="shared" si="86"/>
        <v>0</v>
      </c>
      <c r="X260" s="157">
        <f t="shared" si="87"/>
        <v>44807</v>
      </c>
      <c r="Y260" s="385">
        <f t="shared" si="88"/>
        <v>24.4883806855267</v>
      </c>
      <c r="Z260" s="385">
        <f t="shared" si="89"/>
        <v>25.36066703294409</v>
      </c>
      <c r="AA260" s="386">
        <f t="shared" si="90"/>
        <v>29.335148427071459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0.13548530030479022</v>
      </c>
      <c r="AD260" s="231">
        <f>(INDEX(Models!$BJ260:$BT260,,AH260)*(1-AF260)+INDEX(Models!$BJ260:$BT260,,AH260+1)*AF260-ERP_i)*AE260*Ramure*Pc/MaxiM</f>
        <v>1.4912475853081231E-10</v>
      </c>
      <c r="AE260" s="305">
        <f t="shared" si="92"/>
        <v>0.7</v>
      </c>
      <c r="AF260" s="177">
        <f t="shared" si="93"/>
        <v>0.79123180904541379</v>
      </c>
      <c r="AG260" s="817">
        <f t="shared" si="99"/>
        <v>-1</v>
      </c>
      <c r="AH260" s="176">
        <f t="shared" si="94"/>
        <v>5</v>
      </c>
      <c r="AI260" s="225">
        <f t="shared" si="95"/>
        <v>-0.20876819095458615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44808</v>
      </c>
      <c r="B261" s="1106">
        <v>28.654</v>
      </c>
      <c r="C261" s="846"/>
      <c r="D261" s="393">
        <f t="shared" si="77"/>
        <v>29.675317412751394</v>
      </c>
      <c r="E261" s="385">
        <f t="shared" si="100"/>
        <v>32.507119327205075</v>
      </c>
      <c r="F261" s="385">
        <f t="shared" si="78"/>
        <v>32.507119332566376</v>
      </c>
      <c r="G261" s="110">
        <f t="shared" si="101"/>
        <v>0.89924908520725277</v>
      </c>
      <c r="H261" s="414" t="b">
        <f>Wh_hp&gt;='2021'!Maxi_hp</f>
        <v>0</v>
      </c>
      <c r="I261" s="380">
        <f>IF(H261,Wh_hp,'2021'!Maxi_hp)</f>
        <v>36.263260924320456</v>
      </c>
      <c r="J261" s="85">
        <f>IF(H261,An,'2021'!An_max)</f>
        <v>2019</v>
      </c>
      <c r="K261" s="197">
        <f t="shared" si="79"/>
        <v>44808</v>
      </c>
      <c r="L261" s="147">
        <f>IF(t&lt;Tvie,1-EXP((T0-t)*PertePVj)+'2021'!Pspv,1-EXP((T0-t)*PertePVj)+Pspv)</f>
        <v>3.4416393885395746E-2</v>
      </c>
      <c r="M261" s="850"/>
      <c r="N261" s="850"/>
      <c r="O261" s="48">
        <f>IF(t&lt;Tnet,'2021'!Resal+('2021'!Salim-'2021'!Resal)*(1-EXP(('2021'!Tnet-t)/('2021'!Tau_j))),Resal+(Salim-Resal)*(1-EXP((Tnet-t)/(Tau_j))))*Salcycl</f>
        <v>8.7113283891746163E-2</v>
      </c>
      <c r="P261" s="339">
        <f>(INDEX(Models!$BJ261:$BT261,,T261)*(1-R261)+INDEX(Models!$BJ261:$BT261,,T261+1)*R261-ERP_i)*Q261*Ramure*Pc/MaxiM</f>
        <v>1.9265608396567539E-10</v>
      </c>
      <c r="Q261" s="305">
        <f t="shared" si="80"/>
        <v>0.7</v>
      </c>
      <c r="R261" s="177">
        <f t="shared" si="81"/>
        <v>0.79157872055240086</v>
      </c>
      <c r="S261" s="817">
        <f t="shared" si="82"/>
        <v>-1</v>
      </c>
      <c r="T261" s="176">
        <f t="shared" si="83"/>
        <v>5</v>
      </c>
      <c r="U261" s="251">
        <f t="shared" si="84"/>
        <v>-0.20842127944759914</v>
      </c>
      <c r="V261" s="383">
        <f t="shared" si="85"/>
        <v>31.864363801494964</v>
      </c>
      <c r="W261" s="402">
        <f t="shared" si="86"/>
        <v>0</v>
      </c>
      <c r="X261" s="157">
        <f t="shared" si="87"/>
        <v>44808</v>
      </c>
      <c r="Y261" s="385">
        <f t="shared" si="88"/>
        <v>27.135258206550766</v>
      </c>
      <c r="Z261" s="385">
        <f t="shared" si="89"/>
        <v>28.102442952340375</v>
      </c>
      <c r="AA261" s="386">
        <f t="shared" si="90"/>
        <v>32.507119327205075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0.13549882198200336</v>
      </c>
      <c r="AD261" s="231">
        <f>(INDEX(Models!$BJ261:$BT261,,AH261)*(1-AF261)+INDEX(Models!$BJ261:$BT261,,AH261+1)*AF261-ERP_i)*AE261*Ramure*Pc/MaxiM</f>
        <v>1.9265608396567539E-10</v>
      </c>
      <c r="AE261" s="305">
        <f t="shared" si="92"/>
        <v>0.7</v>
      </c>
      <c r="AF261" s="177">
        <f t="shared" si="93"/>
        <v>0.79157872055240086</v>
      </c>
      <c r="AG261" s="817">
        <f t="shared" si="99"/>
        <v>-1</v>
      </c>
      <c r="AH261" s="176">
        <f t="shared" si="94"/>
        <v>5</v>
      </c>
      <c r="AI261" s="225">
        <f t="shared" si="95"/>
        <v>-0.20842127944759914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44809</v>
      </c>
      <c r="B262" s="1106">
        <v>25.400000000000002</v>
      </c>
      <c r="C262" s="846"/>
      <c r="D262" s="393">
        <f t="shared" si="77"/>
        <v>26.305910929434141</v>
      </c>
      <c r="E262" s="385">
        <f t="shared" si="100"/>
        <v>28.818867049976937</v>
      </c>
      <c r="F262" s="385">
        <f t="shared" si="78"/>
        <v>28.81886707795627</v>
      </c>
      <c r="G262" s="110">
        <f t="shared" si="101"/>
        <v>0.80118917374780119</v>
      </c>
      <c r="H262" s="414" t="b">
        <f>Wh_hp&gt;='2021'!Maxi_hp</f>
        <v>0</v>
      </c>
      <c r="I262" s="380">
        <f>IF(H262,Wh_hp,'2021'!Maxi_hp)</f>
        <v>35.661957440699879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3.4437542644474628E-2</v>
      </c>
      <c r="M262" s="850"/>
      <c r="N262" s="850"/>
      <c r="O262" s="48">
        <f>IF(t&lt;Tnet,'2021'!Resal+('2021'!Salim-'2021'!Resal)*(1-EXP(('2021'!Tnet-t)/('2021'!Tau_j))),Resal+(Salim-Resal)*(1-EXP((Tnet-t)/(Tau_j))))*Salcycl</f>
        <v>8.7198296733348113E-2</v>
      </c>
      <c r="P262" s="339">
        <f>(INDEX(Models!$BJ262:$BT262,,T262)*(1-R262)+INDEX(Models!$BJ262:$BT262,,T262+1)*R262-ERP_i)*Q262*Ramure*Pc/MaxiM</f>
        <v>1.3559910973752682E-9</v>
      </c>
      <c r="Q262" s="305">
        <f t="shared" si="80"/>
        <v>0.7</v>
      </c>
      <c r="R262" s="177">
        <f t="shared" si="81"/>
        <v>0.79191244139687278</v>
      </c>
      <c r="S262" s="817">
        <f t="shared" si="82"/>
        <v>-1</v>
      </c>
      <c r="T262" s="176">
        <f t="shared" si="83"/>
        <v>5</v>
      </c>
      <c r="U262" s="251">
        <f t="shared" si="84"/>
        <v>-0.20808755860312728</v>
      </c>
      <c r="V262" s="383">
        <f t="shared" si="85"/>
        <v>31.702874704861291</v>
      </c>
      <c r="W262" s="402">
        <f t="shared" si="86"/>
        <v>0</v>
      </c>
      <c r="X262" s="157">
        <f t="shared" si="87"/>
        <v>44809</v>
      </c>
      <c r="Y262" s="385">
        <f t="shared" si="88"/>
        <v>24.055615065200392</v>
      </c>
      <c r="Z262" s="385">
        <f t="shared" si="89"/>
        <v>24.913577451099037</v>
      </c>
      <c r="AA262" s="386">
        <f t="shared" si="90"/>
        <v>28.818867049976937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0.13551155887236804</v>
      </c>
      <c r="AD262" s="231">
        <f>(INDEX(Models!$BJ262:$BT262,,AH262)*(1-AF262)+INDEX(Models!$BJ262:$BT262,,AH262+1)*AF262-ERP_i)*AE262*Ramure*Pc/MaxiM</f>
        <v>1.3559910973752682E-9</v>
      </c>
      <c r="AE262" s="305">
        <f t="shared" si="92"/>
        <v>0.7</v>
      </c>
      <c r="AF262" s="177">
        <f t="shared" si="93"/>
        <v>0.79191244139687278</v>
      </c>
      <c r="AG262" s="817">
        <f t="shared" si="99"/>
        <v>-1</v>
      </c>
      <c r="AH262" s="176">
        <f t="shared" si="94"/>
        <v>5</v>
      </c>
      <c r="AI262" s="225">
        <f t="shared" si="95"/>
        <v>-0.20808755860312728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44810</v>
      </c>
      <c r="B263" s="1106">
        <v>29.047000000000001</v>
      </c>
      <c r="C263" s="846"/>
      <c r="D263" s="393">
        <f t="shared" si="77"/>
        <v>30.083642954943997</v>
      </c>
      <c r="E263" s="385">
        <f t="shared" si="100"/>
        <v>32.960525316049328</v>
      </c>
      <c r="F263" s="385">
        <f t="shared" si="78"/>
        <v>32.960525422986301</v>
      </c>
      <c r="G263" s="110">
        <f t="shared" si="101"/>
        <v>0.92108795552558287</v>
      </c>
      <c r="H263" s="414" t="b">
        <f>Wh_hp&gt;='2021'!Maxi_hp</f>
        <v>0</v>
      </c>
      <c r="I263" s="380">
        <f>IF(H263,Wh_hp,'2021'!Maxi_hp)</f>
        <v>37.214641888290501</v>
      </c>
      <c r="J263" s="85">
        <f>IF(H263,An,'2021'!An_max)</f>
        <v>2019</v>
      </c>
      <c r="K263" s="197">
        <f t="shared" si="79"/>
        <v>44810</v>
      </c>
      <c r="L263" s="147">
        <f>IF(t&lt;Tvie,1-EXP((T0-t)*PertePVj)+'2021'!Pspv,1-EXP((T0-t)*PertePVj)+Pspv)</f>
        <v>3.4458690940341485E-2</v>
      </c>
      <c r="M263" s="850"/>
      <c r="N263" s="850"/>
      <c r="O263" s="48">
        <f>IF(t&lt;Tnet,'2021'!Resal+('2021'!Salim-'2021'!Resal)*(1-EXP(('2021'!Tnet-t)/('2021'!Tau_j))),Resal+(Salim-Resal)*(1-EXP((Tnet-t)/(Tau_j))))*Salcycl</f>
        <v>8.7282661108089382E-2</v>
      </c>
      <c r="P263" s="339">
        <f>(INDEX(Models!$BJ263:$BT263,,T263)*(1-R263)+INDEX(Models!$BJ263:$BT263,,T263+1)*R263-ERP_i)*Q263*Ramure*Pc/MaxiM</f>
        <v>3.6566104526126098E-9</v>
      </c>
      <c r="Q263" s="305">
        <f t="shared" si="80"/>
        <v>0.7</v>
      </c>
      <c r="R263" s="177">
        <f t="shared" si="81"/>
        <v>0.79223344382203809</v>
      </c>
      <c r="S263" s="817">
        <f t="shared" si="82"/>
        <v>-1</v>
      </c>
      <c r="T263" s="176">
        <f t="shared" si="83"/>
        <v>5</v>
      </c>
      <c r="U263" s="251">
        <f t="shared" si="84"/>
        <v>-0.20776655617796191</v>
      </c>
      <c r="V263" s="383">
        <f t="shared" si="85"/>
        <v>31.535533402401128</v>
      </c>
      <c r="W263" s="402">
        <f t="shared" si="86"/>
        <v>0</v>
      </c>
      <c r="X263" s="157">
        <f t="shared" si="87"/>
        <v>44810</v>
      </c>
      <c r="Y263" s="385">
        <f t="shared" si="88"/>
        <v>27.51174799822568</v>
      </c>
      <c r="Z263" s="385">
        <f t="shared" si="89"/>
        <v>28.493600159913814</v>
      </c>
      <c r="AA263" s="386">
        <f t="shared" si="90"/>
        <v>32.960525316049328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0.13552348190155972</v>
      </c>
      <c r="AD263" s="231">
        <f>(INDEX(Models!$BJ263:$BT263,,AH263)*(1-AF263)+INDEX(Models!$BJ263:$BT263,,AH263+1)*AF263-ERP_i)*AE263*Ramure*Pc/MaxiM</f>
        <v>3.6566104526126098E-9</v>
      </c>
      <c r="AE263" s="305">
        <f t="shared" si="92"/>
        <v>0.7</v>
      </c>
      <c r="AF263" s="177">
        <f t="shared" si="93"/>
        <v>0.79223344382203809</v>
      </c>
      <c r="AG263" s="817">
        <f t="shared" si="99"/>
        <v>-1</v>
      </c>
      <c r="AH263" s="176">
        <f t="shared" si="94"/>
        <v>5</v>
      </c>
      <c r="AI263" s="225">
        <f t="shared" si="95"/>
        <v>-0.20776655617796191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44811</v>
      </c>
      <c r="B264" s="1106">
        <v>22.064</v>
      </c>
      <c r="C264" s="846"/>
      <c r="D264" s="393">
        <f t="shared" si="77"/>
        <v>22.851930892836897</v>
      </c>
      <c r="E264" s="385">
        <f t="shared" si="100"/>
        <v>25.039544676431518</v>
      </c>
      <c r="F264" s="385">
        <f t="shared" si="78"/>
        <v>25.039544779102929</v>
      </c>
      <c r="G264" s="110">
        <f t="shared" si="101"/>
        <v>0.70350618694986911</v>
      </c>
      <c r="H264" s="414" t="b">
        <f>Wh_hp&gt;='2021'!Maxi_hp</f>
        <v>0</v>
      </c>
      <c r="I264" s="380">
        <f>IF(H264,Wh_hp,'2021'!Maxi_hp)</f>
        <v>35.695847850032024</v>
      </c>
      <c r="J264" s="85">
        <f>IF(H264,An,'2021'!An_max)</f>
        <v>2019</v>
      </c>
      <c r="K264" s="197">
        <f t="shared" si="79"/>
        <v>44811</v>
      </c>
      <c r="L264" s="147">
        <f>IF(t&lt;Tvie,1-EXP((T0-t)*PertePVj)+'2021'!Pspv,1-EXP((T0-t)*PertePVj)+Pspv)</f>
        <v>3.4479838773006311E-2</v>
      </c>
      <c r="M264" s="850"/>
      <c r="N264" s="850"/>
      <c r="O264" s="48">
        <f>IF(t&lt;Tnet,'2021'!Resal+('2021'!Salim-'2021'!Resal)*(1-EXP(('2021'!Tnet-t)/('2021'!Tau_j))),Resal+(Salim-Resal)*(1-EXP((Tnet-t)/(Tau_j))))*Salcycl</f>
        <v>8.7366356372035478E-2</v>
      </c>
      <c r="P264" s="339">
        <f>(INDEX(Models!$BJ264:$BT264,,T264)*(1-R264)+INDEX(Models!$BJ264:$BT264,,T264+1)*R264-ERP_i)*Q264*Ramure*Pc/MaxiM</f>
        <v>7.1132968527636386E-9</v>
      </c>
      <c r="Q264" s="305">
        <f t="shared" si="80"/>
        <v>0.7</v>
      </c>
      <c r="R264" s="177">
        <f t="shared" si="81"/>
        <v>0.79254218542551902</v>
      </c>
      <c r="S264" s="817">
        <f t="shared" si="82"/>
        <v>-1</v>
      </c>
      <c r="T264" s="176">
        <f t="shared" si="83"/>
        <v>5</v>
      </c>
      <c r="U264" s="251">
        <f t="shared" si="84"/>
        <v>-0.20745781457448104</v>
      </c>
      <c r="V264" s="383">
        <f t="shared" si="85"/>
        <v>31.362908163158835</v>
      </c>
      <c r="W264" s="402">
        <f t="shared" si="86"/>
        <v>0</v>
      </c>
      <c r="X264" s="157">
        <f t="shared" si="87"/>
        <v>44811</v>
      </c>
      <c r="Y264" s="385">
        <f t="shared" si="88"/>
        <v>20.899476569024657</v>
      </c>
      <c r="Z264" s="385">
        <f t="shared" si="89"/>
        <v>21.645820986757407</v>
      </c>
      <c r="AA264" s="386">
        <f t="shared" si="90"/>
        <v>25.039544676431518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0.13553456077292225</v>
      </c>
      <c r="AD264" s="231">
        <f>(INDEX(Models!$BJ264:$BT264,,AH264)*(1-AF264)+INDEX(Models!$BJ264:$BT264,,AH264+1)*AF264-ERP_i)*AE264*Ramure*Pc/MaxiM</f>
        <v>7.1132968527636386E-9</v>
      </c>
      <c r="AE264" s="305">
        <f t="shared" si="92"/>
        <v>0.7</v>
      </c>
      <c r="AF264" s="177">
        <f t="shared" si="93"/>
        <v>0.79254218542551902</v>
      </c>
      <c r="AG264" s="817">
        <f t="shared" si="99"/>
        <v>-1</v>
      </c>
      <c r="AH264" s="176">
        <f t="shared" si="94"/>
        <v>5</v>
      </c>
      <c r="AI264" s="225">
        <f t="shared" si="95"/>
        <v>-0.20745781457448104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44812</v>
      </c>
      <c r="B265" s="1106">
        <v>24.408999999999999</v>
      </c>
      <c r="C265" s="846"/>
      <c r="D265" s="393">
        <f t="shared" si="77"/>
        <v>25.281227271768142</v>
      </c>
      <c r="E265" s="385">
        <f t="shared" si="100"/>
        <v>27.703917121092978</v>
      </c>
      <c r="F265" s="385">
        <f t="shared" si="78"/>
        <v>27.703917345487255</v>
      </c>
      <c r="G265" s="110">
        <f t="shared" si="101"/>
        <v>0.78270181576862596</v>
      </c>
      <c r="H265" s="414" t="b">
        <f>Wh_hp&gt;='2021'!Maxi_hp</f>
        <v>0</v>
      </c>
      <c r="I265" s="380">
        <f>IF(H265,Wh_hp,'2021'!Maxi_hp)</f>
        <v>32.004308101052679</v>
      </c>
      <c r="J265" s="85">
        <f>IF(H265,An,'2021'!An_max)</f>
        <v>2018</v>
      </c>
      <c r="K265" s="197">
        <f t="shared" si="79"/>
        <v>44812</v>
      </c>
      <c r="L265" s="147">
        <f>IF(t&lt;Tvie,1-EXP((T0-t)*PertePVj)+'2021'!Pspv,1-EXP((T0-t)*PertePVj)+Pspv)</f>
        <v>3.4500986142479317E-2</v>
      </c>
      <c r="M265" s="850"/>
      <c r="N265" s="850"/>
      <c r="O265" s="48">
        <f>IF(t&lt;Tnet,'2021'!Resal+('2021'!Salim-'2021'!Resal)*(1-EXP(('2021'!Tnet-t)/('2021'!Tau_j))),Resal+(Salim-Resal)*(1-EXP((Tnet-t)/(Tau_j))))*Salcycl</f>
        <v>8.7449360995967895E-2</v>
      </c>
      <c r="P265" s="339">
        <f>(INDEX(Models!$BJ265:$BT265,,T265)*(1-R265)+INDEX(Models!$BJ265:$BT265,,T265+1)*R265-ERP_i)*Q265*Ramure*Pc/MaxiM</f>
        <v>1.1745991921331961E-8</v>
      </c>
      <c r="Q265" s="305">
        <f t="shared" si="80"/>
        <v>0.7</v>
      </c>
      <c r="R265" s="177">
        <f t="shared" si="81"/>
        <v>0.79283910943484814</v>
      </c>
      <c r="S265" s="817">
        <f t="shared" si="82"/>
        <v>-1</v>
      </c>
      <c r="T265" s="176">
        <f t="shared" si="83"/>
        <v>5</v>
      </c>
      <c r="U265" s="251">
        <f t="shared" si="84"/>
        <v>-0.2071608905651518</v>
      </c>
      <c r="V265" s="383">
        <f t="shared" si="85"/>
        <v>31.185566992748548</v>
      </c>
      <c r="W265" s="402">
        <f t="shared" si="86"/>
        <v>0</v>
      </c>
      <c r="X265" s="157">
        <f t="shared" si="87"/>
        <v>44812</v>
      </c>
      <c r="Y265" s="385">
        <f t="shared" si="88"/>
        <v>23.122539128985334</v>
      </c>
      <c r="Z265" s="385">
        <f t="shared" si="89"/>
        <v>23.948796215339836</v>
      </c>
      <c r="AA265" s="386">
        <f t="shared" si="90"/>
        <v>27.703917121092978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0.13554476391694439</v>
      </c>
      <c r="AD265" s="231">
        <f>(INDEX(Models!$BJ265:$BT265,,AH265)*(1-AF265)+INDEX(Models!$BJ265:$BT265,,AH265+1)*AF265-ERP_i)*AE265*Ramure*Pc/MaxiM</f>
        <v>1.1745991921331961E-8</v>
      </c>
      <c r="AE265" s="305">
        <f t="shared" si="92"/>
        <v>0.7</v>
      </c>
      <c r="AF265" s="177">
        <f t="shared" si="93"/>
        <v>0.79283910943484814</v>
      </c>
      <c r="AG265" s="817">
        <f t="shared" si="99"/>
        <v>-1</v>
      </c>
      <c r="AH265" s="176">
        <f t="shared" si="94"/>
        <v>5</v>
      </c>
      <c r="AI265" s="225">
        <f t="shared" si="95"/>
        <v>-0.2071608905651518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44813</v>
      </c>
      <c r="B266" s="1106">
        <v>13.611000000000001</v>
      </c>
      <c r="C266" s="846"/>
      <c r="D266" s="393">
        <f t="shared" si="77"/>
        <v>14.097682055602787</v>
      </c>
      <c r="E266" s="385">
        <f t="shared" si="100"/>
        <v>15.450050508352835</v>
      </c>
      <c r="F266" s="385">
        <f t="shared" si="78"/>
        <v>15.450050562276456</v>
      </c>
      <c r="G266" s="110">
        <f t="shared" si="101"/>
        <v>0.43900676454832371</v>
      </c>
      <c r="H266" s="414" t="b">
        <f>Wh_hp&gt;='2021'!Maxi_hp</f>
        <v>0</v>
      </c>
      <c r="I266" s="380">
        <f>IF(H266,Wh_hp,'2021'!Maxi_hp)</f>
        <v>33.483412316512208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3.452213304877072E-2</v>
      </c>
      <c r="M266" s="850"/>
      <c r="N266" s="850"/>
      <c r="O266" s="48">
        <f>IF(t&lt;Tnet,'2021'!Resal+('2021'!Salim-'2021'!Resal)*(1-EXP(('2021'!Tnet-t)/('2021'!Tau_j))),Resal+(Salim-Resal)*(1-EXP((Tnet-t)/(Tau_j))))*Salcycl</f>
        <v>8.753165253530476E-2</v>
      </c>
      <c r="P266" s="339">
        <f>(INDEX(Models!$BJ266:$BT266,,T266)*(1-R266)+INDEX(Models!$BJ266:$BT266,,T266+1)*R266-ERP_i)*Q266*Ramure*Pc/MaxiM</f>
        <v>1.7575643368420938E-8</v>
      </c>
      <c r="Q266" s="305">
        <f t="shared" si="80"/>
        <v>0.7</v>
      </c>
      <c r="R266" s="177">
        <f t="shared" si="81"/>
        <v>0.7931246449933349</v>
      </c>
      <c r="S266" s="817">
        <f t="shared" si="82"/>
        <v>-1</v>
      </c>
      <c r="T266" s="176">
        <f t="shared" si="83"/>
        <v>5</v>
      </c>
      <c r="U266" s="251">
        <f t="shared" si="84"/>
        <v>-0.2068753550066651</v>
      </c>
      <c r="V266" s="383">
        <f t="shared" si="85"/>
        <v>31.004077630299626</v>
      </c>
      <c r="W266" s="402">
        <f t="shared" si="86"/>
        <v>0</v>
      </c>
      <c r="X266" s="157">
        <f t="shared" si="87"/>
        <v>44813</v>
      </c>
      <c r="Y266" s="385">
        <f t="shared" si="88"/>
        <v>12.894665051266772</v>
      </c>
      <c r="Z266" s="385">
        <f t="shared" si="89"/>
        <v>13.355733458691644</v>
      </c>
      <c r="AA266" s="386">
        <f t="shared" si="90"/>
        <v>15.450050508352835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0.13555405844977209</v>
      </c>
      <c r="AD266" s="231">
        <f>(INDEX(Models!$BJ266:$BT266,,AH266)*(1-AF266)+INDEX(Models!$BJ266:$BT266,,AH266+1)*AF266-ERP_i)*AE266*Ramure*Pc/MaxiM</f>
        <v>1.7575643368420938E-8</v>
      </c>
      <c r="AE266" s="305">
        <f t="shared" si="92"/>
        <v>0.7</v>
      </c>
      <c r="AF266" s="177">
        <f t="shared" si="93"/>
        <v>0.7931246449933349</v>
      </c>
      <c r="AG266" s="817">
        <f t="shared" si="99"/>
        <v>-1</v>
      </c>
      <c r="AH266" s="176">
        <f t="shared" si="94"/>
        <v>5</v>
      </c>
      <c r="AI266" s="225">
        <f t="shared" si="95"/>
        <v>-0.2068753550066651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44814</v>
      </c>
      <c r="B267" s="1106">
        <v>29.176000000000002</v>
      </c>
      <c r="C267" s="846"/>
      <c r="D267" s="393">
        <f t="shared" si="77"/>
        <v>30.219894253410956</v>
      </c>
      <c r="E267" s="385">
        <f t="shared" si="100"/>
        <v>33.121801526909387</v>
      </c>
      <c r="F267" s="385">
        <f t="shared" si="78"/>
        <v>33.121802280387051</v>
      </c>
      <c r="G267" s="110">
        <f t="shared" si="101"/>
        <v>0.94668849708072844</v>
      </c>
      <c r="H267" s="414" t="b">
        <f>Wh_hp&gt;='2021'!Maxi_hp</f>
        <v>1</v>
      </c>
      <c r="I267" s="380">
        <f>IF(H267,Wh_hp,'2021'!Maxi_hp)</f>
        <v>33.121802280387051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3.4543279491890622E-2</v>
      </c>
      <c r="M267" s="850"/>
      <c r="N267" s="850"/>
      <c r="O267" s="48">
        <f>IF(t&lt;Tnet,'2021'!Resal+('2021'!Salim-'2021'!Resal)*(1-EXP(('2021'!Tnet-t)/('2021'!Tau_j))),Resal+(Salim-Resal)*(1-EXP((Tnet-t)/(Tau_j))))*Salcycl</f>
        <v>8.7613207607104657E-2</v>
      </c>
      <c r="P267" s="339">
        <f>(INDEX(Models!$BJ267:$BT267,,T267)*(1-R267)+INDEX(Models!$BJ267:$BT267,,T267+1)*R267-ERP_i)*Q267*Ramure*Pc/MaxiM</f>
        <v>2.4624040837809747E-8</v>
      </c>
      <c r="Q267" s="305">
        <f t="shared" si="80"/>
        <v>0.7</v>
      </c>
      <c r="R267" s="177">
        <f t="shared" si="81"/>
        <v>0.79339920745454484</v>
      </c>
      <c r="S267" s="817">
        <f t="shared" si="82"/>
        <v>-1</v>
      </c>
      <c r="T267" s="176">
        <f t="shared" si="83"/>
        <v>5</v>
      </c>
      <c r="U267" s="251">
        <f t="shared" si="84"/>
        <v>-0.2066007925454551</v>
      </c>
      <c r="V267" s="383">
        <f t="shared" si="85"/>
        <v>30.819007556607975</v>
      </c>
      <c r="W267" s="402">
        <f t="shared" si="86"/>
        <v>0</v>
      </c>
      <c r="X267" s="157">
        <f t="shared" si="87"/>
        <v>44814</v>
      </c>
      <c r="Y267" s="385">
        <f t="shared" si="88"/>
        <v>27.642696422123308</v>
      </c>
      <c r="Z267" s="385">
        <f t="shared" si="89"/>
        <v>28.63173028364778</v>
      </c>
      <c r="AA267" s="386">
        <f t="shared" si="90"/>
        <v>33.121801526909387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0.13556241014286941</v>
      </c>
      <c r="AD267" s="231">
        <f>(INDEX(Models!$BJ267:$BT267,,AH267)*(1-AF267)+INDEX(Models!$BJ267:$BT267,,AH267+1)*AF267-ERP_i)*AE267*Ramure*Pc/MaxiM</f>
        <v>2.4624040837809747E-8</v>
      </c>
      <c r="AE267" s="305">
        <f t="shared" si="92"/>
        <v>0.7</v>
      </c>
      <c r="AF267" s="177">
        <f t="shared" si="93"/>
        <v>0.79339920745454484</v>
      </c>
      <c r="AG267" s="817">
        <f t="shared" si="99"/>
        <v>-1</v>
      </c>
      <c r="AH267" s="176">
        <f t="shared" si="94"/>
        <v>5</v>
      </c>
      <c r="AI267" s="225">
        <f t="shared" si="95"/>
        <v>-0.2066007925454551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44815</v>
      </c>
      <c r="B268" s="1106">
        <v>29.068000000000001</v>
      </c>
      <c r="C268" s="846"/>
      <c r="D268" s="393">
        <f t="shared" si="77"/>
        <v>30.108689556221044</v>
      </c>
      <c r="E268" s="385">
        <f t="shared" si="100"/>
        <v>33.002840733392418</v>
      </c>
      <c r="F268" s="385">
        <f t="shared" si="78"/>
        <v>33.003036179252092</v>
      </c>
      <c r="G268" s="110">
        <f t="shared" si="101"/>
        <v>0.94898120571584765</v>
      </c>
      <c r="H268" s="414" t="b">
        <f>Wh_hp&gt;='2021'!Maxi_hp</f>
        <v>1</v>
      </c>
      <c r="I268" s="380">
        <f>IF(H268,Wh_hp,'2021'!Maxi_hp)</f>
        <v>33.003036179252092</v>
      </c>
      <c r="J268" s="85">
        <f>IF(H268,An,'2021'!An_max)</f>
        <v>2022</v>
      </c>
      <c r="K268" s="197">
        <f t="shared" si="79"/>
        <v>44815</v>
      </c>
      <c r="L268" s="147">
        <f>IF(t&lt;Tvie,1-EXP((T0-t)*PertePVj)+'2021'!Pspv,1-EXP((T0-t)*PertePVj)+Pspv)</f>
        <v>3.4564425471849125E-2</v>
      </c>
      <c r="M268" s="850"/>
      <c r="N268" s="850"/>
      <c r="O268" s="48">
        <f>IF(t&lt;Tnet,'2021'!Resal+('2021'!Salim-'2021'!Resal)*(1-EXP(('2021'!Tnet-t)/('2021'!Tau_j))),Resal+(Salim-Resal)*(1-EXP((Tnet-t)/(Tau_j))))*Salcycl</f>
        <v>8.7694001875513045E-2</v>
      </c>
      <c r="P268" s="339">
        <f>(INDEX(Models!$BJ268:$BT268,,T268)*(1-R268)+INDEX(Models!$BJ268:$BT268,,T268+1)*R268-ERP_i)*Q268*Ramure*Pc/MaxiM</f>
        <v>6.3876072284238163E-6</v>
      </c>
      <c r="Q268" s="305">
        <f t="shared" si="80"/>
        <v>0.7</v>
      </c>
      <c r="R268" s="177">
        <f t="shared" si="81"/>
        <v>0.79366319868377833</v>
      </c>
      <c r="S268" s="817">
        <f t="shared" si="82"/>
        <v>-1</v>
      </c>
      <c r="T268" s="176">
        <f t="shared" si="83"/>
        <v>5</v>
      </c>
      <c r="U268" s="251">
        <f t="shared" si="84"/>
        <v>-0.20633680131622167</v>
      </c>
      <c r="V268" s="383">
        <f t="shared" si="85"/>
        <v>30.630729346612654</v>
      </c>
      <c r="W268" s="402">
        <f t="shared" si="86"/>
        <v>0</v>
      </c>
      <c r="X268" s="157">
        <f t="shared" si="87"/>
        <v>44815</v>
      </c>
      <c r="Y268" s="385">
        <f t="shared" si="88"/>
        <v>27.542576271135928</v>
      </c>
      <c r="Z268" s="385">
        <f t="shared" si="89"/>
        <v>28.528652763388326</v>
      </c>
      <c r="AA268" s="386">
        <f t="shared" si="90"/>
        <v>33.002840733392418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0.13556978340585968</v>
      </c>
      <c r="AD268" s="231">
        <f>(INDEX(Models!$BJ268:$BT268,,AH268)*(1-AF268)+INDEX(Models!$BJ268:$BT268,,AH268+1)*AF268-ERP_i)*AE268*Ramure*Pc/MaxiM</f>
        <v>6.3876072284238163E-6</v>
      </c>
      <c r="AE268" s="305">
        <f t="shared" si="92"/>
        <v>0.7</v>
      </c>
      <c r="AF268" s="177">
        <f t="shared" si="93"/>
        <v>0.79366319868377833</v>
      </c>
      <c r="AG268" s="817">
        <f t="shared" si="99"/>
        <v>-1</v>
      </c>
      <c r="AH268" s="176">
        <f t="shared" si="94"/>
        <v>5</v>
      </c>
      <c r="AI268" s="225">
        <f t="shared" si="95"/>
        <v>-0.20633680131622167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44816</v>
      </c>
      <c r="B269" s="1106">
        <v>20.408999999999999</v>
      </c>
      <c r="C269" s="846"/>
      <c r="D269" s="393">
        <f t="shared" si="77"/>
        <v>21.140143949267813</v>
      </c>
      <c r="E269" s="385">
        <f t="shared" si="100"/>
        <v>23.174239916531938</v>
      </c>
      <c r="F269" s="385">
        <f t="shared" si="78"/>
        <v>23.174475650288763</v>
      </c>
      <c r="G269" s="110">
        <f t="shared" si="101"/>
        <v>0.67046460675199715</v>
      </c>
      <c r="H269" s="414" t="b">
        <f>Wh_hp&gt;='2021'!Maxi_hp</f>
        <v>0</v>
      </c>
      <c r="I269" s="380">
        <f>IF(H269,Wh_hp,'2021'!Maxi_hp)</f>
        <v>34.361918081315721</v>
      </c>
      <c r="J269" s="85">
        <f>IF(H269,An,'2021'!An_max)</f>
        <v>2019</v>
      </c>
      <c r="K269" s="197">
        <f t="shared" si="79"/>
        <v>44816</v>
      </c>
      <c r="L269" s="147">
        <f>IF(t&lt;Tvie,1-EXP((T0-t)*PertePVj)+'2021'!Pspv,1-EXP((T0-t)*PertePVj)+Pspv)</f>
        <v>3.4585570988656333E-2</v>
      </c>
      <c r="M269" s="850"/>
      <c r="N269" s="850"/>
      <c r="O269" s="48">
        <f>IF(t&lt;Tnet,'2021'!Resal+('2021'!Salim-'2021'!Resal)*(1-EXP(('2021'!Tnet-t)/('2021'!Tau_j))),Resal+(Salim-Resal)*(1-EXP((Tnet-t)/(Tau_j))))*Salcycl</f>
        <v>8.7774010046950943E-2</v>
      </c>
      <c r="P269" s="339">
        <f>(INDEX(Models!$BJ269:$BT269,,T269)*(1-R269)+INDEX(Models!$BJ269:$BT269,,T269+1)*R269-ERP_i)*Q269*Ramure*Pc/MaxiM</f>
        <v>1.9220118743169932E-5</v>
      </c>
      <c r="Q269" s="305">
        <f t="shared" si="80"/>
        <v>0.7</v>
      </c>
      <c r="R269" s="177">
        <f t="shared" si="81"/>
        <v>0.79391700736506243</v>
      </c>
      <c r="S269" s="817">
        <f t="shared" si="82"/>
        <v>-1</v>
      </c>
      <c r="T269" s="176">
        <f t="shared" si="83"/>
        <v>5</v>
      </c>
      <c r="U269" s="251">
        <f t="shared" si="84"/>
        <v>-0.20608299263493757</v>
      </c>
      <c r="V269" s="383">
        <f t="shared" si="85"/>
        <v>30.439810143846955</v>
      </c>
      <c r="W269" s="402">
        <f t="shared" si="86"/>
        <v>0</v>
      </c>
      <c r="X269" s="157">
        <f t="shared" si="87"/>
        <v>44816</v>
      </c>
      <c r="Y269" s="385">
        <f t="shared" si="88"/>
        <v>19.33953507883848</v>
      </c>
      <c r="Z269" s="385">
        <f t="shared" si="89"/>
        <v>20.032365891447888</v>
      </c>
      <c r="AA269" s="386">
        <f t="shared" si="90"/>
        <v>23.174239916531938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0.13557614128447482</v>
      </c>
      <c r="AD269" s="231">
        <f>(INDEX(Models!$BJ269:$BT269,,AH269)*(1-AF269)+INDEX(Models!$BJ269:$BT269,,AH269+1)*AF269-ERP_i)*AE269*Ramure*Pc/MaxiM</f>
        <v>1.9220118743169932E-5</v>
      </c>
      <c r="AE269" s="305">
        <f t="shared" si="92"/>
        <v>0.7</v>
      </c>
      <c r="AF269" s="177">
        <f t="shared" si="93"/>
        <v>0.79391700736506243</v>
      </c>
      <c r="AG269" s="817">
        <f t="shared" si="99"/>
        <v>-1</v>
      </c>
      <c r="AH269" s="176">
        <f t="shared" si="94"/>
        <v>5</v>
      </c>
      <c r="AI269" s="225">
        <f t="shared" si="95"/>
        <v>-0.20608299263493757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44817</v>
      </c>
      <c r="B270" s="1106">
        <v>7.6779999999999999</v>
      </c>
      <c r="C270" s="846"/>
      <c r="D270" s="393">
        <f t="shared" si="77"/>
        <v>7.953235357639592</v>
      </c>
      <c r="E270" s="385">
        <f t="shared" si="100"/>
        <v>8.7192493674003337</v>
      </c>
      <c r="F270" s="385">
        <f t="shared" si="78"/>
        <v>8.7192493674003337</v>
      </c>
      <c r="G270" s="110">
        <f t="shared" si="101"/>
        <v>0.25383508467676263</v>
      </c>
      <c r="H270" s="414" t="b">
        <f>Wh_hp&gt;='2021'!Maxi_hp</f>
        <v>0</v>
      </c>
      <c r="I270" s="380">
        <f>IF(H270,Wh_hp,'2021'!Maxi_hp)</f>
        <v>32.643598753916862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3.4606716042322461E-2</v>
      </c>
      <c r="M270" s="850"/>
      <c r="N270" s="850"/>
      <c r="O270" s="48">
        <f>IF(t&lt;Tnet,'2021'!Resal+('2021'!Salim-'2021'!Resal)*(1-EXP(('2021'!Tnet-t)/('2021'!Tau_j))),Resal+(Salim-Resal)*(1-EXP((Tnet-t)/(Tau_j))))*Salcycl</f>
        <v>8.7853205876268034E-2</v>
      </c>
      <c r="P270" s="339">
        <f>(INDEX(Models!$BJ270:$BT270,,T270)*(1-R270)+INDEX(Models!$BJ270:$BT270,,T270+1)*R270-ERP_i)*Q270*Ramure*Pc/MaxiM</f>
        <v>3.8639724068074325E-5</v>
      </c>
      <c r="Q270" s="305">
        <f t="shared" si="80"/>
        <v>0.7</v>
      </c>
      <c r="R270" s="177">
        <f t="shared" si="81"/>
        <v>0.79416100931229838</v>
      </c>
      <c r="S270" s="817">
        <f t="shared" si="82"/>
        <v>-1</v>
      </c>
      <c r="T270" s="176">
        <f t="shared" si="83"/>
        <v>5</v>
      </c>
      <c r="U270" s="251">
        <f t="shared" si="84"/>
        <v>-0.20583899068770162</v>
      </c>
      <c r="V270" s="383">
        <f t="shared" si="85"/>
        <v>30.246816881029304</v>
      </c>
      <c r="W270" s="402">
        <f t="shared" si="86"/>
        <v>0</v>
      </c>
      <c r="X270" s="157">
        <f t="shared" si="87"/>
        <v>44817</v>
      </c>
      <c r="Y270" s="385">
        <f t="shared" si="88"/>
        <v>7.2762473150122435</v>
      </c>
      <c r="Z270" s="385">
        <f t="shared" si="89"/>
        <v>7.5370809347076744</v>
      </c>
      <c r="AA270" s="386">
        <f t="shared" si="90"/>
        <v>8.7192493674003337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0.13558144547540629</v>
      </c>
      <c r="AD270" s="231">
        <f>(INDEX(Models!$BJ270:$BT270,,AH270)*(1-AF270)+INDEX(Models!$BJ270:$BT270,,AH270+1)*AF270-ERP_i)*AE270*Ramure*Pc/MaxiM</f>
        <v>3.8639724068074325E-5</v>
      </c>
      <c r="AE270" s="305">
        <f t="shared" si="92"/>
        <v>0.7</v>
      </c>
      <c r="AF270" s="177">
        <f t="shared" si="93"/>
        <v>0.79416100931229838</v>
      </c>
      <c r="AG270" s="817">
        <f t="shared" si="99"/>
        <v>-1</v>
      </c>
      <c r="AH270" s="176">
        <f t="shared" si="94"/>
        <v>5</v>
      </c>
      <c r="AI270" s="225">
        <f t="shared" si="95"/>
        <v>-0.20583899068770162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44818</v>
      </c>
      <c r="B271" s="1106">
        <v>22.779</v>
      </c>
      <c r="C271" s="846"/>
      <c r="D271" s="393">
        <f t="shared" ref="D271:D334" si="102">Wh/(1-Ppv)</f>
        <v>23.596081833201612</v>
      </c>
      <c r="E271" s="385">
        <f t="shared" si="100"/>
        <v>25.870955352571279</v>
      </c>
      <c r="F271" s="385">
        <f t="shared" ref="F271:F334" si="103">Wh_sa/(1-Pvg*MEDIAN((-Sdif+Wh/Env_an)/Csdif,0,1))</f>
        <v>25.872051655821465</v>
      </c>
      <c r="G271" s="110">
        <f t="shared" si="101"/>
        <v>0.75796120593002392</v>
      </c>
      <c r="H271" s="414" t="b">
        <f>Wh_hp&gt;='2021'!Maxi_hp</f>
        <v>0</v>
      </c>
      <c r="I271" s="380">
        <f>IF(H271,Wh_hp,'2021'!Maxi_hp)</f>
        <v>31.813436700328825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3.4627860632857721E-2</v>
      </c>
      <c r="M271" s="850"/>
      <c r="N271" s="850"/>
      <c r="O271" s="48">
        <f>IF(t&lt;Tnet,'2021'!Resal+('2021'!Salim-'2021'!Resal)*(1-EXP(('2021'!Tnet-t)/('2021'!Tau_j))),Resal+(Salim-Resal)*(1-EXP((Tnet-t)/(Tau_j))))*Salcycl</f>
        <v>8.7931562184987905E-2</v>
      </c>
      <c r="P271" s="339">
        <f>(INDEX(Models!$BJ271:$BT271,,T271)*(1-R271)+INDEX(Models!$BJ271:$BT271,,T271+1)*R271-ERP_i)*Q271*Ramure*Pc/MaxiM</f>
        <v>6.4766896220910035E-5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0.79439556778332254</v>
      </c>
      <c r="S271" s="817">
        <f t="shared" ref="S271:S334" si="107">INDEX(Echel_vg,T271)</f>
        <v>-1</v>
      </c>
      <c r="T271" s="176">
        <f t="shared" ref="T271:T334" si="108">MIN(MATCH(Hp_vg,Echel_vg),10)</f>
        <v>5</v>
      </c>
      <c r="U271" s="251">
        <f t="shared" ref="U271:U334" si="109">IF(OR(t&lt;Ttai,Notai),Hdd+PousH*Croivg,Hdtf+PousH*(Croivg-Croi_tai))</f>
        <v>-0.20560443221667746</v>
      </c>
      <c r="V271" s="383">
        <f t="shared" ref="V271:V334" si="110">MaxiM*(1-Ppv)*(1-Pvg)*(1-Psa)</f>
        <v>30.052316283752276</v>
      </c>
      <c r="W271" s="402">
        <f t="shared" ref="W271:W334" si="111">Wh*(A271&gt;Tmaj)</f>
        <v>0</v>
      </c>
      <c r="X271" s="157">
        <f t="shared" ref="X271:X334" si="112">t</f>
        <v>44818</v>
      </c>
      <c r="Y271" s="385">
        <f t="shared" ref="Y271:Y334" si="113">Wh_pvt_s*(1-Ppv)</f>
        <v>21.588834255633088</v>
      </c>
      <c r="Z271" s="385">
        <f t="shared" ref="Z271:Z334" si="114">Wh_sa_s*(1-Psa_s)</f>
        <v>22.363224890440517</v>
      </c>
      <c r="AA271" s="386">
        <f t="shared" ref="AA271:AA334" si="115">Wh_hp*(1-Pvg_s*MEDIAN((-Sdif+Wh/Env_an)/Csdif,0,1))</f>
        <v>25.870955352571279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0.1355856563596958</v>
      </c>
      <c r="AD271" s="231">
        <f>(INDEX(Models!$BJ271:$BT271,,AH271)*(1-AF271)+INDEX(Models!$BJ271:$BT271,,AH271+1)*AF271-ERP_i)*AE271*Ramure*Pc/MaxiM</f>
        <v>6.4766896220910035E-5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0.79439556778332254</v>
      </c>
      <c r="AG271" s="817">
        <f t="shared" si="99"/>
        <v>-1</v>
      </c>
      <c r="AH271" s="176">
        <f t="shared" ref="AH271:AH334" si="119">MIN(MATCH(Hp_vg_s,Echel_vg),10)</f>
        <v>5</v>
      </c>
      <c r="AI271" s="225">
        <f t="shared" ref="AI271:AI334" si="120">IF(OR(t&lt;Ttai,Notai),Hdd_s+PousH*Croivg,Hdtai_s+PousH*(Croivg-Croi_tai))</f>
        <v>-0.20560443221667746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44819</v>
      </c>
      <c r="B272" s="1106">
        <v>27.635000000000002</v>
      </c>
      <c r="C272" s="846"/>
      <c r="D272" s="393">
        <f t="shared" si="102"/>
        <v>28.626893364456869</v>
      </c>
      <c r="E272" s="385">
        <f t="shared" si="100"/>
        <v>31.389448976963028</v>
      </c>
      <c r="F272" s="385">
        <f t="shared" si="103"/>
        <v>31.392190606728214</v>
      </c>
      <c r="G272" s="110">
        <f t="shared" si="101"/>
        <v>0.92557285351206964</v>
      </c>
      <c r="H272" s="414" t="b">
        <f>Wh_hp&gt;='2021'!Maxi_hp</f>
        <v>0</v>
      </c>
      <c r="I272" s="380">
        <f>IF(H272,Wh_hp,'2021'!Maxi_hp)</f>
        <v>32.156591580426863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3.4649004760272106E-2</v>
      </c>
      <c r="M272" s="850"/>
      <c r="N272" s="850"/>
      <c r="O272" s="48">
        <f>IF(t&lt;Tnet,'2021'!Resal+('2021'!Salim-'2021'!Resal)*(1-EXP(('2021'!Tnet-t)/('2021'!Tau_j))),Resal+(Salim-Resal)*(1-EXP((Tnet-t)/(Tau_j))))*Salcycl</f>
        <v>8.8009050892662102E-2</v>
      </c>
      <c r="P272" s="339">
        <f>(INDEX(Models!$BJ272:$BT272,,T272)*(1-R272)+INDEX(Models!$BJ272:$BT272,,T272+1)*R272-ERP_i)*Q272*Ramure*Pc/MaxiM</f>
        <v>9.772386906386418E-5</v>
      </c>
      <c r="Q272" s="305">
        <f t="shared" si="105"/>
        <v>0.7</v>
      </c>
      <c r="R272" s="177">
        <f t="shared" si="106"/>
        <v>0.79462103379574933</v>
      </c>
      <c r="S272" s="817">
        <f t="shared" si="107"/>
        <v>-1</v>
      </c>
      <c r="T272" s="176">
        <f t="shared" si="108"/>
        <v>5</v>
      </c>
      <c r="U272" s="251">
        <f t="shared" si="109"/>
        <v>-0.20537896620425061</v>
      </c>
      <c r="V272" s="383">
        <f t="shared" si="110"/>
        <v>29.856874871954396</v>
      </c>
      <c r="W272" s="402">
        <f t="shared" si="111"/>
        <v>0</v>
      </c>
      <c r="X272" s="157">
        <f t="shared" si="112"/>
        <v>44819</v>
      </c>
      <c r="Y272" s="385">
        <f t="shared" si="113"/>
        <v>26.193248283193853</v>
      </c>
      <c r="Z272" s="385">
        <f t="shared" si="114"/>
        <v>27.133393358846874</v>
      </c>
      <c r="AA272" s="386">
        <f t="shared" si="115"/>
        <v>31.389448976963028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0.13558873305612057</v>
      </c>
      <c r="AD272" s="231">
        <f>(INDEX(Models!$BJ272:$BT272,,AH272)*(1-AF272)+INDEX(Models!$BJ272:$BT272,,AH272+1)*AF272-ERP_i)*AE272*Ramure*Pc/MaxiM</f>
        <v>9.772386906386418E-5</v>
      </c>
      <c r="AE272" s="305">
        <f t="shared" si="117"/>
        <v>0.7</v>
      </c>
      <c r="AF272" s="177">
        <f t="shared" si="118"/>
        <v>0.79462103379574933</v>
      </c>
      <c r="AG272" s="817">
        <f t="shared" ref="AG272:AG335" si="124">INDEX(Echel_vg,AH272)</f>
        <v>-1</v>
      </c>
      <c r="AH272" s="176">
        <f t="shared" si="119"/>
        <v>5</v>
      </c>
      <c r="AI272" s="225">
        <f t="shared" si="120"/>
        <v>-0.20537896620425061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44820</v>
      </c>
      <c r="B273" s="1106">
        <v>20.675000000000001</v>
      </c>
      <c r="C273" s="846"/>
      <c r="D273" s="393">
        <f t="shared" si="102"/>
        <v>21.417549624367545</v>
      </c>
      <c r="E273" s="385">
        <f t="shared" si="100"/>
        <v>23.486360820426224</v>
      </c>
      <c r="F273" s="385">
        <f t="shared" si="103"/>
        <v>23.488194450520023</v>
      </c>
      <c r="G273" s="110">
        <f t="shared" si="101"/>
        <v>0.69700034553792434</v>
      </c>
      <c r="H273" s="414" t="b">
        <f>Wh_hp&gt;='2021'!Maxi_hp</f>
        <v>0</v>
      </c>
      <c r="I273" s="380">
        <f>IF(H273,Wh_hp,'2021'!Maxi_hp)</f>
        <v>31.548663581663206</v>
      </c>
      <c r="J273" s="85">
        <f>IF(H273,An,'2021'!An_max)</f>
        <v>2018</v>
      </c>
      <c r="K273" s="197">
        <f t="shared" si="104"/>
        <v>44820</v>
      </c>
      <c r="L273" s="147">
        <f>IF(t&lt;Tvie,1-EXP((T0-t)*PertePVj)+'2021'!Pspv,1-EXP((T0-t)*PertePVj)+Pspv)</f>
        <v>3.4670148424575942E-2</v>
      </c>
      <c r="M273" s="850"/>
      <c r="N273" s="850"/>
      <c r="O273" s="48">
        <f>IF(t&lt;Tnet,'2021'!Resal+('2021'!Salim-'2021'!Resal)*(1-EXP(('2021'!Tnet-t)/('2021'!Tau_j))),Resal+(Salim-Resal)*(1-EXP((Tnet-t)/(Tau_j))))*Salcycl</f>
        <v>8.8085643062224522E-2</v>
      </c>
      <c r="P273" s="339">
        <f>(INDEX(Models!$BJ273:$BT273,,T273)*(1-R273)+INDEX(Models!$BJ273:$BT273,,T273+1)*R273-ERP_i)*Q273*Ramure*Pc/MaxiM</f>
        <v>1.3763339637856548E-4</v>
      </c>
      <c r="Q273" s="305">
        <f t="shared" si="105"/>
        <v>0.7</v>
      </c>
      <c r="R273" s="177">
        <f t="shared" si="106"/>
        <v>0.79483774644357008</v>
      </c>
      <c r="S273" s="817">
        <f t="shared" si="107"/>
        <v>-1</v>
      </c>
      <c r="T273" s="176">
        <f t="shared" si="108"/>
        <v>5</v>
      </c>
      <c r="U273" s="251">
        <f t="shared" si="109"/>
        <v>-0.20516225355642997</v>
      </c>
      <c r="V273" s="383">
        <f t="shared" si="110"/>
        <v>29.661058966327513</v>
      </c>
      <c r="W273" s="402">
        <f t="shared" si="111"/>
        <v>0</v>
      </c>
      <c r="X273" s="157">
        <f t="shared" si="112"/>
        <v>44820</v>
      </c>
      <c r="Y273" s="385">
        <f t="shared" si="113"/>
        <v>19.597962809234769</v>
      </c>
      <c r="Z273" s="385">
        <f t="shared" si="114"/>
        <v>20.301830278273044</v>
      </c>
      <c r="AA273" s="386">
        <f t="shared" si="115"/>
        <v>23.486360820426224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0.13559063349582773</v>
      </c>
      <c r="AD273" s="231">
        <f>(INDEX(Models!$BJ273:$BT273,,AH273)*(1-AF273)+INDEX(Models!$BJ273:$BT273,,AH273+1)*AF273-ERP_i)*AE273*Ramure*Pc/MaxiM</f>
        <v>1.3763339637856548E-4</v>
      </c>
      <c r="AE273" s="305">
        <f t="shared" si="117"/>
        <v>0.7</v>
      </c>
      <c r="AF273" s="177">
        <f t="shared" si="118"/>
        <v>0.79483774644357008</v>
      </c>
      <c r="AG273" s="817">
        <f t="shared" si="124"/>
        <v>-1</v>
      </c>
      <c r="AH273" s="176">
        <f t="shared" si="119"/>
        <v>5</v>
      </c>
      <c r="AI273" s="225">
        <f t="shared" si="120"/>
        <v>-0.20516225355642997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44821</v>
      </c>
      <c r="B274" s="1153">
        <f>30.694*0.95</f>
        <v>29.159299999999998</v>
      </c>
      <c r="C274" s="846"/>
      <c r="D274" s="393">
        <f t="shared" si="102"/>
        <v>30.207227746976695</v>
      </c>
      <c r="E274" s="385">
        <f t="shared" si="100"/>
        <v>33.12781969421254</v>
      </c>
      <c r="F274" s="385">
        <f t="shared" si="103"/>
        <v>33.133845987379907</v>
      </c>
      <c r="G274" s="110">
        <f t="shared" si="101"/>
        <v>0.98960766707234538</v>
      </c>
      <c r="H274" s="414" t="b">
        <f>Wh_hp&gt;='2021'!Maxi_hp</f>
        <v>1</v>
      </c>
      <c r="I274" s="380">
        <f>IF(H274,Wh_hp,'2021'!Maxi_hp)</f>
        <v>33.133845987379907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3.4691291625779219E-2</v>
      </c>
      <c r="M274" s="850"/>
      <c r="N274" s="850"/>
      <c r="O274" s="48">
        <f>IF(t&lt;Tnet,'2021'!Resal+('2021'!Salim-'2021'!Resal)*(1-EXP(('2021'!Tnet-t)/('2021'!Tau_j))),Resal+(Salim-Resal)*(1-EXP((Tnet-t)/(Tau_j))))*Salcycl</f>
        <v>8.8161308960096649E-2</v>
      </c>
      <c r="P274" s="339">
        <f>(INDEX(Models!$BJ274:$BT274,,T274)*(1-R274)+INDEX(Models!$BJ274:$BT274,,T274+1)*R274-ERP_i)*Q274*Ramure*Pc/MaxiM</f>
        <v>1.8461741122457648E-4</v>
      </c>
      <c r="Q274" s="305">
        <f t="shared" si="105"/>
        <v>0.7</v>
      </c>
      <c r="R274" s="177">
        <f t="shared" si="106"/>
        <v>0.79504603321357492</v>
      </c>
      <c r="S274" s="817">
        <f t="shared" si="107"/>
        <v>-1</v>
      </c>
      <c r="T274" s="176">
        <f t="shared" si="108"/>
        <v>5</v>
      </c>
      <c r="U274" s="251">
        <f t="shared" si="109"/>
        <v>-0.20495396678642508</v>
      </c>
      <c r="V274" s="383">
        <f t="shared" si="110"/>
        <v>29.465434691789156</v>
      </c>
      <c r="W274" s="402">
        <f t="shared" si="111"/>
        <v>0</v>
      </c>
      <c r="X274" s="157">
        <f t="shared" si="112"/>
        <v>44821</v>
      </c>
      <c r="Y274" s="385">
        <f t="shared" si="113"/>
        <v>27.642556112412098</v>
      </c>
      <c r="Z274" s="385">
        <f t="shared" si="114"/>
        <v>28.635975074717674</v>
      </c>
      <c r="AA274" s="386">
        <f t="shared" si="115"/>
        <v>33.12781969421254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0.13559131451924669</v>
      </c>
      <c r="AD274" s="231">
        <f>(INDEX(Models!$BJ274:$BT274,,AH274)*(1-AF274)+INDEX(Models!$BJ274:$BT274,,AH274+1)*AF274-ERP_i)*AE274*Ramure*Pc/MaxiM</f>
        <v>1.8461741122457648E-4</v>
      </c>
      <c r="AE274" s="305">
        <f t="shared" si="117"/>
        <v>0.7</v>
      </c>
      <c r="AF274" s="177">
        <f t="shared" si="118"/>
        <v>0.79504603321357492</v>
      </c>
      <c r="AG274" s="817">
        <f t="shared" si="124"/>
        <v>-1</v>
      </c>
      <c r="AH274" s="176">
        <f t="shared" si="119"/>
        <v>5</v>
      </c>
      <c r="AI274" s="225">
        <f t="shared" si="120"/>
        <v>-0.20495396678642508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44822</v>
      </c>
      <c r="B275" s="1106">
        <v>29.275000000000002</v>
      </c>
      <c r="C275" s="846"/>
      <c r="D275" s="393">
        <f t="shared" si="102"/>
        <v>30.327750032404364</v>
      </c>
      <c r="E275" s="385">
        <f t="shared" si="100"/>
        <v>33.262719997183623</v>
      </c>
      <c r="F275" s="385">
        <f t="shared" si="103"/>
        <v>33.270665157690054</v>
      </c>
      <c r="G275" s="110">
        <f t="shared" si="101"/>
        <v>1.0001857505520069</v>
      </c>
      <c r="H275" s="414" t="b">
        <f>Wh_hp&gt;='2021'!Maxi_hp</f>
        <v>1</v>
      </c>
      <c r="I275" s="380">
        <f>IF(H275,Wh_hp,'2021'!Maxi_hp)</f>
        <v>33.270665157690054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3.4712434363892042E-2</v>
      </c>
      <c r="M275" s="850"/>
      <c r="N275" s="850"/>
      <c r="O275" s="48">
        <f>IF(t&lt;Tnet,'2021'!Resal+('2021'!Salim-'2021'!Resal)*(1-EXP(('2021'!Tnet-t)/('2021'!Tau_j))),Resal+(Salim-Resal)*(1-EXP((Tnet-t)/(Tau_j))))*Salcycl</f>
        <v>8.8236018131643057E-2</v>
      </c>
      <c r="P275" s="339">
        <f>(INDEX(Models!$BJ275:$BT275,,T275)*(1-R275)+INDEX(Models!$BJ275:$BT275,,T275+1)*R275-ERP_i)*Q275*Ramure*Pc/MaxiM</f>
        <v>2.3880377710430123E-4</v>
      </c>
      <c r="Q275" s="305">
        <f t="shared" si="105"/>
        <v>0.7</v>
      </c>
      <c r="R275" s="177">
        <f t="shared" si="106"/>
        <v>0.79524621030076337</v>
      </c>
      <c r="S275" s="817">
        <f t="shared" si="107"/>
        <v>-1</v>
      </c>
      <c r="T275" s="176">
        <f t="shared" si="108"/>
        <v>5</v>
      </c>
      <c r="U275" s="251">
        <f t="shared" si="109"/>
        <v>-0.20475378969923658</v>
      </c>
      <c r="V275" s="383">
        <f t="shared" si="110"/>
        <v>29.269563162485575</v>
      </c>
      <c r="W275" s="402">
        <f t="shared" si="111"/>
        <v>0</v>
      </c>
      <c r="X275" s="157">
        <f t="shared" si="112"/>
        <v>44822</v>
      </c>
      <c r="Y275" s="385">
        <f t="shared" si="113"/>
        <v>27.754530584723998</v>
      </c>
      <c r="Z275" s="385">
        <f t="shared" si="114"/>
        <v>28.752603444585176</v>
      </c>
      <c r="AA275" s="386">
        <f t="shared" si="115"/>
        <v>33.262719997183623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0.13559073199607002</v>
      </c>
      <c r="AD275" s="231">
        <f>(INDEX(Models!$BJ275:$BT275,,AH275)*(1-AF275)+INDEX(Models!$BJ275:$BT275,,AH275+1)*AF275-ERP_i)*AE275*Ramure*Pc/MaxiM</f>
        <v>2.3880377710430123E-4</v>
      </c>
      <c r="AE275" s="305">
        <f t="shared" si="117"/>
        <v>0.7</v>
      </c>
      <c r="AF275" s="177">
        <f t="shared" si="118"/>
        <v>0.79524621030076337</v>
      </c>
      <c r="AG275" s="817">
        <f t="shared" si="124"/>
        <v>-1</v>
      </c>
      <c r="AH275" s="176">
        <f t="shared" si="119"/>
        <v>5</v>
      </c>
      <c r="AI275" s="225">
        <f t="shared" si="120"/>
        <v>-0.20475378969923658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44823</v>
      </c>
      <c r="B276" s="1106">
        <v>28.690999999999999</v>
      </c>
      <c r="C276" s="846"/>
      <c r="D276" s="393">
        <f t="shared" si="102"/>
        <v>29.723399991576848</v>
      </c>
      <c r="E276" s="385">
        <f t="shared" si="100"/>
        <v>32.602520043406166</v>
      </c>
      <c r="F276" s="385">
        <f t="shared" si="103"/>
        <v>32.612832561298127</v>
      </c>
      <c r="G276" s="110">
        <f t="shared" si="101"/>
        <v>0.98689319600237513</v>
      </c>
      <c r="H276" s="414" t="b">
        <f>Wh_hp&gt;='2021'!Maxi_hp</f>
        <v>1</v>
      </c>
      <c r="I276" s="380">
        <f>IF(H276,Wh_hp,'2021'!Maxi_hp)</f>
        <v>32.612832561298127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3.4733576638924735E-2</v>
      </c>
      <c r="M276" s="850"/>
      <c r="N276" s="850"/>
      <c r="O276" s="48">
        <f>IF(t&lt;Tnet,'2021'!Resal+('2021'!Salim-'2021'!Resal)*(1-EXP(('2021'!Tnet-t)/('2021'!Tau_j))),Resal+(Salim-Resal)*(1-EXP((Tnet-t)/(Tau_j))))*Salcycl</f>
        <v>8.8309739492411221E-2</v>
      </c>
      <c r="P276" s="339">
        <f>(INDEX(Models!$BJ276:$BT276,,T276)*(1-R276)+INDEX(Models!$BJ276:$BT276,,T276+1)*R276-ERP_i)*Q276*Ramure*Pc/MaxiM</f>
        <v>3.2224134049063327E-4</v>
      </c>
      <c r="Q276" s="305">
        <f t="shared" si="105"/>
        <v>0.7</v>
      </c>
      <c r="R276" s="177">
        <f t="shared" si="106"/>
        <v>0.79543858292198499</v>
      </c>
      <c r="S276" s="817">
        <f t="shared" si="107"/>
        <v>-1</v>
      </c>
      <c r="T276" s="176">
        <f t="shared" si="108"/>
        <v>5</v>
      </c>
      <c r="U276" s="251">
        <f t="shared" si="109"/>
        <v>-0.20456141707801495</v>
      </c>
      <c r="V276" s="383">
        <f t="shared" si="110"/>
        <v>29.071866164147814</v>
      </c>
      <c r="W276" s="402">
        <f t="shared" si="111"/>
        <v>0</v>
      </c>
      <c r="X276" s="157">
        <f t="shared" si="112"/>
        <v>44823</v>
      </c>
      <c r="Y276" s="385">
        <f t="shared" si="113"/>
        <v>27.203121101628433</v>
      </c>
      <c r="Z276" s="385">
        <f t="shared" si="114"/>
        <v>28.18198213805746</v>
      </c>
      <c r="AA276" s="386">
        <f t="shared" si="115"/>
        <v>32.602520043406166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0.13558884096883664</v>
      </c>
      <c r="AD276" s="231">
        <f>(INDEX(Models!$BJ276:$BT276,,AH276)*(1-AF276)+INDEX(Models!$BJ276:$BT276,,AH276+1)*AF276-ERP_i)*AE276*Ramure*Pc/MaxiM</f>
        <v>3.2224134049063327E-4</v>
      </c>
      <c r="AE276" s="305">
        <f t="shared" si="117"/>
        <v>0.7</v>
      </c>
      <c r="AF276" s="177">
        <f t="shared" si="118"/>
        <v>0.79543858292198499</v>
      </c>
      <c r="AG276" s="817">
        <f t="shared" si="124"/>
        <v>-1</v>
      </c>
      <c r="AH276" s="176">
        <f t="shared" si="119"/>
        <v>5</v>
      </c>
      <c r="AI276" s="225">
        <f t="shared" si="120"/>
        <v>-0.20456141707801495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44824</v>
      </c>
      <c r="B277" s="1106">
        <v>29.931000000000001</v>
      </c>
      <c r="C277" s="846"/>
      <c r="D277" s="393">
        <f t="shared" si="102"/>
        <v>31.008698588988729</v>
      </c>
      <c r="E277" s="385">
        <f t="shared" si="100"/>
        <v>34.015029984519501</v>
      </c>
      <c r="F277" s="385">
        <f t="shared" si="103"/>
        <v>34.029849011308073</v>
      </c>
      <c r="G277" s="110">
        <f t="shared" si="101"/>
        <v>1.0366734671014806</v>
      </c>
      <c r="H277" s="414" t="b">
        <f>Wh_hp&gt;='2021'!Maxi_hp</f>
        <v>1</v>
      </c>
      <c r="I277" s="380">
        <f>IF(H277,Wh_hp,'2021'!Maxi_hp)</f>
        <v>34.029849011308073</v>
      </c>
      <c r="J277" s="85">
        <f>IF(H277,An,'2021'!An_max)</f>
        <v>2022</v>
      </c>
      <c r="K277" s="197">
        <f t="shared" si="104"/>
        <v>44824</v>
      </c>
      <c r="L277" s="147">
        <f>IF(t&lt;Tvie,1-EXP((T0-t)*PertePVj)+'2021'!Pspv,1-EXP((T0-t)*PertePVj)+Pspv)</f>
        <v>3.475471845088729E-2</v>
      </c>
      <c r="M277" s="850"/>
      <c r="N277" s="850"/>
      <c r="O277" s="48">
        <f>IF(t&lt;Tnet,'2021'!Resal+('2021'!Salim-'2021'!Resal)*(1-EXP(('2021'!Tnet-t)/('2021'!Tau_j))),Resal+(Salim-Resal)*(1-EXP((Tnet-t)/(Tau_j))))*Salcycl</f>
        <v>8.8382441435417736E-2</v>
      </c>
      <c r="P277" s="339">
        <f>(INDEX(Models!$BJ277:$BT277,,T277)*(1-R277)+INDEX(Models!$BJ277:$BT277,,T277+1)*R277-ERP_i)*Q277*Ramure*Pc/MaxiM</f>
        <v>4.3547142344495178E-4</v>
      </c>
      <c r="Q277" s="305">
        <f t="shared" si="105"/>
        <v>0.7</v>
      </c>
      <c r="R277" s="177">
        <f t="shared" si="106"/>
        <v>0.79562344562713649</v>
      </c>
      <c r="S277" s="817">
        <f t="shared" si="107"/>
        <v>-1</v>
      </c>
      <c r="T277" s="176">
        <f t="shared" si="108"/>
        <v>5</v>
      </c>
      <c r="U277" s="251">
        <f t="shared" si="109"/>
        <v>-0.20437655437286351</v>
      </c>
      <c r="V277" s="383">
        <f t="shared" si="110"/>
        <v>28.872157868269273</v>
      </c>
      <c r="W277" s="402">
        <f t="shared" si="111"/>
        <v>0</v>
      </c>
      <c r="X277" s="157">
        <f t="shared" si="112"/>
        <v>44824</v>
      </c>
      <c r="Y277" s="385">
        <f t="shared" si="113"/>
        <v>28.381186044989096</v>
      </c>
      <c r="Z277" s="385">
        <f t="shared" si="114"/>
        <v>29.403081877220274</v>
      </c>
      <c r="AA277" s="386">
        <f t="shared" si="115"/>
        <v>34.015029984519501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0.13558559582038179</v>
      </c>
      <c r="AD277" s="231">
        <f>(INDEX(Models!$BJ277:$BT277,,AH277)*(1-AF277)+INDEX(Models!$BJ277:$BT277,,AH277+1)*AF277-ERP_i)*AE277*Ramure*Pc/MaxiM</f>
        <v>4.3547142344495178E-4</v>
      </c>
      <c r="AE277" s="305">
        <f t="shared" si="117"/>
        <v>0.7</v>
      </c>
      <c r="AF277" s="177">
        <f t="shared" si="118"/>
        <v>0.79562344562713649</v>
      </c>
      <c r="AG277" s="817">
        <f t="shared" si="124"/>
        <v>-1</v>
      </c>
      <c r="AH277" s="176">
        <f t="shared" si="119"/>
        <v>5</v>
      </c>
      <c r="AI277" s="225">
        <f t="shared" si="120"/>
        <v>-0.20437655437286351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44825</v>
      </c>
      <c r="B278" s="1106">
        <v>28.882999999999999</v>
      </c>
      <c r="C278" s="846"/>
      <c r="D278" s="393">
        <f t="shared" si="102"/>
        <v>29.923619599908669</v>
      </c>
      <c r="E278" s="385">
        <f t="shared" si="100"/>
        <v>32.827331389234885</v>
      </c>
      <c r="F278" s="385">
        <f t="shared" si="103"/>
        <v>32.84635122027899</v>
      </c>
      <c r="G278" s="110">
        <f t="shared" si="101"/>
        <v>1.0074204906842541</v>
      </c>
      <c r="H278" s="414" t="b">
        <f>Wh_hp&gt;='2021'!Maxi_hp</f>
        <v>1</v>
      </c>
      <c r="I278" s="380">
        <f>IF(H278,Wh_hp,'2021'!Maxi_hp)</f>
        <v>32.84635122027899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3.4775859799789921E-2</v>
      </c>
      <c r="M278" s="850"/>
      <c r="N278" s="850"/>
      <c r="O278" s="48">
        <f>IF(t&lt;Tnet,'2021'!Resal+('2021'!Salim-'2021'!Resal)*(1-EXP(('2021'!Tnet-t)/('2021'!Tau_j))),Resal+(Salim-Resal)*(1-EXP((Tnet-t)/(Tau_j))))*Salcycl</f>
        <v>8.8454091954560582E-2</v>
      </c>
      <c r="P278" s="339">
        <f>(INDEX(Models!$BJ278:$BT278,,T278)*(1-R278)+INDEX(Models!$BJ278:$BT278,,T278+1)*R278-ERP_i)*Q278*Ramure*Pc/MaxiM</f>
        <v>5.7905460842662111E-4</v>
      </c>
      <c r="Q278" s="305">
        <f t="shared" si="105"/>
        <v>0.7</v>
      </c>
      <c r="R278" s="177">
        <f t="shared" si="106"/>
        <v>0.79580108260731541</v>
      </c>
      <c r="S278" s="817">
        <f t="shared" si="107"/>
        <v>-1</v>
      </c>
      <c r="T278" s="176">
        <f t="shared" si="108"/>
        <v>5</v>
      </c>
      <c r="U278" s="251">
        <f t="shared" si="109"/>
        <v>-0.20419891739268459</v>
      </c>
      <c r="V278" s="383">
        <f t="shared" si="110"/>
        <v>28.670252657241729</v>
      </c>
      <c r="W278" s="402">
        <f t="shared" si="111"/>
        <v>0</v>
      </c>
      <c r="X278" s="157">
        <f t="shared" si="112"/>
        <v>44825</v>
      </c>
      <c r="Y278" s="385">
        <f t="shared" si="113"/>
        <v>27.389750957524726</v>
      </c>
      <c r="Z278" s="385">
        <f t="shared" si="114"/>
        <v>28.376570598248247</v>
      </c>
      <c r="AA278" s="386">
        <f t="shared" si="115"/>
        <v>32.827331389234885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0.13558095046514154</v>
      </c>
      <c r="AD278" s="231">
        <f>(INDEX(Models!$BJ278:$BT278,,AH278)*(1-AF278)+INDEX(Models!$BJ278:$BT278,,AH278+1)*AF278-ERP_i)*AE278*Ramure*Pc/MaxiM</f>
        <v>5.7905460842662111E-4</v>
      </c>
      <c r="AE278" s="305">
        <f t="shared" si="117"/>
        <v>0.7</v>
      </c>
      <c r="AF278" s="177">
        <f t="shared" si="118"/>
        <v>0.79580108260731541</v>
      </c>
      <c r="AG278" s="817">
        <f t="shared" si="124"/>
        <v>-1</v>
      </c>
      <c r="AH278" s="176">
        <f t="shared" si="119"/>
        <v>5</v>
      </c>
      <c r="AI278" s="225">
        <f t="shared" si="120"/>
        <v>-0.20419891739268459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44826</v>
      </c>
      <c r="B279" s="1106">
        <v>27.803000000000001</v>
      </c>
      <c r="C279" s="846"/>
      <c r="D279" s="393">
        <f t="shared" si="102"/>
        <v>28.805339415387408</v>
      </c>
      <c r="E279" s="385">
        <f t="shared" si="100"/>
        <v>31.60298267308012</v>
      </c>
      <c r="F279" s="385">
        <f t="shared" si="103"/>
        <v>31.626022229598281</v>
      </c>
      <c r="G279" s="110">
        <f t="shared" si="101"/>
        <v>0.97668574575235756</v>
      </c>
      <c r="H279" s="414" t="b">
        <f>Wh_hp&gt;='2021'!Maxi_hp</f>
        <v>1</v>
      </c>
      <c r="I279" s="380">
        <f>IF(H279,Wh_hp,'2021'!Maxi_hp)</f>
        <v>31.626022229598281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3.4797000685642732E-2</v>
      </c>
      <c r="M279" s="850"/>
      <c r="N279" s="850"/>
      <c r="O279" s="48">
        <f>IF(t&lt;Tnet,'2021'!Resal+('2021'!Salim-'2021'!Resal)*(1-EXP(('2021'!Tnet-t)/('2021'!Tau_j))),Resal+(Salim-Resal)*(1-EXP((Tnet-t)/(Tau_j))))*Salcycl</f>
        <v>8.8524658784051552E-2</v>
      </c>
      <c r="P279" s="339">
        <f>(INDEX(Models!$BJ279:$BT279,,T279)*(1-R279)+INDEX(Models!$BJ279:$BT279,,T279+1)*R279-ERP_i)*Q279*Ramure*Pc/MaxiM</f>
        <v>7.5357212877381137E-4</v>
      </c>
      <c r="Q279" s="305">
        <f t="shared" si="105"/>
        <v>0.7</v>
      </c>
      <c r="R279" s="177">
        <f t="shared" si="106"/>
        <v>0.79597176799939451</v>
      </c>
      <c r="S279" s="817">
        <f t="shared" si="107"/>
        <v>-1</v>
      </c>
      <c r="T279" s="176">
        <f t="shared" si="108"/>
        <v>5</v>
      </c>
      <c r="U279" s="251">
        <f t="shared" si="109"/>
        <v>-0.20402823200060549</v>
      </c>
      <c r="V279" s="383">
        <f t="shared" si="110"/>
        <v>28.465965159959453</v>
      </c>
      <c r="W279" s="402">
        <f t="shared" si="111"/>
        <v>0</v>
      </c>
      <c r="X279" s="157">
        <f t="shared" si="112"/>
        <v>44826</v>
      </c>
      <c r="Y279" s="385">
        <f t="shared" si="113"/>
        <v>26.367813939193205</v>
      </c>
      <c r="Z279" s="385">
        <f t="shared" si="114"/>
        <v>27.318412766976351</v>
      </c>
      <c r="AA279" s="386">
        <f t="shared" si="115"/>
        <v>31.60298267308012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0.13557485856401233</v>
      </c>
      <c r="AD279" s="231">
        <f>(INDEX(Models!$BJ279:$BT279,,AH279)*(1-AF279)+INDEX(Models!$BJ279:$BT279,,AH279+1)*AF279-ERP_i)*AE279*Ramure*Pc/MaxiM</f>
        <v>7.5357212877381137E-4</v>
      </c>
      <c r="AE279" s="305">
        <f t="shared" si="117"/>
        <v>0.7</v>
      </c>
      <c r="AF279" s="177">
        <f t="shared" si="118"/>
        <v>0.79597176799939451</v>
      </c>
      <c r="AG279" s="817">
        <f t="shared" si="124"/>
        <v>-1</v>
      </c>
      <c r="AH279" s="176">
        <f t="shared" si="119"/>
        <v>5</v>
      </c>
      <c r="AI279" s="225">
        <f t="shared" si="120"/>
        <v>-0.20402823200060549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44827</v>
      </c>
      <c r="B280" s="1106">
        <v>17.201000000000001</v>
      </c>
      <c r="C280" s="846"/>
      <c r="D280" s="393">
        <f t="shared" si="102"/>
        <v>17.821511916681029</v>
      </c>
      <c r="E280" s="385">
        <f t="shared" si="100"/>
        <v>19.553869580491302</v>
      </c>
      <c r="F280" s="385">
        <f t="shared" si="103"/>
        <v>19.562147947906649</v>
      </c>
      <c r="G280" s="110">
        <f t="shared" si="101"/>
        <v>0.60836199500208832</v>
      </c>
      <c r="H280" s="414" t="b">
        <f>Wh_hp&gt;='2021'!Maxi_hp</f>
        <v>0</v>
      </c>
      <c r="I280" s="380">
        <f>IF(H280,Wh_hp,'2021'!Maxi_hp)</f>
        <v>30.447289439965701</v>
      </c>
      <c r="J280" s="85">
        <f>IF(H280,An,'2021'!An_max)</f>
        <v>2018</v>
      </c>
      <c r="K280" s="197">
        <f t="shared" si="104"/>
        <v>44827</v>
      </c>
      <c r="L280" s="147">
        <f>IF(t&lt;Tvie,1-EXP((T0-t)*PertePVj)+'2021'!Pspv,1-EXP((T0-t)*PertePVj)+Pspv)</f>
        <v>3.4818141108455936E-2</v>
      </c>
      <c r="M280" s="850"/>
      <c r="N280" s="850"/>
      <c r="O280" s="48">
        <f>IF(t&lt;Tnet,'2021'!Resal+('2021'!Salim-'2021'!Resal)*(1-EXP(('2021'!Tnet-t)/('2021'!Tau_j))),Resal+(Salim-Resal)*(1-EXP((Tnet-t)/(Tau_j))))*Salcycl</f>
        <v>8.8594109553570402E-2</v>
      </c>
      <c r="P280" s="339">
        <f>(INDEX(Models!$BJ280:$BT280,,T280)*(1-R280)+INDEX(Models!$BJ280:$BT280,,T280+1)*R280-ERP_i)*Q280*Ramure*Pc/MaxiM</f>
        <v>9.5963375596289427E-4</v>
      </c>
      <c r="Q280" s="305">
        <f t="shared" si="105"/>
        <v>0.7</v>
      </c>
      <c r="R280" s="177">
        <f t="shared" si="106"/>
        <v>0.7961357661865478</v>
      </c>
      <c r="S280" s="817">
        <f t="shared" si="107"/>
        <v>-1</v>
      </c>
      <c r="T280" s="176">
        <f t="shared" si="108"/>
        <v>5</v>
      </c>
      <c r="U280" s="251">
        <f t="shared" si="109"/>
        <v>-0.20386423381345214</v>
      </c>
      <c r="V280" s="383">
        <f t="shared" si="110"/>
        <v>28.259110109275824</v>
      </c>
      <c r="W280" s="402">
        <f t="shared" si="111"/>
        <v>0</v>
      </c>
      <c r="X280" s="157">
        <f t="shared" si="112"/>
        <v>44827</v>
      </c>
      <c r="Y280" s="385">
        <f t="shared" si="113"/>
        <v>16.31447358402907</v>
      </c>
      <c r="Z280" s="385">
        <f t="shared" si="114"/>
        <v>16.903004789962907</v>
      </c>
      <c r="AA280" s="386">
        <f t="shared" si="115"/>
        <v>19.553869580491302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0.1355672737621782</v>
      </c>
      <c r="AD280" s="231">
        <f>(INDEX(Models!$BJ280:$BT280,,AH280)*(1-AF280)+INDEX(Models!$BJ280:$BT280,,AH280+1)*AF280-ERP_i)*AE280*Ramure*Pc/MaxiM</f>
        <v>9.5963375596289427E-4</v>
      </c>
      <c r="AE280" s="305">
        <f t="shared" si="117"/>
        <v>0.7</v>
      </c>
      <c r="AF280" s="177">
        <f t="shared" si="118"/>
        <v>0.7961357661865478</v>
      </c>
      <c r="AG280" s="817">
        <f t="shared" si="124"/>
        <v>-1</v>
      </c>
      <c r="AH280" s="176">
        <f t="shared" si="119"/>
        <v>5</v>
      </c>
      <c r="AI280" s="225">
        <f t="shared" si="120"/>
        <v>-0.20386423381345214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44828</v>
      </c>
      <c r="B281" s="1106">
        <v>10.737</v>
      </c>
      <c r="C281" s="846"/>
      <c r="D281" s="393">
        <f t="shared" si="102"/>
        <v>11.12457209394484</v>
      </c>
      <c r="E281" s="385">
        <f t="shared" si="100"/>
        <v>12.206861913655745</v>
      </c>
      <c r="F281" s="385">
        <f t="shared" si="103"/>
        <v>12.208591510694152</v>
      </c>
      <c r="G281" s="110">
        <f t="shared" si="101"/>
        <v>0.38238317854158033</v>
      </c>
      <c r="H281" s="414" t="b">
        <f>Wh_hp&gt;='2021'!Maxi_hp</f>
        <v>0</v>
      </c>
      <c r="I281" s="380">
        <f>IF(H281,Wh_hp,'2021'!Maxi_hp)</f>
        <v>26.744687251171772</v>
      </c>
      <c r="J281" s="85">
        <f>IF(H281,An,'2021'!An_max)</f>
        <v>2021</v>
      </c>
      <c r="K281" s="197">
        <f t="shared" si="104"/>
        <v>44828</v>
      </c>
      <c r="L281" s="147">
        <f>IF(t&lt;Tvie,1-EXP((T0-t)*PertePVj)+'2021'!Pspv,1-EXP((T0-t)*PertePVj)+Pspv)</f>
        <v>3.4839281068239636E-2</v>
      </c>
      <c r="M281" s="850"/>
      <c r="N281" s="850"/>
      <c r="O281" s="48">
        <f>IF(t&lt;Tnet,'2021'!Resal+('2021'!Salim-'2021'!Resal)*(1-EXP(('2021'!Tnet-t)/('2021'!Tau_j))),Resal+(Salim-Resal)*(1-EXP((Tnet-t)/(Tau_j))))*Salcycl</f>
        <v>8.8662411958650267E-2</v>
      </c>
      <c r="P281" s="339">
        <f>(INDEX(Models!$BJ281:$BT281,,T281)*(1-R281)+INDEX(Models!$BJ281:$BT281,,T281+1)*R281-ERP_i)*Q281*Ramure*Pc/MaxiM</f>
        <v>1.1978775862887885E-3</v>
      </c>
      <c r="Q281" s="305">
        <f t="shared" si="105"/>
        <v>0.7</v>
      </c>
      <c r="R281" s="177">
        <f t="shared" si="106"/>
        <v>0.79629333209431752</v>
      </c>
      <c r="S281" s="817">
        <f t="shared" si="107"/>
        <v>-1</v>
      </c>
      <c r="T281" s="176">
        <f t="shared" si="108"/>
        <v>5</v>
      </c>
      <c r="U281" s="251">
        <f t="shared" si="109"/>
        <v>-0.20370666790568254</v>
      </c>
      <c r="V281" s="383">
        <f t="shared" si="110"/>
        <v>28.049502434660635</v>
      </c>
      <c r="W281" s="402">
        <f t="shared" si="111"/>
        <v>0</v>
      </c>
      <c r="X281" s="157">
        <f t="shared" si="112"/>
        <v>44828</v>
      </c>
      <c r="Y281" s="385">
        <f t="shared" si="113"/>
        <v>10.184493941422037</v>
      </c>
      <c r="Z281" s="385">
        <f t="shared" si="114"/>
        <v>10.552122295957332</v>
      </c>
      <c r="AA281" s="386">
        <f t="shared" si="115"/>
        <v>12.206861913655745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0.1355581499490271</v>
      </c>
      <c r="AD281" s="231">
        <f>(INDEX(Models!$BJ281:$BT281,,AH281)*(1-AF281)+INDEX(Models!$BJ281:$BT281,,AH281+1)*AF281-ERP_i)*AE281*Ramure*Pc/MaxiM</f>
        <v>1.1978775862887885E-3</v>
      </c>
      <c r="AE281" s="305">
        <f t="shared" si="117"/>
        <v>0.7</v>
      </c>
      <c r="AF281" s="177">
        <f t="shared" si="118"/>
        <v>0.79629333209431752</v>
      </c>
      <c r="AG281" s="817">
        <f t="shared" si="124"/>
        <v>-1</v>
      </c>
      <c r="AH281" s="176">
        <f t="shared" si="119"/>
        <v>5</v>
      </c>
      <c r="AI281" s="225">
        <f t="shared" si="120"/>
        <v>-0.20370666790568254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44829</v>
      </c>
      <c r="B282" s="1106">
        <v>20.061</v>
      </c>
      <c r="C282" s="846"/>
      <c r="D282" s="393">
        <f t="shared" si="102"/>
        <v>20.785594568346209</v>
      </c>
      <c r="E282" s="385">
        <f t="shared" si="100"/>
        <v>22.809468036798641</v>
      </c>
      <c r="F282" s="385">
        <f t="shared" si="103"/>
        <v>22.830085117231157</v>
      </c>
      <c r="G282" s="110">
        <f t="shared" si="101"/>
        <v>0.72025246468635296</v>
      </c>
      <c r="H282" s="414" t="b">
        <f>Wh_hp&gt;='2021'!Maxi_hp</f>
        <v>0</v>
      </c>
      <c r="I282" s="380">
        <f>IF(H282,Wh_hp,'2021'!Maxi_hp)</f>
        <v>31.944717903389673</v>
      </c>
      <c r="J282" s="85">
        <f>IF(H282,An,'2021'!An_max)</f>
        <v>2018</v>
      </c>
      <c r="K282" s="197">
        <f t="shared" si="104"/>
        <v>44829</v>
      </c>
      <c r="L282" s="147">
        <f>IF(t&lt;Tvie,1-EXP((T0-t)*PertePVj)+'2021'!Pspv,1-EXP((T0-t)*PertePVj)+Pspv)</f>
        <v>3.4860420565003936E-2</v>
      </c>
      <c r="M282" s="850"/>
      <c r="N282" s="850"/>
      <c r="O282" s="48">
        <f>IF(t&lt;Tnet,'2021'!Resal+('2021'!Salim-'2021'!Resal)*(1-EXP(('2021'!Tnet-t)/('2021'!Tau_j))),Resal+(Salim-Resal)*(1-EXP((Tnet-t)/(Tau_j))))*Salcycl</f>
        <v>8.8729533945610048E-2</v>
      </c>
      <c r="P282" s="339">
        <f>(INDEX(Models!$BJ282:$BT282,,T282)*(1-R282)+INDEX(Models!$BJ282:$BT282,,T282+1)*R282-ERP_i)*Q282*Ramure*Pc/MaxiM</f>
        <v>1.5026598242548982E-3</v>
      </c>
      <c r="Q282" s="305">
        <f t="shared" si="105"/>
        <v>0.7</v>
      </c>
      <c r="R282" s="177">
        <f t="shared" si="106"/>
        <v>0.7964447114818608</v>
      </c>
      <c r="S282" s="817">
        <f t="shared" si="107"/>
        <v>-1</v>
      </c>
      <c r="T282" s="176">
        <f t="shared" si="108"/>
        <v>5</v>
      </c>
      <c r="U282" s="251">
        <f t="shared" si="109"/>
        <v>-0.2035552885181392</v>
      </c>
      <c r="V282" s="383">
        <f t="shared" si="110"/>
        <v>27.836018153277529</v>
      </c>
      <c r="W282" s="402">
        <f t="shared" si="111"/>
        <v>0</v>
      </c>
      <c r="X282" s="157">
        <f t="shared" si="112"/>
        <v>44829</v>
      </c>
      <c r="Y282" s="385">
        <f t="shared" si="113"/>
        <v>19.030335582335518</v>
      </c>
      <c r="Z282" s="385">
        <f t="shared" si="114"/>
        <v>19.717703001545225</v>
      </c>
      <c r="AA282" s="386">
        <f t="shared" si="115"/>
        <v>22.809468036798641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0.1355474415389897</v>
      </c>
      <c r="AD282" s="231">
        <f>(INDEX(Models!$BJ282:$BT282,,AH282)*(1-AF282)+INDEX(Models!$BJ282:$BT282,,AH282+1)*AF282-ERP_i)*AE282*Ramure*Pc/MaxiM</f>
        <v>1.5026598242548982E-3</v>
      </c>
      <c r="AE282" s="305">
        <f t="shared" si="117"/>
        <v>0.7</v>
      </c>
      <c r="AF282" s="177">
        <f t="shared" si="118"/>
        <v>0.7964447114818608</v>
      </c>
      <c r="AG282" s="817">
        <f t="shared" si="124"/>
        <v>-1</v>
      </c>
      <c r="AH282" s="176">
        <f t="shared" si="119"/>
        <v>5</v>
      </c>
      <c r="AI282" s="225">
        <f t="shared" si="120"/>
        <v>-0.2035552885181392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44830</v>
      </c>
      <c r="B283" s="1106">
        <v>19.120999999999999</v>
      </c>
      <c r="C283" s="846"/>
      <c r="D283" s="393">
        <f t="shared" si="102"/>
        <v>19.812076113736445</v>
      </c>
      <c r="E283" s="385">
        <f t="shared" si="100"/>
        <v>21.742731619729817</v>
      </c>
      <c r="F283" s="385">
        <f t="shared" si="103"/>
        <v>21.765523260704121</v>
      </c>
      <c r="G283" s="110">
        <f t="shared" si="101"/>
        <v>0.69175242867053388</v>
      </c>
      <c r="H283" s="414" t="b">
        <f>Wh_hp&gt;='2021'!Maxi_hp</f>
        <v>0</v>
      </c>
      <c r="I283" s="380">
        <f>IF(H283,Wh_hp,'2021'!Maxi_hp)</f>
        <v>30.905032154620368</v>
      </c>
      <c r="J283" s="85">
        <f>IF(H283,An,'2021'!An_max)</f>
        <v>2018</v>
      </c>
      <c r="K283" s="197">
        <f t="shared" si="104"/>
        <v>44830</v>
      </c>
      <c r="L283" s="147">
        <f>IF(t&lt;Tvie,1-EXP((T0-t)*PertePVj)+'2021'!Pspv,1-EXP((T0-t)*PertePVj)+Pspv)</f>
        <v>3.4881559598758938E-2</v>
      </c>
      <c r="M283" s="850"/>
      <c r="N283" s="850"/>
      <c r="O283" s="48">
        <f>IF(t&lt;Tnet,'2021'!Resal+('2021'!Salim-'2021'!Resal)*(1-EXP(('2021'!Tnet-t)/('2021'!Tau_j))),Resal+(Salim-Resal)*(1-EXP((Tnet-t)/(Tau_j))))*Salcycl</f>
        <v>8.8795443910159505E-2</v>
      </c>
      <c r="P283" s="339">
        <f>(INDEX(Models!$BJ283:$BT283,,T283)*(1-R283)+INDEX(Models!$BJ283:$BT283,,T283+1)*R283-ERP_i)*Q283*Ramure*Pc/MaxiM</f>
        <v>1.8683676121823149E-3</v>
      </c>
      <c r="Q283" s="305">
        <f t="shared" si="105"/>
        <v>0.7</v>
      </c>
      <c r="R283" s="177">
        <f t="shared" si="106"/>
        <v>0.79659014122807315</v>
      </c>
      <c r="S283" s="817">
        <f t="shared" si="107"/>
        <v>-1</v>
      </c>
      <c r="T283" s="176">
        <f t="shared" si="108"/>
        <v>5</v>
      </c>
      <c r="U283" s="251">
        <f t="shared" si="109"/>
        <v>-0.2034098587719268</v>
      </c>
      <c r="V283" s="383">
        <f t="shared" si="110"/>
        <v>27.618668377220299</v>
      </c>
      <c r="W283" s="402">
        <f t="shared" si="111"/>
        <v>0</v>
      </c>
      <c r="X283" s="157">
        <f t="shared" si="112"/>
        <v>44830</v>
      </c>
      <c r="Y283" s="385">
        <f t="shared" si="113"/>
        <v>18.140200430636011</v>
      </c>
      <c r="Z283" s="385">
        <f t="shared" si="114"/>
        <v>18.795828233366208</v>
      </c>
      <c r="AA283" s="386">
        <f t="shared" si="115"/>
        <v>21.742731619729817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0.13553510377185191</v>
      </c>
      <c r="AD283" s="231">
        <f>(INDEX(Models!$BJ283:$BT283,,AH283)*(1-AF283)+INDEX(Models!$BJ283:$BT283,,AH283+1)*AF283-ERP_i)*AE283*Ramure*Pc/MaxiM</f>
        <v>1.8683676121823149E-3</v>
      </c>
      <c r="AE283" s="305">
        <f t="shared" si="117"/>
        <v>0.7</v>
      </c>
      <c r="AF283" s="177">
        <f t="shared" si="118"/>
        <v>0.79659014122807315</v>
      </c>
      <c r="AG283" s="817">
        <f t="shared" si="124"/>
        <v>-1</v>
      </c>
      <c r="AH283" s="176">
        <f t="shared" si="119"/>
        <v>5</v>
      </c>
      <c r="AI283" s="225">
        <f t="shared" si="120"/>
        <v>-0.2034098587719268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44831</v>
      </c>
      <c r="B284" s="1106">
        <v>9.5960000000000001</v>
      </c>
      <c r="C284" s="846"/>
      <c r="D284" s="393">
        <f t="shared" si="102"/>
        <v>9.9430388850941931</v>
      </c>
      <c r="E284" s="385">
        <f t="shared" si="100"/>
        <v>10.912746773725042</v>
      </c>
      <c r="F284" s="385">
        <f t="shared" si="103"/>
        <v>10.914546074719134</v>
      </c>
      <c r="G284" s="110">
        <f t="shared" si="101"/>
        <v>0.34950719396723445</v>
      </c>
      <c r="H284" s="414" t="b">
        <f>Wh_hp&gt;='2021'!Maxi_hp</f>
        <v>0</v>
      </c>
      <c r="I284" s="380">
        <f>IF(H284,Wh_hp,'2021'!Maxi_hp)</f>
        <v>30.281766812625989</v>
      </c>
      <c r="J284" s="85">
        <f>IF(H284,An,'2021'!An_max)</f>
        <v>2018</v>
      </c>
      <c r="K284" s="197">
        <f t="shared" si="104"/>
        <v>44831</v>
      </c>
      <c r="L284" s="147">
        <f>IF(t&lt;Tvie,1-EXP((T0-t)*PertePVj)+'2021'!Pspv,1-EXP((T0-t)*PertePVj)+Pspv)</f>
        <v>3.4902698169514967E-2</v>
      </c>
      <c r="M284" s="850"/>
      <c r="N284" s="850"/>
      <c r="O284" s="48">
        <f>IF(t&lt;Tnet,'2021'!Resal+('2021'!Salim-'2021'!Resal)*(1-EXP(('2021'!Tnet-t)/('2021'!Tau_j))),Resal+(Salim-Resal)*(1-EXP((Tnet-t)/(Tau_j))))*Salcycl</f>
        <v>8.8860110908615966E-2</v>
      </c>
      <c r="P284" s="339">
        <f>(INDEX(Models!$BJ284:$BT284,,T284)*(1-R284)+INDEX(Models!$BJ284:$BT284,,T284+1)*R284-ERP_i)*Q284*Ramure*Pc/MaxiM</f>
        <v>2.2962900692368362E-3</v>
      </c>
      <c r="Q284" s="305">
        <f t="shared" si="105"/>
        <v>0.7</v>
      </c>
      <c r="R284" s="177">
        <f t="shared" si="106"/>
        <v>0.79672984961232074</v>
      </c>
      <c r="S284" s="817">
        <f t="shared" si="107"/>
        <v>-1</v>
      </c>
      <c r="T284" s="176">
        <f t="shared" si="108"/>
        <v>5</v>
      </c>
      <c r="U284" s="251">
        <f t="shared" si="109"/>
        <v>-0.20327015038767926</v>
      </c>
      <c r="V284" s="383">
        <f t="shared" si="110"/>
        <v>27.39727115064569</v>
      </c>
      <c r="W284" s="402">
        <f t="shared" si="111"/>
        <v>0</v>
      </c>
      <c r="X284" s="157">
        <f t="shared" si="112"/>
        <v>44831</v>
      </c>
      <c r="Y284" s="385">
        <f t="shared" si="113"/>
        <v>9.1045729537193498</v>
      </c>
      <c r="Z284" s="385">
        <f t="shared" si="114"/>
        <v>9.4338394029812829</v>
      </c>
      <c r="AA284" s="386">
        <f t="shared" si="115"/>
        <v>10.912746773725042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0.13552109303081886</v>
      </c>
      <c r="AD284" s="231">
        <f>(INDEX(Models!$BJ284:$BT284,,AH284)*(1-AF284)+INDEX(Models!$BJ284:$BT284,,AH284+1)*AF284-ERP_i)*AE284*Ramure*Pc/MaxiM</f>
        <v>2.2962900692368362E-3</v>
      </c>
      <c r="AE284" s="305">
        <f t="shared" si="117"/>
        <v>0.7</v>
      </c>
      <c r="AF284" s="177">
        <f t="shared" si="118"/>
        <v>0.79672984961232074</v>
      </c>
      <c r="AG284" s="817">
        <f t="shared" si="124"/>
        <v>-1</v>
      </c>
      <c r="AH284" s="176">
        <f t="shared" si="119"/>
        <v>5</v>
      </c>
      <c r="AI284" s="225">
        <f t="shared" si="120"/>
        <v>-0.20327015038767926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44832</v>
      </c>
      <c r="B285" s="1106">
        <v>10.864000000000001</v>
      </c>
      <c r="C285" s="846"/>
      <c r="D285" s="393">
        <f t="shared" si="102"/>
        <v>11.257142605297425</v>
      </c>
      <c r="E285" s="385">
        <f t="shared" si="100"/>
        <v>12.355869859007591</v>
      </c>
      <c r="F285" s="385">
        <f t="shared" si="103"/>
        <v>12.360784162836801</v>
      </c>
      <c r="G285" s="110">
        <f t="shared" si="101"/>
        <v>0.39887251657864353</v>
      </c>
      <c r="H285" s="414" t="b">
        <f>Wh_hp&gt;='2021'!Maxi_hp</f>
        <v>0</v>
      </c>
      <c r="I285" s="380">
        <f>IF(H285,Wh_hp,'2021'!Maxi_hp)</f>
        <v>29.367871929004963</v>
      </c>
      <c r="J285" s="85">
        <f>IF(H285,An,'2021'!An_max)</f>
        <v>2018</v>
      </c>
      <c r="K285" s="197">
        <f t="shared" si="104"/>
        <v>44832</v>
      </c>
      <c r="L285" s="147">
        <f>IF(t&lt;Tvie,1-EXP((T0-t)*PertePVj)+'2021'!Pspv,1-EXP((T0-t)*PertePVj)+Pspv)</f>
        <v>3.4923836277282017E-2</v>
      </c>
      <c r="M285" s="850"/>
      <c r="N285" s="850"/>
      <c r="O285" s="48">
        <f>IF(t&lt;Tnet,'2021'!Resal+('2021'!Salim-'2021'!Resal)*(1-EXP(('2021'!Tnet-t)/('2021'!Tau_j))),Resal+(Salim-Resal)*(1-EXP((Tnet-t)/(Tau_j))))*Salcycl</f>
        <v>8.8923504880490389E-2</v>
      </c>
      <c r="P285" s="339">
        <f>(INDEX(Models!$BJ285:$BT285,,T285)*(1-R285)+INDEX(Models!$BJ285:$BT285,,T285+1)*R285-ERP_i)*Q285*Ramure*Pc/MaxiM</f>
        <v>2.7877842657602759E-3</v>
      </c>
      <c r="Q285" s="305">
        <f t="shared" si="105"/>
        <v>0.7</v>
      </c>
      <c r="R285" s="177">
        <f t="shared" si="106"/>
        <v>0.79686405658956438</v>
      </c>
      <c r="S285" s="817">
        <f t="shared" si="107"/>
        <v>-1</v>
      </c>
      <c r="T285" s="176">
        <f t="shared" si="108"/>
        <v>5</v>
      </c>
      <c r="U285" s="251">
        <f t="shared" si="109"/>
        <v>-0.20313594341043562</v>
      </c>
      <c r="V285" s="383">
        <f t="shared" si="110"/>
        <v>27.171644967742591</v>
      </c>
      <c r="W285" s="402">
        <f t="shared" si="111"/>
        <v>0</v>
      </c>
      <c r="X285" s="157">
        <f t="shared" si="112"/>
        <v>44832</v>
      </c>
      <c r="Y285" s="385">
        <f t="shared" si="113"/>
        <v>10.308541314924648</v>
      </c>
      <c r="Z285" s="385">
        <f t="shared" si="114"/>
        <v>10.681583176979656</v>
      </c>
      <c r="AA285" s="386">
        <f t="shared" si="115"/>
        <v>12.355869859007591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0.13550536717634307</v>
      </c>
      <c r="AD285" s="231">
        <f>(INDEX(Models!$BJ285:$BT285,,AH285)*(1-AF285)+INDEX(Models!$BJ285:$BT285,,AH285+1)*AF285-ERP_i)*AE285*Ramure*Pc/MaxiM</f>
        <v>2.7877842657602759E-3</v>
      </c>
      <c r="AE285" s="305">
        <f t="shared" si="117"/>
        <v>0.7</v>
      </c>
      <c r="AF285" s="177">
        <f t="shared" si="118"/>
        <v>0.79686405658956438</v>
      </c>
      <c r="AG285" s="817">
        <f t="shared" si="124"/>
        <v>-1</v>
      </c>
      <c r="AH285" s="176">
        <f t="shared" si="119"/>
        <v>5</v>
      </c>
      <c r="AI285" s="225">
        <f t="shared" si="120"/>
        <v>-0.20313594341043562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44833</v>
      </c>
      <c r="B286" s="1106">
        <v>14.784000000000001</v>
      </c>
      <c r="C286" s="846"/>
      <c r="D286" s="393">
        <f t="shared" si="102"/>
        <v>15.319333717252894</v>
      </c>
      <c r="E286" s="385">
        <f t="shared" si="100"/>
        <v>16.815687726566416</v>
      </c>
      <c r="F286" s="385">
        <f t="shared" si="103"/>
        <v>16.835694891674269</v>
      </c>
      <c r="G286" s="110">
        <f t="shared" si="101"/>
        <v>0.54755784243896488</v>
      </c>
      <c r="H286" s="414" t="b">
        <f>Wh_hp&gt;='2021'!Maxi_hp</f>
        <v>0</v>
      </c>
      <c r="I286" s="380">
        <f>IF(H286,Wh_hp,'2021'!Maxi_hp)</f>
        <v>29.816399783631852</v>
      </c>
      <c r="J286" s="85">
        <f>IF(H286,An,'2021'!An_max)</f>
        <v>2018</v>
      </c>
      <c r="K286" s="197">
        <f t="shared" si="104"/>
        <v>44833</v>
      </c>
      <c r="L286" s="147">
        <f>IF(t&lt;Tvie,1-EXP((T0-t)*PertePVj)+'2021'!Pspv,1-EXP((T0-t)*PertePVj)+Pspv)</f>
        <v>3.4944973922070188E-2</v>
      </c>
      <c r="M286" s="850"/>
      <c r="N286" s="850"/>
      <c r="O286" s="48">
        <f>IF(t&lt;Tnet,'2021'!Resal+('2021'!Salim-'2021'!Resal)*(1-EXP(('2021'!Tnet-t)/('2021'!Tau_j))),Resal+(Salim-Resal)*(1-EXP((Tnet-t)/(Tau_j))))*Salcycl</f>
        <v>8.8985596881030055E-2</v>
      </c>
      <c r="P286" s="339">
        <f>(INDEX(Models!$BJ286:$BT286,,T286)*(1-R286)+INDEX(Models!$BJ286:$BT286,,T286+1)*R286-ERP_i)*Q286*Ramure*Pc/MaxiM</f>
        <v>3.3442822848813673E-3</v>
      </c>
      <c r="Q286" s="305">
        <f t="shared" si="105"/>
        <v>0.7</v>
      </c>
      <c r="R286" s="177">
        <f t="shared" si="106"/>
        <v>0.79699297405969161</v>
      </c>
      <c r="S286" s="817">
        <f t="shared" si="107"/>
        <v>-1</v>
      </c>
      <c r="T286" s="176">
        <f t="shared" si="108"/>
        <v>5</v>
      </c>
      <c r="U286" s="251">
        <f t="shared" si="109"/>
        <v>-0.20300702594030839</v>
      </c>
      <c r="V286" s="383">
        <f t="shared" si="110"/>
        <v>26.94160879780372</v>
      </c>
      <c r="W286" s="402">
        <f t="shared" si="111"/>
        <v>0</v>
      </c>
      <c r="X286" s="157">
        <f t="shared" si="112"/>
        <v>44833</v>
      </c>
      <c r="Y286" s="385">
        <f t="shared" si="113"/>
        <v>14.029357879736668</v>
      </c>
      <c r="Z286" s="385">
        <f t="shared" si="114"/>
        <v>14.537365746648911</v>
      </c>
      <c r="AA286" s="386">
        <f t="shared" si="115"/>
        <v>16.815687726566416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0.13548788589348493</v>
      </c>
      <c r="AD286" s="231">
        <f>(INDEX(Models!$BJ286:$BT286,,AH286)*(1-AF286)+INDEX(Models!$BJ286:$BT286,,AH286+1)*AF286-ERP_i)*AE286*Ramure*Pc/MaxiM</f>
        <v>3.3442822848813673E-3</v>
      </c>
      <c r="AE286" s="305">
        <f t="shared" si="117"/>
        <v>0.7</v>
      </c>
      <c r="AF286" s="177">
        <f t="shared" si="118"/>
        <v>0.79699297405969161</v>
      </c>
      <c r="AG286" s="817">
        <f t="shared" si="124"/>
        <v>-1</v>
      </c>
      <c r="AH286" s="176">
        <f t="shared" si="119"/>
        <v>5</v>
      </c>
      <c r="AI286" s="225">
        <f t="shared" si="120"/>
        <v>-0.20300702594030839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44834</v>
      </c>
      <c r="B287" s="1106">
        <v>18.428000000000001</v>
      </c>
      <c r="C287" s="846"/>
      <c r="D287" s="393">
        <f t="shared" si="102"/>
        <v>19.095702453599376</v>
      </c>
      <c r="E287" s="385">
        <f t="shared" si="100"/>
        <v>20.962320804151904</v>
      </c>
      <c r="F287" s="385">
        <f t="shared" si="103"/>
        <v>21.008758374573951</v>
      </c>
      <c r="G287" s="110">
        <f t="shared" si="101"/>
        <v>0.68879186363829847</v>
      </c>
      <c r="H287" s="414" t="b">
        <f>Wh_hp&gt;='2021'!Maxi_hp</f>
        <v>0</v>
      </c>
      <c r="I287" s="380">
        <f>IF(H287,Wh_hp,'2021'!Maxi_hp)</f>
        <v>27.899503681565321</v>
      </c>
      <c r="J287" s="85">
        <f>IF(H287,An,'2021'!An_max)</f>
        <v>2018</v>
      </c>
      <c r="K287" s="197">
        <f t="shared" si="104"/>
        <v>44834</v>
      </c>
      <c r="L287" s="147">
        <f>IF(t&lt;Tvie,1-EXP((T0-t)*PertePVj)+'2021'!Pspv,1-EXP((T0-t)*PertePVj)+Pspv)</f>
        <v>3.4966111103889697E-2</v>
      </c>
      <c r="M287" s="850"/>
      <c r="N287" s="850"/>
      <c r="O287" s="48">
        <f>IF(t&lt;Tnet,'2021'!Resal+('2021'!Salim-'2021'!Resal)*(1-EXP(('2021'!Tnet-t)/('2021'!Tau_j))),Resal+(Salim-Resal)*(1-EXP((Tnet-t)/(Tau_j))))*Salcycl</f>
        <v>8.904635932214218E-2</v>
      </c>
      <c r="P287" s="339">
        <f>(INDEX(Models!$BJ287:$BT287,,T287)*(1-R287)+INDEX(Models!$BJ287:$BT287,,T287+1)*R287-ERP_i)*Q287*Ramure*Pc/MaxiM</f>
        <v>3.9672990054238095E-3</v>
      </c>
      <c r="Q287" s="305">
        <f t="shared" si="105"/>
        <v>0.7</v>
      </c>
      <c r="R287" s="177">
        <f t="shared" si="106"/>
        <v>0.79711680613090952</v>
      </c>
      <c r="S287" s="817">
        <f t="shared" si="107"/>
        <v>-1</v>
      </c>
      <c r="T287" s="176">
        <f t="shared" si="108"/>
        <v>5</v>
      </c>
      <c r="U287" s="251">
        <f t="shared" si="109"/>
        <v>-0.20288319386909054</v>
      </c>
      <c r="V287" s="383">
        <f t="shared" si="110"/>
        <v>26.706982105276108</v>
      </c>
      <c r="W287" s="402">
        <f t="shared" si="111"/>
        <v>0</v>
      </c>
      <c r="X287" s="157">
        <f t="shared" si="112"/>
        <v>44834</v>
      </c>
      <c r="Y287" s="385">
        <f t="shared" si="113"/>
        <v>17.488908023584315</v>
      </c>
      <c r="Z287" s="385">
        <f t="shared" si="114"/>
        <v>18.122584320421794</v>
      </c>
      <c r="AA287" s="386">
        <f t="shared" si="115"/>
        <v>20.962320804151904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0.13546861105034028</v>
      </c>
      <c r="AD287" s="231">
        <f>(INDEX(Models!$BJ287:$BT287,,AH287)*(1-AF287)+INDEX(Models!$BJ287:$BT287,,AH287+1)*AF287-ERP_i)*AE287*Ramure*Pc/MaxiM</f>
        <v>3.9672990054238095E-3</v>
      </c>
      <c r="AE287" s="305">
        <f t="shared" si="117"/>
        <v>0.7</v>
      </c>
      <c r="AF287" s="177">
        <f t="shared" si="118"/>
        <v>0.79711680613090952</v>
      </c>
      <c r="AG287" s="817">
        <f t="shared" si="124"/>
        <v>-1</v>
      </c>
      <c r="AH287" s="176">
        <f t="shared" si="119"/>
        <v>5</v>
      </c>
      <c r="AI287" s="225">
        <f t="shared" si="120"/>
        <v>-0.20288319386909054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44835</v>
      </c>
      <c r="B288" s="1106">
        <v>23.612000000000002</v>
      </c>
      <c r="C288" s="846"/>
      <c r="D288" s="393">
        <f t="shared" si="102"/>
        <v>24.468070444382121</v>
      </c>
      <c r="E288" s="385">
        <f t="shared" si="100"/>
        <v>26.861593297000695</v>
      </c>
      <c r="F288" s="385">
        <f t="shared" si="103"/>
        <v>26.96785859603926</v>
      </c>
      <c r="G288" s="110">
        <f t="shared" si="101"/>
        <v>0.8914670407152262</v>
      </c>
      <c r="H288" s="414" t="b">
        <f>Wh_hp&gt;='2021'!Maxi_hp</f>
        <v>0</v>
      </c>
      <c r="I288" s="380">
        <f>IF(H288,Wh_hp,'2021'!Maxi_hp)</f>
        <v>29.54290748735184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3.4987247822750756E-2</v>
      </c>
      <c r="M288" s="850"/>
      <c r="N288" s="850"/>
      <c r="O288" s="48">
        <f>IF(t&lt;Tnet,'2021'!Resal+('2021'!Salim-'2021'!Resal)*(1-EXP(('2021'!Tnet-t)/('2021'!Tau_j))),Resal+(Salim-Resal)*(1-EXP((Tnet-t)/(Tau_j))))*Salcycl</f>
        <v>8.9105766219974375E-2</v>
      </c>
      <c r="P288" s="339">
        <f>(INDEX(Models!$BJ288:$BT288,,T288)*(1-R288)+INDEX(Models!$BJ288:$BT288,,T288+1)*R288-ERP_i)*Q288*Ramure*Pc/MaxiM</f>
        <v>4.6584406981651626E-3</v>
      </c>
      <c r="Q288" s="305">
        <f t="shared" si="105"/>
        <v>0.7</v>
      </c>
      <c r="R288" s="177">
        <f t="shared" si="106"/>
        <v>0.79723574937708297</v>
      </c>
      <c r="S288" s="817">
        <f t="shared" si="107"/>
        <v>-1</v>
      </c>
      <c r="T288" s="176">
        <f t="shared" si="108"/>
        <v>5</v>
      </c>
      <c r="U288" s="251">
        <f t="shared" si="109"/>
        <v>-0.20276425062291709</v>
      </c>
      <c r="V288" s="383">
        <f t="shared" si="110"/>
        <v>26.467584872329564</v>
      </c>
      <c r="W288" s="402">
        <f t="shared" si="111"/>
        <v>0</v>
      </c>
      <c r="X288" s="157">
        <f t="shared" si="112"/>
        <v>44835</v>
      </c>
      <c r="Y288" s="385">
        <f t="shared" si="113"/>
        <v>22.410739585507468</v>
      </c>
      <c r="Z288" s="385">
        <f t="shared" si="114"/>
        <v>23.223257449131783</v>
      </c>
      <c r="AA288" s="386">
        <f t="shared" si="115"/>
        <v>26.861593297000695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0.13544750706486056</v>
      </c>
      <c r="AD288" s="231">
        <f>(INDEX(Models!$BJ288:$BT288,,AH288)*(1-AF288)+INDEX(Models!$BJ288:$BT288,,AH288+1)*AF288-ERP_i)*AE288*Ramure*Pc/MaxiM</f>
        <v>4.6584406981651626E-3</v>
      </c>
      <c r="AE288" s="305">
        <f t="shared" si="117"/>
        <v>0.7</v>
      </c>
      <c r="AF288" s="177">
        <f t="shared" si="118"/>
        <v>0.79723574937708297</v>
      </c>
      <c r="AG288" s="817">
        <f t="shared" si="124"/>
        <v>-1</v>
      </c>
      <c r="AH288" s="176">
        <f t="shared" si="119"/>
        <v>5</v>
      </c>
      <c r="AI288" s="225">
        <f t="shared" si="120"/>
        <v>-0.20276425062291709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44836</v>
      </c>
      <c r="B289" s="1106">
        <v>24.786000000000001</v>
      </c>
      <c r="C289" s="846"/>
      <c r="D289" s="393">
        <f t="shared" si="102"/>
        <v>25.685197250481071</v>
      </c>
      <c r="E289" s="385">
        <f t="shared" si="100"/>
        <v>28.199578657169589</v>
      </c>
      <c r="F289" s="385">
        <f t="shared" si="103"/>
        <v>28.341138994621335</v>
      </c>
      <c r="G289" s="110">
        <f t="shared" si="101"/>
        <v>0.94477206864215513</v>
      </c>
      <c r="H289" s="414" t="b">
        <f>Wh_hp&gt;='2021'!Maxi_hp</f>
        <v>0</v>
      </c>
      <c r="I289" s="380">
        <f>IF(H289,Wh_hp,'2021'!Maxi_hp)</f>
        <v>29.656559533352279</v>
      </c>
      <c r="J289" s="85">
        <f>IF(H289,An,'2021'!An_max)</f>
        <v>2018</v>
      </c>
      <c r="K289" s="197">
        <f t="shared" si="104"/>
        <v>44836</v>
      </c>
      <c r="L289" s="147">
        <f>IF(t&lt;Tvie,1-EXP((T0-t)*PertePVj)+'2021'!Pspv,1-EXP((T0-t)*PertePVj)+Pspv)</f>
        <v>3.5008384078663357E-2</v>
      </c>
      <c r="M289" s="850"/>
      <c r="N289" s="850"/>
      <c r="O289" s="48">
        <f>IF(t&lt;Tnet,'2021'!Resal+('2021'!Salim-'2021'!Resal)*(1-EXP(('2021'!Tnet-t)/('2021'!Tau_j))),Resal+(Salim-Resal)*(1-EXP((Tnet-t)/(Tau_j))))*Salcycl</f>
        <v>8.9163793447291376E-2</v>
      </c>
      <c r="P289" s="339">
        <f>(INDEX(Models!$BJ289:$BT289,,T289)*(1-R289)+INDEX(Models!$BJ289:$BT289,,T289+1)*R289-ERP_i)*Q289*Ramure*Pc/MaxiM</f>
        <v>5.4193178584833373E-3</v>
      </c>
      <c r="Q289" s="305">
        <f t="shared" si="105"/>
        <v>0.7</v>
      </c>
      <c r="R289" s="177">
        <f t="shared" si="106"/>
        <v>0.79734999308893229</v>
      </c>
      <c r="S289" s="817">
        <f t="shared" si="107"/>
        <v>-1</v>
      </c>
      <c r="T289" s="176">
        <f t="shared" si="108"/>
        <v>5</v>
      </c>
      <c r="U289" s="251">
        <f t="shared" si="109"/>
        <v>-0.20265000691106771</v>
      </c>
      <c r="V289" s="383">
        <f t="shared" si="110"/>
        <v>26.223707997548196</v>
      </c>
      <c r="W289" s="402">
        <f t="shared" si="111"/>
        <v>0</v>
      </c>
      <c r="X289" s="157">
        <f t="shared" si="112"/>
        <v>44836</v>
      </c>
      <c r="Y289" s="385">
        <f t="shared" si="113"/>
        <v>23.527136016044128</v>
      </c>
      <c r="Z289" s="385">
        <f t="shared" si="114"/>
        <v>24.380663653311981</v>
      </c>
      <c r="AA289" s="386">
        <f t="shared" si="115"/>
        <v>28.199578657169589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0.13542454127720352</v>
      </c>
      <c r="AD289" s="231">
        <f>(INDEX(Models!$BJ289:$BT289,,AH289)*(1-AF289)+INDEX(Models!$BJ289:$BT289,,AH289+1)*AF289-ERP_i)*AE289*Ramure*Pc/MaxiM</f>
        <v>5.4193178584833373E-3</v>
      </c>
      <c r="AE289" s="305">
        <f t="shared" si="117"/>
        <v>0.7</v>
      </c>
      <c r="AF289" s="177">
        <f t="shared" si="118"/>
        <v>0.79734999308893229</v>
      </c>
      <c r="AG289" s="817">
        <f t="shared" si="124"/>
        <v>-1</v>
      </c>
      <c r="AH289" s="176">
        <f t="shared" si="119"/>
        <v>5</v>
      </c>
      <c r="AI289" s="225">
        <f t="shared" si="120"/>
        <v>-0.20265000691106771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44837</v>
      </c>
      <c r="B290" s="1106">
        <v>22.896000000000001</v>
      </c>
      <c r="C290" s="846"/>
      <c r="D290" s="393">
        <f t="shared" si="102"/>
        <v>23.72715069683202</v>
      </c>
      <c r="E290" s="385">
        <f t="shared" si="100"/>
        <v>26.051474134373258</v>
      </c>
      <c r="F290" s="385">
        <f t="shared" si="103"/>
        <v>26.18765933419596</v>
      </c>
      <c r="G290" s="110">
        <f t="shared" si="101"/>
        <v>0.88050546589671252</v>
      </c>
      <c r="H290" s="414" t="b">
        <f>Wh_hp&gt;='2021'!Maxi_hp</f>
        <v>0</v>
      </c>
      <c r="I290" s="380">
        <f>IF(H290,Wh_hp,'2021'!Maxi_hp)</f>
        <v>28.585247689548495</v>
      </c>
      <c r="J290" s="85">
        <f>IF(H290,An,'2021'!An_max)</f>
        <v>2018</v>
      </c>
      <c r="K290" s="197">
        <f t="shared" si="104"/>
        <v>44837</v>
      </c>
      <c r="L290" s="147">
        <f>IF(t&lt;Tvie,1-EXP((T0-t)*PertePVj)+'2021'!Pspv,1-EXP((T0-t)*PertePVj)+Pspv)</f>
        <v>3.5029519871637715E-2</v>
      </c>
      <c r="M290" s="850"/>
      <c r="N290" s="850"/>
      <c r="O290" s="48">
        <f>IF(t&lt;Tnet,'2021'!Resal+('2021'!Salim-'2021'!Resal)*(1-EXP(('2021'!Tnet-t)/('2021'!Tau_j))),Resal+(Salim-Resal)*(1-EXP((Tnet-t)/(Tau_j))))*Salcycl</f>
        <v>8.9220418988668351E-2</v>
      </c>
      <c r="P290" s="339">
        <f>(INDEX(Models!$BJ290:$BT290,,T290)*(1-R290)+INDEX(Models!$BJ290:$BT290,,T290+1)*R290-ERP_i)*Q290*Ramure*Pc/MaxiM</f>
        <v>6.2606963853859702E-3</v>
      </c>
      <c r="Q290" s="305">
        <f t="shared" si="105"/>
        <v>0.7</v>
      </c>
      <c r="R290" s="177">
        <f t="shared" si="106"/>
        <v>0.79745971951902916</v>
      </c>
      <c r="S290" s="817">
        <f t="shared" si="107"/>
        <v>-1</v>
      </c>
      <c r="T290" s="176">
        <f t="shared" si="108"/>
        <v>5</v>
      </c>
      <c r="U290" s="251">
        <f t="shared" si="109"/>
        <v>-0.20254028048097078</v>
      </c>
      <c r="V290" s="383">
        <f t="shared" si="110"/>
        <v>25.975529355625916</v>
      </c>
      <c r="W290" s="402">
        <f t="shared" si="111"/>
        <v>0</v>
      </c>
      <c r="X290" s="157">
        <f t="shared" si="112"/>
        <v>44837</v>
      </c>
      <c r="Y290" s="385">
        <f t="shared" si="113"/>
        <v>21.73510390485788</v>
      </c>
      <c r="Z290" s="385">
        <f t="shared" si="114"/>
        <v>22.524112760388931</v>
      </c>
      <c r="AA290" s="386">
        <f t="shared" si="115"/>
        <v>26.051474134373258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0.13539968432458874</v>
      </c>
      <c r="AD290" s="231">
        <f>(INDEX(Models!$BJ290:$BT290,,AH290)*(1-AF290)+INDEX(Models!$BJ290:$BT290,,AH290+1)*AF290-ERP_i)*AE290*Ramure*Pc/MaxiM</f>
        <v>6.2606963853859702E-3</v>
      </c>
      <c r="AE290" s="305">
        <f t="shared" si="117"/>
        <v>0.7</v>
      </c>
      <c r="AF290" s="177">
        <f t="shared" si="118"/>
        <v>0.79745971951902916</v>
      </c>
      <c r="AG290" s="817">
        <f t="shared" si="124"/>
        <v>-1</v>
      </c>
      <c r="AH290" s="176">
        <f t="shared" si="119"/>
        <v>5</v>
      </c>
      <c r="AI290" s="225">
        <f t="shared" si="120"/>
        <v>-0.20254028048097078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44838</v>
      </c>
      <c r="B291" s="1106">
        <v>25.603000000000002</v>
      </c>
      <c r="C291" s="846"/>
      <c r="D291" s="393">
        <f t="shared" si="102"/>
        <v>26.532998999394401</v>
      </c>
      <c r="E291" s="385">
        <f t="shared" si="100"/>
        <v>29.133950594930457</v>
      </c>
      <c r="F291" s="385">
        <f t="shared" si="103"/>
        <v>29.342644538407928</v>
      </c>
      <c r="G291" s="110">
        <f t="shared" si="101"/>
        <v>0.99526019806897925</v>
      </c>
      <c r="H291" s="414" t="b">
        <f>Wh_hp&gt;='2021'!Maxi_hp</f>
        <v>1</v>
      </c>
      <c r="I291" s="380">
        <f>IF(H291,Wh_hp,'2021'!Maxi_hp)</f>
        <v>29.342644538407928</v>
      </c>
      <c r="J291" s="85">
        <f>IF(H291,An,'2021'!An_max)</f>
        <v>2022</v>
      </c>
      <c r="K291" s="197">
        <f t="shared" si="104"/>
        <v>44838</v>
      </c>
      <c r="L291" s="147">
        <f>IF(t&lt;Tvie,1-EXP((T0-t)*PertePVj)+'2021'!Pspv,1-EXP((T0-t)*PertePVj)+Pspv)</f>
        <v>3.5050655201684044E-2</v>
      </c>
      <c r="M291" s="850"/>
      <c r="N291" s="850"/>
      <c r="O291" s="48">
        <f>IF(t&lt;Tnet,'2021'!Resal+('2021'!Salim-'2021'!Resal)*(1-EXP(('2021'!Tnet-t)/('2021'!Tau_j))),Resal+(Salim-Resal)*(1-EXP((Tnet-t)/(Tau_j))))*Salcycl</f>
        <v>8.9275623196417617E-2</v>
      </c>
      <c r="P291" s="339">
        <f>(INDEX(Models!$BJ291:$BT291,,T291)*(1-R291)+INDEX(Models!$BJ291:$BT291,,T291+1)*R291-ERP_i)*Q291*Ramure*Pc/MaxiM</f>
        <v>7.1602999464008416E-3</v>
      </c>
      <c r="Q291" s="305">
        <f t="shared" si="105"/>
        <v>0.7</v>
      </c>
      <c r="R291" s="177">
        <f t="shared" si="106"/>
        <v>0.79756510412055637</v>
      </c>
      <c r="S291" s="817">
        <f t="shared" si="107"/>
        <v>-1</v>
      </c>
      <c r="T291" s="176">
        <f t="shared" si="108"/>
        <v>5</v>
      </c>
      <c r="U291" s="251">
        <f t="shared" si="109"/>
        <v>-0.20243489587944363</v>
      </c>
      <c r="V291" s="383">
        <f t="shared" si="110"/>
        <v>25.723687660686036</v>
      </c>
      <c r="W291" s="402">
        <f t="shared" si="111"/>
        <v>0</v>
      </c>
      <c r="X291" s="157">
        <f t="shared" si="112"/>
        <v>44838</v>
      </c>
      <c r="Y291" s="385">
        <f t="shared" si="113"/>
        <v>24.307076801619537</v>
      </c>
      <c r="Z291" s="385">
        <f t="shared" si="114"/>
        <v>25.190002908080071</v>
      </c>
      <c r="AA291" s="386">
        <f t="shared" si="115"/>
        <v>29.133950594930457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0.13537291051549549</v>
      </c>
      <c r="AD291" s="231">
        <f>(INDEX(Models!$BJ291:$BT291,,AH291)*(1-AF291)+INDEX(Models!$BJ291:$BT291,,AH291+1)*AF291-ERP_i)*AE291*Ramure*Pc/MaxiM</f>
        <v>7.1602999464008416E-3</v>
      </c>
      <c r="AE291" s="305">
        <f t="shared" si="117"/>
        <v>0.7</v>
      </c>
      <c r="AF291" s="177">
        <f t="shared" si="118"/>
        <v>0.79756510412055637</v>
      </c>
      <c r="AG291" s="817">
        <f t="shared" si="124"/>
        <v>-1</v>
      </c>
      <c r="AH291" s="176">
        <f t="shared" si="119"/>
        <v>5</v>
      </c>
      <c r="AI291" s="225">
        <f t="shared" si="120"/>
        <v>-0.20243489587944363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44839</v>
      </c>
      <c r="B292" s="1106">
        <v>25.73</v>
      </c>
      <c r="C292" s="846"/>
      <c r="D292" s="393">
        <f t="shared" si="102"/>
        <v>26.665196161935089</v>
      </c>
      <c r="E292" s="385">
        <f t="shared" si="100"/>
        <v>29.280835289034194</v>
      </c>
      <c r="F292" s="385">
        <f t="shared" si="103"/>
        <v>29.520531135154268</v>
      </c>
      <c r="G292" s="110">
        <f t="shared" si="101"/>
        <v>1.0102798254760539</v>
      </c>
      <c r="H292" s="414" t="b">
        <f>Wh_hp&gt;='2021'!Maxi_hp</f>
        <v>1</v>
      </c>
      <c r="I292" s="380">
        <f>IF(H292,Wh_hp,'2021'!Maxi_hp)</f>
        <v>29.520531135154268</v>
      </c>
      <c r="J292" s="85">
        <f>IF(H292,An,'2021'!An_max)</f>
        <v>2022</v>
      </c>
      <c r="K292" s="197">
        <f t="shared" si="104"/>
        <v>44839</v>
      </c>
      <c r="L292" s="147">
        <f>IF(t&lt;Tvie,1-EXP((T0-t)*PertePVj)+'2021'!Pspv,1-EXP((T0-t)*PertePVj)+Pspv)</f>
        <v>3.5071790068812336E-2</v>
      </c>
      <c r="M292" s="850"/>
      <c r="N292" s="850"/>
      <c r="O292" s="48">
        <f>IF(t&lt;Tnet,'2021'!Resal+('2021'!Salim-'2021'!Resal)*(1-EXP(('2021'!Tnet-t)/('2021'!Tau_j))),Resal+(Salim-Resal)*(1-EXP((Tnet-t)/(Tau_j))))*Salcycl</f>
        <v>8.9329389045082155E-2</v>
      </c>
      <c r="P292" s="339">
        <f>(INDEX(Models!$BJ292:$BT292,,T292)*(1-R292)+INDEX(Models!$BJ292:$BT292,,T292+1)*R292-ERP_i)*Q292*Ramure*Pc/MaxiM</f>
        <v>8.1196318935683361E-3</v>
      </c>
      <c r="Q292" s="305">
        <f t="shared" si="105"/>
        <v>0.7</v>
      </c>
      <c r="R292" s="177">
        <f t="shared" si="106"/>
        <v>0.79766631577981384</v>
      </c>
      <c r="S292" s="817">
        <f t="shared" si="107"/>
        <v>-1</v>
      </c>
      <c r="T292" s="176">
        <f t="shared" si="108"/>
        <v>5</v>
      </c>
      <c r="U292" s="251">
        <f t="shared" si="109"/>
        <v>-0.20233368422018616</v>
      </c>
      <c r="V292" s="383">
        <f t="shared" si="110"/>
        <v>25.468191436838566</v>
      </c>
      <c r="W292" s="402">
        <f t="shared" si="111"/>
        <v>0</v>
      </c>
      <c r="X292" s="157">
        <f t="shared" si="112"/>
        <v>44839</v>
      </c>
      <c r="Y292" s="385">
        <f t="shared" si="113"/>
        <v>24.42990200044677</v>
      </c>
      <c r="Z292" s="385">
        <f t="shared" si="114"/>
        <v>25.31784411421545</v>
      </c>
      <c r="AA292" s="386">
        <f t="shared" si="115"/>
        <v>29.280835289034194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0.13534419819993665</v>
      </c>
      <c r="AD292" s="231">
        <f>(INDEX(Models!$BJ292:$BT292,,AH292)*(1-AF292)+INDEX(Models!$BJ292:$BT292,,AH292+1)*AF292-ERP_i)*AE292*Ramure*Pc/MaxiM</f>
        <v>8.1196318935683361E-3</v>
      </c>
      <c r="AE292" s="305">
        <f t="shared" si="117"/>
        <v>0.7</v>
      </c>
      <c r="AF292" s="177">
        <f t="shared" si="118"/>
        <v>0.79766631577981384</v>
      </c>
      <c r="AG292" s="817">
        <f t="shared" si="124"/>
        <v>-1</v>
      </c>
      <c r="AH292" s="176">
        <f t="shared" si="119"/>
        <v>5</v>
      </c>
      <c r="AI292" s="225">
        <f t="shared" si="120"/>
        <v>-0.20233368422018616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44840</v>
      </c>
      <c r="B293" s="1106">
        <v>8.4670000000000005</v>
      </c>
      <c r="C293" s="846"/>
      <c r="D293" s="393">
        <f t="shared" si="102"/>
        <v>8.7749382450904889</v>
      </c>
      <c r="E293" s="385">
        <f t="shared" si="100"/>
        <v>9.636241955654258</v>
      </c>
      <c r="F293" s="385">
        <f t="shared" si="103"/>
        <v>9.6407576120356069</v>
      </c>
      <c r="G293" s="110">
        <f t="shared" si="101"/>
        <v>0.33295744857351212</v>
      </c>
      <c r="H293" s="414" t="b">
        <f>Wh_hp&gt;='2021'!Maxi_hp</f>
        <v>0</v>
      </c>
      <c r="I293" s="380">
        <f>IF(H293,Wh_hp,'2021'!Maxi_hp)</f>
        <v>25.825303664148674</v>
      </c>
      <c r="J293" s="85">
        <f>IF(H293,An,'2021'!An_max)</f>
        <v>2018</v>
      </c>
      <c r="K293" s="197">
        <f t="shared" si="104"/>
        <v>44840</v>
      </c>
      <c r="L293" s="147">
        <f>IF(t&lt;Tvie,1-EXP((T0-t)*PertePVj)+'2021'!Pspv,1-EXP((T0-t)*PertePVj)+Pspv)</f>
        <v>3.5092924473032805E-2</v>
      </c>
      <c r="M293" s="850"/>
      <c r="N293" s="850"/>
      <c r="O293" s="48">
        <f>IF(t&lt;Tnet,'2021'!Resal+('2021'!Salim-'2021'!Resal)*(1-EXP(('2021'!Tnet-t)/('2021'!Tau_j))),Resal+(Salim-Resal)*(1-EXP((Tnet-t)/(Tau_j))))*Salcycl</f>
        <v>8.9381702382263437E-2</v>
      </c>
      <c r="P293" s="339">
        <f>(INDEX(Models!$BJ293:$BT293,,T293)*(1-R293)+INDEX(Models!$BJ293:$BT293,,T293+1)*R293-ERP_i)*Q293*Ramure*Pc/MaxiM</f>
        <v>9.1402663326296194E-3</v>
      </c>
      <c r="Q293" s="305">
        <f t="shared" si="105"/>
        <v>0.7</v>
      </c>
      <c r="R293" s="177">
        <f t="shared" si="106"/>
        <v>0.79776351704247894</v>
      </c>
      <c r="S293" s="817">
        <f t="shared" si="107"/>
        <v>-1</v>
      </c>
      <c r="T293" s="176">
        <f t="shared" si="108"/>
        <v>5</v>
      </c>
      <c r="U293" s="251">
        <f t="shared" si="109"/>
        <v>-0.20223648295752106</v>
      </c>
      <c r="V293" s="383">
        <f t="shared" si="110"/>
        <v>25.209049596579973</v>
      </c>
      <c r="W293" s="402">
        <f t="shared" si="111"/>
        <v>0</v>
      </c>
      <c r="X293" s="157">
        <f t="shared" si="112"/>
        <v>44840</v>
      </c>
      <c r="Y293" s="385">
        <f t="shared" si="113"/>
        <v>8.0399222808521102</v>
      </c>
      <c r="Z293" s="385">
        <f t="shared" si="114"/>
        <v>8.332328039424155</v>
      </c>
      <c r="AA293" s="386">
        <f t="shared" si="115"/>
        <v>9.636241955654258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0.13531353013246064</v>
      </c>
      <c r="AD293" s="231">
        <f>(INDEX(Models!$BJ293:$BT293,,AH293)*(1-AF293)+INDEX(Models!$BJ293:$BT293,,AH293+1)*AF293-ERP_i)*AE293*Ramure*Pc/MaxiM</f>
        <v>9.1402663326296194E-3</v>
      </c>
      <c r="AE293" s="305">
        <f t="shared" si="117"/>
        <v>0.7</v>
      </c>
      <c r="AF293" s="177">
        <f t="shared" si="118"/>
        <v>0.79776351704247894</v>
      </c>
      <c r="AG293" s="817">
        <f t="shared" si="124"/>
        <v>-1</v>
      </c>
      <c r="AH293" s="176">
        <f t="shared" si="119"/>
        <v>5</v>
      </c>
      <c r="AI293" s="225">
        <f t="shared" si="120"/>
        <v>-0.20223648295752106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44841</v>
      </c>
      <c r="B294" s="1106">
        <v>17.623000000000001</v>
      </c>
      <c r="C294" s="846"/>
      <c r="D294" s="393">
        <f t="shared" si="102"/>
        <v>18.264334923399609</v>
      </c>
      <c r="E294" s="385">
        <f t="shared" si="100"/>
        <v>20.058190051704855</v>
      </c>
      <c r="F294" s="385">
        <f t="shared" si="103"/>
        <v>20.177971239107283</v>
      </c>
      <c r="G294" s="110">
        <f t="shared" si="101"/>
        <v>0.70339121175868247</v>
      </c>
      <c r="H294" s="414" t="b">
        <f>Wh_hp&gt;='2021'!Maxi_hp</f>
        <v>0</v>
      </c>
      <c r="I294" s="380">
        <f>IF(H294,Wh_hp,'2021'!Maxi_hp)</f>
        <v>28.972781254005142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3.5114058414355553E-2</v>
      </c>
      <c r="M294" s="850"/>
      <c r="N294" s="850"/>
      <c r="O294" s="48">
        <f>IF(t&lt;Tnet,'2021'!Resal+('2021'!Salim-'2021'!Resal)*(1-EXP(('2021'!Tnet-t)/('2021'!Tau_j))),Resal+(Salim-Resal)*(1-EXP((Tnet-t)/(Tau_j))))*Salcycl</f>
        <v>8.9432552173508609E-2</v>
      </c>
      <c r="P294" s="339">
        <f>(INDEX(Models!$BJ294:$BT294,,T294)*(1-R294)+INDEX(Models!$BJ294:$BT294,,T294+1)*R294-ERP_i)*Q294*Ramure*Pc/MaxiM</f>
        <v>1.0223853007848463E-2</v>
      </c>
      <c r="Q294" s="305">
        <f t="shared" si="105"/>
        <v>0.7</v>
      </c>
      <c r="R294" s="177">
        <f t="shared" si="106"/>
        <v>0.79785686433363967</v>
      </c>
      <c r="S294" s="817">
        <f t="shared" si="107"/>
        <v>-1</v>
      </c>
      <c r="T294" s="176">
        <f t="shared" si="108"/>
        <v>5</v>
      </c>
      <c r="U294" s="251">
        <f t="shared" si="109"/>
        <v>-0.20214313566636039</v>
      </c>
      <c r="V294" s="383">
        <f t="shared" si="110"/>
        <v>24.946271430714507</v>
      </c>
      <c r="W294" s="402">
        <f t="shared" si="111"/>
        <v>0</v>
      </c>
      <c r="X294" s="157">
        <f t="shared" si="112"/>
        <v>44841</v>
      </c>
      <c r="Y294" s="385">
        <f t="shared" si="113"/>
        <v>16.735657357954153</v>
      </c>
      <c r="Z294" s="385">
        <f t="shared" si="114"/>
        <v>17.344700173008661</v>
      </c>
      <c r="AA294" s="386">
        <f t="shared" si="115"/>
        <v>20.058190051704855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0.13528089382449332</v>
      </c>
      <c r="AD294" s="231">
        <f>(INDEX(Models!$BJ294:$BT294,,AH294)*(1-AF294)+INDEX(Models!$BJ294:$BT294,,AH294+1)*AF294-ERP_i)*AE294*Ramure*Pc/MaxiM</f>
        <v>1.0223853007848463E-2</v>
      </c>
      <c r="AE294" s="305">
        <f t="shared" si="117"/>
        <v>0.7</v>
      </c>
      <c r="AF294" s="177">
        <f t="shared" si="118"/>
        <v>0.79785686433363967</v>
      </c>
      <c r="AG294" s="817">
        <f t="shared" si="124"/>
        <v>-1</v>
      </c>
      <c r="AH294" s="176">
        <f t="shared" si="119"/>
        <v>5</v>
      </c>
      <c r="AI294" s="225">
        <f t="shared" si="120"/>
        <v>-0.20214313566636039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44842</v>
      </c>
      <c r="B295" s="1106">
        <v>11.17</v>
      </c>
      <c r="C295" s="846"/>
      <c r="D295" s="393">
        <f t="shared" si="102"/>
        <v>11.576751381276273</v>
      </c>
      <c r="E295" s="385">
        <f t="shared" si="100"/>
        <v>12.714466381399468</v>
      </c>
      <c r="F295" s="385">
        <f t="shared" si="103"/>
        <v>12.746064537073556</v>
      </c>
      <c r="G295" s="110">
        <f t="shared" si="101"/>
        <v>0.44856067114988607</v>
      </c>
      <c r="H295" s="414" t="b">
        <f>Wh_hp&gt;='2021'!Maxi_hp</f>
        <v>0</v>
      </c>
      <c r="I295" s="380">
        <f>IF(H295,Wh_hp,'2021'!Maxi_hp)</f>
        <v>28.425909994617459</v>
      </c>
      <c r="J295" s="85">
        <f>IF(H295,An,'2021'!An_max)</f>
        <v>2021</v>
      </c>
      <c r="K295" s="197">
        <f t="shared" si="104"/>
        <v>44842</v>
      </c>
      <c r="L295" s="147">
        <f>IF(t&lt;Tvie,1-EXP((T0-t)*PertePVj)+'2021'!Pspv,1-EXP((T0-t)*PertePVj)+Pspv)</f>
        <v>3.5135191892790796E-2</v>
      </c>
      <c r="M295" s="850"/>
      <c r="N295" s="850"/>
      <c r="O295" s="48">
        <f>IF(t&lt;Tnet,'2021'!Resal+('2021'!Salim-'2021'!Resal)*(1-EXP(('2021'!Tnet-t)/('2021'!Tau_j))),Resal+(Salim-Resal)*(1-EXP((Tnet-t)/(Tau_j))))*Salcycl</f>
        <v>8.9481930738957785E-2</v>
      </c>
      <c r="P295" s="339">
        <f>(INDEX(Models!$BJ295:$BT295,,T295)*(1-R295)+INDEX(Models!$BJ295:$BT295,,T295+1)*R295-ERP_i)*Q295*Ramure*Pc/MaxiM</f>
        <v>1.1372122749224965E-2</v>
      </c>
      <c r="Q295" s="305">
        <f t="shared" si="105"/>
        <v>0.7</v>
      </c>
      <c r="R295" s="177">
        <f t="shared" si="106"/>
        <v>0.7979465081716397</v>
      </c>
      <c r="S295" s="817">
        <f t="shared" si="107"/>
        <v>-1</v>
      </c>
      <c r="T295" s="176">
        <f t="shared" si="108"/>
        <v>5</v>
      </c>
      <c r="U295" s="251">
        <f t="shared" si="109"/>
        <v>-0.20205349182836035</v>
      </c>
      <c r="V295" s="383">
        <f t="shared" si="110"/>
        <v>24.679866605925167</v>
      </c>
      <c r="W295" s="402">
        <f t="shared" si="111"/>
        <v>0</v>
      </c>
      <c r="X295" s="157">
        <f t="shared" si="112"/>
        <v>44842</v>
      </c>
      <c r="Y295" s="385">
        <f t="shared" si="113"/>
        <v>10.608574785572877</v>
      </c>
      <c r="Z295" s="385">
        <f t="shared" si="114"/>
        <v>10.994882077193683</v>
      </c>
      <c r="AA295" s="386">
        <f t="shared" si="115"/>
        <v>12.714466381399468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0.13524628188261514</v>
      </c>
      <c r="AD295" s="231">
        <f>(INDEX(Models!$BJ295:$BT295,,AH295)*(1-AF295)+INDEX(Models!$BJ295:$BT295,,AH295+1)*AF295-ERP_i)*AE295*Ramure*Pc/MaxiM</f>
        <v>1.1372122749224965E-2</v>
      </c>
      <c r="AE295" s="305">
        <f t="shared" si="117"/>
        <v>0.7</v>
      </c>
      <c r="AF295" s="177">
        <f t="shared" si="118"/>
        <v>0.7979465081716397</v>
      </c>
      <c r="AG295" s="817">
        <f t="shared" si="124"/>
        <v>-1</v>
      </c>
      <c r="AH295" s="176">
        <f t="shared" si="119"/>
        <v>5</v>
      </c>
      <c r="AI295" s="225">
        <f t="shared" si="120"/>
        <v>-0.20205349182836035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44843</v>
      </c>
      <c r="B296" s="1106">
        <v>23.295000000000002</v>
      </c>
      <c r="C296" s="846"/>
      <c r="D296" s="393">
        <f t="shared" si="102"/>
        <v>24.143807542488357</v>
      </c>
      <c r="E296" s="385">
        <f t="shared" si="100"/>
        <v>26.51795571513928</v>
      </c>
      <c r="F296" s="385">
        <f t="shared" si="103"/>
        <v>26.833200173835117</v>
      </c>
      <c r="G296" s="110">
        <f t="shared" si="101"/>
        <v>0.95351824488050174</v>
      </c>
      <c r="H296" s="414" t="b">
        <f>Wh_hp&gt;='2021'!Maxi_hp</f>
        <v>1</v>
      </c>
      <c r="I296" s="380">
        <f>IF(H296,Wh_hp,'2021'!Maxi_hp)</f>
        <v>26.833200173835117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3.5156324908348524E-2</v>
      </c>
      <c r="M296" s="850"/>
      <c r="N296" s="850"/>
      <c r="O296" s="48">
        <f>IF(t&lt;Tnet,'2021'!Resal+('2021'!Salim-'2021'!Resal)*(1-EXP(('2021'!Tnet-t)/('2021'!Tau_j))),Resal+(Salim-Resal)*(1-EXP((Tnet-t)/(Tau_j))))*Salcycl</f>
        <v>8.9529833979453549E-2</v>
      </c>
      <c r="P296" s="339">
        <f>(INDEX(Models!$BJ296:$BT296,,T296)*(1-R296)+INDEX(Models!$BJ296:$BT296,,T296+1)*R296-ERP_i)*Q296*Ramure*Pc/MaxiM</f>
        <v>1.2568665940622063E-2</v>
      </c>
      <c r="Q296" s="305">
        <f t="shared" si="105"/>
        <v>0.7</v>
      </c>
      <c r="R296" s="177">
        <f t="shared" si="106"/>
        <v>0.7980325933757868</v>
      </c>
      <c r="S296" s="817">
        <f t="shared" si="107"/>
        <v>-1</v>
      </c>
      <c r="T296" s="176">
        <f t="shared" si="108"/>
        <v>5</v>
      </c>
      <c r="U296" s="251">
        <f t="shared" si="109"/>
        <v>-0.2019674066242132</v>
      </c>
      <c r="V296" s="383">
        <f t="shared" si="110"/>
        <v>24.410295757567049</v>
      </c>
      <c r="W296" s="402">
        <f t="shared" si="111"/>
        <v>0</v>
      </c>
      <c r="X296" s="157">
        <f t="shared" si="112"/>
        <v>44843</v>
      </c>
      <c r="Y296" s="385">
        <f t="shared" si="113"/>
        <v>22.12624967739162</v>
      </c>
      <c r="Z296" s="385">
        <f t="shared" si="114"/>
        <v>22.932471081690849</v>
      </c>
      <c r="AA296" s="386">
        <f t="shared" si="115"/>
        <v>26.51795571513928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0.13520969232939226</v>
      </c>
      <c r="AD296" s="231">
        <f>(INDEX(Models!$BJ296:$BT296,,AH296)*(1-AF296)+INDEX(Models!$BJ296:$BT296,,AH296+1)*AF296-ERP_i)*AE296*Ramure*Pc/MaxiM</f>
        <v>1.2568665940622063E-2</v>
      </c>
      <c r="AE296" s="305">
        <f t="shared" si="117"/>
        <v>0.7</v>
      </c>
      <c r="AF296" s="177">
        <f t="shared" si="118"/>
        <v>0.7980325933757868</v>
      </c>
      <c r="AG296" s="817">
        <f t="shared" si="124"/>
        <v>-1</v>
      </c>
      <c r="AH296" s="176">
        <f t="shared" si="119"/>
        <v>5</v>
      </c>
      <c r="AI296" s="225">
        <f t="shared" si="120"/>
        <v>-0.2019674066242132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44844</v>
      </c>
      <c r="B297" s="1106">
        <v>18.628</v>
      </c>
      <c r="C297" s="846"/>
      <c r="D297" s="393">
        <f t="shared" si="102"/>
        <v>19.307177412107134</v>
      </c>
      <c r="E297" s="385">
        <f t="shared" ref="E297:E360" si="125">Wh_pvt/(1-Psa)</f>
        <v>21.206803598753304</v>
      </c>
      <c r="F297" s="385">
        <f t="shared" si="103"/>
        <v>21.405536530211585</v>
      </c>
      <c r="G297" s="110">
        <f t="shared" ref="G297:G360" si="126">+Wh_hp/MaxiM</f>
        <v>0.76821372143741462</v>
      </c>
      <c r="H297" s="414" t="b">
        <f>Wh_hp&gt;='2021'!Maxi_hp</f>
        <v>1</v>
      </c>
      <c r="I297" s="380">
        <f>IF(H297,Wh_hp,'2021'!Maxi_hp)</f>
        <v>21.405536530211585</v>
      </c>
      <c r="J297" s="85">
        <f>IF(H297,An,'2021'!An_max)</f>
        <v>2022</v>
      </c>
      <c r="K297" s="197">
        <f t="shared" si="104"/>
        <v>44844</v>
      </c>
      <c r="L297" s="147">
        <f>IF(t&lt;Tvie,1-EXP((T0-t)*PertePVj)+'2021'!Pspv,1-EXP((T0-t)*PertePVj)+Pspv)</f>
        <v>3.5177457461039063E-2</v>
      </c>
      <c r="M297" s="850"/>
      <c r="N297" s="850"/>
      <c r="O297" s="48">
        <f>IF(t&lt;Tnet,'2021'!Resal+('2021'!Salim-'2021'!Resal)*(1-EXP(('2021'!Tnet-t)/('2021'!Tau_j))),Resal+(Salim-Resal)*(1-EXP((Tnet-t)/(Tau_j))))*Salcycl</f>
        <v>8.9576261589834408E-2</v>
      </c>
      <c r="P297" s="339">
        <f>(INDEX(Models!$BJ297:$BT297,,T297)*(1-R297)+INDEX(Models!$BJ297:$BT297,,T297+1)*R297-ERP_i)*Q297*Ramure*Pc/MaxiM</f>
        <v>1.3777276272943504E-2</v>
      </c>
      <c r="Q297" s="305">
        <f t="shared" si="105"/>
        <v>0.7</v>
      </c>
      <c r="R297" s="177">
        <f t="shared" si="106"/>
        <v>0.7981152592679861</v>
      </c>
      <c r="S297" s="817">
        <f t="shared" si="107"/>
        <v>-1</v>
      </c>
      <c r="T297" s="176">
        <f t="shared" si="108"/>
        <v>5</v>
      </c>
      <c r="U297" s="251">
        <f t="shared" si="109"/>
        <v>-0.20188474073201396</v>
      </c>
      <c r="V297" s="383">
        <f t="shared" si="110"/>
        <v>24.138488820331581</v>
      </c>
      <c r="W297" s="402">
        <f t="shared" si="111"/>
        <v>0</v>
      </c>
      <c r="X297" s="157">
        <f t="shared" si="112"/>
        <v>44844</v>
      </c>
      <c r="Y297" s="385">
        <f t="shared" si="113"/>
        <v>17.695092440053383</v>
      </c>
      <c r="Z297" s="385">
        <f t="shared" si="114"/>
        <v>18.340256015876442</v>
      </c>
      <c r="AA297" s="386">
        <f t="shared" si="115"/>
        <v>21.206803598753304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0.13517112890343261</v>
      </c>
      <c r="AD297" s="231">
        <f>(INDEX(Models!$BJ297:$BT297,,AH297)*(1-AF297)+INDEX(Models!$BJ297:$BT297,,AH297+1)*AF297-ERP_i)*AE297*Ramure*Pc/MaxiM</f>
        <v>1.3777276272943504E-2</v>
      </c>
      <c r="AE297" s="305">
        <f t="shared" si="117"/>
        <v>0.7</v>
      </c>
      <c r="AF297" s="177">
        <f t="shared" si="118"/>
        <v>0.7981152592679861</v>
      </c>
      <c r="AG297" s="817">
        <f t="shared" si="124"/>
        <v>-1</v>
      </c>
      <c r="AH297" s="176">
        <f t="shared" si="119"/>
        <v>5</v>
      </c>
      <c r="AI297" s="225">
        <f t="shared" si="120"/>
        <v>-0.20188474073201396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44845</v>
      </c>
      <c r="B298" s="1106">
        <v>14.624000000000001</v>
      </c>
      <c r="C298" s="846"/>
      <c r="D298" s="393">
        <f t="shared" si="102"/>
        <v>15.15752344639747</v>
      </c>
      <c r="E298" s="385">
        <f t="shared" si="125"/>
        <v>16.64968882593066</v>
      </c>
      <c r="F298" s="385">
        <f t="shared" si="103"/>
        <v>16.762029230727773</v>
      </c>
      <c r="G298" s="110">
        <f t="shared" si="126"/>
        <v>0.60767603987964136</v>
      </c>
      <c r="H298" s="414" t="b">
        <f>Wh_hp&gt;='2021'!Maxi_hp</f>
        <v>0</v>
      </c>
      <c r="I298" s="380">
        <f>IF(H298,Wh_hp,'2021'!Maxi_hp)</f>
        <v>28.014827724061675</v>
      </c>
      <c r="J298" s="85">
        <f>IF(H298,An,'2021'!An_max)</f>
        <v>2021</v>
      </c>
      <c r="K298" s="197">
        <f t="shared" si="104"/>
        <v>44845</v>
      </c>
      <c r="L298" s="147">
        <f>IF(t&lt;Tvie,1-EXP((T0-t)*PertePVj)+'2021'!Pspv,1-EXP((T0-t)*PertePVj)+Pspv)</f>
        <v>3.5198589550872406E-2</v>
      </c>
      <c r="M298" s="850"/>
      <c r="N298" s="850"/>
      <c r="O298" s="48">
        <f>IF(t&lt;Tnet,'2021'!Resal+('2021'!Salim-'2021'!Resal)*(1-EXP(('2021'!Tnet-t)/('2021'!Tau_j))),Resal+(Salim-Resal)*(1-EXP((Tnet-t)/(Tau_j))))*Salcycl</f>
        <v>8.9621217257180932E-2</v>
      </c>
      <c r="P298" s="339">
        <f>(INDEX(Models!$BJ298:$BT298,,T298)*(1-R298)+INDEX(Models!$BJ298:$BT298,,T298+1)*R298-ERP_i)*Q298*Ramure*Pc/MaxiM</f>
        <v>1.499852385152105E-2</v>
      </c>
      <c r="Q298" s="305">
        <f t="shared" si="105"/>
        <v>0.7</v>
      </c>
      <c r="R298" s="177">
        <f t="shared" si="106"/>
        <v>0.79819463986837302</v>
      </c>
      <c r="S298" s="817">
        <f t="shared" si="107"/>
        <v>-1</v>
      </c>
      <c r="T298" s="176">
        <f t="shared" si="108"/>
        <v>5</v>
      </c>
      <c r="U298" s="251">
        <f t="shared" si="109"/>
        <v>-0.20180536013162698</v>
      </c>
      <c r="V298" s="383">
        <f t="shared" si="110"/>
        <v>23.864449432717056</v>
      </c>
      <c r="W298" s="402">
        <f t="shared" si="111"/>
        <v>0</v>
      </c>
      <c r="X298" s="157">
        <f t="shared" si="112"/>
        <v>44845</v>
      </c>
      <c r="Y298" s="385">
        <f t="shared" si="113"/>
        <v>13.892953489057444</v>
      </c>
      <c r="Z298" s="385">
        <f t="shared" si="114"/>
        <v>14.39980636283491</v>
      </c>
      <c r="AA298" s="386">
        <f t="shared" si="115"/>
        <v>16.64968882593066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0.13513060133542698</v>
      </c>
      <c r="AD298" s="231">
        <f>(INDEX(Models!$BJ298:$BT298,,AH298)*(1-AF298)+INDEX(Models!$BJ298:$BT298,,AH298+1)*AF298-ERP_i)*AE298*Ramure*Pc/MaxiM</f>
        <v>1.499852385152105E-2</v>
      </c>
      <c r="AE298" s="305">
        <f t="shared" si="117"/>
        <v>0.7</v>
      </c>
      <c r="AF298" s="177">
        <f t="shared" si="118"/>
        <v>0.79819463986837302</v>
      </c>
      <c r="AG298" s="817">
        <f t="shared" si="124"/>
        <v>-1</v>
      </c>
      <c r="AH298" s="176">
        <f t="shared" si="119"/>
        <v>5</v>
      </c>
      <c r="AI298" s="225">
        <f t="shared" si="120"/>
        <v>-0.20180536013162698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44846</v>
      </c>
      <c r="B299" s="1106">
        <v>17.716999999999999</v>
      </c>
      <c r="C299" s="846"/>
      <c r="D299" s="393">
        <f t="shared" si="102"/>
        <v>18.363766744517129</v>
      </c>
      <c r="E299" s="385">
        <f t="shared" si="125"/>
        <v>20.172530849764453</v>
      </c>
      <c r="F299" s="385">
        <f t="shared" si="103"/>
        <v>20.38578526009395</v>
      </c>
      <c r="G299" s="110">
        <f t="shared" si="126"/>
        <v>0.74671527268691762</v>
      </c>
      <c r="H299" s="414" t="b">
        <f>Wh_hp&gt;='2021'!Maxi_hp</f>
        <v>0</v>
      </c>
      <c r="I299" s="380">
        <f>IF(H299,Wh_hp,'2021'!Maxi_hp)</f>
        <v>26.927218477967962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3.5219721177858876E-2</v>
      </c>
      <c r="M299" s="850"/>
      <c r="N299" s="850"/>
      <c r="O299" s="48">
        <f>IF(t&lt;Tnet,'2021'!Resal+('2021'!Salim-'2021'!Resal)*(1-EXP(('2021'!Tnet-t)/('2021'!Tau_j))),Resal+(Salim-Resal)*(1-EXP((Tnet-t)/(Tau_j))))*Salcycl</f>
        <v>8.9664708841847907E-2</v>
      </c>
      <c r="P299" s="339">
        <f>(INDEX(Models!$BJ299:$BT299,,T299)*(1-R299)+INDEX(Models!$BJ299:$BT299,,T299+1)*R299-ERP_i)*Q299*Ramure*Pc/MaxiM</f>
        <v>1.6233014152326797E-2</v>
      </c>
      <c r="Q299" s="305">
        <f t="shared" si="105"/>
        <v>0.7</v>
      </c>
      <c r="R299" s="177">
        <f t="shared" si="106"/>
        <v>0.79827086408503023</v>
      </c>
      <c r="S299" s="817">
        <f t="shared" si="107"/>
        <v>-1</v>
      </c>
      <c r="T299" s="176">
        <f t="shared" si="108"/>
        <v>5</v>
      </c>
      <c r="U299" s="251">
        <f t="shared" si="109"/>
        <v>-0.20172913591496971</v>
      </c>
      <c r="V299" s="383">
        <f t="shared" si="110"/>
        <v>23.588181015886164</v>
      </c>
      <c r="W299" s="402">
        <f t="shared" si="111"/>
        <v>0</v>
      </c>
      <c r="X299" s="157">
        <f t="shared" si="112"/>
        <v>44846</v>
      </c>
      <c r="Y299" s="385">
        <f t="shared" si="113"/>
        <v>16.832966740531234</v>
      </c>
      <c r="Z299" s="385">
        <f t="shared" si="114"/>
        <v>17.447461468721023</v>
      </c>
      <c r="AA299" s="386">
        <f t="shared" si="115"/>
        <v>20.172530849764453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0.13508812559705405</v>
      </c>
      <c r="AD299" s="231">
        <f>(INDEX(Models!$BJ299:$BT299,,AH299)*(1-AF299)+INDEX(Models!$BJ299:$BT299,,AH299+1)*AF299-ERP_i)*AE299*Ramure*Pc/MaxiM</f>
        <v>1.6233014152326797E-2</v>
      </c>
      <c r="AE299" s="305">
        <f t="shared" si="117"/>
        <v>0.7</v>
      </c>
      <c r="AF299" s="177">
        <f t="shared" si="118"/>
        <v>0.79827086408503023</v>
      </c>
      <c r="AG299" s="817">
        <f t="shared" si="124"/>
        <v>-1</v>
      </c>
      <c r="AH299" s="176">
        <f t="shared" si="119"/>
        <v>5</v>
      </c>
      <c r="AI299" s="225">
        <f t="shared" si="120"/>
        <v>-0.20172913591496971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44847</v>
      </c>
      <c r="B300" s="1106">
        <v>13.702</v>
      </c>
      <c r="C300" s="846"/>
      <c r="D300" s="393">
        <f t="shared" si="102"/>
        <v>14.202508505114871</v>
      </c>
      <c r="E300" s="385">
        <f t="shared" si="125"/>
        <v>15.602124350942269</v>
      </c>
      <c r="F300" s="385">
        <f t="shared" si="103"/>
        <v>15.715083680079989</v>
      </c>
      <c r="G300" s="110">
        <f t="shared" si="126"/>
        <v>0.58172974851776427</v>
      </c>
      <c r="H300" s="414" t="b">
        <f>Wh_hp&gt;='2021'!Maxi_hp</f>
        <v>0</v>
      </c>
      <c r="I300" s="380">
        <f>IF(H300,Wh_hp,'2021'!Maxi_hp)</f>
        <v>25.635281069099932</v>
      </c>
      <c r="J300" s="85">
        <f>IF(H300,An,'2021'!An_max)</f>
        <v>2021</v>
      </c>
      <c r="K300" s="197">
        <f t="shared" si="104"/>
        <v>44847</v>
      </c>
      <c r="L300" s="147">
        <f>IF(t&lt;Tvie,1-EXP((T0-t)*PertePVj)+'2021'!Pspv,1-EXP((T0-t)*PertePVj)+Pspv)</f>
        <v>3.5240852342008355E-2</v>
      </c>
      <c r="M300" s="850"/>
      <c r="N300" s="850"/>
      <c r="O300" s="48">
        <f>IF(t&lt;Tnet,'2021'!Resal+('2021'!Salim-'2021'!Resal)*(1-EXP(('2021'!Tnet-t)/('2021'!Tau_j))),Resal+(Salim-Resal)*(1-EXP((Tnet-t)/(Tau_j))))*Salcycl</f>
        <v>8.9706748539205849E-2</v>
      </c>
      <c r="P300" s="339">
        <f>(INDEX(Models!$BJ300:$BT300,,T300)*(1-R300)+INDEX(Models!$BJ300:$BT300,,T300+1)*R300-ERP_i)*Q300*Ramure*Pc/MaxiM</f>
        <v>1.7481391876627443E-2</v>
      </c>
      <c r="Q300" s="305">
        <f t="shared" si="105"/>
        <v>0.7</v>
      </c>
      <c r="R300" s="177">
        <f t="shared" si="106"/>
        <v>0.79834405589787794</v>
      </c>
      <c r="S300" s="817">
        <f t="shared" si="107"/>
        <v>-1</v>
      </c>
      <c r="T300" s="176">
        <f t="shared" si="108"/>
        <v>5</v>
      </c>
      <c r="U300" s="251">
        <f t="shared" si="109"/>
        <v>-0.20165594410212206</v>
      </c>
      <c r="V300" s="383">
        <f t="shared" si="110"/>
        <v>23.309686742825555</v>
      </c>
      <c r="W300" s="402">
        <f t="shared" si="111"/>
        <v>0</v>
      </c>
      <c r="X300" s="157">
        <f t="shared" si="112"/>
        <v>44847</v>
      </c>
      <c r="Y300" s="385">
        <f t="shared" si="113"/>
        <v>13.01957459652899</v>
      </c>
      <c r="Z300" s="385">
        <f t="shared" si="114"/>
        <v>13.495155374411071</v>
      </c>
      <c r="AA300" s="386">
        <f t="shared" si="115"/>
        <v>15.602124350942269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0.13504372411978305</v>
      </c>
      <c r="AD300" s="231">
        <f>(INDEX(Models!$BJ300:$BT300,,AH300)*(1-AF300)+INDEX(Models!$BJ300:$BT300,,AH300+1)*AF300-ERP_i)*AE300*Ramure*Pc/MaxiM</f>
        <v>1.7481391876627443E-2</v>
      </c>
      <c r="AE300" s="305">
        <f t="shared" si="117"/>
        <v>0.7</v>
      </c>
      <c r="AF300" s="177">
        <f t="shared" si="118"/>
        <v>0.79834405589787794</v>
      </c>
      <c r="AG300" s="817">
        <f t="shared" si="124"/>
        <v>-1</v>
      </c>
      <c r="AH300" s="176">
        <f t="shared" si="119"/>
        <v>5</v>
      </c>
      <c r="AI300" s="225">
        <f t="shared" si="120"/>
        <v>-0.20165594410212206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44848</v>
      </c>
      <c r="B301" s="1106">
        <v>10.825000000000001</v>
      </c>
      <c r="C301" s="846"/>
      <c r="D301" s="393">
        <f t="shared" si="102"/>
        <v>11.220662822170308</v>
      </c>
      <c r="E301" s="385">
        <f t="shared" si="125"/>
        <v>12.326976317398618</v>
      </c>
      <c r="F301" s="385">
        <f t="shared" si="103"/>
        <v>12.383367793903355</v>
      </c>
      <c r="G301" s="110">
        <f t="shared" si="126"/>
        <v>0.46335919223913052</v>
      </c>
      <c r="H301" s="414" t="b">
        <f>Wh_hp&gt;='2021'!Maxi_hp</f>
        <v>0</v>
      </c>
      <c r="I301" s="380">
        <f>IF(H301,Wh_hp,'2021'!Maxi_hp)</f>
        <v>27.876049215110069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3.5261983043331169E-2</v>
      </c>
      <c r="M301" s="850"/>
      <c r="N301" s="850"/>
      <c r="O301" s="48">
        <f>IF(t&lt;Tnet,'2021'!Resal+('2021'!Salim-'2021'!Resal)*(1-EXP(('2021'!Tnet-t)/('2021'!Tau_j))),Resal+(Salim-Resal)*(1-EXP((Tnet-t)/(Tau_j))))*Salcycl</f>
        <v>8.9747353020126222E-2</v>
      </c>
      <c r="P301" s="339">
        <f>(INDEX(Models!$BJ301:$BT301,,T301)*(1-R301)+INDEX(Models!$BJ301:$BT301,,T301+1)*R301-ERP_i)*Q301*Ramure*Pc/MaxiM</f>
        <v>1.8744345120943584E-2</v>
      </c>
      <c r="Q301" s="305">
        <f t="shared" si="105"/>
        <v>0.7</v>
      </c>
      <c r="R301" s="177">
        <f t="shared" si="106"/>
        <v>0.79841433453683697</v>
      </c>
      <c r="S301" s="817">
        <f t="shared" si="107"/>
        <v>-1</v>
      </c>
      <c r="T301" s="176">
        <f t="shared" si="108"/>
        <v>5</v>
      </c>
      <c r="U301" s="251">
        <f t="shared" si="109"/>
        <v>-0.20158566546316303</v>
      </c>
      <c r="V301" s="383">
        <f t="shared" si="110"/>
        <v>23.028969511690796</v>
      </c>
      <c r="W301" s="402">
        <f t="shared" si="111"/>
        <v>0</v>
      </c>
      <c r="X301" s="157">
        <f t="shared" si="112"/>
        <v>44848</v>
      </c>
      <c r="Y301" s="385">
        <f t="shared" si="113"/>
        <v>10.286872435719468</v>
      </c>
      <c r="Z301" s="385">
        <f t="shared" si="114"/>
        <v>10.662866244423643</v>
      </c>
      <c r="AA301" s="386">
        <f t="shared" si="115"/>
        <v>12.326976317398618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0.13499742598079018</v>
      </c>
      <c r="AD301" s="231">
        <f>(INDEX(Models!$BJ301:$BT301,,AH301)*(1-AF301)+INDEX(Models!$BJ301:$BT301,,AH301+1)*AF301-ERP_i)*AE301*Ramure*Pc/MaxiM</f>
        <v>1.8744345120943584E-2</v>
      </c>
      <c r="AE301" s="305">
        <f t="shared" si="117"/>
        <v>0.7</v>
      </c>
      <c r="AF301" s="177">
        <f t="shared" si="118"/>
        <v>0.79841433453683697</v>
      </c>
      <c r="AG301" s="817">
        <f t="shared" si="124"/>
        <v>-1</v>
      </c>
      <c r="AH301" s="176">
        <f t="shared" si="119"/>
        <v>5</v>
      </c>
      <c r="AI301" s="225">
        <f t="shared" si="120"/>
        <v>-0.20158566546316303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44849</v>
      </c>
      <c r="B302" s="1106">
        <v>22.349</v>
      </c>
      <c r="C302" s="846"/>
      <c r="D302" s="393">
        <f t="shared" si="102"/>
        <v>23.166382083378156</v>
      </c>
      <c r="E302" s="385">
        <f t="shared" si="125"/>
        <v>25.451592611792368</v>
      </c>
      <c r="F302" s="385">
        <f t="shared" si="103"/>
        <v>25.958386813134396</v>
      </c>
      <c r="G302" s="110">
        <f t="shared" si="126"/>
        <v>0.98204467192313238</v>
      </c>
      <c r="H302" s="414" t="b">
        <f>Wh_hp&gt;='2021'!Maxi_hp</f>
        <v>1</v>
      </c>
      <c r="I302" s="380">
        <f>IF(H302,Wh_hp,'2021'!Maxi_hp)</f>
        <v>25.958386813134396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3.5283113281837308E-2</v>
      </c>
      <c r="M302" s="850"/>
      <c r="N302" s="850"/>
      <c r="O302" s="48">
        <f>IF(t&lt;Tnet,'2021'!Resal+('2021'!Salim-'2021'!Resal)*(1-EXP(('2021'!Tnet-t)/('2021'!Tau_j))),Resal+(Salim-Resal)*(1-EXP((Tnet-t)/(Tau_j))))*Salcycl</f>
        <v>8.9786543548375633E-2</v>
      </c>
      <c r="P302" s="339">
        <f>(INDEX(Models!$BJ302:$BT302,,T302)*(1-R302)+INDEX(Models!$BJ302:$BT302,,T302+1)*R302-ERP_i)*Q302*Ramure*Pc/MaxiM</f>
        <v>2.0022609889396734E-2</v>
      </c>
      <c r="Q302" s="305">
        <f t="shared" si="105"/>
        <v>0.7</v>
      </c>
      <c r="R302" s="177">
        <f t="shared" si="106"/>
        <v>0.79848181465436996</v>
      </c>
      <c r="S302" s="817">
        <f t="shared" si="107"/>
        <v>-1</v>
      </c>
      <c r="T302" s="176">
        <f t="shared" si="108"/>
        <v>5</v>
      </c>
      <c r="U302" s="251">
        <f t="shared" si="109"/>
        <v>-0.20151818534562999</v>
      </c>
      <c r="V302" s="383">
        <f t="shared" si="110"/>
        <v>22.746031915448647</v>
      </c>
      <c r="W302" s="402">
        <f t="shared" si="111"/>
        <v>0</v>
      </c>
      <c r="X302" s="157">
        <f t="shared" si="112"/>
        <v>44849</v>
      </c>
      <c r="Y302" s="385">
        <f t="shared" si="113"/>
        <v>21.2400934018169</v>
      </c>
      <c r="Z302" s="385">
        <f t="shared" si="114"/>
        <v>22.016918843488732</v>
      </c>
      <c r="AA302" s="386">
        <f t="shared" si="115"/>
        <v>25.451592611792368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0.13494926705342064</v>
      </c>
      <c r="AD302" s="231">
        <f>(INDEX(Models!$BJ302:$BT302,,AH302)*(1-AF302)+INDEX(Models!$BJ302:$BT302,,AH302+1)*AF302-ERP_i)*AE302*Ramure*Pc/MaxiM</f>
        <v>2.0022609889396734E-2</v>
      </c>
      <c r="AE302" s="305">
        <f t="shared" si="117"/>
        <v>0.7</v>
      </c>
      <c r="AF302" s="177">
        <f t="shared" si="118"/>
        <v>0.79848181465436996</v>
      </c>
      <c r="AG302" s="817">
        <f t="shared" si="124"/>
        <v>-1</v>
      </c>
      <c r="AH302" s="176">
        <f t="shared" si="119"/>
        <v>5</v>
      </c>
      <c r="AI302" s="225">
        <f t="shared" si="120"/>
        <v>-0.20151818534562999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44850</v>
      </c>
      <c r="B303" s="1106">
        <v>19.870999999999999</v>
      </c>
      <c r="C303" s="846"/>
      <c r="D303" s="393">
        <f t="shared" si="102"/>
        <v>20.598204000585397</v>
      </c>
      <c r="E303" s="385">
        <f t="shared" si="125"/>
        <v>22.631020629610017</v>
      </c>
      <c r="F303" s="385">
        <f t="shared" si="103"/>
        <v>23.041312332958196</v>
      </c>
      <c r="G303" s="110">
        <f t="shared" si="126"/>
        <v>0.88155561283238204</v>
      </c>
      <c r="H303" s="414" t="b">
        <f>Wh_hp&gt;='2021'!Maxi_hp</f>
        <v>0</v>
      </c>
      <c r="I303" s="380">
        <f>IF(H303,Wh_hp,'2021'!Maxi_hp)</f>
        <v>25.248209273651742</v>
      </c>
      <c r="J303" s="85">
        <f>IF(H303,An,'2021'!An_max)</f>
        <v>2021</v>
      </c>
      <c r="K303" s="197">
        <f t="shared" si="104"/>
        <v>44850</v>
      </c>
      <c r="L303" s="147">
        <f>IF(t&lt;Tvie,1-EXP((T0-t)*PertePVj)+'2021'!Pspv,1-EXP((T0-t)*PertePVj)+Pspv)</f>
        <v>3.5304243057537099E-2</v>
      </c>
      <c r="M303" s="850"/>
      <c r="N303" s="850"/>
      <c r="O303" s="48">
        <f>IF(t&lt;Tnet,'2021'!Resal+('2021'!Salim-'2021'!Resal)*(1-EXP(('2021'!Tnet-t)/('2021'!Tau_j))),Resal+(Salim-Resal)*(1-EXP((Tnet-t)/(Tau_j))))*Salcycl</f>
        <v>8.9824346073235389E-2</v>
      </c>
      <c r="P303" s="339">
        <f>(INDEX(Models!$BJ303:$BT303,,T303)*(1-R303)+INDEX(Models!$BJ303:$BT303,,T303+1)*R303-ERP_i)*Q303*Ramure*Pc/MaxiM</f>
        <v>2.1317542380119434E-2</v>
      </c>
      <c r="Q303" s="305">
        <f t="shared" si="105"/>
        <v>0.7</v>
      </c>
      <c r="R303" s="177">
        <f t="shared" si="106"/>
        <v>0.79854660649250908</v>
      </c>
      <c r="S303" s="817">
        <f t="shared" si="107"/>
        <v>-1</v>
      </c>
      <c r="T303" s="176">
        <f t="shared" si="108"/>
        <v>5</v>
      </c>
      <c r="U303" s="251">
        <f t="shared" si="109"/>
        <v>-0.20145339350749097</v>
      </c>
      <c r="V303" s="383">
        <f t="shared" si="110"/>
        <v>22.460265349579952</v>
      </c>
      <c r="W303" s="402">
        <f t="shared" si="111"/>
        <v>0</v>
      </c>
      <c r="X303" s="157">
        <f t="shared" si="112"/>
        <v>44850</v>
      </c>
      <c r="Y303" s="385">
        <f t="shared" si="113"/>
        <v>18.886921586908624</v>
      </c>
      <c r="Z303" s="385">
        <f t="shared" si="114"/>
        <v>19.578112011987518</v>
      </c>
      <c r="AA303" s="386">
        <f t="shared" si="115"/>
        <v>22.631020629610017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0.1348992901198689</v>
      </c>
      <c r="AD303" s="231">
        <f>(INDEX(Models!$BJ303:$BT303,,AH303)*(1-AF303)+INDEX(Models!$BJ303:$BT303,,AH303+1)*AF303-ERP_i)*AE303*Ramure*Pc/MaxiM</f>
        <v>2.1317542380119434E-2</v>
      </c>
      <c r="AE303" s="305">
        <f t="shared" si="117"/>
        <v>0.7</v>
      </c>
      <c r="AF303" s="177">
        <f t="shared" si="118"/>
        <v>0.79854660649250908</v>
      </c>
      <c r="AG303" s="817">
        <f t="shared" si="124"/>
        <v>-1</v>
      </c>
      <c r="AH303" s="176">
        <f t="shared" si="119"/>
        <v>5</v>
      </c>
      <c r="AI303" s="225">
        <f t="shared" si="120"/>
        <v>-0.20145339350749097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44851</v>
      </c>
      <c r="B304" s="1106">
        <v>11.694000000000001</v>
      </c>
      <c r="C304" s="846"/>
      <c r="D304" s="393">
        <f t="shared" si="102"/>
        <v>12.122222006330784</v>
      </c>
      <c r="E304" s="385">
        <f t="shared" si="125"/>
        <v>13.319085575480383</v>
      </c>
      <c r="F304" s="385">
        <f t="shared" si="103"/>
        <v>13.417703474529516</v>
      </c>
      <c r="G304" s="110">
        <f t="shared" si="126"/>
        <v>0.51932051299894411</v>
      </c>
      <c r="H304" s="414" t="b">
        <f>Wh_hp&gt;='2021'!Maxi_hp</f>
        <v>0</v>
      </c>
      <c r="I304" s="380">
        <f>IF(H304,Wh_hp,'2021'!Maxi_hp)</f>
        <v>23.457499941196161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3.5325372370440533E-2</v>
      </c>
      <c r="M304" s="850"/>
      <c r="N304" s="850"/>
      <c r="O304" s="48">
        <f>IF(t&lt;Tnet,'2021'!Resal+('2021'!Salim-'2021'!Resal)*(1-EXP(('2021'!Tnet-t)/('2021'!Tau_j))),Resal+(Salim-Resal)*(1-EXP((Tnet-t)/(Tau_j))))*Salcycl</f>
        <v>8.9860791295834241E-2</v>
      </c>
      <c r="P304" s="339">
        <f>(INDEX(Models!$BJ304:$BT304,,T304)*(1-R304)+INDEX(Models!$BJ304:$BT304,,T304+1)*R304-ERP_i)*Q304*Ramure*Pc/MaxiM</f>
        <v>2.2621350128756337E-2</v>
      </c>
      <c r="Q304" s="305">
        <f t="shared" si="105"/>
        <v>0.7</v>
      </c>
      <c r="R304" s="177">
        <f t="shared" si="106"/>
        <v>0.79860881604448264</v>
      </c>
      <c r="S304" s="817">
        <f t="shared" si="107"/>
        <v>-1</v>
      </c>
      <c r="T304" s="176">
        <f t="shared" si="108"/>
        <v>5</v>
      </c>
      <c r="U304" s="251">
        <f t="shared" si="109"/>
        <v>-0.20139118395551731</v>
      </c>
      <c r="V304" s="383">
        <f t="shared" si="110"/>
        <v>22.171457351911076</v>
      </c>
      <c r="W304" s="402">
        <f t="shared" si="111"/>
        <v>0</v>
      </c>
      <c r="X304" s="157">
        <f t="shared" si="112"/>
        <v>44851</v>
      </c>
      <c r="Y304" s="385">
        <f t="shared" si="113"/>
        <v>11.115983920557721</v>
      </c>
      <c r="Z304" s="385">
        <f t="shared" si="114"/>
        <v>11.523039584727547</v>
      </c>
      <c r="AA304" s="386">
        <f t="shared" si="115"/>
        <v>13.319085575480383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0.13484754494401971</v>
      </c>
      <c r="AD304" s="231">
        <f>(INDEX(Models!$BJ304:$BT304,,AH304)*(1-AF304)+INDEX(Models!$BJ304:$BT304,,AH304+1)*AF304-ERP_i)*AE304*Ramure*Pc/MaxiM</f>
        <v>2.2621350128756337E-2</v>
      </c>
      <c r="AE304" s="305">
        <f t="shared" si="117"/>
        <v>0.7</v>
      </c>
      <c r="AF304" s="177">
        <f t="shared" si="118"/>
        <v>0.79860881604448264</v>
      </c>
      <c r="AG304" s="817">
        <f t="shared" si="124"/>
        <v>-1</v>
      </c>
      <c r="AH304" s="176">
        <f t="shared" si="119"/>
        <v>5</v>
      </c>
      <c r="AI304" s="225">
        <f t="shared" si="120"/>
        <v>-0.20139118395551731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44852</v>
      </c>
      <c r="B305" s="1106">
        <v>20.068000000000001</v>
      </c>
      <c r="C305" s="846"/>
      <c r="D305" s="393">
        <f t="shared" si="102"/>
        <v>20.803324743435507</v>
      </c>
      <c r="E305" s="385">
        <f t="shared" si="125"/>
        <v>22.858181915267306</v>
      </c>
      <c r="F305" s="385">
        <f t="shared" si="103"/>
        <v>23.350733482650419</v>
      </c>
      <c r="G305" s="110">
        <f t="shared" si="126"/>
        <v>0.9145273860739529</v>
      </c>
      <c r="H305" s="414" t="b">
        <f>Wh_hp&gt;='2021'!Maxi_hp</f>
        <v>0</v>
      </c>
      <c r="I305" s="380">
        <f>IF(H305,Wh_hp,'2021'!Maxi_hp)</f>
        <v>25.579002164286386</v>
      </c>
      <c r="J305" s="85">
        <f>IF(H305,An,'2021'!An_max)</f>
        <v>2020</v>
      </c>
      <c r="K305" s="197">
        <f t="shared" si="104"/>
        <v>44852</v>
      </c>
      <c r="L305" s="147">
        <f>IF(t&lt;Tvie,1-EXP((T0-t)*PertePVj)+'2021'!Pspv,1-EXP((T0-t)*PertePVj)+Pspv)</f>
        <v>3.5346501220557824E-2</v>
      </c>
      <c r="M305" s="850"/>
      <c r="N305" s="850"/>
      <c r="O305" s="48">
        <f>IF(t&lt;Tnet,'2021'!Resal+('2021'!Salim-'2021'!Resal)*(1-EXP(('2021'!Tnet-t)/('2021'!Tau_j))),Resal+(Salim-Resal)*(1-EXP((Tnet-t)/(Tau_j))))*Salcycl</f>
        <v>8.9895914707867938E-2</v>
      </c>
      <c r="P305" s="339">
        <f>(INDEX(Models!$BJ305:$BT305,,T305)*(1-R305)+INDEX(Models!$BJ305:$BT305,,T305+1)*R305-ERP_i)*Q305*Ramure*Pc/MaxiM</f>
        <v>2.3924216961636238E-2</v>
      </c>
      <c r="Q305" s="305">
        <f t="shared" si="105"/>
        <v>0.7</v>
      </c>
      <c r="R305" s="177">
        <f t="shared" si="106"/>
        <v>0.79866854521106234</v>
      </c>
      <c r="S305" s="817">
        <f t="shared" si="107"/>
        <v>-1</v>
      </c>
      <c r="T305" s="176">
        <f t="shared" si="108"/>
        <v>5</v>
      </c>
      <c r="U305" s="251">
        <f t="shared" si="109"/>
        <v>-0.20133145478893766</v>
      </c>
      <c r="V305" s="383">
        <f t="shared" si="110"/>
        <v>21.880122908116068</v>
      </c>
      <c r="W305" s="402">
        <f t="shared" si="111"/>
        <v>0</v>
      </c>
      <c r="X305" s="157">
        <f t="shared" si="112"/>
        <v>44852</v>
      </c>
      <c r="Y305" s="385">
        <f t="shared" si="113"/>
        <v>19.077985162948092</v>
      </c>
      <c r="Z305" s="385">
        <f t="shared" si="114"/>
        <v>19.777034123741952</v>
      </c>
      <c r="AA305" s="386">
        <f t="shared" si="115"/>
        <v>22.858181915267306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0.13479408830268388</v>
      </c>
      <c r="AD305" s="231">
        <f>(INDEX(Models!$BJ305:$BT305,,AH305)*(1-AF305)+INDEX(Models!$BJ305:$BT305,,AH305+1)*AF305-ERP_i)*AE305*Ramure*Pc/MaxiM</f>
        <v>2.3924216961636238E-2</v>
      </c>
      <c r="AE305" s="305">
        <f t="shared" si="117"/>
        <v>0.7</v>
      </c>
      <c r="AF305" s="177">
        <f t="shared" si="118"/>
        <v>0.79866854521106234</v>
      </c>
      <c r="AG305" s="817">
        <f t="shared" si="124"/>
        <v>-1</v>
      </c>
      <c r="AH305" s="176">
        <f t="shared" si="119"/>
        <v>5</v>
      </c>
      <c r="AI305" s="225">
        <f t="shared" si="120"/>
        <v>-0.20133145478893766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44853</v>
      </c>
      <c r="B306" s="1106">
        <v>9.3670000000000009</v>
      </c>
      <c r="C306" s="846"/>
      <c r="D306" s="393">
        <f t="shared" si="102"/>
        <v>9.7104350709198464</v>
      </c>
      <c r="E306" s="385">
        <f t="shared" si="125"/>
        <v>10.669984148321124</v>
      </c>
      <c r="F306" s="385">
        <f t="shared" si="103"/>
        <v>10.721732022057308</v>
      </c>
      <c r="G306" s="110">
        <f t="shared" si="126"/>
        <v>0.42503273466615871</v>
      </c>
      <c r="H306" s="414" t="b">
        <f>Wh_hp&gt;='2021'!Maxi_hp</f>
        <v>0</v>
      </c>
      <c r="I306" s="380">
        <f>IF(H306,Wh_hp,'2021'!Maxi_hp)</f>
        <v>24.959587812927008</v>
      </c>
      <c r="J306" s="85">
        <f>IF(H306,An,'2021'!An_max)</f>
        <v>2020</v>
      </c>
      <c r="K306" s="197">
        <f t="shared" si="104"/>
        <v>44853</v>
      </c>
      <c r="L306" s="147">
        <f>IF(t&lt;Tvie,1-EXP((T0-t)*PertePVj)+'2021'!Pspv,1-EXP((T0-t)*PertePVj)+Pspv)</f>
        <v>3.5367629607898965E-2</v>
      </c>
      <c r="M306" s="850"/>
      <c r="N306" s="850"/>
      <c r="O306" s="48">
        <f>IF(t&lt;Tnet,'2021'!Resal+('2021'!Salim-'2021'!Resal)*(1-EXP(('2021'!Tnet-t)/('2021'!Tau_j))),Resal+(Salim-Resal)*(1-EXP((Tnet-t)/(Tau_j))))*Salcycl</f>
        <v>8.9929756601583963E-2</v>
      </c>
      <c r="P306" s="339">
        <f>(INDEX(Models!$BJ306:$BT306,,T306)*(1-R306)+INDEX(Models!$BJ306:$BT306,,T306+1)*R306-ERP_i)*Q306*Ramure*Pc/MaxiM</f>
        <v>2.5226382805556245E-2</v>
      </c>
      <c r="Q306" s="305">
        <f t="shared" si="105"/>
        <v>0.7</v>
      </c>
      <c r="R306" s="177">
        <f t="shared" si="106"/>
        <v>0.79872589195174459</v>
      </c>
      <c r="S306" s="817">
        <f t="shared" si="107"/>
        <v>-1</v>
      </c>
      <c r="T306" s="176">
        <f t="shared" si="108"/>
        <v>5</v>
      </c>
      <c r="U306" s="251">
        <f t="shared" si="109"/>
        <v>-0.20127410804825546</v>
      </c>
      <c r="V306" s="383">
        <f t="shared" si="110"/>
        <v>21.586542199607688</v>
      </c>
      <c r="W306" s="402">
        <f t="shared" si="111"/>
        <v>0</v>
      </c>
      <c r="X306" s="157">
        <f t="shared" si="112"/>
        <v>44853</v>
      </c>
      <c r="Y306" s="385">
        <f t="shared" si="113"/>
        <v>8.9057960041106536</v>
      </c>
      <c r="Z306" s="385">
        <f t="shared" si="114"/>
        <v>9.2323213251600205</v>
      </c>
      <c r="AA306" s="386">
        <f t="shared" si="115"/>
        <v>10.669984148321124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0.13473898397377784</v>
      </c>
      <c r="AD306" s="231">
        <f>(INDEX(Models!$BJ306:$BT306,,AH306)*(1-AF306)+INDEX(Models!$BJ306:$BT306,,AH306+1)*AF306-ERP_i)*AE306*Ramure*Pc/MaxiM</f>
        <v>2.5226382805556245E-2</v>
      </c>
      <c r="AE306" s="305">
        <f t="shared" si="117"/>
        <v>0.7</v>
      </c>
      <c r="AF306" s="177">
        <f t="shared" si="118"/>
        <v>0.79872589195174459</v>
      </c>
      <c r="AG306" s="817">
        <f t="shared" si="124"/>
        <v>-1</v>
      </c>
      <c r="AH306" s="176">
        <f t="shared" si="119"/>
        <v>5</v>
      </c>
      <c r="AI306" s="225">
        <f t="shared" si="120"/>
        <v>-0.20127410804825546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44854</v>
      </c>
      <c r="B307" s="1106">
        <v>4.54</v>
      </c>
      <c r="C307" s="846"/>
      <c r="D307" s="393">
        <f t="shared" si="102"/>
        <v>4.7065592853618874</v>
      </c>
      <c r="E307" s="385">
        <f t="shared" si="125"/>
        <v>5.1718292618806263</v>
      </c>
      <c r="F307" s="385">
        <f t="shared" si="103"/>
        <v>5.1718292618806263</v>
      </c>
      <c r="G307" s="110">
        <f t="shared" si="126"/>
        <v>0.20757896391430788</v>
      </c>
      <c r="H307" s="414" t="b">
        <f>Wh_hp&gt;='2021'!Maxi_hp</f>
        <v>0</v>
      </c>
      <c r="I307" s="380">
        <f>IF(H307,Wh_hp,'2021'!Maxi_hp)</f>
        <v>20.300420803339481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3.538875753247428E-2</v>
      </c>
      <c r="M307" s="850"/>
      <c r="N307" s="850"/>
      <c r="O307" s="48">
        <f>IF(t&lt;Tnet,'2021'!Resal+('2021'!Salim-'2021'!Resal)*(1-EXP(('2021'!Tnet-t)/('2021'!Tau_j))),Resal+(Salim-Resal)*(1-EXP((Tnet-t)/(Tau_j))))*Salcycl</f>
        <v>8.9962362050125644E-2</v>
      </c>
      <c r="P307" s="339">
        <f>(INDEX(Models!$BJ307:$BT307,,T307)*(1-R307)+INDEX(Models!$BJ307:$BT307,,T307+1)*R307-ERP_i)*Q307*Ramure*Pc/MaxiM</f>
        <v>2.6528054599817531E-2</v>
      </c>
      <c r="Q307" s="305">
        <f t="shared" si="105"/>
        <v>0.7</v>
      </c>
      <c r="R307" s="177">
        <f t="shared" si="106"/>
        <v>0.79878095043089292</v>
      </c>
      <c r="S307" s="817">
        <f t="shared" si="107"/>
        <v>-1</v>
      </c>
      <c r="T307" s="176">
        <f t="shared" si="108"/>
        <v>5</v>
      </c>
      <c r="U307" s="251">
        <f t="shared" si="109"/>
        <v>-0.20121904956910713</v>
      </c>
      <c r="V307" s="383">
        <f t="shared" si="110"/>
        <v>21.29099475581398</v>
      </c>
      <c r="W307" s="402">
        <f t="shared" si="111"/>
        <v>0</v>
      </c>
      <c r="X307" s="157">
        <f t="shared" si="112"/>
        <v>44854</v>
      </c>
      <c r="Y307" s="385">
        <f t="shared" si="113"/>
        <v>4.3169009522303954</v>
      </c>
      <c r="Z307" s="385">
        <f t="shared" si="114"/>
        <v>4.4752753878210445</v>
      </c>
      <c r="AA307" s="386">
        <f t="shared" si="115"/>
        <v>5.1718292618806263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0.13468230268032755</v>
      </c>
      <c r="AD307" s="231">
        <f>(INDEX(Models!$BJ307:$BT307,,AH307)*(1-AF307)+INDEX(Models!$BJ307:$BT307,,AH307+1)*AF307-ERP_i)*AE307*Ramure*Pc/MaxiM</f>
        <v>2.6528054599817531E-2</v>
      </c>
      <c r="AE307" s="305">
        <f t="shared" si="117"/>
        <v>0.7</v>
      </c>
      <c r="AF307" s="177">
        <f t="shared" si="118"/>
        <v>0.79878095043089292</v>
      </c>
      <c r="AG307" s="817">
        <f t="shared" si="124"/>
        <v>-1</v>
      </c>
      <c r="AH307" s="176">
        <f t="shared" si="119"/>
        <v>5</v>
      </c>
      <c r="AI307" s="225">
        <f t="shared" si="120"/>
        <v>-0.20121904956910713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44855</v>
      </c>
      <c r="B308" s="1106">
        <v>9.7409999999999997</v>
      </c>
      <c r="C308" s="846"/>
      <c r="D308" s="393">
        <f t="shared" si="102"/>
        <v>10.098589907219168</v>
      </c>
      <c r="E308" s="385">
        <f t="shared" si="125"/>
        <v>11.097275705143815</v>
      </c>
      <c r="F308" s="385">
        <f t="shared" si="103"/>
        <v>11.170102927004969</v>
      </c>
      <c r="G308" s="110">
        <f t="shared" si="126"/>
        <v>0.45404260459713325</v>
      </c>
      <c r="H308" s="414" t="b">
        <f>Wh_hp&gt;='2021'!Maxi_hp</f>
        <v>0</v>
      </c>
      <c r="I308" s="380">
        <f>IF(H308,Wh_hp,'2021'!Maxi_hp)</f>
        <v>15.02935928669431</v>
      </c>
      <c r="J308" s="85">
        <f>IF(H308,An,'2021'!An_max)</f>
        <v>2019</v>
      </c>
      <c r="K308" s="197">
        <f t="shared" si="104"/>
        <v>44855</v>
      </c>
      <c r="L308" s="147">
        <f>IF(t&lt;Tvie,1-EXP((T0-t)*PertePVj)+'2021'!Pspv,1-EXP((T0-t)*PertePVj)+Pspv)</f>
        <v>3.5409884994293872E-2</v>
      </c>
      <c r="M308" s="850"/>
      <c r="N308" s="850"/>
      <c r="O308" s="48">
        <f>IF(t&lt;Tnet,'2021'!Resal+('2021'!Salim-'2021'!Resal)*(1-EXP(('2021'!Tnet-t)/('2021'!Tau_j))),Resal+(Salim-Resal)*(1-EXP((Tnet-t)/(Tau_j))))*Salcycl</f>
        <v>8.999378085756092E-2</v>
      </c>
      <c r="P308" s="339">
        <f>(INDEX(Models!$BJ308:$BT308,,T308)*(1-R308)+INDEX(Models!$BJ308:$BT308,,T308+1)*R308-ERP_i)*Q308*Ramure*Pc/MaxiM</f>
        <v>2.782940542502883E-2</v>
      </c>
      <c r="Q308" s="305">
        <f t="shared" si="105"/>
        <v>0.7</v>
      </c>
      <c r="R308" s="177">
        <f t="shared" si="106"/>
        <v>0.79883381115896324</v>
      </c>
      <c r="S308" s="817">
        <f t="shared" si="107"/>
        <v>-1</v>
      </c>
      <c r="T308" s="176">
        <f t="shared" si="108"/>
        <v>5</v>
      </c>
      <c r="U308" s="251">
        <f t="shared" si="109"/>
        <v>-0.20116618884103676</v>
      </c>
      <c r="V308" s="383">
        <f t="shared" si="110"/>
        <v>20.993759454230933</v>
      </c>
      <c r="W308" s="402">
        <f t="shared" si="111"/>
        <v>0</v>
      </c>
      <c r="X308" s="157">
        <f t="shared" si="112"/>
        <v>44855</v>
      </c>
      <c r="Y308" s="385">
        <f t="shared" si="113"/>
        <v>9.2632624375290824</v>
      </c>
      <c r="Z308" s="385">
        <f t="shared" si="114"/>
        <v>9.6033147068631166</v>
      </c>
      <c r="AA308" s="386">
        <f t="shared" si="115"/>
        <v>11.097275705143815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0.13462412198952728</v>
      </c>
      <c r="AD308" s="231">
        <f>(INDEX(Models!$BJ308:$BT308,,AH308)*(1-AF308)+INDEX(Models!$BJ308:$BT308,,AH308+1)*AF308-ERP_i)*AE308*Ramure*Pc/MaxiM</f>
        <v>2.782940542502883E-2</v>
      </c>
      <c r="AE308" s="305">
        <f t="shared" si="117"/>
        <v>0.7</v>
      </c>
      <c r="AF308" s="177">
        <f t="shared" si="118"/>
        <v>0.79883381115896324</v>
      </c>
      <c r="AG308" s="817">
        <f t="shared" si="124"/>
        <v>-1</v>
      </c>
      <c r="AH308" s="176">
        <f t="shared" si="119"/>
        <v>5</v>
      </c>
      <c r="AI308" s="225">
        <f t="shared" si="120"/>
        <v>-0.20116618884103676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44856</v>
      </c>
      <c r="B309" s="1106">
        <v>18.983000000000001</v>
      </c>
      <c r="C309" s="846"/>
      <c r="D309" s="393">
        <f t="shared" si="102"/>
        <v>19.680292686197657</v>
      </c>
      <c r="E309" s="385">
        <f t="shared" si="125"/>
        <v>21.627267252725165</v>
      </c>
      <c r="F309" s="385">
        <f t="shared" si="103"/>
        <v>22.197470097705743</v>
      </c>
      <c r="G309" s="110">
        <f t="shared" si="126"/>
        <v>0.91402836117088193</v>
      </c>
      <c r="H309" s="414" t="b">
        <f>Wh_hp&gt;='2021'!Maxi_hp</f>
        <v>1</v>
      </c>
      <c r="I309" s="380">
        <f>IF(H309,Wh_hp,'2021'!Maxi_hp)</f>
        <v>22.197470097705743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3.5431011993367734E-2</v>
      </c>
      <c r="M309" s="850"/>
      <c r="N309" s="850"/>
      <c r="O309" s="48">
        <f>IF(t&lt;Tnet,'2021'!Resal+('2021'!Salim-'2021'!Resal)*(1-EXP(('2021'!Tnet-t)/('2021'!Tau_j))),Resal+(Salim-Resal)*(1-EXP((Tnet-t)/(Tau_j))))*Salcycl</f>
        <v>9.0024067478159081E-2</v>
      </c>
      <c r="P309" s="339">
        <f>(INDEX(Models!$BJ309:$BT309,,T309)*(1-R309)+INDEX(Models!$BJ309:$BT309,,T309+1)*R309-ERP_i)*Q309*Ramure*Pc/MaxiM</f>
        <v>2.9130573283376687E-2</v>
      </c>
      <c r="Q309" s="305">
        <f t="shared" si="105"/>
        <v>0.7</v>
      </c>
      <c r="R309" s="177">
        <f t="shared" si="106"/>
        <v>0.7988845611289348</v>
      </c>
      <c r="S309" s="817">
        <f t="shared" si="107"/>
        <v>-1</v>
      </c>
      <c r="T309" s="176">
        <f t="shared" si="108"/>
        <v>5</v>
      </c>
      <c r="U309" s="251">
        <f t="shared" si="109"/>
        <v>-0.20111543887106526</v>
      </c>
      <c r="V309" s="383">
        <f t="shared" si="110"/>
        <v>20.69511451814531</v>
      </c>
      <c r="W309" s="402">
        <f t="shared" si="111"/>
        <v>0</v>
      </c>
      <c r="X309" s="157">
        <f t="shared" si="112"/>
        <v>44856</v>
      </c>
      <c r="Y309" s="385">
        <f t="shared" si="113"/>
        <v>18.053841879370896</v>
      </c>
      <c r="Z309" s="385">
        <f t="shared" si="114"/>
        <v>18.717004282587158</v>
      </c>
      <c r="AA309" s="386">
        <f t="shared" si="115"/>
        <v>21.627267252725165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0.13456452616644363</v>
      </c>
      <c r="AD309" s="231">
        <f>(INDEX(Models!$BJ309:$BT309,,AH309)*(1-AF309)+INDEX(Models!$BJ309:$BT309,,AH309+1)*AF309-ERP_i)*AE309*Ramure*Pc/MaxiM</f>
        <v>2.9130573283376687E-2</v>
      </c>
      <c r="AE309" s="305">
        <f t="shared" si="117"/>
        <v>0.7</v>
      </c>
      <c r="AF309" s="177">
        <f t="shared" si="118"/>
        <v>0.7988845611289348</v>
      </c>
      <c r="AG309" s="817">
        <f t="shared" si="124"/>
        <v>-1</v>
      </c>
      <c r="AH309" s="176">
        <f t="shared" si="119"/>
        <v>5</v>
      </c>
      <c r="AI309" s="225">
        <f t="shared" si="120"/>
        <v>-0.20111543887106526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44857</v>
      </c>
      <c r="B310" s="1106">
        <v>12.294</v>
      </c>
      <c r="C310" s="846"/>
      <c r="D310" s="393">
        <f t="shared" si="102"/>
        <v>12.745868288235929</v>
      </c>
      <c r="E310" s="385">
        <f t="shared" si="125"/>
        <v>14.007268800209184</v>
      </c>
      <c r="F310" s="385">
        <f t="shared" si="103"/>
        <v>14.193883699759315</v>
      </c>
      <c r="G310" s="110">
        <f t="shared" si="126"/>
        <v>0.59222742848649068</v>
      </c>
      <c r="H310" s="414" t="b">
        <f>Wh_hp&gt;='2021'!Maxi_hp</f>
        <v>0</v>
      </c>
      <c r="I310" s="380">
        <f>IF(H310,Wh_hp,'2021'!Maxi_hp)</f>
        <v>23.868421011205619</v>
      </c>
      <c r="J310" s="85">
        <f>IF(H310,An,'2021'!An_max)</f>
        <v>2018</v>
      </c>
      <c r="K310" s="197">
        <f t="shared" si="104"/>
        <v>44857</v>
      </c>
      <c r="L310" s="147">
        <f>IF(t&lt;Tvie,1-EXP((T0-t)*PertePVj)+'2021'!Pspv,1-EXP((T0-t)*PertePVj)+Pspv)</f>
        <v>3.545213852970619E-2</v>
      </c>
      <c r="M310" s="850"/>
      <c r="N310" s="850"/>
      <c r="O310" s="48">
        <f>IF(t&lt;Tnet,'2021'!Resal+('2021'!Salim-'2021'!Resal)*(1-EXP(('2021'!Tnet-t)/('2021'!Tau_j))),Resal+(Salim-Resal)*(1-EXP((Tnet-t)/(Tau_j))))*Salcycl</f>
        <v>9.0053280904726946E-2</v>
      </c>
      <c r="P310" s="339">
        <f>(INDEX(Models!$BJ310:$BT310,,T310)*(1-R310)+INDEX(Models!$BJ310:$BT310,,T310+1)*R310-ERP_i)*Q310*Ramure*Pc/MaxiM</f>
        <v>3.0397605319963023E-2</v>
      </c>
      <c r="Q310" s="305">
        <f t="shared" si="105"/>
        <v>0.7</v>
      </c>
      <c r="R310" s="177">
        <f t="shared" si="106"/>
        <v>0.79893328394807384</v>
      </c>
      <c r="S310" s="817">
        <f t="shared" si="107"/>
        <v>-1</v>
      </c>
      <c r="T310" s="176">
        <f t="shared" si="108"/>
        <v>5</v>
      </c>
      <c r="U310" s="251">
        <f t="shared" si="109"/>
        <v>-0.20106671605192622</v>
      </c>
      <c r="V310" s="383">
        <f t="shared" si="110"/>
        <v>20.396053867357331</v>
      </c>
      <c r="W310" s="402">
        <f t="shared" si="111"/>
        <v>0</v>
      </c>
      <c r="X310" s="157">
        <f t="shared" si="112"/>
        <v>44857</v>
      </c>
      <c r="Y310" s="385">
        <f t="shared" si="113"/>
        <v>11.693445830138991</v>
      </c>
      <c r="Z310" s="385">
        <f t="shared" si="114"/>
        <v>12.123240636617311</v>
      </c>
      <c r="AA310" s="386">
        <f t="shared" si="115"/>
        <v>14.007268800209184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0.13450360598232658</v>
      </c>
      <c r="AD310" s="231">
        <f>(INDEX(Models!$BJ310:$BT310,,AH310)*(1-AF310)+INDEX(Models!$BJ310:$BT310,,AH310+1)*AF310-ERP_i)*AE310*Ramure*Pc/MaxiM</f>
        <v>3.0397605319963023E-2</v>
      </c>
      <c r="AE310" s="305">
        <f t="shared" si="117"/>
        <v>0.7</v>
      </c>
      <c r="AF310" s="177">
        <f t="shared" si="118"/>
        <v>0.79893328394807384</v>
      </c>
      <c r="AG310" s="817">
        <f t="shared" si="124"/>
        <v>-1</v>
      </c>
      <c r="AH310" s="176">
        <f t="shared" si="119"/>
        <v>5</v>
      </c>
      <c r="AI310" s="225">
        <f t="shared" si="120"/>
        <v>-0.20106671605192622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44858</v>
      </c>
      <c r="B311" s="1106">
        <v>14.984</v>
      </c>
      <c r="C311" s="846"/>
      <c r="D311" s="393">
        <f t="shared" si="102"/>
        <v>15.535080003601488</v>
      </c>
      <c r="E311" s="385">
        <f t="shared" si="125"/>
        <v>17.073045266597365</v>
      </c>
      <c r="F311" s="385">
        <f t="shared" si="103"/>
        <v>17.424111748702202</v>
      </c>
      <c r="G311" s="110">
        <f t="shared" si="126"/>
        <v>0.73685329537164912</v>
      </c>
      <c r="H311" s="414" t="b">
        <f>Wh_hp&gt;='2021'!Maxi_hp</f>
        <v>0</v>
      </c>
      <c r="I311" s="380">
        <f>IF(H311,Wh_hp,'2021'!Maxi_hp)</f>
        <v>24.436721996898605</v>
      </c>
      <c r="J311" s="85">
        <f>IF(H311,An,'2021'!An_max)</f>
        <v>2021</v>
      </c>
      <c r="K311" s="197">
        <f t="shared" si="104"/>
        <v>44858</v>
      </c>
      <c r="L311" s="147">
        <f>IF(t&lt;Tvie,1-EXP((T0-t)*PertePVj)+'2021'!Pspv,1-EXP((T0-t)*PertePVj)+Pspv)</f>
        <v>3.5473264603319121E-2</v>
      </c>
      <c r="M311" s="850"/>
      <c r="N311" s="850"/>
      <c r="O311" s="48">
        <f>IF(t&lt;Tnet,'2021'!Resal+('2021'!Salim-'2021'!Resal)*(1-EXP(('2021'!Tnet-t)/('2021'!Tau_j))),Resal+(Salim-Resal)*(1-EXP((Tnet-t)/(Tau_j))))*Salcycl</f>
        <v>9.0081484526069663E-2</v>
      </c>
      <c r="P311" s="339">
        <f>(INDEX(Models!$BJ311:$BT311,,T311)*(1-R311)+INDEX(Models!$BJ311:$BT311,,T311+1)*R311-ERP_i)*Q311*Ramure*Pc/MaxiM</f>
        <v>3.1650873829146484E-2</v>
      </c>
      <c r="Q311" s="305">
        <f t="shared" si="105"/>
        <v>0.7</v>
      </c>
      <c r="R311" s="177">
        <f t="shared" si="106"/>
        <v>0.79898005996515398</v>
      </c>
      <c r="S311" s="817">
        <f t="shared" si="107"/>
        <v>-1</v>
      </c>
      <c r="T311" s="176">
        <f t="shared" si="108"/>
        <v>5</v>
      </c>
      <c r="U311" s="251">
        <f t="shared" si="109"/>
        <v>-0.20101994003484602</v>
      </c>
      <c r="V311" s="383">
        <f t="shared" si="110"/>
        <v>20.096404109900533</v>
      </c>
      <c r="W311" s="402">
        <f t="shared" si="111"/>
        <v>0</v>
      </c>
      <c r="X311" s="157">
        <f t="shared" si="112"/>
        <v>44858</v>
      </c>
      <c r="Y311" s="385">
        <f t="shared" si="113"/>
        <v>14.25350618281737</v>
      </c>
      <c r="Z311" s="385">
        <f t="shared" si="114"/>
        <v>14.777720160297402</v>
      </c>
      <c r="AA311" s="386">
        <f t="shared" si="115"/>
        <v>17.073045266597365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0.13444145847786515</v>
      </c>
      <c r="AD311" s="231">
        <f>(INDEX(Models!$BJ311:$BT311,,AH311)*(1-AF311)+INDEX(Models!$BJ311:$BT311,,AH311+1)*AF311-ERP_i)*AE311*Ramure*Pc/MaxiM</f>
        <v>3.1650873829146484E-2</v>
      </c>
      <c r="AE311" s="305">
        <f t="shared" si="117"/>
        <v>0.7</v>
      </c>
      <c r="AF311" s="177">
        <f t="shared" si="118"/>
        <v>0.79898005996515398</v>
      </c>
      <c r="AG311" s="817">
        <f t="shared" si="124"/>
        <v>-1</v>
      </c>
      <c r="AH311" s="176">
        <f t="shared" si="119"/>
        <v>5</v>
      </c>
      <c r="AI311" s="225">
        <f t="shared" si="120"/>
        <v>-0.20101994003484602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44859</v>
      </c>
      <c r="B312" s="1106">
        <v>13.018000000000001</v>
      </c>
      <c r="C312" s="846"/>
      <c r="D312" s="393">
        <f t="shared" si="102"/>
        <v>13.497070279240058</v>
      </c>
      <c r="E312" s="385">
        <f t="shared" si="125"/>
        <v>14.833718006653333</v>
      </c>
      <c r="F312" s="385">
        <f t="shared" si="103"/>
        <v>15.087211785390313</v>
      </c>
      <c r="G312" s="110">
        <f t="shared" si="126"/>
        <v>0.64683283389891488</v>
      </c>
      <c r="H312" s="414" t="b">
        <f>Wh_hp&gt;='2021'!Maxi_hp</f>
        <v>0</v>
      </c>
      <c r="I312" s="380">
        <f>IF(H312,Wh_hp,'2021'!Maxi_hp)</f>
        <v>22.975160579894975</v>
      </c>
      <c r="J312" s="85">
        <f>IF(H312,An,'2021'!An_max)</f>
        <v>2018</v>
      </c>
      <c r="K312" s="197">
        <f t="shared" si="104"/>
        <v>44859</v>
      </c>
      <c r="L312" s="147">
        <f>IF(t&lt;Tvie,1-EXP((T0-t)*PertePVj)+'2021'!Pspv,1-EXP((T0-t)*PertePVj)+Pspv)</f>
        <v>3.5494390214216964E-2</v>
      </c>
      <c r="M312" s="850"/>
      <c r="N312" s="850"/>
      <c r="O312" s="48">
        <f>IF(t&lt;Tnet,'2021'!Resal+('2021'!Salim-'2021'!Resal)*(1-EXP(('2021'!Tnet-t)/('2021'!Tau_j))),Resal+(Salim-Resal)*(1-EXP((Tnet-t)/(Tau_j))))*Salcycl</f>
        <v>9.0108745953897146E-2</v>
      </c>
      <c r="P312" s="339">
        <f>(INDEX(Models!$BJ312:$BT312,,T312)*(1-R312)+INDEX(Models!$BJ312:$BT312,,T312+1)*R312-ERP_i)*Q312*Ramure*Pc/MaxiM</f>
        <v>3.2890243389175899E-2</v>
      </c>
      <c r="Q312" s="305">
        <f t="shared" si="105"/>
        <v>0.7</v>
      </c>
      <c r="R312" s="177">
        <f t="shared" si="106"/>
        <v>0.79902496639325804</v>
      </c>
      <c r="S312" s="817">
        <f t="shared" si="107"/>
        <v>-1</v>
      </c>
      <c r="T312" s="176">
        <f t="shared" si="108"/>
        <v>5</v>
      </c>
      <c r="U312" s="251">
        <f t="shared" si="109"/>
        <v>-0.20097503360674196</v>
      </c>
      <c r="V312" s="383">
        <f t="shared" si="110"/>
        <v>19.79643293145956</v>
      </c>
      <c r="W312" s="402">
        <f t="shared" si="111"/>
        <v>0</v>
      </c>
      <c r="X312" s="157">
        <f t="shared" si="112"/>
        <v>44859</v>
      </c>
      <c r="Y312" s="385">
        <f t="shared" si="113"/>
        <v>12.384628070291784</v>
      </c>
      <c r="Z312" s="385">
        <f t="shared" si="114"/>
        <v>12.840389879165569</v>
      </c>
      <c r="AA312" s="386">
        <f t="shared" si="115"/>
        <v>14.833718006653333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0.13437818668210505</v>
      </c>
      <c r="AD312" s="231">
        <f>(INDEX(Models!$BJ312:$BT312,,AH312)*(1-AF312)+INDEX(Models!$BJ312:$BT312,,AH312+1)*AF312-ERP_i)*AE312*Ramure*Pc/MaxiM</f>
        <v>3.2890243389175899E-2</v>
      </c>
      <c r="AE312" s="305">
        <f t="shared" si="117"/>
        <v>0.7</v>
      </c>
      <c r="AF312" s="177">
        <f t="shared" si="118"/>
        <v>0.79902496639325804</v>
      </c>
      <c r="AG312" s="817">
        <f t="shared" si="124"/>
        <v>-1</v>
      </c>
      <c r="AH312" s="176">
        <f t="shared" si="119"/>
        <v>5</v>
      </c>
      <c r="AI312" s="225">
        <f t="shared" si="120"/>
        <v>-0.20097503360674196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44860</v>
      </c>
      <c r="B313" s="1106">
        <v>8.7249999999999996</v>
      </c>
      <c r="C313" s="846"/>
      <c r="D313" s="393">
        <f t="shared" si="102"/>
        <v>9.0462834176938163</v>
      </c>
      <c r="E313" s="385">
        <f t="shared" si="125"/>
        <v>9.9424472619751434</v>
      </c>
      <c r="F313" s="385">
        <f t="shared" si="103"/>
        <v>10.014445741399447</v>
      </c>
      <c r="G313" s="110">
        <f t="shared" si="126"/>
        <v>0.43538118035133355</v>
      </c>
      <c r="H313" s="414" t="b">
        <f>Wh_hp&gt;='2021'!Maxi_hp</f>
        <v>0</v>
      </c>
      <c r="I313" s="380">
        <f>IF(H313,Wh_hp,'2021'!Maxi_hp)</f>
        <v>22.259943902038003</v>
      </c>
      <c r="J313" s="85">
        <f>IF(H313,An,'2021'!An_max)</f>
        <v>2019</v>
      </c>
      <c r="K313" s="197">
        <f t="shared" si="104"/>
        <v>44860</v>
      </c>
      <c r="L313" s="147">
        <f>IF(t&lt;Tvie,1-EXP((T0-t)*PertePVj)+'2021'!Pspv,1-EXP((T0-t)*PertePVj)+Pspv)</f>
        <v>3.5515515362409711E-2</v>
      </c>
      <c r="M313" s="850"/>
      <c r="N313" s="850"/>
      <c r="O313" s="48">
        <f>IF(t&lt;Tnet,'2021'!Resal+('2021'!Salim-'2021'!Resal)*(1-EXP(('2021'!Tnet-t)/('2021'!Tau_j))),Resal+(Salim-Resal)*(1-EXP((Tnet-t)/(Tau_j))))*Salcycl</f>
        <v>9.0135136819754991E-2</v>
      </c>
      <c r="P313" s="339">
        <f>(INDEX(Models!$BJ313:$BT313,,T313)*(1-R313)+INDEX(Models!$BJ313:$BT313,,T313+1)*R313-ERP_i)*Q313*Ramure*Pc/MaxiM</f>
        <v>3.4115266015254275E-2</v>
      </c>
      <c r="Q313" s="305">
        <f t="shared" si="105"/>
        <v>0.7</v>
      </c>
      <c r="R313" s="177">
        <f t="shared" si="106"/>
        <v>0.79906807742828456</v>
      </c>
      <c r="S313" s="817">
        <f t="shared" si="107"/>
        <v>-1</v>
      </c>
      <c r="T313" s="176">
        <f t="shared" si="108"/>
        <v>5</v>
      </c>
      <c r="U313" s="251">
        <f t="shared" si="109"/>
        <v>-0.20093192257171538</v>
      </c>
      <c r="V313" s="383">
        <f t="shared" si="110"/>
        <v>19.496412593658405</v>
      </c>
      <c r="W313" s="402">
        <f t="shared" si="111"/>
        <v>0</v>
      </c>
      <c r="X313" s="157">
        <f t="shared" si="112"/>
        <v>44860</v>
      </c>
      <c r="Y313" s="385">
        <f t="shared" si="113"/>
        <v>8.3013549971704457</v>
      </c>
      <c r="Z313" s="385">
        <f t="shared" si="114"/>
        <v>8.6070384017527459</v>
      </c>
      <c r="AA313" s="386">
        <f t="shared" si="115"/>
        <v>9.9424472619751434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0.13431389928812237</v>
      </c>
      <c r="AD313" s="231">
        <f>(INDEX(Models!$BJ313:$BT313,,AH313)*(1-AF313)+INDEX(Models!$BJ313:$BT313,,AH313+1)*AF313-ERP_i)*AE313*Ramure*Pc/MaxiM</f>
        <v>3.4115266015254275E-2</v>
      </c>
      <c r="AE313" s="305">
        <f t="shared" si="117"/>
        <v>0.7</v>
      </c>
      <c r="AF313" s="177">
        <f t="shared" si="118"/>
        <v>0.79906807742828456</v>
      </c>
      <c r="AG313" s="817">
        <f t="shared" si="124"/>
        <v>-1</v>
      </c>
      <c r="AH313" s="176">
        <f t="shared" si="119"/>
        <v>5</v>
      </c>
      <c r="AI313" s="225">
        <f t="shared" si="120"/>
        <v>-0.20093192257171538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44861</v>
      </c>
      <c r="B314" s="1106">
        <v>8.0830000000000002</v>
      </c>
      <c r="C314" s="846"/>
      <c r="D314" s="393">
        <f t="shared" si="102"/>
        <v>8.3808264114890836</v>
      </c>
      <c r="E314" s="385">
        <f t="shared" si="125"/>
        <v>9.2113263421920575</v>
      </c>
      <c r="F314" s="385">
        <f t="shared" si="103"/>
        <v>9.2679486109594365</v>
      </c>
      <c r="G314" s="110">
        <f t="shared" si="126"/>
        <v>0.40868642406173633</v>
      </c>
      <c r="H314" s="414" t="b">
        <f>Wh_hp&gt;='2021'!Maxi_hp</f>
        <v>0</v>
      </c>
      <c r="I314" s="380">
        <f>IF(H314,Wh_hp,'2021'!Maxi_hp)</f>
        <v>20.509460885058797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3.5536640047907353E-2</v>
      </c>
      <c r="M314" s="850"/>
      <c r="N314" s="850"/>
      <c r="O314" s="48">
        <f>IF(t&lt;Tnet,'2021'!Resal+('2021'!Salim-'2021'!Resal)*(1-EXP(('2021'!Tnet-t)/('2021'!Tau_j))),Resal+(Salim-Resal)*(1-EXP((Tnet-t)/(Tau_j))))*Salcycl</f>
        <v>9.0160732542815966E-2</v>
      </c>
      <c r="P314" s="339">
        <f>(INDEX(Models!$BJ314:$BT314,,T314)*(1-R314)+INDEX(Models!$BJ314:$BT314,,T314+1)*R314-ERP_i)*Q314*Ramure*Pc/MaxiM</f>
        <v>3.5325418128663098E-2</v>
      </c>
      <c r="Q314" s="305">
        <f t="shared" si="105"/>
        <v>0.7</v>
      </c>
      <c r="R314" s="177">
        <f t="shared" si="106"/>
        <v>0.79910946436328445</v>
      </c>
      <c r="S314" s="817">
        <f t="shared" si="107"/>
        <v>-1</v>
      </c>
      <c r="T314" s="176">
        <f t="shared" si="108"/>
        <v>5</v>
      </c>
      <c r="U314" s="251">
        <f t="shared" si="109"/>
        <v>-0.20089053563671555</v>
      </c>
      <c r="V314" s="383">
        <f t="shared" si="110"/>
        <v>19.19661482877623</v>
      </c>
      <c r="W314" s="402">
        <f t="shared" si="111"/>
        <v>0</v>
      </c>
      <c r="X314" s="157">
        <f t="shared" si="112"/>
        <v>44861</v>
      </c>
      <c r="Y314" s="385">
        <f t="shared" si="113"/>
        <v>7.6913229897280972</v>
      </c>
      <c r="Z314" s="385">
        <f t="shared" si="114"/>
        <v>7.974717660720823</v>
      </c>
      <c r="AA314" s="386">
        <f t="shared" si="115"/>
        <v>9.2113263421920575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0.13424871028692201</v>
      </c>
      <c r="AD314" s="231">
        <f>(INDEX(Models!$BJ314:$BT314,,AH314)*(1-AF314)+INDEX(Models!$BJ314:$BT314,,AH314+1)*AF314-ERP_i)*AE314*Ramure*Pc/MaxiM</f>
        <v>3.5325418128663098E-2</v>
      </c>
      <c r="AE314" s="305">
        <f t="shared" si="117"/>
        <v>0.7</v>
      </c>
      <c r="AF314" s="177">
        <f t="shared" si="118"/>
        <v>0.79910946436328445</v>
      </c>
      <c r="AG314" s="817">
        <f t="shared" si="124"/>
        <v>-1</v>
      </c>
      <c r="AH314" s="176">
        <f t="shared" si="119"/>
        <v>5</v>
      </c>
      <c r="AI314" s="225">
        <f t="shared" si="120"/>
        <v>-0.20089053563671555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44862</v>
      </c>
      <c r="B315" s="1106">
        <v>10.601000000000001</v>
      </c>
      <c r="C315" s="846"/>
      <c r="D315" s="393">
        <f t="shared" si="102"/>
        <v>10.991845449389587</v>
      </c>
      <c r="E315" s="385">
        <f t="shared" si="125"/>
        <v>12.081415281191051</v>
      </c>
      <c r="F315" s="385">
        <f t="shared" si="103"/>
        <v>12.248182840539751</v>
      </c>
      <c r="G315" s="110">
        <f t="shared" si="126"/>
        <v>0.54795303376632976</v>
      </c>
      <c r="H315" s="414" t="b">
        <f>Wh_hp&gt;='2021'!Maxi_hp</f>
        <v>0</v>
      </c>
      <c r="I315" s="380">
        <f>IF(H315,Wh_hp,'2021'!Maxi_hp)</f>
        <v>22.111247290077316</v>
      </c>
      <c r="J315" s="85">
        <f>IF(H315,An,'2021'!An_max)</f>
        <v>2021</v>
      </c>
      <c r="K315" s="197">
        <f t="shared" si="104"/>
        <v>44862</v>
      </c>
      <c r="L315" s="147">
        <f>IF(t&lt;Tvie,1-EXP((T0-t)*PertePVj)+'2021'!Pspv,1-EXP((T0-t)*PertePVj)+Pspv)</f>
        <v>3.5557764270720327E-2</v>
      </c>
      <c r="M315" s="850"/>
      <c r="N315" s="850"/>
      <c r="O315" s="48">
        <f>IF(t&lt;Tnet,'2021'!Resal+('2021'!Salim-'2021'!Resal)*(1-EXP(('2021'!Tnet-t)/('2021'!Tau_j))),Resal+(Salim-Resal)*(1-EXP((Tnet-t)/(Tau_j))))*Salcycl</f>
        <v>9.0185612069619059E-2</v>
      </c>
      <c r="P315" s="339">
        <f>(INDEX(Models!$BJ315:$BT315,,T315)*(1-R315)+INDEX(Models!$BJ315:$BT315,,T315+1)*R315-ERP_i)*Q315*Ramure*Pc/MaxiM</f>
        <v>3.6520095945705704E-2</v>
      </c>
      <c r="Q315" s="305">
        <f t="shared" si="105"/>
        <v>0.7</v>
      </c>
      <c r="R315" s="177">
        <f t="shared" si="106"/>
        <v>0.79914919569874576</v>
      </c>
      <c r="S315" s="817">
        <f t="shared" si="107"/>
        <v>-1</v>
      </c>
      <c r="T315" s="176">
        <f t="shared" si="108"/>
        <v>5</v>
      </c>
      <c r="U315" s="251">
        <f t="shared" si="109"/>
        <v>-0.20085080430125424</v>
      </c>
      <c r="V315" s="383">
        <f t="shared" si="110"/>
        <v>18.897310870915085</v>
      </c>
      <c r="W315" s="402">
        <f t="shared" si="111"/>
        <v>0</v>
      </c>
      <c r="X315" s="157">
        <f t="shared" si="112"/>
        <v>44862</v>
      </c>
      <c r="Y315" s="385">
        <f t="shared" si="113"/>
        <v>10.088353086380307</v>
      </c>
      <c r="Z315" s="385">
        <f t="shared" si="114"/>
        <v>10.460297893063366</v>
      </c>
      <c r="AA315" s="386">
        <f t="shared" si="115"/>
        <v>12.081415281191051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0.13418273856139357</v>
      </c>
      <c r="AD315" s="231">
        <f>(INDEX(Models!$BJ315:$BT315,,AH315)*(1-AF315)+INDEX(Models!$BJ315:$BT315,,AH315+1)*AF315-ERP_i)*AE315*Ramure*Pc/MaxiM</f>
        <v>3.6520095945705704E-2</v>
      </c>
      <c r="AE315" s="305">
        <f t="shared" si="117"/>
        <v>0.7</v>
      </c>
      <c r="AF315" s="177">
        <f t="shared" si="118"/>
        <v>0.79914919569874576</v>
      </c>
      <c r="AG315" s="817">
        <f t="shared" si="124"/>
        <v>-1</v>
      </c>
      <c r="AH315" s="176">
        <f t="shared" si="119"/>
        <v>5</v>
      </c>
      <c r="AI315" s="225">
        <f t="shared" si="120"/>
        <v>-0.20085080430125424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44863</v>
      </c>
      <c r="B316" s="1106">
        <v>15.399000000000001</v>
      </c>
      <c r="C316" s="846"/>
      <c r="D316" s="393">
        <f t="shared" si="102"/>
        <v>15.967091355516407</v>
      </c>
      <c r="E316" s="385">
        <f t="shared" si="125"/>
        <v>17.550301559840083</v>
      </c>
      <c r="F316" s="385">
        <f t="shared" si="103"/>
        <v>18.063917561707093</v>
      </c>
      <c r="G316" s="110">
        <f t="shared" si="126"/>
        <v>0.82006208428902705</v>
      </c>
      <c r="H316" s="414" t="b">
        <f>Wh_hp&gt;='2021'!Maxi_hp</f>
        <v>1</v>
      </c>
      <c r="I316" s="380">
        <f>IF(H316,Wh_hp,'2021'!Maxi_hp)</f>
        <v>18.063917561707093</v>
      </c>
      <c r="J316" s="85">
        <f>IF(H316,An,'2021'!An_max)</f>
        <v>2022</v>
      </c>
      <c r="K316" s="197">
        <f t="shared" si="104"/>
        <v>44863</v>
      </c>
      <c r="L316" s="147">
        <f>IF(t&lt;Tvie,1-EXP((T0-t)*PertePVj)+'2021'!Pspv,1-EXP((T0-t)*PertePVj)+Pspv)</f>
        <v>3.5578888030858513E-2</v>
      </c>
      <c r="M316" s="850"/>
      <c r="N316" s="850"/>
      <c r="O316" s="48">
        <f>IF(t&lt;Tnet,'2021'!Resal+('2021'!Salim-'2021'!Resal)*(1-EXP(('2021'!Tnet-t)/('2021'!Tau_j))),Resal+(Salim-Resal)*(1-EXP((Tnet-t)/(Tau_j))))*Salcycl</f>
        <v>9.0209857587091144E-2</v>
      </c>
      <c r="P316" s="339">
        <f>(INDEX(Models!$BJ316:$BT316,,T316)*(1-R316)+INDEX(Models!$BJ316:$BT316,,T316+1)*R316-ERP_i)*Q316*Ramure*Pc/MaxiM</f>
        <v>3.7698610323621554E-2</v>
      </c>
      <c r="Q316" s="305">
        <f t="shared" si="105"/>
        <v>0.7</v>
      </c>
      <c r="R316" s="177">
        <f t="shared" si="106"/>
        <v>0.79918733724895175</v>
      </c>
      <c r="S316" s="817">
        <f t="shared" si="107"/>
        <v>-1</v>
      </c>
      <c r="T316" s="176">
        <f t="shared" si="108"/>
        <v>5</v>
      </c>
      <c r="U316" s="251">
        <f t="shared" si="109"/>
        <v>-0.20081266275104825</v>
      </c>
      <c r="V316" s="383">
        <f t="shared" si="110"/>
        <v>18.59877149430304</v>
      </c>
      <c r="W316" s="402">
        <f t="shared" si="111"/>
        <v>0</v>
      </c>
      <c r="X316" s="157">
        <f t="shared" si="112"/>
        <v>44863</v>
      </c>
      <c r="Y316" s="385">
        <f t="shared" si="113"/>
        <v>14.655848024610979</v>
      </c>
      <c r="Z316" s="385">
        <f t="shared" si="114"/>
        <v>15.196523430192102</v>
      </c>
      <c r="AA316" s="386">
        <f t="shared" si="115"/>
        <v>17.550301559840083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0.13411610744251104</v>
      </c>
      <c r="AD316" s="231">
        <f>(INDEX(Models!$BJ316:$BT316,,AH316)*(1-AF316)+INDEX(Models!$BJ316:$BT316,,AH316+1)*AF316-ERP_i)*AE316*Ramure*Pc/MaxiM</f>
        <v>3.7698610323621554E-2</v>
      </c>
      <c r="AE316" s="305">
        <f t="shared" si="117"/>
        <v>0.7</v>
      </c>
      <c r="AF316" s="177">
        <f t="shared" si="118"/>
        <v>0.79918733724895175</v>
      </c>
      <c r="AG316" s="817">
        <f t="shared" si="124"/>
        <v>-1</v>
      </c>
      <c r="AH316" s="176">
        <f t="shared" si="119"/>
        <v>5</v>
      </c>
      <c r="AI316" s="225">
        <f t="shared" si="120"/>
        <v>-0.20081266275104825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44864</v>
      </c>
      <c r="B317" s="1106">
        <v>12.926</v>
      </c>
      <c r="C317" s="846"/>
      <c r="D317" s="393">
        <f t="shared" si="102"/>
        <v>13.403152376436502</v>
      </c>
      <c r="E317" s="385">
        <f t="shared" si="125"/>
        <v>14.732520020348783</v>
      </c>
      <c r="F317" s="385">
        <f t="shared" si="103"/>
        <v>15.072693448485985</v>
      </c>
      <c r="G317" s="110">
        <f t="shared" si="126"/>
        <v>0.69466970123884486</v>
      </c>
      <c r="H317" s="414" t="b">
        <f>Wh_hp&gt;='2021'!Maxi_hp</f>
        <v>0</v>
      </c>
      <c r="I317" s="380">
        <f>IF(H317,Wh_hp,'2021'!Maxi_hp)</f>
        <v>19.915918764671726</v>
      </c>
      <c r="J317" s="85">
        <f>IF(H317,An,'2021'!An_max)</f>
        <v>2018</v>
      </c>
      <c r="K317" s="197">
        <f t="shared" si="104"/>
        <v>44864</v>
      </c>
      <c r="L317" s="147">
        <f>IF(t&lt;Tvie,1-EXP((T0-t)*PertePVj)+'2021'!Pspv,1-EXP((T0-t)*PertePVj)+Pspv)</f>
        <v>3.5600011328332237E-2</v>
      </c>
      <c r="M317" s="850"/>
      <c r="N317" s="850"/>
      <c r="O317" s="48">
        <f>IF(t&lt;Tnet,'2021'!Resal+('2021'!Salim-'2021'!Resal)*(1-EXP(('2021'!Tnet-t)/('2021'!Tau_j))),Resal+(Salim-Resal)*(1-EXP((Tnet-t)/(Tau_j))))*Salcycl</f>
        <v>9.0233554210422826E-2</v>
      </c>
      <c r="P317" s="339">
        <f>(INDEX(Models!$BJ317:$BT317,,T317)*(1-R317)+INDEX(Models!$BJ317:$BT317,,T317+1)*R317-ERP_i)*Q317*Ramure*Pc/MaxiM</f>
        <v>3.8868679562548213E-2</v>
      </c>
      <c r="Q317" s="305">
        <f t="shared" si="105"/>
        <v>0.7</v>
      </c>
      <c r="R317" s="177">
        <f t="shared" si="106"/>
        <v>0.7992239522445268</v>
      </c>
      <c r="S317" s="817">
        <f t="shared" si="107"/>
        <v>-1</v>
      </c>
      <c r="T317" s="176">
        <f t="shared" si="108"/>
        <v>5</v>
      </c>
      <c r="U317" s="251">
        <f t="shared" si="109"/>
        <v>-0.20077604775547314</v>
      </c>
      <c r="V317" s="383">
        <f t="shared" si="110"/>
        <v>18.297103760168785</v>
      </c>
      <c r="W317" s="402">
        <f t="shared" si="111"/>
        <v>0</v>
      </c>
      <c r="X317" s="157">
        <f t="shared" si="112"/>
        <v>44864</v>
      </c>
      <c r="Y317" s="385">
        <f t="shared" si="113"/>
        <v>12.303469092185054</v>
      </c>
      <c r="Z317" s="385">
        <f t="shared" si="114"/>
        <v>12.757641265769237</v>
      </c>
      <c r="AA317" s="386">
        <f t="shared" si="115"/>
        <v>14.732520020348783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0.13404894423030225</v>
      </c>
      <c r="AD317" s="231">
        <f>(INDEX(Models!$BJ317:$BT317,,AH317)*(1-AF317)+INDEX(Models!$BJ317:$BT317,,AH317+1)*AF317-ERP_i)*AE317*Ramure*Pc/MaxiM</f>
        <v>3.8868679562548213E-2</v>
      </c>
      <c r="AE317" s="305">
        <f t="shared" si="117"/>
        <v>0.7</v>
      </c>
      <c r="AF317" s="177">
        <f t="shared" si="118"/>
        <v>0.7992239522445268</v>
      </c>
      <c r="AG317" s="817">
        <f t="shared" si="124"/>
        <v>-1</v>
      </c>
      <c r="AH317" s="176">
        <f t="shared" si="119"/>
        <v>5</v>
      </c>
      <c r="AI317" s="225">
        <f t="shared" si="120"/>
        <v>-0.20077604775547314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44865</v>
      </c>
      <c r="B318" s="1106">
        <v>12.252000000000001</v>
      </c>
      <c r="C318" s="846"/>
      <c r="D318" s="393">
        <f t="shared" si="102"/>
        <v>12.704550497763362</v>
      </c>
      <c r="E318" s="385">
        <f t="shared" si="125"/>
        <v>13.964985232307553</v>
      </c>
      <c r="F318" s="385">
        <f t="shared" si="103"/>
        <v>14.275726185420737</v>
      </c>
      <c r="G318" s="110">
        <f t="shared" si="126"/>
        <v>0.66835141930321507</v>
      </c>
      <c r="H318" s="414" t="b">
        <f>Wh_hp&gt;='2021'!Maxi_hp</f>
        <v>0</v>
      </c>
      <c r="I318" s="380">
        <f>IF(H318,Wh_hp,'2021'!Maxi_hp)</f>
        <v>21.044547034866937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3.5621134163151491E-2</v>
      </c>
      <c r="M318" s="850"/>
      <c r="N318" s="850"/>
      <c r="O318" s="48">
        <f>IF(t&lt;Tnet,'2021'!Resal+('2021'!Salim-'2021'!Resal)*(1-EXP(('2021'!Tnet-t)/('2021'!Tau_j))),Resal+(Salim-Resal)*(1-EXP((Tnet-t)/(Tau_j))))*Salcycl</f>
        <v>9.0256789647597674E-2</v>
      </c>
      <c r="P318" s="339">
        <f>(INDEX(Models!$BJ318:$BT318,,T318)*(1-R318)+INDEX(Models!$BJ318:$BT318,,T318+1)*R318-ERP_i)*Q318*Ramure*Pc/MaxiM</f>
        <v>3.998816196170802E-2</v>
      </c>
      <c r="Q318" s="305">
        <f t="shared" si="105"/>
        <v>0.7</v>
      </c>
      <c r="R318" s="177">
        <f t="shared" si="106"/>
        <v>0.79925910143129064</v>
      </c>
      <c r="S318" s="817">
        <f t="shared" si="107"/>
        <v>-1</v>
      </c>
      <c r="T318" s="176">
        <f t="shared" si="108"/>
        <v>5</v>
      </c>
      <c r="U318" s="251">
        <f t="shared" si="109"/>
        <v>-0.20074089856870936</v>
      </c>
      <c r="V318" s="383">
        <f t="shared" si="110"/>
        <v>17.99021818654591</v>
      </c>
      <c r="W318" s="402">
        <f t="shared" si="111"/>
        <v>0</v>
      </c>
      <c r="X318" s="157">
        <f t="shared" si="112"/>
        <v>44865</v>
      </c>
      <c r="Y318" s="385">
        <f t="shared" si="113"/>
        <v>11.663137482521822</v>
      </c>
      <c r="Z318" s="385">
        <f t="shared" si="114"/>
        <v>12.093937243638193</v>
      </c>
      <c r="AA318" s="386">
        <f t="shared" si="115"/>
        <v>13.964985232307553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0.13398137968243251</v>
      </c>
      <c r="AD318" s="231">
        <f>(INDEX(Models!$BJ318:$BT318,,AH318)*(1-AF318)+INDEX(Models!$BJ318:$BT318,,AH318+1)*AF318-ERP_i)*AE318*Ramure*Pc/MaxiM</f>
        <v>3.998816196170802E-2</v>
      </c>
      <c r="AE318" s="305">
        <f t="shared" si="117"/>
        <v>0.7</v>
      </c>
      <c r="AF318" s="177">
        <f t="shared" si="118"/>
        <v>0.79925910143129064</v>
      </c>
      <c r="AG318" s="817">
        <f t="shared" si="124"/>
        <v>-1</v>
      </c>
      <c r="AH318" s="176">
        <f t="shared" si="119"/>
        <v>5</v>
      </c>
      <c r="AI318" s="225">
        <f t="shared" si="120"/>
        <v>-0.20074089856870936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44866</v>
      </c>
      <c r="B319" s="1106">
        <v>13.074</v>
      </c>
      <c r="C319" s="846"/>
      <c r="D319" s="393">
        <f t="shared" si="102"/>
        <v>13.557209540339972</v>
      </c>
      <c r="E319" s="385">
        <f t="shared" si="125"/>
        <v>14.902612212208474</v>
      </c>
      <c r="F319" s="385">
        <f t="shared" si="103"/>
        <v>15.297007332339952</v>
      </c>
      <c r="G319" s="110">
        <f t="shared" si="126"/>
        <v>0.72790100476787956</v>
      </c>
      <c r="H319" s="414" t="b">
        <f>Wh_hp&gt;='2021'!Maxi_hp</f>
        <v>0</v>
      </c>
      <c r="I319" s="380">
        <f>IF(H319,Wh_hp,'2021'!Maxi_hp)</f>
        <v>19.702358339343263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3.5642256535326378E-2</v>
      </c>
      <c r="M319" s="850"/>
      <c r="N319" s="850"/>
      <c r="O319" s="48">
        <f>IF(t&lt;Tnet,'2021'!Resal+('2021'!Salim-'2021'!Resal)*(1-EXP(('2021'!Tnet-t)/('2021'!Tau_j))),Resal+(Salim-Resal)*(1-EXP((Tnet-t)/(Tau_j))))*Salcycl</f>
        <v>9.0279653842587751E-2</v>
      </c>
      <c r="P319" s="339">
        <f>(INDEX(Models!$BJ319:$BT319,,T319)*(1-R319)+INDEX(Models!$BJ319:$BT319,,T319+1)*R319-ERP_i)*Q319*Ramure*Pc/MaxiM</f>
        <v>4.1064195928423246E-2</v>
      </c>
      <c r="Q319" s="305">
        <f t="shared" si="105"/>
        <v>0.7</v>
      </c>
      <c r="R319" s="177">
        <f t="shared" si="106"/>
        <v>0.79929284316553284</v>
      </c>
      <c r="S319" s="817">
        <f t="shared" si="107"/>
        <v>-1</v>
      </c>
      <c r="T319" s="176">
        <f t="shared" si="108"/>
        <v>5</v>
      </c>
      <c r="U319" s="251">
        <f t="shared" si="109"/>
        <v>-0.20070715683446722</v>
      </c>
      <c r="V319" s="383">
        <f t="shared" si="110"/>
        <v>17.679491528370384</v>
      </c>
      <c r="W319" s="402">
        <f t="shared" si="111"/>
        <v>0</v>
      </c>
      <c r="X319" s="157">
        <f t="shared" si="112"/>
        <v>44866</v>
      </c>
      <c r="Y319" s="385">
        <f t="shared" si="113"/>
        <v>12.446917701862139</v>
      </c>
      <c r="Z319" s="385">
        <f t="shared" si="114"/>
        <v>12.906950544249034</v>
      </c>
      <c r="AA319" s="386">
        <f t="shared" si="115"/>
        <v>14.902612212208474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0.13391354747354697</v>
      </c>
      <c r="AD319" s="231">
        <f>(INDEX(Models!$BJ319:$BT319,,AH319)*(1-AF319)+INDEX(Models!$BJ319:$BT319,,AH319+1)*AF319-ERP_i)*AE319*Ramure*Pc/MaxiM</f>
        <v>4.1064195928423246E-2</v>
      </c>
      <c r="AE319" s="305">
        <f t="shared" si="117"/>
        <v>0.7</v>
      </c>
      <c r="AF319" s="177">
        <f t="shared" si="118"/>
        <v>0.79929284316553284</v>
      </c>
      <c r="AG319" s="817">
        <f t="shared" si="124"/>
        <v>-1</v>
      </c>
      <c r="AH319" s="176">
        <f t="shared" si="119"/>
        <v>5</v>
      </c>
      <c r="AI319" s="225">
        <f t="shared" si="120"/>
        <v>-0.20070715683446722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44867</v>
      </c>
      <c r="B320" s="1106">
        <v>15.146000000000001</v>
      </c>
      <c r="C320" s="846"/>
      <c r="D320" s="393">
        <f t="shared" si="102"/>
        <v>15.706133793378994</v>
      </c>
      <c r="E320" s="385">
        <f t="shared" si="125"/>
        <v>17.265221988892002</v>
      </c>
      <c r="F320" s="385">
        <f t="shared" si="103"/>
        <v>17.880381431930342</v>
      </c>
      <c r="G320" s="110">
        <f t="shared" si="126"/>
        <v>0.86519430357802551</v>
      </c>
      <c r="H320" s="414" t="b">
        <f>Wh_hp&gt;='2021'!Maxi_hp</f>
        <v>0</v>
      </c>
      <c r="I320" s="380">
        <f>IF(H320,Wh_hp,'2021'!Maxi_hp)</f>
        <v>18.470798370056769</v>
      </c>
      <c r="J320" s="85">
        <f>IF(H320,An,'2021'!An_max)</f>
        <v>2020</v>
      </c>
      <c r="K320" s="197">
        <f t="shared" si="104"/>
        <v>44867</v>
      </c>
      <c r="L320" s="147">
        <f>IF(t&lt;Tvie,1-EXP((T0-t)*PertePVj)+'2021'!Pspv,1-EXP((T0-t)*PertePVj)+Pspv)</f>
        <v>3.5663378444867222E-2</v>
      </c>
      <c r="M320" s="850"/>
      <c r="N320" s="850"/>
      <c r="O320" s="48">
        <f>IF(t&lt;Tnet,'2021'!Resal+('2021'!Salim-'2021'!Resal)*(1-EXP(('2021'!Tnet-t)/('2021'!Tau_j))),Resal+(Salim-Resal)*(1-EXP((Tnet-t)/(Tau_j))))*Salcycl</f>
        <v>9.0302238599427528E-2</v>
      </c>
      <c r="P320" s="339">
        <f>(INDEX(Models!$BJ320:$BT320,,T320)*(1-R320)+INDEX(Models!$BJ320:$BT320,,T320+1)*R320-ERP_i)*Q320*Ramure*Pc/MaxiM</f>
        <v>4.2092777235260177E-2</v>
      </c>
      <c r="Q320" s="305">
        <f t="shared" si="105"/>
        <v>0.7</v>
      </c>
      <c r="R320" s="177">
        <f t="shared" si="106"/>
        <v>0.79932523350582363</v>
      </c>
      <c r="S320" s="817">
        <f t="shared" si="107"/>
        <v>-1</v>
      </c>
      <c r="T320" s="176">
        <f t="shared" si="108"/>
        <v>5</v>
      </c>
      <c r="U320" s="251">
        <f t="shared" si="109"/>
        <v>-0.20067476649417632</v>
      </c>
      <c r="V320" s="383">
        <f t="shared" si="110"/>
        <v>17.366502429967007</v>
      </c>
      <c r="W320" s="402">
        <f t="shared" si="111"/>
        <v>0</v>
      </c>
      <c r="X320" s="157">
        <f t="shared" si="112"/>
        <v>44867</v>
      </c>
      <c r="Y320" s="385">
        <f t="shared" si="113"/>
        <v>14.421025693369467</v>
      </c>
      <c r="Z320" s="385">
        <f t="shared" si="114"/>
        <v>14.954348275308128</v>
      </c>
      <c r="AA320" s="386">
        <f t="shared" si="115"/>
        <v>17.265221988892002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0.13384558362879029</v>
      </c>
      <c r="AD320" s="231">
        <f>(INDEX(Models!$BJ320:$BT320,,AH320)*(1-AF320)+INDEX(Models!$BJ320:$BT320,,AH320+1)*AF320-ERP_i)*AE320*Ramure*Pc/MaxiM</f>
        <v>4.2092777235260177E-2</v>
      </c>
      <c r="AE320" s="305">
        <f t="shared" si="117"/>
        <v>0.7</v>
      </c>
      <c r="AF320" s="177">
        <f t="shared" si="118"/>
        <v>0.79932523350582363</v>
      </c>
      <c r="AG320" s="817">
        <f t="shared" si="124"/>
        <v>-1</v>
      </c>
      <c r="AH320" s="176">
        <f t="shared" si="119"/>
        <v>5</v>
      </c>
      <c r="AI320" s="225">
        <f t="shared" si="120"/>
        <v>-0.20067476649417632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44868</v>
      </c>
      <c r="B321" s="1106">
        <v>5.6980000000000004</v>
      </c>
      <c r="C321" s="846"/>
      <c r="D321" s="393">
        <f t="shared" si="102"/>
        <v>5.9088545184232411</v>
      </c>
      <c r="E321" s="385">
        <f t="shared" si="125"/>
        <v>6.4955639780853733</v>
      </c>
      <c r="F321" s="385">
        <f t="shared" si="103"/>
        <v>6.509236172870593</v>
      </c>
      <c r="G321" s="110">
        <f t="shared" si="126"/>
        <v>0.32042006345667634</v>
      </c>
      <c r="H321" s="414" t="b">
        <f>Wh_hp&gt;='2021'!Maxi_hp</f>
        <v>0</v>
      </c>
      <c r="I321" s="380">
        <f>IF(H321,Wh_hp,'2021'!Maxi_hp)</f>
        <v>19.194337554419008</v>
      </c>
      <c r="J321" s="85">
        <f>IF(H321,An,'2021'!An_max)</f>
        <v>2020</v>
      </c>
      <c r="K321" s="197">
        <f t="shared" si="104"/>
        <v>44868</v>
      </c>
      <c r="L321" s="147">
        <f>IF(t&lt;Tvie,1-EXP((T0-t)*PertePVj)+'2021'!Pspv,1-EXP((T0-t)*PertePVj)+Pspv)</f>
        <v>3.5684499891783905E-2</v>
      </c>
      <c r="M321" s="850"/>
      <c r="N321" s="850"/>
      <c r="O321" s="48">
        <f>IF(t&lt;Tnet,'2021'!Resal+('2021'!Salim-'2021'!Resal)*(1-EXP(('2021'!Tnet-t)/('2021'!Tau_j))),Resal+(Salim-Resal)*(1-EXP((Tnet-t)/(Tau_j))))*Salcycl</f>
        <v>9.0324637189559409E-2</v>
      </c>
      <c r="P321" s="339">
        <f>(INDEX(Models!$BJ321:$BT321,,T321)*(1-R321)+INDEX(Models!$BJ321:$BT321,,T321+1)*R321-ERP_i)*Q321*Ramure*Pc/MaxiM</f>
        <v>4.3069202807939078E-2</v>
      </c>
      <c r="Q321" s="305">
        <f t="shared" si="105"/>
        <v>0.7</v>
      </c>
      <c r="R321" s="177">
        <f t="shared" si="106"/>
        <v>0.79935632630147047</v>
      </c>
      <c r="S321" s="817">
        <f t="shared" si="107"/>
        <v>-1</v>
      </c>
      <c r="T321" s="176">
        <f t="shared" si="108"/>
        <v>5</v>
      </c>
      <c r="U321" s="251">
        <f t="shared" si="109"/>
        <v>-0.20064367369852948</v>
      </c>
      <c r="V321" s="383">
        <f t="shared" si="110"/>
        <v>17.052829079701223</v>
      </c>
      <c r="W321" s="402">
        <f t="shared" si="111"/>
        <v>0</v>
      </c>
      <c r="X321" s="157">
        <f t="shared" si="112"/>
        <v>44868</v>
      </c>
      <c r="Y321" s="385">
        <f t="shared" si="113"/>
        <v>5.4258203411956298</v>
      </c>
      <c r="Z321" s="385">
        <f t="shared" si="114"/>
        <v>5.6266028499871057</v>
      </c>
      <c r="AA321" s="386">
        <f t="shared" si="115"/>
        <v>6.4955639780853733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0.13377762593516962</v>
      </c>
      <c r="AD321" s="231">
        <f>(INDEX(Models!$BJ321:$BT321,,AH321)*(1-AF321)+INDEX(Models!$BJ321:$BT321,,AH321+1)*AF321-ERP_i)*AE321*Ramure*Pc/MaxiM</f>
        <v>4.3069202807939078E-2</v>
      </c>
      <c r="AE321" s="305">
        <f t="shared" si="117"/>
        <v>0.7</v>
      </c>
      <c r="AF321" s="177">
        <f t="shared" si="118"/>
        <v>0.79935632630147047</v>
      </c>
      <c r="AG321" s="817">
        <f t="shared" si="124"/>
        <v>-1</v>
      </c>
      <c r="AH321" s="176">
        <f t="shared" si="119"/>
        <v>5</v>
      </c>
      <c r="AI321" s="225">
        <f t="shared" si="120"/>
        <v>-0.20064367369852948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44869</v>
      </c>
      <c r="B322" s="1106">
        <v>8.1530000000000005</v>
      </c>
      <c r="C322" s="846"/>
      <c r="D322" s="393">
        <f t="shared" si="102"/>
        <v>8.454886989393442</v>
      </c>
      <c r="E322" s="385">
        <f t="shared" si="125"/>
        <v>9.294628246576579</v>
      </c>
      <c r="F322" s="385">
        <f t="shared" si="103"/>
        <v>9.4051703041123957</v>
      </c>
      <c r="G322" s="110">
        <f t="shared" si="126"/>
        <v>0.47114943405231363</v>
      </c>
      <c r="H322" s="414" t="b">
        <f>Wh_hp&gt;='2021'!Maxi_hp</f>
        <v>0</v>
      </c>
      <c r="I322" s="380">
        <f>IF(H322,Wh_hp,'2021'!Maxi_hp)</f>
        <v>14.185805406628766</v>
      </c>
      <c r="J322" s="85">
        <f>IF(H322,An,'2021'!An_max)</f>
        <v>2018</v>
      </c>
      <c r="K322" s="197">
        <f t="shared" si="104"/>
        <v>44869</v>
      </c>
      <c r="L322" s="147">
        <f>IF(t&lt;Tvie,1-EXP((T0-t)*PertePVj)+'2021'!Pspv,1-EXP((T0-t)*PertePVj)+Pspv)</f>
        <v>3.5705620876086752E-2</v>
      </c>
      <c r="M322" s="850"/>
      <c r="N322" s="850"/>
      <c r="O322" s="48">
        <f>IF(t&lt;Tnet,'2021'!Resal+('2021'!Salim-'2021'!Resal)*(1-EXP(('2021'!Tnet-t)/('2021'!Tau_j))),Resal+(Salim-Resal)*(1-EXP((Tnet-t)/(Tau_j))))*Salcycl</f>
        <v>9.0346943945007502E-2</v>
      </c>
      <c r="P322" s="339">
        <f>(INDEX(Models!$BJ322:$BT322,,T322)*(1-R322)+INDEX(Models!$BJ322:$BT322,,T322+1)*R322-ERP_i)*Q322*Ramure*Pc/MaxiM</f>
        <v>4.3988042547462351E-2</v>
      </c>
      <c r="Q322" s="305">
        <f t="shared" si="105"/>
        <v>0.7</v>
      </c>
      <c r="R322" s="177">
        <f t="shared" si="106"/>
        <v>0.79938617327772798</v>
      </c>
      <c r="S322" s="817">
        <f t="shared" si="107"/>
        <v>-1</v>
      </c>
      <c r="T322" s="176">
        <f t="shared" si="108"/>
        <v>5</v>
      </c>
      <c r="U322" s="251">
        <f t="shared" si="109"/>
        <v>-0.20061382672227202</v>
      </c>
      <c r="V322" s="383">
        <f t="shared" si="110"/>
        <v>16.740049298912133</v>
      </c>
      <c r="W322" s="402">
        <f t="shared" si="111"/>
        <v>0</v>
      </c>
      <c r="X322" s="157">
        <f t="shared" si="112"/>
        <v>44869</v>
      </c>
      <c r="Y322" s="385">
        <f t="shared" si="113"/>
        <v>7.7643491052655289</v>
      </c>
      <c r="Z322" s="385">
        <f t="shared" si="114"/>
        <v>8.0518452387119002</v>
      </c>
      <c r="AA322" s="386">
        <f t="shared" si="115"/>
        <v>9.294628246576579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0.13370981333464577</v>
      </c>
      <c r="AD322" s="231">
        <f>(INDEX(Models!$BJ322:$BT322,,AH322)*(1-AF322)+INDEX(Models!$BJ322:$BT322,,AH322+1)*AF322-ERP_i)*AE322*Ramure*Pc/MaxiM</f>
        <v>4.3988042547462351E-2</v>
      </c>
      <c r="AE322" s="305">
        <f t="shared" si="117"/>
        <v>0.7</v>
      </c>
      <c r="AF322" s="177">
        <f t="shared" si="118"/>
        <v>0.79938617327772798</v>
      </c>
      <c r="AG322" s="817">
        <f t="shared" si="124"/>
        <v>-1</v>
      </c>
      <c r="AH322" s="176">
        <f t="shared" si="119"/>
        <v>5</v>
      </c>
      <c r="AI322" s="225">
        <f t="shared" si="120"/>
        <v>-0.20061382672227202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44870</v>
      </c>
      <c r="B323" s="1106">
        <v>16.734999999999999</v>
      </c>
      <c r="C323" s="846"/>
      <c r="D323" s="393">
        <f t="shared" si="102"/>
        <v>17.355038989942155</v>
      </c>
      <c r="E323" s="385">
        <f t="shared" si="125"/>
        <v>19.079213255717033</v>
      </c>
      <c r="F323" s="385">
        <f t="shared" si="103"/>
        <v>19.974952359032539</v>
      </c>
      <c r="G323" s="110">
        <f t="shared" si="126"/>
        <v>1.0185796826480094</v>
      </c>
      <c r="H323" s="414" t="b">
        <f>Wh_hp&gt;='2021'!Maxi_hp</f>
        <v>1</v>
      </c>
      <c r="I323" s="380">
        <f>IF(H323,Wh_hp,'2021'!Maxi_hp)</f>
        <v>19.974952359032539</v>
      </c>
      <c r="J323" s="85">
        <f>IF(H323,An,'2021'!An_max)</f>
        <v>2022</v>
      </c>
      <c r="K323" s="197">
        <f t="shared" si="104"/>
        <v>44870</v>
      </c>
      <c r="L323" s="147">
        <f>IF(t&lt;Tvie,1-EXP((T0-t)*PertePVj)+'2021'!Pspv,1-EXP((T0-t)*PertePVj)+Pspv)</f>
        <v>3.5726741397785866E-2</v>
      </c>
      <c r="M323" s="850"/>
      <c r="N323" s="850"/>
      <c r="O323" s="48">
        <f>IF(t&lt;Tnet,'2021'!Resal+('2021'!Salim-'2021'!Resal)*(1-EXP(('2021'!Tnet-t)/('2021'!Tau_j))),Resal+(Salim-Resal)*(1-EXP((Tnet-t)/(Tau_j))))*Salcycl</f>
        <v>9.036925384007824E-2</v>
      </c>
      <c r="P323" s="339">
        <f>(INDEX(Models!$BJ323:$BT323,,T323)*(1-R323)+INDEX(Models!$BJ323:$BT323,,T323+1)*R323-ERP_i)*Q323*Ramure*Pc/MaxiM</f>
        <v>4.4843115879095355E-2</v>
      </c>
      <c r="Q323" s="305">
        <f t="shared" si="105"/>
        <v>0.7</v>
      </c>
      <c r="R323" s="177">
        <f t="shared" si="106"/>
        <v>0.79941482411786913</v>
      </c>
      <c r="S323" s="817">
        <f t="shared" si="107"/>
        <v>-1</v>
      </c>
      <c r="T323" s="176">
        <f t="shared" si="108"/>
        <v>5</v>
      </c>
      <c r="U323" s="251">
        <f t="shared" si="109"/>
        <v>-0.20058517588213093</v>
      </c>
      <c r="V323" s="383">
        <f t="shared" si="110"/>
        <v>16.429740633048851</v>
      </c>
      <c r="W323" s="402">
        <f t="shared" si="111"/>
        <v>0</v>
      </c>
      <c r="X323" s="157">
        <f t="shared" si="112"/>
        <v>44870</v>
      </c>
      <c r="Y323" s="385">
        <f t="shared" si="113"/>
        <v>15.938881152226319</v>
      </c>
      <c r="Z323" s="385">
        <f t="shared" si="114"/>
        <v>16.529423594439312</v>
      </c>
      <c r="AA323" s="386">
        <f t="shared" si="115"/>
        <v>19.079213255717033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0.13364228530302127</v>
      </c>
      <c r="AD323" s="231">
        <f>(INDEX(Models!$BJ323:$BT323,,AH323)*(1-AF323)+INDEX(Models!$BJ323:$BT323,,AH323+1)*AF323-ERP_i)*AE323*Ramure*Pc/MaxiM</f>
        <v>4.4843115879095355E-2</v>
      </c>
      <c r="AE323" s="305">
        <f t="shared" si="117"/>
        <v>0.7</v>
      </c>
      <c r="AF323" s="177">
        <f t="shared" si="118"/>
        <v>0.79941482411786913</v>
      </c>
      <c r="AG323" s="817">
        <f t="shared" si="124"/>
        <v>-1</v>
      </c>
      <c r="AH323" s="176">
        <f t="shared" si="119"/>
        <v>5</v>
      </c>
      <c r="AI323" s="225">
        <f t="shared" si="120"/>
        <v>-0.20058517588213093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44871</v>
      </c>
      <c r="B324" s="1106">
        <v>15.936</v>
      </c>
      <c r="C324" s="846"/>
      <c r="D324" s="393">
        <f t="shared" si="102"/>
        <v>16.526797673560516</v>
      </c>
      <c r="E324" s="385">
        <f t="shared" si="125"/>
        <v>18.169136082315394</v>
      </c>
      <c r="F324" s="385">
        <f t="shared" si="103"/>
        <v>19.022619955261106</v>
      </c>
      <c r="G324" s="110">
        <f t="shared" si="126"/>
        <v>0.98758505097332372</v>
      </c>
      <c r="H324" s="414" t="b">
        <f>Wh_hp&gt;='2021'!Maxi_hp</f>
        <v>1</v>
      </c>
      <c r="I324" s="380">
        <f>IF(H324,Wh_hp,'2021'!Maxi_hp)</f>
        <v>19.022619955261106</v>
      </c>
      <c r="J324" s="85">
        <f>IF(H324,An,'2021'!An_max)</f>
        <v>2022</v>
      </c>
      <c r="K324" s="197">
        <f t="shared" si="104"/>
        <v>44871</v>
      </c>
      <c r="L324" s="147">
        <f>IF(t&lt;Tvie,1-EXP((T0-t)*PertePVj)+'2021'!Pspv,1-EXP((T0-t)*PertePVj)+Pspv)</f>
        <v>3.574786145689135E-2</v>
      </c>
      <c r="M324" s="850"/>
      <c r="N324" s="850"/>
      <c r="O324" s="48">
        <f>IF(t&lt;Tnet,'2021'!Resal+('2021'!Salim-'2021'!Resal)*(1-EXP(('2021'!Tnet-t)/('2021'!Tau_j))),Resal+(Salim-Resal)*(1-EXP((Tnet-t)/(Tau_j))))*Salcycl</f>
        <v>9.0391662064407005E-2</v>
      </c>
      <c r="P324" s="339">
        <f>(INDEX(Models!$BJ324:$BT324,,T324)*(1-R324)+INDEX(Models!$BJ324:$BT324,,T324+1)*R324-ERP_i)*Q324*Ramure*Pc/MaxiM</f>
        <v>4.5624846513230267E-2</v>
      </c>
      <c r="Q324" s="305">
        <f t="shared" si="105"/>
        <v>0.7</v>
      </c>
      <c r="R324" s="177">
        <f t="shared" si="106"/>
        <v>0.79944232654222125</v>
      </c>
      <c r="S324" s="817">
        <f t="shared" si="107"/>
        <v>-1</v>
      </c>
      <c r="T324" s="176">
        <f t="shared" si="108"/>
        <v>5</v>
      </c>
      <c r="U324" s="251">
        <f t="shared" si="109"/>
        <v>-0.20055767345777881</v>
      </c>
      <c r="V324" s="383">
        <f t="shared" si="110"/>
        <v>16.123524862809738</v>
      </c>
      <c r="W324" s="402">
        <f t="shared" si="111"/>
        <v>0</v>
      </c>
      <c r="X324" s="157">
        <f t="shared" si="112"/>
        <v>44871</v>
      </c>
      <c r="Y324" s="385">
        <f t="shared" si="113"/>
        <v>15.179440794741319</v>
      </c>
      <c r="Z324" s="385">
        <f t="shared" si="114"/>
        <v>15.742190437530146</v>
      </c>
      <c r="AA324" s="386">
        <f t="shared" si="115"/>
        <v>18.169136082315394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0.13357518121885129</v>
      </c>
      <c r="AD324" s="231">
        <f>(INDEX(Models!$BJ324:$BT324,,AH324)*(1-AF324)+INDEX(Models!$BJ324:$BT324,,AH324+1)*AF324-ERP_i)*AE324*Ramure*Pc/MaxiM</f>
        <v>4.5624846513230267E-2</v>
      </c>
      <c r="AE324" s="305">
        <f t="shared" si="117"/>
        <v>0.7</v>
      </c>
      <c r="AF324" s="177">
        <f t="shared" si="118"/>
        <v>0.79944232654222125</v>
      </c>
      <c r="AG324" s="817">
        <f t="shared" si="124"/>
        <v>-1</v>
      </c>
      <c r="AH324" s="176">
        <f t="shared" si="119"/>
        <v>5</v>
      </c>
      <c r="AI324" s="225">
        <f t="shared" si="120"/>
        <v>-0.20055767345777881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44872</v>
      </c>
      <c r="B325" s="1106">
        <v>15.297000000000001</v>
      </c>
      <c r="C325" s="846"/>
      <c r="D325" s="393">
        <f t="shared" si="102"/>
        <v>15.864455404796901</v>
      </c>
      <c r="E325" s="385">
        <f t="shared" si="125"/>
        <v>17.441407411923809</v>
      </c>
      <c r="F325" s="385">
        <f t="shared" si="103"/>
        <v>18.24735206974805</v>
      </c>
      <c r="G325" s="110">
        <f t="shared" si="126"/>
        <v>0.96457624256904029</v>
      </c>
      <c r="H325" s="414" t="b">
        <f>Wh_hp&gt;='2021'!Maxi_hp</f>
        <v>1</v>
      </c>
      <c r="I325" s="380">
        <f>IF(H325,Wh_hp,'2021'!Maxi_hp)</f>
        <v>18.24735206974805</v>
      </c>
      <c r="J325" s="85">
        <f>IF(H325,An,'2021'!An_max)</f>
        <v>2022</v>
      </c>
      <c r="K325" s="197">
        <f t="shared" si="104"/>
        <v>44872</v>
      </c>
      <c r="L325" s="147">
        <f>IF(t&lt;Tvie,1-EXP((T0-t)*PertePVj)+'2021'!Pspv,1-EXP((T0-t)*PertePVj)+Pspv)</f>
        <v>3.5768981053413307E-2</v>
      </c>
      <c r="M325" s="850"/>
      <c r="N325" s="850"/>
      <c r="O325" s="48">
        <f>IF(t&lt;Tnet,'2021'!Resal+('2021'!Salim-'2021'!Resal)*(1-EXP(('2021'!Tnet-t)/('2021'!Tau_j))),Resal+(Salim-Resal)*(1-EXP((Tnet-t)/(Tau_j))))*Salcycl</f>
        <v>9.0414263590266483E-2</v>
      </c>
      <c r="P325" s="339">
        <f>(INDEX(Models!$BJ325:$BT325,,T325)*(1-R325)+INDEX(Models!$BJ325:$BT325,,T325+1)*R325-ERP_i)*Q325*Ramure*Pc/MaxiM</f>
        <v>4.6366835624022364E-2</v>
      </c>
      <c r="Q325" s="305">
        <f t="shared" si="105"/>
        <v>0.7</v>
      </c>
      <c r="R325" s="177">
        <f t="shared" si="106"/>
        <v>0.79946872638426714</v>
      </c>
      <c r="S325" s="817">
        <f t="shared" si="107"/>
        <v>-1</v>
      </c>
      <c r="T325" s="176">
        <f t="shared" si="108"/>
        <v>5</v>
      </c>
      <c r="U325" s="251">
        <f t="shared" si="109"/>
        <v>-0.20053127361573286</v>
      </c>
      <c r="V325" s="383">
        <f t="shared" si="110"/>
        <v>15.822291315562838</v>
      </c>
      <c r="W325" s="402">
        <f t="shared" si="111"/>
        <v>0</v>
      </c>
      <c r="X325" s="157">
        <f t="shared" si="112"/>
        <v>44872</v>
      </c>
      <c r="Y325" s="385">
        <f t="shared" si="113"/>
        <v>14.572258345231676</v>
      </c>
      <c r="Z325" s="385">
        <f t="shared" si="114"/>
        <v>15.112828833438412</v>
      </c>
      <c r="AA325" s="386">
        <f t="shared" si="115"/>
        <v>17.441407411923809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0.13350863972671526</v>
      </c>
      <c r="AD325" s="231">
        <f>(INDEX(Models!$BJ325:$BT325,,AH325)*(1-AF325)+INDEX(Models!$BJ325:$BT325,,AH325+1)*AF325-ERP_i)*AE325*Ramure*Pc/MaxiM</f>
        <v>4.6366835624022364E-2</v>
      </c>
      <c r="AE325" s="305">
        <f t="shared" si="117"/>
        <v>0.7</v>
      </c>
      <c r="AF325" s="177">
        <f t="shared" si="118"/>
        <v>0.79946872638426714</v>
      </c>
      <c r="AG325" s="817">
        <f t="shared" si="124"/>
        <v>-1</v>
      </c>
      <c r="AH325" s="176">
        <f t="shared" si="119"/>
        <v>5</v>
      </c>
      <c r="AI325" s="225">
        <f t="shared" si="120"/>
        <v>-0.20053127361573286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44873</v>
      </c>
      <c r="B326" s="1106">
        <v>11.143000000000001</v>
      </c>
      <c r="C326" s="846"/>
      <c r="D326" s="393">
        <f t="shared" si="102"/>
        <v>11.556612312490538</v>
      </c>
      <c r="E326" s="385">
        <f t="shared" si="125"/>
        <v>12.705677620043051</v>
      </c>
      <c r="F326" s="385">
        <f t="shared" si="103"/>
        <v>13.072730030744214</v>
      </c>
      <c r="G326" s="110">
        <f t="shared" si="126"/>
        <v>0.70360689940933152</v>
      </c>
      <c r="H326" s="414" t="b">
        <f>Wh_hp&gt;='2021'!Maxi_hp</f>
        <v>0</v>
      </c>
      <c r="I326" s="380">
        <f>IF(H326,Wh_hp,'2021'!Maxi_hp)</f>
        <v>16.798255579370284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3.5790100187361951E-2</v>
      </c>
      <c r="M326" s="850"/>
      <c r="N326" s="850"/>
      <c r="O326" s="48">
        <f>IF(t&lt;Tnet,'2021'!Resal+('2021'!Salim-'2021'!Resal)*(1-EXP(('2021'!Tnet-t)/('2021'!Tau_j))),Resal+(Salim-Resal)*(1-EXP((Tnet-t)/(Tau_j))))*Salcycl</f>
        <v>9.0437152737125742E-2</v>
      </c>
      <c r="P326" s="339">
        <f>(INDEX(Models!$BJ326:$BT326,,T326)*(1-R326)+INDEX(Models!$BJ326:$BT326,,T326+1)*R326-ERP_i)*Q326*Ramure*Pc/MaxiM</f>
        <v>4.7062394660286583E-2</v>
      </c>
      <c r="Q326" s="305">
        <f t="shared" si="105"/>
        <v>0.7</v>
      </c>
      <c r="R326" s="177">
        <f t="shared" si="106"/>
        <v>0.79949406766391173</v>
      </c>
      <c r="S326" s="817">
        <f t="shared" si="107"/>
        <v>-1</v>
      </c>
      <c r="T326" s="176">
        <f t="shared" si="108"/>
        <v>5</v>
      </c>
      <c r="U326" s="251">
        <f t="shared" si="109"/>
        <v>-0.20050593233608821</v>
      </c>
      <c r="V326" s="383">
        <f t="shared" si="110"/>
        <v>15.527622618143587</v>
      </c>
      <c r="W326" s="402">
        <f t="shared" si="111"/>
        <v>0</v>
      </c>
      <c r="X326" s="157">
        <f t="shared" si="112"/>
        <v>44873</v>
      </c>
      <c r="Y326" s="385">
        <f t="shared" si="113"/>
        <v>10.616140412768079</v>
      </c>
      <c r="Z326" s="385">
        <f t="shared" si="114"/>
        <v>11.010196446677192</v>
      </c>
      <c r="AA326" s="386">
        <f t="shared" si="115"/>
        <v>12.705677620043051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0.13344279809927331</v>
      </c>
      <c r="AD326" s="231">
        <f>(INDEX(Models!$BJ326:$BT326,,AH326)*(1-AF326)+INDEX(Models!$BJ326:$BT326,,AH326+1)*AF326-ERP_i)*AE326*Ramure*Pc/MaxiM</f>
        <v>4.7062394660286583E-2</v>
      </c>
      <c r="AE326" s="305">
        <f t="shared" si="117"/>
        <v>0.7</v>
      </c>
      <c r="AF326" s="177">
        <f t="shared" si="118"/>
        <v>0.79949406766391173</v>
      </c>
      <c r="AG326" s="817">
        <f t="shared" si="124"/>
        <v>-1</v>
      </c>
      <c r="AH326" s="176">
        <f t="shared" si="119"/>
        <v>5</v>
      </c>
      <c r="AI326" s="225">
        <f t="shared" si="120"/>
        <v>-0.20050593233608821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44874</v>
      </c>
      <c r="B327" s="1106">
        <v>6.173</v>
      </c>
      <c r="C327" s="846"/>
      <c r="D327" s="393">
        <f t="shared" si="102"/>
        <v>6.4022732070097188</v>
      </c>
      <c r="E327" s="385">
        <f t="shared" si="125"/>
        <v>7.0390265218276573</v>
      </c>
      <c r="F327" s="385">
        <f t="shared" si="103"/>
        <v>7.0897694436728029</v>
      </c>
      <c r="G327" s="110">
        <f t="shared" si="126"/>
        <v>0.38848238662201867</v>
      </c>
      <c r="H327" s="414" t="b">
        <f>Wh_hp&gt;='2021'!Maxi_hp</f>
        <v>0</v>
      </c>
      <c r="I327" s="380">
        <f>IF(H327,Wh_hp,'2021'!Maxi_hp)</f>
        <v>13.987292778156712</v>
      </c>
      <c r="J327" s="85">
        <f>IF(H327,An,'2021'!An_max)</f>
        <v>2020</v>
      </c>
      <c r="K327" s="197">
        <f t="shared" si="104"/>
        <v>44874</v>
      </c>
      <c r="L327" s="147">
        <f>IF(t&lt;Tvie,1-EXP((T0-t)*PertePVj)+'2021'!Pspv,1-EXP((T0-t)*PertePVj)+Pspv)</f>
        <v>3.5811218858747274E-2</v>
      </c>
      <c r="M327" s="850"/>
      <c r="N327" s="850"/>
      <c r="O327" s="48">
        <f>IF(t&lt;Tnet,'2021'!Resal+('2021'!Salim-'2021'!Resal)*(1-EXP(('2021'!Tnet-t)/('2021'!Tau_j))),Resal+(Salim-Resal)*(1-EXP((Tnet-t)/(Tau_j))))*Salcycl</f>
        <v>9.0460422736496293E-2</v>
      </c>
      <c r="P327" s="339">
        <f>(INDEX(Models!$BJ327:$BT327,,T327)*(1-R327)+INDEX(Models!$BJ327:$BT327,,T327+1)*R327-ERP_i)*Q327*Ramure*Pc/MaxiM</f>
        <v>4.7704138399467071E-2</v>
      </c>
      <c r="Q327" s="305">
        <f t="shared" si="105"/>
        <v>0.7</v>
      </c>
      <c r="R327" s="177">
        <f t="shared" si="106"/>
        <v>0.79951839265800895</v>
      </c>
      <c r="S327" s="817">
        <f t="shared" si="107"/>
        <v>-1</v>
      </c>
      <c r="T327" s="176">
        <f t="shared" si="108"/>
        <v>5</v>
      </c>
      <c r="U327" s="251">
        <f t="shared" si="109"/>
        <v>-0.200481607341991</v>
      </c>
      <c r="V327" s="383">
        <f t="shared" si="110"/>
        <v>15.241101370412773</v>
      </c>
      <c r="W327" s="402">
        <f t="shared" si="111"/>
        <v>0</v>
      </c>
      <c r="X327" s="157">
        <f t="shared" si="112"/>
        <v>44874</v>
      </c>
      <c r="Y327" s="385">
        <f t="shared" si="113"/>
        <v>5.8817219461000603</v>
      </c>
      <c r="Z327" s="385">
        <f t="shared" si="114"/>
        <v>6.1001767093143489</v>
      </c>
      <c r="AA327" s="386">
        <f t="shared" si="115"/>
        <v>7.0390265218276573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0.13337779160257229</v>
      </c>
      <c r="AD327" s="231">
        <f>(INDEX(Models!$BJ327:$BT327,,AH327)*(1-AF327)+INDEX(Models!$BJ327:$BT327,,AH327+1)*AF327-ERP_i)*AE327*Ramure*Pc/MaxiM</f>
        <v>4.7704138399467071E-2</v>
      </c>
      <c r="AE327" s="305">
        <f t="shared" si="117"/>
        <v>0.7</v>
      </c>
      <c r="AF327" s="177">
        <f t="shared" si="118"/>
        <v>0.79951839265800895</v>
      </c>
      <c r="AG327" s="817">
        <f t="shared" si="124"/>
        <v>-1</v>
      </c>
      <c r="AH327" s="176">
        <f t="shared" si="119"/>
        <v>5</v>
      </c>
      <c r="AI327" s="225">
        <f t="shared" si="120"/>
        <v>-0.200481607341991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44875</v>
      </c>
      <c r="B328" s="1106">
        <v>11.846</v>
      </c>
      <c r="C328" s="846"/>
      <c r="D328" s="393">
        <f t="shared" si="102"/>
        <v>12.286244867382884</v>
      </c>
      <c r="E328" s="385">
        <f t="shared" si="125"/>
        <v>13.508555209967412</v>
      </c>
      <c r="F328" s="385">
        <f t="shared" si="103"/>
        <v>13.982713546036214</v>
      </c>
      <c r="G328" s="110">
        <f t="shared" si="126"/>
        <v>0.77983901114787246</v>
      </c>
      <c r="H328" s="414" t="b">
        <f>Wh_hp&gt;='2021'!Maxi_hp</f>
        <v>1</v>
      </c>
      <c r="I328" s="380">
        <f>IF(H328,Wh_hp,'2021'!Maxi_hp)</f>
        <v>13.982713546036214</v>
      </c>
      <c r="J328" s="85">
        <f>IF(H328,An,'2021'!An_max)</f>
        <v>2022</v>
      </c>
      <c r="K328" s="197">
        <f t="shared" si="104"/>
        <v>44875</v>
      </c>
      <c r="L328" s="147">
        <f>IF(t&lt;Tvie,1-EXP((T0-t)*PertePVj)+'2021'!Pspv,1-EXP((T0-t)*PertePVj)+Pspv)</f>
        <v>3.58323370675796E-2</v>
      </c>
      <c r="M328" s="850"/>
      <c r="N328" s="850"/>
      <c r="O328" s="48">
        <f>IF(t&lt;Tnet,'2021'!Resal+('2021'!Salim-'2021'!Resal)*(1-EXP(('2021'!Tnet-t)/('2021'!Tau_j))),Resal+(Salim-Resal)*(1-EXP((Tnet-t)/(Tau_j))))*Salcycl</f>
        <v>9.0484165300122904E-2</v>
      </c>
      <c r="P328" s="339">
        <f>(INDEX(Models!$BJ328:$BT328,,T328)*(1-R328)+INDEX(Models!$BJ328:$BT328,,T328+1)*R328-ERP_i)*Q328*Ramure*Pc/MaxiM</f>
        <v>4.8283997129004705E-2</v>
      </c>
      <c r="Q328" s="305">
        <f t="shared" si="105"/>
        <v>0.7</v>
      </c>
      <c r="R328" s="177">
        <f t="shared" si="106"/>
        <v>0.79954174196824446</v>
      </c>
      <c r="S328" s="817">
        <f t="shared" si="107"/>
        <v>-1</v>
      </c>
      <c r="T328" s="176">
        <f t="shared" si="108"/>
        <v>5</v>
      </c>
      <c r="U328" s="251">
        <f t="shared" si="109"/>
        <v>-0.2004582580317556</v>
      </c>
      <c r="V328" s="383">
        <f t="shared" si="110"/>
        <v>14.964310190715294</v>
      </c>
      <c r="W328" s="402">
        <f t="shared" si="111"/>
        <v>0</v>
      </c>
      <c r="X328" s="157">
        <f t="shared" si="112"/>
        <v>44875</v>
      </c>
      <c r="Y328" s="385">
        <f t="shared" si="113"/>
        <v>11.288165518196619</v>
      </c>
      <c r="Z328" s="385">
        <f t="shared" si="114"/>
        <v>11.707679019087596</v>
      </c>
      <c r="AA328" s="386">
        <f t="shared" si="115"/>
        <v>13.508555209967412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0.1333137528690724</v>
      </c>
      <c r="AD328" s="231">
        <f>(INDEX(Models!$BJ328:$BT328,,AH328)*(1-AF328)+INDEX(Models!$BJ328:$BT328,,AH328+1)*AF328-ERP_i)*AE328*Ramure*Pc/MaxiM</f>
        <v>4.8283997129004705E-2</v>
      </c>
      <c r="AE328" s="305">
        <f t="shared" si="117"/>
        <v>0.7</v>
      </c>
      <c r="AF328" s="177">
        <f t="shared" si="118"/>
        <v>0.79954174196824446</v>
      </c>
      <c r="AG328" s="817">
        <f t="shared" si="124"/>
        <v>-1</v>
      </c>
      <c r="AH328" s="176">
        <f t="shared" si="119"/>
        <v>5</v>
      </c>
      <c r="AI328" s="225">
        <f t="shared" si="120"/>
        <v>-0.2004582580317556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44876</v>
      </c>
      <c r="B329" s="1106">
        <v>13.801</v>
      </c>
      <c r="C329" s="846"/>
      <c r="D329" s="393">
        <f t="shared" si="102"/>
        <v>14.314214025768957</v>
      </c>
      <c r="E329" s="385">
        <f t="shared" si="125"/>
        <v>15.738699654334654</v>
      </c>
      <c r="F329" s="385">
        <f t="shared" si="103"/>
        <v>16.472302935797078</v>
      </c>
      <c r="G329" s="110">
        <f t="shared" si="126"/>
        <v>0.93473419977044359</v>
      </c>
      <c r="H329" s="414" t="b">
        <f>Wh_hp&gt;='2021'!Maxi_hp</f>
        <v>1</v>
      </c>
      <c r="I329" s="380">
        <f>IF(H329,Wh_hp,'2021'!Maxi_hp)</f>
        <v>16.472302935797078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3.5853454813868924E-2</v>
      </c>
      <c r="M329" s="850"/>
      <c r="N329" s="850"/>
      <c r="O329" s="48">
        <f>IF(t&lt;Tnet,'2021'!Resal+('2021'!Salim-'2021'!Resal)*(1-EXP(('2021'!Tnet-t)/('2021'!Tau_j))),Resal+(Salim-Resal)*(1-EXP((Tnet-t)/(Tau_j))))*Salcycl</f>
        <v>9.0508470194573892E-2</v>
      </c>
      <c r="P329" s="339">
        <f>(INDEX(Models!$BJ329:$BT329,,T329)*(1-R329)+INDEX(Models!$BJ329:$BT329,,T329+1)*R329-ERP_i)*Q329*Ramure*Pc/MaxiM</f>
        <v>4.8793251029440078E-2</v>
      </c>
      <c r="Q329" s="305">
        <f t="shared" si="105"/>
        <v>0.7</v>
      </c>
      <c r="R329" s="177">
        <f t="shared" si="106"/>
        <v>0.79956415458646379</v>
      </c>
      <c r="S329" s="817">
        <f t="shared" si="107"/>
        <v>-1</v>
      </c>
      <c r="T329" s="176">
        <f t="shared" si="108"/>
        <v>5</v>
      </c>
      <c r="U329" s="251">
        <f t="shared" si="109"/>
        <v>-0.20043584541353615</v>
      </c>
      <c r="V329" s="383">
        <f t="shared" si="110"/>
        <v>14.698831757355341</v>
      </c>
      <c r="W329" s="402">
        <f t="shared" si="111"/>
        <v>0</v>
      </c>
      <c r="X329" s="157">
        <f t="shared" si="112"/>
        <v>44876</v>
      </c>
      <c r="Y329" s="385">
        <f t="shared" si="113"/>
        <v>13.152410068123142</v>
      </c>
      <c r="Z329" s="385">
        <f t="shared" si="114"/>
        <v>13.641505156857701</v>
      </c>
      <c r="AA329" s="386">
        <f t="shared" si="115"/>
        <v>15.738699654334653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0.13325081128283398</v>
      </c>
      <c r="AD329" s="231">
        <f>(INDEX(Models!$BJ329:$BT329,,AH329)*(1-AF329)+INDEX(Models!$BJ329:$BT329,,AH329+1)*AF329-ERP_i)*AE329*Ramure*Pc/MaxiM</f>
        <v>4.8793251029440078E-2</v>
      </c>
      <c r="AE329" s="305">
        <f t="shared" si="117"/>
        <v>0.7</v>
      </c>
      <c r="AF329" s="177">
        <f t="shared" si="118"/>
        <v>0.79956415458646379</v>
      </c>
      <c r="AG329" s="817">
        <f t="shared" si="124"/>
        <v>-1</v>
      </c>
      <c r="AH329" s="176">
        <f t="shared" si="119"/>
        <v>5</v>
      </c>
      <c r="AI329" s="225">
        <f t="shared" si="120"/>
        <v>-0.20043584541353615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44877</v>
      </c>
      <c r="B330" s="1106">
        <v>13.596</v>
      </c>
      <c r="C330" s="846"/>
      <c r="D330" s="393">
        <f t="shared" si="102"/>
        <v>14.101899614431394</v>
      </c>
      <c r="E330" s="385">
        <f t="shared" si="125"/>
        <v>15.505682121106902</v>
      </c>
      <c r="F330" s="385">
        <f t="shared" si="103"/>
        <v>16.237743820350616</v>
      </c>
      <c r="G330" s="110">
        <f t="shared" si="126"/>
        <v>0.93706502189891883</v>
      </c>
      <c r="H330" s="414" t="b">
        <f>Wh_hp&gt;='2021'!Maxi_hp</f>
        <v>1</v>
      </c>
      <c r="I330" s="380">
        <f>IF(H330,Wh_hp,'2021'!Maxi_hp)</f>
        <v>16.237743820350616</v>
      </c>
      <c r="J330" s="85">
        <f>IF(H330,An,'2021'!An_max)</f>
        <v>2022</v>
      </c>
      <c r="K330" s="197">
        <f t="shared" si="104"/>
        <v>44877</v>
      </c>
      <c r="L330" s="147">
        <f>IF(t&lt;Tvie,1-EXP((T0-t)*PertePVj)+'2021'!Pspv,1-EXP((T0-t)*PertePVj)+Pspv)</f>
        <v>3.5874572097625346E-2</v>
      </c>
      <c r="M330" s="850"/>
      <c r="N330" s="850"/>
      <c r="O330" s="48">
        <f>IF(t&lt;Tnet,'2021'!Resal+('2021'!Salim-'2021'!Resal)*(1-EXP(('2021'!Tnet-t)/('2021'!Tau_j))),Resal+(Salim-Resal)*(1-EXP((Tnet-t)/(Tau_j))))*Salcycl</f>
        <v>9.0533424825253506E-2</v>
      </c>
      <c r="P330" s="339">
        <f>(INDEX(Models!$BJ330:$BT330,,T330)*(1-R330)+INDEX(Models!$BJ330:$BT330,,T330+1)*R330-ERP_i)*Q330*Ramure*Pc/MaxiM</f>
        <v>4.9222591802038231E-2</v>
      </c>
      <c r="Q330" s="305">
        <f t="shared" si="105"/>
        <v>0.7</v>
      </c>
      <c r="R330" s="177">
        <f t="shared" si="106"/>
        <v>0.79958566795753749</v>
      </c>
      <c r="S330" s="817">
        <f t="shared" si="107"/>
        <v>-1</v>
      </c>
      <c r="T330" s="176">
        <f t="shared" si="108"/>
        <v>5</v>
      </c>
      <c r="U330" s="251">
        <f t="shared" si="109"/>
        <v>-0.20041433204246245</v>
      </c>
      <c r="V330" s="383">
        <f t="shared" si="110"/>
        <v>14.446248843135345</v>
      </c>
      <c r="W330" s="402">
        <f t="shared" si="111"/>
        <v>0</v>
      </c>
      <c r="X330" s="157">
        <f t="shared" si="112"/>
        <v>44877</v>
      </c>
      <c r="Y330" s="385">
        <f t="shared" si="113"/>
        <v>12.958322407528106</v>
      </c>
      <c r="Z330" s="385">
        <f t="shared" si="114"/>
        <v>13.440494392644771</v>
      </c>
      <c r="AA330" s="386">
        <f t="shared" si="115"/>
        <v>15.505682121106901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0.13318909238123236</v>
      </c>
      <c r="AD330" s="231">
        <f>(INDEX(Models!$BJ330:$BT330,,AH330)*(1-AF330)+INDEX(Models!$BJ330:$BT330,,AH330+1)*AF330-ERP_i)*AE330*Ramure*Pc/MaxiM</f>
        <v>4.9222591802038231E-2</v>
      </c>
      <c r="AE330" s="305">
        <f t="shared" si="117"/>
        <v>0.7</v>
      </c>
      <c r="AF330" s="177">
        <f t="shared" si="118"/>
        <v>0.79958566795753749</v>
      </c>
      <c r="AG330" s="817">
        <f t="shared" si="124"/>
        <v>-1</v>
      </c>
      <c r="AH330" s="176">
        <f t="shared" si="119"/>
        <v>5</v>
      </c>
      <c r="AI330" s="225">
        <f t="shared" si="120"/>
        <v>-0.20041433204246245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44878</v>
      </c>
      <c r="B331" s="1106">
        <v>13.617000000000001</v>
      </c>
      <c r="C331" s="846"/>
      <c r="D331" s="393">
        <f t="shared" si="102"/>
        <v>14.123990364413968</v>
      </c>
      <c r="E331" s="385">
        <f t="shared" si="125"/>
        <v>15.530410584396526</v>
      </c>
      <c r="F331" s="385">
        <f t="shared" si="103"/>
        <v>16.290319426982204</v>
      </c>
      <c r="G331" s="110">
        <f t="shared" si="126"/>
        <v>0.95571921932731352</v>
      </c>
      <c r="H331" s="414" t="b">
        <f>Wh_hp&gt;='2021'!Maxi_hp</f>
        <v>0</v>
      </c>
      <c r="I331" s="380">
        <f>IF(H331,Wh_hp,'2021'!Maxi_hp)</f>
        <v>17.166565954887307</v>
      </c>
      <c r="J331" s="85">
        <f>IF(H331,An,'2021'!An_max)</f>
        <v>2020</v>
      </c>
      <c r="K331" s="197">
        <f t="shared" si="104"/>
        <v>44878</v>
      </c>
      <c r="L331" s="147">
        <f>IF(t&lt;Tvie,1-EXP((T0-t)*PertePVj)+'2021'!Pspv,1-EXP((T0-t)*PertePVj)+Pspv)</f>
        <v>3.5895688918859081E-2</v>
      </c>
      <c r="M331" s="850"/>
      <c r="N331" s="850"/>
      <c r="O331" s="48">
        <f>IF(t&lt;Tnet,'2021'!Resal+('2021'!Salim-'2021'!Resal)*(1-EXP(('2021'!Tnet-t)/('2021'!Tau_j))),Resal+(Salim-Resal)*(1-EXP((Tnet-t)/(Tau_j))))*Salcycl</f>
        <v>9.0559113832804614E-2</v>
      </c>
      <c r="P331" s="339">
        <f>(INDEX(Models!$BJ331:$BT331,,T331)*(1-R331)+INDEX(Models!$BJ331:$BT331,,T331+1)*R331-ERP_i)*Q331*Ramure*Pc/MaxiM</f>
        <v>4.9575443553695149E-2</v>
      </c>
      <c r="Q331" s="305">
        <f t="shared" si="105"/>
        <v>0.7</v>
      </c>
      <c r="R331" s="177">
        <f t="shared" si="106"/>
        <v>0.79960631803984572</v>
      </c>
      <c r="S331" s="817">
        <f t="shared" si="107"/>
        <v>-1</v>
      </c>
      <c r="T331" s="176">
        <f t="shared" si="108"/>
        <v>5</v>
      </c>
      <c r="U331" s="251">
        <f t="shared" si="109"/>
        <v>-0.20039368196015428</v>
      </c>
      <c r="V331" s="383">
        <f t="shared" si="110"/>
        <v>14.204155865763619</v>
      </c>
      <c r="W331" s="402">
        <f t="shared" si="111"/>
        <v>0</v>
      </c>
      <c r="X331" s="157">
        <f t="shared" si="112"/>
        <v>44878</v>
      </c>
      <c r="Y331" s="385">
        <f t="shared" si="113"/>
        <v>12.979608060707619</v>
      </c>
      <c r="Z331" s="385">
        <f t="shared" si="114"/>
        <v>13.462866944503508</v>
      </c>
      <c r="AA331" s="386">
        <f t="shared" si="115"/>
        <v>15.530410584396526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0.13312871727746128</v>
      </c>
      <c r="AD331" s="231">
        <f>(INDEX(Models!$BJ331:$BT331,,AH331)*(1-AF331)+INDEX(Models!$BJ331:$BT331,,AH331+1)*AF331-ERP_i)*AE331*Ramure*Pc/MaxiM</f>
        <v>4.9575443553695149E-2</v>
      </c>
      <c r="AE331" s="305">
        <f t="shared" si="117"/>
        <v>0.7</v>
      </c>
      <c r="AF331" s="177">
        <f t="shared" si="118"/>
        <v>0.79960631803984572</v>
      </c>
      <c r="AG331" s="817">
        <f t="shared" si="124"/>
        <v>-1</v>
      </c>
      <c r="AH331" s="176">
        <f t="shared" si="119"/>
        <v>5</v>
      </c>
      <c r="AI331" s="225">
        <f t="shared" si="120"/>
        <v>-0.20039368196015428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44879</v>
      </c>
      <c r="B332" s="1106">
        <v>6.1210000000000004</v>
      </c>
      <c r="C332" s="846"/>
      <c r="D332" s="393">
        <f t="shared" si="102"/>
        <v>6.3490371303094522</v>
      </c>
      <c r="E332" s="385">
        <f t="shared" si="125"/>
        <v>6.9814567054316559</v>
      </c>
      <c r="F332" s="385">
        <f t="shared" si="103"/>
        <v>7.0508569600936308</v>
      </c>
      <c r="G332" s="110">
        <f t="shared" si="126"/>
        <v>0.42047295725548034</v>
      </c>
      <c r="H332" s="414" t="b">
        <f>Wh_hp&gt;='2021'!Maxi_hp</f>
        <v>0</v>
      </c>
      <c r="I332" s="380">
        <f>IF(H332,Wh_hp,'2021'!Maxi_hp)</f>
        <v>12.052084330395068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3.5916805277580233E-2</v>
      </c>
      <c r="M332" s="850"/>
      <c r="N332" s="850"/>
      <c r="O332" s="48">
        <f>IF(t&lt;Tnet,'2021'!Resal+('2021'!Salim-'2021'!Resal)*(1-EXP(('2021'!Tnet-t)/('2021'!Tau_j))),Resal+(Salim-Resal)*(1-EXP((Tnet-t)/(Tau_j))))*Salcycl</f>
        <v>9.0585618704785931E-2</v>
      </c>
      <c r="P332" s="339">
        <f>(INDEX(Models!$BJ332:$BT332,,T332)*(1-R332)+INDEX(Models!$BJ332:$BT332,,T332+1)*R332-ERP_i)*Q332*Ramure*Pc/MaxiM</f>
        <v>4.9861299333018382E-2</v>
      </c>
      <c r="Q332" s="305">
        <f t="shared" si="105"/>
        <v>0.7</v>
      </c>
      <c r="R332" s="177">
        <f t="shared" si="106"/>
        <v>0.7996261393634696</v>
      </c>
      <c r="S332" s="817">
        <f t="shared" si="107"/>
        <v>-1</v>
      </c>
      <c r="T332" s="176">
        <f t="shared" si="108"/>
        <v>5</v>
      </c>
      <c r="U332" s="251">
        <f t="shared" si="109"/>
        <v>-0.20037386063653034</v>
      </c>
      <c r="V332" s="383">
        <f t="shared" si="110"/>
        <v>13.969059694572993</v>
      </c>
      <c r="W332" s="402">
        <f t="shared" si="111"/>
        <v>0</v>
      </c>
      <c r="X332" s="157">
        <f t="shared" si="112"/>
        <v>44879</v>
      </c>
      <c r="Y332" s="385">
        <f t="shared" si="113"/>
        <v>5.835051490762285</v>
      </c>
      <c r="Z332" s="385">
        <f t="shared" si="114"/>
        <v>6.0524356432147144</v>
      </c>
      <c r="AA332" s="386">
        <f t="shared" si="115"/>
        <v>6.9814567054316559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0.13306980210794003</v>
      </c>
      <c r="AD332" s="231">
        <f>(INDEX(Models!$BJ332:$BT332,,AH332)*(1-AF332)+INDEX(Models!$BJ332:$BT332,,AH332+1)*AF332-ERP_i)*AE332*Ramure*Pc/MaxiM</f>
        <v>4.9861299333018382E-2</v>
      </c>
      <c r="AE332" s="305">
        <f t="shared" si="117"/>
        <v>0.7</v>
      </c>
      <c r="AF332" s="177">
        <f t="shared" si="118"/>
        <v>0.7996261393634696</v>
      </c>
      <c r="AG332" s="817">
        <f t="shared" si="124"/>
        <v>-1</v>
      </c>
      <c r="AH332" s="176">
        <f t="shared" si="119"/>
        <v>5</v>
      </c>
      <c r="AI332" s="225">
        <f t="shared" si="120"/>
        <v>-0.20037386063653034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44880</v>
      </c>
      <c r="B333" s="1106">
        <v>7.5730000000000004</v>
      </c>
      <c r="C333" s="846"/>
      <c r="D333" s="393">
        <f t="shared" si="102"/>
        <v>7.8553032697028664</v>
      </c>
      <c r="E333" s="385">
        <f t="shared" si="125"/>
        <v>8.6380203588253295</v>
      </c>
      <c r="F333" s="385">
        <f t="shared" si="103"/>
        <v>8.7962636848593814</v>
      </c>
      <c r="G333" s="110">
        <f t="shared" si="126"/>
        <v>0.53311831391831621</v>
      </c>
      <c r="H333" s="414" t="b">
        <f>Wh_hp&gt;='2021'!Maxi_hp</f>
        <v>0</v>
      </c>
      <c r="I333" s="380">
        <f>IF(H333,Wh_hp,'2021'!Maxi_hp)</f>
        <v>15.011200511504091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3.5937921173798903E-2</v>
      </c>
      <c r="M333" s="850"/>
      <c r="N333" s="850"/>
      <c r="O333" s="48">
        <f>IF(t&lt;Tnet,'2021'!Resal+('2021'!Salim-'2021'!Resal)*(1-EXP(('2021'!Tnet-t)/('2021'!Tau_j))),Resal+(Salim-Resal)*(1-EXP((Tnet-t)/(Tau_j))))*Salcycl</f>
        <v>9.0613017405402729E-2</v>
      </c>
      <c r="P333" s="339">
        <f>(INDEX(Models!$BJ333:$BT333,,T333)*(1-R333)+INDEX(Models!$BJ333:$BT333,,T333+1)*R333-ERP_i)*Q333*Ramure*Pc/MaxiM</f>
        <v>5.0138485607774723E-2</v>
      </c>
      <c r="Q333" s="305">
        <f t="shared" si="105"/>
        <v>0.7</v>
      </c>
      <c r="R333" s="177">
        <f t="shared" si="106"/>
        <v>0.79964516508616956</v>
      </c>
      <c r="S333" s="817">
        <f t="shared" si="107"/>
        <v>-1</v>
      </c>
      <c r="T333" s="176">
        <f t="shared" si="108"/>
        <v>5</v>
      </c>
      <c r="U333" s="251">
        <f t="shared" si="109"/>
        <v>-0.20035483491383044</v>
      </c>
      <c r="V333" s="383">
        <f t="shared" si="110"/>
        <v>13.740061070973109</v>
      </c>
      <c r="W333" s="402">
        <f t="shared" si="111"/>
        <v>0</v>
      </c>
      <c r="X333" s="157">
        <f t="shared" si="112"/>
        <v>44880</v>
      </c>
      <c r="Y333" s="385">
        <f t="shared" si="113"/>
        <v>7.2199149371534945</v>
      </c>
      <c r="Z333" s="385">
        <f t="shared" si="114"/>
        <v>7.4890560428890014</v>
      </c>
      <c r="AA333" s="386">
        <f t="shared" si="115"/>
        <v>8.6380203588253295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0.13301245750855975</v>
      </c>
      <c r="AD333" s="231">
        <f>(INDEX(Models!$BJ333:$BT333,,AH333)*(1-AF333)+INDEX(Models!$BJ333:$BT333,,AH333+1)*AF333-ERP_i)*AE333*Ramure*Pc/MaxiM</f>
        <v>5.0138485607774723E-2</v>
      </c>
      <c r="AE333" s="305">
        <f t="shared" si="117"/>
        <v>0.7</v>
      </c>
      <c r="AF333" s="177">
        <f t="shared" si="118"/>
        <v>0.79964516508616956</v>
      </c>
      <c r="AG333" s="817">
        <f t="shared" si="124"/>
        <v>-1</v>
      </c>
      <c r="AH333" s="176">
        <f t="shared" si="119"/>
        <v>5</v>
      </c>
      <c r="AI333" s="225">
        <f t="shared" si="120"/>
        <v>-0.20035483491383044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44881</v>
      </c>
      <c r="B334" s="1106">
        <v>12.179</v>
      </c>
      <c r="C334" s="846"/>
      <c r="D334" s="393">
        <f t="shared" si="102"/>
        <v>12.633280599552446</v>
      </c>
      <c r="E334" s="385">
        <f t="shared" si="125"/>
        <v>13.892517624655994</v>
      </c>
      <c r="F334" s="385">
        <f t="shared" si="103"/>
        <v>14.52095020445914</v>
      </c>
      <c r="G334" s="110">
        <f t="shared" si="126"/>
        <v>0.89428956778221902</v>
      </c>
      <c r="H334" s="414" t="b">
        <f>Wh_hp&gt;='2021'!Maxi_hp</f>
        <v>1</v>
      </c>
      <c r="I334" s="380">
        <f>IF(H334,Wh_hp,'2021'!Maxi_hp)</f>
        <v>14.52095020445914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3.5959036607525308E-2</v>
      </c>
      <c r="M334" s="850"/>
      <c r="N334" s="850"/>
      <c r="O334" s="48">
        <f>IF(t&lt;Tnet,'2021'!Resal+('2021'!Salim-'2021'!Resal)*(1-EXP(('2021'!Tnet-t)/('2021'!Tau_j))),Resal+(Salim-Resal)*(1-EXP((Tnet-t)/(Tau_j))))*Salcycl</f>
        <v>9.0641384025937508E-2</v>
      </c>
      <c r="P334" s="339">
        <f>(INDEX(Models!$BJ334:$BT334,,T334)*(1-R334)+INDEX(Models!$BJ334:$BT334,,T334+1)*R334-ERP_i)*Q334*Ramure*Pc/MaxiM</f>
        <v>5.040632165983009E-2</v>
      </c>
      <c r="Q334" s="305">
        <f t="shared" si="105"/>
        <v>0.7</v>
      </c>
      <c r="R334" s="177">
        <f t="shared" si="106"/>
        <v>0.7996634270472287</v>
      </c>
      <c r="S334" s="817">
        <f t="shared" si="107"/>
        <v>-1</v>
      </c>
      <c r="T334" s="176">
        <f t="shared" si="108"/>
        <v>5</v>
      </c>
      <c r="U334" s="251">
        <f t="shared" si="109"/>
        <v>-0.20033657295277135</v>
      </c>
      <c r="V334" s="383">
        <f t="shared" si="110"/>
        <v>13.517157070628864</v>
      </c>
      <c r="W334" s="402">
        <f t="shared" si="111"/>
        <v>0</v>
      </c>
      <c r="X334" s="157">
        <f t="shared" si="112"/>
        <v>44881</v>
      </c>
      <c r="Y334" s="385">
        <f t="shared" si="113"/>
        <v>11.612271651633222</v>
      </c>
      <c r="Z334" s="385">
        <f t="shared" si="114"/>
        <v>12.045413102332772</v>
      </c>
      <c r="AA334" s="386">
        <f t="shared" si="115"/>
        <v>13.892517624655994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0.13295678812348904</v>
      </c>
      <c r="AD334" s="231">
        <f>(INDEX(Models!$BJ334:$BT334,,AH334)*(1-AF334)+INDEX(Models!$BJ334:$BT334,,AH334+1)*AF334-ERP_i)*AE334*Ramure*Pc/MaxiM</f>
        <v>5.040632165983009E-2</v>
      </c>
      <c r="AE334" s="305">
        <f t="shared" si="117"/>
        <v>0.7</v>
      </c>
      <c r="AF334" s="177">
        <f t="shared" si="118"/>
        <v>0.7996634270472287</v>
      </c>
      <c r="AG334" s="817">
        <f t="shared" si="124"/>
        <v>-1</v>
      </c>
      <c r="AH334" s="176">
        <f t="shared" si="119"/>
        <v>5</v>
      </c>
      <c r="AI334" s="225">
        <f t="shared" si="120"/>
        <v>-0.20033657295277135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44882</v>
      </c>
      <c r="B335" s="1106">
        <v>9.1920000000000002</v>
      </c>
      <c r="C335" s="846"/>
      <c r="D335" s="393">
        <f t="shared" ref="D335:D379" si="127">Wh/(1-Ppv)</f>
        <v>9.5350733857333783</v>
      </c>
      <c r="E335" s="385">
        <f t="shared" si="125"/>
        <v>10.485832044885202</v>
      </c>
      <c r="F335" s="385">
        <f t="shared" ref="F335:F379" si="128">Wh_sa/(1-Pvg*MEDIAN((-Sdif+Wh/Env_an)/Csdif,0,1))</f>
        <v>10.791306589668929</v>
      </c>
      <c r="G335" s="110">
        <f t="shared" si="126"/>
        <v>0.67520888670249257</v>
      </c>
      <c r="H335" s="414" t="b">
        <f>Wh_hp&gt;='2021'!Maxi_hp</f>
        <v>0</v>
      </c>
      <c r="I335" s="380">
        <f>IF(H335,Wh_hp,'2021'!Maxi_hp)</f>
        <v>16.318890198291346</v>
      </c>
      <c r="J335" s="85">
        <f>IF(H335,An,'2021'!An_max)</f>
        <v>2018</v>
      </c>
      <c r="K335" s="197">
        <f t="shared" ref="K335:K379" si="129">t</f>
        <v>44882</v>
      </c>
      <c r="L335" s="147">
        <f>IF(t&lt;Tvie,1-EXP((T0-t)*PertePVj)+'2021'!Pspv,1-EXP((T0-t)*PertePVj)+Pspv)</f>
        <v>3.5980151578769548E-2</v>
      </c>
      <c r="M335" s="850"/>
      <c r="N335" s="850"/>
      <c r="O335" s="48">
        <f>IF(t&lt;Tnet,'2021'!Resal+('2021'!Salim-'2021'!Resal)*(1-EXP(('2021'!Tnet-t)/('2021'!Tau_j))),Resal+(Salim-Resal)*(1-EXP((Tnet-t)/(Tau_j))))*Salcycl</f>
        <v>9.0670788458373869E-2</v>
      </c>
      <c r="P335" s="339">
        <f>(INDEX(Models!$BJ335:$BT335,,T335)*(1-R335)+INDEX(Models!$BJ335:$BT335,,T335+1)*R335-ERP_i)*Q335*Ramure*Pc/MaxiM</f>
        <v>5.0664089251682067E-2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0.79968095581923948</v>
      </c>
      <c r="S335" s="817">
        <f t="shared" ref="S335:S379" si="132">INDEX(Echel_vg,T335)</f>
        <v>-1</v>
      </c>
      <c r="T335" s="176">
        <f t="shared" ref="T335:T379" si="133">MIN(MATCH(Hp_vg,Echel_vg),10)</f>
        <v>5</v>
      </c>
      <c r="U335" s="251">
        <f t="shared" ref="U335:U379" si="134">IF(OR(t&lt;Ttai,Notai),Hdd+PousH*Croivg,Hdtf+PousH*(Croivg-Croi_tai))</f>
        <v>-0.20031904418076057</v>
      </c>
      <c r="V335" s="383">
        <f t="shared" ref="V335:V379" si="135">MaxiM*(1-Ppv)*(1-Pvg)*(1-Psa)</f>
        <v>13.300345099813768</v>
      </c>
      <c r="W335" s="402">
        <f t="shared" ref="W335:W379" si="136">Wh*(A335&gt;Tmaj)</f>
        <v>0</v>
      </c>
      <c r="X335" s="157">
        <f t="shared" ref="X335:X379" si="137">t</f>
        <v>44882</v>
      </c>
      <c r="Y335" s="385">
        <f t="shared" ref="Y335:Y379" si="138">Wh_pvt_s*(1-Ppv)</f>
        <v>8.765094659000976</v>
      </c>
      <c r="Z335" s="385">
        <f t="shared" ref="Z335:Z379" si="139">Wh_sa_s*(1-Psa_s)</f>
        <v>9.0922346395206688</v>
      </c>
      <c r="AA335" s="386">
        <f t="shared" ref="AA335:AA379" si="140">Wh_hp*(1-Pvg_s*MEDIAN((-Sdif+Wh/Env_an)/Csdif,0,1))</f>
        <v>10.485832044885202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0.13290289215001341</v>
      </c>
      <c r="AD335" s="231">
        <f>(INDEX(Models!$BJ335:$BT335,,AH335)*(1-AF335)+INDEX(Models!$BJ335:$BT335,,AH335+1)*AF335-ERP_i)*AE335*Ramure*Pc/MaxiM</f>
        <v>5.0664089251682067E-2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0.79968095581923948</v>
      </c>
      <c r="AG335" s="817">
        <f t="shared" si="124"/>
        <v>-1</v>
      </c>
      <c r="AH335" s="176">
        <f t="shared" ref="AH335:AH379" si="144">MIN(MATCH(Hp_vg_s,Echel_vg),10)</f>
        <v>5</v>
      </c>
      <c r="AI335" s="225">
        <f t="shared" ref="AI335:AI379" si="145">IF(OR(t&lt;Ttai,Notai),Hdd_s+PousH*Croivg,Hdtai_s+PousH*(Croivg-Croi_tai))</f>
        <v>-0.20031904418076057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44883</v>
      </c>
      <c r="B336" s="1106">
        <v>7.6660000000000004</v>
      </c>
      <c r="C336" s="846"/>
      <c r="D336" s="393">
        <f t="shared" si="127"/>
        <v>7.9522926019694937</v>
      </c>
      <c r="E336" s="385">
        <f t="shared" si="125"/>
        <v>8.7455228604353223</v>
      </c>
      <c r="F336" s="385">
        <f t="shared" si="128"/>
        <v>8.9310719910075242</v>
      </c>
      <c r="G336" s="110">
        <f t="shared" si="126"/>
        <v>0.56763140557534653</v>
      </c>
      <c r="H336" s="414" t="b">
        <f>Wh_hp&gt;='2021'!Maxi_hp</f>
        <v>0</v>
      </c>
      <c r="I336" s="380">
        <f>IF(H336,Wh_hp,'2021'!Maxi_hp)</f>
        <v>14.520944266694507</v>
      </c>
      <c r="J336" s="85">
        <f>IF(H336,An,'2021'!An_max)</f>
        <v>2018</v>
      </c>
      <c r="K336" s="197">
        <f t="shared" si="129"/>
        <v>44883</v>
      </c>
      <c r="L336" s="147">
        <f>IF(t&lt;Tvie,1-EXP((T0-t)*PertePVj)+'2021'!Pspv,1-EXP((T0-t)*PertePVj)+Pspv)</f>
        <v>3.6001266087541728E-2</v>
      </c>
      <c r="M336" s="850"/>
      <c r="N336" s="850"/>
      <c r="O336" s="48">
        <f>IF(t&lt;Tnet,'2021'!Resal+('2021'!Salim-'2021'!Resal)*(1-EXP(('2021'!Tnet-t)/('2021'!Tau_j))),Resal+(Salim-Resal)*(1-EXP((Tnet-t)/(Tau_j))))*Salcycl</f>
        <v>9.0701296094530481E-2</v>
      </c>
      <c r="P336" s="339">
        <f>(INDEX(Models!$BJ336:$BT336,,T336)*(1-R336)+INDEX(Models!$BJ336:$BT336,,T336+1)*R336-ERP_i)*Q336*Ramure*Pc/MaxiM</f>
        <v>5.0911032306771249E-2</v>
      </c>
      <c r="Q336" s="305">
        <f t="shared" si="130"/>
        <v>0.7</v>
      </c>
      <c r="R336" s="177">
        <f t="shared" si="131"/>
        <v>0.79969778075790643</v>
      </c>
      <c r="S336" s="817">
        <f t="shared" si="132"/>
        <v>-1</v>
      </c>
      <c r="T336" s="176">
        <f t="shared" si="133"/>
        <v>5</v>
      </c>
      <c r="U336" s="251">
        <f t="shared" si="134"/>
        <v>-0.20030221924209352</v>
      </c>
      <c r="V336" s="383">
        <f t="shared" si="135"/>
        <v>13.089622896342458</v>
      </c>
      <c r="W336" s="402">
        <f t="shared" si="136"/>
        <v>0</v>
      </c>
      <c r="X336" s="157">
        <f t="shared" si="137"/>
        <v>44883</v>
      </c>
      <c r="Y336" s="385">
        <f t="shared" si="138"/>
        <v>7.3106508033232407</v>
      </c>
      <c r="Z336" s="385">
        <f t="shared" si="139"/>
        <v>7.5836726192081585</v>
      </c>
      <c r="AA336" s="386">
        <f t="shared" si="140"/>
        <v>8.7455228604353223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0.1328508609226059</v>
      </c>
      <c r="AD336" s="231">
        <f>(INDEX(Models!$BJ336:$BT336,,AH336)*(1-AF336)+INDEX(Models!$BJ336:$BT336,,AH336+1)*AF336-ERP_i)*AE336*Ramure*Pc/MaxiM</f>
        <v>5.0911032306771249E-2</v>
      </c>
      <c r="AE336" s="305">
        <f t="shared" si="142"/>
        <v>0.7</v>
      </c>
      <c r="AF336" s="177">
        <f t="shared" si="143"/>
        <v>0.79969778075790643</v>
      </c>
      <c r="AG336" s="817">
        <f t="shared" ref="AG336:AG379" si="149">INDEX(Echel_vg,AH336)</f>
        <v>-1</v>
      </c>
      <c r="AH336" s="176">
        <f t="shared" si="144"/>
        <v>5</v>
      </c>
      <c r="AI336" s="225">
        <f t="shared" si="145"/>
        <v>-0.20030221924209352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44884</v>
      </c>
      <c r="B337" s="1106">
        <v>5.2110000000000003</v>
      </c>
      <c r="C337" s="846"/>
      <c r="D337" s="393">
        <f t="shared" si="127"/>
        <v>5.4057271586072373</v>
      </c>
      <c r="E337" s="385">
        <f t="shared" si="125"/>
        <v>5.9451480870899136</v>
      </c>
      <c r="F337" s="385">
        <f t="shared" si="128"/>
        <v>5.9908575836193876</v>
      </c>
      <c r="G337" s="110">
        <f t="shared" si="126"/>
        <v>0.3866896829370971</v>
      </c>
      <c r="H337" s="414" t="b">
        <f>Wh_hp&gt;='2021'!Maxi_hp</f>
        <v>0</v>
      </c>
      <c r="I337" s="380">
        <f>IF(H337,Wh_hp,'2021'!Maxi_hp)</f>
        <v>15.038910963249226</v>
      </c>
      <c r="J337" s="85">
        <f>IF(H337,An,'2021'!An_max)</f>
        <v>2020</v>
      </c>
      <c r="K337" s="197">
        <f t="shared" si="129"/>
        <v>44884</v>
      </c>
      <c r="L337" s="147">
        <f>IF(t&lt;Tvie,1-EXP((T0-t)*PertePVj)+'2021'!Pspv,1-EXP((T0-t)*PertePVj)+Pspv)</f>
        <v>3.602238013385195E-2</v>
      </c>
      <c r="M337" s="850"/>
      <c r="N337" s="850"/>
      <c r="O337" s="48">
        <f>IF(t&lt;Tnet,'2021'!Resal+('2021'!Salim-'2021'!Resal)*(1-EXP(('2021'!Tnet-t)/('2021'!Tau_j))),Resal+(Salim-Resal)*(1-EXP((Tnet-t)/(Tau_j))))*Salcycl</f>
        <v>9.0732967552826241E-2</v>
      </c>
      <c r="P337" s="339">
        <f>(INDEX(Models!$BJ337:$BT337,,T337)*(1-R337)+INDEX(Models!$BJ337:$BT337,,T337+1)*R337-ERP_i)*Q337*Ramure*Pc/MaxiM</f>
        <v>5.1146356946244809E-2</v>
      </c>
      <c r="Q337" s="305">
        <f t="shared" si="130"/>
        <v>0.7</v>
      </c>
      <c r="R337" s="177">
        <f t="shared" si="131"/>
        <v>0.79971393004993852</v>
      </c>
      <c r="S337" s="817">
        <f t="shared" si="132"/>
        <v>-1</v>
      </c>
      <c r="T337" s="176">
        <f t="shared" si="133"/>
        <v>5</v>
      </c>
      <c r="U337" s="251">
        <f t="shared" si="134"/>
        <v>-0.20028606995006143</v>
      </c>
      <c r="V337" s="383">
        <f t="shared" si="135"/>
        <v>12.884988525980273</v>
      </c>
      <c r="W337" s="402">
        <f t="shared" si="136"/>
        <v>0</v>
      </c>
      <c r="X337" s="157">
        <f t="shared" si="137"/>
        <v>44884</v>
      </c>
      <c r="Y337" s="385">
        <f t="shared" si="138"/>
        <v>4.9699098084205273</v>
      </c>
      <c r="Z337" s="385">
        <f t="shared" si="139"/>
        <v>5.1556277925940002</v>
      </c>
      <c r="AA337" s="386">
        <f t="shared" si="140"/>
        <v>5.9451480870899136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0.13280077853912223</v>
      </c>
      <c r="AD337" s="231">
        <f>(INDEX(Models!$BJ337:$BT337,,AH337)*(1-AF337)+INDEX(Models!$BJ337:$BT337,,AH337+1)*AF337-ERP_i)*AE337*Ramure*Pc/MaxiM</f>
        <v>5.1146356946244809E-2</v>
      </c>
      <c r="AE337" s="305">
        <f t="shared" si="142"/>
        <v>0.7</v>
      </c>
      <c r="AF337" s="177">
        <f t="shared" si="143"/>
        <v>0.79971393004993852</v>
      </c>
      <c r="AG337" s="817">
        <f t="shared" si="149"/>
        <v>-1</v>
      </c>
      <c r="AH337" s="176">
        <f t="shared" si="144"/>
        <v>5</v>
      </c>
      <c r="AI337" s="225">
        <f t="shared" si="145"/>
        <v>-0.20028606995006143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44885</v>
      </c>
      <c r="B338" s="1106">
        <v>9.9359999999999999</v>
      </c>
      <c r="C338" s="846"/>
      <c r="D338" s="393">
        <f t="shared" si="127"/>
        <v>10.307518996184143</v>
      </c>
      <c r="E338" s="385">
        <f t="shared" si="125"/>
        <v>11.336484767760497</v>
      </c>
      <c r="F338" s="385">
        <f t="shared" si="128"/>
        <v>11.752936706772632</v>
      </c>
      <c r="G338" s="110">
        <f t="shared" si="126"/>
        <v>0.77025937862988281</v>
      </c>
      <c r="H338" s="414" t="b">
        <f>Wh_hp&gt;='2021'!Maxi_hp</f>
        <v>0</v>
      </c>
      <c r="I338" s="380">
        <f>IF(H338,Wh_hp,'2021'!Maxi_hp)</f>
        <v>14.953005209630511</v>
      </c>
      <c r="J338" s="85">
        <f>IF(H338,An,'2021'!An_max)</f>
        <v>2019</v>
      </c>
      <c r="K338" s="197">
        <f t="shared" si="129"/>
        <v>44885</v>
      </c>
      <c r="L338" s="147">
        <f>IF(t&lt;Tvie,1-EXP((T0-t)*PertePVj)+'2021'!Pspv,1-EXP((T0-t)*PertePVj)+Pspv)</f>
        <v>3.6043493717710318E-2</v>
      </c>
      <c r="M338" s="850"/>
      <c r="N338" s="850"/>
      <c r="O338" s="48">
        <f>IF(t&lt;Tnet,'2021'!Resal+('2021'!Salim-'2021'!Resal)*(1-EXP(('2021'!Tnet-t)/('2021'!Tau_j))),Resal+(Salim-Resal)*(1-EXP((Tnet-t)/(Tau_j))))*Salcycl</f>
        <v>9.0765858434582875E-2</v>
      </c>
      <c r="P338" s="339">
        <f>(INDEX(Models!$BJ338:$BT338,,T338)*(1-R338)+INDEX(Models!$BJ338:$BT338,,T338+1)*R338-ERP_i)*Q338*Ramure*Pc/MaxiM</f>
        <v>5.133531138945574E-2</v>
      </c>
      <c r="Q338" s="305">
        <f t="shared" si="130"/>
        <v>0.7</v>
      </c>
      <c r="R338" s="177">
        <f t="shared" si="131"/>
        <v>0.79972943075909808</v>
      </c>
      <c r="S338" s="817">
        <f t="shared" si="132"/>
        <v>-1</v>
      </c>
      <c r="T338" s="176">
        <f t="shared" si="133"/>
        <v>5</v>
      </c>
      <c r="U338" s="251">
        <f t="shared" si="134"/>
        <v>-0.20027056924090197</v>
      </c>
      <c r="V338" s="383">
        <f t="shared" si="135"/>
        <v>12.686894016401057</v>
      </c>
      <c r="W338" s="402">
        <f t="shared" si="136"/>
        <v>0</v>
      </c>
      <c r="X338" s="157">
        <f t="shared" si="137"/>
        <v>44885</v>
      </c>
      <c r="Y338" s="385">
        <f t="shared" si="138"/>
        <v>9.4771726719648317</v>
      </c>
      <c r="Z338" s="385">
        <f t="shared" si="139"/>
        <v>9.8315355622377947</v>
      </c>
      <c r="AA338" s="386">
        <f t="shared" si="140"/>
        <v>11.336484767760497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0.13275272153168541</v>
      </c>
      <c r="AD338" s="231">
        <f>(INDEX(Models!$BJ338:$BT338,,AH338)*(1-AF338)+INDEX(Models!$BJ338:$BT338,,AH338+1)*AF338-ERP_i)*AE338*Ramure*Pc/MaxiM</f>
        <v>5.133531138945574E-2</v>
      </c>
      <c r="AE338" s="305">
        <f t="shared" si="142"/>
        <v>0.7</v>
      </c>
      <c r="AF338" s="177">
        <f t="shared" si="143"/>
        <v>0.79972943075909808</v>
      </c>
      <c r="AG338" s="817">
        <f t="shared" si="149"/>
        <v>-1</v>
      </c>
      <c r="AH338" s="176">
        <f t="shared" si="144"/>
        <v>5</v>
      </c>
      <c r="AI338" s="225">
        <f t="shared" si="145"/>
        <v>-0.20027056924090197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44886</v>
      </c>
      <c r="B339" s="1106">
        <v>1.954</v>
      </c>
      <c r="C339" s="846"/>
      <c r="D339" s="393">
        <f t="shared" si="127"/>
        <v>2.0271068101281902</v>
      </c>
      <c r="E339" s="385">
        <f t="shared" si="125"/>
        <v>2.229549992013117</v>
      </c>
      <c r="F339" s="385">
        <f t="shared" si="128"/>
        <v>2.229549992013117</v>
      </c>
      <c r="G339" s="110">
        <f t="shared" si="126"/>
        <v>0.14832867223697341</v>
      </c>
      <c r="H339" s="414" t="b">
        <f>Wh_hp&gt;='2021'!Maxi_hp</f>
        <v>0</v>
      </c>
      <c r="I339" s="380">
        <f>IF(H339,Wh_hp,'2021'!Maxi_hp)</f>
        <v>14.614708080024094</v>
      </c>
      <c r="J339" s="85">
        <f>IF(H339,An,'2021'!An_max)</f>
        <v>2018</v>
      </c>
      <c r="K339" s="197">
        <f t="shared" si="129"/>
        <v>44886</v>
      </c>
      <c r="L339" s="147">
        <f>IF(t&lt;Tvie,1-EXP((T0-t)*PertePVj)+'2021'!Pspv,1-EXP((T0-t)*PertePVj)+Pspv)</f>
        <v>3.6064606839127045E-2</v>
      </c>
      <c r="M339" s="850"/>
      <c r="N339" s="850"/>
      <c r="O339" s="48">
        <f>IF(t&lt;Tnet,'2021'!Resal+('2021'!Salim-'2021'!Resal)*(1-EXP(('2021'!Tnet-t)/('2021'!Tau_j))),Resal+(Salim-Resal)*(1-EXP((Tnet-t)/(Tau_j))))*Salcycl</f>
        <v>9.0800019111540772E-2</v>
      </c>
      <c r="P339" s="339">
        <f>(INDEX(Models!$BJ339:$BT339,,T339)*(1-R339)+INDEX(Models!$BJ339:$BT339,,T339+1)*R339-ERP_i)*Q339*Ramure*Pc/MaxiM</f>
        <v>5.1478963478466123E-2</v>
      </c>
      <c r="Q339" s="305">
        <f t="shared" si="130"/>
        <v>0.7</v>
      </c>
      <c r="R339" s="177">
        <f t="shared" si="131"/>
        <v>0.79974430887047676</v>
      </c>
      <c r="S339" s="817">
        <f t="shared" si="132"/>
        <v>-1</v>
      </c>
      <c r="T339" s="176">
        <f t="shared" si="133"/>
        <v>5</v>
      </c>
      <c r="U339" s="251">
        <f t="shared" si="134"/>
        <v>-0.20025569112952324</v>
      </c>
      <c r="V339" s="383">
        <f t="shared" si="135"/>
        <v>12.495292227803574</v>
      </c>
      <c r="W339" s="402">
        <f t="shared" si="136"/>
        <v>0</v>
      </c>
      <c r="X339" s="157">
        <f t="shared" si="137"/>
        <v>44886</v>
      </c>
      <c r="Y339" s="385">
        <f t="shared" si="138"/>
        <v>1.8639364599083146</v>
      </c>
      <c r="Z339" s="385">
        <f t="shared" si="139"/>
        <v>1.9336736394710208</v>
      </c>
      <c r="AA339" s="386">
        <f t="shared" si="140"/>
        <v>2.229549992013117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0.13270675858447203</v>
      </c>
      <c r="AD339" s="231">
        <f>(INDEX(Models!$BJ339:$BT339,,AH339)*(1-AF339)+INDEX(Models!$BJ339:$BT339,,AH339+1)*AF339-ERP_i)*AE339*Ramure*Pc/MaxiM</f>
        <v>5.1478963478466123E-2</v>
      </c>
      <c r="AE339" s="305">
        <f t="shared" si="142"/>
        <v>0.7</v>
      </c>
      <c r="AF339" s="177">
        <f t="shared" si="143"/>
        <v>0.79974430887047676</v>
      </c>
      <c r="AG339" s="817">
        <f t="shared" si="149"/>
        <v>-1</v>
      </c>
      <c r="AH339" s="176">
        <f t="shared" si="144"/>
        <v>5</v>
      </c>
      <c r="AI339" s="225">
        <f t="shared" si="145"/>
        <v>-0.20025569112952324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44887</v>
      </c>
      <c r="B340" s="1106">
        <v>5.6610000000000005</v>
      </c>
      <c r="C340" s="846"/>
      <c r="D340" s="393">
        <f t="shared" si="127"/>
        <v>5.8729288636043959</v>
      </c>
      <c r="E340" s="385">
        <f t="shared" si="125"/>
        <v>6.4596987985929006</v>
      </c>
      <c r="F340" s="385">
        <f t="shared" si="128"/>
        <v>6.5366915751711554</v>
      </c>
      <c r="G340" s="110">
        <f t="shared" si="126"/>
        <v>0.44134415766244833</v>
      </c>
      <c r="H340" s="414" t="b">
        <f>Wh_hp&gt;='2021'!Maxi_hp</f>
        <v>0</v>
      </c>
      <c r="I340" s="380">
        <f>IF(H340,Wh_hp,'2021'!Maxi_hp)</f>
        <v>15.138714921882022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3.6085719498112234E-2</v>
      </c>
      <c r="M340" s="850"/>
      <c r="N340" s="850"/>
      <c r="O340" s="48">
        <f>IF(t&lt;Tnet,'2021'!Resal+('2021'!Salim-'2021'!Resal)*(1-EXP(('2021'!Tnet-t)/('2021'!Tau_j))),Resal+(Salim-Resal)*(1-EXP((Tnet-t)/(Tau_j))))*Salcycl</f>
        <v>9.0835494546018039E-2</v>
      </c>
      <c r="P340" s="339">
        <f>(INDEX(Models!$BJ340:$BT340,,T340)*(1-R340)+INDEX(Models!$BJ340:$BT340,,T340+1)*R340-ERP_i)*Q340*Ramure*Pc/MaxiM</f>
        <v>5.1575233300888382E-2</v>
      </c>
      <c r="Q340" s="305">
        <f t="shared" si="130"/>
        <v>0.7</v>
      </c>
      <c r="R340" s="177">
        <f t="shared" si="131"/>
        <v>0.79975858933306232</v>
      </c>
      <c r="S340" s="817">
        <f t="shared" si="132"/>
        <v>-1</v>
      </c>
      <c r="T340" s="176">
        <f t="shared" si="133"/>
        <v>5</v>
      </c>
      <c r="U340" s="251">
        <f t="shared" si="134"/>
        <v>-0.20024141066693762</v>
      </c>
      <c r="V340" s="383">
        <f t="shared" si="135"/>
        <v>12.310179480597348</v>
      </c>
      <c r="W340" s="402">
        <f t="shared" si="136"/>
        <v>0</v>
      </c>
      <c r="X340" s="157">
        <f t="shared" si="137"/>
        <v>44887</v>
      </c>
      <c r="Y340" s="385">
        <f t="shared" si="138"/>
        <v>5.4005573346691014</v>
      </c>
      <c r="Z340" s="385">
        <f t="shared" si="139"/>
        <v>5.6027360979206122</v>
      </c>
      <c r="AA340" s="386">
        <f t="shared" si="140"/>
        <v>6.4596987985929006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0.13266295030024591</v>
      </c>
      <c r="AD340" s="231">
        <f>(INDEX(Models!$BJ340:$BT340,,AH340)*(1-AF340)+INDEX(Models!$BJ340:$BT340,,AH340+1)*AF340-ERP_i)*AE340*Ramure*Pc/MaxiM</f>
        <v>5.1575233300888382E-2</v>
      </c>
      <c r="AE340" s="305">
        <f t="shared" si="142"/>
        <v>0.7</v>
      </c>
      <c r="AF340" s="177">
        <f t="shared" si="143"/>
        <v>0.79975858933306232</v>
      </c>
      <c r="AG340" s="817">
        <f t="shared" si="149"/>
        <v>-1</v>
      </c>
      <c r="AH340" s="176">
        <f t="shared" si="144"/>
        <v>5</v>
      </c>
      <c r="AI340" s="225">
        <f t="shared" si="145"/>
        <v>-0.20024141066693762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44888</v>
      </c>
      <c r="B341" s="1106">
        <v>7.5090000000000003</v>
      </c>
      <c r="C341" s="846"/>
      <c r="D341" s="393">
        <f t="shared" si="127"/>
        <v>7.7902824160503243</v>
      </c>
      <c r="E341" s="385">
        <f t="shared" si="125"/>
        <v>8.5689640992645693</v>
      </c>
      <c r="F341" s="385">
        <f t="shared" si="128"/>
        <v>8.7753795394941001</v>
      </c>
      <c r="G341" s="110">
        <f t="shared" si="126"/>
        <v>0.6011526538845432</v>
      </c>
      <c r="H341" s="414" t="b">
        <f>Wh_hp&gt;='2021'!Maxi_hp</f>
        <v>0</v>
      </c>
      <c r="I341" s="380">
        <f>IF(H341,Wh_hp,'2021'!Maxi_hp)</f>
        <v>14.559641419504979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3.61068316946761E-2</v>
      </c>
      <c r="M341" s="850"/>
      <c r="N341" s="850"/>
      <c r="O341" s="48">
        <f>IF(t&lt;Tnet,'2021'!Resal+('2021'!Salim-'2021'!Resal)*(1-EXP(('2021'!Tnet-t)/('2021'!Tau_j))),Resal+(Salim-Resal)*(1-EXP((Tnet-t)/(Tau_j))))*Salcycl</f>
        <v>9.0872324144884081E-2</v>
      </c>
      <c r="P341" s="339">
        <f>(INDEX(Models!$BJ341:$BT341,,T341)*(1-R341)+INDEX(Models!$BJ341:$BT341,,T341+1)*R341-ERP_i)*Q341*Ramure*Pc/MaxiM</f>
        <v>5.1621698055009747E-2</v>
      </c>
      <c r="Q341" s="305">
        <f t="shared" si="130"/>
        <v>0.7</v>
      </c>
      <c r="R341" s="177">
        <f t="shared" si="131"/>
        <v>0.79977229610065836</v>
      </c>
      <c r="S341" s="817">
        <f t="shared" si="132"/>
        <v>-1</v>
      </c>
      <c r="T341" s="176">
        <f t="shared" si="133"/>
        <v>5</v>
      </c>
      <c r="U341" s="251">
        <f t="shared" si="134"/>
        <v>-0.20022770389934164</v>
      </c>
      <c r="V341" s="383">
        <f t="shared" si="135"/>
        <v>12.131556647177447</v>
      </c>
      <c r="W341" s="402">
        <f t="shared" si="136"/>
        <v>0</v>
      </c>
      <c r="X341" s="157">
        <f t="shared" si="137"/>
        <v>44888</v>
      </c>
      <c r="Y341" s="385">
        <f t="shared" si="138"/>
        <v>7.1641711755221111</v>
      </c>
      <c r="Z341" s="385">
        <f t="shared" si="139"/>
        <v>7.4325365207410412</v>
      </c>
      <c r="AA341" s="386">
        <f t="shared" si="140"/>
        <v>8.5689640992645693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0.1326213490170956</v>
      </c>
      <c r="AD341" s="231">
        <f>(INDEX(Models!$BJ341:$BT341,,AH341)*(1-AF341)+INDEX(Models!$BJ341:$BT341,,AH341+1)*AF341-ERP_i)*AE341*Ramure*Pc/MaxiM</f>
        <v>5.1621698055009747E-2</v>
      </c>
      <c r="AE341" s="305">
        <f t="shared" si="142"/>
        <v>0.7</v>
      </c>
      <c r="AF341" s="177">
        <f t="shared" si="143"/>
        <v>0.79977229610065836</v>
      </c>
      <c r="AG341" s="817">
        <f t="shared" si="149"/>
        <v>-1</v>
      </c>
      <c r="AH341" s="176">
        <f t="shared" si="144"/>
        <v>5</v>
      </c>
      <c r="AI341" s="225">
        <f t="shared" si="145"/>
        <v>-0.20022770389934164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44889</v>
      </c>
      <c r="B342" s="1106">
        <v>7.2759999999999998</v>
      </c>
      <c r="C342" s="846"/>
      <c r="D342" s="393">
        <f t="shared" si="127"/>
        <v>7.5487197189669191</v>
      </c>
      <c r="E342" s="385">
        <f t="shared" si="125"/>
        <v>8.3036049418649736</v>
      </c>
      <c r="F342" s="385">
        <f t="shared" si="128"/>
        <v>8.4968218355200857</v>
      </c>
      <c r="G342" s="110">
        <f t="shared" si="126"/>
        <v>0.59041378022203961</v>
      </c>
      <c r="H342" s="414" t="b">
        <f>Wh_hp&gt;='2021'!Maxi_hp</f>
        <v>0</v>
      </c>
      <c r="I342" s="380">
        <f>IF(H342,Wh_hp,'2021'!Maxi_hp)</f>
        <v>14.017853674238541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3.6127943428828524E-2</v>
      </c>
      <c r="M342" s="850"/>
      <c r="N342" s="850"/>
      <c r="O342" s="48">
        <f>IF(t&lt;Tnet,'2021'!Resal+('2021'!Salim-'2021'!Resal)*(1-EXP(('2021'!Tnet-t)/('2021'!Tau_j))),Resal+(Salim-Resal)*(1-EXP((Tnet-t)/(Tau_j))))*Salcycl</f>
        <v>9.0910541648253018E-2</v>
      </c>
      <c r="P342" s="339">
        <f>(INDEX(Models!$BJ342:$BT342,,T342)*(1-R342)+INDEX(Models!$BJ342:$BT342,,T342+1)*R342-ERP_i)*Q342*Ramure*Pc/MaxiM</f>
        <v>5.1616136068900254E-2</v>
      </c>
      <c r="Q342" s="305">
        <f t="shared" si="130"/>
        <v>0.7</v>
      </c>
      <c r="R342" s="177">
        <f t="shared" si="131"/>
        <v>0.79978545217121977</v>
      </c>
      <c r="S342" s="817">
        <f t="shared" si="132"/>
        <v>-1</v>
      </c>
      <c r="T342" s="176">
        <f t="shared" si="133"/>
        <v>5</v>
      </c>
      <c r="U342" s="251">
        <f t="shared" si="134"/>
        <v>-0.20021454782878029</v>
      </c>
      <c r="V342" s="383">
        <f t="shared" si="135"/>
        <v>11.959422103307947</v>
      </c>
      <c r="W342" s="402">
        <f t="shared" si="136"/>
        <v>0</v>
      </c>
      <c r="X342" s="157">
        <f t="shared" si="137"/>
        <v>44889</v>
      </c>
      <c r="Y342" s="385">
        <f t="shared" si="138"/>
        <v>6.9424777942901184</v>
      </c>
      <c r="Z342" s="385">
        <f t="shared" si="139"/>
        <v>7.2026964024529656</v>
      </c>
      <c r="AA342" s="386">
        <f t="shared" si="140"/>
        <v>8.3036049418649736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0.13258199867643827</v>
      </c>
      <c r="AD342" s="231">
        <f>(INDEX(Models!$BJ342:$BT342,,AH342)*(1-AF342)+INDEX(Models!$BJ342:$BT342,,AH342+1)*AF342-ERP_i)*AE342*Ramure*Pc/MaxiM</f>
        <v>5.1616136068900254E-2</v>
      </c>
      <c r="AE342" s="305">
        <f t="shared" si="142"/>
        <v>0.7</v>
      </c>
      <c r="AF342" s="177">
        <f t="shared" si="143"/>
        <v>0.79978545217121977</v>
      </c>
      <c r="AG342" s="817">
        <f t="shared" si="149"/>
        <v>-1</v>
      </c>
      <c r="AH342" s="176">
        <f t="shared" si="144"/>
        <v>5</v>
      </c>
      <c r="AI342" s="225">
        <f t="shared" si="145"/>
        <v>-0.20021454782878029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44890</v>
      </c>
      <c r="B343" s="1106">
        <v>3.0680000000000001</v>
      </c>
      <c r="C343" s="846"/>
      <c r="D343" s="393">
        <f t="shared" si="127"/>
        <v>3.1830647829545118</v>
      </c>
      <c r="E343" s="385">
        <f t="shared" si="125"/>
        <v>3.5015295043282473</v>
      </c>
      <c r="F343" s="385">
        <f t="shared" si="128"/>
        <v>3.5015295043282473</v>
      </c>
      <c r="G343" s="110">
        <f t="shared" si="126"/>
        <v>0.24672552305421452</v>
      </c>
      <c r="H343" s="414" t="b">
        <f>Wh_hp&gt;='2021'!Maxi_hp</f>
        <v>0</v>
      </c>
      <c r="I343" s="380">
        <f>IF(H343,Wh_hp,'2021'!Maxi_hp)</f>
        <v>14.256922771094214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3.614905470057983E-2</v>
      </c>
      <c r="M343" s="850"/>
      <c r="N343" s="850"/>
      <c r="O343" s="48">
        <f>IF(t&lt;Tnet,'2021'!Resal+('2021'!Salim-'2021'!Resal)*(1-EXP(('2021'!Tnet-t)/('2021'!Tau_j))),Resal+(Salim-Resal)*(1-EXP((Tnet-t)/(Tau_j))))*Salcycl</f>
        <v>9.0950175053524596E-2</v>
      </c>
      <c r="P343" s="339">
        <f>(INDEX(Models!$BJ343:$BT343,,T343)*(1-R343)+INDEX(Models!$BJ343:$BT343,,T343+1)*R343-ERP_i)*Q343*Ramure*Pc/MaxiM</f>
        <v>5.1556589253949348E-2</v>
      </c>
      <c r="Q343" s="305">
        <f t="shared" si="130"/>
        <v>0.7</v>
      </c>
      <c r="R343" s="177">
        <f t="shared" si="131"/>
        <v>0.79979807962466176</v>
      </c>
      <c r="S343" s="817">
        <f t="shared" si="132"/>
        <v>-1</v>
      </c>
      <c r="T343" s="176">
        <f t="shared" si="133"/>
        <v>5</v>
      </c>
      <c r="U343" s="251">
        <f t="shared" si="134"/>
        <v>-0.20020192037533824</v>
      </c>
      <c r="V343" s="383">
        <f t="shared" si="135"/>
        <v>11.793771265121563</v>
      </c>
      <c r="W343" s="402">
        <f t="shared" si="136"/>
        <v>0</v>
      </c>
      <c r="X343" s="157">
        <f t="shared" si="137"/>
        <v>44890</v>
      </c>
      <c r="Y343" s="385">
        <f t="shared" si="138"/>
        <v>2.9276196608534026</v>
      </c>
      <c r="Z343" s="385">
        <f t="shared" si="139"/>
        <v>3.037419504676564</v>
      </c>
      <c r="AA343" s="386">
        <f t="shared" si="140"/>
        <v>3.5015295043282473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0.13254493474294488</v>
      </c>
      <c r="AD343" s="231">
        <f>(INDEX(Models!$BJ343:$BT343,,AH343)*(1-AF343)+INDEX(Models!$BJ343:$BT343,,AH343+1)*AF343-ERP_i)*AE343*Ramure*Pc/MaxiM</f>
        <v>5.1556589253949348E-2</v>
      </c>
      <c r="AE343" s="305">
        <f t="shared" si="142"/>
        <v>0.7</v>
      </c>
      <c r="AF343" s="177">
        <f t="shared" si="143"/>
        <v>0.79979807962466176</v>
      </c>
      <c r="AG343" s="817">
        <f t="shared" si="149"/>
        <v>-1</v>
      </c>
      <c r="AH343" s="176">
        <f t="shared" si="144"/>
        <v>5</v>
      </c>
      <c r="AI343" s="225">
        <f t="shared" si="145"/>
        <v>-0.20020192037533824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44891</v>
      </c>
      <c r="B344" s="1106">
        <v>6.0650000000000004</v>
      </c>
      <c r="C344" s="846"/>
      <c r="D344" s="393">
        <f t="shared" si="127"/>
        <v>6.2926045479893782</v>
      </c>
      <c r="E344" s="385">
        <f t="shared" si="125"/>
        <v>6.9224905967964432</v>
      </c>
      <c r="F344" s="385">
        <f t="shared" si="128"/>
        <v>7.0369250719142418</v>
      </c>
      <c r="G344" s="110">
        <f t="shared" si="126"/>
        <v>0.50264827616629881</v>
      </c>
      <c r="H344" s="414" t="b">
        <f>Wh_hp&gt;='2021'!Maxi_hp</f>
        <v>0</v>
      </c>
      <c r="I344" s="380">
        <f>IF(H344,Wh_hp,'2021'!Maxi_hp)</f>
        <v>13.332457203646875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3.6170165509940122E-2</v>
      </c>
      <c r="M344" s="850"/>
      <c r="N344" s="850"/>
      <c r="O344" s="48">
        <f>IF(t&lt;Tnet,'2021'!Resal+('2021'!Salim-'2021'!Resal)*(1-EXP(('2021'!Tnet-t)/('2021'!Tau_j))),Resal+(Salim-Resal)*(1-EXP((Tnet-t)/(Tau_j))))*Salcycl</f>
        <v>9.0991246575121476E-2</v>
      </c>
      <c r="P344" s="339">
        <f>(INDEX(Models!$BJ344:$BT344,,T344)*(1-R344)+INDEX(Models!$BJ344:$BT344,,T344+1)*R344-ERP_i)*Q344*Ramure*Pc/MaxiM</f>
        <v>5.1441108589264505E-2</v>
      </c>
      <c r="Q344" s="305">
        <f t="shared" si="130"/>
        <v>0.7</v>
      </c>
      <c r="R344" s="177">
        <f t="shared" si="131"/>
        <v>0.79981019965919975</v>
      </c>
      <c r="S344" s="817">
        <f t="shared" si="132"/>
        <v>-1</v>
      </c>
      <c r="T344" s="176">
        <f t="shared" si="133"/>
        <v>5</v>
      </c>
      <c r="U344" s="251">
        <f t="shared" si="134"/>
        <v>-0.20018980034080025</v>
      </c>
      <c r="V344" s="383">
        <f t="shared" si="135"/>
        <v>11.634600067906689</v>
      </c>
      <c r="W344" s="402">
        <f t="shared" si="136"/>
        <v>0</v>
      </c>
      <c r="X344" s="157">
        <f t="shared" si="137"/>
        <v>44891</v>
      </c>
      <c r="Y344" s="385">
        <f t="shared" si="138"/>
        <v>5.7879813732767627</v>
      </c>
      <c r="Z344" s="385">
        <f t="shared" si="139"/>
        <v>6.0051900928539421</v>
      </c>
      <c r="AA344" s="386">
        <f t="shared" si="140"/>
        <v>6.9224905967964432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0.13251018417663216</v>
      </c>
      <c r="AD344" s="231">
        <f>(INDEX(Models!$BJ344:$BT344,,AH344)*(1-AF344)+INDEX(Models!$BJ344:$BT344,,AH344+1)*AF344-ERP_i)*AE344*Ramure*Pc/MaxiM</f>
        <v>5.1441108589264505E-2</v>
      </c>
      <c r="AE344" s="305">
        <f t="shared" si="142"/>
        <v>0.7</v>
      </c>
      <c r="AF344" s="177">
        <f t="shared" si="143"/>
        <v>0.79981019965919975</v>
      </c>
      <c r="AG344" s="817">
        <f t="shared" si="149"/>
        <v>-1</v>
      </c>
      <c r="AH344" s="176">
        <f t="shared" si="144"/>
        <v>5</v>
      </c>
      <c r="AI344" s="225">
        <f t="shared" si="145"/>
        <v>-0.20018980034080025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44892</v>
      </c>
      <c r="B345" s="1106">
        <v>8.35</v>
      </c>
      <c r="C345" s="846"/>
      <c r="D345" s="393">
        <f t="shared" si="127"/>
        <v>8.6635447374933872</v>
      </c>
      <c r="E345" s="385">
        <f t="shared" si="125"/>
        <v>9.5312064152874534</v>
      </c>
      <c r="F345" s="385">
        <f t="shared" si="128"/>
        <v>9.8392377501987873</v>
      </c>
      <c r="G345" s="110">
        <f t="shared" si="126"/>
        <v>0.71237713053787532</v>
      </c>
      <c r="H345" s="414" t="b">
        <f>Wh_hp&gt;='2021'!Maxi_hp</f>
        <v>0</v>
      </c>
      <c r="I345" s="380">
        <f>IF(H345,Wh_hp,'2021'!Maxi_hp)</f>
        <v>14.406333862137721</v>
      </c>
      <c r="J345" s="85">
        <f>IF(H345,An,'2021'!An_max)</f>
        <v>2018</v>
      </c>
      <c r="K345" s="197">
        <f t="shared" si="129"/>
        <v>44892</v>
      </c>
      <c r="L345" s="147">
        <f>IF(t&lt;Tvie,1-EXP((T0-t)*PertePVj)+'2021'!Pspv,1-EXP((T0-t)*PertePVj)+Pspv)</f>
        <v>3.6191275856919614E-2</v>
      </c>
      <c r="M345" s="850"/>
      <c r="N345" s="850"/>
      <c r="O345" s="48">
        <f>IF(t&lt;Tnet,'2021'!Resal+('2021'!Salim-'2021'!Resal)*(1-EXP(('2021'!Tnet-t)/('2021'!Tau_j))),Resal+(Salim-Resal)*(1-EXP((Tnet-t)/(Tau_j))))*Salcycl</f>
        <v>9.1033772639987326E-2</v>
      </c>
      <c r="P345" s="339">
        <f>(INDEX(Models!$BJ345:$BT345,,T345)*(1-R345)+INDEX(Models!$BJ345:$BT345,,T345+1)*R345-ERP_i)*Q345*Ramure*Pc/MaxiM</f>
        <v>5.1277233690965623E-2</v>
      </c>
      <c r="Q345" s="305">
        <f t="shared" si="130"/>
        <v>0.7</v>
      </c>
      <c r="R345" s="177">
        <f t="shared" si="131"/>
        <v>0.79982183262627471</v>
      </c>
      <c r="S345" s="817">
        <f t="shared" si="132"/>
        <v>-1</v>
      </c>
      <c r="T345" s="176">
        <f t="shared" si="133"/>
        <v>5</v>
      </c>
      <c r="U345" s="251">
        <f t="shared" si="134"/>
        <v>-0.20017816737372535</v>
      </c>
      <c r="V345" s="383">
        <f t="shared" si="135"/>
        <v>11.47967012958687</v>
      </c>
      <c r="W345" s="402">
        <f t="shared" si="136"/>
        <v>0</v>
      </c>
      <c r="X345" s="157">
        <f t="shared" si="137"/>
        <v>44892</v>
      </c>
      <c r="Y345" s="385">
        <f t="shared" si="138"/>
        <v>7.9692847109108182</v>
      </c>
      <c r="Z345" s="385">
        <f t="shared" si="139"/>
        <v>8.2685334872811893</v>
      </c>
      <c r="AA345" s="386">
        <f t="shared" si="140"/>
        <v>9.5312064152874534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0.13247776545695378</v>
      </c>
      <c r="AD345" s="231">
        <f>(INDEX(Models!$BJ345:$BT345,,AH345)*(1-AF345)+INDEX(Models!$BJ345:$BT345,,AH345+1)*AF345-ERP_i)*AE345*Ramure*Pc/MaxiM</f>
        <v>5.1277233690965623E-2</v>
      </c>
      <c r="AE345" s="305">
        <f t="shared" si="142"/>
        <v>0.7</v>
      </c>
      <c r="AF345" s="177">
        <f t="shared" si="143"/>
        <v>0.79982183262627471</v>
      </c>
      <c r="AG345" s="817">
        <f t="shared" si="149"/>
        <v>-1</v>
      </c>
      <c r="AH345" s="176">
        <f t="shared" si="144"/>
        <v>5</v>
      </c>
      <c r="AI345" s="225">
        <f t="shared" si="145"/>
        <v>-0.20017816737372535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44893</v>
      </c>
      <c r="B346" s="1106">
        <v>5.57</v>
      </c>
      <c r="C346" s="846"/>
      <c r="D346" s="393">
        <f t="shared" si="127"/>
        <v>5.7792815736540675</v>
      </c>
      <c r="E346" s="385">
        <f t="shared" si="125"/>
        <v>6.3583894685756919</v>
      </c>
      <c r="F346" s="385">
        <f t="shared" si="128"/>
        <v>6.4485996648026731</v>
      </c>
      <c r="G346" s="110">
        <f t="shared" si="126"/>
        <v>0.47323432334271015</v>
      </c>
      <c r="H346" s="414" t="b">
        <f>Wh_hp&gt;='2021'!Maxi_hp</f>
        <v>0</v>
      </c>
      <c r="I346" s="380">
        <f>IF(H346,Wh_hp,'2021'!Maxi_hp)</f>
        <v>11.673950035161885</v>
      </c>
      <c r="J346" s="85">
        <f>IF(H346,An,'2021'!An_max)</f>
        <v>2018</v>
      </c>
      <c r="K346" s="197">
        <f t="shared" si="129"/>
        <v>44893</v>
      </c>
      <c r="L346" s="147">
        <f>IF(t&lt;Tvie,1-EXP((T0-t)*PertePVj)+'2021'!Pspv,1-EXP((T0-t)*PertePVj)+Pspv)</f>
        <v>3.6212385741528186E-2</v>
      </c>
      <c r="M346" s="850"/>
      <c r="N346" s="850"/>
      <c r="O346" s="48">
        <f>IF(t&lt;Tnet,'2021'!Resal+('2021'!Salim-'2021'!Resal)*(1-EXP(('2021'!Tnet-t)/('2021'!Tau_j))),Resal+(Salim-Resal)*(1-EXP((Tnet-t)/(Tau_j))))*Salcycl</f>
        <v>9.1077763918627555E-2</v>
      </c>
      <c r="P346" s="339">
        <f>(INDEX(Models!$BJ346:$BT346,,T346)*(1-R346)+INDEX(Models!$BJ346:$BT346,,T346+1)*R346-ERP_i)*Q346*Ramure*Pc/MaxiM</f>
        <v>5.1074117962865977E-2</v>
      </c>
      <c r="Q346" s="305">
        <f t="shared" si="130"/>
        <v>0.7</v>
      </c>
      <c r="R346" s="177">
        <f t="shared" si="131"/>
        <v>0.79983299806411767</v>
      </c>
      <c r="S346" s="817">
        <f t="shared" si="132"/>
        <v>-1</v>
      </c>
      <c r="T346" s="176">
        <f t="shared" si="133"/>
        <v>5</v>
      </c>
      <c r="U346" s="251">
        <f t="shared" si="134"/>
        <v>-0.20016700193588233</v>
      </c>
      <c r="V346" s="383">
        <f t="shared" si="135"/>
        <v>11.327381863186993</v>
      </c>
      <c r="W346" s="402">
        <f t="shared" si="136"/>
        <v>0</v>
      </c>
      <c r="X346" s="157">
        <f t="shared" si="137"/>
        <v>44893</v>
      </c>
      <c r="Y346" s="385">
        <f t="shared" si="138"/>
        <v>5.3164794328351821</v>
      </c>
      <c r="Z346" s="385">
        <f t="shared" si="139"/>
        <v>5.5162354798734636</v>
      </c>
      <c r="AA346" s="386">
        <f t="shared" si="140"/>
        <v>6.3583894685756919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0.13244768865831585</v>
      </c>
      <c r="AD346" s="231">
        <f>(INDEX(Models!$BJ346:$BT346,,AH346)*(1-AF346)+INDEX(Models!$BJ346:$BT346,,AH346+1)*AF346-ERP_i)*AE346*Ramure*Pc/MaxiM</f>
        <v>5.1074117962865977E-2</v>
      </c>
      <c r="AE346" s="305">
        <f t="shared" si="142"/>
        <v>0.7</v>
      </c>
      <c r="AF346" s="177">
        <f t="shared" si="143"/>
        <v>0.79983299806411767</v>
      </c>
      <c r="AG346" s="817">
        <f t="shared" si="149"/>
        <v>-1</v>
      </c>
      <c r="AH346" s="176">
        <f t="shared" si="144"/>
        <v>5</v>
      </c>
      <c r="AI346" s="225">
        <f t="shared" si="145"/>
        <v>-0.20016700193588233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44894</v>
      </c>
      <c r="B347" s="1106">
        <v>6.2279999999999998</v>
      </c>
      <c r="C347" s="846"/>
      <c r="D347" s="393">
        <f t="shared" si="127"/>
        <v>6.4621461409455661</v>
      </c>
      <c r="E347" s="385">
        <f t="shared" si="125"/>
        <v>7.1100355091887666</v>
      </c>
      <c r="F347" s="385">
        <f t="shared" si="128"/>
        <v>7.2452966246033785</v>
      </c>
      <c r="G347" s="110">
        <f t="shared" si="126"/>
        <v>0.53887127334948781</v>
      </c>
      <c r="H347" s="414" t="b">
        <f>Wh_hp&gt;='2021'!Maxi_hp</f>
        <v>0</v>
      </c>
      <c r="I347" s="380">
        <f>IF(H347,Wh_hp,'2021'!Maxi_hp)</f>
        <v>13.75945482004663</v>
      </c>
      <c r="J347" s="85">
        <f>IF(H347,An,'2021'!An_max)</f>
        <v>2018</v>
      </c>
      <c r="K347" s="197">
        <f t="shared" si="129"/>
        <v>44894</v>
      </c>
      <c r="L347" s="147">
        <f>IF(t&lt;Tvie,1-EXP((T0-t)*PertePVj)+'2021'!Pspv,1-EXP((T0-t)*PertePVj)+Pspv)</f>
        <v>3.6233495163776164E-2</v>
      </c>
      <c r="M347" s="850"/>
      <c r="N347" s="850"/>
      <c r="O347" s="48">
        <f>IF(t&lt;Tnet,'2021'!Resal+('2021'!Salim-'2021'!Resal)*(1-EXP(('2021'!Tnet-t)/('2021'!Tau_j))),Resal+(Salim-Resal)*(1-EXP((Tnet-t)/(Tau_j))))*Salcycl</f>
        <v>9.112322539119394E-2</v>
      </c>
      <c r="P347" s="339">
        <f>(INDEX(Models!$BJ347:$BT347,,T347)*(1-R347)+INDEX(Models!$BJ347:$BT347,,T347+1)*R347-ERP_i)*Q347*Ramure*Pc/MaxiM</f>
        <v>5.0823896035935449E-2</v>
      </c>
      <c r="Q347" s="305">
        <f t="shared" si="130"/>
        <v>0.7</v>
      </c>
      <c r="R347" s="177">
        <f t="shared" si="131"/>
        <v>0.79984371473000482</v>
      </c>
      <c r="S347" s="817">
        <f t="shared" si="132"/>
        <v>-1</v>
      </c>
      <c r="T347" s="176">
        <f t="shared" si="133"/>
        <v>5</v>
      </c>
      <c r="U347" s="251">
        <f t="shared" si="134"/>
        <v>-0.20015628526999518</v>
      </c>
      <c r="V347" s="383">
        <f t="shared" si="135"/>
        <v>11.178789237829234</v>
      </c>
      <c r="W347" s="402">
        <f t="shared" si="136"/>
        <v>0</v>
      </c>
      <c r="X347" s="157">
        <f t="shared" si="137"/>
        <v>44894</v>
      </c>
      <c r="Y347" s="385">
        <f t="shared" si="138"/>
        <v>5.9450177049557622</v>
      </c>
      <c r="Z347" s="385">
        <f t="shared" si="139"/>
        <v>6.1685249229179417</v>
      </c>
      <c r="AA347" s="386">
        <f t="shared" si="140"/>
        <v>7.1100355091887666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0.13241995557603733</v>
      </c>
      <c r="AD347" s="231">
        <f>(INDEX(Models!$BJ347:$BT347,,AH347)*(1-AF347)+INDEX(Models!$BJ347:$BT347,,AH347+1)*AF347-ERP_i)*AE347*Ramure*Pc/MaxiM</f>
        <v>5.0823896035935449E-2</v>
      </c>
      <c r="AE347" s="305">
        <f t="shared" si="142"/>
        <v>0.7</v>
      </c>
      <c r="AF347" s="177">
        <f t="shared" si="143"/>
        <v>0.79984371473000482</v>
      </c>
      <c r="AG347" s="817">
        <f t="shared" si="149"/>
        <v>-1</v>
      </c>
      <c r="AH347" s="176">
        <f t="shared" si="144"/>
        <v>5</v>
      </c>
      <c r="AI347" s="225">
        <f t="shared" si="145"/>
        <v>-0.20015628526999518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44895</v>
      </c>
      <c r="B348" s="1106">
        <v>2.3149999999999999</v>
      </c>
      <c r="C348" s="846"/>
      <c r="D348" s="393">
        <f t="shared" si="127"/>
        <v>2.4020867024687451</v>
      </c>
      <c r="E348" s="385">
        <f t="shared" si="125"/>
        <v>2.6430543841740364</v>
      </c>
      <c r="F348" s="385">
        <f t="shared" si="128"/>
        <v>2.6430543841740364</v>
      </c>
      <c r="G348" s="110">
        <f t="shared" si="126"/>
        <v>0.19918990442591977</v>
      </c>
      <c r="H348" s="414" t="b">
        <f>Wh_hp&gt;='2021'!Maxi_hp</f>
        <v>0</v>
      </c>
      <c r="I348" s="380">
        <f>IF(H348,Wh_hp,'2021'!Maxi_hp)</f>
        <v>12.01500433375004</v>
      </c>
      <c r="J348" s="85">
        <f>IF(H348,An,'2021'!An_max)</f>
        <v>2020</v>
      </c>
      <c r="K348" s="197">
        <f t="shared" si="129"/>
        <v>44895</v>
      </c>
      <c r="L348" s="147">
        <f>IF(t&lt;Tvie,1-EXP((T0-t)*PertePVj)+'2021'!Pspv,1-EXP((T0-t)*PertePVj)+Pspv)</f>
        <v>3.625460412367365E-2</v>
      </c>
      <c r="M348" s="850"/>
      <c r="N348" s="850"/>
      <c r="O348" s="48">
        <f>IF(t&lt;Tnet,'2021'!Resal+('2021'!Salim-'2021'!Resal)*(1-EXP(('2021'!Tnet-t)/('2021'!Tau_j))),Resal+(Salim-Resal)*(1-EXP((Tnet-t)/(Tau_j))))*Salcycl</f>
        <v>9.117015644783806E-2</v>
      </c>
      <c r="P348" s="339">
        <f>(INDEX(Models!$BJ348:$BT348,,T348)*(1-R348)+INDEX(Models!$BJ348:$BT348,,T348+1)*R348-ERP_i)*Q348*Ramure*Pc/MaxiM</f>
        <v>5.0520481501242089E-2</v>
      </c>
      <c r="Q348" s="305">
        <f t="shared" si="130"/>
        <v>0.7</v>
      </c>
      <c r="R348" s="177">
        <f t="shared" si="131"/>
        <v>0.79985400063125112</v>
      </c>
      <c r="S348" s="817">
        <f t="shared" si="132"/>
        <v>-1</v>
      </c>
      <c r="T348" s="176">
        <f t="shared" si="133"/>
        <v>5</v>
      </c>
      <c r="U348" s="251">
        <f t="shared" si="134"/>
        <v>-0.20014599936874894</v>
      </c>
      <c r="V348" s="383">
        <f t="shared" si="135"/>
        <v>11.034922134530639</v>
      </c>
      <c r="W348" s="402">
        <f t="shared" si="136"/>
        <v>0</v>
      </c>
      <c r="X348" s="157">
        <f t="shared" si="137"/>
        <v>44895</v>
      </c>
      <c r="Y348" s="385">
        <f t="shared" si="138"/>
        <v>2.2099919012100724</v>
      </c>
      <c r="Z348" s="385">
        <f t="shared" si="139"/>
        <v>2.29312836218589</v>
      </c>
      <c r="AA348" s="386">
        <f t="shared" si="140"/>
        <v>2.6430543841740364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0.13239455990138443</v>
      </c>
      <c r="AD348" s="231">
        <f>(INDEX(Models!$BJ348:$BT348,,AH348)*(1-AF348)+INDEX(Models!$BJ348:$BT348,,AH348+1)*AF348-ERP_i)*AE348*Ramure*Pc/MaxiM</f>
        <v>5.0520481501242089E-2</v>
      </c>
      <c r="AE348" s="305">
        <f t="shared" si="142"/>
        <v>0.7</v>
      </c>
      <c r="AF348" s="177">
        <f t="shared" si="143"/>
        <v>0.79985400063125112</v>
      </c>
      <c r="AG348" s="817">
        <f t="shared" si="149"/>
        <v>-1</v>
      </c>
      <c r="AH348" s="176">
        <f t="shared" si="144"/>
        <v>5</v>
      </c>
      <c r="AI348" s="225">
        <f t="shared" si="145"/>
        <v>-0.20014599936874894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44896</v>
      </c>
      <c r="B349" s="1106">
        <v>2.1430000000000002</v>
      </c>
      <c r="C349" s="846"/>
      <c r="D349" s="393">
        <f t="shared" si="127"/>
        <v>2.223665033729449</v>
      </c>
      <c r="E349" s="385">
        <f t="shared" si="125"/>
        <v>2.4468644647520654</v>
      </c>
      <c r="F349" s="385">
        <f t="shared" si="128"/>
        <v>2.4468644647520654</v>
      </c>
      <c r="G349" s="110">
        <f t="shared" si="126"/>
        <v>0.18679889481542183</v>
      </c>
      <c r="H349" s="414" t="b">
        <f>Wh_hp&gt;='2021'!Maxi_hp</f>
        <v>0</v>
      </c>
      <c r="I349" s="380">
        <f>IF(H349,Wh_hp,'2021'!Maxi_hp)</f>
        <v>12.606497833534238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3.6275712621230638E-2</v>
      </c>
      <c r="M349" s="850"/>
      <c r="N349" s="850"/>
      <c r="O349" s="48">
        <f>IF(t&lt;Tnet,'2021'!Resal+('2021'!Salim-'2021'!Resal)*(1-EXP(('2021'!Tnet-t)/('2021'!Tau_j))),Resal+(Salim-Resal)*(1-EXP((Tnet-t)/(Tau_j))))*Salcycl</f>
        <v>9.1218551022290761E-2</v>
      </c>
      <c r="P349" s="339">
        <f>(INDEX(Models!$BJ349:$BT349,,T349)*(1-R349)+INDEX(Models!$BJ349:$BT349,,T349+1)*R349-ERP_i)*Q349*Ramure*Pc/MaxiM</f>
        <v>5.0157641426953427E-2</v>
      </c>
      <c r="Q349" s="305">
        <f t="shared" si="130"/>
        <v>0.7</v>
      </c>
      <c r="R349" s="177">
        <f t="shared" si="131"/>
        <v>0.79986387305499185</v>
      </c>
      <c r="S349" s="817">
        <f t="shared" si="132"/>
        <v>-1</v>
      </c>
      <c r="T349" s="176">
        <f t="shared" si="133"/>
        <v>5</v>
      </c>
      <c r="U349" s="251">
        <f t="shared" si="134"/>
        <v>-0.2001361269450081</v>
      </c>
      <c r="V349" s="383">
        <f t="shared" si="135"/>
        <v>10.896810585701552</v>
      </c>
      <c r="W349" s="402">
        <f t="shared" si="136"/>
        <v>0</v>
      </c>
      <c r="X349" s="157">
        <f t="shared" si="137"/>
        <v>44896</v>
      </c>
      <c r="Y349" s="385">
        <f t="shared" si="138"/>
        <v>2.0459571489924548</v>
      </c>
      <c r="Z349" s="385">
        <f t="shared" si="139"/>
        <v>2.1229693759791477</v>
      </c>
      <c r="AA349" s="386">
        <f t="shared" si="140"/>
        <v>2.4468644647520654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0.13237148744392641</v>
      </c>
      <c r="AD349" s="231">
        <f>(INDEX(Models!$BJ349:$BT349,,AH349)*(1-AF349)+INDEX(Models!$BJ349:$BT349,,AH349+1)*AF349-ERP_i)*AE349*Ramure*Pc/MaxiM</f>
        <v>5.0157641426953427E-2</v>
      </c>
      <c r="AE349" s="305">
        <f t="shared" si="142"/>
        <v>0.7</v>
      </c>
      <c r="AF349" s="177">
        <f t="shared" si="143"/>
        <v>0.79986387305499185</v>
      </c>
      <c r="AG349" s="817">
        <f t="shared" si="149"/>
        <v>-1</v>
      </c>
      <c r="AH349" s="176">
        <f t="shared" si="144"/>
        <v>5</v>
      </c>
      <c r="AI349" s="225">
        <f t="shared" si="145"/>
        <v>-0.2001361269450081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44897</v>
      </c>
      <c r="B350" s="1106">
        <v>3.3120000000000003</v>
      </c>
      <c r="C350" s="846"/>
      <c r="D350" s="393">
        <f t="shared" si="127"/>
        <v>3.4367428384495686</v>
      </c>
      <c r="E350" s="385">
        <f t="shared" si="125"/>
        <v>3.7819118758147359</v>
      </c>
      <c r="F350" s="385">
        <f t="shared" si="128"/>
        <v>3.7839683058007867</v>
      </c>
      <c r="G350" s="110">
        <f t="shared" si="126"/>
        <v>0.29250969810912419</v>
      </c>
      <c r="H350" s="414" t="b">
        <f>Wh_hp&gt;='2021'!Maxi_hp</f>
        <v>0</v>
      </c>
      <c r="I350" s="380">
        <f>IF(H350,Wh_hp,'2021'!Maxi_hp)</f>
        <v>5.9138462610467215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3.6296820656457451E-2</v>
      </c>
      <c r="M350" s="850"/>
      <c r="N350" s="850"/>
      <c r="O350" s="48">
        <f>IF(t&lt;Tnet,'2021'!Resal+('2021'!Salim-'2021'!Resal)*(1-EXP(('2021'!Tnet-t)/('2021'!Tau_j))),Resal+(Salim-Resal)*(1-EXP((Tnet-t)/(Tau_j))))*Salcycl</f>
        <v>9.1268397757366559E-2</v>
      </c>
      <c r="P350" s="339">
        <f>(INDEX(Models!$BJ350:$BT350,,T350)*(1-R350)+INDEX(Models!$BJ350:$BT350,,T350+1)*R350-ERP_i)*Q350*Ramure*Pc/MaxiM</f>
        <v>4.972906625844413E-2</v>
      </c>
      <c r="Q350" s="305">
        <f t="shared" si="130"/>
        <v>0.7</v>
      </c>
      <c r="R350" s="177">
        <f t="shared" si="131"/>
        <v>0.79987334859679882</v>
      </c>
      <c r="S350" s="817">
        <f t="shared" si="132"/>
        <v>-1</v>
      </c>
      <c r="T350" s="176">
        <f t="shared" si="133"/>
        <v>5</v>
      </c>
      <c r="U350" s="251">
        <f t="shared" si="134"/>
        <v>-0.20012665140320118</v>
      </c>
      <c r="V350" s="383">
        <f t="shared" si="135"/>
        <v>10.765484729742704</v>
      </c>
      <c r="W350" s="402">
        <f t="shared" si="136"/>
        <v>0</v>
      </c>
      <c r="X350" s="157">
        <f t="shared" si="137"/>
        <v>44897</v>
      </c>
      <c r="Y350" s="385">
        <f t="shared" si="138"/>
        <v>3.1622697176970309</v>
      </c>
      <c r="Z350" s="385">
        <f t="shared" si="139"/>
        <v>3.281373129692394</v>
      </c>
      <c r="AA350" s="386">
        <f t="shared" si="140"/>
        <v>3.7819118758147359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0.13235071639909934</v>
      </c>
      <c r="AD350" s="231">
        <f>(INDEX(Models!$BJ350:$BT350,,AH350)*(1-AF350)+INDEX(Models!$BJ350:$BT350,,AH350+1)*AF350-ERP_i)*AE350*Ramure*Pc/MaxiM</f>
        <v>4.972906625844413E-2</v>
      </c>
      <c r="AE350" s="305">
        <f t="shared" si="142"/>
        <v>0.7</v>
      </c>
      <c r="AF350" s="177">
        <f t="shared" si="143"/>
        <v>0.79987334859679882</v>
      </c>
      <c r="AG350" s="817">
        <f t="shared" si="149"/>
        <v>-1</v>
      </c>
      <c r="AH350" s="176">
        <f t="shared" si="144"/>
        <v>5</v>
      </c>
      <c r="AI350" s="225">
        <f t="shared" si="145"/>
        <v>-0.20012665140320118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44898</v>
      </c>
      <c r="B351" s="1106">
        <v>5.7750000000000004</v>
      </c>
      <c r="C351" s="846"/>
      <c r="D351" s="393">
        <f t="shared" si="127"/>
        <v>5.9926402795781151</v>
      </c>
      <c r="E351" s="385">
        <f t="shared" si="125"/>
        <v>6.5948828746535062</v>
      </c>
      <c r="F351" s="385">
        <f t="shared" si="128"/>
        <v>6.7093822948481625</v>
      </c>
      <c r="G351" s="110">
        <f t="shared" si="126"/>
        <v>0.52490582126703866</v>
      </c>
      <c r="H351" s="414" t="b">
        <f>Wh_hp&gt;='2021'!Maxi_hp</f>
        <v>0</v>
      </c>
      <c r="I351" s="380">
        <f>IF(H351,Wh_hp,'2021'!Maxi_hp)</f>
        <v>10.154627758831777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3.6317928229364083E-2</v>
      </c>
      <c r="M351" s="850"/>
      <c r="N351" s="850"/>
      <c r="O351" s="48">
        <f>IF(t&lt;Tnet,'2021'!Resal+('2021'!Salim-'2021'!Resal)*(1-EXP(('2021'!Tnet-t)/('2021'!Tau_j))),Resal+(Salim-Resal)*(1-EXP((Tnet-t)/(Tau_j))))*Salcycl</f>
        <v>9.1319680200845632E-2</v>
      </c>
      <c r="P351" s="339">
        <f>(INDEX(Models!$BJ351:$BT351,,T351)*(1-R351)+INDEX(Models!$BJ351:$BT351,,T351+1)*R351-ERP_i)*Q351*Ramure*Pc/MaxiM</f>
        <v>4.9228457580827882E-2</v>
      </c>
      <c r="Q351" s="305">
        <f t="shared" si="130"/>
        <v>0.7</v>
      </c>
      <c r="R351" s="177">
        <f t="shared" si="131"/>
        <v>0.79988244318817148</v>
      </c>
      <c r="S351" s="817">
        <f t="shared" si="132"/>
        <v>-1</v>
      </c>
      <c r="T351" s="176">
        <f t="shared" si="133"/>
        <v>5</v>
      </c>
      <c r="U351" s="251">
        <f t="shared" si="134"/>
        <v>-0.20011755681182847</v>
      </c>
      <c r="V351" s="383">
        <f t="shared" si="135"/>
        <v>10.641974775773718</v>
      </c>
      <c r="W351" s="402">
        <f t="shared" si="136"/>
        <v>0</v>
      </c>
      <c r="X351" s="157">
        <f t="shared" si="137"/>
        <v>44898</v>
      </c>
      <c r="Y351" s="385">
        <f t="shared" si="138"/>
        <v>5.5143501337517487</v>
      </c>
      <c r="Z351" s="385">
        <f t="shared" si="139"/>
        <v>5.722167398652414</v>
      </c>
      <c r="AA351" s="386">
        <f t="shared" si="140"/>
        <v>6.5948828746535062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0.13233221765851977</v>
      </c>
      <c r="AD351" s="231">
        <f>(INDEX(Models!$BJ351:$BT351,,AH351)*(1-AF351)+INDEX(Models!$BJ351:$BT351,,AH351+1)*AF351-ERP_i)*AE351*Ramure*Pc/MaxiM</f>
        <v>4.9228457580827882E-2</v>
      </c>
      <c r="AE351" s="305">
        <f t="shared" si="142"/>
        <v>0.7</v>
      </c>
      <c r="AF351" s="177">
        <f t="shared" si="143"/>
        <v>0.79988244318817148</v>
      </c>
      <c r="AG351" s="817">
        <f t="shared" si="149"/>
        <v>-1</v>
      </c>
      <c r="AH351" s="176">
        <f t="shared" si="144"/>
        <v>5</v>
      </c>
      <c r="AI351" s="225">
        <f t="shared" si="145"/>
        <v>-0.20011755681182847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44899</v>
      </c>
      <c r="B352" s="1106">
        <v>8.31</v>
      </c>
      <c r="C352" s="846"/>
      <c r="D352" s="393">
        <f t="shared" si="127"/>
        <v>8.6233647566409477</v>
      </c>
      <c r="E352" s="385">
        <f t="shared" si="125"/>
        <v>9.4905377501661405</v>
      </c>
      <c r="F352" s="385">
        <f t="shared" si="128"/>
        <v>9.825135926325423</v>
      </c>
      <c r="G352" s="110">
        <f t="shared" si="126"/>
        <v>0.77744881890793105</v>
      </c>
      <c r="H352" s="414" t="b">
        <f>Wh_hp&gt;='2021'!Maxi_hp</f>
        <v>1</v>
      </c>
      <c r="I352" s="380">
        <f>IF(H352,Wh_hp,'2021'!Maxi_hp)</f>
        <v>9.825135926325423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3.6339035339960635E-2</v>
      </c>
      <c r="M352" s="850"/>
      <c r="N352" s="850"/>
      <c r="O352" s="48">
        <f>IF(t&lt;Tnet,'2021'!Resal+('2021'!Salim-'2021'!Resal)*(1-EXP(('2021'!Tnet-t)/('2021'!Tau_j))),Resal+(Salim-Resal)*(1-EXP((Tnet-t)/(Tau_j))))*Salcycl</f>
        <v>9.137237702995421E-2</v>
      </c>
      <c r="P352" s="339">
        <f>(INDEX(Models!$BJ352:$BT352,,T352)*(1-R352)+INDEX(Models!$BJ352:$BT352,,T352+1)*R352-ERP_i)*Q352*Ramure*Pc/MaxiM</f>
        <v>4.870775730654759E-2</v>
      </c>
      <c r="Q352" s="305">
        <f t="shared" si="130"/>
        <v>0.7</v>
      </c>
      <c r="R352" s="177">
        <f t="shared" si="131"/>
        <v>0.79989117212295224</v>
      </c>
      <c r="S352" s="817">
        <f t="shared" si="132"/>
        <v>-1</v>
      </c>
      <c r="T352" s="176">
        <f t="shared" si="133"/>
        <v>5</v>
      </c>
      <c r="U352" s="251">
        <f t="shared" si="134"/>
        <v>-0.2001088278770477</v>
      </c>
      <c r="V352" s="383">
        <f t="shared" si="135"/>
        <v>10.526667790917207</v>
      </c>
      <c r="W352" s="402">
        <f t="shared" si="136"/>
        <v>0</v>
      </c>
      <c r="X352" s="157">
        <f t="shared" si="137"/>
        <v>44899</v>
      </c>
      <c r="Y352" s="385">
        <f t="shared" si="138"/>
        <v>7.9355439239775976</v>
      </c>
      <c r="Z352" s="385">
        <f t="shared" si="139"/>
        <v>8.2347881827683054</v>
      </c>
      <c r="AA352" s="386">
        <f t="shared" si="140"/>
        <v>9.4905377501661405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0.13231595516027028</v>
      </c>
      <c r="AD352" s="231">
        <f>(INDEX(Models!$BJ352:$BT352,,AH352)*(1-AF352)+INDEX(Models!$BJ352:$BT352,,AH352+1)*AF352-ERP_i)*AE352*Ramure*Pc/MaxiM</f>
        <v>4.870775730654759E-2</v>
      </c>
      <c r="AE352" s="305">
        <f t="shared" si="142"/>
        <v>0.7</v>
      </c>
      <c r="AF352" s="177">
        <f t="shared" si="143"/>
        <v>0.79989117212295224</v>
      </c>
      <c r="AG352" s="817">
        <f t="shared" si="149"/>
        <v>-1</v>
      </c>
      <c r="AH352" s="176">
        <f t="shared" si="144"/>
        <v>5</v>
      </c>
      <c r="AI352" s="225">
        <f t="shared" si="145"/>
        <v>-0.2001088278770477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44900</v>
      </c>
      <c r="B353" s="1106">
        <v>9.6829999999999998</v>
      </c>
      <c r="C353" s="846"/>
      <c r="D353" s="393">
        <f t="shared" si="127"/>
        <v>10.048359788664953</v>
      </c>
      <c r="E353" s="385">
        <f t="shared" si="125"/>
        <v>11.059489817553871</v>
      </c>
      <c r="F353" s="385">
        <f t="shared" si="128"/>
        <v>11.560418979019833</v>
      </c>
      <c r="G353" s="110">
        <f t="shared" si="126"/>
        <v>0.92452479847597935</v>
      </c>
      <c r="H353" s="414" t="b">
        <f>Wh_hp&gt;='2021'!Maxi_hp</f>
        <v>1</v>
      </c>
      <c r="I353" s="380">
        <f>IF(H353,Wh_hp,'2021'!Maxi_hp)</f>
        <v>11.560418979019833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3.6360141988257433E-2</v>
      </c>
      <c r="M353" s="850"/>
      <c r="N353" s="850"/>
      <c r="O353" s="48">
        <f>IF(t&lt;Tnet,'2021'!Resal+('2021'!Salim-'2021'!Resal)*(1-EXP(('2021'!Tnet-t)/('2021'!Tau_j))),Resal+(Salim-Resal)*(1-EXP((Tnet-t)/(Tau_j))))*Salcycl</f>
        <v>9.1426462302449885E-2</v>
      </c>
      <c r="P353" s="339">
        <f>(INDEX(Models!$BJ353:$BT353,,T353)*(1-R353)+INDEX(Models!$BJ353:$BT353,,T353+1)*R353-ERP_i)*Q353*Ramure*Pc/MaxiM</f>
        <v>4.8202874925881101E-2</v>
      </c>
      <c r="Q353" s="305">
        <f t="shared" si="130"/>
        <v>0.7</v>
      </c>
      <c r="R353" s="177">
        <f t="shared" si="131"/>
        <v>0.79989955008270108</v>
      </c>
      <c r="S353" s="817">
        <f t="shared" si="132"/>
        <v>-1</v>
      </c>
      <c r="T353" s="176">
        <f t="shared" si="133"/>
        <v>5</v>
      </c>
      <c r="U353" s="251">
        <f t="shared" si="134"/>
        <v>-0.20010044991729892</v>
      </c>
      <c r="V353" s="383">
        <f t="shared" si="135"/>
        <v>10.420156388397535</v>
      </c>
      <c r="W353" s="402">
        <f t="shared" si="136"/>
        <v>0</v>
      </c>
      <c r="X353" s="157">
        <f t="shared" si="137"/>
        <v>44900</v>
      </c>
      <c r="Y353" s="385">
        <f t="shared" si="138"/>
        <v>9.2473756791115527</v>
      </c>
      <c r="Z353" s="385">
        <f t="shared" si="139"/>
        <v>9.5962984534403386</v>
      </c>
      <c r="AA353" s="386">
        <f t="shared" si="140"/>
        <v>11.059489817553871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0.13230188627608511</v>
      </c>
      <c r="AD353" s="231">
        <f>(INDEX(Models!$BJ353:$BT353,,AH353)*(1-AF353)+INDEX(Models!$BJ353:$BT353,,AH353+1)*AF353-ERP_i)*AE353*Ramure*Pc/MaxiM</f>
        <v>4.8202874925881101E-2</v>
      </c>
      <c r="AE353" s="305">
        <f t="shared" si="142"/>
        <v>0.7</v>
      </c>
      <c r="AF353" s="177">
        <f t="shared" si="143"/>
        <v>0.79989955008270108</v>
      </c>
      <c r="AG353" s="817">
        <f t="shared" si="149"/>
        <v>-1</v>
      </c>
      <c r="AH353" s="176">
        <f t="shared" si="144"/>
        <v>5</v>
      </c>
      <c r="AI353" s="225">
        <f t="shared" si="145"/>
        <v>-0.20010044991729892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44901</v>
      </c>
      <c r="B354" s="1106">
        <v>7.0230000000000006</v>
      </c>
      <c r="C354" s="846"/>
      <c r="D354" s="393">
        <f t="shared" si="127"/>
        <v>7.2881520691598842</v>
      </c>
      <c r="E354" s="385">
        <f t="shared" si="125"/>
        <v>8.0220219224504987</v>
      </c>
      <c r="F354" s="385">
        <f t="shared" si="128"/>
        <v>8.2354866536287439</v>
      </c>
      <c r="G354" s="110">
        <f t="shared" si="126"/>
        <v>0.66507573725160252</v>
      </c>
      <c r="H354" s="414" t="b">
        <f>Wh_hp&gt;='2021'!Maxi_hp</f>
        <v>0</v>
      </c>
      <c r="I354" s="380">
        <f>IF(H354,Wh_hp,'2021'!Maxi_hp)</f>
        <v>11.896832592856089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3.6381248174264358E-2</v>
      </c>
      <c r="M354" s="850"/>
      <c r="N354" s="850"/>
      <c r="O354" s="48">
        <f>IF(t&lt;Tnet,'2021'!Resal+('2021'!Salim-'2021'!Resal)*(1-EXP(('2021'!Tnet-t)/('2021'!Tau_j))),Resal+(Salim-Resal)*(1-EXP((Tnet-t)/(Tau_j))))*Salcycl</f>
        <v>9.1481905732119825E-2</v>
      </c>
      <c r="P354" s="339">
        <f>(INDEX(Models!$BJ354:$BT354,,T354)*(1-R354)+INDEX(Models!$BJ354:$BT354,,T354+1)*R354-ERP_i)*Q354*Ramure*Pc/MaxiM</f>
        <v>4.7710639271664045E-2</v>
      </c>
      <c r="Q354" s="305">
        <f t="shared" si="130"/>
        <v>0.7</v>
      </c>
      <c r="R354" s="177">
        <f t="shared" si="131"/>
        <v>0.79990759116107291</v>
      </c>
      <c r="S354" s="817">
        <f t="shared" si="132"/>
        <v>-1</v>
      </c>
      <c r="T354" s="176">
        <f t="shared" si="133"/>
        <v>5</v>
      </c>
      <c r="U354" s="251">
        <f t="shared" si="134"/>
        <v>-0.20009240883892715</v>
      </c>
      <c r="V354" s="383">
        <f t="shared" si="135"/>
        <v>10.323475213572655</v>
      </c>
      <c r="W354" s="402">
        <f t="shared" si="136"/>
        <v>0</v>
      </c>
      <c r="X354" s="157">
        <f t="shared" si="137"/>
        <v>44901</v>
      </c>
      <c r="Y354" s="385">
        <f t="shared" si="138"/>
        <v>6.7075467551966748</v>
      </c>
      <c r="Z354" s="385">
        <f t="shared" si="139"/>
        <v>6.9607889453044729</v>
      </c>
      <c r="AA354" s="386">
        <f t="shared" si="140"/>
        <v>8.0220219224504987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0.13228996223209646</v>
      </c>
      <c r="AD354" s="231">
        <f>(INDEX(Models!$BJ354:$BT354,,AH354)*(1-AF354)+INDEX(Models!$BJ354:$BT354,,AH354+1)*AF354-ERP_i)*AE354*Ramure*Pc/MaxiM</f>
        <v>4.7710639271664045E-2</v>
      </c>
      <c r="AE354" s="305">
        <f t="shared" si="142"/>
        <v>0.7</v>
      </c>
      <c r="AF354" s="177">
        <f t="shared" si="143"/>
        <v>0.79990759116107291</v>
      </c>
      <c r="AG354" s="817">
        <f t="shared" si="149"/>
        <v>-1</v>
      </c>
      <c r="AH354" s="176">
        <f t="shared" si="144"/>
        <v>5</v>
      </c>
      <c r="AI354" s="225">
        <f t="shared" si="145"/>
        <v>-0.20009240883892715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44902</v>
      </c>
      <c r="B355" s="1106">
        <v>8.1950000000000003</v>
      </c>
      <c r="C355" s="846"/>
      <c r="D355" s="393">
        <f t="shared" si="127"/>
        <v>8.5045869851911835</v>
      </c>
      <c r="E355" s="385">
        <f t="shared" si="125"/>
        <v>9.3615289196159264</v>
      </c>
      <c r="F355" s="385">
        <f t="shared" si="128"/>
        <v>9.6886799716624097</v>
      </c>
      <c r="G355" s="110">
        <f t="shared" si="126"/>
        <v>0.78932379205821823</v>
      </c>
      <c r="H355" s="414" t="b">
        <f>Wh_hp&gt;='2021'!Maxi_hp</f>
        <v>0</v>
      </c>
      <c r="I355" s="380">
        <f>IF(H355,Wh_hp,'2021'!Maxi_hp)</f>
        <v>11.718067390953806</v>
      </c>
      <c r="J355" s="85">
        <f>IF(H355,An,'2021'!An_max)</f>
        <v>2018</v>
      </c>
      <c r="K355" s="197">
        <f t="shared" si="129"/>
        <v>44902</v>
      </c>
      <c r="L355" s="147">
        <f>IF(t&lt;Tvie,1-EXP((T0-t)*PertePVj)+'2021'!Pspv,1-EXP((T0-t)*PertePVj)+Pspv)</f>
        <v>3.6402353897991735E-2</v>
      </c>
      <c r="M355" s="850"/>
      <c r="N355" s="850"/>
      <c r="O355" s="48">
        <f>IF(t&lt;Tnet,'2021'!Resal+('2021'!Salim-'2021'!Resal)*(1-EXP(('2021'!Tnet-t)/('2021'!Tau_j))),Resal+(Salim-Resal)*(1-EXP((Tnet-t)/(Tau_j))))*Salcycl</f>
        <v>9.1538672986324537E-2</v>
      </c>
      <c r="P355" s="339">
        <f>(INDEX(Models!$BJ355:$BT355,,T355)*(1-R355)+INDEX(Models!$BJ355:$BT355,,T355+1)*R355-ERP_i)*Q355*Ramure*Pc/MaxiM</f>
        <v>4.722788269777204E-2</v>
      </c>
      <c r="Q355" s="305">
        <f t="shared" si="130"/>
        <v>0.7</v>
      </c>
      <c r="R355" s="177">
        <f t="shared" si="131"/>
        <v>0.79991530888723517</v>
      </c>
      <c r="S355" s="817">
        <f t="shared" si="132"/>
        <v>-1</v>
      </c>
      <c r="T355" s="176">
        <f t="shared" si="133"/>
        <v>5</v>
      </c>
      <c r="U355" s="251">
        <f t="shared" si="134"/>
        <v>-0.20008469111276483</v>
      </c>
      <c r="V355" s="383">
        <f t="shared" si="135"/>
        <v>10.237658321090455</v>
      </c>
      <c r="W355" s="402">
        <f t="shared" si="136"/>
        <v>0</v>
      </c>
      <c r="X355" s="157">
        <f t="shared" si="137"/>
        <v>44902</v>
      </c>
      <c r="Y355" s="385">
        <f t="shared" si="138"/>
        <v>7.827481627456554</v>
      </c>
      <c r="Z355" s="385">
        <f t="shared" si="139"/>
        <v>8.1231846706150233</v>
      </c>
      <c r="AA355" s="386">
        <f t="shared" si="140"/>
        <v>9.3615289196159264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0.13228012855956747</v>
      </c>
      <c r="AD355" s="231">
        <f>(INDEX(Models!$BJ355:$BT355,,AH355)*(1-AF355)+INDEX(Models!$BJ355:$BT355,,AH355+1)*AF355-ERP_i)*AE355*Ramure*Pc/MaxiM</f>
        <v>4.722788269777204E-2</v>
      </c>
      <c r="AE355" s="305">
        <f t="shared" si="142"/>
        <v>0.7</v>
      </c>
      <c r="AF355" s="177">
        <f t="shared" si="143"/>
        <v>0.79991530888723517</v>
      </c>
      <c r="AG355" s="817">
        <f t="shared" si="149"/>
        <v>-1</v>
      </c>
      <c r="AH355" s="176">
        <f t="shared" si="144"/>
        <v>5</v>
      </c>
      <c r="AI355" s="225">
        <f t="shared" si="145"/>
        <v>-0.20008469111276483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44903</v>
      </c>
      <c r="B356" s="1106">
        <v>2.698</v>
      </c>
      <c r="C356" s="846"/>
      <c r="D356" s="393">
        <f t="shared" si="127"/>
        <v>2.7999851445599444</v>
      </c>
      <c r="E356" s="385">
        <f t="shared" si="125"/>
        <v>3.0823151178662398</v>
      </c>
      <c r="F356" s="385">
        <f t="shared" si="128"/>
        <v>3.0823151178662398</v>
      </c>
      <c r="G356" s="110">
        <f t="shared" si="126"/>
        <v>0.25304314796963451</v>
      </c>
      <c r="H356" s="414" t="b">
        <f>Wh_hp&gt;='2021'!Maxi_hp</f>
        <v>0</v>
      </c>
      <c r="I356" s="380">
        <f>IF(H356,Wh_hp,'2021'!Maxi_hp)</f>
        <v>10.360105711351219</v>
      </c>
      <c r="J356" s="85">
        <f>IF(H356,An,'2021'!An_max)</f>
        <v>2018</v>
      </c>
      <c r="K356" s="197">
        <f t="shared" si="129"/>
        <v>44903</v>
      </c>
      <c r="L356" s="147">
        <f>IF(t&lt;Tvie,1-EXP((T0-t)*PertePVj)+'2021'!Pspv,1-EXP((T0-t)*PertePVj)+Pspv)</f>
        <v>3.6423459159449445E-2</v>
      </c>
      <c r="M356" s="850"/>
      <c r="N356" s="850"/>
      <c r="O356" s="48">
        <f>IF(t&lt;Tnet,'2021'!Resal+('2021'!Salim-'2021'!Resal)*(1-EXP(('2021'!Tnet-t)/('2021'!Tau_j))),Resal+(Salim-Resal)*(1-EXP((Tnet-t)/(Tau_j))))*Salcycl</f>
        <v>9.1596726003063816E-2</v>
      </c>
      <c r="P356" s="339">
        <f>(INDEX(Models!$BJ356:$BT356,,T356)*(1-R356)+INDEX(Models!$BJ356:$BT356,,T356+1)*R356-ERP_i)*Q356*Ramure*Pc/MaxiM</f>
        <v>4.6751465525761711E-2</v>
      </c>
      <c r="Q356" s="305">
        <f t="shared" si="130"/>
        <v>0.7</v>
      </c>
      <c r="R356" s="177">
        <f t="shared" si="131"/>
        <v>0.79992271624836286</v>
      </c>
      <c r="S356" s="817">
        <f t="shared" si="132"/>
        <v>-1</v>
      </c>
      <c r="T356" s="176">
        <f t="shared" si="133"/>
        <v>5</v>
      </c>
      <c r="U356" s="251">
        <f t="shared" si="134"/>
        <v>-0.20007728375163714</v>
      </c>
      <c r="V356" s="383">
        <f t="shared" si="135"/>
        <v>10.163739135588536</v>
      </c>
      <c r="W356" s="402">
        <f t="shared" si="136"/>
        <v>0</v>
      </c>
      <c r="X356" s="157">
        <f t="shared" si="137"/>
        <v>44903</v>
      </c>
      <c r="Y356" s="385">
        <f t="shared" si="138"/>
        <v>2.5771915762768245</v>
      </c>
      <c r="Z356" s="385">
        <f t="shared" si="139"/>
        <v>2.6746101290808508</v>
      </c>
      <c r="AA356" s="386">
        <f t="shared" si="140"/>
        <v>3.0823151178662398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0.13227232557183388</v>
      </c>
      <c r="AD356" s="231">
        <f>(INDEX(Models!$BJ356:$BT356,,AH356)*(1-AF356)+INDEX(Models!$BJ356:$BT356,,AH356+1)*AF356-ERP_i)*AE356*Ramure*Pc/MaxiM</f>
        <v>4.6751465525761711E-2</v>
      </c>
      <c r="AE356" s="305">
        <f t="shared" si="142"/>
        <v>0.7</v>
      </c>
      <c r="AF356" s="177">
        <f t="shared" si="143"/>
        <v>0.79992271624836286</v>
      </c>
      <c r="AG356" s="817">
        <f t="shared" si="149"/>
        <v>-1</v>
      </c>
      <c r="AH356" s="176">
        <f t="shared" si="144"/>
        <v>5</v>
      </c>
      <c r="AI356" s="225">
        <f t="shared" si="145"/>
        <v>-0.20007728375163714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44904</v>
      </c>
      <c r="B357" s="1106">
        <v>3.843</v>
      </c>
      <c r="C357" s="846"/>
      <c r="D357" s="393">
        <f t="shared" si="127"/>
        <v>3.9883538157269793</v>
      </c>
      <c r="E357" s="385">
        <f t="shared" si="125"/>
        <v>4.3907967885976182</v>
      </c>
      <c r="F357" s="385">
        <f t="shared" si="128"/>
        <v>4.4142578170057902</v>
      </c>
      <c r="G357" s="110">
        <f t="shared" si="126"/>
        <v>0.36472604562027922</v>
      </c>
      <c r="H357" s="414" t="b">
        <f>Wh_hp&gt;='2021'!Maxi_hp</f>
        <v>0</v>
      </c>
      <c r="I357" s="380">
        <f>IF(H357,Wh_hp,'2021'!Maxi_hp)</f>
        <v>6.3586080107423522</v>
      </c>
      <c r="J357" s="85">
        <f>IF(H357,An,'2021'!An_max)</f>
        <v>2019</v>
      </c>
      <c r="K357" s="197">
        <f t="shared" si="129"/>
        <v>44904</v>
      </c>
      <c r="L357" s="147">
        <f>IF(t&lt;Tvie,1-EXP((T0-t)*PertePVj)+'2021'!Pspv,1-EXP((T0-t)*PertePVj)+Pspv)</f>
        <v>3.6444563958647924E-2</v>
      </c>
      <c r="M357" s="850"/>
      <c r="N357" s="850"/>
      <c r="O357" s="48">
        <f>IF(t&lt;Tnet,'2021'!Resal+('2021'!Salim-'2021'!Resal)*(1-EXP(('2021'!Tnet-t)/('2021'!Tau_j))),Resal+(Salim-Resal)*(1-EXP((Tnet-t)/(Tau_j))))*Salcycl</f>
        <v>9.1656023324909033E-2</v>
      </c>
      <c r="P357" s="339">
        <f>(INDEX(Models!$BJ357:$BT357,,T357)*(1-R357)+INDEX(Models!$BJ357:$BT357,,T357+1)*R357-ERP_i)*Q357*Ramure*Pc/MaxiM</f>
        <v>4.6278307252673193E-2</v>
      </c>
      <c r="Q357" s="305">
        <f t="shared" si="130"/>
        <v>0.7</v>
      </c>
      <c r="R357" s="177">
        <f t="shared" si="131"/>
        <v>0.79992982571124482</v>
      </c>
      <c r="S357" s="817">
        <f t="shared" si="132"/>
        <v>-1</v>
      </c>
      <c r="T357" s="176">
        <f t="shared" si="133"/>
        <v>5</v>
      </c>
      <c r="U357" s="251">
        <f t="shared" si="134"/>
        <v>-0.20007017428875518</v>
      </c>
      <c r="V357" s="383">
        <f t="shared" si="135"/>
        <v>10.102750419954805</v>
      </c>
      <c r="W357" s="402">
        <f t="shared" si="136"/>
        <v>0</v>
      </c>
      <c r="X357" s="157">
        <f t="shared" si="137"/>
        <v>44904</v>
      </c>
      <c r="Y357" s="385">
        <f t="shared" si="138"/>
        <v>3.6711862124125094</v>
      </c>
      <c r="Z357" s="385">
        <f t="shared" si="139"/>
        <v>3.8100415140566506</v>
      </c>
      <c r="AA357" s="386">
        <f t="shared" si="140"/>
        <v>4.3907967885976182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0.13226648886350664</v>
      </c>
      <c r="AD357" s="231">
        <f>(INDEX(Models!$BJ357:$BT357,,AH357)*(1-AF357)+INDEX(Models!$BJ357:$BT357,,AH357+1)*AF357-ERP_i)*AE357*Ramure*Pc/MaxiM</f>
        <v>4.6278307252673193E-2</v>
      </c>
      <c r="AE357" s="305">
        <f t="shared" si="142"/>
        <v>0.7</v>
      </c>
      <c r="AF357" s="177">
        <f t="shared" si="143"/>
        <v>0.79992982571124482</v>
      </c>
      <c r="AG357" s="817">
        <f t="shared" si="149"/>
        <v>-1</v>
      </c>
      <c r="AH357" s="176">
        <f t="shared" si="144"/>
        <v>5</v>
      </c>
      <c r="AI357" s="225">
        <f t="shared" si="145"/>
        <v>-0.20007017428875518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44905</v>
      </c>
      <c r="B358" s="1106">
        <v>6.6189999999999998</v>
      </c>
      <c r="C358" s="846"/>
      <c r="D358" s="393">
        <f t="shared" si="127"/>
        <v>6.8695009427340299</v>
      </c>
      <c r="E358" s="385">
        <f t="shared" si="125"/>
        <v>7.5631684351619493</v>
      </c>
      <c r="F358" s="385">
        <f t="shared" si="128"/>
        <v>7.7447153053825968</v>
      </c>
      <c r="G358" s="110">
        <f t="shared" si="126"/>
        <v>0.6431579682783154</v>
      </c>
      <c r="H358" s="414" t="b">
        <f>Wh_hp&gt;='2021'!Maxi_hp</f>
        <v>0</v>
      </c>
      <c r="I358" s="380">
        <f>IF(H358,Wh_hp,'2021'!Maxi_hp)</f>
        <v>11.203024909325297</v>
      </c>
      <c r="J358" s="85">
        <f>IF(H358,An,'2021'!An_max)</f>
        <v>2019</v>
      </c>
      <c r="K358" s="197">
        <f t="shared" si="129"/>
        <v>44905</v>
      </c>
      <c r="L358" s="147">
        <f>IF(t&lt;Tvie,1-EXP((T0-t)*PertePVj)+'2021'!Pspv,1-EXP((T0-t)*PertePVj)+Pspv)</f>
        <v>3.6465668295597053E-2</v>
      </c>
      <c r="M358" s="850"/>
      <c r="N358" s="850"/>
      <c r="O358" s="48">
        <f>IF(t&lt;Tnet,'2021'!Resal+('2021'!Salim-'2021'!Resal)*(1-EXP(('2021'!Tnet-t)/('2021'!Tau_j))),Resal+(Salim-Resal)*(1-EXP((Tnet-t)/(Tau_j))))*Salcycl</f>
        <v>9.17165204470375E-2</v>
      </c>
      <c r="P358" s="339">
        <f>(INDEX(Models!$BJ358:$BT358,,T358)*(1-R358)+INDEX(Models!$BJ358:$BT358,,T358+1)*R358-ERP_i)*Q358*Ramure*Pc/MaxiM</f>
        <v>4.5805424074266021E-2</v>
      </c>
      <c r="Q358" s="305">
        <f t="shared" si="130"/>
        <v>0.7</v>
      </c>
      <c r="R358" s="177">
        <f t="shared" si="131"/>
        <v>0.79993664924303842</v>
      </c>
      <c r="S358" s="817">
        <f t="shared" si="132"/>
        <v>-1</v>
      </c>
      <c r="T358" s="176">
        <f t="shared" si="133"/>
        <v>5</v>
      </c>
      <c r="U358" s="251">
        <f t="shared" si="134"/>
        <v>-0.20006335075696152</v>
      </c>
      <c r="V358" s="383">
        <f t="shared" si="135"/>
        <v>10.055724245208841</v>
      </c>
      <c r="W358" s="402">
        <f t="shared" si="136"/>
        <v>0</v>
      </c>
      <c r="X358" s="157">
        <f t="shared" si="137"/>
        <v>44905</v>
      </c>
      <c r="Y358" s="385">
        <f t="shared" si="138"/>
        <v>6.32352598278709</v>
      </c>
      <c r="Z358" s="385">
        <f t="shared" si="139"/>
        <v>6.5628444931498793</v>
      </c>
      <c r="AA358" s="386">
        <f t="shared" si="140"/>
        <v>7.5631684351619493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0.1322625498278554</v>
      </c>
      <c r="AD358" s="231">
        <f>(INDEX(Models!$BJ358:$BT358,,AH358)*(1-AF358)+INDEX(Models!$BJ358:$BT358,,AH358+1)*AF358-ERP_i)*AE358*Ramure*Pc/MaxiM</f>
        <v>4.5805424074266021E-2</v>
      </c>
      <c r="AE358" s="305">
        <f t="shared" si="142"/>
        <v>0.7</v>
      </c>
      <c r="AF358" s="177">
        <f t="shared" si="143"/>
        <v>0.79993664924303842</v>
      </c>
      <c r="AG358" s="817">
        <f t="shared" si="149"/>
        <v>-1</v>
      </c>
      <c r="AH358" s="176">
        <f t="shared" si="144"/>
        <v>5</v>
      </c>
      <c r="AI358" s="225">
        <f t="shared" si="145"/>
        <v>-0.20006335075696152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44906</v>
      </c>
      <c r="B359" s="1106">
        <v>7.718</v>
      </c>
      <c r="C359" s="846"/>
      <c r="D359" s="393">
        <f t="shared" si="127"/>
        <v>8.0102688547252665</v>
      </c>
      <c r="E359" s="385">
        <f t="shared" si="125"/>
        <v>8.8197272865398286</v>
      </c>
      <c r="F359" s="385">
        <f t="shared" si="128"/>
        <v>9.0966017152988385</v>
      </c>
      <c r="G359" s="110">
        <f t="shared" si="126"/>
        <v>0.75817487740830247</v>
      </c>
      <c r="H359" s="414" t="b">
        <f>Wh_hp&gt;='2021'!Maxi_hp</f>
        <v>0</v>
      </c>
      <c r="I359" s="380">
        <f>IF(H359,Wh_hp,'2021'!Maxi_hp)</f>
        <v>10.504365744752464</v>
      </c>
      <c r="J359" s="85">
        <f>IF(H359,An,'2021'!An_max)</f>
        <v>2021</v>
      </c>
      <c r="K359" s="197">
        <f t="shared" si="129"/>
        <v>44906</v>
      </c>
      <c r="L359" s="147">
        <f>IF(t&lt;Tvie,1-EXP((T0-t)*PertePVj)+'2021'!Pspv,1-EXP((T0-t)*PertePVj)+Pspv)</f>
        <v>3.6486772170307047E-2</v>
      </c>
      <c r="M359" s="850"/>
      <c r="N359" s="850"/>
      <c r="O359" s="48">
        <f>IF(t&lt;Tnet,'2021'!Resal+('2021'!Salim-'2021'!Resal)*(1-EXP(('2021'!Tnet-t)/('2021'!Tau_j))),Resal+(Salim-Resal)*(1-EXP((Tnet-t)/(Tau_j))))*Salcycl</f>
        <v>9.1778170176521401E-2</v>
      </c>
      <c r="P359" s="339">
        <f>(INDEX(Models!$BJ359:$BT359,,T359)*(1-R359)+INDEX(Models!$BJ359:$BT359,,T359+1)*R359-ERP_i)*Q359*Ramure*Pc/MaxiM</f>
        <v>4.5331539141998098E-2</v>
      </c>
      <c r="Q359" s="305">
        <f t="shared" si="130"/>
        <v>0.7</v>
      </c>
      <c r="R359" s="177">
        <f t="shared" si="131"/>
        <v>0.79994319833120353</v>
      </c>
      <c r="S359" s="817">
        <f t="shared" si="132"/>
        <v>-1</v>
      </c>
      <c r="T359" s="176">
        <f t="shared" si="133"/>
        <v>5</v>
      </c>
      <c r="U359" s="251">
        <f t="shared" si="134"/>
        <v>-0.20005680166879641</v>
      </c>
      <c r="V359" s="383">
        <f t="shared" si="135"/>
        <v>10.023328941310981</v>
      </c>
      <c r="W359" s="402">
        <f t="shared" si="136"/>
        <v>0</v>
      </c>
      <c r="X359" s="157">
        <f t="shared" si="137"/>
        <v>44906</v>
      </c>
      <c r="Y359" s="385">
        <f t="shared" si="138"/>
        <v>7.3739847838728885</v>
      </c>
      <c r="Z359" s="385">
        <f t="shared" si="139"/>
        <v>7.6532263085611598</v>
      </c>
      <c r="AA359" s="386">
        <f t="shared" si="140"/>
        <v>8.8197272865398286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0.13226043618819341</v>
      </c>
      <c r="AD359" s="231">
        <f>(INDEX(Models!$BJ359:$BT359,,AH359)*(1-AF359)+INDEX(Models!$BJ359:$BT359,,AH359+1)*AF359-ERP_i)*AE359*Ramure*Pc/MaxiM</f>
        <v>4.5331539141998098E-2</v>
      </c>
      <c r="AE359" s="305">
        <f t="shared" si="142"/>
        <v>0.7</v>
      </c>
      <c r="AF359" s="177">
        <f t="shared" si="143"/>
        <v>0.79994319833120353</v>
      </c>
      <c r="AG359" s="817">
        <f t="shared" si="149"/>
        <v>-1</v>
      </c>
      <c r="AH359" s="176">
        <f t="shared" si="144"/>
        <v>5</v>
      </c>
      <c r="AI359" s="225">
        <f t="shared" si="145"/>
        <v>-0.20005680166879641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44907</v>
      </c>
      <c r="B360" s="1106">
        <v>3.11</v>
      </c>
      <c r="C360" s="846"/>
      <c r="D360" s="393">
        <f t="shared" si="127"/>
        <v>3.2278416410317283</v>
      </c>
      <c r="E360" s="385">
        <f t="shared" si="125"/>
        <v>3.5542689852249345</v>
      </c>
      <c r="F360" s="385">
        <f t="shared" si="128"/>
        <v>3.5567418923574872</v>
      </c>
      <c r="G360" s="110">
        <f t="shared" si="126"/>
        <v>0.29711025478181929</v>
      </c>
      <c r="H360" s="414" t="b">
        <f>Wh_hp&gt;='2021'!Maxi_hp</f>
        <v>0</v>
      </c>
      <c r="I360" s="380">
        <f>IF(H360,Wh_hp,'2021'!Maxi_hp)</f>
        <v>10.718459481317785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3.6507875582788007E-2</v>
      </c>
      <c r="M360" s="850"/>
      <c r="N360" s="850"/>
      <c r="O360" s="48">
        <f>IF(t&lt;Tnet,'2021'!Resal+('2021'!Salim-'2021'!Resal)*(1-EXP(('2021'!Tnet-t)/('2021'!Tau_j))),Resal+(Salim-Resal)*(1-EXP((Tnet-t)/(Tau_j))))*Salcycl</f>
        <v>9.1840922999964852E-2</v>
      </c>
      <c r="P360" s="339">
        <f>(INDEX(Models!$BJ360:$BT360,,T360)*(1-R360)+INDEX(Models!$BJ360:$BT360,,T360+1)*R360-ERP_i)*Q360*Ramure*Pc/MaxiM</f>
        <v>4.486136512445163E-2</v>
      </c>
      <c r="Q360" s="305">
        <f t="shared" si="130"/>
        <v>0.7</v>
      </c>
      <c r="R360" s="177">
        <f t="shared" si="131"/>
        <v>0.79994948400264843</v>
      </c>
      <c r="S360" s="817">
        <f t="shared" si="132"/>
        <v>-1</v>
      </c>
      <c r="T360" s="176">
        <f t="shared" si="133"/>
        <v>5</v>
      </c>
      <c r="U360" s="251">
        <f t="shared" si="134"/>
        <v>-0.20005051599735157</v>
      </c>
      <c r="V360" s="383">
        <f t="shared" si="135"/>
        <v>10.004864656634926</v>
      </c>
      <c r="W360" s="402">
        <f t="shared" si="136"/>
        <v>0</v>
      </c>
      <c r="X360" s="157">
        <f t="shared" si="137"/>
        <v>44907</v>
      </c>
      <c r="Y360" s="385">
        <f t="shared" si="138"/>
        <v>2.9715842111255211</v>
      </c>
      <c r="Z360" s="385">
        <f t="shared" si="139"/>
        <v>3.0841811114158766</v>
      </c>
      <c r="AA360" s="386">
        <f t="shared" si="140"/>
        <v>3.5542689852249345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0.13226007253902541</v>
      </c>
      <c r="AD360" s="231">
        <f>(INDEX(Models!$BJ360:$BT360,,AH360)*(1-AF360)+INDEX(Models!$BJ360:$BT360,,AH360+1)*AF360-ERP_i)*AE360*Ramure*Pc/MaxiM</f>
        <v>4.486136512445163E-2</v>
      </c>
      <c r="AE360" s="305">
        <f t="shared" si="142"/>
        <v>0.7</v>
      </c>
      <c r="AF360" s="177">
        <f t="shared" si="143"/>
        <v>0.79994948400264843</v>
      </c>
      <c r="AG360" s="817">
        <f t="shared" si="149"/>
        <v>-1</v>
      </c>
      <c r="AH360" s="176">
        <f t="shared" si="144"/>
        <v>5</v>
      </c>
      <c r="AI360" s="225">
        <f t="shared" si="145"/>
        <v>-0.20005051599735157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44908</v>
      </c>
      <c r="B361" s="1106">
        <v>3.0859999999999999</v>
      </c>
      <c r="C361" s="846"/>
      <c r="D361" s="393">
        <f t="shared" si="127"/>
        <v>3.2030024061350137</v>
      </c>
      <c r="E361" s="385">
        <f t="shared" ref="E361:E379" si="150">Wh_pvt/(1-Psa)</f>
        <v>3.527165599226</v>
      </c>
      <c r="F361" s="385">
        <f t="shared" si="128"/>
        <v>3.5290962175599687</v>
      </c>
      <c r="G361" s="110">
        <f t="shared" ref="G361:G379" si="151">+Wh_hp/MaxiM</f>
        <v>0.29507963741223753</v>
      </c>
      <c r="H361" s="414" t="b">
        <f>Wh_hp&gt;='2021'!Maxi_hp</f>
        <v>0</v>
      </c>
      <c r="I361" s="380">
        <f>IF(H361,Wh_hp,'2021'!Maxi_hp)</f>
        <v>11.207179441431046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3.6528978533050149E-2</v>
      </c>
      <c r="M361" s="850"/>
      <c r="N361" s="850"/>
      <c r="O361" s="48">
        <f>IF(t&lt;Tnet,'2021'!Resal+('2021'!Salim-'2021'!Resal)*(1-EXP(('2021'!Tnet-t)/('2021'!Tau_j))),Resal+(Salim-Resal)*(1-EXP((Tnet-t)/(Tau_j))))*Salcycl</f>
        <v>9.1904727456550594E-2</v>
      </c>
      <c r="P361" s="339">
        <f>(INDEX(Models!$BJ361:$BT361,,T361)*(1-R361)+INDEX(Models!$BJ361:$BT361,,T361+1)*R361-ERP_i)*Q361*Ramure*Pc/MaxiM</f>
        <v>4.4407339477065169E-2</v>
      </c>
      <c r="Q361" s="305">
        <f t="shared" si="130"/>
        <v>0.7</v>
      </c>
      <c r="R361" s="177">
        <f t="shared" si="131"/>
        <v>0.79995551684211785</v>
      </c>
      <c r="S361" s="817">
        <f t="shared" si="132"/>
        <v>-1</v>
      </c>
      <c r="T361" s="176">
        <f t="shared" si="133"/>
        <v>5</v>
      </c>
      <c r="U361" s="251">
        <f t="shared" si="134"/>
        <v>-0.20004448315788215</v>
      </c>
      <c r="V361" s="383">
        <f t="shared" si="135"/>
        <v>9.9992432863208727</v>
      </c>
      <c r="W361" s="402">
        <f t="shared" si="136"/>
        <v>0</v>
      </c>
      <c r="X361" s="157">
        <f t="shared" si="137"/>
        <v>44908</v>
      </c>
      <c r="Y361" s="385">
        <f t="shared" si="138"/>
        <v>2.9488551031268706</v>
      </c>
      <c r="Z361" s="385">
        <f t="shared" si="139"/>
        <v>3.0606578064351528</v>
      </c>
      <c r="AA361" s="386">
        <f t="shared" si="140"/>
        <v>3.527165599226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0.13226138089269676</v>
      </c>
      <c r="AD361" s="231">
        <f>(INDEX(Models!$BJ361:$BT361,,AH361)*(1-AF361)+INDEX(Models!$BJ361:$BT361,,AH361+1)*AF361-ERP_i)*AE361*Ramure*Pc/MaxiM</f>
        <v>4.4407339477065169E-2</v>
      </c>
      <c r="AE361" s="305">
        <f t="shared" si="142"/>
        <v>0.7</v>
      </c>
      <c r="AF361" s="177">
        <f t="shared" si="143"/>
        <v>0.79995551684211785</v>
      </c>
      <c r="AG361" s="817">
        <f t="shared" si="149"/>
        <v>-1</v>
      </c>
      <c r="AH361" s="176">
        <f t="shared" si="144"/>
        <v>5</v>
      </c>
      <c r="AI361" s="225">
        <f t="shared" si="145"/>
        <v>-0.20004448315788215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44909</v>
      </c>
      <c r="B362" s="1106">
        <v>7.2709999999999999</v>
      </c>
      <c r="C362" s="846"/>
      <c r="D362" s="393">
        <f t="shared" si="127"/>
        <v>7.5468375229156717</v>
      </c>
      <c r="E362" s="385">
        <f t="shared" si="150"/>
        <v>8.3112161722765876</v>
      </c>
      <c r="F362" s="385">
        <f t="shared" si="128"/>
        <v>8.5401461538280152</v>
      </c>
      <c r="G362" s="110">
        <f t="shared" si="151"/>
        <v>0.71388396433309453</v>
      </c>
      <c r="H362" s="414" t="b">
        <f>Wh_hp&gt;='2021'!Maxi_hp</f>
        <v>0</v>
      </c>
      <c r="I362" s="380">
        <f>IF(H362,Wh_hp,'2021'!Maxi_hp)</f>
        <v>10.863458902037726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3.6550081021103464E-2</v>
      </c>
      <c r="M362" s="850"/>
      <c r="N362" s="850"/>
      <c r="O362" s="48">
        <f>IF(t&lt;Tnet,'2021'!Resal+('2021'!Salim-'2021'!Resal)*(1-EXP(('2021'!Tnet-t)/('2021'!Tau_j))),Resal+(Salim-Resal)*(1-EXP((Tnet-t)/(Tau_j))))*Salcycl</f>
        <v>9.1969530513551737E-2</v>
      </c>
      <c r="P362" s="339">
        <f>(INDEX(Models!$BJ362:$BT362,,T362)*(1-R362)+INDEX(Models!$BJ362:$BT362,,T362+1)*R362-ERP_i)*Q362*Ramure*Pc/MaxiM</f>
        <v>4.3975251117293952E-2</v>
      </c>
      <c r="Q362" s="305">
        <f t="shared" si="130"/>
        <v>0.7</v>
      </c>
      <c r="R362" s="177">
        <f t="shared" si="131"/>
        <v>0.79996130700985335</v>
      </c>
      <c r="S362" s="817">
        <f t="shared" si="132"/>
        <v>-1</v>
      </c>
      <c r="T362" s="176">
        <f t="shared" si="133"/>
        <v>5</v>
      </c>
      <c r="U362" s="251">
        <f t="shared" si="134"/>
        <v>-0.20003869299014665</v>
      </c>
      <c r="V362" s="383">
        <f t="shared" si="135"/>
        <v>10.005444283689908</v>
      </c>
      <c r="W362" s="402">
        <f t="shared" si="136"/>
        <v>0</v>
      </c>
      <c r="X362" s="157">
        <f t="shared" si="137"/>
        <v>44909</v>
      </c>
      <c r="Y362" s="385">
        <f t="shared" si="138"/>
        <v>6.9483421792714362</v>
      </c>
      <c r="Z362" s="385">
        <f t="shared" si="139"/>
        <v>7.2119391391257492</v>
      </c>
      <c r="AA362" s="386">
        <f t="shared" si="140"/>
        <v>8.3112161722765876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0.13226428122729564</v>
      </c>
      <c r="AD362" s="231">
        <f>(INDEX(Models!$BJ362:$BT362,,AH362)*(1-AF362)+INDEX(Models!$BJ362:$BT362,,AH362+1)*AF362-ERP_i)*AE362*Ramure*Pc/MaxiM</f>
        <v>4.3975251117293952E-2</v>
      </c>
      <c r="AE362" s="305">
        <f t="shared" si="142"/>
        <v>0.7</v>
      </c>
      <c r="AF362" s="177">
        <f t="shared" si="143"/>
        <v>0.79996130700985335</v>
      </c>
      <c r="AG362" s="817">
        <f t="shared" si="149"/>
        <v>-1</v>
      </c>
      <c r="AH362" s="176">
        <f t="shared" si="144"/>
        <v>5</v>
      </c>
      <c r="AI362" s="225">
        <f t="shared" si="145"/>
        <v>-0.20003869299014665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44910</v>
      </c>
      <c r="B363" s="1106">
        <v>3.62</v>
      </c>
      <c r="C363" s="846"/>
      <c r="D363" s="393">
        <f t="shared" si="127"/>
        <v>3.7574130400714814</v>
      </c>
      <c r="E363" s="385">
        <f t="shared" si="150"/>
        <v>4.1382808701557758</v>
      </c>
      <c r="F363" s="385">
        <f t="shared" si="128"/>
        <v>4.1541023716436971</v>
      </c>
      <c r="G363" s="110">
        <f t="shared" si="151"/>
        <v>0.34677273872022618</v>
      </c>
      <c r="H363" s="414" t="b">
        <f>Wh_hp&gt;='2021'!Maxi_hp</f>
        <v>0</v>
      </c>
      <c r="I363" s="380">
        <f>IF(H363,Wh_hp,'2021'!Maxi_hp)</f>
        <v>11.20513204000641</v>
      </c>
      <c r="J363" s="85">
        <f>IF(H363,An,'2021'!An_max)</f>
        <v>2021</v>
      </c>
      <c r="K363" s="197">
        <f t="shared" si="129"/>
        <v>44910</v>
      </c>
      <c r="L363" s="147">
        <f>IF(t&lt;Tvie,1-EXP((T0-t)*PertePVj)+'2021'!Pspv,1-EXP((T0-t)*PertePVj)+Pspv)</f>
        <v>3.6571183046958056E-2</v>
      </c>
      <c r="M363" s="850"/>
      <c r="N363" s="850"/>
      <c r="O363" s="48">
        <f>IF(t&lt;Tnet,'2021'!Resal+('2021'!Salim-'2021'!Resal)*(1-EXP(('2021'!Tnet-t)/('2021'!Tau_j))),Resal+(Salim-Resal)*(1-EXP((Tnet-t)/(Tau_j))))*Salcycl</f>
        <v>9.2035277941382845E-2</v>
      </c>
      <c r="P363" s="339">
        <f>(INDEX(Models!$BJ363:$BT363,,T363)*(1-R363)+INDEX(Models!$BJ363:$BT363,,T363+1)*R363-ERP_i)*Q363*Ramure*Pc/MaxiM</f>
        <v>4.3570597556174769E-2</v>
      </c>
      <c r="Q363" s="305">
        <f t="shared" si="130"/>
        <v>0.7</v>
      </c>
      <c r="R363" s="177">
        <f t="shared" si="131"/>
        <v>0.79996686425855312</v>
      </c>
      <c r="S363" s="817">
        <f t="shared" si="132"/>
        <v>-1</v>
      </c>
      <c r="T363" s="176">
        <f t="shared" si="133"/>
        <v>5</v>
      </c>
      <c r="U363" s="251">
        <f t="shared" si="134"/>
        <v>-0.20003313574144693</v>
      </c>
      <c r="V363" s="383">
        <f t="shared" si="135"/>
        <v>10.022447090585469</v>
      </c>
      <c r="W363" s="402">
        <f t="shared" si="136"/>
        <v>0</v>
      </c>
      <c r="X363" s="157">
        <f t="shared" si="137"/>
        <v>44910</v>
      </c>
      <c r="Y363" s="385">
        <f t="shared" si="138"/>
        <v>3.4595918305323434</v>
      </c>
      <c r="Z363" s="385">
        <f t="shared" si="139"/>
        <v>3.590915872200827</v>
      </c>
      <c r="AA363" s="386">
        <f t="shared" si="140"/>
        <v>4.1382808701557758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0.13226869203161279</v>
      </c>
      <c r="AD363" s="231">
        <f>(INDEX(Models!$BJ363:$BT363,,AH363)*(1-AF363)+INDEX(Models!$BJ363:$BT363,,AH363+1)*AF363-ERP_i)*AE363*Ramure*Pc/MaxiM</f>
        <v>4.3570597556174769E-2</v>
      </c>
      <c r="AE363" s="305">
        <f t="shared" si="142"/>
        <v>0.7</v>
      </c>
      <c r="AF363" s="177">
        <f t="shared" si="143"/>
        <v>0.79996686425855312</v>
      </c>
      <c r="AG363" s="817">
        <f t="shared" si="149"/>
        <v>-1</v>
      </c>
      <c r="AH363" s="176">
        <f t="shared" si="144"/>
        <v>5</v>
      </c>
      <c r="AI363" s="225">
        <f t="shared" si="145"/>
        <v>-0.20003313574144693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44911</v>
      </c>
      <c r="B364" s="1106">
        <v>3.0249999999999999</v>
      </c>
      <c r="C364" s="846"/>
      <c r="D364" s="393">
        <f t="shared" si="127"/>
        <v>3.1398959668673618</v>
      </c>
      <c r="E364" s="385">
        <f t="shared" si="150"/>
        <v>3.4584233821564117</v>
      </c>
      <c r="F364" s="385">
        <f t="shared" si="128"/>
        <v>3.4586406758495349</v>
      </c>
      <c r="G364" s="110">
        <f t="shared" si="151"/>
        <v>0.2880326072695783</v>
      </c>
      <c r="H364" s="414" t="b">
        <f>Wh_hp&gt;='2021'!Maxi_hp</f>
        <v>0</v>
      </c>
      <c r="I364" s="380">
        <f>IF(H364,Wh_hp,'2021'!Maxi_hp)</f>
        <v>11.238528761899044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3.6592284610624248E-2</v>
      </c>
      <c r="M364" s="850"/>
      <c r="N364" s="850"/>
      <c r="O364" s="48">
        <f>IF(t&lt;Tnet,'2021'!Resal+('2021'!Salim-'2021'!Resal)*(1-EXP(('2021'!Tnet-t)/('2021'!Tau_j))),Resal+(Salim-Resal)*(1-EXP((Tnet-t)/(Tau_j))))*Salcycl</f>
        <v>9.2101914685309635E-2</v>
      </c>
      <c r="P364" s="339">
        <f>(INDEX(Models!$BJ364:$BT364,,T364)*(1-R364)+INDEX(Models!$BJ364:$BT364,,T364+1)*R364-ERP_i)*Q364*Ramure*Pc/MaxiM</f>
        <v>4.3198545996115965E-2</v>
      </c>
      <c r="Q364" s="305">
        <f t="shared" si="130"/>
        <v>0.7</v>
      </c>
      <c r="R364" s="177">
        <f t="shared" si="131"/>
        <v>0.7999721979496599</v>
      </c>
      <c r="S364" s="817">
        <f t="shared" si="132"/>
        <v>-1</v>
      </c>
      <c r="T364" s="176">
        <f t="shared" si="133"/>
        <v>5</v>
      </c>
      <c r="U364" s="251">
        <f t="shared" si="134"/>
        <v>-0.2000278020503401</v>
      </c>
      <c r="V364" s="383">
        <f t="shared" si="135"/>
        <v>10.049231151289003</v>
      </c>
      <c r="W364" s="402">
        <f t="shared" si="136"/>
        <v>0</v>
      </c>
      <c r="X364" s="157">
        <f t="shared" si="137"/>
        <v>44911</v>
      </c>
      <c r="Y364" s="385">
        <f t="shared" si="138"/>
        <v>2.8911499943189787</v>
      </c>
      <c r="Z364" s="385">
        <f t="shared" si="139"/>
        <v>3.0009620518250437</v>
      </c>
      <c r="AA364" s="386">
        <f t="shared" si="140"/>
        <v>3.4584233821564117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0.13227453084304838</v>
      </c>
      <c r="AD364" s="231">
        <f>(INDEX(Models!$BJ364:$BT364,,AH364)*(1-AF364)+INDEX(Models!$BJ364:$BT364,,AH364+1)*AF364-ERP_i)*AE364*Ramure*Pc/MaxiM</f>
        <v>4.3198545996115965E-2</v>
      </c>
      <c r="AE364" s="305">
        <f t="shared" si="142"/>
        <v>0.7</v>
      </c>
      <c r="AF364" s="177">
        <f t="shared" si="143"/>
        <v>0.7999721979496599</v>
      </c>
      <c r="AG364" s="817">
        <f t="shared" si="149"/>
        <v>-1</v>
      </c>
      <c r="AH364" s="176">
        <f t="shared" si="144"/>
        <v>5</v>
      </c>
      <c r="AI364" s="225">
        <f t="shared" si="145"/>
        <v>-0.2000278020503401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44912</v>
      </c>
      <c r="B365" s="1106">
        <v>1.768</v>
      </c>
      <c r="C365" s="846"/>
      <c r="D365" s="393">
        <f t="shared" si="127"/>
        <v>1.8351926150716373</v>
      </c>
      <c r="E365" s="385">
        <f t="shared" si="150"/>
        <v>2.0215143499413939</v>
      </c>
      <c r="F365" s="385">
        <f t="shared" si="128"/>
        <v>2.0215143499413939</v>
      </c>
      <c r="G365" s="110">
        <f t="shared" si="151"/>
        <v>0.16779912810250613</v>
      </c>
      <c r="H365" s="414" t="b">
        <f>Wh_hp&gt;='2021'!Maxi_hp</f>
        <v>0</v>
      </c>
      <c r="I365" s="380">
        <f>IF(H365,Wh_hp,'2021'!Maxi_hp)</f>
        <v>12.021783785395716</v>
      </c>
      <c r="J365" s="85">
        <f>IF(H365,An,'2021'!An_max)</f>
        <v>2018</v>
      </c>
      <c r="K365" s="197">
        <f t="shared" si="129"/>
        <v>44912</v>
      </c>
      <c r="L365" s="147">
        <f>IF(t&lt;Tvie,1-EXP((T0-t)*PertePVj)+'2021'!Pspv,1-EXP((T0-t)*PertePVj)+Pspv)</f>
        <v>3.6613385712112034E-2</v>
      </c>
      <c r="M365" s="850"/>
      <c r="N365" s="850"/>
      <c r="O365" s="48">
        <f>IF(t&lt;Tnet,'2021'!Resal+('2021'!Salim-'2021'!Resal)*(1-EXP(('2021'!Tnet-t)/('2021'!Tau_j))),Resal+(Salim-Resal)*(1-EXP((Tnet-t)/(Tau_j))))*Salcycl</f>
        <v>9.2169385231006845E-2</v>
      </c>
      <c r="P365" s="339">
        <f>(INDEX(Models!$BJ365:$BT365,,T365)*(1-R365)+INDEX(Models!$BJ365:$BT365,,T365+1)*R365-ERP_i)*Q365*Ramure*Pc/MaxiM</f>
        <v>4.2863910292789256E-2</v>
      </c>
      <c r="Q365" s="305">
        <f t="shared" si="130"/>
        <v>0.7</v>
      </c>
      <c r="R365" s="177">
        <f t="shared" si="131"/>
        <v>0.79997731706900288</v>
      </c>
      <c r="S365" s="817">
        <f t="shared" si="132"/>
        <v>-1</v>
      </c>
      <c r="T365" s="176">
        <f t="shared" si="133"/>
        <v>5</v>
      </c>
      <c r="U365" s="251">
        <f t="shared" si="134"/>
        <v>-0.20002268293099712</v>
      </c>
      <c r="V365" s="383">
        <f t="shared" si="135"/>
        <v>10.084775920698451</v>
      </c>
      <c r="W365" s="402">
        <f t="shared" si="136"/>
        <v>0</v>
      </c>
      <c r="X365" s="157">
        <f t="shared" si="137"/>
        <v>44912</v>
      </c>
      <c r="Y365" s="385">
        <f t="shared" si="138"/>
        <v>1.6898812436162367</v>
      </c>
      <c r="Z365" s="385">
        <f t="shared" si="139"/>
        <v>1.7541049652899277</v>
      </c>
      <c r="AA365" s="386">
        <f t="shared" si="140"/>
        <v>2.0215143499413939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0.13228171477448028</v>
      </c>
      <c r="AD365" s="231">
        <f>(INDEX(Models!$BJ365:$BT365,,AH365)*(1-AF365)+INDEX(Models!$BJ365:$BT365,,AH365+1)*AF365-ERP_i)*AE365*Ramure*Pc/MaxiM</f>
        <v>4.2863910292789256E-2</v>
      </c>
      <c r="AE365" s="305">
        <f t="shared" si="142"/>
        <v>0.7</v>
      </c>
      <c r="AF365" s="177">
        <f t="shared" si="143"/>
        <v>0.79997731706900288</v>
      </c>
      <c r="AG365" s="817">
        <f t="shared" si="149"/>
        <v>-1</v>
      </c>
      <c r="AH365" s="176">
        <f t="shared" si="144"/>
        <v>5</v>
      </c>
      <c r="AI365" s="225">
        <f t="shared" si="145"/>
        <v>-0.20002268293099712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44913</v>
      </c>
      <c r="B366" s="1106">
        <v>9.4310000000000009</v>
      </c>
      <c r="C366" s="846"/>
      <c r="D366" s="393">
        <f t="shared" si="127"/>
        <v>9.7896383733748529</v>
      </c>
      <c r="E366" s="385">
        <f t="shared" si="150"/>
        <v>10.784362449496973</v>
      </c>
      <c r="F366" s="385">
        <f t="shared" si="128"/>
        <v>11.214972831905575</v>
      </c>
      <c r="G366" s="110">
        <f t="shared" si="151"/>
        <v>0.92713228632706401</v>
      </c>
      <c r="H366" s="414" t="b">
        <f>Wh_hp&gt;='2021'!Maxi_hp</f>
        <v>0</v>
      </c>
      <c r="I366" s="380">
        <f>IF(H366,Wh_hp,'2021'!Maxi_hp)</f>
        <v>11.681754622743613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3.6634486351431517E-2</v>
      </c>
      <c r="M366" s="850"/>
      <c r="N366" s="850"/>
      <c r="O366" s="48">
        <f>IF(t&lt;Tnet,'2021'!Resal+('2021'!Salim-'2021'!Resal)*(1-EXP(('2021'!Tnet-t)/('2021'!Tau_j))),Resal+(Salim-Resal)*(1-EXP((Tnet-t)/(Tau_j))))*Salcycl</f>
        <v>9.2237633961247081E-2</v>
      </c>
      <c r="P366" s="339">
        <f>(INDEX(Models!$BJ366:$BT366,,T366)*(1-R366)+INDEX(Models!$BJ366:$BT366,,T366+1)*R366-ERP_i)*Q366*Ramure*Pc/MaxiM</f>
        <v>4.2582092295202344E-2</v>
      </c>
      <c r="Q366" s="305">
        <f t="shared" si="130"/>
        <v>0.7</v>
      </c>
      <c r="R366" s="177">
        <f t="shared" si="131"/>
        <v>0.79998223024181747</v>
      </c>
      <c r="S366" s="817">
        <f t="shared" si="132"/>
        <v>-1</v>
      </c>
      <c r="T366" s="176">
        <f t="shared" si="133"/>
        <v>5</v>
      </c>
      <c r="U366" s="251">
        <f t="shared" si="134"/>
        <v>-0.20001776975818253</v>
      </c>
      <c r="V366" s="383">
        <f t="shared" si="135"/>
        <v>10.1279450490009</v>
      </c>
      <c r="W366" s="402">
        <f t="shared" si="136"/>
        <v>0</v>
      </c>
      <c r="X366" s="157">
        <f t="shared" si="137"/>
        <v>44913</v>
      </c>
      <c r="Y366" s="385">
        <f t="shared" si="138"/>
        <v>9.0148829666419221</v>
      </c>
      <c r="Z366" s="385">
        <f t="shared" si="139"/>
        <v>9.3576974044874444</v>
      </c>
      <c r="AA366" s="386">
        <f t="shared" si="140"/>
        <v>10.784362449496973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0.13229016102626212</v>
      </c>
      <c r="AD366" s="231">
        <f>(INDEX(Models!$BJ366:$BT366,,AH366)*(1-AF366)+INDEX(Models!$BJ366:$BT366,,AH366+1)*AF366-ERP_i)*AE366*Ramure*Pc/MaxiM</f>
        <v>4.2582092295202344E-2</v>
      </c>
      <c r="AE366" s="305">
        <f t="shared" si="142"/>
        <v>0.7</v>
      </c>
      <c r="AF366" s="177">
        <f t="shared" si="143"/>
        <v>0.79998223024181747</v>
      </c>
      <c r="AG366" s="817">
        <f t="shared" si="149"/>
        <v>-1</v>
      </c>
      <c r="AH366" s="176">
        <f t="shared" si="144"/>
        <v>5</v>
      </c>
      <c r="AI366" s="225">
        <f t="shared" si="145"/>
        <v>-0.20001776975818253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44914</v>
      </c>
      <c r="B367" s="1106">
        <v>9.4190000000000005</v>
      </c>
      <c r="C367" s="846"/>
      <c r="D367" s="393">
        <f t="shared" si="127"/>
        <v>9.7773961921455239</v>
      </c>
      <c r="E367" s="385">
        <f t="shared" si="150"/>
        <v>10.77169477204739</v>
      </c>
      <c r="F367" s="385">
        <f t="shared" si="128"/>
        <v>11.194737433692417</v>
      </c>
      <c r="G367" s="110">
        <f t="shared" si="151"/>
        <v>0.92105990393592052</v>
      </c>
      <c r="H367" s="414" t="b">
        <f>Wh_hp&gt;='2021'!Maxi_hp</f>
        <v>0</v>
      </c>
      <c r="I367" s="380">
        <f>IF(H367,Wh_hp,'2021'!Maxi_hp)</f>
        <v>11.859161695286367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3.6655586528592798E-2</v>
      </c>
      <c r="M367" s="850"/>
      <c r="N367" s="850"/>
      <c r="O367" s="48">
        <f>IF(t&lt;Tnet,'2021'!Resal+('2021'!Salim-'2021'!Resal)*(1-EXP(('2021'!Tnet-t)/('2021'!Tau_j))),Resal+(Salim-Resal)*(1-EXP((Tnet-t)/(Tau_j))))*Salcycl</f>
        <v>9.2306605501121061E-2</v>
      </c>
      <c r="P367" s="339">
        <f>(INDEX(Models!$BJ367:$BT367,,T367)*(1-R367)+INDEX(Models!$BJ367:$BT367,,T367+1)*R367-ERP_i)*Q367*Ramure*Pc/MaxiM</f>
        <v>4.2297394335685801E-2</v>
      </c>
      <c r="Q367" s="305">
        <f t="shared" si="130"/>
        <v>0.7</v>
      </c>
      <c r="R367" s="177">
        <f t="shared" si="131"/>
        <v>0.79998694574716955</v>
      </c>
      <c r="S367" s="817">
        <f t="shared" si="132"/>
        <v>-1</v>
      </c>
      <c r="T367" s="176">
        <f t="shared" si="133"/>
        <v>5</v>
      </c>
      <c r="U367" s="251">
        <f t="shared" si="134"/>
        <v>-0.2000130542528305</v>
      </c>
      <c r="V367" s="383">
        <f t="shared" si="135"/>
        <v>10.178351912271133</v>
      </c>
      <c r="W367" s="402">
        <f t="shared" si="136"/>
        <v>0</v>
      </c>
      <c r="X367" s="157">
        <f t="shared" si="137"/>
        <v>44914</v>
      </c>
      <c r="Y367" s="385">
        <f t="shared" si="138"/>
        <v>9.0039966713458597</v>
      </c>
      <c r="Z367" s="385">
        <f t="shared" si="139"/>
        <v>9.3466018439864076</v>
      </c>
      <c r="AA367" s="386">
        <f t="shared" si="140"/>
        <v>10.77169477204739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0.1322997873797081</v>
      </c>
      <c r="AD367" s="231">
        <f>(INDEX(Models!$BJ367:$BT367,,AH367)*(1-AF367)+INDEX(Models!$BJ367:$BT367,,AH367+1)*AF367-ERP_i)*AE367*Ramure*Pc/MaxiM</f>
        <v>4.2297394335685801E-2</v>
      </c>
      <c r="AE367" s="305">
        <f t="shared" si="142"/>
        <v>0.7</v>
      </c>
      <c r="AF367" s="177">
        <f t="shared" si="143"/>
        <v>0.79998694574716955</v>
      </c>
      <c r="AG367" s="817">
        <f t="shared" si="149"/>
        <v>-1</v>
      </c>
      <c r="AH367" s="176">
        <f t="shared" si="144"/>
        <v>5</v>
      </c>
      <c r="AI367" s="225">
        <f t="shared" si="145"/>
        <v>-0.2000130542528305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44915</v>
      </c>
      <c r="B368" s="1106">
        <v>2.4300000000000002</v>
      </c>
      <c r="C368" s="846"/>
      <c r="D368" s="393">
        <f t="shared" si="127"/>
        <v>2.5225175860474409</v>
      </c>
      <c r="E368" s="385">
        <f t="shared" si="150"/>
        <v>2.77925469919475</v>
      </c>
      <c r="F368" s="385">
        <f t="shared" si="128"/>
        <v>2.77925469919475</v>
      </c>
      <c r="G368" s="110">
        <f t="shared" si="151"/>
        <v>0.22744608082787449</v>
      </c>
      <c r="H368" s="414" t="b">
        <f>Wh_hp&gt;='2021'!Maxi_hp</f>
        <v>0</v>
      </c>
      <c r="I368" s="380">
        <f>IF(H368,Wh_hp,'2021'!Maxi_hp)</f>
        <v>10.857367407751404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3.6676686243606094E-2</v>
      </c>
      <c r="M368" s="850"/>
      <c r="N368" s="850"/>
      <c r="O368" s="48">
        <f>IF(t&lt;Tnet,'2021'!Resal+('2021'!Salim-'2021'!Resal)*(1-EXP(('2021'!Tnet-t)/('2021'!Tau_j))),Resal+(Salim-Resal)*(1-EXP((Tnet-t)/(Tau_j))))*Salcycl</f>
        <v>9.2376245049327566E-2</v>
      </c>
      <c r="P368" s="339">
        <f>(INDEX(Models!$BJ368:$BT368,,T368)*(1-R368)+INDEX(Models!$BJ368:$BT368,,T368+1)*R368-ERP_i)*Q368*Ramure*Pc/MaxiM</f>
        <v>4.2014388173321912E-2</v>
      </c>
      <c r="Q368" s="305">
        <f t="shared" si="130"/>
        <v>0.7</v>
      </c>
      <c r="R368" s="177">
        <f t="shared" si="131"/>
        <v>0.79999147153180572</v>
      </c>
      <c r="S368" s="817">
        <f t="shared" si="132"/>
        <v>-1</v>
      </c>
      <c r="T368" s="176">
        <f t="shared" si="133"/>
        <v>5</v>
      </c>
      <c r="U368" s="251">
        <f t="shared" si="134"/>
        <v>-0.20000852846819434</v>
      </c>
      <c r="V368" s="383">
        <f t="shared" si="135"/>
        <v>10.234975376430111</v>
      </c>
      <c r="W368" s="402">
        <f t="shared" si="136"/>
        <v>0</v>
      </c>
      <c r="X368" s="157">
        <f t="shared" si="137"/>
        <v>44915</v>
      </c>
      <c r="Y368" s="385">
        <f t="shared" si="138"/>
        <v>2.3230831528090601</v>
      </c>
      <c r="Z368" s="385">
        <f t="shared" si="139"/>
        <v>2.4115300851075672</v>
      </c>
      <c r="AA368" s="386">
        <f t="shared" si="140"/>
        <v>2.77925469919475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0.13231051266863944</v>
      </c>
      <c r="AD368" s="231">
        <f>(INDEX(Models!$BJ368:$BT368,,AH368)*(1-AF368)+INDEX(Models!$BJ368:$BT368,,AH368+1)*AF368-ERP_i)*AE368*Ramure*Pc/MaxiM</f>
        <v>4.2014388173321912E-2</v>
      </c>
      <c r="AE368" s="305">
        <f t="shared" si="142"/>
        <v>0.7</v>
      </c>
      <c r="AF368" s="177">
        <f t="shared" si="143"/>
        <v>0.79999147153180572</v>
      </c>
      <c r="AG368" s="817">
        <f t="shared" si="149"/>
        <v>-1</v>
      </c>
      <c r="AH368" s="176">
        <f t="shared" si="144"/>
        <v>5</v>
      </c>
      <c r="AI368" s="225">
        <f t="shared" si="145"/>
        <v>-0.20000852846819434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44916</v>
      </c>
      <c r="B369" s="1106">
        <v>8.5909999999999993</v>
      </c>
      <c r="C369" s="846"/>
      <c r="D369" s="393">
        <f t="shared" si="127"/>
        <v>8.9182811693501201</v>
      </c>
      <c r="E369" s="385">
        <f t="shared" si="150"/>
        <v>9.8267277427819533</v>
      </c>
      <c r="F369" s="385">
        <f t="shared" si="128"/>
        <v>10.150108436409633</v>
      </c>
      <c r="G369" s="110">
        <f t="shared" si="151"/>
        <v>0.82582484412280732</v>
      </c>
      <c r="H369" s="414" t="b">
        <f>Wh_hp&gt;='2021'!Maxi_hp</f>
        <v>0</v>
      </c>
      <c r="I369" s="380">
        <f>IF(H369,Wh_hp,'2021'!Maxi_hp)</f>
        <v>10.896065094329265</v>
      </c>
      <c r="J369" s="85">
        <f>IF(H369,An,'2021'!An_max)</f>
        <v>2021</v>
      </c>
      <c r="K369" s="197">
        <f t="shared" si="129"/>
        <v>44916</v>
      </c>
      <c r="L369" s="147">
        <f>IF(t&lt;Tvie,1-EXP((T0-t)*PertePVj)+'2021'!Pspv,1-EXP((T0-t)*PertePVj)+Pspv)</f>
        <v>3.6697785496481505E-2</v>
      </c>
      <c r="M369" s="850"/>
      <c r="N369" s="850"/>
      <c r="O369" s="48">
        <f>IF(t&lt;Tnet,'2021'!Resal+('2021'!Salim-'2021'!Resal)*(1-EXP(('2021'!Tnet-t)/('2021'!Tau_j))),Resal+(Salim-Resal)*(1-EXP((Tnet-t)/(Tau_j))))*Salcycl</f>
        <v>9.2446498693231544E-2</v>
      </c>
      <c r="P369" s="339">
        <f>(INDEX(Models!$BJ369:$BT369,,T369)*(1-R369)+INDEX(Models!$BJ369:$BT369,,T369+1)*R369-ERP_i)*Q369*Ramure*Pc/MaxiM</f>
        <v>4.1737452388725227E-2</v>
      </c>
      <c r="Q369" s="305">
        <f t="shared" si="130"/>
        <v>0.7</v>
      </c>
      <c r="R369" s="177">
        <f t="shared" si="131"/>
        <v>0.79999581522345342</v>
      </c>
      <c r="S369" s="817">
        <f t="shared" si="132"/>
        <v>-1</v>
      </c>
      <c r="T369" s="176">
        <f t="shared" si="133"/>
        <v>5</v>
      </c>
      <c r="U369" s="251">
        <f t="shared" si="134"/>
        <v>-0.20000418477654658</v>
      </c>
      <c r="V369" s="383">
        <f t="shared" si="135"/>
        <v>10.296794560249051</v>
      </c>
      <c r="W369" s="402">
        <f t="shared" si="136"/>
        <v>0</v>
      </c>
      <c r="X369" s="157">
        <f t="shared" si="137"/>
        <v>44916</v>
      </c>
      <c r="Y369" s="385">
        <f t="shared" si="138"/>
        <v>8.2135317393849103</v>
      </c>
      <c r="Z369" s="385">
        <f t="shared" si="139"/>
        <v>8.5264329467135358</v>
      </c>
      <c r="AA369" s="386">
        <f t="shared" si="140"/>
        <v>9.8267277427819533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0.13232225722581215</v>
      </c>
      <c r="AD369" s="231">
        <f>(INDEX(Models!$BJ369:$BT369,,AH369)*(1-AF369)+INDEX(Models!$BJ369:$BT369,,AH369+1)*AF369-ERP_i)*AE369*Ramure*Pc/MaxiM</f>
        <v>4.1737452388725227E-2</v>
      </c>
      <c r="AE369" s="305">
        <f t="shared" si="142"/>
        <v>0.7</v>
      </c>
      <c r="AF369" s="177">
        <f t="shared" si="143"/>
        <v>0.79999581522345342</v>
      </c>
      <c r="AG369" s="817">
        <f t="shared" si="149"/>
        <v>-1</v>
      </c>
      <c r="AH369" s="176">
        <f t="shared" si="144"/>
        <v>5</v>
      </c>
      <c r="AI369" s="225">
        <f t="shared" si="145"/>
        <v>-0.20000418477654658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44917</v>
      </c>
      <c r="B370" s="1106">
        <v>9.6840000000000011</v>
      </c>
      <c r="C370" s="846"/>
      <c r="D370" s="393">
        <f t="shared" si="127"/>
        <v>10.053140087599886</v>
      </c>
      <c r="E370" s="385">
        <f t="shared" si="150"/>
        <v>11.078051669118144</v>
      </c>
      <c r="F370" s="385">
        <f t="shared" si="128"/>
        <v>11.510741951142982</v>
      </c>
      <c r="G370" s="110">
        <f t="shared" si="151"/>
        <v>0.93072939532025345</v>
      </c>
      <c r="H370" s="414" t="b">
        <f>Wh_hp&gt;='2021'!Maxi_hp</f>
        <v>0</v>
      </c>
      <c r="I370" s="380">
        <f>IF(H370,Wh_hp,'2021'!Maxi_hp)</f>
        <v>12.677093484896854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3.6718884287229026E-2</v>
      </c>
      <c r="M370" s="850"/>
      <c r="N370" s="850"/>
      <c r="O370" s="48">
        <f>IF(t&lt;Tnet,'2021'!Resal+('2021'!Salim-'2021'!Resal)*(1-EXP(('2021'!Tnet-t)/('2021'!Tau_j))),Resal+(Salim-Resal)*(1-EXP((Tnet-t)/(Tau_j))))*Salcycl</f>
        <v>9.2517313705564805E-2</v>
      </c>
      <c r="P370" s="339">
        <f>(INDEX(Models!$BJ370:$BT370,,T370)*(1-R370)+INDEX(Models!$BJ370:$BT370,,T370+1)*R370-ERP_i)*Q370*Ramure*Pc/MaxiM</f>
        <v>4.1470757237657495E-2</v>
      </c>
      <c r="Q370" s="305">
        <f t="shared" si="130"/>
        <v>0.7</v>
      </c>
      <c r="R370" s="177">
        <f t="shared" si="131"/>
        <v>0.79999998414359141</v>
      </c>
      <c r="S370" s="817">
        <f t="shared" si="132"/>
        <v>-1</v>
      </c>
      <c r="T370" s="176">
        <f t="shared" si="133"/>
        <v>5</v>
      </c>
      <c r="U370" s="251">
        <f t="shared" si="134"/>
        <v>-0.20000001585640864</v>
      </c>
      <c r="V370" s="383">
        <f t="shared" si="135"/>
        <v>10.362788839005686</v>
      </c>
      <c r="W370" s="402">
        <f t="shared" si="136"/>
        <v>0</v>
      </c>
      <c r="X370" s="157">
        <f t="shared" si="137"/>
        <v>44917</v>
      </c>
      <c r="Y370" s="385">
        <f t="shared" si="138"/>
        <v>9.2590950064074828</v>
      </c>
      <c r="Z370" s="385">
        <f t="shared" si="139"/>
        <v>9.6120383295963414</v>
      </c>
      <c r="AA370" s="386">
        <f t="shared" si="140"/>
        <v>11.078051669118144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0.13233494330131632</v>
      </c>
      <c r="AD370" s="231">
        <f>(INDEX(Models!$BJ370:$BT370,,AH370)*(1-AF370)+INDEX(Models!$BJ370:$BT370,,AH370+1)*AF370-ERP_i)*AE370*Ramure*Pc/MaxiM</f>
        <v>4.1470757237657495E-2</v>
      </c>
      <c r="AE370" s="305">
        <f t="shared" si="142"/>
        <v>0.7</v>
      </c>
      <c r="AF370" s="177">
        <f t="shared" si="143"/>
        <v>0.79999998414359141</v>
      </c>
      <c r="AG370" s="817">
        <f t="shared" si="149"/>
        <v>-1</v>
      </c>
      <c r="AH370" s="176">
        <f t="shared" si="144"/>
        <v>5</v>
      </c>
      <c r="AI370" s="225">
        <f t="shared" si="145"/>
        <v>-0.20000001585640864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44918</v>
      </c>
      <c r="B371" s="1106">
        <v>9.5419999999999998</v>
      </c>
      <c r="C371" s="846"/>
      <c r="D371" s="393">
        <f t="shared" si="127"/>
        <v>9.9059442183768329</v>
      </c>
      <c r="E371" s="385">
        <f t="shared" si="150"/>
        <v>10.916707286433239</v>
      </c>
      <c r="F371" s="385">
        <f t="shared" si="128"/>
        <v>11.326675667959588</v>
      </c>
      <c r="G371" s="110">
        <f t="shared" si="151"/>
        <v>0.90992369673482765</v>
      </c>
      <c r="H371" s="414" t="b">
        <f>Wh_hp&gt;='2021'!Maxi_hp</f>
        <v>0</v>
      </c>
      <c r="I371" s="380">
        <f>IF(H371,Wh_hp,'2021'!Maxi_hp)</f>
        <v>11.766325638958318</v>
      </c>
      <c r="J371" s="85">
        <f>IF(H371,An,'2021'!An_max)</f>
        <v>2020</v>
      </c>
      <c r="K371" s="197">
        <f t="shared" si="129"/>
        <v>44918</v>
      </c>
      <c r="L371" s="147">
        <f>IF(t&lt;Tvie,1-EXP((T0-t)*PertePVj)+'2021'!Pspv,1-EXP((T0-t)*PertePVj)+Pspv)</f>
        <v>3.6739982615858979E-2</v>
      </c>
      <c r="M371" s="850"/>
      <c r="N371" s="850"/>
      <c r="O371" s="48">
        <f>IF(t&lt;Tnet,'2021'!Resal+('2021'!Salim-'2021'!Resal)*(1-EXP(('2021'!Tnet-t)/('2021'!Tau_j))),Resal+(Salim-Resal)*(1-EXP((Tnet-t)/(Tau_j))))*Salcycl</f>
        <v>9.2588638820840508E-2</v>
      </c>
      <c r="P371" s="339">
        <f>(INDEX(Models!$BJ371:$BT371,,T371)*(1-R371)+INDEX(Models!$BJ371:$BT371,,T371+1)*R371-ERP_i)*Q371*Ramure*Pc/MaxiM</f>
        <v>4.1218207035771448E-2</v>
      </c>
      <c r="Q371" s="305">
        <f t="shared" si="130"/>
        <v>0.7</v>
      </c>
      <c r="R371" s="177">
        <f t="shared" si="131"/>
        <v>0.79999998414359141</v>
      </c>
      <c r="S371" s="817">
        <f t="shared" si="132"/>
        <v>-1</v>
      </c>
      <c r="T371" s="176">
        <f t="shared" si="133"/>
        <v>5</v>
      </c>
      <c r="U371" s="251">
        <f t="shared" si="134"/>
        <v>-0.20000001585640864</v>
      </c>
      <c r="V371" s="383">
        <f t="shared" si="135"/>
        <v>10.431938416026231</v>
      </c>
      <c r="W371" s="402">
        <f t="shared" si="136"/>
        <v>0</v>
      </c>
      <c r="X371" s="157">
        <f t="shared" si="137"/>
        <v>44918</v>
      </c>
      <c r="Y371" s="385">
        <f t="shared" si="138"/>
        <v>9.1239001522467351</v>
      </c>
      <c r="Z371" s="385">
        <f t="shared" si="139"/>
        <v>9.4718975018021432</v>
      </c>
      <c r="AA371" s="386">
        <f t="shared" si="140"/>
        <v>10.916707286433239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0.13234849545033009</v>
      </c>
      <c r="AD371" s="231">
        <f>(INDEX(Models!$BJ371:$BT371,,AH371)*(1-AF371)+INDEX(Models!$BJ371:$BT371,,AH371+1)*AF371-ERP_i)*AE371*Ramure*Pc/MaxiM</f>
        <v>4.1218207035771448E-2</v>
      </c>
      <c r="AE371" s="305">
        <f t="shared" si="142"/>
        <v>0.7</v>
      </c>
      <c r="AF371" s="177">
        <f t="shared" si="143"/>
        <v>0.79999998414359141</v>
      </c>
      <c r="AG371" s="817">
        <f t="shared" si="149"/>
        <v>-1</v>
      </c>
      <c r="AH371" s="176">
        <f t="shared" si="144"/>
        <v>5</v>
      </c>
      <c r="AI371" s="225">
        <f t="shared" si="145"/>
        <v>-0.20000001585640864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44919</v>
      </c>
      <c r="B372" s="1106">
        <v>9.7530000000000001</v>
      </c>
      <c r="C372" s="846"/>
      <c r="D372" s="393">
        <f t="shared" si="127"/>
        <v>10.125213799380338</v>
      </c>
      <c r="E372" s="385">
        <f t="shared" si="150"/>
        <v>11.159233072894951</v>
      </c>
      <c r="F372" s="385">
        <f t="shared" si="128"/>
        <v>11.585601604209947</v>
      </c>
      <c r="G372" s="110">
        <f t="shared" si="151"/>
        <v>0.92454047531789685</v>
      </c>
      <c r="H372" s="414" t="b">
        <f>Wh_hp&gt;='2021'!Maxi_hp</f>
        <v>1</v>
      </c>
      <c r="I372" s="380">
        <f>IF(H372,Wh_hp,'2021'!Maxi_hp)</f>
        <v>11.585601604209947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3.6761080482381359E-2</v>
      </c>
      <c r="M372" s="850"/>
      <c r="N372" s="850"/>
      <c r="O372" s="48">
        <f>IF(t&lt;Tnet,'2021'!Resal+('2021'!Salim-'2021'!Resal)*(1-EXP(('2021'!Tnet-t)/('2021'!Tau_j))),Resal+(Salim-Resal)*(1-EXP((Tnet-t)/(Tau_j))))*Salcycl</f>
        <v>9.2660424489759807E-2</v>
      </c>
      <c r="P372" s="339">
        <f>(INDEX(Models!$BJ372:$BT372,,T372)*(1-R372)+INDEX(Models!$BJ372:$BT372,,T372+1)*R372-ERP_i)*Q372*Ramure*Pc/MaxiM</f>
        <v>4.0983542822654102E-2</v>
      </c>
      <c r="Q372" s="305">
        <f t="shared" si="130"/>
        <v>0.7</v>
      </c>
      <c r="R372" s="177">
        <f t="shared" si="131"/>
        <v>0.79999998414359141</v>
      </c>
      <c r="S372" s="817">
        <f t="shared" si="132"/>
        <v>-1</v>
      </c>
      <c r="T372" s="176">
        <f t="shared" si="133"/>
        <v>5</v>
      </c>
      <c r="U372" s="251">
        <f t="shared" si="134"/>
        <v>-0.20000001585640864</v>
      </c>
      <c r="V372" s="383">
        <f t="shared" si="135"/>
        <v>10.503223262680079</v>
      </c>
      <c r="W372" s="402">
        <f t="shared" si="136"/>
        <v>0</v>
      </c>
      <c r="X372" s="157">
        <f t="shared" si="137"/>
        <v>44919</v>
      </c>
      <c r="Y372" s="385">
        <f t="shared" si="138"/>
        <v>9.3262384240888601</v>
      </c>
      <c r="Z372" s="385">
        <f t="shared" si="139"/>
        <v>9.6821652812360988</v>
      </c>
      <c r="AA372" s="386">
        <f t="shared" si="140"/>
        <v>11.159233072894951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0.13236284088792385</v>
      </c>
      <c r="AD372" s="231">
        <f>(INDEX(Models!$BJ372:$BT372,,AH372)*(1-AF372)+INDEX(Models!$BJ372:$BT372,,AH372+1)*AF372-ERP_i)*AE372*Ramure*Pc/MaxiM</f>
        <v>4.0983542822654102E-2</v>
      </c>
      <c r="AE372" s="305">
        <f t="shared" si="142"/>
        <v>0.7</v>
      </c>
      <c r="AF372" s="177">
        <f t="shared" si="143"/>
        <v>0.79999998414359141</v>
      </c>
      <c r="AG372" s="817">
        <f t="shared" si="149"/>
        <v>-1</v>
      </c>
      <c r="AH372" s="176">
        <f t="shared" si="144"/>
        <v>5</v>
      </c>
      <c r="AI372" s="225">
        <f t="shared" si="145"/>
        <v>-0.20000001585640864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44920</v>
      </c>
      <c r="B373" s="1106">
        <v>5.8150000000000004</v>
      </c>
      <c r="C373" s="846"/>
      <c r="D373" s="393">
        <f t="shared" si="127"/>
        <v>6.0370560702900322</v>
      </c>
      <c r="E373" s="385">
        <f t="shared" si="150"/>
        <v>6.654109057668383</v>
      </c>
      <c r="F373" s="385">
        <f t="shared" si="128"/>
        <v>6.7522688852313832</v>
      </c>
      <c r="G373" s="110">
        <f t="shared" si="151"/>
        <v>0.53504856928436262</v>
      </c>
      <c r="H373" s="414" t="b">
        <f>Wh_hp&gt;='2021'!Maxi_hp</f>
        <v>0</v>
      </c>
      <c r="I373" s="380">
        <f>IF(H373,Wh_hp,'2021'!Maxi_hp)</f>
        <v>7.2647215358617787</v>
      </c>
      <c r="J373" s="85">
        <f>IF(H373,An,'2021'!An_max)</f>
        <v>2018</v>
      </c>
      <c r="K373" s="197">
        <f t="shared" si="129"/>
        <v>44920</v>
      </c>
      <c r="L373" s="147">
        <f>IF(t&lt;Tvie,1-EXP((T0-t)*PertePVj)+'2021'!Pspv,1-EXP((T0-t)*PertePVj)+Pspv)</f>
        <v>3.6782177886806267E-2</v>
      </c>
      <c r="M373" s="850"/>
      <c r="N373" s="850"/>
      <c r="O373" s="48">
        <f>IF(t&lt;Tnet,'2021'!Resal+('2021'!Salim-'2021'!Resal)*(1-EXP(('2021'!Tnet-t)/('2021'!Tau_j))),Resal+(Salim-Resal)*(1-EXP((Tnet-t)/(Tau_j))))*Salcycl</f>
        <v>9.2732623110112822E-2</v>
      </c>
      <c r="P373" s="339">
        <f>(INDEX(Models!$BJ373:$BT373,,T373)*(1-R373)+INDEX(Models!$BJ373:$BT373,,T373+1)*R373-ERP_i)*Q373*Ramure*Pc/MaxiM</f>
        <v>4.0757647027708871E-2</v>
      </c>
      <c r="Q373" s="305">
        <f t="shared" si="130"/>
        <v>0.7</v>
      </c>
      <c r="R373" s="177">
        <f t="shared" si="131"/>
        <v>0.79999998414359141</v>
      </c>
      <c r="S373" s="817">
        <f t="shared" si="132"/>
        <v>-1</v>
      </c>
      <c r="T373" s="176">
        <f t="shared" si="133"/>
        <v>5</v>
      </c>
      <c r="U373" s="251">
        <f t="shared" si="134"/>
        <v>-0.20000001585640864</v>
      </c>
      <c r="V373" s="383">
        <f t="shared" si="135"/>
        <v>10.57900132229525</v>
      </c>
      <c r="W373" s="402">
        <f t="shared" si="136"/>
        <v>0</v>
      </c>
      <c r="X373" s="157">
        <f t="shared" si="137"/>
        <v>44920</v>
      </c>
      <c r="Y373" s="385">
        <f t="shared" si="138"/>
        <v>5.5608992265940973</v>
      </c>
      <c r="Z373" s="385">
        <f t="shared" si="139"/>
        <v>5.7732520089735235</v>
      </c>
      <c r="AA373" s="386">
        <f t="shared" si="140"/>
        <v>6.654109057668383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0.13237790980893749</v>
      </c>
      <c r="AD373" s="231">
        <f>(INDEX(Models!$BJ373:$BT373,,AH373)*(1-AF373)+INDEX(Models!$BJ373:$BT373,,AH373+1)*AF373-ERP_i)*AE373*Ramure*Pc/MaxiM</f>
        <v>4.0757647027708871E-2</v>
      </c>
      <c r="AE373" s="305">
        <f t="shared" si="142"/>
        <v>0.7</v>
      </c>
      <c r="AF373" s="177">
        <f t="shared" si="143"/>
        <v>0.79999998414359141</v>
      </c>
      <c r="AG373" s="817">
        <f t="shared" si="149"/>
        <v>-1</v>
      </c>
      <c r="AH373" s="176">
        <f t="shared" si="144"/>
        <v>5</v>
      </c>
      <c r="AI373" s="225">
        <f t="shared" si="145"/>
        <v>-0.20000001585640864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44921</v>
      </c>
      <c r="B374" s="1106">
        <v>10.059000000000001</v>
      </c>
      <c r="C374" s="846"/>
      <c r="D374" s="393">
        <f t="shared" si="127"/>
        <v>10.443349460325139</v>
      </c>
      <c r="E374" s="385">
        <f t="shared" si="150"/>
        <v>11.511694441345639</v>
      </c>
      <c r="F374" s="385">
        <f t="shared" si="128"/>
        <v>11.957161265116167</v>
      </c>
      <c r="G374" s="110">
        <f t="shared" si="151"/>
        <v>0.94022821408724278</v>
      </c>
      <c r="H374" s="414" t="b">
        <f>Wh_hp&gt;='2021'!Maxi_hp</f>
        <v>0</v>
      </c>
      <c r="I374" s="380">
        <f>IF(H374,Wh_hp,'2021'!Maxi_hp)</f>
        <v>12.958648457601393</v>
      </c>
      <c r="J374" s="85">
        <f>IF(H374,An,'2021'!An_max)</f>
        <v>2018</v>
      </c>
      <c r="K374" s="197">
        <f t="shared" si="129"/>
        <v>44921</v>
      </c>
      <c r="L374" s="147">
        <f>IF(t&lt;Tvie,1-EXP((T0-t)*PertePVj)+'2021'!Pspv,1-EXP((T0-t)*PertePVj)+Pspv)</f>
        <v>3.6803274829143917E-2</v>
      </c>
      <c r="M374" s="850"/>
      <c r="N374" s="850"/>
      <c r="O374" s="48">
        <f>IF(t&lt;Tnet,'2021'!Resal+('2021'!Salim-'2021'!Resal)*(1-EXP(('2021'!Tnet-t)/('2021'!Tau_j))),Resal+(Salim-Resal)*(1-EXP((Tnet-t)/(Tau_j))))*Salcycl</f>
        <v>9.2805189232908258E-2</v>
      </c>
      <c r="P374" s="339">
        <f>(INDEX(Models!$BJ374:$BT374,,T374)*(1-R374)+INDEX(Models!$BJ374:$BT374,,T374+1)*R374-ERP_i)*Q374*Ramure*Pc/MaxiM</f>
        <v>4.0530217665777746E-2</v>
      </c>
      <c r="Q374" s="305">
        <f t="shared" si="130"/>
        <v>0.7</v>
      </c>
      <c r="R374" s="177">
        <f t="shared" si="131"/>
        <v>0.79999998414359141</v>
      </c>
      <c r="S374" s="817">
        <f t="shared" si="132"/>
        <v>-1</v>
      </c>
      <c r="T374" s="176">
        <f t="shared" si="133"/>
        <v>5</v>
      </c>
      <c r="U374" s="251">
        <f t="shared" si="134"/>
        <v>-0.20000001585640864</v>
      </c>
      <c r="V374" s="383">
        <f t="shared" si="135"/>
        <v>10.662073292411808</v>
      </c>
      <c r="W374" s="402">
        <f t="shared" si="136"/>
        <v>0</v>
      </c>
      <c r="X374" s="157">
        <f t="shared" si="137"/>
        <v>44921</v>
      </c>
      <c r="Y374" s="385">
        <f t="shared" si="138"/>
        <v>9.6200422612679812</v>
      </c>
      <c r="Z374" s="385">
        <f t="shared" si="139"/>
        <v>9.9876193615188384</v>
      </c>
      <c r="AA374" s="386">
        <f t="shared" si="140"/>
        <v>11.511694441345639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0.13239363567129631</v>
      </c>
      <c r="AD374" s="231">
        <f>(INDEX(Models!$BJ374:$BT374,,AH374)*(1-AF374)+INDEX(Models!$BJ374:$BT374,,AH374+1)*AF374-ERP_i)*AE374*Ramure*Pc/MaxiM</f>
        <v>4.0530217665777746E-2</v>
      </c>
      <c r="AE374" s="305">
        <f t="shared" si="142"/>
        <v>0.7</v>
      </c>
      <c r="AF374" s="177">
        <f t="shared" si="143"/>
        <v>0.79999998414359141</v>
      </c>
      <c r="AG374" s="817">
        <f t="shared" si="149"/>
        <v>-1</v>
      </c>
      <c r="AH374" s="176">
        <f t="shared" si="144"/>
        <v>5</v>
      </c>
      <c r="AI374" s="225">
        <f t="shared" si="145"/>
        <v>-0.20000001585640864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44922</v>
      </c>
      <c r="B375" s="1106">
        <v>3.8980000000000001</v>
      </c>
      <c r="C375" s="846"/>
      <c r="D375" s="393">
        <f t="shared" si="127"/>
        <v>4.0470293100119221</v>
      </c>
      <c r="E375" s="385">
        <f t="shared" si="150"/>
        <v>4.4613951219082422</v>
      </c>
      <c r="F375" s="385">
        <f t="shared" si="128"/>
        <v>4.4775443619688629</v>
      </c>
      <c r="G375" s="110">
        <f t="shared" si="151"/>
        <v>0.34918256122954128</v>
      </c>
      <c r="H375" s="414" t="b">
        <f>Wh_hp&gt;='2021'!Maxi_hp</f>
        <v>0</v>
      </c>
      <c r="I375" s="380">
        <f>IF(H375,Wh_hp,'2021'!Maxi_hp)</f>
        <v>13.195050919032267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3.6824371309404413E-2</v>
      </c>
      <c r="M375" s="850"/>
      <c r="N375" s="850"/>
      <c r="O375" s="48">
        <f>IF(t&lt;Tnet,'2021'!Resal+('2021'!Salim-'2021'!Resal)*(1-EXP(('2021'!Tnet-t)/('2021'!Tau_j))),Resal+(Salim-Resal)*(1-EXP((Tnet-t)/(Tau_j))))*Salcycl</f>
        <v>9.2878079742707453E-2</v>
      </c>
      <c r="P375" s="339">
        <f>(INDEX(Models!$BJ375:$BT375,,T375)*(1-R375)+INDEX(Models!$BJ375:$BT375,,T375+1)*R375-ERP_i)*Q375*Ramure*Pc/MaxiM</f>
        <v>4.0359304761334425E-2</v>
      </c>
      <c r="Q375" s="305">
        <f t="shared" si="130"/>
        <v>0.7</v>
      </c>
      <c r="R375" s="177">
        <f t="shared" si="131"/>
        <v>0.79999998414359141</v>
      </c>
      <c r="S375" s="817">
        <f t="shared" si="132"/>
        <v>-1</v>
      </c>
      <c r="T375" s="176">
        <f t="shared" si="133"/>
        <v>5</v>
      </c>
      <c r="U375" s="251">
        <f t="shared" si="134"/>
        <v>-0.20000001585640864</v>
      </c>
      <c r="V375" s="383">
        <f t="shared" si="135"/>
        <v>10.751452848282943</v>
      </c>
      <c r="W375" s="402">
        <f t="shared" si="136"/>
        <v>0</v>
      </c>
      <c r="X375" s="157">
        <f t="shared" si="137"/>
        <v>44922</v>
      </c>
      <c r="Y375" s="385">
        <f t="shared" si="138"/>
        <v>3.7281272981804725</v>
      </c>
      <c r="Z375" s="385">
        <f t="shared" si="139"/>
        <v>3.8706619926095249</v>
      </c>
      <c r="AA375" s="386">
        <f t="shared" si="140"/>
        <v>4.4613951219082422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0.13240995544148243</v>
      </c>
      <c r="AD375" s="231">
        <f>(INDEX(Models!$BJ375:$BT375,,AH375)*(1-AF375)+INDEX(Models!$BJ375:$BT375,,AH375+1)*AF375-ERP_i)*AE375*Ramure*Pc/MaxiM</f>
        <v>4.0359304761334425E-2</v>
      </c>
      <c r="AE375" s="305">
        <f t="shared" si="142"/>
        <v>0.7</v>
      </c>
      <c r="AF375" s="177">
        <f t="shared" si="143"/>
        <v>0.79999998414359141</v>
      </c>
      <c r="AG375" s="817">
        <f t="shared" si="149"/>
        <v>-1</v>
      </c>
      <c r="AH375" s="176">
        <f t="shared" si="144"/>
        <v>5</v>
      </c>
      <c r="AI375" s="225">
        <f t="shared" si="145"/>
        <v>-0.20000001585640864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44923</v>
      </c>
      <c r="B376" s="1106">
        <v>10.596</v>
      </c>
      <c r="C376" s="846"/>
      <c r="D376" s="393">
        <f t="shared" si="127"/>
        <v>11.001349877469785</v>
      </c>
      <c r="E376" s="385">
        <f t="shared" si="150"/>
        <v>12.128730595927502</v>
      </c>
      <c r="F376" s="385">
        <f t="shared" si="128"/>
        <v>12.61970257797199</v>
      </c>
      <c r="G376" s="110">
        <f t="shared" si="151"/>
        <v>0.97551744348753011</v>
      </c>
      <c r="H376" s="414" t="b">
        <f>Wh_hp&gt;='2021'!Maxi_hp</f>
        <v>1</v>
      </c>
      <c r="I376" s="380">
        <f>IF(H376,Wh_hp,'2021'!Maxi_hp)</f>
        <v>12.61970257797199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3.6845467327597858E-2</v>
      </c>
      <c r="M376" s="850"/>
      <c r="N376" s="850"/>
      <c r="O376" s="48">
        <f>IF(t&lt;Tnet,'2021'!Resal+('2021'!Salim-'2021'!Resal)*(1-EXP(('2021'!Tnet-t)/('2021'!Tau_j))),Resal+(Salim-Resal)*(1-EXP((Tnet-t)/(Tau_j))))*Salcycl</f>
        <v>9.2951254011385293E-2</v>
      </c>
      <c r="P376" s="339">
        <f>(INDEX(Models!$BJ376:$BT376,,T376)*(1-R376)+INDEX(Models!$BJ376:$BT376,,T376+1)*R376-ERP_i)*Q376*Ramure*Pc/MaxiM</f>
        <v>4.0234733705953818E-2</v>
      </c>
      <c r="Q376" s="305">
        <f t="shared" si="130"/>
        <v>0.7</v>
      </c>
      <c r="R376" s="177">
        <f t="shared" si="131"/>
        <v>0.79999998414359141</v>
      </c>
      <c r="S376" s="817">
        <f t="shared" si="132"/>
        <v>-1</v>
      </c>
      <c r="T376" s="176">
        <f t="shared" si="133"/>
        <v>5</v>
      </c>
      <c r="U376" s="251">
        <f t="shared" si="134"/>
        <v>-0.20000001585640864</v>
      </c>
      <c r="V376" s="383">
        <f t="shared" si="135"/>
        <v>10.846901812908396</v>
      </c>
      <c r="W376" s="402">
        <f t="shared" si="136"/>
        <v>0</v>
      </c>
      <c r="X376" s="157">
        <f t="shared" si="137"/>
        <v>44923</v>
      </c>
      <c r="Y376" s="385">
        <f t="shared" si="138"/>
        <v>10.134852800360411</v>
      </c>
      <c r="Z376" s="385">
        <f t="shared" si="139"/>
        <v>10.522561496170189</v>
      </c>
      <c r="AA376" s="386">
        <f t="shared" si="140"/>
        <v>12.128730595927502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0.13242680980123522</v>
      </c>
      <c r="AD376" s="231">
        <f>(INDEX(Models!$BJ376:$BT376,,AH376)*(1-AF376)+INDEX(Models!$BJ376:$BT376,,AH376+1)*AF376-ERP_i)*AE376*Ramure*Pc/MaxiM</f>
        <v>4.0234733705953818E-2</v>
      </c>
      <c r="AE376" s="305">
        <f t="shared" si="142"/>
        <v>0.7</v>
      </c>
      <c r="AF376" s="177">
        <f t="shared" si="143"/>
        <v>0.79999998414359141</v>
      </c>
      <c r="AG376" s="817">
        <f t="shared" si="149"/>
        <v>-1</v>
      </c>
      <c r="AH376" s="176">
        <f t="shared" si="144"/>
        <v>5</v>
      </c>
      <c r="AI376" s="225">
        <f t="shared" si="145"/>
        <v>-0.20000001585640864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44924</v>
      </c>
      <c r="B377" s="1106">
        <v>6.048</v>
      </c>
      <c r="C377" s="846"/>
      <c r="D377" s="393">
        <f t="shared" si="127"/>
        <v>6.27950371872502</v>
      </c>
      <c r="E377" s="385">
        <f t="shared" si="150"/>
        <v>6.9235662083454192</v>
      </c>
      <c r="F377" s="385">
        <f t="shared" si="128"/>
        <v>7.02529846331492</v>
      </c>
      <c r="G377" s="110">
        <f t="shared" si="151"/>
        <v>0.53803392501083702</v>
      </c>
      <c r="H377" s="414" t="b">
        <f>Wh_hp&gt;='2021'!Maxi_hp</f>
        <v>0</v>
      </c>
      <c r="I377" s="380">
        <f>IF(H377,Wh_hp,'2021'!Maxi_hp)</f>
        <v>12.09881611457118</v>
      </c>
      <c r="J377" s="85">
        <f>IF(H377,An,'2021'!An_max)</f>
        <v>2019</v>
      </c>
      <c r="K377" s="197">
        <f t="shared" si="129"/>
        <v>44924</v>
      </c>
      <c r="L377" s="147">
        <f>IF(t&lt;Tvie,1-EXP((T0-t)*PertePVj)+'2021'!Pspv,1-EXP((T0-t)*PertePVj)+Pspv)</f>
        <v>3.6866562883734355E-2</v>
      </c>
      <c r="M377" s="850"/>
      <c r="N377" s="850"/>
      <c r="O377" s="48">
        <f>IF(t&lt;Tnet,'2021'!Resal+('2021'!Salim-'2021'!Resal)*(1-EXP(('2021'!Tnet-t)/('2021'!Tau_j))),Resal+(Salim-Resal)*(1-EXP((Tnet-t)/(Tau_j))))*Salcycl</f>
        <v>9.3024674024792225E-2</v>
      </c>
      <c r="P377" s="339">
        <f>(INDEX(Models!$BJ377:$BT377,,T377)*(1-R377)+INDEX(Models!$BJ377:$BT377,,T377+1)*R377-ERP_i)*Q377*Ramure*Pc/MaxiM</f>
        <v>4.0156633283671361E-2</v>
      </c>
      <c r="Q377" s="305">
        <f t="shared" si="130"/>
        <v>0.7</v>
      </c>
      <c r="R377" s="177">
        <f t="shared" si="131"/>
        <v>0.79999998414359141</v>
      </c>
      <c r="S377" s="817">
        <f t="shared" si="132"/>
        <v>-1</v>
      </c>
      <c r="T377" s="176">
        <f t="shared" si="133"/>
        <v>5</v>
      </c>
      <c r="U377" s="251">
        <f t="shared" si="134"/>
        <v>-0.20000001585640864</v>
      </c>
      <c r="V377" s="383">
        <f t="shared" si="135"/>
        <v>10.948066330320415</v>
      </c>
      <c r="W377" s="402">
        <f t="shared" si="136"/>
        <v>0</v>
      </c>
      <c r="X377" s="157">
        <f t="shared" si="137"/>
        <v>44924</v>
      </c>
      <c r="Y377" s="385">
        <f t="shared" si="138"/>
        <v>5.7851384386776763</v>
      </c>
      <c r="Z377" s="385">
        <f t="shared" si="139"/>
        <v>6.0065804131970113</v>
      </c>
      <c r="AA377" s="386">
        <f t="shared" si="140"/>
        <v>6.9235662083454192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0.13244414331491569</v>
      </c>
      <c r="AD377" s="231">
        <f>(INDEX(Models!$BJ377:$BT377,,AH377)*(1-AF377)+INDEX(Models!$BJ377:$BT377,,AH377+1)*AF377-ERP_i)*AE377*Ramure*Pc/MaxiM</f>
        <v>4.0156633283671361E-2</v>
      </c>
      <c r="AE377" s="305">
        <f t="shared" si="142"/>
        <v>0.7</v>
      </c>
      <c r="AF377" s="177">
        <f t="shared" si="143"/>
        <v>0.79999998414359141</v>
      </c>
      <c r="AG377" s="817">
        <f t="shared" si="149"/>
        <v>-1</v>
      </c>
      <c r="AH377" s="176">
        <f t="shared" si="144"/>
        <v>5</v>
      </c>
      <c r="AI377" s="225">
        <f t="shared" si="145"/>
        <v>-0.20000001585640864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44925</v>
      </c>
      <c r="B378" s="1106">
        <v>7.7110000000000003</v>
      </c>
      <c r="C378" s="846"/>
      <c r="D378" s="393">
        <f t="shared" si="127"/>
        <v>8.0063349451111616</v>
      </c>
      <c r="E378" s="385">
        <f t="shared" si="150"/>
        <v>8.8282280038505299</v>
      </c>
      <c r="F378" s="385">
        <f t="shared" si="128"/>
        <v>9.0340918295586317</v>
      </c>
      <c r="G378" s="110">
        <f t="shared" si="151"/>
        <v>0.68516255166364981</v>
      </c>
      <c r="H378" s="414" t="b">
        <f>Wh_hp&gt;='2021'!Maxi_hp</f>
        <v>0</v>
      </c>
      <c r="I378" s="380">
        <f>IF(H378,Wh_hp,'2021'!Maxi_hp)</f>
        <v>12.623938379603631</v>
      </c>
      <c r="J378" s="85">
        <f>IF(H378,An,'2021'!An_max)</f>
        <v>2019</v>
      </c>
      <c r="K378" s="197">
        <f t="shared" si="129"/>
        <v>44925</v>
      </c>
      <c r="L378" s="147">
        <f>IF(t&lt;Tvie,1-EXP((T0-t)*PertePVj)+'2021'!Pspv,1-EXP((T0-t)*PertePVj)+Pspv)</f>
        <v>3.6887657977824007E-2</v>
      </c>
      <c r="M378" s="850"/>
      <c r="N378" s="850"/>
      <c r="O378" s="48">
        <f>IF(t&lt;Tnet,'2021'!Resal+('2021'!Salim-'2021'!Resal)*(1-EXP(('2021'!Tnet-t)/('2021'!Tau_j))),Resal+(Salim-Resal)*(1-EXP((Tnet-t)/(Tau_j))))*Salcycl</f>
        <v>9.3098304482042302E-2</v>
      </c>
      <c r="P378" s="339">
        <f>(INDEX(Models!$BJ378:$BT378,,T378)*(1-R378)+INDEX(Models!$BJ378:$BT378,,T378+1)*R378-ERP_i)*Q378*Ramure*Pc/MaxiM</f>
        <v>4.0124974069585817E-2</v>
      </c>
      <c r="Q378" s="305">
        <f t="shared" si="130"/>
        <v>0.7</v>
      </c>
      <c r="R378" s="177">
        <f t="shared" si="131"/>
        <v>0.79999998414359141</v>
      </c>
      <c r="S378" s="817">
        <f t="shared" si="132"/>
        <v>-1</v>
      </c>
      <c r="T378" s="176">
        <f t="shared" si="133"/>
        <v>5</v>
      </c>
      <c r="U378" s="251">
        <f t="shared" si="134"/>
        <v>-0.20000001585640864</v>
      </c>
      <c r="V378" s="383">
        <f t="shared" si="135"/>
        <v>11.054592476543851</v>
      </c>
      <c r="W378" s="402">
        <f t="shared" si="136"/>
        <v>0</v>
      </c>
      <c r="X378" s="157">
        <f t="shared" si="137"/>
        <v>44925</v>
      </c>
      <c r="Y378" s="385">
        <f t="shared" si="138"/>
        <v>7.3763080243639951</v>
      </c>
      <c r="Z378" s="385">
        <f t="shared" si="139"/>
        <v>7.6588241085941284</v>
      </c>
      <c r="AA378" s="386">
        <f t="shared" si="140"/>
        <v>8.8282280038505299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0.13246190455733051</v>
      </c>
      <c r="AD378" s="231">
        <f>(INDEX(Models!$BJ378:$BT378,,AH378)*(1-AF378)+INDEX(Models!$BJ378:$BT378,,AH378+1)*AF378-ERP_i)*AE378*Ramure*Pc/MaxiM</f>
        <v>4.0124974069585817E-2</v>
      </c>
      <c r="AE378" s="305">
        <f t="shared" si="142"/>
        <v>0.7</v>
      </c>
      <c r="AF378" s="177">
        <f t="shared" si="143"/>
        <v>0.79999998414359141</v>
      </c>
      <c r="AG378" s="817">
        <f t="shared" si="149"/>
        <v>-1</v>
      </c>
      <c r="AH378" s="176">
        <f t="shared" si="144"/>
        <v>5</v>
      </c>
      <c r="AI378" s="225">
        <f t="shared" si="145"/>
        <v>-0.20000001585640864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44926</v>
      </c>
      <c r="B379" s="1106">
        <v>7.25</v>
      </c>
      <c r="C379" s="846"/>
      <c r="D379" s="393">
        <f t="shared" si="127"/>
        <v>7.5278433062773074</v>
      </c>
      <c r="E379" s="385">
        <f t="shared" si="150"/>
        <v>8.3012922441991339</v>
      </c>
      <c r="F379" s="385">
        <f t="shared" si="128"/>
        <v>8.4709553367605235</v>
      </c>
      <c r="G379" s="110">
        <f t="shared" si="151"/>
        <v>0.6359606438168548</v>
      </c>
      <c r="H379" s="414" t="b">
        <f>Wh_hp&gt;='2021'!Maxi_hp</f>
        <v>0</v>
      </c>
      <c r="I379" s="380">
        <f>IF(H379,Wh_hp,'2021'!Maxi_hp)</f>
        <v>12.634141180813497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3.6908752609876916E-2</v>
      </c>
      <c r="M379" s="850"/>
      <c r="N379" s="850"/>
      <c r="O379" s="48">
        <f>IF(t&lt;Tnet,'2021'!Resal+('2021'!Salim-'2021'!Resal)*(1-EXP(('2021'!Tnet-t)/('2021'!Tau_j))),Resal+(Salim-Resal)*(1-EXP((Tnet-t)/(Tau_j))))*Salcycl</f>
        <v>9.3172112867404011E-2</v>
      </c>
      <c r="P379" s="339">
        <f>(INDEX(Models!$BJ379:$BT379,,T379)*(1-R379)+INDEX(Models!$BJ379:$BT379,,T379+1)*R379-ERP_i)*Q379*Ramure*Pc/MaxiM</f>
        <v>4.0139587320053911E-2</v>
      </c>
      <c r="Q379" s="306">
        <f t="shared" si="130"/>
        <v>0.7</v>
      </c>
      <c r="R379" s="177">
        <f t="shared" si="131"/>
        <v>0.79999998414359141</v>
      </c>
      <c r="S379" s="817">
        <f t="shared" si="132"/>
        <v>-1</v>
      </c>
      <c r="T379" s="176">
        <f t="shared" si="133"/>
        <v>5</v>
      </c>
      <c r="U379" s="307">
        <f t="shared" si="134"/>
        <v>-0.20000001585640864</v>
      </c>
      <c r="V379" s="383">
        <f t="shared" si="135"/>
        <v>11.166126287814199</v>
      </c>
      <c r="W379" s="402">
        <f t="shared" si="136"/>
        <v>0</v>
      </c>
      <c r="X379" s="157">
        <f t="shared" si="137"/>
        <v>44926</v>
      </c>
      <c r="Y379" s="385">
        <f t="shared" si="138"/>
        <v>6.9357369290018775</v>
      </c>
      <c r="Z379" s="385">
        <f t="shared" si="139"/>
        <v>7.2015366641499465</v>
      </c>
      <c r="AA379" s="386">
        <f t="shared" si="140"/>
        <v>8.3012922441991339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0.13248004620216647</v>
      </c>
      <c r="AD379" s="231">
        <f>(INDEX(Models!$BJ379:$BT379,,AH379)*(1-AF379)+INDEX(Models!$BJ379:$BT379,,AH379+1)*AF379-ERP_i)*AE379*Ramure*Pc/MaxiM</f>
        <v>4.0139587320053911E-2</v>
      </c>
      <c r="AE379" s="306">
        <f t="shared" si="142"/>
        <v>0.7</v>
      </c>
      <c r="AF379" s="177">
        <f t="shared" si="143"/>
        <v>0.79999998414359141</v>
      </c>
      <c r="AG379" s="817">
        <f t="shared" si="149"/>
        <v>-1</v>
      </c>
      <c r="AH379" s="176">
        <f t="shared" si="144"/>
        <v>5</v>
      </c>
      <c r="AI379" s="222">
        <f t="shared" si="145"/>
        <v>-0.20000001585640864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1150">
        <f>(13.608+27.296+30.694)*0.05</f>
        <v>3.5799000000000003</v>
      </c>
      <c r="C380" s="854"/>
      <c r="D380" s="401"/>
      <c r="E380" s="387"/>
      <c r="F380" s="387"/>
      <c r="G380" s="122"/>
      <c r="H380" s="414" t="b">
        <f>Wh_hp&gt;='2021'!Maxi_hp</f>
        <v>0</v>
      </c>
      <c r="I380" s="380">
        <f>IF(H380,Wh_hp,'2021'!Maxi_hp)</f>
        <v>9.8304510021791351</v>
      </c>
      <c r="J380" s="85">
        <f>IF(H380,An,'2021'!An_max)</f>
        <v>2020</v>
      </c>
      <c r="K380" s="234"/>
      <c r="L380" s="214"/>
      <c r="M380" s="855"/>
      <c r="N380" s="855"/>
      <c r="O380" s="153"/>
      <c r="P380" s="340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0.91900000000000004</v>
      </c>
      <c r="C381" s="375"/>
      <c r="D381" s="373">
        <f>MIN(D15:D380)</f>
        <v>0.94682827839606309</v>
      </c>
      <c r="E381" s="373">
        <f>MIN(E15:E380)</f>
        <v>1.0045968267923975</v>
      </c>
      <c r="F381" s="374">
        <f>MIN(F15:F380)</f>
        <v>1.0045968267923975</v>
      </c>
      <c r="G381" s="125">
        <f>+MIN(G15:G380)</f>
        <v>6.7216608153398541E-2</v>
      </c>
      <c r="H381" s="94"/>
      <c r="I381" s="374">
        <f>MIN(I15:I380)</f>
        <v>5.9138462610467215</v>
      </c>
      <c r="J381" s="57">
        <f>MIN(J15:J380)</f>
        <v>2018</v>
      </c>
      <c r="K381" s="200" t="s">
        <v>7</v>
      </c>
      <c r="L381" s="146">
        <f t="shared" ref="L381:T381" si="152">MIN(L15:L380)</f>
        <v>2.9199700789906413E-2</v>
      </c>
      <c r="M381" s="852"/>
      <c r="N381" s="852"/>
      <c r="O381" s="47">
        <f t="shared" si="152"/>
        <v>5.6372899326418278E-2</v>
      </c>
      <c r="P381" s="341">
        <f t="shared" si="152"/>
        <v>0</v>
      </c>
      <c r="Q381" s="310">
        <f t="shared" si="152"/>
        <v>0.7</v>
      </c>
      <c r="R381" s="311">
        <f t="shared" si="152"/>
        <v>0.50000068610949389</v>
      </c>
      <c r="S381" s="817">
        <f t="shared" si="152"/>
        <v>-1</v>
      </c>
      <c r="T381" s="176">
        <f t="shared" si="152"/>
        <v>5</v>
      </c>
      <c r="U381" s="252">
        <f>+MIN(U15:U380)</f>
        <v>-0.49999931389050606</v>
      </c>
      <c r="V381" s="373">
        <f>MIN(V15:V380)</f>
        <v>9.9992432863208727</v>
      </c>
      <c r="W381" s="392"/>
      <c r="X381" s="112" t="s">
        <v>7</v>
      </c>
      <c r="Y381" s="373">
        <f>MIN(Y15:Y380)</f>
        <v>0.85668856113001901</v>
      </c>
      <c r="Z381" s="373">
        <f>MIN(Z15:Z380)</f>
        <v>0.88262998417446825</v>
      </c>
      <c r="AA381" s="373">
        <f>MIN(AA15:AA380)</f>
        <v>1.0045968267923975</v>
      </c>
      <c r="AB381" s="200" t="s">
        <v>7</v>
      </c>
      <c r="AC381" s="47">
        <f t="shared" ref="AC381:AH381" si="153">MIN(AC15:AC380)</f>
        <v>0.1210892577626372</v>
      </c>
      <c r="AD381" s="168">
        <f t="shared" si="153"/>
        <v>0</v>
      </c>
      <c r="AE381" s="310">
        <f t="shared" si="153"/>
        <v>0.7</v>
      </c>
      <c r="AF381" s="311">
        <f t="shared" si="153"/>
        <v>0.50000068610949389</v>
      </c>
      <c r="AG381" s="817">
        <f t="shared" si="153"/>
        <v>-1</v>
      </c>
      <c r="AH381" s="176">
        <f t="shared" si="153"/>
        <v>5</v>
      </c>
      <c r="AI381" s="226">
        <f>MIN(AI15:AI380)</f>
        <v>-0.49999931389050606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19.3763169398907</v>
      </c>
      <c r="C382" s="375"/>
      <c r="D382" s="375">
        <f>AVERAGE(D15:D380)</f>
        <v>20.080607588424918</v>
      </c>
      <c r="E382" s="375">
        <f>AVERAGE(E15:E380)</f>
        <v>21.783786345977347</v>
      </c>
      <c r="F382" s="376">
        <f>AVERAGE(F15:F380)</f>
        <v>21.890363526697232</v>
      </c>
      <c r="G382" s="126">
        <f>AVERAGE(G15:G380)</f>
        <v>0.69010150733667741</v>
      </c>
      <c r="H382" s="94"/>
      <c r="I382" s="376">
        <f>AVERAGE(I15:I380)</f>
        <v>29.001531808227984</v>
      </c>
      <c r="J382" s="59">
        <f>AVERAGE(J15:J380)</f>
        <v>2020.1994535519125</v>
      </c>
      <c r="K382" s="200" t="s">
        <v>8</v>
      </c>
      <c r="L382" s="147">
        <f t="shared" ref="L382:V382" si="154">AVERAGE(L15:L380)</f>
        <v>3.3059334403010197E-2</v>
      </c>
      <c r="M382" s="850"/>
      <c r="N382" s="850"/>
      <c r="O382" s="48">
        <f t="shared" si="154"/>
        <v>7.8012784433743293E-2</v>
      </c>
      <c r="P382" s="169">
        <f t="shared" si="154"/>
        <v>1.4724287998334808E-2</v>
      </c>
      <c r="Q382" s="312">
        <f t="shared" si="154"/>
        <v>0.69999999999999529</v>
      </c>
      <c r="R382" s="177">
        <f t="shared" si="154"/>
        <v>0.66793087893391578</v>
      </c>
      <c r="S382" s="817">
        <f t="shared" si="154"/>
        <v>-1</v>
      </c>
      <c r="T382" s="176">
        <f t="shared" si="154"/>
        <v>5</v>
      </c>
      <c r="U382" s="251">
        <f t="shared" si="154"/>
        <v>-0.33206912106608355</v>
      </c>
      <c r="V382" s="375">
        <f t="shared" si="154"/>
        <v>27.309577299538148</v>
      </c>
      <c r="W382" s="392"/>
      <c r="X382" s="112" t="s">
        <v>8</v>
      </c>
      <c r="Y382" s="375">
        <f>AVERAGE(Y15:Y380)</f>
        <v>18.312949909514547</v>
      </c>
      <c r="Z382" s="375">
        <f>AVERAGE(Z15:Z380)</f>
        <v>18.936485589472795</v>
      </c>
      <c r="AA382" s="375">
        <f>AVERAGE(AA15:AA380)</f>
        <v>21.783786345977347</v>
      </c>
      <c r="AB382" s="200" t="s">
        <v>8</v>
      </c>
      <c r="AC382" s="48">
        <f t="shared" ref="AC382:AH382" si="155">AVERAGE(AC15:AC380)</f>
        <v>0.13000025190204401</v>
      </c>
      <c r="AD382" s="169">
        <f t="shared" si="155"/>
        <v>1.4724287998334808E-2</v>
      </c>
      <c r="AE382" s="312">
        <f t="shared" si="155"/>
        <v>0.69999999999999529</v>
      </c>
      <c r="AF382" s="177">
        <f t="shared" si="155"/>
        <v>0.66793087893391578</v>
      </c>
      <c r="AG382" s="817">
        <f t="shared" si="155"/>
        <v>-1</v>
      </c>
      <c r="AH382" s="176">
        <f t="shared" si="155"/>
        <v>5</v>
      </c>
      <c r="AI382" s="225">
        <f>AVERAGE(AI15:AI380)</f>
        <v>-0.33206912106608355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39.148000000000003</v>
      </c>
      <c r="C383" s="377"/>
      <c r="D383" s="377">
        <f>MAX(D15:D380)</f>
        <v>40.456424144455539</v>
      </c>
      <c r="E383" s="377">
        <f>MAX(E15:E380)</f>
        <v>43.771585370686978</v>
      </c>
      <c r="F383" s="378">
        <f>MAX(F15:F380)</f>
        <v>43.771585370686978</v>
      </c>
      <c r="G383" s="127">
        <f>+MAX(G15:G380)</f>
        <v>1.0412989230211518</v>
      </c>
      <c r="H383" s="94"/>
      <c r="I383" s="378">
        <f>MAX(I15:I380)</f>
        <v>45.292153927540518</v>
      </c>
      <c r="J383" s="60">
        <f>MAX(J15:J380)</f>
        <v>2022</v>
      </c>
      <c r="K383" s="200" t="s">
        <v>9</v>
      </c>
      <c r="L383" s="148">
        <f t="shared" ref="L383:T383" si="156">MAX(L15:L380)</f>
        <v>3.6908752609876916E-2</v>
      </c>
      <c r="M383" s="853"/>
      <c r="N383" s="853"/>
      <c r="O383" s="49">
        <f t="shared" si="156"/>
        <v>9.3172112867404011E-2</v>
      </c>
      <c r="P383" s="170">
        <f t="shared" si="156"/>
        <v>5.1621698055009747E-2</v>
      </c>
      <c r="Q383" s="313">
        <f t="shared" si="156"/>
        <v>0.7</v>
      </c>
      <c r="R383" s="314">
        <f t="shared" si="156"/>
        <v>0.79999998414359141</v>
      </c>
      <c r="S383" s="818">
        <f t="shared" si="156"/>
        <v>-1</v>
      </c>
      <c r="T383" s="233">
        <f t="shared" si="156"/>
        <v>5</v>
      </c>
      <c r="U383" s="253">
        <f>+MAX(U15:U380)</f>
        <v>-0.20000001585640864</v>
      </c>
      <c r="V383" s="377">
        <f>MAX(V15:V380)</f>
        <v>39.008229020747599</v>
      </c>
      <c r="W383" s="392"/>
      <c r="X383" s="112" t="s">
        <v>9</v>
      </c>
      <c r="Y383" s="377">
        <f>MAX(Y15:Y380)</f>
        <v>36.843956053172384</v>
      </c>
      <c r="Z383" s="377">
        <f>MAX(Z15:Z380)</f>
        <v>38.075373282078822</v>
      </c>
      <c r="AA383" s="377">
        <f>MAX(AA15:AA380)</f>
        <v>43.771585370686978</v>
      </c>
      <c r="AB383" s="200" t="s">
        <v>9</v>
      </c>
      <c r="AC383" s="49">
        <f t="shared" ref="AC383:AH383" si="157">MAX(AC15:AC380)</f>
        <v>0.13559131451924669</v>
      </c>
      <c r="AD383" s="170">
        <f t="shared" si="157"/>
        <v>5.1621698055009747E-2</v>
      </c>
      <c r="AE383" s="313">
        <f t="shared" si="157"/>
        <v>0.7</v>
      </c>
      <c r="AF383" s="314">
        <f t="shared" si="157"/>
        <v>0.79999998414359141</v>
      </c>
      <c r="AG383" s="818">
        <f t="shared" si="157"/>
        <v>-1</v>
      </c>
      <c r="AH383" s="233">
        <f t="shared" si="157"/>
        <v>5</v>
      </c>
      <c r="AI383" s="227">
        <f>MAX(AI15:AI380)</f>
        <v>-0.20000001585640864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65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67</v>
      </c>
      <c r="H384" s="404"/>
      <c r="I384" s="405" t="s">
        <v>6</v>
      </c>
      <c r="J384" s="405" t="s">
        <v>113</v>
      </c>
      <c r="K384" s="406"/>
      <c r="L384" s="405" t="s">
        <v>66</v>
      </c>
      <c r="M384" s="407"/>
      <c r="N384" s="407"/>
      <c r="O384" s="407" t="s">
        <v>66</v>
      </c>
      <c r="P384" s="407" t="s">
        <v>66</v>
      </c>
      <c r="Q384" s="405" t="s">
        <v>66</v>
      </c>
      <c r="R384" s="405" t="s">
        <v>67</v>
      </c>
      <c r="S384" s="405" t="s">
        <v>81</v>
      </c>
      <c r="T384" s="405" t="s">
        <v>67</v>
      </c>
      <c r="U384" s="408" t="s">
        <v>82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66</v>
      </c>
      <c r="AD384" s="405" t="s">
        <v>66</v>
      </c>
      <c r="AE384" s="405" t="s">
        <v>66</v>
      </c>
      <c r="AF384" s="405" t="s">
        <v>67</v>
      </c>
      <c r="AG384" s="405" t="s">
        <v>81</v>
      </c>
      <c r="AH384" s="405" t="s">
        <v>67</v>
      </c>
      <c r="AI384" s="408" t="s">
        <v>81</v>
      </c>
      <c r="AJ384" s="835"/>
      <c r="AK384" s="835"/>
      <c r="AL384" s="835"/>
      <c r="AM384" s="835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2" priority="3" stopIfTrue="1" operator="lessThan">
      <formula>0.01</formula>
    </cfRule>
    <cfRule type="cellIs" dxfId="11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795</vt:i4>
      </vt:variant>
    </vt:vector>
  </HeadingPairs>
  <TitlesOfParts>
    <vt:vector size="809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Masques!Hobs1</vt:lpstr>
      <vt:lpstr>Masques!Hobs2</vt:lpstr>
      <vt:lpstr>Masques!Hobs3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Masques!Hrm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Rapous</vt:lpstr>
      <vt:lpstr>Masques!Rata1</vt:lpstr>
      <vt:lpstr>Masques!Rata2</vt:lpstr>
      <vt:lpstr>Masques!Rata3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2023-01-18T16:47:33Z</dcterms:modified>
</cp:coreProperties>
</file>